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updateLinks="never"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PassFab_Excel\"/>
    </mc:Choice>
  </mc:AlternateContent>
  <xr:revisionPtr revIDLastSave="0" documentId="13_ncr:1_{6A39EF4B-49D4-4AE2-BD92-409AAAFEFFCB}" xr6:coauthVersionLast="47" xr6:coauthVersionMax="47" xr10:uidLastSave="{00000000-0000-0000-0000-000000000000}"/>
  <bookViews>
    <workbookView xWindow="-120" yWindow="-120" windowWidth="29040" windowHeight="15720" firstSheet="8" activeTab="8" xr2:uid="{4348E298-A377-433D-B2E2-69EF8A134C84}"/>
  </bookViews>
  <sheets>
    <sheet name="Score-Starting a business" sheetId="10" r:id="rId1"/>
    <sheet name="Population" sheetId="4" r:id="rId2"/>
    <sheet name="GDP" sheetId="6" r:id="rId3"/>
    <sheet name="Country Competitivness" sheetId="5" r:id="rId4"/>
    <sheet name="Income Tax Rate (%)" sheetId="7" r:id="rId5"/>
    <sheet name="Tariff Rate (%)" sheetId="8" r:id="rId6"/>
    <sheet name="Corporate Tax Rate (%)" sheetId="9" r:id="rId7"/>
    <sheet name="Graph Data" sheetId="30" r:id="rId8"/>
    <sheet name="Config!" sheetId="2" r:id="rId9"/>
    <sheet name="map table" sheetId="25" r:id="rId10"/>
    <sheet name="Base data map" sheetId="24" r:id="rId11"/>
    <sheet name="Result data" sheetId="13" r:id="rId12"/>
    <sheet name="Language" sheetId="29" r:id="rId13"/>
    <sheet name="Market Analyzes" sheetId="1" r:id="rId14"/>
    <sheet name="GDP and Pop. Country Comparison" sheetId="11" r:id="rId15"/>
    <sheet name="WorldMap" sheetId="27" r:id="rId16"/>
    <sheet name="Market penetration" sheetId="19" r:id="rId17"/>
    <sheet name="MSE per country" sheetId="18" r:id="rId18"/>
    <sheet name="IMS Seg. Table" sheetId="28" r:id="rId19"/>
    <sheet name="General Report" sheetId="20" r:id="rId20"/>
    <sheet name="Grades" sheetId="23" r:id="rId21"/>
    <sheet name="Country Presence" sheetId="22" r:id="rId22"/>
    <sheet name="Individual Report" sheetId="21" r:id="rId23"/>
  </sheets>
  <externalReferences>
    <externalReference r:id="rId24"/>
  </externalReferences>
  <definedNames>
    <definedName name="_xlnm._FilterDatabase" localSheetId="6" hidden="1">'Corporate Tax Rate (%)'!$A$1:$Y$171</definedName>
    <definedName name="_xlnm._FilterDatabase" localSheetId="3" hidden="1">'Country Competitivness'!$A$3:$W$173</definedName>
    <definedName name="_xlnm._FilterDatabase" localSheetId="2" hidden="1">GDP!$A$2:$Z$172</definedName>
    <definedName name="_xlnm._FilterDatabase" localSheetId="18" hidden="1">'IMS Seg. Table'!$A$15:$X$175</definedName>
    <definedName name="_xlnm._FilterDatabase" localSheetId="4" hidden="1">'Income Tax Rate (%)'!$A$1:$Y$171</definedName>
    <definedName name="_xlnm._FilterDatabase" localSheetId="1" hidden="1">Population!$A$2:$F$177</definedName>
    <definedName name="_xlnm._FilterDatabase" localSheetId="0" hidden="1">'Score-Starting a business'!$A$1:$S$171</definedName>
    <definedName name="_xlnm._FilterDatabase" localSheetId="5" hidden="1">'Tariff Rate (%)'!$A$1:$Y$171</definedName>
    <definedName name="_xlchart.v5.0" hidden="1">'map table'!$A$1</definedName>
    <definedName name="_xlchart.v5.1" hidden="1">'map table'!$A$2:$A$181</definedName>
    <definedName name="_xlchart.v5.2" hidden="1">'map table'!$C$1</definedName>
    <definedName name="_xlchart.v5.3" hidden="1">'map table'!$C$2:$C$181</definedName>
    <definedName name="Countries">'Config!'!$A$2:$A$161</definedName>
    <definedName name="entry">'Config!'!$J$2:$J$3</definedName>
    <definedName name="lang">Language!$C$2:$C$3</definedName>
    <definedName name="level">'Config!'!$M$2:$M$6</definedName>
    <definedName name="mapv">'Base data map'!$Q$4:$Q$11</definedName>
    <definedName name="Pricing">[1]Names!$F$2:$F$6</definedName>
    <definedName name="SegmentaçãodeDados_Region">#N/A</definedName>
    <definedName name="team">'Config!'!$AY$3:$AY$12</definedName>
    <definedName name="vyear">Tabela4[Ano]</definedName>
    <definedName name="vyeare">'Config!'!$BA$21:$BA$33</definedName>
    <definedName name="year">'Config!'!$AY$21:$AY$33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5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5" i="2" l="1"/>
  <c r="C88" i="29"/>
  <c r="A5" i="21" s="1"/>
  <c r="A19" i="21" s="1"/>
  <c r="A31" i="21" s="1"/>
  <c r="A44" i="21" s="1"/>
  <c r="O95" i="2"/>
  <c r="C459" i="29"/>
  <c r="C458" i="29"/>
  <c r="L1" i="21"/>
  <c r="C457" i="29"/>
  <c r="C451" i="29"/>
  <c r="A61" i="21" s="1"/>
  <c r="C452" i="29"/>
  <c r="A62" i="21"/>
  <c r="C453" i="29"/>
  <c r="A63" i="21"/>
  <c r="C454" i="29"/>
  <c r="A68" i="21"/>
  <c r="C455" i="29"/>
  <c r="A69" i="21" s="1"/>
  <c r="C456" i="29"/>
  <c r="A70" i="21"/>
  <c r="C450" i="29"/>
  <c r="C449" i="29"/>
  <c r="C448" i="29"/>
  <c r="G43" i="21"/>
  <c r="C447" i="29"/>
  <c r="E43" i="21" s="1"/>
  <c r="C446" i="29"/>
  <c r="A42" i="21"/>
  <c r="C445" i="29"/>
  <c r="A29" i="21"/>
  <c r="C433" i="29"/>
  <c r="C30" i="21"/>
  <c r="C434" i="29"/>
  <c r="E30" i="21" s="1" a="1"/>
  <c r="E30" i="21" s="1"/>
  <c r="C435" i="29"/>
  <c r="C436" i="29"/>
  <c r="C437" i="29"/>
  <c r="C438" i="29"/>
  <c r="G30" i="21" s="1" a="1"/>
  <c r="G30" i="21" s="1"/>
  <c r="C439" i="29"/>
  <c r="C440" i="29"/>
  <c r="C441" i="29"/>
  <c r="C442" i="29"/>
  <c r="C443" i="29"/>
  <c r="O30" i="21" s="1" a="1"/>
  <c r="O30" i="21" s="1"/>
  <c r="C444" i="29"/>
  <c r="Q30" i="21" a="1"/>
  <c r="Q30" i="21" s="1"/>
  <c r="C432" i="29"/>
  <c r="C431" i="29"/>
  <c r="D18" i="21" s="1"/>
  <c r="C430" i="29"/>
  <c r="C410" i="29"/>
  <c r="C411" i="29"/>
  <c r="A2" i="21" s="1"/>
  <c r="C412" i="29"/>
  <c r="G2" i="21" s="1"/>
  <c r="C413" i="29"/>
  <c r="J2" i="21" s="1"/>
  <c r="C414" i="29"/>
  <c r="A3" i="21"/>
  <c r="C415" i="29"/>
  <c r="A4" i="21" s="1" a="1"/>
  <c r="A4" i="21" s="1"/>
  <c r="A17" i="21" s="1"/>
  <c r="A30" i="21" s="1"/>
  <c r="A43" i="21" s="1"/>
  <c r="C416" i="29"/>
  <c r="C417" i="29"/>
  <c r="C418" i="29"/>
  <c r="C419" i="29"/>
  <c r="E4" i="21" s="1"/>
  <c r="C420" i="29"/>
  <c r="C421" i="29"/>
  <c r="C422" i="29"/>
  <c r="C423" i="29"/>
  <c r="C424" i="29"/>
  <c r="C425" i="29"/>
  <c r="C426" i="29"/>
  <c r="C427" i="29"/>
  <c r="N4" i="21"/>
  <c r="BM17" i="21" s="1"/>
  <c r="C428" i="29"/>
  <c r="P4" i="21"/>
  <c r="CQ17" i="21" s="1"/>
  <c r="C429" i="29"/>
  <c r="A254" i="22"/>
  <c r="A255" i="22"/>
  <c r="A256" i="22"/>
  <c r="A257" i="22"/>
  <c r="A253" i="22"/>
  <c r="C409" i="29"/>
  <c r="A247" i="22" s="1"/>
  <c r="C408" i="29"/>
  <c r="B241" i="22" s="1"/>
  <c r="C407" i="29"/>
  <c r="A1" i="22" s="1"/>
  <c r="C388" i="29"/>
  <c r="A1" i="23"/>
  <c r="C389" i="29"/>
  <c r="B2" i="23" s="1"/>
  <c r="M16" i="23" s="1"/>
  <c r="C390" i="29"/>
  <c r="C391" i="29"/>
  <c r="C392" i="29"/>
  <c r="C393" i="29"/>
  <c r="A2" i="22"/>
  <c r="A240" i="22"/>
  <c r="C394" i="29"/>
  <c r="B3" i="23" s="1" a="1"/>
  <c r="B3" i="23" s="1"/>
  <c r="C395" i="29"/>
  <c r="C396" i="29"/>
  <c r="I2" i="23" s="1"/>
  <c r="N16" i="23" s="1"/>
  <c r="C397" i="29"/>
  <c r="C398" i="29"/>
  <c r="C399" i="29"/>
  <c r="L2" i="23"/>
  <c r="O16" i="23" s="1"/>
  <c r="C400" i="29"/>
  <c r="C401" i="29"/>
  <c r="C402" i="29"/>
  <c r="C403" i="29"/>
  <c r="C404" i="29"/>
  <c r="R2" i="23"/>
  <c r="C405" i="29"/>
  <c r="C406" i="29"/>
  <c r="C371" i="29"/>
  <c r="C387" i="29"/>
  <c r="C347" i="29"/>
  <c r="A1" i="20" s="1"/>
  <c r="C348" i="29"/>
  <c r="H1" i="20"/>
  <c r="K1" i="21"/>
  <c r="C349" i="29"/>
  <c r="A3" i="20" s="1"/>
  <c r="C350" i="29"/>
  <c r="C351" i="29"/>
  <c r="C352" i="29"/>
  <c r="C4" i="20"/>
  <c r="C353" i="29"/>
  <c r="C354" i="29"/>
  <c r="C355" i="29"/>
  <c r="C356" i="29"/>
  <c r="A15" i="20" s="1"/>
  <c r="C357" i="29"/>
  <c r="C358" i="29"/>
  <c r="A28" i="20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A54" i="20"/>
  <c r="C372" i="29"/>
  <c r="C373" i="29"/>
  <c r="C374" i="29"/>
  <c r="C375" i="29"/>
  <c r="A55" i="20" s="1" a="1"/>
  <c r="A55" i="20" s="1"/>
  <c r="C376" i="29"/>
  <c r="C377" i="29"/>
  <c r="C378" i="29"/>
  <c r="A2" i="23"/>
  <c r="A15" i="23"/>
  <c r="C379" i="29"/>
  <c r="C380" i="29"/>
  <c r="C381" i="29"/>
  <c r="C382" i="29"/>
  <c r="C383" i="29"/>
  <c r="C384" i="29"/>
  <c r="C385" i="29"/>
  <c r="C386" i="29"/>
  <c r="N150" i="29"/>
  <c r="A6" i="20"/>
  <c r="A31" i="20"/>
  <c r="N151" i="29"/>
  <c r="A7" i="20" s="1"/>
  <c r="A32" i="20" s="1"/>
  <c r="N152" i="29"/>
  <c r="A8" i="20"/>
  <c r="A33" i="20" s="1"/>
  <c r="N153" i="29"/>
  <c r="A9" i="20"/>
  <c r="A34" i="20" s="1"/>
  <c r="N154" i="29"/>
  <c r="A10" i="20" s="1"/>
  <c r="A35" i="20" s="1"/>
  <c r="N155" i="29"/>
  <c r="A11" i="20" s="1"/>
  <c r="A36" i="20" s="1"/>
  <c r="N156" i="29"/>
  <c r="A12" i="20" s="1"/>
  <c r="A37" i="20" s="1"/>
  <c r="N157" i="29"/>
  <c r="A13" i="20"/>
  <c r="A38" i="20"/>
  <c r="N158" i="29"/>
  <c r="A14" i="20"/>
  <c r="A39" i="20"/>
  <c r="N149" i="29"/>
  <c r="A5" i="20" s="1"/>
  <c r="A30" i="20" s="1"/>
  <c r="C310" i="29"/>
  <c r="D14" i="28"/>
  <c r="C311" i="29"/>
  <c r="H14" i="28"/>
  <c r="C312" i="29"/>
  <c r="P14" i="28" s="1"/>
  <c r="C313" i="29"/>
  <c r="S14" i="28" s="1"/>
  <c r="C314" i="29"/>
  <c r="B2" i="28"/>
  <c r="C315" i="29"/>
  <c r="B3" i="28"/>
  <c r="C316" i="29"/>
  <c r="B4" i="28" s="1"/>
  <c r="C317" i="29"/>
  <c r="B5" i="28" s="1"/>
  <c r="C318" i="29"/>
  <c r="B6" i="28"/>
  <c r="C319" i="29"/>
  <c r="B7" i="28"/>
  <c r="C320" i="29"/>
  <c r="B8" i="28"/>
  <c r="C321" i="29"/>
  <c r="B9" i="28" s="1"/>
  <c r="C322" i="29"/>
  <c r="B10" i="28"/>
  <c r="C323" i="29"/>
  <c r="B11" i="28"/>
  <c r="C324" i="29"/>
  <c r="B12" i="28"/>
  <c r="C325" i="29"/>
  <c r="J3" i="24" s="1"/>
  <c r="C326" i="29"/>
  <c r="K3" i="24"/>
  <c r="C327" i="29"/>
  <c r="M3" i="24"/>
  <c r="C328" i="29"/>
  <c r="C329" i="29"/>
  <c r="N3" i="24" s="1"/>
  <c r="C330" i="29"/>
  <c r="C331" i="29"/>
  <c r="C332" i="29"/>
  <c r="C333" i="29"/>
  <c r="C334" i="29"/>
  <c r="C335" i="29"/>
  <c r="C336" i="29"/>
  <c r="C337" i="29"/>
  <c r="C338" i="29"/>
  <c r="C339" i="29"/>
  <c r="B13" i="28"/>
  <c r="C340" i="29"/>
  <c r="G3" i="24"/>
  <c r="C341" i="29"/>
  <c r="L3" i="24" s="1"/>
  <c r="C342" i="29"/>
  <c r="A1" i="27" s="1"/>
  <c r="C343" i="29"/>
  <c r="C344" i="29"/>
  <c r="C345" i="29"/>
  <c r="B6" i="11"/>
  <c r="C346" i="29"/>
  <c r="M150" i="29" a="1"/>
  <c r="M150" i="29"/>
  <c r="M151" i="29" a="1"/>
  <c r="M151" i="29"/>
  <c r="M152" i="29" a="1"/>
  <c r="M152" i="29"/>
  <c r="M153" i="29" a="1"/>
  <c r="M153" i="29"/>
  <c r="M154" i="29" a="1"/>
  <c r="M154" i="29"/>
  <c r="M155" i="29" a="1"/>
  <c r="M155" i="29"/>
  <c r="M156" i="29" a="1"/>
  <c r="M156" i="29"/>
  <c r="M157" i="29" a="1"/>
  <c r="M157" i="29"/>
  <c r="M158" i="29" a="1"/>
  <c r="M158" i="29"/>
  <c r="M149" i="29" a="1"/>
  <c r="M149" i="29"/>
  <c r="L150" i="29"/>
  <c r="L151" i="29"/>
  <c r="L152" i="29"/>
  <c r="L153" i="29"/>
  <c r="L154" i="29"/>
  <c r="L155" i="29"/>
  <c r="L156" i="29"/>
  <c r="L157" i="29"/>
  <c r="L158" i="29"/>
  <c r="L149" i="29"/>
  <c r="C309" i="29"/>
  <c r="A14" i="28"/>
  <c r="D308" i="29"/>
  <c r="D307" i="29"/>
  <c r="D306" i="29"/>
  <c r="D305" i="29"/>
  <c r="D304" i="29"/>
  <c r="D303" i="29"/>
  <c r="D302" i="29"/>
  <c r="D301" i="29"/>
  <c r="D300" i="29"/>
  <c r="D299" i="29"/>
  <c r="D298" i="29"/>
  <c r="D297" i="29"/>
  <c r="D296" i="29"/>
  <c r="D295" i="29"/>
  <c r="D294" i="29"/>
  <c r="D293" i="29"/>
  <c r="D292" i="29"/>
  <c r="D291" i="29"/>
  <c r="D290" i="29"/>
  <c r="D289" i="29"/>
  <c r="D288" i="29"/>
  <c r="D287" i="29"/>
  <c r="D286" i="29"/>
  <c r="D285" i="29"/>
  <c r="D284" i="29"/>
  <c r="D283" i="29"/>
  <c r="D282" i="29"/>
  <c r="D281" i="29"/>
  <c r="D280" i="29"/>
  <c r="D279" i="29"/>
  <c r="D278" i="29"/>
  <c r="D277" i="29"/>
  <c r="D276" i="29"/>
  <c r="D275" i="29"/>
  <c r="D274" i="29"/>
  <c r="D273" i="29"/>
  <c r="D272" i="29"/>
  <c r="D271" i="29"/>
  <c r="D270" i="29"/>
  <c r="D269" i="29"/>
  <c r="D268" i="29"/>
  <c r="D267" i="29"/>
  <c r="D266" i="29"/>
  <c r="D265" i="29"/>
  <c r="D264" i="29"/>
  <c r="D263" i="29"/>
  <c r="D262" i="29"/>
  <c r="D261" i="29"/>
  <c r="D260" i="29"/>
  <c r="D259" i="29"/>
  <c r="D258" i="29"/>
  <c r="D257" i="29"/>
  <c r="D256" i="29"/>
  <c r="D255" i="29"/>
  <c r="D254" i="29"/>
  <c r="D253" i="29"/>
  <c r="D252" i="29"/>
  <c r="D251" i="29"/>
  <c r="D250" i="29"/>
  <c r="D249" i="29"/>
  <c r="D248" i="29"/>
  <c r="D247" i="29"/>
  <c r="D246" i="29"/>
  <c r="D245" i="29"/>
  <c r="D244" i="29"/>
  <c r="D243" i="29"/>
  <c r="D242" i="29"/>
  <c r="D241" i="29"/>
  <c r="D240" i="29"/>
  <c r="D239" i="29"/>
  <c r="D238" i="29"/>
  <c r="D237" i="29"/>
  <c r="D236" i="29"/>
  <c r="D235" i="29"/>
  <c r="D234" i="29"/>
  <c r="D233" i="29"/>
  <c r="D232" i="29"/>
  <c r="D231" i="29"/>
  <c r="D230" i="29"/>
  <c r="D229" i="29"/>
  <c r="D228" i="29"/>
  <c r="D227" i="29"/>
  <c r="D226" i="29"/>
  <c r="D225" i="29"/>
  <c r="D224" i="29"/>
  <c r="D223" i="29"/>
  <c r="D222" i="29"/>
  <c r="D221" i="29"/>
  <c r="D220" i="29"/>
  <c r="D219" i="29"/>
  <c r="D218" i="29"/>
  <c r="D217" i="29"/>
  <c r="D216" i="29"/>
  <c r="D215" i="29"/>
  <c r="D214" i="29"/>
  <c r="D213" i="29"/>
  <c r="D212" i="29"/>
  <c r="D211" i="29"/>
  <c r="D210" i="29"/>
  <c r="D209" i="29"/>
  <c r="D208" i="29"/>
  <c r="D207" i="29"/>
  <c r="D206" i="29"/>
  <c r="D205" i="29"/>
  <c r="D204" i="29"/>
  <c r="D203" i="29"/>
  <c r="D202" i="29"/>
  <c r="D201" i="29"/>
  <c r="D200" i="29"/>
  <c r="D199" i="29"/>
  <c r="D198" i="29"/>
  <c r="D197" i="29"/>
  <c r="D196" i="29"/>
  <c r="D195" i="29"/>
  <c r="D194" i="29"/>
  <c r="D193" i="29"/>
  <c r="D192" i="29"/>
  <c r="D191" i="29"/>
  <c r="D190" i="29"/>
  <c r="D189" i="29"/>
  <c r="D188" i="29"/>
  <c r="D187" i="29"/>
  <c r="D186" i="29"/>
  <c r="D185" i="29"/>
  <c r="D184" i="29"/>
  <c r="D183" i="29"/>
  <c r="D182" i="29"/>
  <c r="D181" i="29"/>
  <c r="D180" i="29"/>
  <c r="D179" i="29"/>
  <c r="D178" i="29"/>
  <c r="D177" i="29"/>
  <c r="D176" i="29"/>
  <c r="D175" i="29"/>
  <c r="D174" i="29"/>
  <c r="D173" i="29"/>
  <c r="D172" i="29"/>
  <c r="D171" i="29"/>
  <c r="D170" i="29"/>
  <c r="D169" i="29"/>
  <c r="D168" i="29"/>
  <c r="D167" i="29"/>
  <c r="D166" i="29"/>
  <c r="D165" i="29"/>
  <c r="D164" i="29"/>
  <c r="D163" i="29"/>
  <c r="D162" i="29"/>
  <c r="D161" i="29"/>
  <c r="D160" i="29"/>
  <c r="D159" i="29"/>
  <c r="D158" i="29"/>
  <c r="D157" i="29"/>
  <c r="D156" i="29"/>
  <c r="D155" i="29"/>
  <c r="D154" i="29"/>
  <c r="D153" i="29"/>
  <c r="D152" i="29"/>
  <c r="D151" i="29"/>
  <c r="D150" i="29"/>
  <c r="D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149" i="29"/>
  <c r="C144" i="29"/>
  <c r="P2" i="2" s="1"/>
  <c r="C145" i="29"/>
  <c r="P3" i="2"/>
  <c r="C146" i="29"/>
  <c r="P4" i="2" s="1"/>
  <c r="C147" i="29"/>
  <c r="P5" i="2"/>
  <c r="C148" i="29"/>
  <c r="P6" i="2" s="1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139" i="29"/>
  <c r="M2" i="2" s="1"/>
  <c r="C140" i="29"/>
  <c r="M3" i="2" s="1"/>
  <c r="O3" i="2" s="1"/>
  <c r="R3" i="2" s="1"/>
  <c r="V3" i="2" s="1"/>
  <c r="C141" i="29"/>
  <c r="M4" i="2" s="1"/>
  <c r="O4" i="2" s="1"/>
  <c r="R4" i="2"/>
  <c r="V4" i="2"/>
  <c r="C142" i="29"/>
  <c r="M5" i="2" s="1"/>
  <c r="O5" i="2" s="1"/>
  <c r="R5" i="2" s="1"/>
  <c r="V5" i="2" s="1"/>
  <c r="C143" i="29"/>
  <c r="M6" i="2"/>
  <c r="O6" i="2" s="1"/>
  <c r="R6" i="2" s="1"/>
  <c r="V6" i="2" s="1"/>
  <c r="C133" i="29"/>
  <c r="C134" i="29"/>
  <c r="C135" i="29"/>
  <c r="C136" i="29"/>
  <c r="C137" i="29"/>
  <c r="C138" i="29"/>
  <c r="C132" i="29"/>
  <c r="C131" i="29"/>
  <c r="AY12" i="2"/>
  <c r="BD12" i="2" s="1"/>
  <c r="C130" i="29"/>
  <c r="A127" i="1"/>
  <c r="C129" i="29"/>
  <c r="A126" i="1" s="1"/>
  <c r="C128" i="29"/>
  <c r="A125" i="1" s="1"/>
  <c r="C127" i="29"/>
  <c r="A124" i="1" s="1"/>
  <c r="C126" i="29"/>
  <c r="A123" i="1"/>
  <c r="BT98" i="2"/>
  <c r="C125" i="29"/>
  <c r="A122" i="1" s="1"/>
  <c r="C124" i="29"/>
  <c r="A121" i="1" s="1"/>
  <c r="C123" i="29"/>
  <c r="A120" i="1"/>
  <c r="BK98" i="2"/>
  <c r="C122" i="29"/>
  <c r="A119" i="1" s="1"/>
  <c r="C121" i="29"/>
  <c r="A118" i="1" s="1"/>
  <c r="C120" i="29"/>
  <c r="C119" i="29"/>
  <c r="A116" i="1"/>
  <c r="C118" i="29"/>
  <c r="C117" i="29"/>
  <c r="A114" i="1" s="1"/>
  <c r="C116" i="29"/>
  <c r="A113" i="1" s="1" a="1"/>
  <c r="A113" i="1" s="1"/>
  <c r="C115" i="29"/>
  <c r="A112" i="1" a="1"/>
  <c r="A112" i="1" s="1"/>
  <c r="C114" i="29"/>
  <c r="A111" i="1" s="1" a="1"/>
  <c r="A111" i="1" s="1"/>
  <c r="C113" i="29"/>
  <c r="A110" i="1" s="1"/>
  <c r="C112" i="29"/>
  <c r="A109" i="1"/>
  <c r="C111" i="29"/>
  <c r="A108" i="1" s="1"/>
  <c r="C110" i="29"/>
  <c r="A107" i="1"/>
  <c r="C109" i="29"/>
  <c r="A106" i="1" s="1"/>
  <c r="C108" i="29"/>
  <c r="A105" i="1"/>
  <c r="C107" i="29"/>
  <c r="A104" i="1" s="1"/>
  <c r="C106" i="29"/>
  <c r="A103" i="1"/>
  <c r="C105" i="29"/>
  <c r="C104" i="29"/>
  <c r="C103" i="29"/>
  <c r="C102" i="29"/>
  <c r="C101" i="1"/>
  <c r="C101" i="29"/>
  <c r="A101" i="1" s="1"/>
  <c r="C100" i="29"/>
  <c r="A100" i="1" s="1"/>
  <c r="C99" i="29"/>
  <c r="A99" i="1"/>
  <c r="C98" i="29"/>
  <c r="A98" i="1" s="1"/>
  <c r="C97" i="29"/>
  <c r="A14" i="21" s="1"/>
  <c r="C96" i="29"/>
  <c r="A13" i="21" s="1"/>
  <c r="A27" i="21" s="1"/>
  <c r="A39" i="21" s="1"/>
  <c r="A52" i="21"/>
  <c r="C95" i="29"/>
  <c r="A12" i="21" s="1"/>
  <c r="A26" i="21" s="1"/>
  <c r="A38" i="21" s="1"/>
  <c r="A51" i="21" s="1"/>
  <c r="C94" i="29"/>
  <c r="A11" i="21"/>
  <c r="C93" i="29"/>
  <c r="A10" i="21" s="1"/>
  <c r="A24" i="21" s="1"/>
  <c r="A36" i="21" s="1"/>
  <c r="A49" i="21" s="1"/>
  <c r="C92" i="29"/>
  <c r="A9" i="21" s="1"/>
  <c r="A23" i="21" s="1"/>
  <c r="A35" i="21" s="1"/>
  <c r="A48" i="21" s="1"/>
  <c r="C91" i="29"/>
  <c r="A8" i="21" s="1"/>
  <c r="A22" i="21" s="1"/>
  <c r="A34" i="21" s="1"/>
  <c r="A47" i="21" s="1"/>
  <c r="C90" i="29"/>
  <c r="A7" i="21"/>
  <c r="A21" i="21"/>
  <c r="A33" i="21" s="1"/>
  <c r="A46" i="21" s="1"/>
  <c r="C89" i="29"/>
  <c r="A6" i="21"/>
  <c r="C87" i="29"/>
  <c r="C86" i="29"/>
  <c r="C85" i="29"/>
  <c r="C84" i="29"/>
  <c r="C83" i="29"/>
  <c r="C82" i="29"/>
  <c r="A84" i="1"/>
  <c r="C81" i="29"/>
  <c r="A83" i="1"/>
  <c r="C80" i="29"/>
  <c r="A82" i="1"/>
  <c r="C79" i="29"/>
  <c r="A79" i="1" s="1"/>
  <c r="C78" i="29"/>
  <c r="C77" i="29"/>
  <c r="A77" i="1" s="1"/>
  <c r="C5" i="29"/>
  <c r="A3" i="1"/>
  <c r="C6" i="29"/>
  <c r="A4" i="1"/>
  <c r="C7" i="29"/>
  <c r="A5" i="1" s="1"/>
  <c r="C8" i="29"/>
  <c r="A6" i="1" s="1"/>
  <c r="C9" i="29"/>
  <c r="A7" i="1"/>
  <c r="C10" i="29"/>
  <c r="A8" i="1" s="1"/>
  <c r="C11" i="29"/>
  <c r="A9" i="1" s="1"/>
  <c r="C12" i="29"/>
  <c r="A10" i="1" s="1"/>
  <c r="A18" i="1" s="1"/>
  <c r="C13" i="29"/>
  <c r="C14" i="29"/>
  <c r="C15" i="29"/>
  <c r="C16" i="29"/>
  <c r="A11" i="1" s="1"/>
  <c r="D1" i="11" s="1"/>
  <c r="C17" i="29"/>
  <c r="A12" i="1"/>
  <c r="C18" i="29"/>
  <c r="A13" i="1"/>
  <c r="C19" i="29"/>
  <c r="A14" i="1" s="1"/>
  <c r="C20" i="29"/>
  <c r="A15" i="1"/>
  <c r="C21" i="29"/>
  <c r="A16" i="1"/>
  <c r="C22" i="29"/>
  <c r="A17" i="1"/>
  <c r="C23" i="29"/>
  <c r="C24" i="29"/>
  <c r="A20" i="1" s="1"/>
  <c r="C25" i="29"/>
  <c r="A21" i="1"/>
  <c r="C26" i="29"/>
  <c r="A22" i="1" s="1"/>
  <c r="E1" i="11" s="1"/>
  <c r="C27" i="29"/>
  <c r="A23" i="1" s="1"/>
  <c r="C28" i="29"/>
  <c r="A25" i="1" s="1"/>
  <c r="C29" i="29"/>
  <c r="C30" i="29"/>
  <c r="A27" i="1"/>
  <c r="C31" i="29"/>
  <c r="A28" i="1" s="1"/>
  <c r="C32" i="29"/>
  <c r="A29" i="1"/>
  <c r="C33" i="29"/>
  <c r="A30" i="1"/>
  <c r="C34" i="29"/>
  <c r="A31" i="1"/>
  <c r="Y98" i="2" s="1"/>
  <c r="C35" i="29"/>
  <c r="A32" i="1" s="1"/>
  <c r="C36" i="29"/>
  <c r="A34" i="1" s="1"/>
  <c r="C37" i="29"/>
  <c r="A35" i="1"/>
  <c r="C38" i="29"/>
  <c r="A36" i="1" s="1"/>
  <c r="Z98" i="2" s="1"/>
  <c r="R2" i="28"/>
  <c r="C39" i="29"/>
  <c r="A37" i="1" s="1"/>
  <c r="C40" i="29"/>
  <c r="A38" i="1" s="1"/>
  <c r="C41" i="29"/>
  <c r="A39" i="1"/>
  <c r="C42" i="29"/>
  <c r="A40" i="1" s="1"/>
  <c r="C43" i="29"/>
  <c r="A41" i="1" s="1"/>
  <c r="C44" i="29"/>
  <c r="A43" i="1" s="1"/>
  <c r="C45" i="29"/>
  <c r="A44" i="1"/>
  <c r="A16" i="21"/>
  <c r="C46" i="29"/>
  <c r="D44" i="1" s="1"/>
  <c r="C47" i="29"/>
  <c r="A45" i="1"/>
  <c r="C48" i="29"/>
  <c r="A46" i="1"/>
  <c r="C49" i="29"/>
  <c r="A47" i="1"/>
  <c r="C50" i="29"/>
  <c r="A48" i="1" s="1"/>
  <c r="C51" i="29"/>
  <c r="A49" i="1"/>
  <c r="C52" i="29"/>
  <c r="A50" i="1"/>
  <c r="C53" i="29"/>
  <c r="A51" i="1"/>
  <c r="C54" i="29"/>
  <c r="A52" i="1" s="1"/>
  <c r="C55" i="29"/>
  <c r="C56" i="29"/>
  <c r="C57" i="29"/>
  <c r="C58" i="29"/>
  <c r="C59" i="29"/>
  <c r="C60" i="29"/>
  <c r="A64" i="1" s="1"/>
  <c r="C61" i="29"/>
  <c r="A65" i="1" s="1"/>
  <c r="C62" i="29"/>
  <c r="C63" i="29"/>
  <c r="C64" i="29"/>
  <c r="C65" i="29"/>
  <c r="C66" i="29"/>
  <c r="C67" i="29"/>
  <c r="A67" i="1" s="1"/>
  <c r="A88" i="1" s="1"/>
  <c r="C68" i="29"/>
  <c r="A68" i="1"/>
  <c r="A89" i="1" s="1"/>
  <c r="C69" i="29"/>
  <c r="A69" i="1"/>
  <c r="A90" i="1"/>
  <c r="C70" i="29"/>
  <c r="A70" i="1" s="1"/>
  <c r="A91" i="1" s="1"/>
  <c r="C71" i="29"/>
  <c r="A71" i="1" s="1"/>
  <c r="A92" i="1" s="1"/>
  <c r="C72" i="29"/>
  <c r="A72" i="1"/>
  <c r="A93" i="1" s="1"/>
  <c r="C73" i="29"/>
  <c r="A73" i="1" s="1"/>
  <c r="A94" i="1" s="1"/>
  <c r="C74" i="29"/>
  <c r="A74" i="1" s="1"/>
  <c r="A95" i="1" s="1"/>
  <c r="C75" i="29"/>
  <c r="A75" i="1"/>
  <c r="A96" i="1"/>
  <c r="C76" i="29"/>
  <c r="A76" i="1" s="1"/>
  <c r="A97" i="1" s="1"/>
  <c r="C4" i="29"/>
  <c r="A2" i="1"/>
  <c r="C3" i="29"/>
  <c r="C2" i="29"/>
  <c r="B5" i="11"/>
  <c r="B10" i="11"/>
  <c r="B2" i="11"/>
  <c r="J2" i="28"/>
  <c r="N2" i="28"/>
  <c r="S2" i="28"/>
  <c r="B8" i="11"/>
  <c r="B4" i="11"/>
  <c r="B11" i="11"/>
  <c r="B7" i="11"/>
  <c r="B3" i="11"/>
  <c r="B9" i="11"/>
  <c r="AY10" i="2"/>
  <c r="AI18" i="21"/>
  <c r="AS18" i="21"/>
  <c r="BC18" i="21"/>
  <c r="BM18" i="21"/>
  <c r="BW18" i="21"/>
  <c r="CG18" i="21"/>
  <c r="CQ18" i="21"/>
  <c r="AD75" i="2"/>
  <c r="AC85" i="2"/>
  <c r="AB85" i="2"/>
  <c r="AA85" i="2"/>
  <c r="Z85" i="2"/>
  <c r="Y85" i="2"/>
  <c r="X85" i="2"/>
  <c r="W85" i="2"/>
  <c r="V85" i="2"/>
  <c r="U85" i="2"/>
  <c r="T85" i="2"/>
  <c r="S85" i="2"/>
  <c r="R85" i="2"/>
  <c r="AC84" i="2"/>
  <c r="AB84" i="2"/>
  <c r="AA84" i="2"/>
  <c r="Z84" i="2"/>
  <c r="Y84" i="2"/>
  <c r="X84" i="2"/>
  <c r="W84" i="2"/>
  <c r="V84" i="2"/>
  <c r="U84" i="2"/>
  <c r="T84" i="2"/>
  <c r="S84" i="2"/>
  <c r="R84" i="2"/>
  <c r="AC83" i="2"/>
  <c r="AB83" i="2"/>
  <c r="AA83" i="2"/>
  <c r="Z83" i="2"/>
  <c r="Y83" i="2"/>
  <c r="X83" i="2"/>
  <c r="W83" i="2"/>
  <c r="V83" i="2"/>
  <c r="U83" i="2"/>
  <c r="T83" i="2"/>
  <c r="S83" i="2"/>
  <c r="R83" i="2"/>
  <c r="AC82" i="2"/>
  <c r="AB82" i="2"/>
  <c r="AA82" i="2"/>
  <c r="Z82" i="2"/>
  <c r="Y82" i="2"/>
  <c r="X82" i="2"/>
  <c r="W82" i="2"/>
  <c r="V82" i="2"/>
  <c r="U82" i="2"/>
  <c r="T82" i="2"/>
  <c r="S82" i="2"/>
  <c r="R82" i="2"/>
  <c r="AC81" i="2"/>
  <c r="AB81" i="2"/>
  <c r="AA81" i="2"/>
  <c r="Z81" i="2"/>
  <c r="Y81" i="2"/>
  <c r="X81" i="2"/>
  <c r="W81" i="2"/>
  <c r="V81" i="2"/>
  <c r="U81" i="2"/>
  <c r="T81" i="2"/>
  <c r="S81" i="2"/>
  <c r="R81" i="2"/>
  <c r="AC80" i="2"/>
  <c r="AB80" i="2"/>
  <c r="AA80" i="2"/>
  <c r="Z80" i="2"/>
  <c r="Y80" i="2"/>
  <c r="X80" i="2"/>
  <c r="W80" i="2"/>
  <c r="V80" i="2"/>
  <c r="U80" i="2"/>
  <c r="T80" i="2"/>
  <c r="S80" i="2"/>
  <c r="R80" i="2"/>
  <c r="AC79" i="2"/>
  <c r="AB79" i="2"/>
  <c r="AA79" i="2"/>
  <c r="Z79" i="2"/>
  <c r="Y79" i="2"/>
  <c r="X79" i="2"/>
  <c r="W79" i="2"/>
  <c r="V79" i="2"/>
  <c r="U79" i="2"/>
  <c r="T79" i="2"/>
  <c r="S79" i="2"/>
  <c r="R79" i="2"/>
  <c r="AC78" i="2"/>
  <c r="AB78" i="2"/>
  <c r="AA78" i="2"/>
  <c r="Z78" i="2"/>
  <c r="Y78" i="2"/>
  <c r="X78" i="2"/>
  <c r="W78" i="2"/>
  <c r="V78" i="2"/>
  <c r="U78" i="2"/>
  <c r="T78" i="2"/>
  <c r="S78" i="2"/>
  <c r="R78" i="2"/>
  <c r="AC77" i="2"/>
  <c r="AB77" i="2"/>
  <c r="AA77" i="2"/>
  <c r="Z77" i="2"/>
  <c r="Y77" i="2"/>
  <c r="X77" i="2"/>
  <c r="W77" i="2"/>
  <c r="V77" i="2"/>
  <c r="U77" i="2"/>
  <c r="T77" i="2"/>
  <c r="S77" i="2"/>
  <c r="R77" i="2"/>
  <c r="AC76" i="2"/>
  <c r="AB76" i="2"/>
  <c r="AA76" i="2"/>
  <c r="Z76" i="2"/>
  <c r="Y76" i="2"/>
  <c r="X76" i="2"/>
  <c r="W76" i="2"/>
  <c r="V76" i="2"/>
  <c r="U76" i="2"/>
  <c r="T76" i="2"/>
  <c r="S76" i="2"/>
  <c r="R76" i="2"/>
  <c r="AZ12" i="2"/>
  <c r="A65" i="20"/>
  <c r="AZ11" i="2"/>
  <c r="A64" i="20"/>
  <c r="AZ10" i="2"/>
  <c r="A63" i="20" s="1"/>
  <c r="AZ9" i="2"/>
  <c r="A62" i="20"/>
  <c r="I74" i="20" s="1"/>
  <c r="AZ8" i="2"/>
  <c r="A61" i="20" s="1"/>
  <c r="AZ7" i="2"/>
  <c r="A60" i="20" s="1"/>
  <c r="AZ6" i="2"/>
  <c r="A59" i="20" s="1"/>
  <c r="AZ5" i="2"/>
  <c r="A58" i="20" s="1"/>
  <c r="AZ4" i="2"/>
  <c r="A57" i="20" s="1"/>
  <c r="AZ3" i="2"/>
  <c r="G1" i="25"/>
  <c r="E12" i="1"/>
  <c r="AP98" i="2"/>
  <c r="EU3" i="5"/>
  <c r="EU16" i="5" s="1"/>
  <c r="A12" i="23"/>
  <c r="L25" i="23" s="1"/>
  <c r="A13" i="23"/>
  <c r="L26" i="23" s="1"/>
  <c r="M29" i="23"/>
  <c r="L29" i="23"/>
  <c r="K13" i="23"/>
  <c r="N26" i="23" s="1"/>
  <c r="J13" i="23"/>
  <c r="I13" i="23"/>
  <c r="H13" i="23"/>
  <c r="M26" i="23" s="1"/>
  <c r="G13" i="23"/>
  <c r="F13" i="23"/>
  <c r="E13" i="23"/>
  <c r="D13" i="23"/>
  <c r="C13" i="23"/>
  <c r="B13" i="23"/>
  <c r="K12" i="23"/>
  <c r="N25" i="23" s="1"/>
  <c r="J12" i="23"/>
  <c r="I12" i="23"/>
  <c r="H12" i="23"/>
  <c r="M25" i="23" s="1"/>
  <c r="G12" i="23"/>
  <c r="F12" i="23"/>
  <c r="E12" i="23"/>
  <c r="D12" i="23"/>
  <c r="C12" i="23"/>
  <c r="B12" i="23"/>
  <c r="K11" i="23"/>
  <c r="N24" i="23" s="1"/>
  <c r="J11" i="23"/>
  <c r="I11" i="23"/>
  <c r="H11" i="23"/>
  <c r="M24" i="23" s="1"/>
  <c r="G11" i="23"/>
  <c r="F11" i="23"/>
  <c r="E11" i="23"/>
  <c r="D11" i="23"/>
  <c r="C11" i="23"/>
  <c r="B11" i="23"/>
  <c r="K10" i="23"/>
  <c r="N23" i="23" s="1"/>
  <c r="J10" i="23"/>
  <c r="I10" i="23"/>
  <c r="H10" i="23"/>
  <c r="M23" i="23" s="1"/>
  <c r="G10" i="23"/>
  <c r="F10" i="23"/>
  <c r="E10" i="23"/>
  <c r="D10" i="23"/>
  <c r="C10" i="23"/>
  <c r="B10" i="23"/>
  <c r="K9" i="23"/>
  <c r="N22" i="23" s="1"/>
  <c r="J9" i="23"/>
  <c r="I9" i="23"/>
  <c r="H9" i="23"/>
  <c r="M22" i="23" s="1"/>
  <c r="G9" i="23"/>
  <c r="F9" i="23"/>
  <c r="E9" i="23"/>
  <c r="D9" i="23"/>
  <c r="C9" i="23"/>
  <c r="B9" i="23"/>
  <c r="K8" i="23"/>
  <c r="N21" i="23" s="1"/>
  <c r="J8" i="23"/>
  <c r="I8" i="23"/>
  <c r="H8" i="23"/>
  <c r="M21" i="23" s="1"/>
  <c r="G8" i="23"/>
  <c r="F8" i="23"/>
  <c r="E8" i="23"/>
  <c r="D8" i="23"/>
  <c r="C8" i="23"/>
  <c r="B8" i="23"/>
  <c r="K7" i="23"/>
  <c r="N20" i="23" s="1"/>
  <c r="J7" i="23"/>
  <c r="I7" i="23"/>
  <c r="H7" i="23"/>
  <c r="M20" i="23" s="1"/>
  <c r="G7" i="23"/>
  <c r="F7" i="23"/>
  <c r="E7" i="23"/>
  <c r="D7" i="23"/>
  <c r="C7" i="23"/>
  <c r="B7" i="23"/>
  <c r="K6" i="23"/>
  <c r="N19" i="23" s="1"/>
  <c r="J6" i="23"/>
  <c r="I6" i="23"/>
  <c r="H6" i="23"/>
  <c r="M19" i="23" s="1"/>
  <c r="G6" i="23"/>
  <c r="F6" i="23"/>
  <c r="E6" i="23"/>
  <c r="D6" i="23"/>
  <c r="C6" i="23"/>
  <c r="B6" i="23"/>
  <c r="K5" i="23"/>
  <c r="N18" i="23" s="1"/>
  <c r="J5" i="23"/>
  <c r="I5" i="23"/>
  <c r="H5" i="23"/>
  <c r="M18" i="23" s="1"/>
  <c r="G5" i="23"/>
  <c r="F5" i="23"/>
  <c r="E5" i="23"/>
  <c r="D5" i="23"/>
  <c r="C5" i="23"/>
  <c r="B5" i="23"/>
  <c r="K4" i="23"/>
  <c r="N17" i="23" s="1"/>
  <c r="J4" i="23"/>
  <c r="I4" i="23"/>
  <c r="H4" i="23"/>
  <c r="M17" i="23" s="1"/>
  <c r="G4" i="23"/>
  <c r="F4" i="23"/>
  <c r="E4" i="23"/>
  <c r="D4" i="23"/>
  <c r="C4" i="23"/>
  <c r="B4" i="23"/>
  <c r="A252" i="22"/>
  <c r="A251" i="22"/>
  <c r="A250" i="22"/>
  <c r="A249" i="22"/>
  <c r="A248" i="22"/>
  <c r="Y2" i="21"/>
  <c r="C61" i="21"/>
  <c r="D61" i="21"/>
  <c r="E61" i="21"/>
  <c r="F61" i="21"/>
  <c r="G61" i="21"/>
  <c r="H61" i="21"/>
  <c r="I61" i="21"/>
  <c r="J61" i="21"/>
  <c r="K61" i="21"/>
  <c r="L61" i="21"/>
  <c r="M61" i="21"/>
  <c r="B61" i="21"/>
  <c r="A71" i="21"/>
  <c r="K50" i="21"/>
  <c r="M50" i="21"/>
  <c r="O50" i="21"/>
  <c r="Q50" i="21"/>
  <c r="S50" i="21"/>
  <c r="U50" i="21"/>
  <c r="W50" i="21"/>
  <c r="Y50" i="21"/>
  <c r="AA50" i="21"/>
  <c r="J50" i="21"/>
  <c r="L50" i="21"/>
  <c r="N50" i="21"/>
  <c r="P50" i="21"/>
  <c r="R50" i="21"/>
  <c r="T50" i="21"/>
  <c r="V50" i="21"/>
  <c r="X50" i="21"/>
  <c r="Z50" i="21"/>
  <c r="A28" i="21"/>
  <c r="A40" i="21" s="1"/>
  <c r="A53" i="21" s="1"/>
  <c r="A25" i="21"/>
  <c r="A37" i="21" s="1"/>
  <c r="A50" i="21" s="1"/>
  <c r="A20" i="21"/>
  <c r="A32" i="21" s="1"/>
  <c r="A45" i="21" s="1"/>
  <c r="A11" i="18"/>
  <c r="G11" i="18" s="1"/>
  <c r="A10" i="18"/>
  <c r="G10" i="18" s="1"/>
  <c r="A9" i="18"/>
  <c r="G9" i="18" s="1"/>
  <c r="A8" i="18"/>
  <c r="G8" i="18" s="1"/>
  <c r="A7" i="18"/>
  <c r="G7" i="18" s="1"/>
  <c r="A6" i="18"/>
  <c r="G6" i="18" s="1"/>
  <c r="A5" i="18"/>
  <c r="G5" i="18" s="1"/>
  <c r="A4" i="18"/>
  <c r="G4" i="18" s="1"/>
  <c r="A3" i="18"/>
  <c r="G3" i="18" s="1"/>
  <c r="A2" i="18"/>
  <c r="G2" i="18" s="1"/>
  <c r="BA24" i="2"/>
  <c r="BA25" i="2"/>
  <c r="BA28" i="2"/>
  <c r="BA29" i="2"/>
  <c r="BA32" i="2"/>
  <c r="BA33" i="2"/>
  <c r="BA17" i="2"/>
  <c r="AZ19" i="2"/>
  <c r="AZ17" i="2" s="1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S2" i="10"/>
  <c r="C84" i="1"/>
  <c r="C81" i="1" s="1"/>
  <c r="B81" i="1" s="1"/>
  <c r="AL11" i="2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S2" i="9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AG2" i="6"/>
  <c r="AF2" i="6"/>
  <c r="AE2" i="6"/>
  <c r="AD2" i="6"/>
  <c r="AC2" i="6"/>
  <c r="AC150" i="6"/>
  <c r="AB2" i="6"/>
  <c r="AA2" i="6"/>
  <c r="Z2" i="6"/>
  <c r="Y2" i="6"/>
  <c r="Y167" i="6"/>
  <c r="X2" i="6"/>
  <c r="W2" i="6"/>
  <c r="V2" i="6"/>
  <c r="V175" i="6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U1" i="9"/>
  <c r="U111" i="9" s="1"/>
  <c r="V177" i="6"/>
  <c r="V173" i="6"/>
  <c r="V176" i="6"/>
  <c r="V171" i="6"/>
  <c r="V170" i="6"/>
  <c r="V169" i="6"/>
  <c r="V167" i="6"/>
  <c r="V166" i="6"/>
  <c r="V163" i="6"/>
  <c r="V162" i="6"/>
  <c r="V161" i="6"/>
  <c r="V159" i="6"/>
  <c r="V158" i="6"/>
  <c r="V155" i="6"/>
  <c r="V154" i="6"/>
  <c r="V153" i="6"/>
  <c r="V151" i="6"/>
  <c r="V150" i="6"/>
  <c r="V147" i="6"/>
  <c r="V146" i="6"/>
  <c r="V145" i="6"/>
  <c r="V143" i="6"/>
  <c r="V142" i="6"/>
  <c r="V139" i="6"/>
  <c r="V138" i="6"/>
  <c r="V137" i="6"/>
  <c r="V135" i="6"/>
  <c r="V134" i="6"/>
  <c r="V131" i="6"/>
  <c r="V130" i="6"/>
  <c r="V129" i="6"/>
  <c r="V127" i="6"/>
  <c r="V126" i="6"/>
  <c r="V123" i="6"/>
  <c r="V122" i="6"/>
  <c r="V121" i="6"/>
  <c r="V119" i="6"/>
  <c r="V118" i="6"/>
  <c r="V115" i="6"/>
  <c r="V114" i="6"/>
  <c r="V113" i="6"/>
  <c r="V111" i="6"/>
  <c r="V110" i="6"/>
  <c r="V107" i="6"/>
  <c r="V106" i="6"/>
  <c r="V105" i="6"/>
  <c r="V103" i="6"/>
  <c r="V102" i="6"/>
  <c r="V99" i="6"/>
  <c r="V98" i="6"/>
  <c r="V97" i="6"/>
  <c r="V95" i="6"/>
  <c r="V94" i="6"/>
  <c r="V93" i="6"/>
  <c r="V91" i="6"/>
  <c r="V90" i="6"/>
  <c r="V89" i="6"/>
  <c r="V87" i="6"/>
  <c r="V86" i="6"/>
  <c r="V85" i="6"/>
  <c r="V83" i="6"/>
  <c r="V82" i="6"/>
  <c r="V81" i="6"/>
  <c r="V79" i="6"/>
  <c r="V78" i="6"/>
  <c r="V77" i="6"/>
  <c r="V75" i="6"/>
  <c r="V74" i="6"/>
  <c r="V73" i="6"/>
  <c r="V71" i="6"/>
  <c r="V70" i="6"/>
  <c r="V69" i="6"/>
  <c r="V67" i="6"/>
  <c r="V66" i="6"/>
  <c r="V65" i="6"/>
  <c r="V63" i="6"/>
  <c r="V62" i="6"/>
  <c r="V61" i="6"/>
  <c r="V59" i="6"/>
  <c r="V58" i="6"/>
  <c r="V57" i="6"/>
  <c r="V55" i="6"/>
  <c r="V54" i="6"/>
  <c r="V53" i="6"/>
  <c r="V51" i="6"/>
  <c r="V50" i="6"/>
  <c r="V49" i="6"/>
  <c r="V47" i="6"/>
  <c r="V46" i="6"/>
  <c r="V45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X177" i="6"/>
  <c r="X175" i="6"/>
  <c r="X173" i="6"/>
  <c r="X176" i="6"/>
  <c r="X174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Z177" i="6"/>
  <c r="Z175" i="6"/>
  <c r="Z173" i="6"/>
  <c r="Z176" i="6"/>
  <c r="Z174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AB177" i="6"/>
  <c r="AB175" i="6"/>
  <c r="AB173" i="6"/>
  <c r="AB176" i="6"/>
  <c r="AB174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D177" i="6"/>
  <c r="AD175" i="6"/>
  <c r="AD173" i="6"/>
  <c r="AD176" i="6"/>
  <c r="AD174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F177" i="6"/>
  <c r="AF175" i="6"/>
  <c r="AF173" i="6"/>
  <c r="AF176" i="6"/>
  <c r="AF174" i="6"/>
  <c r="AF172" i="6"/>
  <c r="AF171" i="6"/>
  <c r="AF170" i="6"/>
  <c r="AF169" i="6"/>
  <c r="AF168" i="6"/>
  <c r="AF167" i="6"/>
  <c r="AF166" i="6"/>
  <c r="AF165" i="6"/>
  <c r="AF164" i="6"/>
  <c r="AF163" i="6"/>
  <c r="AF162" i="6"/>
  <c r="AF161" i="6"/>
  <c r="AF160" i="6"/>
  <c r="AF159" i="6"/>
  <c r="AF158" i="6"/>
  <c r="AF157" i="6"/>
  <c r="AF156" i="6"/>
  <c r="AF155" i="6"/>
  <c r="AF154" i="6"/>
  <c r="AF153" i="6"/>
  <c r="AF152" i="6"/>
  <c r="AF151" i="6"/>
  <c r="AF150" i="6"/>
  <c r="AF149" i="6"/>
  <c r="AF148" i="6"/>
  <c r="AF147" i="6"/>
  <c r="AF146" i="6"/>
  <c r="AF145" i="6"/>
  <c r="AF144" i="6"/>
  <c r="AF143" i="6"/>
  <c r="AF142" i="6"/>
  <c r="AF141" i="6"/>
  <c r="AF140" i="6"/>
  <c r="AF139" i="6"/>
  <c r="AF138" i="6"/>
  <c r="AF137" i="6"/>
  <c r="AF136" i="6"/>
  <c r="AF135" i="6"/>
  <c r="AF134" i="6"/>
  <c r="AF133" i="6"/>
  <c r="AF132" i="6"/>
  <c r="AF131" i="6"/>
  <c r="AF130" i="6"/>
  <c r="AF129" i="6"/>
  <c r="AF128" i="6"/>
  <c r="AF127" i="6"/>
  <c r="AF126" i="6"/>
  <c r="AF125" i="6"/>
  <c r="AF124" i="6"/>
  <c r="AF123" i="6"/>
  <c r="AF122" i="6"/>
  <c r="AF121" i="6"/>
  <c r="AF120" i="6"/>
  <c r="AF119" i="6"/>
  <c r="AF118" i="6"/>
  <c r="AF117" i="6"/>
  <c r="AF116" i="6"/>
  <c r="AF115" i="6"/>
  <c r="AF114" i="6"/>
  <c r="AF113" i="6"/>
  <c r="AF112" i="6"/>
  <c r="AF111" i="6"/>
  <c r="AF110" i="6"/>
  <c r="AF109" i="6"/>
  <c r="AF108" i="6"/>
  <c r="AF107" i="6"/>
  <c r="AF106" i="6"/>
  <c r="AF105" i="6"/>
  <c r="AF104" i="6"/>
  <c r="AF103" i="6"/>
  <c r="AF102" i="6"/>
  <c r="AF101" i="6"/>
  <c r="AF100" i="6"/>
  <c r="AF99" i="6"/>
  <c r="AF98" i="6"/>
  <c r="AF97" i="6"/>
  <c r="AF96" i="6"/>
  <c r="AF95" i="6"/>
  <c r="AF94" i="6"/>
  <c r="AF93" i="6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F57" i="6"/>
  <c r="AF56" i="6"/>
  <c r="AF55" i="6"/>
  <c r="AF54" i="6"/>
  <c r="AF53" i="6"/>
  <c r="AF52" i="6"/>
  <c r="AF51" i="6"/>
  <c r="AF50" i="6"/>
  <c r="AF49" i="6"/>
  <c r="AF48" i="6"/>
  <c r="AF47" i="6"/>
  <c r="AF46" i="6"/>
  <c r="AF45" i="6"/>
  <c r="AF44" i="6"/>
  <c r="AF43" i="6"/>
  <c r="AF42" i="6"/>
  <c r="AF41" i="6"/>
  <c r="AF40" i="6"/>
  <c r="AF39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W176" i="6"/>
  <c r="W174" i="6"/>
  <c r="W172" i="6"/>
  <c r="W171" i="6"/>
  <c r="W170" i="6"/>
  <c r="W166" i="6"/>
  <c r="W164" i="6"/>
  <c r="W163" i="6"/>
  <c r="W162" i="6"/>
  <c r="W158" i="6"/>
  <c r="W157" i="6"/>
  <c r="W156" i="6"/>
  <c r="W155" i="6"/>
  <c r="W150" i="6"/>
  <c r="W149" i="6"/>
  <c r="W148" i="6"/>
  <c r="W147" i="6"/>
  <c r="W146" i="6"/>
  <c r="W142" i="6"/>
  <c r="W141" i="6"/>
  <c r="W139" i="6"/>
  <c r="W138" i="6"/>
  <c r="W175" i="6"/>
  <c r="W173" i="6"/>
  <c r="W135" i="6"/>
  <c r="W134" i="6"/>
  <c r="W133" i="6"/>
  <c r="W128" i="6"/>
  <c r="W127" i="6"/>
  <c r="W126" i="6"/>
  <c r="W125" i="6"/>
  <c r="W121" i="6"/>
  <c r="W120" i="6"/>
  <c r="W119" i="6"/>
  <c r="W117" i="6"/>
  <c r="W113" i="6"/>
  <c r="W112" i="6"/>
  <c r="W111" i="6"/>
  <c r="W110" i="6"/>
  <c r="W109" i="6"/>
  <c r="W105" i="6"/>
  <c r="W103" i="6"/>
  <c r="W102" i="6"/>
  <c r="W101" i="6"/>
  <c r="W97" i="6"/>
  <c r="W96" i="6"/>
  <c r="W95" i="6"/>
  <c r="W94" i="6"/>
  <c r="W89" i="6"/>
  <c r="W88" i="6"/>
  <c r="W87" i="6"/>
  <c r="W86" i="6"/>
  <c r="W85" i="6"/>
  <c r="W81" i="6"/>
  <c r="W80" i="6"/>
  <c r="W78" i="6"/>
  <c r="W77" i="6"/>
  <c r="W73" i="6"/>
  <c r="W72" i="6"/>
  <c r="W71" i="6"/>
  <c r="W70" i="6"/>
  <c r="W69" i="6"/>
  <c r="W64" i="6"/>
  <c r="W63" i="6"/>
  <c r="W62" i="6"/>
  <c r="W61" i="6"/>
  <c r="W57" i="6"/>
  <c r="W56" i="6"/>
  <c r="W55" i="6"/>
  <c r="W53" i="6"/>
  <c r="W49" i="6"/>
  <c r="W48" i="6"/>
  <c r="W47" i="6"/>
  <c r="W46" i="6"/>
  <c r="W45" i="6"/>
  <c r="W41" i="6"/>
  <c r="W39" i="6"/>
  <c r="W38" i="6"/>
  <c r="W37" i="6"/>
  <c r="W33" i="6"/>
  <c r="W32" i="6"/>
  <c r="W31" i="6"/>
  <c r="W30" i="6"/>
  <c r="W25" i="6"/>
  <c r="W24" i="6"/>
  <c r="W23" i="6"/>
  <c r="W22" i="6"/>
  <c r="W21" i="6"/>
  <c r="W17" i="6"/>
  <c r="W16" i="6"/>
  <c r="W14" i="6"/>
  <c r="W13" i="6"/>
  <c r="W9" i="6"/>
  <c r="W8" i="6"/>
  <c r="Y176" i="6"/>
  <c r="Y174" i="6"/>
  <c r="Y165" i="6"/>
  <c r="Y164" i="6"/>
  <c r="Y160" i="6"/>
  <c r="Y159" i="6"/>
  <c r="Y151" i="6"/>
  <c r="Y150" i="6"/>
  <c r="Y149" i="6"/>
  <c r="Y148" i="6"/>
  <c r="Y140" i="6"/>
  <c r="Y136" i="6"/>
  <c r="Y177" i="6"/>
  <c r="Y175" i="6"/>
  <c r="Y129" i="6"/>
  <c r="Y128" i="6"/>
  <c r="Y127" i="6"/>
  <c r="Y123" i="6"/>
  <c r="Y115" i="6"/>
  <c r="Y114" i="6"/>
  <c r="Y113" i="6"/>
  <c r="Y112" i="6"/>
  <c r="Y104" i="6"/>
  <c r="Y103" i="6"/>
  <c r="Y99" i="6"/>
  <c r="Y98" i="6"/>
  <c r="Y90" i="6"/>
  <c r="Y89" i="6"/>
  <c r="Y88" i="6"/>
  <c r="Y87" i="6"/>
  <c r="Y79" i="6"/>
  <c r="Y75" i="6"/>
  <c r="Y74" i="6"/>
  <c r="Y73" i="6"/>
  <c r="Y65" i="6"/>
  <c r="Y64" i="6"/>
  <c r="Y63" i="6"/>
  <c r="Y59" i="6"/>
  <c r="Y51" i="6"/>
  <c r="Y50" i="6"/>
  <c r="Y49" i="6"/>
  <c r="Y48" i="6"/>
  <c r="Y40" i="6"/>
  <c r="Y39" i="6"/>
  <c r="Y35" i="6"/>
  <c r="Y34" i="6"/>
  <c r="Y26" i="6"/>
  <c r="Y25" i="6"/>
  <c r="Y24" i="6"/>
  <c r="Y23" i="6"/>
  <c r="Y15" i="6"/>
  <c r="Y11" i="6"/>
  <c r="Y10" i="6"/>
  <c r="Y9" i="6"/>
  <c r="AA176" i="6"/>
  <c r="AA174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77" i="6"/>
  <c r="AA175" i="6"/>
  <c r="AA173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C168" i="6"/>
  <c r="AC160" i="6"/>
  <c r="AC152" i="6"/>
  <c r="AC144" i="6"/>
  <c r="AC136" i="6"/>
  <c r="AC131" i="6"/>
  <c r="AC123" i="6"/>
  <c r="AC115" i="6"/>
  <c r="AC107" i="6"/>
  <c r="AC99" i="6"/>
  <c r="AC91" i="6"/>
  <c r="AC83" i="6"/>
  <c r="AC75" i="6"/>
  <c r="AC67" i="6"/>
  <c r="AC59" i="6"/>
  <c r="AC51" i="6"/>
  <c r="AC43" i="6"/>
  <c r="AC35" i="6"/>
  <c r="AC27" i="6"/>
  <c r="AC19" i="6"/>
  <c r="AC11" i="6"/>
  <c r="AE176" i="6"/>
  <c r="AE174" i="6"/>
  <c r="AE172" i="6"/>
  <c r="AE171" i="6"/>
  <c r="AE168" i="6"/>
  <c r="AE167" i="6"/>
  <c r="AE166" i="6"/>
  <c r="AE165" i="6"/>
  <c r="AE164" i="6"/>
  <c r="AE163" i="6"/>
  <c r="AE160" i="6"/>
  <c r="AE159" i="6"/>
  <c r="AE158" i="6"/>
  <c r="AE157" i="6"/>
  <c r="AE156" i="6"/>
  <c r="AE155" i="6"/>
  <c r="AE152" i="6"/>
  <c r="AE151" i="6"/>
  <c r="AE150" i="6"/>
  <c r="AE149" i="6"/>
  <c r="AE148" i="6"/>
  <c r="AE147" i="6"/>
  <c r="AE144" i="6"/>
  <c r="AE143" i="6"/>
  <c r="AE142" i="6"/>
  <c r="AE141" i="6"/>
  <c r="AE140" i="6"/>
  <c r="AE139" i="6"/>
  <c r="AE136" i="6"/>
  <c r="AE135" i="6"/>
  <c r="AE177" i="6"/>
  <c r="AE175" i="6"/>
  <c r="AE173" i="6"/>
  <c r="AE134" i="6"/>
  <c r="AE131" i="6"/>
  <c r="AE130" i="6"/>
  <c r="AE129" i="6"/>
  <c r="AE128" i="6"/>
  <c r="AE127" i="6"/>
  <c r="AE126" i="6"/>
  <c r="AE123" i="6"/>
  <c r="AE122" i="6"/>
  <c r="AE121" i="6"/>
  <c r="AE120" i="6"/>
  <c r="AE119" i="6"/>
  <c r="AE118" i="6"/>
  <c r="AE115" i="6"/>
  <c r="AE114" i="6"/>
  <c r="AE113" i="6"/>
  <c r="AE112" i="6"/>
  <c r="AE111" i="6"/>
  <c r="AE110" i="6"/>
  <c r="AE107" i="6"/>
  <c r="AE106" i="6"/>
  <c r="AE105" i="6"/>
  <c r="AE104" i="6"/>
  <c r="AE103" i="6"/>
  <c r="AE102" i="6"/>
  <c r="AE99" i="6"/>
  <c r="AE98" i="6"/>
  <c r="AE97" i="6"/>
  <c r="AE96" i="6"/>
  <c r="AE95" i="6"/>
  <c r="AE94" i="6"/>
  <c r="AE91" i="6"/>
  <c r="AE90" i="6"/>
  <c r="AE89" i="6"/>
  <c r="AE88" i="6"/>
  <c r="AE87" i="6"/>
  <c r="AE86" i="6"/>
  <c r="AE83" i="6"/>
  <c r="AE82" i="6"/>
  <c r="AE81" i="6"/>
  <c r="AE80" i="6"/>
  <c r="AE79" i="6"/>
  <c r="AE78" i="6"/>
  <c r="AE75" i="6"/>
  <c r="AE74" i="6"/>
  <c r="AE73" i="6"/>
  <c r="AE72" i="6"/>
  <c r="AE71" i="6"/>
  <c r="AE70" i="6"/>
  <c r="AE67" i="6"/>
  <c r="AE66" i="6"/>
  <c r="AE65" i="6"/>
  <c r="AE64" i="6"/>
  <c r="AE63" i="6"/>
  <c r="AE62" i="6"/>
  <c r="AE59" i="6"/>
  <c r="AE58" i="6"/>
  <c r="AE57" i="6"/>
  <c r="AE56" i="6"/>
  <c r="AE55" i="6"/>
  <c r="AE54" i="6"/>
  <c r="AE51" i="6"/>
  <c r="AE50" i="6"/>
  <c r="AE49" i="6"/>
  <c r="AE48" i="6"/>
  <c r="AE47" i="6"/>
  <c r="AE46" i="6"/>
  <c r="AE43" i="6"/>
  <c r="AE42" i="6"/>
  <c r="AE41" i="6"/>
  <c r="AE40" i="6"/>
  <c r="AE39" i="6"/>
  <c r="AE38" i="6"/>
  <c r="AE35" i="6"/>
  <c r="AE34" i="6"/>
  <c r="AE33" i="6"/>
  <c r="AE32" i="6"/>
  <c r="AE31" i="6"/>
  <c r="AE30" i="6"/>
  <c r="AE27" i="6"/>
  <c r="AE26" i="6"/>
  <c r="AE25" i="6"/>
  <c r="AE24" i="6"/>
  <c r="AE23" i="6"/>
  <c r="AE22" i="6"/>
  <c r="AE19" i="6"/>
  <c r="AE18" i="6"/>
  <c r="AE17" i="6"/>
  <c r="AE16" i="6"/>
  <c r="AE15" i="6"/>
  <c r="AE14" i="6"/>
  <c r="AE11" i="6"/>
  <c r="AE10" i="6"/>
  <c r="AE9" i="6"/>
  <c r="AE8" i="6"/>
  <c r="AE7" i="6"/>
  <c r="AG168" i="6"/>
  <c r="AG167" i="6"/>
  <c r="AG166" i="6"/>
  <c r="AG163" i="6"/>
  <c r="AG158" i="6"/>
  <c r="AG155" i="6"/>
  <c r="AG154" i="6"/>
  <c r="AG153" i="6"/>
  <c r="AG146" i="6"/>
  <c r="AG145" i="6"/>
  <c r="AG144" i="6"/>
  <c r="AG143" i="6"/>
  <c r="AG136" i="6"/>
  <c r="AG135" i="6"/>
  <c r="AG177" i="6"/>
  <c r="AG134" i="6"/>
  <c r="AG129" i="6"/>
  <c r="AG126" i="6"/>
  <c r="AG125" i="6"/>
  <c r="AG124" i="6"/>
  <c r="AG117" i="6"/>
  <c r="AG116" i="6"/>
  <c r="AG115" i="6"/>
  <c r="AG114" i="6"/>
  <c r="AG107" i="6"/>
  <c r="AG106" i="6"/>
  <c r="AG105" i="6"/>
  <c r="AG102" i="6"/>
  <c r="AG97" i="6"/>
  <c r="AG94" i="6"/>
  <c r="AG93" i="6"/>
  <c r="AG92" i="6"/>
  <c r="AG85" i="6"/>
  <c r="AG84" i="6"/>
  <c r="AG83" i="6"/>
  <c r="AG82" i="6"/>
  <c r="AG75" i="6"/>
  <c r="AG74" i="6"/>
  <c r="AG73" i="6"/>
  <c r="AG70" i="6"/>
  <c r="AG65" i="6"/>
  <c r="AG62" i="6"/>
  <c r="AG61" i="6"/>
  <c r="AG60" i="6"/>
  <c r="AG53" i="6"/>
  <c r="AG52" i="6"/>
  <c r="AG51" i="6"/>
  <c r="AG50" i="6"/>
  <c r="AG43" i="6"/>
  <c r="AG42" i="6"/>
  <c r="AG41" i="6"/>
  <c r="AG38" i="6"/>
  <c r="AG33" i="6"/>
  <c r="AG30" i="6"/>
  <c r="AG29" i="6"/>
  <c r="AG28" i="6"/>
  <c r="AG21" i="6"/>
  <c r="AG20" i="6"/>
  <c r="AG19" i="6"/>
  <c r="AG18" i="6"/>
  <c r="AG11" i="6"/>
  <c r="AG10" i="6"/>
  <c r="AG9" i="6"/>
  <c r="W3" i="6"/>
  <c r="AA3" i="6"/>
  <c r="AE3" i="6"/>
  <c r="AG3" i="6"/>
  <c r="W4" i="6"/>
  <c r="Y4" i="6"/>
  <c r="AA4" i="6"/>
  <c r="AE4" i="6"/>
  <c r="W5" i="6"/>
  <c r="Y5" i="6"/>
  <c r="AA5" i="6"/>
  <c r="AE5" i="6"/>
  <c r="W6" i="6"/>
  <c r="AA6" i="6"/>
  <c r="AE6" i="6"/>
  <c r="AG6" i="6"/>
  <c r="W7" i="6"/>
  <c r="EW3" i="5"/>
  <c r="FB3" i="5"/>
  <c r="FB95" i="5" s="1"/>
  <c r="FA3" i="5"/>
  <c r="FA87" i="5" s="1"/>
  <c r="EY3" i="5"/>
  <c r="EY164" i="5" s="1"/>
  <c r="EV3" i="5"/>
  <c r="EV48" i="5" s="1"/>
  <c r="AI2" i="6"/>
  <c r="AI142" i="6" s="1"/>
  <c r="V44" i="6"/>
  <c r="V52" i="6"/>
  <c r="V60" i="6"/>
  <c r="V68" i="6"/>
  <c r="V76" i="6"/>
  <c r="V84" i="6"/>
  <c r="V92" i="6"/>
  <c r="V100" i="6"/>
  <c r="V108" i="6"/>
  <c r="V116" i="6"/>
  <c r="V124" i="6"/>
  <c r="V132" i="6"/>
  <c r="V140" i="6"/>
  <c r="V148" i="6"/>
  <c r="V156" i="6"/>
  <c r="V164" i="6"/>
  <c r="V172" i="6"/>
  <c r="V101" i="6"/>
  <c r="V109" i="6"/>
  <c r="V117" i="6"/>
  <c r="V125" i="6"/>
  <c r="V133" i="6"/>
  <c r="V141" i="6"/>
  <c r="V149" i="6"/>
  <c r="V157" i="6"/>
  <c r="V165" i="6"/>
  <c r="V174" i="6"/>
  <c r="V48" i="6"/>
  <c r="V56" i="6"/>
  <c r="V64" i="6"/>
  <c r="V72" i="6"/>
  <c r="V80" i="6"/>
  <c r="V88" i="6"/>
  <c r="V96" i="6"/>
  <c r="V104" i="6"/>
  <c r="V112" i="6"/>
  <c r="V120" i="6"/>
  <c r="V128" i="6"/>
  <c r="V136" i="6"/>
  <c r="V144" i="6"/>
  <c r="V152" i="6"/>
  <c r="V160" i="6"/>
  <c r="V168" i="6"/>
  <c r="AC28" i="6"/>
  <c r="AC52" i="6"/>
  <c r="AC76" i="6"/>
  <c r="AC92" i="6"/>
  <c r="AC132" i="6"/>
  <c r="AC145" i="6"/>
  <c r="AC169" i="6"/>
  <c r="AC6" i="6"/>
  <c r="AC23" i="6"/>
  <c r="AC5" i="6"/>
  <c r="AC17" i="6"/>
  <c r="AC25" i="6"/>
  <c r="AC41" i="6"/>
  <c r="AC57" i="6"/>
  <c r="AC73" i="6"/>
  <c r="AC81" i="6"/>
  <c r="AC97" i="6"/>
  <c r="AC105" i="6"/>
  <c r="AC121" i="6"/>
  <c r="AC129" i="6"/>
  <c r="AC177" i="6"/>
  <c r="AC142" i="6"/>
  <c r="AC158" i="6"/>
  <c r="AC166" i="6"/>
  <c r="AC176" i="6"/>
  <c r="AC10" i="6"/>
  <c r="AC18" i="6"/>
  <c r="AC26" i="6"/>
  <c r="AC34" i="6"/>
  <c r="AC42" i="6"/>
  <c r="AC50" i="6"/>
  <c r="AC58" i="6"/>
  <c r="AC66" i="6"/>
  <c r="AC74" i="6"/>
  <c r="AC82" i="6"/>
  <c r="AC90" i="6"/>
  <c r="AC98" i="6"/>
  <c r="AC106" i="6"/>
  <c r="AC114" i="6"/>
  <c r="AC122" i="6"/>
  <c r="AC130" i="6"/>
  <c r="AC135" i="6"/>
  <c r="AC143" i="6"/>
  <c r="AC151" i="6"/>
  <c r="AC159" i="6"/>
  <c r="AC167" i="6"/>
  <c r="AC100" i="6"/>
  <c r="AC13" i="6"/>
  <c r="AC21" i="6"/>
  <c r="AC29" i="6"/>
  <c r="AC37" i="6"/>
  <c r="AC45" i="6"/>
  <c r="AC53" i="6"/>
  <c r="AC61" i="6"/>
  <c r="AC69" i="6"/>
  <c r="AC77" i="6"/>
  <c r="AC85" i="6"/>
  <c r="AC93" i="6"/>
  <c r="AC101" i="6"/>
  <c r="AC109" i="6"/>
  <c r="AC117" i="6"/>
  <c r="AC125" i="6"/>
  <c r="AC133" i="6"/>
  <c r="AC138" i="6"/>
  <c r="AC146" i="6"/>
  <c r="AC154" i="6"/>
  <c r="AC162" i="6"/>
  <c r="AC170" i="6"/>
  <c r="AC44" i="6"/>
  <c r="AC116" i="6"/>
  <c r="AC4" i="6"/>
  <c r="AC14" i="6"/>
  <c r="AC22" i="6"/>
  <c r="AC30" i="6"/>
  <c r="AC38" i="6"/>
  <c r="AC46" i="6"/>
  <c r="AC54" i="6"/>
  <c r="AC62" i="6"/>
  <c r="AC70" i="6"/>
  <c r="AC78" i="6"/>
  <c r="AC86" i="6"/>
  <c r="AC94" i="6"/>
  <c r="AC102" i="6"/>
  <c r="AC110" i="6"/>
  <c r="AC118" i="6"/>
  <c r="AC126" i="6"/>
  <c r="AC134" i="6"/>
  <c r="AC139" i="6"/>
  <c r="AC147" i="6"/>
  <c r="AC155" i="6"/>
  <c r="AC163" i="6"/>
  <c r="AC171" i="6"/>
  <c r="AC20" i="6"/>
  <c r="AC68" i="6"/>
  <c r="AC124" i="6"/>
  <c r="AC153" i="6"/>
  <c r="AC39" i="6"/>
  <c r="AC63" i="6"/>
  <c r="AC95" i="6"/>
  <c r="AC119" i="6"/>
  <c r="AC148" i="6"/>
  <c r="AC164" i="6"/>
  <c r="AC3" i="6"/>
  <c r="AC12" i="6"/>
  <c r="AC36" i="6"/>
  <c r="AC60" i="6"/>
  <c r="AC84" i="6"/>
  <c r="AC108" i="6"/>
  <c r="AC137" i="6"/>
  <c r="AC161" i="6"/>
  <c r="AC7" i="6"/>
  <c r="AC31" i="6"/>
  <c r="AC55" i="6"/>
  <c r="AC79" i="6"/>
  <c r="AC103" i="6"/>
  <c r="AC127" i="6"/>
  <c r="AC140" i="6"/>
  <c r="AC156" i="6"/>
  <c r="AC172" i="6"/>
  <c r="AC8" i="6"/>
  <c r="AC16" i="6"/>
  <c r="AC24" i="6"/>
  <c r="AC32" i="6"/>
  <c r="AC40" i="6"/>
  <c r="AC48" i="6"/>
  <c r="AC56" i="6"/>
  <c r="AC64" i="6"/>
  <c r="AC72" i="6"/>
  <c r="AC80" i="6"/>
  <c r="AC88" i="6"/>
  <c r="AC96" i="6"/>
  <c r="AC104" i="6"/>
  <c r="AC112" i="6"/>
  <c r="AC120" i="6"/>
  <c r="AC128" i="6"/>
  <c r="AC175" i="6"/>
  <c r="AC141" i="6"/>
  <c r="AC149" i="6"/>
  <c r="AC157" i="6"/>
  <c r="AC165" i="6"/>
  <c r="AC174" i="6"/>
  <c r="AC15" i="6"/>
  <c r="AC47" i="6"/>
  <c r="AC71" i="6"/>
  <c r="AC87" i="6"/>
  <c r="AC111" i="6"/>
  <c r="AC173" i="6"/>
  <c r="AC9" i="6"/>
  <c r="AC33" i="6"/>
  <c r="AC49" i="6"/>
  <c r="AC65" i="6"/>
  <c r="AC89" i="6"/>
  <c r="AC113" i="6"/>
  <c r="T2" i="10"/>
  <c r="W169" i="6"/>
  <c r="W161" i="6"/>
  <c r="W153" i="6"/>
  <c r="W145" i="6"/>
  <c r="W137" i="6"/>
  <c r="W132" i="6"/>
  <c r="W124" i="6"/>
  <c r="W116" i="6"/>
  <c r="W108" i="6"/>
  <c r="W100" i="6"/>
  <c r="W92" i="6"/>
  <c r="W84" i="6"/>
  <c r="W76" i="6"/>
  <c r="W68" i="6"/>
  <c r="W60" i="6"/>
  <c r="W52" i="6"/>
  <c r="W44" i="6"/>
  <c r="W36" i="6"/>
  <c r="W28" i="6"/>
  <c r="W20" i="6"/>
  <c r="W12" i="6"/>
  <c r="W168" i="6"/>
  <c r="W160" i="6"/>
  <c r="W152" i="6"/>
  <c r="W144" i="6"/>
  <c r="W136" i="6"/>
  <c r="W131" i="6"/>
  <c r="W123" i="6"/>
  <c r="W115" i="6"/>
  <c r="W107" i="6"/>
  <c r="W99" i="6"/>
  <c r="W91" i="6"/>
  <c r="W83" i="6"/>
  <c r="W75" i="6"/>
  <c r="W67" i="6"/>
  <c r="W59" i="6"/>
  <c r="W51" i="6"/>
  <c r="W43" i="6"/>
  <c r="W35" i="6"/>
  <c r="W27" i="6"/>
  <c r="W19" i="6"/>
  <c r="W11" i="6"/>
  <c r="W167" i="6"/>
  <c r="W159" i="6"/>
  <c r="W151" i="6"/>
  <c r="W143" i="6"/>
  <c r="W177" i="6"/>
  <c r="W130" i="6"/>
  <c r="W122" i="6"/>
  <c r="W114" i="6"/>
  <c r="W106" i="6"/>
  <c r="W98" i="6"/>
  <c r="W90" i="6"/>
  <c r="W82" i="6"/>
  <c r="W74" i="6"/>
  <c r="W66" i="6"/>
  <c r="W58" i="6"/>
  <c r="W50" i="6"/>
  <c r="W42" i="6"/>
  <c r="W34" i="6"/>
  <c r="W26" i="6"/>
  <c r="W18" i="6"/>
  <c r="W10" i="6"/>
  <c r="AE170" i="6"/>
  <c r="AE162" i="6"/>
  <c r="AE154" i="6"/>
  <c r="AE146" i="6"/>
  <c r="AE138" i="6"/>
  <c r="AE133" i="6"/>
  <c r="AE125" i="6"/>
  <c r="AE117" i="6"/>
  <c r="AE109" i="6"/>
  <c r="AE101" i="6"/>
  <c r="AE93" i="6"/>
  <c r="AE85" i="6"/>
  <c r="AE77" i="6"/>
  <c r="AE69" i="6"/>
  <c r="AE61" i="6"/>
  <c r="AE53" i="6"/>
  <c r="AE45" i="6"/>
  <c r="AE37" i="6"/>
  <c r="AE29" i="6"/>
  <c r="AE21" i="6"/>
  <c r="AE13" i="6"/>
  <c r="AE169" i="6"/>
  <c r="AE161" i="6"/>
  <c r="AE153" i="6"/>
  <c r="AE145" i="6"/>
  <c r="AE137" i="6"/>
  <c r="AE132" i="6"/>
  <c r="AE124" i="6"/>
  <c r="AE116" i="6"/>
  <c r="AE108" i="6"/>
  <c r="AE100" i="6"/>
  <c r="AE92" i="6"/>
  <c r="AE84" i="6"/>
  <c r="AE76" i="6"/>
  <c r="AE68" i="6"/>
  <c r="AE60" i="6"/>
  <c r="AE52" i="6"/>
  <c r="AE44" i="6"/>
  <c r="AE36" i="6"/>
  <c r="AE28" i="6"/>
  <c r="AE20" i="6"/>
  <c r="AE12" i="6"/>
  <c r="AG174" i="6"/>
  <c r="AG165" i="6"/>
  <c r="AG157" i="6"/>
  <c r="AG149" i="6"/>
  <c r="AG141" i="6"/>
  <c r="AG175" i="6"/>
  <c r="AG128" i="6"/>
  <c r="AG120" i="6"/>
  <c r="AG112" i="6"/>
  <c r="AG104" i="6"/>
  <c r="AG96" i="6"/>
  <c r="AG88" i="6"/>
  <c r="AG80" i="6"/>
  <c r="AG72" i="6"/>
  <c r="AG64" i="6"/>
  <c r="AG56" i="6"/>
  <c r="AG48" i="6"/>
  <c r="AG40" i="6"/>
  <c r="AG32" i="6"/>
  <c r="AG24" i="6"/>
  <c r="AG16" i="6"/>
  <c r="AG8" i="6"/>
  <c r="AG172" i="6"/>
  <c r="AG164" i="6"/>
  <c r="AG156" i="6"/>
  <c r="AG148" i="6"/>
  <c r="AG140" i="6"/>
  <c r="AG173" i="6"/>
  <c r="AG127" i="6"/>
  <c r="AG119" i="6"/>
  <c r="AG111" i="6"/>
  <c r="AG103" i="6"/>
  <c r="AG95" i="6"/>
  <c r="AG87" i="6"/>
  <c r="AG79" i="6"/>
  <c r="AG71" i="6"/>
  <c r="AG63" i="6"/>
  <c r="AG55" i="6"/>
  <c r="AG47" i="6"/>
  <c r="AG39" i="6"/>
  <c r="AG31" i="6"/>
  <c r="AG23" i="6"/>
  <c r="AG15" i="6"/>
  <c r="AG7" i="6"/>
  <c r="AG12" i="6"/>
  <c r="AG22" i="6"/>
  <c r="AG34" i="6"/>
  <c r="AG44" i="6"/>
  <c r="AG54" i="6"/>
  <c r="AG66" i="6"/>
  <c r="AG76" i="6"/>
  <c r="AG86" i="6"/>
  <c r="AG98" i="6"/>
  <c r="AG108" i="6"/>
  <c r="AG118" i="6"/>
  <c r="AG130" i="6"/>
  <c r="AG137" i="6"/>
  <c r="AG147" i="6"/>
  <c r="AG159" i="6"/>
  <c r="AG169" i="6"/>
  <c r="Y16" i="6"/>
  <c r="Y27" i="6"/>
  <c r="Y41" i="6"/>
  <c r="Y55" i="6"/>
  <c r="Y66" i="6"/>
  <c r="Y80" i="6"/>
  <c r="Y91" i="6"/>
  <c r="Y105" i="6"/>
  <c r="Y119" i="6"/>
  <c r="Y130" i="6"/>
  <c r="Y141" i="6"/>
  <c r="Y152" i="6"/>
  <c r="Y166" i="6"/>
  <c r="Y6" i="6"/>
  <c r="AG4" i="6"/>
  <c r="AG13" i="6"/>
  <c r="AG25" i="6"/>
  <c r="AG35" i="6"/>
  <c r="AG45" i="6"/>
  <c r="AG57" i="6"/>
  <c r="AG67" i="6"/>
  <c r="AG77" i="6"/>
  <c r="AG89" i="6"/>
  <c r="AG99" i="6"/>
  <c r="AG109" i="6"/>
  <c r="AG121" i="6"/>
  <c r="AG131" i="6"/>
  <c r="AG138" i="6"/>
  <c r="AG150" i="6"/>
  <c r="AG160" i="6"/>
  <c r="AG170" i="6"/>
  <c r="Y17" i="6"/>
  <c r="Y31" i="6"/>
  <c r="Y42" i="6"/>
  <c r="Y56" i="6"/>
  <c r="Y67" i="6"/>
  <c r="Y81" i="6"/>
  <c r="Y95" i="6"/>
  <c r="Y106" i="6"/>
  <c r="Y120" i="6"/>
  <c r="Y131" i="6"/>
  <c r="Y142" i="6"/>
  <c r="Y156" i="6"/>
  <c r="Y171" i="6"/>
  <c r="Y163" i="6"/>
  <c r="Y155" i="6"/>
  <c r="Y147" i="6"/>
  <c r="Y139" i="6"/>
  <c r="Y134" i="6"/>
  <c r="Y126" i="6"/>
  <c r="Y118" i="6"/>
  <c r="Y110" i="6"/>
  <c r="Y102" i="6"/>
  <c r="Y94" i="6"/>
  <c r="Y86" i="6"/>
  <c r="Y78" i="6"/>
  <c r="Y70" i="6"/>
  <c r="Y62" i="6"/>
  <c r="Y54" i="6"/>
  <c r="Y46" i="6"/>
  <c r="Y38" i="6"/>
  <c r="Y30" i="6"/>
  <c r="Y22" i="6"/>
  <c r="Y14" i="6"/>
  <c r="Y170" i="6"/>
  <c r="Y162" i="6"/>
  <c r="Y154" i="6"/>
  <c r="Y146" i="6"/>
  <c r="Y138" i="6"/>
  <c r="Y133" i="6"/>
  <c r="Y125" i="6"/>
  <c r="Y117" i="6"/>
  <c r="Y109" i="6"/>
  <c r="Y101" i="6"/>
  <c r="Y93" i="6"/>
  <c r="Y85" i="6"/>
  <c r="Y77" i="6"/>
  <c r="Y69" i="6"/>
  <c r="Y61" i="6"/>
  <c r="Y53" i="6"/>
  <c r="Y45" i="6"/>
  <c r="Y37" i="6"/>
  <c r="Y29" i="6"/>
  <c r="Y21" i="6"/>
  <c r="Y13" i="6"/>
  <c r="Y169" i="6"/>
  <c r="Y161" i="6"/>
  <c r="Y153" i="6"/>
  <c r="Y145" i="6"/>
  <c r="Y137" i="6"/>
  <c r="Y132" i="6"/>
  <c r="Y124" i="6"/>
  <c r="Y116" i="6"/>
  <c r="Y108" i="6"/>
  <c r="Y100" i="6"/>
  <c r="Y92" i="6"/>
  <c r="Y84" i="6"/>
  <c r="Y76" i="6"/>
  <c r="Y68" i="6"/>
  <c r="Y60" i="6"/>
  <c r="Y52" i="6"/>
  <c r="Y44" i="6"/>
  <c r="Y36" i="6"/>
  <c r="Y28" i="6"/>
  <c r="Y20" i="6"/>
  <c r="Y12" i="6"/>
  <c r="AG14" i="6"/>
  <c r="AG26" i="6"/>
  <c r="AG36" i="6"/>
  <c r="AG46" i="6"/>
  <c r="AG58" i="6"/>
  <c r="AG68" i="6"/>
  <c r="AG78" i="6"/>
  <c r="AG90" i="6"/>
  <c r="AG100" i="6"/>
  <c r="AG110" i="6"/>
  <c r="AG122" i="6"/>
  <c r="AG132" i="6"/>
  <c r="AG139" i="6"/>
  <c r="AG151" i="6"/>
  <c r="AG161" i="6"/>
  <c r="AG171" i="6"/>
  <c r="Y18" i="6"/>
  <c r="Y32" i="6"/>
  <c r="Y43" i="6"/>
  <c r="Y57" i="6"/>
  <c r="Y71" i="6"/>
  <c r="Y82" i="6"/>
  <c r="Y96" i="6"/>
  <c r="Y107" i="6"/>
  <c r="Y121" i="6"/>
  <c r="Y135" i="6"/>
  <c r="Y143" i="6"/>
  <c r="Y157" i="6"/>
  <c r="Y168" i="6"/>
  <c r="W15" i="6"/>
  <c r="W29" i="6"/>
  <c r="W40" i="6"/>
  <c r="W54" i="6"/>
  <c r="W65" i="6"/>
  <c r="W79" i="6"/>
  <c r="W93" i="6"/>
  <c r="W104" i="6"/>
  <c r="W118" i="6"/>
  <c r="W129" i="6"/>
  <c r="W140" i="6"/>
  <c r="W154" i="6"/>
  <c r="W165" i="6"/>
  <c r="Y7" i="6"/>
  <c r="AG5" i="6"/>
  <c r="Y3" i="6"/>
  <c r="AG17" i="6"/>
  <c r="AG27" i="6"/>
  <c r="AG37" i="6"/>
  <c r="AG49" i="6"/>
  <c r="AG59" i="6"/>
  <c r="AG69" i="6"/>
  <c r="AG81" i="6"/>
  <c r="AG91" i="6"/>
  <c r="AG101" i="6"/>
  <c r="AG113" i="6"/>
  <c r="AG123" i="6"/>
  <c r="AG133" i="6"/>
  <c r="AG142" i="6"/>
  <c r="AG152" i="6"/>
  <c r="AG162" i="6"/>
  <c r="AG176" i="6"/>
  <c r="Y8" i="6"/>
  <c r="Y19" i="6"/>
  <c r="Y33" i="6"/>
  <c r="Y47" i="6"/>
  <c r="Y58" i="6"/>
  <c r="Y72" i="6"/>
  <c r="Y83" i="6"/>
  <c r="Y97" i="6"/>
  <c r="Y111" i="6"/>
  <c r="Y122" i="6"/>
  <c r="Y173" i="6"/>
  <c r="Y144" i="6"/>
  <c r="Y158" i="6"/>
  <c r="Y172" i="6"/>
  <c r="M2" i="28"/>
  <c r="I3" i="24"/>
  <c r="BE10" i="2"/>
  <c r="BD10" i="2"/>
  <c r="O2" i="28"/>
  <c r="G2" i="28"/>
  <c r="F2" i="28"/>
  <c r="B1" i="11" a="1"/>
  <c r="B1" i="11" s="1"/>
  <c r="C102" i="1" a="1"/>
  <c r="BE12" i="2"/>
  <c r="AE14" i="21"/>
  <c r="AY5" i="2"/>
  <c r="BD5" i="2" s="1"/>
  <c r="A66" i="1" a="1"/>
  <c r="A66" i="1" s="1"/>
  <c r="I3" i="23" a="1"/>
  <c r="I3" i="23" s="1"/>
  <c r="AE12" i="21"/>
  <c r="AY6" i="2"/>
  <c r="E2" i="28"/>
  <c r="BU98" i="2"/>
  <c r="H3" i="24"/>
  <c r="BV98" i="2"/>
  <c r="R3" i="23" a="1"/>
  <c r="R3" i="23" s="1"/>
  <c r="P2" i="28"/>
  <c r="A66" i="20"/>
  <c r="E4" i="20" a="1"/>
  <c r="E4" i="20" s="1"/>
  <c r="A4" i="20" a="1"/>
  <c r="A4" i="20" s="1"/>
  <c r="L3" i="23" a="1"/>
  <c r="L3" i="23" s="1"/>
  <c r="EZ3" i="5"/>
  <c r="EZ166" i="5" s="1"/>
  <c r="U1" i="8"/>
  <c r="U19" i="8" s="1"/>
  <c r="ES3" i="5"/>
  <c r="ES144" i="5" s="1"/>
  <c r="BA21" i="2"/>
  <c r="BA31" i="2"/>
  <c r="BA27" i="2"/>
  <c r="BA23" i="2"/>
  <c r="H11" i="18"/>
  <c r="B39" i="20" s="1"/>
  <c r="U1" i="7"/>
  <c r="U103" i="7" s="1"/>
  <c r="U1" i="10"/>
  <c r="U62" i="10" s="1"/>
  <c r="ET3" i="5"/>
  <c r="ET118" i="5" s="1"/>
  <c r="BA22" i="2"/>
  <c r="BA30" i="2"/>
  <c r="BA26" i="2"/>
  <c r="BR2" i="4"/>
  <c r="BR60" i="4" s="1"/>
  <c r="EX3" i="5"/>
  <c r="EX41" i="5" s="1"/>
  <c r="B1" i="28"/>
  <c r="I1" i="20"/>
  <c r="C6" i="20" s="1"/>
  <c r="I33" i="30"/>
  <c r="E33" i="30"/>
  <c r="I22" i="30"/>
  <c r="E22" i="30"/>
  <c r="H33" i="30"/>
  <c r="D33" i="30"/>
  <c r="H22" i="30"/>
  <c r="D22" i="30"/>
  <c r="B22" i="30"/>
  <c r="K33" i="30"/>
  <c r="G33" i="30"/>
  <c r="C33" i="30"/>
  <c r="K22" i="30"/>
  <c r="G22" i="30"/>
  <c r="C22" i="30"/>
  <c r="J33" i="30"/>
  <c r="F33" i="30"/>
  <c r="B33" i="30"/>
  <c r="J22" i="30"/>
  <c r="F22" i="30"/>
  <c r="K14" i="20"/>
  <c r="D11" i="30"/>
  <c r="H11" i="30"/>
  <c r="B11" i="30"/>
  <c r="G11" i="30"/>
  <c r="E11" i="30"/>
  <c r="I11" i="30"/>
  <c r="F11" i="30"/>
  <c r="J11" i="30"/>
  <c r="C11" i="30"/>
  <c r="K11" i="30"/>
  <c r="FA32" i="5"/>
  <c r="A53" i="1" a="1"/>
  <c r="G17" i="21" s="1"/>
  <c r="A26" i="1"/>
  <c r="K2" i="28"/>
  <c r="D2" i="28"/>
  <c r="AY4" i="2"/>
  <c r="BD4" i="2"/>
  <c r="AY11" i="2"/>
  <c r="BD11" i="2" s="1"/>
  <c r="AY3" i="2"/>
  <c r="BD3" i="2" s="1"/>
  <c r="AY7" i="2"/>
  <c r="BD7" i="2" s="1"/>
  <c r="AY9" i="2"/>
  <c r="BD9" i="2"/>
  <c r="AY8" i="2"/>
  <c r="L2" i="28"/>
  <c r="A67" i="20" a="1"/>
  <c r="A67" i="20" s="1"/>
  <c r="T2" i="28" a="1"/>
  <c r="T2" i="28" s="1"/>
  <c r="K18" i="21"/>
  <c r="Q2" i="28"/>
  <c r="FB92" i="5"/>
  <c r="EY138" i="5"/>
  <c r="EU165" i="5"/>
  <c r="FB80" i="5"/>
  <c r="EY63" i="5"/>
  <c r="FB68" i="5"/>
  <c r="FB124" i="5"/>
  <c r="EV101" i="5"/>
  <c r="U9" i="9"/>
  <c r="EV151" i="5"/>
  <c r="EV145" i="5"/>
  <c r="EV28" i="5"/>
  <c r="EU59" i="5"/>
  <c r="EU22" i="5"/>
  <c r="EV170" i="5"/>
  <c r="EV155" i="5"/>
  <c r="U64" i="9"/>
  <c r="U10" i="9"/>
  <c r="EV173" i="5"/>
  <c r="EV39" i="5"/>
  <c r="EU12" i="5"/>
  <c r="EU17" i="5"/>
  <c r="EV97" i="5"/>
  <c r="U94" i="9"/>
  <c r="U91" i="9"/>
  <c r="EV96" i="5"/>
  <c r="EV14" i="5"/>
  <c r="U50" i="9"/>
  <c r="U145" i="9"/>
  <c r="EV71" i="5"/>
  <c r="EU32" i="5"/>
  <c r="EU171" i="5"/>
  <c r="FB93" i="5"/>
  <c r="FB148" i="5"/>
  <c r="FB164" i="5"/>
  <c r="FB151" i="5"/>
  <c r="FB119" i="5"/>
  <c r="EY19" i="5"/>
  <c r="AI4" i="6"/>
  <c r="EY72" i="5"/>
  <c r="EY54" i="5"/>
  <c r="AI110" i="6"/>
  <c r="EW41" i="5"/>
  <c r="EW40" i="5"/>
  <c r="EW130" i="5"/>
  <c r="EW102" i="5"/>
  <c r="EW131" i="5"/>
  <c r="EW68" i="5"/>
  <c r="EW122" i="5"/>
  <c r="EW73" i="5"/>
  <c r="EW50" i="5"/>
  <c r="EW116" i="5"/>
  <c r="EW43" i="5"/>
  <c r="EW76" i="5"/>
  <c r="EW55" i="5"/>
  <c r="EW63" i="5"/>
  <c r="EW21" i="5"/>
  <c r="EW167" i="5"/>
  <c r="EW62" i="5"/>
  <c r="U116" i="9"/>
  <c r="U29" i="9"/>
  <c r="U85" i="9"/>
  <c r="U174" i="9"/>
  <c r="U120" i="9"/>
  <c r="U124" i="9"/>
  <c r="U162" i="9"/>
  <c r="U81" i="9"/>
  <c r="U139" i="9"/>
  <c r="U133" i="9"/>
  <c r="U40" i="9"/>
  <c r="U114" i="9"/>
  <c r="U90" i="9"/>
  <c r="U61" i="9"/>
  <c r="U117" i="9"/>
  <c r="U142" i="9"/>
  <c r="U88" i="9"/>
  <c r="U156" i="9"/>
  <c r="U19" i="9"/>
  <c r="U49" i="9"/>
  <c r="U15" i="9"/>
  <c r="U89" i="9"/>
  <c r="U79" i="9"/>
  <c r="U45" i="9"/>
  <c r="U105" i="9"/>
  <c r="U125" i="9"/>
  <c r="EV124" i="5"/>
  <c r="EV142" i="5"/>
  <c r="EV139" i="5"/>
  <c r="EV118" i="5"/>
  <c r="EV91" i="5"/>
  <c r="EW112" i="5"/>
  <c r="EV100" i="5"/>
  <c r="EV36" i="5"/>
  <c r="EV98" i="5"/>
  <c r="EV158" i="5"/>
  <c r="EV131" i="5"/>
  <c r="EV86" i="5"/>
  <c r="EV75" i="5"/>
  <c r="EV123" i="5"/>
  <c r="EV78" i="5"/>
  <c r="EV127" i="5"/>
  <c r="EV66" i="5"/>
  <c r="EV68" i="5"/>
  <c r="EV34" i="5"/>
  <c r="EV25" i="5"/>
  <c r="EV63" i="5"/>
  <c r="EV119" i="5"/>
  <c r="EV157" i="5"/>
  <c r="EV106" i="5"/>
  <c r="EV50" i="5"/>
  <c r="EV8" i="5"/>
  <c r="EV11" i="5"/>
  <c r="EV61" i="5"/>
  <c r="EV103" i="5"/>
  <c r="EV166" i="5"/>
  <c r="EV60" i="5"/>
  <c r="EV102" i="5"/>
  <c r="EV164" i="5"/>
  <c r="EV87" i="5"/>
  <c r="EV134" i="5"/>
  <c r="EV20" i="5"/>
  <c r="EV163" i="5"/>
  <c r="EV107" i="5"/>
  <c r="EV62" i="5"/>
  <c r="EV136" i="5"/>
  <c r="EV43" i="5"/>
  <c r="EV129" i="5"/>
  <c r="EV93" i="5"/>
  <c r="EV135" i="5"/>
  <c r="EV82" i="5"/>
  <c r="EV140" i="5"/>
  <c r="EV30" i="5"/>
  <c r="EV45" i="5"/>
  <c r="EV13" i="5"/>
  <c r="EV169" i="5"/>
  <c r="EV81" i="5"/>
  <c r="EV113" i="5"/>
  <c r="EV162" i="5"/>
  <c r="EV165" i="5"/>
  <c r="EV80" i="5"/>
  <c r="EV112" i="5"/>
  <c r="EV160" i="5"/>
  <c r="EV40" i="5"/>
  <c r="EV175" i="5"/>
  <c r="EV111" i="5"/>
  <c r="EV41" i="5"/>
  <c r="EV58" i="5"/>
  <c r="EV10" i="5"/>
  <c r="EV51" i="5"/>
  <c r="EV161" i="5"/>
  <c r="EV138" i="5"/>
  <c r="EV76" i="5"/>
  <c r="EV168" i="5"/>
  <c r="EV33" i="5"/>
  <c r="EV177" i="5"/>
  <c r="EV115" i="5"/>
  <c r="EV92" i="5"/>
  <c r="EV22" i="5"/>
  <c r="EV37" i="5"/>
  <c r="EV4" i="5"/>
  <c r="EV57" i="5"/>
  <c r="EV89" i="5"/>
  <c r="EV121" i="5"/>
  <c r="EV178" i="5"/>
  <c r="EV56" i="5"/>
  <c r="EV88" i="5"/>
  <c r="EV120" i="5"/>
  <c r="EV122" i="5"/>
  <c r="EV15" i="5"/>
  <c r="EV144" i="5"/>
  <c r="EV72" i="5"/>
  <c r="EV73" i="5"/>
  <c r="EV38" i="5"/>
  <c r="U131" i="9"/>
  <c r="U51" i="9"/>
  <c r="U138" i="9"/>
  <c r="U149" i="9"/>
  <c r="EV114" i="5"/>
  <c r="EV125" i="5"/>
  <c r="EV23" i="5"/>
  <c r="EV90" i="5"/>
  <c r="EV77" i="5"/>
  <c r="EW72" i="5"/>
  <c r="FA109" i="5"/>
  <c r="FA125" i="5"/>
  <c r="FA112" i="5"/>
  <c r="FA31" i="5"/>
  <c r="FA105" i="5"/>
  <c r="FA175" i="5"/>
  <c r="FA178" i="5"/>
  <c r="FA88" i="5"/>
  <c r="FA59" i="5"/>
  <c r="FA27" i="5"/>
  <c r="FA91" i="5"/>
  <c r="FA176" i="5"/>
  <c r="FA36" i="5"/>
  <c r="FA117" i="5"/>
  <c r="EV146" i="5"/>
  <c r="EV21" i="5"/>
  <c r="EV128" i="5"/>
  <c r="EV64" i="5"/>
  <c r="EV130" i="5"/>
  <c r="EV65" i="5"/>
  <c r="EV29" i="5"/>
  <c r="EV46" i="5"/>
  <c r="EV104" i="5"/>
  <c r="EV133" i="5"/>
  <c r="EV105" i="5"/>
  <c r="EV137" i="5"/>
  <c r="EV6" i="5"/>
  <c r="U165" i="9"/>
  <c r="U8" i="9"/>
  <c r="U113" i="9"/>
  <c r="U118" i="9"/>
  <c r="U31" i="9"/>
  <c r="U6" i="9"/>
  <c r="EV70" i="5"/>
  <c r="EV83" i="5"/>
  <c r="EV18" i="5"/>
  <c r="EV159" i="5"/>
  <c r="EV9" i="5"/>
  <c r="U176" i="9"/>
  <c r="EV167" i="5"/>
  <c r="EU101" i="5"/>
  <c r="EU141" i="5"/>
  <c r="EU14" i="5"/>
  <c r="EU45" i="5"/>
  <c r="EU96" i="5"/>
  <c r="EU135" i="5"/>
  <c r="EU94" i="5"/>
  <c r="EU86" i="5"/>
  <c r="EU9" i="5"/>
  <c r="EU30" i="5"/>
  <c r="EU37" i="5"/>
  <c r="EZ164" i="5"/>
  <c r="EZ54" i="5"/>
  <c r="EU158" i="5"/>
  <c r="EU152" i="5"/>
  <c r="U81" i="7"/>
  <c r="U27" i="7"/>
  <c r="U126" i="8"/>
  <c r="EU31" i="5"/>
  <c r="EU119" i="5"/>
  <c r="EU6" i="5"/>
  <c r="EV47" i="5"/>
  <c r="EV110" i="5"/>
  <c r="EV147" i="5"/>
  <c r="EV24" i="5"/>
  <c r="EV148" i="5"/>
  <c r="EV7" i="5"/>
  <c r="EV174" i="5"/>
  <c r="EV172" i="5"/>
  <c r="EV42" i="5"/>
  <c r="EV95" i="5"/>
  <c r="EV94" i="5"/>
  <c r="EV32" i="5"/>
  <c r="EV153" i="5"/>
  <c r="EV154" i="5"/>
  <c r="EV126" i="5"/>
  <c r="EV171" i="5"/>
  <c r="EV79" i="5"/>
  <c r="EV59" i="5"/>
  <c r="EV53" i="5"/>
  <c r="EV149" i="5"/>
  <c r="EV35" i="5"/>
  <c r="EV117" i="5"/>
  <c r="EV116" i="5"/>
  <c r="EV12" i="5"/>
  <c r="EV67" i="5"/>
  <c r="EV52" i="5"/>
  <c r="EV156" i="5"/>
  <c r="FA45" i="5"/>
  <c r="FA48" i="5"/>
  <c r="FA139" i="5"/>
  <c r="FA83" i="5"/>
  <c r="FA47" i="5"/>
  <c r="FA110" i="5"/>
  <c r="FA37" i="5"/>
  <c r="FA144" i="5"/>
  <c r="FA11" i="5"/>
  <c r="FA28" i="5"/>
  <c r="FA86" i="5"/>
  <c r="FA103" i="5"/>
  <c r="FA129" i="5"/>
  <c r="FA115" i="5"/>
  <c r="FA26" i="5"/>
  <c r="FA5" i="5"/>
  <c r="FA66" i="5"/>
  <c r="FA71" i="5"/>
  <c r="FA23" i="5"/>
  <c r="FA20" i="5"/>
  <c r="FA116" i="5"/>
  <c r="FA53" i="5"/>
  <c r="FA90" i="5"/>
  <c r="FA170" i="5"/>
  <c r="FA106" i="5"/>
  <c r="FA166" i="5"/>
  <c r="EW100" i="5"/>
  <c r="EW143" i="5"/>
  <c r="EW28" i="5"/>
  <c r="EW6" i="5"/>
  <c r="EW37" i="5"/>
  <c r="EW145" i="5"/>
  <c r="EW14" i="5"/>
  <c r="EW58" i="5"/>
  <c r="EW20" i="5"/>
  <c r="EW31" i="5"/>
  <c r="EW133" i="5"/>
  <c r="EW38" i="5"/>
  <c r="EW93" i="5"/>
  <c r="EW81" i="5"/>
  <c r="EW54" i="5"/>
  <c r="EW147" i="5"/>
  <c r="EW123" i="5"/>
  <c r="EW119" i="5"/>
  <c r="EW108" i="5"/>
  <c r="EW17" i="5"/>
  <c r="EW18" i="5"/>
  <c r="EW95" i="5"/>
  <c r="EW175" i="5"/>
  <c r="EW160" i="5"/>
  <c r="EW138" i="5"/>
  <c r="EW34" i="5"/>
  <c r="U112" i="9"/>
  <c r="U65" i="9"/>
  <c r="BR129" i="4"/>
  <c r="AI112" i="6"/>
  <c r="FB169" i="5"/>
  <c r="AI31" i="6"/>
  <c r="EV176" i="5"/>
  <c r="EV55" i="5"/>
  <c r="EV109" i="5"/>
  <c r="EV26" i="5"/>
  <c r="EV5" i="5"/>
  <c r="EV27" i="5"/>
  <c r="EV44" i="5"/>
  <c r="EV150" i="5"/>
  <c r="EV49" i="5"/>
  <c r="EV54" i="5"/>
  <c r="EV17" i="5"/>
  <c r="EV84" i="5"/>
  <c r="EV31" i="5"/>
  <c r="EV99" i="5"/>
  <c r="EV74" i="5"/>
  <c r="EV16" i="5"/>
  <c r="EV69" i="5"/>
  <c r="EV141" i="5"/>
  <c r="EV152" i="5"/>
  <c r="EV19" i="5"/>
  <c r="EV85" i="5"/>
  <c r="EV143" i="5"/>
  <c r="EV108" i="5"/>
  <c r="FA131" i="5"/>
  <c r="FA43" i="5"/>
  <c r="FA89" i="5"/>
  <c r="FA140" i="5"/>
  <c r="FA122" i="5"/>
  <c r="FA107" i="5"/>
  <c r="FA92" i="5"/>
  <c r="FA111" i="5"/>
  <c r="FA67" i="5"/>
  <c r="FA51" i="5"/>
  <c r="FA52" i="5"/>
  <c r="FA63" i="5"/>
  <c r="FA30" i="5"/>
  <c r="FA99" i="5"/>
  <c r="FA29" i="5"/>
  <c r="FA93" i="5"/>
  <c r="FA128" i="5"/>
  <c r="FA136" i="5"/>
  <c r="FA121" i="5"/>
  <c r="FA167" i="5"/>
  <c r="FA16" i="5"/>
  <c r="FA78" i="5"/>
  <c r="FA149" i="5"/>
  <c r="FA72" i="5"/>
  <c r="FA150" i="5"/>
  <c r="FA155" i="5"/>
  <c r="FA113" i="5"/>
  <c r="FA84" i="5"/>
  <c r="FA95" i="5"/>
  <c r="FA38" i="5"/>
  <c r="FA75" i="5"/>
  <c r="FA41" i="5"/>
  <c r="FA77" i="5"/>
  <c r="FA65" i="5"/>
  <c r="FA15" i="5"/>
  <c r="FA42" i="5"/>
  <c r="FA102" i="5"/>
  <c r="FA141" i="5"/>
  <c r="FA21" i="5"/>
  <c r="FA69" i="5"/>
  <c r="FA162" i="5"/>
  <c r="FA39" i="5"/>
  <c r="FA147" i="5"/>
  <c r="FA114" i="5"/>
  <c r="FA97" i="5"/>
  <c r="FA61" i="5"/>
  <c r="FA35" i="5"/>
  <c r="FA24" i="5"/>
  <c r="FA126" i="5"/>
  <c r="FA9" i="5"/>
  <c r="FA154" i="5"/>
  <c r="FA12" i="5"/>
  <c r="FA57" i="5"/>
  <c r="FA79" i="5"/>
  <c r="FA14" i="5"/>
  <c r="FA169" i="5"/>
  <c r="FA85" i="5"/>
  <c r="FA76" i="5"/>
  <c r="FA132" i="5"/>
  <c r="FA143" i="5"/>
  <c r="FA18" i="5"/>
  <c r="FA145" i="5"/>
  <c r="FA104" i="5"/>
  <c r="FA171" i="5"/>
  <c r="FA70" i="5"/>
  <c r="FA157" i="5"/>
  <c r="FA80" i="5"/>
  <c r="FA146" i="5"/>
  <c r="FA119" i="5"/>
  <c r="FA50" i="5"/>
  <c r="FA96" i="5"/>
  <c r="FA44" i="5"/>
  <c r="FA82" i="5"/>
  <c r="FA159" i="5"/>
  <c r="FA6" i="5"/>
  <c r="FA177" i="5"/>
  <c r="FA174" i="5"/>
  <c r="FA163" i="5"/>
  <c r="FA135" i="5"/>
  <c r="FA118" i="5"/>
  <c r="FA13" i="5"/>
  <c r="FA160" i="5"/>
  <c r="FA19" i="5"/>
  <c r="FA40" i="5"/>
  <c r="FA165" i="5"/>
  <c r="FA142" i="5"/>
  <c r="FA4" i="5"/>
  <c r="FA10" i="5"/>
  <c r="FA173" i="5"/>
  <c r="FA101" i="5"/>
  <c r="FA108" i="5"/>
  <c r="FA60" i="5"/>
  <c r="FA124" i="5"/>
  <c r="EW45" i="5"/>
  <c r="EW155" i="5"/>
  <c r="EW65" i="5"/>
  <c r="EW125" i="5"/>
  <c r="EW74" i="5"/>
  <c r="EW170" i="5"/>
  <c r="EW83" i="5"/>
  <c r="EW12" i="5"/>
  <c r="EW137" i="5"/>
  <c r="EW47" i="5"/>
  <c r="EW52" i="5"/>
  <c r="EW11" i="5"/>
  <c r="EW19" i="5"/>
  <c r="EW149" i="5"/>
  <c r="EW101" i="5"/>
  <c r="EW5" i="5"/>
  <c r="EW158" i="5"/>
  <c r="EW59" i="5"/>
  <c r="EW24" i="5"/>
  <c r="EW97" i="5"/>
  <c r="EW156" i="5"/>
  <c r="EW26" i="5"/>
  <c r="EW79" i="5"/>
  <c r="EW105" i="5"/>
  <c r="EW135" i="5"/>
  <c r="EW90" i="5"/>
  <c r="EW178" i="5"/>
  <c r="EW99" i="5"/>
  <c r="EW4" i="5"/>
  <c r="EW126" i="5"/>
  <c r="EW132" i="5"/>
  <c r="EW49" i="5"/>
  <c r="EW98" i="5"/>
  <c r="EW88" i="5"/>
  <c r="EW32" i="5"/>
  <c r="EW66" i="5"/>
  <c r="EW159" i="5"/>
  <c r="EW106" i="5"/>
  <c r="EW154" i="5"/>
  <c r="EW96" i="5"/>
  <c r="EW169" i="5"/>
  <c r="EW148" i="5"/>
  <c r="EW173" i="5"/>
  <c r="EW30" i="5"/>
  <c r="EW163" i="5"/>
  <c r="EW114" i="5"/>
  <c r="EW174" i="5"/>
  <c r="EW104" i="5"/>
  <c r="EW177" i="5"/>
  <c r="EW39" i="5"/>
  <c r="EW121" i="5"/>
  <c r="EW86" i="5"/>
  <c r="EW77" i="5"/>
  <c r="EW33" i="5"/>
  <c r="EW67" i="5"/>
  <c r="EW36" i="5"/>
  <c r="EW153" i="5"/>
  <c r="EW164" i="5"/>
  <c r="EW141" i="5"/>
  <c r="EW60" i="5"/>
  <c r="EW118" i="5"/>
  <c r="EW107" i="5"/>
  <c r="EW85" i="5"/>
  <c r="EW87" i="5"/>
  <c r="EW9" i="5"/>
  <c r="EW115" i="5"/>
  <c r="EW44" i="5"/>
  <c r="EW103" i="5"/>
  <c r="EW152" i="5"/>
  <c r="EW69" i="5"/>
  <c r="EW142" i="5"/>
  <c r="EW8" i="5"/>
  <c r="EW7" i="5"/>
  <c r="EW70" i="5"/>
  <c r="EW109" i="5"/>
  <c r="EW162" i="5"/>
  <c r="EW80" i="5"/>
  <c r="EW113" i="5"/>
  <c r="EW84" i="5"/>
  <c r="EW111" i="5"/>
  <c r="EW127" i="5"/>
  <c r="EW144" i="5"/>
  <c r="BR94" i="4"/>
  <c r="BR69" i="4"/>
  <c r="FA152" i="5"/>
  <c r="EW71" i="5"/>
  <c r="FA81" i="5"/>
  <c r="FA130" i="5"/>
  <c r="FA123" i="5"/>
  <c r="EW51" i="5"/>
  <c r="EW146" i="5"/>
  <c r="EW151" i="5"/>
  <c r="EW168" i="5"/>
  <c r="EW110" i="5"/>
  <c r="EW91" i="5"/>
  <c r="EW82" i="5"/>
  <c r="EW124" i="5"/>
  <c r="EW15" i="5"/>
  <c r="EW64" i="5"/>
  <c r="EW25" i="5"/>
  <c r="FA49" i="5"/>
  <c r="FA64" i="5"/>
  <c r="FA62" i="5"/>
  <c r="FA73" i="5"/>
  <c r="FA168" i="5"/>
  <c r="FA120" i="5"/>
  <c r="FA34" i="5"/>
  <c r="FA68" i="5"/>
  <c r="FA7" i="5"/>
  <c r="FA153" i="5"/>
  <c r="FA74" i="5"/>
  <c r="FA148" i="5"/>
  <c r="EW166" i="5"/>
  <c r="FA25" i="5"/>
  <c r="FA137" i="5"/>
  <c r="EZ154" i="5"/>
  <c r="EZ58" i="5"/>
  <c r="EU7" i="5"/>
  <c r="EU145" i="5"/>
  <c r="EU18" i="5"/>
  <c r="EU85" i="5"/>
  <c r="EU127" i="5"/>
  <c r="EU50" i="5"/>
  <c r="EU156" i="5"/>
  <c r="EU39" i="5"/>
  <c r="EU139" i="5"/>
  <c r="EU58" i="5"/>
  <c r="EU38" i="5"/>
  <c r="EU64" i="5"/>
  <c r="EU176" i="5"/>
  <c r="EU70" i="5"/>
  <c r="EU62" i="5"/>
  <c r="EU130" i="5"/>
  <c r="EU60" i="5"/>
  <c r="EU54" i="5"/>
  <c r="EU55" i="5"/>
  <c r="EU106" i="5"/>
  <c r="EU46" i="5"/>
  <c r="EU93" i="5"/>
  <c r="EU136" i="5"/>
  <c r="EU5" i="5"/>
  <c r="EU91" i="5"/>
  <c r="EU81" i="5"/>
  <c r="EU142" i="5"/>
  <c r="EW89" i="5"/>
  <c r="EW94" i="5"/>
  <c r="EW128" i="5"/>
  <c r="EW61" i="5"/>
  <c r="FA55" i="5"/>
  <c r="FA17" i="5"/>
  <c r="FA8" i="5"/>
  <c r="FA164" i="5"/>
  <c r="FA98" i="5"/>
  <c r="FA33" i="5"/>
  <c r="FA46" i="5"/>
  <c r="FA156" i="5"/>
  <c r="FA134" i="5"/>
  <c r="FA133" i="5"/>
  <c r="FA127" i="5"/>
  <c r="EW27" i="5"/>
  <c r="FA100" i="5"/>
  <c r="FA22" i="5"/>
  <c r="FA158" i="5"/>
  <c r="U64" i="7"/>
  <c r="U30" i="7"/>
  <c r="U97" i="7"/>
  <c r="U158" i="7"/>
  <c r="U20" i="7"/>
  <c r="U32" i="7"/>
  <c r="U38" i="7"/>
  <c r="U143" i="7"/>
  <c r="U149" i="7"/>
  <c r="EX28" i="5"/>
  <c r="U151" i="7"/>
  <c r="U161" i="7"/>
  <c r="U111" i="7"/>
  <c r="U117" i="7"/>
  <c r="U168" i="7"/>
  <c r="U175" i="7"/>
  <c r="U3" i="7"/>
  <c r="U6" i="7"/>
  <c r="U13" i="7"/>
  <c r="U116" i="7"/>
  <c r="U119" i="7"/>
  <c r="U126" i="7"/>
  <c r="U129" i="7"/>
  <c r="U96" i="7"/>
  <c r="U99" i="7"/>
  <c r="U102" i="7"/>
  <c r="U109" i="7"/>
  <c r="U164" i="7"/>
  <c r="U80" i="7"/>
  <c r="U167" i="7"/>
  <c r="U83" i="7"/>
  <c r="U174" i="7"/>
  <c r="U86" i="7"/>
  <c r="U2" i="7"/>
  <c r="U93" i="7"/>
  <c r="U5" i="7"/>
  <c r="U148" i="7"/>
  <c r="U23" i="7"/>
  <c r="U33" i="7"/>
  <c r="U128" i="7"/>
  <c r="U131" i="7"/>
  <c r="U134" i="7"/>
  <c r="U141" i="7"/>
  <c r="U72" i="7"/>
  <c r="U79" i="7"/>
  <c r="U82" i="7"/>
  <c r="U85" i="7"/>
  <c r="U52" i="7"/>
  <c r="U55" i="7"/>
  <c r="U62" i="7"/>
  <c r="U65" i="7"/>
  <c r="U144" i="7"/>
  <c r="U56" i="7"/>
  <c r="U147" i="7"/>
  <c r="U63" i="7"/>
  <c r="U150" i="7"/>
  <c r="U66" i="7"/>
  <c r="U157" i="7"/>
  <c r="U69" i="7"/>
  <c r="U152" i="7"/>
  <c r="U68" i="7"/>
  <c r="U159" i="7"/>
  <c r="U71" i="7"/>
  <c r="EX53" i="5"/>
  <c r="FA172" i="5"/>
  <c r="FA138" i="5"/>
  <c r="FA161" i="5"/>
  <c r="FA54" i="5"/>
  <c r="FA94" i="5"/>
  <c r="EY28" i="5"/>
  <c r="EY20" i="5"/>
  <c r="EY137" i="5"/>
  <c r="EY61" i="5"/>
  <c r="EY41" i="5"/>
  <c r="EY105" i="5"/>
  <c r="EY142" i="5"/>
  <c r="EY22" i="5"/>
  <c r="EY62" i="5"/>
  <c r="EY159" i="5"/>
  <c r="EY11" i="5"/>
  <c r="EY88" i="5"/>
  <c r="EY172" i="5"/>
  <c r="EY71" i="5"/>
  <c r="EY122" i="5"/>
  <c r="EY37" i="5"/>
  <c r="EY113" i="5"/>
  <c r="EY146" i="5"/>
  <c r="EY18" i="5"/>
  <c r="EY70" i="5"/>
  <c r="EY163" i="5"/>
  <c r="EY168" i="5"/>
  <c r="EY176" i="5"/>
  <c r="EY82" i="5"/>
  <c r="EY31" i="5"/>
  <c r="EY33" i="5"/>
  <c r="EY121" i="5"/>
  <c r="EY150" i="5"/>
  <c r="EY14" i="5"/>
  <c r="EY78" i="5"/>
  <c r="EY167" i="5"/>
  <c r="EY53" i="5"/>
  <c r="EY104" i="5"/>
  <c r="EY48" i="5"/>
  <c r="EY87" i="5"/>
  <c r="EY133" i="5"/>
  <c r="EY29" i="5"/>
  <c r="EY52" i="5"/>
  <c r="EY154" i="5"/>
  <c r="EY10" i="5"/>
  <c r="EY86" i="5"/>
  <c r="EY171" i="5"/>
  <c r="EY25" i="5"/>
  <c r="EY60" i="5"/>
  <c r="EY158" i="5"/>
  <c r="EY6" i="5"/>
  <c r="EY94" i="5"/>
  <c r="EY175" i="5"/>
  <c r="EY69" i="5"/>
  <c r="EY120" i="5"/>
  <c r="EY40" i="5"/>
  <c r="EY103" i="5"/>
  <c r="EY141" i="5"/>
  <c r="EY21" i="5"/>
  <c r="EY68" i="5"/>
  <c r="EY162" i="5"/>
  <c r="EY51" i="5"/>
  <c r="EY102" i="5"/>
  <c r="EY80" i="5"/>
  <c r="EY96" i="5"/>
  <c r="EY12" i="5"/>
  <c r="EY17" i="5"/>
  <c r="EY76" i="5"/>
  <c r="EY166" i="5"/>
  <c r="EY59" i="5"/>
  <c r="EY110" i="5"/>
  <c r="EY49" i="5"/>
  <c r="EY85" i="5"/>
  <c r="EY132" i="5"/>
  <c r="EY32" i="5"/>
  <c r="EY119" i="5"/>
  <c r="EY149" i="5"/>
  <c r="EY13" i="5"/>
  <c r="EY84" i="5"/>
  <c r="EY170" i="5"/>
  <c r="EY67" i="5"/>
  <c r="EY118" i="5"/>
  <c r="EY4" i="5"/>
  <c r="EY136" i="5"/>
  <c r="EY144" i="5"/>
  <c r="EY95" i="5"/>
  <c r="EY153" i="5"/>
  <c r="EY93" i="5"/>
  <c r="EY161" i="5"/>
  <c r="EY109" i="5"/>
  <c r="EY44" i="5"/>
  <c r="EY9" i="5"/>
  <c r="EY92" i="5"/>
  <c r="EY174" i="5"/>
  <c r="EY75" i="5"/>
  <c r="EY126" i="5"/>
  <c r="EY43" i="5"/>
  <c r="EY101" i="5"/>
  <c r="EY140" i="5"/>
  <c r="EY24" i="5"/>
  <c r="EY58" i="5"/>
  <c r="EY157" i="5"/>
  <c r="EY5" i="5"/>
  <c r="EY100" i="5"/>
  <c r="EY178" i="5"/>
  <c r="EY83" i="5"/>
  <c r="EY131" i="5"/>
  <c r="EY128" i="5"/>
  <c r="EY98" i="5"/>
  <c r="EY145" i="5"/>
  <c r="EY177" i="5"/>
  <c r="EY23" i="5"/>
  <c r="EY129" i="5"/>
  <c r="EY7" i="5"/>
  <c r="EY152" i="5"/>
  <c r="EY57" i="5"/>
  <c r="EY108" i="5"/>
  <c r="EY46" i="5"/>
  <c r="EY91" i="5"/>
  <c r="EY135" i="5"/>
  <c r="EY35" i="5"/>
  <c r="EY117" i="5"/>
  <c r="EY148" i="5"/>
  <c r="EY16" i="5"/>
  <c r="EY74" i="5"/>
  <c r="EY165" i="5"/>
  <c r="EY65" i="5"/>
  <c r="EY116" i="5"/>
  <c r="EY42" i="5"/>
  <c r="EY99" i="5"/>
  <c r="EY139" i="5"/>
  <c r="EY64" i="5"/>
  <c r="EY77" i="5"/>
  <c r="EY160" i="5"/>
  <c r="EY114" i="5"/>
  <c r="EY15" i="5"/>
  <c r="EY127" i="5"/>
  <c r="EY47" i="5"/>
  <c r="EY66" i="5"/>
  <c r="EY39" i="5"/>
  <c r="EY112" i="5"/>
  <c r="EY73" i="5"/>
  <c r="EY124" i="5"/>
  <c r="EY38" i="5"/>
  <c r="EY107" i="5"/>
  <c r="EY143" i="5"/>
  <c r="EY27" i="5"/>
  <c r="EY56" i="5"/>
  <c r="EY156" i="5"/>
  <c r="EY8" i="5"/>
  <c r="EY90" i="5"/>
  <c r="EY173" i="5"/>
  <c r="EY81" i="5"/>
  <c r="EY130" i="5"/>
  <c r="EY34" i="5"/>
  <c r="EY115" i="5"/>
  <c r="EY147" i="5"/>
  <c r="FA151" i="5"/>
  <c r="FA58" i="5"/>
  <c r="FA56" i="5"/>
  <c r="EV132" i="5"/>
  <c r="AI48" i="6"/>
  <c r="FB6" i="5"/>
  <c r="FB85" i="5"/>
  <c r="AI79" i="6"/>
  <c r="AI89" i="6"/>
  <c r="AI25" i="6"/>
  <c r="AI60" i="6"/>
  <c r="AI80" i="6"/>
  <c r="AI144" i="6"/>
  <c r="AI102" i="6"/>
  <c r="FB8" i="5"/>
  <c r="FB79" i="5"/>
  <c r="FB4" i="5"/>
  <c r="AI91" i="6"/>
  <c r="AI6" i="6"/>
  <c r="AI145" i="6"/>
  <c r="FB78" i="5"/>
  <c r="AI134" i="6"/>
  <c r="EW13" i="5"/>
  <c r="EW157" i="5"/>
  <c r="EW48" i="5"/>
  <c r="EW53" i="5"/>
  <c r="EW129" i="5"/>
  <c r="EW42" i="5"/>
  <c r="EW16" i="5"/>
  <c r="EW117" i="5"/>
  <c r="EW165" i="5"/>
  <c r="EW78" i="5"/>
  <c r="EW120" i="5"/>
  <c r="EW171" i="5"/>
  <c r="EW176" i="5"/>
  <c r="EW23" i="5"/>
  <c r="EW134" i="5"/>
  <c r="EW22" i="5"/>
  <c r="EW140" i="5"/>
  <c r="EW75" i="5"/>
  <c r="EW136" i="5"/>
  <c r="EW150" i="5"/>
  <c r="EW92" i="5"/>
  <c r="EW161" i="5"/>
  <c r="EW29" i="5"/>
  <c r="EW10" i="5"/>
  <c r="FB66" i="5"/>
  <c r="FB100" i="5"/>
  <c r="FB46" i="5"/>
  <c r="FB171" i="5"/>
  <c r="FB123" i="5"/>
  <c r="FB59" i="5"/>
  <c r="FB81" i="5"/>
  <c r="FB142" i="5"/>
  <c r="FB116" i="5"/>
  <c r="FB40" i="5"/>
  <c r="FB23" i="5"/>
  <c r="FB166" i="5"/>
  <c r="FB26" i="5"/>
  <c r="FB89" i="5"/>
  <c r="FB174" i="5"/>
  <c r="FB13" i="5"/>
  <c r="FB176" i="5"/>
  <c r="FB96" i="5"/>
  <c r="FB27" i="5"/>
  <c r="FB47" i="5"/>
  <c r="FB62" i="5"/>
  <c r="FB16" i="5"/>
  <c r="FB125" i="5"/>
  <c r="FB153" i="5"/>
  <c r="FB133" i="5"/>
  <c r="FB91" i="5"/>
  <c r="FB110" i="5"/>
  <c r="FB90" i="5"/>
  <c r="FB53" i="5"/>
  <c r="FB149" i="5"/>
  <c r="FB51" i="5"/>
  <c r="FB24" i="5"/>
  <c r="FB71" i="5"/>
  <c r="FB84" i="5"/>
  <c r="FB25" i="5"/>
  <c r="FB43" i="5"/>
  <c r="FB58" i="5"/>
  <c r="FB113" i="5"/>
  <c r="FB44" i="5"/>
  <c r="FB69" i="5"/>
  <c r="FB112" i="5"/>
  <c r="FB159" i="5"/>
  <c r="FB15" i="5"/>
  <c r="FB94" i="5"/>
  <c r="FB168" i="5"/>
  <c r="FB140" i="5"/>
  <c r="FB87" i="5"/>
  <c r="FB115" i="5"/>
  <c r="FB128" i="5"/>
  <c r="FB36" i="5"/>
  <c r="FB21" i="5"/>
  <c r="FB31" i="5"/>
  <c r="FB52" i="5"/>
  <c r="FB178" i="5"/>
  <c r="FB98" i="5"/>
  <c r="FB122" i="5"/>
  <c r="FB130" i="5"/>
  <c r="FB28" i="5"/>
  <c r="FB101" i="5"/>
  <c r="FB129" i="5"/>
  <c r="FB82" i="5"/>
  <c r="FB30" i="5"/>
  <c r="FB126" i="5"/>
  <c r="FB67" i="5"/>
  <c r="FB154" i="5"/>
  <c r="FB56" i="5"/>
  <c r="FB131" i="5"/>
  <c r="FB152" i="5"/>
  <c r="FB136" i="5"/>
  <c r="FB118" i="5"/>
  <c r="FB157" i="5"/>
  <c r="FB37" i="5"/>
  <c r="FB137" i="5"/>
  <c r="FB155" i="5"/>
  <c r="FB173" i="5"/>
  <c r="FB111" i="5"/>
  <c r="FB42" i="5"/>
  <c r="FB39" i="5"/>
  <c r="FB70" i="5"/>
  <c r="FB12" i="5"/>
  <c r="FB139" i="5"/>
  <c r="FB161" i="5"/>
  <c r="FB50" i="5"/>
  <c r="FB134" i="5"/>
  <c r="FB49" i="5"/>
  <c r="FB99" i="5"/>
  <c r="FB60" i="5"/>
  <c r="FB145" i="5"/>
  <c r="FB117" i="5"/>
  <c r="FB5" i="5"/>
  <c r="FB162" i="5"/>
  <c r="FB54" i="5"/>
  <c r="FB120" i="5"/>
  <c r="FB121" i="5"/>
  <c r="FB88" i="5"/>
  <c r="FB77" i="5"/>
  <c r="FB86" i="5"/>
  <c r="FB74" i="5"/>
  <c r="FB165" i="5"/>
  <c r="FB73" i="5"/>
  <c r="FB7" i="5"/>
  <c r="FB102" i="5"/>
  <c r="FB150" i="5"/>
  <c r="FB156" i="5"/>
  <c r="FB177" i="5"/>
  <c r="FB63" i="5"/>
  <c r="FB103" i="5"/>
  <c r="FB33" i="5"/>
  <c r="FB135" i="5"/>
  <c r="FB76" i="5"/>
  <c r="FB158" i="5"/>
  <c r="FB9" i="5"/>
  <c r="FB41" i="5"/>
  <c r="FB143" i="5"/>
  <c r="FB65" i="5"/>
  <c r="FB72" i="5"/>
  <c r="FB19" i="5"/>
  <c r="FB138" i="5"/>
  <c r="FB132" i="5"/>
  <c r="FB167" i="5"/>
  <c r="FB163" i="5"/>
  <c r="FB127" i="5"/>
  <c r="FB147" i="5"/>
  <c r="FB20" i="5"/>
  <c r="FB104" i="5"/>
  <c r="FB38" i="5"/>
  <c r="FB14" i="5"/>
  <c r="FB172" i="5"/>
  <c r="FB109" i="5"/>
  <c r="FB18" i="5"/>
  <c r="FB83" i="5"/>
  <c r="FB175" i="5"/>
  <c r="FB35" i="5"/>
  <c r="FB10" i="5"/>
  <c r="FB34" i="5"/>
  <c r="FB55" i="5"/>
  <c r="FB45" i="5"/>
  <c r="FB107" i="5"/>
  <c r="FB64" i="5"/>
  <c r="FB11" i="5"/>
  <c r="FB146" i="5"/>
  <c r="FB97" i="5"/>
  <c r="FB48" i="5"/>
  <c r="FB61" i="5"/>
  <c r="FB108" i="5"/>
  <c r="EW56" i="5"/>
  <c r="EY111" i="5"/>
  <c r="EW35" i="5"/>
  <c r="EW139" i="5"/>
  <c r="EW57" i="5"/>
  <c r="EW172" i="5"/>
  <c r="EW46" i="5"/>
  <c r="ET45" i="5"/>
  <c r="ET142" i="5"/>
  <c r="ET79" i="5"/>
  <c r="ET127" i="5"/>
  <c r="ET137" i="5"/>
  <c r="ET152" i="5"/>
  <c r="ET57" i="5"/>
  <c r="ET41" i="5"/>
  <c r="ET99" i="5"/>
  <c r="ET148" i="5"/>
  <c r="ET63" i="5"/>
  <c r="ET6" i="5"/>
  <c r="ET31" i="5"/>
  <c r="ET64" i="5"/>
  <c r="ET156" i="5"/>
  <c r="ET178" i="5"/>
  <c r="ET88" i="5"/>
  <c r="ET48" i="5"/>
  <c r="ET173" i="5"/>
  <c r="ET157" i="5"/>
  <c r="ET96" i="5"/>
  <c r="ET54" i="5"/>
  <c r="ET78" i="5"/>
  <c r="ET69" i="5"/>
  <c r="ET111" i="5"/>
  <c r="ET19" i="5"/>
  <c r="ET104" i="5"/>
  <c r="U30" i="9"/>
  <c r="U107" i="9"/>
  <c r="U26" i="9"/>
  <c r="EZ39" i="5"/>
  <c r="EZ45" i="5"/>
  <c r="EZ102" i="5"/>
  <c r="EZ70" i="5"/>
  <c r="EZ48" i="5"/>
  <c r="EZ104" i="5"/>
  <c r="EZ81" i="5"/>
  <c r="EZ65" i="5"/>
  <c r="EZ60" i="5"/>
  <c r="EZ140" i="5"/>
  <c r="EZ15" i="5"/>
  <c r="EZ14" i="5"/>
  <c r="EZ4" i="5"/>
  <c r="EZ117" i="5"/>
  <c r="EZ147" i="5"/>
  <c r="EZ135" i="5"/>
  <c r="EZ29" i="5"/>
  <c r="EZ63" i="5"/>
  <c r="EZ23" i="5"/>
  <c r="EZ177" i="5"/>
  <c r="EZ144" i="5"/>
  <c r="EZ161" i="5"/>
  <c r="EZ30" i="5"/>
  <c r="EZ46" i="5"/>
  <c r="EZ107" i="5"/>
  <c r="EZ87" i="5"/>
  <c r="EZ97" i="5"/>
  <c r="EZ171" i="5"/>
  <c r="EZ72" i="5"/>
  <c r="EZ13" i="5"/>
  <c r="EZ158" i="5"/>
  <c r="EU137" i="5"/>
  <c r="EU82" i="5"/>
  <c r="EU102" i="5"/>
  <c r="EU72" i="5"/>
  <c r="EU15" i="5"/>
  <c r="EU34" i="5"/>
  <c r="EU95" i="5"/>
  <c r="EU114" i="5"/>
  <c r="EU75" i="5"/>
  <c r="EU66" i="5"/>
  <c r="EU104" i="5"/>
  <c r="EU20" i="5"/>
  <c r="EU13" i="5"/>
  <c r="EU107" i="5"/>
  <c r="EU111" i="5"/>
  <c r="EU98" i="5"/>
  <c r="EU126" i="5"/>
  <c r="EU153" i="5"/>
  <c r="EU143" i="5"/>
  <c r="EU124" i="5"/>
  <c r="EU35" i="5"/>
  <c r="EU108" i="5"/>
  <c r="EU113" i="5"/>
  <c r="EU129" i="5"/>
  <c r="EU33" i="5"/>
  <c r="EU161" i="5"/>
  <c r="EU116" i="5"/>
  <c r="EU42" i="5"/>
  <c r="EU65" i="5"/>
  <c r="EU25" i="5"/>
  <c r="EU122" i="5"/>
  <c r="EU109" i="5"/>
  <c r="EU164" i="5"/>
  <c r="EU177" i="5"/>
  <c r="EU24" i="5"/>
  <c r="EU79" i="5"/>
  <c r="EU169" i="5"/>
  <c r="EU167" i="5"/>
  <c r="EU105" i="5"/>
  <c r="EU26" i="5"/>
  <c r="EU8" i="5"/>
  <c r="EU10" i="5"/>
  <c r="EU146" i="5"/>
  <c r="EU155" i="5"/>
  <c r="EU53" i="5"/>
  <c r="EU69" i="5"/>
  <c r="EU11" i="5"/>
  <c r="EU117" i="5"/>
  <c r="EU132" i="5"/>
  <c r="EU88" i="5"/>
  <c r="EU89" i="5"/>
  <c r="EU68" i="5"/>
  <c r="EU49" i="5"/>
  <c r="EU173" i="5"/>
  <c r="EU128" i="5"/>
  <c r="EU23" i="5"/>
  <c r="EU52" i="5"/>
  <c r="EU118" i="5"/>
  <c r="EU148" i="5"/>
  <c r="EU63" i="5"/>
  <c r="EU140" i="5"/>
  <c r="EU115" i="5"/>
  <c r="AI53" i="6"/>
  <c r="C116" i="1"/>
  <c r="C83" i="1"/>
  <c r="C13" i="20"/>
  <c r="ET126" i="5"/>
  <c r="ET146" i="5"/>
  <c r="ET93" i="5"/>
  <c r="U67" i="7"/>
  <c r="ET144" i="5"/>
  <c r="U9" i="7"/>
  <c r="U77" i="7"/>
  <c r="U70" i="7"/>
  <c r="U144" i="8"/>
  <c r="U148" i="10"/>
  <c r="U124" i="8"/>
  <c r="U139" i="8"/>
  <c r="U65" i="8"/>
  <c r="U98" i="8"/>
  <c r="U138" i="8"/>
  <c r="U111" i="8"/>
  <c r="U117" i="8"/>
  <c r="U15" i="10"/>
  <c r="G14" i="20"/>
  <c r="F14" i="20"/>
  <c r="EX136" i="5"/>
  <c r="EX108" i="5"/>
  <c r="EX25" i="5"/>
  <c r="EX54" i="5"/>
  <c r="EX177" i="5"/>
  <c r="EX51" i="5"/>
  <c r="EX92" i="5"/>
  <c r="EX139" i="5"/>
  <c r="BR25" i="4"/>
  <c r="EX9" i="5"/>
  <c r="EX62" i="5"/>
  <c r="EX49" i="5"/>
  <c r="EX44" i="5"/>
  <c r="EX158" i="5"/>
  <c r="EX116" i="5"/>
  <c r="EX99" i="5"/>
  <c r="EX132" i="5"/>
  <c r="EX172" i="5"/>
  <c r="EX37" i="5"/>
  <c r="EX146" i="5"/>
  <c r="EX121" i="5"/>
  <c r="EX98" i="5"/>
  <c r="EX30" i="5"/>
  <c r="EX69" i="5"/>
  <c r="EX18" i="5"/>
  <c r="EX52" i="5"/>
  <c r="EX11" i="5"/>
  <c r="EX130" i="5"/>
  <c r="EX107" i="5"/>
  <c r="BR41" i="4"/>
  <c r="BR168" i="4"/>
  <c r="EX140" i="5"/>
  <c r="EX151" i="5"/>
  <c r="EX35" i="5"/>
  <c r="EX145" i="5"/>
  <c r="EX43" i="5"/>
  <c r="EX83" i="5"/>
  <c r="EX75" i="5"/>
  <c r="EX56" i="5"/>
  <c r="EX147" i="5"/>
  <c r="EX21" i="5"/>
  <c r="EX117" i="5"/>
  <c r="EX155" i="5"/>
  <c r="EX22" i="5"/>
  <c r="EX79" i="5"/>
  <c r="EX12" i="5"/>
  <c r="EX126" i="5"/>
  <c r="EX169" i="5"/>
  <c r="EX34" i="5"/>
  <c r="EX68" i="5"/>
  <c r="EX103" i="5"/>
  <c r="EX55" i="5"/>
  <c r="BR76" i="4"/>
  <c r="BR147" i="4"/>
  <c r="BR59" i="4"/>
  <c r="BR86" i="4"/>
  <c r="EX165" i="5"/>
  <c r="EX33" i="5"/>
  <c r="EX60" i="5"/>
  <c r="EX95" i="5"/>
  <c r="EX8" i="5"/>
  <c r="EX91" i="5"/>
  <c r="EX57" i="5"/>
  <c r="EX27" i="5"/>
  <c r="BR140" i="4"/>
  <c r="BR17" i="4"/>
  <c r="EX81" i="5"/>
  <c r="U156" i="7"/>
  <c r="EZ103" i="5"/>
  <c r="U49" i="8"/>
  <c r="EZ12" i="5"/>
  <c r="EZ82" i="5"/>
  <c r="EZ165" i="5"/>
  <c r="EZ80" i="5"/>
  <c r="EZ129" i="5"/>
  <c r="EZ148" i="5"/>
  <c r="EZ19" i="5"/>
  <c r="EZ50" i="5"/>
  <c r="EZ66" i="5"/>
  <c r="EZ37" i="5"/>
  <c r="EZ41" i="5"/>
  <c r="EZ75" i="5"/>
  <c r="EZ167" i="5"/>
  <c r="EZ10" i="5"/>
  <c r="EZ108" i="5"/>
  <c r="EZ126" i="5"/>
  <c r="EZ88" i="5"/>
  <c r="EZ120" i="5"/>
  <c r="EZ159" i="5"/>
  <c r="EZ99" i="5"/>
  <c r="EZ134" i="5"/>
  <c r="C12" i="20"/>
  <c r="U105" i="10"/>
  <c r="U106" i="8"/>
  <c r="U96" i="8"/>
  <c r="U46" i="8"/>
  <c r="U129" i="8"/>
  <c r="U54" i="8"/>
  <c r="U167" i="8"/>
  <c r="U27" i="8"/>
  <c r="U15" i="8"/>
  <c r="U67" i="8"/>
  <c r="C5" i="20"/>
  <c r="E5" i="20" s="1"/>
  <c r="U13" i="10"/>
  <c r="U104" i="8"/>
  <c r="U74" i="8"/>
  <c r="U108" i="8"/>
  <c r="U160" i="8"/>
  <c r="U103" i="8"/>
  <c r="U21" i="8"/>
  <c r="U27" i="10"/>
  <c r="U80" i="8"/>
  <c r="U7" i="8"/>
  <c r="U24" i="8"/>
  <c r="U76" i="8"/>
  <c r="U83" i="8"/>
  <c r="U149" i="8"/>
  <c r="C11" i="20"/>
  <c r="C9" i="20"/>
  <c r="E9" i="20" s="1"/>
  <c r="U58" i="10"/>
  <c r="U131" i="10"/>
  <c r="U59" i="8"/>
  <c r="U176" i="8"/>
  <c r="U78" i="8"/>
  <c r="U114" i="8"/>
  <c r="U166" i="8"/>
  <c r="U93" i="8"/>
  <c r="U131" i="8"/>
  <c r="C8" i="20"/>
  <c r="E8" i="20" s="1"/>
  <c r="C10" i="20"/>
  <c r="E10" i="20" s="1"/>
  <c r="C7" i="20"/>
  <c r="E7" i="20" s="1"/>
  <c r="U171" i="10"/>
  <c r="U128" i="10"/>
  <c r="U66" i="8"/>
  <c r="U105" i="8"/>
  <c r="U142" i="8"/>
  <c r="U26" i="8"/>
  <c r="U82" i="8"/>
  <c r="U16" i="8"/>
  <c r="U18" i="8"/>
  <c r="U64" i="8"/>
  <c r="U103" i="10"/>
  <c r="U87" i="8"/>
  <c r="U132" i="8"/>
  <c r="U159" i="8"/>
  <c r="U136" i="8"/>
  <c r="U29" i="8"/>
  <c r="U12" i="8"/>
  <c r="U97" i="8"/>
  <c r="U122" i="10"/>
  <c r="U44" i="8"/>
  <c r="U36" i="8"/>
  <c r="U52" i="8"/>
  <c r="U48" i="8"/>
  <c r="U168" i="8"/>
  <c r="U120" i="8"/>
  <c r="U17" i="8"/>
  <c r="ET33" i="5"/>
  <c r="ET20" i="5"/>
  <c r="ET119" i="5"/>
  <c r="ET34" i="5"/>
  <c r="ET27" i="5"/>
  <c r="ET73" i="5"/>
  <c r="ET107" i="5"/>
  <c r="ET25" i="5"/>
  <c r="ET44" i="5"/>
  <c r="ET172" i="5"/>
  <c r="ET37" i="5"/>
  <c r="ET18" i="5"/>
  <c r="ET68" i="5"/>
  <c r="ET113" i="5"/>
  <c r="ET150" i="5"/>
  <c r="ET42" i="5"/>
  <c r="ET136" i="5"/>
  <c r="ET30" i="5"/>
  <c r="ET67" i="5"/>
  <c r="ET84" i="5"/>
  <c r="ET101" i="5"/>
  <c r="ET171" i="5"/>
  <c r="ET120" i="5"/>
  <c r="ET16" i="5"/>
  <c r="ET87" i="5"/>
  <c r="ET10" i="5"/>
  <c r="ET66" i="5"/>
  <c r="ET14" i="5"/>
  <c r="ET123" i="5"/>
  <c r="ET100" i="5"/>
  <c r="ET60" i="5"/>
  <c r="ET129" i="5"/>
  <c r="ET55" i="5"/>
  <c r="ET145" i="5"/>
  <c r="ET140" i="5"/>
  <c r="ET130" i="5"/>
  <c r="ET138" i="5"/>
  <c r="ET13" i="5"/>
  <c r="ET117" i="5"/>
  <c r="ET49" i="5"/>
  <c r="ET108" i="5"/>
  <c r="ET9" i="5"/>
  <c r="ET163" i="5"/>
  <c r="ET17" i="5"/>
  <c r="ET131" i="5"/>
  <c r="ET149" i="5"/>
  <c r="ET170" i="5"/>
  <c r="ET39" i="5"/>
  <c r="ET116" i="5"/>
  <c r="ET168" i="5"/>
  <c r="U43" i="8"/>
  <c r="U165" i="8"/>
  <c r="U151" i="8"/>
  <c r="U171" i="8"/>
  <c r="ES120" i="5"/>
  <c r="ET28" i="5"/>
  <c r="ET114" i="5"/>
  <c r="ET12" i="5"/>
  <c r="ET32" i="5"/>
  <c r="ET21" i="5"/>
  <c r="ET106" i="5"/>
  <c r="ET105" i="5"/>
  <c r="ET110" i="5"/>
  <c r="ET122" i="5"/>
  <c r="ET61" i="5"/>
  <c r="ET47" i="5"/>
  <c r="ET92" i="5"/>
  <c r="ET52" i="5"/>
  <c r="ET162" i="5"/>
  <c r="ET125" i="5"/>
  <c r="ET74" i="5"/>
  <c r="ET109" i="5"/>
  <c r="ET50" i="5"/>
  <c r="ET56" i="5"/>
  <c r="ET40" i="5"/>
  <c r="ET77" i="5"/>
  <c r="ET164" i="5"/>
  <c r="ET134" i="5"/>
  <c r="ET141" i="5"/>
  <c r="ET81" i="5"/>
  <c r="ET70" i="5"/>
  <c r="ET147" i="5"/>
  <c r="ET89" i="5"/>
  <c r="ET103" i="5"/>
  <c r="ET83" i="5"/>
  <c r="ET72" i="5"/>
  <c r="ET95" i="5"/>
  <c r="ET153" i="5"/>
  <c r="ET26" i="5"/>
  <c r="ET166" i="5"/>
  <c r="ET132" i="5"/>
  <c r="ET75" i="5"/>
  <c r="ET43" i="5"/>
  <c r="ET58" i="5"/>
  <c r="ET71" i="5"/>
  <c r="ET151" i="5"/>
  <c r="ET59" i="5"/>
  <c r="ET51" i="5"/>
  <c r="ET38" i="5"/>
  <c r="ET128" i="5"/>
  <c r="ET65" i="5"/>
  <c r="ET46" i="5"/>
  <c r="ET91" i="5"/>
  <c r="ET155" i="5"/>
  <c r="ET169" i="5"/>
  <c r="ET8" i="5"/>
  <c r="ET124" i="5"/>
  <c r="ET7" i="5"/>
  <c r="ET23" i="5"/>
  <c r="ET85" i="5"/>
  <c r="ET158" i="5"/>
  <c r="ET90" i="5"/>
  <c r="ET177" i="5"/>
  <c r="ET53" i="5"/>
  <c r="ET80" i="5"/>
  <c r="ET36" i="5"/>
  <c r="ET29" i="5"/>
  <c r="ET175" i="5"/>
  <c r="ET82" i="5"/>
  <c r="ET22" i="5"/>
  <c r="ET159" i="5"/>
  <c r="ET154" i="5"/>
  <c r="ET4" i="5"/>
  <c r="ET76" i="5"/>
  <c r="ET15" i="5"/>
  <c r="ET115" i="5"/>
  <c r="ET161" i="5"/>
  <c r="ET133" i="5"/>
  <c r="ET167" i="5"/>
  <c r="ET139" i="5"/>
  <c r="ET121" i="5"/>
  <c r="ET160" i="5"/>
  <c r="ES147" i="5"/>
  <c r="ES31" i="5"/>
  <c r="ET86" i="5"/>
  <c r="ET143" i="5"/>
  <c r="ET94" i="5"/>
  <c r="ET98" i="5"/>
  <c r="ET176" i="5"/>
  <c r="ET35" i="5"/>
  <c r="ET5" i="5"/>
  <c r="ET62" i="5"/>
  <c r="ES34" i="5"/>
  <c r="ET112" i="5"/>
  <c r="ET135" i="5"/>
  <c r="ES86" i="5"/>
  <c r="BE8" i="2"/>
  <c r="BD8" i="2"/>
  <c r="BE6" i="2"/>
  <c r="BD6" i="2"/>
  <c r="AE8" i="21"/>
  <c r="ET165" i="5"/>
  <c r="ET97" i="5"/>
  <c r="ET102" i="5"/>
  <c r="ET24" i="5"/>
  <c r="ET174" i="5"/>
  <c r="U18" i="7"/>
  <c r="ET11" i="5"/>
  <c r="EZ28" i="5"/>
  <c r="EZ16" i="5"/>
  <c r="EX38" i="5"/>
  <c r="EZ121" i="5"/>
  <c r="U11" i="7"/>
  <c r="U112" i="7"/>
  <c r="U125" i="7"/>
  <c r="U44" i="7"/>
  <c r="U35" i="7"/>
  <c r="U8" i="7"/>
  <c r="U163" i="7"/>
  <c r="U146" i="7"/>
  <c r="U133" i="7"/>
  <c r="U162" i="7"/>
  <c r="U124" i="7"/>
  <c r="U43" i="7"/>
  <c r="U137" i="7"/>
  <c r="U42" i="7"/>
  <c r="U28" i="7"/>
  <c r="U142" i="7"/>
  <c r="U110" i="7"/>
  <c r="U135" i="7"/>
  <c r="U17" i="7"/>
  <c r="U53" i="7"/>
  <c r="U7" i="7"/>
  <c r="U94" i="7"/>
  <c r="U21" i="7"/>
  <c r="V2" i="7"/>
  <c r="U120" i="7"/>
  <c r="U132" i="7"/>
  <c r="U78" i="7"/>
  <c r="U60" i="7"/>
  <c r="U154" i="7"/>
  <c r="U73" i="7"/>
  <c r="U122" i="7"/>
  <c r="U108" i="7"/>
  <c r="U115" i="7"/>
  <c r="U16" i="7"/>
  <c r="U87" i="7"/>
  <c r="U47" i="7"/>
  <c r="U60" i="8"/>
  <c r="U99" i="8"/>
  <c r="U109" i="8"/>
  <c r="U89" i="8"/>
  <c r="U30" i="8"/>
  <c r="U20" i="8"/>
  <c r="U121" i="8"/>
  <c r="U3" i="8"/>
  <c r="U92" i="8"/>
  <c r="U173" i="8"/>
  <c r="U55" i="8"/>
  <c r="U150" i="8"/>
  <c r="U137" i="8"/>
  <c r="U22" i="8"/>
  <c r="U40" i="8"/>
  <c r="U75" i="8"/>
  <c r="U69" i="8"/>
  <c r="U51" i="8"/>
  <c r="U41" i="8"/>
  <c r="U23" i="8"/>
  <c r="U13" i="8"/>
  <c r="U5" i="8"/>
  <c r="U95" i="8"/>
  <c r="U14" i="8"/>
  <c r="U47" i="8"/>
  <c r="U33" i="8"/>
  <c r="U77" i="8"/>
  <c r="U154" i="8"/>
  <c r="U72" i="8"/>
  <c r="U133" i="8"/>
  <c r="U35" i="8"/>
  <c r="U147" i="8"/>
  <c r="U164" i="8"/>
  <c r="U170" i="8"/>
  <c r="U110" i="8"/>
  <c r="U100" i="8"/>
  <c r="U172" i="8"/>
  <c r="U70" i="8"/>
  <c r="U155" i="8"/>
  <c r="U45" i="8"/>
  <c r="U122" i="8"/>
  <c r="U73" i="8"/>
  <c r="U39" i="8"/>
  <c r="U157" i="8"/>
  <c r="U175" i="8"/>
  <c r="U163" i="8"/>
  <c r="U153" i="8"/>
  <c r="U135" i="8"/>
  <c r="U125" i="8"/>
  <c r="U107" i="8"/>
  <c r="U101" i="8"/>
  <c r="U116" i="8"/>
  <c r="U31" i="8"/>
  <c r="U127" i="8"/>
  <c r="U113" i="8"/>
  <c r="U152" i="8"/>
  <c r="U50" i="8"/>
  <c r="U115" i="8"/>
  <c r="U25" i="8"/>
  <c r="U102" i="8"/>
  <c r="U42" i="8"/>
  <c r="U86" i="8"/>
  <c r="U130" i="8"/>
  <c r="U114" i="7"/>
  <c r="U74" i="7"/>
  <c r="U76" i="7"/>
  <c r="U106" i="7"/>
  <c r="U37" i="7"/>
  <c r="U118" i="7"/>
  <c r="U123" i="8"/>
  <c r="U145" i="7"/>
  <c r="U145" i="8"/>
  <c r="EZ168" i="5"/>
  <c r="EZ91" i="5"/>
  <c r="EZ105" i="5"/>
  <c r="EZ141" i="5"/>
  <c r="EZ175" i="5"/>
  <c r="EZ5" i="5"/>
  <c r="EZ95" i="5"/>
  <c r="EZ110" i="5"/>
  <c r="EZ106" i="5"/>
  <c r="EZ49" i="5"/>
  <c r="EZ113" i="5"/>
  <c r="EZ24" i="5"/>
  <c r="EZ11" i="5"/>
  <c r="EZ6" i="5"/>
  <c r="EZ109" i="5"/>
  <c r="EZ160" i="5"/>
  <c r="EZ44" i="5"/>
  <c r="EZ7" i="5"/>
  <c r="EZ40" i="5"/>
  <c r="EZ34" i="5"/>
  <c r="EZ86" i="5"/>
  <c r="EZ101" i="5"/>
  <c r="EZ157" i="5"/>
  <c r="EZ52" i="5"/>
  <c r="EZ94" i="5"/>
  <c r="EZ21" i="5"/>
  <c r="EZ78" i="5"/>
  <c r="EZ71" i="5"/>
  <c r="EZ136" i="5"/>
  <c r="EZ152" i="5"/>
  <c r="EZ61" i="5"/>
  <c r="EZ100" i="5"/>
  <c r="EZ131" i="5"/>
  <c r="EZ17" i="5"/>
  <c r="EZ53" i="5"/>
  <c r="EZ83" i="5"/>
  <c r="EZ92" i="5"/>
  <c r="EZ18" i="5"/>
  <c r="EZ93" i="5"/>
  <c r="EZ124" i="5"/>
  <c r="EZ176" i="5"/>
  <c r="EZ42" i="5"/>
  <c r="EZ69" i="5"/>
  <c r="EZ8" i="5"/>
  <c r="EZ64" i="5"/>
  <c r="EZ169" i="5"/>
  <c r="EZ59" i="5"/>
  <c r="EZ56" i="5"/>
  <c r="EZ132" i="5"/>
  <c r="EZ156" i="5"/>
  <c r="EZ67" i="5"/>
  <c r="EZ43" i="5"/>
  <c r="EZ142" i="5"/>
  <c r="EZ128" i="5"/>
  <c r="EZ36" i="5"/>
  <c r="EZ130" i="5"/>
  <c r="EZ27" i="5"/>
  <c r="EZ35" i="5"/>
  <c r="EZ138" i="5"/>
  <c r="EZ118" i="5"/>
  <c r="EZ125" i="5"/>
  <c r="EZ133" i="5"/>
  <c r="EZ38" i="5"/>
  <c r="EZ20" i="5"/>
  <c r="EZ173" i="5"/>
  <c r="EZ32" i="5"/>
  <c r="EZ150" i="5"/>
  <c r="EZ84" i="5"/>
  <c r="EZ149" i="5"/>
  <c r="EX150" i="5"/>
  <c r="EZ96" i="5"/>
  <c r="EZ79" i="5"/>
  <c r="EZ57" i="5"/>
  <c r="C17" i="21"/>
  <c r="A53" i="1"/>
  <c r="J17" i="21"/>
  <c r="BR167" i="4"/>
  <c r="BR89" i="4"/>
  <c r="BR154" i="4"/>
  <c r="BR70" i="4"/>
  <c r="BR96" i="4"/>
  <c r="BR138" i="4"/>
  <c r="BR31" i="4"/>
  <c r="BR144" i="4"/>
  <c r="BR106" i="4"/>
  <c r="BR62" i="4"/>
  <c r="BR16" i="4"/>
  <c r="BR23" i="4"/>
  <c r="BR143" i="4"/>
  <c r="BR64" i="4"/>
  <c r="BR34" i="4"/>
  <c r="BR104" i="4"/>
  <c r="BR93" i="4"/>
  <c r="BR141" i="4"/>
  <c r="BR66" i="4"/>
  <c r="BR68" i="4"/>
  <c r="BR13" i="4"/>
  <c r="BR153" i="4"/>
  <c r="BR65" i="4"/>
  <c r="BR134" i="4"/>
  <c r="BR45" i="4"/>
  <c r="BR121" i="4"/>
  <c r="BR20" i="4"/>
  <c r="BR156" i="4"/>
  <c r="BR42" i="4"/>
  <c r="BR47" i="4"/>
  <c r="BR26" i="4"/>
  <c r="BR51" i="4"/>
  <c r="BR116" i="4"/>
  <c r="BR24" i="4"/>
  <c r="BR159" i="4"/>
  <c r="BR137" i="4"/>
  <c r="BR39" i="4"/>
  <c r="BR36" i="4"/>
  <c r="BR37" i="4"/>
  <c r="BR12" i="4"/>
  <c r="BR88" i="4"/>
  <c r="BR44" i="4"/>
  <c r="BR113" i="4"/>
  <c r="BR29" i="4"/>
  <c r="BR95" i="4"/>
  <c r="BR109" i="4"/>
  <c r="BR7" i="4"/>
  <c r="BR90" i="4"/>
  <c r="BR132" i="4"/>
  <c r="BR111" i="4"/>
  <c r="BR118" i="4"/>
  <c r="BR127" i="4"/>
  <c r="BR157" i="4"/>
  <c r="BR14" i="4"/>
  <c r="BR112" i="4"/>
  <c r="BR5" i="4"/>
  <c r="BR99" i="4"/>
  <c r="BR128" i="4"/>
  <c r="BR33" i="4"/>
  <c r="BR152" i="4"/>
  <c r="BR6" i="4"/>
  <c r="BR50" i="4"/>
  <c r="BR150" i="4"/>
  <c r="BE5" i="2"/>
  <c r="AE7" i="21"/>
  <c r="U95" i="10"/>
  <c r="BR9" i="4"/>
  <c r="C14" i="20"/>
  <c r="E14" i="20" s="1"/>
  <c r="BR74" i="4"/>
  <c r="BR57" i="4"/>
  <c r="BR63" i="4"/>
  <c r="BR100" i="4"/>
  <c r="BR83" i="4"/>
  <c r="BR169" i="4"/>
  <c r="BR56" i="4"/>
  <c r="BR3" i="4"/>
  <c r="BR75" i="4"/>
  <c r="BR92" i="4"/>
  <c r="BR77" i="4"/>
  <c r="BR15" i="4"/>
  <c r="BR46" i="4"/>
  <c r="BR107" i="4"/>
  <c r="BR80" i="4"/>
  <c r="BR73" i="4"/>
  <c r="BR103" i="4"/>
  <c r="BR55" i="4"/>
  <c r="BR163" i="4"/>
  <c r="BR123" i="4"/>
  <c r="BR108" i="4"/>
  <c r="BR177" i="4"/>
  <c r="BR146" i="4"/>
  <c r="BR91" i="4"/>
  <c r="BR136" i="4"/>
  <c r="BR72" i="4"/>
  <c r="BR161" i="4"/>
  <c r="BR166" i="4"/>
  <c r="BR135" i="4"/>
  <c r="BR81" i="4"/>
  <c r="BR122" i="4"/>
  <c r="BR52" i="4"/>
  <c r="BR124" i="4"/>
  <c r="EX157" i="5"/>
  <c r="EX32" i="5"/>
  <c r="G77" i="20"/>
  <c r="C77" i="20"/>
  <c r="U109" i="10"/>
  <c r="U113" i="10"/>
  <c r="U31" i="10"/>
  <c r="U30" i="10"/>
  <c r="U67" i="10"/>
  <c r="U123" i="10"/>
  <c r="U130" i="10"/>
  <c r="U175" i="10"/>
  <c r="U68" i="10"/>
  <c r="U86" i="10"/>
  <c r="U141" i="10"/>
  <c r="EX120" i="5"/>
  <c r="EX77" i="5"/>
  <c r="EX124" i="5"/>
  <c r="EX164" i="5"/>
  <c r="BR119" i="4"/>
  <c r="BR139" i="4"/>
  <c r="BR27" i="4"/>
  <c r="BR173" i="4"/>
  <c r="BR175" i="4"/>
  <c r="BR19" i="4"/>
  <c r="BR160" i="4"/>
  <c r="BR105" i="4"/>
  <c r="BR10" i="4"/>
  <c r="BR115" i="4"/>
  <c r="BR176" i="4"/>
  <c r="BR58" i="4"/>
  <c r="BR170" i="4"/>
  <c r="BR35" i="4"/>
  <c r="BR131" i="4"/>
  <c r="BR164" i="4"/>
  <c r="BR48" i="4"/>
  <c r="BR162" i="4"/>
  <c r="BR4" i="4"/>
  <c r="BR8" i="4"/>
  <c r="BR79" i="4"/>
  <c r="BR172" i="4"/>
  <c r="BR84" i="4"/>
  <c r="BR145" i="4"/>
  <c r="BR102" i="4"/>
  <c r="BR155" i="4"/>
  <c r="BR120" i="4"/>
  <c r="BR53" i="4"/>
  <c r="BR125" i="4"/>
  <c r="BR130" i="4"/>
  <c r="BR165" i="4"/>
  <c r="BR54" i="4"/>
  <c r="BR98" i="4"/>
  <c r="BR43" i="4"/>
  <c r="BR67" i="4"/>
  <c r="BR151" i="4"/>
  <c r="EX82" i="5"/>
  <c r="EX101" i="5"/>
  <c r="U168" i="10"/>
  <c r="U81" i="10"/>
  <c r="U116" i="10"/>
  <c r="U4" i="10"/>
  <c r="U2" i="10"/>
  <c r="U46" i="10"/>
  <c r="U158" i="10"/>
  <c r="U156" i="10"/>
  <c r="U172" i="10"/>
  <c r="U106" i="10"/>
  <c r="U6" i="10"/>
  <c r="U28" i="10"/>
  <c r="U14" i="10"/>
  <c r="U64" i="10"/>
  <c r="U104" i="10"/>
  <c r="U25" i="10"/>
  <c r="U73" i="10"/>
  <c r="U57" i="10"/>
  <c r="U11" i="10"/>
  <c r="U43" i="10"/>
  <c r="U152" i="10"/>
  <c r="U63" i="10"/>
  <c r="C65" i="20"/>
  <c r="BI12" i="2" s="1"/>
  <c r="BJ12" i="2" s="1"/>
  <c r="D65" i="20"/>
  <c r="E77" i="20"/>
  <c r="D77" i="20"/>
  <c r="C76" i="20"/>
  <c r="B77" i="20"/>
  <c r="F76" i="20"/>
  <c r="I77" i="20"/>
  <c r="F77" i="20"/>
  <c r="H77" i="20"/>
  <c r="E65" i="20"/>
  <c r="ES87" i="5"/>
  <c r="ES151" i="5"/>
  <c r="ES114" i="5"/>
  <c r="ES11" i="5"/>
  <c r="U91" i="10"/>
  <c r="U90" i="10"/>
  <c r="U136" i="10"/>
  <c r="U114" i="10"/>
  <c r="U10" i="10"/>
  <c r="U119" i="10"/>
  <c r="U157" i="10"/>
  <c r="U45" i="10"/>
  <c r="U164" i="10"/>
  <c r="U85" i="10"/>
  <c r="U69" i="10"/>
  <c r="U75" i="10"/>
  <c r="ES115" i="5"/>
  <c r="ES59" i="5"/>
  <c r="ES67" i="5"/>
  <c r="ES103" i="5"/>
  <c r="ES14" i="5"/>
  <c r="U118" i="8"/>
  <c r="U68" i="8"/>
  <c r="U162" i="8"/>
  <c r="U141" i="8"/>
  <c r="U84" i="8"/>
  <c r="U138" i="7"/>
  <c r="U105" i="7"/>
  <c r="U31" i="7"/>
  <c r="U25" i="7"/>
  <c r="U169" i="7"/>
  <c r="U153" i="7"/>
  <c r="U38" i="8"/>
  <c r="U9" i="8"/>
  <c r="U143" i="8"/>
  <c r="U91" i="8"/>
  <c r="ES175" i="5"/>
  <c r="ES146" i="5"/>
  <c r="ES107" i="5"/>
  <c r="U90" i="8"/>
  <c r="U2" i="8"/>
  <c r="U134" i="8"/>
  <c r="U161" i="8"/>
  <c r="U148" i="8"/>
  <c r="U119" i="8"/>
  <c r="U94" i="8"/>
  <c r="U14" i="7"/>
  <c r="U75" i="7"/>
  <c r="U58" i="7"/>
  <c r="U48" i="7"/>
  <c r="U51" i="7"/>
  <c r="U6" i="8"/>
  <c r="U58" i="8"/>
  <c r="A41" i="21"/>
  <c r="A78" i="20"/>
  <c r="U89" i="10"/>
  <c r="U34" i="10"/>
  <c r="U135" i="10"/>
  <c r="U70" i="10"/>
  <c r="U99" i="10"/>
  <c r="U102" i="10"/>
  <c r="U61" i="10"/>
  <c r="U84" i="10"/>
  <c r="U16" i="10"/>
  <c r="U5" i="10"/>
  <c r="U149" i="10"/>
  <c r="U111" i="10"/>
  <c r="U54" i="10"/>
  <c r="U120" i="10"/>
  <c r="U112" i="10"/>
  <c r="U146" i="10"/>
  <c r="U162" i="10"/>
  <c r="U48" i="10"/>
  <c r="U71" i="10"/>
  <c r="U144" i="10"/>
  <c r="U82" i="10"/>
  <c r="U35" i="10"/>
  <c r="U118" i="10"/>
  <c r="U49" i="10"/>
  <c r="U26" i="10"/>
  <c r="U29" i="10"/>
  <c r="U7" i="10"/>
  <c r="U65" i="10"/>
  <c r="U51" i="10"/>
  <c r="U98" i="10"/>
  <c r="U32" i="10"/>
  <c r="U47" i="10"/>
  <c r="ES78" i="5"/>
  <c r="ES79" i="5"/>
  <c r="ES12" i="5"/>
  <c r="ES5" i="5"/>
  <c r="ES171" i="5"/>
  <c r="ES52" i="5"/>
  <c r="ES129" i="5"/>
  <c r="ES132" i="5"/>
  <c r="ES153" i="5"/>
  <c r="ES33" i="5"/>
  <c r="ES22" i="5"/>
  <c r="ES26" i="5"/>
  <c r="ES127" i="5"/>
  <c r="ES155" i="5"/>
  <c r="ES37" i="5"/>
  <c r="ES100" i="5"/>
  <c r="ES168" i="5"/>
  <c r="ES39" i="5"/>
  <c r="ES75" i="5"/>
  <c r="ES128" i="5"/>
  <c r="ES165" i="5"/>
  <c r="ES152" i="5"/>
  <c r="ES148" i="5"/>
  <c r="ES116" i="5"/>
  <c r="ES40" i="5"/>
  <c r="ES8" i="5"/>
  <c r="ES97" i="5"/>
  <c r="ES80" i="5"/>
  <c r="ES124" i="5"/>
  <c r="ES139" i="5"/>
  <c r="ES95" i="5"/>
  <c r="ES45" i="5"/>
  <c r="ES141" i="5"/>
  <c r="ES98" i="5"/>
  <c r="ES170" i="5"/>
  <c r="ES60" i="5"/>
  <c r="ES66" i="5"/>
  <c r="ES71" i="5"/>
  <c r="ES82" i="5"/>
  <c r="ES57" i="5"/>
  <c r="ES102" i="5"/>
  <c r="ES88" i="5"/>
  <c r="ES29" i="5"/>
  <c r="ES94" i="5"/>
  <c r="ES125" i="5"/>
  <c r="ES136" i="5"/>
  <c r="ES90" i="5"/>
  <c r="ES44" i="5"/>
  <c r="ES68" i="5"/>
  <c r="ES109" i="5"/>
  <c r="ES15" i="5"/>
  <c r="ES119" i="5"/>
  <c r="ES164" i="5"/>
  <c r="ES35" i="5"/>
  <c r="ES46" i="5"/>
  <c r="ES169" i="5"/>
  <c r="ES7" i="5"/>
  <c r="ES110" i="5"/>
  <c r="ES105" i="5"/>
  <c r="ES62" i="5"/>
  <c r="ES156" i="5"/>
  <c r="ES177" i="5"/>
  <c r="ES63" i="5"/>
  <c r="ES137" i="5"/>
  <c r="ES101" i="5"/>
  <c r="ES41" i="5"/>
  <c r="ES32" i="5"/>
  <c r="ES72" i="5"/>
  <c r="ES70" i="5"/>
  <c r="ES142" i="5"/>
  <c r="ES91" i="5"/>
  <c r="ES166" i="5"/>
  <c r="ES134" i="5"/>
  <c r="ES6" i="5"/>
  <c r="ES106" i="5"/>
  <c r="ES160" i="5"/>
  <c r="ES117" i="5"/>
  <c r="ES85" i="5"/>
  <c r="ES30" i="5"/>
  <c r="ES99" i="5"/>
  <c r="ES9" i="5"/>
  <c r="ES112" i="5"/>
  <c r="ES81" i="5"/>
  <c r="ES83" i="5"/>
  <c r="ES23" i="5"/>
  <c r="ES42" i="5"/>
  <c r="ES69" i="5"/>
  <c r="ES13" i="5"/>
  <c r="ES92" i="5"/>
  <c r="ES21" i="5"/>
  <c r="ES158" i="5"/>
  <c r="ES126" i="5"/>
  <c r="ES73" i="5"/>
  <c r="ES19" i="5"/>
  <c r="ES149" i="5"/>
  <c r="ES51" i="5"/>
  <c r="ES27" i="5"/>
  <c r="ES36" i="5"/>
  <c r="ES58" i="5"/>
  <c r="U160" i="10"/>
  <c r="U143" i="10"/>
  <c r="ES76" i="5"/>
  <c r="ES28" i="5"/>
  <c r="ES64" i="5"/>
  <c r="ES113" i="5"/>
  <c r="ES17" i="5"/>
  <c r="ES104" i="5"/>
  <c r="ES49" i="5"/>
  <c r="ES4" i="5"/>
  <c r="ES121" i="5"/>
  <c r="ES162" i="5"/>
  <c r="ES38" i="5"/>
  <c r="ES24" i="5"/>
  <c r="ES96" i="5"/>
  <c r="ES172" i="5"/>
  <c r="ES154" i="5"/>
  <c r="ES133" i="5"/>
  <c r="ES143" i="5"/>
  <c r="ES54" i="5"/>
  <c r="ES123" i="5"/>
  <c r="ES178" i="5"/>
  <c r="U66" i="10"/>
  <c r="U139" i="10"/>
  <c r="U155" i="10"/>
  <c r="U100" i="10"/>
  <c r="U36" i="10"/>
  <c r="U22" i="10"/>
  <c r="U24" i="10"/>
  <c r="U44" i="10"/>
  <c r="U60" i="10"/>
  <c r="U74" i="10"/>
  <c r="U38" i="10"/>
  <c r="U56" i="10"/>
  <c r="U83" i="10"/>
  <c r="U154" i="10"/>
  <c r="U92" i="10"/>
  <c r="U159" i="10"/>
  <c r="U169" i="10"/>
  <c r="U117" i="10"/>
  <c r="U77" i="10"/>
  <c r="U40" i="10"/>
  <c r="U39" i="10"/>
  <c r="U50" i="10"/>
  <c r="U80" i="10"/>
  <c r="U174" i="10"/>
  <c r="U126" i="10"/>
  <c r="U17" i="10"/>
  <c r="U21" i="10"/>
  <c r="U142" i="10"/>
  <c r="U96" i="10"/>
  <c r="U137" i="10"/>
  <c r="U8" i="10"/>
  <c r="U127" i="10"/>
  <c r="U79" i="10"/>
  <c r="U150" i="10"/>
  <c r="U97" i="10"/>
  <c r="U125" i="10"/>
  <c r="U41" i="10"/>
  <c r="U132" i="10"/>
  <c r="U166" i="10"/>
  <c r="U129" i="10"/>
  <c r="U76" i="10"/>
  <c r="U124" i="10"/>
  <c r="U110" i="10"/>
  <c r="U145" i="10"/>
  <c r="U94" i="10"/>
  <c r="U42" i="10"/>
  <c r="U138" i="10"/>
  <c r="U78" i="10"/>
  <c r="U167" i="10"/>
  <c r="U3" i="10"/>
  <c r="U153" i="10"/>
  <c r="U173" i="10"/>
  <c r="U53" i="10"/>
  <c r="ES89" i="5"/>
  <c r="ES167" i="5"/>
  <c r="U170" i="10"/>
  <c r="ES93" i="5"/>
  <c r="ES55" i="5"/>
  <c r="ES131" i="5"/>
  <c r="ES25" i="5"/>
  <c r="ES10" i="5"/>
  <c r="ES130" i="5"/>
  <c r="ES173" i="5"/>
  <c r="ES77" i="5"/>
  <c r="ES20" i="5"/>
  <c r="ES174" i="5"/>
  <c r="ES145" i="5"/>
  <c r="ES84" i="5"/>
  <c r="U72" i="10"/>
  <c r="ES111" i="5"/>
  <c r="ES48" i="5"/>
  <c r="ES43" i="5"/>
  <c r="ES157" i="5"/>
  <c r="ES18" i="5"/>
  <c r="U165" i="10"/>
  <c r="ES61" i="5"/>
  <c r="U59" i="10"/>
  <c r="ES159" i="5"/>
  <c r="ES108" i="5"/>
  <c r="ES135" i="5"/>
  <c r="ES122" i="5"/>
  <c r="ES140" i="5"/>
  <c r="ES56" i="5"/>
  <c r="ES50" i="5"/>
  <c r="ES16" i="5"/>
  <c r="ES150" i="5"/>
  <c r="ES163" i="5"/>
  <c r="ES53" i="5"/>
  <c r="ES118" i="5"/>
  <c r="ES74" i="5"/>
  <c r="ES65" i="5"/>
  <c r="ES161" i="5"/>
  <c r="ES176" i="5"/>
  <c r="ES47" i="5"/>
  <c r="U176" i="10"/>
  <c r="U87" i="10"/>
  <c r="ES138" i="5"/>
  <c r="U146" i="8"/>
  <c r="U8" i="8"/>
  <c r="U37" i="8"/>
  <c r="U63" i="8"/>
  <c r="U11" i="8"/>
  <c r="U28" i="8"/>
  <c r="U57" i="8"/>
  <c r="U4" i="8"/>
  <c r="U10" i="8"/>
  <c r="U158" i="8"/>
  <c r="U34" i="8"/>
  <c r="U4" i="7"/>
  <c r="U89" i="7"/>
  <c r="U12" i="7"/>
  <c r="U29" i="7"/>
  <c r="U170" i="7"/>
  <c r="U61" i="7"/>
  <c r="U113" i="7"/>
  <c r="U172" i="7"/>
  <c r="U36" i="7"/>
  <c r="U92" i="7"/>
  <c r="U140" i="8"/>
  <c r="U98" i="7"/>
  <c r="U71" i="8"/>
  <c r="U155" i="7"/>
  <c r="U79" i="8"/>
  <c r="U32" i="8"/>
  <c r="U61" i="8"/>
  <c r="U62" i="8"/>
  <c r="U56" i="8"/>
  <c r="U85" i="8"/>
  <c r="U174" i="8"/>
  <c r="U112" i="8"/>
  <c r="U53" i="8"/>
  <c r="U156" i="8"/>
  <c r="U19" i="7"/>
  <c r="U10" i="7"/>
  <c r="U140" i="7"/>
  <c r="U100" i="7"/>
  <c r="U91" i="7"/>
  <c r="U54" i="7"/>
  <c r="U39" i="7"/>
  <c r="U22" i="7"/>
  <c r="U139" i="7"/>
  <c r="U50" i="7"/>
  <c r="U176" i="7"/>
  <c r="U59" i="7"/>
  <c r="U169" i="8"/>
  <c r="U81" i="8"/>
  <c r="U88" i="8"/>
  <c r="U46" i="7"/>
  <c r="U57" i="7"/>
  <c r="U128" i="8"/>
  <c r="U55" i="10"/>
  <c r="U33" i="10"/>
  <c r="U147" i="10"/>
  <c r="U93" i="10"/>
  <c r="U161" i="10"/>
  <c r="U134" i="10"/>
  <c r="U163" i="10"/>
  <c r="U133" i="10"/>
  <c r="U9" i="10"/>
  <c r="BR171" i="4"/>
  <c r="U115" i="10"/>
  <c r="U23" i="10"/>
  <c r="U151" i="10"/>
  <c r="U18" i="10"/>
  <c r="U140" i="10"/>
  <c r="U12" i="10"/>
  <c r="U88" i="10"/>
  <c r="U19" i="10"/>
  <c r="U52" i="10"/>
  <c r="U37" i="10"/>
  <c r="U20" i="10"/>
  <c r="U107" i="10"/>
  <c r="U101" i="10"/>
  <c r="U121" i="10"/>
  <c r="U108" i="10"/>
  <c r="U40" i="7"/>
  <c r="U45" i="7"/>
  <c r="EX160" i="5"/>
  <c r="EX119" i="5"/>
  <c r="EX40" i="5"/>
  <c r="EX152" i="5"/>
  <c r="EX80" i="5"/>
  <c r="EX102" i="5"/>
  <c r="EX61" i="5"/>
  <c r="EX163" i="5"/>
  <c r="EX105" i="5"/>
  <c r="EX7" i="5"/>
  <c r="EX84" i="5"/>
  <c r="EX10" i="5"/>
  <c r="EX100" i="5"/>
  <c r="EX174" i="5"/>
  <c r="EX4" i="5"/>
  <c r="EX176" i="5"/>
  <c r="EX135" i="5"/>
  <c r="EX29" i="5"/>
  <c r="EX131" i="5"/>
  <c r="EX97" i="5"/>
  <c r="EX15" i="5"/>
  <c r="EX74" i="5"/>
  <c r="EX20" i="5"/>
  <c r="EX90" i="5"/>
  <c r="EX134" i="5"/>
  <c r="EX88" i="5"/>
  <c r="EX122" i="5"/>
  <c r="EX149" i="5"/>
  <c r="EX161" i="5"/>
  <c r="EX173" i="5"/>
  <c r="EX42" i="5"/>
  <c r="EX26" i="5"/>
  <c r="EX142" i="5"/>
  <c r="EX137" i="5"/>
  <c r="EX96" i="5"/>
  <c r="EX114" i="5"/>
  <c r="EX111" i="5"/>
  <c r="EX46" i="5"/>
  <c r="EX87" i="5"/>
  <c r="EX125" i="5"/>
  <c r="EX59" i="5"/>
  <c r="EX159" i="5"/>
  <c r="EX153" i="5"/>
  <c r="EX50" i="5"/>
  <c r="EX78" i="5"/>
  <c r="EX106" i="5"/>
  <c r="EX6" i="5"/>
  <c r="EX89" i="5"/>
  <c r="EX143" i="5"/>
  <c r="EX94" i="5"/>
  <c r="EX73" i="5"/>
  <c r="EX39" i="5"/>
  <c r="EX144" i="5"/>
  <c r="EX5" i="5"/>
  <c r="EX58" i="5"/>
  <c r="EX36" i="5"/>
  <c r="EX156" i="5"/>
  <c r="EX71" i="5"/>
  <c r="EX166" i="5"/>
  <c r="EX123" i="5"/>
  <c r="EX86" i="5"/>
  <c r="EX65" i="5"/>
  <c r="EX47" i="5"/>
  <c r="EX154" i="5"/>
  <c r="EX17" i="5"/>
  <c r="EX168" i="5"/>
  <c r="EX48" i="5"/>
  <c r="EX112" i="5"/>
  <c r="EX138" i="5"/>
  <c r="EX76" i="5"/>
  <c r="EX104" i="5"/>
  <c r="EX115" i="5"/>
  <c r="EX133" i="5"/>
  <c r="EX66" i="5"/>
  <c r="EX162" i="5"/>
  <c r="EX67" i="5"/>
  <c r="EX23" i="5"/>
  <c r="EX70" i="5"/>
  <c r="EX167" i="5"/>
  <c r="EX24" i="5"/>
  <c r="EX128" i="5"/>
  <c r="EX129" i="5"/>
  <c r="EX64" i="5"/>
  <c r="EX170" i="5"/>
  <c r="EX93" i="5"/>
  <c r="EX31" i="5"/>
  <c r="EX16" i="5"/>
  <c r="EX85" i="5"/>
  <c r="EX14" i="5"/>
  <c r="EX72" i="5"/>
  <c r="BE9" i="2"/>
  <c r="AE11" i="21"/>
  <c r="BE4" i="2"/>
  <c r="AE6" i="21"/>
  <c r="BE7" i="2"/>
  <c r="AE9" i="21"/>
  <c r="BE3" i="2"/>
  <c r="B2" i="22" a="1"/>
  <c r="AE5" i="21"/>
  <c r="L1" i="24"/>
  <c r="L17" i="2"/>
  <c r="K79" i="2" s="1"/>
  <c r="AE10" i="21"/>
  <c r="BE11" i="2"/>
  <c r="AE13" i="21"/>
  <c r="C115" i="1"/>
  <c r="C117" i="1" s="1"/>
  <c r="C80" i="1"/>
  <c r="B80" i="1" s="1"/>
  <c r="E76" i="20"/>
  <c r="B76" i="20"/>
  <c r="D64" i="20"/>
  <c r="I76" i="20"/>
  <c r="G76" i="20"/>
  <c r="H76" i="20"/>
  <c r="C64" i="20"/>
  <c r="BI11" i="2" s="1"/>
  <c r="BJ11" i="2" s="1"/>
  <c r="D76" i="20"/>
  <c r="E64" i="20"/>
  <c r="H2" i="22"/>
  <c r="I2" i="22"/>
  <c r="F2" i="22"/>
  <c r="J2" i="22"/>
  <c r="K2" i="22"/>
  <c r="B2" i="22"/>
  <c r="D2" i="22"/>
  <c r="C2" i="22"/>
  <c r="G2" i="22"/>
  <c r="E2" i="22"/>
  <c r="K83" i="2"/>
  <c r="L79" i="2" a="1"/>
  <c r="L79" i="2" s="1"/>
  <c r="M79" i="2" s="1"/>
  <c r="K78" i="2"/>
  <c r="L83" i="2" a="1"/>
  <c r="L83" i="2" s="1"/>
  <c r="L78" i="2" a="1"/>
  <c r="L78" i="2" s="1"/>
  <c r="M78" i="2" s="1"/>
  <c r="L81" i="2" a="1"/>
  <c r="L81" i="2" s="1"/>
  <c r="AQ6" i="2" a="1"/>
  <c r="C257" i="22" a="1"/>
  <c r="C257" i="22" s="1"/>
  <c r="C246" i="22" s="1"/>
  <c r="C256" i="22" a="1"/>
  <c r="C256" i="22" s="1"/>
  <c r="C245" i="22" s="1"/>
  <c r="C25" i="30"/>
  <c r="C14" i="30"/>
  <c r="C32" i="30"/>
  <c r="C21" i="30"/>
  <c r="C26" i="30"/>
  <c r="C15" i="30"/>
  <c r="C253" i="22" a="1"/>
  <c r="C253" i="22" s="1"/>
  <c r="C242" i="22" s="1"/>
  <c r="C254" i="22" a="1"/>
  <c r="C254" i="22" s="1"/>
  <c r="C243" i="22" s="1"/>
  <c r="C255" i="22" a="1"/>
  <c r="C255" i="22" s="1"/>
  <c r="C244" i="22" s="1"/>
  <c r="C262" i="22" a="1"/>
  <c r="C262" i="22" s="1"/>
  <c r="C252" i="22" s="1"/>
  <c r="C260" i="22" a="1"/>
  <c r="C260" i="22" s="1"/>
  <c r="C250" i="22" s="1"/>
  <c r="C28" i="30"/>
  <c r="C17" i="30"/>
  <c r="C3" i="30"/>
  <c r="C4" i="30"/>
  <c r="C261" i="22" a="1"/>
  <c r="C261" i="22" s="1"/>
  <c r="C251" i="22" s="1"/>
  <c r="C30" i="30"/>
  <c r="C19" i="30"/>
  <c r="C2" i="30"/>
  <c r="C258" i="22" a="1"/>
  <c r="C258" i="22" s="1"/>
  <c r="C248" i="22" s="1"/>
  <c r="C7" i="30"/>
  <c r="C24" i="30"/>
  <c r="C13" i="30"/>
  <c r="C6" i="30"/>
  <c r="C10" i="30"/>
  <c r="C5" i="30"/>
  <c r="C259" i="22" a="1"/>
  <c r="C259" i="22" s="1"/>
  <c r="C249" i="22" s="1"/>
  <c r="C8" i="30"/>
  <c r="C31" i="30"/>
  <c r="C20" i="30"/>
  <c r="C29" i="30"/>
  <c r="C18" i="30"/>
  <c r="C27" i="30"/>
  <c r="C16" i="30"/>
  <c r="C9" i="30"/>
  <c r="D255" i="22" a="1"/>
  <c r="D255" i="22" s="1"/>
  <c r="D244" i="22" s="1"/>
  <c r="D256" i="22" a="1"/>
  <c r="D256" i="22" s="1"/>
  <c r="D245" i="22" s="1"/>
  <c r="D253" i="22" a="1"/>
  <c r="D253" i="22" s="1"/>
  <c r="D242" i="22" s="1"/>
  <c r="D26" i="30"/>
  <c r="D15" i="30"/>
  <c r="D10" i="30"/>
  <c r="D32" i="30"/>
  <c r="D21" i="30"/>
  <c r="D260" i="22" a="1"/>
  <c r="D260" i="22" s="1"/>
  <c r="D250" i="22" s="1"/>
  <c r="D2" i="30"/>
  <c r="D258" i="22" a="1"/>
  <c r="D258" i="22" s="1"/>
  <c r="D248" i="22" s="1"/>
  <c r="D30" i="30"/>
  <c r="D19" i="30"/>
  <c r="D3" i="30"/>
  <c r="D254" i="22" a="1"/>
  <c r="D254" i="22" s="1"/>
  <c r="D243" i="22" s="1"/>
  <c r="D257" i="22" a="1"/>
  <c r="D257" i="22" s="1"/>
  <c r="D246" i="22" s="1"/>
  <c r="D25" i="30"/>
  <c r="D14" i="30"/>
  <c r="D261" i="22" a="1"/>
  <c r="D261" i="22" s="1"/>
  <c r="D251" i="22" s="1"/>
  <c r="D4" i="30"/>
  <c r="D6" i="30"/>
  <c r="D28" i="30"/>
  <c r="D17" i="30"/>
  <c r="D8" i="30"/>
  <c r="D24" i="30"/>
  <c r="D13" i="30"/>
  <c r="D9" i="30"/>
  <c r="D7" i="30"/>
  <c r="D31" i="30"/>
  <c r="D20" i="30"/>
  <c r="D262" i="22" a="1"/>
  <c r="D262" i="22" s="1"/>
  <c r="D252" i="22" s="1"/>
  <c r="D259" i="22" a="1"/>
  <c r="D259" i="22" s="1"/>
  <c r="D249" i="22" s="1"/>
  <c r="D29" i="30"/>
  <c r="D18" i="30"/>
  <c r="D27" i="30"/>
  <c r="D16" i="30"/>
  <c r="D5" i="30"/>
  <c r="E257" i="22" a="1"/>
  <c r="E257" i="22" s="1"/>
  <c r="E246" i="22" s="1"/>
  <c r="E256" i="22" a="1"/>
  <c r="E256" i="22" s="1"/>
  <c r="E245" i="22" s="1"/>
  <c r="E253" i="22" a="1"/>
  <c r="E253" i="22" s="1"/>
  <c r="E242" i="22" s="1"/>
  <c r="E32" i="30"/>
  <c r="E21" i="30"/>
  <c r="E25" i="30"/>
  <c r="E14" i="30"/>
  <c r="E26" i="30"/>
  <c r="E15" i="30"/>
  <c r="E24" i="30"/>
  <c r="E13" i="30"/>
  <c r="E3" i="30"/>
  <c r="E261" i="22" a="1"/>
  <c r="E261" i="22" s="1"/>
  <c r="E251" i="22" s="1"/>
  <c r="E254" i="22" a="1"/>
  <c r="E254" i="22" s="1"/>
  <c r="E243" i="22" s="1"/>
  <c r="E10" i="30"/>
  <c r="E255" i="22" a="1"/>
  <c r="E255" i="22" s="1"/>
  <c r="E244" i="22" s="1"/>
  <c r="E30" i="30"/>
  <c r="E19" i="30"/>
  <c r="E258" i="22" a="1"/>
  <c r="E258" i="22" s="1"/>
  <c r="E248" i="22" s="1"/>
  <c r="E28" i="30"/>
  <c r="E17" i="30"/>
  <c r="E5" i="30"/>
  <c r="E6" i="30"/>
  <c r="E260" i="22" a="1"/>
  <c r="E260" i="22" s="1"/>
  <c r="E250" i="22" s="1"/>
  <c r="E2" i="30"/>
  <c r="E8" i="30"/>
  <c r="E262" i="22" a="1"/>
  <c r="E262" i="22" s="1"/>
  <c r="E252" i="22" s="1"/>
  <c r="E27" i="30"/>
  <c r="E16" i="30"/>
  <c r="E259" i="22" a="1"/>
  <c r="E259" i="22" s="1"/>
  <c r="E249" i="22" s="1"/>
  <c r="E29" i="30"/>
  <c r="E18" i="30"/>
  <c r="E31" i="30"/>
  <c r="E20" i="30"/>
  <c r="E4" i="30"/>
  <c r="E7" i="30"/>
  <c r="E9" i="30"/>
  <c r="F259" i="22" a="1"/>
  <c r="F259" i="22" s="1"/>
  <c r="F249" i="22" s="1"/>
  <c r="F10" i="30"/>
  <c r="F257" i="22" a="1"/>
  <c r="F257" i="22" s="1"/>
  <c r="F246" i="22" s="1"/>
  <c r="F254" i="22" a="1"/>
  <c r="F254" i="22" s="1"/>
  <c r="F243" i="22" s="1"/>
  <c r="F8" i="30"/>
  <c r="F6" i="30"/>
  <c r="F262" i="22" a="1"/>
  <c r="F262" i="22" s="1"/>
  <c r="F252" i="22" s="1"/>
  <c r="F256" i="22" a="1"/>
  <c r="F256" i="22" s="1"/>
  <c r="F245" i="22" s="1"/>
  <c r="F253" i="22" a="1"/>
  <c r="F253" i="22" s="1"/>
  <c r="F242" i="22" s="1"/>
  <c r="F31" i="30"/>
  <c r="F20" i="30"/>
  <c r="F255" i="22" a="1"/>
  <c r="F255" i="22" s="1"/>
  <c r="F244" i="22" s="1"/>
  <c r="F28" i="30"/>
  <c r="F17" i="30"/>
  <c r="F9" i="30"/>
  <c r="F30" i="30"/>
  <c r="F19" i="30"/>
  <c r="F5" i="30"/>
  <c r="F25" i="30"/>
  <c r="F14" i="30"/>
  <c r="F3" i="30"/>
  <c r="F7" i="30"/>
  <c r="F32" i="30"/>
  <c r="F21" i="30"/>
  <c r="F258" i="22" a="1"/>
  <c r="F258" i="22" s="1"/>
  <c r="F248" i="22" s="1"/>
  <c r="F2" i="30"/>
  <c r="F260" i="22" a="1"/>
  <c r="F260" i="22" s="1"/>
  <c r="F250" i="22" s="1"/>
  <c r="F24" i="30"/>
  <c r="F13" i="30"/>
  <c r="F29" i="30"/>
  <c r="F18" i="30"/>
  <c r="F27" i="30"/>
  <c r="F16" i="30"/>
  <c r="F4" i="30"/>
  <c r="F26" i="30"/>
  <c r="F15" i="30"/>
  <c r="F261" i="22" a="1"/>
  <c r="F261" i="22" s="1"/>
  <c r="F251" i="22" s="1"/>
  <c r="G262" i="22" a="1"/>
  <c r="G262" i="22" s="1"/>
  <c r="G252" i="22" s="1"/>
  <c r="G6" i="30"/>
  <c r="G32" i="30"/>
  <c r="G21" i="30"/>
  <c r="G8" i="30"/>
  <c r="G10" i="30"/>
  <c r="G257" i="22" a="1"/>
  <c r="G257" i="22" s="1"/>
  <c r="G246" i="22" s="1"/>
  <c r="G261" i="22" a="1"/>
  <c r="G261" i="22" s="1"/>
  <c r="G251" i="22" s="1"/>
  <c r="G254" i="22" a="1"/>
  <c r="G254" i="22" s="1"/>
  <c r="G243" i="22" s="1"/>
  <c r="G255" i="22" a="1"/>
  <c r="G255" i="22" s="1"/>
  <c r="G244" i="22" s="1"/>
  <c r="G7" i="30"/>
  <c r="G30" i="30"/>
  <c r="G19" i="30"/>
  <c r="G29" i="30"/>
  <c r="G18" i="30"/>
  <c r="G3" i="30"/>
  <c r="G9" i="30"/>
  <c r="G253" i="22" a="1"/>
  <c r="G253" i="22" s="1"/>
  <c r="G242" i="22" s="1"/>
  <c r="G31" i="30"/>
  <c r="G20" i="30"/>
  <c r="G25" i="30"/>
  <c r="G14" i="30"/>
  <c r="G26" i="30"/>
  <c r="G15" i="30"/>
  <c r="G2" i="30"/>
  <c r="G258" i="22" a="1"/>
  <c r="G258" i="22" s="1"/>
  <c r="G248" i="22" s="1"/>
  <c r="G28" i="30"/>
  <c r="G17" i="30"/>
  <c r="G256" i="22" a="1"/>
  <c r="G256" i="22" s="1"/>
  <c r="G245" i="22" s="1"/>
  <c r="G259" i="22" a="1"/>
  <c r="G259" i="22" s="1"/>
  <c r="G249" i="22" s="1"/>
  <c r="G4" i="30"/>
  <c r="G5" i="30"/>
  <c r="G27" i="30"/>
  <c r="G16" i="30"/>
  <c r="G260" i="22" a="1"/>
  <c r="G260" i="22" s="1"/>
  <c r="G250" i="22" s="1"/>
  <c r="G24" i="30"/>
  <c r="G13" i="30"/>
  <c r="H257" i="22" a="1"/>
  <c r="H257" i="22" s="1"/>
  <c r="H246" i="22" s="1"/>
  <c r="H260" i="22" a="1"/>
  <c r="H260" i="22" s="1"/>
  <c r="H250" i="22" s="1"/>
  <c r="H255" i="22" a="1"/>
  <c r="H255" i="22" s="1"/>
  <c r="H244" i="22" s="1"/>
  <c r="H254" i="22" a="1"/>
  <c r="H254" i="22" s="1"/>
  <c r="H243" i="22" s="1"/>
  <c r="H258" i="22" a="1"/>
  <c r="H258" i="22" s="1"/>
  <c r="H248" i="22" s="1"/>
  <c r="H10" i="30"/>
  <c r="H253" i="22" a="1"/>
  <c r="H253" i="22" s="1"/>
  <c r="H242" i="22" s="1"/>
  <c r="H4" i="30"/>
  <c r="H6" i="30"/>
  <c r="H32" i="30"/>
  <c r="H21" i="30"/>
  <c r="H3" i="30"/>
  <c r="H259" i="22" a="1"/>
  <c r="H259" i="22" s="1"/>
  <c r="H249" i="22" s="1"/>
  <c r="H26" i="30"/>
  <c r="H15" i="30"/>
  <c r="H31" i="30"/>
  <c r="H20" i="30"/>
  <c r="H262" i="22" a="1"/>
  <c r="H262" i="22" s="1"/>
  <c r="H252" i="22" s="1"/>
  <c r="H28" i="30"/>
  <c r="H17" i="30"/>
  <c r="H9" i="30"/>
  <c r="H256" i="22" a="1"/>
  <c r="H256" i="22" s="1"/>
  <c r="H245" i="22" s="1"/>
  <c r="H8" i="30"/>
  <c r="H5" i="30"/>
  <c r="H24" i="30"/>
  <c r="H13" i="30"/>
  <c r="H25" i="30"/>
  <c r="H14" i="30"/>
  <c r="H30" i="30"/>
  <c r="H19" i="30"/>
  <c r="H29" i="30"/>
  <c r="H18" i="30"/>
  <c r="H7" i="30"/>
  <c r="H261" i="22" a="1"/>
  <c r="H261" i="22" s="1"/>
  <c r="H251" i="22" s="1"/>
  <c r="H2" i="30"/>
  <c r="H27" i="30"/>
  <c r="H16" i="30"/>
  <c r="I255" i="22" a="1"/>
  <c r="I255" i="22" s="1"/>
  <c r="I244" i="22" s="1"/>
  <c r="I253" i="22" a="1"/>
  <c r="I253" i="22" s="1"/>
  <c r="I242" i="22" s="1"/>
  <c r="I256" i="22" a="1"/>
  <c r="I256" i="22" s="1"/>
  <c r="I245" i="22" s="1"/>
  <c r="I10" i="30"/>
  <c r="I257" i="22" a="1"/>
  <c r="I257" i="22" s="1"/>
  <c r="I246" i="22" s="1"/>
  <c r="I32" i="30"/>
  <c r="I21" i="30"/>
  <c r="I254" i="22" a="1"/>
  <c r="I254" i="22" s="1"/>
  <c r="I243" i="22" s="1"/>
  <c r="I260" i="22" a="1"/>
  <c r="I260" i="22" s="1"/>
  <c r="I250" i="22" s="1"/>
  <c r="I26" i="30"/>
  <c r="I15" i="30"/>
  <c r="I262" i="22" a="1"/>
  <c r="I262" i="22" s="1"/>
  <c r="I252" i="22" s="1"/>
  <c r="I25" i="30"/>
  <c r="I14" i="30"/>
  <c r="I24" i="30"/>
  <c r="I13" i="30"/>
  <c r="I258" i="22" a="1"/>
  <c r="I258" i="22" s="1"/>
  <c r="I248" i="22" s="1"/>
  <c r="I3" i="30"/>
  <c r="I261" i="22" a="1"/>
  <c r="I261" i="22" s="1"/>
  <c r="I251" i="22" s="1"/>
  <c r="I4" i="30"/>
  <c r="I259" i="22" a="1"/>
  <c r="I259" i="22" s="1"/>
  <c r="I249" i="22" s="1"/>
  <c r="I7" i="30"/>
  <c r="I28" i="30"/>
  <c r="I17" i="30"/>
  <c r="I31" i="30"/>
  <c r="I20" i="30"/>
  <c r="I29" i="30"/>
  <c r="I18" i="30"/>
  <c r="I27" i="30"/>
  <c r="I16" i="30"/>
  <c r="I30" i="30"/>
  <c r="I19" i="30"/>
  <c r="I5" i="30"/>
  <c r="I2" i="30"/>
  <c r="I6" i="30"/>
  <c r="I8" i="30"/>
  <c r="I9" i="30"/>
  <c r="J253" i="22" a="1"/>
  <c r="J253" i="22" s="1"/>
  <c r="J242" i="22" s="1"/>
  <c r="J254" i="22" a="1"/>
  <c r="J254" i="22" s="1"/>
  <c r="J243" i="22" s="1"/>
  <c r="J255" i="22" a="1"/>
  <c r="J255" i="22" s="1"/>
  <c r="J244" i="22" s="1"/>
  <c r="J257" i="22" a="1"/>
  <c r="J257" i="22" s="1"/>
  <c r="J246" i="22" s="1"/>
  <c r="J256" i="22" a="1"/>
  <c r="J256" i="22" s="1"/>
  <c r="J245" i="22" s="1"/>
  <c r="J6" i="30"/>
  <c r="J260" i="22" a="1"/>
  <c r="J260" i="22" s="1"/>
  <c r="J250" i="22" s="1"/>
  <c r="J28" i="30"/>
  <c r="J17" i="30"/>
  <c r="J25" i="30"/>
  <c r="J14" i="30"/>
  <c r="J3" i="30"/>
  <c r="J26" i="30"/>
  <c r="J15" i="30"/>
  <c r="J261" i="22" a="1"/>
  <c r="J261" i="22" s="1"/>
  <c r="J251" i="22" s="1"/>
  <c r="J262" i="22" a="1"/>
  <c r="J262" i="22" s="1"/>
  <c r="J252" i="22" s="1"/>
  <c r="J259" i="22" a="1"/>
  <c r="J259" i="22" s="1"/>
  <c r="J249" i="22" s="1"/>
  <c r="J29" i="30"/>
  <c r="J18" i="30"/>
  <c r="J31" i="30"/>
  <c r="J20" i="30"/>
  <c r="J27" i="30"/>
  <c r="J16" i="30"/>
  <c r="J9" i="30"/>
  <c r="J8" i="30"/>
  <c r="J4" i="30"/>
  <c r="J5" i="30"/>
  <c r="J30" i="30"/>
  <c r="J19" i="30"/>
  <c r="J258" i="22" a="1"/>
  <c r="J258" i="22" s="1"/>
  <c r="J248" i="22" s="1"/>
  <c r="J2" i="30"/>
  <c r="J7" i="30"/>
  <c r="J10" i="30"/>
  <c r="J32" i="30"/>
  <c r="J21" i="30"/>
  <c r="J24" i="30"/>
  <c r="J13" i="30"/>
  <c r="BH8" i="2"/>
  <c r="BH7" i="2"/>
  <c r="BH9" i="2"/>
  <c r="BH4" i="2"/>
  <c r="BH11" i="2"/>
  <c r="BH12" i="2"/>
  <c r="BH5" i="2"/>
  <c r="BH10" i="2"/>
  <c r="BH6" i="2"/>
  <c r="BH3" i="2"/>
  <c r="BG3" i="2"/>
  <c r="G13" i="20"/>
  <c r="K21" i="30"/>
  <c r="E13" i="20"/>
  <c r="K254" i="22" a="1"/>
  <c r="K254" i="22" s="1"/>
  <c r="K243" i="22" s="1"/>
  <c r="K256" i="22" a="1"/>
  <c r="K256" i="22" s="1"/>
  <c r="K245" i="22" s="1"/>
  <c r="K32" i="30"/>
  <c r="F13" i="20"/>
  <c r="G9" i="20"/>
  <c r="K17" i="30"/>
  <c r="G6" i="20"/>
  <c r="K14" i="30"/>
  <c r="E6" i="20"/>
  <c r="G5" i="20"/>
  <c r="K13" i="30"/>
  <c r="G10" i="20"/>
  <c r="K18" i="30"/>
  <c r="K259" i="22" a="1"/>
  <c r="K259" i="22" s="1"/>
  <c r="K249" i="22" s="1"/>
  <c r="G11" i="20"/>
  <c r="K19" i="30"/>
  <c r="E11" i="20"/>
  <c r="K255" i="22" a="1"/>
  <c r="K255" i="22" s="1"/>
  <c r="K244" i="22" s="1"/>
  <c r="K257" i="22" a="1"/>
  <c r="K257" i="22" s="1"/>
  <c r="K246" i="22" s="1"/>
  <c r="G7" i="20"/>
  <c r="K15" i="30"/>
  <c r="K10" i="30"/>
  <c r="H10" i="18"/>
  <c r="B38" i="20" s="1"/>
  <c r="K253" i="22" a="1"/>
  <c r="K253" i="22" s="1"/>
  <c r="K242" i="22" s="1"/>
  <c r="G8" i="20"/>
  <c r="K16" i="30"/>
  <c r="K24" i="30"/>
  <c r="F5" i="20"/>
  <c r="H4" i="18"/>
  <c r="B32" i="20" s="1"/>
  <c r="K4" i="30"/>
  <c r="H3" i="18"/>
  <c r="B31" i="20" s="1"/>
  <c r="K3" i="30"/>
  <c r="G12" i="20"/>
  <c r="K20" i="30"/>
  <c r="E12" i="20"/>
  <c r="K29" i="30"/>
  <c r="F10" i="20"/>
  <c r="K6" i="30"/>
  <c r="H6" i="18"/>
  <c r="B34" i="20" s="1"/>
  <c r="K261" i="22" a="1"/>
  <c r="K261" i="22" s="1"/>
  <c r="K251" i="22" s="1"/>
  <c r="K27" i="30"/>
  <c r="F8" i="20"/>
  <c r="K25" i="30"/>
  <c r="F6" i="20"/>
  <c r="F9" i="20"/>
  <c r="K28" i="30"/>
  <c r="K258" i="22" a="1"/>
  <c r="K258" i="22" s="1"/>
  <c r="K248" i="22" s="1"/>
  <c r="K262" i="22" a="1"/>
  <c r="K262" i="22" s="1"/>
  <c r="K252" i="22" s="1"/>
  <c r="K26" i="30"/>
  <c r="F7" i="20"/>
  <c r="K30" i="30"/>
  <c r="F11" i="20"/>
  <c r="K7" i="30"/>
  <c r="H7" i="18"/>
  <c r="B35" i="20" s="1"/>
  <c r="K260" i="22" a="1"/>
  <c r="K260" i="22" s="1"/>
  <c r="K250" i="22" s="1"/>
  <c r="H2" i="18"/>
  <c r="B30" i="20" s="1"/>
  <c r="K2" i="30"/>
  <c r="H5" i="18"/>
  <c r="B33" i="20" s="1"/>
  <c r="K5" i="30"/>
  <c r="H8" i="18"/>
  <c r="B36" i="20" s="1"/>
  <c r="K8" i="30"/>
  <c r="K9" i="30"/>
  <c r="H9" i="18"/>
  <c r="B37" i="20" s="1"/>
  <c r="K31" i="30"/>
  <c r="F12" i="20"/>
  <c r="B60" i="20"/>
  <c r="B64" i="20"/>
  <c r="B56" i="20"/>
  <c r="B65" i="20"/>
  <c r="B62" i="20"/>
  <c r="B61" i="20"/>
  <c r="B63" i="20"/>
  <c r="B59" i="20"/>
  <c r="B58" i="20"/>
  <c r="B57" i="20"/>
  <c r="O4" i="23"/>
  <c r="O10" i="23"/>
  <c r="O6" i="23"/>
  <c r="O8" i="23"/>
  <c r="O11" i="23"/>
  <c r="O7" i="23"/>
  <c r="O9" i="23"/>
  <c r="O5" i="23"/>
  <c r="O12" i="23"/>
  <c r="O13" i="23"/>
  <c r="N13" i="23"/>
  <c r="M9" i="23"/>
  <c r="M5" i="23"/>
  <c r="M11" i="23"/>
  <c r="M7" i="23"/>
  <c r="M10" i="23"/>
  <c r="M6" i="23"/>
  <c r="M13" i="23"/>
  <c r="N12" i="23"/>
  <c r="N8" i="23"/>
  <c r="N4" i="23"/>
  <c r="L9" i="23"/>
  <c r="L5" i="23"/>
  <c r="N10" i="23"/>
  <c r="N6" i="23"/>
  <c r="N5" i="23"/>
  <c r="L7" i="23"/>
  <c r="L13" i="23"/>
  <c r="M12" i="23"/>
  <c r="M8" i="23"/>
  <c r="M4" i="23"/>
  <c r="L11" i="23"/>
  <c r="L10" i="23"/>
  <c r="L6" i="23"/>
  <c r="N11" i="23"/>
  <c r="N7" i="23"/>
  <c r="L12" i="23"/>
  <c r="L8" i="23"/>
  <c r="N9" i="23"/>
  <c r="L4" i="23"/>
  <c r="R12" i="23"/>
  <c r="S12" i="23"/>
  <c r="Q12" i="23"/>
  <c r="S13" i="23"/>
  <c r="R13" i="23"/>
  <c r="Q13" i="23"/>
  <c r="R11" i="23"/>
  <c r="S11" i="23"/>
  <c r="Q11" i="23"/>
  <c r="R7" i="23"/>
  <c r="S7" i="23"/>
  <c r="Q7" i="23"/>
  <c r="S6" i="23"/>
  <c r="R6" i="23"/>
  <c r="Q6" i="23"/>
  <c r="S10" i="23"/>
  <c r="R10" i="23"/>
  <c r="Q10" i="23"/>
  <c r="S9" i="23"/>
  <c r="R9" i="23"/>
  <c r="Q9" i="23"/>
  <c r="S5" i="23"/>
  <c r="R5" i="23"/>
  <c r="Q5" i="23"/>
  <c r="R8" i="23"/>
  <c r="S8" i="23"/>
  <c r="Q8" i="23"/>
  <c r="S4" i="23"/>
  <c r="R4" i="23"/>
  <c r="Q4" i="23"/>
  <c r="B254" i="22" a="1"/>
  <c r="B254" i="22" s="1"/>
  <c r="B243" i="22" s="1"/>
  <c r="B255" i="22" a="1"/>
  <c r="B255" i="22" s="1"/>
  <c r="B244" i="22" s="1"/>
  <c r="B262" i="22" a="1"/>
  <c r="B262" i="22" s="1"/>
  <c r="B252" i="22" s="1"/>
  <c r="B256" i="22" a="1"/>
  <c r="B256" i="22" s="1"/>
  <c r="B245" i="22" s="1"/>
  <c r="B261" i="22" a="1"/>
  <c r="B261" i="22" s="1"/>
  <c r="B251" i="22" s="1"/>
  <c r="B253" i="22" a="1"/>
  <c r="B253" i="22" s="1"/>
  <c r="B242" i="22" s="1"/>
  <c r="B258" i="22" a="1"/>
  <c r="B258" i="22" s="1"/>
  <c r="B248" i="22" s="1"/>
  <c r="B259" i="22" a="1"/>
  <c r="B259" i="22" s="1"/>
  <c r="B249" i="22" s="1"/>
  <c r="B257" i="22" a="1"/>
  <c r="B257" i="22" s="1"/>
  <c r="B246" i="22" s="1"/>
  <c r="K11" i="20"/>
  <c r="B8" i="30"/>
  <c r="K8" i="20"/>
  <c r="B5" i="30"/>
  <c r="B9" i="30"/>
  <c r="K12" i="20"/>
  <c r="B30" i="30"/>
  <c r="B19" i="30"/>
  <c r="K7" i="20"/>
  <c r="B4" i="30"/>
  <c r="B260" i="22" a="1"/>
  <c r="B260" i="22" s="1"/>
  <c r="B250" i="22" s="1"/>
  <c r="K6" i="20"/>
  <c r="B3" i="30"/>
  <c r="B26" i="30"/>
  <c r="B15" i="30"/>
  <c r="B32" i="30"/>
  <c r="B21" i="30"/>
  <c r="B28" i="30"/>
  <c r="B17" i="30"/>
  <c r="B25" i="30"/>
  <c r="B14" i="30"/>
  <c r="B27" i="30"/>
  <c r="B16" i="30"/>
  <c r="K13" i="20"/>
  <c r="B10" i="30"/>
  <c r="K9" i="20"/>
  <c r="B6" i="30"/>
  <c r="B7" i="30"/>
  <c r="K10" i="20"/>
  <c r="B24" i="30"/>
  <c r="B13" i="30"/>
  <c r="B31" i="30"/>
  <c r="B20" i="30"/>
  <c r="B29" i="30"/>
  <c r="B18" i="30"/>
  <c r="K5" i="20"/>
  <c r="B2" i="30"/>
  <c r="BG12" i="2"/>
  <c r="BG10" i="2"/>
  <c r="BG11" i="2"/>
  <c r="BG4" i="2"/>
  <c r="BG5" i="2"/>
  <c r="BG8" i="2"/>
  <c r="BG9" i="2"/>
  <c r="BG7" i="2"/>
  <c r="BG6" i="2"/>
  <c r="I9" i="18"/>
  <c r="C37" i="20" s="1"/>
  <c r="I4" i="18"/>
  <c r="C32" i="20" s="1"/>
  <c r="I7" i="18"/>
  <c r="C35" i="20" s="1"/>
  <c r="I6" i="18"/>
  <c r="C34" i="20" s="1"/>
  <c r="I3" i="18"/>
  <c r="C31" i="20" s="1"/>
  <c r="I8" i="18"/>
  <c r="C36" i="20" s="1"/>
  <c r="I10" i="18"/>
  <c r="C38" i="20" s="1"/>
  <c r="B9" i="18"/>
  <c r="B10" i="18"/>
  <c r="B5" i="20"/>
  <c r="B5" i="18"/>
  <c r="B6" i="18"/>
  <c r="B4" i="18"/>
  <c r="B3" i="18"/>
  <c r="C2" i="18"/>
  <c r="M2" i="18"/>
  <c r="G30" i="20" s="1"/>
  <c r="B7" i="20"/>
  <c r="B14" i="20"/>
  <c r="N2" i="18"/>
  <c r="H30" i="20" s="1"/>
  <c r="B8" i="20"/>
  <c r="B13" i="20"/>
  <c r="L2" i="18"/>
  <c r="F30" i="20" s="1"/>
  <c r="I11" i="18"/>
  <c r="C39" i="20" s="1"/>
  <c r="B8" i="18"/>
  <c r="AD76" i="2" a="1"/>
  <c r="AD76" i="2" s="1"/>
  <c r="B7" i="18"/>
  <c r="I2" i="18"/>
  <c r="C30" i="20" s="1"/>
  <c r="B11" i="18"/>
  <c r="K2" i="18"/>
  <c r="E30" i="20" s="1"/>
  <c r="B9" i="20"/>
  <c r="AD85" i="2" a="1"/>
  <c r="AD85" i="2" s="1"/>
  <c r="AE85" i="2" s="1" a="1"/>
  <c r="AE85" i="2" s="1"/>
  <c r="B11" i="20"/>
  <c r="B10" i="20"/>
  <c r="K4" i="18"/>
  <c r="E32" i="20" s="1"/>
  <c r="L5" i="18"/>
  <c r="F33" i="20" s="1"/>
  <c r="N4" i="18"/>
  <c r="H32" i="20" s="1"/>
  <c r="C11" i="18"/>
  <c r="M4" i="18"/>
  <c r="G32" i="20" s="1"/>
  <c r="I5" i="18"/>
  <c r="C33" i="20" s="1"/>
  <c r="B2" i="18"/>
  <c r="AD82" i="2" a="1"/>
  <c r="AD82" i="2" s="1"/>
  <c r="AE82" i="2" s="1" a="1"/>
  <c r="AE82" i="2" s="1"/>
  <c r="B12" i="20"/>
  <c r="N11" i="18"/>
  <c r="H39" i="20" s="1"/>
  <c r="C10" i="18"/>
  <c r="K9" i="18"/>
  <c r="E37" i="20" s="1"/>
  <c r="C9" i="18"/>
  <c r="M7" i="18"/>
  <c r="G35" i="20" s="1"/>
  <c r="F78" i="20"/>
  <c r="K11" i="18"/>
  <c r="E39" i="20" s="1"/>
  <c r="N3" i="18"/>
  <c r="H31" i="20" s="1"/>
  <c r="C6" i="18"/>
  <c r="M11" i="18"/>
  <c r="G39" i="20" s="1"/>
  <c r="N9" i="18"/>
  <c r="H37" i="20" s="1"/>
  <c r="C5" i="18"/>
  <c r="AD77" i="2" a="1"/>
  <c r="AD77" i="2" s="1"/>
  <c r="B6" i="20"/>
  <c r="N6" i="18"/>
  <c r="H34" i="20" s="1"/>
  <c r="L11" i="18"/>
  <c r="F39" i="20" s="1"/>
  <c r="L7" i="18"/>
  <c r="F35" i="20" s="1"/>
  <c r="K6" i="18"/>
  <c r="E34" i="20" s="1"/>
  <c r="L8" i="18"/>
  <c r="F36" i="20" s="1"/>
  <c r="L10" i="18"/>
  <c r="F38" i="20" s="1"/>
  <c r="K26" i="22"/>
  <c r="C70" i="22"/>
  <c r="E45" i="22"/>
  <c r="K38" i="22"/>
  <c r="J71" i="22"/>
  <c r="J17" i="22"/>
  <c r="K82" i="22"/>
  <c r="G67" i="22"/>
  <c r="I71" i="22"/>
  <c r="I86" i="22"/>
  <c r="B62" i="22"/>
  <c r="J6" i="22"/>
  <c r="H67" i="22"/>
  <c r="J42" i="22"/>
  <c r="J30" i="22"/>
  <c r="I55" i="22"/>
  <c r="H59" i="22"/>
  <c r="I94" i="22"/>
  <c r="G56" i="22"/>
  <c r="D53" i="22"/>
  <c r="E53" i="22"/>
  <c r="F84" i="22"/>
  <c r="B90" i="22"/>
  <c r="D58" i="22"/>
  <c r="I36" i="22"/>
  <c r="K91" i="22"/>
  <c r="E44" i="22"/>
  <c r="G26" i="22"/>
  <c r="F95" i="22"/>
  <c r="D83" i="22"/>
  <c r="I26" i="22"/>
  <c r="G38" i="22"/>
  <c r="F31" i="22"/>
  <c r="K27" i="22"/>
  <c r="I37" i="22"/>
  <c r="B97" i="22"/>
  <c r="E42" i="22"/>
  <c r="H33" i="22"/>
  <c r="G100" i="22"/>
  <c r="J9" i="22"/>
  <c r="I66" i="22"/>
  <c r="C43" i="22"/>
  <c r="G49" i="22"/>
  <c r="J33" i="22"/>
  <c r="I22" i="22"/>
  <c r="I58" i="22"/>
  <c r="F25" i="22"/>
  <c r="D64" i="22"/>
  <c r="E38" i="22"/>
  <c r="E66" i="22"/>
  <c r="C19" i="22"/>
  <c r="E71" i="22"/>
  <c r="E58" i="22"/>
  <c r="C59" i="22"/>
  <c r="I69" i="22"/>
  <c r="K11" i="22"/>
  <c r="E63" i="22"/>
  <c r="I32" i="22"/>
  <c r="D50" i="22"/>
  <c r="B101" i="22"/>
  <c r="C79" i="22"/>
  <c r="J65" i="22"/>
  <c r="H93" i="22"/>
  <c r="C89" i="22"/>
  <c r="D88" i="22"/>
  <c r="G88" i="22"/>
  <c r="H79" i="22"/>
  <c r="E57" i="22"/>
  <c r="F75" i="22"/>
  <c r="J59" i="22"/>
  <c r="J90" i="22"/>
  <c r="G54" i="22"/>
  <c r="H11" i="22"/>
  <c r="E25" i="22"/>
  <c r="G78" i="22"/>
  <c r="K51" i="22"/>
  <c r="B6" i="22"/>
  <c r="C40" i="22"/>
  <c r="D32" i="22"/>
  <c r="C49" i="22"/>
  <c r="H70" i="22"/>
  <c r="K45" i="22"/>
  <c r="I67" i="22"/>
  <c r="G86" i="22"/>
  <c r="G101" i="22"/>
  <c r="I54" i="22"/>
  <c r="G44" i="22"/>
  <c r="C93" i="22"/>
  <c r="E13" i="22"/>
  <c r="G43" i="22"/>
  <c r="K30" i="22"/>
  <c r="K84" i="22"/>
  <c r="J81" i="22"/>
  <c r="J58" i="22"/>
  <c r="D57" i="22"/>
  <c r="H64" i="22"/>
  <c r="G11" i="22"/>
  <c r="B102" i="22"/>
  <c r="E11" i="22"/>
  <c r="B46" i="22"/>
  <c r="F37" i="22"/>
  <c r="D4" i="22"/>
  <c r="H75" i="22"/>
  <c r="E90" i="22"/>
  <c r="I30" i="22"/>
  <c r="I13" i="22"/>
  <c r="H82" i="22"/>
  <c r="B94" i="22"/>
  <c r="I91" i="22"/>
  <c r="D65" i="22"/>
  <c r="D85" i="22"/>
  <c r="E68" i="22"/>
  <c r="G97" i="22"/>
  <c r="H10" i="22"/>
  <c r="H21" i="22"/>
  <c r="J45" i="22"/>
  <c r="D92" i="22"/>
  <c r="E74" i="22"/>
  <c r="J37" i="22"/>
  <c r="E47" i="22"/>
  <c r="B8" i="22"/>
  <c r="F81" i="22"/>
  <c r="I19" i="22"/>
  <c r="C58" i="22"/>
  <c r="E5" i="22"/>
  <c r="M8" i="18"/>
  <c r="G36" i="20" s="1"/>
  <c r="G59" i="22"/>
  <c r="I102" i="22"/>
  <c r="G96" i="22"/>
  <c r="H88" i="22"/>
  <c r="G68" i="22"/>
  <c r="J79" i="22"/>
  <c r="C18" i="22"/>
  <c r="D55" i="22"/>
  <c r="D19" i="22"/>
  <c r="J61" i="22"/>
  <c r="J72" i="22"/>
  <c r="H97" i="22"/>
  <c r="H25" i="22"/>
  <c r="B40" i="22"/>
  <c r="K79" i="22"/>
  <c r="H50" i="22"/>
  <c r="E18" i="22"/>
  <c r="D24" i="22"/>
  <c r="B27" i="22"/>
  <c r="F77" i="22"/>
  <c r="D10" i="22"/>
  <c r="F97" i="22"/>
  <c r="C26" i="22"/>
  <c r="I62" i="22"/>
  <c r="F49" i="22"/>
  <c r="E40" i="22"/>
  <c r="J35" i="22"/>
  <c r="K6" i="22"/>
  <c r="J83" i="22"/>
  <c r="I65" i="22"/>
  <c r="K42" i="22"/>
  <c r="C62" i="22"/>
  <c r="G76" i="22"/>
  <c r="F32" i="22"/>
  <c r="K97" i="22"/>
  <c r="K44" i="22"/>
  <c r="H31" i="22"/>
  <c r="H46" i="22"/>
  <c r="F17" i="22"/>
  <c r="I74" i="22"/>
  <c r="G80" i="22"/>
  <c r="H23" i="22"/>
  <c r="I11" i="22"/>
  <c r="E99" i="22"/>
  <c r="D35" i="22"/>
  <c r="I52" i="22"/>
  <c r="B30" i="22"/>
  <c r="B99" i="22"/>
  <c r="G99" i="22"/>
  <c r="G17" i="22"/>
  <c r="I17" i="22"/>
  <c r="G70" i="22"/>
  <c r="K69" i="22"/>
  <c r="C52" i="22"/>
  <c r="K21" i="22"/>
  <c r="G10" i="22"/>
  <c r="B36" i="22"/>
  <c r="G37" i="22"/>
  <c r="H66" i="22"/>
  <c r="C83" i="22"/>
  <c r="G82" i="22"/>
  <c r="E10" i="22"/>
  <c r="K80" i="22"/>
  <c r="F71" i="22"/>
  <c r="D49" i="22"/>
  <c r="D93" i="22"/>
  <c r="C72" i="22"/>
  <c r="D22" i="22"/>
  <c r="H19" i="22"/>
  <c r="B74" i="22"/>
  <c r="J55" i="22"/>
  <c r="I27" i="22"/>
  <c r="B67" i="22"/>
  <c r="D101" i="22"/>
  <c r="K22" i="22"/>
  <c r="G53" i="22"/>
  <c r="B45" i="22"/>
  <c r="C65" i="22"/>
  <c r="D89" i="22"/>
  <c r="J26" i="22"/>
  <c r="D62" i="22"/>
  <c r="I97" i="22"/>
  <c r="I56" i="22"/>
  <c r="F27" i="22"/>
  <c r="F86" i="22"/>
  <c r="F51" i="22"/>
  <c r="C13" i="22"/>
  <c r="G62" i="22"/>
  <c r="I40" i="22"/>
  <c r="G63" i="22"/>
  <c r="E32" i="22"/>
  <c r="D25" i="22"/>
  <c r="E27" i="22"/>
  <c r="D7" i="22"/>
  <c r="G7" i="22"/>
  <c r="E19" i="22"/>
  <c r="B65" i="22"/>
  <c r="B76" i="22"/>
  <c r="J92" i="22"/>
  <c r="E51" i="22"/>
  <c r="F15" i="22"/>
  <c r="E30" i="22"/>
  <c r="I92" i="22"/>
  <c r="H49" i="22"/>
  <c r="G22" i="22"/>
  <c r="E94" i="22"/>
  <c r="C84" i="22"/>
  <c r="K83" i="22"/>
  <c r="F38" i="22"/>
  <c r="G98" i="22"/>
  <c r="I24" i="22"/>
  <c r="C92" i="22"/>
  <c r="J100" i="22"/>
  <c r="L9" i="18"/>
  <c r="F37" i="20" s="1"/>
  <c r="C8" i="18"/>
  <c r="L6" i="18"/>
  <c r="F34" i="20" s="1"/>
  <c r="J89" i="22"/>
  <c r="I12" i="22"/>
  <c r="F47" i="22"/>
  <c r="G57" i="22"/>
  <c r="G66" i="22"/>
  <c r="G33" i="22"/>
  <c r="J76" i="22"/>
  <c r="B73" i="22"/>
  <c r="C16" i="22"/>
  <c r="N5" i="18"/>
  <c r="H33" i="20" s="1"/>
  <c r="K5" i="18"/>
  <c r="E33" i="20" s="1"/>
  <c r="B11" i="22"/>
  <c r="J96" i="22"/>
  <c r="G84" i="22"/>
  <c r="F52" i="22"/>
  <c r="D56" i="22"/>
  <c r="G48" i="22"/>
  <c r="B55" i="22"/>
  <c r="H12" i="22"/>
  <c r="F13" i="22"/>
  <c r="B34" i="22"/>
  <c r="G12" i="22"/>
  <c r="C4" i="22"/>
  <c r="C6" i="22"/>
  <c r="J82" i="22"/>
  <c r="B83" i="22"/>
  <c r="D86" i="22"/>
  <c r="I7" i="22"/>
  <c r="J91" i="22"/>
  <c r="E17" i="22"/>
  <c r="F8" i="22"/>
  <c r="H48" i="22"/>
  <c r="K61" i="22"/>
  <c r="G28" i="22"/>
  <c r="J10" i="22"/>
  <c r="I51" i="22"/>
  <c r="E14" i="22"/>
  <c r="F22" i="22"/>
  <c r="E16" i="22"/>
  <c r="C55" i="22"/>
  <c r="F23" i="22"/>
  <c r="F34" i="22"/>
  <c r="G46" i="22"/>
  <c r="B12" i="22"/>
  <c r="K99" i="22"/>
  <c r="J53" i="22"/>
  <c r="C76" i="22"/>
  <c r="E15" i="22"/>
  <c r="M3" i="18"/>
  <c r="G31" i="20" s="1"/>
  <c r="H8" i="22"/>
  <c r="J64" i="22"/>
  <c r="D48" i="22"/>
  <c r="K37" i="22"/>
  <c r="B29" i="22"/>
  <c r="I98" i="22"/>
  <c r="I64" i="22"/>
  <c r="K9" i="22"/>
  <c r="B81" i="22"/>
  <c r="B92" i="22"/>
  <c r="F39" i="22"/>
  <c r="F50" i="22"/>
  <c r="D67" i="22"/>
  <c r="K39" i="22"/>
  <c r="K56" i="22"/>
  <c r="D20" i="22"/>
  <c r="F79" i="22"/>
  <c r="B24" i="22"/>
  <c r="G61" i="22"/>
  <c r="G92" i="22"/>
  <c r="K93" i="22"/>
  <c r="I63" i="22"/>
  <c r="K49" i="22"/>
  <c r="C47" i="22"/>
  <c r="C48" i="22"/>
  <c r="K98" i="22"/>
  <c r="F43" i="22"/>
  <c r="H60" i="22"/>
  <c r="D98" i="22"/>
  <c r="K18" i="22"/>
  <c r="F44" i="22"/>
  <c r="D78" i="22"/>
  <c r="E37" i="22"/>
  <c r="F40" i="22"/>
  <c r="J39" i="22"/>
  <c r="I23" i="22"/>
  <c r="E78" i="22"/>
  <c r="H14" i="22"/>
  <c r="E98" i="22"/>
  <c r="E76" i="22"/>
  <c r="C11" i="22"/>
  <c r="K85" i="22"/>
  <c r="G19" i="22"/>
  <c r="J57" i="22"/>
  <c r="D68" i="22"/>
  <c r="D79" i="22"/>
  <c r="B86" i="22"/>
  <c r="H84" i="22"/>
  <c r="K86" i="22"/>
  <c r="B59" i="22"/>
  <c r="D81" i="22"/>
  <c r="G60" i="22"/>
  <c r="C94" i="22"/>
  <c r="H91" i="22"/>
  <c r="E29" i="22"/>
  <c r="J47" i="22"/>
  <c r="J70" i="22"/>
  <c r="H54" i="22"/>
  <c r="F74" i="22"/>
  <c r="G39" i="22"/>
  <c r="G73" i="22"/>
  <c r="E100" i="22"/>
  <c r="F76" i="22"/>
  <c r="C97" i="22"/>
  <c r="J15" i="22"/>
  <c r="C95" i="22"/>
  <c r="H9" i="22"/>
  <c r="H38" i="22"/>
  <c r="J67" i="22"/>
  <c r="E8" i="22"/>
  <c r="B51" i="22"/>
  <c r="K46" i="22"/>
  <c r="J77" i="22"/>
  <c r="J88" i="22"/>
  <c r="E7" i="22"/>
  <c r="J11" i="22"/>
  <c r="D44" i="22"/>
  <c r="G13" i="22"/>
  <c r="J56" i="22"/>
  <c r="F62" i="22"/>
  <c r="G5" i="22"/>
  <c r="K66" i="22"/>
  <c r="F60" i="22"/>
  <c r="M6" i="18"/>
  <c r="G34" i="20" s="1"/>
  <c r="J32" i="22"/>
  <c r="C37" i="22"/>
  <c r="F53" i="22"/>
  <c r="B69" i="22"/>
  <c r="B7" i="22"/>
  <c r="K41" i="22"/>
  <c r="J86" i="22"/>
  <c r="B84" i="22"/>
  <c r="M5" i="18"/>
  <c r="G33" i="20" s="1"/>
  <c r="F20" i="22"/>
  <c r="K29" i="22"/>
  <c r="I41" i="22"/>
  <c r="G58" i="22"/>
  <c r="E28" i="22"/>
  <c r="D95" i="22"/>
  <c r="I53" i="22"/>
  <c r="I10" i="22"/>
  <c r="G34" i="22"/>
  <c r="K19" i="22"/>
  <c r="H68" i="22"/>
  <c r="E65" i="22"/>
  <c r="G91" i="22"/>
  <c r="H55" i="22"/>
  <c r="K78" i="22"/>
  <c r="G36" i="22"/>
  <c r="J43" i="22"/>
  <c r="I4" i="22"/>
  <c r="D29" i="22"/>
  <c r="C34" i="22"/>
  <c r="F16" i="22"/>
  <c r="H52" i="22"/>
  <c r="J66" i="22"/>
  <c r="H95" i="22"/>
  <c r="H32" i="22"/>
  <c r="B95" i="22"/>
  <c r="H30" i="22"/>
  <c r="K4" i="22"/>
  <c r="B66" i="22"/>
  <c r="G81" i="22"/>
  <c r="K17" i="22"/>
  <c r="I89" i="22"/>
  <c r="K101" i="22"/>
  <c r="H77" i="22"/>
  <c r="E67" i="22"/>
  <c r="D72" i="22"/>
  <c r="H63" i="22"/>
  <c r="I100" i="22"/>
  <c r="E50" i="22"/>
  <c r="I60" i="22"/>
  <c r="J97" i="22"/>
  <c r="K7" i="22"/>
  <c r="G87" i="22"/>
  <c r="F41" i="22"/>
  <c r="F36" i="22"/>
  <c r="E91" i="22"/>
  <c r="F90" i="22"/>
  <c r="B48" i="22"/>
  <c r="E22" i="22"/>
  <c r="F6" i="22"/>
  <c r="B49" i="22"/>
  <c r="B60" i="22"/>
  <c r="G29" i="22"/>
  <c r="K31" i="22"/>
  <c r="D27" i="22"/>
  <c r="C25" i="22"/>
  <c r="J21" i="22"/>
  <c r="B64" i="22"/>
  <c r="C38" i="22"/>
  <c r="B39" i="22"/>
  <c r="I31" i="22"/>
  <c r="K65" i="22"/>
  <c r="C74" i="22"/>
  <c r="E97" i="22"/>
  <c r="J38" i="22"/>
  <c r="F65" i="22"/>
  <c r="D77" i="22"/>
  <c r="H76" i="22"/>
  <c r="D14" i="22"/>
  <c r="B61" i="22"/>
  <c r="G79" i="22"/>
  <c r="C99" i="22"/>
  <c r="J48" i="22"/>
  <c r="B85" i="22"/>
  <c r="E62" i="22"/>
  <c r="G71" i="22"/>
  <c r="F89" i="22"/>
  <c r="C29" i="22"/>
  <c r="K63" i="22"/>
  <c r="D87" i="22"/>
  <c r="J14" i="22"/>
  <c r="H71" i="22"/>
  <c r="E80" i="22"/>
  <c r="D39" i="22"/>
  <c r="F35" i="22"/>
  <c r="F91" i="22"/>
  <c r="C75" i="22"/>
  <c r="B22" i="22"/>
  <c r="F4" i="22"/>
  <c r="D15" i="22"/>
  <c r="I61" i="22"/>
  <c r="I20" i="22"/>
  <c r="I76" i="22"/>
  <c r="I9" i="22"/>
  <c r="D43" i="22"/>
  <c r="J85" i="22"/>
  <c r="I21" i="22"/>
  <c r="G21" i="22"/>
  <c r="D59" i="22"/>
  <c r="J44" i="22"/>
  <c r="B80" i="22"/>
  <c r="G69" i="22"/>
  <c r="I85" i="22"/>
  <c r="G23" i="22"/>
  <c r="G31" i="22"/>
  <c r="J36" i="22"/>
  <c r="J84" i="22"/>
  <c r="C3" i="18"/>
  <c r="G4" i="22"/>
  <c r="L3" i="18"/>
  <c r="F31" i="20" s="1"/>
  <c r="D36" i="22"/>
  <c r="D47" i="22"/>
  <c r="I16" i="22"/>
  <c r="F82" i="22"/>
  <c r="F14" i="22"/>
  <c r="D76" i="22"/>
  <c r="J5" i="22"/>
  <c r="H34" i="22"/>
  <c r="K55" i="22"/>
  <c r="N7" i="18"/>
  <c r="H35" i="20" s="1"/>
  <c r="K10" i="18"/>
  <c r="E38" i="20" s="1"/>
  <c r="J7" i="22"/>
  <c r="B23" i="22"/>
  <c r="C77" i="22"/>
  <c r="H20" i="22"/>
  <c r="E64" i="22"/>
  <c r="H62" i="22"/>
  <c r="C98" i="22"/>
  <c r="E21" i="22"/>
  <c r="B47" i="22"/>
  <c r="D73" i="22"/>
  <c r="E72" i="22"/>
  <c r="C90" i="22"/>
  <c r="K14" i="22"/>
  <c r="D26" i="22"/>
  <c r="G8" i="22"/>
  <c r="B79" i="22"/>
  <c r="E56" i="22"/>
  <c r="F96" i="22"/>
  <c r="F80" i="22"/>
  <c r="J51" i="22"/>
  <c r="B70" i="22"/>
  <c r="H96" i="22"/>
  <c r="G52" i="22"/>
  <c r="H51" i="22"/>
  <c r="K87" i="22"/>
  <c r="D23" i="22"/>
  <c r="B21" i="22"/>
  <c r="G83" i="22"/>
  <c r="C33" i="22"/>
  <c r="G25" i="22"/>
  <c r="H90" i="22"/>
  <c r="H101" i="22"/>
  <c r="C20" i="22"/>
  <c r="B89" i="22"/>
  <c r="F63" i="22"/>
  <c r="E26" i="22"/>
  <c r="G93" i="22"/>
  <c r="D75" i="22"/>
  <c r="C87" i="22"/>
  <c r="B87" i="22"/>
  <c r="I42" i="22"/>
  <c r="K54" i="22"/>
  <c r="K57" i="22"/>
  <c r="F69" i="22"/>
  <c r="M9" i="18"/>
  <c r="G37" i="20" s="1"/>
  <c r="C8" i="22"/>
  <c r="C88" i="22"/>
  <c r="J73" i="22"/>
  <c r="G95" i="22"/>
  <c r="I77" i="22"/>
  <c r="C71" i="22"/>
  <c r="C36" i="22"/>
  <c r="J25" i="22"/>
  <c r="I88" i="22"/>
  <c r="G41" i="22"/>
  <c r="H17" i="22"/>
  <c r="B41" i="22"/>
  <c r="K35" i="22"/>
  <c r="F9" i="22"/>
  <c r="C60" i="22"/>
  <c r="H94" i="22"/>
  <c r="C56" i="22"/>
  <c r="G85" i="22"/>
  <c r="H4" i="22"/>
  <c r="F57" i="22"/>
  <c r="D54" i="22"/>
  <c r="G20" i="22"/>
  <c r="H24" i="22"/>
  <c r="J94" i="22"/>
  <c r="H28" i="22"/>
  <c r="G27" i="22"/>
  <c r="H83" i="22"/>
  <c r="G64" i="22"/>
  <c r="K58" i="22"/>
  <c r="D13" i="22"/>
  <c r="C81" i="22"/>
  <c r="H45" i="22"/>
  <c r="F101" i="22"/>
  <c r="I68" i="22"/>
  <c r="C24" i="22"/>
  <c r="H86" i="22"/>
  <c r="E43" i="22"/>
  <c r="H22" i="22"/>
  <c r="I82" i="22"/>
  <c r="K64" i="22"/>
  <c r="G45" i="22"/>
  <c r="D90" i="22"/>
  <c r="B82" i="22"/>
  <c r="B37" i="22"/>
  <c r="J54" i="22"/>
  <c r="J19" i="22"/>
  <c r="C46" i="22"/>
  <c r="G35" i="22"/>
  <c r="H47" i="22"/>
  <c r="D38" i="22"/>
  <c r="H27" i="22"/>
  <c r="C53" i="22"/>
  <c r="I57" i="22"/>
  <c r="K53" i="22"/>
  <c r="B93" i="22"/>
  <c r="F28" i="22"/>
  <c r="I81" i="22"/>
  <c r="B38" i="22"/>
  <c r="K68" i="22"/>
  <c r="F11" i="22"/>
  <c r="E20" i="22"/>
  <c r="C32" i="22"/>
  <c r="D66" i="22"/>
  <c r="B54" i="22"/>
  <c r="G32" i="22"/>
  <c r="B58" i="22"/>
  <c r="D102" i="22"/>
  <c r="G74" i="22"/>
  <c r="K15" i="22"/>
  <c r="E102" i="22"/>
  <c r="I84" i="22"/>
  <c r="B56" i="22"/>
  <c r="H5" i="22"/>
  <c r="G50" i="22"/>
  <c r="E34" i="22"/>
  <c r="E54" i="22"/>
  <c r="J95" i="22"/>
  <c r="B63" i="22"/>
  <c r="I75" i="22"/>
  <c r="F92" i="22"/>
  <c r="C22" i="22"/>
  <c r="B26" i="22"/>
  <c r="K34" i="22"/>
  <c r="C61" i="22"/>
  <c r="E61" i="22"/>
  <c r="H40" i="22"/>
  <c r="I59" i="22"/>
  <c r="D46" i="22"/>
  <c r="F59" i="22"/>
  <c r="H26" i="22"/>
  <c r="K47" i="22"/>
  <c r="F54" i="22"/>
  <c r="B13" i="22"/>
  <c r="K40" i="22"/>
  <c r="K16" i="22"/>
  <c r="B57" i="22"/>
  <c r="D11" i="22"/>
  <c r="D31" i="22"/>
  <c r="J62" i="22"/>
  <c r="F58" i="22"/>
  <c r="B71" i="22"/>
  <c r="I99" i="22"/>
  <c r="J27" i="22"/>
  <c r="D94" i="22"/>
  <c r="J22" i="22"/>
  <c r="F73" i="22"/>
  <c r="I47" i="22"/>
  <c r="F93" i="22"/>
  <c r="D70" i="22"/>
  <c r="H43" i="22"/>
  <c r="D74" i="22"/>
  <c r="I87" i="22"/>
  <c r="F24" i="22"/>
  <c r="F21" i="22"/>
  <c r="D18" i="22"/>
  <c r="B78" i="22"/>
  <c r="H7" i="22"/>
  <c r="D97" i="22"/>
  <c r="J98" i="22"/>
  <c r="H29" i="22"/>
  <c r="K100" i="22"/>
  <c r="E86" i="22"/>
  <c r="E60" i="22"/>
  <c r="D16" i="22"/>
  <c r="B100" i="22"/>
  <c r="H42" i="22"/>
  <c r="H53" i="22"/>
  <c r="C41" i="22"/>
  <c r="J41" i="22"/>
  <c r="H15" i="22"/>
  <c r="I33" i="22"/>
  <c r="F19" i="22"/>
  <c r="E24" i="22"/>
  <c r="I15" i="22"/>
  <c r="G14" i="22"/>
  <c r="K75" i="22"/>
  <c r="C17" i="22"/>
  <c r="K28" i="22"/>
  <c r="I45" i="22"/>
  <c r="G15" i="22"/>
  <c r="F18" i="22"/>
  <c r="K24" i="22"/>
  <c r="F7" i="22"/>
  <c r="I5" i="22"/>
  <c r="C7" i="22"/>
  <c r="J50" i="22"/>
  <c r="H44" i="22"/>
  <c r="D21" i="22"/>
  <c r="H16" i="22"/>
  <c r="C50" i="22"/>
  <c r="I49" i="22"/>
  <c r="C45" i="22"/>
  <c r="I35" i="22"/>
  <c r="J46" i="22"/>
  <c r="D5" i="22"/>
  <c r="E81" i="22"/>
  <c r="K33" i="22"/>
  <c r="I28" i="22"/>
  <c r="G30" i="22"/>
  <c r="F99" i="22"/>
  <c r="I50" i="22"/>
  <c r="D80" i="22"/>
  <c r="F12" i="22"/>
  <c r="B52" i="22"/>
  <c r="C39" i="22"/>
  <c r="J93" i="22"/>
  <c r="G6" i="22"/>
  <c r="D52" i="22"/>
  <c r="D96" i="22"/>
  <c r="K77" i="22"/>
  <c r="E41" i="22"/>
  <c r="H39" i="22"/>
  <c r="E48" i="22"/>
  <c r="E77" i="22"/>
  <c r="E82" i="22"/>
  <c r="H78" i="22"/>
  <c r="D99" i="22"/>
  <c r="J69" i="22"/>
  <c r="H57" i="22"/>
  <c r="D100" i="22"/>
  <c r="K12" i="22"/>
  <c r="K72" i="22"/>
  <c r="F10" i="22"/>
  <c r="F78" i="22"/>
  <c r="H89" i="22"/>
  <c r="H37" i="22"/>
  <c r="E31" i="22"/>
  <c r="D63" i="22"/>
  <c r="C51" i="22"/>
  <c r="J24" i="22"/>
  <c r="F30" i="22"/>
  <c r="D60" i="22"/>
  <c r="D91" i="22"/>
  <c r="I8" i="22"/>
  <c r="E12" i="22"/>
  <c r="C4" i="18"/>
  <c r="I80" i="22"/>
  <c r="C100" i="22"/>
  <c r="K32" i="22"/>
  <c r="J101" i="22"/>
  <c r="H98" i="22"/>
  <c r="F94" i="22"/>
  <c r="F102" i="22"/>
  <c r="B88" i="22"/>
  <c r="H18" i="22"/>
  <c r="C9" i="22"/>
  <c r="K7" i="18"/>
  <c r="E35" i="20" s="1"/>
  <c r="K3" i="18"/>
  <c r="E31" i="20" s="1"/>
  <c r="N8" i="18"/>
  <c r="H36" i="20" s="1"/>
  <c r="G40" i="22"/>
  <c r="K81" i="22"/>
  <c r="G24" i="22"/>
  <c r="C69" i="22"/>
  <c r="K94" i="22"/>
  <c r="F33" i="22"/>
  <c r="I46" i="22"/>
  <c r="F5" i="22"/>
  <c r="B5" i="22"/>
  <c r="J23" i="22"/>
  <c r="B20" i="22"/>
  <c r="J31" i="22"/>
  <c r="H72" i="22"/>
  <c r="F61" i="22"/>
  <c r="B43" i="22"/>
  <c r="C86" i="22"/>
  <c r="H99" i="22"/>
  <c r="D34" i="22"/>
  <c r="D41" i="22"/>
  <c r="H87" i="22"/>
  <c r="C10" i="22"/>
  <c r="G75" i="22"/>
  <c r="K50" i="22"/>
  <c r="C27" i="22"/>
  <c r="G47" i="22"/>
  <c r="C64" i="22"/>
  <c r="I72" i="22"/>
  <c r="J29" i="22"/>
  <c r="J40" i="22"/>
  <c r="E87" i="22"/>
  <c r="K43" i="22"/>
  <c r="B16" i="22"/>
  <c r="D51" i="22"/>
  <c r="J68" i="22"/>
  <c r="H69" i="22"/>
  <c r="E79" i="22"/>
  <c r="I44" i="22"/>
  <c r="B77" i="22"/>
  <c r="F88" i="22"/>
  <c r="I6" i="22"/>
  <c r="K92" i="22"/>
  <c r="E52" i="22"/>
  <c r="H35" i="22"/>
  <c r="B14" i="22"/>
  <c r="F64" i="22"/>
  <c r="B35" i="22"/>
  <c r="C35" i="22"/>
  <c r="E75" i="22"/>
  <c r="H73" i="22"/>
  <c r="G77" i="22"/>
  <c r="B32" i="22"/>
  <c r="H74" i="22"/>
  <c r="H85" i="22"/>
  <c r="C28" i="22"/>
  <c r="I29" i="22"/>
  <c r="J52" i="22"/>
  <c r="B44" i="22"/>
  <c r="I18" i="22"/>
  <c r="C31" i="22"/>
  <c r="F100" i="22"/>
  <c r="J16" i="22"/>
  <c r="J18" i="22"/>
  <c r="G94" i="22"/>
  <c r="F83" i="22"/>
  <c r="K90" i="22"/>
  <c r="B42" i="22"/>
  <c r="J99" i="22"/>
  <c r="I78" i="22"/>
  <c r="I83" i="22"/>
  <c r="B75" i="22"/>
  <c r="C101" i="22"/>
  <c r="F48" i="22"/>
  <c r="D30" i="22"/>
  <c r="H100" i="22"/>
  <c r="G72" i="22"/>
  <c r="K20" i="22"/>
  <c r="K23" i="22"/>
  <c r="I90" i="22"/>
  <c r="E93" i="22"/>
  <c r="I14" i="22"/>
  <c r="K102" i="22"/>
  <c r="D37" i="22"/>
  <c r="G9" i="22"/>
  <c r="K36" i="22"/>
  <c r="J60" i="22"/>
  <c r="C91" i="22"/>
  <c r="B98" i="22"/>
  <c r="F29" i="22"/>
  <c r="E69" i="22"/>
  <c r="E101" i="22"/>
  <c r="K89" i="22"/>
  <c r="C54" i="22"/>
  <c r="E85" i="22"/>
  <c r="F85" i="22"/>
  <c r="J75" i="22"/>
  <c r="C30" i="22"/>
  <c r="D33" i="22"/>
  <c r="J4" i="22"/>
  <c r="K59" i="22"/>
  <c r="C96" i="22"/>
  <c r="C5" i="22"/>
  <c r="K76" i="22"/>
  <c r="I34" i="22"/>
  <c r="F42" i="22"/>
  <c r="J34" i="22"/>
  <c r="B17" i="22"/>
  <c r="B28" i="22"/>
  <c r="F56" i="22"/>
  <c r="I43" i="22"/>
  <c r="J87" i="22"/>
  <c r="H36" i="22"/>
  <c r="E89" i="22"/>
  <c r="F70" i="22"/>
  <c r="K13" i="22"/>
  <c r="I25" i="22"/>
  <c r="I101" i="22"/>
  <c r="C15" i="22"/>
  <c r="K8" i="22"/>
  <c r="I93" i="22"/>
  <c r="E35" i="22"/>
  <c r="C68" i="22"/>
  <c r="J74" i="22"/>
  <c r="F72" i="22"/>
  <c r="D71" i="22"/>
  <c r="H92" i="22"/>
  <c r="B50" i="22"/>
  <c r="C102" i="22"/>
  <c r="B15" i="22"/>
  <c r="K62" i="22"/>
  <c r="D42" i="22"/>
  <c r="B18" i="22"/>
  <c r="E88" i="22"/>
  <c r="D45" i="22"/>
  <c r="G102" i="22"/>
  <c r="E23" i="22"/>
  <c r="K60" i="22"/>
  <c r="C63" i="22"/>
  <c r="K5" i="22"/>
  <c r="B4" i="22"/>
  <c r="D12" i="22"/>
  <c r="C23" i="22"/>
  <c r="D84" i="22"/>
  <c r="F46" i="22"/>
  <c r="K74" i="22"/>
  <c r="E73" i="22"/>
  <c r="D69" i="22"/>
  <c r="I38" i="22"/>
  <c r="E96" i="22"/>
  <c r="J102" i="22"/>
  <c r="I39" i="22"/>
  <c r="E49" i="22"/>
  <c r="I95" i="22"/>
  <c r="F68" i="22"/>
  <c r="D61" i="22"/>
  <c r="E33" i="22"/>
  <c r="J78" i="22"/>
  <c r="B31" i="22"/>
  <c r="C21" i="22"/>
  <c r="K73" i="22"/>
  <c r="I70" i="22"/>
  <c r="B19" i="22"/>
  <c r="D8" i="22"/>
  <c r="E59" i="22"/>
  <c r="D17" i="22"/>
  <c r="G16" i="22"/>
  <c r="H80" i="22"/>
  <c r="I79" i="22"/>
  <c r="H13" i="22"/>
  <c r="J80" i="22"/>
  <c r="C57" i="22"/>
  <c r="E39" i="22"/>
  <c r="F26" i="22"/>
  <c r="C14" i="22"/>
  <c r="K52" i="22"/>
  <c r="B53" i="22"/>
  <c r="B68" i="22"/>
  <c r="C73" i="22"/>
  <c r="F67" i="22"/>
  <c r="H6" i="22"/>
  <c r="F55" i="22"/>
  <c r="F66" i="22"/>
  <c r="J13" i="22"/>
  <c r="H102" i="22"/>
  <c r="H41" i="22"/>
  <c r="H58" i="22"/>
  <c r="C12" i="22"/>
  <c r="J12" i="22"/>
  <c r="B25" i="22"/>
  <c r="K95" i="22"/>
  <c r="K88" i="22"/>
  <c r="J63" i="22"/>
  <c r="B91" i="22"/>
  <c r="K70" i="22"/>
  <c r="C66" i="22"/>
  <c r="F45" i="22"/>
  <c r="C82" i="22"/>
  <c r="C78" i="22"/>
  <c r="H56" i="22"/>
  <c r="K10" i="22"/>
  <c r="E9" i="22"/>
  <c r="J49" i="22"/>
  <c r="G55" i="22"/>
  <c r="D6" i="22"/>
  <c r="C42" i="22"/>
  <c r="G51" i="22"/>
  <c r="D82" i="22"/>
  <c r="E83" i="22"/>
  <c r="D40" i="22"/>
  <c r="K25" i="22"/>
  <c r="D9" i="22"/>
  <c r="G90" i="22"/>
  <c r="I96" i="22"/>
  <c r="K48" i="22"/>
  <c r="E92" i="22"/>
  <c r="E4" i="22"/>
  <c r="C80" i="22"/>
  <c r="E36" i="22"/>
  <c r="B10" i="22"/>
  <c r="E84" i="22"/>
  <c r="C85" i="22"/>
  <c r="G65" i="22"/>
  <c r="G89" i="22"/>
  <c r="I73" i="22"/>
  <c r="K71" i="22"/>
  <c r="K96" i="22"/>
  <c r="J8" i="22"/>
  <c r="G42" i="22"/>
  <c r="D28" i="22"/>
  <c r="I48" i="22"/>
  <c r="B9" i="22"/>
  <c r="G18" i="22"/>
  <c r="M10" i="18"/>
  <c r="G38" i="20" s="1"/>
  <c r="F87" i="22"/>
  <c r="F98" i="22"/>
  <c r="C44" i="22"/>
  <c r="B33" i="22"/>
  <c r="H65" i="22"/>
  <c r="K67" i="22"/>
  <c r="C67" i="22"/>
  <c r="J20" i="22"/>
  <c r="C7" i="18"/>
  <c r="H61" i="22"/>
  <c r="E46" i="22"/>
  <c r="J28" i="22"/>
  <c r="E55" i="22"/>
  <c r="H81" i="22"/>
  <c r="E6" i="22"/>
  <c r="E95" i="22"/>
  <c r="E70" i="22"/>
  <c r="B72" i="22"/>
  <c r="B96" i="22"/>
  <c r="L4" i="18"/>
  <c r="F32" i="20" s="1"/>
  <c r="K8" i="18"/>
  <c r="E36" i="20" s="1"/>
  <c r="N10" i="18"/>
  <c r="H38" i="20" s="1"/>
  <c r="AD79" i="2" a="1"/>
  <c r="AD79" i="2" s="1"/>
  <c r="AD81" i="2" a="1"/>
  <c r="AD81" i="2" s="1"/>
  <c r="AD78" i="2" a="1"/>
  <c r="AD78" i="2" s="1"/>
  <c r="AE78" i="2" s="1" a="1"/>
  <c r="AE78" i="2" s="1"/>
  <c r="AD80" i="2" a="1"/>
  <c r="AD80" i="2" s="1"/>
  <c r="AE80" i="2" s="1" a="1"/>
  <c r="AE80" i="2" s="1"/>
  <c r="AD84" i="2" a="1"/>
  <c r="AD84" i="2" s="1"/>
  <c r="AE84" i="2" s="1" a="1"/>
  <c r="AE84" i="2" s="1"/>
  <c r="AD83" i="2" a="1"/>
  <c r="AD83" i="2" s="1"/>
  <c r="AE83" i="2" s="1" a="1"/>
  <c r="AE83" i="2" s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EX109" i="5" l="1"/>
  <c r="EX13" i="5"/>
  <c r="EX141" i="5"/>
  <c r="EX45" i="5"/>
  <c r="EX171" i="5"/>
  <c r="EX110" i="5"/>
  <c r="EX118" i="5"/>
  <c r="EX113" i="5"/>
  <c r="EX127" i="5"/>
  <c r="EX175" i="5"/>
  <c r="EY89" i="5"/>
  <c r="K85" i="2"/>
  <c r="K84" i="2"/>
  <c r="K80" i="2"/>
  <c r="L84" i="2" a="1"/>
  <c r="L84" i="2" s="1"/>
  <c r="K82" i="2"/>
  <c r="L76" i="2" a="1"/>
  <c r="L76" i="2" s="1"/>
  <c r="K87" i="2"/>
  <c r="L82" i="2" a="1"/>
  <c r="L82" i="2" s="1"/>
  <c r="K86" i="2"/>
  <c r="L80" i="2" a="1"/>
  <c r="L80" i="2" s="1"/>
  <c r="M80" i="2" s="1"/>
  <c r="M81" i="2" s="1"/>
  <c r="L86" i="2" a="1"/>
  <c r="L86" i="2" s="1"/>
  <c r="K81" i="2"/>
  <c r="M92" i="2"/>
  <c r="N91" i="2" s="1"/>
  <c r="O91" i="2" s="1"/>
  <c r="L85" i="2" a="1"/>
  <c r="L85" i="2" s="1"/>
  <c r="L87" i="2" a="1"/>
  <c r="L87" i="2" s="1"/>
  <c r="D109" i="1"/>
  <c r="O20" i="2"/>
  <c r="AE76" i="2" a="1"/>
  <c r="AE76" i="2" s="1"/>
  <c r="AE77" i="2" a="1"/>
  <c r="AE77" i="2" s="1"/>
  <c r="BR101" i="4"/>
  <c r="BR126" i="4"/>
  <c r="BR87" i="4"/>
  <c r="AI59" i="6"/>
  <c r="AI82" i="6"/>
  <c r="AI158" i="6"/>
  <c r="BR97" i="4"/>
  <c r="AI140" i="6"/>
  <c r="AI32" i="6"/>
  <c r="AI63" i="6"/>
  <c r="AI150" i="6"/>
  <c r="BR85" i="4"/>
  <c r="BR110" i="4"/>
  <c r="BR71" i="4"/>
  <c r="AI171" i="6"/>
  <c r="AI77" i="6"/>
  <c r="BR32" i="4"/>
  <c r="AI21" i="6"/>
  <c r="AI44" i="6"/>
  <c r="BR49" i="4"/>
  <c r="BR78" i="4"/>
  <c r="AI18" i="6"/>
  <c r="AI138" i="6"/>
  <c r="BR38" i="4"/>
  <c r="AI162" i="6"/>
  <c r="AI148" i="6"/>
  <c r="AI151" i="6"/>
  <c r="BR28" i="4"/>
  <c r="BR61" i="4"/>
  <c r="AI120" i="6"/>
  <c r="AI75" i="6"/>
  <c r="BR114" i="4"/>
  <c r="BR22" i="4"/>
  <c r="AI57" i="6"/>
  <c r="AI5" i="6"/>
  <c r="AI70" i="6"/>
  <c r="BR149" i="4"/>
  <c r="BR174" i="4"/>
  <c r="BR40" i="4"/>
  <c r="AI39" i="6"/>
  <c r="AI143" i="6"/>
  <c r="BR11" i="4"/>
  <c r="BR21" i="4"/>
  <c r="AI157" i="6"/>
  <c r="BR133" i="4"/>
  <c r="BR158" i="4"/>
  <c r="BR18" i="4"/>
  <c r="AI95" i="6"/>
  <c r="AI93" i="6"/>
  <c r="BR82" i="4"/>
  <c r="AI119" i="6"/>
  <c r="BR117" i="4"/>
  <c r="BR142" i="4"/>
  <c r="BR30" i="4"/>
  <c r="AI105" i="6"/>
  <c r="AI124" i="6"/>
  <c r="BR148" i="4"/>
  <c r="AI69" i="6"/>
  <c r="AI8" i="6"/>
  <c r="AI118" i="6"/>
  <c r="AI153" i="6"/>
  <c r="AI66" i="6"/>
  <c r="M63" i="21"/>
  <c r="EX63" i="5"/>
  <c r="EX19" i="5"/>
  <c r="EZ111" i="5"/>
  <c r="U95" i="7"/>
  <c r="EZ145" i="5"/>
  <c r="U84" i="7"/>
  <c r="EZ89" i="5"/>
  <c r="U173" i="7"/>
  <c r="EZ112" i="5"/>
  <c r="EZ155" i="5"/>
  <c r="N90" i="2"/>
  <c r="O90" i="2" s="1"/>
  <c r="O89" i="2" s="1"/>
  <c r="X89" i="2" s="1"/>
  <c r="EX178" i="5"/>
  <c r="EZ122" i="5"/>
  <c r="EZ137" i="5"/>
  <c r="U121" i="7"/>
  <c r="EZ98" i="5"/>
  <c r="EZ162" i="5"/>
  <c r="U24" i="7"/>
  <c r="U160" i="7"/>
  <c r="EZ139" i="5"/>
  <c r="EZ55" i="5"/>
  <c r="U49" i="7"/>
  <c r="U41" i="7"/>
  <c r="EZ151" i="5"/>
  <c r="EZ31" i="5"/>
  <c r="U26" i="7"/>
  <c r="U130" i="7"/>
  <c r="EZ26" i="5"/>
  <c r="EZ90" i="5"/>
  <c r="U88" i="7"/>
  <c r="EZ76" i="5"/>
  <c r="EZ114" i="5"/>
  <c r="EZ174" i="5"/>
  <c r="U90" i="7"/>
  <c r="U127" i="7"/>
  <c r="EZ9" i="5"/>
  <c r="EZ123" i="5"/>
  <c r="EZ146" i="5"/>
  <c r="U34" i="7"/>
  <c r="EZ119" i="5"/>
  <c r="EZ22" i="5"/>
  <c r="EZ178" i="5"/>
  <c r="U107" i="7"/>
  <c r="U166" i="7"/>
  <c r="EZ116" i="5"/>
  <c r="EZ85" i="5"/>
  <c r="EZ74" i="5"/>
  <c r="U136" i="7"/>
  <c r="U101" i="7"/>
  <c r="EZ47" i="5"/>
  <c r="EZ172" i="5"/>
  <c r="EZ62" i="5"/>
  <c r="U171" i="7"/>
  <c r="U15" i="7"/>
  <c r="EZ51" i="5"/>
  <c r="EZ127" i="5"/>
  <c r="EZ115" i="5"/>
  <c r="EZ163" i="5"/>
  <c r="EZ73" i="5"/>
  <c r="EZ33" i="5"/>
  <c r="U123" i="7"/>
  <c r="EZ153" i="5"/>
  <c r="EZ25" i="5"/>
  <c r="EZ143" i="5"/>
  <c r="U165" i="7"/>
  <c r="U104" i="7"/>
  <c r="EZ68" i="5"/>
  <c r="EZ77" i="5"/>
  <c r="EZ170" i="5"/>
  <c r="AE81" i="2" a="1"/>
  <c r="AE81" i="2" s="1"/>
  <c r="AE79" i="2" a="1"/>
  <c r="AE79" i="2" s="1"/>
  <c r="FB17" i="5"/>
  <c r="FB57" i="5"/>
  <c r="FB105" i="5"/>
  <c r="FB170" i="5"/>
  <c r="FB106" i="5"/>
  <c r="FB29" i="5"/>
  <c r="FB160" i="5"/>
  <c r="FB141" i="5"/>
  <c r="FB114" i="5"/>
  <c r="FB22" i="5"/>
  <c r="FB144" i="5"/>
  <c r="FB32" i="5"/>
  <c r="FB75" i="5"/>
  <c r="Y3" i="2"/>
  <c r="B68" i="1"/>
  <c r="N79" i="2"/>
  <c r="B89" i="1"/>
  <c r="N100" i="2" s="1"/>
  <c r="AG100" i="2" s="1"/>
  <c r="O79" i="2"/>
  <c r="A2" i="2" a="1"/>
  <c r="A29" i="20" a="1"/>
  <c r="A29" i="20" s="1"/>
  <c r="BN98" i="2"/>
  <c r="BP98" i="2"/>
  <c r="BO98" i="2"/>
  <c r="A86" i="1"/>
  <c r="A87" i="1" a="1"/>
  <c r="A115" i="1"/>
  <c r="B1" i="18" a="1"/>
  <c r="B1" i="18" s="1"/>
  <c r="C102" i="1"/>
  <c r="C110" i="1" s="1"/>
  <c r="E110" i="1"/>
  <c r="D110" i="1"/>
  <c r="O2" i="2"/>
  <c r="R2" i="2" s="1"/>
  <c r="D46" i="1"/>
  <c r="D47" i="1"/>
  <c r="A19" i="1"/>
  <c r="F1" i="11" s="1"/>
  <c r="H2" i="28"/>
  <c r="A24" i="1"/>
  <c r="A33" i="1"/>
  <c r="C2" i="21"/>
  <c r="V2" i="21" s="1"/>
  <c r="M2" i="21" s="1"/>
  <c r="C10" i="1" a="1"/>
  <c r="BL98" i="2"/>
  <c r="BM98" i="2"/>
  <c r="Q4" i="24" a="1"/>
  <c r="BR98" i="2"/>
  <c r="BQ98" i="2"/>
  <c r="BS98" i="2"/>
  <c r="G4" i="21" a="1"/>
  <c r="G4" i="21" s="1"/>
  <c r="I53" i="21"/>
  <c r="K53" i="21" s="1"/>
  <c r="M53" i="21" s="1"/>
  <c r="O53" i="21" s="1"/>
  <c r="Q53" i="21" s="1"/>
  <c r="S53" i="21" s="1"/>
  <c r="U53" i="21" s="1"/>
  <c r="W53" i="21" s="1"/>
  <c r="Y53" i="21" s="1"/>
  <c r="AA53" i="21" s="1"/>
  <c r="H18" i="21"/>
  <c r="I2" i="28"/>
  <c r="C4" i="1"/>
  <c r="BL11" i="2"/>
  <c r="E61" i="20"/>
  <c r="A9" i="23"/>
  <c r="H73" i="20"/>
  <c r="E73" i="20"/>
  <c r="G73" i="20"/>
  <c r="F73" i="20"/>
  <c r="C73" i="20"/>
  <c r="B73" i="20"/>
  <c r="D61" i="20"/>
  <c r="C61" i="20"/>
  <c r="BI8" i="2" s="1"/>
  <c r="A73" i="20" s="1"/>
  <c r="A59" i="1" s="1"/>
  <c r="D73" i="20"/>
  <c r="I73" i="20"/>
  <c r="E63" i="20"/>
  <c r="I75" i="20"/>
  <c r="C63" i="20"/>
  <c r="BI10" i="2" s="1"/>
  <c r="C75" i="20"/>
  <c r="A11" i="23"/>
  <c r="L24" i="23" s="1"/>
  <c r="G75" i="20"/>
  <c r="E75" i="20"/>
  <c r="D75" i="20"/>
  <c r="H75" i="20"/>
  <c r="B75" i="20"/>
  <c r="F75" i="20"/>
  <c r="D63" i="20"/>
  <c r="D62" i="20"/>
  <c r="D74" i="20"/>
  <c r="B74" i="20"/>
  <c r="H74" i="20"/>
  <c r="G74" i="20"/>
  <c r="B3" i="22" a="1"/>
  <c r="J3" i="22" s="1"/>
  <c r="A10" i="23"/>
  <c r="F74" i="20"/>
  <c r="C62" i="20"/>
  <c r="BI9" i="2" s="1"/>
  <c r="E62" i="20"/>
  <c r="E74" i="20"/>
  <c r="C74" i="20"/>
  <c r="G69" i="20"/>
  <c r="C57" i="20"/>
  <c r="BI4" i="2" s="1"/>
  <c r="BJ4" i="2" s="1"/>
  <c r="H69" i="20"/>
  <c r="B69" i="20"/>
  <c r="E69" i="20"/>
  <c r="C69" i="20"/>
  <c r="E57" i="20"/>
  <c r="D69" i="20"/>
  <c r="A5" i="23"/>
  <c r="D57" i="20"/>
  <c r="F69" i="20"/>
  <c r="I69" i="20"/>
  <c r="I70" i="20"/>
  <c r="G70" i="20"/>
  <c r="D58" i="20"/>
  <c r="B70" i="20"/>
  <c r="H70" i="20"/>
  <c r="C58" i="20"/>
  <c r="BI5" i="2" s="1"/>
  <c r="D70" i="20"/>
  <c r="E58" i="20"/>
  <c r="A6" i="23"/>
  <c r="C70" i="20"/>
  <c r="E70" i="20"/>
  <c r="F70" i="20"/>
  <c r="I71" i="20"/>
  <c r="C71" i="20"/>
  <c r="B71" i="20"/>
  <c r="D59" i="20"/>
  <c r="G71" i="20"/>
  <c r="C59" i="20"/>
  <c r="BI6" i="2" s="1"/>
  <c r="D71" i="20"/>
  <c r="E71" i="20"/>
  <c r="H71" i="20"/>
  <c r="E59" i="20"/>
  <c r="F71" i="20"/>
  <c r="A7" i="23"/>
  <c r="L20" i="23" s="1"/>
  <c r="D60" i="20"/>
  <c r="B72" i="20"/>
  <c r="F72" i="20"/>
  <c r="E60" i="20"/>
  <c r="H72" i="20"/>
  <c r="A8" i="23"/>
  <c r="I72" i="20"/>
  <c r="G72" i="20"/>
  <c r="C60" i="20"/>
  <c r="BI7" i="2" s="1"/>
  <c r="BJ7" i="2" s="1"/>
  <c r="E72" i="20"/>
  <c r="D72" i="20"/>
  <c r="C72" i="20"/>
  <c r="C3" i="22"/>
  <c r="A56" i="20"/>
  <c r="BL12" i="2"/>
  <c r="E36" i="1"/>
  <c r="AI11" i="6"/>
  <c r="AI86" i="6"/>
  <c r="AI74" i="6"/>
  <c r="AI49" i="6"/>
  <c r="AI76" i="6"/>
  <c r="AI73" i="6"/>
  <c r="AI165" i="6"/>
  <c r="AI26" i="6"/>
  <c r="AI30" i="6"/>
  <c r="EU47" i="5"/>
  <c r="EU150" i="5"/>
  <c r="EU147" i="5"/>
  <c r="EU131" i="5"/>
  <c r="EU87" i="5"/>
  <c r="EU19" i="5"/>
  <c r="EU76" i="5"/>
  <c r="EU112" i="5"/>
  <c r="EU78" i="5"/>
  <c r="U53" i="9"/>
  <c r="U130" i="9"/>
  <c r="U35" i="9"/>
  <c r="U110" i="9"/>
  <c r="U17" i="9"/>
  <c r="U44" i="9"/>
  <c r="U24" i="9"/>
  <c r="U97" i="9"/>
  <c r="U84" i="9"/>
  <c r="U147" i="9"/>
  <c r="U28" i="9"/>
  <c r="U95" i="9"/>
  <c r="U108" i="9"/>
  <c r="U121" i="9"/>
  <c r="U58" i="9"/>
  <c r="U115" i="9"/>
  <c r="U175" i="9"/>
  <c r="U127" i="9"/>
  <c r="U76" i="9"/>
  <c r="AI55" i="6"/>
  <c r="AI24" i="6"/>
  <c r="AI176" i="6"/>
  <c r="EY45" i="5"/>
  <c r="AI106" i="6"/>
  <c r="AI20" i="6"/>
  <c r="AI97" i="6"/>
  <c r="EY134" i="5"/>
  <c r="AI38" i="6"/>
  <c r="AI36" i="6"/>
  <c r="AI159" i="6"/>
  <c r="EU97" i="5"/>
  <c r="U150" i="9"/>
  <c r="EU27" i="5"/>
  <c r="U141" i="9"/>
  <c r="EU178" i="5"/>
  <c r="AI56" i="6"/>
  <c r="EY55" i="5"/>
  <c r="AI87" i="6"/>
  <c r="AI51" i="6"/>
  <c r="U98" i="9"/>
  <c r="EY155" i="5"/>
  <c r="AI34" i="6"/>
  <c r="AI136" i="6"/>
  <c r="AI135" i="6"/>
  <c r="AI65" i="6"/>
  <c r="AI103" i="6"/>
  <c r="AI163" i="6"/>
  <c r="AI104" i="6"/>
  <c r="AI170" i="6"/>
  <c r="AI107" i="6"/>
  <c r="AI15" i="6"/>
  <c r="AI130" i="6"/>
  <c r="AI122" i="6"/>
  <c r="EU80" i="5"/>
  <c r="EX148" i="5"/>
  <c r="EU138" i="5"/>
  <c r="EU44" i="5"/>
  <c r="EU160" i="5"/>
  <c r="EU57" i="5"/>
  <c r="EU90" i="5"/>
  <c r="EU133" i="5"/>
  <c r="U42" i="9"/>
  <c r="U32" i="9"/>
  <c r="U137" i="9"/>
  <c r="U80" i="9"/>
  <c r="U48" i="9"/>
  <c r="U134" i="9"/>
  <c r="U71" i="9"/>
  <c r="U82" i="9"/>
  <c r="U66" i="9"/>
  <c r="U41" i="9"/>
  <c r="U164" i="9"/>
  <c r="U129" i="9"/>
  <c r="U37" i="9"/>
  <c r="U144" i="9"/>
  <c r="U34" i="9"/>
  <c r="U73" i="9"/>
  <c r="U132" i="9"/>
  <c r="U43" i="9"/>
  <c r="AI128" i="6"/>
  <c r="AI27" i="6"/>
  <c r="AI33" i="6"/>
  <c r="EY30" i="5"/>
  <c r="AI37" i="6"/>
  <c r="AI94" i="6"/>
  <c r="AI92" i="6"/>
  <c r="AI43" i="6"/>
  <c r="AI168" i="6"/>
  <c r="AI161" i="6"/>
  <c r="U161" i="9"/>
  <c r="EU121" i="5"/>
  <c r="AI141" i="6"/>
  <c r="EY79" i="5"/>
  <c r="AI12" i="6"/>
  <c r="EY169" i="5"/>
  <c r="AI85" i="6"/>
  <c r="AI29" i="6"/>
  <c r="AI35" i="6"/>
  <c r="AI147" i="6"/>
  <c r="AI22" i="6"/>
  <c r="AI88" i="6"/>
  <c r="AI42" i="6"/>
  <c r="AI167" i="6"/>
  <c r="EU172" i="5"/>
  <c r="EU134" i="5"/>
  <c r="EU71" i="5"/>
  <c r="EU123" i="5"/>
  <c r="EU170" i="5"/>
  <c r="EU157" i="5"/>
  <c r="EU168" i="5"/>
  <c r="EU163" i="5"/>
  <c r="EU92" i="5"/>
  <c r="U123" i="9"/>
  <c r="U168" i="9"/>
  <c r="U12" i="9"/>
  <c r="U56" i="9"/>
  <c r="U122" i="9"/>
  <c r="U100" i="9"/>
  <c r="U2" i="9"/>
  <c r="U163" i="9"/>
  <c r="U54" i="9"/>
  <c r="U169" i="9"/>
  <c r="U36" i="9"/>
  <c r="U75" i="9"/>
  <c r="U62" i="9"/>
  <c r="U148" i="9"/>
  <c r="U86" i="9"/>
  <c r="U155" i="9"/>
  <c r="U4" i="9"/>
  <c r="U171" i="9"/>
  <c r="AI133" i="6"/>
  <c r="AI129" i="6"/>
  <c r="AI114" i="6"/>
  <c r="AI68" i="6"/>
  <c r="AI84" i="6"/>
  <c r="AI3" i="6"/>
  <c r="AI47" i="6"/>
  <c r="AI164" i="6"/>
  <c r="AI83" i="6"/>
  <c r="AI71" i="6"/>
  <c r="AI108" i="6"/>
  <c r="U101" i="9"/>
  <c r="EU51" i="5"/>
  <c r="EY123" i="5"/>
  <c r="AI132" i="6"/>
  <c r="EU28" i="5"/>
  <c r="EY50" i="5"/>
  <c r="AI127" i="6"/>
  <c r="AI139" i="6"/>
  <c r="AI78" i="6"/>
  <c r="AI17" i="6"/>
  <c r="AI149" i="6"/>
  <c r="AI154" i="6"/>
  <c r="AI131" i="6"/>
  <c r="AI121" i="6"/>
  <c r="AI177" i="6"/>
  <c r="EU56" i="5"/>
  <c r="EU100" i="5"/>
  <c r="EU144" i="5"/>
  <c r="EU83" i="5"/>
  <c r="EU174" i="5"/>
  <c r="EU21" i="5"/>
  <c r="EU61" i="5"/>
  <c r="EU120" i="5"/>
  <c r="EU4" i="5"/>
  <c r="U152" i="9"/>
  <c r="U16" i="9"/>
  <c r="U93" i="9"/>
  <c r="U13" i="9"/>
  <c r="U52" i="9"/>
  <c r="U159" i="9"/>
  <c r="U83" i="9"/>
  <c r="U136" i="9"/>
  <c r="U7" i="9"/>
  <c r="U59" i="9"/>
  <c r="U70" i="9"/>
  <c r="U33" i="9"/>
  <c r="U146" i="9"/>
  <c r="U3" i="9"/>
  <c r="U39" i="9"/>
  <c r="U27" i="9"/>
  <c r="U102" i="9"/>
  <c r="U69" i="9"/>
  <c r="AI113" i="6"/>
  <c r="AI40" i="6"/>
  <c r="AI28" i="6"/>
  <c r="AI166" i="6"/>
  <c r="AI99" i="6"/>
  <c r="AI81" i="6"/>
  <c r="AI19" i="6"/>
  <c r="AI9" i="6"/>
  <c r="AI173" i="6"/>
  <c r="AI156" i="6"/>
  <c r="U140" i="9"/>
  <c r="EU166" i="5"/>
  <c r="U99" i="9"/>
  <c r="U21" i="9"/>
  <c r="EY97" i="5"/>
  <c r="AI52" i="6"/>
  <c r="EY125" i="5"/>
  <c r="EU40" i="5"/>
  <c r="AI117" i="6"/>
  <c r="AI54" i="6"/>
  <c r="AI125" i="6"/>
  <c r="AI62" i="6"/>
  <c r="AI123" i="6"/>
  <c r="AI98" i="6"/>
  <c r="AI174" i="6"/>
  <c r="AI72" i="6"/>
  <c r="EU36" i="5"/>
  <c r="EU73" i="5"/>
  <c r="EU175" i="5"/>
  <c r="EU154" i="5"/>
  <c r="EU151" i="5"/>
  <c r="EU74" i="5"/>
  <c r="EU162" i="5"/>
  <c r="EU29" i="5"/>
  <c r="U172" i="9"/>
  <c r="U92" i="9"/>
  <c r="U11" i="9"/>
  <c r="U166" i="9"/>
  <c r="U103" i="9"/>
  <c r="U25" i="9"/>
  <c r="U78" i="9"/>
  <c r="U160" i="9"/>
  <c r="U5" i="9"/>
  <c r="U135" i="9"/>
  <c r="U106" i="9"/>
  <c r="U23" i="9"/>
  <c r="U20" i="9"/>
  <c r="U153" i="9"/>
  <c r="U57" i="9"/>
  <c r="U167" i="9"/>
  <c r="U74" i="9"/>
  <c r="U55" i="9"/>
  <c r="U158" i="9"/>
  <c r="AI96" i="6"/>
  <c r="AI126" i="6"/>
  <c r="AI175" i="6"/>
  <c r="AI155" i="6"/>
  <c r="AI14" i="6"/>
  <c r="AI10" i="6"/>
  <c r="EY26" i="5"/>
  <c r="AI152" i="6"/>
  <c r="AI111" i="6"/>
  <c r="AI90" i="6"/>
  <c r="U63" i="9"/>
  <c r="EU103" i="5"/>
  <c r="U143" i="9"/>
  <c r="U104" i="9"/>
  <c r="EY36" i="5"/>
  <c r="AI116" i="6"/>
  <c r="AI100" i="6"/>
  <c r="EU48" i="5"/>
  <c r="AI146" i="6"/>
  <c r="AI169" i="6"/>
  <c r="AI41" i="6"/>
  <c r="AI109" i="6"/>
  <c r="AI58" i="6"/>
  <c r="AI160" i="6"/>
  <c r="AI46" i="6"/>
  <c r="AI115" i="6"/>
  <c r="EU67" i="5"/>
  <c r="EU110" i="5"/>
  <c r="EU149" i="5"/>
  <c r="EU41" i="5"/>
  <c r="EU84" i="5"/>
  <c r="EU99" i="5"/>
  <c r="EU159" i="5"/>
  <c r="EU77" i="5"/>
  <c r="U87" i="9"/>
  <c r="U173" i="9"/>
  <c r="U47" i="9"/>
  <c r="U68" i="9"/>
  <c r="U22" i="9"/>
  <c r="U18" i="9"/>
  <c r="U170" i="9"/>
  <c r="U67" i="9"/>
  <c r="U96" i="9"/>
  <c r="U109" i="9"/>
  <c r="U14" i="9"/>
  <c r="U151" i="9"/>
  <c r="U126" i="9"/>
  <c r="U72" i="9"/>
  <c r="U128" i="9"/>
  <c r="U77" i="9"/>
  <c r="U46" i="9"/>
  <c r="U157" i="9"/>
  <c r="U154" i="9"/>
  <c r="AI101" i="6"/>
  <c r="AI45" i="6"/>
  <c r="AI7" i="6"/>
  <c r="AI64" i="6"/>
  <c r="AI13" i="6"/>
  <c r="AI23" i="6"/>
  <c r="EY106" i="5"/>
  <c r="AI16" i="6"/>
  <c r="AI67" i="6"/>
  <c r="AI172" i="6"/>
  <c r="EU125" i="5"/>
  <c r="U60" i="9"/>
  <c r="U38" i="9"/>
  <c r="AI61" i="6"/>
  <c r="U119" i="9"/>
  <c r="AI137" i="6"/>
  <c r="AI50" i="6"/>
  <c r="EY151" i="5"/>
  <c r="EU43" i="5"/>
  <c r="L64" i="21"/>
  <c r="BL10" i="2"/>
  <c r="E29" i="1"/>
  <c r="K62" i="21"/>
  <c r="L72" i="21" s="1"/>
  <c r="L73" i="21" s="1"/>
  <c r="K64" i="21"/>
  <c r="K65" i="21"/>
  <c r="M64" i="21"/>
  <c r="L62" i="21"/>
  <c r="Z18" i="21"/>
  <c r="AJ18" i="21" s="1"/>
  <c r="AT18" i="21" s="1"/>
  <c r="BD18" i="21" s="1"/>
  <c r="BN18" i="21" s="1"/>
  <c r="BX18" i="21" s="1"/>
  <c r="CH18" i="21" s="1"/>
  <c r="CR18" i="21" s="1"/>
  <c r="BL8" i="2"/>
  <c r="D4" i="18"/>
  <c r="J4" i="18" s="1"/>
  <c r="O4" i="18" s="1"/>
  <c r="I32" i="20" s="1"/>
  <c r="BL6" i="2"/>
  <c r="E30" i="1"/>
  <c r="E34" i="1"/>
  <c r="E26" i="1"/>
  <c r="D6" i="18"/>
  <c r="J6" i="18" s="1"/>
  <c r="D34" i="20" s="1"/>
  <c r="L65" i="21"/>
  <c r="D5" i="18"/>
  <c r="J5" i="18" s="1"/>
  <c r="D33" i="20" s="1"/>
  <c r="D7" i="18"/>
  <c r="J7" i="18" s="1"/>
  <c r="D8" i="18"/>
  <c r="E8" i="18" s="1"/>
  <c r="BL5" i="2"/>
  <c r="P12" i="23"/>
  <c r="O25" i="23" s="1"/>
  <c r="D2" i="18"/>
  <c r="E2" i="18" s="1"/>
  <c r="BL7" i="2"/>
  <c r="BL9" i="2"/>
  <c r="A77" i="20"/>
  <c r="A63" i="1" s="1"/>
  <c r="D11" i="18"/>
  <c r="E11" i="18" s="1"/>
  <c r="B15" i="20"/>
  <c r="C15" i="20"/>
  <c r="J4" i="20"/>
  <c r="Y2" i="2"/>
  <c r="O78" i="2"/>
  <c r="B67" i="1"/>
  <c r="N78" i="2"/>
  <c r="B88" i="1"/>
  <c r="D3" i="18"/>
  <c r="P13" i="23"/>
  <c r="O26" i="23" s="1"/>
  <c r="L63" i="21"/>
  <c r="M72" i="21"/>
  <c r="M73" i="21" s="1"/>
  <c r="BL4" i="2"/>
  <c r="BL3" i="2"/>
  <c r="B12" i="18"/>
  <c r="D9" i="18"/>
  <c r="E9" i="18" s="1"/>
  <c r="H40" i="20"/>
  <c r="D10" i="18"/>
  <c r="E10" i="18" s="1"/>
  <c r="B40" i="20"/>
  <c r="B66" i="20"/>
  <c r="AF6" i="21" s="1"/>
  <c r="M65" i="21"/>
  <c r="N72" i="21"/>
  <c r="N73" i="21" s="1"/>
  <c r="M62" i="21"/>
  <c r="G40" i="20"/>
  <c r="C40" i="20"/>
  <c r="F40" i="20"/>
  <c r="E40" i="20"/>
  <c r="E15" i="20"/>
  <c r="L12" i="20" s="1"/>
  <c r="A76" i="20"/>
  <c r="A62" i="1" s="1"/>
  <c r="AI17" i="21"/>
  <c r="B17" i="21"/>
  <c r="B30" i="21" s="1"/>
  <c r="B43" i="21" s="1"/>
  <c r="R4" i="21"/>
  <c r="BR1" i="4" l="1"/>
  <c r="E11" i="1" s="1"/>
  <c r="Y5" i="2"/>
  <c r="N81" i="2"/>
  <c r="B91" i="1"/>
  <c r="N102" i="2" s="1"/>
  <c r="AG102" i="2" s="1"/>
  <c r="B70" i="1"/>
  <c r="O81" i="2"/>
  <c r="M82" i="2"/>
  <c r="O82" i="2" s="1"/>
  <c r="E31" i="1"/>
  <c r="AE86" i="2"/>
  <c r="Y4" i="2"/>
  <c r="N80" i="2"/>
  <c r="O80" i="2"/>
  <c r="B90" i="1"/>
  <c r="N101" i="2" s="1"/>
  <c r="AG101" i="2" s="1"/>
  <c r="B69" i="1"/>
  <c r="AE87" i="2"/>
  <c r="E25" i="1"/>
  <c r="J11" i="18"/>
  <c r="D39" i="20" s="1"/>
  <c r="P11" i="23"/>
  <c r="O24" i="23" s="1"/>
  <c r="O5" i="18"/>
  <c r="I33" i="20" s="1"/>
  <c r="A69" i="20"/>
  <c r="A55" i="1" s="1"/>
  <c r="E27" i="1"/>
  <c r="E35" i="1"/>
  <c r="J8" i="18"/>
  <c r="D36" i="20" s="1"/>
  <c r="J2" i="18"/>
  <c r="O2" i="18" s="1"/>
  <c r="I30" i="20" s="1"/>
  <c r="O6" i="18"/>
  <c r="I34" i="20" s="1"/>
  <c r="M100" i="2"/>
  <c r="O100" i="2" s="1" a="1"/>
  <c r="O100" i="2" s="1"/>
  <c r="AA3" i="2" s="1"/>
  <c r="D35" i="20"/>
  <c r="O7" i="18"/>
  <c r="I35" i="20" s="1"/>
  <c r="E7" i="18"/>
  <c r="E4" i="18"/>
  <c r="A87" i="1"/>
  <c r="AI98" i="2"/>
  <c r="D18" i="1"/>
  <c r="D24" i="1" s="1"/>
  <c r="D33" i="1" s="1"/>
  <c r="E18" i="1"/>
  <c r="E24" i="1" s="1"/>
  <c r="E33" i="1" s="1"/>
  <c r="C10" i="1"/>
  <c r="C18" i="1" s="1"/>
  <c r="C24" i="1" s="1"/>
  <c r="C33" i="1" s="1"/>
  <c r="AF10" i="21"/>
  <c r="D49" i="1"/>
  <c r="D50" i="1" s="1"/>
  <c r="V2" i="2"/>
  <c r="C12" i="18"/>
  <c r="W2" i="21"/>
  <c r="I35" i="21" s="1"/>
  <c r="C153" i="24"/>
  <c r="O153" i="24" s="1"/>
  <c r="C56" i="24"/>
  <c r="O56" i="24" s="1"/>
  <c r="C30" i="24"/>
  <c r="O30" i="24" s="1"/>
  <c r="C84" i="24"/>
  <c r="O84" i="24" s="1"/>
  <c r="C107" i="24"/>
  <c r="O107" i="24" s="1"/>
  <c r="C158" i="24"/>
  <c r="O158" i="24" s="1"/>
  <c r="C35" i="2"/>
  <c r="C144" i="24"/>
  <c r="O144" i="24" s="1"/>
  <c r="C135" i="24"/>
  <c r="O135" i="24" s="1"/>
  <c r="C31" i="24"/>
  <c r="O31" i="24" s="1"/>
  <c r="B139" i="2"/>
  <c r="C20" i="24"/>
  <c r="O20" i="24" s="1"/>
  <c r="C44" i="24"/>
  <c r="O44" i="24" s="1"/>
  <c r="C47" i="24"/>
  <c r="O47" i="24" s="1"/>
  <c r="B107" i="2"/>
  <c r="C113" i="24"/>
  <c r="O113" i="24" s="1"/>
  <c r="C72" i="24"/>
  <c r="O72" i="24" s="1"/>
  <c r="C99" i="24"/>
  <c r="O99" i="24" s="1"/>
  <c r="C18" i="24"/>
  <c r="O18" i="24" s="1"/>
  <c r="C145" i="24"/>
  <c r="O145" i="24" s="1"/>
  <c r="B83" i="2"/>
  <c r="C45" i="2"/>
  <c r="C89" i="24"/>
  <c r="O89" i="24" s="1"/>
  <c r="C16" i="24"/>
  <c r="O16" i="24" s="1"/>
  <c r="C150" i="24"/>
  <c r="O150" i="24" s="1"/>
  <c r="C12" i="24"/>
  <c r="O12" i="24" s="1"/>
  <c r="C79" i="24"/>
  <c r="O79" i="24" s="1"/>
  <c r="C39" i="24"/>
  <c r="O39" i="24" s="1"/>
  <c r="C8" i="24"/>
  <c r="O8" i="24" s="1"/>
  <c r="B123" i="2"/>
  <c r="C25" i="24"/>
  <c r="O25" i="24" s="1"/>
  <c r="C91" i="24"/>
  <c r="O91" i="24" s="1"/>
  <c r="C51" i="24"/>
  <c r="O51" i="24" s="1"/>
  <c r="C120" i="24"/>
  <c r="O120" i="24" s="1"/>
  <c r="C123" i="24"/>
  <c r="O123" i="24" s="1"/>
  <c r="C146" i="24"/>
  <c r="O146" i="24" s="1"/>
  <c r="C75" i="24"/>
  <c r="O75" i="24" s="1"/>
  <c r="B3" i="2"/>
  <c r="C33" i="24"/>
  <c r="O33" i="24" s="1"/>
  <c r="C82" i="24"/>
  <c r="O82" i="24" s="1"/>
  <c r="C103" i="24"/>
  <c r="O103" i="24" s="1"/>
  <c r="C162" i="24"/>
  <c r="O162" i="24" s="1"/>
  <c r="C39" i="2"/>
  <c r="C152" i="24"/>
  <c r="O152" i="24" s="1"/>
  <c r="C119" i="24"/>
  <c r="O119" i="24" s="1"/>
  <c r="C15" i="24"/>
  <c r="O15" i="24" s="1"/>
  <c r="C5" i="2"/>
  <c r="C100" i="24"/>
  <c r="O100" i="24" s="1"/>
  <c r="C154" i="24"/>
  <c r="O154" i="24" s="1"/>
  <c r="C28" i="24"/>
  <c r="O28" i="24" s="1"/>
  <c r="C83" i="24"/>
  <c r="O83" i="24" s="1"/>
  <c r="C43" i="24"/>
  <c r="O43" i="24" s="1"/>
  <c r="C161" i="24"/>
  <c r="O161" i="24" s="1"/>
  <c r="B115" i="2"/>
  <c r="C17" i="24"/>
  <c r="O17" i="24" s="1"/>
  <c r="C121" i="24"/>
  <c r="O121" i="24" s="1"/>
  <c r="C66" i="24"/>
  <c r="O66" i="24" s="1"/>
  <c r="C128" i="24"/>
  <c r="O128" i="24" s="1"/>
  <c r="C127" i="24"/>
  <c r="O127" i="24" s="1"/>
  <c r="C63" i="24"/>
  <c r="O63" i="24" s="1"/>
  <c r="C23" i="24"/>
  <c r="O23" i="24" s="1"/>
  <c r="B27" i="2"/>
  <c r="B155" i="2"/>
  <c r="C14" i="24"/>
  <c r="O14" i="24" s="1"/>
  <c r="C68" i="24"/>
  <c r="O68" i="24" s="1"/>
  <c r="C74" i="24"/>
  <c r="O74" i="24" s="1"/>
  <c r="C57" i="2"/>
  <c r="C48" i="24"/>
  <c r="O48" i="24" s="1"/>
  <c r="B99" i="2"/>
  <c r="C59" i="24"/>
  <c r="O59" i="24" s="1"/>
  <c r="C19" i="24"/>
  <c r="O19" i="24" s="1"/>
  <c r="C88" i="24"/>
  <c r="O88" i="24" s="1"/>
  <c r="C34" i="24"/>
  <c r="O34" i="24" s="1"/>
  <c r="B67" i="2"/>
  <c r="C73" i="24"/>
  <c r="O73" i="24" s="1"/>
  <c r="C142" i="24"/>
  <c r="O142" i="24" s="1"/>
  <c r="C71" i="24"/>
  <c r="O71" i="24" s="1"/>
  <c r="B11" i="2"/>
  <c r="C41" i="24"/>
  <c r="O41" i="24" s="1"/>
  <c r="C90" i="24"/>
  <c r="O90" i="24" s="1"/>
  <c r="C87" i="24"/>
  <c r="O87" i="24" s="1"/>
  <c r="C157" i="24"/>
  <c r="O157" i="24" s="1"/>
  <c r="C9" i="24"/>
  <c r="O9" i="24" s="1"/>
  <c r="C58" i="24"/>
  <c r="O58" i="24" s="1"/>
  <c r="C136" i="24"/>
  <c r="O136" i="24" s="1"/>
  <c r="C131" i="24"/>
  <c r="O131" i="24" s="1"/>
  <c r="C67" i="24"/>
  <c r="O67" i="24" s="1"/>
  <c r="C27" i="24"/>
  <c r="O27" i="24" s="1"/>
  <c r="B19" i="2"/>
  <c r="B147" i="2"/>
  <c r="C49" i="24"/>
  <c r="O49" i="24" s="1"/>
  <c r="C52" i="24"/>
  <c r="O52" i="24" s="1"/>
  <c r="C96" i="24"/>
  <c r="O96" i="24" s="1"/>
  <c r="C111" i="24"/>
  <c r="O111" i="24" s="1"/>
  <c r="C104" i="24"/>
  <c r="O104" i="24" s="1"/>
  <c r="B51" i="2"/>
  <c r="C29" i="2"/>
  <c r="B4" i="2"/>
  <c r="C137" i="24"/>
  <c r="O137" i="24" s="1"/>
  <c r="C81" i="24"/>
  <c r="O81" i="24" s="1"/>
  <c r="C46" i="24"/>
  <c r="O46" i="24" s="1"/>
  <c r="C10" i="24"/>
  <c r="O10" i="24" s="1"/>
  <c r="C32" i="24"/>
  <c r="O32" i="24" s="1"/>
  <c r="B21" i="2"/>
  <c r="B105" i="2"/>
  <c r="C21" i="2"/>
  <c r="C95" i="2"/>
  <c r="B12" i="2"/>
  <c r="C101" i="24"/>
  <c r="O101" i="24" s="1"/>
  <c r="C143" i="24"/>
  <c r="O143" i="24" s="1"/>
  <c r="C106" i="24"/>
  <c r="O106" i="24" s="1"/>
  <c r="B45" i="2"/>
  <c r="B129" i="2"/>
  <c r="C65" i="2"/>
  <c r="C127" i="2"/>
  <c r="C37" i="24"/>
  <c r="O37" i="24" s="1"/>
  <c r="C163" i="24"/>
  <c r="O163" i="24" s="1"/>
  <c r="B47" i="2"/>
  <c r="C61" i="2"/>
  <c r="C12" i="2"/>
  <c r="B150" i="2"/>
  <c r="C114" i="2"/>
  <c r="B88" i="2"/>
  <c r="C72" i="2"/>
  <c r="B27" i="28"/>
  <c r="B59" i="28"/>
  <c r="B157" i="2"/>
  <c r="C159" i="2"/>
  <c r="B138" i="2"/>
  <c r="C118" i="2"/>
  <c r="B8" i="2"/>
  <c r="C137" i="2"/>
  <c r="B110" i="2"/>
  <c r="C94" i="2"/>
  <c r="B39" i="2"/>
  <c r="C154" i="2"/>
  <c r="C36" i="2"/>
  <c r="B20" i="28"/>
  <c r="B62" i="28"/>
  <c r="B96" i="28"/>
  <c r="B128" i="28"/>
  <c r="C115" i="24"/>
  <c r="O115" i="24" s="1"/>
  <c r="C9" i="2"/>
  <c r="C5" i="24"/>
  <c r="O5" i="24" s="1"/>
  <c r="C51" i="2"/>
  <c r="C7" i="24"/>
  <c r="O7" i="24" s="1"/>
  <c r="C93" i="24"/>
  <c r="O93" i="24" s="1"/>
  <c r="C160" i="24"/>
  <c r="O160" i="24" s="1"/>
  <c r="C102" i="24"/>
  <c r="O102" i="24" s="1"/>
  <c r="B31" i="2"/>
  <c r="B117" i="2"/>
  <c r="C27" i="2"/>
  <c r="C101" i="2"/>
  <c r="B22" i="2"/>
  <c r="B55" i="2"/>
  <c r="B141" i="2"/>
  <c r="C71" i="2"/>
  <c r="C135" i="2"/>
  <c r="B69" i="2"/>
  <c r="C73" i="2"/>
  <c r="B38" i="2"/>
  <c r="C14" i="2"/>
  <c r="C130" i="2"/>
  <c r="B104" i="2"/>
  <c r="C84" i="2"/>
  <c r="B31" i="28"/>
  <c r="B63" i="28"/>
  <c r="C156" i="24"/>
  <c r="O156" i="24" s="1"/>
  <c r="B7" i="2"/>
  <c r="C11" i="2"/>
  <c r="B18" i="2"/>
  <c r="B154" i="2"/>
  <c r="C134" i="2"/>
  <c r="C92" i="24"/>
  <c r="O92" i="24" s="1"/>
  <c r="B15" i="2"/>
  <c r="C17" i="2"/>
  <c r="C149" i="2"/>
  <c r="B126" i="2"/>
  <c r="C106" i="2"/>
  <c r="B125" i="2"/>
  <c r="B36" i="2"/>
  <c r="C52" i="2"/>
  <c r="B25" i="28"/>
  <c r="B68" i="28"/>
  <c r="B100" i="28"/>
  <c r="B132" i="28"/>
  <c r="B164" i="28"/>
  <c r="B145" i="2"/>
  <c r="B16" i="2"/>
  <c r="C40" i="2"/>
  <c r="B32" i="28"/>
  <c r="B73" i="28"/>
  <c r="B105" i="28"/>
  <c r="B137" i="28"/>
  <c r="B169" i="28"/>
  <c r="C69" i="2"/>
  <c r="B48" i="2"/>
  <c r="C76" i="2"/>
  <c r="B38" i="28"/>
  <c r="B78" i="28"/>
  <c r="B110" i="28"/>
  <c r="B142" i="28"/>
  <c r="B174" i="28"/>
  <c r="B50" i="28"/>
  <c r="B103" i="2"/>
  <c r="B75" i="28"/>
  <c r="B40" i="28"/>
  <c r="C139" i="24"/>
  <c r="O139" i="24" s="1"/>
  <c r="C80" i="24"/>
  <c r="O80" i="24" s="1"/>
  <c r="C112" i="24"/>
  <c r="O112" i="24" s="1"/>
  <c r="C65" i="24"/>
  <c r="O65" i="24" s="1"/>
  <c r="B41" i="2"/>
  <c r="B127" i="2"/>
  <c r="C37" i="2"/>
  <c r="C109" i="2"/>
  <c r="C29" i="24"/>
  <c r="O29" i="24" s="1"/>
  <c r="C133" i="24"/>
  <c r="O133" i="24" s="1"/>
  <c r="C159" i="24"/>
  <c r="O159" i="24" s="1"/>
  <c r="C130" i="24"/>
  <c r="O130" i="24" s="1"/>
  <c r="B65" i="2"/>
  <c r="B151" i="2"/>
  <c r="C79" i="2"/>
  <c r="C141" i="2"/>
  <c r="C77" i="24"/>
  <c r="O77" i="24" s="1"/>
  <c r="C94" i="24"/>
  <c r="O94" i="24" s="1"/>
  <c r="B89" i="2"/>
  <c r="C85" i="2"/>
  <c r="B54" i="2"/>
  <c r="C26" i="2"/>
  <c r="C142" i="2"/>
  <c r="B120" i="2"/>
  <c r="C96" i="2"/>
  <c r="B35" i="28"/>
  <c r="B67" i="28"/>
  <c r="B29" i="2"/>
  <c r="C25" i="2"/>
  <c r="B42" i="2"/>
  <c r="C18" i="2"/>
  <c r="C146" i="2"/>
  <c r="B37" i="2"/>
  <c r="C31" i="2"/>
  <c r="B6" i="2"/>
  <c r="B142" i="2"/>
  <c r="C122" i="2"/>
  <c r="C33" i="2"/>
  <c r="B60" i="2"/>
  <c r="C68" i="2"/>
  <c r="B30" i="28"/>
  <c r="B72" i="28"/>
  <c r="B104" i="28"/>
  <c r="B136" i="28"/>
  <c r="B168" i="28"/>
  <c r="C55" i="2"/>
  <c r="B44" i="2"/>
  <c r="C56" i="2"/>
  <c r="B37" i="28"/>
  <c r="B77" i="28"/>
  <c r="B109" i="28"/>
  <c r="C11" i="24"/>
  <c r="O11" i="24" s="1"/>
  <c r="C116" i="24"/>
  <c r="O116" i="24" s="1"/>
  <c r="C95" i="24"/>
  <c r="O95" i="24" s="1"/>
  <c r="C129" i="24"/>
  <c r="O129" i="24" s="1"/>
  <c r="C6" i="24"/>
  <c r="O6" i="24" s="1"/>
  <c r="C60" i="24"/>
  <c r="O60" i="24" s="1"/>
  <c r="C40" i="24"/>
  <c r="O40" i="24" s="1"/>
  <c r="C126" i="24"/>
  <c r="O126" i="24" s="1"/>
  <c r="B73" i="2"/>
  <c r="B159" i="2"/>
  <c r="C77" i="2"/>
  <c r="C133" i="2"/>
  <c r="B13" i="2"/>
  <c r="B97" i="2"/>
  <c r="C15" i="2"/>
  <c r="C103" i="2"/>
  <c r="C161" i="2"/>
  <c r="B153" i="2"/>
  <c r="C129" i="2"/>
  <c r="B102" i="2"/>
  <c r="C70" i="2"/>
  <c r="B40" i="2"/>
  <c r="C16" i="2"/>
  <c r="C152" i="2"/>
  <c r="B47" i="28"/>
  <c r="C85" i="24"/>
  <c r="O85" i="24" s="1"/>
  <c r="C98" i="24"/>
  <c r="O98" i="24" s="1"/>
  <c r="B93" i="2"/>
  <c r="C87" i="2"/>
  <c r="B90" i="2"/>
  <c r="C58" i="2"/>
  <c r="C38" i="24"/>
  <c r="O38" i="24" s="1"/>
  <c r="C62" i="24"/>
  <c r="O62" i="24" s="1"/>
  <c r="B101" i="2"/>
  <c r="C93" i="2"/>
  <c r="B62" i="2"/>
  <c r="C34" i="2"/>
  <c r="B130" i="2"/>
  <c r="B124" i="2"/>
  <c r="C120" i="2"/>
  <c r="B46" i="28"/>
  <c r="B84" i="28"/>
  <c r="B116" i="28"/>
  <c r="B148" i="28"/>
  <c r="B82" i="2"/>
  <c r="B108" i="2"/>
  <c r="C144" i="2"/>
  <c r="B53" i="28"/>
  <c r="B89" i="28"/>
  <c r="B121" i="28"/>
  <c r="B153" i="28"/>
  <c r="C138" i="24"/>
  <c r="O138" i="24" s="1"/>
  <c r="C6" i="2"/>
  <c r="B132" i="2"/>
  <c r="B17" i="28"/>
  <c r="B60" i="28"/>
  <c r="B94" i="28"/>
  <c r="B126" i="28"/>
  <c r="B158" i="28"/>
  <c r="B76" i="2"/>
  <c r="B119" i="28"/>
  <c r="C28" i="2"/>
  <c r="B139" i="28"/>
  <c r="B116" i="2"/>
  <c r="C26" i="24"/>
  <c r="O26" i="24" s="1"/>
  <c r="B91" i="2"/>
  <c r="C125" i="24"/>
  <c r="O125" i="24" s="1"/>
  <c r="C114" i="24"/>
  <c r="O114" i="24" s="1"/>
  <c r="B137" i="2"/>
  <c r="C117" i="2"/>
  <c r="B161" i="2"/>
  <c r="C147" i="2"/>
  <c r="C99" i="2"/>
  <c r="C42" i="2"/>
  <c r="B136" i="2"/>
  <c r="B39" i="28"/>
  <c r="C24" i="24"/>
  <c r="O24" i="24" s="1"/>
  <c r="C63" i="2"/>
  <c r="C30" i="2"/>
  <c r="C147" i="24"/>
  <c r="O147" i="24" s="1"/>
  <c r="C53" i="2"/>
  <c r="B158" i="2"/>
  <c r="C151" i="2"/>
  <c r="C88" i="2"/>
  <c r="B76" i="28"/>
  <c r="C105" i="24"/>
  <c r="O105" i="24" s="1"/>
  <c r="B75" i="2"/>
  <c r="B149" i="2"/>
  <c r="C125" i="2"/>
  <c r="C76" i="24"/>
  <c r="O76" i="24" s="1"/>
  <c r="A2" i="2"/>
  <c r="C7" i="2"/>
  <c r="C155" i="2"/>
  <c r="C118" i="24"/>
  <c r="O118" i="24" s="1"/>
  <c r="C113" i="2"/>
  <c r="C54" i="2"/>
  <c r="B152" i="2"/>
  <c r="B43" i="28"/>
  <c r="C75" i="2"/>
  <c r="C46" i="2"/>
  <c r="C67" i="2"/>
  <c r="C22" i="2"/>
  <c r="B66" i="2"/>
  <c r="C104" i="2"/>
  <c r="B80" i="28"/>
  <c r="B144" i="28"/>
  <c r="B61" i="2"/>
  <c r="B128" i="2"/>
  <c r="B42" i="28"/>
  <c r="B97" i="28"/>
  <c r="B145" i="28"/>
  <c r="B20" i="2"/>
  <c r="C128" i="2"/>
  <c r="B65" i="28"/>
  <c r="B106" i="28"/>
  <c r="B150" i="28"/>
  <c r="B160" i="2"/>
  <c r="B167" i="28"/>
  <c r="B107" i="28"/>
  <c r="C48" i="2"/>
  <c r="B143" i="28"/>
  <c r="B99" i="28"/>
  <c r="C81" i="2"/>
  <c r="C50" i="24"/>
  <c r="O50" i="24" s="1"/>
  <c r="C97" i="24"/>
  <c r="O97" i="24" s="1"/>
  <c r="C3" i="2"/>
  <c r="C145" i="2"/>
  <c r="C140" i="24"/>
  <c r="O140" i="24" s="1"/>
  <c r="B23" i="2"/>
  <c r="C41" i="2"/>
  <c r="C4" i="2"/>
  <c r="B5" i="2"/>
  <c r="C143" i="2"/>
  <c r="C86" i="2"/>
  <c r="C32" i="2"/>
  <c r="B51" i="28"/>
  <c r="C115" i="2"/>
  <c r="C74" i="2"/>
  <c r="C105" i="2"/>
  <c r="C62" i="2"/>
  <c r="C38" i="2"/>
  <c r="C140" i="2"/>
  <c r="B88" i="28"/>
  <c r="B152" i="28"/>
  <c r="C107" i="2"/>
  <c r="B148" i="2"/>
  <c r="B48" i="28"/>
  <c r="B101" i="28"/>
  <c r="B149" i="28"/>
  <c r="B81" i="2"/>
  <c r="B68" i="2"/>
  <c r="C148" i="2"/>
  <c r="B70" i="28"/>
  <c r="B114" i="28"/>
  <c r="B154" i="28"/>
  <c r="C80" i="2"/>
  <c r="B50" i="2"/>
  <c r="B123" i="28"/>
  <c r="C116" i="2"/>
  <c r="B159" i="28"/>
  <c r="B163" i="28"/>
  <c r="C64" i="2"/>
  <c r="B35" i="2"/>
  <c r="C55" i="24"/>
  <c r="O55" i="24" s="1"/>
  <c r="C64" i="24"/>
  <c r="O64" i="24" s="1"/>
  <c r="C132" i="24"/>
  <c r="O132" i="24" s="1"/>
  <c r="C124" i="24"/>
  <c r="O124" i="24" s="1"/>
  <c r="B9" i="2"/>
  <c r="C13" i="2"/>
  <c r="C153" i="2"/>
  <c r="B33" i="2"/>
  <c r="C49" i="2"/>
  <c r="B26" i="2"/>
  <c r="B25" i="2"/>
  <c r="C157" i="2"/>
  <c r="C102" i="2"/>
  <c r="C44" i="2"/>
  <c r="B55" i="28"/>
  <c r="C122" i="24"/>
  <c r="O122" i="24" s="1"/>
  <c r="C131" i="2"/>
  <c r="C90" i="2"/>
  <c r="C134" i="24"/>
  <c r="O134" i="24" s="1"/>
  <c r="C121" i="2"/>
  <c r="C78" i="2"/>
  <c r="C98" i="2"/>
  <c r="C156" i="2"/>
  <c r="B92" i="28"/>
  <c r="B156" i="28"/>
  <c r="B10" i="2"/>
  <c r="C20" i="2"/>
  <c r="B58" i="28"/>
  <c r="B113" i="28"/>
  <c r="B157" i="28"/>
  <c r="B14" i="2"/>
  <c r="B92" i="2"/>
  <c r="B22" i="28"/>
  <c r="B74" i="28"/>
  <c r="B118" i="28"/>
  <c r="B162" i="28"/>
  <c r="B29" i="28"/>
  <c r="C138" i="2"/>
  <c r="B155" i="28"/>
  <c r="B18" i="28"/>
  <c r="B175" i="28"/>
  <c r="C151" i="24"/>
  <c r="O151" i="24" s="1"/>
  <c r="B66" i="28"/>
  <c r="B131" i="2"/>
  <c r="C149" i="24"/>
  <c r="O149" i="24" s="1"/>
  <c r="B85" i="2"/>
  <c r="C83" i="2"/>
  <c r="C69" i="24"/>
  <c r="O69" i="24" s="1"/>
  <c r="C86" i="24"/>
  <c r="O86" i="24" s="1"/>
  <c r="B109" i="2"/>
  <c r="C111" i="2"/>
  <c r="C148" i="24"/>
  <c r="O148" i="24" s="1"/>
  <c r="C23" i="2"/>
  <c r="B118" i="2"/>
  <c r="B56" i="2"/>
  <c r="B19" i="28"/>
  <c r="B113" i="2"/>
  <c r="B106" i="2"/>
  <c r="B121" i="2"/>
  <c r="B78" i="2"/>
  <c r="C70" i="24"/>
  <c r="O70" i="24" s="1"/>
  <c r="B144" i="2"/>
  <c r="B52" i="28"/>
  <c r="B120" i="28"/>
  <c r="C117" i="24"/>
  <c r="O117" i="24" s="1"/>
  <c r="C110" i="2"/>
  <c r="C160" i="2"/>
  <c r="B81" i="28"/>
  <c r="B129" i="28"/>
  <c r="B173" i="28"/>
  <c r="B98" i="2"/>
  <c r="C24" i="2"/>
  <c r="B44" i="28"/>
  <c r="B90" i="28"/>
  <c r="B134" i="28"/>
  <c r="B17" i="2"/>
  <c r="B103" i="28"/>
  <c r="B34" i="28"/>
  <c r="C19" i="2"/>
  <c r="B95" i="28"/>
  <c r="B147" i="28"/>
  <c r="B45" i="28"/>
  <c r="C35" i="24"/>
  <c r="O35" i="24" s="1"/>
  <c r="C57" i="24"/>
  <c r="O57" i="24" s="1"/>
  <c r="C21" i="24"/>
  <c r="O21" i="24" s="1"/>
  <c r="B95" i="2"/>
  <c r="C54" i="24"/>
  <c r="O54" i="24" s="1"/>
  <c r="B134" i="2"/>
  <c r="C8" i="2"/>
  <c r="B94" i="2"/>
  <c r="B41" i="28"/>
  <c r="C110" i="24"/>
  <c r="O110" i="24" s="1"/>
  <c r="B21" i="28"/>
  <c r="B133" i="28"/>
  <c r="C66" i="2"/>
  <c r="B49" i="28"/>
  <c r="B138" i="28"/>
  <c r="B135" i="28"/>
  <c r="B114" i="2"/>
  <c r="B52" i="2"/>
  <c r="C47" i="2"/>
  <c r="C141" i="24"/>
  <c r="O141" i="24" s="1"/>
  <c r="C158" i="2"/>
  <c r="C36" i="24"/>
  <c r="O36" i="24" s="1"/>
  <c r="B28" i="2"/>
  <c r="C150" i="2"/>
  <c r="B57" i="28"/>
  <c r="B26" i="28"/>
  <c r="B141" i="28"/>
  <c r="C126" i="2"/>
  <c r="B54" i="28"/>
  <c r="B146" i="28"/>
  <c r="B151" i="28"/>
  <c r="B32" i="2"/>
  <c r="B24" i="28"/>
  <c r="B43" i="2"/>
  <c r="C61" i="24"/>
  <c r="O61" i="24" s="1"/>
  <c r="C59" i="2"/>
  <c r="B77" i="2"/>
  <c r="B24" i="2"/>
  <c r="B49" i="2"/>
  <c r="C109" i="24"/>
  <c r="O109" i="24" s="1"/>
  <c r="C53" i="24"/>
  <c r="O53" i="24" s="1"/>
  <c r="B108" i="28"/>
  <c r="B146" i="2"/>
  <c r="B64" i="28"/>
  <c r="B161" i="28"/>
  <c r="B112" i="2"/>
  <c r="B82" i="28"/>
  <c r="B166" i="28"/>
  <c r="B96" i="2"/>
  <c r="B61" i="28"/>
  <c r="C155" i="24"/>
  <c r="O155" i="24" s="1"/>
  <c r="C89" i="2"/>
  <c r="B87" i="2"/>
  <c r="B111" i="2"/>
  <c r="B72" i="2"/>
  <c r="B71" i="2"/>
  <c r="B57" i="2"/>
  <c r="B112" i="28"/>
  <c r="C50" i="2"/>
  <c r="B69" i="28"/>
  <c r="B165" i="28"/>
  <c r="B156" i="2"/>
  <c r="B86" i="28"/>
  <c r="B170" i="28"/>
  <c r="C100" i="2"/>
  <c r="B79" i="28"/>
  <c r="B140" i="2"/>
  <c r="C22" i="24"/>
  <c r="O22" i="24" s="1"/>
  <c r="C43" i="2"/>
  <c r="B58" i="2"/>
  <c r="B100" i="2"/>
  <c r="B84" i="2"/>
  <c r="B102" i="28"/>
  <c r="B91" i="28"/>
  <c r="B131" i="28"/>
  <c r="C42" i="24"/>
  <c r="O42" i="24" s="1"/>
  <c r="B70" i="2"/>
  <c r="B74" i="2"/>
  <c r="C10" i="2"/>
  <c r="C92" i="2"/>
  <c r="C123" i="2"/>
  <c r="B122" i="28"/>
  <c r="B171" i="28"/>
  <c r="B119" i="2"/>
  <c r="B23" i="28"/>
  <c r="B80" i="2"/>
  <c r="B85" i="28"/>
  <c r="B28" i="28"/>
  <c r="B56" i="28"/>
  <c r="B59" i="2"/>
  <c r="C91" i="2"/>
  <c r="C45" i="24"/>
  <c r="O45" i="24" s="1"/>
  <c r="B36" i="28"/>
  <c r="B93" i="28"/>
  <c r="B33" i="28"/>
  <c r="C13" i="24"/>
  <c r="O13" i="24" s="1"/>
  <c r="C97" i="2"/>
  <c r="B135" i="2"/>
  <c r="B124" i="28"/>
  <c r="B117" i="28"/>
  <c r="B98" i="28"/>
  <c r="B111" i="28"/>
  <c r="C78" i="24"/>
  <c r="O78" i="24" s="1"/>
  <c r="C119" i="2"/>
  <c r="B122" i="2"/>
  <c r="B140" i="28"/>
  <c r="B125" i="28"/>
  <c r="B130" i="28"/>
  <c r="B127" i="28"/>
  <c r="B53" i="2"/>
  <c r="B79" i="2"/>
  <c r="C108" i="24"/>
  <c r="O108" i="24" s="1"/>
  <c r="C132" i="2"/>
  <c r="B63" i="2"/>
  <c r="B143" i="2"/>
  <c r="B34" i="2"/>
  <c r="B83" i="28"/>
  <c r="B30" i="2"/>
  <c r="C60" i="2"/>
  <c r="B115" i="28"/>
  <c r="B46" i="2"/>
  <c r="C112" i="2"/>
  <c r="B133" i="2"/>
  <c r="B160" i="28"/>
  <c r="C139" i="2"/>
  <c r="B86" i="2"/>
  <c r="B87" i="28"/>
  <c r="C108" i="2"/>
  <c r="C136" i="2"/>
  <c r="B172" i="28"/>
  <c r="B64" i="2"/>
  <c r="C124" i="2"/>
  <c r="C82" i="2"/>
  <c r="B71" i="28"/>
  <c r="Q7" i="24"/>
  <c r="Q4" i="24"/>
  <c r="Q8" i="24"/>
  <c r="Q10" i="24"/>
  <c r="Q5" i="24"/>
  <c r="Q11" i="24"/>
  <c r="Q6" i="24"/>
  <c r="Q9" i="24"/>
  <c r="X6" i="2"/>
  <c r="E5" i="18"/>
  <c r="M83" i="2"/>
  <c r="M84" i="2" s="1"/>
  <c r="M85" i="2" s="1"/>
  <c r="B74" i="1" s="1"/>
  <c r="B92" i="1"/>
  <c r="N103" i="2" s="1"/>
  <c r="AG103" i="2" s="1"/>
  <c r="Y6" i="2"/>
  <c r="P7" i="23"/>
  <c r="O20" i="23" s="1"/>
  <c r="L23" i="23"/>
  <c r="P10" i="23"/>
  <c r="O23" i="23" s="1"/>
  <c r="B3" i="22"/>
  <c r="H3" i="22"/>
  <c r="K3" i="22"/>
  <c r="I3" i="22"/>
  <c r="F3" i="22"/>
  <c r="E3" i="22"/>
  <c r="G3" i="22"/>
  <c r="L22" i="23"/>
  <c r="P9" i="23"/>
  <c r="O22" i="23" s="1"/>
  <c r="D3" i="22"/>
  <c r="L19" i="23"/>
  <c r="P6" i="23"/>
  <c r="O19" i="23" s="1"/>
  <c r="D56" i="20"/>
  <c r="D66" i="20" s="1"/>
  <c r="E56" i="20"/>
  <c r="E66" i="20" s="1"/>
  <c r="B68" i="20"/>
  <c r="I68" i="20"/>
  <c r="I78" i="20" s="1"/>
  <c r="G68" i="20"/>
  <c r="G78" i="20" s="1"/>
  <c r="C56" i="20"/>
  <c r="C68" i="20"/>
  <c r="H68" i="20"/>
  <c r="H78" i="20" s="1"/>
  <c r="D68" i="20"/>
  <c r="D78" i="20" s="1"/>
  <c r="E68" i="20"/>
  <c r="E78" i="20" s="1"/>
  <c r="F68" i="20"/>
  <c r="A4" i="23"/>
  <c r="L21" i="23"/>
  <c r="P8" i="23"/>
  <c r="O21" i="23" s="1"/>
  <c r="L18" i="23"/>
  <c r="P5" i="23"/>
  <c r="O18" i="23" s="1"/>
  <c r="E16" i="1"/>
  <c r="J10" i="18"/>
  <c r="O10" i="18" s="1"/>
  <c r="I38" i="20" s="1"/>
  <c r="E6" i="18"/>
  <c r="E19" i="1"/>
  <c r="E22" i="1" s="1"/>
  <c r="AF13" i="21"/>
  <c r="BJ8" i="2"/>
  <c r="K63" i="21"/>
  <c r="D32" i="20"/>
  <c r="AF14" i="21"/>
  <c r="AF8" i="21"/>
  <c r="C12" i="21"/>
  <c r="D12" i="21" s="1"/>
  <c r="K12" i="21" s="1"/>
  <c r="D12" i="18"/>
  <c r="AF9" i="21"/>
  <c r="AF5" i="21"/>
  <c r="AF11" i="21"/>
  <c r="AF15" i="21"/>
  <c r="AA18" i="21"/>
  <c r="AK18" i="21" s="1"/>
  <c r="AK24" i="21" s="1" a="1"/>
  <c r="AK24" i="21" s="1"/>
  <c r="E3" i="18"/>
  <c r="J3" i="18"/>
  <c r="O3" i="18" s="1"/>
  <c r="I31" i="20" s="1"/>
  <c r="E13" i="1"/>
  <c r="A72" i="20"/>
  <c r="A58" i="1" s="1"/>
  <c r="N8" i="21"/>
  <c r="AT22" i="21" a="1"/>
  <c r="AT22" i="21" s="1"/>
  <c r="G21" i="21"/>
  <c r="L54" i="21" s="1"/>
  <c r="I33" i="21"/>
  <c r="AT19" i="21" a="1"/>
  <c r="AT19" i="21" s="1"/>
  <c r="N39" i="21"/>
  <c r="H25" i="21"/>
  <c r="U54" i="21" s="1"/>
  <c r="K32" i="21"/>
  <c r="CH20" i="21" a="1"/>
  <c r="CH20" i="21" s="1"/>
  <c r="P9" i="21"/>
  <c r="N13" i="21"/>
  <c r="P10" i="21"/>
  <c r="C10" i="21"/>
  <c r="B10" i="21" s="1"/>
  <c r="BX24" i="21" s="1"/>
  <c r="H39" i="21"/>
  <c r="K31" i="21"/>
  <c r="C22" i="21"/>
  <c r="H57" i="21" s="1"/>
  <c r="P14" i="21"/>
  <c r="H26" i="21"/>
  <c r="W54" i="21" s="1"/>
  <c r="C13" i="21"/>
  <c r="B13" i="21" s="1"/>
  <c r="CB27" i="21" s="1"/>
  <c r="J34" i="21"/>
  <c r="J38" i="21"/>
  <c r="C26" i="21"/>
  <c r="P57" i="21" s="1"/>
  <c r="N5" i="21"/>
  <c r="H22" i="21"/>
  <c r="O54" i="21" s="1"/>
  <c r="I32" i="21"/>
  <c r="J35" i="21"/>
  <c r="N12" i="21"/>
  <c r="G5" i="21"/>
  <c r="I5" i="21" s="1"/>
  <c r="H37" i="21"/>
  <c r="J40" i="21"/>
  <c r="M41" i="21"/>
  <c r="H32" i="21"/>
  <c r="K35" i="21"/>
  <c r="E31" i="21"/>
  <c r="H38" i="21"/>
  <c r="C24" i="21"/>
  <c r="L57" i="21" s="1"/>
  <c r="P12" i="21"/>
  <c r="N38" i="21"/>
  <c r="G11" i="21"/>
  <c r="I11" i="21" s="1"/>
  <c r="C34" i="21"/>
  <c r="C28" i="21"/>
  <c r="AJ56" i="21" s="1"/>
  <c r="H21" i="21"/>
  <c r="M54" i="21" s="1"/>
  <c r="N34" i="21"/>
  <c r="H40" i="21"/>
  <c r="G14" i="21"/>
  <c r="I14" i="21" s="1"/>
  <c r="C11" i="21"/>
  <c r="B11" i="21" s="1"/>
  <c r="B25" i="21" s="1"/>
  <c r="B37" i="21" s="1"/>
  <c r="D23" i="21"/>
  <c r="K57" i="21" s="1"/>
  <c r="D20" i="21"/>
  <c r="E57" i="21" s="1"/>
  <c r="H27" i="21"/>
  <c r="Y54" i="21" s="1"/>
  <c r="L37" i="21"/>
  <c r="J36" i="21"/>
  <c r="N35" i="21"/>
  <c r="G23" i="21"/>
  <c r="P54" i="21" s="1"/>
  <c r="N32" i="21"/>
  <c r="P7" i="21"/>
  <c r="E39" i="21"/>
  <c r="G26" i="21"/>
  <c r="V54" i="21" s="1"/>
  <c r="L32" i="21"/>
  <c r="G13" i="21"/>
  <c r="I13" i="21" s="1"/>
  <c r="C6" i="21"/>
  <c r="B6" i="21" s="1"/>
  <c r="B20" i="21" s="1"/>
  <c r="B32" i="21" s="1"/>
  <c r="G32" i="21" s="1"/>
  <c r="C35" i="21"/>
  <c r="K40" i="21"/>
  <c r="G6" i="21"/>
  <c r="C7" i="21"/>
  <c r="CH23" i="21" a="1"/>
  <c r="CH23" i="21" s="1"/>
  <c r="CH21" i="21" a="1"/>
  <c r="CH21" i="21" s="1"/>
  <c r="D22" i="21"/>
  <c r="H33" i="21"/>
  <c r="C31" i="21"/>
  <c r="J37" i="21"/>
  <c r="N11" i="21"/>
  <c r="N33" i="21"/>
  <c r="I31" i="21"/>
  <c r="K39" i="21"/>
  <c r="P8" i="21"/>
  <c r="I34" i="21"/>
  <c r="C25" i="21"/>
  <c r="D19" i="21"/>
  <c r="C32" i="21"/>
  <c r="C23" i="21"/>
  <c r="I39" i="21"/>
  <c r="I38" i="21"/>
  <c r="E38" i="21"/>
  <c r="K38" i="21"/>
  <c r="CH24" i="21" a="1"/>
  <c r="CH24" i="21" s="1"/>
  <c r="D25" i="21"/>
  <c r="D28" i="21"/>
  <c r="C5" i="21"/>
  <c r="D5" i="21" s="1"/>
  <c r="K5" i="21" s="1"/>
  <c r="C27" i="21"/>
  <c r="G7" i="21"/>
  <c r="C19" i="21"/>
  <c r="E34" i="21"/>
  <c r="G27" i="21"/>
  <c r="X54" i="21" s="1"/>
  <c r="I37" i="21"/>
  <c r="G19" i="21"/>
  <c r="H54" i="21" s="1"/>
  <c r="N10" i="21"/>
  <c r="K36" i="21"/>
  <c r="P11" i="21"/>
  <c r="P13" i="21"/>
  <c r="P6" i="21"/>
  <c r="N9" i="21"/>
  <c r="L34" i="21"/>
  <c r="C20" i="21"/>
  <c r="N6" i="21"/>
  <c r="L36" i="21"/>
  <c r="G20" i="21"/>
  <c r="J54" i="21" s="1"/>
  <c r="G24" i="21"/>
  <c r="R54" i="21" s="1"/>
  <c r="N14" i="21"/>
  <c r="C21" i="21"/>
  <c r="G25" i="21"/>
  <c r="T54" i="21" s="1"/>
  <c r="N40" i="21"/>
  <c r="H19" i="21"/>
  <c r="J31" i="21"/>
  <c r="K33" i="21"/>
  <c r="C33" i="21"/>
  <c r="C39" i="21"/>
  <c r="N7" i="21"/>
  <c r="H31" i="21"/>
  <c r="D24" i="21"/>
  <c r="H28" i="21"/>
  <c r="L39" i="21"/>
  <c r="N31" i="21"/>
  <c r="J33" i="21"/>
  <c r="G22" i="21"/>
  <c r="L38" i="21"/>
  <c r="I40" i="21"/>
  <c r="K37" i="21"/>
  <c r="H35" i="21"/>
  <c r="N37" i="21"/>
  <c r="H36" i="21"/>
  <c r="C8" i="21"/>
  <c r="B8" i="21" s="1"/>
  <c r="CE22" i="21" s="1"/>
  <c r="I26" i="21"/>
  <c r="J32" i="21"/>
  <c r="G8" i="21"/>
  <c r="I36" i="21"/>
  <c r="H24" i="21"/>
  <c r="H23" i="21"/>
  <c r="C36" i="21"/>
  <c r="AT28" i="21" a="1"/>
  <c r="AT28" i="21" s="1"/>
  <c r="N15" i="21"/>
  <c r="P15" i="21"/>
  <c r="D21" i="21"/>
  <c r="G9" i="21"/>
  <c r="C40" i="21"/>
  <c r="D27" i="21"/>
  <c r="L33" i="21"/>
  <c r="G12" i="21"/>
  <c r="J39" i="21"/>
  <c r="C14" i="21"/>
  <c r="B14" i="21" s="1"/>
  <c r="CB28" i="21" s="1"/>
  <c r="C38" i="21"/>
  <c r="E37" i="21"/>
  <c r="G28" i="21"/>
  <c r="Z54" i="21" s="1"/>
  <c r="L35" i="21"/>
  <c r="L40" i="21"/>
  <c r="H20" i="21"/>
  <c r="P5" i="21"/>
  <c r="L31" i="21"/>
  <c r="E40" i="21"/>
  <c r="C9" i="21"/>
  <c r="B9" i="21" s="1"/>
  <c r="AE23" i="21" s="1"/>
  <c r="H34" i="21"/>
  <c r="G10" i="21"/>
  <c r="K34" i="21"/>
  <c r="E32" i="21"/>
  <c r="N36" i="21"/>
  <c r="E33" i="21"/>
  <c r="C37" i="21"/>
  <c r="D26" i="21"/>
  <c r="E35" i="21"/>
  <c r="E36" i="21"/>
  <c r="AT21" i="21" a="1"/>
  <c r="AT21" i="21" s="1"/>
  <c r="AT26" i="21" a="1"/>
  <c r="AT26" i="21" s="1"/>
  <c r="CH19" i="21" a="1"/>
  <c r="CH19" i="21" s="1"/>
  <c r="AT20" i="21" a="1"/>
  <c r="AT20" i="21" s="1"/>
  <c r="AT25" i="21" a="1"/>
  <c r="AT25" i="21" s="1"/>
  <c r="CH28" i="21" a="1"/>
  <c r="CH28" i="21" s="1"/>
  <c r="AT23" i="21" a="1"/>
  <c r="AT23" i="21" s="1"/>
  <c r="AI23" i="21" a="1"/>
  <c r="AI23" i="21" s="1"/>
  <c r="AS22" i="21" a="1"/>
  <c r="AS22" i="21" s="1"/>
  <c r="CG21" i="21" a="1"/>
  <c r="CG21" i="21" s="1"/>
  <c r="CG26" i="21" a="1"/>
  <c r="CG26" i="21" s="1"/>
  <c r="CG19" i="21" a="1"/>
  <c r="CG19" i="21" s="1"/>
  <c r="AJ24" i="21" a="1"/>
  <c r="AJ24" i="21" s="1"/>
  <c r="AI19" i="21" a="1"/>
  <c r="AI19" i="21" s="1"/>
  <c r="B60" i="21"/>
  <c r="CG20" i="21" a="1"/>
  <c r="CG20" i="21" s="1"/>
  <c r="AJ21" i="21" a="1"/>
  <c r="AJ21" i="21" s="1"/>
  <c r="CG24" i="21" a="1"/>
  <c r="CG24" i="21" s="1"/>
  <c r="AS25" i="21" a="1"/>
  <c r="AS25" i="21" s="1"/>
  <c r="AJ27" i="21" a="1"/>
  <c r="AJ27" i="21" s="1"/>
  <c r="AI26" i="21" a="1"/>
  <c r="AI26" i="21" s="1"/>
  <c r="AI21" i="21" a="1"/>
  <c r="AI21" i="21" s="1"/>
  <c r="AJ23" i="21" a="1"/>
  <c r="AJ23" i="21" s="1"/>
  <c r="AS24" i="21" a="1"/>
  <c r="AS24" i="21" s="1"/>
  <c r="AI24" i="21" a="1"/>
  <c r="AI24" i="21" s="1"/>
  <c r="AI20" i="21" a="1"/>
  <c r="AI20" i="21" s="1"/>
  <c r="AJ26" i="21" a="1"/>
  <c r="AJ26" i="21" s="1"/>
  <c r="AS19" i="21" a="1"/>
  <c r="AS19" i="21" s="1"/>
  <c r="AI28" i="21" a="1"/>
  <c r="AI28" i="21" s="1"/>
  <c r="AJ20" i="21" a="1"/>
  <c r="AJ20" i="21" s="1"/>
  <c r="AI25" i="21" a="1"/>
  <c r="AI25" i="21" s="1"/>
  <c r="CG25" i="21" a="1"/>
  <c r="CG25" i="21" s="1"/>
  <c r="AS26" i="21" a="1"/>
  <c r="AS26" i="21" s="1"/>
  <c r="AS20" i="21" a="1"/>
  <c r="AS20" i="21" s="1"/>
  <c r="CG28" i="21" a="1"/>
  <c r="CG28" i="21" s="1"/>
  <c r="CG27" i="21" a="1"/>
  <c r="CG27" i="21" s="1"/>
  <c r="AS21" i="21" a="1"/>
  <c r="AS21" i="21" s="1"/>
  <c r="AJ22" i="21" a="1"/>
  <c r="AJ22" i="21" s="1"/>
  <c r="AS23" i="21" a="1"/>
  <c r="AS23" i="21" s="1"/>
  <c r="AI22" i="21" a="1"/>
  <c r="AI22" i="21" s="1"/>
  <c r="AJ19" i="21" a="1"/>
  <c r="AJ19" i="21" s="1"/>
  <c r="AJ28" i="21" a="1"/>
  <c r="AJ28" i="21" s="1"/>
  <c r="CG23" i="21" a="1"/>
  <c r="CG23" i="21" s="1"/>
  <c r="X2" i="21"/>
  <c r="AF7" i="21"/>
  <c r="AK28" i="21" a="1"/>
  <c r="AK28" i="21" s="1"/>
  <c r="J9" i="18"/>
  <c r="O9" i="18" s="1"/>
  <c r="I37" i="20" s="1"/>
  <c r="N99" i="2"/>
  <c r="AH97" i="2"/>
  <c r="A75" i="20"/>
  <c r="A61" i="1" s="1"/>
  <c r="BJ10" i="2"/>
  <c r="BJ5" i="2"/>
  <c r="A70" i="20"/>
  <c r="A56" i="1" s="1"/>
  <c r="BJ9" i="2"/>
  <c r="A74" i="20"/>
  <c r="A60" i="1" s="1"/>
  <c r="AF12" i="21"/>
  <c r="BJ6" i="2"/>
  <c r="A71" i="20"/>
  <c r="A57" i="1" s="1"/>
  <c r="L8" i="20"/>
  <c r="L6" i="20"/>
  <c r="J15" i="20"/>
  <c r="G15" i="20"/>
  <c r="B78" i="20"/>
  <c r="C78" i="20" s="1" a="1"/>
  <c r="C78" i="20" s="1"/>
  <c r="L11" i="20"/>
  <c r="L10" i="20"/>
  <c r="F15" i="20"/>
  <c r="L14" i="20"/>
  <c r="L13" i="20"/>
  <c r="L7" i="20"/>
  <c r="L5" i="20"/>
  <c r="L9" i="20"/>
  <c r="N82" i="2" l="1"/>
  <c r="P100" i="2"/>
  <c r="Z3" i="2" s="1"/>
  <c r="Y100" i="2"/>
  <c r="B71" i="1"/>
  <c r="M102" i="2"/>
  <c r="AA102" i="2" s="1"/>
  <c r="D30" i="20"/>
  <c r="AE89" i="2"/>
  <c r="O11" i="18"/>
  <c r="I39" i="20" s="1"/>
  <c r="AE88" i="2"/>
  <c r="Q100" i="2"/>
  <c r="U100" i="2"/>
  <c r="L102" i="2"/>
  <c r="K102" i="2" s="1"/>
  <c r="U102" i="2"/>
  <c r="L100" i="2"/>
  <c r="K100" i="2" s="1"/>
  <c r="AP100" i="2"/>
  <c r="V102" i="2"/>
  <c r="M86" i="2"/>
  <c r="P102" i="2"/>
  <c r="Z100" i="2"/>
  <c r="V100" i="2"/>
  <c r="M101" i="2"/>
  <c r="AA101" i="2" s="1"/>
  <c r="AP102" i="2"/>
  <c r="Y102" i="2"/>
  <c r="Z102" i="2"/>
  <c r="O8" i="18"/>
  <c r="I36" i="20" s="1"/>
  <c r="AE27" i="21"/>
  <c r="AF27" i="21"/>
  <c r="CD27" i="21"/>
  <c r="AJ25" i="21" a="1"/>
  <c r="AJ25" i="21" s="1"/>
  <c r="AI27" i="21" a="1"/>
  <c r="AI27" i="21" s="1"/>
  <c r="AI29" i="21" s="1"/>
  <c r="AS28" i="21" a="1"/>
  <c r="AS28" i="21" s="1"/>
  <c r="AS27" i="21" a="1"/>
  <c r="AS27" i="21" s="1"/>
  <c r="CG22" i="21" a="1"/>
  <c r="CG22" i="21" s="1"/>
  <c r="AT24" i="21" a="1"/>
  <c r="AT24" i="21" s="1"/>
  <c r="CH26" i="21" a="1"/>
  <c r="CH26" i="21" s="1"/>
  <c r="AT27" i="21" a="1"/>
  <c r="AT27" i="21" s="1"/>
  <c r="CH27" i="21" a="1"/>
  <c r="CH27" i="21" s="1"/>
  <c r="CH22" i="21" a="1"/>
  <c r="CH22" i="21" s="1"/>
  <c r="CH25" i="21" a="1"/>
  <c r="CH25" i="21" s="1"/>
  <c r="AK27" i="21" a="1"/>
  <c r="AK27" i="21" s="1"/>
  <c r="D37" i="20"/>
  <c r="AB3" i="2"/>
  <c r="Y8" i="2"/>
  <c r="B73" i="1"/>
  <c r="N84" i="2"/>
  <c r="AB100" i="2"/>
  <c r="AC100" i="2" s="1"/>
  <c r="X8" i="2"/>
  <c r="B94" i="1"/>
  <c r="N105" i="2" s="1"/>
  <c r="AG105" i="2" s="1"/>
  <c r="O84" i="2"/>
  <c r="AH100" i="2"/>
  <c r="AA100" i="2"/>
  <c r="Y9" i="2"/>
  <c r="O85" i="2"/>
  <c r="B95" i="1"/>
  <c r="N106" i="2" s="1"/>
  <c r="AG106" i="2" s="1"/>
  <c r="N85" i="2"/>
  <c r="X9" i="2"/>
  <c r="A91" i="24"/>
  <c r="A103" i="28"/>
  <c r="C158" i="28"/>
  <c r="D146" i="24"/>
  <c r="A46" i="24"/>
  <c r="A58" i="28"/>
  <c r="C37" i="28"/>
  <c r="D25" i="24"/>
  <c r="A139" i="28"/>
  <c r="A127" i="24"/>
  <c r="A113" i="28"/>
  <c r="A101" i="24"/>
  <c r="A175" i="28"/>
  <c r="A163" i="24"/>
  <c r="C87" i="28"/>
  <c r="D75" i="24"/>
  <c r="C156" i="28"/>
  <c r="D144" i="24"/>
  <c r="C43" i="28"/>
  <c r="D31" i="24"/>
  <c r="A99" i="28"/>
  <c r="A87" i="24"/>
  <c r="A108" i="24"/>
  <c r="A120" i="28"/>
  <c r="C32" i="28"/>
  <c r="D20" i="24"/>
  <c r="A144" i="28"/>
  <c r="A132" i="24"/>
  <c r="C69" i="28"/>
  <c r="D57" i="24"/>
  <c r="D10" i="24"/>
  <c r="C22" i="28"/>
  <c r="C102" i="28"/>
  <c r="D90" i="24"/>
  <c r="A141" i="28"/>
  <c r="A129" i="24"/>
  <c r="A97" i="24"/>
  <c r="A109" i="28"/>
  <c r="A59" i="24"/>
  <c r="A71" i="28"/>
  <c r="A53" i="28"/>
  <c r="A41" i="24"/>
  <c r="C153" i="28"/>
  <c r="D141" i="24"/>
  <c r="AC4" i="2"/>
  <c r="AC11" i="2"/>
  <c r="AC8" i="2"/>
  <c r="AC7" i="2"/>
  <c r="AC2" i="2"/>
  <c r="AC6" i="2"/>
  <c r="AC10" i="2"/>
  <c r="AC5" i="2"/>
  <c r="AC9" i="2"/>
  <c r="AC3" i="2"/>
  <c r="D66" i="24"/>
  <c r="C78" i="28"/>
  <c r="D135" i="24"/>
  <c r="C147" i="28"/>
  <c r="C157" i="28"/>
  <c r="D145" i="24"/>
  <c r="A93" i="24"/>
  <c r="A105" i="28"/>
  <c r="D142" i="24"/>
  <c r="C154" i="28"/>
  <c r="A52" i="24"/>
  <c r="A64" i="28"/>
  <c r="D148" i="24"/>
  <c r="C160" i="28"/>
  <c r="A61" i="28"/>
  <c r="A49" i="24"/>
  <c r="A37" i="28"/>
  <c r="A25" i="24"/>
  <c r="A92" i="28"/>
  <c r="A80" i="24"/>
  <c r="A104" i="24"/>
  <c r="A116" i="28"/>
  <c r="C23" i="28"/>
  <c r="D11" i="24"/>
  <c r="A162" i="28"/>
  <c r="A150" i="24"/>
  <c r="A50" i="24"/>
  <c r="A62" i="28"/>
  <c r="C34" i="28"/>
  <c r="D22" i="24"/>
  <c r="A118" i="28"/>
  <c r="A106" i="24"/>
  <c r="A56" i="24"/>
  <c r="A68" i="28"/>
  <c r="C163" i="28"/>
  <c r="D151" i="24"/>
  <c r="A161" i="28"/>
  <c r="A149" i="24"/>
  <c r="D118" i="24"/>
  <c r="C130" i="28"/>
  <c r="A134" i="28"/>
  <c r="A122" i="24"/>
  <c r="A154" i="24"/>
  <c r="A166" i="28"/>
  <c r="A105" i="24"/>
  <c r="A117" i="28"/>
  <c r="D8" i="24"/>
  <c r="C20" i="28"/>
  <c r="D91" i="24"/>
  <c r="C103" i="28"/>
  <c r="C140" i="28"/>
  <c r="D128" i="24"/>
  <c r="A13" i="24"/>
  <c r="A25" i="28"/>
  <c r="A16" i="24"/>
  <c r="A28" i="28"/>
  <c r="C36" i="28"/>
  <c r="D24" i="24"/>
  <c r="A120" i="24"/>
  <c r="A132" i="28"/>
  <c r="A128" i="28"/>
  <c r="A116" i="24"/>
  <c r="A67" i="24"/>
  <c r="A79" i="28"/>
  <c r="A35" i="28"/>
  <c r="A23" i="24"/>
  <c r="C18" i="28"/>
  <c r="D6" i="24"/>
  <c r="C161" i="28"/>
  <c r="D149" i="24"/>
  <c r="D69" i="24"/>
  <c r="C81" i="28"/>
  <c r="A112" i="28"/>
  <c r="A100" i="24"/>
  <c r="A121" i="28"/>
  <c r="A109" i="24"/>
  <c r="C77" i="28"/>
  <c r="D65" i="24"/>
  <c r="D45" i="24"/>
  <c r="C57" i="28"/>
  <c r="D54" i="24"/>
  <c r="C66" i="28"/>
  <c r="D19" i="24"/>
  <c r="C31" i="28"/>
  <c r="A123" i="24"/>
  <c r="A135" i="28"/>
  <c r="A147" i="24"/>
  <c r="A159" i="28"/>
  <c r="D163" i="24"/>
  <c r="C175" i="28"/>
  <c r="A72" i="28"/>
  <c r="A60" i="24"/>
  <c r="A17" i="24"/>
  <c r="A29" i="28"/>
  <c r="A45" i="28"/>
  <c r="A33" i="24"/>
  <c r="D40" i="24"/>
  <c r="C52" i="28"/>
  <c r="A65" i="28"/>
  <c r="A53" i="24"/>
  <c r="C152" i="28"/>
  <c r="D140" i="24"/>
  <c r="C143" i="28"/>
  <c r="D131" i="24"/>
  <c r="A31" i="24"/>
  <c r="A43" i="28"/>
  <c r="A150" i="28"/>
  <c r="A138" i="24"/>
  <c r="D48" i="24"/>
  <c r="C60" i="28"/>
  <c r="A146" i="28"/>
  <c r="A134" i="24"/>
  <c r="C136" i="28"/>
  <c r="D124" i="24"/>
  <c r="A99" i="24"/>
  <c r="A111" i="28"/>
  <c r="A137" i="28"/>
  <c r="A125" i="24"/>
  <c r="A102" i="24"/>
  <c r="A114" i="28"/>
  <c r="C71" i="28"/>
  <c r="D59" i="24"/>
  <c r="C110" i="28"/>
  <c r="D98" i="24"/>
  <c r="D116" i="24"/>
  <c r="C128" i="28"/>
  <c r="A174" i="28"/>
  <c r="A162" i="24"/>
  <c r="D123" i="24"/>
  <c r="C135" i="28"/>
  <c r="A125" i="28"/>
  <c r="A113" i="24"/>
  <c r="A34" i="28"/>
  <c r="A22" i="24"/>
  <c r="D27" i="24"/>
  <c r="C39" i="28"/>
  <c r="D83" i="24"/>
  <c r="C95" i="28"/>
  <c r="A142" i="24"/>
  <c r="A154" i="28"/>
  <c r="A88" i="24"/>
  <c r="A100" i="28"/>
  <c r="A17" i="28"/>
  <c r="A5" i="24"/>
  <c r="A24" i="24"/>
  <c r="A36" i="28"/>
  <c r="A65" i="24"/>
  <c r="A77" i="28"/>
  <c r="A119" i="24"/>
  <c r="A131" i="28"/>
  <c r="A30" i="24"/>
  <c r="A42" i="28"/>
  <c r="D134" i="24"/>
  <c r="C146" i="28"/>
  <c r="C122" i="28"/>
  <c r="D110" i="24"/>
  <c r="C144" i="28"/>
  <c r="D132" i="24"/>
  <c r="C104" i="28"/>
  <c r="D92" i="24"/>
  <c r="C54" i="28"/>
  <c r="D42" i="24"/>
  <c r="C111" i="28"/>
  <c r="D99" i="24"/>
  <c r="D39" i="24"/>
  <c r="C51" i="28"/>
  <c r="A110" i="28"/>
  <c r="A98" i="24"/>
  <c r="A31" i="28"/>
  <c r="A19" i="24"/>
  <c r="A75" i="24"/>
  <c r="A87" i="28"/>
  <c r="A41" i="28"/>
  <c r="A29" i="24"/>
  <c r="A156" i="24"/>
  <c r="A168" i="28"/>
  <c r="A161" i="24"/>
  <c r="A173" i="28"/>
  <c r="A14" i="24"/>
  <c r="A26" i="28"/>
  <c r="C59" i="28"/>
  <c r="D47" i="24"/>
  <c r="D23" i="24"/>
  <c r="C35" i="28"/>
  <c r="C65" i="28"/>
  <c r="D53" i="24"/>
  <c r="C48" i="28"/>
  <c r="D36" i="24"/>
  <c r="D121" i="24"/>
  <c r="C133" i="28"/>
  <c r="A73" i="28"/>
  <c r="A61" i="24"/>
  <c r="C132" i="28"/>
  <c r="D120" i="24"/>
  <c r="A27" i="28"/>
  <c r="A15" i="24"/>
  <c r="A142" i="28"/>
  <c r="A130" i="24"/>
  <c r="A114" i="24"/>
  <c r="A126" i="28"/>
  <c r="A159" i="24"/>
  <c r="A171" i="28"/>
  <c r="D70" i="24"/>
  <c r="C82" i="28"/>
  <c r="A127" i="28"/>
  <c r="A115" i="24"/>
  <c r="A158" i="28"/>
  <c r="A146" i="24"/>
  <c r="A30" i="28"/>
  <c r="A18" i="24"/>
  <c r="D9" i="24"/>
  <c r="C21" i="28"/>
  <c r="A115" i="28"/>
  <c r="A103" i="24"/>
  <c r="A38" i="24"/>
  <c r="A50" i="28"/>
  <c r="C164" i="28"/>
  <c r="D152" i="24"/>
  <c r="C119" i="28"/>
  <c r="D107" i="24"/>
  <c r="C33" i="28"/>
  <c r="D21" i="24"/>
  <c r="A122" i="28"/>
  <c r="A110" i="24"/>
  <c r="A121" i="24"/>
  <c r="A133" i="28"/>
  <c r="A94" i="24"/>
  <c r="A106" i="28"/>
  <c r="D86" i="24"/>
  <c r="C98" i="28"/>
  <c r="D73" i="24"/>
  <c r="C85" i="28"/>
  <c r="C46" i="28"/>
  <c r="D34" i="24"/>
  <c r="A164" i="28"/>
  <c r="A152" i="24"/>
  <c r="C108" i="28"/>
  <c r="D96" i="24"/>
  <c r="A112" i="24"/>
  <c r="A124" i="28"/>
  <c r="C120" i="28"/>
  <c r="D108" i="24"/>
  <c r="D111" i="24"/>
  <c r="C123" i="28"/>
  <c r="C24" i="28"/>
  <c r="D12" i="24"/>
  <c r="A104" i="28"/>
  <c r="A92" i="24"/>
  <c r="C40" i="28"/>
  <c r="D28" i="24"/>
  <c r="D52" i="24"/>
  <c r="C64" i="28"/>
  <c r="A40" i="24"/>
  <c r="A52" i="28"/>
  <c r="A145" i="24"/>
  <c r="A157" i="28"/>
  <c r="C174" i="28"/>
  <c r="D162" i="24"/>
  <c r="A81" i="28"/>
  <c r="A69" i="24"/>
  <c r="A169" i="28"/>
  <c r="A157" i="24"/>
  <c r="C151" i="28"/>
  <c r="D139" i="24"/>
  <c r="A20" i="28"/>
  <c r="A8" i="24"/>
  <c r="D84" i="24"/>
  <c r="C96" i="28"/>
  <c r="A48" i="28"/>
  <c r="A36" i="24"/>
  <c r="A89" i="24"/>
  <c r="A101" i="28"/>
  <c r="A72" i="24"/>
  <c r="A84" i="28"/>
  <c r="D15" i="24"/>
  <c r="C27" i="28"/>
  <c r="A70" i="28"/>
  <c r="A58" i="24"/>
  <c r="A70" i="24"/>
  <c r="A82" i="28"/>
  <c r="A160" i="28"/>
  <c r="A148" i="24"/>
  <c r="D122" i="24"/>
  <c r="C134" i="28"/>
  <c r="A155" i="28"/>
  <c r="A143" i="24"/>
  <c r="A111" i="24"/>
  <c r="A123" i="28"/>
  <c r="C29" i="28"/>
  <c r="D17" i="24"/>
  <c r="C83" i="28"/>
  <c r="D71" i="24"/>
  <c r="C131" i="28"/>
  <c r="D119" i="24"/>
  <c r="A11" i="24"/>
  <c r="A23" i="28"/>
  <c r="C53" i="28"/>
  <c r="D41" i="24"/>
  <c r="C171" i="28"/>
  <c r="D159" i="24"/>
  <c r="A75" i="28"/>
  <c r="A63" i="24"/>
  <c r="C169" i="28"/>
  <c r="D157" i="24"/>
  <c r="A7" i="24"/>
  <c r="A19" i="28"/>
  <c r="C121" i="28"/>
  <c r="D109" i="24"/>
  <c r="A37" i="24"/>
  <c r="A49" i="28"/>
  <c r="C99" i="28"/>
  <c r="D87" i="24"/>
  <c r="D154" i="24"/>
  <c r="C166" i="28"/>
  <c r="D137" i="24"/>
  <c r="C149" i="28"/>
  <c r="A118" i="24"/>
  <c r="A130" i="28"/>
  <c r="A32" i="24"/>
  <c r="A44" i="28"/>
  <c r="A74" i="28"/>
  <c r="A62" i="24"/>
  <c r="D81" i="24"/>
  <c r="C93" i="28"/>
  <c r="A12" i="24"/>
  <c r="A24" i="28"/>
  <c r="C114" i="28"/>
  <c r="D102" i="24"/>
  <c r="C86" i="28"/>
  <c r="D74" i="24"/>
  <c r="C63" i="28"/>
  <c r="D51" i="24"/>
  <c r="C42" i="28"/>
  <c r="D30" i="24"/>
  <c r="A10" i="24"/>
  <c r="A22" i="28"/>
  <c r="C127" i="28"/>
  <c r="D115" i="24"/>
  <c r="A133" i="24"/>
  <c r="A145" i="28"/>
  <c r="A63" i="28"/>
  <c r="A51" i="24"/>
  <c r="A82" i="24"/>
  <c r="A94" i="28"/>
  <c r="A76" i="28"/>
  <c r="A64" i="24"/>
  <c r="C19" i="28"/>
  <c r="D7" i="24"/>
  <c r="C142" i="28"/>
  <c r="D130" i="24"/>
  <c r="A60" i="28"/>
  <c r="A48" i="24"/>
  <c r="A21" i="28"/>
  <c r="A9" i="24"/>
  <c r="A102" i="28"/>
  <c r="A90" i="24"/>
  <c r="C90" i="28"/>
  <c r="D78" i="24"/>
  <c r="C76" i="28"/>
  <c r="D64" i="24"/>
  <c r="C107" i="28"/>
  <c r="D95" i="24"/>
  <c r="C116" i="28"/>
  <c r="D104" i="24"/>
  <c r="A135" i="24"/>
  <c r="A147" i="28"/>
  <c r="C58" i="28"/>
  <c r="D46" i="24"/>
  <c r="D62" i="24"/>
  <c r="C74" i="28"/>
  <c r="A20" i="24"/>
  <c r="A32" i="28"/>
  <c r="A144" i="24"/>
  <c r="A156" i="28"/>
  <c r="A93" i="28"/>
  <c r="A81" i="24"/>
  <c r="A51" i="28"/>
  <c r="A39" i="24"/>
  <c r="A90" i="28"/>
  <c r="A78" i="24"/>
  <c r="A54" i="28"/>
  <c r="A42" i="24"/>
  <c r="A54" i="24"/>
  <c r="A66" i="28"/>
  <c r="A149" i="28"/>
  <c r="A137" i="24"/>
  <c r="D33" i="24"/>
  <c r="C45" i="28"/>
  <c r="A108" i="28"/>
  <c r="A96" i="24"/>
  <c r="C61" i="28"/>
  <c r="D49" i="24"/>
  <c r="C25" i="28"/>
  <c r="D13" i="24"/>
  <c r="C41" i="28"/>
  <c r="D29" i="24"/>
  <c r="C129" i="28"/>
  <c r="D117" i="24"/>
  <c r="C17" i="28"/>
  <c r="D5" i="24"/>
  <c r="C137" i="28"/>
  <c r="D125" i="24"/>
  <c r="A47" i="24"/>
  <c r="A59" i="28"/>
  <c r="A128" i="24"/>
  <c r="A140" i="28"/>
  <c r="A55" i="24"/>
  <c r="A67" i="28"/>
  <c r="C92" i="28"/>
  <c r="D80" i="24"/>
  <c r="C80" i="28"/>
  <c r="D68" i="24"/>
  <c r="D88" i="24"/>
  <c r="C100" i="28"/>
  <c r="C44" i="28"/>
  <c r="D32" i="24"/>
  <c r="D55" i="24"/>
  <c r="C67" i="28"/>
  <c r="D82" i="24"/>
  <c r="C94" i="28"/>
  <c r="D76" i="24"/>
  <c r="C88" i="28"/>
  <c r="C72" i="28"/>
  <c r="D60" i="24"/>
  <c r="D158" i="24"/>
  <c r="C170" i="28"/>
  <c r="C125" i="28"/>
  <c r="D113" i="24"/>
  <c r="C126" i="28"/>
  <c r="D114" i="24"/>
  <c r="D26" i="24"/>
  <c r="C38" i="28"/>
  <c r="C148" i="28"/>
  <c r="D136" i="24"/>
  <c r="A26" i="24"/>
  <c r="A38" i="28"/>
  <c r="D94" i="24"/>
  <c r="C106" i="28"/>
  <c r="D35" i="24"/>
  <c r="C47" i="28"/>
  <c r="C49" i="28"/>
  <c r="D37" i="24"/>
  <c r="A107" i="24"/>
  <c r="A119" i="28"/>
  <c r="A6" i="24"/>
  <c r="A18" i="28"/>
  <c r="A83" i="24"/>
  <c r="A95" i="28"/>
  <c r="D63" i="24"/>
  <c r="C75" i="28"/>
  <c r="A89" i="28"/>
  <c r="A77" i="24"/>
  <c r="C7" i="1"/>
  <c r="A5" i="11"/>
  <c r="D5" i="11" s="1"/>
  <c r="A6" i="11"/>
  <c r="D6" i="11" s="1"/>
  <c r="J19" i="2"/>
  <c r="A4" i="11"/>
  <c r="D4" i="11" s="1"/>
  <c r="A9" i="11"/>
  <c r="D9" i="11" s="1"/>
  <c r="A10" i="11"/>
  <c r="D10" i="11" s="1"/>
  <c r="C2" i="2"/>
  <c r="B16" i="28"/>
  <c r="A8" i="11"/>
  <c r="D8" i="11" s="1"/>
  <c r="A7" i="11"/>
  <c r="D7" i="11" s="1"/>
  <c r="A3" i="11"/>
  <c r="D3" i="11" s="1"/>
  <c r="A2" i="11"/>
  <c r="D2" i="11" s="1"/>
  <c r="A11" i="11"/>
  <c r="D11" i="11" s="1"/>
  <c r="C4" i="24"/>
  <c r="O4" i="24" s="1"/>
  <c r="B2" i="2"/>
  <c r="A165" i="28"/>
  <c r="A153" i="24"/>
  <c r="D138" i="24"/>
  <c r="C150" i="28"/>
  <c r="A107" i="28"/>
  <c r="A95" i="24"/>
  <c r="A143" i="28"/>
  <c r="A131" i="24"/>
  <c r="A79" i="24"/>
  <c r="A91" i="28"/>
  <c r="A57" i="24"/>
  <c r="A69" i="28"/>
  <c r="A47" i="28"/>
  <c r="A35" i="24"/>
  <c r="D44" i="24"/>
  <c r="C56" i="28"/>
  <c r="A28" i="24"/>
  <c r="A40" i="28"/>
  <c r="C165" i="28"/>
  <c r="D153" i="24"/>
  <c r="C141" i="28"/>
  <c r="D129" i="24"/>
  <c r="C117" i="28"/>
  <c r="D105" i="24"/>
  <c r="D50" i="24"/>
  <c r="C62" i="28"/>
  <c r="D18" i="24"/>
  <c r="C30" i="28"/>
  <c r="D38" i="24"/>
  <c r="C50" i="28"/>
  <c r="A148" i="28"/>
  <c r="A136" i="24"/>
  <c r="A86" i="24"/>
  <c r="A98" i="28"/>
  <c r="A73" i="24"/>
  <c r="A85" i="28"/>
  <c r="C124" i="28"/>
  <c r="D112" i="24"/>
  <c r="C113" i="28"/>
  <c r="D101" i="24"/>
  <c r="C97" i="28"/>
  <c r="D85" i="24"/>
  <c r="A138" i="28"/>
  <c r="A126" i="24"/>
  <c r="C109" i="28"/>
  <c r="D97" i="24"/>
  <c r="A152" i="28"/>
  <c r="A140" i="24"/>
  <c r="A129" i="28"/>
  <c r="A117" i="24"/>
  <c r="C73" i="28"/>
  <c r="D61" i="24"/>
  <c r="C145" i="28"/>
  <c r="D133" i="24"/>
  <c r="A46" i="28"/>
  <c r="A34" i="24"/>
  <c r="C89" i="28"/>
  <c r="D77" i="24"/>
  <c r="C138" i="28"/>
  <c r="D126" i="24"/>
  <c r="A151" i="24"/>
  <c r="A163" i="28"/>
  <c r="A84" i="24"/>
  <c r="A96" i="28"/>
  <c r="A153" i="28"/>
  <c r="A141" i="24"/>
  <c r="D72" i="24"/>
  <c r="C84" i="28"/>
  <c r="A45" i="24"/>
  <c r="A57" i="28"/>
  <c r="D89" i="24"/>
  <c r="C101" i="28"/>
  <c r="C91" i="28"/>
  <c r="D79" i="24"/>
  <c r="A160" i="24"/>
  <c r="A172" i="28"/>
  <c r="A68" i="24"/>
  <c r="A80" i="28"/>
  <c r="A21" i="24"/>
  <c r="A33" i="28"/>
  <c r="D100" i="24"/>
  <c r="C112" i="28"/>
  <c r="C70" i="28"/>
  <c r="D58" i="24"/>
  <c r="A85" i="24"/>
  <c r="A97" i="28"/>
  <c r="C28" i="28"/>
  <c r="D16" i="24"/>
  <c r="A170" i="28"/>
  <c r="A158" i="24"/>
  <c r="A167" i="28"/>
  <c r="A155" i="24"/>
  <c r="A78" i="28"/>
  <c r="A66" i="24"/>
  <c r="C162" i="28"/>
  <c r="D150" i="24"/>
  <c r="A88" i="28"/>
  <c r="A76" i="24"/>
  <c r="A43" i="24"/>
  <c r="A55" i="28"/>
  <c r="D160" i="24"/>
  <c r="C172" i="28"/>
  <c r="A44" i="24"/>
  <c r="A56" i="28"/>
  <c r="C105" i="28"/>
  <c r="D93" i="24"/>
  <c r="C115" i="28"/>
  <c r="D103" i="24"/>
  <c r="C167" i="28"/>
  <c r="D155" i="24"/>
  <c r="C173" i="28"/>
  <c r="D161" i="24"/>
  <c r="A124" i="24"/>
  <c r="A136" i="28"/>
  <c r="A39" i="28"/>
  <c r="A27" i="24"/>
  <c r="D56" i="24"/>
  <c r="C68" i="28"/>
  <c r="D67" i="24"/>
  <c r="C79" i="28"/>
  <c r="C55" i="28"/>
  <c r="D43" i="24"/>
  <c r="A71" i="24"/>
  <c r="A83" i="28"/>
  <c r="D147" i="24"/>
  <c r="C159" i="28"/>
  <c r="C139" i="28"/>
  <c r="D127" i="24"/>
  <c r="C168" i="28"/>
  <c r="D156" i="24"/>
  <c r="D106" i="24"/>
  <c r="C118" i="28"/>
  <c r="D143" i="24"/>
  <c r="C155" i="28"/>
  <c r="A151" i="28"/>
  <c r="A139" i="24"/>
  <c r="A86" i="28"/>
  <c r="A74" i="24"/>
  <c r="D14" i="24"/>
  <c r="C26" i="28"/>
  <c r="B72" i="1"/>
  <c r="B93" i="1"/>
  <c r="N104" i="2" s="1"/>
  <c r="AG104" i="2" s="1"/>
  <c r="X7" i="2"/>
  <c r="N83" i="2"/>
  <c r="O83" i="2"/>
  <c r="Y7" i="2"/>
  <c r="BI3" i="2"/>
  <c r="C66" i="20"/>
  <c r="L17" i="23"/>
  <c r="P4" i="23"/>
  <c r="O17" i="23" s="1"/>
  <c r="A17" i="23" a="1"/>
  <c r="A17" i="23" s="1"/>
  <c r="Y22" i="21"/>
  <c r="D31" i="20"/>
  <c r="D38" i="20"/>
  <c r="AK21" i="21" a="1"/>
  <c r="AK21" i="21" s="1"/>
  <c r="AK22" i="21" a="1"/>
  <c r="AK22" i="21" s="1"/>
  <c r="AK19" i="21" a="1"/>
  <c r="AK19" i="21" s="1"/>
  <c r="AK20" i="21" a="1"/>
  <c r="AK20" i="21" s="1"/>
  <c r="CD22" i="21"/>
  <c r="AA22" i="21"/>
  <c r="BF22" i="21" a="1"/>
  <c r="BF22" i="21" s="1"/>
  <c r="AE22" i="21"/>
  <c r="BE22" i="21" a="1"/>
  <c r="BE22" i="21" s="1"/>
  <c r="BJ28" i="21" a="1"/>
  <c r="BJ28" i="21" s="1"/>
  <c r="BI28" i="21" a="1"/>
  <c r="BI28" i="21" s="1"/>
  <c r="BF28" i="21" a="1"/>
  <c r="BF28" i="21" s="1"/>
  <c r="BK28" i="21" a="1"/>
  <c r="BK28" i="21" s="1"/>
  <c r="BH28" i="21" a="1"/>
  <c r="BH28" i="21" s="1"/>
  <c r="AH28" i="21"/>
  <c r="BW22" i="21"/>
  <c r="BC28" i="21" a="1"/>
  <c r="BC28" i="21" s="1"/>
  <c r="CE28" i="21"/>
  <c r="BW28" i="21"/>
  <c r="CQ28" i="21" s="1"/>
  <c r="AB28" i="21"/>
  <c r="BX28" i="21"/>
  <c r="AG28" i="21"/>
  <c r="I27" i="21"/>
  <c r="AF28" i="21"/>
  <c r="BG28" i="21" a="1"/>
  <c r="BG28" i="21" s="1"/>
  <c r="AB14" i="21"/>
  <c r="BX22" i="21"/>
  <c r="Z55" i="21"/>
  <c r="CF22" i="21"/>
  <c r="CC22" i="21"/>
  <c r="AD22" i="21"/>
  <c r="BK22" i="21" a="1"/>
  <c r="BK22" i="21" s="1"/>
  <c r="Y28" i="21"/>
  <c r="AE28" i="21"/>
  <c r="BJ22" i="21" a="1"/>
  <c r="BJ22" i="21" s="1"/>
  <c r="BE28" i="21" a="1"/>
  <c r="BE28" i="21" s="1"/>
  <c r="CA28" i="21"/>
  <c r="CC28" i="21"/>
  <c r="BI22" i="21" a="1"/>
  <c r="BI22" i="21" s="1"/>
  <c r="BZ22" i="21"/>
  <c r="BL28" i="21" a="1"/>
  <c r="BL28" i="21" s="1"/>
  <c r="BD28" i="21" a="1"/>
  <c r="BD28" i="21" s="1"/>
  <c r="BN28" i="21" s="1"/>
  <c r="Z28" i="21"/>
  <c r="BY27" i="21"/>
  <c r="BC22" i="21" a="1"/>
  <c r="BC22" i="21" s="1"/>
  <c r="BM22" i="21" s="1"/>
  <c r="CB22" i="21"/>
  <c r="AB8" i="21"/>
  <c r="J26" i="21"/>
  <c r="B12" i="21"/>
  <c r="E12" i="21" s="1"/>
  <c r="AC25" i="21"/>
  <c r="AF25" i="21"/>
  <c r="AE25" i="21"/>
  <c r="AB25" i="21"/>
  <c r="BD25" i="21" a="1"/>
  <c r="BD25" i="21" s="1"/>
  <c r="BN25" i="21" s="1"/>
  <c r="BG25" i="21" a="1"/>
  <c r="BG25" i="21" s="1"/>
  <c r="BY25" i="21"/>
  <c r="CC25" i="21"/>
  <c r="BX25" i="21"/>
  <c r="CD25" i="21"/>
  <c r="BF25" i="21" a="1"/>
  <c r="BF25" i="21" s="1"/>
  <c r="BK25" i="21" a="1"/>
  <c r="BK25" i="21" s="1"/>
  <c r="BW25" i="21"/>
  <c r="CQ25" i="21" s="1"/>
  <c r="Z25" i="21"/>
  <c r="CA25" i="21"/>
  <c r="BE25" i="21" a="1"/>
  <c r="BE25" i="21" s="1"/>
  <c r="AG25" i="21"/>
  <c r="AD25" i="21"/>
  <c r="AA25" i="21"/>
  <c r="BJ25" i="21" a="1"/>
  <c r="BJ25" i="21" s="1"/>
  <c r="BH25" i="21" a="1"/>
  <c r="BH25" i="21" s="1"/>
  <c r="CF25" i="21"/>
  <c r="AB11" i="21"/>
  <c r="CC20" i="21"/>
  <c r="AF24" i="21"/>
  <c r="CA22" i="21"/>
  <c r="AC22" i="21"/>
  <c r="BY22" i="21"/>
  <c r="BL25" i="21" a="1"/>
  <c r="BL25" i="21" s="1"/>
  <c r="BZ25" i="21"/>
  <c r="CE25" i="21"/>
  <c r="Y25" i="21"/>
  <c r="M11" i="21" s="1"/>
  <c r="BZ20" i="21"/>
  <c r="BG20" i="21" a="1"/>
  <c r="BG20" i="21" s="1"/>
  <c r="AG22" i="21"/>
  <c r="BG22" i="21" a="1"/>
  <c r="BG22" i="21" s="1"/>
  <c r="BD22" i="21" a="1"/>
  <c r="BD22" i="21" s="1"/>
  <c r="BN22" i="21" s="1"/>
  <c r="BI25" i="21" a="1"/>
  <c r="BI25" i="21" s="1"/>
  <c r="AH25" i="21"/>
  <c r="BC25" i="21" a="1"/>
  <c r="BC25" i="21" s="1"/>
  <c r="BM25" i="21" s="1"/>
  <c r="CB25" i="21"/>
  <c r="AA20" i="21"/>
  <c r="CD28" i="21"/>
  <c r="AC28" i="21"/>
  <c r="CF28" i="21"/>
  <c r="AA28" i="21"/>
  <c r="Z22" i="21"/>
  <c r="BL22" i="21" a="1"/>
  <c r="BL22" i="21" s="1"/>
  <c r="BH22" i="21" a="1"/>
  <c r="BH22" i="21" s="1"/>
  <c r="CE24" i="21"/>
  <c r="AK23" i="21" a="1"/>
  <c r="AK23" i="21" s="1"/>
  <c r="AK25" i="21" a="1"/>
  <c r="AK25" i="21" s="1"/>
  <c r="AK26" i="21" a="1"/>
  <c r="AK26" i="21" s="1"/>
  <c r="AU18" i="21"/>
  <c r="AU20" i="21" s="1" a="1"/>
  <c r="AU20" i="21" s="1"/>
  <c r="AB18" i="21"/>
  <c r="AL18" i="21" s="1"/>
  <c r="AH24" i="21"/>
  <c r="BY28" i="21"/>
  <c r="BZ28" i="21"/>
  <c r="AD28" i="21"/>
  <c r="AB22" i="21"/>
  <c r="AH22" i="21"/>
  <c r="AF22" i="21"/>
  <c r="BG24" i="21" a="1"/>
  <c r="BG24" i="21" s="1"/>
  <c r="CR24" i="21"/>
  <c r="R55" i="21"/>
  <c r="BJ20" i="21" a="1"/>
  <c r="BJ20" i="21" s="1"/>
  <c r="BF20" i="21" a="1"/>
  <c r="BF20" i="21" s="1"/>
  <c r="CF20" i="21"/>
  <c r="AG20" i="21"/>
  <c r="Y24" i="21"/>
  <c r="M10" i="21" s="1"/>
  <c r="BK24" i="21" a="1"/>
  <c r="BK24" i="21" s="1"/>
  <c r="CC24" i="21"/>
  <c r="BI24" i="21" a="1"/>
  <c r="BI24" i="21" s="1"/>
  <c r="Y23" i="21"/>
  <c r="BY20" i="21"/>
  <c r="BD20" i="21" a="1"/>
  <c r="BD20" i="21" s="1"/>
  <c r="BN20" i="21" s="1"/>
  <c r="AE20" i="21"/>
  <c r="AB6" i="21"/>
  <c r="Z24" i="21"/>
  <c r="AC24" i="21"/>
  <c r="AB24" i="21"/>
  <c r="BC24" i="21" a="1"/>
  <c r="BC24" i="21" s="1"/>
  <c r="BM24" i="21" s="1"/>
  <c r="J24" i="21"/>
  <c r="B24" i="21"/>
  <c r="B36" i="21" s="1"/>
  <c r="G36" i="21" s="1"/>
  <c r="T36" i="21" s="1"/>
  <c r="AB20" i="21"/>
  <c r="BH20" i="21" a="1"/>
  <c r="BH20" i="21" s="1"/>
  <c r="CD20" i="21"/>
  <c r="BE24" i="21" a="1"/>
  <c r="BE24" i="21" s="1"/>
  <c r="BY24" i="21"/>
  <c r="BW24" i="21"/>
  <c r="CQ24" i="21" s="1"/>
  <c r="BD24" i="21" a="1"/>
  <c r="BD24" i="21" s="1"/>
  <c r="BI20" i="21" a="1"/>
  <c r="BI20" i="21" s="1"/>
  <c r="CB20" i="21"/>
  <c r="BW20" i="21"/>
  <c r="CQ20" i="21" s="1"/>
  <c r="BC20" i="21" a="1"/>
  <c r="BC20" i="21" s="1"/>
  <c r="BM20" i="21" s="1"/>
  <c r="AD24" i="21"/>
  <c r="CF24" i="21"/>
  <c r="BJ24" i="21" a="1"/>
  <c r="BJ24" i="21" s="1"/>
  <c r="AB10" i="21"/>
  <c r="AH20" i="21"/>
  <c r="BE20" i="21" a="1"/>
  <c r="BE20" i="21" s="1"/>
  <c r="CA20" i="21"/>
  <c r="Z20" i="21"/>
  <c r="BH24" i="21" a="1"/>
  <c r="BH24" i="21" s="1"/>
  <c r="CB24" i="21"/>
  <c r="AE24" i="21"/>
  <c r="D10" i="21"/>
  <c r="J10" i="21" s="1"/>
  <c r="D11" i="21"/>
  <c r="L11" i="21" s="1"/>
  <c r="Y20" i="21"/>
  <c r="M6" i="21" s="1"/>
  <c r="AD20" i="21"/>
  <c r="AF20" i="21"/>
  <c r="CE20" i="21"/>
  <c r="BL24" i="21" a="1"/>
  <c r="BL24" i="21" s="1"/>
  <c r="BZ24" i="21"/>
  <c r="AA24" i="21"/>
  <c r="BF24" i="21" a="1"/>
  <c r="BF24" i="21" s="1"/>
  <c r="BX20" i="21"/>
  <c r="CR20" i="21" s="1"/>
  <c r="AC20" i="21"/>
  <c r="BL20" i="21" a="1"/>
  <c r="BL20" i="21" s="1"/>
  <c r="BK20" i="21" a="1"/>
  <c r="BK20" i="21" s="1"/>
  <c r="AG24" i="21"/>
  <c r="CD24" i="21"/>
  <c r="CA24" i="21"/>
  <c r="AB23" i="21"/>
  <c r="AG23" i="21"/>
  <c r="AB9" i="21"/>
  <c r="E20" i="21"/>
  <c r="I22" i="21"/>
  <c r="B45" i="21"/>
  <c r="D8" i="21"/>
  <c r="L8" i="21" s="1"/>
  <c r="BC23" i="21" a="1"/>
  <c r="BC23" i="21" s="1"/>
  <c r="BM23" i="21" s="1"/>
  <c r="BY23" i="21"/>
  <c r="BG23" i="21" a="1"/>
  <c r="BG23" i="21" s="1"/>
  <c r="BI23" i="21" a="1"/>
  <c r="BI23" i="21" s="1"/>
  <c r="BW23" i="21"/>
  <c r="CQ23" i="21" s="1"/>
  <c r="AA23" i="21"/>
  <c r="CA23" i="21"/>
  <c r="BE23" i="21" a="1"/>
  <c r="BE23" i="21" s="1"/>
  <c r="AF23" i="21"/>
  <c r="BX23" i="21"/>
  <c r="CR23" i="21" s="1"/>
  <c r="BD23" i="21" a="1"/>
  <c r="BD23" i="21" s="1"/>
  <c r="BN23" i="21" s="1"/>
  <c r="T32" i="21"/>
  <c r="AC23" i="21"/>
  <c r="AD23" i="21"/>
  <c r="BH23" i="21" a="1"/>
  <c r="BH23" i="21" s="1"/>
  <c r="CC23" i="21"/>
  <c r="BK23" i="21" a="1"/>
  <c r="BK23" i="21" s="1"/>
  <c r="Z23" i="21"/>
  <c r="CD23" i="21"/>
  <c r="K41" i="21"/>
  <c r="B7" i="21"/>
  <c r="D7" i="21"/>
  <c r="J7" i="21" s="1"/>
  <c r="BF23" i="21" a="1"/>
  <c r="BF23" i="21" s="1"/>
  <c r="BZ23" i="21"/>
  <c r="CB23" i="21"/>
  <c r="CF23" i="21"/>
  <c r="AH23" i="21"/>
  <c r="BL23" i="21" a="1"/>
  <c r="BL23" i="21" s="1"/>
  <c r="I21" i="21"/>
  <c r="BL27" i="21" a="1"/>
  <c r="BL27" i="21" s="1"/>
  <c r="AB27" i="21"/>
  <c r="Z27" i="21"/>
  <c r="AA27" i="21"/>
  <c r="D9" i="21"/>
  <c r="L9" i="21" s="1"/>
  <c r="E23" i="21"/>
  <c r="AG27" i="21"/>
  <c r="BH27" i="21" a="1"/>
  <c r="BH27" i="21" s="1"/>
  <c r="BJ27" i="21" a="1"/>
  <c r="BJ27" i="21" s="1"/>
  <c r="AB13" i="21"/>
  <c r="AC27" i="21"/>
  <c r="CA27" i="21"/>
  <c r="BC27" i="21" a="1"/>
  <c r="BC27" i="21" s="1"/>
  <c r="J41" i="21"/>
  <c r="B27" i="21"/>
  <c r="B39" i="21" s="1"/>
  <c r="B52" i="21" s="1"/>
  <c r="D13" i="21"/>
  <c r="J13" i="21" s="1"/>
  <c r="BG27" i="21" a="1"/>
  <c r="BG27" i="21" s="1"/>
  <c r="BD27" i="21" a="1"/>
  <c r="BD27" i="21" s="1"/>
  <c r="BN27" i="21" s="1"/>
  <c r="AD27" i="21"/>
  <c r="CE27" i="21"/>
  <c r="H13" i="21"/>
  <c r="V55" i="21"/>
  <c r="BI27" i="21" a="1"/>
  <c r="BI27" i="21" s="1"/>
  <c r="Y27" i="21"/>
  <c r="M13" i="21" s="1"/>
  <c r="CC27" i="21"/>
  <c r="BE27" i="21" a="1"/>
  <c r="BE27" i="21" s="1"/>
  <c r="BW27" i="21"/>
  <c r="CQ27" i="21" s="1"/>
  <c r="BZ27" i="21"/>
  <c r="AH27" i="21"/>
  <c r="BK27" i="21" a="1"/>
  <c r="BK27" i="21" s="1"/>
  <c r="D6" i="21"/>
  <c r="I6" i="21"/>
  <c r="CF27" i="21"/>
  <c r="BF27" i="21" a="1"/>
  <c r="BF27" i="21" s="1"/>
  <c r="BX27" i="21"/>
  <c r="CR27" i="21" s="1"/>
  <c r="BJ23" i="21" a="1"/>
  <c r="BJ23" i="21" s="1"/>
  <c r="CE23" i="21"/>
  <c r="A67" i="21"/>
  <c r="A1" i="21"/>
  <c r="C18" i="21"/>
  <c r="Q57" i="21"/>
  <c r="W55" i="21" s="1"/>
  <c r="K26" i="21"/>
  <c r="E26" i="21"/>
  <c r="K54" i="21"/>
  <c r="K55" i="21" s="1"/>
  <c r="I20" i="21"/>
  <c r="K20" i="21"/>
  <c r="M14" i="21"/>
  <c r="B28" i="21"/>
  <c r="B40" i="21" s="1"/>
  <c r="H14" i="21"/>
  <c r="G57" i="21"/>
  <c r="M55" i="21" s="1"/>
  <c r="K21" i="21"/>
  <c r="E21" i="21"/>
  <c r="Q54" i="21"/>
  <c r="Q55" i="21" s="1"/>
  <c r="I23" i="21"/>
  <c r="B22" i="21"/>
  <c r="B34" i="21" s="1"/>
  <c r="M8" i="21"/>
  <c r="N54" i="21"/>
  <c r="N55" i="21" s="1"/>
  <c r="J22" i="21"/>
  <c r="H41" i="21"/>
  <c r="B57" i="21"/>
  <c r="H55" i="21" s="1"/>
  <c r="J19" i="21"/>
  <c r="I10" i="21"/>
  <c r="K23" i="21"/>
  <c r="S54" i="21"/>
  <c r="I24" i="21"/>
  <c r="I7" i="21"/>
  <c r="D14" i="21"/>
  <c r="J12" i="21"/>
  <c r="I12" i="21"/>
  <c r="N41" i="21"/>
  <c r="F57" i="21"/>
  <c r="L55" i="21" s="1"/>
  <c r="J21" i="21"/>
  <c r="D57" i="21"/>
  <c r="J55" i="21" s="1"/>
  <c r="J20" i="21"/>
  <c r="AH56" i="21"/>
  <c r="X55" i="21" s="1"/>
  <c r="J27" i="21"/>
  <c r="C41" i="21"/>
  <c r="B5" i="21"/>
  <c r="L5" i="21" s="1"/>
  <c r="C15" i="21"/>
  <c r="J57" i="21"/>
  <c r="P55" i="21" s="1"/>
  <c r="J23" i="21"/>
  <c r="B23" i="21"/>
  <c r="B35" i="21" s="1"/>
  <c r="M9" i="21"/>
  <c r="AI56" i="21"/>
  <c r="Y55" i="21" s="1"/>
  <c r="K27" i="21"/>
  <c r="E27" i="21"/>
  <c r="I8" i="21"/>
  <c r="AK56" i="21"/>
  <c r="E28" i="21"/>
  <c r="K28" i="21"/>
  <c r="I25" i="21"/>
  <c r="I57" i="21"/>
  <c r="O55" i="21" s="1"/>
  <c r="E22" i="21"/>
  <c r="K22" i="21"/>
  <c r="G37" i="21"/>
  <c r="T37" i="21" s="1"/>
  <c r="B50" i="21"/>
  <c r="Q32" i="21"/>
  <c r="E41" i="21"/>
  <c r="AA54" i="21"/>
  <c r="I28" i="21"/>
  <c r="O57" i="21"/>
  <c r="U55" i="21" s="1"/>
  <c r="K25" i="21"/>
  <c r="E25" i="21"/>
  <c r="C57" i="21"/>
  <c r="E19" i="21"/>
  <c r="K19" i="21"/>
  <c r="J28" i="21"/>
  <c r="J5" i="21"/>
  <c r="L41" i="21"/>
  <c r="M57" i="21"/>
  <c r="K24" i="21"/>
  <c r="E24" i="21"/>
  <c r="I41" i="21"/>
  <c r="I9" i="21"/>
  <c r="I54" i="21"/>
  <c r="I19" i="21"/>
  <c r="N57" i="21"/>
  <c r="T55" i="21" s="1"/>
  <c r="J25" i="21"/>
  <c r="B62" i="21"/>
  <c r="C60" i="21"/>
  <c r="B65" i="21"/>
  <c r="B64" i="21"/>
  <c r="CR28" i="21"/>
  <c r="AT29" i="21"/>
  <c r="BN29" i="21" s="1"/>
  <c r="AJ29" i="21"/>
  <c r="CG29" i="21"/>
  <c r="CQ29" i="21" s="1"/>
  <c r="AG99" i="2"/>
  <c r="AB97" i="2" a="1"/>
  <c r="AB97" i="2" s="1"/>
  <c r="M99" i="2"/>
  <c r="Z99" i="2" s="1"/>
  <c r="B75" i="1"/>
  <c r="X10" i="2"/>
  <c r="B96" i="1"/>
  <c r="Y10" i="2"/>
  <c r="N86" i="2"/>
  <c r="O86" i="2"/>
  <c r="M87" i="2"/>
  <c r="M103" i="2"/>
  <c r="L103" i="2" s="1"/>
  <c r="K103" i="2" s="1"/>
  <c r="BI103" i="2"/>
  <c r="I40" i="20"/>
  <c r="AH102" i="2" l="1"/>
  <c r="O102" i="2" a="1"/>
  <c r="O102" i="2" s="1"/>
  <c r="AA5" i="2" s="1"/>
  <c r="AB102" i="2"/>
  <c r="AC102" i="2" s="1"/>
  <c r="CR25" i="21"/>
  <c r="BM28" i="21"/>
  <c r="AH101" i="2"/>
  <c r="AB101" i="2"/>
  <c r="AC101" i="2" s="1"/>
  <c r="AS29" i="21"/>
  <c r="BM29" i="21" s="1"/>
  <c r="AU24" i="21" a="1"/>
  <c r="AU24" i="21" s="1"/>
  <c r="U101" i="2"/>
  <c r="Y101" i="2"/>
  <c r="AP101" i="2"/>
  <c r="L101" i="2"/>
  <c r="K101" i="2" s="1"/>
  <c r="Z101" i="2"/>
  <c r="V101" i="2"/>
  <c r="P101" i="2"/>
  <c r="O101" i="2" a="1"/>
  <c r="O101" i="2" s="1"/>
  <c r="AA4" i="2" s="1"/>
  <c r="Z5" i="2"/>
  <c r="AB5" i="2" s="1"/>
  <c r="Q102" i="2"/>
  <c r="W100" i="2"/>
  <c r="X100" i="2" s="1"/>
  <c r="R100" i="2"/>
  <c r="S100" i="2" s="1"/>
  <c r="T100" i="2" s="1"/>
  <c r="BW100" i="2" s="1"/>
  <c r="BM27" i="21"/>
  <c r="CR22" i="21"/>
  <c r="CH29" i="21"/>
  <c r="CR29" i="21" s="1"/>
  <c r="CI28" i="21" a="1"/>
  <c r="CI28" i="21" s="1"/>
  <c r="AU27" i="21" a="1"/>
  <c r="AU27" i="21" s="1"/>
  <c r="BO27" i="21" s="1"/>
  <c r="BN24" i="21"/>
  <c r="CQ22" i="21"/>
  <c r="CI22" i="21" a="1"/>
  <c r="CI22" i="21" s="1"/>
  <c r="CS22" i="21" s="1"/>
  <c r="CI25" i="21" a="1"/>
  <c r="CI25" i="21" s="1"/>
  <c r="CS25" i="21" s="1"/>
  <c r="AU26" i="21" a="1"/>
  <c r="AU26" i="21" s="1"/>
  <c r="AU21" i="21" a="1"/>
  <c r="AU21" i="21" s="1"/>
  <c r="AU25" i="21" a="1"/>
  <c r="AU25" i="21" s="1"/>
  <c r="CI20" i="21" a="1"/>
  <c r="CI20" i="21" s="1"/>
  <c r="AU22" i="21" a="1"/>
  <c r="AU22" i="21" s="1"/>
  <c r="BO22" i="21" s="1"/>
  <c r="CI26" i="21" a="1"/>
  <c r="CI26" i="21" s="1"/>
  <c r="CI19" i="21" a="1"/>
  <c r="CI19" i="21" s="1"/>
  <c r="CI24" i="21" a="1"/>
  <c r="CI24" i="21" s="1"/>
  <c r="AU23" i="21" a="1"/>
  <c r="AU23" i="21" s="1"/>
  <c r="BO23" i="21" s="1"/>
  <c r="AU19" i="21" a="1"/>
  <c r="AU19" i="21" s="1"/>
  <c r="BE18" i="21"/>
  <c r="BO18" i="21" s="1"/>
  <c r="BY18" i="21" s="1"/>
  <c r="CI18" i="21" s="1"/>
  <c r="CS18" i="21" s="1"/>
  <c r="AU28" i="21" a="1"/>
  <c r="AU28" i="21" s="1"/>
  <c r="BO28" i="21" s="1"/>
  <c r="CI23" i="21" a="1"/>
  <c r="CI23" i="21" s="1"/>
  <c r="CS23" i="21" s="1"/>
  <c r="CI21" i="21" a="1"/>
  <c r="CI21" i="21" s="1"/>
  <c r="CI27" i="21" a="1"/>
  <c r="CI27" i="21" s="1"/>
  <c r="CS27" i="21" s="1"/>
  <c r="D40" i="20"/>
  <c r="D95" i="1"/>
  <c r="M104" i="2"/>
  <c r="AP104" i="2" s="1"/>
  <c r="N85" i="24"/>
  <c r="M85" i="24"/>
  <c r="J85" i="24"/>
  <c r="G85" i="24"/>
  <c r="H85" i="24" s="1"/>
  <c r="M45" i="24"/>
  <c r="N45" i="24"/>
  <c r="J45" i="24"/>
  <c r="G45" i="24"/>
  <c r="H45" i="24" s="1"/>
  <c r="N35" i="24"/>
  <c r="J35" i="24"/>
  <c r="M35" i="24"/>
  <c r="G35" i="24"/>
  <c r="I35" i="24" s="1"/>
  <c r="M95" i="24"/>
  <c r="J95" i="24"/>
  <c r="L95" i="24" s="1"/>
  <c r="N95" i="24"/>
  <c r="G95" i="24"/>
  <c r="H95" i="24" s="1"/>
  <c r="J90" i="28"/>
  <c r="AE90" i="28" a="1"/>
  <c r="AE90" i="28" s="1"/>
  <c r="E90" i="28" a="1"/>
  <c r="E90" i="28" s="1"/>
  <c r="X90" i="28" a="1"/>
  <c r="X90" i="28" s="1"/>
  <c r="S90" i="28" a="1"/>
  <c r="S90" i="28" s="1"/>
  <c r="P90" i="28" a="1"/>
  <c r="P90" i="28" s="1"/>
  <c r="AA90" i="28" a="1"/>
  <c r="AA90" i="28" s="1"/>
  <c r="M90" i="28" a="1"/>
  <c r="M90" i="28" s="1"/>
  <c r="T90" i="28" a="1"/>
  <c r="T90" i="28" s="1"/>
  <c r="AF90" i="28" a="1"/>
  <c r="AF90" i="28" s="1"/>
  <c r="D90" i="28" a="1"/>
  <c r="D90" i="28" s="1"/>
  <c r="F90" i="28" s="1"/>
  <c r="N90" i="28" a="1"/>
  <c r="N90" i="28" s="1"/>
  <c r="AD90" i="28" a="1"/>
  <c r="AD90" i="28" s="1"/>
  <c r="O90" i="28" a="1"/>
  <c r="O90" i="28" s="1"/>
  <c r="L90" i="28"/>
  <c r="Q90" i="28" a="1"/>
  <c r="Q90" i="28" s="1"/>
  <c r="H90" i="28" a="1"/>
  <c r="H90" i="28" s="1"/>
  <c r="AB90" i="28" a="1"/>
  <c r="AB90" i="28" s="1"/>
  <c r="AC90" i="28" s="1"/>
  <c r="R90" i="28" a="1"/>
  <c r="R90" i="28" s="1"/>
  <c r="K90" i="28"/>
  <c r="G90" i="28" a="1"/>
  <c r="G90" i="28" s="1"/>
  <c r="N69" i="24"/>
  <c r="J69" i="24"/>
  <c r="M69" i="24"/>
  <c r="G69" i="24"/>
  <c r="I69" i="24" s="1"/>
  <c r="AD71" i="28" a="1"/>
  <c r="AD71" i="28" s="1"/>
  <c r="P71" i="28" a="1"/>
  <c r="P71" i="28" s="1"/>
  <c r="N71" i="28" a="1"/>
  <c r="N71" i="28" s="1"/>
  <c r="AB71" i="28" a="1"/>
  <c r="AB71" i="28" s="1"/>
  <c r="AC71" i="28" s="1"/>
  <c r="O71" i="28" a="1"/>
  <c r="O71" i="28" s="1"/>
  <c r="K71" i="28"/>
  <c r="M71" i="28" a="1"/>
  <c r="M71" i="28" s="1"/>
  <c r="AE71" i="28" a="1"/>
  <c r="AE71" i="28" s="1"/>
  <c r="H71" i="28" a="1"/>
  <c r="H71" i="28" s="1"/>
  <c r="R71" i="28" a="1"/>
  <c r="R71" i="28" s="1"/>
  <c r="AA71" i="28" a="1"/>
  <c r="AA71" i="28" s="1"/>
  <c r="D71" i="28" a="1"/>
  <c r="D71" i="28" s="1"/>
  <c r="F71" i="28" s="1"/>
  <c r="L71" i="28"/>
  <c r="J71" i="28"/>
  <c r="Q71" i="28" a="1"/>
  <c r="Q71" i="28" s="1"/>
  <c r="AF71" i="28" a="1"/>
  <c r="AF71" i="28" s="1"/>
  <c r="S71" i="28" a="1"/>
  <c r="S71" i="28" s="1"/>
  <c r="T71" i="28" a="1"/>
  <c r="T71" i="28" s="1"/>
  <c r="E71" i="28" a="1"/>
  <c r="E71" i="28" s="1"/>
  <c r="X71" i="28" a="1"/>
  <c r="X71" i="28" s="1"/>
  <c r="G71" i="28" a="1"/>
  <c r="G71" i="28" s="1"/>
  <c r="G2" i="11"/>
  <c r="F2" i="11"/>
  <c r="E2" i="11" s="1"/>
  <c r="N137" i="24"/>
  <c r="J137" i="24"/>
  <c r="M137" i="24"/>
  <c r="G137" i="24"/>
  <c r="I137" i="24" s="1"/>
  <c r="N9" i="24"/>
  <c r="J9" i="24"/>
  <c r="M9" i="24"/>
  <c r="G9" i="24"/>
  <c r="H9" i="24" s="1"/>
  <c r="J64" i="24"/>
  <c r="N64" i="24"/>
  <c r="M64" i="24"/>
  <c r="G64" i="24"/>
  <c r="H64" i="24" s="1"/>
  <c r="N62" i="24"/>
  <c r="J62" i="24"/>
  <c r="L62" i="24" s="1"/>
  <c r="M62" i="24"/>
  <c r="G62" i="24"/>
  <c r="H62" i="24" s="1"/>
  <c r="D81" i="28" a="1"/>
  <c r="D81" i="28" s="1"/>
  <c r="F81" i="28" s="1"/>
  <c r="AE81" i="28" a="1"/>
  <c r="AE81" i="28" s="1"/>
  <c r="K81" i="28"/>
  <c r="AB81" i="28" a="1"/>
  <c r="AB81" i="28" s="1"/>
  <c r="AC81" i="28" s="1"/>
  <c r="Q81" i="28" a="1"/>
  <c r="Q81" i="28" s="1"/>
  <c r="M81" i="28" a="1"/>
  <c r="M81" i="28" s="1"/>
  <c r="AF81" i="28" a="1"/>
  <c r="AF81" i="28" s="1"/>
  <c r="J81" i="28"/>
  <c r="X81" i="28" a="1"/>
  <c r="X81" i="28" s="1"/>
  <c r="R81" i="28" a="1"/>
  <c r="R81" i="28" s="1"/>
  <c r="H81" i="28" a="1"/>
  <c r="H81" i="28" s="1"/>
  <c r="O81" i="28" a="1"/>
  <c r="O81" i="28" s="1"/>
  <c r="AA81" i="28" a="1"/>
  <c r="AA81" i="28" s="1"/>
  <c r="P81" i="28" a="1"/>
  <c r="P81" i="28" s="1"/>
  <c r="S81" i="28" a="1"/>
  <c r="S81" i="28" s="1"/>
  <c r="L81" i="28"/>
  <c r="AD81" i="28" a="1"/>
  <c r="AD81" i="28" s="1"/>
  <c r="N81" i="28" a="1"/>
  <c r="N81" i="28" s="1"/>
  <c r="E81" i="28" a="1"/>
  <c r="E81" i="28" s="1"/>
  <c r="T81" i="28" a="1"/>
  <c r="T81" i="28" s="1"/>
  <c r="G81" i="28" a="1"/>
  <c r="G81" i="28" s="1"/>
  <c r="AB164" i="28" a="1"/>
  <c r="AB164" i="28" s="1"/>
  <c r="AC164" i="28" s="1"/>
  <c r="M164" i="28" a="1"/>
  <c r="M164" i="28" s="1"/>
  <c r="R164" i="28" a="1"/>
  <c r="R164" i="28" s="1"/>
  <c r="L164" i="28"/>
  <c r="AE164" i="28" a="1"/>
  <c r="AE164" i="28" s="1"/>
  <c r="H164" i="28" a="1"/>
  <c r="H164" i="28" s="1"/>
  <c r="T164" i="28" a="1"/>
  <c r="T164" i="28" s="1"/>
  <c r="AF164" i="28" a="1"/>
  <c r="AF164" i="28" s="1"/>
  <c r="J164" i="28"/>
  <c r="P164" i="28" a="1"/>
  <c r="P164" i="28" s="1"/>
  <c r="AD164" i="28" a="1"/>
  <c r="AD164" i="28" s="1"/>
  <c r="S164" i="28" a="1"/>
  <c r="S164" i="28" s="1"/>
  <c r="N164" i="28" a="1"/>
  <c r="N164" i="28" s="1"/>
  <c r="Q164" i="28" a="1"/>
  <c r="Q164" i="28" s="1"/>
  <c r="O164" i="28" a="1"/>
  <c r="O164" i="28" s="1"/>
  <c r="AA164" i="28" a="1"/>
  <c r="AA164" i="28" s="1"/>
  <c r="K164" i="28"/>
  <c r="D164" i="28" a="1"/>
  <c r="D164" i="28" s="1"/>
  <c r="E164" i="28" a="1"/>
  <c r="E164" i="28" s="1"/>
  <c r="X164" i="28" a="1"/>
  <c r="X164" i="28" s="1"/>
  <c r="G164" i="28" a="1"/>
  <c r="G164" i="28" s="1"/>
  <c r="M94" i="24"/>
  <c r="J94" i="24"/>
  <c r="N94" i="24"/>
  <c r="G94" i="24"/>
  <c r="H94" i="24" s="1"/>
  <c r="P50" i="28" a="1"/>
  <c r="P50" i="28" s="1"/>
  <c r="K50" i="28"/>
  <c r="AD50" i="28" a="1"/>
  <c r="AD50" i="28" s="1"/>
  <c r="R50" i="28" a="1"/>
  <c r="R50" i="28" s="1"/>
  <c r="AB50" i="28" a="1"/>
  <c r="AB50" i="28" s="1"/>
  <c r="L50" i="28"/>
  <c r="S50" i="28" a="1"/>
  <c r="S50" i="28" s="1"/>
  <c r="X50" i="28" a="1"/>
  <c r="X50" i="28" s="1"/>
  <c r="AE50" i="28" a="1"/>
  <c r="AE50" i="28" s="1"/>
  <c r="N50" i="28" a="1"/>
  <c r="N50" i="28" s="1"/>
  <c r="AF50" i="28" a="1"/>
  <c r="AF50" i="28" s="1"/>
  <c r="T50" i="28" a="1"/>
  <c r="T50" i="28" s="1"/>
  <c r="D50" i="28" a="1"/>
  <c r="D50" i="28" s="1"/>
  <c r="AA50" i="28" a="1"/>
  <c r="AA50" i="28" s="1"/>
  <c r="J50" i="28"/>
  <c r="H50" i="28" a="1"/>
  <c r="H50" i="28" s="1"/>
  <c r="Q50" i="28" a="1"/>
  <c r="Q50" i="28" s="1"/>
  <c r="O50" i="28" a="1"/>
  <c r="O50" i="28" s="1"/>
  <c r="M50" i="28" a="1"/>
  <c r="M50" i="28" s="1"/>
  <c r="E50" i="28" a="1"/>
  <c r="E50" i="28" s="1"/>
  <c r="G50" i="28" a="1"/>
  <c r="G50" i="28" s="1"/>
  <c r="N146" i="24"/>
  <c r="J146" i="24"/>
  <c r="M146" i="24"/>
  <c r="G146" i="24"/>
  <c r="H146" i="24" s="1"/>
  <c r="E126" i="28" a="1"/>
  <c r="E126" i="28" s="1"/>
  <c r="P126" i="28" a="1"/>
  <c r="P126" i="28" s="1"/>
  <c r="AD126" i="28" a="1"/>
  <c r="AD126" i="28" s="1"/>
  <c r="D126" i="28" a="1"/>
  <c r="D126" i="28" s="1"/>
  <c r="O126" i="28" a="1"/>
  <c r="O126" i="28" s="1"/>
  <c r="N126" i="28" a="1"/>
  <c r="N126" i="28" s="1"/>
  <c r="X126" i="28" a="1"/>
  <c r="X126" i="28" s="1"/>
  <c r="H126" i="28" a="1"/>
  <c r="H126" i="28" s="1"/>
  <c r="AA126" i="28" a="1"/>
  <c r="AA126" i="28" s="1"/>
  <c r="AF126" i="28" a="1"/>
  <c r="AF126" i="28" s="1"/>
  <c r="R126" i="28" a="1"/>
  <c r="R126" i="28" s="1"/>
  <c r="Q126" i="28" a="1"/>
  <c r="Q126" i="28" s="1"/>
  <c r="T126" i="28" a="1"/>
  <c r="T126" i="28" s="1"/>
  <c r="L126" i="28"/>
  <c r="J126" i="28"/>
  <c r="S126" i="28" a="1"/>
  <c r="S126" i="28" s="1"/>
  <c r="M126" i="28" a="1"/>
  <c r="M126" i="28" s="1"/>
  <c r="AB126" i="28" a="1"/>
  <c r="AB126" i="28" s="1"/>
  <c r="AC126" i="28" s="1"/>
  <c r="K126" i="28"/>
  <c r="AE126" i="28" a="1"/>
  <c r="AE126" i="28" s="1"/>
  <c r="G126" i="28" a="1"/>
  <c r="G126" i="28" s="1"/>
  <c r="J61" i="24"/>
  <c r="N61" i="24"/>
  <c r="M61" i="24"/>
  <c r="G61" i="24"/>
  <c r="H61" i="24" s="1"/>
  <c r="N161" i="24"/>
  <c r="J161" i="24"/>
  <c r="M161" i="24"/>
  <c r="G161" i="24"/>
  <c r="I161" i="24" s="1"/>
  <c r="P31" i="28" a="1"/>
  <c r="P31" i="28" s="1"/>
  <c r="O31" i="28" a="1"/>
  <c r="O31" i="28" s="1"/>
  <c r="X31" i="28" a="1"/>
  <c r="X31" i="28" s="1"/>
  <c r="N31" i="28" a="1"/>
  <c r="N31" i="28" s="1"/>
  <c r="R31" i="28" a="1"/>
  <c r="R31" i="28" s="1"/>
  <c r="AB31" i="28" a="1"/>
  <c r="AB31" i="28" s="1"/>
  <c r="AC31" i="28" s="1"/>
  <c r="D31" i="28" a="1"/>
  <c r="D31" i="28" s="1"/>
  <c r="J31" i="28"/>
  <c r="H31" i="28" a="1"/>
  <c r="H31" i="28" s="1"/>
  <c r="AF31" i="28" a="1"/>
  <c r="AF31" i="28" s="1"/>
  <c r="L31" i="28"/>
  <c r="AA31" i="28" a="1"/>
  <c r="AA31" i="28" s="1"/>
  <c r="K31" i="28"/>
  <c r="M31" i="28" a="1"/>
  <c r="M31" i="28" s="1"/>
  <c r="Q31" i="28" a="1"/>
  <c r="Q31" i="28" s="1"/>
  <c r="AD31" i="28" a="1"/>
  <c r="AD31" i="28" s="1"/>
  <c r="E31" i="28" a="1"/>
  <c r="E31" i="28" s="1"/>
  <c r="S31" i="28" a="1"/>
  <c r="S31" i="28" s="1"/>
  <c r="T31" i="28" a="1"/>
  <c r="T31" i="28" s="1"/>
  <c r="AE31" i="28" a="1"/>
  <c r="AE31" i="28" s="1"/>
  <c r="G31" i="28" a="1"/>
  <c r="G31" i="28" s="1"/>
  <c r="N24" i="24"/>
  <c r="J24" i="24"/>
  <c r="M24" i="24"/>
  <c r="G24" i="24"/>
  <c r="H24" i="24" s="1"/>
  <c r="M31" i="24"/>
  <c r="J31" i="24"/>
  <c r="L31" i="24" s="1"/>
  <c r="N31" i="24"/>
  <c r="G31" i="24"/>
  <c r="H31" i="24" s="1"/>
  <c r="J112" i="28"/>
  <c r="M112" i="28" a="1"/>
  <c r="M112" i="28" s="1"/>
  <c r="K112" i="28"/>
  <c r="L112" i="28"/>
  <c r="D112" i="28" a="1"/>
  <c r="D112" i="28" s="1"/>
  <c r="AF112" i="28" a="1"/>
  <c r="AF112" i="28" s="1"/>
  <c r="P112" i="28" a="1"/>
  <c r="P112" i="28" s="1"/>
  <c r="S112" i="28" a="1"/>
  <c r="S112" i="28" s="1"/>
  <c r="AB112" i="28" a="1"/>
  <c r="AB112" i="28" s="1"/>
  <c r="AC112" i="28" s="1"/>
  <c r="N112" i="28" a="1"/>
  <c r="N112" i="28" s="1"/>
  <c r="X112" i="28" a="1"/>
  <c r="X112" i="28" s="1"/>
  <c r="E112" i="28" a="1"/>
  <c r="E112" i="28" s="1"/>
  <c r="AA112" i="28" a="1"/>
  <c r="AA112" i="28" s="1"/>
  <c r="R112" i="28" a="1"/>
  <c r="R112" i="28" s="1"/>
  <c r="AD112" i="28" a="1"/>
  <c r="AD112" i="28" s="1"/>
  <c r="Q112" i="28" a="1"/>
  <c r="Q112" i="28" s="1"/>
  <c r="T112" i="28" a="1"/>
  <c r="T112" i="28" s="1"/>
  <c r="AE112" i="28" a="1"/>
  <c r="AE112" i="28" s="1"/>
  <c r="H112" i="28" a="1"/>
  <c r="H112" i="28" s="1"/>
  <c r="O112" i="28" a="1"/>
  <c r="O112" i="28" s="1"/>
  <c r="G112" i="28" a="1"/>
  <c r="G112" i="28" s="1"/>
  <c r="J35" i="28"/>
  <c r="AA35" i="28" a="1"/>
  <c r="AA35" i="28" s="1"/>
  <c r="H35" i="28" a="1"/>
  <c r="H35" i="28" s="1"/>
  <c r="X35" i="28" a="1"/>
  <c r="X35" i="28" s="1"/>
  <c r="D35" i="28" a="1"/>
  <c r="D35" i="28" s="1"/>
  <c r="R35" i="28" a="1"/>
  <c r="R35" i="28" s="1"/>
  <c r="S35" i="28" a="1"/>
  <c r="S35" i="28" s="1"/>
  <c r="N35" i="28" a="1"/>
  <c r="N35" i="28" s="1"/>
  <c r="P35" i="28" a="1"/>
  <c r="P35" i="28" s="1"/>
  <c r="L35" i="28"/>
  <c r="AD35" i="28" a="1"/>
  <c r="AD35" i="28" s="1"/>
  <c r="AB35" i="28" a="1"/>
  <c r="AB35" i="28" s="1"/>
  <c r="AC35" i="28" s="1"/>
  <c r="O35" i="28" a="1"/>
  <c r="O35" i="28" s="1"/>
  <c r="K35" i="28"/>
  <c r="M35" i="28" a="1"/>
  <c r="M35" i="28" s="1"/>
  <c r="T35" i="28" a="1"/>
  <c r="T35" i="28" s="1"/>
  <c r="E35" i="28" a="1"/>
  <c r="E35" i="28" s="1"/>
  <c r="AE35" i="28" a="1"/>
  <c r="AE35" i="28" s="1"/>
  <c r="AF35" i="28" a="1"/>
  <c r="AF35" i="28" s="1"/>
  <c r="Q35" i="28" a="1"/>
  <c r="Q35" i="28" s="1"/>
  <c r="G35" i="28" a="1"/>
  <c r="G35" i="28" s="1"/>
  <c r="L134" i="28"/>
  <c r="J134" i="28"/>
  <c r="R134" i="28" a="1"/>
  <c r="R134" i="28" s="1"/>
  <c r="S134" i="28" a="1"/>
  <c r="S134" i="28" s="1"/>
  <c r="N134" i="28" a="1"/>
  <c r="N134" i="28" s="1"/>
  <c r="K134" i="28"/>
  <c r="AA134" i="28" a="1"/>
  <c r="AA134" i="28" s="1"/>
  <c r="M134" i="28" a="1"/>
  <c r="M134" i="28" s="1"/>
  <c r="H134" i="28" a="1"/>
  <c r="H134" i="28" s="1"/>
  <c r="D134" i="28" a="1"/>
  <c r="D134" i="28" s="1"/>
  <c r="AD134" i="28" a="1"/>
  <c r="AD134" i="28" s="1"/>
  <c r="AB134" i="28" a="1"/>
  <c r="AB134" i="28" s="1"/>
  <c r="AC134" i="28" s="1"/>
  <c r="Q134" i="28" a="1"/>
  <c r="Q134" i="28" s="1"/>
  <c r="P134" i="28" a="1"/>
  <c r="P134" i="28" s="1"/>
  <c r="AF134" i="28" a="1"/>
  <c r="AF134" i="28" s="1"/>
  <c r="AE134" i="28" a="1"/>
  <c r="AE134" i="28" s="1"/>
  <c r="E134" i="28" a="1"/>
  <c r="E134" i="28" s="1"/>
  <c r="X134" i="28" a="1"/>
  <c r="X134" i="28" s="1"/>
  <c r="O134" i="28" a="1"/>
  <c r="O134" i="28" s="1"/>
  <c r="T134" i="28" a="1"/>
  <c r="T134" i="28" s="1"/>
  <c r="G134" i="28" a="1"/>
  <c r="G134" i="28" s="1"/>
  <c r="J56" i="24"/>
  <c r="L56" i="24" s="1"/>
  <c r="N56" i="24"/>
  <c r="M56" i="24"/>
  <c r="G56" i="24"/>
  <c r="H56" i="24" s="1"/>
  <c r="L162" i="28"/>
  <c r="D162" i="28" a="1"/>
  <c r="D162" i="28" s="1"/>
  <c r="H162" i="28" a="1"/>
  <c r="H162" i="28" s="1"/>
  <c r="Q162" i="28" a="1"/>
  <c r="Q162" i="28" s="1"/>
  <c r="P162" i="28" a="1"/>
  <c r="P162" i="28" s="1"/>
  <c r="N162" i="28" a="1"/>
  <c r="N162" i="28" s="1"/>
  <c r="AA162" i="28" a="1"/>
  <c r="AA162" i="28" s="1"/>
  <c r="M162" i="28" a="1"/>
  <c r="M162" i="28" s="1"/>
  <c r="E162" i="28" a="1"/>
  <c r="E162" i="28" s="1"/>
  <c r="AD162" i="28" a="1"/>
  <c r="AD162" i="28" s="1"/>
  <c r="AB162" i="28" a="1"/>
  <c r="AB162" i="28" s="1"/>
  <c r="AC162" i="28" s="1"/>
  <c r="J162" i="28"/>
  <c r="T162" i="28" a="1"/>
  <c r="T162" i="28" s="1"/>
  <c r="AE162" i="28" a="1"/>
  <c r="AE162" i="28" s="1"/>
  <c r="S162" i="28" a="1"/>
  <c r="S162" i="28" s="1"/>
  <c r="X162" i="28" a="1"/>
  <c r="X162" i="28" s="1"/>
  <c r="O162" i="28" a="1"/>
  <c r="O162" i="28" s="1"/>
  <c r="AF162" i="28" a="1"/>
  <c r="AF162" i="28" s="1"/>
  <c r="R162" i="28" a="1"/>
  <c r="R162" i="28" s="1"/>
  <c r="K162" i="28"/>
  <c r="G162" i="28" a="1"/>
  <c r="G162" i="28" s="1"/>
  <c r="AA37" i="28" a="1"/>
  <c r="AA37" i="28" s="1"/>
  <c r="AF37" i="28" a="1"/>
  <c r="AF37" i="28" s="1"/>
  <c r="J37" i="28"/>
  <c r="M37" i="28" a="1"/>
  <c r="M37" i="28" s="1"/>
  <c r="AB37" i="28" a="1"/>
  <c r="AB37" i="28" s="1"/>
  <c r="AC37" i="28" s="1"/>
  <c r="H37" i="28" a="1"/>
  <c r="H37" i="28" s="1"/>
  <c r="S37" i="28" a="1"/>
  <c r="S37" i="28" s="1"/>
  <c r="N37" i="28" a="1"/>
  <c r="N37" i="28" s="1"/>
  <c r="D37" i="28" a="1"/>
  <c r="D37" i="28" s="1"/>
  <c r="AD37" i="28" a="1"/>
  <c r="AD37" i="28" s="1"/>
  <c r="E37" i="28" a="1"/>
  <c r="E37" i="28" s="1"/>
  <c r="AE37" i="28" a="1"/>
  <c r="AE37" i="28" s="1"/>
  <c r="K37" i="28"/>
  <c r="X37" i="28" a="1"/>
  <c r="X37" i="28" s="1"/>
  <c r="Q37" i="28" a="1"/>
  <c r="Q37" i="28" s="1"/>
  <c r="R37" i="28" a="1"/>
  <c r="R37" i="28" s="1"/>
  <c r="P37" i="28" a="1"/>
  <c r="P37" i="28" s="1"/>
  <c r="L37" i="28"/>
  <c r="O37" i="28" a="1"/>
  <c r="O37" i="28" s="1"/>
  <c r="T37" i="28" a="1"/>
  <c r="T37" i="28" s="1"/>
  <c r="G37" i="28" a="1"/>
  <c r="G37" i="28" s="1"/>
  <c r="N59" i="24"/>
  <c r="J59" i="24"/>
  <c r="M59" i="24"/>
  <c r="G59" i="24"/>
  <c r="H59" i="24" s="1"/>
  <c r="J108" i="24"/>
  <c r="L108" i="24" s="1"/>
  <c r="M108" i="24"/>
  <c r="N108" i="24"/>
  <c r="G108" i="24"/>
  <c r="H108" i="24" s="1"/>
  <c r="N71" i="24"/>
  <c r="M71" i="24"/>
  <c r="J71" i="24"/>
  <c r="G71" i="24"/>
  <c r="H71" i="24" s="1"/>
  <c r="X39" i="28" a="1"/>
  <c r="X39" i="28" s="1"/>
  <c r="AA39" i="28" a="1"/>
  <c r="AA39" i="28" s="1"/>
  <c r="T39" i="28" a="1"/>
  <c r="T39" i="28" s="1"/>
  <c r="K39" i="28"/>
  <c r="S39" i="28" a="1"/>
  <c r="S39" i="28" s="1"/>
  <c r="R39" i="28" a="1"/>
  <c r="R39" i="28" s="1"/>
  <c r="Q39" i="28" a="1"/>
  <c r="Q39" i="28" s="1"/>
  <c r="AD39" i="28" a="1"/>
  <c r="AD39" i="28" s="1"/>
  <c r="J39" i="28"/>
  <c r="L39" i="28"/>
  <c r="AB39" i="28" a="1"/>
  <c r="AB39" i="28" s="1"/>
  <c r="AC39" i="28" s="1"/>
  <c r="H39" i="28" a="1"/>
  <c r="H39" i="28" s="1"/>
  <c r="E39" i="28" a="1"/>
  <c r="E39" i="28" s="1"/>
  <c r="AE39" i="28" a="1"/>
  <c r="AE39" i="28" s="1"/>
  <c r="AF39" i="28" a="1"/>
  <c r="AF39" i="28" s="1"/>
  <c r="D39" i="28" a="1"/>
  <c r="D39" i="28" s="1"/>
  <c r="P39" i="28" a="1"/>
  <c r="P39" i="28" s="1"/>
  <c r="N39" i="28" a="1"/>
  <c r="N39" i="28" s="1"/>
  <c r="M39" i="28" a="1"/>
  <c r="M39" i="28" s="1"/>
  <c r="O39" i="28" a="1"/>
  <c r="O39" i="28" s="1"/>
  <c r="G39" i="28" a="1"/>
  <c r="G39" i="28" s="1"/>
  <c r="J43" i="24"/>
  <c r="L43" i="24" s="1"/>
  <c r="N43" i="24"/>
  <c r="M43" i="24"/>
  <c r="G43" i="24"/>
  <c r="H43" i="24" s="1"/>
  <c r="N167" i="28" a="1"/>
  <c r="N167" i="28" s="1"/>
  <c r="J167" i="28"/>
  <c r="D167" i="28" a="1"/>
  <c r="D167" i="28" s="1"/>
  <c r="R167" i="28" a="1"/>
  <c r="R167" i="28" s="1"/>
  <c r="K167" i="28"/>
  <c r="AB167" i="28" a="1"/>
  <c r="AB167" i="28" s="1"/>
  <c r="AC167" i="28" s="1"/>
  <c r="H167" i="28" a="1"/>
  <c r="H167" i="28" s="1"/>
  <c r="AA167" i="28" a="1"/>
  <c r="AA167" i="28" s="1"/>
  <c r="O167" i="28" a="1"/>
  <c r="O167" i="28" s="1"/>
  <c r="L167" i="28"/>
  <c r="S167" i="28" a="1"/>
  <c r="S167" i="28" s="1"/>
  <c r="E167" i="28" a="1"/>
  <c r="E167" i="28" s="1"/>
  <c r="M167" i="28" a="1"/>
  <c r="M167" i="28" s="1"/>
  <c r="AE167" i="28" a="1"/>
  <c r="AE167" i="28" s="1"/>
  <c r="X167" i="28" a="1"/>
  <c r="X167" i="28" s="1"/>
  <c r="Q167" i="28" a="1"/>
  <c r="Q167" i="28" s="1"/>
  <c r="P167" i="28" a="1"/>
  <c r="P167" i="28" s="1"/>
  <c r="AD167" i="28" a="1"/>
  <c r="AD167" i="28" s="1"/>
  <c r="AF167" i="28" a="1"/>
  <c r="AF167" i="28" s="1"/>
  <c r="T167" i="28" a="1"/>
  <c r="T167" i="28" s="1"/>
  <c r="G167" i="28" a="1"/>
  <c r="G167" i="28" s="1"/>
  <c r="M160" i="24"/>
  <c r="J160" i="24"/>
  <c r="N160" i="24"/>
  <c r="G160" i="24"/>
  <c r="H160" i="24" s="1"/>
  <c r="N126" i="24"/>
  <c r="J126" i="24"/>
  <c r="M126" i="24"/>
  <c r="G126" i="24"/>
  <c r="I126" i="24" s="1"/>
  <c r="X85" i="28" a="1"/>
  <c r="X85" i="28" s="1"/>
  <c r="AB85" i="28" a="1"/>
  <c r="AB85" i="28" s="1"/>
  <c r="AC85" i="28" s="1"/>
  <c r="T85" i="28" a="1"/>
  <c r="T85" i="28" s="1"/>
  <c r="L85" i="28"/>
  <c r="AE85" i="28" a="1"/>
  <c r="AE85" i="28" s="1"/>
  <c r="R85" i="28" a="1"/>
  <c r="R85" i="28" s="1"/>
  <c r="AA85" i="28" a="1"/>
  <c r="AA85" i="28" s="1"/>
  <c r="E85" i="28" a="1"/>
  <c r="E85" i="28" s="1"/>
  <c r="P85" i="28" a="1"/>
  <c r="P85" i="28" s="1"/>
  <c r="H85" i="28" a="1"/>
  <c r="H85" i="28" s="1"/>
  <c r="Q85" i="28" a="1"/>
  <c r="Q85" i="28" s="1"/>
  <c r="O85" i="28" a="1"/>
  <c r="O85" i="28" s="1"/>
  <c r="N85" i="28" a="1"/>
  <c r="N85" i="28" s="1"/>
  <c r="M85" i="28" a="1"/>
  <c r="M85" i="28" s="1"/>
  <c r="K85" i="28"/>
  <c r="J85" i="28"/>
  <c r="AD85" i="28" a="1"/>
  <c r="AD85" i="28" s="1"/>
  <c r="D85" i="28" a="1"/>
  <c r="D85" i="28" s="1"/>
  <c r="AF85" i="28" a="1"/>
  <c r="AF85" i="28" s="1"/>
  <c r="S85" i="28" a="1"/>
  <c r="S85" i="28" s="1"/>
  <c r="G85" i="28" a="1"/>
  <c r="G85" i="28" s="1"/>
  <c r="N69" i="28" a="1"/>
  <c r="N69" i="28" s="1"/>
  <c r="E69" i="28" a="1"/>
  <c r="E69" i="28" s="1"/>
  <c r="AE69" i="28" a="1"/>
  <c r="AE69" i="28" s="1"/>
  <c r="D69" i="28" a="1"/>
  <c r="D69" i="28" s="1"/>
  <c r="S69" i="28" a="1"/>
  <c r="S69" i="28" s="1"/>
  <c r="O69" i="28" a="1"/>
  <c r="O69" i="28" s="1"/>
  <c r="AF69" i="28" a="1"/>
  <c r="AF69" i="28" s="1"/>
  <c r="R69" i="28" a="1"/>
  <c r="R69" i="28" s="1"/>
  <c r="AA69" i="28" a="1"/>
  <c r="AA69" i="28" s="1"/>
  <c r="X69" i="28" a="1"/>
  <c r="X69" i="28" s="1"/>
  <c r="AD69" i="28" a="1"/>
  <c r="AD69" i="28" s="1"/>
  <c r="L69" i="28"/>
  <c r="Q69" i="28" a="1"/>
  <c r="Q69" i="28" s="1"/>
  <c r="J69" i="28"/>
  <c r="H69" i="28" a="1"/>
  <c r="H69" i="28" s="1"/>
  <c r="M69" i="28" a="1"/>
  <c r="M69" i="28" s="1"/>
  <c r="T69" i="28" a="1"/>
  <c r="T69" i="28" s="1"/>
  <c r="K69" i="28"/>
  <c r="AB69" i="28" a="1"/>
  <c r="AB69" i="28" s="1"/>
  <c r="P69" i="28" a="1"/>
  <c r="P69" i="28" s="1"/>
  <c r="G69" i="28" a="1"/>
  <c r="G69" i="28" s="1"/>
  <c r="F3" i="11"/>
  <c r="E3" i="11" s="1"/>
  <c r="G3" i="11"/>
  <c r="C12" i="1"/>
  <c r="B57" i="1"/>
  <c r="B59" i="1"/>
  <c r="C29" i="1"/>
  <c r="AL8" i="2" s="1"/>
  <c r="B60" i="1"/>
  <c r="C60" i="1"/>
  <c r="B63" i="1"/>
  <c r="C57" i="1"/>
  <c r="B58" i="1"/>
  <c r="C58" i="1"/>
  <c r="C59" i="1"/>
  <c r="D59" i="1" s="1"/>
  <c r="B61" i="1"/>
  <c r="B55" i="1"/>
  <c r="C63" i="1"/>
  <c r="C56" i="1"/>
  <c r="B62" i="1"/>
  <c r="C62" i="1"/>
  <c r="C54" i="1"/>
  <c r="C36" i="1"/>
  <c r="AL9" i="2" s="1"/>
  <c r="AL12" i="2" s="1"/>
  <c r="C55" i="1"/>
  <c r="I7" i="1"/>
  <c r="C31" i="1"/>
  <c r="B54" i="1"/>
  <c r="C25" i="1"/>
  <c r="C61" i="1"/>
  <c r="C30" i="1"/>
  <c r="D99" i="1"/>
  <c r="D100" i="1"/>
  <c r="B56" i="1"/>
  <c r="C26" i="1"/>
  <c r="C11" i="1"/>
  <c r="C15" i="1"/>
  <c r="C34" i="1"/>
  <c r="C19" i="1"/>
  <c r="C21" i="1"/>
  <c r="C16" i="1"/>
  <c r="C35" i="1"/>
  <c r="C27" i="1"/>
  <c r="L95" i="28"/>
  <c r="Q95" i="28" a="1"/>
  <c r="Q95" i="28" s="1"/>
  <c r="AD95" i="28" a="1"/>
  <c r="AD95" i="28" s="1"/>
  <c r="O95" i="28" a="1"/>
  <c r="O95" i="28" s="1"/>
  <c r="D95" i="28" a="1"/>
  <c r="D95" i="28" s="1"/>
  <c r="X95" i="28" a="1"/>
  <c r="X95" i="28" s="1"/>
  <c r="AF95" i="28" a="1"/>
  <c r="AF95" i="28" s="1"/>
  <c r="R95" i="28" a="1"/>
  <c r="R95" i="28" s="1"/>
  <c r="K95" i="28"/>
  <c r="AA95" i="28" a="1"/>
  <c r="AA95" i="28" s="1"/>
  <c r="AE95" i="28" a="1"/>
  <c r="AE95" i="28" s="1"/>
  <c r="T95" i="28" a="1"/>
  <c r="T95" i="28" s="1"/>
  <c r="AB95" i="28" a="1"/>
  <c r="AB95" i="28" s="1"/>
  <c r="AC95" i="28" s="1"/>
  <c r="N95" i="28" a="1"/>
  <c r="N95" i="28" s="1"/>
  <c r="S95" i="28" a="1"/>
  <c r="S95" i="28" s="1"/>
  <c r="M95" i="28" a="1"/>
  <c r="M95" i="28" s="1"/>
  <c r="J95" i="28"/>
  <c r="P95" i="28" a="1"/>
  <c r="P95" i="28" s="1"/>
  <c r="H95" i="28" a="1"/>
  <c r="H95" i="28" s="1"/>
  <c r="E95" i="28" a="1"/>
  <c r="E95" i="28" s="1"/>
  <c r="G95" i="28" a="1"/>
  <c r="G95" i="28" s="1"/>
  <c r="J149" i="28"/>
  <c r="P149" i="28" a="1"/>
  <c r="P149" i="28" s="1"/>
  <c r="K149" i="28"/>
  <c r="Q149" i="28" a="1"/>
  <c r="Q149" i="28" s="1"/>
  <c r="D149" i="28" a="1"/>
  <c r="D149" i="28" s="1"/>
  <c r="AE149" i="28" a="1"/>
  <c r="AE149" i="28" s="1"/>
  <c r="R149" i="28" a="1"/>
  <c r="R149" i="28" s="1"/>
  <c r="N149" i="28" a="1"/>
  <c r="N149" i="28" s="1"/>
  <c r="M149" i="28" a="1"/>
  <c r="M149" i="28" s="1"/>
  <c r="AA149" i="28" a="1"/>
  <c r="AA149" i="28" s="1"/>
  <c r="H149" i="28" a="1"/>
  <c r="H149" i="28" s="1"/>
  <c r="S149" i="28" a="1"/>
  <c r="S149" i="28" s="1"/>
  <c r="E149" i="28" a="1"/>
  <c r="E149" i="28" s="1"/>
  <c r="AF149" i="28" a="1"/>
  <c r="AF149" i="28" s="1"/>
  <c r="X149" i="28" a="1"/>
  <c r="X149" i="28" s="1"/>
  <c r="AD149" i="28" a="1"/>
  <c r="AD149" i="28" s="1"/>
  <c r="AB149" i="28" a="1"/>
  <c r="AB149" i="28" s="1"/>
  <c r="AC149" i="28" s="1"/>
  <c r="L149" i="28"/>
  <c r="O149" i="28" a="1"/>
  <c r="O149" i="28" s="1"/>
  <c r="T149" i="28" a="1"/>
  <c r="T149" i="28" s="1"/>
  <c r="G149" i="28" a="1"/>
  <c r="G149" i="28" s="1"/>
  <c r="Q51" i="28" a="1"/>
  <c r="Q51" i="28" s="1"/>
  <c r="S51" i="28" a="1"/>
  <c r="S51" i="28" s="1"/>
  <c r="J51" i="28"/>
  <c r="H51" i="28" a="1"/>
  <c r="H51" i="28" s="1"/>
  <c r="P51" i="28" a="1"/>
  <c r="P51" i="28" s="1"/>
  <c r="R51" i="28" a="1"/>
  <c r="R51" i="28" s="1"/>
  <c r="O51" i="28" a="1"/>
  <c r="O51" i="28" s="1"/>
  <c r="AF51" i="28" a="1"/>
  <c r="AF51" i="28" s="1"/>
  <c r="N51" i="28" a="1"/>
  <c r="N51" i="28" s="1"/>
  <c r="AB51" i="28" a="1"/>
  <c r="AB51" i="28" s="1"/>
  <c r="AC51" i="28" s="1"/>
  <c r="T51" i="28" a="1"/>
  <c r="T51" i="28" s="1"/>
  <c r="X51" i="28" a="1"/>
  <c r="X51" i="28" s="1"/>
  <c r="D51" i="28" a="1"/>
  <c r="D51" i="28" s="1"/>
  <c r="K51" i="28"/>
  <c r="L51" i="28"/>
  <c r="AD51" i="28" a="1"/>
  <c r="AD51" i="28" s="1"/>
  <c r="E51" i="28" a="1"/>
  <c r="E51" i="28" s="1"/>
  <c r="AE51" i="28" a="1"/>
  <c r="AE51" i="28" s="1"/>
  <c r="M51" i="28" a="1"/>
  <c r="M51" i="28" s="1"/>
  <c r="AA51" i="28" a="1"/>
  <c r="AA51" i="28" s="1"/>
  <c r="G51" i="28" a="1"/>
  <c r="G51" i="28" s="1"/>
  <c r="Q21" i="28" a="1"/>
  <c r="Q21" i="28" s="1"/>
  <c r="L21" i="28"/>
  <c r="AD21" i="28" a="1"/>
  <c r="AD21" i="28" s="1"/>
  <c r="N21" i="28" a="1"/>
  <c r="N21" i="28" s="1"/>
  <c r="D21" i="28" a="1"/>
  <c r="D21" i="28" s="1"/>
  <c r="AF21" i="28" a="1"/>
  <c r="AF21" i="28" s="1"/>
  <c r="R21" i="28" a="1"/>
  <c r="R21" i="28" s="1"/>
  <c r="E21" i="28" a="1"/>
  <c r="E21" i="28" s="1"/>
  <c r="O21" i="28" a="1"/>
  <c r="O21" i="28" s="1"/>
  <c r="AA21" i="28" a="1"/>
  <c r="AA21" i="28" s="1"/>
  <c r="H21" i="28" a="1"/>
  <c r="H21" i="28" s="1"/>
  <c r="M21" i="28" a="1"/>
  <c r="M21" i="28" s="1"/>
  <c r="K21" i="28"/>
  <c r="J21" i="28"/>
  <c r="S21" i="28" a="1"/>
  <c r="S21" i="28" s="1"/>
  <c r="AE21" i="28" a="1"/>
  <c r="AE21" i="28" s="1"/>
  <c r="AB21" i="28" a="1"/>
  <c r="AB21" i="28" s="1"/>
  <c r="AC21" i="28" s="1"/>
  <c r="P21" i="28" a="1"/>
  <c r="P21" i="28" s="1"/>
  <c r="T21" i="28" a="1"/>
  <c r="T21" i="28" s="1"/>
  <c r="X21" i="28" a="1"/>
  <c r="X21" i="28" s="1"/>
  <c r="G21" i="28" a="1"/>
  <c r="G21" i="28" s="1"/>
  <c r="E76" i="28" a="1"/>
  <c r="E76" i="28" s="1"/>
  <c r="X76" i="28" a="1"/>
  <c r="X76" i="28" s="1"/>
  <c r="N76" i="28" a="1"/>
  <c r="N76" i="28" s="1"/>
  <c r="K76" i="28"/>
  <c r="D76" i="28" a="1"/>
  <c r="D76" i="28" s="1"/>
  <c r="P76" i="28" a="1"/>
  <c r="P76" i="28" s="1"/>
  <c r="T76" i="28" a="1"/>
  <c r="T76" i="28" s="1"/>
  <c r="S76" i="28" a="1"/>
  <c r="S76" i="28" s="1"/>
  <c r="AF76" i="28" a="1"/>
  <c r="AF76" i="28" s="1"/>
  <c r="M76" i="28" a="1"/>
  <c r="M76" i="28" s="1"/>
  <c r="AA76" i="28" a="1"/>
  <c r="AA76" i="28" s="1"/>
  <c r="AD76" i="28" a="1"/>
  <c r="AD76" i="28" s="1"/>
  <c r="Q76" i="28" a="1"/>
  <c r="Q76" i="28" s="1"/>
  <c r="R76" i="28" a="1"/>
  <c r="R76" i="28" s="1"/>
  <c r="O76" i="28" a="1"/>
  <c r="O76" i="28" s="1"/>
  <c r="AE76" i="28" a="1"/>
  <c r="AE76" i="28" s="1"/>
  <c r="AB76" i="28" a="1"/>
  <c r="AB76" i="28" s="1"/>
  <c r="AC76" i="28" s="1"/>
  <c r="L76" i="28"/>
  <c r="J76" i="28"/>
  <c r="H76" i="28" a="1"/>
  <c r="H76" i="28" s="1"/>
  <c r="G76" i="28" a="1"/>
  <c r="G76" i="28" s="1"/>
  <c r="P74" i="28" a="1"/>
  <c r="P74" i="28" s="1"/>
  <c r="M74" i="28" a="1"/>
  <c r="M74" i="28" s="1"/>
  <c r="AF74" i="28" a="1"/>
  <c r="AF74" i="28" s="1"/>
  <c r="L74" i="28"/>
  <c r="X74" i="28" a="1"/>
  <c r="X74" i="28" s="1"/>
  <c r="Q74" i="28" a="1"/>
  <c r="Q74" i="28" s="1"/>
  <c r="AA74" i="28" a="1"/>
  <c r="AA74" i="28" s="1"/>
  <c r="K74" i="28"/>
  <c r="AD74" i="28" a="1"/>
  <c r="AD74" i="28" s="1"/>
  <c r="E74" i="28" a="1"/>
  <c r="E74" i="28" s="1"/>
  <c r="AE74" i="28" a="1"/>
  <c r="AE74" i="28" s="1"/>
  <c r="T74" i="28" a="1"/>
  <c r="T74" i="28" s="1"/>
  <c r="H74" i="28" a="1"/>
  <c r="H74" i="28" s="1"/>
  <c r="D74" i="28" a="1"/>
  <c r="D74" i="28" s="1"/>
  <c r="O74" i="28" a="1"/>
  <c r="O74" i="28" s="1"/>
  <c r="R74" i="28" a="1"/>
  <c r="R74" i="28" s="1"/>
  <c r="J74" i="28"/>
  <c r="N74" i="28" a="1"/>
  <c r="N74" i="28" s="1"/>
  <c r="S74" i="28" a="1"/>
  <c r="S74" i="28" s="1"/>
  <c r="AB74" i="28" a="1"/>
  <c r="AB74" i="28" s="1"/>
  <c r="AC74" i="28" s="1"/>
  <c r="G74" i="28" a="1"/>
  <c r="G74" i="28" s="1"/>
  <c r="H19" i="28" a="1"/>
  <c r="H19" i="28" s="1"/>
  <c r="M19" i="28" a="1"/>
  <c r="M19" i="28" s="1"/>
  <c r="R19" i="28" a="1"/>
  <c r="R19" i="28" s="1"/>
  <c r="AF19" i="28" a="1"/>
  <c r="AF19" i="28" s="1"/>
  <c r="K19" i="28"/>
  <c r="L19" i="28"/>
  <c r="S19" i="28" a="1"/>
  <c r="S19" i="28" s="1"/>
  <c r="E19" i="28" a="1"/>
  <c r="E19" i="28" s="1"/>
  <c r="X19" i="28" a="1"/>
  <c r="X19" i="28" s="1"/>
  <c r="N19" i="28" a="1"/>
  <c r="N19" i="28" s="1"/>
  <c r="AE19" i="28" a="1"/>
  <c r="AE19" i="28" s="1"/>
  <c r="O19" i="28" a="1"/>
  <c r="O19" i="28" s="1"/>
  <c r="P19" i="28" a="1"/>
  <c r="P19" i="28" s="1"/>
  <c r="D19" i="28" a="1"/>
  <c r="D19" i="28" s="1"/>
  <c r="AD19" i="28" a="1"/>
  <c r="AD19" i="28" s="1"/>
  <c r="AB19" i="28" a="1"/>
  <c r="AB19" i="28" s="1"/>
  <c r="AC19" i="28" s="1"/>
  <c r="AA19" i="28" a="1"/>
  <c r="AA19" i="28" s="1"/>
  <c r="Q19" i="28" a="1"/>
  <c r="Q19" i="28" s="1"/>
  <c r="J19" i="28"/>
  <c r="T19" i="28" a="1"/>
  <c r="T19" i="28" s="1"/>
  <c r="G19" i="28" a="1"/>
  <c r="G19" i="28" s="1"/>
  <c r="M148" i="24"/>
  <c r="N148" i="24"/>
  <c r="J148" i="24"/>
  <c r="G148" i="24"/>
  <c r="H148" i="24" s="1"/>
  <c r="M84" i="28" a="1"/>
  <c r="M84" i="28" s="1"/>
  <c r="S84" i="28" a="1"/>
  <c r="S84" i="28" s="1"/>
  <c r="X84" i="28" a="1"/>
  <c r="X84" i="28" s="1"/>
  <c r="R84" i="28" a="1"/>
  <c r="R84" i="28" s="1"/>
  <c r="T84" i="28" a="1"/>
  <c r="T84" i="28" s="1"/>
  <c r="P84" i="28" a="1"/>
  <c r="P84" i="28" s="1"/>
  <c r="L84" i="28"/>
  <c r="AA84" i="28" a="1"/>
  <c r="AA84" i="28" s="1"/>
  <c r="N84" i="28" a="1"/>
  <c r="N84" i="28" s="1"/>
  <c r="H84" i="28" a="1"/>
  <c r="H84" i="28" s="1"/>
  <c r="AE84" i="28" a="1"/>
  <c r="AE84" i="28" s="1"/>
  <c r="E84" i="28" a="1"/>
  <c r="E84" i="28" s="1"/>
  <c r="K84" i="28"/>
  <c r="D84" i="28" a="1"/>
  <c r="D84" i="28" s="1"/>
  <c r="AD84" i="28" a="1"/>
  <c r="AD84" i="28" s="1"/>
  <c r="AB84" i="28" a="1"/>
  <c r="AB84" i="28" s="1"/>
  <c r="AC84" i="28" s="1"/>
  <c r="O84" i="28" a="1"/>
  <c r="O84" i="28" s="1"/>
  <c r="AF84" i="28" a="1"/>
  <c r="AF84" i="28" s="1"/>
  <c r="J84" i="28"/>
  <c r="Q84" i="28" a="1"/>
  <c r="Q84" i="28" s="1"/>
  <c r="G84" i="28" a="1"/>
  <c r="G84" i="28" s="1"/>
  <c r="J8" i="24"/>
  <c r="L8" i="24" s="1"/>
  <c r="M8" i="24"/>
  <c r="N8" i="24"/>
  <c r="G8" i="24"/>
  <c r="I8" i="24" s="1"/>
  <c r="Q133" i="28" a="1"/>
  <c r="Q133" i="28" s="1"/>
  <c r="AB133" i="28" a="1"/>
  <c r="AB133" i="28" s="1"/>
  <c r="AC133" i="28" s="1"/>
  <c r="N133" i="28" a="1"/>
  <c r="N133" i="28" s="1"/>
  <c r="K133" i="28"/>
  <c r="X133" i="28" a="1"/>
  <c r="X133" i="28" s="1"/>
  <c r="L133" i="28"/>
  <c r="D133" i="28" a="1"/>
  <c r="D133" i="28" s="1"/>
  <c r="AD133" i="28" a="1"/>
  <c r="AD133" i="28" s="1"/>
  <c r="M133" i="28" a="1"/>
  <c r="M133" i="28" s="1"/>
  <c r="P133" i="28" a="1"/>
  <c r="P133" i="28" s="1"/>
  <c r="H133" i="28" a="1"/>
  <c r="H133" i="28" s="1"/>
  <c r="O133" i="28" a="1"/>
  <c r="O133" i="28" s="1"/>
  <c r="AA133" i="28" a="1"/>
  <c r="AA133" i="28" s="1"/>
  <c r="AE133" i="28" a="1"/>
  <c r="AE133" i="28" s="1"/>
  <c r="T133" i="28" a="1"/>
  <c r="T133" i="28" s="1"/>
  <c r="U133" i="28" s="1"/>
  <c r="V133" i="28" s="1" a="1"/>
  <c r="V133" i="28" s="1"/>
  <c r="W133" i="28" s="1"/>
  <c r="R133" i="28" a="1"/>
  <c r="R133" i="28" s="1"/>
  <c r="J133" i="28"/>
  <c r="E133" i="28" a="1"/>
  <c r="E133" i="28" s="1"/>
  <c r="AF133" i="28" a="1"/>
  <c r="AF133" i="28" s="1"/>
  <c r="S133" i="28" a="1"/>
  <c r="S133" i="28" s="1"/>
  <c r="G133" i="28" a="1"/>
  <c r="G133" i="28" s="1"/>
  <c r="J38" i="24"/>
  <c r="L38" i="24" s="1"/>
  <c r="N38" i="24"/>
  <c r="M38" i="24"/>
  <c r="G38" i="24"/>
  <c r="H38" i="24" s="1"/>
  <c r="M158" i="28" a="1"/>
  <c r="M158" i="28" s="1"/>
  <c r="AD158" i="28" a="1"/>
  <c r="AD158" i="28" s="1"/>
  <c r="O158" i="28" a="1"/>
  <c r="O158" i="28" s="1"/>
  <c r="AA158" i="28" a="1"/>
  <c r="AA158" i="28" s="1"/>
  <c r="N158" i="28" a="1"/>
  <c r="N158" i="28" s="1"/>
  <c r="AF158" i="28" a="1"/>
  <c r="AF158" i="28" s="1"/>
  <c r="L158" i="28"/>
  <c r="H158" i="28" a="1"/>
  <c r="H158" i="28" s="1"/>
  <c r="AB158" i="28" a="1"/>
  <c r="AB158" i="28" s="1"/>
  <c r="AC158" i="28" s="1"/>
  <c r="E158" i="28" a="1"/>
  <c r="E158" i="28" s="1"/>
  <c r="Q158" i="28" a="1"/>
  <c r="Q158" i="28" s="1"/>
  <c r="J158" i="28"/>
  <c r="S158" i="28" a="1"/>
  <c r="S158" i="28" s="1"/>
  <c r="T158" i="28" a="1"/>
  <c r="T158" i="28" s="1"/>
  <c r="X158" i="28" a="1"/>
  <c r="X158" i="28" s="1"/>
  <c r="P158" i="28" a="1"/>
  <c r="P158" i="28" s="1"/>
  <c r="AE158" i="28" a="1"/>
  <c r="AE158" i="28" s="1"/>
  <c r="K158" i="28"/>
  <c r="R158" i="28" a="1"/>
  <c r="R158" i="28" s="1"/>
  <c r="D158" i="28" a="1"/>
  <c r="D158" i="28" s="1"/>
  <c r="G158" i="28" a="1"/>
  <c r="G158" i="28" s="1"/>
  <c r="N114" i="24"/>
  <c r="M114" i="24"/>
  <c r="J114" i="24"/>
  <c r="G114" i="24"/>
  <c r="I114" i="24" s="1"/>
  <c r="O73" i="28" a="1"/>
  <c r="O73" i="28" s="1"/>
  <c r="L73" i="28"/>
  <c r="AB73" i="28" a="1"/>
  <c r="AB73" i="28" s="1"/>
  <c r="M73" i="28" a="1"/>
  <c r="M73" i="28" s="1"/>
  <c r="Q73" i="28" a="1"/>
  <c r="Q73" i="28" s="1"/>
  <c r="P73" i="28" a="1"/>
  <c r="P73" i="28" s="1"/>
  <c r="AA73" i="28" a="1"/>
  <c r="AA73" i="28" s="1"/>
  <c r="T73" i="28" a="1"/>
  <c r="T73" i="28" s="1"/>
  <c r="K73" i="28"/>
  <c r="S73" i="28" a="1"/>
  <c r="S73" i="28" s="1"/>
  <c r="N73" i="28" a="1"/>
  <c r="N73" i="28" s="1"/>
  <c r="X73" i="28" a="1"/>
  <c r="X73" i="28" s="1"/>
  <c r="AD73" i="28" a="1"/>
  <c r="AD73" i="28" s="1"/>
  <c r="J73" i="28"/>
  <c r="AF73" i="28" a="1"/>
  <c r="AF73" i="28" s="1"/>
  <c r="R73" i="28" a="1"/>
  <c r="R73" i="28" s="1"/>
  <c r="AE73" i="28" a="1"/>
  <c r="AE73" i="28" s="1"/>
  <c r="D73" i="28" a="1"/>
  <c r="D73" i="28" s="1"/>
  <c r="E73" i="28" a="1"/>
  <c r="E73" i="28" s="1"/>
  <c r="H73" i="28" a="1"/>
  <c r="H73" i="28" s="1"/>
  <c r="G73" i="28" a="1"/>
  <c r="G73" i="28" s="1"/>
  <c r="L168" i="28"/>
  <c r="X168" i="28" a="1"/>
  <c r="X168" i="28" s="1"/>
  <c r="AA168" i="28" a="1"/>
  <c r="AA168" i="28" s="1"/>
  <c r="N168" i="28" a="1"/>
  <c r="N168" i="28" s="1"/>
  <c r="AF168" i="28" a="1"/>
  <c r="AF168" i="28" s="1"/>
  <c r="O168" i="28" a="1"/>
  <c r="O168" i="28" s="1"/>
  <c r="S168" i="28" a="1"/>
  <c r="S168" i="28" s="1"/>
  <c r="D168" i="28" a="1"/>
  <c r="D168" i="28" s="1"/>
  <c r="AE168" i="28" a="1"/>
  <c r="AE168" i="28" s="1"/>
  <c r="M168" i="28" a="1"/>
  <c r="M168" i="28" s="1"/>
  <c r="K168" i="28"/>
  <c r="Q168" i="28" a="1"/>
  <c r="Q168" i="28" s="1"/>
  <c r="J168" i="28"/>
  <c r="E168" i="28" a="1"/>
  <c r="E168" i="28" s="1"/>
  <c r="P168" i="28" a="1"/>
  <c r="P168" i="28" s="1"/>
  <c r="AD168" i="28" a="1"/>
  <c r="AD168" i="28" s="1"/>
  <c r="AB168" i="28" a="1"/>
  <c r="AB168" i="28" s="1"/>
  <c r="AC168" i="28" s="1"/>
  <c r="R168" i="28" a="1"/>
  <c r="R168" i="28" s="1"/>
  <c r="H168" i="28" a="1"/>
  <c r="H168" i="28" s="1"/>
  <c r="T168" i="28" a="1"/>
  <c r="T168" i="28" s="1"/>
  <c r="G168" i="28" a="1"/>
  <c r="G168" i="28" s="1"/>
  <c r="N98" i="24"/>
  <c r="J98" i="24"/>
  <c r="L98" i="24" s="1"/>
  <c r="M98" i="24"/>
  <c r="G98" i="24"/>
  <c r="H98" i="24" s="1"/>
  <c r="H42" i="28" a="1"/>
  <c r="H42" i="28" s="1"/>
  <c r="AA42" i="28" a="1"/>
  <c r="AA42" i="28" s="1"/>
  <c r="M42" i="28" a="1"/>
  <c r="M42" i="28" s="1"/>
  <c r="R42" i="28" a="1"/>
  <c r="R42" i="28" s="1"/>
  <c r="S42" i="28" a="1"/>
  <c r="S42" i="28" s="1"/>
  <c r="O42" i="28" a="1"/>
  <c r="O42" i="28" s="1"/>
  <c r="J42" i="28"/>
  <c r="AF42" i="28" a="1"/>
  <c r="AF42" i="28" s="1"/>
  <c r="Q42" i="28" a="1"/>
  <c r="Q42" i="28" s="1"/>
  <c r="X42" i="28" a="1"/>
  <c r="X42" i="28" s="1"/>
  <c r="AD42" i="28" a="1"/>
  <c r="AD42" i="28" s="1"/>
  <c r="D42" i="28" a="1"/>
  <c r="D42" i="28" s="1"/>
  <c r="E42" i="28" a="1"/>
  <c r="E42" i="28" s="1"/>
  <c r="AE42" i="28" a="1"/>
  <c r="AE42" i="28" s="1"/>
  <c r="L42" i="28"/>
  <c r="T42" i="28" a="1"/>
  <c r="T42" i="28" s="1"/>
  <c r="N42" i="28" a="1"/>
  <c r="N42" i="28" s="1"/>
  <c r="P42" i="28" a="1"/>
  <c r="P42" i="28" s="1"/>
  <c r="AB42" i="28" a="1"/>
  <c r="AB42" i="28" s="1"/>
  <c r="AC42" i="28" s="1"/>
  <c r="K42" i="28"/>
  <c r="G42" i="28" a="1"/>
  <c r="G42" i="28" s="1"/>
  <c r="M5" i="24"/>
  <c r="N5" i="24"/>
  <c r="J5" i="24"/>
  <c r="G5" i="24"/>
  <c r="I5" i="24" s="1"/>
  <c r="M162" i="24"/>
  <c r="N162" i="24"/>
  <c r="J162" i="24"/>
  <c r="G162" i="24"/>
  <c r="H162" i="24" s="1"/>
  <c r="Q114" i="28" a="1"/>
  <c r="Q114" i="28" s="1"/>
  <c r="N114" i="28" a="1"/>
  <c r="N114" i="28" s="1"/>
  <c r="T114" i="28" a="1"/>
  <c r="T114" i="28" s="1"/>
  <c r="AE114" i="28" a="1"/>
  <c r="AE114" i="28" s="1"/>
  <c r="R114" i="28" a="1"/>
  <c r="R114" i="28" s="1"/>
  <c r="O114" i="28" a="1"/>
  <c r="O114" i="28" s="1"/>
  <c r="S114" i="28" a="1"/>
  <c r="S114" i="28" s="1"/>
  <c r="X114" i="28" a="1"/>
  <c r="X114" i="28" s="1"/>
  <c r="M114" i="28" a="1"/>
  <c r="M114" i="28" s="1"/>
  <c r="AA114" i="28" a="1"/>
  <c r="AA114" i="28" s="1"/>
  <c r="E114" i="28" a="1"/>
  <c r="E114" i="28" s="1"/>
  <c r="L114" i="28"/>
  <c r="D114" i="28" a="1"/>
  <c r="D114" i="28" s="1"/>
  <c r="H114" i="28" a="1"/>
  <c r="H114" i="28" s="1"/>
  <c r="P114" i="28" a="1"/>
  <c r="P114" i="28" s="1"/>
  <c r="AD114" i="28" a="1"/>
  <c r="AD114" i="28" s="1"/>
  <c r="J114" i="28"/>
  <c r="K114" i="28"/>
  <c r="AB114" i="28" a="1"/>
  <c r="AB114" i="28" s="1"/>
  <c r="AC114" i="28" s="1"/>
  <c r="AF114" i="28" a="1"/>
  <c r="AF114" i="28" s="1"/>
  <c r="G114" i="28" a="1"/>
  <c r="G114" i="28" s="1"/>
  <c r="M134" i="24"/>
  <c r="N134" i="24"/>
  <c r="J134" i="24"/>
  <c r="G134" i="24"/>
  <c r="I134" i="24" s="1"/>
  <c r="N33" i="24"/>
  <c r="J33" i="24"/>
  <c r="M33" i="24"/>
  <c r="G33" i="24"/>
  <c r="I33" i="24" s="1"/>
  <c r="P159" i="28" a="1"/>
  <c r="P159" i="28" s="1"/>
  <c r="R159" i="28" a="1"/>
  <c r="R159" i="28" s="1"/>
  <c r="AA159" i="28" a="1"/>
  <c r="AA159" i="28" s="1"/>
  <c r="L159" i="28"/>
  <c r="J159" i="28"/>
  <c r="AE159" i="28" a="1"/>
  <c r="AE159" i="28" s="1"/>
  <c r="Q159" i="28" a="1"/>
  <c r="Q159" i="28" s="1"/>
  <c r="H159" i="28" a="1"/>
  <c r="H159" i="28" s="1"/>
  <c r="AF159" i="28" a="1"/>
  <c r="AF159" i="28" s="1"/>
  <c r="D159" i="28" a="1"/>
  <c r="D159" i="28" s="1"/>
  <c r="O159" i="28" a="1"/>
  <c r="O159" i="28" s="1"/>
  <c r="N159" i="28" a="1"/>
  <c r="N159" i="28" s="1"/>
  <c r="S159" i="28" a="1"/>
  <c r="S159" i="28" s="1"/>
  <c r="T159" i="28" a="1"/>
  <c r="T159" i="28" s="1"/>
  <c r="K159" i="28"/>
  <c r="AD159" i="28" a="1"/>
  <c r="AD159" i="28" s="1"/>
  <c r="M159" i="28" a="1"/>
  <c r="M159" i="28" s="1"/>
  <c r="E159" i="28" a="1"/>
  <c r="E159" i="28" s="1"/>
  <c r="AB159" i="28" a="1"/>
  <c r="AB159" i="28" s="1"/>
  <c r="AC159" i="28" s="1"/>
  <c r="X159" i="28" a="1"/>
  <c r="X159" i="28" s="1"/>
  <c r="G159" i="28" a="1"/>
  <c r="G159" i="28" s="1"/>
  <c r="N79" i="28" a="1"/>
  <c r="N79" i="28" s="1"/>
  <c r="E79" i="28" a="1"/>
  <c r="E79" i="28" s="1"/>
  <c r="K79" i="28"/>
  <c r="O79" i="28" a="1"/>
  <c r="O79" i="28" s="1"/>
  <c r="AA79" i="28" a="1"/>
  <c r="AA79" i="28" s="1"/>
  <c r="H79" i="28" a="1"/>
  <c r="H79" i="28" s="1"/>
  <c r="S79" i="28" a="1"/>
  <c r="S79" i="28" s="1"/>
  <c r="R79" i="28" a="1"/>
  <c r="R79" i="28" s="1"/>
  <c r="J79" i="28"/>
  <c r="AB79" i="28" a="1"/>
  <c r="AB79" i="28" s="1"/>
  <c r="AC79" i="28" s="1"/>
  <c r="L79" i="28"/>
  <c r="M79" i="28" a="1"/>
  <c r="M79" i="28" s="1"/>
  <c r="AD79" i="28" a="1"/>
  <c r="AD79" i="28" s="1"/>
  <c r="T79" i="28" a="1"/>
  <c r="T79" i="28" s="1"/>
  <c r="P79" i="28" a="1"/>
  <c r="P79" i="28" s="1"/>
  <c r="X79" i="28" a="1"/>
  <c r="X79" i="28" s="1"/>
  <c r="D79" i="28" a="1"/>
  <c r="D79" i="28" s="1"/>
  <c r="AE79" i="28" a="1"/>
  <c r="AE79" i="28" s="1"/>
  <c r="AF79" i="28" a="1"/>
  <c r="AF79" i="28" s="1"/>
  <c r="Q79" i="28" a="1"/>
  <c r="Q79" i="28" s="1"/>
  <c r="G79" i="28" a="1"/>
  <c r="G79" i="28" s="1"/>
  <c r="L28" i="28"/>
  <c r="AE28" i="28" a="1"/>
  <c r="AE28" i="28" s="1"/>
  <c r="D28" i="28" a="1"/>
  <c r="D28" i="28" s="1"/>
  <c r="H28" i="28" a="1"/>
  <c r="H28" i="28" s="1"/>
  <c r="AF28" i="28" a="1"/>
  <c r="AF28" i="28" s="1"/>
  <c r="N28" i="28" a="1"/>
  <c r="N28" i="28" s="1"/>
  <c r="S28" i="28" a="1"/>
  <c r="S28" i="28" s="1"/>
  <c r="E28" i="28" a="1"/>
  <c r="E28" i="28" s="1"/>
  <c r="Q28" i="28" a="1"/>
  <c r="Q28" i="28" s="1"/>
  <c r="M28" i="28" a="1"/>
  <c r="M28" i="28" s="1"/>
  <c r="J28" i="28"/>
  <c r="T28" i="28" a="1"/>
  <c r="T28" i="28" s="1"/>
  <c r="X28" i="28" a="1"/>
  <c r="X28" i="28" s="1"/>
  <c r="K28" i="28"/>
  <c r="R28" i="28" a="1"/>
  <c r="R28" i="28" s="1"/>
  <c r="P28" i="28" a="1"/>
  <c r="P28" i="28" s="1"/>
  <c r="O28" i="28" a="1"/>
  <c r="O28" i="28" s="1"/>
  <c r="AD28" i="28" a="1"/>
  <c r="AD28" i="28" s="1"/>
  <c r="AB28" i="28" a="1"/>
  <c r="AB28" i="28" s="1"/>
  <c r="AC28" i="28" s="1"/>
  <c r="AA28" i="28" a="1"/>
  <c r="AA28" i="28" s="1"/>
  <c r="G28" i="28" a="1"/>
  <c r="G28" i="28" s="1"/>
  <c r="J106" i="24"/>
  <c r="L106" i="24" s="1"/>
  <c r="N106" i="24"/>
  <c r="M106" i="24"/>
  <c r="G106" i="24"/>
  <c r="H106" i="24" s="1"/>
  <c r="J49" i="24"/>
  <c r="M49" i="24"/>
  <c r="N49" i="24"/>
  <c r="G49" i="24"/>
  <c r="H49" i="24" s="1"/>
  <c r="J105" i="28"/>
  <c r="E105" i="28" a="1"/>
  <c r="E105" i="28" s="1"/>
  <c r="S105" i="28" a="1"/>
  <c r="S105" i="28" s="1"/>
  <c r="N105" i="28" a="1"/>
  <c r="N105" i="28" s="1"/>
  <c r="K105" i="28"/>
  <c r="X105" i="28" a="1"/>
  <c r="X105" i="28" s="1"/>
  <c r="Q105" i="28" a="1"/>
  <c r="Q105" i="28" s="1"/>
  <c r="M105" i="28" a="1"/>
  <c r="M105" i="28" s="1"/>
  <c r="R105" i="28" a="1"/>
  <c r="R105" i="28" s="1"/>
  <c r="L105" i="28"/>
  <c r="AD105" i="28" a="1"/>
  <c r="AD105" i="28" s="1"/>
  <c r="P105" i="28" a="1"/>
  <c r="P105" i="28" s="1"/>
  <c r="D105" i="28" a="1"/>
  <c r="D105" i="28" s="1"/>
  <c r="AB105" i="28" a="1"/>
  <c r="AB105" i="28" s="1"/>
  <c r="AC105" i="28" s="1"/>
  <c r="AA105" i="28" a="1"/>
  <c r="AA105" i="28" s="1"/>
  <c r="O105" i="28" a="1"/>
  <c r="O105" i="28" s="1"/>
  <c r="H105" i="28" a="1"/>
  <c r="H105" i="28" s="1"/>
  <c r="T105" i="28" a="1"/>
  <c r="T105" i="28" s="1"/>
  <c r="AE105" i="28" a="1"/>
  <c r="AE105" i="28" s="1"/>
  <c r="AF105" i="28" a="1"/>
  <c r="AF105" i="28" s="1"/>
  <c r="G105" i="28" a="1"/>
  <c r="G105" i="28" s="1"/>
  <c r="P109" i="28" a="1"/>
  <c r="P109" i="28" s="1"/>
  <c r="O109" i="28" a="1"/>
  <c r="O109" i="28" s="1"/>
  <c r="T109" i="28" a="1"/>
  <c r="T109" i="28" s="1"/>
  <c r="K109" i="28"/>
  <c r="E109" i="28" a="1"/>
  <c r="E109" i="28" s="1"/>
  <c r="AB109" i="28" a="1"/>
  <c r="AB109" i="28" s="1"/>
  <c r="AC109" i="28" s="1"/>
  <c r="AE109" i="28" a="1"/>
  <c r="AE109" i="28" s="1"/>
  <c r="J109" i="28"/>
  <c r="AF109" i="28" a="1"/>
  <c r="AF109" i="28" s="1"/>
  <c r="N109" i="28" a="1"/>
  <c r="N109" i="28" s="1"/>
  <c r="R109" i="28" a="1"/>
  <c r="R109" i="28" s="1"/>
  <c r="D109" i="28" a="1"/>
  <c r="D109" i="28" s="1"/>
  <c r="AA109" i="28" a="1"/>
  <c r="AA109" i="28" s="1"/>
  <c r="Q109" i="28" a="1"/>
  <c r="Q109" i="28" s="1"/>
  <c r="M109" i="28" a="1"/>
  <c r="M109" i="28" s="1"/>
  <c r="H109" i="28" a="1"/>
  <c r="H109" i="28" s="1"/>
  <c r="S109" i="28" a="1"/>
  <c r="S109" i="28" s="1"/>
  <c r="AD109" i="28" a="1"/>
  <c r="AD109" i="28" s="1"/>
  <c r="L109" i="28"/>
  <c r="X109" i="28" a="1"/>
  <c r="X109" i="28" s="1"/>
  <c r="G109" i="28" a="1"/>
  <c r="G109" i="28" s="1"/>
  <c r="J87" i="24"/>
  <c r="L87" i="24" s="1"/>
  <c r="N87" i="24"/>
  <c r="M87" i="24"/>
  <c r="G87" i="24"/>
  <c r="H87" i="24" s="1"/>
  <c r="M163" i="24"/>
  <c r="J163" i="24"/>
  <c r="N163" i="24"/>
  <c r="G163" i="24"/>
  <c r="H163" i="24" s="1"/>
  <c r="H58" i="28" a="1"/>
  <c r="H58" i="28" s="1"/>
  <c r="Q58" i="28" a="1"/>
  <c r="Q58" i="28" s="1"/>
  <c r="AE58" i="28" a="1"/>
  <c r="AE58" i="28" s="1"/>
  <c r="M58" i="28" a="1"/>
  <c r="M58" i="28" s="1"/>
  <c r="AD58" i="28" a="1"/>
  <c r="AD58" i="28" s="1"/>
  <c r="K58" i="28"/>
  <c r="L58" i="28"/>
  <c r="AA58" i="28" a="1"/>
  <c r="AA58" i="28" s="1"/>
  <c r="J58" i="28"/>
  <c r="D58" i="28" a="1"/>
  <c r="D58" i="28" s="1"/>
  <c r="AB58" i="28" a="1"/>
  <c r="AB58" i="28" s="1"/>
  <c r="AC58" i="28" s="1"/>
  <c r="T58" i="28" a="1"/>
  <c r="T58" i="28" s="1"/>
  <c r="S58" i="28" a="1"/>
  <c r="S58" i="28" s="1"/>
  <c r="N58" i="28" a="1"/>
  <c r="N58" i="28" s="1"/>
  <c r="AF58" i="28" a="1"/>
  <c r="AF58" i="28" s="1"/>
  <c r="P58" i="28" a="1"/>
  <c r="P58" i="28" s="1"/>
  <c r="E58" i="28" a="1"/>
  <c r="E58" i="28" s="1"/>
  <c r="X58" i="28" a="1"/>
  <c r="X58" i="28" s="1"/>
  <c r="R58" i="28" a="1"/>
  <c r="R58" i="28" s="1"/>
  <c r="O58" i="28" a="1"/>
  <c r="O58" i="28" s="1"/>
  <c r="G58" i="28" a="1"/>
  <c r="G58" i="28" s="1"/>
  <c r="N68" i="24"/>
  <c r="M68" i="24"/>
  <c r="J68" i="24"/>
  <c r="G68" i="24"/>
  <c r="I68" i="24" s="1"/>
  <c r="O163" i="28" a="1"/>
  <c r="O163" i="28" s="1"/>
  <c r="H163" i="28" a="1"/>
  <c r="H163" i="28" s="1"/>
  <c r="AA163" i="28" a="1"/>
  <c r="AA163" i="28" s="1"/>
  <c r="L163" i="28"/>
  <c r="S163" i="28" a="1"/>
  <c r="S163" i="28" s="1"/>
  <c r="D163" i="28" a="1"/>
  <c r="D163" i="28" s="1"/>
  <c r="AD163" i="28" a="1"/>
  <c r="AD163" i="28" s="1"/>
  <c r="R163" i="28" a="1"/>
  <c r="R163" i="28" s="1"/>
  <c r="Q163" i="28" a="1"/>
  <c r="Q163" i="28" s="1"/>
  <c r="E163" i="28" a="1"/>
  <c r="E163" i="28" s="1"/>
  <c r="X163" i="28" a="1"/>
  <c r="X163" i="28" s="1"/>
  <c r="AB163" i="28" a="1"/>
  <c r="AB163" i="28" s="1"/>
  <c r="AC163" i="28" s="1"/>
  <c r="T163" i="28" a="1"/>
  <c r="T163" i="28" s="1"/>
  <c r="J163" i="28"/>
  <c r="P163" i="28" a="1"/>
  <c r="P163" i="28" s="1"/>
  <c r="AE163" i="28" a="1"/>
  <c r="AE163" i="28" s="1"/>
  <c r="K163" i="28"/>
  <c r="N163" i="28" a="1"/>
  <c r="N163" i="28" s="1"/>
  <c r="M163" i="28" a="1"/>
  <c r="M163" i="28" s="1"/>
  <c r="AF163" i="28" a="1"/>
  <c r="AF163" i="28" s="1"/>
  <c r="G163" i="28" a="1"/>
  <c r="G163" i="28" s="1"/>
  <c r="J133" i="24"/>
  <c r="N133" i="24"/>
  <c r="M133" i="24"/>
  <c r="G133" i="24"/>
  <c r="H133" i="24" s="1"/>
  <c r="N19" i="24"/>
  <c r="J19" i="24"/>
  <c r="L19" i="24" s="1"/>
  <c r="M19" i="24"/>
  <c r="G19" i="24"/>
  <c r="H19" i="24" s="1"/>
  <c r="D36" i="28" a="1"/>
  <c r="D36" i="28" s="1"/>
  <c r="N36" i="28" a="1"/>
  <c r="N36" i="28" s="1"/>
  <c r="L36" i="28"/>
  <c r="AF36" i="28" a="1"/>
  <c r="AF36" i="28" s="1"/>
  <c r="X36" i="28" a="1"/>
  <c r="X36" i="28" s="1"/>
  <c r="H36" i="28" a="1"/>
  <c r="H36" i="28" s="1"/>
  <c r="AB36" i="28" a="1"/>
  <c r="AB36" i="28" s="1"/>
  <c r="AC36" i="28" s="1"/>
  <c r="O36" i="28" a="1"/>
  <c r="O36" i="28" s="1"/>
  <c r="K36" i="28"/>
  <c r="AD36" i="28" a="1"/>
  <c r="AD36" i="28" s="1"/>
  <c r="R36" i="28" a="1"/>
  <c r="R36" i="28" s="1"/>
  <c r="Q36" i="28" a="1"/>
  <c r="Q36" i="28" s="1"/>
  <c r="M36" i="28" a="1"/>
  <c r="M36" i="28" s="1"/>
  <c r="J36" i="28"/>
  <c r="AE36" i="28" a="1"/>
  <c r="AE36" i="28" s="1"/>
  <c r="E36" i="28" a="1"/>
  <c r="E36" i="28" s="1"/>
  <c r="P36" i="28" a="1"/>
  <c r="P36" i="28" s="1"/>
  <c r="S36" i="28" a="1"/>
  <c r="S36" i="28" s="1"/>
  <c r="T36" i="28" a="1"/>
  <c r="T36" i="28" s="1"/>
  <c r="AA36" i="28" a="1"/>
  <c r="AA36" i="28" s="1"/>
  <c r="G36" i="28" a="1"/>
  <c r="G36" i="28" s="1"/>
  <c r="Q43" i="28" a="1"/>
  <c r="Q43" i="28" s="1"/>
  <c r="X43" i="28" a="1"/>
  <c r="X43" i="28" s="1"/>
  <c r="AE43" i="28" a="1"/>
  <c r="AE43" i="28" s="1"/>
  <c r="S43" i="28" a="1"/>
  <c r="S43" i="28" s="1"/>
  <c r="D43" i="28" a="1"/>
  <c r="D43" i="28" s="1"/>
  <c r="M43" i="28" a="1"/>
  <c r="M43" i="28" s="1"/>
  <c r="E43" i="28" a="1"/>
  <c r="E43" i="28" s="1"/>
  <c r="P43" i="28" a="1"/>
  <c r="P43" i="28" s="1"/>
  <c r="AF43" i="28" a="1"/>
  <c r="AF43" i="28" s="1"/>
  <c r="AA43" i="28" a="1"/>
  <c r="AA43" i="28" s="1"/>
  <c r="L43" i="28"/>
  <c r="N43" i="28" a="1"/>
  <c r="N43" i="28" s="1"/>
  <c r="K43" i="28"/>
  <c r="O43" i="28" a="1"/>
  <c r="O43" i="28" s="1"/>
  <c r="T43" i="28" a="1"/>
  <c r="T43" i="28" s="1"/>
  <c r="H43" i="28" a="1"/>
  <c r="H43" i="28" s="1"/>
  <c r="J43" i="28"/>
  <c r="R43" i="28" a="1"/>
  <c r="R43" i="28" s="1"/>
  <c r="AD43" i="28" a="1"/>
  <c r="AD43" i="28" s="1"/>
  <c r="AB43" i="28" a="1"/>
  <c r="AB43" i="28" s="1"/>
  <c r="AC43" i="28" s="1"/>
  <c r="G43" i="28" a="1"/>
  <c r="G43" i="28" s="1"/>
  <c r="J100" i="24"/>
  <c r="N100" i="24"/>
  <c r="M100" i="24"/>
  <c r="G100" i="24"/>
  <c r="H100" i="24" s="1"/>
  <c r="N150" i="24"/>
  <c r="M150" i="24"/>
  <c r="J150" i="24"/>
  <c r="G150" i="24"/>
  <c r="I150" i="24" s="1"/>
  <c r="L120" i="28"/>
  <c r="Q120" i="28" a="1"/>
  <c r="Q120" i="28" s="1"/>
  <c r="S120" i="28" a="1"/>
  <c r="S120" i="28" s="1"/>
  <c r="E120" i="28" a="1"/>
  <c r="E120" i="28" s="1"/>
  <c r="AF120" i="28" a="1"/>
  <c r="AF120" i="28" s="1"/>
  <c r="H120" i="28" a="1"/>
  <c r="H120" i="28" s="1"/>
  <c r="AE120" i="28" a="1"/>
  <c r="AE120" i="28" s="1"/>
  <c r="R120" i="28" a="1"/>
  <c r="R120" i="28" s="1"/>
  <c r="M120" i="28" a="1"/>
  <c r="M120" i="28" s="1"/>
  <c r="T120" i="28" a="1"/>
  <c r="T120" i="28" s="1"/>
  <c r="P120" i="28" a="1"/>
  <c r="P120" i="28" s="1"/>
  <c r="AA120" i="28" a="1"/>
  <c r="AA120" i="28" s="1"/>
  <c r="K120" i="28"/>
  <c r="D120" i="28" a="1"/>
  <c r="D120" i="28" s="1"/>
  <c r="F120" i="28" s="1"/>
  <c r="O120" i="28" a="1"/>
  <c r="O120" i="28" s="1"/>
  <c r="J120" i="28"/>
  <c r="AD120" i="28" a="1"/>
  <c r="AD120" i="28" s="1"/>
  <c r="X120" i="28" a="1"/>
  <c r="X120" i="28" s="1"/>
  <c r="AB120" i="28" a="1"/>
  <c r="AB120" i="28" s="1"/>
  <c r="AC120" i="28" s="1"/>
  <c r="N120" i="28" a="1"/>
  <c r="N120" i="28" s="1"/>
  <c r="G120" i="28" a="1"/>
  <c r="G120" i="28" s="1"/>
  <c r="X107" i="28" a="1"/>
  <c r="X107" i="28" s="1"/>
  <c r="J107" i="28"/>
  <c r="N107" i="28" a="1"/>
  <c r="N107" i="28" s="1"/>
  <c r="L107" i="28"/>
  <c r="AD107" i="28" a="1"/>
  <c r="AD107" i="28" s="1"/>
  <c r="O107" i="28" a="1"/>
  <c r="O107" i="28" s="1"/>
  <c r="E107" i="28" a="1"/>
  <c r="E107" i="28" s="1"/>
  <c r="M107" i="28" a="1"/>
  <c r="M107" i="28" s="1"/>
  <c r="T107" i="28" a="1"/>
  <c r="T107" i="28" s="1"/>
  <c r="Q107" i="28" a="1"/>
  <c r="Q107" i="28" s="1"/>
  <c r="AF107" i="28" a="1"/>
  <c r="AF107" i="28" s="1"/>
  <c r="D107" i="28" a="1"/>
  <c r="D107" i="28" s="1"/>
  <c r="AA107" i="28" a="1"/>
  <c r="AA107" i="28" s="1"/>
  <c r="S107" i="28" a="1"/>
  <c r="S107" i="28" s="1"/>
  <c r="AE107" i="28" a="1"/>
  <c r="AE107" i="28" s="1"/>
  <c r="H107" i="28" a="1"/>
  <c r="H107" i="28" s="1"/>
  <c r="R107" i="28" a="1"/>
  <c r="R107" i="28" s="1"/>
  <c r="P107" i="28" a="1"/>
  <c r="P107" i="28" s="1"/>
  <c r="K107" i="28"/>
  <c r="AB107" i="28" a="1"/>
  <c r="AB107" i="28" s="1"/>
  <c r="AC107" i="28" s="1"/>
  <c r="G107" i="28" a="1"/>
  <c r="G107" i="28" s="1"/>
  <c r="N74" i="24"/>
  <c r="J74" i="24"/>
  <c r="M74" i="24"/>
  <c r="G74" i="24"/>
  <c r="I74" i="24" s="1"/>
  <c r="K136" i="28"/>
  <c r="AF136" i="28" a="1"/>
  <c r="AF136" i="28" s="1"/>
  <c r="J136" i="28"/>
  <c r="P136" i="28" a="1"/>
  <c r="P136" i="28" s="1"/>
  <c r="L136" i="28"/>
  <c r="D136" i="28" a="1"/>
  <c r="D136" i="28" s="1"/>
  <c r="S136" i="28" a="1"/>
  <c r="S136" i="28" s="1"/>
  <c r="H136" i="28" a="1"/>
  <c r="H136" i="28" s="1"/>
  <c r="Q136" i="28" a="1"/>
  <c r="Q136" i="28" s="1"/>
  <c r="AA136" i="28" a="1"/>
  <c r="AA136" i="28" s="1"/>
  <c r="X136" i="28" a="1"/>
  <c r="X136" i="28" s="1"/>
  <c r="R136" i="28" a="1"/>
  <c r="R136" i="28" s="1"/>
  <c r="M136" i="28" a="1"/>
  <c r="M136" i="28" s="1"/>
  <c r="O136" i="28" a="1"/>
  <c r="O136" i="28" s="1"/>
  <c r="T136" i="28" a="1"/>
  <c r="T136" i="28" s="1"/>
  <c r="N136" i="28" a="1"/>
  <c r="N136" i="28" s="1"/>
  <c r="E136" i="28" a="1"/>
  <c r="E136" i="28" s="1"/>
  <c r="AD136" i="28" a="1"/>
  <c r="AD136" i="28" s="1"/>
  <c r="AB136" i="28" a="1"/>
  <c r="AB136" i="28" s="1"/>
  <c r="AC136" i="28" s="1"/>
  <c r="AE136" i="28" a="1"/>
  <c r="AE136" i="28" s="1"/>
  <c r="G136" i="28" a="1"/>
  <c r="G136" i="28" s="1"/>
  <c r="N76" i="24"/>
  <c r="J76" i="24"/>
  <c r="L76" i="24" s="1"/>
  <c r="M76" i="24"/>
  <c r="G76" i="24"/>
  <c r="M158" i="24"/>
  <c r="N158" i="24"/>
  <c r="J158" i="24"/>
  <c r="L158" i="24" s="1"/>
  <c r="G158" i="24"/>
  <c r="H158" i="24" s="1"/>
  <c r="N141" i="24"/>
  <c r="J141" i="24"/>
  <c r="M141" i="24"/>
  <c r="G141" i="24"/>
  <c r="H141" i="24" s="1"/>
  <c r="N138" i="28" a="1"/>
  <c r="N138" i="28" s="1"/>
  <c r="D138" i="28" a="1"/>
  <c r="D138" i="28" s="1"/>
  <c r="F138" i="28" s="1"/>
  <c r="AA138" i="28" a="1"/>
  <c r="AA138" i="28" s="1"/>
  <c r="H138" i="28" a="1"/>
  <c r="H138" i="28" s="1"/>
  <c r="R138" i="28" a="1"/>
  <c r="R138" i="28" s="1"/>
  <c r="AF138" i="28" a="1"/>
  <c r="AF138" i="28" s="1"/>
  <c r="E138" i="28" a="1"/>
  <c r="E138" i="28" s="1"/>
  <c r="P138" i="28" a="1"/>
  <c r="P138" i="28" s="1"/>
  <c r="Q138" i="28" a="1"/>
  <c r="Q138" i="28" s="1"/>
  <c r="K138" i="28"/>
  <c r="AD138" i="28" a="1"/>
  <c r="AD138" i="28" s="1"/>
  <c r="L138" i="28"/>
  <c r="T138" i="28" a="1"/>
  <c r="T138" i="28" s="1"/>
  <c r="AB138" i="28" a="1"/>
  <c r="AB138" i="28" s="1"/>
  <c r="AC138" i="28" s="1"/>
  <c r="AE138" i="28" a="1"/>
  <c r="AE138" i="28" s="1"/>
  <c r="M138" i="28" a="1"/>
  <c r="M138" i="28" s="1"/>
  <c r="O138" i="28" a="1"/>
  <c r="O138" i="28" s="1"/>
  <c r="S138" i="28" a="1"/>
  <c r="S138" i="28" s="1"/>
  <c r="X138" i="28" a="1"/>
  <c r="X138" i="28" s="1"/>
  <c r="J138" i="28"/>
  <c r="G138" i="28" a="1"/>
  <c r="G138" i="28" s="1"/>
  <c r="N73" i="24"/>
  <c r="M73" i="24"/>
  <c r="J73" i="24"/>
  <c r="L73" i="24" s="1"/>
  <c r="G73" i="24"/>
  <c r="I73" i="24" s="1"/>
  <c r="M57" i="24"/>
  <c r="N57" i="24"/>
  <c r="J57" i="24"/>
  <c r="G57" i="24"/>
  <c r="H57" i="24" s="1"/>
  <c r="F7" i="11"/>
  <c r="E7" i="11" s="1"/>
  <c r="G7" i="11"/>
  <c r="F6" i="11"/>
  <c r="E6" i="11" s="1"/>
  <c r="G6" i="11"/>
  <c r="J83" i="24"/>
  <c r="N83" i="24"/>
  <c r="M83" i="24"/>
  <c r="G83" i="24"/>
  <c r="I83" i="24" s="1"/>
  <c r="P67" i="28" a="1"/>
  <c r="P67" i="28" s="1"/>
  <c r="E67" i="28" a="1"/>
  <c r="E67" i="28" s="1"/>
  <c r="S67" i="28" a="1"/>
  <c r="S67" i="28" s="1"/>
  <c r="D67" i="28" a="1"/>
  <c r="D67" i="28" s="1"/>
  <c r="F67" i="28" s="1"/>
  <c r="AF67" i="28" a="1"/>
  <c r="AF67" i="28" s="1"/>
  <c r="N67" i="28" a="1"/>
  <c r="N67" i="28" s="1"/>
  <c r="Q67" i="28" a="1"/>
  <c r="Q67" i="28" s="1"/>
  <c r="M67" i="28" a="1"/>
  <c r="M67" i="28" s="1"/>
  <c r="X67" i="28" a="1"/>
  <c r="X67" i="28" s="1"/>
  <c r="O67" i="28" a="1"/>
  <c r="O67" i="28" s="1"/>
  <c r="AD67" i="28" a="1"/>
  <c r="AD67" i="28" s="1"/>
  <c r="R67" i="28" a="1"/>
  <c r="R67" i="28" s="1"/>
  <c r="H67" i="28" a="1"/>
  <c r="H67" i="28" s="1"/>
  <c r="AB67" i="28" a="1"/>
  <c r="AB67" i="28" s="1"/>
  <c r="AC67" i="28" s="1"/>
  <c r="AA67" i="28" a="1"/>
  <c r="AA67" i="28" s="1"/>
  <c r="K67" i="28"/>
  <c r="J67" i="28"/>
  <c r="L67" i="28"/>
  <c r="AE67" i="28" a="1"/>
  <c r="AE67" i="28" s="1"/>
  <c r="T67" i="28" a="1"/>
  <c r="T67" i="28" s="1"/>
  <c r="U67" i="28" s="1"/>
  <c r="V67" i="28" s="1" a="1"/>
  <c r="V67" i="28" s="1"/>
  <c r="W67" i="28" s="1"/>
  <c r="G67" i="28" a="1"/>
  <c r="G67" i="28" s="1"/>
  <c r="O66" i="28" a="1"/>
  <c r="O66" i="28" s="1"/>
  <c r="AD66" i="28" a="1"/>
  <c r="AD66" i="28" s="1"/>
  <c r="R66" i="28" a="1"/>
  <c r="R66" i="28" s="1"/>
  <c r="M66" i="28" a="1"/>
  <c r="M66" i="28" s="1"/>
  <c r="AF66" i="28" a="1"/>
  <c r="AF66" i="28" s="1"/>
  <c r="Q66" i="28" a="1"/>
  <c r="Q66" i="28" s="1"/>
  <c r="L66" i="28"/>
  <c r="S66" i="28" a="1"/>
  <c r="S66" i="28" s="1"/>
  <c r="P66" i="28" a="1"/>
  <c r="P66" i="28" s="1"/>
  <c r="D66" i="28" a="1"/>
  <c r="D66" i="28" s="1"/>
  <c r="K66" i="28"/>
  <c r="X66" i="28" a="1"/>
  <c r="X66" i="28" s="1"/>
  <c r="AB66" i="28" a="1"/>
  <c r="AB66" i="28" s="1"/>
  <c r="AC66" i="28" s="1"/>
  <c r="N66" i="28" a="1"/>
  <c r="N66" i="28" s="1"/>
  <c r="AA66" i="28" a="1"/>
  <c r="AA66" i="28" s="1"/>
  <c r="T66" i="28" a="1"/>
  <c r="T66" i="28" s="1"/>
  <c r="AE66" i="28" a="1"/>
  <c r="AE66" i="28" s="1"/>
  <c r="J66" i="28"/>
  <c r="H66" i="28" a="1"/>
  <c r="H66" i="28" s="1"/>
  <c r="E66" i="28" a="1"/>
  <c r="E66" i="28" s="1"/>
  <c r="G66" i="28" a="1"/>
  <c r="G66" i="28" s="1"/>
  <c r="N81" i="24"/>
  <c r="J81" i="24"/>
  <c r="M81" i="24"/>
  <c r="G81" i="24"/>
  <c r="H81" i="24" s="1"/>
  <c r="M48" i="24"/>
  <c r="N48" i="24"/>
  <c r="J48" i="24"/>
  <c r="L48" i="24" s="1"/>
  <c r="G48" i="24"/>
  <c r="H48" i="24" s="1"/>
  <c r="L94" i="28"/>
  <c r="D94" i="28" a="1"/>
  <c r="D94" i="28" s="1"/>
  <c r="F94" i="28" s="1"/>
  <c r="M94" i="28" a="1"/>
  <c r="M94" i="28" s="1"/>
  <c r="Q94" i="28" a="1"/>
  <c r="Q94" i="28" s="1"/>
  <c r="X94" i="28" a="1"/>
  <c r="X94" i="28" s="1"/>
  <c r="AE94" i="28" a="1"/>
  <c r="AE94" i="28" s="1"/>
  <c r="J94" i="28"/>
  <c r="P94" i="28" a="1"/>
  <c r="P94" i="28" s="1"/>
  <c r="S94" i="28" a="1"/>
  <c r="S94" i="28" s="1"/>
  <c r="H94" i="28" a="1"/>
  <c r="H94" i="28" s="1"/>
  <c r="I94" i="28" s="1"/>
  <c r="R94" i="28" a="1"/>
  <c r="R94" i="28" s="1"/>
  <c r="AD94" i="28" a="1"/>
  <c r="AD94" i="28" s="1"/>
  <c r="E94" i="28" a="1"/>
  <c r="E94" i="28" s="1"/>
  <c r="N94" i="28" a="1"/>
  <c r="N94" i="28" s="1"/>
  <c r="AA94" i="28" a="1"/>
  <c r="AA94" i="28" s="1"/>
  <c r="O94" i="28" a="1"/>
  <c r="O94" i="28" s="1"/>
  <c r="AB94" i="28" a="1"/>
  <c r="AB94" i="28" s="1"/>
  <c r="AC94" i="28" s="1"/>
  <c r="T94" i="28" a="1"/>
  <c r="T94" i="28" s="1"/>
  <c r="U94" i="28" s="1"/>
  <c r="V94" i="28" s="1" a="1"/>
  <c r="V94" i="28" s="1"/>
  <c r="W94" i="28" s="1"/>
  <c r="AF94" i="28" a="1"/>
  <c r="AF94" i="28" s="1"/>
  <c r="K94" i="28"/>
  <c r="G94" i="28" a="1"/>
  <c r="G94" i="28" s="1"/>
  <c r="R22" i="28" a="1"/>
  <c r="R22" i="28" s="1"/>
  <c r="X22" i="28" a="1"/>
  <c r="X22" i="28" s="1"/>
  <c r="AE22" i="28" a="1"/>
  <c r="AE22" i="28" s="1"/>
  <c r="E22" i="28" a="1"/>
  <c r="E22" i="28" s="1"/>
  <c r="O22" i="28" a="1"/>
  <c r="O22" i="28" s="1"/>
  <c r="M22" i="28" a="1"/>
  <c r="M22" i="28" s="1"/>
  <c r="Q22" i="28" a="1"/>
  <c r="Q22" i="28" s="1"/>
  <c r="T22" i="28" a="1"/>
  <c r="T22" i="28" s="1"/>
  <c r="K22" i="28"/>
  <c r="N22" i="28" a="1"/>
  <c r="N22" i="28" s="1"/>
  <c r="AB22" i="28" a="1"/>
  <c r="AB22" i="28" s="1"/>
  <c r="AC22" i="28" s="1"/>
  <c r="P22" i="28" a="1"/>
  <c r="P22" i="28" s="1"/>
  <c r="AA22" i="28" a="1"/>
  <c r="AA22" i="28" s="1"/>
  <c r="L22" i="28"/>
  <c r="AD22" i="28" a="1"/>
  <c r="AD22" i="28" s="1"/>
  <c r="AF22" i="28" a="1"/>
  <c r="AF22" i="28" s="1"/>
  <c r="S22" i="28" a="1"/>
  <c r="S22" i="28" s="1"/>
  <c r="J22" i="28"/>
  <c r="H22" i="28" a="1"/>
  <c r="H22" i="28" s="1"/>
  <c r="D22" i="28" a="1"/>
  <c r="D22" i="28" s="1"/>
  <c r="F22" i="28" s="1"/>
  <c r="G22" i="28" a="1"/>
  <c r="G22" i="28" s="1"/>
  <c r="N7" i="24"/>
  <c r="J7" i="24"/>
  <c r="M7" i="24"/>
  <c r="G7" i="24"/>
  <c r="I7" i="24" s="1"/>
  <c r="H160" i="28" a="1"/>
  <c r="H160" i="28" s="1"/>
  <c r="S160" i="28" a="1"/>
  <c r="S160" i="28" s="1"/>
  <c r="E160" i="28" a="1"/>
  <c r="E160" i="28" s="1"/>
  <c r="J160" i="28"/>
  <c r="T160" i="28" a="1"/>
  <c r="T160" i="28" s="1"/>
  <c r="L160" i="28"/>
  <c r="AA160" i="28" a="1"/>
  <c r="AA160" i="28" s="1"/>
  <c r="M160" i="28" a="1"/>
  <c r="M160" i="28" s="1"/>
  <c r="K160" i="28"/>
  <c r="AD160" i="28" a="1"/>
  <c r="AD160" i="28" s="1"/>
  <c r="D160" i="28" a="1"/>
  <c r="D160" i="28" s="1"/>
  <c r="F160" i="28" s="1"/>
  <c r="X160" i="28" a="1"/>
  <c r="X160" i="28" s="1"/>
  <c r="AE160" i="28" a="1"/>
  <c r="AE160" i="28" s="1"/>
  <c r="AB160" i="28" a="1"/>
  <c r="AB160" i="28" s="1"/>
  <c r="AC160" i="28" s="1"/>
  <c r="R160" i="28" a="1"/>
  <c r="R160" i="28" s="1"/>
  <c r="N160" i="28" a="1"/>
  <c r="N160" i="28" s="1"/>
  <c r="AF160" i="28" a="1"/>
  <c r="AF160" i="28" s="1"/>
  <c r="P160" i="28" a="1"/>
  <c r="P160" i="28" s="1"/>
  <c r="Q160" i="28" a="1"/>
  <c r="Q160" i="28" s="1"/>
  <c r="O160" i="28" a="1"/>
  <c r="O160" i="28" s="1"/>
  <c r="G160" i="28" a="1"/>
  <c r="G160" i="28" s="1"/>
  <c r="J72" i="24"/>
  <c r="L72" i="24" s="1"/>
  <c r="M72" i="24"/>
  <c r="N72" i="24"/>
  <c r="G72" i="24"/>
  <c r="I72" i="24" s="1"/>
  <c r="Q20" i="28" a="1"/>
  <c r="Q20" i="28" s="1"/>
  <c r="L20" i="28"/>
  <c r="AE20" i="28" a="1"/>
  <c r="AE20" i="28" s="1"/>
  <c r="R20" i="28" a="1"/>
  <c r="R20" i="28" s="1"/>
  <c r="AA20" i="28" a="1"/>
  <c r="AA20" i="28" s="1"/>
  <c r="E20" i="28" a="1"/>
  <c r="E20" i="28" s="1"/>
  <c r="T20" i="28" a="1"/>
  <c r="T20" i="28" s="1"/>
  <c r="AF20" i="28" a="1"/>
  <c r="AF20" i="28" s="1"/>
  <c r="D20" i="28" a="1"/>
  <c r="D20" i="28" s="1"/>
  <c r="X20" i="28" a="1"/>
  <c r="X20" i="28" s="1"/>
  <c r="AB20" i="28" a="1"/>
  <c r="AB20" i="28" s="1"/>
  <c r="AC20" i="28" s="1"/>
  <c r="O20" i="28" a="1"/>
  <c r="O20" i="28" s="1"/>
  <c r="N20" i="28" a="1"/>
  <c r="N20" i="28" s="1"/>
  <c r="P20" i="28" a="1"/>
  <c r="P20" i="28" s="1"/>
  <c r="M20" i="28" a="1"/>
  <c r="M20" i="28" s="1"/>
  <c r="K20" i="28"/>
  <c r="AD20" i="28" a="1"/>
  <c r="AD20" i="28" s="1"/>
  <c r="H20" i="28" a="1"/>
  <c r="H20" i="28" s="1"/>
  <c r="S20" i="28" a="1"/>
  <c r="S20" i="28" s="1"/>
  <c r="J20" i="28"/>
  <c r="G20" i="28" a="1"/>
  <c r="G20" i="28" s="1"/>
  <c r="M121" i="24"/>
  <c r="N121" i="24"/>
  <c r="J121" i="24"/>
  <c r="L121" i="24" s="1"/>
  <c r="G121" i="24"/>
  <c r="H121" i="24" s="1"/>
  <c r="M103" i="24"/>
  <c r="J103" i="24"/>
  <c r="L103" i="24" s="1"/>
  <c r="N103" i="24"/>
  <c r="G103" i="24"/>
  <c r="I103" i="24" s="1"/>
  <c r="J115" i="24"/>
  <c r="M115" i="24"/>
  <c r="N115" i="24"/>
  <c r="G115" i="24"/>
  <c r="H115" i="24" s="1"/>
  <c r="J130" i="24"/>
  <c r="N130" i="24"/>
  <c r="M130" i="24"/>
  <c r="G130" i="24"/>
  <c r="I130" i="24" s="1"/>
  <c r="N156" i="24"/>
  <c r="J156" i="24"/>
  <c r="M156" i="24"/>
  <c r="G156" i="24"/>
  <c r="H156" i="24" s="1"/>
  <c r="H110" i="28" a="1"/>
  <c r="H110" i="28" s="1"/>
  <c r="X110" i="28" a="1"/>
  <c r="X110" i="28" s="1"/>
  <c r="M110" i="28" a="1"/>
  <c r="M110" i="28" s="1"/>
  <c r="L110" i="28"/>
  <c r="R110" i="28" a="1"/>
  <c r="R110" i="28" s="1"/>
  <c r="J110" i="28"/>
  <c r="Q110" i="28" a="1"/>
  <c r="Q110" i="28" s="1"/>
  <c r="O110" i="28" a="1"/>
  <c r="O110" i="28" s="1"/>
  <c r="S110" i="28" a="1"/>
  <c r="S110" i="28" s="1"/>
  <c r="E110" i="28" a="1"/>
  <c r="E110" i="28" s="1"/>
  <c r="AE110" i="28" a="1"/>
  <c r="AE110" i="28" s="1"/>
  <c r="AA110" i="28" a="1"/>
  <c r="AA110" i="28" s="1"/>
  <c r="K110" i="28"/>
  <c r="AD110" i="28" a="1"/>
  <c r="AD110" i="28" s="1"/>
  <c r="AB110" i="28" a="1"/>
  <c r="AB110" i="28" s="1"/>
  <c r="AC110" i="28" s="1"/>
  <c r="AF110" i="28" a="1"/>
  <c r="AF110" i="28" s="1"/>
  <c r="N110" i="28" a="1"/>
  <c r="N110" i="28" s="1"/>
  <c r="P110" i="28" a="1"/>
  <c r="P110" i="28" s="1"/>
  <c r="D110" i="28" a="1"/>
  <c r="D110" i="28" s="1"/>
  <c r="T110" i="28" a="1"/>
  <c r="T110" i="28" s="1"/>
  <c r="G110" i="28" a="1"/>
  <c r="G110" i="28" s="1"/>
  <c r="N30" i="24"/>
  <c r="M30" i="24"/>
  <c r="J30" i="24"/>
  <c r="G30" i="24"/>
  <c r="I30" i="24" s="1"/>
  <c r="AE17" i="28" a="1"/>
  <c r="AE17" i="28" s="1"/>
  <c r="L17" i="28"/>
  <c r="N17" i="28" a="1"/>
  <c r="N17" i="28" s="1"/>
  <c r="R17" i="28" a="1"/>
  <c r="R17" i="28" s="1"/>
  <c r="P17" i="28" a="1"/>
  <c r="P17" i="28" s="1"/>
  <c r="Q17" i="28" a="1"/>
  <c r="Q17" i="28" s="1"/>
  <c r="E17" i="28" a="1"/>
  <c r="E17" i="28" s="1"/>
  <c r="AD17" i="28" a="1"/>
  <c r="AD17" i="28" s="1"/>
  <c r="O17" i="28" a="1"/>
  <c r="O17" i="28" s="1"/>
  <c r="J17" i="28"/>
  <c r="M17" i="28" a="1"/>
  <c r="M17" i="28" s="1"/>
  <c r="AA17" i="28" a="1"/>
  <c r="AA17" i="28" s="1"/>
  <c r="X17" i="28" a="1"/>
  <c r="X17" i="28" s="1"/>
  <c r="S17" i="28" a="1"/>
  <c r="S17" i="28" s="1"/>
  <c r="H17" i="28" a="1"/>
  <c r="H17" i="28" s="1"/>
  <c r="AF17" i="28" a="1"/>
  <c r="AF17" i="28" s="1"/>
  <c r="AB17" i="28" a="1"/>
  <c r="AB17" i="28" s="1"/>
  <c r="AC17" i="28" s="1"/>
  <c r="D17" i="28" a="1"/>
  <c r="D17" i="28" s="1"/>
  <c r="T17" i="28" a="1"/>
  <c r="T17" i="28" s="1"/>
  <c r="K17" i="28"/>
  <c r="G17" i="28" a="1"/>
  <c r="G17" i="28" s="1"/>
  <c r="M174" i="28" a="1"/>
  <c r="M174" i="28" s="1"/>
  <c r="P174" i="28" a="1"/>
  <c r="P174" i="28" s="1"/>
  <c r="AA174" i="28" a="1"/>
  <c r="AA174" i="28" s="1"/>
  <c r="L174" i="28"/>
  <c r="E174" i="28" a="1"/>
  <c r="E174" i="28" s="1"/>
  <c r="AD174" i="28" a="1"/>
  <c r="AD174" i="28" s="1"/>
  <c r="R174" i="28" a="1"/>
  <c r="R174" i="28" s="1"/>
  <c r="N174" i="28" a="1"/>
  <c r="N174" i="28" s="1"/>
  <c r="H174" i="28" a="1"/>
  <c r="H174" i="28" s="1"/>
  <c r="D174" i="28" a="1"/>
  <c r="D174" i="28" s="1"/>
  <c r="AB174" i="28" a="1"/>
  <c r="AB174" i="28" s="1"/>
  <c r="AC174" i="28" s="1"/>
  <c r="S174" i="28" a="1"/>
  <c r="S174" i="28" s="1"/>
  <c r="AF174" i="28" a="1"/>
  <c r="AF174" i="28" s="1"/>
  <c r="T174" i="28" a="1"/>
  <c r="T174" i="28" s="1"/>
  <c r="AE174" i="28" a="1"/>
  <c r="AE174" i="28" s="1"/>
  <c r="J174" i="28"/>
  <c r="K174" i="28"/>
  <c r="X174" i="28" a="1"/>
  <c r="X174" i="28" s="1"/>
  <c r="Q174" i="28" a="1"/>
  <c r="Q174" i="28" s="1"/>
  <c r="O174" i="28" a="1"/>
  <c r="O174" i="28" s="1"/>
  <c r="G174" i="28" a="1"/>
  <c r="G174" i="28" s="1"/>
  <c r="M102" i="24"/>
  <c r="N102" i="24"/>
  <c r="J102" i="24"/>
  <c r="L102" i="24" s="1"/>
  <c r="G102" i="24"/>
  <c r="H102" i="24" s="1"/>
  <c r="L146" i="28"/>
  <c r="D146" i="28" a="1"/>
  <c r="D146" i="28" s="1"/>
  <c r="P146" i="28" a="1"/>
  <c r="P146" i="28" s="1"/>
  <c r="K146" i="28"/>
  <c r="X146" i="28" a="1"/>
  <c r="X146" i="28" s="1"/>
  <c r="AA146" i="28" a="1"/>
  <c r="AA146" i="28" s="1"/>
  <c r="Q146" i="28" a="1"/>
  <c r="Q146" i="28" s="1"/>
  <c r="H146" i="28" a="1"/>
  <c r="H146" i="28" s="1"/>
  <c r="AD146" i="28" a="1"/>
  <c r="AD146" i="28" s="1"/>
  <c r="E146" i="28" a="1"/>
  <c r="E146" i="28" s="1"/>
  <c r="R146" i="28" a="1"/>
  <c r="R146" i="28" s="1"/>
  <c r="AB146" i="28" a="1"/>
  <c r="AB146" i="28" s="1"/>
  <c r="AC146" i="28" s="1"/>
  <c r="O146" i="28" a="1"/>
  <c r="O146" i="28" s="1"/>
  <c r="T146" i="28" a="1"/>
  <c r="T146" i="28" s="1"/>
  <c r="S146" i="28" a="1"/>
  <c r="S146" i="28" s="1"/>
  <c r="AF146" i="28" a="1"/>
  <c r="AF146" i="28" s="1"/>
  <c r="AE146" i="28" a="1"/>
  <c r="AE146" i="28" s="1"/>
  <c r="J146" i="28"/>
  <c r="N146" i="28" a="1"/>
  <c r="N146" i="28" s="1"/>
  <c r="M146" i="28" a="1"/>
  <c r="M146" i="28" s="1"/>
  <c r="G146" i="28" a="1"/>
  <c r="G146" i="28" s="1"/>
  <c r="K45" i="28"/>
  <c r="AB45" i="28" a="1"/>
  <c r="AB45" i="28" s="1"/>
  <c r="H45" i="28" a="1"/>
  <c r="H45" i="28" s="1"/>
  <c r="X45" i="28" a="1"/>
  <c r="X45" i="28" s="1"/>
  <c r="L45" i="28"/>
  <c r="P45" i="28" a="1"/>
  <c r="P45" i="28" s="1"/>
  <c r="AD45" i="28" a="1"/>
  <c r="AD45" i="28" s="1"/>
  <c r="R45" i="28" a="1"/>
  <c r="R45" i="28" s="1"/>
  <c r="E45" i="28" a="1"/>
  <c r="E45" i="28" s="1"/>
  <c r="AA45" i="28" a="1"/>
  <c r="AA45" i="28" s="1"/>
  <c r="Q45" i="28" a="1"/>
  <c r="Q45" i="28" s="1"/>
  <c r="AF45" i="28" a="1"/>
  <c r="AF45" i="28" s="1"/>
  <c r="AE45" i="28" a="1"/>
  <c r="AE45" i="28" s="1"/>
  <c r="O45" i="28" a="1"/>
  <c r="O45" i="28" s="1"/>
  <c r="J45" i="28"/>
  <c r="T45" i="28" a="1"/>
  <c r="T45" i="28" s="1"/>
  <c r="N45" i="28" a="1"/>
  <c r="N45" i="28" s="1"/>
  <c r="D45" i="28" a="1"/>
  <c r="D45" i="28" s="1"/>
  <c r="F45" i="28" s="1"/>
  <c r="S45" i="28" a="1"/>
  <c r="S45" i="28" s="1"/>
  <c r="M45" i="28" a="1"/>
  <c r="M45" i="28" s="1"/>
  <c r="G45" i="28" a="1"/>
  <c r="G45" i="28" s="1"/>
  <c r="J147" i="24"/>
  <c r="L147" i="24" s="1"/>
  <c r="N147" i="24"/>
  <c r="M147" i="24"/>
  <c r="G147" i="24"/>
  <c r="I147" i="24" s="1"/>
  <c r="M67" i="24"/>
  <c r="N67" i="24"/>
  <c r="J67" i="24"/>
  <c r="G67" i="24"/>
  <c r="H67" i="24" s="1"/>
  <c r="M16" i="24"/>
  <c r="J16" i="24"/>
  <c r="N16" i="24"/>
  <c r="G16" i="24"/>
  <c r="H16" i="24" s="1"/>
  <c r="N118" i="28" a="1"/>
  <c r="N118" i="28" s="1"/>
  <c r="X118" i="28" a="1"/>
  <c r="X118" i="28" s="1"/>
  <c r="AF118" i="28" a="1"/>
  <c r="AF118" i="28" s="1"/>
  <c r="D118" i="28" a="1"/>
  <c r="D118" i="28" s="1"/>
  <c r="F118" i="28" s="1"/>
  <c r="P118" i="28" a="1"/>
  <c r="P118" i="28" s="1"/>
  <c r="Q118" i="28" a="1"/>
  <c r="Q118" i="28" s="1"/>
  <c r="H118" i="28" a="1"/>
  <c r="H118" i="28" s="1"/>
  <c r="E118" i="28" a="1"/>
  <c r="E118" i="28" s="1"/>
  <c r="L118" i="28"/>
  <c r="AB118" i="28" a="1"/>
  <c r="AB118" i="28" s="1"/>
  <c r="AC118" i="28" s="1"/>
  <c r="T118" i="28" a="1"/>
  <c r="T118" i="28" s="1"/>
  <c r="AA118" i="28" a="1"/>
  <c r="AA118" i="28" s="1"/>
  <c r="AE118" i="28" a="1"/>
  <c r="AE118" i="28" s="1"/>
  <c r="O118" i="28" a="1"/>
  <c r="O118" i="28" s="1"/>
  <c r="S118" i="28" a="1"/>
  <c r="S118" i="28" s="1"/>
  <c r="M118" i="28" a="1"/>
  <c r="M118" i="28" s="1"/>
  <c r="R118" i="28" a="1"/>
  <c r="R118" i="28" s="1"/>
  <c r="K118" i="28"/>
  <c r="J118" i="28"/>
  <c r="AD118" i="28" a="1"/>
  <c r="AD118" i="28" s="1"/>
  <c r="G118" i="28" a="1"/>
  <c r="G118" i="28" s="1"/>
  <c r="T61" i="28" a="1"/>
  <c r="T61" i="28" s="1"/>
  <c r="E61" i="28" a="1"/>
  <c r="E61" i="28" s="1"/>
  <c r="AA61" i="28" a="1"/>
  <c r="AA61" i="28" s="1"/>
  <c r="H61" i="28" a="1"/>
  <c r="H61" i="28" s="1"/>
  <c r="M61" i="28" a="1"/>
  <c r="M61" i="28" s="1"/>
  <c r="AD61" i="28" a="1"/>
  <c r="AD61" i="28" s="1"/>
  <c r="X61" i="28" a="1"/>
  <c r="X61" i="28" s="1"/>
  <c r="P61" i="28" a="1"/>
  <c r="P61" i="28" s="1"/>
  <c r="AF61" i="28" a="1"/>
  <c r="AF61" i="28" s="1"/>
  <c r="N61" i="28" a="1"/>
  <c r="N61" i="28" s="1"/>
  <c r="AB61" i="28" a="1"/>
  <c r="AB61" i="28" s="1"/>
  <c r="AC61" i="28" s="1"/>
  <c r="D61" i="28" a="1"/>
  <c r="D61" i="28" s="1"/>
  <c r="J61" i="28"/>
  <c r="L61" i="28"/>
  <c r="O61" i="28" a="1"/>
  <c r="O61" i="28" s="1"/>
  <c r="Q61" i="28" a="1"/>
  <c r="Q61" i="28" s="1"/>
  <c r="AE61" i="28" a="1"/>
  <c r="AE61" i="28" s="1"/>
  <c r="S61" i="28" a="1"/>
  <c r="S61" i="28" s="1"/>
  <c r="R61" i="28" a="1"/>
  <c r="R61" i="28" s="1"/>
  <c r="K61" i="28"/>
  <c r="G61" i="28" a="1"/>
  <c r="G61" i="28" s="1"/>
  <c r="M93" i="24"/>
  <c r="J93" i="24"/>
  <c r="L93" i="24" s="1"/>
  <c r="N93" i="24"/>
  <c r="G93" i="24"/>
  <c r="H93" i="24" s="1"/>
  <c r="N97" i="24"/>
  <c r="J97" i="24"/>
  <c r="M97" i="24"/>
  <c r="G97" i="24"/>
  <c r="I97" i="24" s="1"/>
  <c r="X99" i="28" a="1"/>
  <c r="X99" i="28" s="1"/>
  <c r="AA99" i="28" a="1"/>
  <c r="AA99" i="28" s="1"/>
  <c r="J99" i="28"/>
  <c r="T99" i="28" a="1"/>
  <c r="T99" i="28" s="1"/>
  <c r="S99" i="28" a="1"/>
  <c r="S99" i="28" s="1"/>
  <c r="E99" i="28" a="1"/>
  <c r="E99" i="28" s="1"/>
  <c r="M99" i="28" a="1"/>
  <c r="M99" i="28" s="1"/>
  <c r="P99" i="28" a="1"/>
  <c r="P99" i="28" s="1"/>
  <c r="Q99" i="28" a="1"/>
  <c r="Q99" i="28" s="1"/>
  <c r="H99" i="28" a="1"/>
  <c r="H99" i="28" s="1"/>
  <c r="AD99" i="28" a="1"/>
  <c r="AD99" i="28" s="1"/>
  <c r="L99" i="28"/>
  <c r="O99" i="28" a="1"/>
  <c r="O99" i="28" s="1"/>
  <c r="N99" i="28" a="1"/>
  <c r="N99" i="28" s="1"/>
  <c r="D99" i="28" a="1"/>
  <c r="D99" i="28" s="1"/>
  <c r="R99" i="28" a="1"/>
  <c r="R99" i="28" s="1"/>
  <c r="K99" i="28"/>
  <c r="AE99" i="28" a="1"/>
  <c r="AE99" i="28" s="1"/>
  <c r="AB99" i="28" a="1"/>
  <c r="AB99" i="28" s="1"/>
  <c r="AF99" i="28" a="1"/>
  <c r="AF99" i="28" s="1"/>
  <c r="G99" i="28" a="1"/>
  <c r="G99" i="28" s="1"/>
  <c r="X175" i="28" a="1"/>
  <c r="X175" i="28" s="1"/>
  <c r="L175" i="28"/>
  <c r="AF175" i="28" a="1"/>
  <c r="AF175" i="28" s="1"/>
  <c r="M175" i="28" a="1"/>
  <c r="M175" i="28" s="1"/>
  <c r="K175" i="28"/>
  <c r="S175" i="28" a="1"/>
  <c r="S175" i="28" s="1"/>
  <c r="P175" i="28" a="1"/>
  <c r="P175" i="28" s="1"/>
  <c r="O175" i="28" a="1"/>
  <c r="O175" i="28" s="1"/>
  <c r="H175" i="28" a="1"/>
  <c r="H175" i="28" s="1"/>
  <c r="D175" i="28" a="1"/>
  <c r="D175" i="28" s="1"/>
  <c r="F175" i="28" s="1"/>
  <c r="J175" i="28"/>
  <c r="AD175" i="28" a="1"/>
  <c r="AD175" i="28" s="1"/>
  <c r="E175" i="28" a="1"/>
  <c r="E175" i="28" s="1"/>
  <c r="AE175" i="28" a="1"/>
  <c r="AE175" i="28" s="1"/>
  <c r="AB175" i="28" a="1"/>
  <c r="AB175" i="28" s="1"/>
  <c r="AC175" i="28" s="1"/>
  <c r="AA175" i="28" a="1"/>
  <c r="AA175" i="28" s="1"/>
  <c r="T175" i="28" a="1"/>
  <c r="T175" i="28" s="1"/>
  <c r="R175" i="28" a="1"/>
  <c r="R175" i="28" s="1"/>
  <c r="N175" i="28" a="1"/>
  <c r="N175" i="28" s="1"/>
  <c r="Q175" i="28" a="1"/>
  <c r="Q175" i="28" s="1"/>
  <c r="G175" i="28" a="1"/>
  <c r="G175" i="28" s="1"/>
  <c r="J46" i="24"/>
  <c r="M46" i="24"/>
  <c r="N46" i="24"/>
  <c r="G46" i="24"/>
  <c r="H46" i="24" s="1"/>
  <c r="F9" i="11"/>
  <c r="E9" i="11" s="1"/>
  <c r="G9" i="11"/>
  <c r="AB102" i="28" a="1"/>
  <c r="AB102" i="28" s="1"/>
  <c r="AC102" i="28" s="1"/>
  <c r="N102" i="28" a="1"/>
  <c r="N102" i="28" s="1"/>
  <c r="H102" i="28" a="1"/>
  <c r="H102" i="28" s="1"/>
  <c r="P102" i="28" a="1"/>
  <c r="P102" i="28" s="1"/>
  <c r="T102" i="28" a="1"/>
  <c r="T102" i="28" s="1"/>
  <c r="AE102" i="28" a="1"/>
  <c r="AE102" i="28" s="1"/>
  <c r="J102" i="28"/>
  <c r="K102" i="28"/>
  <c r="R102" i="28" a="1"/>
  <c r="R102" i="28" s="1"/>
  <c r="AD102" i="28" a="1"/>
  <c r="AD102" i="28" s="1"/>
  <c r="S102" i="28" a="1"/>
  <c r="S102" i="28" s="1"/>
  <c r="Q102" i="28" a="1"/>
  <c r="Q102" i="28" s="1"/>
  <c r="E102" i="28" a="1"/>
  <c r="E102" i="28" s="1"/>
  <c r="AF102" i="28" a="1"/>
  <c r="AF102" i="28" s="1"/>
  <c r="M102" i="28" a="1"/>
  <c r="M102" i="28" s="1"/>
  <c r="AA102" i="28" a="1"/>
  <c r="AA102" i="28" s="1"/>
  <c r="D102" i="28" a="1"/>
  <c r="D102" i="28" s="1"/>
  <c r="X102" i="28" a="1"/>
  <c r="X102" i="28" s="1"/>
  <c r="L102" i="28"/>
  <c r="O102" i="28" a="1"/>
  <c r="O102" i="28" s="1"/>
  <c r="G102" i="28" a="1"/>
  <c r="G102" i="28" s="1"/>
  <c r="N152" i="24"/>
  <c r="M152" i="24"/>
  <c r="J152" i="24"/>
  <c r="G152" i="24"/>
  <c r="H152" i="24" s="1"/>
  <c r="N159" i="24"/>
  <c r="M159" i="24"/>
  <c r="J159" i="24"/>
  <c r="G159" i="24"/>
  <c r="H159" i="24" s="1"/>
  <c r="J23" i="24"/>
  <c r="M23" i="24"/>
  <c r="N23" i="24"/>
  <c r="G23" i="24"/>
  <c r="H23" i="24" s="1"/>
  <c r="H68" i="28" a="1"/>
  <c r="H68" i="28" s="1"/>
  <c r="X68" i="28" a="1"/>
  <c r="X68" i="28" s="1"/>
  <c r="AA68" i="28" a="1"/>
  <c r="AA68" i="28" s="1"/>
  <c r="M68" i="28" a="1"/>
  <c r="M68" i="28" s="1"/>
  <c r="N68" i="28" a="1"/>
  <c r="N68" i="28" s="1"/>
  <c r="AD68" i="28" a="1"/>
  <c r="AD68" i="28" s="1"/>
  <c r="D68" i="28" a="1"/>
  <c r="D68" i="28" s="1"/>
  <c r="F68" i="28" s="1"/>
  <c r="R68" i="28" a="1"/>
  <c r="R68" i="28" s="1"/>
  <c r="AE68" i="28" a="1"/>
  <c r="AE68" i="28" s="1"/>
  <c r="E68" i="28" a="1"/>
  <c r="E68" i="28" s="1"/>
  <c r="Q68" i="28" a="1"/>
  <c r="Q68" i="28" s="1"/>
  <c r="AB68" i="28" a="1"/>
  <c r="AB68" i="28" s="1"/>
  <c r="AC68" i="28" s="1"/>
  <c r="P68" i="28" a="1"/>
  <c r="P68" i="28" s="1"/>
  <c r="T68" i="28" a="1"/>
  <c r="T68" i="28" s="1"/>
  <c r="O68" i="28" a="1"/>
  <c r="O68" i="28" s="1"/>
  <c r="S68" i="28" a="1"/>
  <c r="S68" i="28" s="1"/>
  <c r="J68" i="28"/>
  <c r="K68" i="28"/>
  <c r="L68" i="28"/>
  <c r="AF68" i="28" a="1"/>
  <c r="AF68" i="28" s="1"/>
  <c r="G68" i="28" a="1"/>
  <c r="G68" i="28" s="1"/>
  <c r="N25" i="24"/>
  <c r="M25" i="24"/>
  <c r="J25" i="24"/>
  <c r="L25" i="24" s="1"/>
  <c r="G25" i="24"/>
  <c r="H25" i="24" s="1"/>
  <c r="L86" i="28"/>
  <c r="P86" i="28" a="1"/>
  <c r="P86" i="28" s="1"/>
  <c r="S86" i="28" a="1"/>
  <c r="S86" i="28" s="1"/>
  <c r="M86" i="28" a="1"/>
  <c r="M86" i="28" s="1"/>
  <c r="Q86" i="28" a="1"/>
  <c r="Q86" i="28" s="1"/>
  <c r="AF86" i="28" a="1"/>
  <c r="AF86" i="28" s="1"/>
  <c r="O86" i="28" a="1"/>
  <c r="O86" i="28" s="1"/>
  <c r="AE86" i="28" a="1"/>
  <c r="AE86" i="28" s="1"/>
  <c r="X86" i="28" a="1"/>
  <c r="X86" i="28" s="1"/>
  <c r="H86" i="28" a="1"/>
  <c r="H86" i="28" s="1"/>
  <c r="J86" i="28"/>
  <c r="N86" i="28" a="1"/>
  <c r="N86" i="28" s="1"/>
  <c r="AA86" i="28" a="1"/>
  <c r="AA86" i="28" s="1"/>
  <c r="AB86" i="28" a="1"/>
  <c r="AB86" i="28" s="1"/>
  <c r="AC86" i="28" s="1"/>
  <c r="K86" i="28"/>
  <c r="D86" i="28" a="1"/>
  <c r="D86" i="28" s="1"/>
  <c r="AD86" i="28" a="1"/>
  <c r="AD86" i="28" s="1"/>
  <c r="R86" i="28" a="1"/>
  <c r="R86" i="28" s="1"/>
  <c r="T86" i="28" a="1"/>
  <c r="T86" i="28" s="1"/>
  <c r="E86" i="28" a="1"/>
  <c r="E86" i="28" s="1"/>
  <c r="G86" i="28" a="1"/>
  <c r="G86" i="28" s="1"/>
  <c r="M124" i="24"/>
  <c r="J124" i="24"/>
  <c r="N124" i="24"/>
  <c r="G124" i="24"/>
  <c r="I124" i="24" s="1"/>
  <c r="E88" i="28" a="1"/>
  <c r="E88" i="28" s="1"/>
  <c r="L88" i="28"/>
  <c r="O88" i="28" a="1"/>
  <c r="O88" i="28" s="1"/>
  <c r="Q88" i="28" a="1"/>
  <c r="Q88" i="28" s="1"/>
  <c r="AF88" i="28" a="1"/>
  <c r="AF88" i="28" s="1"/>
  <c r="P88" i="28" a="1"/>
  <c r="P88" i="28" s="1"/>
  <c r="AB88" i="28" a="1"/>
  <c r="AB88" i="28" s="1"/>
  <c r="AC88" i="28" s="1"/>
  <c r="M88" i="28" a="1"/>
  <c r="M88" i="28" s="1"/>
  <c r="AA88" i="28" a="1"/>
  <c r="AA88" i="28" s="1"/>
  <c r="J88" i="28"/>
  <c r="AE88" i="28" a="1"/>
  <c r="AE88" i="28" s="1"/>
  <c r="H88" i="28" a="1"/>
  <c r="H88" i="28" s="1"/>
  <c r="K88" i="28"/>
  <c r="R88" i="28" a="1"/>
  <c r="R88" i="28" s="1"/>
  <c r="X88" i="28" a="1"/>
  <c r="X88" i="28" s="1"/>
  <c r="N88" i="28" a="1"/>
  <c r="N88" i="28" s="1"/>
  <c r="D88" i="28" a="1"/>
  <c r="D88" i="28" s="1"/>
  <c r="AD88" i="28" a="1"/>
  <c r="AD88" i="28" s="1"/>
  <c r="S88" i="28" a="1"/>
  <c r="S88" i="28" s="1"/>
  <c r="T88" i="28" a="1"/>
  <c r="T88" i="28" s="1"/>
  <c r="G88" i="28" a="1"/>
  <c r="G88" i="28" s="1"/>
  <c r="K170" i="28"/>
  <c r="H170" i="28" a="1"/>
  <c r="H170" i="28" s="1"/>
  <c r="P170" i="28" a="1"/>
  <c r="P170" i="28" s="1"/>
  <c r="J170" i="28"/>
  <c r="AD170" i="28" a="1"/>
  <c r="AD170" i="28" s="1"/>
  <c r="Q170" i="28" a="1"/>
  <c r="Q170" i="28" s="1"/>
  <c r="R170" i="28" a="1"/>
  <c r="R170" i="28" s="1"/>
  <c r="D170" i="28" a="1"/>
  <c r="D170" i="28" s="1"/>
  <c r="S170" i="28" a="1"/>
  <c r="S170" i="28" s="1"/>
  <c r="T170" i="28" a="1"/>
  <c r="T170" i="28" s="1"/>
  <c r="L170" i="28"/>
  <c r="AF170" i="28" a="1"/>
  <c r="AF170" i="28" s="1"/>
  <c r="AB170" i="28" a="1"/>
  <c r="AB170" i="28" s="1"/>
  <c r="AC170" i="28" s="1"/>
  <c r="N170" i="28" a="1"/>
  <c r="N170" i="28" s="1"/>
  <c r="E170" i="28" a="1"/>
  <c r="E170" i="28" s="1"/>
  <c r="AE170" i="28" a="1"/>
  <c r="AE170" i="28" s="1"/>
  <c r="AA170" i="28" a="1"/>
  <c r="AA170" i="28" s="1"/>
  <c r="O170" i="28" a="1"/>
  <c r="O170" i="28" s="1"/>
  <c r="X170" i="28" a="1"/>
  <c r="X170" i="28" s="1"/>
  <c r="M170" i="28" a="1"/>
  <c r="M170" i="28" s="1"/>
  <c r="G170" i="28" a="1"/>
  <c r="G170" i="28" s="1"/>
  <c r="K153" i="28"/>
  <c r="AB153" i="28" a="1"/>
  <c r="AB153" i="28" s="1"/>
  <c r="AC153" i="28" s="1"/>
  <c r="T153" i="28" a="1"/>
  <c r="T153" i="28" s="1"/>
  <c r="E153" i="28" a="1"/>
  <c r="E153" i="28" s="1"/>
  <c r="O153" i="28" a="1"/>
  <c r="O153" i="28" s="1"/>
  <c r="AF153" i="28" a="1"/>
  <c r="AF153" i="28" s="1"/>
  <c r="R153" i="28" a="1"/>
  <c r="R153" i="28" s="1"/>
  <c r="X153" i="28" a="1"/>
  <c r="X153" i="28" s="1"/>
  <c r="P153" i="28" a="1"/>
  <c r="P153" i="28" s="1"/>
  <c r="Q153" i="28" a="1"/>
  <c r="Q153" i="28" s="1"/>
  <c r="AD153" i="28" a="1"/>
  <c r="AD153" i="28" s="1"/>
  <c r="M153" i="28" a="1"/>
  <c r="M153" i="28" s="1"/>
  <c r="D153" i="28" a="1"/>
  <c r="D153" i="28" s="1"/>
  <c r="J153" i="28"/>
  <c r="L153" i="28"/>
  <c r="AA153" i="28" a="1"/>
  <c r="AA153" i="28" s="1"/>
  <c r="N153" i="28" a="1"/>
  <c r="N153" i="28" s="1"/>
  <c r="AE153" i="28" a="1"/>
  <c r="AE153" i="28" s="1"/>
  <c r="S153" i="28" a="1"/>
  <c r="S153" i="28" s="1"/>
  <c r="H153" i="28" a="1"/>
  <c r="H153" i="28" s="1"/>
  <c r="G153" i="28" a="1"/>
  <c r="G153" i="28" s="1"/>
  <c r="J117" i="24"/>
  <c r="L117" i="24" s="1"/>
  <c r="N117" i="24"/>
  <c r="M117" i="24"/>
  <c r="G117" i="24"/>
  <c r="I117" i="24" s="1"/>
  <c r="E98" i="28" a="1"/>
  <c r="E98" i="28" s="1"/>
  <c r="S98" i="28" a="1"/>
  <c r="S98" i="28" s="1"/>
  <c r="AA98" i="28" a="1"/>
  <c r="AA98" i="28" s="1"/>
  <c r="D98" i="28" a="1"/>
  <c r="D98" i="28" s="1"/>
  <c r="AE98" i="28" a="1"/>
  <c r="AE98" i="28" s="1"/>
  <c r="H98" i="28" a="1"/>
  <c r="H98" i="28" s="1"/>
  <c r="L98" i="28"/>
  <c r="O98" i="28" a="1"/>
  <c r="O98" i="28" s="1"/>
  <c r="Q98" i="28" a="1"/>
  <c r="Q98" i="28" s="1"/>
  <c r="J98" i="28"/>
  <c r="N98" i="28" a="1"/>
  <c r="N98" i="28" s="1"/>
  <c r="R98" i="28" a="1"/>
  <c r="R98" i="28" s="1"/>
  <c r="T98" i="28" a="1"/>
  <c r="T98" i="28" s="1"/>
  <c r="K98" i="28"/>
  <c r="M98" i="28" a="1"/>
  <c r="M98" i="28" s="1"/>
  <c r="AD98" i="28" a="1"/>
  <c r="AD98" i="28" s="1"/>
  <c r="AB98" i="28" a="1"/>
  <c r="AB98" i="28" s="1"/>
  <c r="AC98" i="28" s="1"/>
  <c r="X98" i="28" a="1"/>
  <c r="X98" i="28" s="1"/>
  <c r="P98" i="28" a="1"/>
  <c r="P98" i="28" s="1"/>
  <c r="AF98" i="28" a="1"/>
  <c r="AF98" i="28" s="1"/>
  <c r="G98" i="28" a="1"/>
  <c r="G98" i="28" s="1"/>
  <c r="K40" i="28"/>
  <c r="T40" i="28" a="1"/>
  <c r="T40" i="28" s="1"/>
  <c r="AF40" i="28" a="1"/>
  <c r="AF40" i="28" s="1"/>
  <c r="J40" i="28"/>
  <c r="L40" i="28"/>
  <c r="S40" i="28" a="1"/>
  <c r="S40" i="28" s="1"/>
  <c r="O40" i="28" a="1"/>
  <c r="O40" i="28" s="1"/>
  <c r="E40" i="28" a="1"/>
  <c r="E40" i="28" s="1"/>
  <c r="M40" i="28" a="1"/>
  <c r="M40" i="28" s="1"/>
  <c r="D40" i="28" a="1"/>
  <c r="D40" i="28" s="1"/>
  <c r="AB40" i="28" a="1"/>
  <c r="AB40" i="28" s="1"/>
  <c r="AC40" i="28" s="1"/>
  <c r="P40" i="28" a="1"/>
  <c r="P40" i="28" s="1"/>
  <c r="AA40" i="28" a="1"/>
  <c r="AA40" i="28" s="1"/>
  <c r="X40" i="28" a="1"/>
  <c r="X40" i="28" s="1"/>
  <c r="AD40" i="28" a="1"/>
  <c r="AD40" i="28" s="1"/>
  <c r="H40" i="28" a="1"/>
  <c r="H40" i="28" s="1"/>
  <c r="Q40" i="28" a="1"/>
  <c r="Q40" i="28" s="1"/>
  <c r="N40" i="28" a="1"/>
  <c r="N40" i="28" s="1"/>
  <c r="R40" i="28" a="1"/>
  <c r="R40" i="28" s="1"/>
  <c r="AE40" i="28" a="1"/>
  <c r="AE40" i="28" s="1"/>
  <c r="G40" i="28" a="1"/>
  <c r="G40" i="28" s="1"/>
  <c r="O91" i="28" a="1"/>
  <c r="O91" i="28" s="1"/>
  <c r="H91" i="28" a="1"/>
  <c r="H91" i="28" s="1"/>
  <c r="AE91" i="28" a="1"/>
  <c r="AE91" i="28" s="1"/>
  <c r="D91" i="28" a="1"/>
  <c r="D91" i="28" s="1"/>
  <c r="J91" i="28"/>
  <c r="R91" i="28" a="1"/>
  <c r="R91" i="28" s="1"/>
  <c r="N91" i="28" a="1"/>
  <c r="N91" i="28" s="1"/>
  <c r="Q91" i="28" a="1"/>
  <c r="Q91" i="28" s="1"/>
  <c r="AD91" i="28" a="1"/>
  <c r="AD91" i="28" s="1"/>
  <c r="X91" i="28" a="1"/>
  <c r="X91" i="28" s="1"/>
  <c r="E91" i="28" a="1"/>
  <c r="E91" i="28" s="1"/>
  <c r="AF91" i="28" a="1"/>
  <c r="AF91" i="28" s="1"/>
  <c r="AB91" i="28" a="1"/>
  <c r="AB91" i="28" s="1"/>
  <c r="AC91" i="28" s="1"/>
  <c r="AA91" i="28" a="1"/>
  <c r="AA91" i="28" s="1"/>
  <c r="M91" i="28" a="1"/>
  <c r="M91" i="28" s="1"/>
  <c r="S91" i="28" a="1"/>
  <c r="S91" i="28" s="1"/>
  <c r="T91" i="28" a="1"/>
  <c r="T91" i="28" s="1"/>
  <c r="P91" i="28" a="1"/>
  <c r="P91" i="28" s="1"/>
  <c r="K91" i="28"/>
  <c r="L91" i="28"/>
  <c r="G91" i="28" a="1"/>
  <c r="G91" i="28" s="1"/>
  <c r="N153" i="24"/>
  <c r="M153" i="24"/>
  <c r="J153" i="24"/>
  <c r="G153" i="24"/>
  <c r="H153" i="24" s="1"/>
  <c r="F8" i="11"/>
  <c r="E8" i="11" s="1"/>
  <c r="G8" i="11"/>
  <c r="G5" i="11"/>
  <c r="F5" i="11"/>
  <c r="E5" i="11" s="1"/>
  <c r="K18" i="28"/>
  <c r="X18" i="28" a="1"/>
  <c r="X18" i="28" s="1"/>
  <c r="AB18" i="28" a="1"/>
  <c r="AB18" i="28" s="1"/>
  <c r="H18" i="28" a="1"/>
  <c r="H18" i="28" s="1"/>
  <c r="AD18" i="28" a="1"/>
  <c r="AD18" i="28" s="1"/>
  <c r="T18" i="28" a="1"/>
  <c r="T18" i="28" s="1"/>
  <c r="Q18" i="28" a="1"/>
  <c r="Q18" i="28" s="1"/>
  <c r="AA18" i="28" a="1"/>
  <c r="AA18" i="28" s="1"/>
  <c r="N18" i="28" a="1"/>
  <c r="N18" i="28" s="1"/>
  <c r="D18" i="28" a="1"/>
  <c r="D18" i="28" s="1"/>
  <c r="F18" i="28" s="1"/>
  <c r="O18" i="28" a="1"/>
  <c r="O18" i="28" s="1"/>
  <c r="R18" i="28" a="1"/>
  <c r="R18" i="28" s="1"/>
  <c r="P18" i="28" a="1"/>
  <c r="P18" i="28" s="1"/>
  <c r="S18" i="28" a="1"/>
  <c r="S18" i="28" s="1"/>
  <c r="AE18" i="28" a="1"/>
  <c r="AE18" i="28" s="1"/>
  <c r="L18" i="28"/>
  <c r="AF18" i="28" a="1"/>
  <c r="AF18" i="28" s="1"/>
  <c r="J18" i="28"/>
  <c r="M18" i="28" a="1"/>
  <c r="M18" i="28" s="1"/>
  <c r="E18" i="28" a="1"/>
  <c r="E18" i="28" s="1"/>
  <c r="G18" i="28" a="1"/>
  <c r="G18" i="28" s="1"/>
  <c r="N55" i="24"/>
  <c r="J55" i="24"/>
  <c r="L55" i="24" s="1"/>
  <c r="M55" i="24"/>
  <c r="G55" i="24"/>
  <c r="I55" i="24" s="1"/>
  <c r="J54" i="24"/>
  <c r="N54" i="24"/>
  <c r="M54" i="24"/>
  <c r="G54" i="24"/>
  <c r="H54" i="24" s="1"/>
  <c r="K93" i="28"/>
  <c r="L93" i="28"/>
  <c r="AE93" i="28" a="1"/>
  <c r="AE93" i="28" s="1"/>
  <c r="J93" i="28"/>
  <c r="D93" i="28" a="1"/>
  <c r="D93" i="28" s="1"/>
  <c r="Q93" i="28" a="1"/>
  <c r="Q93" i="28" s="1"/>
  <c r="AB93" i="28" a="1"/>
  <c r="AB93" i="28" s="1"/>
  <c r="O93" i="28" a="1"/>
  <c r="O93" i="28" s="1"/>
  <c r="AA93" i="28" a="1"/>
  <c r="AA93" i="28" s="1"/>
  <c r="M93" i="28" a="1"/>
  <c r="M93" i="28" s="1"/>
  <c r="AF93" i="28" a="1"/>
  <c r="AF93" i="28" s="1"/>
  <c r="X93" i="28" a="1"/>
  <c r="X93" i="28" s="1"/>
  <c r="S93" i="28" a="1"/>
  <c r="S93" i="28" s="1"/>
  <c r="H93" i="28" a="1"/>
  <c r="H93" i="28" s="1"/>
  <c r="R93" i="28" a="1"/>
  <c r="R93" i="28" s="1"/>
  <c r="N93" i="28" a="1"/>
  <c r="N93" i="28" s="1"/>
  <c r="E93" i="28" a="1"/>
  <c r="E93" i="28" s="1"/>
  <c r="AD93" i="28" a="1"/>
  <c r="AD93" i="28" s="1"/>
  <c r="T93" i="28" a="1"/>
  <c r="T93" i="28" s="1"/>
  <c r="P93" i="28" a="1"/>
  <c r="P93" i="28" s="1"/>
  <c r="G93" i="28" a="1"/>
  <c r="G93" i="28" s="1"/>
  <c r="H60" i="28" a="1"/>
  <c r="H60" i="28" s="1"/>
  <c r="E60" i="28" a="1"/>
  <c r="E60" i="28" s="1"/>
  <c r="T60" i="28" a="1"/>
  <c r="T60" i="28" s="1"/>
  <c r="O60" i="28" a="1"/>
  <c r="O60" i="28" s="1"/>
  <c r="AF60" i="28" a="1"/>
  <c r="AF60" i="28" s="1"/>
  <c r="D60" i="28" a="1"/>
  <c r="D60" i="28" s="1"/>
  <c r="S60" i="28" a="1"/>
  <c r="S60" i="28" s="1"/>
  <c r="N60" i="28" a="1"/>
  <c r="N60" i="28" s="1"/>
  <c r="AE60" i="28" a="1"/>
  <c r="AE60" i="28" s="1"/>
  <c r="R60" i="28" a="1"/>
  <c r="R60" i="28" s="1"/>
  <c r="P60" i="28" a="1"/>
  <c r="P60" i="28" s="1"/>
  <c r="J60" i="28"/>
  <c r="AB60" i="28" a="1"/>
  <c r="AB60" i="28" s="1"/>
  <c r="AC60" i="28" s="1"/>
  <c r="AA60" i="28" a="1"/>
  <c r="AA60" i="28" s="1"/>
  <c r="AD60" i="28" a="1"/>
  <c r="AD60" i="28" s="1"/>
  <c r="M60" i="28" a="1"/>
  <c r="M60" i="28" s="1"/>
  <c r="Q60" i="28" a="1"/>
  <c r="Q60" i="28" s="1"/>
  <c r="X60" i="28" a="1"/>
  <c r="X60" i="28" s="1"/>
  <c r="L60" i="28"/>
  <c r="K60" i="28"/>
  <c r="G60" i="28" a="1"/>
  <c r="G60" i="28" s="1"/>
  <c r="N82" i="24"/>
  <c r="J82" i="24"/>
  <c r="L82" i="24" s="1"/>
  <c r="M82" i="24"/>
  <c r="G82" i="24"/>
  <c r="I82" i="24" s="1"/>
  <c r="J10" i="24"/>
  <c r="L10" i="24" s="1"/>
  <c r="M10" i="24"/>
  <c r="N10" i="24"/>
  <c r="G10" i="24"/>
  <c r="H10" i="24" s="1"/>
  <c r="E44" i="28" a="1"/>
  <c r="E44" i="28" s="1"/>
  <c r="P44" i="28" a="1"/>
  <c r="P44" i="28" s="1"/>
  <c r="AA44" i="28" a="1"/>
  <c r="AA44" i="28" s="1"/>
  <c r="K44" i="28"/>
  <c r="S44" i="28" a="1"/>
  <c r="S44" i="28" s="1"/>
  <c r="O44" i="28" a="1"/>
  <c r="O44" i="28" s="1"/>
  <c r="AE44" i="28" a="1"/>
  <c r="AE44" i="28" s="1"/>
  <c r="T44" i="28" a="1"/>
  <c r="T44" i="28" s="1"/>
  <c r="M44" i="28" a="1"/>
  <c r="M44" i="28" s="1"/>
  <c r="J44" i="28"/>
  <c r="Q44" i="28" a="1"/>
  <c r="Q44" i="28" s="1"/>
  <c r="D44" i="28" a="1"/>
  <c r="D44" i="28" s="1"/>
  <c r="R44" i="28" a="1"/>
  <c r="R44" i="28" s="1"/>
  <c r="AB44" i="28" a="1"/>
  <c r="AB44" i="28" s="1"/>
  <c r="AC44" i="28" s="1"/>
  <c r="AD44" i="28" a="1"/>
  <c r="AD44" i="28" s="1"/>
  <c r="X44" i="28" a="1"/>
  <c r="X44" i="28" s="1"/>
  <c r="N44" i="28" a="1"/>
  <c r="N44" i="28" s="1"/>
  <c r="AF44" i="28" a="1"/>
  <c r="AF44" i="28" s="1"/>
  <c r="H44" i="28" a="1"/>
  <c r="H44" i="28" s="1"/>
  <c r="L44" i="28"/>
  <c r="G44" i="28" a="1"/>
  <c r="G44" i="28" s="1"/>
  <c r="L23" i="28"/>
  <c r="AA23" i="28" a="1"/>
  <c r="AA23" i="28" s="1"/>
  <c r="K23" i="28"/>
  <c r="AF23" i="28" a="1"/>
  <c r="AF23" i="28" s="1"/>
  <c r="S23" i="28" a="1"/>
  <c r="S23" i="28" s="1"/>
  <c r="H23" i="28" a="1"/>
  <c r="H23" i="28" s="1"/>
  <c r="AE23" i="28" a="1"/>
  <c r="AE23" i="28" s="1"/>
  <c r="M23" i="28" a="1"/>
  <c r="M23" i="28" s="1"/>
  <c r="N23" i="28" a="1"/>
  <c r="N23" i="28" s="1"/>
  <c r="AB23" i="28" a="1"/>
  <c r="AB23" i="28" s="1"/>
  <c r="AC23" i="28" s="1"/>
  <c r="R23" i="28" a="1"/>
  <c r="R23" i="28" s="1"/>
  <c r="X23" i="28" a="1"/>
  <c r="X23" i="28" s="1"/>
  <c r="D23" i="28" a="1"/>
  <c r="D23" i="28" s="1"/>
  <c r="F23" i="28" s="1"/>
  <c r="O23" i="28" a="1"/>
  <c r="O23" i="28" s="1"/>
  <c r="AD23" i="28" a="1"/>
  <c r="AD23" i="28" s="1"/>
  <c r="P23" i="28" a="1"/>
  <c r="P23" i="28" s="1"/>
  <c r="Q23" i="28" a="1"/>
  <c r="Q23" i="28" s="1"/>
  <c r="T23" i="28" a="1"/>
  <c r="T23" i="28" s="1"/>
  <c r="E23" i="28" a="1"/>
  <c r="E23" i="28" s="1"/>
  <c r="J23" i="28"/>
  <c r="G23" i="28" a="1"/>
  <c r="G23" i="28" s="1"/>
  <c r="P123" i="28" a="1"/>
  <c r="P123" i="28" s="1"/>
  <c r="R123" i="28" a="1"/>
  <c r="R123" i="28" s="1"/>
  <c r="X123" i="28" a="1"/>
  <c r="X123" i="28" s="1"/>
  <c r="AD123" i="28" a="1"/>
  <c r="AD123" i="28" s="1"/>
  <c r="T123" i="28" a="1"/>
  <c r="T123" i="28" s="1"/>
  <c r="Q123" i="28" a="1"/>
  <c r="Q123" i="28" s="1"/>
  <c r="AE123" i="28" a="1"/>
  <c r="AE123" i="28" s="1"/>
  <c r="O123" i="28" a="1"/>
  <c r="O123" i="28" s="1"/>
  <c r="M123" i="28" a="1"/>
  <c r="M123" i="28" s="1"/>
  <c r="L123" i="28"/>
  <c r="AF123" i="28" a="1"/>
  <c r="AF123" i="28" s="1"/>
  <c r="AA123" i="28" a="1"/>
  <c r="AA123" i="28" s="1"/>
  <c r="D123" i="28" a="1"/>
  <c r="D123" i="28" s="1"/>
  <c r="S123" i="28" a="1"/>
  <c r="S123" i="28" s="1"/>
  <c r="N123" i="28" a="1"/>
  <c r="N123" i="28" s="1"/>
  <c r="AB123" i="28" a="1"/>
  <c r="AB123" i="28" s="1"/>
  <c r="AC123" i="28" s="1"/>
  <c r="J123" i="28"/>
  <c r="K123" i="28"/>
  <c r="E123" i="28" a="1"/>
  <c r="E123" i="28" s="1"/>
  <c r="H123" i="28" a="1"/>
  <c r="H123" i="28" s="1"/>
  <c r="G123" i="28" a="1"/>
  <c r="G123" i="28" s="1"/>
  <c r="P82" i="28" a="1"/>
  <c r="P82" i="28" s="1"/>
  <c r="AD82" i="28" a="1"/>
  <c r="AD82" i="28" s="1"/>
  <c r="D82" i="28" a="1"/>
  <c r="D82" i="28" s="1"/>
  <c r="O82" i="28" a="1"/>
  <c r="O82" i="28" s="1"/>
  <c r="S82" i="28" a="1"/>
  <c r="S82" i="28" s="1"/>
  <c r="AA82" i="28" a="1"/>
  <c r="AA82" i="28" s="1"/>
  <c r="M82" i="28" a="1"/>
  <c r="M82" i="28" s="1"/>
  <c r="Q82" i="28" a="1"/>
  <c r="Q82" i="28" s="1"/>
  <c r="AF82" i="28" a="1"/>
  <c r="AF82" i="28" s="1"/>
  <c r="T82" i="28" a="1"/>
  <c r="T82" i="28" s="1"/>
  <c r="N82" i="28" a="1"/>
  <c r="N82" i="28" s="1"/>
  <c r="H82" i="28" a="1"/>
  <c r="H82" i="28" s="1"/>
  <c r="L82" i="28"/>
  <c r="R82" i="28" a="1"/>
  <c r="R82" i="28" s="1"/>
  <c r="K82" i="28"/>
  <c r="J82" i="28"/>
  <c r="X82" i="28" a="1"/>
  <c r="X82" i="28" s="1"/>
  <c r="E82" i="28" a="1"/>
  <c r="E82" i="28" s="1"/>
  <c r="AB82" i="28" a="1"/>
  <c r="AB82" i="28" s="1"/>
  <c r="AC82" i="28" s="1"/>
  <c r="AE82" i="28" a="1"/>
  <c r="AE82" i="28" s="1"/>
  <c r="G82" i="28" a="1"/>
  <c r="G82" i="28" s="1"/>
  <c r="R101" i="28" a="1"/>
  <c r="R101" i="28" s="1"/>
  <c r="D101" i="28" a="1"/>
  <c r="D101" i="28" s="1"/>
  <c r="AA101" i="28" a="1"/>
  <c r="AA101" i="28" s="1"/>
  <c r="X101" i="28" a="1"/>
  <c r="X101" i="28" s="1"/>
  <c r="E101" i="28" a="1"/>
  <c r="E101" i="28" s="1"/>
  <c r="H101" i="28" a="1"/>
  <c r="H101" i="28" s="1"/>
  <c r="AF101" i="28" a="1"/>
  <c r="AF101" i="28" s="1"/>
  <c r="L101" i="28"/>
  <c r="AB101" i="28" a="1"/>
  <c r="AB101" i="28" s="1"/>
  <c r="O101" i="28" a="1"/>
  <c r="O101" i="28" s="1"/>
  <c r="N101" i="28" a="1"/>
  <c r="N101" i="28" s="1"/>
  <c r="S101" i="28" a="1"/>
  <c r="S101" i="28" s="1"/>
  <c r="K101" i="28"/>
  <c r="AD101" i="28" a="1"/>
  <c r="AD101" i="28" s="1"/>
  <c r="AE101" i="28" a="1"/>
  <c r="AE101" i="28" s="1"/>
  <c r="P101" i="28" a="1"/>
  <c r="P101" i="28" s="1"/>
  <c r="T101" i="28" a="1"/>
  <c r="T101" i="28" s="1"/>
  <c r="Q101" i="28" a="1"/>
  <c r="Q101" i="28" s="1"/>
  <c r="M101" i="28" a="1"/>
  <c r="M101" i="28" s="1"/>
  <c r="J101" i="28"/>
  <c r="G101" i="28" a="1"/>
  <c r="G101" i="28" s="1"/>
  <c r="J157" i="28"/>
  <c r="AF157" i="28" a="1"/>
  <c r="AF157" i="28" s="1"/>
  <c r="X157" i="28" a="1"/>
  <c r="X157" i="28" s="1"/>
  <c r="AE157" i="28" a="1"/>
  <c r="AE157" i="28" s="1"/>
  <c r="H157" i="28" a="1"/>
  <c r="H157" i="28" s="1"/>
  <c r="AA157" i="28" a="1"/>
  <c r="AA157" i="28" s="1"/>
  <c r="Q157" i="28" a="1"/>
  <c r="Q157" i="28" s="1"/>
  <c r="M157" i="28" a="1"/>
  <c r="M157" i="28" s="1"/>
  <c r="N157" i="28" a="1"/>
  <c r="N157" i="28" s="1"/>
  <c r="L157" i="28"/>
  <c r="O157" i="28" a="1"/>
  <c r="O157" i="28" s="1"/>
  <c r="AB157" i="28" a="1"/>
  <c r="AB157" i="28" s="1"/>
  <c r="AC157" i="28" s="1"/>
  <c r="P157" i="28" a="1"/>
  <c r="P157" i="28" s="1"/>
  <c r="S157" i="28" a="1"/>
  <c r="S157" i="28" s="1"/>
  <c r="R157" i="28" a="1"/>
  <c r="R157" i="28" s="1"/>
  <c r="T157" i="28" a="1"/>
  <c r="T157" i="28" s="1"/>
  <c r="E157" i="28" a="1"/>
  <c r="E157" i="28" s="1"/>
  <c r="AD157" i="28" a="1"/>
  <c r="AD157" i="28" s="1"/>
  <c r="K157" i="28"/>
  <c r="D157" i="28" a="1"/>
  <c r="D157" i="28" s="1"/>
  <c r="G157" i="28" a="1"/>
  <c r="G157" i="28" s="1"/>
  <c r="M92" i="24"/>
  <c r="J92" i="24"/>
  <c r="L92" i="24" s="1"/>
  <c r="N92" i="24"/>
  <c r="G92" i="24"/>
  <c r="I92" i="24" s="1"/>
  <c r="R124" i="28" a="1"/>
  <c r="R124" i="28" s="1"/>
  <c r="O124" i="28" a="1"/>
  <c r="O124" i="28" s="1"/>
  <c r="H124" i="28" a="1"/>
  <c r="H124" i="28" s="1"/>
  <c r="AB124" i="28" a="1"/>
  <c r="AB124" i="28" s="1"/>
  <c r="AC124" i="28" s="1"/>
  <c r="D124" i="28" a="1"/>
  <c r="D124" i="28" s="1"/>
  <c r="P124" i="28" a="1"/>
  <c r="P124" i="28" s="1"/>
  <c r="AE124" i="28" a="1"/>
  <c r="AE124" i="28" s="1"/>
  <c r="T124" i="28" a="1"/>
  <c r="T124" i="28" s="1"/>
  <c r="X124" i="28" a="1"/>
  <c r="X124" i="28" s="1"/>
  <c r="J124" i="28"/>
  <c r="N124" i="28" a="1"/>
  <c r="N124" i="28" s="1"/>
  <c r="Q124" i="28" a="1"/>
  <c r="Q124" i="28" s="1"/>
  <c r="S124" i="28" a="1"/>
  <c r="S124" i="28" s="1"/>
  <c r="M124" i="28" a="1"/>
  <c r="M124" i="28" s="1"/>
  <c r="AD124" i="28" a="1"/>
  <c r="AD124" i="28" s="1"/>
  <c r="AA124" i="28" a="1"/>
  <c r="AA124" i="28" s="1"/>
  <c r="L124" i="28"/>
  <c r="AF124" i="28" a="1"/>
  <c r="AF124" i="28" s="1"/>
  <c r="E124" i="28" a="1"/>
  <c r="E124" i="28" s="1"/>
  <c r="K124" i="28"/>
  <c r="G124" i="28" a="1"/>
  <c r="G124" i="28" s="1"/>
  <c r="J110" i="24"/>
  <c r="L110" i="24" s="1"/>
  <c r="N110" i="24"/>
  <c r="M110" i="24"/>
  <c r="G110" i="24"/>
  <c r="H110" i="24" s="1"/>
  <c r="AF115" i="28" a="1"/>
  <c r="AF115" i="28" s="1"/>
  <c r="E115" i="28" a="1"/>
  <c r="E115" i="28" s="1"/>
  <c r="H115" i="28" a="1"/>
  <c r="H115" i="28" s="1"/>
  <c r="AA115" i="28" a="1"/>
  <c r="AA115" i="28" s="1"/>
  <c r="Q115" i="28" a="1"/>
  <c r="Q115" i="28" s="1"/>
  <c r="J115" i="28"/>
  <c r="R115" i="28" a="1"/>
  <c r="R115" i="28" s="1"/>
  <c r="AE115" i="28" a="1"/>
  <c r="AE115" i="28" s="1"/>
  <c r="N115" i="28" a="1"/>
  <c r="N115" i="28" s="1"/>
  <c r="M115" i="28" a="1"/>
  <c r="M115" i="28" s="1"/>
  <c r="L115" i="28"/>
  <c r="X115" i="28" a="1"/>
  <c r="X115" i="28" s="1"/>
  <c r="T115" i="28" a="1"/>
  <c r="T115" i="28" s="1"/>
  <c r="O115" i="28" a="1"/>
  <c r="O115" i="28" s="1"/>
  <c r="D115" i="28" a="1"/>
  <c r="D115" i="28" s="1"/>
  <c r="K115" i="28"/>
  <c r="AD115" i="28" a="1"/>
  <c r="AD115" i="28" s="1"/>
  <c r="AB115" i="28" a="1"/>
  <c r="AB115" i="28" s="1"/>
  <c r="AC115" i="28" s="1"/>
  <c r="S115" i="28" a="1"/>
  <c r="S115" i="28" s="1"/>
  <c r="P115" i="28" a="1"/>
  <c r="P115" i="28" s="1"/>
  <c r="G115" i="28" a="1"/>
  <c r="G115" i="28" s="1"/>
  <c r="L127" i="28"/>
  <c r="AD127" i="28" a="1"/>
  <c r="AD127" i="28" s="1"/>
  <c r="O127" i="28" a="1"/>
  <c r="O127" i="28" s="1"/>
  <c r="D127" i="28" a="1"/>
  <c r="D127" i="28" s="1"/>
  <c r="AA127" i="28" a="1"/>
  <c r="AA127" i="28" s="1"/>
  <c r="P127" i="28" a="1"/>
  <c r="P127" i="28" s="1"/>
  <c r="H127" i="28" a="1"/>
  <c r="H127" i="28" s="1"/>
  <c r="AE127" i="28" a="1"/>
  <c r="AE127" i="28" s="1"/>
  <c r="M127" i="28" a="1"/>
  <c r="M127" i="28" s="1"/>
  <c r="X127" i="28" a="1"/>
  <c r="X127" i="28" s="1"/>
  <c r="AF127" i="28" a="1"/>
  <c r="AF127" i="28" s="1"/>
  <c r="R127" i="28" a="1"/>
  <c r="R127" i="28" s="1"/>
  <c r="N127" i="28" a="1"/>
  <c r="N127" i="28" s="1"/>
  <c r="Q127" i="28" a="1"/>
  <c r="Q127" i="28" s="1"/>
  <c r="K127" i="28"/>
  <c r="AB127" i="28" a="1"/>
  <c r="AB127" i="28" s="1"/>
  <c r="AC127" i="28" s="1"/>
  <c r="S127" i="28" a="1"/>
  <c r="S127" i="28" s="1"/>
  <c r="J127" i="28"/>
  <c r="T127" i="28" a="1"/>
  <c r="T127" i="28" s="1"/>
  <c r="E127" i="28" a="1"/>
  <c r="E127" i="28" s="1"/>
  <c r="G127" i="28" a="1"/>
  <c r="G127" i="28" s="1"/>
  <c r="T142" i="28" a="1"/>
  <c r="T142" i="28" s="1"/>
  <c r="E142" i="28" a="1"/>
  <c r="E142" i="28" s="1"/>
  <c r="AE142" i="28" a="1"/>
  <c r="AE142" i="28" s="1"/>
  <c r="P142" i="28" a="1"/>
  <c r="P142" i="28" s="1"/>
  <c r="AA142" i="28" a="1"/>
  <c r="AA142" i="28" s="1"/>
  <c r="J142" i="28"/>
  <c r="AD142" i="28" a="1"/>
  <c r="AD142" i="28" s="1"/>
  <c r="L142" i="28"/>
  <c r="K142" i="28"/>
  <c r="D142" i="28" a="1"/>
  <c r="D142" i="28" s="1"/>
  <c r="F142" i="28" s="1"/>
  <c r="Q142" i="28" a="1"/>
  <c r="Q142" i="28" s="1"/>
  <c r="R142" i="28" a="1"/>
  <c r="R142" i="28" s="1"/>
  <c r="S142" i="28" a="1"/>
  <c r="S142" i="28" s="1"/>
  <c r="AB142" i="28" a="1"/>
  <c r="AB142" i="28" s="1"/>
  <c r="AC142" i="28" s="1"/>
  <c r="AF142" i="28" a="1"/>
  <c r="AF142" i="28" s="1"/>
  <c r="O142" i="28" a="1"/>
  <c r="O142" i="28" s="1"/>
  <c r="M142" i="28" a="1"/>
  <c r="M142" i="28" s="1"/>
  <c r="H142" i="28" a="1"/>
  <c r="H142" i="28" s="1"/>
  <c r="I142" i="28" s="1"/>
  <c r="X142" i="28" a="1"/>
  <c r="X142" i="28" s="1"/>
  <c r="N142" i="28" a="1"/>
  <c r="N142" i="28" s="1"/>
  <c r="G142" i="28" a="1"/>
  <c r="G142" i="28" s="1"/>
  <c r="M29" i="24"/>
  <c r="J29" i="24"/>
  <c r="N29" i="24"/>
  <c r="G29" i="24"/>
  <c r="H29" i="24" s="1"/>
  <c r="E131" i="28" a="1"/>
  <c r="E131" i="28" s="1"/>
  <c r="R131" i="28" a="1"/>
  <c r="R131" i="28" s="1"/>
  <c r="AF131" i="28" a="1"/>
  <c r="AF131" i="28" s="1"/>
  <c r="L131" i="28"/>
  <c r="AB131" i="28" a="1"/>
  <c r="AB131" i="28" s="1"/>
  <c r="Q131" i="28" a="1"/>
  <c r="Q131" i="28" s="1"/>
  <c r="AA131" i="28" a="1"/>
  <c r="AA131" i="28" s="1"/>
  <c r="M131" i="28" a="1"/>
  <c r="M131" i="28" s="1"/>
  <c r="D131" i="28" a="1"/>
  <c r="D131" i="28" s="1"/>
  <c r="F131" i="28" s="1"/>
  <c r="AE131" i="28" a="1"/>
  <c r="AE131" i="28" s="1"/>
  <c r="J131" i="28"/>
  <c r="AD131" i="28" a="1"/>
  <c r="AD131" i="28" s="1"/>
  <c r="X131" i="28" a="1"/>
  <c r="X131" i="28" s="1"/>
  <c r="K131" i="28"/>
  <c r="H131" i="28" a="1"/>
  <c r="H131" i="28" s="1"/>
  <c r="I131" i="28" s="1"/>
  <c r="T131" i="28" a="1"/>
  <c r="T131" i="28" s="1"/>
  <c r="S131" i="28" a="1"/>
  <c r="S131" i="28" s="1"/>
  <c r="O131" i="28" a="1"/>
  <c r="O131" i="28" s="1"/>
  <c r="P131" i="28" a="1"/>
  <c r="P131" i="28" s="1"/>
  <c r="N131" i="28" a="1"/>
  <c r="N131" i="28" s="1"/>
  <c r="G131" i="28" a="1"/>
  <c r="G131" i="28" s="1"/>
  <c r="L100" i="28"/>
  <c r="Q100" i="28" a="1"/>
  <c r="Q100" i="28" s="1"/>
  <c r="J100" i="28"/>
  <c r="AB100" i="28" a="1"/>
  <c r="AB100" i="28" s="1"/>
  <c r="AC100" i="28" s="1"/>
  <c r="H100" i="28" a="1"/>
  <c r="H100" i="28" s="1"/>
  <c r="E100" i="28" a="1"/>
  <c r="E100" i="28" s="1"/>
  <c r="S100" i="28" a="1"/>
  <c r="S100" i="28" s="1"/>
  <c r="N100" i="28" a="1"/>
  <c r="N100" i="28" s="1"/>
  <c r="D100" i="28" a="1"/>
  <c r="D100" i="28" s="1"/>
  <c r="AA100" i="28" a="1"/>
  <c r="AA100" i="28" s="1"/>
  <c r="M100" i="28" a="1"/>
  <c r="M100" i="28" s="1"/>
  <c r="AE100" i="28" a="1"/>
  <c r="AE100" i="28" s="1"/>
  <c r="P100" i="28" a="1"/>
  <c r="P100" i="28" s="1"/>
  <c r="AF100" i="28" a="1"/>
  <c r="AF100" i="28" s="1"/>
  <c r="R100" i="28" a="1"/>
  <c r="R100" i="28" s="1"/>
  <c r="X100" i="28" a="1"/>
  <c r="X100" i="28" s="1"/>
  <c r="O100" i="28" a="1"/>
  <c r="O100" i="28" s="1"/>
  <c r="K100" i="28"/>
  <c r="T100" i="28" a="1"/>
  <c r="T100" i="28" s="1"/>
  <c r="AD100" i="28" a="1"/>
  <c r="AD100" i="28" s="1"/>
  <c r="G100" i="28" a="1"/>
  <c r="G100" i="28" s="1"/>
  <c r="M22" i="24"/>
  <c r="J22" i="24"/>
  <c r="L22" i="24" s="1"/>
  <c r="N22" i="24"/>
  <c r="G22" i="24"/>
  <c r="H22" i="24" s="1"/>
  <c r="J125" i="24"/>
  <c r="L125" i="24" s="1"/>
  <c r="M125" i="24"/>
  <c r="N125" i="24"/>
  <c r="G125" i="24"/>
  <c r="H125" i="24" s="1"/>
  <c r="J29" i="28"/>
  <c r="M29" i="28" a="1"/>
  <c r="M29" i="28" s="1"/>
  <c r="AB29" i="28" a="1"/>
  <c r="AB29" i="28" s="1"/>
  <c r="N29" i="28" a="1"/>
  <c r="N29" i="28" s="1"/>
  <c r="AE29" i="28" a="1"/>
  <c r="AE29" i="28" s="1"/>
  <c r="Q29" i="28" a="1"/>
  <c r="Q29" i="28" s="1"/>
  <c r="S29" i="28" a="1"/>
  <c r="S29" i="28" s="1"/>
  <c r="T29" i="28" a="1"/>
  <c r="T29" i="28" s="1"/>
  <c r="AF29" i="28" a="1"/>
  <c r="AF29" i="28" s="1"/>
  <c r="K29" i="28"/>
  <c r="AD29" i="28" a="1"/>
  <c r="AD29" i="28" s="1"/>
  <c r="L29" i="28"/>
  <c r="D29" i="28" a="1"/>
  <c r="D29" i="28" s="1"/>
  <c r="H29" i="28" a="1"/>
  <c r="H29" i="28" s="1"/>
  <c r="X29" i="28" a="1"/>
  <c r="X29" i="28" s="1"/>
  <c r="E29" i="28" a="1"/>
  <c r="E29" i="28" s="1"/>
  <c r="P29" i="28" a="1"/>
  <c r="P29" i="28" s="1"/>
  <c r="O29" i="28" a="1"/>
  <c r="O29" i="28" s="1"/>
  <c r="AA29" i="28" a="1"/>
  <c r="AA29" i="28" s="1"/>
  <c r="R29" i="28" a="1"/>
  <c r="R29" i="28" s="1"/>
  <c r="G29" i="28" a="1"/>
  <c r="G29" i="28" s="1"/>
  <c r="D135" i="28" a="1"/>
  <c r="D135" i="28" s="1"/>
  <c r="F135" i="28" s="1"/>
  <c r="AD135" i="28" a="1"/>
  <c r="AD135" i="28" s="1"/>
  <c r="L135" i="28"/>
  <c r="H135" i="28" a="1"/>
  <c r="H135" i="28" s="1"/>
  <c r="X135" i="28" a="1"/>
  <c r="X135" i="28" s="1"/>
  <c r="O135" i="28" a="1"/>
  <c r="O135" i="28" s="1"/>
  <c r="N135" i="28" a="1"/>
  <c r="N135" i="28" s="1"/>
  <c r="AE135" i="28" a="1"/>
  <c r="AE135" i="28" s="1"/>
  <c r="M135" i="28" a="1"/>
  <c r="M135" i="28" s="1"/>
  <c r="Q135" i="28" a="1"/>
  <c r="Q135" i="28" s="1"/>
  <c r="AB135" i="28" a="1"/>
  <c r="AB135" i="28" s="1"/>
  <c r="AC135" i="28" s="1"/>
  <c r="P135" i="28" a="1"/>
  <c r="P135" i="28" s="1"/>
  <c r="K135" i="28"/>
  <c r="AF135" i="28" a="1"/>
  <c r="AF135" i="28" s="1"/>
  <c r="AA135" i="28" a="1"/>
  <c r="AA135" i="28" s="1"/>
  <c r="S135" i="28" a="1"/>
  <c r="S135" i="28" s="1"/>
  <c r="T135" i="28" a="1"/>
  <c r="T135" i="28" s="1"/>
  <c r="U135" i="28" s="1"/>
  <c r="V135" i="28" s="1" a="1"/>
  <c r="V135" i="28" s="1"/>
  <c r="W135" i="28" s="1"/>
  <c r="J135" i="28"/>
  <c r="E135" i="28" a="1"/>
  <c r="E135" i="28" s="1"/>
  <c r="R135" i="28" a="1"/>
  <c r="R135" i="28" s="1"/>
  <c r="G135" i="28" a="1"/>
  <c r="G135" i="28" s="1"/>
  <c r="N116" i="24"/>
  <c r="J116" i="24"/>
  <c r="L116" i="24" s="1"/>
  <c r="M116" i="24"/>
  <c r="G116" i="24"/>
  <c r="I116" i="24" s="1"/>
  <c r="J25" i="28"/>
  <c r="AE25" i="28" a="1"/>
  <c r="AE25" i="28" s="1"/>
  <c r="N25" i="28" a="1"/>
  <c r="N25" i="28" s="1"/>
  <c r="R25" i="28" a="1"/>
  <c r="R25" i="28" s="1"/>
  <c r="AD25" i="28" a="1"/>
  <c r="AD25" i="28" s="1"/>
  <c r="P25" i="28" a="1"/>
  <c r="P25" i="28" s="1"/>
  <c r="AA25" i="28" a="1"/>
  <c r="AA25" i="28" s="1"/>
  <c r="M25" i="28" a="1"/>
  <c r="M25" i="28" s="1"/>
  <c r="O25" i="28" a="1"/>
  <c r="O25" i="28" s="1"/>
  <c r="AB25" i="28" a="1"/>
  <c r="AB25" i="28" s="1"/>
  <c r="AC25" i="28" s="1"/>
  <c r="K25" i="28"/>
  <c r="AF25" i="28" a="1"/>
  <c r="AF25" i="28" s="1"/>
  <c r="D25" i="28" a="1"/>
  <c r="D25" i="28" s="1"/>
  <c r="S25" i="28" a="1"/>
  <c r="S25" i="28" s="1"/>
  <c r="T25" i="28" a="1"/>
  <c r="T25" i="28" s="1"/>
  <c r="Q25" i="28" a="1"/>
  <c r="Q25" i="28" s="1"/>
  <c r="H25" i="28" a="1"/>
  <c r="H25" i="28" s="1"/>
  <c r="L25" i="28"/>
  <c r="X25" i="28" a="1"/>
  <c r="X25" i="28" s="1"/>
  <c r="E25" i="28" a="1"/>
  <c r="E25" i="28" s="1"/>
  <c r="G25" i="28" a="1"/>
  <c r="G25" i="28" s="1"/>
  <c r="J117" i="28"/>
  <c r="S117" i="28" a="1"/>
  <c r="S117" i="28" s="1"/>
  <c r="E117" i="28" a="1"/>
  <c r="E117" i="28" s="1"/>
  <c r="H117" i="28" a="1"/>
  <c r="H117" i="28" s="1"/>
  <c r="X117" i="28" a="1"/>
  <c r="X117" i="28" s="1"/>
  <c r="P117" i="28" a="1"/>
  <c r="P117" i="28" s="1"/>
  <c r="AF117" i="28" a="1"/>
  <c r="AF117" i="28" s="1"/>
  <c r="L117" i="28"/>
  <c r="Q117" i="28" a="1"/>
  <c r="Q117" i="28" s="1"/>
  <c r="AE117" i="28" a="1"/>
  <c r="AE117" i="28" s="1"/>
  <c r="T117" i="28" a="1"/>
  <c r="T117" i="28" s="1"/>
  <c r="AD117" i="28" a="1"/>
  <c r="AD117" i="28" s="1"/>
  <c r="M117" i="28" a="1"/>
  <c r="M117" i="28" s="1"/>
  <c r="AB117" i="28" a="1"/>
  <c r="AB117" i="28" s="1"/>
  <c r="AC117" i="28" s="1"/>
  <c r="N117" i="28" a="1"/>
  <c r="N117" i="28" s="1"/>
  <c r="O117" i="28" a="1"/>
  <c r="O117" i="28" s="1"/>
  <c r="K117" i="28"/>
  <c r="D117" i="28" a="1"/>
  <c r="D117" i="28" s="1"/>
  <c r="R117" i="28" a="1"/>
  <c r="R117" i="28" s="1"/>
  <c r="AA117" i="28" a="1"/>
  <c r="AA117" i="28" s="1"/>
  <c r="G117" i="28" a="1"/>
  <c r="G117" i="28" s="1"/>
  <c r="M149" i="24"/>
  <c r="J149" i="24"/>
  <c r="N149" i="24"/>
  <c r="G149" i="24"/>
  <c r="H149" i="24" s="1"/>
  <c r="J116" i="28"/>
  <c r="X116" i="28" a="1"/>
  <c r="X116" i="28" s="1"/>
  <c r="AD116" i="28" a="1"/>
  <c r="AD116" i="28" s="1"/>
  <c r="R116" i="28" a="1"/>
  <c r="R116" i="28" s="1"/>
  <c r="P116" i="28" a="1"/>
  <c r="P116" i="28" s="1"/>
  <c r="S116" i="28" a="1"/>
  <c r="S116" i="28" s="1"/>
  <c r="L116" i="28"/>
  <c r="M116" i="28" a="1"/>
  <c r="M116" i="28" s="1"/>
  <c r="AF116" i="28" a="1"/>
  <c r="AF116" i="28" s="1"/>
  <c r="D116" i="28" a="1"/>
  <c r="D116" i="28" s="1"/>
  <c r="F116" i="28" s="1"/>
  <c r="AA116" i="28" a="1"/>
  <c r="AA116" i="28" s="1"/>
  <c r="N116" i="28" a="1"/>
  <c r="N116" i="28" s="1"/>
  <c r="Q116" i="28" a="1"/>
  <c r="Q116" i="28" s="1"/>
  <c r="O116" i="28" a="1"/>
  <c r="O116" i="28" s="1"/>
  <c r="E116" i="28" a="1"/>
  <c r="E116" i="28" s="1"/>
  <c r="AE116" i="28" a="1"/>
  <c r="AE116" i="28" s="1"/>
  <c r="T116" i="28" a="1"/>
  <c r="T116" i="28" s="1"/>
  <c r="H116" i="28" a="1"/>
  <c r="H116" i="28" s="1"/>
  <c r="I116" i="28" s="1"/>
  <c r="AB116" i="28" a="1"/>
  <c r="AB116" i="28" s="1"/>
  <c r="AC116" i="28" s="1"/>
  <c r="K116" i="28"/>
  <c r="G116" i="28" a="1"/>
  <c r="G116" i="28" s="1"/>
  <c r="J129" i="24"/>
  <c r="M129" i="24"/>
  <c r="N129" i="24"/>
  <c r="G129" i="24"/>
  <c r="H129" i="24" s="1"/>
  <c r="M132" i="24"/>
  <c r="J132" i="24"/>
  <c r="N132" i="24"/>
  <c r="G132" i="24"/>
  <c r="H132" i="24" s="1"/>
  <c r="M101" i="24"/>
  <c r="N101" i="24"/>
  <c r="J101" i="24"/>
  <c r="G101" i="24"/>
  <c r="H101" i="24" s="1"/>
  <c r="M139" i="24"/>
  <c r="N139" i="24"/>
  <c r="J139" i="24"/>
  <c r="G139" i="24"/>
  <c r="I139" i="24" s="1"/>
  <c r="O56" i="28" a="1"/>
  <c r="O56" i="28" s="1"/>
  <c r="Q56" i="28" a="1"/>
  <c r="Q56" i="28" s="1"/>
  <c r="AF56" i="28" a="1"/>
  <c r="AF56" i="28" s="1"/>
  <c r="J56" i="28"/>
  <c r="N56" i="28" a="1"/>
  <c r="N56" i="28" s="1"/>
  <c r="AB56" i="28" a="1"/>
  <c r="AB56" i="28" s="1"/>
  <c r="AC56" i="28" s="1"/>
  <c r="T56" i="28" a="1"/>
  <c r="T56" i="28" s="1"/>
  <c r="P56" i="28" a="1"/>
  <c r="P56" i="28" s="1"/>
  <c r="S56" i="28" a="1"/>
  <c r="S56" i="28" s="1"/>
  <c r="X56" i="28" a="1"/>
  <c r="X56" i="28" s="1"/>
  <c r="L56" i="28"/>
  <c r="M56" i="28" a="1"/>
  <c r="M56" i="28" s="1"/>
  <c r="AD56" i="28" a="1"/>
  <c r="AD56" i="28" s="1"/>
  <c r="K56" i="28"/>
  <c r="AE56" i="28" a="1"/>
  <c r="AE56" i="28" s="1"/>
  <c r="H56" i="28" a="1"/>
  <c r="H56" i="28" s="1"/>
  <c r="AA56" i="28" a="1"/>
  <c r="AA56" i="28" s="1"/>
  <c r="D56" i="28" a="1"/>
  <c r="D56" i="28" s="1"/>
  <c r="F56" i="28" s="1"/>
  <c r="R56" i="28" a="1"/>
  <c r="R56" i="28" s="1"/>
  <c r="E56" i="28" a="1"/>
  <c r="E56" i="28" s="1"/>
  <c r="G56" i="28" a="1"/>
  <c r="G56" i="28" s="1"/>
  <c r="R33" i="28" a="1"/>
  <c r="R33" i="28" s="1"/>
  <c r="M33" i="28" a="1"/>
  <c r="M33" i="28" s="1"/>
  <c r="AB33" i="28" a="1"/>
  <c r="AB33" i="28" s="1"/>
  <c r="AC33" i="28" s="1"/>
  <c r="N33" i="28" a="1"/>
  <c r="N33" i="28" s="1"/>
  <c r="AD33" i="28" a="1"/>
  <c r="AD33" i="28" s="1"/>
  <c r="T33" i="28" a="1"/>
  <c r="T33" i="28" s="1"/>
  <c r="J33" i="28"/>
  <c r="S33" i="28" a="1"/>
  <c r="S33" i="28" s="1"/>
  <c r="O33" i="28" a="1"/>
  <c r="O33" i="28" s="1"/>
  <c r="L33" i="28"/>
  <c r="AF33" i="28" a="1"/>
  <c r="AF33" i="28" s="1"/>
  <c r="P33" i="28" a="1"/>
  <c r="P33" i="28" s="1"/>
  <c r="K33" i="28"/>
  <c r="AA33" i="28" a="1"/>
  <c r="AA33" i="28" s="1"/>
  <c r="AE33" i="28" a="1"/>
  <c r="AE33" i="28" s="1"/>
  <c r="Q33" i="28" a="1"/>
  <c r="Q33" i="28" s="1"/>
  <c r="E33" i="28" a="1"/>
  <c r="E33" i="28" s="1"/>
  <c r="X33" i="28" a="1"/>
  <c r="X33" i="28" s="1"/>
  <c r="H33" i="28" a="1"/>
  <c r="H33" i="28" s="1"/>
  <c r="D33" i="28" a="1"/>
  <c r="D33" i="28" s="1"/>
  <c r="G33" i="28" a="1"/>
  <c r="G33" i="28" s="1"/>
  <c r="E96" i="28" a="1"/>
  <c r="E96" i="28" s="1"/>
  <c r="S96" i="28" a="1"/>
  <c r="S96" i="28" s="1"/>
  <c r="T96" i="28" a="1"/>
  <c r="T96" i="28" s="1"/>
  <c r="X96" i="28" a="1"/>
  <c r="X96" i="28" s="1"/>
  <c r="R96" i="28" a="1"/>
  <c r="R96" i="28" s="1"/>
  <c r="AE96" i="28" a="1"/>
  <c r="AE96" i="28" s="1"/>
  <c r="N96" i="28" a="1"/>
  <c r="N96" i="28" s="1"/>
  <c r="AA96" i="28" a="1"/>
  <c r="AA96" i="28" s="1"/>
  <c r="K96" i="28"/>
  <c r="AF96" i="28" a="1"/>
  <c r="AF96" i="28" s="1"/>
  <c r="Q96" i="28" a="1"/>
  <c r="Q96" i="28" s="1"/>
  <c r="AD96" i="28" a="1"/>
  <c r="AD96" i="28" s="1"/>
  <c r="H96" i="28" a="1"/>
  <c r="H96" i="28" s="1"/>
  <c r="L96" i="28"/>
  <c r="O96" i="28" a="1"/>
  <c r="O96" i="28" s="1"/>
  <c r="D96" i="28" a="1"/>
  <c r="D96" i="28" s="1"/>
  <c r="P96" i="28" a="1"/>
  <c r="P96" i="28" s="1"/>
  <c r="AB96" i="28" a="1"/>
  <c r="AB96" i="28" s="1"/>
  <c r="AC96" i="28" s="1"/>
  <c r="J96" i="28"/>
  <c r="M96" i="28" a="1"/>
  <c r="M96" i="28" s="1"/>
  <c r="G96" i="28" a="1"/>
  <c r="G96" i="28" s="1"/>
  <c r="O129" i="28" a="1"/>
  <c r="O129" i="28" s="1"/>
  <c r="D129" i="28" a="1"/>
  <c r="D129" i="28" s="1"/>
  <c r="M129" i="28" a="1"/>
  <c r="M129" i="28" s="1"/>
  <c r="AE129" i="28" a="1"/>
  <c r="AE129" i="28" s="1"/>
  <c r="X129" i="28" a="1"/>
  <c r="X129" i="28" s="1"/>
  <c r="H129" i="28" a="1"/>
  <c r="H129" i="28" s="1"/>
  <c r="S129" i="28" a="1"/>
  <c r="S129" i="28" s="1"/>
  <c r="K129" i="28"/>
  <c r="L129" i="28"/>
  <c r="AF129" i="28" a="1"/>
  <c r="AF129" i="28" s="1"/>
  <c r="R129" i="28" a="1"/>
  <c r="R129" i="28" s="1"/>
  <c r="Q129" i="28" a="1"/>
  <c r="Q129" i="28" s="1"/>
  <c r="P129" i="28" a="1"/>
  <c r="P129" i="28" s="1"/>
  <c r="AD129" i="28" a="1"/>
  <c r="AD129" i="28" s="1"/>
  <c r="T129" i="28" a="1"/>
  <c r="T129" i="28" s="1"/>
  <c r="AB129" i="28" a="1"/>
  <c r="AB129" i="28" s="1"/>
  <c r="AC129" i="28" s="1"/>
  <c r="E129" i="28" a="1"/>
  <c r="E129" i="28" s="1"/>
  <c r="AA129" i="28" a="1"/>
  <c r="AA129" i="28" s="1"/>
  <c r="J129" i="28"/>
  <c r="N129" i="28" a="1"/>
  <c r="N129" i="28" s="1"/>
  <c r="G129" i="28" a="1"/>
  <c r="G129" i="28" s="1"/>
  <c r="N86" i="24"/>
  <c r="M86" i="24"/>
  <c r="J86" i="24"/>
  <c r="G86" i="24"/>
  <c r="H86" i="24" s="1"/>
  <c r="J28" i="24"/>
  <c r="M28" i="24"/>
  <c r="N28" i="24"/>
  <c r="G28" i="24"/>
  <c r="I28" i="24" s="1"/>
  <c r="J79" i="24"/>
  <c r="N79" i="24"/>
  <c r="M79" i="24"/>
  <c r="G79" i="24"/>
  <c r="I79" i="24" s="1"/>
  <c r="L165" i="28"/>
  <c r="AF165" i="28" a="1"/>
  <c r="AF165" i="28" s="1"/>
  <c r="H165" i="28" a="1"/>
  <c r="H165" i="28" s="1"/>
  <c r="Q165" i="28" a="1"/>
  <c r="Q165" i="28" s="1"/>
  <c r="S165" i="28" a="1"/>
  <c r="S165" i="28" s="1"/>
  <c r="R165" i="28" a="1"/>
  <c r="R165" i="28" s="1"/>
  <c r="J165" i="28"/>
  <c r="AD165" i="28" a="1"/>
  <c r="AD165" i="28" s="1"/>
  <c r="N165" i="28" a="1"/>
  <c r="N165" i="28" s="1"/>
  <c r="P165" i="28" a="1"/>
  <c r="P165" i="28" s="1"/>
  <c r="AB165" i="28" a="1"/>
  <c r="AB165" i="28" s="1"/>
  <c r="AC165" i="28" s="1"/>
  <c r="O165" i="28" a="1"/>
  <c r="O165" i="28" s="1"/>
  <c r="T165" i="28" a="1"/>
  <c r="T165" i="28" s="1"/>
  <c r="K165" i="28"/>
  <c r="AA165" i="28" a="1"/>
  <c r="AA165" i="28" s="1"/>
  <c r="D165" i="28" a="1"/>
  <c r="D165" i="28" s="1"/>
  <c r="AE165" i="28" a="1"/>
  <c r="AE165" i="28" s="1"/>
  <c r="X165" i="28" a="1"/>
  <c r="X165" i="28" s="1"/>
  <c r="M165" i="28" a="1"/>
  <c r="M165" i="28" s="1"/>
  <c r="E165" i="28" a="1"/>
  <c r="E165" i="28" s="1"/>
  <c r="G165" i="28" a="1"/>
  <c r="G165" i="28" s="1"/>
  <c r="N6" i="24"/>
  <c r="M6" i="24"/>
  <c r="J6" i="24"/>
  <c r="G6" i="24"/>
  <c r="H6" i="24" s="1"/>
  <c r="J140" i="28"/>
  <c r="AD140" i="28" a="1"/>
  <c r="AD140" i="28" s="1"/>
  <c r="E140" i="28" a="1"/>
  <c r="E140" i="28" s="1"/>
  <c r="AE140" i="28" a="1"/>
  <c r="AE140" i="28" s="1"/>
  <c r="X140" i="28" a="1"/>
  <c r="X140" i="28" s="1"/>
  <c r="R140" i="28" a="1"/>
  <c r="R140" i="28" s="1"/>
  <c r="N140" i="28" a="1"/>
  <c r="N140" i="28" s="1"/>
  <c r="H140" i="28" a="1"/>
  <c r="H140" i="28" s="1"/>
  <c r="O140" i="28" a="1"/>
  <c r="O140" i="28" s="1"/>
  <c r="Q140" i="28" a="1"/>
  <c r="Q140" i="28" s="1"/>
  <c r="AF140" i="28" a="1"/>
  <c r="AF140" i="28" s="1"/>
  <c r="K140" i="28"/>
  <c r="S140" i="28" a="1"/>
  <c r="S140" i="28" s="1"/>
  <c r="AB140" i="28" a="1"/>
  <c r="AB140" i="28" s="1"/>
  <c r="AC140" i="28" s="1"/>
  <c r="T140" i="28" a="1"/>
  <c r="T140" i="28" s="1"/>
  <c r="M140" i="28" a="1"/>
  <c r="M140" i="28" s="1"/>
  <c r="D140" i="28" a="1"/>
  <c r="D140" i="28" s="1"/>
  <c r="AA140" i="28" a="1"/>
  <c r="AA140" i="28" s="1"/>
  <c r="P140" i="28" a="1"/>
  <c r="P140" i="28" s="1"/>
  <c r="L140" i="28"/>
  <c r="G140" i="28" a="1"/>
  <c r="G140" i="28" s="1"/>
  <c r="N96" i="24"/>
  <c r="M96" i="24"/>
  <c r="J96" i="24"/>
  <c r="G96" i="24"/>
  <c r="H96" i="24" s="1"/>
  <c r="N42" i="24"/>
  <c r="J42" i="24"/>
  <c r="M42" i="24"/>
  <c r="G42" i="24"/>
  <c r="H42" i="24" s="1"/>
  <c r="M156" i="28" a="1"/>
  <c r="M156" i="28" s="1"/>
  <c r="S156" i="28" a="1"/>
  <c r="S156" i="28" s="1"/>
  <c r="H156" i="28" a="1"/>
  <c r="H156" i="28" s="1"/>
  <c r="L156" i="28"/>
  <c r="P156" i="28" a="1"/>
  <c r="P156" i="28" s="1"/>
  <c r="O156" i="28" a="1"/>
  <c r="O156" i="28" s="1"/>
  <c r="D156" i="28" a="1"/>
  <c r="D156" i="28" s="1"/>
  <c r="J156" i="28"/>
  <c r="E156" i="28" a="1"/>
  <c r="E156" i="28" s="1"/>
  <c r="AD156" i="28" a="1"/>
  <c r="AD156" i="28" s="1"/>
  <c r="AB156" i="28" a="1"/>
  <c r="AB156" i="28" s="1"/>
  <c r="AC156" i="28" s="1"/>
  <c r="X156" i="28" a="1"/>
  <c r="X156" i="28" s="1"/>
  <c r="AE156" i="28" a="1"/>
  <c r="AE156" i="28" s="1"/>
  <c r="N156" i="28" a="1"/>
  <c r="N156" i="28" s="1"/>
  <c r="K156" i="28"/>
  <c r="R156" i="28" a="1"/>
  <c r="R156" i="28" s="1"/>
  <c r="AF156" i="28" a="1"/>
  <c r="AF156" i="28" s="1"/>
  <c r="T156" i="28" a="1"/>
  <c r="T156" i="28" s="1"/>
  <c r="AA156" i="28" a="1"/>
  <c r="AA156" i="28" s="1"/>
  <c r="Q156" i="28" a="1"/>
  <c r="Q156" i="28" s="1"/>
  <c r="G156" i="28" a="1"/>
  <c r="G156" i="28" s="1"/>
  <c r="E147" i="28" a="1"/>
  <c r="E147" i="28" s="1"/>
  <c r="AB147" i="28" a="1"/>
  <c r="AB147" i="28" s="1"/>
  <c r="AC147" i="28" s="1"/>
  <c r="L147" i="28"/>
  <c r="AA147" i="28" a="1"/>
  <c r="AA147" i="28" s="1"/>
  <c r="Q147" i="28" a="1"/>
  <c r="Q147" i="28" s="1"/>
  <c r="H147" i="28" a="1"/>
  <c r="H147" i="28" s="1"/>
  <c r="AE147" i="28" a="1"/>
  <c r="AE147" i="28" s="1"/>
  <c r="J147" i="28"/>
  <c r="R147" i="28" a="1"/>
  <c r="R147" i="28" s="1"/>
  <c r="S147" i="28" a="1"/>
  <c r="S147" i="28" s="1"/>
  <c r="M147" i="28" a="1"/>
  <c r="M147" i="28" s="1"/>
  <c r="N147" i="28" a="1"/>
  <c r="N147" i="28" s="1"/>
  <c r="AD147" i="28" a="1"/>
  <c r="AD147" i="28" s="1"/>
  <c r="AF147" i="28" a="1"/>
  <c r="AF147" i="28" s="1"/>
  <c r="O147" i="28" a="1"/>
  <c r="O147" i="28" s="1"/>
  <c r="K147" i="28"/>
  <c r="X147" i="28" a="1"/>
  <c r="X147" i="28" s="1"/>
  <c r="P147" i="28" a="1"/>
  <c r="P147" i="28" s="1"/>
  <c r="D147" i="28" a="1"/>
  <c r="D147" i="28" s="1"/>
  <c r="T147" i="28" a="1"/>
  <c r="T147" i="28" s="1"/>
  <c r="G147" i="28" a="1"/>
  <c r="G147" i="28" s="1"/>
  <c r="M51" i="24"/>
  <c r="J51" i="24"/>
  <c r="N51" i="24"/>
  <c r="G51" i="24"/>
  <c r="H51" i="24" s="1"/>
  <c r="K24" i="28"/>
  <c r="X24" i="28" a="1"/>
  <c r="X24" i="28" s="1"/>
  <c r="T24" i="28" a="1"/>
  <c r="T24" i="28" s="1"/>
  <c r="P24" i="28" a="1"/>
  <c r="P24" i="28" s="1"/>
  <c r="Q24" i="28" a="1"/>
  <c r="Q24" i="28" s="1"/>
  <c r="AB24" i="28" a="1"/>
  <c r="AB24" i="28" s="1"/>
  <c r="H24" i="28" a="1"/>
  <c r="H24" i="28" s="1"/>
  <c r="J24" i="28"/>
  <c r="AE24" i="28" a="1"/>
  <c r="AE24" i="28" s="1"/>
  <c r="N24" i="28" a="1"/>
  <c r="N24" i="28" s="1"/>
  <c r="E24" i="28" a="1"/>
  <c r="E24" i="28" s="1"/>
  <c r="AA24" i="28" a="1"/>
  <c r="AA24" i="28" s="1"/>
  <c r="S24" i="28" a="1"/>
  <c r="S24" i="28" s="1"/>
  <c r="M24" i="28" a="1"/>
  <c r="M24" i="28" s="1"/>
  <c r="AD24" i="28" a="1"/>
  <c r="AD24" i="28" s="1"/>
  <c r="O24" i="28" a="1"/>
  <c r="O24" i="28" s="1"/>
  <c r="AF24" i="28" a="1"/>
  <c r="AF24" i="28" s="1"/>
  <c r="D24" i="28" a="1"/>
  <c r="D24" i="28" s="1"/>
  <c r="R24" i="28" a="1"/>
  <c r="R24" i="28" s="1"/>
  <c r="L24" i="28"/>
  <c r="G24" i="28" a="1"/>
  <c r="G24" i="28" s="1"/>
  <c r="M32" i="24"/>
  <c r="J32" i="24"/>
  <c r="L32" i="24" s="1"/>
  <c r="N32" i="24"/>
  <c r="G32" i="24"/>
  <c r="I32" i="24" s="1"/>
  <c r="J11" i="24"/>
  <c r="L11" i="24" s="1"/>
  <c r="N11" i="24"/>
  <c r="M11" i="24"/>
  <c r="G11" i="24"/>
  <c r="H11" i="24" s="1"/>
  <c r="N111" i="24"/>
  <c r="J111" i="24"/>
  <c r="M111" i="24"/>
  <c r="G111" i="24"/>
  <c r="H111" i="24" s="1"/>
  <c r="M70" i="24"/>
  <c r="N70" i="24"/>
  <c r="J70" i="24"/>
  <c r="G70" i="24"/>
  <c r="H70" i="24" s="1"/>
  <c r="J89" i="24"/>
  <c r="L89" i="24" s="1"/>
  <c r="N89" i="24"/>
  <c r="M89" i="24"/>
  <c r="G89" i="24"/>
  <c r="H89" i="24" s="1"/>
  <c r="N145" i="24"/>
  <c r="J145" i="24"/>
  <c r="M145" i="24"/>
  <c r="G145" i="24"/>
  <c r="I145" i="24" s="1"/>
  <c r="N104" i="28" a="1"/>
  <c r="N104" i="28" s="1"/>
  <c r="H104" i="28" a="1"/>
  <c r="H104" i="28" s="1"/>
  <c r="AA104" i="28" a="1"/>
  <c r="AA104" i="28" s="1"/>
  <c r="E104" i="28" a="1"/>
  <c r="E104" i="28" s="1"/>
  <c r="L104" i="28"/>
  <c r="K104" i="28"/>
  <c r="X104" i="28" a="1"/>
  <c r="X104" i="28" s="1"/>
  <c r="AD104" i="28" a="1"/>
  <c r="AD104" i="28" s="1"/>
  <c r="R104" i="28" a="1"/>
  <c r="R104" i="28" s="1"/>
  <c r="AE104" i="28" a="1"/>
  <c r="AE104" i="28" s="1"/>
  <c r="Q104" i="28" a="1"/>
  <c r="Q104" i="28" s="1"/>
  <c r="M104" i="28" a="1"/>
  <c r="M104" i="28" s="1"/>
  <c r="O104" i="28" a="1"/>
  <c r="O104" i="28" s="1"/>
  <c r="J104" i="28"/>
  <c r="S104" i="28" a="1"/>
  <c r="S104" i="28" s="1"/>
  <c r="AB104" i="28" a="1"/>
  <c r="AB104" i="28" s="1"/>
  <c r="AC104" i="28" s="1"/>
  <c r="AF104" i="28" a="1"/>
  <c r="AF104" i="28" s="1"/>
  <c r="P104" i="28" a="1"/>
  <c r="P104" i="28" s="1"/>
  <c r="D104" i="28" a="1"/>
  <c r="D104" i="28" s="1"/>
  <c r="T104" i="28" a="1"/>
  <c r="T104" i="28" s="1"/>
  <c r="G104" i="28" a="1"/>
  <c r="G104" i="28" s="1"/>
  <c r="N112" i="24"/>
  <c r="M112" i="24"/>
  <c r="J112" i="24"/>
  <c r="L112" i="24" s="1"/>
  <c r="G112" i="24"/>
  <c r="H112" i="24" s="1"/>
  <c r="K122" i="28"/>
  <c r="AE122" i="28" a="1"/>
  <c r="AE122" i="28" s="1"/>
  <c r="D122" i="28" a="1"/>
  <c r="D122" i="28" s="1"/>
  <c r="H122" i="28" a="1"/>
  <c r="H122" i="28" s="1"/>
  <c r="AF122" i="28" a="1"/>
  <c r="AF122" i="28" s="1"/>
  <c r="R122" i="28" a="1"/>
  <c r="R122" i="28" s="1"/>
  <c r="O122" i="28" a="1"/>
  <c r="O122" i="28" s="1"/>
  <c r="M122" i="28" a="1"/>
  <c r="M122" i="28" s="1"/>
  <c r="E122" i="28" a="1"/>
  <c r="E122" i="28" s="1"/>
  <c r="AB122" i="28" a="1"/>
  <c r="AB122" i="28" s="1"/>
  <c r="Q122" i="28" a="1"/>
  <c r="Q122" i="28" s="1"/>
  <c r="S122" i="28" a="1"/>
  <c r="S122" i="28" s="1"/>
  <c r="J122" i="28"/>
  <c r="P122" i="28" a="1"/>
  <c r="P122" i="28" s="1"/>
  <c r="L122" i="28"/>
  <c r="T122" i="28" a="1"/>
  <c r="T122" i="28" s="1"/>
  <c r="X122" i="28" a="1"/>
  <c r="X122" i="28" s="1"/>
  <c r="N122" i="28" a="1"/>
  <c r="N122" i="28" s="1"/>
  <c r="AA122" i="28" a="1"/>
  <c r="AA122" i="28" s="1"/>
  <c r="AD122" i="28" a="1"/>
  <c r="AD122" i="28" s="1"/>
  <c r="G122" i="28" a="1"/>
  <c r="G122" i="28" s="1"/>
  <c r="N15" i="24"/>
  <c r="M15" i="24"/>
  <c r="J15" i="24"/>
  <c r="G15" i="24"/>
  <c r="H15" i="24" s="1"/>
  <c r="D41" i="28" a="1"/>
  <c r="D41" i="28" s="1"/>
  <c r="AF41" i="28" a="1"/>
  <c r="AF41" i="28" s="1"/>
  <c r="T41" i="28" a="1"/>
  <c r="T41" i="28" s="1"/>
  <c r="AD41" i="28" a="1"/>
  <c r="AD41" i="28" s="1"/>
  <c r="M41" i="28" a="1"/>
  <c r="M41" i="28" s="1"/>
  <c r="AE41" i="28" a="1"/>
  <c r="AE41" i="28" s="1"/>
  <c r="Q41" i="28" a="1"/>
  <c r="Q41" i="28" s="1"/>
  <c r="R41" i="28" a="1"/>
  <c r="R41" i="28" s="1"/>
  <c r="O41" i="28" a="1"/>
  <c r="O41" i="28" s="1"/>
  <c r="H41" i="28" a="1"/>
  <c r="H41" i="28" s="1"/>
  <c r="X41" i="28" a="1"/>
  <c r="X41" i="28" s="1"/>
  <c r="P41" i="28" a="1"/>
  <c r="P41" i="28" s="1"/>
  <c r="S41" i="28" a="1"/>
  <c r="S41" i="28" s="1"/>
  <c r="L41" i="28"/>
  <c r="J41" i="28"/>
  <c r="AA41" i="28" a="1"/>
  <c r="AA41" i="28" s="1"/>
  <c r="AB41" i="28" a="1"/>
  <c r="AB41" i="28" s="1"/>
  <c r="AC41" i="28" s="1"/>
  <c r="N41" i="28" a="1"/>
  <c r="N41" i="28" s="1"/>
  <c r="K41" i="28"/>
  <c r="E41" i="28" a="1"/>
  <c r="E41" i="28" s="1"/>
  <c r="G41" i="28" a="1"/>
  <c r="G41" i="28" s="1"/>
  <c r="N119" i="24"/>
  <c r="M119" i="24"/>
  <c r="J119" i="24"/>
  <c r="G119" i="24"/>
  <c r="I119" i="24" s="1"/>
  <c r="M88" i="24"/>
  <c r="J88" i="24"/>
  <c r="N88" i="24"/>
  <c r="G88" i="24"/>
  <c r="H88" i="24" s="1"/>
  <c r="AE34" i="28" a="1"/>
  <c r="AE34" i="28" s="1"/>
  <c r="J34" i="28"/>
  <c r="S34" i="28" a="1"/>
  <c r="S34" i="28" s="1"/>
  <c r="D34" i="28" a="1"/>
  <c r="D34" i="28" s="1"/>
  <c r="AA34" i="28" a="1"/>
  <c r="AA34" i="28" s="1"/>
  <c r="H34" i="28" a="1"/>
  <c r="H34" i="28" s="1"/>
  <c r="E34" i="28" a="1"/>
  <c r="E34" i="28" s="1"/>
  <c r="T34" i="28" a="1"/>
  <c r="T34" i="28" s="1"/>
  <c r="AD34" i="28" a="1"/>
  <c r="AD34" i="28" s="1"/>
  <c r="X34" i="28" a="1"/>
  <c r="X34" i="28" s="1"/>
  <c r="N34" i="28" a="1"/>
  <c r="N34" i="28" s="1"/>
  <c r="Q34" i="28" a="1"/>
  <c r="Q34" i="28" s="1"/>
  <c r="P34" i="28" a="1"/>
  <c r="P34" i="28" s="1"/>
  <c r="L34" i="28"/>
  <c r="AB34" i="28" a="1"/>
  <c r="AB34" i="28" s="1"/>
  <c r="AC34" i="28" s="1"/>
  <c r="R34" i="28" a="1"/>
  <c r="R34" i="28" s="1"/>
  <c r="M34" i="28" a="1"/>
  <c r="M34" i="28" s="1"/>
  <c r="AF34" i="28" a="1"/>
  <c r="AF34" i="28" s="1"/>
  <c r="O34" i="28" a="1"/>
  <c r="O34" i="28" s="1"/>
  <c r="K34" i="28"/>
  <c r="G34" i="28" a="1"/>
  <c r="G34" i="28" s="1"/>
  <c r="R137" i="28" a="1"/>
  <c r="R137" i="28" s="1"/>
  <c r="M137" i="28" a="1"/>
  <c r="M137" i="28" s="1"/>
  <c r="AF137" i="28" a="1"/>
  <c r="AF137" i="28" s="1"/>
  <c r="E137" i="28" a="1"/>
  <c r="E137" i="28" s="1"/>
  <c r="L137" i="28"/>
  <c r="AD137" i="28" a="1"/>
  <c r="AD137" i="28" s="1"/>
  <c r="Q137" i="28" a="1"/>
  <c r="Q137" i="28" s="1"/>
  <c r="AA137" i="28" a="1"/>
  <c r="AA137" i="28" s="1"/>
  <c r="T137" i="28" a="1"/>
  <c r="T137" i="28" s="1"/>
  <c r="S137" i="28" a="1"/>
  <c r="S137" i="28" s="1"/>
  <c r="K137" i="28"/>
  <c r="AE137" i="28" a="1"/>
  <c r="AE137" i="28" s="1"/>
  <c r="H137" i="28" a="1"/>
  <c r="H137" i="28" s="1"/>
  <c r="P137" i="28" a="1"/>
  <c r="P137" i="28" s="1"/>
  <c r="N137" i="28" a="1"/>
  <c r="N137" i="28" s="1"/>
  <c r="J137" i="28"/>
  <c r="D137" i="28" a="1"/>
  <c r="D137" i="28" s="1"/>
  <c r="AB137" i="28" a="1"/>
  <c r="AB137" i="28" s="1"/>
  <c r="X137" i="28" a="1"/>
  <c r="X137" i="28" s="1"/>
  <c r="O137" i="28" a="1"/>
  <c r="O137" i="28" s="1"/>
  <c r="G137" i="28" a="1"/>
  <c r="G137" i="28" s="1"/>
  <c r="N17" i="24"/>
  <c r="M17" i="24"/>
  <c r="J17" i="24"/>
  <c r="L17" i="24" s="1"/>
  <c r="G17" i="24"/>
  <c r="H17" i="24" s="1"/>
  <c r="N123" i="24"/>
  <c r="J123" i="24"/>
  <c r="M123" i="24"/>
  <c r="G123" i="24"/>
  <c r="I123" i="24" s="1"/>
  <c r="K128" i="28"/>
  <c r="N128" i="28" a="1"/>
  <c r="N128" i="28" s="1"/>
  <c r="O128" i="28" a="1"/>
  <c r="O128" i="28" s="1"/>
  <c r="M128" i="28" a="1"/>
  <c r="M128" i="28" s="1"/>
  <c r="AA128" i="28" a="1"/>
  <c r="AA128" i="28" s="1"/>
  <c r="D128" i="28" a="1"/>
  <c r="D128" i="28" s="1"/>
  <c r="L128" i="28"/>
  <c r="AD128" i="28" a="1"/>
  <c r="AD128" i="28" s="1"/>
  <c r="P128" i="28" a="1"/>
  <c r="P128" i="28" s="1"/>
  <c r="J128" i="28"/>
  <c r="H128" i="28" a="1"/>
  <c r="H128" i="28" s="1"/>
  <c r="AB128" i="28" a="1"/>
  <c r="AB128" i="28" s="1"/>
  <c r="AC128" i="28" s="1"/>
  <c r="E128" i="28" a="1"/>
  <c r="E128" i="28" s="1"/>
  <c r="S128" i="28" a="1"/>
  <c r="S128" i="28" s="1"/>
  <c r="AE128" i="28" a="1"/>
  <c r="AE128" i="28" s="1"/>
  <c r="R128" i="28" a="1"/>
  <c r="R128" i="28" s="1"/>
  <c r="AF128" i="28" a="1"/>
  <c r="AF128" i="28" s="1"/>
  <c r="X128" i="28" a="1"/>
  <c r="X128" i="28" s="1"/>
  <c r="Q128" i="28" a="1"/>
  <c r="Q128" i="28" s="1"/>
  <c r="T128" i="28" a="1"/>
  <c r="T128" i="28" s="1"/>
  <c r="G128" i="28" a="1"/>
  <c r="G128" i="28" s="1"/>
  <c r="M13" i="24"/>
  <c r="J13" i="24"/>
  <c r="N13" i="24"/>
  <c r="G13" i="24"/>
  <c r="H13" i="24" s="1"/>
  <c r="N105" i="24"/>
  <c r="J105" i="24"/>
  <c r="M105" i="24"/>
  <c r="G105" i="24"/>
  <c r="H105" i="24" s="1"/>
  <c r="H161" i="28" a="1"/>
  <c r="H161" i="28" s="1"/>
  <c r="AF161" i="28" a="1"/>
  <c r="AF161" i="28" s="1"/>
  <c r="E161" i="28" a="1"/>
  <c r="E161" i="28" s="1"/>
  <c r="R161" i="28" a="1"/>
  <c r="R161" i="28" s="1"/>
  <c r="X161" i="28" a="1"/>
  <c r="X161" i="28" s="1"/>
  <c r="AB161" i="28" a="1"/>
  <c r="AB161" i="28" s="1"/>
  <c r="AC161" i="28" s="1"/>
  <c r="J161" i="28"/>
  <c r="M161" i="28" a="1"/>
  <c r="M161" i="28" s="1"/>
  <c r="S161" i="28" a="1"/>
  <c r="S161" i="28" s="1"/>
  <c r="P161" i="28" a="1"/>
  <c r="P161" i="28" s="1"/>
  <c r="AA161" i="28" a="1"/>
  <c r="AA161" i="28" s="1"/>
  <c r="N161" i="28" a="1"/>
  <c r="N161" i="28" s="1"/>
  <c r="AD161" i="28" a="1"/>
  <c r="AD161" i="28" s="1"/>
  <c r="O161" i="28" a="1"/>
  <c r="O161" i="28" s="1"/>
  <c r="Q161" i="28" a="1"/>
  <c r="Q161" i="28" s="1"/>
  <c r="D161" i="28" a="1"/>
  <c r="D161" i="28" s="1"/>
  <c r="T161" i="28" a="1"/>
  <c r="T161" i="28" s="1"/>
  <c r="L161" i="28"/>
  <c r="AE161" i="28" a="1"/>
  <c r="AE161" i="28" s="1"/>
  <c r="K161" i="28"/>
  <c r="G161" i="28" a="1"/>
  <c r="G161" i="28" s="1"/>
  <c r="N104" i="24"/>
  <c r="M104" i="24"/>
  <c r="J104" i="24"/>
  <c r="G104" i="24"/>
  <c r="I104" i="24" s="1"/>
  <c r="X141" i="28" a="1"/>
  <c r="X141" i="28" s="1"/>
  <c r="P141" i="28" a="1"/>
  <c r="P141" i="28" s="1"/>
  <c r="AB141" i="28" a="1"/>
  <c r="AB141" i="28" s="1"/>
  <c r="AC141" i="28" s="1"/>
  <c r="E141" i="28" a="1"/>
  <c r="E141" i="28" s="1"/>
  <c r="R141" i="28" a="1"/>
  <c r="R141" i="28" s="1"/>
  <c r="AA141" i="28" a="1"/>
  <c r="AA141" i="28" s="1"/>
  <c r="O141" i="28" a="1"/>
  <c r="O141" i="28" s="1"/>
  <c r="AF141" i="28" a="1"/>
  <c r="AF141" i="28" s="1"/>
  <c r="K141" i="28"/>
  <c r="H141" i="28" a="1"/>
  <c r="H141" i="28" s="1"/>
  <c r="S141" i="28" a="1"/>
  <c r="S141" i="28" s="1"/>
  <c r="J141" i="28"/>
  <c r="D141" i="28" a="1"/>
  <c r="D141" i="28" s="1"/>
  <c r="AE141" i="28" a="1"/>
  <c r="AE141" i="28" s="1"/>
  <c r="Q141" i="28" a="1"/>
  <c r="Q141" i="28" s="1"/>
  <c r="M141" i="28" a="1"/>
  <c r="M141" i="28" s="1"/>
  <c r="AD141" i="28" a="1"/>
  <c r="AD141" i="28" s="1"/>
  <c r="N141" i="28" a="1"/>
  <c r="N141" i="28" s="1"/>
  <c r="T141" i="28" a="1"/>
  <c r="T141" i="28" s="1"/>
  <c r="L141" i="28"/>
  <c r="G141" i="28" a="1"/>
  <c r="G141" i="28" s="1"/>
  <c r="E144" i="28" a="1"/>
  <c r="E144" i="28" s="1"/>
  <c r="X144" i="28" a="1"/>
  <c r="X144" i="28" s="1"/>
  <c r="AF144" i="28" a="1"/>
  <c r="AF144" i="28" s="1"/>
  <c r="N144" i="28" a="1"/>
  <c r="N144" i="28" s="1"/>
  <c r="AB144" i="28" a="1"/>
  <c r="AB144" i="28" s="1"/>
  <c r="M144" i="28" a="1"/>
  <c r="M144" i="28" s="1"/>
  <c r="AE144" i="28" a="1"/>
  <c r="AE144" i="28" s="1"/>
  <c r="R144" i="28" a="1"/>
  <c r="R144" i="28" s="1"/>
  <c r="AD144" i="28" a="1"/>
  <c r="AD144" i="28" s="1"/>
  <c r="T144" i="28" a="1"/>
  <c r="T144" i="28" s="1"/>
  <c r="K144" i="28"/>
  <c r="P144" i="28" a="1"/>
  <c r="P144" i="28" s="1"/>
  <c r="D144" i="28" a="1"/>
  <c r="D144" i="28" s="1"/>
  <c r="Q144" i="28" a="1"/>
  <c r="Q144" i="28" s="1"/>
  <c r="J144" i="28"/>
  <c r="L144" i="28"/>
  <c r="O144" i="28" a="1"/>
  <c r="O144" i="28" s="1"/>
  <c r="S144" i="28" a="1"/>
  <c r="S144" i="28" s="1"/>
  <c r="H144" i="28" a="1"/>
  <c r="H144" i="28" s="1"/>
  <c r="AA144" i="28" a="1"/>
  <c r="AA144" i="28" s="1"/>
  <c r="G144" i="28" a="1"/>
  <c r="G144" i="28" s="1"/>
  <c r="R113" i="28" a="1"/>
  <c r="R113" i="28" s="1"/>
  <c r="AB113" i="28" a="1"/>
  <c r="AB113" i="28" s="1"/>
  <c r="AC113" i="28" s="1"/>
  <c r="M113" i="28" a="1"/>
  <c r="M113" i="28" s="1"/>
  <c r="AA113" i="28" a="1"/>
  <c r="AA113" i="28" s="1"/>
  <c r="H113" i="28" a="1"/>
  <c r="H113" i="28" s="1"/>
  <c r="O113" i="28" a="1"/>
  <c r="O113" i="28" s="1"/>
  <c r="AF113" i="28" a="1"/>
  <c r="AF113" i="28" s="1"/>
  <c r="Q113" i="28" a="1"/>
  <c r="Q113" i="28" s="1"/>
  <c r="N113" i="28" a="1"/>
  <c r="N113" i="28" s="1"/>
  <c r="J113" i="28"/>
  <c r="S113" i="28" a="1"/>
  <c r="S113" i="28" s="1"/>
  <c r="L113" i="28"/>
  <c r="AD113" i="28" a="1"/>
  <c r="AD113" i="28" s="1"/>
  <c r="D113" i="28" a="1"/>
  <c r="D113" i="28" s="1"/>
  <c r="X113" i="28" a="1"/>
  <c r="X113" i="28" s="1"/>
  <c r="K113" i="28"/>
  <c r="T113" i="28" a="1"/>
  <c r="T113" i="28" s="1"/>
  <c r="E113" i="28" a="1"/>
  <c r="E113" i="28" s="1"/>
  <c r="AE113" i="28" a="1"/>
  <c r="AE113" i="28" s="1"/>
  <c r="P113" i="28" a="1"/>
  <c r="P113" i="28" s="1"/>
  <c r="G113" i="28" a="1"/>
  <c r="G113" i="28" s="1"/>
  <c r="P78" i="28" a="1"/>
  <c r="P78" i="28" s="1"/>
  <c r="E78" i="28" a="1"/>
  <c r="E78" i="28" s="1"/>
  <c r="K78" i="28"/>
  <c r="J78" i="28"/>
  <c r="AB78" i="28" a="1"/>
  <c r="AB78" i="28" s="1"/>
  <c r="AC78" i="28" s="1"/>
  <c r="R78" i="28" a="1"/>
  <c r="R78" i="28" s="1"/>
  <c r="M78" i="28" a="1"/>
  <c r="M78" i="28" s="1"/>
  <c r="AF78" i="28" a="1"/>
  <c r="AF78" i="28" s="1"/>
  <c r="T78" i="28" a="1"/>
  <c r="T78" i="28" s="1"/>
  <c r="X78" i="28" a="1"/>
  <c r="X78" i="28" s="1"/>
  <c r="N78" i="28" a="1"/>
  <c r="N78" i="28" s="1"/>
  <c r="L78" i="28"/>
  <c r="S78" i="28" a="1"/>
  <c r="S78" i="28" s="1"/>
  <c r="D78" i="28" a="1"/>
  <c r="D78" i="28" s="1"/>
  <c r="H78" i="28" a="1"/>
  <c r="H78" i="28" s="1"/>
  <c r="Q78" i="28" a="1"/>
  <c r="Q78" i="28" s="1"/>
  <c r="AE78" i="28" a="1"/>
  <c r="AE78" i="28" s="1"/>
  <c r="AA78" i="28" a="1"/>
  <c r="AA78" i="28" s="1"/>
  <c r="O78" i="28" a="1"/>
  <c r="O78" i="28" s="1"/>
  <c r="AD78" i="28" a="1"/>
  <c r="AD78" i="28" s="1"/>
  <c r="G78" i="28" a="1"/>
  <c r="G78" i="28" s="1"/>
  <c r="N106" i="28" a="1"/>
  <c r="N106" i="28" s="1"/>
  <c r="H106" i="28" a="1"/>
  <c r="H106" i="28" s="1"/>
  <c r="P106" i="28" a="1"/>
  <c r="P106" i="28" s="1"/>
  <c r="O106" i="28" a="1"/>
  <c r="O106" i="28" s="1"/>
  <c r="J106" i="28"/>
  <c r="R106" i="28" a="1"/>
  <c r="R106" i="28" s="1"/>
  <c r="M106" i="28" a="1"/>
  <c r="M106" i="28" s="1"/>
  <c r="S106" i="28" a="1"/>
  <c r="S106" i="28" s="1"/>
  <c r="D106" i="28" a="1"/>
  <c r="D106" i="28" s="1"/>
  <c r="AA106" i="28" a="1"/>
  <c r="AA106" i="28" s="1"/>
  <c r="AE106" i="28" a="1"/>
  <c r="AE106" i="28" s="1"/>
  <c r="L106" i="28"/>
  <c r="AD106" i="28" a="1"/>
  <c r="AD106" i="28" s="1"/>
  <c r="K106" i="28"/>
  <c r="X106" i="28" a="1"/>
  <c r="X106" i="28" s="1"/>
  <c r="E106" i="28" a="1"/>
  <c r="E106" i="28" s="1"/>
  <c r="AB106" i="28" a="1"/>
  <c r="AB106" i="28" s="1"/>
  <c r="AC106" i="28" s="1"/>
  <c r="T106" i="28" a="1"/>
  <c r="T106" i="28" s="1"/>
  <c r="Q106" i="28" a="1"/>
  <c r="Q106" i="28" s="1"/>
  <c r="AF106" i="28" a="1"/>
  <c r="AF106" i="28" s="1"/>
  <c r="G106" i="28" a="1"/>
  <c r="G106" i="28" s="1"/>
  <c r="F4" i="11"/>
  <c r="E4" i="11" s="1"/>
  <c r="G4" i="11"/>
  <c r="Q151" i="28" a="1"/>
  <c r="Q151" i="28" s="1"/>
  <c r="K151" i="28"/>
  <c r="P151" i="28" a="1"/>
  <c r="P151" i="28" s="1"/>
  <c r="L151" i="28"/>
  <c r="M151" i="28" a="1"/>
  <c r="M151" i="28" s="1"/>
  <c r="AE151" i="28" a="1"/>
  <c r="AE151" i="28" s="1"/>
  <c r="J151" i="28"/>
  <c r="D151" i="28" a="1"/>
  <c r="D151" i="28" s="1"/>
  <c r="S151" i="28" a="1"/>
  <c r="S151" i="28" s="1"/>
  <c r="H151" i="28" a="1"/>
  <c r="H151" i="28" s="1"/>
  <c r="AD151" i="28" a="1"/>
  <c r="AD151" i="28" s="1"/>
  <c r="N151" i="28" a="1"/>
  <c r="N151" i="28" s="1"/>
  <c r="X151" i="28" a="1"/>
  <c r="X151" i="28" s="1"/>
  <c r="AF151" i="28" a="1"/>
  <c r="AF151" i="28" s="1"/>
  <c r="T151" i="28" a="1"/>
  <c r="T151" i="28" s="1"/>
  <c r="AA151" i="28" a="1"/>
  <c r="AA151" i="28" s="1"/>
  <c r="R151" i="28" a="1"/>
  <c r="R151" i="28" s="1"/>
  <c r="O151" i="28" a="1"/>
  <c r="O151" i="28" s="1"/>
  <c r="AB151" i="28" a="1"/>
  <c r="AB151" i="28" s="1"/>
  <c r="AC151" i="28" s="1"/>
  <c r="E151" i="28" a="1"/>
  <c r="E151" i="28" s="1"/>
  <c r="G151" i="28" a="1"/>
  <c r="G151" i="28" s="1"/>
  <c r="J44" i="24"/>
  <c r="L44" i="24" s="1"/>
  <c r="M44" i="24"/>
  <c r="N44" i="24"/>
  <c r="G44" i="24"/>
  <c r="I44" i="24" s="1"/>
  <c r="N21" i="24"/>
  <c r="J21" i="24"/>
  <c r="L21" i="24" s="1"/>
  <c r="M21" i="24"/>
  <c r="G21" i="24"/>
  <c r="I21" i="24" s="1"/>
  <c r="M84" i="24"/>
  <c r="N84" i="24"/>
  <c r="J84" i="24"/>
  <c r="G84" i="24"/>
  <c r="H84" i="24" s="1"/>
  <c r="N34" i="24"/>
  <c r="M34" i="24"/>
  <c r="J34" i="24"/>
  <c r="G34" i="24"/>
  <c r="I34" i="24" s="1"/>
  <c r="J140" i="24"/>
  <c r="L140" i="24" s="1"/>
  <c r="N140" i="24"/>
  <c r="M140" i="24"/>
  <c r="G140" i="24"/>
  <c r="H140" i="24" s="1"/>
  <c r="M136" i="24"/>
  <c r="J136" i="24"/>
  <c r="N136" i="24"/>
  <c r="G136" i="24"/>
  <c r="I136" i="24" s="1"/>
  <c r="N131" i="24"/>
  <c r="M131" i="24"/>
  <c r="J131" i="24"/>
  <c r="G131" i="24"/>
  <c r="H131" i="24" s="1"/>
  <c r="D4" i="24"/>
  <c r="C16" i="28"/>
  <c r="A4" i="24"/>
  <c r="A16" i="28"/>
  <c r="M77" i="24"/>
  <c r="N77" i="24"/>
  <c r="J77" i="24"/>
  <c r="G77" i="24"/>
  <c r="I77" i="24" s="1"/>
  <c r="J119" i="28"/>
  <c r="O119" i="28" a="1"/>
  <c r="O119" i="28" s="1"/>
  <c r="H119" i="28" a="1"/>
  <c r="H119" i="28" s="1"/>
  <c r="AB119" i="28" a="1"/>
  <c r="AB119" i="28" s="1"/>
  <c r="AC119" i="28" s="1"/>
  <c r="R119" i="28" a="1"/>
  <c r="R119" i="28" s="1"/>
  <c r="N119" i="28" a="1"/>
  <c r="N119" i="28" s="1"/>
  <c r="M119" i="28" a="1"/>
  <c r="M119" i="28" s="1"/>
  <c r="E119" i="28" a="1"/>
  <c r="E119" i="28" s="1"/>
  <c r="AF119" i="28" a="1"/>
  <c r="AF119" i="28" s="1"/>
  <c r="L119" i="28"/>
  <c r="D119" i="28" a="1"/>
  <c r="D119" i="28" s="1"/>
  <c r="T119" i="28" a="1"/>
  <c r="T119" i="28" s="1"/>
  <c r="X119" i="28" a="1"/>
  <c r="X119" i="28" s="1"/>
  <c r="AA119" i="28" a="1"/>
  <c r="AA119" i="28" s="1"/>
  <c r="P119" i="28" a="1"/>
  <c r="P119" i="28" s="1"/>
  <c r="Q119" i="28" a="1"/>
  <c r="Q119" i="28" s="1"/>
  <c r="K119" i="28"/>
  <c r="S119" i="28" a="1"/>
  <c r="S119" i="28" s="1"/>
  <c r="AE119" i="28" a="1"/>
  <c r="AE119" i="28" s="1"/>
  <c r="AD119" i="28" a="1"/>
  <c r="AD119" i="28" s="1"/>
  <c r="G119" i="28" a="1"/>
  <c r="G119" i="28" s="1"/>
  <c r="L38" i="28"/>
  <c r="O38" i="28" a="1"/>
  <c r="O38" i="28" s="1"/>
  <c r="P38" i="28" a="1"/>
  <c r="P38" i="28" s="1"/>
  <c r="X38" i="28" a="1"/>
  <c r="X38" i="28" s="1"/>
  <c r="AA38" i="28" a="1"/>
  <c r="AA38" i="28" s="1"/>
  <c r="S38" i="28" a="1"/>
  <c r="S38" i="28" s="1"/>
  <c r="R38" i="28" a="1"/>
  <c r="R38" i="28" s="1"/>
  <c r="Q38" i="28" a="1"/>
  <c r="Q38" i="28" s="1"/>
  <c r="AB38" i="28" a="1"/>
  <c r="AB38" i="28" s="1"/>
  <c r="H38" i="28" a="1"/>
  <c r="H38" i="28" s="1"/>
  <c r="K38" i="28"/>
  <c r="D38" i="28" a="1"/>
  <c r="D38" i="28" s="1"/>
  <c r="F38" i="28" s="1"/>
  <c r="AE38" i="28" a="1"/>
  <c r="AE38" i="28" s="1"/>
  <c r="T38" i="28" a="1"/>
  <c r="T38" i="28" s="1"/>
  <c r="AD38" i="28" a="1"/>
  <c r="AD38" i="28" s="1"/>
  <c r="N38" i="28" a="1"/>
  <c r="N38" i="28" s="1"/>
  <c r="E38" i="28" a="1"/>
  <c r="E38" i="28" s="1"/>
  <c r="AF38" i="28" a="1"/>
  <c r="AF38" i="28" s="1"/>
  <c r="M38" i="28" a="1"/>
  <c r="M38" i="28" s="1"/>
  <c r="J38" i="28"/>
  <c r="G38" i="28" a="1"/>
  <c r="G38" i="28" s="1"/>
  <c r="J128" i="24"/>
  <c r="L128" i="24" s="1"/>
  <c r="N128" i="24"/>
  <c r="M128" i="24"/>
  <c r="G128" i="24"/>
  <c r="I128" i="24" s="1"/>
  <c r="P108" i="28" a="1"/>
  <c r="P108" i="28" s="1"/>
  <c r="O108" i="28" a="1"/>
  <c r="O108" i="28" s="1"/>
  <c r="AD108" i="28" a="1"/>
  <c r="AD108" i="28" s="1"/>
  <c r="J108" i="28"/>
  <c r="D108" i="28" a="1"/>
  <c r="D108" i="28" s="1"/>
  <c r="F108" i="28" s="1"/>
  <c r="AB108" i="28" a="1"/>
  <c r="AB108" i="28" s="1"/>
  <c r="AC108" i="28" s="1"/>
  <c r="R108" i="28" a="1"/>
  <c r="R108" i="28" s="1"/>
  <c r="H108" i="28" a="1"/>
  <c r="H108" i="28" s="1"/>
  <c r="K108" i="28"/>
  <c r="AA108" i="28" a="1"/>
  <c r="AA108" i="28" s="1"/>
  <c r="L108" i="28"/>
  <c r="AE108" i="28" a="1"/>
  <c r="AE108" i="28" s="1"/>
  <c r="S108" i="28" a="1"/>
  <c r="S108" i="28" s="1"/>
  <c r="T108" i="28" a="1"/>
  <c r="T108" i="28" s="1"/>
  <c r="Q108" i="28" a="1"/>
  <c r="Q108" i="28" s="1"/>
  <c r="AF108" i="28" a="1"/>
  <c r="AF108" i="28" s="1"/>
  <c r="E108" i="28" a="1"/>
  <c r="E108" i="28" s="1"/>
  <c r="X108" i="28" a="1"/>
  <c r="X108" i="28" s="1"/>
  <c r="N108" i="28" a="1"/>
  <c r="N108" i="28" s="1"/>
  <c r="M108" i="28" a="1"/>
  <c r="M108" i="28" s="1"/>
  <c r="G108" i="28" a="1"/>
  <c r="G108" i="28" s="1"/>
  <c r="O54" i="28" a="1"/>
  <c r="O54" i="28" s="1"/>
  <c r="S54" i="28" a="1"/>
  <c r="S54" i="28" s="1"/>
  <c r="AF54" i="28" a="1"/>
  <c r="AF54" i="28" s="1"/>
  <c r="E54" i="28" a="1"/>
  <c r="E54" i="28" s="1"/>
  <c r="Q54" i="28" a="1"/>
  <c r="Q54" i="28" s="1"/>
  <c r="R54" i="28" a="1"/>
  <c r="R54" i="28" s="1"/>
  <c r="AA54" i="28" a="1"/>
  <c r="AA54" i="28" s="1"/>
  <c r="H54" i="28" a="1"/>
  <c r="H54" i="28" s="1"/>
  <c r="AB54" i="28" a="1"/>
  <c r="AB54" i="28" s="1"/>
  <c r="AC54" i="28" s="1"/>
  <c r="D54" i="28" a="1"/>
  <c r="D54" i="28" s="1"/>
  <c r="P54" i="28" a="1"/>
  <c r="P54" i="28" s="1"/>
  <c r="L54" i="28"/>
  <c r="J54" i="28"/>
  <c r="AD54" i="28" a="1"/>
  <c r="AD54" i="28" s="1"/>
  <c r="M54" i="28" a="1"/>
  <c r="M54" i="28" s="1"/>
  <c r="K54" i="28"/>
  <c r="T54" i="28" a="1"/>
  <c r="T54" i="28" s="1"/>
  <c r="X54" i="28" a="1"/>
  <c r="X54" i="28" s="1"/>
  <c r="AE54" i="28" a="1"/>
  <c r="AE54" i="28" s="1"/>
  <c r="N54" i="28" a="1"/>
  <c r="N54" i="28" s="1"/>
  <c r="G54" i="28" a="1"/>
  <c r="G54" i="28" s="1"/>
  <c r="N144" i="24"/>
  <c r="J144" i="24"/>
  <c r="M144" i="24"/>
  <c r="G144" i="24"/>
  <c r="H144" i="24" s="1"/>
  <c r="J135" i="24"/>
  <c r="L135" i="24" s="1"/>
  <c r="M135" i="24"/>
  <c r="N135" i="24"/>
  <c r="G135" i="24"/>
  <c r="I135" i="24" s="1"/>
  <c r="T63" i="28" a="1"/>
  <c r="T63" i="28" s="1"/>
  <c r="K63" i="28"/>
  <c r="AE63" i="28" a="1"/>
  <c r="AE63" i="28" s="1"/>
  <c r="X63" i="28" a="1"/>
  <c r="X63" i="28" s="1"/>
  <c r="M63" i="28" a="1"/>
  <c r="M63" i="28" s="1"/>
  <c r="S63" i="28" a="1"/>
  <c r="S63" i="28" s="1"/>
  <c r="R63" i="28" a="1"/>
  <c r="R63" i="28" s="1"/>
  <c r="L63" i="28"/>
  <c r="AA63" i="28" a="1"/>
  <c r="AA63" i="28" s="1"/>
  <c r="E63" i="28" a="1"/>
  <c r="E63" i="28" s="1"/>
  <c r="AF63" i="28" a="1"/>
  <c r="AF63" i="28" s="1"/>
  <c r="Q63" i="28" a="1"/>
  <c r="Q63" i="28" s="1"/>
  <c r="J63" i="28"/>
  <c r="AB63" i="28" a="1"/>
  <c r="AB63" i="28" s="1"/>
  <c r="AC63" i="28" s="1"/>
  <c r="AD63" i="28" a="1"/>
  <c r="AD63" i="28" s="1"/>
  <c r="D63" i="28" a="1"/>
  <c r="D63" i="28" s="1"/>
  <c r="O63" i="28" a="1"/>
  <c r="O63" i="28" s="1"/>
  <c r="P63" i="28" a="1"/>
  <c r="P63" i="28" s="1"/>
  <c r="H63" i="28" a="1"/>
  <c r="H63" i="28" s="1"/>
  <c r="N63" i="28" a="1"/>
  <c r="N63" i="28" s="1"/>
  <c r="G63" i="28" a="1"/>
  <c r="G63" i="28" s="1"/>
  <c r="M12" i="24"/>
  <c r="J12" i="24"/>
  <c r="N12" i="24"/>
  <c r="G12" i="24"/>
  <c r="H12" i="24" s="1"/>
  <c r="O130" i="28" a="1"/>
  <c r="O130" i="28" s="1"/>
  <c r="K130" i="28"/>
  <c r="AF130" i="28" a="1"/>
  <c r="AF130" i="28" s="1"/>
  <c r="N130" i="28" a="1"/>
  <c r="N130" i="28" s="1"/>
  <c r="L130" i="28"/>
  <c r="AD130" i="28" a="1"/>
  <c r="AD130" i="28" s="1"/>
  <c r="J130" i="28"/>
  <c r="X130" i="28" a="1"/>
  <c r="X130" i="28" s="1"/>
  <c r="AE130" i="28" a="1"/>
  <c r="AE130" i="28" s="1"/>
  <c r="H130" i="28" a="1"/>
  <c r="H130" i="28" s="1"/>
  <c r="Q130" i="28" a="1"/>
  <c r="Q130" i="28" s="1"/>
  <c r="D130" i="28" a="1"/>
  <c r="D130" i="28" s="1"/>
  <c r="AA130" i="28" a="1"/>
  <c r="AA130" i="28" s="1"/>
  <c r="E130" i="28" a="1"/>
  <c r="E130" i="28" s="1"/>
  <c r="T130" i="28" a="1"/>
  <c r="T130" i="28" s="1"/>
  <c r="AB130" i="28" a="1"/>
  <c r="AB130" i="28" s="1"/>
  <c r="AC130" i="28" s="1"/>
  <c r="S130" i="28" a="1"/>
  <c r="S130" i="28" s="1"/>
  <c r="M130" i="28" a="1"/>
  <c r="M130" i="28" s="1"/>
  <c r="R130" i="28" a="1"/>
  <c r="R130" i="28" s="1"/>
  <c r="P130" i="28" a="1"/>
  <c r="P130" i="28" s="1"/>
  <c r="G130" i="28" a="1"/>
  <c r="G130" i="28" s="1"/>
  <c r="O49" i="28" a="1"/>
  <c r="O49" i="28" s="1"/>
  <c r="AE49" i="28" a="1"/>
  <c r="AE49" i="28" s="1"/>
  <c r="X49" i="28" a="1"/>
  <c r="X49" i="28" s="1"/>
  <c r="J49" i="28"/>
  <c r="AB49" i="28" a="1"/>
  <c r="AB49" i="28" s="1"/>
  <c r="AC49" i="28" s="1"/>
  <c r="E49" i="28" a="1"/>
  <c r="E49" i="28" s="1"/>
  <c r="AA49" i="28" a="1"/>
  <c r="AA49" i="28" s="1"/>
  <c r="N49" i="28" a="1"/>
  <c r="N49" i="28" s="1"/>
  <c r="S49" i="28" a="1"/>
  <c r="S49" i="28" s="1"/>
  <c r="M49" i="28" a="1"/>
  <c r="M49" i="28" s="1"/>
  <c r="P49" i="28" a="1"/>
  <c r="P49" i="28" s="1"/>
  <c r="K49" i="28"/>
  <c r="T49" i="28" a="1"/>
  <c r="T49" i="28" s="1"/>
  <c r="H49" i="28" a="1"/>
  <c r="H49" i="28" s="1"/>
  <c r="AF49" i="28" a="1"/>
  <c r="AF49" i="28" s="1"/>
  <c r="D49" i="28" a="1"/>
  <c r="D49" i="28" s="1"/>
  <c r="L49" i="28"/>
  <c r="Q49" i="28" a="1"/>
  <c r="Q49" i="28" s="1"/>
  <c r="R49" i="28" a="1"/>
  <c r="R49" i="28" s="1"/>
  <c r="AD49" i="28" a="1"/>
  <c r="AD49" i="28" s="1"/>
  <c r="G49" i="28" a="1"/>
  <c r="G49" i="28" s="1"/>
  <c r="N63" i="24"/>
  <c r="M63" i="24"/>
  <c r="J63" i="24"/>
  <c r="L63" i="24" s="1"/>
  <c r="G63" i="24"/>
  <c r="H63" i="24" s="1"/>
  <c r="N143" i="24"/>
  <c r="M143" i="24"/>
  <c r="J143" i="24"/>
  <c r="G143" i="24"/>
  <c r="H143" i="24" s="1"/>
  <c r="N58" i="24"/>
  <c r="M58" i="24"/>
  <c r="J58" i="24"/>
  <c r="G58" i="24"/>
  <c r="I58" i="24" s="1"/>
  <c r="M36" i="24"/>
  <c r="N36" i="24"/>
  <c r="J36" i="24"/>
  <c r="L36" i="24" s="1"/>
  <c r="G36" i="24"/>
  <c r="H36" i="24" s="1"/>
  <c r="J157" i="24"/>
  <c r="M157" i="24"/>
  <c r="N157" i="24"/>
  <c r="G157" i="24"/>
  <c r="H157" i="24" s="1"/>
  <c r="AF52" i="28" a="1"/>
  <c r="AF52" i="28" s="1"/>
  <c r="AB52" i="28" a="1"/>
  <c r="AB52" i="28" s="1"/>
  <c r="O52" i="28" a="1"/>
  <c r="O52" i="28" s="1"/>
  <c r="K52" i="28"/>
  <c r="S52" i="28" a="1"/>
  <c r="S52" i="28" s="1"/>
  <c r="P52" i="28" a="1"/>
  <c r="P52" i="28" s="1"/>
  <c r="J52" i="28"/>
  <c r="T52" i="28" a="1"/>
  <c r="T52" i="28" s="1"/>
  <c r="Q52" i="28" a="1"/>
  <c r="Q52" i="28" s="1"/>
  <c r="R52" i="28" a="1"/>
  <c r="R52" i="28" s="1"/>
  <c r="X52" i="28" a="1"/>
  <c r="X52" i="28" s="1"/>
  <c r="M52" i="28" a="1"/>
  <c r="M52" i="28" s="1"/>
  <c r="H52" i="28" a="1"/>
  <c r="H52" i="28" s="1"/>
  <c r="N52" i="28" a="1"/>
  <c r="N52" i="28" s="1"/>
  <c r="E52" i="28" a="1"/>
  <c r="E52" i="28" s="1"/>
  <c r="AA52" i="28" a="1"/>
  <c r="AA52" i="28" s="1"/>
  <c r="AD52" i="28" a="1"/>
  <c r="AD52" i="28" s="1"/>
  <c r="L52" i="28"/>
  <c r="D52" i="28" a="1"/>
  <c r="D52" i="28" s="1"/>
  <c r="AE52" i="28" a="1"/>
  <c r="AE52" i="28" s="1"/>
  <c r="G52" i="28" a="1"/>
  <c r="G52" i="28" s="1"/>
  <c r="N27" i="28" a="1"/>
  <c r="N27" i="28" s="1"/>
  <c r="O27" i="28" a="1"/>
  <c r="O27" i="28" s="1"/>
  <c r="AE27" i="28" a="1"/>
  <c r="AE27" i="28" s="1"/>
  <c r="T27" i="28" a="1"/>
  <c r="T27" i="28" s="1"/>
  <c r="H27" i="28" a="1"/>
  <c r="H27" i="28" s="1"/>
  <c r="AB27" i="28" a="1"/>
  <c r="AB27" i="28" s="1"/>
  <c r="AC27" i="28" s="1"/>
  <c r="P27" i="28" a="1"/>
  <c r="P27" i="28" s="1"/>
  <c r="AD27" i="28" a="1"/>
  <c r="AD27" i="28" s="1"/>
  <c r="Q27" i="28" a="1"/>
  <c r="Q27" i="28" s="1"/>
  <c r="D27" i="28" a="1"/>
  <c r="D27" i="28" s="1"/>
  <c r="M27" i="28" a="1"/>
  <c r="M27" i="28" s="1"/>
  <c r="R27" i="28" a="1"/>
  <c r="R27" i="28" s="1"/>
  <c r="K27" i="28"/>
  <c r="X27" i="28" a="1"/>
  <c r="X27" i="28" s="1"/>
  <c r="AA27" i="28" a="1"/>
  <c r="AA27" i="28" s="1"/>
  <c r="L27" i="28"/>
  <c r="S27" i="28" a="1"/>
  <c r="S27" i="28" s="1"/>
  <c r="AF27" i="28" a="1"/>
  <c r="AF27" i="28" s="1"/>
  <c r="J27" i="28"/>
  <c r="E27" i="28" a="1"/>
  <c r="E27" i="28" s="1"/>
  <c r="G27" i="28" a="1"/>
  <c r="G27" i="28" s="1"/>
  <c r="M26" i="28" a="1"/>
  <c r="M26" i="28" s="1"/>
  <c r="R26" i="28" a="1"/>
  <c r="R26" i="28" s="1"/>
  <c r="AF26" i="28" a="1"/>
  <c r="AF26" i="28" s="1"/>
  <c r="T26" i="28" a="1"/>
  <c r="T26" i="28" s="1"/>
  <c r="AD26" i="28" a="1"/>
  <c r="AD26" i="28" s="1"/>
  <c r="Q26" i="28" a="1"/>
  <c r="Q26" i="28" s="1"/>
  <c r="AB26" i="28" a="1"/>
  <c r="AB26" i="28" s="1"/>
  <c r="AC26" i="28" s="1"/>
  <c r="S26" i="28" a="1"/>
  <c r="S26" i="28" s="1"/>
  <c r="H26" i="28" a="1"/>
  <c r="H26" i="28" s="1"/>
  <c r="D26" i="28" a="1"/>
  <c r="D26" i="28" s="1"/>
  <c r="X26" i="28" a="1"/>
  <c r="X26" i="28" s="1"/>
  <c r="N26" i="28" a="1"/>
  <c r="N26" i="28" s="1"/>
  <c r="P26" i="28" a="1"/>
  <c r="P26" i="28" s="1"/>
  <c r="AA26" i="28" a="1"/>
  <c r="AA26" i="28" s="1"/>
  <c r="O26" i="28" a="1"/>
  <c r="O26" i="28" s="1"/>
  <c r="J26" i="28"/>
  <c r="L26" i="28"/>
  <c r="E26" i="28" a="1"/>
  <c r="E26" i="28" s="1"/>
  <c r="K26" i="28"/>
  <c r="AE26" i="28" a="1"/>
  <c r="AE26" i="28" s="1"/>
  <c r="G26" i="28" a="1"/>
  <c r="G26" i="28" s="1"/>
  <c r="M87" i="28" a="1"/>
  <c r="M87" i="28" s="1"/>
  <c r="R87" i="28" a="1"/>
  <c r="R87" i="28" s="1"/>
  <c r="AA87" i="28" a="1"/>
  <c r="AA87" i="28" s="1"/>
  <c r="H87" i="28" a="1"/>
  <c r="H87" i="28" s="1"/>
  <c r="L87" i="28"/>
  <c r="S87" i="28" a="1"/>
  <c r="S87" i="28" s="1"/>
  <c r="J87" i="28"/>
  <c r="AF87" i="28" a="1"/>
  <c r="AF87" i="28" s="1"/>
  <c r="O87" i="28" a="1"/>
  <c r="O87" i="28" s="1"/>
  <c r="X87" i="28" a="1"/>
  <c r="X87" i="28" s="1"/>
  <c r="E87" i="28" a="1"/>
  <c r="E87" i="28" s="1"/>
  <c r="K87" i="28"/>
  <c r="P87" i="28" a="1"/>
  <c r="P87" i="28" s="1"/>
  <c r="T87" i="28" a="1"/>
  <c r="T87" i="28" s="1"/>
  <c r="AD87" i="28" a="1"/>
  <c r="AD87" i="28" s="1"/>
  <c r="D87" i="28" a="1"/>
  <c r="D87" i="28" s="1"/>
  <c r="AB87" i="28" a="1"/>
  <c r="AB87" i="28" s="1"/>
  <c r="AC87" i="28" s="1"/>
  <c r="N87" i="28" a="1"/>
  <c r="N87" i="28" s="1"/>
  <c r="AE87" i="28" a="1"/>
  <c r="AE87" i="28" s="1"/>
  <c r="Q87" i="28" a="1"/>
  <c r="Q87" i="28" s="1"/>
  <c r="G87" i="28" a="1"/>
  <c r="G87" i="28" s="1"/>
  <c r="K77" i="28"/>
  <c r="M77" i="28" a="1"/>
  <c r="M77" i="28" s="1"/>
  <c r="Q77" i="28" a="1"/>
  <c r="Q77" i="28" s="1"/>
  <c r="AA77" i="28" a="1"/>
  <c r="AA77" i="28" s="1"/>
  <c r="X77" i="28" a="1"/>
  <c r="X77" i="28" s="1"/>
  <c r="T77" i="28" a="1"/>
  <c r="T77" i="28" s="1"/>
  <c r="O77" i="28" a="1"/>
  <c r="O77" i="28" s="1"/>
  <c r="N77" i="28" a="1"/>
  <c r="N77" i="28" s="1"/>
  <c r="L77" i="28"/>
  <c r="D77" i="28" a="1"/>
  <c r="D77" i="28" s="1"/>
  <c r="H77" i="28" a="1"/>
  <c r="H77" i="28" s="1"/>
  <c r="E77" i="28" a="1"/>
  <c r="E77" i="28" s="1"/>
  <c r="AD77" i="28" a="1"/>
  <c r="AD77" i="28" s="1"/>
  <c r="AB77" i="28" a="1"/>
  <c r="AB77" i="28" s="1"/>
  <c r="AF77" i="28" a="1"/>
  <c r="AF77" i="28" s="1"/>
  <c r="P77" i="28" a="1"/>
  <c r="P77" i="28" s="1"/>
  <c r="J77" i="28"/>
  <c r="R77" i="28" a="1"/>
  <c r="R77" i="28" s="1"/>
  <c r="S77" i="28" a="1"/>
  <c r="S77" i="28" s="1"/>
  <c r="AE77" i="28" a="1"/>
  <c r="AE77" i="28" s="1"/>
  <c r="G77" i="28" a="1"/>
  <c r="G77" i="28" s="1"/>
  <c r="P154" i="28" a="1"/>
  <c r="P154" i="28" s="1"/>
  <c r="M154" i="28" a="1"/>
  <c r="M154" i="28" s="1"/>
  <c r="AF154" i="28" a="1"/>
  <c r="AF154" i="28" s="1"/>
  <c r="R154" i="28" a="1"/>
  <c r="R154" i="28" s="1"/>
  <c r="AB154" i="28" a="1"/>
  <c r="AB154" i="28" s="1"/>
  <c r="AC154" i="28" s="1"/>
  <c r="AE154" i="28" a="1"/>
  <c r="AE154" i="28" s="1"/>
  <c r="N154" i="28" a="1"/>
  <c r="N154" i="28" s="1"/>
  <c r="S154" i="28" a="1"/>
  <c r="S154" i="28" s="1"/>
  <c r="K154" i="28"/>
  <c r="AA154" i="28" a="1"/>
  <c r="AA154" i="28" s="1"/>
  <c r="J154" i="28"/>
  <c r="AD154" i="28" a="1"/>
  <c r="AD154" i="28" s="1"/>
  <c r="L154" i="28"/>
  <c r="H154" i="28" a="1"/>
  <c r="H154" i="28" s="1"/>
  <c r="E154" i="28" a="1"/>
  <c r="E154" i="28" s="1"/>
  <c r="X154" i="28" a="1"/>
  <c r="X154" i="28" s="1"/>
  <c r="T154" i="28" a="1"/>
  <c r="T154" i="28" s="1"/>
  <c r="Q154" i="28" a="1"/>
  <c r="Q154" i="28" s="1"/>
  <c r="D154" i="28" a="1"/>
  <c r="D154" i="28" s="1"/>
  <c r="O154" i="28" a="1"/>
  <c r="O154" i="28" s="1"/>
  <c r="G154" i="28" a="1"/>
  <c r="G154" i="28" s="1"/>
  <c r="N113" i="24"/>
  <c r="J113" i="24"/>
  <c r="L113" i="24" s="1"/>
  <c r="M113" i="24"/>
  <c r="G113" i="24"/>
  <c r="H113" i="24" s="1"/>
  <c r="E111" i="28" a="1"/>
  <c r="E111" i="28" s="1"/>
  <c r="AB111" i="28" a="1"/>
  <c r="AB111" i="28" s="1"/>
  <c r="AC111" i="28" s="1"/>
  <c r="K111" i="28"/>
  <c r="M111" i="28" a="1"/>
  <c r="M111" i="28" s="1"/>
  <c r="AA111" i="28" a="1"/>
  <c r="AA111" i="28" s="1"/>
  <c r="X111" i="28" a="1"/>
  <c r="X111" i="28" s="1"/>
  <c r="L111" i="28"/>
  <c r="AF111" i="28" a="1"/>
  <c r="AF111" i="28" s="1"/>
  <c r="R111" i="28" a="1"/>
  <c r="R111" i="28" s="1"/>
  <c r="D111" i="28" a="1"/>
  <c r="D111" i="28" s="1"/>
  <c r="S111" i="28" a="1"/>
  <c r="S111" i="28" s="1"/>
  <c r="P111" i="28" a="1"/>
  <c r="P111" i="28" s="1"/>
  <c r="AE111" i="28" a="1"/>
  <c r="AE111" i="28" s="1"/>
  <c r="N111" i="28" a="1"/>
  <c r="N111" i="28" s="1"/>
  <c r="AD111" i="28" a="1"/>
  <c r="AD111" i="28" s="1"/>
  <c r="Q111" i="28" a="1"/>
  <c r="Q111" i="28" s="1"/>
  <c r="H111" i="28" a="1"/>
  <c r="H111" i="28" s="1"/>
  <c r="J111" i="28"/>
  <c r="T111" i="28" a="1"/>
  <c r="T111" i="28" s="1"/>
  <c r="O111" i="28" a="1"/>
  <c r="O111" i="28" s="1"/>
  <c r="G111" i="28" a="1"/>
  <c r="G111" i="28" s="1"/>
  <c r="N138" i="24"/>
  <c r="J138" i="24"/>
  <c r="M138" i="24"/>
  <c r="G138" i="24"/>
  <c r="I138" i="24" s="1"/>
  <c r="N53" i="24"/>
  <c r="J53" i="24"/>
  <c r="M53" i="24"/>
  <c r="G53" i="24"/>
  <c r="I53" i="24" s="1"/>
  <c r="M60" i="24"/>
  <c r="N60" i="24"/>
  <c r="J60" i="24"/>
  <c r="G60" i="24"/>
  <c r="H60" i="24" s="1"/>
  <c r="J109" i="24"/>
  <c r="M109" i="24"/>
  <c r="N109" i="24"/>
  <c r="G109" i="24"/>
  <c r="H109" i="24" s="1"/>
  <c r="AE132" i="28" a="1"/>
  <c r="AE132" i="28" s="1"/>
  <c r="X132" i="28" a="1"/>
  <c r="X132" i="28" s="1"/>
  <c r="M132" i="28" a="1"/>
  <c r="M132" i="28" s="1"/>
  <c r="AF132" i="28" a="1"/>
  <c r="AF132" i="28" s="1"/>
  <c r="H132" i="28" a="1"/>
  <c r="H132" i="28" s="1"/>
  <c r="AD132" i="28" a="1"/>
  <c r="AD132" i="28" s="1"/>
  <c r="E132" i="28" a="1"/>
  <c r="E132" i="28" s="1"/>
  <c r="O132" i="28" a="1"/>
  <c r="O132" i="28" s="1"/>
  <c r="N132" i="28" a="1"/>
  <c r="N132" i="28" s="1"/>
  <c r="D132" i="28" a="1"/>
  <c r="D132" i="28" s="1"/>
  <c r="S132" i="28" a="1"/>
  <c r="S132" i="28" s="1"/>
  <c r="Q132" i="28" a="1"/>
  <c r="Q132" i="28" s="1"/>
  <c r="R132" i="28" a="1"/>
  <c r="R132" i="28" s="1"/>
  <c r="T132" i="28" a="1"/>
  <c r="T132" i="28" s="1"/>
  <c r="AA132" i="28" a="1"/>
  <c r="AA132" i="28" s="1"/>
  <c r="P132" i="28" a="1"/>
  <c r="P132" i="28" s="1"/>
  <c r="L132" i="28"/>
  <c r="K132" i="28"/>
  <c r="AB132" i="28" a="1"/>
  <c r="AB132" i="28" s="1"/>
  <c r="J132" i="28"/>
  <c r="G132" i="28" a="1"/>
  <c r="G132" i="28" s="1"/>
  <c r="X166" i="28" a="1"/>
  <c r="X166" i="28" s="1"/>
  <c r="D166" i="28" a="1"/>
  <c r="D166" i="28" s="1"/>
  <c r="AA166" i="28" a="1"/>
  <c r="AA166" i="28" s="1"/>
  <c r="M166" i="28" a="1"/>
  <c r="M166" i="28" s="1"/>
  <c r="J166" i="28"/>
  <c r="AD166" i="28" a="1"/>
  <c r="AD166" i="28" s="1"/>
  <c r="H166" i="28" a="1"/>
  <c r="H166" i="28" s="1"/>
  <c r="N166" i="28" a="1"/>
  <c r="N166" i="28" s="1"/>
  <c r="AB166" i="28" a="1"/>
  <c r="AB166" i="28" s="1"/>
  <c r="AC166" i="28" s="1"/>
  <c r="Q166" i="28" a="1"/>
  <c r="Q166" i="28" s="1"/>
  <c r="K166" i="28"/>
  <c r="AF166" i="28" a="1"/>
  <c r="AF166" i="28" s="1"/>
  <c r="O166" i="28" a="1"/>
  <c r="O166" i="28" s="1"/>
  <c r="P166" i="28" a="1"/>
  <c r="P166" i="28" s="1"/>
  <c r="R166" i="28" a="1"/>
  <c r="R166" i="28" s="1"/>
  <c r="T166" i="28" a="1"/>
  <c r="T166" i="28" s="1"/>
  <c r="E166" i="28" a="1"/>
  <c r="E166" i="28" s="1"/>
  <c r="AE166" i="28" a="1"/>
  <c r="AE166" i="28" s="1"/>
  <c r="L166" i="28"/>
  <c r="S166" i="28" a="1"/>
  <c r="S166" i="28" s="1"/>
  <c r="G166" i="28" a="1"/>
  <c r="G166" i="28" s="1"/>
  <c r="AA62" i="28" a="1"/>
  <c r="AA62" i="28" s="1"/>
  <c r="X62" i="28" a="1"/>
  <c r="X62" i="28" s="1"/>
  <c r="AF62" i="28" a="1"/>
  <c r="AF62" i="28" s="1"/>
  <c r="E62" i="28" a="1"/>
  <c r="E62" i="28" s="1"/>
  <c r="AB62" i="28" a="1"/>
  <c r="AB62" i="28" s="1"/>
  <c r="AC62" i="28" s="1"/>
  <c r="AE62" i="28" a="1"/>
  <c r="AE62" i="28" s="1"/>
  <c r="N62" i="28" a="1"/>
  <c r="N62" i="28" s="1"/>
  <c r="J62" i="28"/>
  <c r="Q62" i="28" a="1"/>
  <c r="Q62" i="28" s="1"/>
  <c r="D62" i="28" a="1"/>
  <c r="D62" i="28" s="1"/>
  <c r="AD62" i="28" a="1"/>
  <c r="AD62" i="28" s="1"/>
  <c r="M62" i="28" a="1"/>
  <c r="M62" i="28" s="1"/>
  <c r="R62" i="28" a="1"/>
  <c r="R62" i="28" s="1"/>
  <c r="S62" i="28" a="1"/>
  <c r="S62" i="28" s="1"/>
  <c r="P62" i="28" a="1"/>
  <c r="P62" i="28" s="1"/>
  <c r="L62" i="28"/>
  <c r="T62" i="28" a="1"/>
  <c r="T62" i="28" s="1"/>
  <c r="O62" i="28" a="1"/>
  <c r="O62" i="28" s="1"/>
  <c r="K62" i="28"/>
  <c r="H62" i="28" a="1"/>
  <c r="H62" i="28" s="1"/>
  <c r="G62" i="28" a="1"/>
  <c r="G62" i="28" s="1"/>
  <c r="N80" i="24"/>
  <c r="J80" i="24"/>
  <c r="M80" i="24"/>
  <c r="G80" i="24"/>
  <c r="I80" i="24" s="1"/>
  <c r="J64" i="28"/>
  <c r="S64" i="28" a="1"/>
  <c r="S64" i="28" s="1"/>
  <c r="AF64" i="28" a="1"/>
  <c r="AF64" i="28" s="1"/>
  <c r="K64" i="28"/>
  <c r="O64" i="28" a="1"/>
  <c r="O64" i="28" s="1"/>
  <c r="T64" i="28" a="1"/>
  <c r="T64" i="28" s="1"/>
  <c r="X64" i="28" a="1"/>
  <c r="X64" i="28" s="1"/>
  <c r="AD64" i="28" a="1"/>
  <c r="AD64" i="28" s="1"/>
  <c r="M64" i="28" a="1"/>
  <c r="M64" i="28" s="1"/>
  <c r="R64" i="28" a="1"/>
  <c r="R64" i="28" s="1"/>
  <c r="AB64" i="28" a="1"/>
  <c r="AB64" i="28" s="1"/>
  <c r="AC64" i="28" s="1"/>
  <c r="D64" i="28" a="1"/>
  <c r="D64" i="28" s="1"/>
  <c r="N64" i="28" a="1"/>
  <c r="N64" i="28" s="1"/>
  <c r="L64" i="28"/>
  <c r="Q64" i="28" a="1"/>
  <c r="Q64" i="28" s="1"/>
  <c r="E64" i="28" a="1"/>
  <c r="E64" i="28" s="1"/>
  <c r="AA64" i="28" a="1"/>
  <c r="AA64" i="28" s="1"/>
  <c r="H64" i="28" a="1"/>
  <c r="H64" i="28" s="1"/>
  <c r="P64" i="28" a="1"/>
  <c r="P64" i="28" s="1"/>
  <c r="AE64" i="28" a="1"/>
  <c r="AE64" i="28" s="1"/>
  <c r="G64" i="28" a="1"/>
  <c r="G64" i="28" s="1"/>
  <c r="M41" i="24"/>
  <c r="J41" i="24"/>
  <c r="N41" i="24"/>
  <c r="G41" i="24"/>
  <c r="H41" i="24" s="1"/>
  <c r="M127" i="24"/>
  <c r="J127" i="24"/>
  <c r="L127" i="24" s="1"/>
  <c r="N127" i="24"/>
  <c r="G127" i="24"/>
  <c r="I127" i="24" s="1"/>
  <c r="Q103" i="28" a="1"/>
  <c r="Q103" i="28" s="1"/>
  <c r="K103" i="28"/>
  <c r="E103" i="28" a="1"/>
  <c r="E103" i="28" s="1"/>
  <c r="M103" i="28" a="1"/>
  <c r="M103" i="28" s="1"/>
  <c r="AB103" i="28" a="1"/>
  <c r="AB103" i="28" s="1"/>
  <c r="AC103" i="28" s="1"/>
  <c r="N103" i="28" a="1"/>
  <c r="N103" i="28" s="1"/>
  <c r="L103" i="28"/>
  <c r="H103" i="28" a="1"/>
  <c r="H103" i="28" s="1"/>
  <c r="J103" i="28"/>
  <c r="T103" i="28" a="1"/>
  <c r="T103" i="28" s="1"/>
  <c r="AD103" i="28" a="1"/>
  <c r="AD103" i="28" s="1"/>
  <c r="D103" i="28" a="1"/>
  <c r="D103" i="28" s="1"/>
  <c r="AE103" i="28" a="1"/>
  <c r="AE103" i="28" s="1"/>
  <c r="P103" i="28" a="1"/>
  <c r="P103" i="28" s="1"/>
  <c r="AF103" i="28" a="1"/>
  <c r="AF103" i="28" s="1"/>
  <c r="R103" i="28" a="1"/>
  <c r="R103" i="28" s="1"/>
  <c r="O103" i="28" a="1"/>
  <c r="O103" i="28" s="1"/>
  <c r="S103" i="28" a="1"/>
  <c r="S103" i="28" s="1"/>
  <c r="X103" i="28" a="1"/>
  <c r="X103" i="28" s="1"/>
  <c r="AA103" i="28" a="1"/>
  <c r="AA103" i="28" s="1"/>
  <c r="G103" i="28" a="1"/>
  <c r="G103" i="28" s="1"/>
  <c r="F11" i="11"/>
  <c r="E11" i="11" s="1"/>
  <c r="G11" i="11"/>
  <c r="N47" i="24"/>
  <c r="M47" i="24"/>
  <c r="J47" i="24"/>
  <c r="G47" i="24"/>
  <c r="I47" i="24" s="1"/>
  <c r="N20" i="24"/>
  <c r="M20" i="24"/>
  <c r="J20" i="24"/>
  <c r="G20" i="24"/>
  <c r="H20" i="24" s="1"/>
  <c r="M30" i="28" a="1"/>
  <c r="M30" i="28" s="1"/>
  <c r="S30" i="28" a="1"/>
  <c r="S30" i="28" s="1"/>
  <c r="R30" i="28" a="1"/>
  <c r="R30" i="28" s="1"/>
  <c r="AB30" i="28" a="1"/>
  <c r="AB30" i="28" s="1"/>
  <c r="AC30" i="28" s="1"/>
  <c r="T30" i="28" a="1"/>
  <c r="T30" i="28" s="1"/>
  <c r="O30" i="28" a="1"/>
  <c r="O30" i="28" s="1"/>
  <c r="N30" i="28" a="1"/>
  <c r="N30" i="28" s="1"/>
  <c r="L30" i="28"/>
  <c r="AA30" i="28" a="1"/>
  <c r="AA30" i="28" s="1"/>
  <c r="H30" i="28" a="1"/>
  <c r="H30" i="28" s="1"/>
  <c r="X30" i="28" a="1"/>
  <c r="X30" i="28" s="1"/>
  <c r="P30" i="28" a="1"/>
  <c r="P30" i="28" s="1"/>
  <c r="E30" i="28" a="1"/>
  <c r="E30" i="28" s="1"/>
  <c r="J30" i="28"/>
  <c r="AD30" i="28" a="1"/>
  <c r="AD30" i="28" s="1"/>
  <c r="K30" i="28"/>
  <c r="D30" i="28" a="1"/>
  <c r="D30" i="28" s="1"/>
  <c r="AF30" i="28" a="1"/>
  <c r="AF30" i="28" s="1"/>
  <c r="Q30" i="28" a="1"/>
  <c r="Q30" i="28" s="1"/>
  <c r="AE30" i="28" a="1"/>
  <c r="AE30" i="28" s="1"/>
  <c r="G30" i="28" a="1"/>
  <c r="G30" i="28" s="1"/>
  <c r="D173" i="28" a="1"/>
  <c r="D173" i="28" s="1"/>
  <c r="F173" i="28" s="1"/>
  <c r="S173" i="28" a="1"/>
  <c r="S173" i="28" s="1"/>
  <c r="H173" i="28" a="1"/>
  <c r="H173" i="28" s="1"/>
  <c r="AD173" i="28" a="1"/>
  <c r="AD173" i="28" s="1"/>
  <c r="R173" i="28" a="1"/>
  <c r="R173" i="28" s="1"/>
  <c r="K173" i="28"/>
  <c r="M173" i="28" a="1"/>
  <c r="M173" i="28" s="1"/>
  <c r="O173" i="28" a="1"/>
  <c r="O173" i="28" s="1"/>
  <c r="X173" i="28" a="1"/>
  <c r="X173" i="28" s="1"/>
  <c r="T173" i="28" a="1"/>
  <c r="T173" i="28" s="1"/>
  <c r="P173" i="28" a="1"/>
  <c r="P173" i="28" s="1"/>
  <c r="N173" i="28" a="1"/>
  <c r="N173" i="28" s="1"/>
  <c r="Q173" i="28" a="1"/>
  <c r="Q173" i="28" s="1"/>
  <c r="L173" i="28"/>
  <c r="AA173" i="28" a="1"/>
  <c r="AA173" i="28" s="1"/>
  <c r="AF173" i="28" a="1"/>
  <c r="AF173" i="28" s="1"/>
  <c r="J173" i="28"/>
  <c r="AE173" i="28" a="1"/>
  <c r="AE173" i="28" s="1"/>
  <c r="E173" i="28" a="1"/>
  <c r="E173" i="28" s="1"/>
  <c r="AB173" i="28" a="1"/>
  <c r="AB173" i="28" s="1"/>
  <c r="AC173" i="28" s="1"/>
  <c r="G173" i="28" a="1"/>
  <c r="G173" i="28" s="1"/>
  <c r="N122" i="24"/>
  <c r="M122" i="24"/>
  <c r="J122" i="24"/>
  <c r="G122" i="24"/>
  <c r="I122" i="24" s="1"/>
  <c r="O83" i="28" a="1"/>
  <c r="O83" i="28" s="1"/>
  <c r="K83" i="28"/>
  <c r="X83" i="28" a="1"/>
  <c r="X83" i="28" s="1"/>
  <c r="H83" i="28" a="1"/>
  <c r="H83" i="28" s="1"/>
  <c r="N83" i="28" a="1"/>
  <c r="N83" i="28" s="1"/>
  <c r="P83" i="28" a="1"/>
  <c r="P83" i="28" s="1"/>
  <c r="S83" i="28" a="1"/>
  <c r="S83" i="28" s="1"/>
  <c r="R83" i="28" a="1"/>
  <c r="R83" i="28" s="1"/>
  <c r="D83" i="28" a="1"/>
  <c r="D83" i="28" s="1"/>
  <c r="AE83" i="28" a="1"/>
  <c r="AE83" i="28" s="1"/>
  <c r="AB83" i="28" a="1"/>
  <c r="AB83" i="28" s="1"/>
  <c r="AC83" i="28" s="1"/>
  <c r="M83" i="28" a="1"/>
  <c r="M83" i="28" s="1"/>
  <c r="J83" i="28"/>
  <c r="L83" i="28"/>
  <c r="E83" i="28" a="1"/>
  <c r="E83" i="28" s="1"/>
  <c r="AD83" i="28" a="1"/>
  <c r="AD83" i="28" s="1"/>
  <c r="AF83" i="28" a="1"/>
  <c r="AF83" i="28" s="1"/>
  <c r="Q83" i="28" a="1"/>
  <c r="Q83" i="28" s="1"/>
  <c r="T83" i="28" a="1"/>
  <c r="T83" i="28" s="1"/>
  <c r="AA83" i="28" a="1"/>
  <c r="AA83" i="28" s="1"/>
  <c r="G83" i="28" a="1"/>
  <c r="G83" i="28" s="1"/>
  <c r="J27" i="24"/>
  <c r="L27" i="24" s="1"/>
  <c r="N27" i="24"/>
  <c r="M27" i="24"/>
  <c r="G27" i="24"/>
  <c r="I27" i="24" s="1"/>
  <c r="E55" i="28" a="1"/>
  <c r="E55" i="28" s="1"/>
  <c r="T55" i="28" a="1"/>
  <c r="T55" i="28" s="1"/>
  <c r="AE55" i="28" a="1"/>
  <c r="AE55" i="28" s="1"/>
  <c r="J55" i="28"/>
  <c r="S55" i="28" a="1"/>
  <c r="S55" i="28" s="1"/>
  <c r="P55" i="28" a="1"/>
  <c r="P55" i="28" s="1"/>
  <c r="R55" i="28" a="1"/>
  <c r="R55" i="28" s="1"/>
  <c r="AF55" i="28" a="1"/>
  <c r="AF55" i="28" s="1"/>
  <c r="D55" i="28" a="1"/>
  <c r="D55" i="28" s="1"/>
  <c r="F55" i="28" s="1"/>
  <c r="K55" i="28"/>
  <c r="O55" i="28" a="1"/>
  <c r="O55" i="28" s="1"/>
  <c r="AD55" i="28" a="1"/>
  <c r="AD55" i="28" s="1"/>
  <c r="H55" i="28" a="1"/>
  <c r="H55" i="28" s="1"/>
  <c r="Q55" i="28" a="1"/>
  <c r="Q55" i="28" s="1"/>
  <c r="N55" i="28" a="1"/>
  <c r="N55" i="28" s="1"/>
  <c r="L55" i="28"/>
  <c r="AB55" i="28" a="1"/>
  <c r="AB55" i="28" s="1"/>
  <c r="M55" i="28" a="1"/>
  <c r="M55" i="28" s="1"/>
  <c r="X55" i="28" a="1"/>
  <c r="X55" i="28" s="1"/>
  <c r="AA55" i="28" a="1"/>
  <c r="AA55" i="28" s="1"/>
  <c r="G55" i="28" a="1"/>
  <c r="G55" i="28" s="1"/>
  <c r="N155" i="24"/>
  <c r="J155" i="24"/>
  <c r="M155" i="24"/>
  <c r="G155" i="24"/>
  <c r="I155" i="24" s="1"/>
  <c r="L172" i="28"/>
  <c r="K172" i="28"/>
  <c r="AF172" i="28" a="1"/>
  <c r="AF172" i="28" s="1"/>
  <c r="O172" i="28" a="1"/>
  <c r="O172" i="28" s="1"/>
  <c r="J172" i="28"/>
  <c r="S172" i="28" a="1"/>
  <c r="S172" i="28" s="1"/>
  <c r="E172" i="28" a="1"/>
  <c r="E172" i="28" s="1"/>
  <c r="Q172" i="28" a="1"/>
  <c r="Q172" i="28" s="1"/>
  <c r="P172" i="28" a="1"/>
  <c r="P172" i="28" s="1"/>
  <c r="M172" i="28" a="1"/>
  <c r="M172" i="28" s="1"/>
  <c r="AA172" i="28" a="1"/>
  <c r="AA172" i="28" s="1"/>
  <c r="D172" i="28" a="1"/>
  <c r="D172" i="28" s="1"/>
  <c r="H172" i="28" a="1"/>
  <c r="H172" i="28" s="1"/>
  <c r="X172" i="28" a="1"/>
  <c r="X172" i="28" s="1"/>
  <c r="AE172" i="28" a="1"/>
  <c r="AE172" i="28" s="1"/>
  <c r="AB172" i="28" a="1"/>
  <c r="AB172" i="28" s="1"/>
  <c r="AC172" i="28" s="1"/>
  <c r="AD172" i="28" a="1"/>
  <c r="AD172" i="28" s="1"/>
  <c r="R172" i="28" a="1"/>
  <c r="R172" i="28" s="1"/>
  <c r="T172" i="28" a="1"/>
  <c r="T172" i="28" s="1"/>
  <c r="N172" i="28" a="1"/>
  <c r="N172" i="28" s="1"/>
  <c r="G172" i="28" a="1"/>
  <c r="G172" i="28" s="1"/>
  <c r="M151" i="24"/>
  <c r="N151" i="24"/>
  <c r="J151" i="24"/>
  <c r="G151" i="24"/>
  <c r="H151" i="24" s="1"/>
  <c r="Q47" i="28" a="1"/>
  <c r="Q47" i="28" s="1"/>
  <c r="R47" i="28" a="1"/>
  <c r="R47" i="28" s="1"/>
  <c r="AB47" i="28" a="1"/>
  <c r="AB47" i="28" s="1"/>
  <c r="AC47" i="28" s="1"/>
  <c r="K47" i="28"/>
  <c r="D47" i="28" a="1"/>
  <c r="D47" i="28" s="1"/>
  <c r="F47" i="28" s="1"/>
  <c r="S47" i="28" a="1"/>
  <c r="S47" i="28" s="1"/>
  <c r="N47" i="28" a="1"/>
  <c r="N47" i="28" s="1"/>
  <c r="AE47" i="28" a="1"/>
  <c r="AE47" i="28" s="1"/>
  <c r="P47" i="28" a="1"/>
  <c r="P47" i="28" s="1"/>
  <c r="M47" i="28" a="1"/>
  <c r="M47" i="28" s="1"/>
  <c r="AD47" i="28" a="1"/>
  <c r="AD47" i="28" s="1"/>
  <c r="AA47" i="28" a="1"/>
  <c r="AA47" i="28" s="1"/>
  <c r="O47" i="28" a="1"/>
  <c r="O47" i="28" s="1"/>
  <c r="AF47" i="28" a="1"/>
  <c r="AF47" i="28" s="1"/>
  <c r="E47" i="28" a="1"/>
  <c r="E47" i="28" s="1"/>
  <c r="J47" i="28"/>
  <c r="H47" i="28" a="1"/>
  <c r="H47" i="28" s="1"/>
  <c r="X47" i="28" a="1"/>
  <c r="X47" i="28" s="1"/>
  <c r="T47" i="28" a="1"/>
  <c r="T47" i="28" s="1"/>
  <c r="L47" i="28"/>
  <c r="G47" i="28" a="1"/>
  <c r="G47" i="28" s="1"/>
  <c r="J39" i="24"/>
  <c r="N39" i="24"/>
  <c r="M39" i="24"/>
  <c r="G39" i="24"/>
  <c r="H39" i="24" s="1"/>
  <c r="N66" i="24"/>
  <c r="J66" i="24"/>
  <c r="M66" i="24"/>
  <c r="G66" i="24"/>
  <c r="H66" i="24" s="1"/>
  <c r="X97" i="28" a="1"/>
  <c r="X97" i="28" s="1"/>
  <c r="Q97" i="28" a="1"/>
  <c r="Q97" i="28" s="1"/>
  <c r="AD97" i="28" a="1"/>
  <c r="AD97" i="28" s="1"/>
  <c r="M97" i="28" a="1"/>
  <c r="M97" i="28" s="1"/>
  <c r="AF97" i="28" a="1"/>
  <c r="AF97" i="28" s="1"/>
  <c r="O97" i="28" a="1"/>
  <c r="O97" i="28" s="1"/>
  <c r="H97" i="28" a="1"/>
  <c r="H97" i="28" s="1"/>
  <c r="E97" i="28" a="1"/>
  <c r="E97" i="28" s="1"/>
  <c r="T97" i="28" a="1"/>
  <c r="T97" i="28" s="1"/>
  <c r="AE97" i="28" a="1"/>
  <c r="AE97" i="28" s="1"/>
  <c r="L97" i="28"/>
  <c r="AA97" i="28" a="1"/>
  <c r="AA97" i="28" s="1"/>
  <c r="S97" i="28" a="1"/>
  <c r="S97" i="28" s="1"/>
  <c r="J97" i="28"/>
  <c r="AB97" i="28" a="1"/>
  <c r="AB97" i="28" s="1"/>
  <c r="AC97" i="28" s="1"/>
  <c r="R97" i="28" a="1"/>
  <c r="R97" i="28" s="1"/>
  <c r="K97" i="28"/>
  <c r="N97" i="28" a="1"/>
  <c r="N97" i="28" s="1"/>
  <c r="P97" i="28" a="1"/>
  <c r="P97" i="28" s="1"/>
  <c r="D97" i="28" a="1"/>
  <c r="D97" i="28" s="1"/>
  <c r="G97" i="28" a="1"/>
  <c r="G97" i="28" s="1"/>
  <c r="L80" i="28"/>
  <c r="M80" i="28" a="1"/>
  <c r="M80" i="28" s="1"/>
  <c r="K80" i="28"/>
  <c r="R80" i="28" a="1"/>
  <c r="R80" i="28" s="1"/>
  <c r="AE80" i="28" a="1"/>
  <c r="AE80" i="28" s="1"/>
  <c r="D80" i="28" a="1"/>
  <c r="D80" i="28" s="1"/>
  <c r="F80" i="28" s="1"/>
  <c r="AA80" i="28" a="1"/>
  <c r="AA80" i="28" s="1"/>
  <c r="O80" i="28" a="1"/>
  <c r="O80" i="28" s="1"/>
  <c r="AD80" i="28" a="1"/>
  <c r="AD80" i="28" s="1"/>
  <c r="H80" i="28" a="1"/>
  <c r="H80" i="28" s="1"/>
  <c r="AF80" i="28" a="1"/>
  <c r="AF80" i="28" s="1"/>
  <c r="N80" i="28" a="1"/>
  <c r="N80" i="28" s="1"/>
  <c r="AB80" i="28" a="1"/>
  <c r="AB80" i="28" s="1"/>
  <c r="AC80" i="28" s="1"/>
  <c r="P80" i="28" a="1"/>
  <c r="P80" i="28" s="1"/>
  <c r="Q80" i="28" a="1"/>
  <c r="Q80" i="28" s="1"/>
  <c r="X80" i="28" a="1"/>
  <c r="X80" i="28" s="1"/>
  <c r="T80" i="28" a="1"/>
  <c r="T80" i="28" s="1"/>
  <c r="J80" i="28"/>
  <c r="S80" i="28" a="1"/>
  <c r="S80" i="28" s="1"/>
  <c r="E80" i="28" a="1"/>
  <c r="E80" i="28" s="1"/>
  <c r="G80" i="28" a="1"/>
  <c r="G80" i="28" s="1"/>
  <c r="L57" i="28"/>
  <c r="D57" i="28" a="1"/>
  <c r="D57" i="28" s="1"/>
  <c r="AD57" i="28" a="1"/>
  <c r="AD57" i="28" s="1"/>
  <c r="T57" i="28" a="1"/>
  <c r="T57" i="28" s="1"/>
  <c r="M57" i="28" a="1"/>
  <c r="M57" i="28" s="1"/>
  <c r="AA57" i="28" a="1"/>
  <c r="AA57" i="28" s="1"/>
  <c r="R57" i="28" a="1"/>
  <c r="R57" i="28" s="1"/>
  <c r="P57" i="28" a="1"/>
  <c r="P57" i="28" s="1"/>
  <c r="X57" i="28" a="1"/>
  <c r="X57" i="28" s="1"/>
  <c r="Q57" i="28" a="1"/>
  <c r="Q57" i="28" s="1"/>
  <c r="S57" i="28" a="1"/>
  <c r="S57" i="28" s="1"/>
  <c r="N57" i="28" a="1"/>
  <c r="N57" i="28" s="1"/>
  <c r="AF57" i="28" a="1"/>
  <c r="AF57" i="28" s="1"/>
  <c r="E57" i="28" a="1"/>
  <c r="E57" i="28" s="1"/>
  <c r="AE57" i="28" a="1"/>
  <c r="AE57" i="28" s="1"/>
  <c r="K57" i="28"/>
  <c r="H57" i="28" a="1"/>
  <c r="H57" i="28" s="1"/>
  <c r="AB57" i="28" a="1"/>
  <c r="AB57" i="28" s="1"/>
  <c r="AC57" i="28" s="1"/>
  <c r="J57" i="28"/>
  <c r="O57" i="28" a="1"/>
  <c r="O57" i="28" s="1"/>
  <c r="G57" i="28" a="1"/>
  <c r="G57" i="28" s="1"/>
  <c r="H46" i="28" a="1"/>
  <c r="H46" i="28" s="1"/>
  <c r="O46" i="28" a="1"/>
  <c r="O46" i="28" s="1"/>
  <c r="S46" i="28" a="1"/>
  <c r="S46" i="28" s="1"/>
  <c r="E46" i="28" a="1"/>
  <c r="E46" i="28" s="1"/>
  <c r="N46" i="28" a="1"/>
  <c r="N46" i="28" s="1"/>
  <c r="AF46" i="28" a="1"/>
  <c r="AF46" i="28" s="1"/>
  <c r="Q46" i="28" a="1"/>
  <c r="Q46" i="28" s="1"/>
  <c r="AD46" i="28" a="1"/>
  <c r="AD46" i="28" s="1"/>
  <c r="X46" i="28" a="1"/>
  <c r="X46" i="28" s="1"/>
  <c r="K46" i="28"/>
  <c r="AE46" i="28" a="1"/>
  <c r="AE46" i="28" s="1"/>
  <c r="R46" i="28" a="1"/>
  <c r="R46" i="28" s="1"/>
  <c r="M46" i="28" a="1"/>
  <c r="M46" i="28" s="1"/>
  <c r="AB46" i="28" a="1"/>
  <c r="AB46" i="28" s="1"/>
  <c r="AC46" i="28" s="1"/>
  <c r="AA46" i="28" a="1"/>
  <c r="AA46" i="28" s="1"/>
  <c r="D46" i="28" a="1"/>
  <c r="D46" i="28" s="1"/>
  <c r="L46" i="28"/>
  <c r="T46" i="28" a="1"/>
  <c r="T46" i="28" s="1"/>
  <c r="P46" i="28" a="1"/>
  <c r="P46" i="28" s="1"/>
  <c r="J46" i="28"/>
  <c r="G46" i="28" a="1"/>
  <c r="G46" i="28" s="1"/>
  <c r="M152" i="28" a="1"/>
  <c r="M152" i="28" s="1"/>
  <c r="Q152" i="28" a="1"/>
  <c r="Q152" i="28" s="1"/>
  <c r="AA152" i="28" a="1"/>
  <c r="AA152" i="28" s="1"/>
  <c r="R152" i="28" a="1"/>
  <c r="R152" i="28" s="1"/>
  <c r="K152" i="28"/>
  <c r="AD152" i="28" a="1"/>
  <c r="AD152" i="28" s="1"/>
  <c r="L152" i="28"/>
  <c r="N152" i="28" a="1"/>
  <c r="N152" i="28" s="1"/>
  <c r="H152" i="28" a="1"/>
  <c r="H152" i="28" s="1"/>
  <c r="J152" i="28"/>
  <c r="D152" i="28" a="1"/>
  <c r="D152" i="28" s="1"/>
  <c r="E152" i="28" a="1"/>
  <c r="E152" i="28" s="1"/>
  <c r="AB152" i="28" a="1"/>
  <c r="AB152" i="28" s="1"/>
  <c r="AC152" i="28" s="1"/>
  <c r="AF152" i="28" a="1"/>
  <c r="AF152" i="28" s="1"/>
  <c r="T152" i="28" a="1"/>
  <c r="T152" i="28" s="1"/>
  <c r="O152" i="28" a="1"/>
  <c r="O152" i="28" s="1"/>
  <c r="X152" i="28" a="1"/>
  <c r="X152" i="28" s="1"/>
  <c r="AE152" i="28" a="1"/>
  <c r="AE152" i="28" s="1"/>
  <c r="P152" i="28" a="1"/>
  <c r="P152" i="28" s="1"/>
  <c r="S152" i="28" a="1"/>
  <c r="S152" i="28" s="1"/>
  <c r="G152" i="28" a="1"/>
  <c r="G152" i="28" s="1"/>
  <c r="D148" i="28" a="1"/>
  <c r="D148" i="28" s="1"/>
  <c r="AE148" i="28" a="1"/>
  <c r="AE148" i="28" s="1"/>
  <c r="N148" i="28" a="1"/>
  <c r="N148" i="28" s="1"/>
  <c r="J148" i="28"/>
  <c r="AF148" i="28" a="1"/>
  <c r="AF148" i="28" s="1"/>
  <c r="H148" i="28" a="1"/>
  <c r="H148" i="28" s="1"/>
  <c r="O148" i="28" a="1"/>
  <c r="O148" i="28" s="1"/>
  <c r="E148" i="28" a="1"/>
  <c r="E148" i="28" s="1"/>
  <c r="Q148" i="28" a="1"/>
  <c r="Q148" i="28" s="1"/>
  <c r="AA148" i="28" a="1"/>
  <c r="AA148" i="28" s="1"/>
  <c r="L148" i="28"/>
  <c r="R148" i="28" a="1"/>
  <c r="R148" i="28" s="1"/>
  <c r="X148" i="28" a="1"/>
  <c r="X148" i="28" s="1"/>
  <c r="K148" i="28"/>
  <c r="S148" i="28" a="1"/>
  <c r="S148" i="28" s="1"/>
  <c r="P148" i="28" a="1"/>
  <c r="P148" i="28" s="1"/>
  <c r="AB148" i="28" a="1"/>
  <c r="AB148" i="28" s="1"/>
  <c r="AC148" i="28" s="1"/>
  <c r="M148" i="28" a="1"/>
  <c r="M148" i="28" s="1"/>
  <c r="AD148" i="28" a="1"/>
  <c r="AD148" i="28" s="1"/>
  <c r="T148" i="28" a="1"/>
  <c r="T148" i="28" s="1"/>
  <c r="G148" i="28" a="1"/>
  <c r="G148" i="28" s="1"/>
  <c r="O143" i="28" a="1"/>
  <c r="O143" i="28" s="1"/>
  <c r="L143" i="28"/>
  <c r="E143" i="28" a="1"/>
  <c r="E143" i="28" s="1"/>
  <c r="Q143" i="28" a="1"/>
  <c r="Q143" i="28" s="1"/>
  <c r="S143" i="28" a="1"/>
  <c r="S143" i="28" s="1"/>
  <c r="J143" i="28"/>
  <c r="AD143" i="28" a="1"/>
  <c r="AD143" i="28" s="1"/>
  <c r="D143" i="28" a="1"/>
  <c r="D143" i="28" s="1"/>
  <c r="F143" i="28" s="1"/>
  <c r="X143" i="28" a="1"/>
  <c r="X143" i="28" s="1"/>
  <c r="AB143" i="28" a="1"/>
  <c r="AB143" i="28" s="1"/>
  <c r="AC143" i="28" s="1"/>
  <c r="H143" i="28" a="1"/>
  <c r="H143" i="28" s="1"/>
  <c r="M143" i="28" a="1"/>
  <c r="M143" i="28" s="1"/>
  <c r="R143" i="28" a="1"/>
  <c r="R143" i="28" s="1"/>
  <c r="N143" i="28" a="1"/>
  <c r="N143" i="28" s="1"/>
  <c r="K143" i="28"/>
  <c r="AF143" i="28" a="1"/>
  <c r="AF143" i="28" s="1"/>
  <c r="P143" i="28" a="1"/>
  <c r="P143" i="28" s="1"/>
  <c r="T143" i="28" a="1"/>
  <c r="T143" i="28" s="1"/>
  <c r="AE143" i="28" a="1"/>
  <c r="AE143" i="28" s="1"/>
  <c r="AA143" i="28" a="1"/>
  <c r="AA143" i="28" s="1"/>
  <c r="G143" i="28" a="1"/>
  <c r="G143" i="28" s="1"/>
  <c r="C64" i="25"/>
  <c r="C180" i="25"/>
  <c r="C153" i="25"/>
  <c r="C31" i="25"/>
  <c r="C106" i="25"/>
  <c r="C59" i="25"/>
  <c r="C128" i="25"/>
  <c r="C78" i="25"/>
  <c r="C92" i="25"/>
  <c r="C178" i="25"/>
  <c r="C43" i="25"/>
  <c r="C133" i="25"/>
  <c r="C181" i="25"/>
  <c r="C179" i="25"/>
  <c r="C20" i="25"/>
  <c r="C101" i="25"/>
  <c r="C144" i="25"/>
  <c r="C4" i="25"/>
  <c r="C177" i="25"/>
  <c r="C6" i="25"/>
  <c r="G10" i="11"/>
  <c r="F10" i="11"/>
  <c r="E10" i="11" s="1"/>
  <c r="O89" i="28" a="1"/>
  <c r="O89" i="28" s="1"/>
  <c r="D89" i="28" a="1"/>
  <c r="D89" i="28" s="1"/>
  <c r="AD89" i="28" a="1"/>
  <c r="AD89" i="28" s="1"/>
  <c r="H89" i="28" a="1"/>
  <c r="H89" i="28" s="1"/>
  <c r="K89" i="28"/>
  <c r="AB89" i="28" a="1"/>
  <c r="AB89" i="28" s="1"/>
  <c r="AC89" i="28" s="1"/>
  <c r="M89" i="28" a="1"/>
  <c r="M89" i="28" s="1"/>
  <c r="AA89" i="28" a="1"/>
  <c r="AA89" i="28" s="1"/>
  <c r="R89" i="28" a="1"/>
  <c r="R89" i="28" s="1"/>
  <c r="L89" i="28"/>
  <c r="X89" i="28" a="1"/>
  <c r="X89" i="28" s="1"/>
  <c r="S89" i="28" a="1"/>
  <c r="S89" i="28" s="1"/>
  <c r="P89" i="28" a="1"/>
  <c r="P89" i="28" s="1"/>
  <c r="AF89" i="28" a="1"/>
  <c r="AF89" i="28" s="1"/>
  <c r="T89" i="28" a="1"/>
  <c r="T89" i="28" s="1"/>
  <c r="N89" i="28" a="1"/>
  <c r="N89" i="28" s="1"/>
  <c r="E89" i="28" a="1"/>
  <c r="E89" i="28" s="1"/>
  <c r="AE89" i="28" a="1"/>
  <c r="AE89" i="28" s="1"/>
  <c r="Q89" i="28" a="1"/>
  <c r="Q89" i="28" s="1"/>
  <c r="J89" i="28"/>
  <c r="G89" i="28" a="1"/>
  <c r="G89" i="28" s="1"/>
  <c r="J107" i="24"/>
  <c r="L107" i="24" s="1"/>
  <c r="N107" i="24"/>
  <c r="M107" i="24"/>
  <c r="G107" i="24"/>
  <c r="I107" i="24" s="1"/>
  <c r="M26" i="24"/>
  <c r="N26" i="24"/>
  <c r="J26" i="24"/>
  <c r="G26" i="24"/>
  <c r="H26" i="24" s="1"/>
  <c r="S59" i="28" a="1"/>
  <c r="S59" i="28" s="1"/>
  <c r="N59" i="28" a="1"/>
  <c r="N59" i="28" s="1"/>
  <c r="AF59" i="28" a="1"/>
  <c r="AF59" i="28" s="1"/>
  <c r="R59" i="28" a="1"/>
  <c r="R59" i="28" s="1"/>
  <c r="K59" i="28"/>
  <c r="AE59" i="28" a="1"/>
  <c r="AE59" i="28" s="1"/>
  <c r="O59" i="28" a="1"/>
  <c r="O59" i="28" s="1"/>
  <c r="AB59" i="28" a="1"/>
  <c r="AB59" i="28" s="1"/>
  <c r="AC59" i="28" s="1"/>
  <c r="AA59" i="28" a="1"/>
  <c r="AA59" i="28" s="1"/>
  <c r="M59" i="28" a="1"/>
  <c r="M59" i="28" s="1"/>
  <c r="P59" i="28" a="1"/>
  <c r="P59" i="28" s="1"/>
  <c r="J59" i="28"/>
  <c r="Q59" i="28" a="1"/>
  <c r="Q59" i="28" s="1"/>
  <c r="H59" i="28" a="1"/>
  <c r="H59" i="28" s="1"/>
  <c r="X59" i="28" a="1"/>
  <c r="X59" i="28" s="1"/>
  <c r="D59" i="28" a="1"/>
  <c r="D59" i="28" s="1"/>
  <c r="AD59" i="28" a="1"/>
  <c r="AD59" i="28" s="1"/>
  <c r="L59" i="28"/>
  <c r="E59" i="28" a="1"/>
  <c r="E59" i="28" s="1"/>
  <c r="T59" i="28" a="1"/>
  <c r="T59" i="28" s="1"/>
  <c r="G59" i="28" a="1"/>
  <c r="G59" i="28" s="1"/>
  <c r="N78" i="24"/>
  <c r="M78" i="24"/>
  <c r="J78" i="24"/>
  <c r="L78" i="24" s="1"/>
  <c r="G78" i="24"/>
  <c r="H78" i="24" s="1"/>
  <c r="O32" i="28" a="1"/>
  <c r="O32" i="28" s="1"/>
  <c r="N32" i="28" a="1"/>
  <c r="N32" i="28" s="1"/>
  <c r="E32" i="28" a="1"/>
  <c r="E32" i="28" s="1"/>
  <c r="K32" i="28"/>
  <c r="S32" i="28" a="1"/>
  <c r="S32" i="28" s="1"/>
  <c r="H32" i="28" a="1"/>
  <c r="H32" i="28" s="1"/>
  <c r="M32" i="28" a="1"/>
  <c r="M32" i="28" s="1"/>
  <c r="AB32" i="28" a="1"/>
  <c r="AB32" i="28" s="1"/>
  <c r="AC32" i="28" s="1"/>
  <c r="L32" i="28"/>
  <c r="AA32" i="28" a="1"/>
  <c r="AA32" i="28" s="1"/>
  <c r="X32" i="28" a="1"/>
  <c r="X32" i="28" s="1"/>
  <c r="AD32" i="28" a="1"/>
  <c r="AD32" i="28" s="1"/>
  <c r="P32" i="28" a="1"/>
  <c r="P32" i="28" s="1"/>
  <c r="AE32" i="28" a="1"/>
  <c r="AE32" i="28" s="1"/>
  <c r="D32" i="28" a="1"/>
  <c r="D32" i="28" s="1"/>
  <c r="Q32" i="28" a="1"/>
  <c r="Q32" i="28" s="1"/>
  <c r="AF32" i="28" a="1"/>
  <c r="AF32" i="28" s="1"/>
  <c r="T32" i="28" a="1"/>
  <c r="T32" i="28" s="1"/>
  <c r="J32" i="28"/>
  <c r="R32" i="28" a="1"/>
  <c r="R32" i="28" s="1"/>
  <c r="G32" i="28" a="1"/>
  <c r="G32" i="28" s="1"/>
  <c r="N90" i="24"/>
  <c r="J90" i="24"/>
  <c r="M90" i="24"/>
  <c r="G90" i="24"/>
  <c r="H90" i="24" s="1"/>
  <c r="X145" i="28" a="1"/>
  <c r="X145" i="28" s="1"/>
  <c r="AD145" i="28" a="1"/>
  <c r="AD145" i="28" s="1"/>
  <c r="H145" i="28" a="1"/>
  <c r="H145" i="28" s="1"/>
  <c r="N145" i="28" a="1"/>
  <c r="N145" i="28" s="1"/>
  <c r="L145" i="28"/>
  <c r="T145" i="28" a="1"/>
  <c r="T145" i="28" s="1"/>
  <c r="AB145" i="28" a="1"/>
  <c r="AB145" i="28" s="1"/>
  <c r="AC145" i="28" s="1"/>
  <c r="D145" i="28" a="1"/>
  <c r="D145" i="28" s="1"/>
  <c r="P145" i="28" a="1"/>
  <c r="P145" i="28" s="1"/>
  <c r="AE145" i="28" a="1"/>
  <c r="AE145" i="28" s="1"/>
  <c r="R145" i="28" a="1"/>
  <c r="R145" i="28" s="1"/>
  <c r="K145" i="28"/>
  <c r="AA145" i="28" a="1"/>
  <c r="AA145" i="28" s="1"/>
  <c r="S145" i="28" a="1"/>
  <c r="S145" i="28" s="1"/>
  <c r="J145" i="28"/>
  <c r="O145" i="28" a="1"/>
  <c r="O145" i="28" s="1"/>
  <c r="Q145" i="28" a="1"/>
  <c r="Q145" i="28" s="1"/>
  <c r="M145" i="28" a="1"/>
  <c r="M145" i="28" s="1"/>
  <c r="E145" i="28" a="1"/>
  <c r="E145" i="28" s="1"/>
  <c r="AF145" i="28" a="1"/>
  <c r="AF145" i="28" s="1"/>
  <c r="G145" i="28" a="1"/>
  <c r="G145" i="28" s="1"/>
  <c r="N118" i="24"/>
  <c r="M118" i="24"/>
  <c r="J118" i="24"/>
  <c r="L118" i="24" s="1"/>
  <c r="G118" i="24"/>
  <c r="H118" i="24" s="1"/>
  <c r="J37" i="24"/>
  <c r="M37" i="24"/>
  <c r="N37" i="24"/>
  <c r="G37" i="24"/>
  <c r="H37" i="24" s="1"/>
  <c r="R75" i="28" a="1"/>
  <c r="R75" i="28" s="1"/>
  <c r="Q75" i="28" a="1"/>
  <c r="Q75" i="28" s="1"/>
  <c r="AF75" i="28" a="1"/>
  <c r="AF75" i="28" s="1"/>
  <c r="N75" i="28" a="1"/>
  <c r="N75" i="28" s="1"/>
  <c r="O75" i="28" a="1"/>
  <c r="O75" i="28" s="1"/>
  <c r="AD75" i="28" a="1"/>
  <c r="AD75" i="28" s="1"/>
  <c r="L75" i="28"/>
  <c r="AE75" i="28" a="1"/>
  <c r="AE75" i="28" s="1"/>
  <c r="H75" i="28" a="1"/>
  <c r="H75" i="28" s="1"/>
  <c r="S75" i="28" a="1"/>
  <c r="S75" i="28" s="1"/>
  <c r="D75" i="28" a="1"/>
  <c r="D75" i="28" s="1"/>
  <c r="AB75" i="28" a="1"/>
  <c r="AB75" i="28" s="1"/>
  <c r="M75" i="28" a="1"/>
  <c r="M75" i="28" s="1"/>
  <c r="AA75" i="28" a="1"/>
  <c r="AA75" i="28" s="1"/>
  <c r="T75" i="28" a="1"/>
  <c r="T75" i="28" s="1"/>
  <c r="P75" i="28" a="1"/>
  <c r="P75" i="28" s="1"/>
  <c r="J75" i="28"/>
  <c r="K75" i="28"/>
  <c r="X75" i="28" a="1"/>
  <c r="X75" i="28" s="1"/>
  <c r="E75" i="28" a="1"/>
  <c r="E75" i="28" s="1"/>
  <c r="G75" i="28" a="1"/>
  <c r="G75" i="28" s="1"/>
  <c r="AD155" i="28" a="1"/>
  <c r="AD155" i="28" s="1"/>
  <c r="AE155" i="28" a="1"/>
  <c r="AE155" i="28" s="1"/>
  <c r="X155" i="28" a="1"/>
  <c r="X155" i="28" s="1"/>
  <c r="H155" i="28" a="1"/>
  <c r="H155" i="28" s="1"/>
  <c r="Q155" i="28" a="1"/>
  <c r="Q155" i="28" s="1"/>
  <c r="AA155" i="28" a="1"/>
  <c r="AA155" i="28" s="1"/>
  <c r="K155" i="28"/>
  <c r="AF155" i="28" a="1"/>
  <c r="AF155" i="28" s="1"/>
  <c r="P155" i="28" a="1"/>
  <c r="P155" i="28" s="1"/>
  <c r="S155" i="28" a="1"/>
  <c r="S155" i="28" s="1"/>
  <c r="M155" i="28" a="1"/>
  <c r="M155" i="28" s="1"/>
  <c r="D155" i="28" a="1"/>
  <c r="D155" i="28" s="1"/>
  <c r="F155" i="28" s="1"/>
  <c r="L155" i="28"/>
  <c r="AB155" i="28" a="1"/>
  <c r="AB155" i="28" s="1"/>
  <c r="AC155" i="28" s="1"/>
  <c r="O155" i="28" a="1"/>
  <c r="O155" i="28" s="1"/>
  <c r="J155" i="28"/>
  <c r="E155" i="28" a="1"/>
  <c r="E155" i="28" s="1"/>
  <c r="N155" i="28" a="1"/>
  <c r="N155" i="28" s="1"/>
  <c r="T155" i="28" a="1"/>
  <c r="T155" i="28" s="1"/>
  <c r="R155" i="28" a="1"/>
  <c r="R155" i="28" s="1"/>
  <c r="G155" i="28" a="1"/>
  <c r="G155" i="28" s="1"/>
  <c r="E70" i="28" a="1"/>
  <c r="E70" i="28" s="1"/>
  <c r="R70" i="28" a="1"/>
  <c r="R70" i="28" s="1"/>
  <c r="AB70" i="28" a="1"/>
  <c r="AB70" i="28" s="1"/>
  <c r="X70" i="28" a="1"/>
  <c r="X70" i="28" s="1"/>
  <c r="S70" i="28" a="1"/>
  <c r="S70" i="28" s="1"/>
  <c r="P70" i="28" a="1"/>
  <c r="P70" i="28" s="1"/>
  <c r="O70" i="28" a="1"/>
  <c r="O70" i="28" s="1"/>
  <c r="K70" i="28"/>
  <c r="L70" i="28"/>
  <c r="AE70" i="28" a="1"/>
  <c r="AE70" i="28" s="1"/>
  <c r="J70" i="28"/>
  <c r="AD70" i="28" a="1"/>
  <c r="AD70" i="28" s="1"/>
  <c r="Q70" i="28" a="1"/>
  <c r="Q70" i="28" s="1"/>
  <c r="AA70" i="28" a="1"/>
  <c r="AA70" i="28" s="1"/>
  <c r="AF70" i="28" a="1"/>
  <c r="AF70" i="28" s="1"/>
  <c r="N70" i="28" a="1"/>
  <c r="N70" i="28" s="1"/>
  <c r="D70" i="28" a="1"/>
  <c r="D70" i="28" s="1"/>
  <c r="F70" i="28" s="1"/>
  <c r="H70" i="28" a="1"/>
  <c r="H70" i="28" s="1"/>
  <c r="M70" i="28" a="1"/>
  <c r="M70" i="28" s="1"/>
  <c r="T70" i="28" a="1"/>
  <c r="T70" i="28" s="1"/>
  <c r="G70" i="28" a="1"/>
  <c r="G70" i="28" s="1"/>
  <c r="X48" i="28" a="1"/>
  <c r="X48" i="28" s="1"/>
  <c r="L48" i="28"/>
  <c r="T48" i="28" a="1"/>
  <c r="T48" i="28" s="1"/>
  <c r="R48" i="28" a="1"/>
  <c r="R48" i="28" s="1"/>
  <c r="D48" i="28" a="1"/>
  <c r="D48" i="28" s="1"/>
  <c r="AD48" i="28" a="1"/>
  <c r="AD48" i="28" s="1"/>
  <c r="H48" i="28" a="1"/>
  <c r="H48" i="28" s="1"/>
  <c r="O48" i="28" a="1"/>
  <c r="O48" i="28" s="1"/>
  <c r="S48" i="28" a="1"/>
  <c r="S48" i="28" s="1"/>
  <c r="N48" i="28" a="1"/>
  <c r="N48" i="28" s="1"/>
  <c r="AA48" i="28" a="1"/>
  <c r="AA48" i="28" s="1"/>
  <c r="Q48" i="28" a="1"/>
  <c r="Q48" i="28" s="1"/>
  <c r="AE48" i="28" a="1"/>
  <c r="AE48" i="28" s="1"/>
  <c r="M48" i="28" a="1"/>
  <c r="M48" i="28" s="1"/>
  <c r="K48" i="28"/>
  <c r="J48" i="28"/>
  <c r="AF48" i="28" a="1"/>
  <c r="AF48" i="28" s="1"/>
  <c r="P48" i="28" a="1"/>
  <c r="P48" i="28" s="1"/>
  <c r="E48" i="28" a="1"/>
  <c r="E48" i="28" s="1"/>
  <c r="AB48" i="28" a="1"/>
  <c r="AB48" i="28" s="1"/>
  <c r="AC48" i="28" s="1"/>
  <c r="G48" i="28" a="1"/>
  <c r="G48" i="28" s="1"/>
  <c r="K169" i="28"/>
  <c r="AB169" i="28" a="1"/>
  <c r="AB169" i="28" s="1"/>
  <c r="AC169" i="28" s="1"/>
  <c r="X169" i="28" a="1"/>
  <c r="X169" i="28" s="1"/>
  <c r="N169" i="28" a="1"/>
  <c r="N169" i="28" s="1"/>
  <c r="AE169" i="28" a="1"/>
  <c r="AE169" i="28" s="1"/>
  <c r="R169" i="28" a="1"/>
  <c r="R169" i="28" s="1"/>
  <c r="M169" i="28" a="1"/>
  <c r="M169" i="28" s="1"/>
  <c r="AA169" i="28" a="1"/>
  <c r="AA169" i="28" s="1"/>
  <c r="O169" i="28" a="1"/>
  <c r="O169" i="28" s="1"/>
  <c r="J169" i="28"/>
  <c r="D169" i="28" a="1"/>
  <c r="D169" i="28" s="1"/>
  <c r="F169" i="28" s="1"/>
  <c r="P169" i="28" a="1"/>
  <c r="P169" i="28" s="1"/>
  <c r="Q169" i="28" a="1"/>
  <c r="Q169" i="28" s="1"/>
  <c r="S169" i="28" a="1"/>
  <c r="S169" i="28" s="1"/>
  <c r="T169" i="28" a="1"/>
  <c r="T169" i="28" s="1"/>
  <c r="AD169" i="28" a="1"/>
  <c r="AD169" i="28" s="1"/>
  <c r="E169" i="28" a="1"/>
  <c r="E169" i="28" s="1"/>
  <c r="AF169" i="28" a="1"/>
  <c r="AF169" i="28" s="1"/>
  <c r="H169" i="28" a="1"/>
  <c r="H169" i="28" s="1"/>
  <c r="I169" i="28" s="1"/>
  <c r="L169" i="28"/>
  <c r="G169" i="28" a="1"/>
  <c r="G169" i="28" s="1"/>
  <c r="N40" i="24"/>
  <c r="M40" i="24"/>
  <c r="J40" i="24"/>
  <c r="G40" i="24"/>
  <c r="I40" i="24" s="1"/>
  <c r="M18" i="24"/>
  <c r="N18" i="24"/>
  <c r="J18" i="24"/>
  <c r="G18" i="24"/>
  <c r="H18" i="24" s="1"/>
  <c r="AA171" i="28" a="1"/>
  <c r="AA171" i="28" s="1"/>
  <c r="D171" i="28" a="1"/>
  <c r="D171" i="28" s="1"/>
  <c r="L171" i="28"/>
  <c r="AD171" i="28" a="1"/>
  <c r="AD171" i="28" s="1"/>
  <c r="M171" i="28" a="1"/>
  <c r="M171" i="28" s="1"/>
  <c r="T171" i="28" a="1"/>
  <c r="T171" i="28" s="1"/>
  <c r="AF171" i="28" a="1"/>
  <c r="AF171" i="28" s="1"/>
  <c r="X171" i="28" a="1"/>
  <c r="X171" i="28" s="1"/>
  <c r="N171" i="28" a="1"/>
  <c r="N171" i="28" s="1"/>
  <c r="AE171" i="28" a="1"/>
  <c r="AE171" i="28" s="1"/>
  <c r="O171" i="28" a="1"/>
  <c r="O171" i="28" s="1"/>
  <c r="AB171" i="28" a="1"/>
  <c r="AB171" i="28" s="1"/>
  <c r="AC171" i="28" s="1"/>
  <c r="S171" i="28" a="1"/>
  <c r="S171" i="28" s="1"/>
  <c r="J171" i="28"/>
  <c r="K171" i="28"/>
  <c r="H171" i="28" a="1"/>
  <c r="H171" i="28" s="1"/>
  <c r="R171" i="28" a="1"/>
  <c r="R171" i="28" s="1"/>
  <c r="E171" i="28" a="1"/>
  <c r="E171" i="28" s="1"/>
  <c r="P171" i="28" a="1"/>
  <c r="P171" i="28" s="1"/>
  <c r="Q171" i="28" a="1"/>
  <c r="Q171" i="28" s="1"/>
  <c r="G171" i="28" a="1"/>
  <c r="G171" i="28" s="1"/>
  <c r="M14" i="24"/>
  <c r="N14" i="24"/>
  <c r="J14" i="24"/>
  <c r="G14" i="24"/>
  <c r="H14" i="24" s="1"/>
  <c r="N75" i="24"/>
  <c r="J75" i="24"/>
  <c r="L75" i="24" s="1"/>
  <c r="M75" i="24"/>
  <c r="G75" i="24"/>
  <c r="H75" i="24" s="1"/>
  <c r="J65" i="24"/>
  <c r="N65" i="24"/>
  <c r="M65" i="24"/>
  <c r="G65" i="24"/>
  <c r="I65" i="24" s="1"/>
  <c r="M142" i="24"/>
  <c r="N142" i="24"/>
  <c r="J142" i="24"/>
  <c r="L142" i="24" s="1"/>
  <c r="G142" i="24"/>
  <c r="H142" i="24" s="1"/>
  <c r="N125" i="28" a="1"/>
  <c r="N125" i="28" s="1"/>
  <c r="AD125" i="28" a="1"/>
  <c r="AD125" i="28" s="1"/>
  <c r="AE125" i="28" a="1"/>
  <c r="AE125" i="28" s="1"/>
  <c r="Q125" i="28" a="1"/>
  <c r="Q125" i="28" s="1"/>
  <c r="O125" i="28" a="1"/>
  <c r="O125" i="28" s="1"/>
  <c r="T125" i="28" a="1"/>
  <c r="T125" i="28" s="1"/>
  <c r="H125" i="28" a="1"/>
  <c r="H125" i="28" s="1"/>
  <c r="X125" i="28" a="1"/>
  <c r="X125" i="28" s="1"/>
  <c r="AB125" i="28" a="1"/>
  <c r="AB125" i="28" s="1"/>
  <c r="AC125" i="28" s="1"/>
  <c r="M125" i="28" a="1"/>
  <c r="M125" i="28" s="1"/>
  <c r="D125" i="28" a="1"/>
  <c r="D125" i="28" s="1"/>
  <c r="L125" i="28"/>
  <c r="K125" i="28"/>
  <c r="P125" i="28" a="1"/>
  <c r="P125" i="28" s="1"/>
  <c r="S125" i="28" a="1"/>
  <c r="S125" i="28" s="1"/>
  <c r="J125" i="28"/>
  <c r="AA125" i="28" a="1"/>
  <c r="AA125" i="28" s="1"/>
  <c r="AF125" i="28" a="1"/>
  <c r="AF125" i="28" s="1"/>
  <c r="E125" i="28" a="1"/>
  <c r="E125" i="28" s="1"/>
  <c r="R125" i="28" a="1"/>
  <c r="R125" i="28" s="1"/>
  <c r="G125" i="28" a="1"/>
  <c r="G125" i="28" s="1"/>
  <c r="N99" i="24"/>
  <c r="M99" i="24"/>
  <c r="J99" i="24"/>
  <c r="G99" i="24"/>
  <c r="H99" i="24" s="1"/>
  <c r="D150" i="28" a="1"/>
  <c r="D150" i="28" s="1"/>
  <c r="P150" i="28" a="1"/>
  <c r="P150" i="28" s="1"/>
  <c r="AE150" i="28" a="1"/>
  <c r="AE150" i="28" s="1"/>
  <c r="K150" i="28"/>
  <c r="L150" i="28"/>
  <c r="T150" i="28" a="1"/>
  <c r="T150" i="28" s="1"/>
  <c r="S150" i="28" a="1"/>
  <c r="S150" i="28" s="1"/>
  <c r="N150" i="28" a="1"/>
  <c r="N150" i="28" s="1"/>
  <c r="M150" i="28" a="1"/>
  <c r="M150" i="28" s="1"/>
  <c r="AD150" i="28" a="1"/>
  <c r="AD150" i="28" s="1"/>
  <c r="R150" i="28" a="1"/>
  <c r="R150" i="28" s="1"/>
  <c r="J150" i="28"/>
  <c r="AA150" i="28" a="1"/>
  <c r="AA150" i="28" s="1"/>
  <c r="E150" i="28" a="1"/>
  <c r="E150" i="28" s="1"/>
  <c r="AB150" i="28" a="1"/>
  <c r="AB150" i="28" s="1"/>
  <c r="AC150" i="28" s="1"/>
  <c r="AF150" i="28" a="1"/>
  <c r="AF150" i="28" s="1"/>
  <c r="O150" i="28" a="1"/>
  <c r="O150" i="28" s="1"/>
  <c r="Q150" i="28" a="1"/>
  <c r="Q150" i="28" s="1"/>
  <c r="X150" i="28" a="1"/>
  <c r="X150" i="28" s="1"/>
  <c r="H150" i="28" a="1"/>
  <c r="H150" i="28" s="1"/>
  <c r="G150" i="28" a="1"/>
  <c r="G150" i="28" s="1"/>
  <c r="N65" i="28" a="1"/>
  <c r="N65" i="28" s="1"/>
  <c r="L65" i="28"/>
  <c r="O65" i="28" a="1"/>
  <c r="O65" i="28" s="1"/>
  <c r="H65" i="28" a="1"/>
  <c r="H65" i="28" s="1"/>
  <c r="AF65" i="28" a="1"/>
  <c r="AF65" i="28" s="1"/>
  <c r="M65" i="28" a="1"/>
  <c r="M65" i="28" s="1"/>
  <c r="T65" i="28" a="1"/>
  <c r="T65" i="28" s="1"/>
  <c r="R65" i="28" a="1"/>
  <c r="R65" i="28" s="1"/>
  <c r="AE65" i="28" a="1"/>
  <c r="AE65" i="28" s="1"/>
  <c r="K65" i="28"/>
  <c r="AB65" i="28" a="1"/>
  <c r="AB65" i="28" s="1"/>
  <c r="AC65" i="28" s="1"/>
  <c r="E65" i="28" a="1"/>
  <c r="E65" i="28" s="1"/>
  <c r="J65" i="28"/>
  <c r="X65" i="28" a="1"/>
  <c r="X65" i="28" s="1"/>
  <c r="AD65" i="28" a="1"/>
  <c r="AD65" i="28" s="1"/>
  <c r="AA65" i="28" a="1"/>
  <c r="AA65" i="28" s="1"/>
  <c r="D65" i="28" a="1"/>
  <c r="D65" i="28" s="1"/>
  <c r="Q65" i="28" a="1"/>
  <c r="Q65" i="28" s="1"/>
  <c r="S65" i="28" a="1"/>
  <c r="S65" i="28" s="1"/>
  <c r="P65" i="28" a="1"/>
  <c r="P65" i="28" s="1"/>
  <c r="G65" i="28" a="1"/>
  <c r="G65" i="28" s="1"/>
  <c r="Q72" i="28" a="1"/>
  <c r="Q72" i="28" s="1"/>
  <c r="R72" i="28" a="1"/>
  <c r="R72" i="28" s="1"/>
  <c r="P72" i="28" a="1"/>
  <c r="P72" i="28" s="1"/>
  <c r="K72" i="28"/>
  <c r="AF72" i="28" a="1"/>
  <c r="AF72" i="28" s="1"/>
  <c r="AE72" i="28" a="1"/>
  <c r="AE72" i="28" s="1"/>
  <c r="N72" i="28" a="1"/>
  <c r="N72" i="28" s="1"/>
  <c r="S72" i="28" a="1"/>
  <c r="S72" i="28" s="1"/>
  <c r="X72" i="28" a="1"/>
  <c r="X72" i="28" s="1"/>
  <c r="AD72" i="28" a="1"/>
  <c r="AD72" i="28" s="1"/>
  <c r="H72" i="28" a="1"/>
  <c r="H72" i="28" s="1"/>
  <c r="J72" i="28"/>
  <c r="AB72" i="28" a="1"/>
  <c r="AB72" i="28" s="1"/>
  <c r="AC72" i="28" s="1"/>
  <c r="AA72" i="28" a="1"/>
  <c r="AA72" i="28" s="1"/>
  <c r="D72" i="28" a="1"/>
  <c r="D72" i="28" s="1"/>
  <c r="F72" i="28" s="1"/>
  <c r="M72" i="28" a="1"/>
  <c r="M72" i="28" s="1"/>
  <c r="E72" i="28" a="1"/>
  <c r="E72" i="28" s="1"/>
  <c r="O72" i="28" a="1"/>
  <c r="O72" i="28" s="1"/>
  <c r="L72" i="28"/>
  <c r="T72" i="28" a="1"/>
  <c r="T72" i="28" s="1"/>
  <c r="G72" i="28" a="1"/>
  <c r="G72" i="28" s="1"/>
  <c r="O121" i="28" a="1"/>
  <c r="O121" i="28" s="1"/>
  <c r="D121" i="28" a="1"/>
  <c r="D121" i="28" s="1"/>
  <c r="F121" i="28" s="1"/>
  <c r="AD121" i="28" a="1"/>
  <c r="AD121" i="28" s="1"/>
  <c r="K121" i="28"/>
  <c r="AB121" i="28" a="1"/>
  <c r="AB121" i="28" s="1"/>
  <c r="AC121" i="28" s="1"/>
  <c r="X121" i="28" a="1"/>
  <c r="X121" i="28" s="1"/>
  <c r="M121" i="28" a="1"/>
  <c r="M121" i="28" s="1"/>
  <c r="T121" i="28" a="1"/>
  <c r="T121" i="28" s="1"/>
  <c r="R121" i="28" a="1"/>
  <c r="R121" i="28" s="1"/>
  <c r="S121" i="28" a="1"/>
  <c r="S121" i="28" s="1"/>
  <c r="H121" i="28" a="1"/>
  <c r="H121" i="28" s="1"/>
  <c r="J121" i="28"/>
  <c r="E121" i="28" a="1"/>
  <c r="E121" i="28" s="1"/>
  <c r="L121" i="28"/>
  <c r="AA121" i="28" a="1"/>
  <c r="AA121" i="28" s="1"/>
  <c r="AF121" i="28" a="1"/>
  <c r="AF121" i="28" s="1"/>
  <c r="Q121" i="28" a="1"/>
  <c r="Q121" i="28" s="1"/>
  <c r="AE121" i="28" a="1"/>
  <c r="AE121" i="28" s="1"/>
  <c r="P121" i="28" a="1"/>
  <c r="P121" i="28" s="1"/>
  <c r="N121" i="28" a="1"/>
  <c r="N121" i="28" s="1"/>
  <c r="G121" i="28" a="1"/>
  <c r="G121" i="28" s="1"/>
  <c r="M120" i="24"/>
  <c r="N120" i="24"/>
  <c r="J120" i="24"/>
  <c r="G120" i="24"/>
  <c r="H120" i="24" s="1"/>
  <c r="N154" i="24"/>
  <c r="J154" i="24"/>
  <c r="M154" i="24"/>
  <c r="G154" i="24"/>
  <c r="I154" i="24" s="1"/>
  <c r="M50" i="24"/>
  <c r="J50" i="24"/>
  <c r="N50" i="24"/>
  <c r="G50" i="24"/>
  <c r="I50" i="24" s="1"/>
  <c r="M92" i="28" a="1"/>
  <c r="M92" i="28" s="1"/>
  <c r="D92" i="28" a="1"/>
  <c r="D92" i="28" s="1"/>
  <c r="F92" i="28" s="1"/>
  <c r="R92" i="28" a="1"/>
  <c r="R92" i="28" s="1"/>
  <c r="Q92" i="28" a="1"/>
  <c r="Q92" i="28" s="1"/>
  <c r="AD92" i="28" a="1"/>
  <c r="AD92" i="28" s="1"/>
  <c r="X92" i="28" a="1"/>
  <c r="X92" i="28" s="1"/>
  <c r="AB92" i="28" a="1"/>
  <c r="AB92" i="28" s="1"/>
  <c r="L92" i="28"/>
  <c r="S92" i="28" a="1"/>
  <c r="S92" i="28" s="1"/>
  <c r="K92" i="28"/>
  <c r="AE92" i="28" a="1"/>
  <c r="AE92" i="28" s="1"/>
  <c r="H92" i="28" a="1"/>
  <c r="H92" i="28" s="1"/>
  <c r="AF92" i="28" a="1"/>
  <c r="AF92" i="28" s="1"/>
  <c r="P92" i="28" a="1"/>
  <c r="P92" i="28" s="1"/>
  <c r="N92" i="28" a="1"/>
  <c r="N92" i="28" s="1"/>
  <c r="E92" i="28" a="1"/>
  <c r="E92" i="28" s="1"/>
  <c r="O92" i="28" a="1"/>
  <c r="O92" i="28" s="1"/>
  <c r="T92" i="28" a="1"/>
  <c r="T92" i="28" s="1"/>
  <c r="U92" i="28" s="1"/>
  <c r="V92" i="28" s="1" a="1"/>
  <c r="V92" i="28" s="1"/>
  <c r="W92" i="28" s="1"/>
  <c r="AA92" i="28" a="1"/>
  <c r="AA92" i="28" s="1"/>
  <c r="J92" i="28"/>
  <c r="G92" i="28" a="1"/>
  <c r="G92" i="28" s="1"/>
  <c r="N52" i="24"/>
  <c r="J52" i="24"/>
  <c r="M52" i="24"/>
  <c r="G52" i="24"/>
  <c r="I52" i="24" s="1"/>
  <c r="AA53" i="28" a="1"/>
  <c r="AA53" i="28" s="1"/>
  <c r="D53" i="28" a="1"/>
  <c r="D53" i="28" s="1"/>
  <c r="O53" i="28" a="1"/>
  <c r="O53" i="28" s="1"/>
  <c r="S53" i="28" a="1"/>
  <c r="S53" i="28" s="1"/>
  <c r="H53" i="28" a="1"/>
  <c r="H53" i="28" s="1"/>
  <c r="AF53" i="28" a="1"/>
  <c r="AF53" i="28" s="1"/>
  <c r="X53" i="28" a="1"/>
  <c r="X53" i="28" s="1"/>
  <c r="AE53" i="28" a="1"/>
  <c r="AE53" i="28" s="1"/>
  <c r="K53" i="28"/>
  <c r="T53" i="28" a="1"/>
  <c r="T53" i="28" s="1"/>
  <c r="U53" i="28" s="1"/>
  <c r="V53" i="28" s="1" a="1"/>
  <c r="V53" i="28" s="1"/>
  <c r="W53" i="28" s="1"/>
  <c r="Q53" i="28" a="1"/>
  <c r="Q53" i="28" s="1"/>
  <c r="P53" i="28" a="1"/>
  <c r="P53" i="28" s="1"/>
  <c r="E53" i="28" a="1"/>
  <c r="E53" i="28" s="1"/>
  <c r="L53" i="28"/>
  <c r="N53" i="28" a="1"/>
  <c r="N53" i="28" s="1"/>
  <c r="R53" i="28" a="1"/>
  <c r="R53" i="28" s="1"/>
  <c r="J53" i="28"/>
  <c r="AD53" i="28" a="1"/>
  <c r="AD53" i="28" s="1"/>
  <c r="AB53" i="28" a="1"/>
  <c r="AB53" i="28" s="1"/>
  <c r="AC53" i="28" s="1"/>
  <c r="M53" i="28" a="1"/>
  <c r="M53" i="28" s="1"/>
  <c r="G53" i="28" a="1"/>
  <c r="G53" i="28" s="1"/>
  <c r="L139" i="28"/>
  <c r="AD139" i="28" a="1"/>
  <c r="AD139" i="28" s="1"/>
  <c r="R139" i="28" a="1"/>
  <c r="R139" i="28" s="1"/>
  <c r="O139" i="28" a="1"/>
  <c r="O139" i="28" s="1"/>
  <c r="AB139" i="28" a="1"/>
  <c r="AB139" i="28" s="1"/>
  <c r="AC139" i="28" s="1"/>
  <c r="M139" i="28" a="1"/>
  <c r="M139" i="28" s="1"/>
  <c r="T139" i="28" a="1"/>
  <c r="T139" i="28" s="1"/>
  <c r="AA139" i="28" a="1"/>
  <c r="AA139" i="28" s="1"/>
  <c r="D139" i="28" a="1"/>
  <c r="D139" i="28" s="1"/>
  <c r="N139" i="28" a="1"/>
  <c r="N139" i="28" s="1"/>
  <c r="S139" i="28" a="1"/>
  <c r="S139" i="28" s="1"/>
  <c r="X139" i="28" a="1"/>
  <c r="X139" i="28" s="1"/>
  <c r="J139" i="28"/>
  <c r="Q139" i="28" a="1"/>
  <c r="Q139" i="28" s="1"/>
  <c r="P139" i="28" a="1"/>
  <c r="P139" i="28" s="1"/>
  <c r="AE139" i="28" a="1"/>
  <c r="AE139" i="28" s="1"/>
  <c r="K139" i="28"/>
  <c r="E139" i="28" a="1"/>
  <c r="E139" i="28" s="1"/>
  <c r="H139" i="28" a="1"/>
  <c r="H139" i="28" s="1"/>
  <c r="AF139" i="28" a="1"/>
  <c r="AF139" i="28" s="1"/>
  <c r="G139" i="28" a="1"/>
  <c r="G139" i="28" s="1"/>
  <c r="N91" i="24"/>
  <c r="J91" i="24"/>
  <c r="M91" i="24"/>
  <c r="G91" i="24"/>
  <c r="H91" i="24" s="1"/>
  <c r="BJ3" i="2"/>
  <c r="A68" i="20"/>
  <c r="A54" i="1" s="1"/>
  <c r="H10" i="21"/>
  <c r="J8" i="21"/>
  <c r="H8" i="21"/>
  <c r="H11" i="21"/>
  <c r="L10" i="21"/>
  <c r="H7" i="21"/>
  <c r="B49" i="21"/>
  <c r="J11" i="21"/>
  <c r="B21" i="21"/>
  <c r="B33" i="21" s="1"/>
  <c r="H9" i="21"/>
  <c r="B26" i="21"/>
  <c r="B38" i="21" s="1"/>
  <c r="CC26" i="21"/>
  <c r="BY26" i="21"/>
  <c r="Y26" i="21"/>
  <c r="M12" i="21" s="1"/>
  <c r="CE26" i="21"/>
  <c r="AC26" i="21"/>
  <c r="BH26" i="21" a="1"/>
  <c r="BH26" i="21" s="1"/>
  <c r="BI26" i="21" a="1"/>
  <c r="BI26" i="21" s="1"/>
  <c r="BW26" i="21"/>
  <c r="CQ26" i="21" s="1"/>
  <c r="AA26" i="21"/>
  <c r="BJ26" i="21" a="1"/>
  <c r="BJ26" i="21" s="1"/>
  <c r="AF26" i="21"/>
  <c r="BD26" i="21" a="1"/>
  <c r="BD26" i="21" s="1"/>
  <c r="BN26" i="21" s="1"/>
  <c r="BZ26" i="21"/>
  <c r="BC26" i="21" a="1"/>
  <c r="BC26" i="21" s="1"/>
  <c r="BM26" i="21" s="1"/>
  <c r="BL26" i="21" a="1"/>
  <c r="BL26" i="21" s="1"/>
  <c r="CD26" i="21"/>
  <c r="BG26" i="21" a="1"/>
  <c r="BG26" i="21" s="1"/>
  <c r="BX26" i="21"/>
  <c r="CR26" i="21" s="1"/>
  <c r="AG26" i="21"/>
  <c r="AH26" i="21"/>
  <c r="CA26" i="21"/>
  <c r="BE26" i="21" a="1"/>
  <c r="BE26" i="21" s="1"/>
  <c r="CB26" i="21"/>
  <c r="AB12" i="21"/>
  <c r="AD26" i="21"/>
  <c r="AB26" i="21"/>
  <c r="BK26" i="21" a="1"/>
  <c r="BK26" i="21" s="1"/>
  <c r="AE26" i="21"/>
  <c r="BF26" i="21" a="1"/>
  <c r="BF26" i="21" s="1"/>
  <c r="Z26" i="21"/>
  <c r="CF26" i="21"/>
  <c r="H12" i="21"/>
  <c r="J9" i="21"/>
  <c r="CS20" i="21"/>
  <c r="L12" i="21"/>
  <c r="G39" i="21"/>
  <c r="T39" i="21" s="1"/>
  <c r="AK29" i="21"/>
  <c r="CS28" i="21"/>
  <c r="BO25" i="21"/>
  <c r="E8" i="21"/>
  <c r="BO20" i="21"/>
  <c r="AV18" i="21"/>
  <c r="AL19" i="21" a="1"/>
  <c r="AL19" i="21" s="1"/>
  <c r="AL23" i="21" a="1"/>
  <c r="AL23" i="21" s="1"/>
  <c r="AL27" i="21" a="1"/>
  <c r="AL27" i="21" s="1"/>
  <c r="AL21" i="21" a="1"/>
  <c r="AL21" i="21" s="1"/>
  <c r="AL28" i="21" a="1"/>
  <c r="AL28" i="21" s="1"/>
  <c r="AL26" i="21" a="1"/>
  <c r="AL26" i="21" s="1"/>
  <c r="AL24" i="21" a="1"/>
  <c r="AL24" i="21" s="1"/>
  <c r="AL20" i="21" a="1"/>
  <c r="AL20" i="21" s="1"/>
  <c r="AL22" i="21" a="1"/>
  <c r="AL22" i="21" s="1"/>
  <c r="AL25" i="21" a="1"/>
  <c r="AL25" i="21" s="1"/>
  <c r="BO24" i="21"/>
  <c r="AC18" i="21"/>
  <c r="C159" i="25"/>
  <c r="S55" i="21"/>
  <c r="K9" i="21"/>
  <c r="K8" i="21"/>
  <c r="E9" i="21"/>
  <c r="K11" i="21"/>
  <c r="E11" i="21"/>
  <c r="E10" i="21"/>
  <c r="K10" i="21"/>
  <c r="D15" i="21"/>
  <c r="R11" i="21" s="1"/>
  <c r="E7" i="21"/>
  <c r="K7" i="21"/>
  <c r="L7" i="21"/>
  <c r="BF21" i="21" a="1"/>
  <c r="BF21" i="21" s="1"/>
  <c r="BJ21" i="21" a="1"/>
  <c r="BJ21" i="21" s="1"/>
  <c r="BZ21" i="21"/>
  <c r="CB21" i="21"/>
  <c r="BW21" i="21"/>
  <c r="CQ21" i="21" s="1"/>
  <c r="AG21" i="21"/>
  <c r="BL21" i="21" a="1"/>
  <c r="BL21" i="21" s="1"/>
  <c r="CC21" i="21"/>
  <c r="CD21" i="21"/>
  <c r="AD21" i="21"/>
  <c r="CF21" i="21"/>
  <c r="BI21" i="21" a="1"/>
  <c r="BI21" i="21" s="1"/>
  <c r="AC21" i="21"/>
  <c r="BC21" i="21" a="1"/>
  <c r="BC21" i="21" s="1"/>
  <c r="BM21" i="21" s="1"/>
  <c r="BY21" i="21"/>
  <c r="AB21" i="21"/>
  <c r="BX21" i="21"/>
  <c r="CR21" i="21" s="1"/>
  <c r="AH21" i="21"/>
  <c r="AE21" i="21"/>
  <c r="BE21" i="21" a="1"/>
  <c r="BE21" i="21" s="1"/>
  <c r="BO21" i="21" s="1"/>
  <c r="CA21" i="21"/>
  <c r="AA21" i="21"/>
  <c r="BG21" i="21" a="1"/>
  <c r="BG21" i="21" s="1"/>
  <c r="BH21" i="21" a="1"/>
  <c r="BH21" i="21" s="1"/>
  <c r="BD21" i="21" a="1"/>
  <c r="BD21" i="21" s="1"/>
  <c r="BN21" i="21" s="1"/>
  <c r="AF21" i="21"/>
  <c r="Z21" i="21"/>
  <c r="AB7" i="21"/>
  <c r="BK21" i="21" a="1"/>
  <c r="BK21" i="21" s="1"/>
  <c r="CE21" i="21"/>
  <c r="Y21" i="21"/>
  <c r="M7" i="21" s="1"/>
  <c r="Q36" i="21"/>
  <c r="C49" i="21" s="1"/>
  <c r="L6" i="21"/>
  <c r="E6" i="21"/>
  <c r="K6" i="21"/>
  <c r="E13" i="21"/>
  <c r="K13" i="21"/>
  <c r="L13" i="21"/>
  <c r="J6" i="21"/>
  <c r="H6" i="21"/>
  <c r="I55" i="21"/>
  <c r="Q37" i="21"/>
  <c r="G34" i="21"/>
  <c r="B47" i="21"/>
  <c r="AA55" i="21"/>
  <c r="H53" i="21"/>
  <c r="J53" i="21" s="1"/>
  <c r="L53" i="21" s="1"/>
  <c r="N53" i="21" s="1"/>
  <c r="P53" i="21" s="1"/>
  <c r="R53" i="21" s="1"/>
  <c r="T53" i="21" s="1"/>
  <c r="V53" i="21" s="1"/>
  <c r="X53" i="21" s="1"/>
  <c r="Z53" i="21" s="1"/>
  <c r="G18" i="21"/>
  <c r="J18" i="21" s="1"/>
  <c r="D45" i="21"/>
  <c r="C45" i="21"/>
  <c r="J15" i="21"/>
  <c r="L14" i="21"/>
  <c r="J14" i="21"/>
  <c r="E14" i="21"/>
  <c r="K14" i="21"/>
  <c r="G35" i="21"/>
  <c r="B48" i="21"/>
  <c r="AB19" i="21"/>
  <c r="BW19" i="21"/>
  <c r="CC19" i="21"/>
  <c r="BF19" i="21" a="1"/>
  <c r="BF19" i="21" s="1"/>
  <c r="B15" i="21"/>
  <c r="BX19" i="21"/>
  <c r="AC19" i="21"/>
  <c r="CE19" i="21"/>
  <c r="AF19" i="21"/>
  <c r="BE19" i="21" a="1"/>
  <c r="BE19" i="21" s="1"/>
  <c r="AB5" i="21"/>
  <c r="AD19" i="21"/>
  <c r="AA19" i="21"/>
  <c r="BI19" i="21" a="1"/>
  <c r="BI19" i="21" s="1"/>
  <c r="BZ19" i="21"/>
  <c r="AG19" i="21"/>
  <c r="BH19" i="21" a="1"/>
  <c r="BH19" i="21" s="1"/>
  <c r="BK19" i="21" a="1"/>
  <c r="BK19" i="21" s="1"/>
  <c r="AH19" i="21"/>
  <c r="BD19" i="21" a="1"/>
  <c r="BD19" i="21" s="1"/>
  <c r="H5" i="21"/>
  <c r="BY19" i="21"/>
  <c r="CD19" i="21"/>
  <c r="CB19" i="21"/>
  <c r="BL19" i="21" a="1"/>
  <c r="BL19" i="21" s="1"/>
  <c r="CA19" i="21"/>
  <c r="B19" i="21"/>
  <c r="B31" i="21" s="1"/>
  <c r="BC19" i="21" a="1"/>
  <c r="BC19" i="21" s="1"/>
  <c r="Z19" i="21"/>
  <c r="Y19" i="21"/>
  <c r="AE19" i="21"/>
  <c r="BJ19" i="21" a="1"/>
  <c r="BJ19" i="21" s="1"/>
  <c r="CF19" i="21"/>
  <c r="E5" i="21"/>
  <c r="BG19" i="21" a="1"/>
  <c r="BG19" i="21" s="1"/>
  <c r="G40" i="21"/>
  <c r="B53" i="21"/>
  <c r="C62" i="21"/>
  <c r="C72" i="21" s="1"/>
  <c r="C73" i="21" s="1"/>
  <c r="D60" i="21"/>
  <c r="C64" i="21"/>
  <c r="C65" i="21"/>
  <c r="B63" i="21"/>
  <c r="B72" i="21"/>
  <c r="B73" i="21" s="1"/>
  <c r="Y99" i="2"/>
  <c r="AH99" i="2"/>
  <c r="AB99" i="2"/>
  <c r="AC99" i="2" s="1"/>
  <c r="BH97" i="2"/>
  <c r="O99" i="2" a="1"/>
  <c r="O99" i="2" s="1"/>
  <c r="AA2" i="2" s="1"/>
  <c r="AA99" i="2"/>
  <c r="U99" i="2"/>
  <c r="V99" i="2"/>
  <c r="P99" i="2"/>
  <c r="AP99" i="2"/>
  <c r="L99" i="2"/>
  <c r="K99" i="2" s="1"/>
  <c r="E68" i="1"/>
  <c r="V104" i="2"/>
  <c r="P104" i="2"/>
  <c r="Z7" i="2" s="1"/>
  <c r="AU103" i="2"/>
  <c r="Z104" i="2"/>
  <c r="V103" i="2"/>
  <c r="P103" i="2"/>
  <c r="M105" i="2"/>
  <c r="AP105" i="2" s="1"/>
  <c r="D96" i="1"/>
  <c r="N107" i="2"/>
  <c r="AG107" i="2" s="1"/>
  <c r="AH103" i="2"/>
  <c r="AA103" i="2"/>
  <c r="O103" i="2" a="1"/>
  <c r="O103" i="2" s="1"/>
  <c r="AB103" i="2"/>
  <c r="AC103" i="2" s="1"/>
  <c r="U104" i="2"/>
  <c r="U103" i="2"/>
  <c r="AP103" i="2"/>
  <c r="N87" i="2"/>
  <c r="Y11" i="2"/>
  <c r="O87" i="2"/>
  <c r="B97" i="1"/>
  <c r="B76" i="1"/>
  <c r="X11" i="2"/>
  <c r="X106" i="2"/>
  <c r="AT106" i="2"/>
  <c r="AO106" i="2"/>
  <c r="V106" i="2"/>
  <c r="P106" i="2"/>
  <c r="Z9" i="2" s="1"/>
  <c r="AR106" i="2"/>
  <c r="AD106" i="2"/>
  <c r="AM106" i="2"/>
  <c r="L106" i="2"/>
  <c r="K106" i="2" s="1"/>
  <c r="AJ106" i="2"/>
  <c r="BI106" i="2"/>
  <c r="BN106" i="2"/>
  <c r="AE106" i="2"/>
  <c r="BJ106" i="2"/>
  <c r="BM106" i="2"/>
  <c r="U106" i="2"/>
  <c r="Q106" i="2"/>
  <c r="Z106" i="2"/>
  <c r="AU106" i="2"/>
  <c r="AY106" i="2"/>
  <c r="M106" i="2"/>
  <c r="Y106" i="2"/>
  <c r="AN106" i="2"/>
  <c r="BB106" i="2"/>
  <c r="T106" i="2"/>
  <c r="AS106" i="2"/>
  <c r="BE106" i="2"/>
  <c r="BG106" i="2"/>
  <c r="BR106" i="2"/>
  <c r="R106" i="2"/>
  <c r="AK106" i="2"/>
  <c r="AQ106" i="2"/>
  <c r="AX106" i="2"/>
  <c r="BH106" i="2"/>
  <c r="AP106" i="2"/>
  <c r="S106" i="2"/>
  <c r="AW106" i="2"/>
  <c r="W106" i="2"/>
  <c r="AV106" i="2"/>
  <c r="AF106" i="2"/>
  <c r="BF106" i="2"/>
  <c r="BO106" i="2"/>
  <c r="BK106" i="2"/>
  <c r="BA106" i="2"/>
  <c r="BP106" i="2"/>
  <c r="BQ106" i="2"/>
  <c r="BD106" i="2"/>
  <c r="BT106" i="2"/>
  <c r="BS106" i="2"/>
  <c r="BV106" i="2"/>
  <c r="BL106" i="2"/>
  <c r="AZ106" i="2"/>
  <c r="BU106" i="2"/>
  <c r="BC114" i="2"/>
  <c r="Y103" i="2"/>
  <c r="L104" i="2"/>
  <c r="K104" i="2" s="1"/>
  <c r="Y104" i="2"/>
  <c r="Z103" i="2"/>
  <c r="AC55" i="28" l="1"/>
  <c r="AC132" i="28"/>
  <c r="AD100" i="2"/>
  <c r="U58" i="28"/>
  <c r="V58" i="28" s="1" a="1"/>
  <c r="V58" i="28" s="1"/>
  <c r="W58" i="28" s="1"/>
  <c r="K42" i="24"/>
  <c r="E42" i="24" s="1"/>
  <c r="BO26" i="21"/>
  <c r="U78" i="28"/>
  <c r="V78" i="28" s="1" a="1"/>
  <c r="V78" i="28" s="1"/>
  <c r="W78" i="28" s="1"/>
  <c r="U156" i="28"/>
  <c r="V156" i="28" s="1" a="1"/>
  <c r="V156" i="28" s="1"/>
  <c r="W156" i="28" s="1"/>
  <c r="U93" i="28"/>
  <c r="V93" i="28" s="1" a="1"/>
  <c r="V93" i="28" s="1"/>
  <c r="W93" i="28" s="1"/>
  <c r="AU29" i="21"/>
  <c r="BO29" i="21" s="1"/>
  <c r="Y105" i="2"/>
  <c r="Z4" i="2"/>
  <c r="AB4" i="2" s="1"/>
  <c r="Q101" i="2"/>
  <c r="Z105" i="2"/>
  <c r="V105" i="2"/>
  <c r="U105" i="2"/>
  <c r="W102" i="2"/>
  <c r="R102" i="2"/>
  <c r="S102" i="2" s="1"/>
  <c r="L105" i="2"/>
  <c r="K105" i="2" s="1"/>
  <c r="P105" i="2"/>
  <c r="AC131" i="28"/>
  <c r="AC75" i="28"/>
  <c r="CS21" i="21"/>
  <c r="CS26" i="21"/>
  <c r="AC69" i="28"/>
  <c r="CS19" i="21"/>
  <c r="CI29" i="21"/>
  <c r="CS29" i="21" s="1"/>
  <c r="CS24" i="21"/>
  <c r="U106" i="28"/>
  <c r="V106" i="28" s="1" a="1"/>
  <c r="V106" i="28" s="1"/>
  <c r="W106" i="28" s="1"/>
  <c r="I106" i="28"/>
  <c r="I78" i="28"/>
  <c r="U100" i="28"/>
  <c r="V100" i="28" s="1" a="1"/>
  <c r="V100" i="28" s="1"/>
  <c r="W100" i="28" s="1"/>
  <c r="U19" i="28"/>
  <c r="V19" i="28" s="1" a="1"/>
  <c r="V19" i="28" s="1"/>
  <c r="W19" i="28" s="1"/>
  <c r="U21" i="28"/>
  <c r="V21" i="28" s="1" a="1"/>
  <c r="V21" i="28" s="1"/>
  <c r="W21" i="28" s="1"/>
  <c r="I21" i="28"/>
  <c r="I70" i="28"/>
  <c r="I33" i="28"/>
  <c r="H150" i="24"/>
  <c r="K114" i="24"/>
  <c r="U24" i="28"/>
  <c r="V24" i="28" s="1" a="1"/>
  <c r="V24" i="28" s="1"/>
  <c r="W24" i="28" s="1"/>
  <c r="I90" i="28"/>
  <c r="U90" i="28"/>
  <c r="V90" i="28" s="1" a="1"/>
  <c r="V90" i="28" s="1"/>
  <c r="W90" i="28" s="1"/>
  <c r="I153" i="28"/>
  <c r="I110" i="28"/>
  <c r="K130" i="24"/>
  <c r="I137" i="28"/>
  <c r="I38" i="24"/>
  <c r="I84" i="28"/>
  <c r="AC99" i="28"/>
  <c r="AC77" i="28"/>
  <c r="H30" i="24"/>
  <c r="H117" i="24"/>
  <c r="K68" i="24"/>
  <c r="F68" i="24" s="1"/>
  <c r="I49" i="24"/>
  <c r="H53" i="24"/>
  <c r="I133" i="24"/>
  <c r="K76" i="24"/>
  <c r="I171" i="28"/>
  <c r="I151" i="28"/>
  <c r="U129" i="28"/>
  <c r="V129" i="28" s="1" a="1"/>
  <c r="V129" i="28" s="1"/>
  <c r="W129" i="28" s="1"/>
  <c r="I98" i="28"/>
  <c r="H68" i="24"/>
  <c r="I26" i="24"/>
  <c r="I41" i="24"/>
  <c r="I129" i="28"/>
  <c r="I54" i="24"/>
  <c r="I93" i="24"/>
  <c r="I57" i="24"/>
  <c r="I162" i="24"/>
  <c r="I31" i="24"/>
  <c r="U75" i="28"/>
  <c r="V75" i="28" s="1" a="1"/>
  <c r="V75" i="28" s="1"/>
  <c r="W75" i="28" s="1"/>
  <c r="U148" i="28"/>
  <c r="V148" i="28" s="1" a="1"/>
  <c r="V148" i="28" s="1"/>
  <c r="W148" i="28" s="1"/>
  <c r="I111" i="28"/>
  <c r="I141" i="28"/>
  <c r="I165" i="28"/>
  <c r="U33" i="28"/>
  <c r="V33" i="28" s="1" a="1"/>
  <c r="V33" i="28" s="1"/>
  <c r="W33" i="28" s="1"/>
  <c r="I93" i="28"/>
  <c r="I100" i="24"/>
  <c r="H40" i="24"/>
  <c r="I113" i="24"/>
  <c r="K124" i="24"/>
  <c r="H104" i="24"/>
  <c r="U77" i="28"/>
  <c r="V77" i="28" s="1" a="1"/>
  <c r="V77" i="28" s="1"/>
  <c r="W77" i="28" s="1"/>
  <c r="I158" i="28"/>
  <c r="E68" i="24"/>
  <c r="L68" i="24"/>
  <c r="AC73" i="28"/>
  <c r="AB104" i="2"/>
  <c r="AC104" i="2" s="1"/>
  <c r="F53" i="28"/>
  <c r="F48" i="28"/>
  <c r="AC52" i="28"/>
  <c r="F34" i="28"/>
  <c r="F41" i="28"/>
  <c r="F124" i="28"/>
  <c r="F123" i="28"/>
  <c r="U23" i="28"/>
  <c r="V23" i="28" s="1" a="1"/>
  <c r="V23" i="28" s="1"/>
  <c r="W23" i="28" s="1"/>
  <c r="F110" i="28"/>
  <c r="U43" i="28"/>
  <c r="V43" i="28" s="1" a="1"/>
  <c r="V43" i="28" s="1"/>
  <c r="W43" i="28" s="1"/>
  <c r="F88" i="28"/>
  <c r="O104" i="2" a="1"/>
  <c r="O104" i="2" s="1"/>
  <c r="AA7" i="2" s="1"/>
  <c r="F125" i="28"/>
  <c r="F64" i="28"/>
  <c r="F166" i="28"/>
  <c r="F144" i="28"/>
  <c r="AC144" i="28"/>
  <c r="I29" i="28"/>
  <c r="U131" i="28"/>
  <c r="V131" i="28" s="1" a="1"/>
  <c r="V131" i="28" s="1"/>
  <c r="W131" i="28" s="1"/>
  <c r="I157" i="28"/>
  <c r="F91" i="28"/>
  <c r="I75" i="28"/>
  <c r="F32" i="28"/>
  <c r="F59" i="28"/>
  <c r="U47" i="28"/>
  <c r="V47" i="28" s="1" a="1"/>
  <c r="V47" i="28" s="1"/>
  <c r="W47" i="28" s="1"/>
  <c r="F172" i="28"/>
  <c r="U111" i="28"/>
  <c r="V111" i="28" s="1" a="1"/>
  <c r="V111" i="28" s="1"/>
  <c r="W111" i="28" s="1"/>
  <c r="F87" i="28"/>
  <c r="F27" i="28"/>
  <c r="F113" i="28"/>
  <c r="F61" i="28"/>
  <c r="I22" i="28"/>
  <c r="F36" i="28"/>
  <c r="U158" i="28"/>
  <c r="V158" i="28" s="1" a="1"/>
  <c r="V158" i="28" s="1"/>
  <c r="W158" i="28" s="1"/>
  <c r="F85" i="28"/>
  <c r="F139" i="28"/>
  <c r="U171" i="28"/>
  <c r="V171" i="28" s="1" a="1"/>
  <c r="V171" i="28" s="1"/>
  <c r="W171" i="28" s="1"/>
  <c r="F62" i="28"/>
  <c r="I108" i="28"/>
  <c r="F151" i="28"/>
  <c r="F128" i="28"/>
  <c r="I56" i="28"/>
  <c r="F93" i="28"/>
  <c r="U102" i="28"/>
  <c r="V102" i="28" s="1" a="1"/>
  <c r="V102" i="28" s="1"/>
  <c r="W102" i="28" s="1"/>
  <c r="I160" i="28"/>
  <c r="F163" i="28"/>
  <c r="U79" i="28"/>
  <c r="V79" i="28" s="1" a="1"/>
  <c r="V79" i="28" s="1"/>
  <c r="W79" i="28" s="1"/>
  <c r="I79" i="28"/>
  <c r="F133" i="28"/>
  <c r="I19" i="28"/>
  <c r="F74" i="28"/>
  <c r="F51" i="28"/>
  <c r="F69" i="28"/>
  <c r="F161" i="28"/>
  <c r="F115" i="28"/>
  <c r="U99" i="28"/>
  <c r="V99" i="28" s="1" a="1"/>
  <c r="V99" i="28" s="1"/>
  <c r="W99" i="28" s="1"/>
  <c r="U105" i="28"/>
  <c r="V105" i="28" s="1" a="1"/>
  <c r="V105" i="28" s="1"/>
  <c r="W105" i="28" s="1"/>
  <c r="U70" i="28"/>
  <c r="V70" i="28" s="1" a="1"/>
  <c r="V70" i="28" s="1"/>
  <c r="W70" i="28" s="1"/>
  <c r="F30" i="28"/>
  <c r="F154" i="28"/>
  <c r="U108" i="28"/>
  <c r="V108" i="28" s="1" a="1"/>
  <c r="V108" i="28" s="1"/>
  <c r="W108" i="28" s="1"/>
  <c r="F141" i="28"/>
  <c r="F147" i="28"/>
  <c r="F60" i="28"/>
  <c r="I102" i="28"/>
  <c r="U22" i="28"/>
  <c r="V22" i="28" s="1" a="1"/>
  <c r="V22" i="28" s="1"/>
  <c r="W22" i="28" s="1"/>
  <c r="F42" i="28"/>
  <c r="F73" i="28"/>
  <c r="F84" i="28"/>
  <c r="F95" i="28"/>
  <c r="F35" i="28"/>
  <c r="F65" i="28"/>
  <c r="AA104" i="2"/>
  <c r="AL104" i="2" s="1"/>
  <c r="AH104" i="2"/>
  <c r="F89" i="28"/>
  <c r="U143" i="28"/>
  <c r="V143" i="28" s="1" a="1"/>
  <c r="V143" i="28" s="1"/>
  <c r="W143" i="28" s="1"/>
  <c r="I46" i="28"/>
  <c r="F119" i="28"/>
  <c r="U104" i="28"/>
  <c r="V104" i="28" s="1" a="1"/>
  <c r="V104" i="28" s="1"/>
  <c r="W104" i="28" s="1"/>
  <c r="F156" i="28"/>
  <c r="U96" i="28"/>
  <c r="V96" i="28" s="1" a="1"/>
  <c r="V96" i="28" s="1"/>
  <c r="W96" i="28" s="1"/>
  <c r="F17" i="28"/>
  <c r="U110" i="28"/>
  <c r="V110" i="28" s="1" a="1"/>
  <c r="V110" i="28" s="1"/>
  <c r="W110" i="28" s="1"/>
  <c r="F114" i="28"/>
  <c r="F19" i="28"/>
  <c r="I39" i="28"/>
  <c r="F37" i="28"/>
  <c r="F31" i="28"/>
  <c r="AC38" i="28"/>
  <c r="AC29" i="28"/>
  <c r="E55" i="1"/>
  <c r="AC24" i="28"/>
  <c r="K26" i="24"/>
  <c r="F26" i="24" s="1"/>
  <c r="K60" i="24"/>
  <c r="E60" i="24" s="1"/>
  <c r="K157" i="24"/>
  <c r="F157" i="24" s="1"/>
  <c r="K63" i="24"/>
  <c r="E63" i="24" s="1"/>
  <c r="I11" i="24"/>
  <c r="H130" i="24"/>
  <c r="I94" i="24"/>
  <c r="I111" i="24"/>
  <c r="K93" i="24"/>
  <c r="F93" i="24" s="1"/>
  <c r="K86" i="24"/>
  <c r="E86" i="24" s="1"/>
  <c r="I110" i="24"/>
  <c r="H82" i="24"/>
  <c r="I63" i="24"/>
  <c r="H32" i="24"/>
  <c r="K24" i="24"/>
  <c r="E24" i="24" s="1"/>
  <c r="I47" i="28"/>
  <c r="I83" i="28"/>
  <c r="I154" i="28"/>
  <c r="I77" i="28"/>
  <c r="I12" i="24"/>
  <c r="AC137" i="28"/>
  <c r="L42" i="24"/>
  <c r="L86" i="24"/>
  <c r="I149" i="24"/>
  <c r="H116" i="24"/>
  <c r="U29" i="28"/>
  <c r="V29" i="28" s="1" a="1"/>
  <c r="V29" i="28" s="1"/>
  <c r="W29" i="28" s="1"/>
  <c r="I100" i="28"/>
  <c r="U157" i="28"/>
  <c r="V157" i="28" s="1" a="1"/>
  <c r="V157" i="28" s="1"/>
  <c r="W157" i="28" s="1"/>
  <c r="U82" i="28"/>
  <c r="V82" i="28" s="1" a="1"/>
  <c r="V82" i="28" s="1"/>
  <c r="W82" i="28" s="1"/>
  <c r="U91" i="28"/>
  <c r="V91" i="28" s="1" a="1"/>
  <c r="V91" i="28" s="1"/>
  <c r="W91" i="28" s="1"/>
  <c r="U170" i="28"/>
  <c r="V170" i="28" s="1" a="1"/>
  <c r="V170" i="28" s="1"/>
  <c r="W170" i="28" s="1"/>
  <c r="I170" i="28"/>
  <c r="I141" i="24"/>
  <c r="I42" i="28"/>
  <c r="I59" i="24"/>
  <c r="U59" i="28"/>
  <c r="V59" i="28" s="1" a="1"/>
  <c r="V59" i="28" s="1"/>
  <c r="W59" i="28" s="1"/>
  <c r="U46" i="28"/>
  <c r="V46" i="28" s="1" a="1"/>
  <c r="V46" i="28" s="1"/>
  <c r="W46" i="28" s="1"/>
  <c r="U97" i="28"/>
  <c r="V97" i="28" s="1" a="1"/>
  <c r="V97" i="28" s="1"/>
  <c r="W97" i="28" s="1"/>
  <c r="I103" i="28"/>
  <c r="H127" i="24"/>
  <c r="H80" i="24"/>
  <c r="I166" i="28"/>
  <c r="U130" i="28"/>
  <c r="V130" i="28" s="1" a="1"/>
  <c r="V130" i="28" s="1"/>
  <c r="W130" i="28" s="1"/>
  <c r="U63" i="28"/>
  <c r="V63" i="28" s="1" a="1"/>
  <c r="V63" i="28" s="1"/>
  <c r="W63" i="28" s="1"/>
  <c r="U41" i="28"/>
  <c r="V41" i="28" s="1" a="1"/>
  <c r="V41" i="28" s="1"/>
  <c r="W41" i="28" s="1"/>
  <c r="I122" i="28"/>
  <c r="I159" i="24"/>
  <c r="U175" i="28"/>
  <c r="V175" i="28" s="1" a="1"/>
  <c r="V175" i="28" s="1"/>
  <c r="W175" i="28" s="1"/>
  <c r="I175" i="28"/>
  <c r="I45" i="28"/>
  <c r="I102" i="24"/>
  <c r="H7" i="24"/>
  <c r="U112" i="28"/>
  <c r="V112" i="28" s="1" a="1"/>
  <c r="V112" i="28" s="1"/>
  <c r="W112" i="28" s="1"/>
  <c r="H161" i="24"/>
  <c r="I61" i="28"/>
  <c r="I155" i="28"/>
  <c r="K77" i="24"/>
  <c r="E77" i="24" s="1"/>
  <c r="AC122" i="28"/>
  <c r="I174" i="28"/>
  <c r="I73" i="28"/>
  <c r="U145" i="28"/>
  <c r="V145" i="28" s="1" a="1"/>
  <c r="V145" i="28" s="1"/>
  <c r="W145" i="28" s="1"/>
  <c r="K90" i="24"/>
  <c r="E90" i="24" s="1"/>
  <c r="U57" i="28"/>
  <c r="V57" i="28" s="1" a="1"/>
  <c r="V57" i="28" s="1"/>
  <c r="W57" i="28" s="1"/>
  <c r="I84" i="24"/>
  <c r="K116" i="24"/>
  <c r="U45" i="28"/>
  <c r="V45" i="28" s="1" a="1"/>
  <c r="V45" i="28" s="1"/>
  <c r="W45" i="28" s="1"/>
  <c r="K102" i="24"/>
  <c r="F102" i="24" s="1"/>
  <c r="I115" i="24"/>
  <c r="U160" i="28"/>
  <c r="V160" i="28" s="1" a="1"/>
  <c r="V160" i="28" s="1"/>
  <c r="W160" i="28" s="1"/>
  <c r="K57" i="24"/>
  <c r="E57" i="24" s="1"/>
  <c r="U136" i="28"/>
  <c r="V136" i="28" s="1" a="1"/>
  <c r="V136" i="28" s="1"/>
  <c r="W136" i="28" s="1"/>
  <c r="U120" i="28"/>
  <c r="V120" i="28" s="1" a="1"/>
  <c r="V120" i="28" s="1"/>
  <c r="W120" i="28" s="1"/>
  <c r="I105" i="28"/>
  <c r="I148" i="24"/>
  <c r="I76" i="28"/>
  <c r="I167" i="28"/>
  <c r="I162" i="28"/>
  <c r="K161" i="24"/>
  <c r="U72" i="28"/>
  <c r="V72" i="28" s="1" a="1"/>
  <c r="V72" i="28" s="1"/>
  <c r="W72" i="28" s="1"/>
  <c r="U150" i="28"/>
  <c r="V150" i="28" s="1" a="1"/>
  <c r="V150" i="28" s="1"/>
  <c r="W150" i="28" s="1"/>
  <c r="I152" i="28"/>
  <c r="K127" i="24"/>
  <c r="U154" i="28"/>
  <c r="V154" i="28" s="1" a="1"/>
  <c r="V154" i="28" s="1"/>
  <c r="W154" i="28" s="1"/>
  <c r="I49" i="28"/>
  <c r="U122" i="28"/>
  <c r="V122" i="28" s="1" a="1"/>
  <c r="V122" i="28" s="1"/>
  <c r="W122" i="28" s="1"/>
  <c r="U60" i="28"/>
  <c r="V60" i="28" s="1" a="1"/>
  <c r="V60" i="28" s="1"/>
  <c r="W60" i="28" s="1"/>
  <c r="U61" i="28"/>
  <c r="V61" i="28" s="1" a="1"/>
  <c r="V61" i="28" s="1"/>
  <c r="W61" i="28" s="1"/>
  <c r="K163" i="24"/>
  <c r="F163" i="24" s="1"/>
  <c r="I55" i="28"/>
  <c r="U54" i="28"/>
  <c r="V54" i="28" s="1" a="1"/>
  <c r="V54" i="28" s="1"/>
  <c r="W54" i="28" s="1"/>
  <c r="U119" i="28"/>
  <c r="V119" i="28" s="1" a="1"/>
  <c r="V119" i="28" s="1"/>
  <c r="W119" i="28" s="1"/>
  <c r="H136" i="24"/>
  <c r="K123" i="24"/>
  <c r="I42" i="24"/>
  <c r="I86" i="24"/>
  <c r="I23" i="28"/>
  <c r="U18" i="28"/>
  <c r="V18" i="28" s="1" a="1"/>
  <c r="V18" i="28" s="1"/>
  <c r="W18" i="28" s="1"/>
  <c r="I40" i="28"/>
  <c r="U98" i="28"/>
  <c r="V98" i="28" s="1" a="1"/>
  <c r="V98" i="28" s="1"/>
  <c r="W98" i="28" s="1"/>
  <c r="U86" i="28"/>
  <c r="V86" i="28" s="1" a="1"/>
  <c r="V86" i="28" s="1"/>
  <c r="W86" i="28" s="1"/>
  <c r="U174" i="28"/>
  <c r="V174" i="28" s="1" a="1"/>
  <c r="V174" i="28" s="1"/>
  <c r="W174" i="28" s="1"/>
  <c r="U17" i="28"/>
  <c r="V17" i="28" s="1" a="1"/>
  <c r="V17" i="28" s="1"/>
  <c r="W17" i="28" s="1"/>
  <c r="U168" i="28"/>
  <c r="V168" i="28" s="1" a="1"/>
  <c r="V168" i="28" s="1"/>
  <c r="W168" i="28" s="1"/>
  <c r="K148" i="24"/>
  <c r="E148" i="24" s="1"/>
  <c r="I92" i="28"/>
  <c r="AC70" i="28"/>
  <c r="I145" i="28"/>
  <c r="U152" i="28"/>
  <c r="V152" i="28" s="1" a="1"/>
  <c r="V152" i="28" s="1"/>
  <c r="W152" i="28" s="1"/>
  <c r="I57" i="28"/>
  <c r="U103" i="28"/>
  <c r="V103" i="28" s="1" a="1"/>
  <c r="V103" i="28" s="1"/>
  <c r="W103" i="28" s="1"/>
  <c r="I64" i="28"/>
  <c r="U52" i="28"/>
  <c r="V52" i="28" s="1" a="1"/>
  <c r="V52" i="28" s="1"/>
  <c r="W52" i="28" s="1"/>
  <c r="I54" i="28"/>
  <c r="U117" i="28"/>
  <c r="V117" i="28" s="1" a="1"/>
  <c r="V117" i="28" s="1"/>
  <c r="W117" i="28" s="1"/>
  <c r="H124" i="24"/>
  <c r="I86" i="28"/>
  <c r="K158" i="24"/>
  <c r="E158" i="24" s="1"/>
  <c r="U84" i="28"/>
  <c r="V84" i="28" s="1" a="1"/>
  <c r="V84" i="28" s="1"/>
  <c r="W84" i="28" s="1"/>
  <c r="U167" i="28"/>
  <c r="V167" i="28" s="1" a="1"/>
  <c r="V167" i="28" s="1"/>
  <c r="W167" i="28" s="1"/>
  <c r="I126" i="28"/>
  <c r="K70" i="24"/>
  <c r="F70" i="24" s="1"/>
  <c r="K39" i="24"/>
  <c r="F39" i="24" s="1"/>
  <c r="H27" i="24"/>
  <c r="I51" i="24"/>
  <c r="K28" i="24"/>
  <c r="H92" i="24"/>
  <c r="I23" i="24"/>
  <c r="K159" i="24"/>
  <c r="F159" i="24" s="1"/>
  <c r="K97" i="24"/>
  <c r="I121" i="24"/>
  <c r="K7" i="24"/>
  <c r="E7" i="24" s="1"/>
  <c r="C5" i="25" s="1"/>
  <c r="I81" i="24"/>
  <c r="K162" i="24"/>
  <c r="F162" i="24" s="1"/>
  <c r="H8" i="24"/>
  <c r="I146" i="24"/>
  <c r="K138" i="24"/>
  <c r="H50" i="24"/>
  <c r="I60" i="24"/>
  <c r="K53" i="24"/>
  <c r="E53" i="24" s="1"/>
  <c r="I143" i="24"/>
  <c r="H34" i="24"/>
  <c r="H123" i="24"/>
  <c r="K132" i="24"/>
  <c r="F132" i="24" s="1"/>
  <c r="I9" i="24"/>
  <c r="I85" i="24"/>
  <c r="I120" i="24"/>
  <c r="K113" i="24"/>
  <c r="E113" i="24" s="1"/>
  <c r="I157" i="24"/>
  <c r="H77" i="24"/>
  <c r="I105" i="24"/>
  <c r="I29" i="24"/>
  <c r="H147" i="24"/>
  <c r="K115" i="24"/>
  <c r="E115" i="24" s="1"/>
  <c r="I158" i="24"/>
  <c r="K38" i="24"/>
  <c r="E38" i="24" s="1"/>
  <c r="K59" i="24"/>
  <c r="E59" i="24" s="1"/>
  <c r="I18" i="24"/>
  <c r="I39" i="24"/>
  <c r="H138" i="24"/>
  <c r="H128" i="24"/>
  <c r="H145" i="24"/>
  <c r="H139" i="24"/>
  <c r="I129" i="24"/>
  <c r="I22" i="24"/>
  <c r="I152" i="24"/>
  <c r="H103" i="24"/>
  <c r="K121" i="24"/>
  <c r="F121" i="24" s="1"/>
  <c r="K81" i="24"/>
  <c r="E81" i="24" s="1"/>
  <c r="I163" i="24"/>
  <c r="I106" i="24"/>
  <c r="H134" i="24"/>
  <c r="H114" i="24"/>
  <c r="K71" i="24"/>
  <c r="E71" i="24" s="1"/>
  <c r="K69" i="24"/>
  <c r="I45" i="24"/>
  <c r="H97" i="24"/>
  <c r="I66" i="24"/>
  <c r="I109" i="24"/>
  <c r="H58" i="24"/>
  <c r="I70" i="24"/>
  <c r="K11" i="24"/>
  <c r="E11" i="24" s="1"/>
  <c r="H28" i="24"/>
  <c r="H55" i="24"/>
  <c r="I98" i="24"/>
  <c r="AC92" i="28"/>
  <c r="L26" i="24"/>
  <c r="L81" i="24"/>
  <c r="L57" i="24"/>
  <c r="L69" i="24"/>
  <c r="E62" i="1"/>
  <c r="K142" i="24"/>
  <c r="E142" i="24" s="1"/>
  <c r="L7" i="24"/>
  <c r="AC50" i="28"/>
  <c r="L161" i="24"/>
  <c r="L163" i="24"/>
  <c r="L59" i="24"/>
  <c r="L138" i="24"/>
  <c r="Z125" i="28"/>
  <c r="Y125" i="28"/>
  <c r="Z59" i="28"/>
  <c r="Y59" i="28"/>
  <c r="Z46" i="28"/>
  <c r="Y46" i="28"/>
  <c r="Z172" i="28"/>
  <c r="Y172" i="28"/>
  <c r="Y62" i="28"/>
  <c r="Z62" i="28"/>
  <c r="L139" i="24"/>
  <c r="K139" i="24"/>
  <c r="I25" i="28"/>
  <c r="F25" i="28"/>
  <c r="Y131" i="28"/>
  <c r="Z131" i="28"/>
  <c r="L29" i="24"/>
  <c r="K29" i="24"/>
  <c r="E29" i="24" s="1"/>
  <c r="F127" i="28"/>
  <c r="Z23" i="28"/>
  <c r="Y23" i="28"/>
  <c r="Z163" i="28"/>
  <c r="Y163" i="28"/>
  <c r="Z28" i="28"/>
  <c r="Y28" i="28"/>
  <c r="Y19" i="28"/>
  <c r="Z19" i="28"/>
  <c r="E56" i="1"/>
  <c r="D56" i="1"/>
  <c r="D36" i="1"/>
  <c r="D31" i="1"/>
  <c r="D12" i="1"/>
  <c r="D25" i="1"/>
  <c r="D29" i="1"/>
  <c r="D11" i="1"/>
  <c r="D14" i="1" s="1"/>
  <c r="D30" i="1"/>
  <c r="D26" i="1"/>
  <c r="D34" i="1"/>
  <c r="D16" i="1"/>
  <c r="D19" i="1"/>
  <c r="D27" i="1"/>
  <c r="D35" i="1"/>
  <c r="D60" i="1"/>
  <c r="E60" i="1"/>
  <c r="Z85" i="28"/>
  <c r="Y85" i="28"/>
  <c r="Y134" i="28"/>
  <c r="Z134" i="28"/>
  <c r="I134" i="28"/>
  <c r="F134" i="28"/>
  <c r="Y164" i="28"/>
  <c r="Z164" i="28"/>
  <c r="Z81" i="28"/>
  <c r="Y81" i="28"/>
  <c r="L9" i="24"/>
  <c r="K9" i="24"/>
  <c r="E9" i="24" s="1"/>
  <c r="I53" i="28"/>
  <c r="Y121" i="28"/>
  <c r="Z121" i="28"/>
  <c r="I72" i="28"/>
  <c r="I125" i="28"/>
  <c r="I142" i="24"/>
  <c r="K75" i="24"/>
  <c r="F75" i="24" s="1"/>
  <c r="Z48" i="28"/>
  <c r="Y48" i="28"/>
  <c r="U155" i="28"/>
  <c r="V155" i="28" s="1" a="1"/>
  <c r="V155" i="28" s="1"/>
  <c r="W155" i="28" s="1"/>
  <c r="Y155" i="28"/>
  <c r="Z155" i="28"/>
  <c r="I37" i="24"/>
  <c r="K118" i="24"/>
  <c r="E118" i="24" s="1"/>
  <c r="F145" i="28"/>
  <c r="I90" i="24"/>
  <c r="Y32" i="28"/>
  <c r="Z32" i="28"/>
  <c r="I59" i="28"/>
  <c r="Z143" i="28"/>
  <c r="Y143" i="28"/>
  <c r="I148" i="28"/>
  <c r="F152" i="28"/>
  <c r="F46" i="28"/>
  <c r="I80" i="28"/>
  <c r="I97" i="28"/>
  <c r="Z47" i="28"/>
  <c r="Y47" i="28"/>
  <c r="I172" i="28"/>
  <c r="L155" i="24"/>
  <c r="K155" i="24"/>
  <c r="U83" i="28"/>
  <c r="V83" i="28" s="1" a="1"/>
  <c r="V83" i="28" s="1"/>
  <c r="W83" i="28" s="1"/>
  <c r="Z83" i="28"/>
  <c r="Y83" i="28"/>
  <c r="I30" i="28"/>
  <c r="H47" i="24"/>
  <c r="F103" i="28"/>
  <c r="U64" i="28"/>
  <c r="V64" i="28" s="1" a="1"/>
  <c r="V64" i="28" s="1"/>
  <c r="W64" i="28" s="1"/>
  <c r="U62" i="28"/>
  <c r="V62" i="28" s="1" a="1"/>
  <c r="V62" i="28" s="1"/>
  <c r="W62" i="28" s="1"/>
  <c r="L109" i="24"/>
  <c r="K109" i="24"/>
  <c r="F109" i="24" s="1"/>
  <c r="F111" i="28"/>
  <c r="F77" i="28"/>
  <c r="U26" i="28"/>
  <c r="V26" i="28" s="1" a="1"/>
  <c r="V26" i="28" s="1"/>
  <c r="W26" i="28" s="1"/>
  <c r="I144" i="24"/>
  <c r="Y54" i="28"/>
  <c r="Z54" i="28"/>
  <c r="F54" i="28"/>
  <c r="J4" i="24"/>
  <c r="M4" i="24"/>
  <c r="N4" i="24"/>
  <c r="G4" i="24"/>
  <c r="H4" i="24" s="1"/>
  <c r="H21" i="24"/>
  <c r="Y113" i="28"/>
  <c r="Z113" i="28"/>
  <c r="Z141" i="28"/>
  <c r="Y141" i="28"/>
  <c r="L105" i="24"/>
  <c r="K105" i="24"/>
  <c r="E105" i="24" s="1"/>
  <c r="L123" i="24"/>
  <c r="H119" i="24"/>
  <c r="I41" i="28"/>
  <c r="K112" i="24"/>
  <c r="E112" i="24" s="1"/>
  <c r="F24" i="28"/>
  <c r="Z24" i="28"/>
  <c r="Y24" i="28"/>
  <c r="U147" i="28"/>
  <c r="V147" i="28" s="1" a="1"/>
  <c r="V147" i="28" s="1"/>
  <c r="W147" i="28" s="1"/>
  <c r="I96" i="24"/>
  <c r="U165" i="28"/>
  <c r="V165" i="28" s="1" a="1"/>
  <c r="V165" i="28" s="1"/>
  <c r="W165" i="28" s="1"/>
  <c r="Y129" i="28"/>
  <c r="Z129" i="28"/>
  <c r="L101" i="24"/>
  <c r="K101" i="24"/>
  <c r="F101" i="24" s="1"/>
  <c r="L149" i="24"/>
  <c r="K149" i="24"/>
  <c r="F149" i="24" s="1"/>
  <c r="F29" i="28"/>
  <c r="K22" i="24"/>
  <c r="E22" i="24" s="1"/>
  <c r="U127" i="28"/>
  <c r="V127" i="28" s="1" a="1"/>
  <c r="V127" i="28" s="1"/>
  <c r="W127" i="28" s="1"/>
  <c r="K92" i="24"/>
  <c r="E92" i="24" s="1"/>
  <c r="Y101" i="28"/>
  <c r="Z101" i="28"/>
  <c r="Z82" i="28"/>
  <c r="Y82" i="28"/>
  <c r="Y44" i="28"/>
  <c r="Z44" i="28"/>
  <c r="U44" i="28"/>
  <c r="V44" i="28" s="1" a="1"/>
  <c r="V44" i="28" s="1"/>
  <c r="W44" i="28" s="1"/>
  <c r="I10" i="24"/>
  <c r="Z60" i="28"/>
  <c r="Y60" i="28"/>
  <c r="AC93" i="28"/>
  <c r="K55" i="24"/>
  <c r="E55" i="24" s="1"/>
  <c r="F40" i="28"/>
  <c r="U40" i="28"/>
  <c r="V40" i="28" s="1" a="1"/>
  <c r="V40" i="28" s="1"/>
  <c r="W40" i="28" s="1"/>
  <c r="U153" i="28"/>
  <c r="V153" i="28" s="1" a="1"/>
  <c r="V153" i="28" s="1"/>
  <c r="W153" i="28" s="1"/>
  <c r="F170" i="28"/>
  <c r="L124" i="24"/>
  <c r="F86" i="28"/>
  <c r="U68" i="28"/>
  <c r="V68" i="28" s="1" a="1"/>
  <c r="V68" i="28" s="1"/>
  <c r="W68" i="28" s="1"/>
  <c r="L97" i="24"/>
  <c r="Z45" i="28"/>
  <c r="Y45" i="28"/>
  <c r="I20" i="28"/>
  <c r="Z20" i="28"/>
  <c r="Y20" i="28"/>
  <c r="K72" i="24"/>
  <c r="U66" i="28"/>
  <c r="V66" i="28" s="1" a="1"/>
  <c r="V66" i="28" s="1"/>
  <c r="W66" i="28" s="1"/>
  <c r="I67" i="28"/>
  <c r="I136" i="28"/>
  <c r="H74" i="24"/>
  <c r="I19" i="24"/>
  <c r="I163" i="28"/>
  <c r="K87" i="24"/>
  <c r="F87" i="24" s="1"/>
  <c r="L49" i="24"/>
  <c r="K49" i="24"/>
  <c r="F49" i="24" s="1"/>
  <c r="U28" i="28"/>
  <c r="V28" i="28" s="1" a="1"/>
  <c r="V28" i="28" s="1"/>
  <c r="W28" i="28" s="1"/>
  <c r="I28" i="28"/>
  <c r="F79" i="28"/>
  <c r="U159" i="28"/>
  <c r="V159" i="28" s="1" a="1"/>
  <c r="V159" i="28" s="1"/>
  <c r="W159" i="28" s="1"/>
  <c r="I114" i="28"/>
  <c r="L5" i="24"/>
  <c r="K5" i="24"/>
  <c r="E5" i="24" s="1"/>
  <c r="U42" i="28"/>
  <c r="V42" i="28" s="1" a="1"/>
  <c r="V42" i="28" s="1"/>
  <c r="W42" i="28" s="1"/>
  <c r="I168" i="28"/>
  <c r="U73" i="28"/>
  <c r="V73" i="28" s="1" a="1"/>
  <c r="V73" i="28" s="1"/>
  <c r="W73" i="28" s="1"/>
  <c r="F158" i="28"/>
  <c r="I74" i="28"/>
  <c r="Y74" i="28"/>
  <c r="Z74" i="28"/>
  <c r="Y76" i="28"/>
  <c r="Z76" i="28"/>
  <c r="Z51" i="28"/>
  <c r="Y51" i="28"/>
  <c r="I51" i="28"/>
  <c r="Z95" i="28"/>
  <c r="Y95" i="28"/>
  <c r="D55" i="1"/>
  <c r="E61" i="1"/>
  <c r="D61" i="1"/>
  <c r="H126" i="24"/>
  <c r="I43" i="24"/>
  <c r="U39" i="28"/>
  <c r="V39" i="28" s="1" a="1"/>
  <c r="V39" i="28" s="1"/>
  <c r="W39" i="28" s="1"/>
  <c r="U162" i="28"/>
  <c r="V162" i="28" s="1" a="1"/>
  <c r="V162" i="28" s="1"/>
  <c r="W162" i="28" s="1"/>
  <c r="I112" i="28"/>
  <c r="Z112" i="28"/>
  <c r="Y112" i="28"/>
  <c r="K31" i="24"/>
  <c r="E31" i="24" s="1"/>
  <c r="Z126" i="28"/>
  <c r="Y126" i="28"/>
  <c r="I62" i="24"/>
  <c r="I95" i="24"/>
  <c r="L99" i="24"/>
  <c r="K99" i="24"/>
  <c r="E99" i="24" s="1"/>
  <c r="Y30" i="28"/>
  <c r="Z30" i="28"/>
  <c r="L41" i="24"/>
  <c r="K41" i="24"/>
  <c r="F41" i="24" s="1"/>
  <c r="Y38" i="28"/>
  <c r="Z38" i="28"/>
  <c r="Z161" i="28"/>
  <c r="Y161" i="28"/>
  <c r="Z41" i="28"/>
  <c r="Y41" i="28"/>
  <c r="Z100" i="28"/>
  <c r="Y100" i="28"/>
  <c r="Z86" i="28"/>
  <c r="Y86" i="28"/>
  <c r="Z175" i="28"/>
  <c r="Y175" i="28"/>
  <c r="K154" i="24"/>
  <c r="U65" i="28"/>
  <c r="V65" i="28" s="1" a="1"/>
  <c r="V65" i="28" s="1"/>
  <c r="W65" i="28" s="1"/>
  <c r="Z148" i="28"/>
  <c r="Y148" i="28"/>
  <c r="U80" i="28"/>
  <c r="V80" i="28" s="1" a="1"/>
  <c r="V80" i="28" s="1"/>
  <c r="W80" i="28" s="1"/>
  <c r="U87" i="28"/>
  <c r="V87" i="28" s="1" a="1"/>
  <c r="V87" i="28" s="1"/>
  <c r="W87" i="28" s="1"/>
  <c r="L157" i="24"/>
  <c r="K36" i="24"/>
  <c r="F36" i="24" s="1"/>
  <c r="I38" i="28"/>
  <c r="I144" i="28"/>
  <c r="U128" i="28"/>
  <c r="V128" i="28" s="1" a="1"/>
  <c r="V128" i="28" s="1"/>
  <c r="W128" i="28" s="1"/>
  <c r="Z34" i="28"/>
  <c r="Y34" i="28"/>
  <c r="F140" i="28"/>
  <c r="Z25" i="28"/>
  <c r="Y25" i="28"/>
  <c r="Y127" i="28"/>
  <c r="Z127" i="28"/>
  <c r="I124" i="28"/>
  <c r="U123" i="28"/>
  <c r="V123" i="28" s="1" a="1"/>
  <c r="V123" i="28" s="1"/>
  <c r="W123" i="28" s="1"/>
  <c r="I60" i="28"/>
  <c r="U88" i="28"/>
  <c r="V88" i="28" s="1" a="1"/>
  <c r="V88" i="28" s="1"/>
  <c r="W88" i="28" s="1"/>
  <c r="I88" i="28"/>
  <c r="Z61" i="28"/>
  <c r="Y61" i="28"/>
  <c r="L16" i="24"/>
  <c r="K16" i="24"/>
  <c r="E16" i="24" s="1"/>
  <c r="I146" i="28"/>
  <c r="L156" i="24"/>
  <c r="K156" i="24"/>
  <c r="E156" i="24" s="1"/>
  <c r="F20" i="28"/>
  <c r="Y94" i="28"/>
  <c r="Z94" i="28"/>
  <c r="K48" i="24"/>
  <c r="F48" i="24" s="1"/>
  <c r="K73" i="24"/>
  <c r="Z43" i="28"/>
  <c r="Y43" i="28"/>
  <c r="F28" i="28"/>
  <c r="Y79" i="28"/>
  <c r="Z79" i="28"/>
  <c r="L33" i="24"/>
  <c r="K33" i="24"/>
  <c r="F33" i="24" s="1"/>
  <c r="Z168" i="28"/>
  <c r="Y168" i="28"/>
  <c r="Y84" i="28"/>
  <c r="Z84" i="28"/>
  <c r="L148" i="24"/>
  <c r="U74" i="28"/>
  <c r="V74" i="28" s="1" a="1"/>
  <c r="V74" i="28" s="1"/>
  <c r="W74" i="28" s="1"/>
  <c r="U51" i="28"/>
  <c r="V51" i="28" s="1" a="1"/>
  <c r="V51" i="28" s="1"/>
  <c r="W51" i="28" s="1"/>
  <c r="E59" i="1"/>
  <c r="Y69" i="28"/>
  <c r="Z69" i="28"/>
  <c r="L160" i="24"/>
  <c r="K160" i="24"/>
  <c r="F160" i="24" s="1"/>
  <c r="Z167" i="28"/>
  <c r="Y167" i="28"/>
  <c r="L61" i="24"/>
  <c r="K61" i="24"/>
  <c r="F61" i="24" s="1"/>
  <c r="Z50" i="28"/>
  <c r="Y50" i="28"/>
  <c r="I164" i="28"/>
  <c r="F164" i="28"/>
  <c r="Y71" i="28"/>
  <c r="Z71" i="28"/>
  <c r="L35" i="24"/>
  <c r="K35" i="24"/>
  <c r="Z145" i="28"/>
  <c r="Y145" i="28"/>
  <c r="Y64" i="28"/>
  <c r="Z64" i="28"/>
  <c r="Y49" i="28"/>
  <c r="Z49" i="28"/>
  <c r="Z130" i="28"/>
  <c r="Y130" i="28"/>
  <c r="Z103" i="28"/>
  <c r="Y103" i="28"/>
  <c r="F132" i="28"/>
  <c r="Y92" i="28"/>
  <c r="Z92" i="28"/>
  <c r="L154" i="24"/>
  <c r="Y72" i="28"/>
  <c r="Z72" i="28"/>
  <c r="Y65" i="28"/>
  <c r="Z65" i="28"/>
  <c r="Y150" i="28"/>
  <c r="Z150" i="28"/>
  <c r="L65" i="24"/>
  <c r="K65" i="24"/>
  <c r="I14" i="24"/>
  <c r="I48" i="28"/>
  <c r="Z70" i="28"/>
  <c r="Y70" i="28"/>
  <c r="L90" i="24"/>
  <c r="U89" i="28"/>
  <c r="V89" i="28" s="1" a="1"/>
  <c r="V89" i="28" s="1"/>
  <c r="W89" i="28" s="1"/>
  <c r="Y152" i="28"/>
  <c r="Z152" i="28"/>
  <c r="Y80" i="28"/>
  <c r="Z80" i="28"/>
  <c r="L66" i="24"/>
  <c r="K66" i="24"/>
  <c r="F66" i="24" s="1"/>
  <c r="I151" i="24"/>
  <c r="U172" i="28"/>
  <c r="V172" i="28" s="1" a="1"/>
  <c r="V172" i="28" s="1"/>
  <c r="W172" i="28" s="1"/>
  <c r="F83" i="28"/>
  <c r="I173" i="28"/>
  <c r="I20" i="24"/>
  <c r="L47" i="24"/>
  <c r="K47" i="24"/>
  <c r="E47" i="24" s="1"/>
  <c r="L80" i="24"/>
  <c r="K80" i="24"/>
  <c r="F80" i="24" s="1"/>
  <c r="L53" i="24"/>
  <c r="F26" i="28"/>
  <c r="F49" i="28"/>
  <c r="I63" i="28"/>
  <c r="F63" i="28"/>
  <c r="H135" i="24"/>
  <c r="U151" i="28"/>
  <c r="V151" i="28" s="1" a="1"/>
  <c r="V151" i="28" s="1"/>
  <c r="W151" i="28" s="1"/>
  <c r="I113" i="28"/>
  <c r="U144" i="28"/>
  <c r="V144" i="28" s="1" a="1"/>
  <c r="V144" i="28" s="1"/>
  <c r="W144" i="28" s="1"/>
  <c r="Z144" i="28"/>
  <c r="Y144" i="28"/>
  <c r="I13" i="24"/>
  <c r="I128" i="28"/>
  <c r="L119" i="24"/>
  <c r="K119" i="24"/>
  <c r="I15" i="24"/>
  <c r="Y104" i="28"/>
  <c r="Z104" i="28"/>
  <c r="L96" i="24"/>
  <c r="K96" i="24"/>
  <c r="E96" i="24" s="1"/>
  <c r="I140" i="28"/>
  <c r="I6" i="24"/>
  <c r="L79" i="24"/>
  <c r="K79" i="24"/>
  <c r="F96" i="28"/>
  <c r="Z56" i="28"/>
  <c r="Y56" i="28"/>
  <c r="Y116" i="28"/>
  <c r="Z116" i="28"/>
  <c r="Z117" i="28"/>
  <c r="Y117" i="28"/>
  <c r="F101" i="28"/>
  <c r="I123" i="28"/>
  <c r="Y102" i="28"/>
  <c r="Z102" i="28"/>
  <c r="L46" i="24"/>
  <c r="K46" i="24"/>
  <c r="F46" i="24" s="1"/>
  <c r="U118" i="28"/>
  <c r="V118" i="28" s="1" a="1"/>
  <c r="V118" i="28" s="1"/>
  <c r="W118" i="28" s="1"/>
  <c r="AC45" i="28"/>
  <c r="H72" i="24"/>
  <c r="Z160" i="28"/>
  <c r="Y160" i="28"/>
  <c r="L83" i="24"/>
  <c r="K83" i="24"/>
  <c r="E83" i="24" s="1"/>
  <c r="F136" i="28"/>
  <c r="F107" i="28"/>
  <c r="Z120" i="28"/>
  <c r="Y120" i="28"/>
  <c r="I36" i="28"/>
  <c r="Y109" i="28"/>
  <c r="Z109" i="28"/>
  <c r="F109" i="28"/>
  <c r="Y159" i="28"/>
  <c r="Z159" i="28"/>
  <c r="L162" i="24"/>
  <c r="K98" i="24"/>
  <c r="E98" i="24" s="1"/>
  <c r="F21" i="28"/>
  <c r="Y149" i="28"/>
  <c r="Z149" i="28"/>
  <c r="U95" i="28"/>
  <c r="V95" i="28" s="1" a="1"/>
  <c r="V95" i="28" s="1"/>
  <c r="W95" i="28" s="1"/>
  <c r="C22" i="1"/>
  <c r="E20" i="1"/>
  <c r="D20" i="1"/>
  <c r="C64" i="1"/>
  <c r="D57" i="1"/>
  <c r="E57" i="1"/>
  <c r="U69" i="28"/>
  <c r="V69" i="28" s="1" a="1"/>
  <c r="V69" i="28" s="1"/>
  <c r="W69" i="28" s="1"/>
  <c r="Z39" i="28"/>
  <c r="Y39" i="28"/>
  <c r="Z37" i="28"/>
  <c r="Y37" i="28"/>
  <c r="I37" i="28"/>
  <c r="Z35" i="28"/>
  <c r="Y35" i="28"/>
  <c r="I24" i="24"/>
  <c r="U126" i="28"/>
  <c r="V126" i="28" s="1" a="1"/>
  <c r="V126" i="28" s="1"/>
  <c r="W126" i="28" s="1"/>
  <c r="L146" i="24"/>
  <c r="K146" i="24"/>
  <c r="E146" i="24" s="1"/>
  <c r="L64" i="24"/>
  <c r="K64" i="24"/>
  <c r="E64" i="24" s="1"/>
  <c r="H137" i="24"/>
  <c r="L18" i="24"/>
  <c r="K18" i="24"/>
  <c r="E18" i="24" s="1"/>
  <c r="P16" i="28" a="1"/>
  <c r="P16" i="28" s="1"/>
  <c r="L16" i="28"/>
  <c r="AD16" i="28" a="1"/>
  <c r="AD16" i="28" s="1"/>
  <c r="K16" i="28"/>
  <c r="Q16" i="28" a="1"/>
  <c r="Q16" i="28" s="1"/>
  <c r="M16" i="28" a="1"/>
  <c r="M16" i="28" s="1"/>
  <c r="E16" i="28" a="1"/>
  <c r="E16" i="28" s="1"/>
  <c r="N16" i="28" a="1"/>
  <c r="N16" i="28" s="1"/>
  <c r="AF16" i="28" a="1"/>
  <c r="AF16" i="28" s="1"/>
  <c r="AA16" i="28" a="1"/>
  <c r="AA16" i="28" s="1"/>
  <c r="R16" i="28" a="1"/>
  <c r="R16" i="28" s="1"/>
  <c r="T16" i="28" a="1"/>
  <c r="T16" i="28" s="1"/>
  <c r="S16" i="28" a="1"/>
  <c r="S16" i="28" s="1"/>
  <c r="O16" i="28" a="1"/>
  <c r="O16" i="28" s="1"/>
  <c r="AB16" i="28" a="1"/>
  <c r="AB16" i="28" s="1"/>
  <c r="D16" i="28" a="1"/>
  <c r="D16" i="28" s="1"/>
  <c r="J16" i="28"/>
  <c r="AE16" i="28" a="1"/>
  <c r="AE16" i="28" s="1"/>
  <c r="X16" i="28" a="1"/>
  <c r="X16" i="28" s="1"/>
  <c r="H16" i="28" a="1"/>
  <c r="H16" i="28" s="1"/>
  <c r="G16" i="28" a="1"/>
  <c r="G16" i="28" s="1"/>
  <c r="Y78" i="28"/>
  <c r="Z78" i="28"/>
  <c r="F146" i="28"/>
  <c r="Y22" i="28"/>
  <c r="Z22" i="28"/>
  <c r="L91" i="24"/>
  <c r="K91" i="24"/>
  <c r="F91" i="24" s="1"/>
  <c r="U139" i="28"/>
  <c r="V139" i="28" s="1" a="1"/>
  <c r="V139" i="28" s="1"/>
  <c r="W139" i="28" s="1"/>
  <c r="L52" i="24"/>
  <c r="K52" i="24"/>
  <c r="E52" i="24" s="1"/>
  <c r="I150" i="28"/>
  <c r="U125" i="28"/>
  <c r="V125" i="28" s="1" a="1"/>
  <c r="V125" i="28" s="1"/>
  <c r="W125" i="28" s="1"/>
  <c r="Z169" i="28"/>
  <c r="Y169" i="28"/>
  <c r="U32" i="28"/>
  <c r="V32" i="28" s="1" a="1"/>
  <c r="V32" i="28" s="1"/>
  <c r="W32" i="28" s="1"/>
  <c r="L39" i="24"/>
  <c r="Y132" i="28"/>
  <c r="Z132" i="28"/>
  <c r="Y26" i="28"/>
  <c r="Z26" i="28"/>
  <c r="I121" i="28"/>
  <c r="I75" i="24"/>
  <c r="F171" i="28"/>
  <c r="I78" i="24"/>
  <c r="K107" i="24"/>
  <c r="E107" i="24" s="1"/>
  <c r="F57" i="28"/>
  <c r="F97" i="28"/>
  <c r="H122" i="24"/>
  <c r="U173" i="28"/>
  <c r="V173" i="28" s="1" a="1"/>
  <c r="V173" i="28" s="1"/>
  <c r="W173" i="28" s="1"/>
  <c r="L60" i="24"/>
  <c r="I87" i="28"/>
  <c r="I26" i="28"/>
  <c r="Y27" i="28"/>
  <c r="Z27" i="28"/>
  <c r="I52" i="28"/>
  <c r="F52" i="28"/>
  <c r="Z52" i="28"/>
  <c r="Y52" i="28"/>
  <c r="L143" i="24"/>
  <c r="K143" i="24"/>
  <c r="E143" i="24" s="1"/>
  <c r="I130" i="28"/>
  <c r="F130" i="28"/>
  <c r="L12" i="24"/>
  <c r="K12" i="24"/>
  <c r="E12" i="24" s="1"/>
  <c r="L144" i="24"/>
  <c r="K144" i="24"/>
  <c r="E144" i="24" s="1"/>
  <c r="Z119" i="28"/>
  <c r="Y119" i="28"/>
  <c r="L77" i="24"/>
  <c r="I131" i="24"/>
  <c r="K140" i="24"/>
  <c r="F140" i="24" s="1"/>
  <c r="L84" i="24"/>
  <c r="K84" i="24"/>
  <c r="E84" i="24" s="1"/>
  <c r="K21" i="24"/>
  <c r="K44" i="24"/>
  <c r="F106" i="28"/>
  <c r="F78" i="28"/>
  <c r="U161" i="28"/>
  <c r="V161" i="28" s="1" a="1"/>
  <c r="V161" i="28" s="1"/>
  <c r="W161" i="28" s="1"/>
  <c r="I161" i="28"/>
  <c r="Z128" i="28"/>
  <c r="Y128" i="28"/>
  <c r="I17" i="24"/>
  <c r="Y137" i="28"/>
  <c r="Z137" i="28"/>
  <c r="U34" i="28"/>
  <c r="V34" i="28" s="1" a="1"/>
  <c r="V34" i="28" s="1"/>
  <c r="W34" i="28" s="1"/>
  <c r="I88" i="24"/>
  <c r="F122" i="28"/>
  <c r="K89" i="24"/>
  <c r="E89" i="24" s="1"/>
  <c r="C80" i="25" s="1"/>
  <c r="K32" i="24"/>
  <c r="I24" i="28"/>
  <c r="Z147" i="28"/>
  <c r="Y147" i="28"/>
  <c r="U140" i="28"/>
  <c r="V140" i="28" s="1" a="1"/>
  <c r="V140" i="28" s="1"/>
  <c r="W140" i="28" s="1"/>
  <c r="Y165" i="28"/>
  <c r="Z165" i="28"/>
  <c r="F129" i="28"/>
  <c r="F33" i="28"/>
  <c r="I132" i="24"/>
  <c r="U116" i="28"/>
  <c r="V116" i="28" s="1" a="1"/>
  <c r="V116" i="28" s="1"/>
  <c r="W116" i="28" s="1"/>
  <c r="I117" i="28"/>
  <c r="Z135" i="28"/>
  <c r="Y135" i="28"/>
  <c r="K125" i="24"/>
  <c r="F125" i="24" s="1"/>
  <c r="Y142" i="28"/>
  <c r="Z142" i="28"/>
  <c r="U115" i="28"/>
  <c r="V115" i="28" s="1" a="1"/>
  <c r="V115" i="28" s="1"/>
  <c r="W115" i="28" s="1"/>
  <c r="Z124" i="28"/>
  <c r="Y124" i="28"/>
  <c r="F157" i="28"/>
  <c r="U101" i="28"/>
  <c r="V101" i="28" s="1" a="1"/>
  <c r="V101" i="28" s="1"/>
  <c r="W101" i="28" s="1"/>
  <c r="AC101" i="28"/>
  <c r="Z123" i="28"/>
  <c r="Y123" i="28"/>
  <c r="K82" i="24"/>
  <c r="Z93" i="28"/>
  <c r="Y93" i="28"/>
  <c r="L54" i="24"/>
  <c r="K54" i="24"/>
  <c r="F54" i="24" s="1"/>
  <c r="I18" i="28"/>
  <c r="I153" i="24"/>
  <c r="Y91" i="28"/>
  <c r="Z91" i="28"/>
  <c r="I91" i="28"/>
  <c r="F98" i="28"/>
  <c r="Y153" i="28"/>
  <c r="Z153" i="28"/>
  <c r="I25" i="24"/>
  <c r="L23" i="24"/>
  <c r="K23" i="24"/>
  <c r="F23" i="24" s="1"/>
  <c r="F102" i="28"/>
  <c r="I99" i="28"/>
  <c r="Y118" i="28"/>
  <c r="Z118" i="28"/>
  <c r="I67" i="24"/>
  <c r="U146" i="28"/>
  <c r="V146" i="28" s="1" a="1"/>
  <c r="V146" i="28" s="1"/>
  <c r="W146" i="28" s="1"/>
  <c r="Y174" i="28"/>
  <c r="Z174" i="28"/>
  <c r="F174" i="28"/>
  <c r="I17" i="28"/>
  <c r="Y110" i="28"/>
  <c r="Z110" i="28"/>
  <c r="U20" i="28"/>
  <c r="V20" i="28" s="1" a="1"/>
  <c r="V20" i="28" s="1"/>
  <c r="W20" i="28" s="1"/>
  <c r="L74" i="24"/>
  <c r="K74" i="24"/>
  <c r="I43" i="28"/>
  <c r="Y36" i="28"/>
  <c r="Z36" i="28"/>
  <c r="Z58" i="28"/>
  <c r="Y58" i="28"/>
  <c r="I58" i="28"/>
  <c r="F58" i="28"/>
  <c r="I87" i="24"/>
  <c r="U109" i="28"/>
  <c r="V109" i="28" s="1" a="1"/>
  <c r="V109" i="28" s="1"/>
  <c r="W109" i="28" s="1"/>
  <c r="U114" i="28"/>
  <c r="V114" i="28" s="1" a="1"/>
  <c r="V114" i="28" s="1"/>
  <c r="W114" i="28" s="1"/>
  <c r="F168" i="28"/>
  <c r="L114" i="24"/>
  <c r="Y133" i="28"/>
  <c r="Z133" i="28"/>
  <c r="U76" i="28"/>
  <c r="V76" i="28" s="1" a="1"/>
  <c r="V76" i="28" s="1"/>
  <c r="W76" i="28" s="1"/>
  <c r="Y21" i="28"/>
  <c r="Z21" i="28"/>
  <c r="I95" i="28"/>
  <c r="D62" i="1"/>
  <c r="E58" i="1"/>
  <c r="D58" i="1"/>
  <c r="L126" i="24"/>
  <c r="K126" i="24"/>
  <c r="E126" i="24" s="1"/>
  <c r="F39" i="28"/>
  <c r="I71" i="24"/>
  <c r="K108" i="24"/>
  <c r="F108" i="24" s="1"/>
  <c r="F162" i="28"/>
  <c r="K56" i="24"/>
  <c r="F56" i="24" s="1"/>
  <c r="I35" i="28"/>
  <c r="U31" i="28"/>
  <c r="V31" i="28" s="1" a="1"/>
  <c r="V31" i="28" s="1"/>
  <c r="W31" i="28" s="1"/>
  <c r="Z31" i="28"/>
  <c r="Y31" i="28"/>
  <c r="F126" i="28"/>
  <c r="U71" i="28"/>
  <c r="V71" i="28" s="1" a="1"/>
  <c r="V71" i="28" s="1"/>
  <c r="W71" i="28" s="1"/>
  <c r="L85" i="24"/>
  <c r="K85" i="24"/>
  <c r="F85" i="24" s="1"/>
  <c r="I65" i="28"/>
  <c r="F150" i="28"/>
  <c r="L37" i="24"/>
  <c r="K37" i="24"/>
  <c r="E37" i="24" s="1"/>
  <c r="Z57" i="28"/>
  <c r="Y57" i="28"/>
  <c r="I27" i="28"/>
  <c r="L94" i="24"/>
  <c r="K94" i="24"/>
  <c r="F94" i="24" s="1"/>
  <c r="U164" i="28"/>
  <c r="V164" i="28" s="1" a="1"/>
  <c r="V164" i="28" s="1"/>
  <c r="W164" i="28" s="1"/>
  <c r="U81" i="28"/>
  <c r="V81" i="28" s="1" a="1"/>
  <c r="V81" i="28" s="1"/>
  <c r="W81" i="28" s="1"/>
  <c r="K62" i="24"/>
  <c r="E62" i="24" s="1"/>
  <c r="L137" i="24"/>
  <c r="K137" i="24"/>
  <c r="I71" i="28"/>
  <c r="Y90" i="28"/>
  <c r="Z90" i="28"/>
  <c r="K95" i="24"/>
  <c r="F95" i="24" s="1"/>
  <c r="L50" i="24"/>
  <c r="K50" i="24"/>
  <c r="L40" i="24"/>
  <c r="K40" i="24"/>
  <c r="Y55" i="28"/>
  <c r="Z55" i="28"/>
  <c r="Y173" i="28"/>
  <c r="Z173" i="28"/>
  <c r="K135" i="24"/>
  <c r="F135" i="24" s="1"/>
  <c r="L104" i="24"/>
  <c r="K104" i="24"/>
  <c r="F104" i="24" s="1"/>
  <c r="L145" i="24"/>
  <c r="K145" i="24"/>
  <c r="I127" i="28"/>
  <c r="F44" i="28"/>
  <c r="Y68" i="28"/>
  <c r="Z68" i="28"/>
  <c r="L152" i="24"/>
  <c r="K152" i="24"/>
  <c r="F152" i="24" s="1"/>
  <c r="Y146" i="28"/>
  <c r="Z146" i="28"/>
  <c r="L115" i="24"/>
  <c r="Z66" i="28"/>
  <c r="Y66" i="28"/>
  <c r="Z67" i="28"/>
  <c r="Y67" i="28"/>
  <c r="U138" i="28"/>
  <c r="V138" i="28" s="1" a="1"/>
  <c r="V138" i="28" s="1"/>
  <c r="W138" i="28" s="1"/>
  <c r="F159" i="28"/>
  <c r="Z73" i="28"/>
  <c r="Y73" i="28"/>
  <c r="I69" i="28"/>
  <c r="I50" i="28"/>
  <c r="F50" i="28"/>
  <c r="I139" i="28"/>
  <c r="H52" i="24"/>
  <c r="I99" i="24"/>
  <c r="H65" i="24"/>
  <c r="E65" i="24" s="1"/>
  <c r="L14" i="24"/>
  <c r="K14" i="24"/>
  <c r="F14" i="24" s="1"/>
  <c r="Z171" i="28"/>
  <c r="Y171" i="28"/>
  <c r="U169" i="28"/>
  <c r="V169" i="28" s="1" a="1"/>
  <c r="V169" i="28" s="1"/>
  <c r="W169" i="28" s="1"/>
  <c r="Y75" i="28"/>
  <c r="Z75" i="28"/>
  <c r="F75" i="28"/>
  <c r="I118" i="24"/>
  <c r="I32" i="28"/>
  <c r="H107" i="24"/>
  <c r="F107" i="24" s="1"/>
  <c r="I89" i="28"/>
  <c r="F148" i="28"/>
  <c r="L151" i="24"/>
  <c r="K151" i="24"/>
  <c r="F151" i="24" s="1"/>
  <c r="H155" i="24"/>
  <c r="U55" i="28"/>
  <c r="V55" i="28" s="1" a="1"/>
  <c r="V55" i="28" s="1"/>
  <c r="W55" i="28" s="1"/>
  <c r="K27" i="24"/>
  <c r="L122" i="24"/>
  <c r="K122" i="24"/>
  <c r="U30" i="28"/>
  <c r="V30" i="28" s="1" a="1"/>
  <c r="V30" i="28" s="1"/>
  <c r="W30" i="28" s="1"/>
  <c r="L20" i="24"/>
  <c r="K20" i="24"/>
  <c r="F20" i="24" s="1"/>
  <c r="I62" i="28"/>
  <c r="Z166" i="28"/>
  <c r="Y166" i="28"/>
  <c r="U132" i="28"/>
  <c r="V132" i="28" s="1" a="1"/>
  <c r="V132" i="28" s="1"/>
  <c r="W132" i="28" s="1"/>
  <c r="Y154" i="28"/>
  <c r="Z154" i="28"/>
  <c r="Z77" i="28"/>
  <c r="Y77" i="28"/>
  <c r="Y87" i="28"/>
  <c r="Z87" i="28"/>
  <c r="U27" i="28"/>
  <c r="V27" i="28" s="1" a="1"/>
  <c r="V27" i="28" s="1"/>
  <c r="W27" i="28" s="1"/>
  <c r="I36" i="24"/>
  <c r="U49" i="28"/>
  <c r="V49" i="28" s="1" a="1"/>
  <c r="V49" i="28" s="1"/>
  <c r="W49" i="28" s="1"/>
  <c r="Z108" i="28"/>
  <c r="Y108" i="28"/>
  <c r="K128" i="24"/>
  <c r="F128" i="24" s="1"/>
  <c r="U38" i="28"/>
  <c r="V38" i="28" s="1" a="1"/>
  <c r="V38" i="28" s="1"/>
  <c r="W38" i="28" s="1"/>
  <c r="I119" i="28"/>
  <c r="L131" i="24"/>
  <c r="K131" i="24"/>
  <c r="F131" i="24" s="1"/>
  <c r="H44" i="24"/>
  <c r="Y106" i="28"/>
  <c r="Z106" i="28"/>
  <c r="F137" i="28"/>
  <c r="U137" i="28"/>
  <c r="V137" i="28" s="1" a="1"/>
  <c r="V137" i="28" s="1"/>
  <c r="W137" i="28" s="1"/>
  <c r="I34" i="28"/>
  <c r="K15" i="24"/>
  <c r="E15" i="24" s="1"/>
  <c r="Y122" i="28"/>
  <c r="Z122" i="28"/>
  <c r="L111" i="24"/>
  <c r="K111" i="24"/>
  <c r="E111" i="24" s="1"/>
  <c r="L51" i="24"/>
  <c r="K51" i="24"/>
  <c r="F51" i="24" s="1"/>
  <c r="Z156" i="28"/>
  <c r="Y156" i="28"/>
  <c r="Y140" i="28"/>
  <c r="Z140" i="28"/>
  <c r="L6" i="24"/>
  <c r="K6" i="24"/>
  <c r="F6" i="24" s="1"/>
  <c r="F165" i="28"/>
  <c r="H79" i="24"/>
  <c r="I96" i="28"/>
  <c r="Y33" i="28"/>
  <c r="Z33" i="28"/>
  <c r="U56" i="28"/>
  <c r="V56" i="28" s="1" a="1"/>
  <c r="V56" i="28" s="1"/>
  <c r="W56" i="28" s="1"/>
  <c r="I101" i="24"/>
  <c r="F117" i="28"/>
  <c r="U25" i="28"/>
  <c r="V25" i="28" s="1" a="1"/>
  <c r="V25" i="28" s="1"/>
  <c r="W25" i="28" s="1"/>
  <c r="I125" i="24"/>
  <c r="U142" i="28"/>
  <c r="V142" i="28" s="1" a="1"/>
  <c r="V142" i="28" s="1"/>
  <c r="W142" i="28" s="1"/>
  <c r="I115" i="28"/>
  <c r="I44" i="28"/>
  <c r="K10" i="24"/>
  <c r="F10" i="24" s="1"/>
  <c r="Z18" i="28"/>
  <c r="Y18" i="28"/>
  <c r="L153" i="24"/>
  <c r="K153" i="24"/>
  <c r="E153" i="24" s="1"/>
  <c r="Y98" i="28"/>
  <c r="Z98" i="28"/>
  <c r="K117" i="24"/>
  <c r="F117" i="24" s="1"/>
  <c r="Y170" i="28"/>
  <c r="Z170" i="28"/>
  <c r="I68" i="28"/>
  <c r="I16" i="24"/>
  <c r="L67" i="24"/>
  <c r="K67" i="24"/>
  <c r="F67" i="24" s="1"/>
  <c r="Z17" i="28"/>
  <c r="Y17" i="28"/>
  <c r="L30" i="24"/>
  <c r="K30" i="24"/>
  <c r="F30" i="24" s="1"/>
  <c r="I156" i="24"/>
  <c r="K103" i="24"/>
  <c r="I66" i="28"/>
  <c r="H83" i="24"/>
  <c r="F83" i="24" s="1"/>
  <c r="H73" i="24"/>
  <c r="I138" i="28"/>
  <c r="I76" i="24"/>
  <c r="Y136" i="28"/>
  <c r="Z136" i="28"/>
  <c r="U107" i="28"/>
  <c r="V107" i="28" s="1" a="1"/>
  <c r="V107" i="28" s="1"/>
  <c r="W107" i="28" s="1"/>
  <c r="Z107" i="28"/>
  <c r="Y107" i="28"/>
  <c r="L100" i="24"/>
  <c r="K100" i="24"/>
  <c r="F100" i="24" s="1"/>
  <c r="U36" i="28"/>
  <c r="V36" i="28" s="1" a="1"/>
  <c r="V36" i="28" s="1"/>
  <c r="W36" i="28" s="1"/>
  <c r="K19" i="24"/>
  <c r="F19" i="24" s="1"/>
  <c r="U163" i="28"/>
  <c r="V163" i="28" s="1" a="1"/>
  <c r="V163" i="28" s="1"/>
  <c r="W163" i="28" s="1"/>
  <c r="Z105" i="28"/>
  <c r="Y105" i="28"/>
  <c r="H5" i="24"/>
  <c r="F5" i="24" s="1"/>
  <c r="Y158" i="28"/>
  <c r="Z158" i="28"/>
  <c r="I133" i="28"/>
  <c r="F76" i="28"/>
  <c r="U149" i="28"/>
  <c r="V149" i="28" s="1" a="1"/>
  <c r="V149" i="28" s="1"/>
  <c r="W149" i="28" s="1"/>
  <c r="C13" i="1"/>
  <c r="E14" i="1"/>
  <c r="D54" i="1"/>
  <c r="E54" i="1"/>
  <c r="B64" i="1"/>
  <c r="D63" i="1"/>
  <c r="E63" i="1"/>
  <c r="U85" i="28"/>
  <c r="V85" i="28" s="1" a="1"/>
  <c r="V85" i="28" s="1"/>
  <c r="W85" i="28" s="1"/>
  <c r="I160" i="24"/>
  <c r="F167" i="28"/>
  <c r="K43" i="24"/>
  <c r="E43" i="24" s="1"/>
  <c r="Y162" i="28"/>
  <c r="Z162" i="28"/>
  <c r="I56" i="24"/>
  <c r="U134" i="28"/>
  <c r="V134" i="28" s="1" a="1"/>
  <c r="V134" i="28" s="1"/>
  <c r="W134" i="28" s="1"/>
  <c r="I31" i="28"/>
  <c r="I61" i="24"/>
  <c r="U50" i="28"/>
  <c r="V50" i="28" s="1" a="1"/>
  <c r="V50" i="28" s="1"/>
  <c r="W50" i="28" s="1"/>
  <c r="I81" i="28"/>
  <c r="H69" i="24"/>
  <c r="E69" i="24" s="1"/>
  <c r="C63" i="25" s="1"/>
  <c r="Y139" i="28"/>
  <c r="Z139" i="28"/>
  <c r="Z111" i="28"/>
  <c r="Y111" i="28"/>
  <c r="L136" i="24"/>
  <c r="K136" i="24"/>
  <c r="Z151" i="28"/>
  <c r="Y151" i="28"/>
  <c r="I135" i="28"/>
  <c r="Y115" i="28"/>
  <c r="Z115" i="28"/>
  <c r="U124" i="28"/>
  <c r="V124" i="28" s="1" a="1"/>
  <c r="V124" i="28" s="1"/>
  <c r="W124" i="28" s="1"/>
  <c r="Z157" i="28"/>
  <c r="Y157" i="28"/>
  <c r="AC18" i="28"/>
  <c r="Y40" i="28"/>
  <c r="Z40" i="28"/>
  <c r="Z99" i="28"/>
  <c r="Y99" i="28"/>
  <c r="L141" i="24"/>
  <c r="K141" i="24"/>
  <c r="F141" i="24" s="1"/>
  <c r="L133" i="24"/>
  <c r="K133" i="24"/>
  <c r="E133" i="24" s="1"/>
  <c r="F149" i="28"/>
  <c r="U37" i="28"/>
  <c r="V37" i="28" s="1" a="1"/>
  <c r="V37" i="28" s="1"/>
  <c r="W37" i="28" s="1"/>
  <c r="I91" i="24"/>
  <c r="Z53" i="28"/>
  <c r="Y53" i="28"/>
  <c r="H154" i="24"/>
  <c r="E154" i="24" s="1"/>
  <c r="L120" i="24"/>
  <c r="K120" i="24"/>
  <c r="F120" i="24" s="1"/>
  <c r="U121" i="28"/>
  <c r="V121" i="28" s="1" a="1"/>
  <c r="V121" i="28" s="1"/>
  <c r="W121" i="28" s="1"/>
  <c r="U48" i="28"/>
  <c r="V48" i="28" s="1" a="1"/>
  <c r="V48" i="28" s="1"/>
  <c r="W48" i="28" s="1"/>
  <c r="K78" i="24"/>
  <c r="F78" i="24" s="1"/>
  <c r="Y89" i="28"/>
  <c r="Z89" i="28"/>
  <c r="I143" i="28"/>
  <c r="Z97" i="28"/>
  <c r="Y97" i="28"/>
  <c r="U166" i="28"/>
  <c r="V166" i="28" s="1" a="1"/>
  <c r="V166" i="28" s="1"/>
  <c r="W166" i="28" s="1"/>
  <c r="I132" i="28"/>
  <c r="L58" i="24"/>
  <c r="K58" i="24"/>
  <c r="Z63" i="28"/>
  <c r="Y63" i="28"/>
  <c r="I140" i="24"/>
  <c r="L34" i="24"/>
  <c r="K34" i="24"/>
  <c r="U113" i="28"/>
  <c r="V113" i="28" s="1" a="1"/>
  <c r="V113" i="28" s="1"/>
  <c r="W113" i="28" s="1"/>
  <c r="U141" i="28"/>
  <c r="V141" i="28" s="1" a="1"/>
  <c r="V141" i="28" s="1"/>
  <c r="W141" i="28" s="1"/>
  <c r="L13" i="24"/>
  <c r="K13" i="24"/>
  <c r="E13" i="24" s="1"/>
  <c r="K17" i="24"/>
  <c r="E17" i="24" s="1"/>
  <c r="L88" i="24"/>
  <c r="K88" i="24"/>
  <c r="E88" i="24" s="1"/>
  <c r="L15" i="24"/>
  <c r="I112" i="24"/>
  <c r="I104" i="28"/>
  <c r="F104" i="28"/>
  <c r="I89" i="24"/>
  <c r="L70" i="24"/>
  <c r="I147" i="28"/>
  <c r="I156" i="28"/>
  <c r="L28" i="24"/>
  <c r="Z96" i="28"/>
  <c r="Y96" i="28"/>
  <c r="L132" i="24"/>
  <c r="L129" i="24"/>
  <c r="K129" i="24"/>
  <c r="F129" i="24" s="1"/>
  <c r="Y29" i="28"/>
  <c r="Z29" i="28"/>
  <c r="F100" i="28"/>
  <c r="K110" i="24"/>
  <c r="F110" i="24" s="1"/>
  <c r="I101" i="28"/>
  <c r="I82" i="28"/>
  <c r="F82" i="28"/>
  <c r="F153" i="28"/>
  <c r="Z88" i="28"/>
  <c r="Y88" i="28"/>
  <c r="K25" i="24"/>
  <c r="F25" i="24" s="1"/>
  <c r="L159" i="24"/>
  <c r="I46" i="24"/>
  <c r="F99" i="28"/>
  <c r="I118" i="28"/>
  <c r="K147" i="24"/>
  <c r="F147" i="24" s="1"/>
  <c r="L130" i="24"/>
  <c r="I48" i="24"/>
  <c r="F66" i="28"/>
  <c r="Z138" i="28"/>
  <c r="Y138" i="28"/>
  <c r="H76" i="24"/>
  <c r="F76" i="24" s="1"/>
  <c r="I107" i="28"/>
  <c r="I120" i="28"/>
  <c r="L150" i="24"/>
  <c r="K150" i="24"/>
  <c r="F150" i="24" s="1"/>
  <c r="F43" i="28"/>
  <c r="I109" i="28"/>
  <c r="F105" i="28"/>
  <c r="K106" i="24"/>
  <c r="E106" i="24" s="1"/>
  <c r="I159" i="28"/>
  <c r="H33" i="24"/>
  <c r="L134" i="24"/>
  <c r="K134" i="24"/>
  <c r="Y114" i="28"/>
  <c r="Z114" i="28"/>
  <c r="Z42" i="28"/>
  <c r="Y42" i="28"/>
  <c r="K8" i="24"/>
  <c r="F8" i="24" s="1"/>
  <c r="I149" i="28"/>
  <c r="I85" i="28"/>
  <c r="L71" i="24"/>
  <c r="I108" i="24"/>
  <c r="U35" i="28"/>
  <c r="V35" i="28" s="1" a="1"/>
  <c r="V35" i="28" s="1"/>
  <c r="W35" i="28" s="1"/>
  <c r="F112" i="28"/>
  <c r="L24" i="24"/>
  <c r="I64" i="24"/>
  <c r="H35" i="24"/>
  <c r="L45" i="24"/>
  <c r="K45" i="24"/>
  <c r="E45" i="24" s="1"/>
  <c r="BK3" i="2"/>
  <c r="BK4" i="2" s="1"/>
  <c r="BK5" i="2" s="1"/>
  <c r="BK6" i="2" s="1"/>
  <c r="BK7" i="2" s="1"/>
  <c r="BK8" i="2" s="1"/>
  <c r="BK9" i="2" s="1"/>
  <c r="BK10" i="2" s="1"/>
  <c r="BK11" i="2" s="1"/>
  <c r="BK12" i="2" s="1"/>
  <c r="BK13" i="2" s="1"/>
  <c r="D2" i="20" s="1"/>
  <c r="BF29" i="21"/>
  <c r="G15" i="21"/>
  <c r="I15" i="21" s="1"/>
  <c r="E15" i="21"/>
  <c r="Q39" i="21"/>
  <c r="D52" i="21" s="1"/>
  <c r="R15" i="21"/>
  <c r="AF29" i="21"/>
  <c r="G33" i="21"/>
  <c r="B46" i="21"/>
  <c r="G38" i="21"/>
  <c r="B51" i="21"/>
  <c r="BJ29" i="21"/>
  <c r="CB29" i="21"/>
  <c r="AG29" i="21"/>
  <c r="CE29" i="21"/>
  <c r="AM18" i="21"/>
  <c r="AD18" i="21"/>
  <c r="AD29" i="21"/>
  <c r="AH29" i="21"/>
  <c r="AL29" i="21"/>
  <c r="BF18" i="21"/>
  <c r="BP18" i="21" s="1"/>
  <c r="BZ18" i="21" s="1"/>
  <c r="CJ18" i="21" s="1"/>
  <c r="CT18" i="21" s="1"/>
  <c r="CJ25" i="21" a="1"/>
  <c r="CJ25" i="21" s="1"/>
  <c r="CT25" i="21" s="1"/>
  <c r="AV26" i="21" a="1"/>
  <c r="AV26" i="21" s="1"/>
  <c r="BP26" i="21" s="1"/>
  <c r="CJ20" i="21" a="1"/>
  <c r="CJ20" i="21" s="1"/>
  <c r="CT20" i="21" s="1"/>
  <c r="AV21" i="21" a="1"/>
  <c r="AV21" i="21" s="1"/>
  <c r="BP21" i="21" s="1"/>
  <c r="AV19" i="21" a="1"/>
  <c r="AV19" i="21" s="1"/>
  <c r="CJ24" i="21" a="1"/>
  <c r="CJ24" i="21" s="1"/>
  <c r="CT24" i="21" s="1"/>
  <c r="AV20" i="21" a="1"/>
  <c r="AV20" i="21" s="1"/>
  <c r="BP20" i="21" s="1"/>
  <c r="CJ28" i="21" a="1"/>
  <c r="CJ28" i="21" s="1"/>
  <c r="CT28" i="21" s="1"/>
  <c r="AV23" i="21" a="1"/>
  <c r="AV23" i="21" s="1"/>
  <c r="BP23" i="21" s="1"/>
  <c r="AV27" i="21" a="1"/>
  <c r="AV27" i="21" s="1"/>
  <c r="BP27" i="21" s="1"/>
  <c r="CJ27" i="21" a="1"/>
  <c r="CJ27" i="21" s="1"/>
  <c r="CT27" i="21" s="1"/>
  <c r="AV28" i="21" a="1"/>
  <c r="AV28" i="21" s="1"/>
  <c r="BP28" i="21" s="1"/>
  <c r="CJ22" i="21" a="1"/>
  <c r="CJ22" i="21" s="1"/>
  <c r="CT22" i="21" s="1"/>
  <c r="AV22" i="21" a="1"/>
  <c r="AV22" i="21" s="1"/>
  <c r="BP22" i="21" s="1"/>
  <c r="AV24" i="21" a="1"/>
  <c r="AV24" i="21" s="1"/>
  <c r="BP24" i="21" s="1"/>
  <c r="CJ23" i="21" a="1"/>
  <c r="CJ23" i="21" s="1"/>
  <c r="CT23" i="21" s="1"/>
  <c r="AV25" i="21" a="1"/>
  <c r="AV25" i="21" s="1"/>
  <c r="BP25" i="21" s="1"/>
  <c r="CJ26" i="21" a="1"/>
  <c r="CJ26" i="21" s="1"/>
  <c r="CT26" i="21" s="1"/>
  <c r="CJ21" i="21" a="1"/>
  <c r="CJ21" i="21" s="1"/>
  <c r="CT21" i="21" s="1"/>
  <c r="CJ19" i="21" a="1"/>
  <c r="CJ19" i="21" s="1"/>
  <c r="CT19" i="21" s="1"/>
  <c r="AE29" i="21"/>
  <c r="CD29" i="21"/>
  <c r="BZ29" i="21"/>
  <c r="R5" i="21"/>
  <c r="R14" i="21"/>
  <c r="R12" i="21"/>
  <c r="R9" i="21"/>
  <c r="CF29" i="21"/>
  <c r="BL29" i="21"/>
  <c r="R7" i="21"/>
  <c r="R10" i="21"/>
  <c r="BI29" i="21"/>
  <c r="R8" i="21"/>
  <c r="R13" i="21"/>
  <c r="AB15" i="21"/>
  <c r="CA29" i="21"/>
  <c r="BK29" i="21"/>
  <c r="BE29" i="21"/>
  <c r="R6" i="21"/>
  <c r="AC29" i="21"/>
  <c r="BH29" i="21"/>
  <c r="AB29" i="21"/>
  <c r="Y29" i="21"/>
  <c r="L15" i="21" s="1"/>
  <c r="BY29" i="21"/>
  <c r="D49" i="21"/>
  <c r="BG29" i="21"/>
  <c r="CC29" i="21"/>
  <c r="Z29" i="21"/>
  <c r="AA29" i="21"/>
  <c r="K15" i="21"/>
  <c r="BO19" i="21"/>
  <c r="BM19" i="21"/>
  <c r="BC29" i="21"/>
  <c r="BN19" i="21"/>
  <c r="BD29" i="21"/>
  <c r="H15" i="21"/>
  <c r="G31" i="21"/>
  <c r="B44" i="21"/>
  <c r="M5" i="21"/>
  <c r="T34" i="21"/>
  <c r="Q34" i="21"/>
  <c r="T40" i="21"/>
  <c r="M40" i="21" s="1"/>
  <c r="O40" i="21" s="1"/>
  <c r="Q40" i="21"/>
  <c r="CQ19" i="21"/>
  <c r="BW29" i="21"/>
  <c r="C52" i="21"/>
  <c r="C50" i="21"/>
  <c r="D50" i="21"/>
  <c r="T35" i="21"/>
  <c r="Q35" i="21"/>
  <c r="CR19" i="21"/>
  <c r="BX29" i="21"/>
  <c r="C63" i="21"/>
  <c r="D65" i="21"/>
  <c r="E60" i="21"/>
  <c r="D62" i="21"/>
  <c r="D64" i="21"/>
  <c r="Z2" i="2"/>
  <c r="AB2" i="2" s="1"/>
  <c r="Q99" i="2"/>
  <c r="Z6" i="2"/>
  <c r="Q103" i="2"/>
  <c r="Q104" i="2"/>
  <c r="O105" i="2" a="1"/>
  <c r="O105" i="2" s="1"/>
  <c r="AH105" i="2"/>
  <c r="AA105" i="2"/>
  <c r="AB105" i="2"/>
  <c r="AC105" i="2" s="1"/>
  <c r="AB106" i="2"/>
  <c r="AC106" i="2" s="1"/>
  <c r="O106" i="2" a="1"/>
  <c r="O106" i="2" s="1"/>
  <c r="AH106" i="2"/>
  <c r="AA106" i="2"/>
  <c r="AL106" i="2" s="1"/>
  <c r="AA6" i="2"/>
  <c r="E74" i="1"/>
  <c r="BW106" i="2"/>
  <c r="N108" i="2"/>
  <c r="AG108" i="2" s="1"/>
  <c r="D97" i="1"/>
  <c r="Z107" i="2"/>
  <c r="R107" i="2"/>
  <c r="AR107" i="2"/>
  <c r="AV107" i="2"/>
  <c r="T107" i="2"/>
  <c r="AO107" i="2"/>
  <c r="AP107" i="2"/>
  <c r="W107" i="2"/>
  <c r="AK107" i="2"/>
  <c r="BD107" i="2"/>
  <c r="BT107" i="2"/>
  <c r="U107" i="2"/>
  <c r="X107" i="2"/>
  <c r="AQ107" i="2"/>
  <c r="AT107" i="2"/>
  <c r="Y107" i="2"/>
  <c r="S107" i="2"/>
  <c r="AM107" i="2"/>
  <c r="P107" i="2"/>
  <c r="Z10" i="2" s="1"/>
  <c r="Q107" i="2"/>
  <c r="AD107" i="2"/>
  <c r="AN107" i="2"/>
  <c r="BH107" i="2"/>
  <c r="BN107" i="2"/>
  <c r="BF107" i="2"/>
  <c r="BJ107" i="2"/>
  <c r="BL107" i="2"/>
  <c r="V107" i="2"/>
  <c r="M107" i="2"/>
  <c r="AJ107" i="2"/>
  <c r="AX107" i="2"/>
  <c r="L107" i="2"/>
  <c r="K107" i="2" s="1"/>
  <c r="AS107" i="2"/>
  <c r="AU107" i="2"/>
  <c r="AW107" i="2"/>
  <c r="BE107" i="2"/>
  <c r="AY107" i="2"/>
  <c r="BA107" i="2"/>
  <c r="BQ107" i="2"/>
  <c r="BB107" i="2"/>
  <c r="BG107" i="2"/>
  <c r="BM107" i="2"/>
  <c r="BP107" i="2"/>
  <c r="BS107" i="2"/>
  <c r="AE107" i="2"/>
  <c r="BV107" i="2"/>
  <c r="AZ107" i="2"/>
  <c r="BR107" i="2"/>
  <c r="BC115" i="2"/>
  <c r="BU107" i="2"/>
  <c r="AF107" i="2"/>
  <c r="BO107" i="2"/>
  <c r="BI107" i="2"/>
  <c r="BK107" i="2"/>
  <c r="E97" i="24" l="1"/>
  <c r="F42" i="24"/>
  <c r="F7" i="24"/>
  <c r="E73" i="24"/>
  <c r="E72" i="24"/>
  <c r="E102" i="24"/>
  <c r="E157" i="24"/>
  <c r="E93" i="24"/>
  <c r="B93" i="24" s="1"/>
  <c r="F122" i="24"/>
  <c r="E28" i="24"/>
  <c r="F123" i="24"/>
  <c r="F130" i="24"/>
  <c r="F18" i="24"/>
  <c r="E132" i="24"/>
  <c r="E121" i="24"/>
  <c r="F99" i="24"/>
  <c r="B99" i="24" s="1"/>
  <c r="F9" i="24"/>
  <c r="E36" i="24"/>
  <c r="E114" i="24"/>
  <c r="F38" i="24"/>
  <c r="E162" i="24"/>
  <c r="F71" i="24"/>
  <c r="F29" i="24"/>
  <c r="F158" i="24"/>
  <c r="B158" i="24" s="1"/>
  <c r="E163" i="24"/>
  <c r="F74" i="24"/>
  <c r="E119" i="24"/>
  <c r="C117" i="25" s="1"/>
  <c r="F139" i="24"/>
  <c r="F11" i="24"/>
  <c r="E49" i="24"/>
  <c r="F115" i="24"/>
  <c r="E140" i="24"/>
  <c r="B140" i="24" s="1"/>
  <c r="E87" i="24"/>
  <c r="E26" i="24"/>
  <c r="F35" i="24"/>
  <c r="E33" i="24"/>
  <c r="C30" i="25" s="1"/>
  <c r="E135" i="24"/>
  <c r="F126" i="24"/>
  <c r="E46" i="24"/>
  <c r="F118" i="24"/>
  <c r="B118" i="24" s="1"/>
  <c r="F24" i="24"/>
  <c r="E21" i="24"/>
  <c r="C19" i="25" s="1"/>
  <c r="F45" i="24"/>
  <c r="F146" i="24"/>
  <c r="E141" i="24"/>
  <c r="B141" i="24" s="1"/>
  <c r="E129" i="24"/>
  <c r="B129" i="24" s="1"/>
  <c r="F13" i="24"/>
  <c r="F12" i="24"/>
  <c r="E54" i="24"/>
  <c r="B54" i="24" s="1"/>
  <c r="E23" i="24"/>
  <c r="B23" i="24" s="1"/>
  <c r="E117" i="24"/>
  <c r="E85" i="24"/>
  <c r="F17" i="24"/>
  <c r="E94" i="24"/>
  <c r="C89" i="25" s="1"/>
  <c r="E41" i="24"/>
  <c r="E56" i="24"/>
  <c r="C142" i="25" s="1"/>
  <c r="E149" i="24"/>
  <c r="E104" i="24"/>
  <c r="C98" i="25" s="1"/>
  <c r="F37" i="24"/>
  <c r="F47" i="24"/>
  <c r="F79" i="24"/>
  <c r="F155" i="24"/>
  <c r="B155" i="24" s="1"/>
  <c r="E145" i="24"/>
  <c r="C151" i="25" s="1"/>
  <c r="E50" i="24"/>
  <c r="E80" i="24"/>
  <c r="E116" i="24"/>
  <c r="C112" i="25" s="1"/>
  <c r="E95" i="24"/>
  <c r="F106" i="24"/>
  <c r="F62" i="24"/>
  <c r="B62" i="24" s="1"/>
  <c r="F98" i="24"/>
  <c r="B98" i="24" s="1"/>
  <c r="F53" i="24"/>
  <c r="F57" i="24"/>
  <c r="E10" i="24"/>
  <c r="C7" i="25" s="1"/>
  <c r="F113" i="24"/>
  <c r="B113" i="24" s="1"/>
  <c r="F81" i="24"/>
  <c r="F143" i="24"/>
  <c r="F148" i="24"/>
  <c r="F88" i="24"/>
  <c r="B88" i="24" s="1"/>
  <c r="E75" i="24"/>
  <c r="C113" i="25" s="1"/>
  <c r="E128" i="24"/>
  <c r="E147" i="24"/>
  <c r="B147" i="24" s="1"/>
  <c r="E127" i="24"/>
  <c r="C124" i="25" s="1"/>
  <c r="E110" i="24"/>
  <c r="C104" i="25" s="1"/>
  <c r="F63" i="24"/>
  <c r="F31" i="24"/>
  <c r="F156" i="24"/>
  <c r="B156" i="24" s="1"/>
  <c r="F96" i="24"/>
  <c r="E51" i="24"/>
  <c r="F59" i="24"/>
  <c r="E159" i="24"/>
  <c r="B159" i="24" s="1"/>
  <c r="F86" i="24"/>
  <c r="F84" i="24"/>
  <c r="F40" i="24"/>
  <c r="F52" i="24"/>
  <c r="B52" i="24" s="1"/>
  <c r="F55" i="24"/>
  <c r="E138" i="24"/>
  <c r="E108" i="24"/>
  <c r="E19" i="24"/>
  <c r="B19" i="24" s="1"/>
  <c r="E78" i="24"/>
  <c r="C169" i="25" s="1"/>
  <c r="E61" i="24"/>
  <c r="F133" i="24"/>
  <c r="B133" i="24" s="1"/>
  <c r="E109" i="24"/>
  <c r="C102" i="25" s="1"/>
  <c r="E125" i="24"/>
  <c r="E20" i="24"/>
  <c r="F111" i="24"/>
  <c r="B111" i="24" s="1"/>
  <c r="E66" i="24"/>
  <c r="C58" i="25" s="1"/>
  <c r="E100" i="24"/>
  <c r="F144" i="24"/>
  <c r="B144" i="24" s="1"/>
  <c r="E91" i="24"/>
  <c r="E120" i="24"/>
  <c r="B120" i="24" s="1"/>
  <c r="F142" i="24"/>
  <c r="B142" i="24" s="1"/>
  <c r="E103" i="24"/>
  <c r="E8" i="24"/>
  <c r="C135" i="25" s="1"/>
  <c r="F92" i="24"/>
  <c r="B92" i="24" s="1"/>
  <c r="F161" i="24"/>
  <c r="E32" i="24"/>
  <c r="E101" i="24"/>
  <c r="B101" i="24" s="1"/>
  <c r="E160" i="24"/>
  <c r="B160" i="24" s="1"/>
  <c r="E30" i="24"/>
  <c r="E131" i="24"/>
  <c r="B131" i="24" s="1"/>
  <c r="F15" i="24"/>
  <c r="E48" i="24"/>
  <c r="B48" i="24" s="1"/>
  <c r="F153" i="24"/>
  <c r="B153" i="24" s="1"/>
  <c r="E70" i="24"/>
  <c r="F44" i="24"/>
  <c r="F77" i="24"/>
  <c r="F34" i="24"/>
  <c r="E14" i="24"/>
  <c r="C11" i="25" s="1"/>
  <c r="F43" i="24"/>
  <c r="E152" i="24"/>
  <c r="C157" i="25" s="1"/>
  <c r="F90" i="24"/>
  <c r="B90" i="24" s="1"/>
  <c r="E25" i="24"/>
  <c r="C23" i="25" s="1"/>
  <c r="E151" i="24"/>
  <c r="B151" i="24" s="1"/>
  <c r="F89" i="24"/>
  <c r="B89" i="24" s="1"/>
  <c r="F64" i="24"/>
  <c r="F16" i="24"/>
  <c r="F60" i="24"/>
  <c r="B60" i="24" s="1"/>
  <c r="E39" i="24"/>
  <c r="B39" i="24" s="1"/>
  <c r="E150" i="24"/>
  <c r="B150" i="24" s="1"/>
  <c r="E136" i="24"/>
  <c r="E82" i="24"/>
  <c r="E6" i="24"/>
  <c r="C61" i="25" s="1"/>
  <c r="F112" i="24"/>
  <c r="B112" i="24" s="1"/>
  <c r="E67" i="24"/>
  <c r="F22" i="24"/>
  <c r="B22" i="24" s="1"/>
  <c r="F105" i="24"/>
  <c r="B105" i="24" s="1"/>
  <c r="E137" i="24"/>
  <c r="C132" i="25" s="1"/>
  <c r="F58" i="24"/>
  <c r="E134" i="24"/>
  <c r="F27" i="24"/>
  <c r="E124" i="24"/>
  <c r="E155" i="24"/>
  <c r="F137" i="24"/>
  <c r="E79" i="24"/>
  <c r="C143" i="25" s="1"/>
  <c r="F114" i="24"/>
  <c r="F103" i="24"/>
  <c r="F116" i="24"/>
  <c r="F65" i="24"/>
  <c r="B65" i="24" s="1"/>
  <c r="E34" i="24"/>
  <c r="C129" i="25" s="1"/>
  <c r="F134" i="24"/>
  <c r="F50" i="24"/>
  <c r="B50" i="24" s="1"/>
  <c r="F119" i="24"/>
  <c r="B119" i="24" s="1"/>
  <c r="E76" i="24"/>
  <c r="C69" i="25" s="1"/>
  <c r="F82" i="24"/>
  <c r="E58" i="24"/>
  <c r="C164" i="25" s="1"/>
  <c r="E123" i="24"/>
  <c r="B123" i="24" s="1"/>
  <c r="F97" i="24"/>
  <c r="F28" i="24"/>
  <c r="F127" i="24"/>
  <c r="F136" i="24"/>
  <c r="B136" i="24" s="1"/>
  <c r="E27" i="24"/>
  <c r="F154" i="24"/>
  <c r="F72" i="24"/>
  <c r="F124" i="24"/>
  <c r="B124" i="24" s="1"/>
  <c r="E40" i="24"/>
  <c r="C140" i="25" s="1"/>
  <c r="F69" i="24"/>
  <c r="B69" i="24" s="1"/>
  <c r="E44" i="24"/>
  <c r="C38" i="25" s="1"/>
  <c r="F73" i="24"/>
  <c r="B73" i="24" s="1"/>
  <c r="F145" i="24"/>
  <c r="B145" i="24" s="1"/>
  <c r="E122" i="24"/>
  <c r="C119" i="25" s="1"/>
  <c r="F32" i="24"/>
  <c r="E130" i="24"/>
  <c r="C127" i="25" s="1"/>
  <c r="F21" i="24"/>
  <c r="E35" i="24"/>
  <c r="B35" i="24" s="1"/>
  <c r="E161" i="24"/>
  <c r="E139" i="24"/>
  <c r="B139" i="24" s="1"/>
  <c r="E74" i="24"/>
  <c r="C68" i="25" s="1"/>
  <c r="F138" i="24"/>
  <c r="BK14" i="2"/>
  <c r="X102" i="2"/>
  <c r="AD102" i="2" s="1"/>
  <c r="AL105" i="2"/>
  <c r="AJ105" i="2"/>
  <c r="AJ104" i="2"/>
  <c r="Z8" i="2"/>
  <c r="Q105" i="2"/>
  <c r="W101" i="2"/>
  <c r="X101" i="2" s="1"/>
  <c r="R101" i="2"/>
  <c r="S101" i="2" s="1"/>
  <c r="T102" i="2"/>
  <c r="BW102" i="2" s="1"/>
  <c r="AB7" i="2"/>
  <c r="B10" i="24"/>
  <c r="B7" i="24"/>
  <c r="B76" i="24"/>
  <c r="C83" i="25"/>
  <c r="B157" i="24"/>
  <c r="C161" i="25"/>
  <c r="C120" i="25"/>
  <c r="B125" i="24"/>
  <c r="C170" i="25"/>
  <c r="B162" i="24"/>
  <c r="C172" i="25"/>
  <c r="B24" i="24"/>
  <c r="B121" i="24"/>
  <c r="C114" i="25"/>
  <c r="B70" i="24"/>
  <c r="C65" i="25"/>
  <c r="C67" i="25"/>
  <c r="B71" i="24"/>
  <c r="C15" i="25"/>
  <c r="B18" i="24"/>
  <c r="C76" i="25"/>
  <c r="C51" i="25"/>
  <c r="B29" i="24"/>
  <c r="C27" i="25"/>
  <c r="C55" i="25"/>
  <c r="C91" i="25"/>
  <c r="B87" i="24"/>
  <c r="C77" i="25"/>
  <c r="C28" i="25"/>
  <c r="C81" i="25"/>
  <c r="C86" i="25"/>
  <c r="C33" i="25"/>
  <c r="B36" i="24"/>
  <c r="C54" i="25"/>
  <c r="C175" i="25"/>
  <c r="C134" i="25"/>
  <c r="B115" i="24"/>
  <c r="C111" i="25"/>
  <c r="B135" i="24"/>
  <c r="C47" i="25"/>
  <c r="B78" i="24"/>
  <c r="C131" i="25"/>
  <c r="B61" i="24"/>
  <c r="C155" i="25"/>
  <c r="C50" i="25"/>
  <c r="B51" i="24"/>
  <c r="C116" i="25"/>
  <c r="B25" i="24"/>
  <c r="C37" i="25"/>
  <c r="B42" i="24"/>
  <c r="C97" i="25"/>
  <c r="B102" i="24"/>
  <c r="C72" i="25"/>
  <c r="B80" i="24"/>
  <c r="C39" i="25"/>
  <c r="B45" i="24"/>
  <c r="C70" i="25"/>
  <c r="B77" i="24"/>
  <c r="C93" i="25"/>
  <c r="B5" i="24"/>
  <c r="C2" i="25"/>
  <c r="C162" i="25"/>
  <c r="C105" i="25"/>
  <c r="C163" i="25"/>
  <c r="C32" i="25"/>
  <c r="C22" i="25"/>
  <c r="B53" i="24"/>
  <c r="C48" i="25"/>
  <c r="B132" i="24"/>
  <c r="C176" i="25"/>
  <c r="C107" i="25"/>
  <c r="B107" i="24"/>
  <c r="C109" i="25"/>
  <c r="C110" i="25"/>
  <c r="C148" i="25"/>
  <c r="B143" i="24"/>
  <c r="C156" i="25"/>
  <c r="B148" i="24"/>
  <c r="C42" i="25"/>
  <c r="B41" i="24"/>
  <c r="C36" i="25"/>
  <c r="B56" i="24"/>
  <c r="C75" i="25"/>
  <c r="B83" i="24"/>
  <c r="C16" i="25"/>
  <c r="C99" i="25"/>
  <c r="B79" i="24"/>
  <c r="B30" i="24"/>
  <c r="C21" i="25"/>
  <c r="C9" i="25"/>
  <c r="B12" i="24"/>
  <c r="B14" i="24"/>
  <c r="C18" i="25"/>
  <c r="B20" i="24"/>
  <c r="C71" i="25"/>
  <c r="B85" i="24"/>
  <c r="B100" i="24"/>
  <c r="C94" i="25"/>
  <c r="B149" i="24"/>
  <c r="C154" i="25"/>
  <c r="C41" i="25"/>
  <c r="C87" i="25"/>
  <c r="B95" i="24"/>
  <c r="C149" i="25"/>
  <c r="C137" i="25"/>
  <c r="B128" i="24"/>
  <c r="C174" i="25"/>
  <c r="C152" i="25"/>
  <c r="B146" i="24"/>
  <c r="B96" i="24"/>
  <c r="C88" i="25"/>
  <c r="C10" i="25"/>
  <c r="B13" i="24"/>
  <c r="C146" i="25"/>
  <c r="B43" i="24"/>
  <c r="C165" i="25"/>
  <c r="C12" i="25"/>
  <c r="B15" i="24"/>
  <c r="C108" i="25"/>
  <c r="B114" i="24"/>
  <c r="B103" i="24"/>
  <c r="C96" i="25"/>
  <c r="B117" i="24"/>
  <c r="C115" i="25"/>
  <c r="C171" i="25"/>
  <c r="B163" i="24"/>
  <c r="B64" i="24"/>
  <c r="C56" i="25"/>
  <c r="C79" i="25"/>
  <c r="C24" i="25"/>
  <c r="B26" i="24"/>
  <c r="C49" i="25"/>
  <c r="B46" i="24"/>
  <c r="C40" i="25"/>
  <c r="B58" i="24"/>
  <c r="B9" i="24"/>
  <c r="C3" i="25"/>
  <c r="C35" i="25"/>
  <c r="B38" i="24"/>
  <c r="C62" i="25"/>
  <c r="B67" i="24"/>
  <c r="C25" i="25"/>
  <c r="C14" i="25"/>
  <c r="B17" i="24"/>
  <c r="C84" i="25"/>
  <c r="B91" i="24"/>
  <c r="B37" i="24"/>
  <c r="C34" i="25"/>
  <c r="B108" i="24"/>
  <c r="C103" i="25"/>
  <c r="C100" i="25"/>
  <c r="B106" i="24"/>
  <c r="B63" i="24"/>
  <c r="C125" i="25"/>
  <c r="B31" i="24"/>
  <c r="C29" i="25"/>
  <c r="B82" i="24"/>
  <c r="C74" i="25"/>
  <c r="C8" i="25"/>
  <c r="B11" i="24"/>
  <c r="C46" i="25"/>
  <c r="B49" i="24"/>
  <c r="C90" i="25"/>
  <c r="B97" i="24"/>
  <c r="B28" i="24"/>
  <c r="C26" i="25"/>
  <c r="C147" i="25"/>
  <c r="B57" i="24"/>
  <c r="C130" i="25"/>
  <c r="C53" i="25"/>
  <c r="B59" i="24"/>
  <c r="C73" i="25"/>
  <c r="B81" i="24"/>
  <c r="C158" i="25"/>
  <c r="B154" i="24"/>
  <c r="B94" i="24"/>
  <c r="B16" i="24"/>
  <c r="C13" i="25"/>
  <c r="C150" i="25"/>
  <c r="B68" i="24"/>
  <c r="C60" i="25"/>
  <c r="C66" i="25"/>
  <c r="B72" i="24"/>
  <c r="C122" i="25"/>
  <c r="B86" i="24"/>
  <c r="C173" i="25"/>
  <c r="B84" i="24"/>
  <c r="D22" i="1"/>
  <c r="D13" i="1"/>
  <c r="C138" i="25"/>
  <c r="E64" i="1"/>
  <c r="B126" i="24"/>
  <c r="C123" i="25"/>
  <c r="J4" i="28"/>
  <c r="J12" i="28"/>
  <c r="J3" i="28"/>
  <c r="D64" i="1"/>
  <c r="F16" i="28"/>
  <c r="D3" i="28"/>
  <c r="D4" i="28"/>
  <c r="D12" i="28"/>
  <c r="N3" i="28"/>
  <c r="N4" i="28"/>
  <c r="N12" i="28"/>
  <c r="I4" i="24"/>
  <c r="B47" i="24"/>
  <c r="C44" i="25"/>
  <c r="AC16" i="28"/>
  <c r="AB12" i="28"/>
  <c r="AB4" i="28"/>
  <c r="AB3" i="28"/>
  <c r="E4" i="28"/>
  <c r="E12" i="28"/>
  <c r="E3" i="28"/>
  <c r="C57" i="25"/>
  <c r="B55" i="24"/>
  <c r="C141" i="25"/>
  <c r="P12" i="28"/>
  <c r="P3" i="28"/>
  <c r="P4" i="28"/>
  <c r="O4" i="28"/>
  <c r="O3" i="28"/>
  <c r="O12" i="28"/>
  <c r="M12" i="28"/>
  <c r="M4" i="28"/>
  <c r="M3" i="28"/>
  <c r="G3" i="28"/>
  <c r="G12" i="28"/>
  <c r="G4" i="28"/>
  <c r="S4" i="28"/>
  <c r="S3" i="28"/>
  <c r="S12" i="28"/>
  <c r="Q12" i="28"/>
  <c r="Q4" i="28"/>
  <c r="Q3" i="28"/>
  <c r="AF12" i="28"/>
  <c r="AF4" i="28"/>
  <c r="AF3" i="28"/>
  <c r="I16" i="28"/>
  <c r="H3" i="28"/>
  <c r="H4" i="28"/>
  <c r="H12" i="28"/>
  <c r="U16" i="28"/>
  <c r="T3" i="28"/>
  <c r="T12" i="28"/>
  <c r="T4" i="28"/>
  <c r="K12" i="28"/>
  <c r="K3" i="28"/>
  <c r="K4" i="28"/>
  <c r="L4" i="24"/>
  <c r="K4" i="24"/>
  <c r="F4" i="24" s="1"/>
  <c r="Z16" i="28"/>
  <c r="Y16" i="28"/>
  <c r="X12" i="28"/>
  <c r="X3" i="28"/>
  <c r="X4" i="28"/>
  <c r="R12" i="28"/>
  <c r="R3" i="28"/>
  <c r="R4" i="28"/>
  <c r="AD3" i="28"/>
  <c r="AD4" i="28"/>
  <c r="AD12" i="28"/>
  <c r="C85" i="25"/>
  <c r="AE12" i="28"/>
  <c r="AE3" i="28"/>
  <c r="AE4" i="28"/>
  <c r="AA12" i="28"/>
  <c r="AA3" i="28"/>
  <c r="AA4" i="28"/>
  <c r="L4" i="28"/>
  <c r="L12" i="28"/>
  <c r="L3" i="28"/>
  <c r="AL7" i="2"/>
  <c r="AQ6" i="2" s="1"/>
  <c r="D45" i="1"/>
  <c r="D48" i="1" s="1"/>
  <c r="D51" i="1" s="1"/>
  <c r="D52" i="1" s="1"/>
  <c r="C160" i="25"/>
  <c r="M15" i="21"/>
  <c r="T33" i="21"/>
  <c r="Q33" i="21"/>
  <c r="Q38" i="21"/>
  <c r="T38" i="21"/>
  <c r="AV29" i="21"/>
  <c r="BP29" i="21" s="1"/>
  <c r="BP19" i="21"/>
  <c r="CJ29" i="21"/>
  <c r="CT29" i="21" s="1"/>
  <c r="AN18" i="21"/>
  <c r="AE18" i="21"/>
  <c r="AF18" i="21" s="1"/>
  <c r="AP18" i="21" s="1"/>
  <c r="AM28" i="21" a="1"/>
  <c r="AM28" i="21" s="1"/>
  <c r="AM19" i="21" a="1"/>
  <c r="AM19" i="21" s="1"/>
  <c r="AM22" i="21" a="1"/>
  <c r="AM22" i="21" s="1"/>
  <c r="AW18" i="21"/>
  <c r="AM21" i="21" a="1"/>
  <c r="AM21" i="21" s="1"/>
  <c r="AM23" i="21" a="1"/>
  <c r="AM23" i="21" s="1"/>
  <c r="AM25" i="21" a="1"/>
  <c r="AM25" i="21" s="1"/>
  <c r="AM24" i="21" a="1"/>
  <c r="AM24" i="21" s="1"/>
  <c r="AM26" i="21" a="1"/>
  <c r="AM26" i="21" s="1"/>
  <c r="AM20" i="21" a="1"/>
  <c r="AM20" i="21" s="1"/>
  <c r="AM27" i="21" a="1"/>
  <c r="AM27" i="21" s="1"/>
  <c r="T31" i="21"/>
  <c r="G41" i="21"/>
  <c r="Q41" i="21" s="1"/>
  <c r="Q31" i="21"/>
  <c r="D53" i="21"/>
  <c r="C53" i="21"/>
  <c r="G53" i="21"/>
  <c r="E53" i="21"/>
  <c r="C47" i="21"/>
  <c r="D47" i="21"/>
  <c r="C48" i="21"/>
  <c r="D48" i="21"/>
  <c r="D63" i="21"/>
  <c r="D72" i="21"/>
  <c r="D73" i="21" s="1"/>
  <c r="E62" i="21"/>
  <c r="E65" i="21"/>
  <c r="E64" i="21"/>
  <c r="F60" i="21"/>
  <c r="R99" i="2"/>
  <c r="S99" i="2" s="1"/>
  <c r="W99" i="2"/>
  <c r="X99" i="2" s="1"/>
  <c r="W104" i="2"/>
  <c r="X104" i="2" s="1"/>
  <c r="R104" i="2"/>
  <c r="S104" i="2" s="1"/>
  <c r="R103" i="2"/>
  <c r="S103" i="2" s="1"/>
  <c r="W103" i="2"/>
  <c r="BW107" i="2"/>
  <c r="E75" i="1"/>
  <c r="M108" i="2"/>
  <c r="AP108" i="2"/>
  <c r="S108" i="2"/>
  <c r="AM108" i="2"/>
  <c r="BN108" i="2"/>
  <c r="U108" i="2"/>
  <c r="AK108" i="2"/>
  <c r="BB108" i="2"/>
  <c r="Z108" i="2"/>
  <c r="V108" i="2"/>
  <c r="W108" i="2"/>
  <c r="AN108" i="2"/>
  <c r="AZ108" i="2"/>
  <c r="BO108" i="2"/>
  <c r="X108" i="2"/>
  <c r="AY108" i="2"/>
  <c r="BI108" i="2"/>
  <c r="T108" i="2"/>
  <c r="BH108" i="2"/>
  <c r="BE108" i="2"/>
  <c r="AD108" i="2"/>
  <c r="AV108" i="2"/>
  <c r="BK108" i="2"/>
  <c r="BA108" i="2"/>
  <c r="BV108" i="2"/>
  <c r="BR108" i="2"/>
  <c r="P108" i="2"/>
  <c r="Z11" i="2" s="1"/>
  <c r="AQ108" i="2"/>
  <c r="AW108" i="2"/>
  <c r="BQ108" i="2"/>
  <c r="Y108" i="2"/>
  <c r="Q108" i="2"/>
  <c r="AR108" i="2"/>
  <c r="AS108" i="2"/>
  <c r="AX108" i="2"/>
  <c r="BT108" i="2"/>
  <c r="AU108" i="2"/>
  <c r="L108" i="2"/>
  <c r="K108" i="2" s="1"/>
  <c r="AJ108" i="2"/>
  <c r="R108" i="2"/>
  <c r="AT108" i="2"/>
  <c r="AO108" i="2"/>
  <c r="AF108" i="2"/>
  <c r="BU108" i="2"/>
  <c r="BD108" i="2"/>
  <c r="BP108" i="2"/>
  <c r="BG108" i="2"/>
  <c r="BM108" i="2"/>
  <c r="AE108" i="2"/>
  <c r="BL108" i="2"/>
  <c r="BS108" i="2"/>
  <c r="BC116" i="2"/>
  <c r="BF108" i="2"/>
  <c r="BJ108" i="2"/>
  <c r="AB6" i="2"/>
  <c r="AA8" i="2"/>
  <c r="AA9" i="2"/>
  <c r="E95" i="1"/>
  <c r="AI106" i="2" s="1"/>
  <c r="AA107" i="2"/>
  <c r="AL107" i="2" s="1"/>
  <c r="O107" i="2" a="1"/>
  <c r="O107" i="2" s="1"/>
  <c r="AH107" i="2"/>
  <c r="AB107" i="2"/>
  <c r="AC107" i="2" s="1"/>
  <c r="B27" i="24" l="1"/>
  <c r="B32" i="24"/>
  <c r="B137" i="24"/>
  <c r="C45" i="25"/>
  <c r="B75" i="24"/>
  <c r="B6" i="24"/>
  <c r="C126" i="25"/>
  <c r="C167" i="25"/>
  <c r="C139" i="25"/>
  <c r="C118" i="25"/>
  <c r="B109" i="24"/>
  <c r="B161" i="24"/>
  <c r="Z12" i="2"/>
  <c r="B33" i="24"/>
  <c r="B127" i="24"/>
  <c r="B104" i="24"/>
  <c r="B8" i="24"/>
  <c r="B152" i="24"/>
  <c r="B110" i="24"/>
  <c r="B66" i="24"/>
  <c r="B21" i="24"/>
  <c r="C52" i="25"/>
  <c r="C17" i="25"/>
  <c r="C166" i="25"/>
  <c r="C168" i="25"/>
  <c r="B116" i="24"/>
  <c r="C95" i="25"/>
  <c r="B138" i="24"/>
  <c r="B44" i="24"/>
  <c r="B134" i="24"/>
  <c r="E4" i="24"/>
  <c r="C145" i="25" s="1"/>
  <c r="C82" i="25"/>
  <c r="C121" i="25"/>
  <c r="C136" i="25"/>
  <c r="B74" i="24"/>
  <c r="B40" i="24"/>
  <c r="B130" i="24"/>
  <c r="B122" i="24"/>
  <c r="B34" i="24"/>
  <c r="E70" i="1"/>
  <c r="R105" i="2"/>
  <c r="S105" i="2" s="1"/>
  <c r="W105" i="2"/>
  <c r="X105" i="2" s="1"/>
  <c r="AD105" i="2" s="1"/>
  <c r="T101" i="2"/>
  <c r="BW101" i="2" s="1"/>
  <c r="M5" i="28"/>
  <c r="T5" i="28"/>
  <c r="N5" i="28"/>
  <c r="G5" i="28"/>
  <c r="K5" i="28"/>
  <c r="H5" i="28"/>
  <c r="Q5" i="28"/>
  <c r="J5" i="28"/>
  <c r="X5" i="28"/>
  <c r="AD5" i="28"/>
  <c r="AE5" i="28"/>
  <c r="AB5" i="28"/>
  <c r="AA5" i="28"/>
  <c r="S10" i="28"/>
  <c r="S8" i="28"/>
  <c r="S9" i="28"/>
  <c r="S7" i="28"/>
  <c r="S6" i="28"/>
  <c r="D10" i="28"/>
  <c r="D9" i="28"/>
  <c r="D6" i="28"/>
  <c r="D7" i="28"/>
  <c r="D8" i="28"/>
  <c r="AD10" i="28"/>
  <c r="AD9" i="28"/>
  <c r="AD7" i="28"/>
  <c r="AD6" i="28"/>
  <c r="AD8" i="28"/>
  <c r="Z12" i="28"/>
  <c r="Z3" i="28"/>
  <c r="Z4" i="28"/>
  <c r="T10" i="28"/>
  <c r="T9" i="28"/>
  <c r="T7" i="28"/>
  <c r="T6" i="28"/>
  <c r="T8" i="28"/>
  <c r="O5" i="28"/>
  <c r="E10" i="28"/>
  <c r="E7" i="28"/>
  <c r="E8" i="28"/>
  <c r="E6" i="28"/>
  <c r="E9" i="28"/>
  <c r="E11" i="28" s="1"/>
  <c r="R5" i="28"/>
  <c r="V16" i="28" a="1"/>
  <c r="V16" i="28" s="1"/>
  <c r="U4" i="28"/>
  <c r="U3" i="28"/>
  <c r="U12" i="28"/>
  <c r="P5" i="28"/>
  <c r="E5" i="28"/>
  <c r="J8" i="28"/>
  <c r="J10" i="28"/>
  <c r="J9" i="28"/>
  <c r="J7" i="28"/>
  <c r="J6" i="28"/>
  <c r="O10" i="28"/>
  <c r="O8" i="28"/>
  <c r="O6" i="28"/>
  <c r="O7" i="28"/>
  <c r="O9" i="28"/>
  <c r="F3" i="28"/>
  <c r="F12" i="28"/>
  <c r="F4" i="28"/>
  <c r="AE6" i="28"/>
  <c r="AE7" i="28"/>
  <c r="AE9" i="28"/>
  <c r="AE10" i="28"/>
  <c r="AE8" i="28"/>
  <c r="R10" i="28"/>
  <c r="R6" i="28"/>
  <c r="R7" i="28"/>
  <c r="R8" i="28"/>
  <c r="R9" i="28"/>
  <c r="Q9" i="28"/>
  <c r="Q6" i="28"/>
  <c r="Q7" i="28"/>
  <c r="Q10" i="28"/>
  <c r="Q8" i="28"/>
  <c r="G6" i="28"/>
  <c r="G9" i="28"/>
  <c r="G10" i="28"/>
  <c r="G7" i="28"/>
  <c r="G8" i="28"/>
  <c r="P6" i="28"/>
  <c r="P8" i="28"/>
  <c r="P7" i="28"/>
  <c r="P10" i="28"/>
  <c r="P9" i="28"/>
  <c r="AB7" i="28"/>
  <c r="AB9" i="28"/>
  <c r="AB8" i="28"/>
  <c r="AB10" i="28"/>
  <c r="AB6" i="28"/>
  <c r="S5" i="28"/>
  <c r="L10" i="28"/>
  <c r="L9" i="28"/>
  <c r="L6" i="28"/>
  <c r="L8" i="28"/>
  <c r="L7" i="28"/>
  <c r="M10" i="28"/>
  <c r="M9" i="28"/>
  <c r="M11" i="28" s="1"/>
  <c r="M8" i="28"/>
  <c r="M6" i="28"/>
  <c r="M7" i="28"/>
  <c r="N7" i="28"/>
  <c r="N8" i="28"/>
  <c r="N10" i="28"/>
  <c r="N9" i="28"/>
  <c r="N6" i="28"/>
  <c r="AF5" i="28"/>
  <c r="K9" i="28"/>
  <c r="K8" i="28"/>
  <c r="K10" i="28"/>
  <c r="K6" i="28"/>
  <c r="K7" i="28"/>
  <c r="H6" i="28"/>
  <c r="H9" i="28"/>
  <c r="H8" i="28"/>
  <c r="H10" i="28"/>
  <c r="H7" i="28"/>
  <c r="AF7" i="28"/>
  <c r="AF6" i="28"/>
  <c r="AF9" i="28"/>
  <c r="AF8" i="28"/>
  <c r="AF10" i="28"/>
  <c r="AA6" i="28"/>
  <c r="AA10" i="28"/>
  <c r="AA8" i="28"/>
  <c r="AA9" i="28"/>
  <c r="AA7" i="28"/>
  <c r="Y4" i="28"/>
  <c r="Y3" i="28"/>
  <c r="Y12" i="28"/>
  <c r="L5" i="28"/>
  <c r="X10" i="28"/>
  <c r="X9" i="28"/>
  <c r="X6" i="28"/>
  <c r="X8" i="28"/>
  <c r="X7" i="28"/>
  <c r="I4" i="28"/>
  <c r="I5" i="28" s="1"/>
  <c r="I12" i="28"/>
  <c r="I3" i="28"/>
  <c r="AC12" i="28"/>
  <c r="AC4" i="28"/>
  <c r="AC3" i="28"/>
  <c r="D5" i="28"/>
  <c r="D46" i="21"/>
  <c r="C46" i="21"/>
  <c r="C51" i="21"/>
  <c r="D51" i="21"/>
  <c r="AZ18" i="21"/>
  <c r="AP28" i="21" a="1"/>
  <c r="AP28" i="21" s="1"/>
  <c r="AP27" i="21" a="1"/>
  <c r="AP27" i="21" s="1"/>
  <c r="AP23" i="21" a="1"/>
  <c r="AP23" i="21" s="1"/>
  <c r="AP26" i="21" a="1"/>
  <c r="AP26" i="21" s="1"/>
  <c r="AP19" i="21" a="1"/>
  <c r="AP19" i="21" s="1"/>
  <c r="AP24" i="21" a="1"/>
  <c r="AP24" i="21" s="1"/>
  <c r="AP21" i="21" a="1"/>
  <c r="AP21" i="21" s="1"/>
  <c r="AP22" i="21" a="1"/>
  <c r="AP22" i="21" s="1"/>
  <c r="AP25" i="21" a="1"/>
  <c r="AP25" i="21" s="1"/>
  <c r="AP20" i="21" a="1"/>
  <c r="AP20" i="21" s="1"/>
  <c r="AO18" i="21"/>
  <c r="AG18" i="21"/>
  <c r="AQ18" i="21" s="1"/>
  <c r="AM29" i="21"/>
  <c r="AN22" i="21" a="1"/>
  <c r="AN22" i="21" s="1"/>
  <c r="AN27" i="21" a="1"/>
  <c r="AN27" i="21" s="1"/>
  <c r="AN28" i="21" a="1"/>
  <c r="AN28" i="21" s="1"/>
  <c r="AX18" i="21"/>
  <c r="AN21" i="21" a="1"/>
  <c r="AN21" i="21" s="1"/>
  <c r="AN24" i="21" a="1"/>
  <c r="AN24" i="21" s="1"/>
  <c r="AN20" i="21" a="1"/>
  <c r="AN20" i="21" s="1"/>
  <c r="AN26" i="21" a="1"/>
  <c r="AN26" i="21" s="1"/>
  <c r="AN25" i="21" a="1"/>
  <c r="AN25" i="21" s="1"/>
  <c r="AN19" i="21" a="1"/>
  <c r="AN19" i="21" s="1"/>
  <c r="AN23" i="21" a="1"/>
  <c r="AN23" i="21" s="1"/>
  <c r="AW26" i="21" a="1"/>
  <c r="AW26" i="21" s="1"/>
  <c r="BQ26" i="21" s="1"/>
  <c r="AW28" i="21" a="1"/>
  <c r="AW28" i="21" s="1"/>
  <c r="BQ28" i="21" s="1"/>
  <c r="AW19" i="21" a="1"/>
  <c r="AW19" i="21" s="1"/>
  <c r="AW20" i="21" a="1"/>
  <c r="AW20" i="21" s="1"/>
  <c r="BQ20" i="21" s="1"/>
  <c r="AW23" i="21" a="1"/>
  <c r="AW23" i="21" s="1"/>
  <c r="BQ23" i="21" s="1"/>
  <c r="CK21" i="21" a="1"/>
  <c r="CK21" i="21" s="1"/>
  <c r="CU21" i="21" s="1"/>
  <c r="CK27" i="21" a="1"/>
  <c r="CK27" i="21" s="1"/>
  <c r="CU27" i="21" s="1"/>
  <c r="CK28" i="21" a="1"/>
  <c r="CK28" i="21" s="1"/>
  <c r="CU28" i="21" s="1"/>
  <c r="CK20" i="21" a="1"/>
  <c r="CK20" i="21" s="1"/>
  <c r="CU20" i="21" s="1"/>
  <c r="CK24" i="21" a="1"/>
  <c r="CK24" i="21" s="1"/>
  <c r="CU24" i="21" s="1"/>
  <c r="CK22" i="21" a="1"/>
  <c r="CK22" i="21" s="1"/>
  <c r="CU22" i="21" s="1"/>
  <c r="AW24" i="21" a="1"/>
  <c r="AW24" i="21" s="1"/>
  <c r="BQ24" i="21" s="1"/>
  <c r="CK19" i="21" a="1"/>
  <c r="CK19" i="21" s="1"/>
  <c r="CK23" i="21" a="1"/>
  <c r="CK23" i="21" s="1"/>
  <c r="CU23" i="21" s="1"/>
  <c r="AW25" i="21" a="1"/>
  <c r="AW25" i="21" s="1"/>
  <c r="BQ25" i="21" s="1"/>
  <c r="AW21" i="21" a="1"/>
  <c r="AW21" i="21" s="1"/>
  <c r="BQ21" i="21" s="1"/>
  <c r="CK26" i="21" a="1"/>
  <c r="CK26" i="21" s="1"/>
  <c r="CU26" i="21" s="1"/>
  <c r="AW27" i="21" a="1"/>
  <c r="AW27" i="21" s="1"/>
  <c r="BQ27" i="21" s="1"/>
  <c r="AW22" i="21" a="1"/>
  <c r="AW22" i="21" s="1"/>
  <c r="BQ22" i="21" s="1"/>
  <c r="CK25" i="21" a="1"/>
  <c r="CK25" i="21" s="1"/>
  <c r="CU25" i="21" s="1"/>
  <c r="BG18" i="21"/>
  <c r="BQ18" i="21" s="1"/>
  <c r="CA18" i="21" s="1"/>
  <c r="CK18" i="21" s="1"/>
  <c r="CU18" i="21" s="1"/>
  <c r="D44" i="21"/>
  <c r="C44" i="21"/>
  <c r="C54" i="21"/>
  <c r="D54" i="21"/>
  <c r="T41" i="21"/>
  <c r="F65" i="21"/>
  <c r="F62" i="21"/>
  <c r="F64" i="21"/>
  <c r="G60" i="21"/>
  <c r="E72" i="21"/>
  <c r="E73" i="21" s="1"/>
  <c r="E63" i="21"/>
  <c r="T99" i="2"/>
  <c r="BW99" i="2" s="1"/>
  <c r="AB8" i="2"/>
  <c r="O108" i="2" a="1"/>
  <c r="O108" i="2" s="1"/>
  <c r="A78" i="1" s="1"/>
  <c r="AB108" i="2"/>
  <c r="AC108" i="2" s="1"/>
  <c r="AH108" i="2"/>
  <c r="AA108" i="2"/>
  <c r="AL108" i="2" s="1"/>
  <c r="AA10" i="2"/>
  <c r="E96" i="1"/>
  <c r="AI107" i="2" s="1"/>
  <c r="X103" i="2"/>
  <c r="AD103" i="2" s="1"/>
  <c r="T103" i="2"/>
  <c r="E71" i="1" s="1"/>
  <c r="AB9" i="2"/>
  <c r="T104" i="2"/>
  <c r="E72" i="1" s="1"/>
  <c r="BW108" i="2"/>
  <c r="E76" i="1"/>
  <c r="B4" i="24" l="1"/>
  <c r="AD101" i="2"/>
  <c r="Q11" i="28"/>
  <c r="E69" i="1"/>
  <c r="T105" i="2"/>
  <c r="BW105" i="2" s="1"/>
  <c r="E73" i="1"/>
  <c r="K11" i="28"/>
  <c r="N11" i="28"/>
  <c r="P11" i="28"/>
  <c r="S11" i="28"/>
  <c r="H11" i="28"/>
  <c r="AF11" i="28"/>
  <c r="AD11" i="28"/>
  <c r="AA11" i="28"/>
  <c r="X11" i="28"/>
  <c r="T11" i="28"/>
  <c r="AB11" i="28"/>
  <c r="R11" i="28"/>
  <c r="O11" i="28"/>
  <c r="F5" i="28"/>
  <c r="D11" i="28"/>
  <c r="AE11" i="28"/>
  <c r="G11" i="28"/>
  <c r="Y5" i="28"/>
  <c r="AC6" i="28"/>
  <c r="AC8" i="28"/>
  <c r="AC7" i="28"/>
  <c r="AC9" i="28"/>
  <c r="AC10" i="28"/>
  <c r="L11" i="28"/>
  <c r="U7" i="28"/>
  <c r="U9" i="28"/>
  <c r="U10" i="28"/>
  <c r="U6" i="28"/>
  <c r="U8" i="28"/>
  <c r="Y6" i="28"/>
  <c r="Y9" i="28"/>
  <c r="Y8" i="28"/>
  <c r="Y10" i="28"/>
  <c r="Y7" i="28"/>
  <c r="AC5" i="28"/>
  <c r="F8" i="28"/>
  <c r="F6" i="28"/>
  <c r="F9" i="28"/>
  <c r="F10" i="28"/>
  <c r="F7" i="28"/>
  <c r="U5" i="28"/>
  <c r="Z5" i="28"/>
  <c r="J11" i="28"/>
  <c r="W16" i="28"/>
  <c r="V3" i="28"/>
  <c r="V12" i="28"/>
  <c r="V4" i="28"/>
  <c r="Z9" i="28"/>
  <c r="Z8" i="28"/>
  <c r="Z7" i="28"/>
  <c r="Z6" i="28"/>
  <c r="Z10" i="28"/>
  <c r="I6" i="28"/>
  <c r="I8" i="28"/>
  <c r="I9" i="28"/>
  <c r="I10" i="28"/>
  <c r="I7" i="28"/>
  <c r="M38" i="21"/>
  <c r="O38" i="21" s="1"/>
  <c r="M39" i="21"/>
  <c r="O39" i="21" s="1"/>
  <c r="AQ28" i="21" a="1"/>
  <c r="AQ28" i="21" s="1"/>
  <c r="AQ24" i="21" a="1"/>
  <c r="AQ24" i="21" s="1"/>
  <c r="BA18" i="21"/>
  <c r="AQ26" i="21" a="1"/>
  <c r="AQ26" i="21" s="1"/>
  <c r="AQ27" i="21" a="1"/>
  <c r="AQ27" i="21" s="1"/>
  <c r="AQ19" i="21" a="1"/>
  <c r="AQ19" i="21" s="1"/>
  <c r="AQ23" i="21" a="1"/>
  <c r="AQ23" i="21" s="1"/>
  <c r="AQ21" i="21" a="1"/>
  <c r="AQ21" i="21" s="1"/>
  <c r="AQ25" i="21" a="1"/>
  <c r="AQ25" i="21" s="1"/>
  <c r="AQ20" i="21" a="1"/>
  <c r="AQ20" i="21" s="1"/>
  <c r="AQ22" i="21" a="1"/>
  <c r="AQ22" i="21" s="1"/>
  <c r="AP29" i="21"/>
  <c r="BQ19" i="21"/>
  <c r="AW29" i="21"/>
  <c r="BQ29" i="21" s="1"/>
  <c r="AH18" i="21"/>
  <c r="AR18" i="21" s="1"/>
  <c r="CU19" i="21"/>
  <c r="CK29" i="21"/>
  <c r="CU29" i="21" s="1"/>
  <c r="CL28" i="21" a="1"/>
  <c r="CL28" i="21" s="1"/>
  <c r="CV28" i="21" s="1"/>
  <c r="AX26" i="21" a="1"/>
  <c r="AX26" i="21" s="1"/>
  <c r="BR26" i="21" s="1"/>
  <c r="CL20" i="21" a="1"/>
  <c r="CL20" i="21" s="1"/>
  <c r="CV20" i="21" s="1"/>
  <c r="CL27" i="21" a="1"/>
  <c r="CL27" i="21" s="1"/>
  <c r="CV27" i="21" s="1"/>
  <c r="AX22" i="21" a="1"/>
  <c r="AX22" i="21" s="1"/>
  <c r="BR22" i="21" s="1"/>
  <c r="AX28" i="21" a="1"/>
  <c r="AX28" i="21" s="1"/>
  <c r="BR28" i="21" s="1"/>
  <c r="CL25" i="21" a="1"/>
  <c r="CL25" i="21" s="1"/>
  <c r="CV25" i="21" s="1"/>
  <c r="CL23" i="21" a="1"/>
  <c r="CL23" i="21" s="1"/>
  <c r="CV23" i="21" s="1"/>
  <c r="AX20" i="21" a="1"/>
  <c r="AX20" i="21" s="1"/>
  <c r="BR20" i="21" s="1"/>
  <c r="AX19" i="21" a="1"/>
  <c r="AX19" i="21" s="1"/>
  <c r="AX27" i="21" a="1"/>
  <c r="AX27" i="21" s="1"/>
  <c r="BR27" i="21" s="1"/>
  <c r="CL19" i="21" a="1"/>
  <c r="CL19" i="21" s="1"/>
  <c r="AX23" i="21" a="1"/>
  <c r="AX23" i="21" s="1"/>
  <c r="BR23" i="21" s="1"/>
  <c r="BH18" i="21"/>
  <c r="BR18" i="21" s="1"/>
  <c r="CB18" i="21" s="1"/>
  <c r="CL18" i="21" s="1"/>
  <c r="CV18" i="21" s="1"/>
  <c r="AX24" i="21" a="1"/>
  <c r="AX24" i="21" s="1"/>
  <c r="BR24" i="21" s="1"/>
  <c r="CL22" i="21" a="1"/>
  <c r="CL22" i="21" s="1"/>
  <c r="CV22" i="21" s="1"/>
  <c r="CL26" i="21" a="1"/>
  <c r="CL26" i="21" s="1"/>
  <c r="CV26" i="21" s="1"/>
  <c r="AX21" i="21" a="1"/>
  <c r="AX21" i="21" s="1"/>
  <c r="BR21" i="21" s="1"/>
  <c r="AX25" i="21" a="1"/>
  <c r="AX25" i="21" s="1"/>
  <c r="BR25" i="21" s="1"/>
  <c r="CL21" i="21" a="1"/>
  <c r="CL21" i="21" s="1"/>
  <c r="CV21" i="21" s="1"/>
  <c r="CL24" i="21" a="1"/>
  <c r="CL24" i="21" s="1"/>
  <c r="CV24" i="21" s="1"/>
  <c r="AO20" i="21" a="1"/>
  <c r="AO20" i="21" s="1"/>
  <c r="AO27" i="21" a="1"/>
  <c r="AO27" i="21" s="1"/>
  <c r="AO25" i="21" a="1"/>
  <c r="AO25" i="21" s="1"/>
  <c r="AO22" i="21" a="1"/>
  <c r="AO22" i="21" s="1"/>
  <c r="AO28" i="21" a="1"/>
  <c r="AO28" i="21" s="1"/>
  <c r="AO26" i="21" a="1"/>
  <c r="AO26" i="21" s="1"/>
  <c r="AO19" i="21" a="1"/>
  <c r="AO19" i="21" s="1"/>
  <c r="AY18" i="21"/>
  <c r="AO24" i="21" a="1"/>
  <c r="AO24" i="21" s="1"/>
  <c r="AO23" i="21" a="1"/>
  <c r="AO23" i="21" s="1"/>
  <c r="AO21" i="21" a="1"/>
  <c r="AO21" i="21" s="1"/>
  <c r="AN29" i="21"/>
  <c r="AZ27" i="21" a="1"/>
  <c r="AZ27" i="21" s="1"/>
  <c r="BT27" i="21" s="1"/>
  <c r="CN21" i="21" a="1"/>
  <c r="CN21" i="21" s="1"/>
  <c r="CX21" i="21" s="1"/>
  <c r="CN23" i="21" a="1"/>
  <c r="CN23" i="21" s="1"/>
  <c r="CX23" i="21" s="1"/>
  <c r="CN19" i="21" a="1"/>
  <c r="CN19" i="21" s="1"/>
  <c r="CN24" i="21" a="1"/>
  <c r="CN24" i="21" s="1"/>
  <c r="CX24" i="21" s="1"/>
  <c r="AZ26" i="21" a="1"/>
  <c r="AZ26" i="21" s="1"/>
  <c r="BT26" i="21" s="1"/>
  <c r="CN28" i="21" a="1"/>
  <c r="CN28" i="21" s="1"/>
  <c r="CX28" i="21" s="1"/>
  <c r="AZ25" i="21" a="1"/>
  <c r="AZ25" i="21" s="1"/>
  <c r="BT25" i="21" s="1"/>
  <c r="AZ22" i="21" a="1"/>
  <c r="AZ22" i="21" s="1"/>
  <c r="BT22" i="21" s="1"/>
  <c r="AZ20" i="21" a="1"/>
  <c r="AZ20" i="21" s="1"/>
  <c r="BT20" i="21" s="1"/>
  <c r="CN27" i="21" a="1"/>
  <c r="CN27" i="21" s="1"/>
  <c r="CX27" i="21" s="1"/>
  <c r="AZ19" i="21" a="1"/>
  <c r="AZ19" i="21" s="1"/>
  <c r="CN22" i="21" a="1"/>
  <c r="CN22" i="21" s="1"/>
  <c r="CX22" i="21" s="1"/>
  <c r="CN26" i="21" a="1"/>
  <c r="CN26" i="21" s="1"/>
  <c r="CX26" i="21" s="1"/>
  <c r="AZ23" i="21" a="1"/>
  <c r="AZ23" i="21" s="1"/>
  <c r="BT23" i="21" s="1"/>
  <c r="AZ24" i="21" a="1"/>
  <c r="AZ24" i="21" s="1"/>
  <c r="BT24" i="21" s="1"/>
  <c r="AZ21" i="21" a="1"/>
  <c r="AZ21" i="21" s="1"/>
  <c r="BT21" i="21" s="1"/>
  <c r="CN20" i="21" a="1"/>
  <c r="CN20" i="21" s="1"/>
  <c r="CX20" i="21" s="1"/>
  <c r="AZ28" i="21" a="1"/>
  <c r="AZ28" i="21" s="1"/>
  <c r="BT28" i="21" s="1"/>
  <c r="BJ18" i="21"/>
  <c r="BT18" i="21" s="1"/>
  <c r="CD18" i="21" s="1"/>
  <c r="CN18" i="21" s="1"/>
  <c r="CX18" i="21" s="1"/>
  <c r="CN25" i="21" a="1"/>
  <c r="CN25" i="21" s="1"/>
  <c r="CX25" i="21" s="1"/>
  <c r="E51" i="21"/>
  <c r="G51" i="21"/>
  <c r="M32" i="21"/>
  <c r="O32" i="21" s="1"/>
  <c r="M36" i="21"/>
  <c r="O36" i="21" s="1"/>
  <c r="M33" i="21"/>
  <c r="O33" i="21" s="1"/>
  <c r="M37" i="21"/>
  <c r="O37" i="21" s="1"/>
  <c r="M35" i="21"/>
  <c r="O35" i="21" s="1"/>
  <c r="M34" i="21"/>
  <c r="O34" i="21" s="1"/>
  <c r="M31" i="21"/>
  <c r="O31" i="21" s="1"/>
  <c r="G64" i="21"/>
  <c r="G62" i="21"/>
  <c r="H60" i="21"/>
  <c r="G65" i="21"/>
  <c r="G72" i="21"/>
  <c r="G73" i="21" s="1"/>
  <c r="F63" i="21"/>
  <c r="E67" i="1"/>
  <c r="AA11" i="2"/>
  <c r="E97" i="1"/>
  <c r="AI108" i="2" s="1"/>
  <c r="AB10" i="2"/>
  <c r="BW103" i="2"/>
  <c r="BW104" i="2"/>
  <c r="AD104" i="2"/>
  <c r="I11" i="28" l="1"/>
  <c r="AF11" i="2" a="1"/>
  <c r="AF11" i="2" s="1"/>
  <c r="AD11" i="2" s="1"/>
  <c r="AF10" i="2" a="1"/>
  <c r="AF10" i="2" s="1"/>
  <c r="AD10" i="2" s="1"/>
  <c r="AF9" i="2" a="1"/>
  <c r="AF9" i="2" s="1"/>
  <c r="AD9" i="2" s="1"/>
  <c r="AF8" i="2" a="1"/>
  <c r="AF8" i="2" s="1"/>
  <c r="AD8" i="2" s="1"/>
  <c r="D94" i="1" s="1"/>
  <c r="E94" i="1" s="1"/>
  <c r="AI105" i="2" s="1"/>
  <c r="AF6" i="2" a="1"/>
  <c r="AF6" i="2" s="1"/>
  <c r="AD6" i="2" s="1"/>
  <c r="D92" i="1" s="1"/>
  <c r="E92" i="1" s="1"/>
  <c r="AI103" i="2" s="1"/>
  <c r="AF2" i="2" a="1"/>
  <c r="AF2" i="2" s="1"/>
  <c r="AF3" i="2" a="1"/>
  <c r="AF3" i="2" s="1"/>
  <c r="AD3" i="2" s="1"/>
  <c r="D89" i="1" s="1"/>
  <c r="E89" i="1" s="1"/>
  <c r="AI100" i="2" s="1"/>
  <c r="AF4" i="2" a="1"/>
  <c r="AF4" i="2" s="1"/>
  <c r="AD4" i="2" s="1"/>
  <c r="D90" i="1" s="1"/>
  <c r="E90" i="1" s="1"/>
  <c r="AI101" i="2" s="1"/>
  <c r="AF5" i="2" a="1"/>
  <c r="AF5" i="2" s="1"/>
  <c r="AD5" i="2" s="1"/>
  <c r="D91" i="1" s="1"/>
  <c r="E91" i="1" s="1"/>
  <c r="AI102" i="2" s="1"/>
  <c r="AJ102" i="2" s="1"/>
  <c r="AL102" i="2" s="1"/>
  <c r="AF7" i="2" a="1"/>
  <c r="AF7" i="2" s="1"/>
  <c r="AD7" i="2" s="1"/>
  <c r="D93" i="1" s="1"/>
  <c r="E93" i="1" s="1"/>
  <c r="AI104" i="2" s="1"/>
  <c r="AK104" i="2" s="1"/>
  <c r="AM104" i="2" s="1"/>
  <c r="Y11" i="28"/>
  <c r="Z11" i="28"/>
  <c r="U11" i="28"/>
  <c r="F11" i="28"/>
  <c r="AC11" i="28"/>
  <c r="W12" i="28"/>
  <c r="W4" i="28"/>
  <c r="W3" i="28"/>
  <c r="V10" i="28"/>
  <c r="V6" i="28"/>
  <c r="V9" i="28"/>
  <c r="V7" i="28"/>
  <c r="V8" i="28"/>
  <c r="V5" i="28"/>
  <c r="G52" i="21"/>
  <c r="E52" i="21"/>
  <c r="CN29" i="21"/>
  <c r="CX29" i="21" s="1"/>
  <c r="CX19" i="21"/>
  <c r="CM28" i="21" a="1"/>
  <c r="CM28" i="21" s="1"/>
  <c r="CW28" i="21" s="1"/>
  <c r="AY27" i="21" a="1"/>
  <c r="AY27" i="21" s="1"/>
  <c r="BS27" i="21" s="1"/>
  <c r="AY28" i="21" a="1"/>
  <c r="AY28" i="21" s="1"/>
  <c r="BS28" i="21" s="1"/>
  <c r="AY25" i="21" a="1"/>
  <c r="AY25" i="21" s="1"/>
  <c r="BS25" i="21" s="1"/>
  <c r="CM22" i="21" a="1"/>
  <c r="CM22" i="21" s="1"/>
  <c r="CW22" i="21" s="1"/>
  <c r="AY23" i="21" a="1"/>
  <c r="AY23" i="21" s="1"/>
  <c r="BS23" i="21" s="1"/>
  <c r="BI18" i="21"/>
  <c r="BS18" i="21" s="1"/>
  <c r="CC18" i="21" s="1"/>
  <c r="CM18" i="21" s="1"/>
  <c r="CW18" i="21" s="1"/>
  <c r="AY24" i="21" a="1"/>
  <c r="AY24" i="21" s="1"/>
  <c r="BS24" i="21" s="1"/>
  <c r="CM23" i="21" a="1"/>
  <c r="CM23" i="21" s="1"/>
  <c r="CW23" i="21" s="1"/>
  <c r="CM21" i="21" a="1"/>
  <c r="CM21" i="21" s="1"/>
  <c r="CW21" i="21" s="1"/>
  <c r="AY21" i="21" a="1"/>
  <c r="AY21" i="21" s="1"/>
  <c r="BS21" i="21" s="1"/>
  <c r="AY22" i="21" a="1"/>
  <c r="AY22" i="21" s="1"/>
  <c r="BS22" i="21" s="1"/>
  <c r="CM24" i="21" a="1"/>
  <c r="CM24" i="21" s="1"/>
  <c r="CW24" i="21" s="1"/>
  <c r="AY26" i="21" a="1"/>
  <c r="AY26" i="21" s="1"/>
  <c r="BS26" i="21" s="1"/>
  <c r="CM26" i="21" a="1"/>
  <c r="CM26" i="21" s="1"/>
  <c r="CW26" i="21" s="1"/>
  <c r="CM27" i="21" a="1"/>
  <c r="CM27" i="21" s="1"/>
  <c r="CW27" i="21" s="1"/>
  <c r="CM20" i="21" a="1"/>
  <c r="CM20" i="21" s="1"/>
  <c r="CW20" i="21" s="1"/>
  <c r="AY19" i="21" a="1"/>
  <c r="AY19" i="21" s="1"/>
  <c r="CM19" i="21" a="1"/>
  <c r="CM19" i="21" s="1"/>
  <c r="CM25" i="21" a="1"/>
  <c r="CM25" i="21" s="1"/>
  <c r="CW25" i="21" s="1"/>
  <c r="AY20" i="21" a="1"/>
  <c r="AY20" i="21" s="1"/>
  <c r="BS20" i="21" s="1"/>
  <c r="AQ29" i="21"/>
  <c r="AO29" i="21"/>
  <c r="CL29" i="21"/>
  <c r="CV29" i="21" s="1"/>
  <c r="CV19" i="21"/>
  <c r="AX29" i="21"/>
  <c r="BR29" i="21" s="1"/>
  <c r="BR19" i="21"/>
  <c r="BA22" i="21" a="1"/>
  <c r="BA22" i="21" s="1"/>
  <c r="BU22" i="21" s="1"/>
  <c r="CO27" i="21" a="1"/>
  <c r="CO27" i="21" s="1"/>
  <c r="CY27" i="21" s="1"/>
  <c r="CO28" i="21" a="1"/>
  <c r="CO28" i="21" s="1"/>
  <c r="CY28" i="21" s="1"/>
  <c r="BA26" i="21" a="1"/>
  <c r="BA26" i="21" s="1"/>
  <c r="BU26" i="21" s="1"/>
  <c r="BA25" i="21" a="1"/>
  <c r="BA25" i="21" s="1"/>
  <c r="BU25" i="21" s="1"/>
  <c r="BA27" i="21" a="1"/>
  <c r="BA27" i="21" s="1"/>
  <c r="BU27" i="21" s="1"/>
  <c r="BA21" i="21" a="1"/>
  <c r="BA21" i="21" s="1"/>
  <c r="BU21" i="21" s="1"/>
  <c r="CO25" i="21" a="1"/>
  <c r="CO25" i="21" s="1"/>
  <c r="CY25" i="21" s="1"/>
  <c r="BK18" i="21"/>
  <c r="BU18" i="21" s="1"/>
  <c r="CE18" i="21" s="1"/>
  <c r="CO18" i="21" s="1"/>
  <c r="CY18" i="21" s="1"/>
  <c r="CO21" i="21" a="1"/>
  <c r="CO21" i="21" s="1"/>
  <c r="CY21" i="21" s="1"/>
  <c r="BA19" i="21" a="1"/>
  <c r="BA19" i="21" s="1"/>
  <c r="CO20" i="21" a="1"/>
  <c r="CO20" i="21" s="1"/>
  <c r="CY20" i="21" s="1"/>
  <c r="CO24" i="21" a="1"/>
  <c r="CO24" i="21" s="1"/>
  <c r="CY24" i="21" s="1"/>
  <c r="CO22" i="21" a="1"/>
  <c r="CO22" i="21" s="1"/>
  <c r="CY22" i="21" s="1"/>
  <c r="CO26" i="21" a="1"/>
  <c r="CO26" i="21" s="1"/>
  <c r="CY26" i="21" s="1"/>
  <c r="BA23" i="21" a="1"/>
  <c r="BA23" i="21" s="1"/>
  <c r="BU23" i="21" s="1"/>
  <c r="CO23" i="21" a="1"/>
  <c r="CO23" i="21" s="1"/>
  <c r="CY23" i="21" s="1"/>
  <c r="CO19" i="21" a="1"/>
  <c r="CO19" i="21" s="1"/>
  <c r="BA24" i="21" a="1"/>
  <c r="BA24" i="21" s="1"/>
  <c r="BU24" i="21" s="1"/>
  <c r="BA20" i="21" a="1"/>
  <c r="BA20" i="21" s="1"/>
  <c r="BU20" i="21" s="1"/>
  <c r="BA28" i="21" a="1"/>
  <c r="BA28" i="21" s="1"/>
  <c r="BU28" i="21" s="1"/>
  <c r="BT19" i="21"/>
  <c r="AZ29" i="21"/>
  <c r="BT29" i="21" s="1"/>
  <c r="AR24" i="21" a="1"/>
  <c r="AR24" i="21" s="1"/>
  <c r="AR23" i="21" a="1"/>
  <c r="AR23" i="21" s="1"/>
  <c r="AR28" i="21" a="1"/>
  <c r="AR28" i="21" s="1"/>
  <c r="AR27" i="21" a="1"/>
  <c r="AR27" i="21" s="1"/>
  <c r="BB18" i="21"/>
  <c r="AR26" i="21" a="1"/>
  <c r="AR26" i="21" s="1"/>
  <c r="AR21" i="21" a="1"/>
  <c r="AR21" i="21" s="1"/>
  <c r="AR22" i="21" a="1"/>
  <c r="AR22" i="21" s="1"/>
  <c r="AR25" i="21" a="1"/>
  <c r="AR25" i="21" s="1"/>
  <c r="AR20" i="21" a="1"/>
  <c r="AR20" i="21" s="1"/>
  <c r="AR19" i="21" a="1"/>
  <c r="AR19" i="21" s="1"/>
  <c r="E49" i="21"/>
  <c r="G49" i="21"/>
  <c r="G45" i="21"/>
  <c r="E45" i="21"/>
  <c r="G44" i="21"/>
  <c r="E44" i="21"/>
  <c r="O41" i="21"/>
  <c r="G47" i="21"/>
  <c r="E47" i="21"/>
  <c r="G50" i="21"/>
  <c r="E50" i="21"/>
  <c r="E48" i="21"/>
  <c r="G48" i="21"/>
  <c r="E46" i="21"/>
  <c r="G46" i="21"/>
  <c r="H64" i="21"/>
  <c r="I60" i="21"/>
  <c r="H65" i="21"/>
  <c r="H62" i="21"/>
  <c r="H72" i="21"/>
  <c r="H73" i="21" s="1"/>
  <c r="G63" i="21"/>
  <c r="AC12" i="2" a="1"/>
  <c r="AC12" i="2" s="1"/>
  <c r="AA12" i="2"/>
  <c r="AB12" i="2" s="1"/>
  <c r="AB11" i="2"/>
  <c r="AQ105" i="2" l="1"/>
  <c r="AR105" i="2"/>
  <c r="AS105" i="2"/>
  <c r="AK105" i="2"/>
  <c r="AE11" i="2" a="1"/>
  <c r="AE10" i="2" a="1"/>
  <c r="AE10" i="2" s="1"/>
  <c r="AE9" i="2" a="1"/>
  <c r="AE8" i="2" a="1"/>
  <c r="AE6" i="2" a="1"/>
  <c r="AE6" i="2" s="1"/>
  <c r="AE2" i="2" a="1"/>
  <c r="AE3" i="2" a="1"/>
  <c r="AE3" i="2" s="1"/>
  <c r="AE4" i="2" a="1"/>
  <c r="AE4" i="2" s="1"/>
  <c r="AE5" i="2" a="1"/>
  <c r="AE5" i="2" s="1"/>
  <c r="AE7" i="2" a="1"/>
  <c r="W5" i="28"/>
  <c r="V11" i="28"/>
  <c r="W10" i="28"/>
  <c r="W7" i="28"/>
  <c r="W6" i="28"/>
  <c r="W9" i="28"/>
  <c r="W8" i="28"/>
  <c r="AR104" i="2"/>
  <c r="AO104" i="2"/>
  <c r="AN104" i="2"/>
  <c r="AS104" i="2"/>
  <c r="AQ104" i="2"/>
  <c r="BA29" i="21"/>
  <c r="BU29" i="21" s="1"/>
  <c r="BU19" i="21"/>
  <c r="CW19" i="21"/>
  <c r="CM29" i="21"/>
  <c r="CW29" i="21" s="1"/>
  <c r="CO29" i="21"/>
  <c r="CY29" i="21" s="1"/>
  <c r="CY19" i="21"/>
  <c r="AY29" i="21"/>
  <c r="BS29" i="21" s="1"/>
  <c r="BS19" i="21"/>
  <c r="AR29" i="21"/>
  <c r="CP22" i="21" a="1"/>
  <c r="CP22" i="21" s="1"/>
  <c r="CZ22" i="21" s="1"/>
  <c r="CP28" i="21" a="1"/>
  <c r="CP28" i="21" s="1"/>
  <c r="CZ28" i="21" s="1"/>
  <c r="CP21" i="21" a="1"/>
  <c r="CP21" i="21" s="1"/>
  <c r="CZ21" i="21" s="1"/>
  <c r="BB25" i="21" a="1"/>
  <c r="BB25" i="21" s="1"/>
  <c r="BV25" i="21" s="1"/>
  <c r="BB28" i="21" a="1"/>
  <c r="BB28" i="21" s="1"/>
  <c r="BV28" i="21" s="1"/>
  <c r="CP24" i="21" a="1"/>
  <c r="CP24" i="21" s="1"/>
  <c r="CZ24" i="21" s="1"/>
  <c r="BL18" i="21"/>
  <c r="BV18" i="21" s="1"/>
  <c r="CF18" i="21" s="1"/>
  <c r="CP18" i="21" s="1"/>
  <c r="CZ18" i="21" s="1"/>
  <c r="BB21" i="21" a="1"/>
  <c r="BB21" i="21" s="1"/>
  <c r="BV21" i="21" s="1"/>
  <c r="BB19" i="21" a="1"/>
  <c r="BB19" i="21" s="1"/>
  <c r="CP26" i="21" a="1"/>
  <c r="CP26" i="21" s="1"/>
  <c r="CZ26" i="21" s="1"/>
  <c r="CP23" i="21" a="1"/>
  <c r="CP23" i="21" s="1"/>
  <c r="CZ23" i="21" s="1"/>
  <c r="CP20" i="21" a="1"/>
  <c r="CP20" i="21" s="1"/>
  <c r="CZ20" i="21" s="1"/>
  <c r="BB26" i="21" a="1"/>
  <c r="BB26" i="21" s="1"/>
  <c r="BV26" i="21" s="1"/>
  <c r="BB23" i="21" a="1"/>
  <c r="BB23" i="21" s="1"/>
  <c r="BV23" i="21" s="1"/>
  <c r="BB22" i="21" a="1"/>
  <c r="BB22" i="21" s="1"/>
  <c r="BV22" i="21" s="1"/>
  <c r="BB27" i="21" a="1"/>
  <c r="BB27" i="21" s="1"/>
  <c r="BV27" i="21" s="1"/>
  <c r="CP25" i="21" a="1"/>
  <c r="CP25" i="21" s="1"/>
  <c r="CZ25" i="21" s="1"/>
  <c r="CP19" i="21" a="1"/>
  <c r="CP19" i="21" s="1"/>
  <c r="BB24" i="21" a="1"/>
  <c r="BB24" i="21" s="1"/>
  <c r="BV24" i="21" s="1"/>
  <c r="CP27" i="21" a="1"/>
  <c r="CP27" i="21" s="1"/>
  <c r="CZ27" i="21" s="1"/>
  <c r="BB20" i="21" a="1"/>
  <c r="BB20" i="21" s="1"/>
  <c r="BV20" i="21" s="1"/>
  <c r="G54" i="21"/>
  <c r="E54" i="21"/>
  <c r="H63" i="21"/>
  <c r="I72" i="21"/>
  <c r="I73" i="21" s="1"/>
  <c r="I65" i="21"/>
  <c r="I64" i="21"/>
  <c r="J60" i="21"/>
  <c r="I62" i="21"/>
  <c r="AE8" i="2"/>
  <c r="AQ102" i="2"/>
  <c r="AR102" i="2"/>
  <c r="AS102" i="2"/>
  <c r="AK102" i="2"/>
  <c r="AF12" i="2"/>
  <c r="AD12" i="2" s="1"/>
  <c r="AD2" i="2"/>
  <c r="D88" i="1" s="1"/>
  <c r="E88" i="1" s="1"/>
  <c r="AI99" i="2" s="1"/>
  <c r="AJ101" i="2"/>
  <c r="AL101" i="2" s="1"/>
  <c r="AK101" i="2"/>
  <c r="AJ103" i="2"/>
  <c r="AL103" i="2" s="1"/>
  <c r="AK103" i="2"/>
  <c r="AE11" i="2"/>
  <c r="AE7" i="2"/>
  <c r="AE2" i="2"/>
  <c r="AE9" i="2"/>
  <c r="AJ100" i="2"/>
  <c r="AL100" i="2" s="1"/>
  <c r="AK100" i="2"/>
  <c r="AM105" i="2" l="1"/>
  <c r="AO105" i="2"/>
  <c r="E106" i="1" s="1"/>
  <c r="AN105" i="2"/>
  <c r="C106" i="1" s="1"/>
  <c r="AT105" i="2"/>
  <c r="W11" i="28"/>
  <c r="AT104" i="2"/>
  <c r="AW104" i="2" s="1"/>
  <c r="K60" i="21"/>
  <c r="L60" i="21" s="1"/>
  <c r="M60" i="21" s="1"/>
  <c r="J62" i="21"/>
  <c r="K72" i="21" s="1"/>
  <c r="K73" i="21" s="1"/>
  <c r="J65" i="21"/>
  <c r="J64" i="21"/>
  <c r="CZ19" i="21"/>
  <c r="CP29" i="21"/>
  <c r="CZ29" i="21" s="1"/>
  <c r="BB29" i="21"/>
  <c r="BV29" i="21" s="1"/>
  <c r="BV19" i="21"/>
  <c r="J72" i="21"/>
  <c r="J73" i="21" s="1"/>
  <c r="I63" i="21"/>
  <c r="AE12" i="2"/>
  <c r="AR100" i="2"/>
  <c r="AT102" i="2"/>
  <c r="AQ103" i="2"/>
  <c r="AR103" i="2"/>
  <c r="AJ99" i="2"/>
  <c r="AL99" i="2" s="1"/>
  <c r="AK99" i="2"/>
  <c r="AM100" i="2"/>
  <c r="AN100" i="2"/>
  <c r="AO100" i="2"/>
  <c r="AN101" i="2"/>
  <c r="AM101" i="2"/>
  <c r="AO101" i="2"/>
  <c r="AU104" i="2"/>
  <c r="AS100" i="2"/>
  <c r="AS101" i="2"/>
  <c r="AM102" i="2"/>
  <c r="AN102" i="2"/>
  <c r="AO102" i="2"/>
  <c r="AO103" i="2"/>
  <c r="AM103" i="2"/>
  <c r="AN103" i="2"/>
  <c r="AQ101" i="2"/>
  <c r="AQ100" i="2"/>
  <c r="AS103" i="2"/>
  <c r="AR101" i="2"/>
  <c r="AV105" i="2" l="1"/>
  <c r="AX105" i="2"/>
  <c r="AW105" i="2"/>
  <c r="AU105" i="2"/>
  <c r="D106" i="1"/>
  <c r="AX102" i="2"/>
  <c r="AU102" i="2"/>
  <c r="AX104" i="2"/>
  <c r="AV104" i="2"/>
  <c r="J63" i="21"/>
  <c r="AW102" i="2"/>
  <c r="AT100" i="2"/>
  <c r="AV102" i="2"/>
  <c r="AR99" i="2"/>
  <c r="AK109" i="2"/>
  <c r="AO99" i="2"/>
  <c r="AN99" i="2"/>
  <c r="AM99" i="2"/>
  <c r="AQ99" i="2"/>
  <c r="AS99" i="2"/>
  <c r="AT101" i="2"/>
  <c r="AU101" i="2" s="1"/>
  <c r="AD99" i="2"/>
  <c r="D104" i="1" s="1"/>
  <c r="AY104" i="2"/>
  <c r="BB104" i="2" s="1"/>
  <c r="BI104" i="2"/>
  <c r="BH104" i="2"/>
  <c r="AT103" i="2"/>
  <c r="AX100" i="2" l="1"/>
  <c r="AU100" i="2"/>
  <c r="AY105" i="2"/>
  <c r="BB105" i="2" s="1"/>
  <c r="BI105" i="2"/>
  <c r="BH105" i="2"/>
  <c r="AY102" i="2"/>
  <c r="BB102" i="2" s="1"/>
  <c r="BE102" i="2" s="1"/>
  <c r="BI102" i="2"/>
  <c r="AW100" i="2"/>
  <c r="AV100" i="2"/>
  <c r="BH102" i="2"/>
  <c r="AV103" i="2"/>
  <c r="AX103" i="2"/>
  <c r="AW103" i="2"/>
  <c r="AW101" i="2"/>
  <c r="AV101" i="2"/>
  <c r="BI101" i="2" s="1"/>
  <c r="AX101" i="2"/>
  <c r="BE104" i="2"/>
  <c r="AT99" i="2"/>
  <c r="AU99" i="2" s="1"/>
  <c r="AD109" i="2"/>
  <c r="AY100" i="2" l="1"/>
  <c r="BB100" i="2" s="1"/>
  <c r="BE100" i="2" s="1"/>
  <c r="BI100" i="2"/>
  <c r="AF99" i="2"/>
  <c r="AE105" i="2"/>
  <c r="AZ105" i="2" s="1"/>
  <c r="BC113" i="2" s="1"/>
  <c r="BF105" i="2" s="1"/>
  <c r="AF105" i="2"/>
  <c r="BA105" i="2" s="1"/>
  <c r="BD105" i="2" s="1"/>
  <c r="BG105" i="2" s="1"/>
  <c r="BE105" i="2"/>
  <c r="BH100" i="2"/>
  <c r="AE99" i="2"/>
  <c r="BK104" i="2"/>
  <c r="BN104" i="2"/>
  <c r="AY101" i="2"/>
  <c r="BB101" i="2" s="1"/>
  <c r="BH101" i="2"/>
  <c r="BN102" i="2"/>
  <c r="BK102" i="2"/>
  <c r="AV99" i="2"/>
  <c r="AX99" i="2"/>
  <c r="AW99" i="2"/>
  <c r="C103" i="1" s="1"/>
  <c r="AF102" i="2"/>
  <c r="BA102" i="2" s="1"/>
  <c r="BD102" i="2" s="1"/>
  <c r="BG102" i="2" s="1"/>
  <c r="AE102" i="2"/>
  <c r="AZ102" i="2" s="1"/>
  <c r="BC110" i="2" s="1"/>
  <c r="BF102" i="2" s="1"/>
  <c r="AE101" i="2"/>
  <c r="AZ101" i="2" s="1"/>
  <c r="BC109" i="2" s="1"/>
  <c r="BF101" i="2" s="1"/>
  <c r="AF101" i="2"/>
  <c r="BA101" i="2" s="1"/>
  <c r="BD101" i="2" s="1"/>
  <c r="BG101" i="2" s="1"/>
  <c r="AE100" i="2"/>
  <c r="AZ100" i="2" s="1"/>
  <c r="BC108" i="2" s="1"/>
  <c r="BF100" i="2" s="1"/>
  <c r="AF100" i="2"/>
  <c r="BA100" i="2" s="1"/>
  <c r="BD100" i="2" s="1"/>
  <c r="BG100" i="2" s="1"/>
  <c r="AF103" i="2"/>
  <c r="BA103" i="2" s="1"/>
  <c r="BD103" i="2" s="1"/>
  <c r="BG103" i="2" s="1"/>
  <c r="AE103" i="2"/>
  <c r="AZ103" i="2" s="1"/>
  <c r="BC111" i="2" s="1"/>
  <c r="BF103" i="2" s="1"/>
  <c r="AF104" i="2"/>
  <c r="AE104" i="2"/>
  <c r="AY103" i="2"/>
  <c r="BB103" i="2" s="1"/>
  <c r="BH103" i="2"/>
  <c r="D103" i="1" l="1"/>
  <c r="D105" i="1" s="1"/>
  <c r="D107" i="1" s="1"/>
  <c r="BI99" i="2"/>
  <c r="BI109" i="2" s="1"/>
  <c r="BN105" i="2"/>
  <c r="BK105" i="2"/>
  <c r="BQ105" i="2" s="1"/>
  <c r="BT105" i="2" s="1"/>
  <c r="BM105" i="2"/>
  <c r="BP105" i="2"/>
  <c r="BO105" i="2"/>
  <c r="BL105" i="2"/>
  <c r="BR105" i="2" s="1"/>
  <c r="BU105" i="2" s="1"/>
  <c r="BA99" i="2"/>
  <c r="BD99" i="2" s="1"/>
  <c r="BG99" i="2" s="1"/>
  <c r="E103" i="1"/>
  <c r="AZ99" i="2"/>
  <c r="BC107" i="2" s="1"/>
  <c r="BF99" i="2" s="1"/>
  <c r="BQ102" i="2"/>
  <c r="BT102" i="2" s="1"/>
  <c r="BQ104" i="2"/>
  <c r="BT104" i="2" s="1"/>
  <c r="C104" i="1"/>
  <c r="C105" i="1" s="1"/>
  <c r="C107" i="1" s="1"/>
  <c r="AZ104" i="2"/>
  <c r="BC112" i="2" s="1"/>
  <c r="BF104" i="2" s="1"/>
  <c r="BL102" i="2"/>
  <c r="BO102" i="2"/>
  <c r="E104" i="1"/>
  <c r="BA104" i="2"/>
  <c r="BD104" i="2" s="1"/>
  <c r="BG104" i="2" s="1"/>
  <c r="BP102" i="2"/>
  <c r="BM102" i="2"/>
  <c r="BE101" i="2"/>
  <c r="BE103" i="2"/>
  <c r="BH99" i="2"/>
  <c r="BH109" i="2" s="1"/>
  <c r="AY99" i="2"/>
  <c r="BB99" i="2" s="1"/>
  <c r="AL13" i="2" l="1"/>
  <c r="AL6" i="2" s="1" a="1"/>
  <c r="AL6" i="2" s="1"/>
  <c r="J89" i="2"/>
  <c r="BS105" i="2"/>
  <c r="BV105" i="2" s="1"/>
  <c r="BD109" i="2"/>
  <c r="E105" i="1"/>
  <c r="E107" i="1" s="1"/>
  <c r="BC117" i="2"/>
  <c r="C111" i="1" s="1"/>
  <c r="BB109" i="2"/>
  <c r="BE99" i="2"/>
  <c r="BF109" i="2"/>
  <c r="BS102" i="2"/>
  <c r="BV102" i="2" s="1"/>
  <c r="D118" i="1"/>
  <c r="BG109" i="2"/>
  <c r="BP104" i="2"/>
  <c r="BM104" i="2"/>
  <c r="BR102" i="2"/>
  <c r="BU102" i="2" s="1"/>
  <c r="BL104" i="2"/>
  <c r="BO104" i="2"/>
  <c r="C113" i="1" l="1"/>
  <c r="C112" i="1" s="1"/>
  <c r="E111" i="1"/>
  <c r="E113" i="1" s="1"/>
  <c r="E112" i="1" s="1"/>
  <c r="BJ99" i="2"/>
  <c r="BL99" i="2" s="1"/>
  <c r="BJ105" i="2"/>
  <c r="BS104" i="2"/>
  <c r="BV104" i="2" s="1"/>
  <c r="E118" i="1"/>
  <c r="C118" i="1"/>
  <c r="BR104" i="2"/>
  <c r="BU104" i="2" s="1"/>
  <c r="BE109" i="2"/>
  <c r="D111" i="1"/>
  <c r="BJ104" i="2"/>
  <c r="BJ102" i="2"/>
  <c r="BJ100" i="2"/>
  <c r="BJ103" i="2"/>
  <c r="BJ101" i="2"/>
  <c r="BK99" i="2" l="1"/>
  <c r="BM99" i="2"/>
  <c r="BP99" i="2" s="1"/>
  <c r="D113" i="1"/>
  <c r="D112" i="1" s="1"/>
  <c r="D125" i="1" s="1"/>
  <c r="E125" i="1"/>
  <c r="C125" i="1"/>
  <c r="BM101" i="2"/>
  <c r="BL101" i="2"/>
  <c r="BO101" i="2" s="1"/>
  <c r="BR101" i="2" s="1"/>
  <c r="BU101" i="2" s="1"/>
  <c r="BK101" i="2"/>
  <c r="BN101" i="2" s="1"/>
  <c r="BQ101" i="2" s="1"/>
  <c r="BT101" i="2" s="1"/>
  <c r="BN99" i="2"/>
  <c r="BM103" i="2"/>
  <c r="BL103" i="2"/>
  <c r="BO103" i="2" s="1"/>
  <c r="BR103" i="2" s="1"/>
  <c r="BU103" i="2" s="1"/>
  <c r="BK103" i="2"/>
  <c r="BL100" i="2"/>
  <c r="BM100" i="2"/>
  <c r="BP100" i="2" s="1"/>
  <c r="BS100" i="2" s="1"/>
  <c r="BV100" i="2" s="1"/>
  <c r="BK100" i="2"/>
  <c r="BO99" i="2"/>
  <c r="BK109" i="2" l="1"/>
  <c r="D120" i="1" s="1"/>
  <c r="BL109" i="2"/>
  <c r="C120" i="1" s="1"/>
  <c r="BM109" i="2"/>
  <c r="E120" i="1" s="1"/>
  <c r="BQ99" i="2"/>
  <c r="BP103" i="2"/>
  <c r="BS103" i="2" s="1"/>
  <c r="BV103" i="2" s="1"/>
  <c r="BS99" i="2"/>
  <c r="BN100" i="2"/>
  <c r="BQ100" i="2" s="1"/>
  <c r="BT100" i="2" s="1"/>
  <c r="BO100" i="2"/>
  <c r="BR100" i="2" s="1"/>
  <c r="BU100" i="2" s="1"/>
  <c r="BR99" i="2"/>
  <c r="BN103" i="2"/>
  <c r="BQ103" i="2" s="1"/>
  <c r="BT103" i="2" s="1"/>
  <c r="BP101" i="2"/>
  <c r="BS101" i="2" s="1"/>
  <c r="BV101" i="2" s="1"/>
  <c r="BP109" i="2" l="1"/>
  <c r="E121" i="1" s="1"/>
  <c r="E122" i="1" s="1"/>
  <c r="BQ109" i="2"/>
  <c r="BN109" i="2"/>
  <c r="D121" i="1" s="1"/>
  <c r="D122" i="1" s="1"/>
  <c r="BO109" i="2"/>
  <c r="C121" i="1" s="1"/>
  <c r="C122" i="1" s="1"/>
  <c r="BT99" i="2"/>
  <c r="BT109" i="2" s="1"/>
  <c r="D123" i="1" s="1"/>
  <c r="BS109" i="2"/>
  <c r="BV99" i="2"/>
  <c r="BV109" i="2" s="1"/>
  <c r="E123" i="1" s="1"/>
  <c r="BU99" i="2"/>
  <c r="BU109" i="2" s="1"/>
  <c r="C123" i="1" s="1"/>
  <c r="BR109" i="2"/>
  <c r="E124" i="1" l="1"/>
  <c r="E126" i="1" s="1"/>
  <c r="D124" i="1"/>
  <c r="D126" i="1" s="1"/>
  <c r="C124" i="1"/>
  <c r="C12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Revisor</author>
  </authors>
  <commentList>
    <comment ref="N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Function for replacement [linear]:</t>
        </r>
        <r>
          <rPr>
            <sz val="9"/>
            <color indexed="81"/>
            <rFont val="Tahoma"/>
            <family val="2"/>
          </rPr>
          <t xml:space="preserve">
=SE($E2=0;".";MÁXIMO(0;PREVISÃO(M$1;$H2:$L2;$H$1:$L$1+(EPADYX($F2:$L2;$F$1:$L$1)^0,5)*INV.NORMP(ALEATÓRIO()))))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<sst xmlns="http://schemas.openxmlformats.org/spreadsheetml/2006/main" count="33347" uniqueCount="1479">
  <si>
    <t>Country</t>
  </si>
  <si>
    <t>Name</t>
  </si>
  <si>
    <t>WEBNAME</t>
  </si>
  <si>
    <t>Region</t>
  </si>
  <si>
    <t>check 1</t>
  </si>
  <si>
    <t>Séries válidas (Contar Valores)</t>
  </si>
  <si>
    <t>Albania</t>
  </si>
  <si>
    <t>Europe</t>
  </si>
  <si>
    <t>Algeria</t>
  </si>
  <si>
    <t>Middle East</t>
  </si>
  <si>
    <t>Andorra</t>
  </si>
  <si>
    <t/>
  </si>
  <si>
    <t>.</t>
  </si>
  <si>
    <t>Angola</t>
  </si>
  <si>
    <t>Sub-Saharan Africa</t>
  </si>
  <si>
    <t>Anguilla</t>
  </si>
  <si>
    <t>The Caribbean</t>
  </si>
  <si>
    <t>Argentina</t>
  </si>
  <si>
    <t>South America</t>
  </si>
  <si>
    <t>Armenia</t>
  </si>
  <si>
    <t>Australia</t>
  </si>
  <si>
    <t>Oceania</t>
  </si>
  <si>
    <t>Austria</t>
  </si>
  <si>
    <t>European Union</t>
  </si>
  <si>
    <t>Azerbaijan</t>
  </si>
  <si>
    <t>Asia &amp; Pacific</t>
  </si>
  <si>
    <t>Bahamas</t>
  </si>
  <si>
    <t>Bahrain</t>
  </si>
  <si>
    <t>Bangladesh</t>
  </si>
  <si>
    <t>Barbados</t>
  </si>
  <si>
    <t>Belarus</t>
  </si>
  <si>
    <t>Belgium</t>
  </si>
  <si>
    <t>Belize</t>
  </si>
  <si>
    <t>Central America</t>
  </si>
  <si>
    <t>Benin</t>
  </si>
  <si>
    <t>Bermuda</t>
  </si>
  <si>
    <t>North America</t>
  </si>
  <si>
    <t>Bhutan</t>
  </si>
  <si>
    <t>Bolivia</t>
  </si>
  <si>
    <t>Botswana</t>
  </si>
  <si>
    <t>Brazil</t>
  </si>
  <si>
    <t>Bulgaria</t>
  </si>
  <si>
    <t>Burkina Faso</t>
  </si>
  <si>
    <t>BurkinaFaso</t>
  </si>
  <si>
    <t>Burundi</t>
  </si>
  <si>
    <t>Cambodia</t>
  </si>
  <si>
    <t>Cameroon</t>
  </si>
  <si>
    <t>Canada</t>
  </si>
  <si>
    <t>Cayman Islands</t>
  </si>
  <si>
    <t>Central African Republic</t>
  </si>
  <si>
    <t>CentralAfricanRepublic</t>
  </si>
  <si>
    <t>Chad</t>
  </si>
  <si>
    <t>Chile</t>
  </si>
  <si>
    <t>China</t>
  </si>
  <si>
    <t>Colombia</t>
  </si>
  <si>
    <t>Comoros</t>
  </si>
  <si>
    <t>Costa Rica</t>
  </si>
  <si>
    <t>CostaRica</t>
  </si>
  <si>
    <t>Croatia</t>
  </si>
  <si>
    <t>Cuba</t>
  </si>
  <si>
    <t>Cyprus</t>
  </si>
  <si>
    <t>Czech Republic</t>
  </si>
  <si>
    <t>CzechRepublic</t>
  </si>
  <si>
    <t>Democratic Republic of the Congo</t>
  </si>
  <si>
    <t>DemcoraticRepublicCongo</t>
  </si>
  <si>
    <t>Denmark</t>
  </si>
  <si>
    <t>Djibouti</t>
  </si>
  <si>
    <t>Dominica</t>
  </si>
  <si>
    <t>Dominican Republic</t>
  </si>
  <si>
    <t>DominicanRepublic</t>
  </si>
  <si>
    <t>Ecuador</t>
  </si>
  <si>
    <t>Egypt</t>
  </si>
  <si>
    <t>El Salvador</t>
  </si>
  <si>
    <t>ElSalvador</t>
  </si>
  <si>
    <t>Equatorial Guinea</t>
  </si>
  <si>
    <t>EquatorialGuinea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</si>
  <si>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</si>
  <si>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</si>
  <si>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</si>
  <si>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</si>
  <si>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</si>
  <si>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</si>
  <si>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</si>
  <si>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</si>
  <si>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</si>
  <si>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</si>
  <si>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</si>
  <si>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</si>
  <si>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</si>
  <si>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</si>
  <si>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</si>
  <si>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</si>
  <si>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</si>
  <si>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</si>
  <si>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</si>
  <si>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</si>
  <si>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</si>
  <si>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</si>
  <si>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</si>
  <si>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</si>
  <si>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</si>
  <si>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</si>
  <si>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</si>
  <si>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</si>
  <si>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</si>
  <si>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</si>
  <si>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</si>
  <si>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</si>
  <si>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</si>
  <si>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</si>
  <si>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</si>
  <si>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</si>
  <si>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</si>
  <si>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</si>
  <si>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</si>
  <si>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</si>
  <si>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</si>
  <si>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</si>
  <si>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</si>
  <si>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</si>
  <si>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</si>
  <si>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</si>
  <si>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</si>
  <si>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</si>
  <si>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</si>
  <si>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</si>
  <si>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</si>
  <si>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</si>
  <si>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</si>
  <si>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</si>
  <si>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</si>
  <si>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</si>
  <si>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</si>
  <si>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</si>
  <si>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</si>
  <si>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</si>
  <si>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</si>
  <si>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</si>
  <si>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</si>
  <si>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NewZealand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</si>
  <si>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</si>
  <si>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</si>
  <si>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</si>
  <si>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</si>
  <si>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</si>
  <si>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</si>
  <si>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</si>
  <si>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</si>
  <si>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PapuaNewGuinea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</si>
  <si>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</si>
  <si>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</si>
  <si>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</si>
  <si>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</si>
  <si>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</si>
  <si>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</si>
  <si>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</si>
  <si>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</si>
  <si>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</si>
  <si>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Russia</t>
  </si>
  <si>
    <t>Rwanda</t>
  </si>
  <si>
    <t>Saint Lucia</t>
  </si>
  <si>
    <t>SaintLucia</t>
  </si>
  <si>
    <t>Samoa</t>
  </si>
  <si>
    <t>Saudi Arabia</t>
  </si>
  <si>
    <t>SaudiArabia</t>
  </si>
  <si>
    <t>Senegal</t>
  </si>
  <si>
    <t>Serbia</t>
  </si>
  <si>
    <t>Seychelles</t>
  </si>
  <si>
    <t>Sierra Leone</t>
  </si>
  <si>
    <t>SierraLeone</t>
  </si>
  <si>
    <t>Singapore</t>
  </si>
  <si>
    <t>Slovakia</t>
  </si>
  <si>
    <t>Slovenia</t>
  </si>
  <si>
    <t>Solomon Islands</t>
  </si>
  <si>
    <t>SolomonIslands</t>
  </si>
  <si>
    <t>Somalia</t>
  </si>
  <si>
    <t>South Africa</t>
  </si>
  <si>
    <t>SouthAfrica</t>
  </si>
  <si>
    <t>South Korea</t>
  </si>
  <si>
    <t>SouthKorea</t>
  </si>
  <si>
    <t>Spain</t>
  </si>
  <si>
    <t>Sri Lanka</t>
  </si>
  <si>
    <t>SriLanka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</si>
  <si>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</si>
  <si>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</si>
  <si>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</si>
  <si>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</si>
  <si>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</si>
  <si>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</si>
  <si>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</si>
  <si>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</si>
  <si>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Togo</t>
  </si>
  <si>
    <t>Tunisia</t>
  </si>
  <si>
    <t>Turkey</t>
  </si>
  <si>
    <t>Turkmenistan</t>
  </si>
  <si>
    <t>Uganda</t>
  </si>
  <si>
    <t>Ukraine</t>
  </si>
  <si>
    <t>United Arab Emirates</t>
  </si>
  <si>
    <t>UnitedArabEmirates</t>
  </si>
  <si>
    <t>United States</t>
  </si>
  <si>
    <t>UnitedStates</t>
  </si>
  <si>
    <t>Uruguay</t>
  </si>
  <si>
    <t>Uzbekistan</t>
  </si>
  <si>
    <t>Venezuela</t>
  </si>
  <si>
    <t>Vietnam</t>
  </si>
  <si>
    <t>Yemen</t>
  </si>
  <si>
    <t>Zambia</t>
  </si>
  <si>
    <t>Zimbabwe</t>
  </si>
  <si>
    <t>Bosnia and Herzegovina</t>
  </si>
  <si>
    <t>Ireland</t>
  </si>
  <si>
    <t>Timor-Leste</t>
  </si>
  <si>
    <t>Trinidad and Tobago</t>
  </si>
  <si>
    <t>United Kingdom</t>
  </si>
  <si>
    <t>World</t>
  </si>
  <si>
    <t>CAGR</t>
  </si>
  <si>
    <t>CARG</t>
  </si>
  <si>
    <t>Area - KM</t>
  </si>
  <si>
    <t>BIH</t>
  </si>
  <si>
    <t>IRL</t>
  </si>
  <si>
    <t>TLS</t>
  </si>
  <si>
    <t>TTO</t>
  </si>
  <si>
    <t>GBR</t>
  </si>
  <si>
    <t>Filtro</t>
  </si>
  <si>
    <t>11th pillar: Business sophistication _2008</t>
  </si>
  <si>
    <t>11th pillar: Business sophistication _2009</t>
  </si>
  <si>
    <t>11th pillar: Business sophistication _2010</t>
  </si>
  <si>
    <t>11th pillar: Business sophistication _2011</t>
  </si>
  <si>
    <t>11th pillar: Business sophistication _2012</t>
  </si>
  <si>
    <t>11th pillar: Business sophistication _2013</t>
  </si>
  <si>
    <t>11th pillar: Business sophistication _2014</t>
  </si>
  <si>
    <t>11th pillar: Business sophistication _2015</t>
  </si>
  <si>
    <t>11th pillar: Business sophistication _2016</t>
  </si>
  <si>
    <t>11th pillar: Business sophistication _2017</t>
  </si>
  <si>
    <t>11th pillar: Business sophistication _2018</t>
  </si>
  <si>
    <t>11th pillar: Business sophistication _2019</t>
  </si>
  <si>
    <t>11th pillar: Business sophistication _2020</t>
  </si>
  <si>
    <t>11th pillar: Business sophistication _2021</t>
  </si>
  <si>
    <t>11th pillar: Business sophistication _2022</t>
  </si>
  <si>
    <t>12th pillar: Innovation_2008</t>
  </si>
  <si>
    <t>12th pillar: Innovation_2009</t>
  </si>
  <si>
    <t>12th pillar: Innovation_2010</t>
  </si>
  <si>
    <t>12th pillar: Innovation_2011</t>
  </si>
  <si>
    <t>12th pillar: Innovation_2012</t>
  </si>
  <si>
    <t>12th pillar: Innovation_2013</t>
  </si>
  <si>
    <t>12th pillar: Innovation_2014</t>
  </si>
  <si>
    <t>12th pillar: Innovation_2015</t>
  </si>
  <si>
    <t>12th pillar: Innovation_2016</t>
  </si>
  <si>
    <t>12th pillar: Innovation_2017</t>
  </si>
  <si>
    <t>12th pillar: Innovation_2018</t>
  </si>
  <si>
    <t>12th pillar: Innovation_2019</t>
  </si>
  <si>
    <t>12th pillar: Innovation_2020</t>
  </si>
  <si>
    <t>12th pillar: Innovation_2021</t>
  </si>
  <si>
    <t>12th pillar: Innovation_2022</t>
  </si>
  <si>
    <t>A. Technological adoption_2011</t>
  </si>
  <si>
    <t>A. Technological adoption_2012</t>
  </si>
  <si>
    <t>A. Technological adoption_2013</t>
  </si>
  <si>
    <t>A. Technological adoption_2014</t>
  </si>
  <si>
    <t>A. Technological adoption_2015</t>
  </si>
  <si>
    <t>A. Technological adoption_2016</t>
  </si>
  <si>
    <t>A. Technological adoption_2017</t>
  </si>
  <si>
    <t>A. Technological adoption_2018</t>
  </si>
  <si>
    <t>A. Technological adoption_2019</t>
  </si>
  <si>
    <t>A. Technological adoption_2020</t>
  </si>
  <si>
    <t>A. Technological adoption_2021</t>
  </si>
  <si>
    <t>A. Technological adoption_2022</t>
  </si>
  <si>
    <t>Burden of government regulation, 1-7 (best)_2008</t>
  </si>
  <si>
    <t>Burden of government regulation, 1-7 (best)_2009</t>
  </si>
  <si>
    <t>Burden of government regulation, 1-7 (best)_2010</t>
  </si>
  <si>
    <t>Burden of government regulation, 1-7 (best)_2011</t>
  </si>
  <si>
    <t>Burden of government regulation, 1-7 (best)_2012</t>
  </si>
  <si>
    <t>Burden of government regulation, 1-7 (best)_2013</t>
  </si>
  <si>
    <t>Burden of government regulation, 1-7 (best)_2014</t>
  </si>
  <si>
    <t>Burden of government regulation, 1-7 (best)_2015</t>
  </si>
  <si>
    <t>Burden of government regulation, 1-7 (best)_2016</t>
  </si>
  <si>
    <t>Burden of government regulation, 1-7 (best)_2017</t>
  </si>
  <si>
    <t>Burden of government regulation, 1-7 (best)_2018</t>
  </si>
  <si>
    <t>Burden of government regulation, 1-7 (best)_2019</t>
  </si>
  <si>
    <t>Burden of government regulation, 1-7 (best)_2020</t>
  </si>
  <si>
    <t>Burden of government regulation, 1-7 (best)_2021</t>
  </si>
  <si>
    <t>Burden of government regulation, 1-7 (best)_2022</t>
  </si>
  <si>
    <t>Buyer sophistication, 1-7 (best)_2008</t>
  </si>
  <si>
    <t>Buyer sophistication, 1-7 (best)_2009</t>
  </si>
  <si>
    <t>Buyer sophistication, 1-7 (best)_2010</t>
  </si>
  <si>
    <t>Buyer sophistication, 1-7 (best)_2011</t>
  </si>
  <si>
    <t>Buyer sophistication, 1-7 (best)_2012</t>
  </si>
  <si>
    <t>Buyer sophistication, 1-7 (best)_2013</t>
  </si>
  <si>
    <t>Buyer sophistication, 1-7 (best)_2014</t>
  </si>
  <si>
    <t>Buyer sophistication, 1-7 (best)_2015</t>
  </si>
  <si>
    <t>Buyer sophistication, 1-7 (best)_2016</t>
  </si>
  <si>
    <t>Buyer sophistication, 1-7 (best)_2017</t>
  </si>
  <si>
    <t>Buyer sophistication, 1-7 (best)_2018</t>
  </si>
  <si>
    <t>Buyer sophistication, 1-7 (best)_2019</t>
  </si>
  <si>
    <t>Buyer sophistication, 1-7 (best)_2020</t>
  </si>
  <si>
    <t>Buyer sophistication, 1-7 (best)_2021</t>
  </si>
  <si>
    <t>Buyer sophistication, 1-7 (best)_2022</t>
  </si>
  <si>
    <t>Mobile broadband subscriptions/100 pop.*_2013</t>
  </si>
  <si>
    <t>Mobile broadband subscriptions/100 pop.*_2014</t>
  </si>
  <si>
    <t>Mobile broadband subscriptions/100 pop.*_2015</t>
  </si>
  <si>
    <t>Mobile broadband subscriptions/100 pop.*_2016</t>
  </si>
  <si>
    <t>Mobile broadband subscriptions/100 pop.*_2017</t>
  </si>
  <si>
    <t>Mobile broadband subscriptions/100 pop.*_2018</t>
  </si>
  <si>
    <t>Mobile broadband subscriptions/100 pop.*_2019</t>
  </si>
  <si>
    <t>Mobile broadband subscriptions/100 pop.*_2020</t>
  </si>
  <si>
    <t>Mobile broadband subscriptions/100 pop.*_2021</t>
  </si>
  <si>
    <t>Mobile broadband subscriptions/100 pop.*_2022</t>
  </si>
  <si>
    <t>Mobile telephone subscriptions/100 pop.*_2008</t>
  </si>
  <si>
    <t>Mobile telephone subscriptions/100 pop.*_2009</t>
  </si>
  <si>
    <t>Mobile telephone subscriptions/100 pop.*_2010</t>
  </si>
  <si>
    <t>Mobile telephone subscriptions/100 pop.*_2011</t>
  </si>
  <si>
    <t>Mobile telephone subscriptions/100 pop.*_2012</t>
  </si>
  <si>
    <t>Mobile telephone subscriptions/100 pop.*_2013</t>
  </si>
  <si>
    <t>Mobile telephone subscriptions/100 pop.*_2014</t>
  </si>
  <si>
    <t>Mobile telephone subscriptions/100 pop.*_2015</t>
  </si>
  <si>
    <t>Mobile telephone subscriptions/100 pop.*_2016</t>
  </si>
  <si>
    <t>Mobile telephone subscriptions/100 pop.*_2017</t>
  </si>
  <si>
    <t>Mobile telephone subscriptions/100 pop.*_2018</t>
  </si>
  <si>
    <t>Mobile telephone subscriptions/100 pop.*_2019</t>
  </si>
  <si>
    <t>Mobile telephone subscriptions/100 pop.*_2020</t>
  </si>
  <si>
    <t>Mobile telephone subscriptions/100 pop.*_2021</t>
  </si>
  <si>
    <t>Mobile telephone subscriptions/100 pop.*_2022</t>
  </si>
  <si>
    <t>Property rights, 1-7 (best)_2008</t>
  </si>
  <si>
    <t>Property rights, 1-7 (best)_2009</t>
  </si>
  <si>
    <t>Property rights, 1-7 (best)_2010</t>
  </si>
  <si>
    <t>Property rights, 1-7 (best)_2011</t>
  </si>
  <si>
    <t>Property rights, 1-7 (best)_2012</t>
  </si>
  <si>
    <t>Property rights, 1-7 (best)_2013</t>
  </si>
  <si>
    <t>Property rights, 1-7 (best)_2014</t>
  </si>
  <si>
    <t>Property rights, 1-7 (best)_2015</t>
  </si>
  <si>
    <t>Property rights, 1-7 (best)_2016</t>
  </si>
  <si>
    <t>Property rights, 1-7 (best)_2017</t>
  </si>
  <si>
    <t>Property rights, 1-7 (best)_2018</t>
  </si>
  <si>
    <t>Property rights, 1-7 (best)_2019</t>
  </si>
  <si>
    <t>Property rights, 1-7 (best)_2020</t>
  </si>
  <si>
    <t>Property rights, 1-7 (best)_2021</t>
  </si>
  <si>
    <t>Property rights, 1-7 (best)_2022</t>
  </si>
  <si>
    <t>Quality of overall infrastructure, 1-7 (best)_2008</t>
  </si>
  <si>
    <t>Quality of overall infrastructure, 1-7 (best)_2009</t>
  </si>
  <si>
    <t>Quality of overall infrastructure, 1-7 (best)_2010</t>
  </si>
  <si>
    <t>Quality of overall infrastructure, 1-7 (best)_2011</t>
  </si>
  <si>
    <t>Quality of overall infrastructure, 1-7 (best)_2012</t>
  </si>
  <si>
    <t>Quality of overall infrastructure, 1-7 (best)_2013</t>
  </si>
  <si>
    <t>Quality of overall infrastructure, 1-7 (best)_2014</t>
  </si>
  <si>
    <t>Quality of overall infrastructure, 1-7 (best)_2015</t>
  </si>
  <si>
    <t>Quality of overall infrastructure, 1-7 (best)_2016</t>
  </si>
  <si>
    <t>Quality of overall infrastructure, 1-7 (best)_2017</t>
  </si>
  <si>
    <t>Quality of overall infrastructure, 1-7 (best)_2018</t>
  </si>
  <si>
    <t>Quality of overall infrastructure, 1-7 (best)_2019</t>
  </si>
  <si>
    <t>Quality of overall infrastructure, 1-7 (best)_2020</t>
  </si>
  <si>
    <t>Quality of overall infrastructure, 1-7 (best)_2021</t>
  </si>
  <si>
    <t>Quality of overall infrastructure, 1-7 (best)_2022</t>
  </si>
  <si>
    <t>Quality of roads, 1-7 (best)_2008</t>
  </si>
  <si>
    <t>Quality of roads, 1-7 (best)_2009</t>
  </si>
  <si>
    <t>Quality of roads, 1-7 (best)_2010</t>
  </si>
  <si>
    <t>Quality of roads, 1-7 (best)_2011</t>
  </si>
  <si>
    <t>Quality of roads, 1-7 (best)_2012</t>
  </si>
  <si>
    <t>Quality of roads, 1-7 (best)_2013</t>
  </si>
  <si>
    <t>Quality of roads, 1-7 (best)_2014</t>
  </si>
  <si>
    <t>Quality of roads, 1-7 (best)_2015</t>
  </si>
  <si>
    <t>Quality of roads, 1-7 (best)_2016</t>
  </si>
  <si>
    <t>Quality of roads, 1-7 (best)_2017</t>
  </si>
  <si>
    <t>Quality of roads, 1-7 (best)_2018</t>
  </si>
  <si>
    <t>Quality of roads, 1-7 (best)_2019</t>
  </si>
  <si>
    <t>Quality of roads, 1-7 (best)_2020</t>
  </si>
  <si>
    <t>Quality of roads, 1-7 (best)_2021</t>
  </si>
  <si>
    <t>Quality of roads, 1-7 (best)_2022</t>
  </si>
  <si>
    <t xml:space="preserve">11th pillar: Business sophistication </t>
  </si>
  <si>
    <t>12th pillar: Innovation</t>
  </si>
  <si>
    <t>A. Technological adoption</t>
  </si>
  <si>
    <t>Burden of government regulation, 1-7 (best)</t>
  </si>
  <si>
    <t>Buyer sophistication, 1-7 (best)</t>
  </si>
  <si>
    <t>Mobile broadband subscriptions/100 pop.*</t>
  </si>
  <si>
    <t>Mobile telephone subscriptions/100 pop.*</t>
  </si>
  <si>
    <t>Property rights, 1-7 (best)</t>
  </si>
  <si>
    <t>Quality of overall infrastructure, 1-7 (best)</t>
  </si>
  <si>
    <t>Quality of roads, 1-7 (best)</t>
  </si>
  <si>
    <t>Revenues</t>
  </si>
  <si>
    <t>Active users</t>
  </si>
  <si>
    <t>Eligible countries</t>
  </si>
  <si>
    <t>ID</t>
  </si>
  <si>
    <t>Entry Modes</t>
  </si>
  <si>
    <t>Code</t>
  </si>
  <si>
    <t>Categories</t>
  </si>
  <si>
    <t>Price Premium /Disccount</t>
  </si>
  <si>
    <t>Category</t>
  </si>
  <si>
    <t>Price difference</t>
  </si>
  <si>
    <t>Markup</t>
  </si>
  <si>
    <t>Prioorities</t>
  </si>
  <si>
    <t>English</t>
  </si>
  <si>
    <t>GDP</t>
  </si>
  <si>
    <t>POPULATION</t>
  </si>
  <si>
    <t>GDP PER CAPITA</t>
  </si>
  <si>
    <t>Piorities</t>
  </si>
  <si>
    <t>Weight</t>
  </si>
  <si>
    <t>W GDP</t>
  </si>
  <si>
    <t>W POP</t>
  </si>
  <si>
    <t>Fixed Costs</t>
  </si>
  <si>
    <t>Opening costs</t>
  </si>
  <si>
    <t>Finnacial setups</t>
  </si>
  <si>
    <t>Cole as informações aqui</t>
  </si>
  <si>
    <t>Foreign Direct Investment</t>
  </si>
  <si>
    <t>Model</t>
  </si>
  <si>
    <t>Linear</t>
  </si>
  <si>
    <t>Fixed</t>
  </si>
  <si>
    <t>Initial Cash</t>
  </si>
  <si>
    <t>U$ dollar</t>
  </si>
  <si>
    <t>Teams</t>
  </si>
  <si>
    <t>Name of the teams</t>
  </si>
  <si>
    <t>E-mail</t>
  </si>
  <si>
    <t>Password</t>
  </si>
  <si>
    <t>Team_E-mail_password</t>
  </si>
  <si>
    <t>Empresa</t>
  </si>
  <si>
    <t>ORDEM</t>
  </si>
  <si>
    <t>Cash Limits</t>
  </si>
  <si>
    <t>Revenues limits</t>
  </si>
  <si>
    <t>Name + warning</t>
  </si>
  <si>
    <t>Limits</t>
  </si>
  <si>
    <t>Máximo</t>
  </si>
  <si>
    <t>Joint Venture</t>
  </si>
  <si>
    <t>Expected value</t>
  </si>
  <si>
    <t>Parameter</t>
  </si>
  <si>
    <t>Values</t>
  </si>
  <si>
    <t>Interest rates (for debit)</t>
  </si>
  <si>
    <t>% year</t>
  </si>
  <si>
    <t>BlitzRide</t>
  </si>
  <si>
    <t>Team 1</t>
  </si>
  <si>
    <t>Y</t>
  </si>
  <si>
    <t>Rounding</t>
  </si>
  <si>
    <t>ln(U$ per year)</t>
  </si>
  <si>
    <t>Investment rates (for credit)</t>
  </si>
  <si>
    <t>Team 2</t>
  </si>
  <si>
    <t>Minimal</t>
  </si>
  <si>
    <t xml:space="preserve">. </t>
  </si>
  <si>
    <t>Team 3</t>
  </si>
  <si>
    <t>Constant</t>
  </si>
  <si>
    <t>We Drive</t>
  </si>
  <si>
    <t>Team 4</t>
  </si>
  <si>
    <t>X1</t>
  </si>
  <si>
    <t>GDP per capita</t>
  </si>
  <si>
    <t>Norimono</t>
  </si>
  <si>
    <t>Team 5</t>
  </si>
  <si>
    <t>X2</t>
  </si>
  <si>
    <t>Score-Start Dsoing a business</t>
  </si>
  <si>
    <t>NextRide</t>
  </si>
  <si>
    <t>Team 6</t>
  </si>
  <si>
    <t>X3</t>
  </si>
  <si>
    <t>11th pillar: Business sophistication</t>
  </si>
  <si>
    <t>X4</t>
  </si>
  <si>
    <t>ln_Last period active users</t>
  </si>
  <si>
    <t>D1</t>
  </si>
  <si>
    <t>Entry mode (Joint venture = 1)</t>
  </si>
  <si>
    <t>Sum</t>
  </si>
  <si>
    <t>X3*D1</t>
  </si>
  <si>
    <t>Moderation (entry mode * 11th pillar)</t>
  </si>
  <si>
    <t>X5</t>
  </si>
  <si>
    <t>Number of Users (COMPANY)</t>
  </si>
  <si>
    <t>Limits on?</t>
  </si>
  <si>
    <t>Partner Shares on investment</t>
  </si>
  <si>
    <t xml:space="preserve">Adjust the current year </t>
  </si>
  <si>
    <t>Current year</t>
  </si>
  <si>
    <t>Ano</t>
  </si>
  <si>
    <t>Rodada</t>
  </si>
  <si>
    <t>Team number</t>
  </si>
  <si>
    <t>Current round</t>
  </si>
  <si>
    <t>id</t>
  </si>
  <si>
    <t>time</t>
  </si>
  <si>
    <t>round</t>
  </si>
  <si>
    <t>year</t>
  </si>
  <si>
    <t>Round</t>
  </si>
  <si>
    <t>Valid year</t>
  </si>
  <si>
    <t>POPULAÇÃO</t>
  </si>
  <si>
    <t>Population</t>
  </si>
  <si>
    <t>MSE per capita</t>
  </si>
  <si>
    <t>Country Name</t>
  </si>
  <si>
    <t>Nome do País</t>
  </si>
  <si>
    <t>Price Level</t>
  </si>
  <si>
    <t>Margin</t>
  </si>
  <si>
    <t>Média</t>
  </si>
  <si>
    <t>Desvio padrão</t>
  </si>
  <si>
    <t>LI</t>
  </si>
  <si>
    <t>max MSE</t>
  </si>
  <si>
    <t>LS</t>
  </si>
  <si>
    <t>Past sales</t>
  </si>
  <si>
    <t>Cash</t>
  </si>
  <si>
    <t>Coluna</t>
  </si>
  <si>
    <t>C6 english</t>
  </si>
  <si>
    <t>SE(ÍNDICE('Result data'!$C288:$L288;1;$L$17)&lt;&gt;"";ÍNDICE('Result data'!$C288:$L288;1;$L$17);MÉDIASE('Result data'!$C$216:$L$225;Settings!N99;'Result data'!$C$252:$L$261)))</t>
  </si>
  <si>
    <t>id REG</t>
  </si>
  <si>
    <t>Countries</t>
  </si>
  <si>
    <t>Pop</t>
  </si>
  <si>
    <t>gdp per capita</t>
  </si>
  <si>
    <t>Average price</t>
  </si>
  <si>
    <t>Your Price</t>
  </si>
  <si>
    <t>Your cost</t>
  </si>
  <si>
    <t>Average Price</t>
  </si>
  <si>
    <t>Average Cost</t>
  </si>
  <si>
    <t>Price Elasticity</t>
  </si>
  <si>
    <t>Demand Elasticity</t>
  </si>
  <si>
    <t>Number of competitors</t>
  </si>
  <si>
    <t xml:space="preserve">Average Competitor Price </t>
  </si>
  <si>
    <t>Average Competitor Cost</t>
  </si>
  <si>
    <t>Average expense</t>
  </si>
  <si>
    <t>Mín Expense</t>
  </si>
  <si>
    <t>Máx Expense</t>
  </si>
  <si>
    <t>Minimum Market Entry</t>
  </si>
  <si>
    <t>Your Company First Year entry</t>
  </si>
  <si>
    <t>Average MSE Competitors</t>
  </si>
  <si>
    <t>Your Utility</t>
  </si>
  <si>
    <t>Your Competitor Utility</t>
  </si>
  <si>
    <t>Your Market Share</t>
  </si>
  <si>
    <t>Mín MKS</t>
  </si>
  <si>
    <t>Máx MKS</t>
  </si>
  <si>
    <t>Average Time</t>
  </si>
  <si>
    <t>STD Time</t>
  </si>
  <si>
    <t>Potential</t>
  </si>
  <si>
    <t>Users1</t>
  </si>
  <si>
    <t>Users2</t>
  </si>
  <si>
    <t>Mínimo</t>
  </si>
  <si>
    <t>Average demand</t>
  </si>
  <si>
    <t>Mín demand</t>
  </si>
  <si>
    <t>Máx demand</t>
  </si>
  <si>
    <t>Sales Average</t>
  </si>
  <si>
    <t>Máx Sales</t>
  </si>
  <si>
    <t>GP average</t>
  </si>
  <si>
    <t>GP Mín</t>
  </si>
  <si>
    <t>GP máx</t>
  </si>
  <si>
    <t>Administrative Costs</t>
  </si>
  <si>
    <t>Opening Costs</t>
  </si>
  <si>
    <t>Regulatory and political costs</t>
  </si>
  <si>
    <t>Percentual Margin</t>
  </si>
  <si>
    <t>Mín Sales</t>
  </si>
  <si>
    <t>data</t>
  </si>
  <si>
    <t>COUNTRYC</t>
  </si>
  <si>
    <t>Map Name</t>
  </si>
  <si>
    <t>Sudan</t>
  </si>
  <si>
    <t>South Sudan</t>
  </si>
  <si>
    <t>Afghanistan</t>
  </si>
  <si>
    <t>Kyrgyzstan</t>
  </si>
  <si>
    <t>Republic of the Congo</t>
  </si>
  <si>
    <t>format</t>
  </si>
  <si>
    <t>selection</t>
  </si>
  <si>
    <t>no outliers</t>
  </si>
  <si>
    <t>Name/label</t>
  </si>
  <si>
    <t>data2</t>
  </si>
  <si>
    <t xml:space="preserve">Name En </t>
  </si>
  <si>
    <t>map Variables</t>
  </si>
  <si>
    <t>GENERAL REPORT</t>
  </si>
  <si>
    <t>Population with activity</t>
  </si>
  <si>
    <t>Expenditure per user</t>
  </si>
  <si>
    <t>Elasticity</t>
  </si>
  <si>
    <t>Log-linear</t>
  </si>
  <si>
    <t>Lin-log</t>
  </si>
  <si>
    <t>U$ per year (PPP)</t>
  </si>
  <si>
    <t>n.</t>
  </si>
  <si>
    <t>CUM MSE (total)/population</t>
  </si>
  <si>
    <t>Potential Users (% of total population)</t>
  </si>
  <si>
    <t>X</t>
  </si>
  <si>
    <t>X6</t>
  </si>
  <si>
    <t>Average Relative Value (Costs/Price)</t>
  </si>
  <si>
    <t>% of Pop</t>
  </si>
  <si>
    <t>Total</t>
  </si>
  <si>
    <t xml:space="preserve"> </t>
  </si>
  <si>
    <t>Utility</t>
  </si>
  <si>
    <t>Period (cum average [t0, t ] MSE (total)/population</t>
  </si>
  <si>
    <t>Average Markup (1/Relative Value)</t>
  </si>
  <si>
    <t>Quality (costs per kilometer)</t>
  </si>
  <si>
    <t>Rogers Parameters</t>
  </si>
  <si>
    <t>Time in the market</t>
  </si>
  <si>
    <t>Last period active users</t>
  </si>
  <si>
    <t>Average MSE local  (period / country)</t>
  </si>
  <si>
    <t>Average</t>
  </si>
  <si>
    <t>Average MSE global (period / country)</t>
  </si>
  <si>
    <t>Price level</t>
  </si>
  <si>
    <t>CUM MSE (Local)/population</t>
  </si>
  <si>
    <t>X7</t>
  </si>
  <si>
    <t>STD. Deviation</t>
  </si>
  <si>
    <t>Global presence</t>
  </si>
  <si>
    <t>Number of regions</t>
  </si>
  <si>
    <t>Number of countries</t>
  </si>
  <si>
    <t>Revenues per company and region</t>
  </si>
  <si>
    <t>Revenues % per company and region</t>
  </si>
  <si>
    <t>World Revenue Diversification</t>
  </si>
  <si>
    <t xml:space="preserve">Marketing &amp; Sales Expenses </t>
  </si>
  <si>
    <t>Gross profit</t>
  </si>
  <si>
    <t xml:space="preserve">    Global campaings</t>
  </si>
  <si>
    <t xml:space="preserve">    Local campaings</t>
  </si>
  <si>
    <t>Growth</t>
  </si>
  <si>
    <t>Total MSE</t>
  </si>
  <si>
    <t>Average MSE</t>
  </si>
  <si>
    <t>Costs</t>
  </si>
  <si>
    <t>Administrative, operational costs (Fixed Costs)</t>
  </si>
  <si>
    <t>Taxes</t>
  </si>
  <si>
    <t>Cost of goods sold [CGS]</t>
  </si>
  <si>
    <t>Countries with activity</t>
  </si>
  <si>
    <t>Net income after paying the parner</t>
  </si>
  <si>
    <t>Empresa_1</t>
  </si>
  <si>
    <t>Empresa_2</t>
  </si>
  <si>
    <t>Empresa_3</t>
  </si>
  <si>
    <t>Empresa_4</t>
  </si>
  <si>
    <t>Empresa_5</t>
  </si>
  <si>
    <t>Empresa_6</t>
  </si>
  <si>
    <t>Empresa_7</t>
  </si>
  <si>
    <t>Empresa_8</t>
  </si>
  <si>
    <t>Empresa_9</t>
  </si>
  <si>
    <t>Empresa_10</t>
  </si>
  <si>
    <t>Financial</t>
  </si>
  <si>
    <t>Empresa_1_2011</t>
  </si>
  <si>
    <t>Empresa_1_2012</t>
  </si>
  <si>
    <t>Empresa_1_2013</t>
  </si>
  <si>
    <t>Empresa_1_2014</t>
  </si>
  <si>
    <t>Empresa_1_2015</t>
  </si>
  <si>
    <t>Empresa_1_2016</t>
  </si>
  <si>
    <t>Empresa_1_2017</t>
  </si>
  <si>
    <t>Empresa_1_2018</t>
  </si>
  <si>
    <t>Empresa_1_2019</t>
  </si>
  <si>
    <t>Empresa_1_2020</t>
  </si>
  <si>
    <t>Empresa_1_2021</t>
  </si>
  <si>
    <t>Empresa_1_2022</t>
  </si>
  <si>
    <t>Empresa_2_2011</t>
  </si>
  <si>
    <t>Empresa_2_2012</t>
  </si>
  <si>
    <t>Empresa_2_2013</t>
  </si>
  <si>
    <t>Empresa_2_2014</t>
  </si>
  <si>
    <t>Empresa_2_2015</t>
  </si>
  <si>
    <t>Empresa_2_2016</t>
  </si>
  <si>
    <t>Empresa_2_2017</t>
  </si>
  <si>
    <t>Empresa_2_2018</t>
  </si>
  <si>
    <t>Empresa_2_2019</t>
  </si>
  <si>
    <t>Empresa_2_2020</t>
  </si>
  <si>
    <t>Empresa_2_2021</t>
  </si>
  <si>
    <t>Empresa_2_2022</t>
  </si>
  <si>
    <t>Empresa_3_2011</t>
  </si>
  <si>
    <t>Empresa_3_2012</t>
  </si>
  <si>
    <t>Empresa_3_2013</t>
  </si>
  <si>
    <t>Empresa_3_2014</t>
  </si>
  <si>
    <t>Empresa_3_2015</t>
  </si>
  <si>
    <t>Empresa_3_2016</t>
  </si>
  <si>
    <t>Empresa_3_2017</t>
  </si>
  <si>
    <t>Empresa_3_2018</t>
  </si>
  <si>
    <t>Empresa_3_2019</t>
  </si>
  <si>
    <t>Empresa_3_2020</t>
  </si>
  <si>
    <t>Empresa_3_2021</t>
  </si>
  <si>
    <t>Empresa_3_2022</t>
  </si>
  <si>
    <t>Empresa_4_2011</t>
  </si>
  <si>
    <t>Empresa_4_2012</t>
  </si>
  <si>
    <t>Empresa_4_2013</t>
  </si>
  <si>
    <t>Empresa_4_2014</t>
  </si>
  <si>
    <t>Empresa_4_2015</t>
  </si>
  <si>
    <t>Empresa_4_2016</t>
  </si>
  <si>
    <t>Empresa_4_2017</t>
  </si>
  <si>
    <t>Empresa_4_2018</t>
  </si>
  <si>
    <t>Empresa_4_2019</t>
  </si>
  <si>
    <t>Empresa_4_2020</t>
  </si>
  <si>
    <t>Empresa_4_2021</t>
  </si>
  <si>
    <t>Empresa_4_2022</t>
  </si>
  <si>
    <t>Empresa_5_2011</t>
  </si>
  <si>
    <t>Empresa_5_2012</t>
  </si>
  <si>
    <t>Empresa_5_2013</t>
  </si>
  <si>
    <t>Empresa_5_2014</t>
  </si>
  <si>
    <t>Empresa_5_2015</t>
  </si>
  <si>
    <t>Empresa_5_2016</t>
  </si>
  <si>
    <t>Empresa_5_2017</t>
  </si>
  <si>
    <t>Empresa_5_2018</t>
  </si>
  <si>
    <t>Empresa_5_2019</t>
  </si>
  <si>
    <t>Empresa_5_2020</t>
  </si>
  <si>
    <t>Empresa_5_2021</t>
  </si>
  <si>
    <t>Empresa_5_2022</t>
  </si>
  <si>
    <t>Empresa_6_2011</t>
  </si>
  <si>
    <t>Empresa_6_2012</t>
  </si>
  <si>
    <t>Empresa_6_2013</t>
  </si>
  <si>
    <t>Empresa_6_2014</t>
  </si>
  <si>
    <t>Empresa_6_2015</t>
  </si>
  <si>
    <t>Empresa_6_2016</t>
  </si>
  <si>
    <t>Empresa_6_2017</t>
  </si>
  <si>
    <t>Empresa_6_2018</t>
  </si>
  <si>
    <t>Empresa_6_2019</t>
  </si>
  <si>
    <t>Empresa_6_2020</t>
  </si>
  <si>
    <t>Empresa_6_2021</t>
  </si>
  <si>
    <t>Empresa_6_2022</t>
  </si>
  <si>
    <t>Empresa_7_2011</t>
  </si>
  <si>
    <t>Empresa_7_2012</t>
  </si>
  <si>
    <t>Empresa_7_2013</t>
  </si>
  <si>
    <t>Empresa_7_2014</t>
  </si>
  <si>
    <t>Empresa_7_2015</t>
  </si>
  <si>
    <t>Empresa_7_2016</t>
  </si>
  <si>
    <t>Empresa_7_2017</t>
  </si>
  <si>
    <t>Empresa_7_2018</t>
  </si>
  <si>
    <t>Empresa_7_2019</t>
  </si>
  <si>
    <t>Empresa_7_2020</t>
  </si>
  <si>
    <t>Empresa_7_2021</t>
  </si>
  <si>
    <t>Empresa_7_2022</t>
  </si>
  <si>
    <t>Empresa_8_2011</t>
  </si>
  <si>
    <t>Empresa_8_2012</t>
  </si>
  <si>
    <t>Empresa_8_2013</t>
  </si>
  <si>
    <t>Empresa_8_2014</t>
  </si>
  <si>
    <t>Empresa_8_2015</t>
  </si>
  <si>
    <t>Empresa_8_2016</t>
  </si>
  <si>
    <t>Empresa_8_2017</t>
  </si>
  <si>
    <t>Empresa_8_2018</t>
  </si>
  <si>
    <t>Empresa_8_2019</t>
  </si>
  <si>
    <t>Empresa_8_2020</t>
  </si>
  <si>
    <t>Empresa_8_2021</t>
  </si>
  <si>
    <t>Empresa_8_2022</t>
  </si>
  <si>
    <t>Empresa_9_2011</t>
  </si>
  <si>
    <t>Empresa_9_2012</t>
  </si>
  <si>
    <t>Empresa_9_2013</t>
  </si>
  <si>
    <t>Empresa_9_2014</t>
  </si>
  <si>
    <t>Empresa_9_2015</t>
  </si>
  <si>
    <t>Empresa_9_2016</t>
  </si>
  <si>
    <t>Empresa_9_2017</t>
  </si>
  <si>
    <t>Empresa_9_2018</t>
  </si>
  <si>
    <t>Empresa_9_2019</t>
  </si>
  <si>
    <t>Empresa_9_2020</t>
  </si>
  <si>
    <t>Empresa_9_2021</t>
  </si>
  <si>
    <t>Empresa_9_2022</t>
  </si>
  <si>
    <t>Empresa_10_2011</t>
  </si>
  <si>
    <t>Empresa_10_2012</t>
  </si>
  <si>
    <t>Empresa_10_2013</t>
  </si>
  <si>
    <t>Empresa_10_2014</t>
  </si>
  <si>
    <t>Empresa_10_2015</t>
  </si>
  <si>
    <t>Empresa_10_2016</t>
  </si>
  <si>
    <t>Empresa_10_2017</t>
  </si>
  <si>
    <t>Empresa_10_2018</t>
  </si>
  <si>
    <t>Empresa_10_2019</t>
  </si>
  <si>
    <t>Empresa_10_2020</t>
  </si>
  <si>
    <t>Empresa_10_2021</t>
  </si>
  <si>
    <t>Empresa_10_2022</t>
  </si>
  <si>
    <t>Sales Revenues [SR]</t>
  </si>
  <si>
    <t>Gross Profit [GP=SR-CGS]</t>
  </si>
  <si>
    <t>Administrative, operational costs (Fixed Costs) and opening costs</t>
  </si>
  <si>
    <t>Operational Income (EBITDA)</t>
  </si>
  <si>
    <t>Profit (Net income)</t>
  </si>
  <si>
    <t>Profit (Net income) for headquarters (less 50% of the parners)</t>
  </si>
  <si>
    <t>Interest Payment</t>
  </si>
  <si>
    <t>Investment revenues [minus cash reserves]</t>
  </si>
  <si>
    <t>Net income (EBITDA After Taxes and interest)</t>
  </si>
  <si>
    <t>Cash flow</t>
  </si>
  <si>
    <t>Return on Investment (ROI)</t>
  </si>
  <si>
    <t>Return on Sales</t>
  </si>
  <si>
    <t>Marketing</t>
  </si>
  <si>
    <t>Active Users</t>
  </si>
  <si>
    <t>Total number of users</t>
  </si>
  <si>
    <t>Penetration (Number of users)</t>
  </si>
  <si>
    <t>Number of rides</t>
  </si>
  <si>
    <t>Market Share (Number of rides)</t>
  </si>
  <si>
    <t>Regions</t>
  </si>
  <si>
    <t>COMPANY DETAILS</t>
  </si>
  <si>
    <t>COUNTRY DETAILS</t>
  </si>
  <si>
    <t>Users (at least one time a year) thousands</t>
  </si>
  <si>
    <t>First entry date</t>
  </si>
  <si>
    <t>Competitor presence</t>
  </si>
  <si>
    <t>Total demand</t>
  </si>
  <si>
    <t>PRICE</t>
  </si>
  <si>
    <t>MARGIN</t>
  </si>
  <si>
    <t>GROWTH</t>
  </si>
  <si>
    <t>GENERAL DATA</t>
  </si>
  <si>
    <t>Entry mode Option</t>
  </si>
  <si>
    <t>Users per company (year)</t>
  </si>
  <si>
    <t>Number</t>
  </si>
  <si>
    <t>minimum</t>
  </si>
  <si>
    <t>Contagem</t>
  </si>
  <si>
    <t>Users projection</t>
  </si>
  <si>
    <t>Mean</t>
  </si>
  <si>
    <t>Headquarters</t>
  </si>
  <si>
    <t>2012 (JV)</t>
  </si>
  <si>
    <t>Subsidiary 1</t>
  </si>
  <si>
    <t>Subsidiary 2</t>
  </si>
  <si>
    <t>Subsidiary 3</t>
  </si>
  <si>
    <t>2011 (FDI)</t>
  </si>
  <si>
    <t>Subsidiary 4</t>
  </si>
  <si>
    <t>Subsidiary 5</t>
  </si>
  <si>
    <t>2012 (FDI)</t>
  </si>
  <si>
    <t>Subsidiary 6</t>
  </si>
  <si>
    <t>Subsidiary 7</t>
  </si>
  <si>
    <t>Subsidiary 8</t>
  </si>
  <si>
    <t>Subsidiary 9</t>
  </si>
  <si>
    <t>In the market since</t>
  </si>
  <si>
    <t>Your price</t>
  </si>
  <si>
    <t>Average Competitor price</t>
  </si>
  <si>
    <t>Your Unit cost</t>
  </si>
  <si>
    <t>Average Competitor unit cost</t>
  </si>
  <si>
    <t>Your Active Customers</t>
  </si>
  <si>
    <t>Your Average distance per ride</t>
  </si>
  <si>
    <t>Your Number of rides</t>
  </si>
  <si>
    <t>Your Market Share (Number of rides)</t>
  </si>
  <si>
    <t>Your Market Share (Revenues)</t>
  </si>
  <si>
    <t>Your Revenues</t>
  </si>
  <si>
    <t>Your Fixed Costs</t>
  </si>
  <si>
    <t>Your Opening Costs</t>
  </si>
  <si>
    <t>Your Pol. reg. Costs</t>
  </si>
  <si>
    <t>Your Cost of goods sold [CGS]</t>
  </si>
  <si>
    <t>Your Taxation</t>
  </si>
  <si>
    <t>Your Net Income</t>
  </si>
  <si>
    <t>Parter Shares</t>
  </si>
  <si>
    <t>Your Net Income (after paying the partner)</t>
  </si>
  <si>
    <t>Other Variables costs</t>
  </si>
  <si>
    <t>Global MSE</t>
  </si>
  <si>
    <t>Local MSE</t>
  </si>
  <si>
    <t>GRADES</t>
  </si>
  <si>
    <t>Number of users per subsidiary</t>
  </si>
  <si>
    <t>Sales Revenues</t>
  </si>
  <si>
    <t>Non Competition</t>
  </si>
  <si>
    <t>Number Of users</t>
  </si>
  <si>
    <t>Market Share (rides)</t>
  </si>
  <si>
    <t>Cash availability:</t>
  </si>
  <si>
    <t>Revenue Diversification</t>
  </si>
  <si>
    <t>Evolution</t>
  </si>
  <si>
    <t>Growth: Active Users</t>
  </si>
  <si>
    <t>Growth: Gross Profit</t>
  </si>
  <si>
    <t>Order: Active Users</t>
  </si>
  <si>
    <t>Grades: Active Users</t>
  </si>
  <si>
    <t>Acum. Grades: Active Users</t>
  </si>
  <si>
    <t>Grades: Total</t>
  </si>
  <si>
    <t>Order: Sales Revenues [SR]</t>
  </si>
  <si>
    <t>Grades: Sales Revenues [SR]</t>
  </si>
  <si>
    <t>Acum. Grades: Sales Revenues [SR]</t>
  </si>
  <si>
    <t>Acum. Grades: Total</t>
  </si>
  <si>
    <t>Time 1</t>
  </si>
  <si>
    <t>Time 2</t>
  </si>
  <si>
    <t>Time 3</t>
  </si>
  <si>
    <t>Time 4</t>
  </si>
  <si>
    <t>Time 5</t>
  </si>
  <si>
    <t>Time 6</t>
  </si>
  <si>
    <t>Final Position</t>
  </si>
  <si>
    <t>Values per company</t>
  </si>
  <si>
    <t>Rank per company</t>
  </si>
  <si>
    <t>Grades per company</t>
  </si>
  <si>
    <t xml:space="preserve">Team </t>
  </si>
  <si>
    <t>Asia &amp; Pacific + Oceania</t>
  </si>
  <si>
    <t>Users</t>
  </si>
  <si>
    <t>Latin American</t>
  </si>
  <si>
    <t>Company Objective</t>
  </si>
  <si>
    <t>Africa and Middle East</t>
  </si>
  <si>
    <t>Lead the global market in terms of revenue</t>
  </si>
  <si>
    <t>Lead the global market in number of rides</t>
  </si>
  <si>
    <t>Total non competition Grades</t>
  </si>
  <si>
    <t>Grades</t>
  </si>
  <si>
    <t>Grades Máx</t>
  </si>
  <si>
    <t>Lead the global market in number of users</t>
  </si>
  <si>
    <t>Course</t>
  </si>
  <si>
    <t>Competition</t>
  </si>
  <si>
    <t>Achieve higher accumulated profit</t>
  </si>
  <si>
    <t>Achieve greater global presence</t>
  </si>
  <si>
    <t>last</t>
  </si>
  <si>
    <t>PT</t>
  </si>
  <si>
    <t xml:space="preserve">EN </t>
  </si>
  <si>
    <t>Actual</t>
  </si>
  <si>
    <t>Inglês</t>
  </si>
  <si>
    <t>English (Inglês)</t>
  </si>
  <si>
    <t>Português</t>
  </si>
  <si>
    <t>Português (Portuguese)</t>
  </si>
  <si>
    <t>Select your language</t>
  </si>
  <si>
    <t>Selecione seu idioma</t>
  </si>
  <si>
    <t>Selecione seu número de equipe</t>
  </si>
  <si>
    <t>Select your Team Number</t>
  </si>
  <si>
    <t>Seu time</t>
  </si>
  <si>
    <t>Your Team</t>
  </si>
  <si>
    <t xml:space="preserve">Year </t>
  </si>
  <si>
    <t>Selecione o país</t>
  </si>
  <si>
    <t>Select the country</t>
  </si>
  <si>
    <t>Região</t>
  </si>
  <si>
    <t>Análises e seleção de mercado</t>
  </si>
  <si>
    <t>MARKET ANALYZES AND SELECTION</t>
  </si>
  <si>
    <t>Ambiente demográfico</t>
  </si>
  <si>
    <t xml:space="preserve">Demographic environment </t>
  </si>
  <si>
    <t>Variáveis</t>
  </si>
  <si>
    <t>Variables</t>
  </si>
  <si>
    <t>País</t>
  </si>
  <si>
    <t>Mundo</t>
  </si>
  <si>
    <t>Tamanho da população</t>
  </si>
  <si>
    <t>Population size</t>
  </si>
  <si>
    <t>Área do país (km quadrado)</t>
  </si>
  <si>
    <t>Country Area (square KM)</t>
  </si>
  <si>
    <t>Densidade populacional (pop / km quadrado)</t>
  </si>
  <si>
    <t>Populational density (Pop/ square km)</t>
  </si>
  <si>
    <t>População% (participação)</t>
  </si>
  <si>
    <t>Population % (participation)</t>
  </si>
  <si>
    <t>Crescimento populacional (CAGR dos últimos 5 anos)</t>
  </si>
  <si>
    <t>Population Growth (last 5 years CAGR)</t>
  </si>
  <si>
    <t>Assinaturas de telefone celular / 100 Pop. *</t>
  </si>
  <si>
    <t>Ambiente econômico e político</t>
  </si>
  <si>
    <t>Economic and political environments</t>
  </si>
  <si>
    <t>Produto Interno Bruto (PIB U$ bilhão)</t>
  </si>
  <si>
    <t>Gross domestic product (GDP U$ Billion)</t>
  </si>
  <si>
    <t>GDP%</t>
  </si>
  <si>
    <t>GDP %</t>
  </si>
  <si>
    <t>Crescimento do PIB (CAGR)</t>
  </si>
  <si>
    <t>GDP Growth (CAGR)</t>
  </si>
  <si>
    <t>PIB per capita (U$ dólar)</t>
  </si>
  <si>
    <t>GDP per capita (U$ Dollar)</t>
  </si>
  <si>
    <t>Níveis de tributação</t>
  </si>
  <si>
    <t>Taxation levels</t>
  </si>
  <si>
    <t>Taxa de imposto de renda (%)</t>
  </si>
  <si>
    <t>Income Tax Rate (%)</t>
  </si>
  <si>
    <t>Taxa tarifária (%)</t>
  </si>
  <si>
    <t>Tariff Rate (%)</t>
  </si>
  <si>
    <t>Taxa de imposto corporativo (%)</t>
  </si>
  <si>
    <t>Corporate Tax Rate (%)</t>
  </si>
  <si>
    <t>Variáveis ​​legais e políticas</t>
  </si>
  <si>
    <t>Legal and political variables</t>
  </si>
  <si>
    <t>Índice de facilidade de fazer negócios (Doing Business)</t>
  </si>
  <si>
    <t>Score Doing business</t>
  </si>
  <si>
    <t>Peso da regulamentação estatal (7 = melhor)</t>
  </si>
  <si>
    <t>Burden Of Government Regulation (7=best)</t>
  </si>
  <si>
    <t>Qualidade das estradas (7 = melhor)</t>
  </si>
  <si>
    <t>Quality Of Roads (7=best)</t>
  </si>
  <si>
    <t>Ambiente sociocultural</t>
  </si>
  <si>
    <t>Socio-Cultural environment</t>
  </si>
  <si>
    <t>Sofisticação de negócios (7 = melhor)</t>
  </si>
  <si>
    <t>Business sophistication (7=best)</t>
  </si>
  <si>
    <t>Adoção tecnológica (7 = melhor)</t>
  </si>
  <si>
    <t>Technological adoption (7=best)</t>
  </si>
  <si>
    <t>Sofisticação do comprador (7 = melhor)</t>
  </si>
  <si>
    <t>Buyer sophistication (7=best)</t>
  </si>
  <si>
    <t>Simule sua decisão</t>
  </si>
  <si>
    <t>Simulate your decision</t>
  </si>
  <si>
    <t xml:space="preserve">MODO DE ENTRADA: </t>
  </si>
  <si>
    <t xml:space="preserve">ENTRY MODE: </t>
  </si>
  <si>
    <t>Qual modo de entrada você usará?</t>
  </si>
  <si>
    <t>Which entry mode you will use?</t>
  </si>
  <si>
    <t>Decisão de precificação:</t>
  </si>
  <si>
    <t xml:space="preserve">PRICING DECISION: </t>
  </si>
  <si>
    <t>Escolha o preço da sua empresa:</t>
  </si>
  <si>
    <t xml:space="preserve">Choose the price of your company: </t>
  </si>
  <si>
    <t>Escolha a margem da sua empresa neste país:</t>
  </si>
  <si>
    <t>Choose the margin of your company in this country:</t>
  </si>
  <si>
    <t>Análise de Preços</t>
  </si>
  <si>
    <t>Pricing analysis</t>
  </si>
  <si>
    <t>Estimativas</t>
  </si>
  <si>
    <t>Estimates</t>
  </si>
  <si>
    <t>Preço padrão no país (por corrida de 5km)</t>
  </si>
  <si>
    <t>Standard price in country (per 5km ride)</t>
  </si>
  <si>
    <t>Sua estratégia de preço</t>
  </si>
  <si>
    <t>Your price strategy</t>
  </si>
  <si>
    <t>Sua diferença de preço (%)</t>
  </si>
  <si>
    <t>Your price difference (%)</t>
  </si>
  <si>
    <t>Seu preço</t>
  </si>
  <si>
    <t>Margem percentual</t>
  </si>
  <si>
    <t>Percent Margin</t>
  </si>
  <si>
    <t>Pagamento unitário por corrida de 5km (motorista parceiro)</t>
  </si>
  <si>
    <t>Payment per 5km drive (partner drivers)</t>
  </si>
  <si>
    <t>Sua unidade de margem (U $) por unidade de 5km</t>
  </si>
  <si>
    <t>Your unit margin (U$) per 5km drive</t>
  </si>
  <si>
    <t>Empresa / Jogador / Equipe</t>
  </si>
  <si>
    <t>Company/Player/
Team</t>
  </si>
  <si>
    <t>Preço por corrida de 5km</t>
  </si>
  <si>
    <t>Price per 5km Ride</t>
  </si>
  <si>
    <t>Custo unitário por 5km</t>
  </si>
  <si>
    <t>Unit cost per 5km Ride</t>
  </si>
  <si>
    <t xml:space="preserve">Percentual Margin </t>
  </si>
  <si>
    <t>Média (Desvio padrão)</t>
  </si>
  <si>
    <t>Average (Std. Deviation)</t>
  </si>
  <si>
    <t>Selecione sua estratégia de precificação por país</t>
  </si>
  <si>
    <t>Select your pricing strategy per country</t>
  </si>
  <si>
    <t>Nome</t>
  </si>
  <si>
    <t>Nível de preço</t>
  </si>
  <si>
    <t>Nível de margem</t>
  </si>
  <si>
    <t>Margin Level</t>
  </si>
  <si>
    <t>Preço (margem)</t>
  </si>
  <si>
    <t>Price (Margin)</t>
  </si>
  <si>
    <t>Matriz</t>
  </si>
  <si>
    <t>Subsidiária 1</t>
  </si>
  <si>
    <t>Subsidiária 2</t>
  </si>
  <si>
    <t>Subsidiária 3</t>
  </si>
  <si>
    <t>Subsidiária 4</t>
  </si>
  <si>
    <t>Subsidiária 5</t>
  </si>
  <si>
    <t>Subsidiária 6</t>
  </si>
  <si>
    <t>Subsidiária 7</t>
  </si>
  <si>
    <t>Subsidiária 8</t>
  </si>
  <si>
    <t>Subsidiária 9</t>
  </si>
  <si>
    <t>Decisão de marketing e vendas</t>
  </si>
  <si>
    <t>MARKETING AND SALES DECISION</t>
  </si>
  <si>
    <t>Selecione seu orçamento de despesas de marketing e vendas.</t>
  </si>
  <si>
    <t>Select your Marketing and Sales Expenses Budget.</t>
  </si>
  <si>
    <t>Selecione o grau de equilíbrio entre os gastos locais e globais de marketing e vendas. Uma avaliação próxima 0 significa escolher uma estratégia global padronizada completa. Uma avaliação próxima 10 significa escolher uma estratégia local diferenciada total. Selecionando valores próximos a 5 indica a busca de uma estratégia glocal.</t>
  </si>
  <si>
    <t>Select the degree of balance between Local and global marketing and sales expenditures. An assessment close 0 means choosing a full standardized global strategy. An assessment close 10 means choosing a total differentiated local strategy. Selecting values close to 5 means to search for a Glocal strategy.</t>
  </si>
  <si>
    <t>Escolha sua resposta</t>
  </si>
  <si>
    <t>Choose your response</t>
  </si>
  <si>
    <t>Despesas de marketing e vendas globais (padronizadas)</t>
  </si>
  <si>
    <t>Global/Standardized Marketing and Sales Expenses</t>
  </si>
  <si>
    <t>Despesas de marketing e vendas locais (customizadas)</t>
  </si>
  <si>
    <t>Local/Customized Marketing and Sales Expenses</t>
  </si>
  <si>
    <t>Selecione as prioridades de marketing e vendas (MSE) para investimento: Se você operar em mais de um país, selecione as prioridades para cada subsidiária. Os valores serão ponderados pelo PIB per capita e pela população.</t>
  </si>
  <si>
    <t>Select the Marketing and Sales (MSE) priorities for investment: If you operate in more than one country select the priorities for each subsidiary. The values will be weighted  by GDP per capita and Population.</t>
  </si>
  <si>
    <t>Priority for MSE</t>
  </si>
  <si>
    <t>Total MSE in each country</t>
  </si>
  <si>
    <t>Investment by population</t>
  </si>
  <si>
    <t>Prioridade para MSE.</t>
  </si>
  <si>
    <t>Total de MSE em cada país</t>
  </si>
  <si>
    <t>Investimento pela população</t>
  </si>
  <si>
    <t>Análise de competição</t>
  </si>
  <si>
    <t>COMPETITION ANALYSIS</t>
  </si>
  <si>
    <t>Data do primeiro concorrente a entrar no mercado</t>
  </si>
  <si>
    <t>Date of the first competitor to enter in the market</t>
  </si>
  <si>
    <t>Número de concorrentes no mercado</t>
  </si>
  <si>
    <t>Number of competitors in the market</t>
  </si>
  <si>
    <t>Desempenho do Novo País</t>
  </si>
  <si>
    <t>New Country Market performance</t>
  </si>
  <si>
    <t>Cenários</t>
  </si>
  <si>
    <t>Scenarios</t>
  </si>
  <si>
    <t>Pessimista</t>
  </si>
  <si>
    <t>Pessimistic</t>
  </si>
  <si>
    <t>Realista</t>
  </si>
  <si>
    <t>Realistic</t>
  </si>
  <si>
    <t>Otimista</t>
  </si>
  <si>
    <t>Optimistic</t>
  </si>
  <si>
    <t>% De penetração de mercado (P)</t>
  </si>
  <si>
    <t>Market penetration % (P)</t>
  </si>
  <si>
    <t>Receita média por usuário (ARPU = C)</t>
  </si>
  <si>
    <t xml:space="preserve">Average Revenue Per User (ARPU = C) </t>
  </si>
  <si>
    <t>Demanda do mercado em milhares (Pop. X P x C)</t>
  </si>
  <si>
    <t>Market Demand in thousands (Pop. x P x C)</t>
  </si>
  <si>
    <t>Participação de mercado da sua empresa</t>
  </si>
  <si>
    <t>Market share of your company</t>
  </si>
  <si>
    <t>Receita da sua empresa (milhares)</t>
  </si>
  <si>
    <t>Your company revenue (thousands)</t>
  </si>
  <si>
    <t>Análise financeira (milhares): todos os países</t>
  </si>
  <si>
    <t>FINANCIAL ANALYSIS (THOUSANDS): ALL COUNTRIES</t>
  </si>
  <si>
    <t>Caixa inicial (último período)</t>
  </si>
  <si>
    <t>Initial Cash (Last period)</t>
  </si>
  <si>
    <t>Conta</t>
  </si>
  <si>
    <t>Account</t>
  </si>
  <si>
    <t>Receitas de vendas [RV]</t>
  </si>
  <si>
    <t>Custo das mercadorias vendidas [CMV]</t>
  </si>
  <si>
    <t>Margem bruta [MB = RV-CMV]</t>
  </si>
  <si>
    <t>Despesas de marketing e vendas</t>
  </si>
  <si>
    <t>Campanhas globais</t>
  </si>
  <si>
    <t>Campanhas locais</t>
  </si>
  <si>
    <t>Custos administrativos, operacionais (custos fixos) e os investimentos de inauguração</t>
  </si>
  <si>
    <t>Custos Regulamentares e Políticos: Esses valores são muito incertos a prever. Eles podem variar entre centenas de milhares a dezenas de milhões de dólares por ano, dependendo da burocracia e da cultura empreendedora no páis. Este custo aumentará com o aumento das receitas.</t>
  </si>
  <si>
    <t>Regulatory and political costs: these values are too uncertain to predict. They may vary between hundreds of thousands to 10 million dollars a year, depending on country bureacracy and entrepreunerial culture. This cost will increase with revenues.</t>
  </si>
  <si>
    <t>Lucro operacional</t>
  </si>
  <si>
    <t>Operational Income</t>
  </si>
  <si>
    <t>Impostos</t>
  </si>
  <si>
    <t>Lucro (Lucro Líquido)</t>
  </si>
  <si>
    <t>Lucro (lucro líquido) para matriz (menos 50% dos parceiros em Joint Venture)</t>
  </si>
  <si>
    <t>Profit (Net income) for headquarters (less 50% of the Jointe Venture partners)</t>
  </si>
  <si>
    <t>Pagamento de juros</t>
  </si>
  <si>
    <t>Receitas financeiras [menos reservas de caixa]</t>
  </si>
  <si>
    <t>Disponibilidade de caixa</t>
  </si>
  <si>
    <t>Cash availability</t>
  </si>
  <si>
    <t>Para lançar suas decisões, use este link</t>
  </si>
  <si>
    <t>To launch your decisions use this link</t>
  </si>
  <si>
    <t>Time</t>
  </si>
  <si>
    <t>Team</t>
  </si>
  <si>
    <t>Be Global: suporte a decisão</t>
  </si>
  <si>
    <t>Be Global: support to decision</t>
  </si>
  <si>
    <t>Para lançar suas decisões use este link: bit.ly/be-global-game</t>
  </si>
  <si>
    <t>To launch decisions use this link: bit.ly/be-global-game</t>
  </si>
  <si>
    <t xml:space="preserve">Selecione seu orçamento de despesas de marketing e vendas. Em geral, as despesas de MSE variam entre U$ </t>
  </si>
  <si>
    <t>Select your Marketing and Sales Expenses Budget. In general MSE expenses varies between U$</t>
  </si>
  <si>
    <t xml:space="preserve"> até U$ </t>
  </si>
  <si>
    <t xml:space="preserve"> to U$ </t>
  </si>
  <si>
    <t xml:space="preserve"> per capita neste mercado. Orçamento sugerido para todas as subsidiárias: entre </t>
  </si>
  <si>
    <t xml:space="preserve"> per capita in this market. Suggested budget FOR ALL SUBSIDIARIES: between </t>
  </si>
  <si>
    <t xml:space="preserve"> e </t>
  </si>
  <si>
    <t xml:space="preserve"> and </t>
  </si>
  <si>
    <t>Selecione seu orçamento para as despesas de marketing e vendas</t>
  </si>
  <si>
    <t>Select your Marketing and Sales Expenses Budget</t>
  </si>
  <si>
    <t>Muito Baixo</t>
  </si>
  <si>
    <t>Very Low</t>
  </si>
  <si>
    <t>Baixo</t>
  </si>
  <si>
    <t>Low</t>
  </si>
  <si>
    <t>Médio</t>
  </si>
  <si>
    <t>Medium</t>
  </si>
  <si>
    <t>Alto</t>
  </si>
  <si>
    <t>High</t>
  </si>
  <si>
    <t>Muito Alto</t>
  </si>
  <si>
    <t>Very High</t>
  </si>
  <si>
    <t>Preço Baixo todo dia</t>
  </si>
  <si>
    <t>Every Day Low Price (EDLP)</t>
  </si>
  <si>
    <t>Desconto (baixo-alto)</t>
  </si>
  <si>
    <t>Discounnt (Low-high)</t>
  </si>
  <si>
    <t>Preço de nivealmento de mercado</t>
  </si>
  <si>
    <t>Going-rating price (market)</t>
  </si>
  <si>
    <t>Preço Premium</t>
  </si>
  <si>
    <t>Premium price</t>
  </si>
  <si>
    <t>Preço de luxo</t>
  </si>
  <si>
    <t>Luxury Price</t>
  </si>
  <si>
    <t>Albânia</t>
  </si>
  <si>
    <t>Europa</t>
  </si>
  <si>
    <t>Argélia</t>
  </si>
  <si>
    <t>Oriente médio</t>
  </si>
  <si>
    <t>África Subsaariana</t>
  </si>
  <si>
    <t>América do Sul</t>
  </si>
  <si>
    <t>Armênia</t>
  </si>
  <si>
    <t>Austrália</t>
  </si>
  <si>
    <t>Oceânia</t>
  </si>
  <si>
    <t>Áustria</t>
  </si>
  <si>
    <t>União Européia</t>
  </si>
  <si>
    <t>Azerbaijão</t>
  </si>
  <si>
    <t>Ásia-Pacífico</t>
  </si>
  <si>
    <t>Bahamas.</t>
  </si>
  <si>
    <t>Caribe</t>
  </si>
  <si>
    <t>Bahrein</t>
  </si>
  <si>
    <t>Barbados.</t>
  </si>
  <si>
    <t>Bielorrússia</t>
  </si>
  <si>
    <t>Bélgica</t>
  </si>
  <si>
    <t>América Central</t>
  </si>
  <si>
    <t>Butão</t>
  </si>
  <si>
    <t>Bolívia</t>
  </si>
  <si>
    <t>Bósnia e Herzegovina</t>
  </si>
  <si>
    <t>Botsuana</t>
  </si>
  <si>
    <t>Brasil</t>
  </si>
  <si>
    <t>Bulgária</t>
  </si>
  <si>
    <t>Camboja</t>
  </si>
  <si>
    <t>Camarões</t>
  </si>
  <si>
    <t>Canadá</t>
  </si>
  <si>
    <t>América do Norte</t>
  </si>
  <si>
    <t>República Centro-Africana.</t>
  </si>
  <si>
    <t>Chade</t>
  </si>
  <si>
    <t>Colômbia</t>
  </si>
  <si>
    <t>Comores.</t>
  </si>
  <si>
    <t>Croácia</t>
  </si>
  <si>
    <t>Chipre</t>
  </si>
  <si>
    <t>República Checa</t>
  </si>
  <si>
    <t>Dinamarca</t>
  </si>
  <si>
    <t>Djibuti</t>
  </si>
  <si>
    <t>Dominica.</t>
  </si>
  <si>
    <t>República Dominicana</t>
  </si>
  <si>
    <t>Equador</t>
  </si>
  <si>
    <t>Egito</t>
  </si>
  <si>
    <t>Guiné Equatorial</t>
  </si>
  <si>
    <t>Eritreia</t>
  </si>
  <si>
    <t>Estônia</t>
  </si>
  <si>
    <t>Etiópia</t>
  </si>
  <si>
    <t>Finlândia</t>
  </si>
  <si>
    <t>França</t>
  </si>
  <si>
    <t>Gabão</t>
  </si>
  <si>
    <t>Geórgia</t>
  </si>
  <si>
    <t>Alemanha</t>
  </si>
  <si>
    <t>Gana</t>
  </si>
  <si>
    <t>Grécia</t>
  </si>
  <si>
    <t>Guiné</t>
  </si>
  <si>
    <t>Guiana</t>
  </si>
  <si>
    <t>Hungria</t>
  </si>
  <si>
    <t>Islândia</t>
  </si>
  <si>
    <t>Índia</t>
  </si>
  <si>
    <t>Indonésia</t>
  </si>
  <si>
    <t>Irã</t>
  </si>
  <si>
    <t>Iraque</t>
  </si>
  <si>
    <t>Irlanda</t>
  </si>
  <si>
    <t>Itália</t>
  </si>
  <si>
    <t>Japão</t>
  </si>
  <si>
    <t>Jordânia</t>
  </si>
  <si>
    <t>Cazaquistão</t>
  </si>
  <si>
    <t>Quênia</t>
  </si>
  <si>
    <t>Letônia</t>
  </si>
  <si>
    <t>Líbano</t>
  </si>
  <si>
    <t>Lesoto</t>
  </si>
  <si>
    <t>Libéria</t>
  </si>
  <si>
    <t>Líbia</t>
  </si>
  <si>
    <t>Lituânia</t>
  </si>
  <si>
    <t>Luxemburgo</t>
  </si>
  <si>
    <t>Madagáscar</t>
  </si>
  <si>
    <t>Malásia</t>
  </si>
  <si>
    <t>Maldivas</t>
  </si>
  <si>
    <t>Mauritânia</t>
  </si>
  <si>
    <t>Maurício</t>
  </si>
  <si>
    <t>México</t>
  </si>
  <si>
    <t>Mongólia</t>
  </si>
  <si>
    <t>Marrocos</t>
  </si>
  <si>
    <t>Moçambique</t>
  </si>
  <si>
    <t>Namíbia</t>
  </si>
  <si>
    <t>Holanda</t>
  </si>
  <si>
    <t>Nova Zelândia</t>
  </si>
  <si>
    <t>Nicarágua</t>
  </si>
  <si>
    <t>Níger</t>
  </si>
  <si>
    <t>Nigéria</t>
  </si>
  <si>
    <t>Noruega</t>
  </si>
  <si>
    <t>Omã</t>
  </si>
  <si>
    <t>Paquistão</t>
  </si>
  <si>
    <t>Panamá</t>
  </si>
  <si>
    <t>Papua Nova Guiné</t>
  </si>
  <si>
    <t>Paraguai</t>
  </si>
  <si>
    <t>Filipinas</t>
  </si>
  <si>
    <t>Polônia</t>
  </si>
  <si>
    <t>Catar</t>
  </si>
  <si>
    <t>Romênia.</t>
  </si>
  <si>
    <t>Federação Russa</t>
  </si>
  <si>
    <t>Ruanda</t>
  </si>
  <si>
    <t>Samoa.</t>
  </si>
  <si>
    <t>Arábia Saudita</t>
  </si>
  <si>
    <t>Sérvia</t>
  </si>
  <si>
    <t>Seychelles.</t>
  </si>
  <si>
    <t>Serra Leoa</t>
  </si>
  <si>
    <t>Cingapura</t>
  </si>
  <si>
    <t>Eslováquia</t>
  </si>
  <si>
    <t>Eslovênia</t>
  </si>
  <si>
    <t>Ilhas Salomão</t>
  </si>
  <si>
    <t>África do Sul</t>
  </si>
  <si>
    <t>Coreia do Sul</t>
  </si>
  <si>
    <t>Espanha</t>
  </si>
  <si>
    <t>Suazilândia.</t>
  </si>
  <si>
    <t>Suécia</t>
  </si>
  <si>
    <t>Suíça</t>
  </si>
  <si>
    <t>Tajiquistão</t>
  </si>
  <si>
    <t>Tanzânia</t>
  </si>
  <si>
    <t>Tailândia</t>
  </si>
  <si>
    <t>Trinidad e Tobago</t>
  </si>
  <si>
    <t>Tunísia</t>
  </si>
  <si>
    <t>Turquemenistão</t>
  </si>
  <si>
    <t>Ucrânia</t>
  </si>
  <si>
    <t>Emirados Árabes Unidos</t>
  </si>
  <si>
    <t>Reino Unido</t>
  </si>
  <si>
    <t>Estados Unidos</t>
  </si>
  <si>
    <t>Uruguai</t>
  </si>
  <si>
    <t>Uzbequistão</t>
  </si>
  <si>
    <t>Vietnã</t>
  </si>
  <si>
    <t>Iémen</t>
  </si>
  <si>
    <t>Zâmbia</t>
  </si>
  <si>
    <t>Zimbábue</t>
  </si>
  <si>
    <t>Descrição</t>
  </si>
  <si>
    <t>Description</t>
  </si>
  <si>
    <t>Variáveis ​​demograficas</t>
  </si>
  <si>
    <t>Demographic variables</t>
  </si>
  <si>
    <t>Variáveis ​​econômicas, políticas e legais</t>
  </si>
  <si>
    <t>Economic, political and legal variables</t>
  </si>
  <si>
    <t>Variáveis ​​socioculturais</t>
  </si>
  <si>
    <t>Socio-Cultural variables</t>
  </si>
  <si>
    <t>Dados da indústria e da concorrência</t>
  </si>
  <si>
    <t>Industry and competition data</t>
  </si>
  <si>
    <t>Estatísticas Básicas</t>
  </si>
  <si>
    <t>Basic Statistics</t>
  </si>
  <si>
    <t>Standard deviation</t>
  </si>
  <si>
    <t>Coef. de variação</t>
  </si>
  <si>
    <t>Coef. of variation</t>
  </si>
  <si>
    <t>Maximum</t>
  </si>
  <si>
    <t>Minimum</t>
  </si>
  <si>
    <t xml:space="preserve">Percentil 25.º </t>
  </si>
  <si>
    <t>25.º percent</t>
  </si>
  <si>
    <t>Percentil 75.º</t>
  </si>
  <si>
    <t>75.º percent</t>
  </si>
  <si>
    <t>Mediana</t>
  </si>
  <si>
    <t>Median</t>
  </si>
  <si>
    <t>Intervalo Interquartil</t>
  </si>
  <si>
    <t>Int. range</t>
  </si>
  <si>
    <t>Amostra válida</t>
  </si>
  <si>
    <t>Valid sample</t>
  </si>
  <si>
    <t>Usuários ativos (milhares)</t>
  </si>
  <si>
    <t>Active users (thousands)</t>
  </si>
  <si>
    <t>Penetração de mercado (categoria)</t>
  </si>
  <si>
    <t>Market Penetration (Category)</t>
  </si>
  <si>
    <t>Demanda do Mercado (U $ Milhões)</t>
  </si>
  <si>
    <t>Market Demand (U$ millions)</t>
  </si>
  <si>
    <t>Receita média por usuário
 (ARPU)</t>
  </si>
  <si>
    <t>Average revenue per user
(ARPU)</t>
  </si>
  <si>
    <t>Número de concorrentes</t>
  </si>
  <si>
    <t>Despesas de marketing e vendas globais (milhões)</t>
  </si>
  <si>
    <t>Global Marketing and Sales Expenses (millions)</t>
  </si>
  <si>
    <t>Despesas de marketing e vendas locais (milhões)</t>
  </si>
  <si>
    <t>Local Marketing and Sales Expenses (millions)</t>
  </si>
  <si>
    <t>Despesas de marketing e vendas totais (milhões)</t>
  </si>
  <si>
    <t>Total Marketing and Sales Expenses (millions)</t>
  </si>
  <si>
    <t>Custos administrativos, operacionais (custos fixos) e custos de abertura (milhões)</t>
  </si>
  <si>
    <t>Administrative, operational costs (Fixed Costs) and opening costs (millions)</t>
  </si>
  <si>
    <t>Custos Regulamentares e Políticos (Milhões)</t>
  </si>
  <si>
    <t>Regulatory and political costs (millions)</t>
  </si>
  <si>
    <t>Impostos (D) (Milhões)</t>
  </si>
  <si>
    <t>Taxes (D) (millions)</t>
  </si>
  <si>
    <t xml:space="preserve"> - Estatísticas mundiais</t>
  </si>
  <si>
    <t xml:space="preserve"> - World statistics</t>
  </si>
  <si>
    <t xml:space="preserve"> - Estatísticas detalhadas por país</t>
  </si>
  <si>
    <t xml:space="preserve"> - Country detailed statistics</t>
  </si>
  <si>
    <t>População (milhões)</t>
  </si>
  <si>
    <t>Population (millions)</t>
  </si>
  <si>
    <t>Penetração de mercado da sua empresa) (% ususários)</t>
  </si>
  <si>
    <t>Market penetration of Your Company (% users)</t>
  </si>
  <si>
    <t>Selecione a variável</t>
  </si>
  <si>
    <t>Select the Variable</t>
  </si>
  <si>
    <t>Número</t>
  </si>
  <si>
    <t>Selecione os países</t>
  </si>
  <si>
    <t>Select the countries</t>
  </si>
  <si>
    <t>PIB per capita (Y) VS População (X) VS LN GDP (tamanho do círculo)</t>
  </si>
  <si>
    <t>GDP Per capita (Y) VS Population (X) VS LN GDP (Size of Circle)</t>
  </si>
  <si>
    <t>Visão geral global, regional e de concorrência:</t>
  </si>
  <si>
    <t>Global, Regional, and competition overview:</t>
  </si>
  <si>
    <t>Ano-</t>
  </si>
  <si>
    <t>Year-</t>
  </si>
  <si>
    <t>Informações demográficas e de mercado</t>
  </si>
  <si>
    <t>Demographical and market information</t>
  </si>
  <si>
    <t>N. De países com concorrentes</t>
  </si>
  <si>
    <t>N. of countries with competitors</t>
  </si>
  <si>
    <t>N. de subsidiárias</t>
  </si>
  <si>
    <t>N. of subsidiaries</t>
  </si>
  <si>
    <t>Usuários ativos (milhões)</t>
  </si>
  <si>
    <t>Active users (Millions)</t>
  </si>
  <si>
    <t>Penetração de Mercado (Geral)</t>
  </si>
  <si>
    <t>Market Penetration (General)</t>
  </si>
  <si>
    <t>Penetração de mercado (países ativos)</t>
  </si>
  <si>
    <t>Market Penetration (active countries)</t>
  </si>
  <si>
    <t>Total do mundo</t>
  </si>
  <si>
    <t>World Total</t>
  </si>
  <si>
    <t>Usuários ativos por região</t>
  </si>
  <si>
    <t>Active users per region</t>
  </si>
  <si>
    <t>Informações financeiras (em milhões de U $)</t>
  </si>
  <si>
    <t>Financial Information (in Millions of U$)</t>
  </si>
  <si>
    <t>Receita</t>
  </si>
  <si>
    <t>Custo das mercadorias vendidas</t>
  </si>
  <si>
    <t>Cost of Goods Sold</t>
  </si>
  <si>
    <t>Total de despesas de marketing e vendas</t>
  </si>
  <si>
    <t>Total Marketing &amp; Sales  Exp.</t>
  </si>
  <si>
    <t>Custos fixos
 (ADM. &amp; OP.)</t>
  </si>
  <si>
    <t>Fixed Costs
(Adm. &amp; Op.)</t>
  </si>
  <si>
    <t>Custos de abertura</t>
  </si>
  <si>
    <t>Custos regulatórios e políticos</t>
  </si>
  <si>
    <t>Lucro Líquido</t>
  </si>
  <si>
    <t>Net Income</t>
  </si>
  <si>
    <t>Receita por região</t>
  </si>
  <si>
    <t>Revenue per Region</t>
  </si>
  <si>
    <t>Despesas de marketing e vendas globais e locais</t>
  </si>
  <si>
    <t>Global and Local Marketing &amp; Sales Expenses</t>
  </si>
  <si>
    <t>Competition Analysis</t>
  </si>
  <si>
    <t>Empresa / jogador / equipe</t>
  </si>
  <si>
    <t>Company/Player/Team</t>
  </si>
  <si>
    <t>Receitas por jogador (milhares)</t>
  </si>
  <si>
    <t>Revenues per Player (thousands)</t>
  </si>
  <si>
    <t>Total de despesas de marketing e vendas (milhares)</t>
  </si>
  <si>
    <t>Total Marketing &amp; Sales  Exp.  (thousands)</t>
  </si>
  <si>
    <t>Lucro Líquido (após parceiros, impostos e juros) (milhares)</t>
  </si>
  <si>
    <t>Net Income (after partners, taxes and interest)  (thousands)</t>
  </si>
  <si>
    <t>Disponibilidade de caixa (milhares)</t>
  </si>
  <si>
    <t>Cash Availability  (thousands)</t>
  </si>
  <si>
    <t>Número de corridas por jogador (milhares)</t>
  </si>
  <si>
    <t>Number of rides per Player  (thousands)</t>
  </si>
  <si>
    <t>Active Users  (thousands)</t>
  </si>
  <si>
    <t>Crescimento: usuários ativos</t>
  </si>
  <si>
    <t xml:space="preserve">Growth: Active Users </t>
  </si>
  <si>
    <t>Número de corridas por competidor (milhares)</t>
  </si>
  <si>
    <t>Participação de mercado global (número de corridas)</t>
  </si>
  <si>
    <t>Global Market Share (number of rides)</t>
  </si>
  <si>
    <t>Crescimento: margem bruta</t>
  </si>
  <si>
    <t>Presença: Número de regiões</t>
  </si>
  <si>
    <t>Presence: Number of regions</t>
  </si>
  <si>
    <t>Presença: Número de países</t>
  </si>
  <si>
    <t>Presence: Number of countries</t>
  </si>
  <si>
    <t>Diversificação de receita</t>
  </si>
  <si>
    <t>Milhões</t>
  </si>
  <si>
    <t>Millions</t>
  </si>
  <si>
    <t>Pontuação na simulação e notas no curso</t>
  </si>
  <si>
    <t>Simulation Score and Course Grades</t>
  </si>
  <si>
    <t>Total de pontuação não competitiva</t>
  </si>
  <si>
    <t>Total non competitive score</t>
  </si>
  <si>
    <t>Número de usuários</t>
  </si>
  <si>
    <t>Participação de mercado (corridas)</t>
  </si>
  <si>
    <t>Disponibilidade de caixa:</t>
  </si>
  <si>
    <t>Países</t>
  </si>
  <si>
    <t>Regiões.</t>
  </si>
  <si>
    <t>Revenue diversification</t>
  </si>
  <si>
    <t>Evolução</t>
  </si>
  <si>
    <t>Crescimento: lucro bruto</t>
  </si>
  <si>
    <t>Posição final</t>
  </si>
  <si>
    <t>Usuários</t>
  </si>
  <si>
    <t>Caixa</t>
  </si>
  <si>
    <t>Número de Países</t>
  </si>
  <si>
    <t>Number of Countries</t>
  </si>
  <si>
    <t>Objetivo da empresa</t>
  </si>
  <si>
    <t>Notas no curso</t>
  </si>
  <si>
    <t>Course Grades</t>
  </si>
  <si>
    <t>Curso</t>
  </si>
  <si>
    <t>Competição</t>
  </si>
  <si>
    <t>Presença no país desde</t>
  </si>
  <si>
    <t>Presence in the country since</t>
  </si>
  <si>
    <t>Usuários Ativos por País</t>
  </si>
  <si>
    <t>Active Users per country</t>
  </si>
  <si>
    <t>Demanda total</t>
  </si>
  <si>
    <t>Total Demand</t>
  </si>
  <si>
    <t>Visão geral de desempenho individual:</t>
  </si>
  <si>
    <t>Individual Performance Overview:</t>
  </si>
  <si>
    <t>Digite seu e-mail registrado</t>
  </si>
  <si>
    <t>Enter your registered E-mail</t>
  </si>
  <si>
    <t>Coloque sua senha</t>
  </si>
  <si>
    <t>Enter your Password</t>
  </si>
  <si>
    <t>Seu número de equipe</t>
  </si>
  <si>
    <t>Your Team number</t>
  </si>
  <si>
    <t>Informações de uso e desempenho de marketing</t>
  </si>
  <si>
    <t>Usage information and Marketing Performance</t>
  </si>
  <si>
    <t>Unidade</t>
  </si>
  <si>
    <t>Unit</t>
  </si>
  <si>
    <t>No mercado desde</t>
  </si>
  <si>
    <t>In the market Since</t>
  </si>
  <si>
    <t>Usuários: Crescimento e tendência</t>
  </si>
  <si>
    <t>Users: Growth and trend</t>
  </si>
  <si>
    <t>Número de corridas (milhares)</t>
  </si>
  <si>
    <t>Number of rides  (thousands)</t>
  </si>
  <si>
    <t>Número médio de corridas por usuário</t>
  </si>
  <si>
    <t>Average number of rides per user</t>
  </si>
  <si>
    <t>Ticket médio por corrida</t>
  </si>
  <si>
    <t>Average Ticket per ride</t>
  </si>
  <si>
    <t>Receita média por usuário
(ARPU)</t>
  </si>
  <si>
    <t>Penetração de mercado (sua empresa)</t>
  </si>
  <si>
    <t>Market Penetration (Your company)</t>
  </si>
  <si>
    <t>Participação de mercado
(n. de corridas): valor e tendência</t>
  </si>
  <si>
    <t>Market Share 
(n.º of rides): value and trend</t>
  </si>
  <si>
    <t>Participação de mercado
(Receitas): valor e tendência</t>
  </si>
  <si>
    <t>Market Share 
(revenues): value and trend</t>
  </si>
  <si>
    <t>Verifique seus dados</t>
  </si>
  <si>
    <t>Verify your data</t>
  </si>
  <si>
    <t>Sua empresa</t>
  </si>
  <si>
    <t>Your company</t>
  </si>
  <si>
    <t>Concorrentes</t>
  </si>
  <si>
    <t>Competitors</t>
  </si>
  <si>
    <t>Análise de preços e custos da competição</t>
  </si>
  <si>
    <t>Price and costs Competitor Analysis</t>
  </si>
  <si>
    <t>Receitas de mercado: valor e tendência</t>
  </si>
  <si>
    <t>Market Revenues: value and trend</t>
  </si>
  <si>
    <t>Margem Bruta</t>
  </si>
  <si>
    <t>Gross Profit</t>
  </si>
  <si>
    <t>Despesas totais de marketing e vendas</t>
  </si>
  <si>
    <t>EBITDA.</t>
  </si>
  <si>
    <t>EBITDA</t>
  </si>
  <si>
    <t>Impostos (D)</t>
  </si>
  <si>
    <t>Taxes (D)</t>
  </si>
  <si>
    <t>Juros (despesas ou retornos) (c / d)</t>
  </si>
  <si>
    <t>Interest (Expenses or Returns) (C/D)</t>
  </si>
  <si>
    <t>Parcela dos parceiros (D)</t>
  </si>
  <si>
    <t>Partner Shares (D)</t>
  </si>
  <si>
    <t>Lucro Líquido (EBITDA após parceiros, impostos e juros)</t>
  </si>
  <si>
    <t>Net Income (EBITDA after partners, taxes and interest)</t>
  </si>
  <si>
    <t>Contribuição líquida de marketing</t>
  </si>
  <si>
    <t>Net Marketing Contribution</t>
  </si>
  <si>
    <t>Dados Financeiros (em milhares de U$)</t>
  </si>
  <si>
    <t>Financial Data (in U$ thousands)</t>
  </si>
  <si>
    <t>Performance Financeira e de Marketing</t>
  </si>
  <si>
    <t>Marketing and Finance Performance</t>
  </si>
  <si>
    <t>Retorno sobre o investimento</t>
  </si>
  <si>
    <t>Return on Investment</t>
  </si>
  <si>
    <t>Retorno sobre as vendas</t>
  </si>
  <si>
    <t>Evolução financeira (milhões)</t>
  </si>
  <si>
    <t>Financial Evolution (millions)</t>
  </si>
  <si>
    <t>Estrutura de custos</t>
  </si>
  <si>
    <t>Cost Structure</t>
  </si>
  <si>
    <t>Custo</t>
  </si>
  <si>
    <t>Cost</t>
  </si>
  <si>
    <t>Margem</t>
  </si>
  <si>
    <t>Preço</t>
  </si>
  <si>
    <t>Price</t>
  </si>
  <si>
    <t>Margem Bruta [MB = RV-CMV]</t>
  </si>
  <si>
    <t>Todos os custos</t>
  </si>
  <si>
    <t>All Costs</t>
  </si>
  <si>
    <t>Fluxo de caixa</t>
  </si>
  <si>
    <t xml:space="preserve">. Seu investimento máximo em marketing e vendas nesta rodada é </t>
  </si>
  <si>
    <t xml:space="preserve">. Your maximum MSE investment this round is </t>
  </si>
  <si>
    <t>Participação de mercado (receitas)</t>
  </si>
  <si>
    <t>Market Share (Revenues)</t>
  </si>
  <si>
    <t>Soluções &amp; Inteligência em Data Analytics</t>
  </si>
  <si>
    <t>​Solutions &amp; Intelligence in ​​Data Analytics</t>
  </si>
  <si>
    <t>bit.ly/be-global-game</t>
  </si>
  <si>
    <t>Total Marketing &amp; Sales Expenditures</t>
  </si>
  <si>
    <t>MSE Expenses per capita</t>
  </si>
  <si>
    <t>Cost of Products Sold</t>
  </si>
  <si>
    <t>Net profit (before interest)</t>
  </si>
  <si>
    <t>Country/País</t>
  </si>
  <si>
    <t>Region/Região</t>
  </si>
  <si>
    <t>Population size (millions)</t>
  </si>
  <si>
    <t>Country Area (square KM/1.000)</t>
  </si>
  <si>
    <t>Select at least 5 countries to see the evolution of active users</t>
  </si>
  <si>
    <t>Column</t>
  </si>
  <si>
    <t>Total users</t>
  </si>
  <si>
    <t>Market Penetration</t>
  </si>
  <si>
    <t>Market Share (revenues)</t>
  </si>
  <si>
    <t>Total Population</t>
  </si>
  <si>
    <t>Number of rides (company)</t>
  </si>
  <si>
    <t>Total number of rides</t>
  </si>
  <si>
    <t>Sales Revenues (company)</t>
  </si>
  <si>
    <t>Dif. %</t>
  </si>
  <si>
    <t>Total Costs</t>
  </si>
  <si>
    <t>Marketing ROS</t>
  </si>
  <si>
    <t>Marketing ROI</t>
  </si>
  <si>
    <t>H/M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</si>
  <si>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</si>
  <si>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</si>
  <si>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</si>
  <si>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</si>
  <si>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</si>
  <si>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</si>
  <si>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</si>
  <si>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</si>
  <si>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</si>
  <si>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NMC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</si>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</sst>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164" formatCode="_-&quot;R$&quot;\ * #,##0.00_-;\-&quot;R$&quot;\ * #,##0.00_-;_-&quot;R$&quot;\ * &quot;-&quot;??_-;_-@_-"/>
    <numFmt numFmtId="165" formatCode="_-* #,##0.00_-;\-* #,##0.00_-;_-* &quot;-&quot;??_-;_-@_-"/>
    <numFmt numFmtId="166" formatCode="0.0%"/>
    <numFmt numFmtId="167" formatCode="_-* #,##0.0_-;\-* #,##0.0_-;_-* &quot;-&quot;??_-;_-@_-"/>
    <numFmt numFmtId="168" formatCode="_-* #,##0_-;\-* #,##0_-;_-* &quot;-&quot;??_-;_-@_-"/>
    <numFmt numFmtId="169" formatCode="0.0"/>
    <numFmt numFmtId="170" formatCode="_-[$$-409]* #,##0.0_ ;_-[$$-409]* \-#,##0.0\ ;_-[$$-409]* &quot;-&quot;??_ ;_-@_ "/>
    <numFmt numFmtId="171" formatCode="_-[$$-409]* #,##0_ ;_-[$$-409]* \-#,##0\ ;_-[$$-409]* &quot;-&quot;??_ ;_-@_ "/>
    <numFmt numFmtId="172" formatCode="_-[$$-409]* #,##0.00_ ;_-[$$-409]* \-#,##0.00\ ;_-[$$-409]* &quot;-&quot;??_ ;_-@_ "/>
    <numFmt numFmtId="173" formatCode="_-* #,##0.000_-;\-* #,##0.000_-;_-* &quot;-&quot;??_-;_-@_-"/>
    <numFmt numFmtId="174" formatCode="[$$-409]#,##0.00"/>
    <numFmt numFmtId="175" formatCode="[$$-409]#,##0"/>
    <numFmt numFmtId="176" formatCode="_-&quot;R$&quot;\ * #,##0_-;\-&quot;R$&quot;\ * #,##0_-;_-&quot;R$&quot;\ * &quot;-&quot;??_-;_-@_-"/>
    <numFmt numFmtId="177" formatCode="[$$-409]#,##0.000"/>
    <numFmt numFmtId="178" formatCode="#,###,###"/>
    <numFmt numFmtId="179" formatCode="_-[$$-409]* #,##0.0000_ ;_-[$$-409]* \-#,##0.0000\ ;_-[$$-409]* &quot;-&quot;??_ ;_-@_ "/>
    <numFmt numFmtId="180" formatCode="#,###,###.0"/>
    <numFmt numFmtId="181" formatCode="\+0#"/>
    <numFmt numFmtId="182" formatCode="\$\ \ ##.##"/>
    <numFmt numFmtId="183" formatCode="0.000"/>
    <numFmt numFmtId="184" formatCode="0.000000"/>
    <numFmt numFmtId="185" formatCode="_-[$$-409]* #,##0.00_ ;_-[$$-409]* \-#,##0.00\ ;_-[$$-409]* &quot;-&quot;??????_ ;_-@_ "/>
    <numFmt numFmtId="186" formatCode="_-* #,##0.00000_-;\-* #,##0.00000_-;_-* &quot;-&quot;??_-;_-@_-"/>
    <numFmt numFmtId="187" formatCode="\$\ \ ##.#0"/>
    <numFmt numFmtId="188" formatCode="[$$-409]#,##0_ ;\-[$$-409]#,##0\ "/>
    <numFmt numFmtId="189" formatCode="0000"/>
    <numFmt numFmtId="190" formatCode="_-* #,##0,_-;\-* #,##0,_-;_-* &quot;-&quot;??_-;_-@_-"/>
    <numFmt numFmtId="191" formatCode="#,###,###,"/>
    <numFmt numFmtId="192" formatCode="#,000,"/>
    <numFmt numFmtId="193" formatCode="#,000.0,"/>
    <numFmt numFmtId="194" formatCode="_-[$$-409]* #,##0,_ ;_-[$$-409]* \-#,##0,\ ;_-[$$-409]* &quot;-&quot;_ ;_-@_ "/>
    <numFmt numFmtId="195" formatCode="\$\ #,##0,;[Red]\-\$\ #,##0,"/>
    <numFmt numFmtId="196" formatCode="0.0,,"/>
    <numFmt numFmtId="197" formatCode="\$\ #,##0,,;[Red]\-\$\ #,##0,,"/>
    <numFmt numFmtId="198" formatCode="\+0.0"/>
    <numFmt numFmtId="199" formatCode="#,###,###.00"/>
    <numFmt numFmtId="200" formatCode="#,##0.0,"/>
    <numFmt numFmtId="201" formatCode="_-[$$-409]* #,##0.000_ ;_-[$$-409]* \-#,##0.000\ ;_-[$$-409]* &quot;-&quot;??_ ;_-@_ "/>
    <numFmt numFmtId="202" formatCode="_-* #,##0.0,,_-;\-* #,##0.0,,_-;_-* &quot;-&quot;??_-;_-@_-"/>
    <numFmt numFmtId="203" formatCode="_-* #,##0.00,,_-;\-* #,##0.00,,_-;_-* &quot;-&quot;??_-;_-@_-"/>
    <numFmt numFmtId="204" formatCode="_-[$$-409]* #,##0.00,,_ ;_-[$$-409]* \-#,##0.00,,\ ;_-[$$-409]* &quot;-&quot;??_ ;_-@_ "/>
    <numFmt numFmtId="205" formatCode="_-[$$-409]* #,##0.00,,,_ ;_-[$$-409]* \-#,##0.00,,,\ ;_-[$$-409]* &quot;-&quot;??_ ;_-@_ "/>
    <numFmt numFmtId="206" formatCode="_-* #,##0.0,,,_-;\-* #,##0.0,,,_-;_-* &quot;-&quot;??_-;_-@_-"/>
    <numFmt numFmtId="207" formatCode="#,##0,_ ;\-#,##0,"/>
    <numFmt numFmtId="208" formatCode="_-[$$-409]* #,##0_ ;_-[$$-409]* \-#,##0\ ;_-[$$-409]* &quot;-&quot;_ ;_-@_ "/>
    <numFmt numFmtId="209" formatCode="[$$-409]#,##0,"/>
    <numFmt numFmtId="210" formatCode="\$\ #,##0,"/>
    <numFmt numFmtId="211" formatCode="\$\ 0,000,"/>
  </numFmts>
  <fonts count="8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entury Gothic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theme="1"/>
      <name val="Century Gothic"/>
      <family val="2"/>
    </font>
    <font>
      <b/>
      <sz val="14"/>
      <name val="Century Gothic"/>
      <family val="2"/>
    </font>
    <font>
      <sz val="14"/>
      <color theme="1"/>
      <name val="Century Gothic"/>
      <family val="2"/>
    </font>
    <font>
      <b/>
      <sz val="22"/>
      <color theme="0"/>
      <name val="Century Gothic"/>
      <family val="2"/>
    </font>
    <font>
      <sz val="22"/>
      <color theme="1"/>
      <name val="Century Gothic"/>
      <family val="2"/>
    </font>
    <font>
      <sz val="42"/>
      <color theme="0"/>
      <name val="Century Gothic"/>
      <family val="2"/>
    </font>
    <font>
      <b/>
      <sz val="32"/>
      <color theme="0"/>
      <name val="Century Gothic"/>
      <family val="2"/>
    </font>
    <font>
      <b/>
      <sz val="20"/>
      <name val="Century Gothic"/>
      <family val="2"/>
    </font>
    <font>
      <sz val="20"/>
      <color theme="1"/>
      <name val="Century Gothic"/>
      <family val="2"/>
    </font>
    <font>
      <b/>
      <sz val="16"/>
      <name val="Century Gothic"/>
      <family val="2"/>
    </font>
    <font>
      <b/>
      <sz val="16"/>
      <color theme="2" tint="-0.499984740745262"/>
      <name val="Century Gothic"/>
      <family val="2"/>
    </font>
    <font>
      <b/>
      <sz val="16"/>
      <color rgb="FF00B050"/>
      <name val="Century Gothic"/>
      <family val="2"/>
    </font>
    <font>
      <sz val="14"/>
      <color rgb="FF00B050"/>
      <name val="Century Gothic"/>
      <family val="2"/>
    </font>
    <font>
      <sz val="14"/>
      <color theme="5"/>
      <name val="Century Gothic"/>
      <family val="2"/>
    </font>
    <font>
      <sz val="14"/>
      <color theme="2" tint="-0.749992370372631"/>
      <name val="Century Gothic"/>
      <family val="2"/>
    </font>
    <font>
      <b/>
      <sz val="16"/>
      <color theme="5" tint="-0.249977111117893"/>
      <name val="Century Gothic"/>
      <family val="2"/>
    </font>
    <font>
      <b/>
      <sz val="14"/>
      <color theme="5" tint="-0.249977111117893"/>
      <name val="Century Gothic"/>
      <family val="2"/>
    </font>
    <font>
      <b/>
      <sz val="14"/>
      <color theme="2" tint="-0.749992370372631"/>
      <name val="Century Gothic"/>
      <family val="2"/>
    </font>
    <font>
      <b/>
      <sz val="14"/>
      <color rgb="FF00B050"/>
      <name val="Century Gothic"/>
      <family val="2"/>
    </font>
    <font>
      <b/>
      <sz val="26"/>
      <color theme="0"/>
      <name val="Century Gothic"/>
      <family val="2"/>
    </font>
    <font>
      <sz val="26"/>
      <color theme="1"/>
      <name val="Century Gothic"/>
      <family val="2"/>
    </font>
    <font>
      <b/>
      <sz val="20"/>
      <color theme="0"/>
      <name val="Century Gothic"/>
      <family val="2"/>
    </font>
    <font>
      <b/>
      <i/>
      <sz val="18"/>
      <color theme="1"/>
      <name val="Century Gothic"/>
      <family val="2"/>
    </font>
    <font>
      <sz val="12"/>
      <color theme="1"/>
      <name val="Century Gothic"/>
      <family val="2"/>
    </font>
    <font>
      <b/>
      <sz val="12"/>
      <color theme="0"/>
      <name val="Century Gothic"/>
      <family val="2"/>
    </font>
    <font>
      <b/>
      <sz val="10"/>
      <color theme="0"/>
      <name val="Century Gothic"/>
      <family val="2"/>
    </font>
    <font>
      <sz val="12"/>
      <color theme="0" tint="-0.499984740745262"/>
      <name val="Century Gothic"/>
      <family val="2"/>
    </font>
    <font>
      <sz val="11"/>
      <color theme="0" tint="-0.499984740745262"/>
      <name val="Calibri"/>
      <family val="2"/>
      <scheme val="minor"/>
    </font>
    <font>
      <b/>
      <sz val="18"/>
      <color theme="1"/>
      <name val="Century Gothic"/>
      <family val="2"/>
    </font>
    <font>
      <b/>
      <sz val="20"/>
      <color theme="1"/>
      <name val="Century Gothic"/>
      <family val="2"/>
    </font>
    <font>
      <b/>
      <sz val="14"/>
      <color theme="5"/>
      <name val="Century Gothic"/>
      <family val="2"/>
    </font>
    <font>
      <b/>
      <sz val="11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4"/>
      <color theme="0"/>
      <name val="Century Gothic"/>
      <family val="2"/>
    </font>
    <font>
      <sz val="18"/>
      <color theme="1"/>
      <name val="Century Gothic"/>
      <family val="2"/>
    </font>
    <font>
      <b/>
      <sz val="16"/>
      <color theme="1"/>
      <name val="Century Gothic"/>
      <family val="2"/>
    </font>
    <font>
      <sz val="14"/>
      <color theme="0"/>
      <name val="Century Gothic"/>
      <family val="2"/>
    </font>
    <font>
      <b/>
      <sz val="11"/>
      <color theme="0"/>
      <name val="Century Gothic"/>
      <family val="2"/>
    </font>
    <font>
      <b/>
      <sz val="13"/>
      <color theme="0"/>
      <name val="Century Gothic"/>
      <family val="2"/>
    </font>
    <font>
      <b/>
      <sz val="24"/>
      <color theme="0"/>
      <name val="Century Gothic"/>
      <family val="2"/>
    </font>
    <font>
      <sz val="11"/>
      <color theme="2"/>
      <name val="Calibri"/>
      <family val="2"/>
      <scheme val="minor"/>
    </font>
    <font>
      <sz val="18"/>
      <color theme="2"/>
      <name val="Century Gothic"/>
      <family val="2"/>
    </font>
    <font>
      <b/>
      <sz val="30"/>
      <color theme="0"/>
      <name val="Century Gothic"/>
      <family val="2"/>
    </font>
    <font>
      <b/>
      <i/>
      <sz val="14"/>
      <color rgb="FFFF0000"/>
      <name val="Century Gothic"/>
      <family val="2"/>
    </font>
    <font>
      <sz val="14"/>
      <color rgb="FFFF0000"/>
      <name val="Century Gothic"/>
      <family val="2"/>
    </font>
    <font>
      <sz val="11"/>
      <name val="Calibri"/>
      <family val="2"/>
      <scheme val="minor"/>
    </font>
    <font>
      <b/>
      <sz val="16"/>
      <color theme="0"/>
      <name val="Century Gothic"/>
      <family val="2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2"/>
      <name val="Century Gothic"/>
      <family val="2"/>
    </font>
    <font>
      <sz val="14"/>
      <color theme="2"/>
      <name val="Calibri"/>
      <family val="2"/>
      <scheme val="minor"/>
    </font>
    <font>
      <sz val="14"/>
      <color theme="2"/>
      <name val="Century Gothic"/>
      <family val="2"/>
    </font>
    <font>
      <b/>
      <sz val="16"/>
      <color theme="2"/>
      <name val="Century Gothic"/>
      <family val="2"/>
    </font>
    <font>
      <b/>
      <sz val="11"/>
      <color theme="1"/>
      <name val="Century Gothic"/>
      <family val="2"/>
    </font>
    <font>
      <b/>
      <sz val="22"/>
      <color theme="1"/>
      <name val="Century Gothic"/>
      <family val="2"/>
    </font>
    <font>
      <b/>
      <sz val="14"/>
      <color theme="1" tint="0.249977111117893"/>
      <name val="Century Gothic"/>
      <family val="2"/>
    </font>
    <font>
      <sz val="13"/>
      <color theme="1"/>
      <name val="Century Gothic"/>
      <family val="2"/>
    </font>
    <font>
      <sz val="22"/>
      <name val="Century Gothic"/>
      <family val="2"/>
    </font>
    <font>
      <sz val="13.5"/>
      <color theme="1"/>
      <name val="Century Gothic"/>
      <family val="2"/>
    </font>
    <font>
      <b/>
      <sz val="11"/>
      <color rgb="FFFF0000"/>
      <name val="Calibri"/>
      <family val="2"/>
      <scheme val="minor"/>
    </font>
    <font>
      <b/>
      <sz val="16"/>
      <color rgb="FFFF0000"/>
      <name val="Century Gothic"/>
      <family val="2"/>
    </font>
    <font>
      <u/>
      <sz val="11"/>
      <color theme="10"/>
      <name val="Calibri"/>
      <family val="2"/>
      <scheme val="minor"/>
    </font>
    <font>
      <sz val="18"/>
      <color theme="0"/>
      <name val="Century Gothic"/>
      <family val="2"/>
    </font>
    <font>
      <u/>
      <sz val="18"/>
      <color theme="0"/>
      <name val="Calibri"/>
      <family val="2"/>
      <scheme val="minor"/>
    </font>
    <font>
      <sz val="32"/>
      <color theme="1"/>
      <name val="Century Gothic"/>
      <family val="2"/>
    </font>
    <font>
      <sz val="10"/>
      <color theme="1"/>
      <name val="Century Gothic"/>
      <family val="2"/>
    </font>
    <font>
      <sz val="11"/>
      <color rgb="FFFF0000"/>
      <name val="Calibri"/>
      <family val="2"/>
      <scheme val="minor"/>
    </font>
    <font>
      <sz val="12"/>
      <name val="Century Gothic"/>
      <family val="2"/>
    </font>
    <font>
      <sz val="12"/>
      <color theme="0"/>
      <name val="Century Gothic"/>
      <family val="2"/>
    </font>
    <font>
      <sz val="8"/>
      <name val="Calibri"/>
      <family val="2"/>
      <scheme val="minor"/>
    </font>
    <font>
      <b/>
      <sz val="18"/>
      <color theme="0"/>
      <name val="Century Gothic"/>
      <family val="2"/>
    </font>
    <font>
      <b/>
      <sz val="32"/>
      <color theme="1"/>
      <name val="Century Gothic"/>
      <family val="2"/>
    </font>
    <font>
      <b/>
      <sz val="13"/>
      <color theme="1" tint="0.249977111117893"/>
      <name val="Century Gothic"/>
      <family val="2"/>
    </font>
    <font>
      <b/>
      <sz val="10"/>
      <color theme="1"/>
      <name val="Century Gothic"/>
      <family val="2"/>
    </font>
    <font>
      <sz val="11"/>
      <color theme="0"/>
      <name val="Century Gothic"/>
      <family val="2"/>
    </font>
    <font>
      <sz val="18"/>
      <color rgb="FFFF0000"/>
      <name val="Century Gothic"/>
      <family val="2"/>
    </font>
    <font>
      <b/>
      <sz val="14"/>
      <color theme="3" tint="0.79998168889431442"/>
      <name val="Century Gothic"/>
      <family val="2"/>
    </font>
    <font>
      <sz val="14"/>
      <color theme="3"/>
      <name val="Century Gothic"/>
      <family val="2"/>
    </font>
  </fonts>
  <fills count="5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DF6F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7"/>
        <bgColor theme="6"/>
      </patternFill>
    </fill>
    <fill>
      <patternFill patternType="solid">
        <fgColor theme="4"/>
        <bgColor theme="6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9" fillId="0" borderId="0" applyNumberFormat="0" applyFill="0" applyBorder="0" applyAlignment="0" applyProtection="0"/>
  </cellStyleXfs>
  <cellXfs count="93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6" fontId="0" fillId="0" borderId="0" xfId="3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9" fontId="0" fillId="0" borderId="0" xfId="3" applyFont="1"/>
    <xf numFmtId="165" fontId="0" fillId="0" borderId="0" xfId="1" applyFont="1"/>
    <xf numFmtId="168" fontId="0" fillId="0" borderId="0" xfId="1" applyNumberFormat="1" applyFont="1"/>
    <xf numFmtId="0" fontId="2" fillId="4" borderId="0" xfId="0" applyFont="1" applyFill="1" applyAlignment="1">
      <alignment horizontal="left" vertical="center" textRotation="90" wrapText="1"/>
    </xf>
    <xf numFmtId="0" fontId="2" fillId="4" borderId="0" xfId="0" applyFont="1" applyFill="1" applyAlignment="1">
      <alignment horizontal="center" vertical="center" textRotation="90" wrapText="1"/>
    </xf>
    <xf numFmtId="0" fontId="0" fillId="0" borderId="0" xfId="0" applyAlignment="1">
      <alignment horizontal="center" vertical="center" textRotation="90" wrapText="1"/>
    </xf>
    <xf numFmtId="0" fontId="2" fillId="4" borderId="0" xfId="0" applyFont="1" applyFill="1" applyAlignment="1">
      <alignment horizontal="left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7" fontId="0" fillId="0" borderId="0" xfId="1" applyNumberFormat="1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4" fontId="0" fillId="0" borderId="0" xfId="2" applyFont="1"/>
    <xf numFmtId="170" fontId="0" fillId="0" borderId="0" xfId="1" applyNumberFormat="1" applyFont="1"/>
    <xf numFmtId="170" fontId="0" fillId="0" borderId="0" xfId="2" applyNumberFormat="1" applyFont="1"/>
    <xf numFmtId="171" fontId="0" fillId="0" borderId="0" xfId="1" applyNumberFormat="1" applyFont="1"/>
    <xf numFmtId="172" fontId="0" fillId="0" borderId="0" xfId="0" applyNumberFormat="1"/>
    <xf numFmtId="165" fontId="0" fillId="0" borderId="0" xfId="1" applyFont="1" applyAlignment="1">
      <alignment horizontal="center" vertical="center" wrapText="1"/>
    </xf>
    <xf numFmtId="165" fontId="0" fillId="4" borderId="0" xfId="1" applyFont="1" applyFill="1"/>
    <xf numFmtId="2" fontId="0" fillId="0" borderId="0" xfId="1" applyNumberFormat="1" applyFont="1"/>
    <xf numFmtId="2" fontId="0" fillId="4" borderId="0" xfId="1" applyNumberFormat="1" applyFont="1" applyFill="1"/>
    <xf numFmtId="0" fontId="4" fillId="0" borderId="0" xfId="0" applyFont="1" applyAlignment="1">
      <alignment horizontal="center" vertical="center" wrapText="1"/>
    </xf>
    <xf numFmtId="173" fontId="0" fillId="0" borderId="0" xfId="1" applyNumberFormat="1" applyFont="1" applyAlignment="1">
      <alignment horizontal="center"/>
    </xf>
    <xf numFmtId="9" fontId="0" fillId="0" borderId="0" xfId="3" applyFont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 vertical="center" wrapText="1"/>
    </xf>
    <xf numFmtId="171" fontId="0" fillId="0" borderId="0" xfId="0" applyNumberFormat="1"/>
    <xf numFmtId="176" fontId="0" fillId="0" borderId="0" xfId="2" applyNumberFormat="1" applyFont="1"/>
    <xf numFmtId="9" fontId="0" fillId="0" borderId="0" xfId="0" applyNumberFormat="1"/>
    <xf numFmtId="0" fontId="11" fillId="0" borderId="0" xfId="0" applyFont="1" applyAlignment="1">
      <alignment horizontal="center" vertical="center" wrapText="1"/>
    </xf>
    <xf numFmtId="0" fontId="11" fillId="0" borderId="0" xfId="0" applyFont="1"/>
    <xf numFmtId="0" fontId="9" fillId="0" borderId="0" xfId="0" applyFont="1"/>
    <xf numFmtId="0" fontId="9" fillId="20" borderId="0" xfId="0" applyFont="1" applyFill="1"/>
    <xf numFmtId="0" fontId="9" fillId="20" borderId="0" xfId="0" applyFont="1" applyFill="1" applyAlignment="1">
      <alignment horizontal="center" vertical="center" wrapText="1"/>
    </xf>
    <xf numFmtId="0" fontId="15" fillId="20" borderId="0" xfId="0" applyFont="1" applyFill="1"/>
    <xf numFmtId="0" fontId="15" fillId="20" borderId="0" xfId="0" applyFont="1" applyFill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/>
    <xf numFmtId="0" fontId="27" fillId="0" borderId="0" xfId="0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/>
    <xf numFmtId="0" fontId="30" fillId="0" borderId="0" xfId="0" applyFont="1"/>
    <xf numFmtId="0" fontId="30" fillId="0" borderId="1" xfId="0" applyFont="1" applyBorder="1" applyAlignment="1">
      <alignment horizontal="center" vertical="center" wrapText="1"/>
    </xf>
    <xf numFmtId="0" fontId="30" fillId="6" borderId="1" xfId="0" applyFont="1" applyFill="1" applyBorder="1" applyAlignment="1" applyProtection="1">
      <alignment horizontal="left" vertical="center" shrinkToFit="1"/>
      <protection locked="0"/>
    </xf>
    <xf numFmtId="171" fontId="30" fillId="0" borderId="1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shrinkToFit="1"/>
    </xf>
    <xf numFmtId="0" fontId="30" fillId="0" borderId="0" xfId="0" applyFont="1" applyAlignment="1">
      <alignment horizontal="center"/>
    </xf>
    <xf numFmtId="0" fontId="31" fillId="23" borderId="0" xfId="0" applyFont="1" applyFill="1" applyAlignment="1">
      <alignment horizontal="center" vertical="center" wrapText="1"/>
    </xf>
    <xf numFmtId="0" fontId="31" fillId="23" borderId="0" xfId="0" applyFont="1" applyFill="1" applyAlignment="1">
      <alignment horizontal="center" vertical="center"/>
    </xf>
    <xf numFmtId="0" fontId="31" fillId="23" borderId="0" xfId="0" applyFont="1" applyFill="1" applyAlignment="1">
      <alignment horizontal="center" vertical="center" wrapText="1" shrinkToFit="1"/>
    </xf>
    <xf numFmtId="168" fontId="30" fillId="0" borderId="1" xfId="1" applyNumberFormat="1" applyFont="1" applyFill="1" applyBorder="1" applyAlignment="1">
      <alignment horizontal="center" vertical="center" shrinkToFit="1"/>
    </xf>
    <xf numFmtId="0" fontId="32" fillId="23" borderId="0" xfId="0" applyFont="1" applyFill="1" applyAlignment="1">
      <alignment horizontal="center" vertical="center" wrapText="1"/>
    </xf>
    <xf numFmtId="0" fontId="33" fillId="24" borderId="0" xfId="0" applyFont="1" applyFill="1" applyAlignment="1">
      <alignment horizontal="center"/>
    </xf>
    <xf numFmtId="0" fontId="34" fillId="24" borderId="0" xfId="0" applyFont="1" applyFill="1"/>
    <xf numFmtId="0" fontId="33" fillId="24" borderId="0" xfId="0" applyFont="1" applyFill="1"/>
    <xf numFmtId="0" fontId="28" fillId="10" borderId="7" xfId="0" applyFont="1" applyFill="1" applyBorder="1" applyAlignment="1">
      <alignment horizontal="left" vertical="center" wrapText="1"/>
    </xf>
    <xf numFmtId="0" fontId="28" fillId="10" borderId="0" xfId="0" applyFont="1" applyFill="1" applyAlignment="1">
      <alignment horizontal="left" vertical="center" wrapText="1"/>
    </xf>
    <xf numFmtId="0" fontId="28" fillId="10" borderId="0" xfId="0" applyFont="1" applyFill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168" fontId="9" fillId="0" borderId="0" xfId="1" applyNumberFormat="1" applyFont="1" applyBorder="1" applyAlignment="1">
      <alignment horizontal="center" vertical="center" wrapText="1"/>
    </xf>
    <xf numFmtId="168" fontId="9" fillId="0" borderId="8" xfId="1" applyNumberFormat="1" applyFont="1" applyBorder="1" applyAlignment="1">
      <alignment horizontal="center" vertical="center" wrapText="1"/>
    </xf>
    <xf numFmtId="10" fontId="9" fillId="0" borderId="0" xfId="3" applyNumberFormat="1" applyFont="1" applyBorder="1" applyAlignment="1">
      <alignment horizontal="center" vertical="center" wrapText="1"/>
    </xf>
    <xf numFmtId="10" fontId="9" fillId="0" borderId="8" xfId="3" applyNumberFormat="1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1" fontId="9" fillId="0" borderId="0" xfId="0" applyNumberFormat="1" applyFont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0" fontId="28" fillId="9" borderId="7" xfId="0" applyFont="1" applyFill="1" applyBorder="1" applyAlignment="1">
      <alignment horizontal="left" vertical="center" wrapText="1"/>
    </xf>
    <xf numFmtId="0" fontId="28" fillId="9" borderId="0" xfId="0" applyFont="1" applyFill="1" applyAlignment="1">
      <alignment horizontal="left" vertical="center" wrapText="1"/>
    </xf>
    <xf numFmtId="0" fontId="28" fillId="9" borderId="0" xfId="0" applyFont="1" applyFill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wrapText="1"/>
    </xf>
    <xf numFmtId="171" fontId="9" fillId="0" borderId="0" xfId="1" applyNumberFormat="1" applyFont="1" applyBorder="1" applyAlignment="1">
      <alignment horizontal="center" vertical="center" wrapText="1"/>
    </xf>
    <xf numFmtId="171" fontId="9" fillId="0" borderId="8" xfId="1" applyNumberFormat="1" applyFont="1" applyBorder="1" applyAlignment="1">
      <alignment horizontal="center" vertical="center" wrapText="1"/>
    </xf>
    <xf numFmtId="0" fontId="7" fillId="6" borderId="7" xfId="0" applyFont="1" applyFill="1" applyBorder="1" applyAlignment="1">
      <alignment horizontal="left" vertical="center" wrapText="1"/>
    </xf>
    <xf numFmtId="0" fontId="7" fillId="6" borderId="0" xfId="0" applyFont="1" applyFill="1" applyAlignment="1">
      <alignment horizontal="left" vertical="center" wrapText="1"/>
    </xf>
    <xf numFmtId="166" fontId="9" fillId="0" borderId="0" xfId="3" applyNumberFormat="1" applyFont="1" applyBorder="1" applyAlignment="1">
      <alignment horizontal="center" vertical="center" wrapText="1"/>
    </xf>
    <xf numFmtId="166" fontId="9" fillId="0" borderId="8" xfId="3" applyNumberFormat="1" applyFont="1" applyBorder="1" applyAlignment="1">
      <alignment horizontal="center" vertical="center" wrapText="1"/>
    </xf>
    <xf numFmtId="169" fontId="9" fillId="0" borderId="0" xfId="0" applyNumberFormat="1" applyFont="1" applyAlignment="1">
      <alignment horizontal="center" vertical="center" wrapText="1"/>
    </xf>
    <xf numFmtId="169" fontId="9" fillId="0" borderId="8" xfId="0" applyNumberFormat="1" applyFont="1" applyBorder="1" applyAlignment="1">
      <alignment horizontal="center" vertical="center" wrapText="1"/>
    </xf>
    <xf numFmtId="0" fontId="28" fillId="13" borderId="7" xfId="0" applyFont="1" applyFill="1" applyBorder="1" applyAlignment="1">
      <alignment horizontal="left" vertical="center" wrapText="1"/>
    </xf>
    <xf numFmtId="0" fontId="28" fillId="13" borderId="0" xfId="0" applyFont="1" applyFill="1" applyAlignment="1">
      <alignment horizontal="left" vertical="center" wrapText="1"/>
    </xf>
    <xf numFmtId="0" fontId="28" fillId="13" borderId="0" xfId="0" applyFont="1" applyFill="1" applyAlignment="1">
      <alignment horizontal="center" vertical="center" wrapText="1"/>
    </xf>
    <xf numFmtId="0" fontId="28" fillId="13" borderId="8" xfId="0" applyFont="1" applyFill="1" applyBorder="1" applyAlignment="1">
      <alignment horizontal="center" vertical="center" wrapText="1"/>
    </xf>
    <xf numFmtId="0" fontId="9" fillId="20" borderId="7" xfId="0" applyFont="1" applyFill="1" applyBorder="1" applyAlignment="1">
      <alignment horizontal="left" vertical="center" wrapText="1"/>
    </xf>
    <xf numFmtId="0" fontId="9" fillId="20" borderId="0" xfId="0" applyFont="1" applyFill="1" applyAlignment="1">
      <alignment horizontal="left" vertical="center" wrapText="1"/>
    </xf>
    <xf numFmtId="0" fontId="7" fillId="20" borderId="0" xfId="0" applyFont="1" applyFill="1" applyAlignment="1">
      <alignment horizontal="center" vertical="center" wrapText="1"/>
    </xf>
    <xf numFmtId="0" fontId="7" fillId="20" borderId="8" xfId="0" applyFont="1" applyFill="1" applyBorder="1" applyAlignment="1">
      <alignment horizontal="center" vertical="center" wrapText="1"/>
    </xf>
    <xf numFmtId="175" fontId="9" fillId="0" borderId="0" xfId="0" applyNumberFormat="1" applyFont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9" fillId="7" borderId="8" xfId="0" applyFont="1" applyFill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left" vertical="center" wrapText="1"/>
    </xf>
    <xf numFmtId="0" fontId="22" fillId="15" borderId="0" xfId="0" applyFont="1" applyFill="1" applyAlignment="1">
      <alignment horizontal="center" vertical="center" wrapText="1"/>
    </xf>
    <xf numFmtId="0" fontId="17" fillId="15" borderId="0" xfId="0" applyFont="1" applyFill="1" applyAlignment="1">
      <alignment horizontal="center" vertical="center" wrapText="1"/>
    </xf>
    <xf numFmtId="0" fontId="18" fillId="15" borderId="8" xfId="0" applyFont="1" applyFill="1" applyBorder="1" applyAlignment="1">
      <alignment horizontal="center" vertical="center" wrapText="1"/>
    </xf>
    <xf numFmtId="10" fontId="20" fillId="0" borderId="0" xfId="3" applyNumberFormat="1" applyFont="1" applyBorder="1" applyAlignment="1">
      <alignment horizontal="center" vertical="center" wrapText="1"/>
    </xf>
    <xf numFmtId="10" fontId="21" fillId="0" borderId="0" xfId="3" applyNumberFormat="1" applyFont="1" applyBorder="1" applyAlignment="1">
      <alignment horizontal="center" vertical="center" wrapText="1"/>
    </xf>
    <xf numFmtId="10" fontId="19" fillId="0" borderId="8" xfId="3" applyNumberFormat="1" applyFont="1" applyBorder="1" applyAlignment="1">
      <alignment horizontal="center" vertical="center" wrapText="1"/>
    </xf>
    <xf numFmtId="9" fontId="20" fillId="0" borderId="0" xfId="3" applyFont="1" applyBorder="1" applyAlignment="1">
      <alignment horizontal="center" vertical="center" wrapText="1"/>
    </xf>
    <xf numFmtId="9" fontId="21" fillId="0" borderId="0" xfId="3" applyFont="1" applyBorder="1" applyAlignment="1">
      <alignment horizontal="center" vertical="center" wrapText="1"/>
    </xf>
    <xf numFmtId="9" fontId="19" fillId="0" borderId="8" xfId="3" applyFont="1" applyBorder="1" applyAlignment="1">
      <alignment horizontal="center" vertical="center" wrapText="1"/>
    </xf>
    <xf numFmtId="0" fontId="23" fillId="8" borderId="0" xfId="0" applyFont="1" applyFill="1" applyAlignment="1">
      <alignment horizontal="center" vertical="center" wrapText="1"/>
    </xf>
    <xf numFmtId="0" fontId="24" fillId="8" borderId="0" xfId="0" applyFont="1" applyFill="1" applyAlignment="1">
      <alignment horizontal="center" vertical="center" wrapText="1"/>
    </xf>
    <xf numFmtId="0" fontId="25" fillId="8" borderId="8" xfId="0" applyFont="1" applyFill="1" applyBorder="1" applyAlignment="1">
      <alignment horizontal="center" vertical="center" wrapText="1"/>
    </xf>
    <xf numFmtId="0" fontId="29" fillId="11" borderId="0" xfId="0" applyFont="1" applyFill="1" applyAlignment="1">
      <alignment horizontal="right" vertical="center" wrapText="1"/>
    </xf>
    <xf numFmtId="0" fontId="9" fillId="11" borderId="0" xfId="0" applyFont="1" applyFill="1" applyAlignment="1">
      <alignment horizontal="left" vertical="center" wrapText="1"/>
    </xf>
    <xf numFmtId="0" fontId="9" fillId="11" borderId="0" xfId="0" applyFont="1" applyFill="1" applyAlignment="1">
      <alignment horizontal="left" vertical="center"/>
    </xf>
    <xf numFmtId="175" fontId="9" fillId="11" borderId="0" xfId="0" applyNumberFormat="1" applyFont="1" applyFill="1" applyAlignment="1">
      <alignment horizontal="center" vertical="center" wrapText="1"/>
    </xf>
    <xf numFmtId="0" fontId="9" fillId="11" borderId="0" xfId="0" applyFont="1" applyFill="1"/>
    <xf numFmtId="0" fontId="35" fillId="6" borderId="1" xfId="0" applyFont="1" applyFill="1" applyBorder="1" applyAlignment="1" applyProtection="1">
      <alignment horizontal="center" vertical="center" wrapText="1"/>
      <protection locked="0"/>
    </xf>
    <xf numFmtId="171" fontId="2" fillId="4" borderId="0" xfId="0" applyNumberFormat="1" applyFont="1" applyFill="1" applyAlignment="1">
      <alignment shrinkToFit="1"/>
    </xf>
    <xf numFmtId="0" fontId="2" fillId="4" borderId="0" xfId="1" applyNumberFormat="1" applyFont="1" applyFill="1" applyAlignment="1">
      <alignment horizontal="center" shrinkToFit="1"/>
    </xf>
    <xf numFmtId="171" fontId="0" fillId="0" borderId="0" xfId="0" applyNumberFormat="1" applyAlignment="1">
      <alignment shrinkToFit="1"/>
    </xf>
    <xf numFmtId="168" fontId="0" fillId="0" borderId="0" xfId="1" applyNumberFormat="1" applyFont="1" applyAlignment="1">
      <alignment shrinkToFit="1"/>
    </xf>
    <xf numFmtId="178" fontId="0" fillId="0" borderId="0" xfId="3" applyNumberFormat="1" applyFont="1" applyAlignment="1">
      <alignment horizontal="center" shrinkToFit="1"/>
    </xf>
    <xf numFmtId="10" fontId="0" fillId="0" borderId="0" xfId="3" applyNumberFormat="1" applyFont="1" applyAlignment="1">
      <alignment horizontal="center" shrinkToFit="1"/>
    </xf>
    <xf numFmtId="171" fontId="2" fillId="19" borderId="0" xfId="0" applyNumberFormat="1" applyFont="1" applyFill="1" applyAlignment="1">
      <alignment shrinkToFit="1"/>
    </xf>
    <xf numFmtId="0" fontId="2" fillId="19" borderId="0" xfId="1" applyNumberFormat="1" applyFont="1" applyFill="1" applyAlignment="1">
      <alignment horizontal="center" shrinkToFit="1"/>
    </xf>
    <xf numFmtId="171" fontId="0" fillId="0" borderId="0" xfId="3" applyNumberFormat="1" applyFont="1" applyAlignment="1">
      <alignment horizontal="center" shrinkToFit="1"/>
    </xf>
    <xf numFmtId="171" fontId="2" fillId="25" borderId="0" xfId="0" applyNumberFormat="1" applyFont="1" applyFill="1" applyAlignment="1">
      <alignment shrinkToFit="1"/>
    </xf>
    <xf numFmtId="0" fontId="0" fillId="0" borderId="0" xfId="1" applyNumberFormat="1" applyFont="1" applyAlignment="1">
      <alignment horizontal="center" shrinkToFit="1"/>
    </xf>
    <xf numFmtId="0" fontId="0" fillId="22" borderId="0" xfId="0" applyFill="1"/>
    <xf numFmtId="0" fontId="0" fillId="22" borderId="0" xfId="1" applyNumberFormat="1" applyFont="1" applyFill="1" applyAlignment="1">
      <alignment horizontal="center" shrinkToFit="1"/>
    </xf>
    <xf numFmtId="0" fontId="0" fillId="5" borderId="0" xfId="0" applyFill="1"/>
    <xf numFmtId="0" fontId="0" fillId="5" borderId="0" xfId="1" applyNumberFormat="1" applyFont="1" applyFill="1" applyAlignment="1">
      <alignment horizontal="center" shrinkToFit="1"/>
    </xf>
    <xf numFmtId="0" fontId="0" fillId="8" borderId="0" xfId="0" applyFill="1"/>
    <xf numFmtId="0" fontId="0" fillId="8" borderId="0" xfId="1" applyNumberFormat="1" applyFont="1" applyFill="1" applyAlignment="1">
      <alignment horizontal="center" shrinkToFit="1"/>
    </xf>
    <xf numFmtId="0" fontId="0" fillId="20" borderId="0" xfId="0" applyFill="1"/>
    <xf numFmtId="0" fontId="0" fillId="20" borderId="0" xfId="1" applyNumberFormat="1" applyFont="1" applyFill="1" applyAlignment="1">
      <alignment horizontal="center" shrinkToFit="1"/>
    </xf>
    <xf numFmtId="9" fontId="0" fillId="0" borderId="0" xfId="3" applyFont="1" applyAlignment="1">
      <alignment horizontal="center" shrinkToFit="1"/>
    </xf>
    <xf numFmtId="166" fontId="2" fillId="19" borderId="0" xfId="3" applyNumberFormat="1" applyFont="1" applyFill="1" applyAlignment="1">
      <alignment horizontal="center" shrinkToFit="1"/>
    </xf>
    <xf numFmtId="171" fontId="39" fillId="26" borderId="0" xfId="0" applyNumberFormat="1" applyFont="1" applyFill="1"/>
    <xf numFmtId="0" fontId="39" fillId="26" borderId="0" xfId="0" applyFont="1" applyFill="1"/>
    <xf numFmtId="0" fontId="38" fillId="12" borderId="0" xfId="0" applyFont="1" applyFill="1"/>
    <xf numFmtId="0" fontId="0" fillId="0" borderId="0" xfId="0" applyAlignment="1">
      <alignment wrapText="1"/>
    </xf>
    <xf numFmtId="171" fontId="0" fillId="28" borderId="14" xfId="0" applyNumberFormat="1" applyFill="1" applyBorder="1"/>
    <xf numFmtId="171" fontId="0" fillId="29" borderId="14" xfId="0" applyNumberFormat="1" applyFill="1" applyBorder="1"/>
    <xf numFmtId="171" fontId="0" fillId="29" borderId="16" xfId="0" applyNumberFormat="1" applyFill="1" applyBorder="1"/>
    <xf numFmtId="171" fontId="0" fillId="28" borderId="14" xfId="0" applyNumberFormat="1" applyFill="1" applyBorder="1" applyAlignment="1">
      <alignment shrinkToFit="1"/>
    </xf>
    <xf numFmtId="171" fontId="0" fillId="28" borderId="15" xfId="0" applyNumberFormat="1" applyFill="1" applyBorder="1" applyAlignment="1">
      <alignment shrinkToFit="1"/>
    </xf>
    <xf numFmtId="171" fontId="0" fillId="29" borderId="14" xfId="0" applyNumberFormat="1" applyFill="1" applyBorder="1" applyAlignment="1">
      <alignment shrinkToFit="1"/>
    </xf>
    <xf numFmtId="171" fontId="0" fillId="29" borderId="15" xfId="0" applyNumberFormat="1" applyFill="1" applyBorder="1" applyAlignment="1">
      <alignment shrinkToFit="1"/>
    </xf>
    <xf numFmtId="171" fontId="0" fillId="29" borderId="16" xfId="0" applyNumberFormat="1" applyFill="1" applyBorder="1" applyAlignment="1">
      <alignment shrinkToFit="1"/>
    </xf>
    <xf numFmtId="171" fontId="0" fillId="29" borderId="0" xfId="0" applyNumberFormat="1" applyFill="1" applyAlignment="1">
      <alignment shrinkToFit="1"/>
    </xf>
    <xf numFmtId="179" fontId="0" fillId="28" borderId="15" xfId="0" applyNumberFormat="1" applyFill="1" applyBorder="1" applyAlignment="1">
      <alignment shrinkToFit="1"/>
    </xf>
    <xf numFmtId="179" fontId="0" fillId="29" borderId="15" xfId="0" applyNumberFormat="1" applyFill="1" applyBorder="1" applyAlignment="1">
      <alignment shrinkToFit="1"/>
    </xf>
    <xf numFmtId="179" fontId="0" fillId="29" borderId="0" xfId="0" applyNumberFormat="1" applyFill="1" applyAlignment="1">
      <alignment shrinkToFit="1"/>
    </xf>
    <xf numFmtId="171" fontId="38" fillId="0" borderId="0" xfId="0" applyNumberFormat="1" applyFont="1" applyAlignment="1">
      <alignment horizontal="left" shrinkToFit="1"/>
    </xf>
    <xf numFmtId="0" fontId="40" fillId="0" borderId="0" xfId="0" applyFont="1"/>
    <xf numFmtId="0" fontId="38" fillId="0" borderId="0" xfId="0" applyFont="1"/>
    <xf numFmtId="171" fontId="38" fillId="30" borderId="0" xfId="0" applyNumberFormat="1" applyFont="1" applyFill="1"/>
    <xf numFmtId="0" fontId="38" fillId="30" borderId="0" xfId="0" applyFont="1" applyFill="1"/>
    <xf numFmtId="0" fontId="0" fillId="32" borderId="14" xfId="0" applyFill="1" applyBorder="1"/>
    <xf numFmtId="171" fontId="0" fillId="32" borderId="14" xfId="0" applyNumberFormat="1" applyFill="1" applyBorder="1"/>
    <xf numFmtId="171" fontId="0" fillId="32" borderId="14" xfId="0" applyNumberFormat="1" applyFill="1" applyBorder="1" applyAlignment="1">
      <alignment wrapText="1"/>
    </xf>
    <xf numFmtId="171" fontId="0" fillId="32" borderId="15" xfId="0" applyNumberFormat="1" applyFill="1" applyBorder="1" applyAlignment="1">
      <alignment wrapText="1"/>
    </xf>
    <xf numFmtId="0" fontId="0" fillId="33" borderId="14" xfId="0" applyFill="1" applyBorder="1"/>
    <xf numFmtId="171" fontId="0" fillId="33" borderId="14" xfId="0" applyNumberFormat="1" applyFill="1" applyBorder="1"/>
    <xf numFmtId="171" fontId="0" fillId="33" borderId="14" xfId="0" applyNumberFormat="1" applyFill="1" applyBorder="1" applyAlignment="1">
      <alignment wrapText="1"/>
    </xf>
    <xf numFmtId="171" fontId="0" fillId="33" borderId="15" xfId="0" applyNumberFormat="1" applyFill="1" applyBorder="1" applyAlignment="1">
      <alignment wrapText="1"/>
    </xf>
    <xf numFmtId="0" fontId="0" fillId="33" borderId="16" xfId="0" applyFill="1" applyBorder="1"/>
    <xf numFmtId="171" fontId="0" fillId="33" borderId="16" xfId="0" applyNumberFormat="1" applyFill="1" applyBorder="1"/>
    <xf numFmtId="171" fontId="0" fillId="33" borderId="16" xfId="0" applyNumberFormat="1" applyFill="1" applyBorder="1" applyAlignment="1">
      <alignment wrapText="1"/>
    </xf>
    <xf numFmtId="171" fontId="0" fillId="33" borderId="0" xfId="0" applyNumberFormat="1" applyFill="1" applyAlignment="1">
      <alignment wrapText="1"/>
    </xf>
    <xf numFmtId="0" fontId="2" fillId="27" borderId="12" xfId="0" applyFont="1" applyFill="1" applyBorder="1" applyAlignment="1">
      <alignment horizontal="center" vertical="center" wrapText="1"/>
    </xf>
    <xf numFmtId="0" fontId="2" fillId="27" borderId="13" xfId="0" applyFont="1" applyFill="1" applyBorder="1" applyAlignment="1">
      <alignment horizontal="center" vertical="center" wrapText="1"/>
    </xf>
    <xf numFmtId="0" fontId="2" fillId="31" borderId="12" xfId="0" applyFont="1" applyFill="1" applyBorder="1" applyAlignment="1">
      <alignment horizontal="center" vertical="center" wrapText="1"/>
    </xf>
    <xf numFmtId="0" fontId="2" fillId="27" borderId="12" xfId="0" applyFont="1" applyFill="1" applyBorder="1" applyAlignment="1">
      <alignment horizontal="center" vertical="center"/>
    </xf>
    <xf numFmtId="0" fontId="2" fillId="31" borderId="12" xfId="0" applyFont="1" applyFill="1" applyBorder="1" applyAlignment="1">
      <alignment horizontal="center" vertical="center"/>
    </xf>
    <xf numFmtId="0" fontId="2" fillId="31" borderId="13" xfId="0" applyFont="1" applyFill="1" applyBorder="1" applyAlignment="1">
      <alignment horizontal="center" vertical="center" wrapText="1"/>
    </xf>
    <xf numFmtId="0" fontId="4" fillId="0" borderId="0" xfId="0" applyFont="1"/>
    <xf numFmtId="0" fontId="42" fillId="0" borderId="0" xfId="0" applyFont="1"/>
    <xf numFmtId="0" fontId="2" fillId="25" borderId="0" xfId="1" applyNumberFormat="1" applyFont="1" applyFill="1" applyAlignment="1">
      <alignment shrinkToFit="1"/>
    </xf>
    <xf numFmtId="0" fontId="3" fillId="25" borderId="0" xfId="0" applyFont="1" applyFill="1"/>
    <xf numFmtId="178" fontId="0" fillId="0" borderId="0" xfId="0" applyNumberFormat="1"/>
    <xf numFmtId="0" fontId="9" fillId="35" borderId="0" xfId="0" applyFont="1" applyFill="1"/>
    <xf numFmtId="0" fontId="43" fillId="4" borderId="0" xfId="0" applyFont="1" applyFill="1"/>
    <xf numFmtId="0" fontId="41" fillId="4" borderId="0" xfId="0" applyFont="1" applyFill="1" applyAlignment="1">
      <alignment vertical="center" wrapText="1"/>
    </xf>
    <xf numFmtId="0" fontId="44" fillId="0" borderId="0" xfId="0" applyFont="1" applyAlignment="1">
      <alignment vertical="center" wrapText="1"/>
    </xf>
    <xf numFmtId="0" fontId="10" fillId="36" borderId="0" xfId="0" applyFont="1" applyFill="1"/>
    <xf numFmtId="0" fontId="10" fillId="19" borderId="0" xfId="0" applyFont="1" applyFill="1"/>
    <xf numFmtId="0" fontId="41" fillId="9" borderId="0" xfId="0" applyFont="1" applyFill="1" applyAlignment="1">
      <alignment vertical="center" wrapText="1"/>
    </xf>
    <xf numFmtId="0" fontId="41" fillId="9" borderId="0" xfId="0" applyFont="1" applyFill="1" applyAlignment="1">
      <alignment horizontal="center" vertical="center" wrapText="1"/>
    </xf>
    <xf numFmtId="0" fontId="9" fillId="8" borderId="0" xfId="0" applyFont="1" applyFill="1"/>
    <xf numFmtId="0" fontId="43" fillId="9" borderId="0" xfId="0" applyFont="1" applyFill="1"/>
    <xf numFmtId="171" fontId="9" fillId="0" borderId="0" xfId="0" applyNumberFormat="1" applyFont="1" applyAlignment="1">
      <alignment shrinkToFit="1"/>
    </xf>
    <xf numFmtId="171" fontId="9" fillId="8" borderId="0" xfId="0" applyNumberFormat="1" applyFont="1" applyFill="1" applyAlignment="1">
      <alignment shrinkToFit="1"/>
    </xf>
    <xf numFmtId="171" fontId="43" fillId="9" borderId="0" xfId="0" applyNumberFormat="1" applyFont="1" applyFill="1" applyAlignment="1">
      <alignment horizontal="center" vertical="center" shrinkToFit="1"/>
    </xf>
    <xf numFmtId="0" fontId="2" fillId="37" borderId="0" xfId="0" applyFont="1" applyFill="1" applyAlignment="1">
      <alignment horizontal="center"/>
    </xf>
    <xf numFmtId="0" fontId="2" fillId="37" borderId="0" xfId="0" applyFont="1" applyFill="1" applyAlignment="1">
      <alignment horizontal="center" vertical="center" wrapText="1"/>
    </xf>
    <xf numFmtId="0" fontId="2" fillId="13" borderId="0" xfId="0" applyFont="1" applyFill="1" applyAlignment="1">
      <alignment horizontal="center" vertical="center" wrapText="1"/>
    </xf>
    <xf numFmtId="0" fontId="2" fillId="13" borderId="0" xfId="0" applyFont="1" applyFill="1" applyAlignment="1">
      <alignment horizontal="center"/>
    </xf>
    <xf numFmtId="171" fontId="2" fillId="9" borderId="0" xfId="0" applyNumberFormat="1" applyFont="1" applyFill="1" applyAlignment="1">
      <alignment shrinkToFit="1"/>
    </xf>
    <xf numFmtId="9" fontId="2" fillId="9" borderId="0" xfId="3" applyFont="1" applyFill="1" applyAlignment="1">
      <alignment shrinkToFit="1"/>
    </xf>
    <xf numFmtId="171" fontId="0" fillId="7" borderId="0" xfId="0" applyNumberFormat="1" applyFill="1" applyAlignment="1">
      <alignment shrinkToFit="1"/>
    </xf>
    <xf numFmtId="171" fontId="0" fillId="0" borderId="0" xfId="3" applyNumberFormat="1" applyFont="1" applyAlignment="1">
      <alignment shrinkToFit="1"/>
    </xf>
    <xf numFmtId="171" fontId="0" fillId="7" borderId="0" xfId="3" applyNumberFormat="1" applyFont="1" applyFill="1" applyAlignment="1">
      <alignment shrinkToFit="1"/>
    </xf>
    <xf numFmtId="10" fontId="0" fillId="0" borderId="0" xfId="3" applyNumberFormat="1" applyFont="1" applyAlignment="1">
      <alignment shrinkToFit="1"/>
    </xf>
    <xf numFmtId="171" fontId="2" fillId="16" borderId="0" xfId="0" applyNumberFormat="1" applyFont="1" applyFill="1" applyAlignment="1">
      <alignment shrinkToFit="1"/>
    </xf>
    <xf numFmtId="9" fontId="0" fillId="0" borderId="0" xfId="3" applyFont="1" applyAlignment="1">
      <alignment shrinkToFit="1"/>
    </xf>
    <xf numFmtId="0" fontId="45" fillId="34" borderId="0" xfId="0" applyFont="1" applyFill="1"/>
    <xf numFmtId="0" fontId="4" fillId="11" borderId="0" xfId="0" applyFont="1" applyFill="1" applyProtection="1">
      <protection locked="0"/>
    </xf>
    <xf numFmtId="0" fontId="4" fillId="22" borderId="0" xfId="0" applyFont="1" applyFill="1"/>
    <xf numFmtId="0" fontId="45" fillId="34" borderId="0" xfId="0" applyFont="1" applyFill="1" applyAlignment="1">
      <alignment horizontal="center"/>
    </xf>
    <xf numFmtId="0" fontId="4" fillId="11" borderId="0" xfId="0" applyFont="1" applyFill="1" applyAlignment="1" applyProtection="1">
      <alignment horizontal="center"/>
      <protection locked="0"/>
    </xf>
    <xf numFmtId="165" fontId="2" fillId="16" borderId="0" xfId="1" applyFont="1" applyFill="1" applyAlignment="1">
      <alignment shrinkToFit="1"/>
    </xf>
    <xf numFmtId="0" fontId="2" fillId="37" borderId="0" xfId="0" applyFont="1" applyFill="1" applyAlignment="1">
      <alignment horizontal="left" vertical="center" wrapText="1"/>
    </xf>
    <xf numFmtId="0" fontId="0" fillId="13" borderId="0" xfId="0" applyFill="1"/>
    <xf numFmtId="9" fontId="9" fillId="0" borderId="0" xfId="3" applyFont="1" applyAlignment="1">
      <alignment shrinkToFit="1"/>
    </xf>
    <xf numFmtId="171" fontId="42" fillId="0" borderId="0" xfId="0" applyNumberFormat="1" applyFont="1"/>
    <xf numFmtId="0" fontId="45" fillId="9" borderId="0" xfId="0" applyFont="1" applyFill="1" applyAlignment="1">
      <alignment horizontal="center" vertical="center" wrapText="1"/>
    </xf>
    <xf numFmtId="0" fontId="32" fillId="9" borderId="0" xfId="0" applyFont="1" applyFill="1" applyAlignment="1">
      <alignment horizontal="center" vertical="center" wrapText="1"/>
    </xf>
    <xf numFmtId="0" fontId="41" fillId="16" borderId="0" xfId="0" applyFont="1" applyFill="1" applyAlignment="1">
      <alignment vertical="center" wrapText="1"/>
    </xf>
    <xf numFmtId="0" fontId="41" fillId="16" borderId="0" xfId="0" applyFont="1" applyFill="1" applyAlignment="1">
      <alignment horizontal="center" vertical="center" wrapText="1"/>
    </xf>
    <xf numFmtId="0" fontId="9" fillId="7" borderId="0" xfId="0" applyFont="1" applyFill="1"/>
    <xf numFmtId="9" fontId="9" fillId="7" borderId="0" xfId="3" applyFont="1" applyFill="1" applyAlignment="1">
      <alignment shrinkToFit="1"/>
    </xf>
    <xf numFmtId="0" fontId="43" fillId="16" borderId="0" xfId="0" applyFont="1" applyFill="1"/>
    <xf numFmtId="9" fontId="43" fillId="16" borderId="0" xfId="3" applyFont="1" applyFill="1" applyAlignment="1">
      <alignment horizontal="center" vertical="center" shrinkToFit="1"/>
    </xf>
    <xf numFmtId="168" fontId="43" fillId="16" borderId="0" xfId="1" applyNumberFormat="1" applyFont="1" applyFill="1" applyAlignment="1">
      <alignment horizontal="center" vertical="center" shrinkToFit="1"/>
    </xf>
    <xf numFmtId="9" fontId="9" fillId="0" borderId="0" xfId="3" applyFont="1" applyAlignment="1">
      <alignment horizontal="center" vertical="center" shrinkToFit="1"/>
    </xf>
    <xf numFmtId="168" fontId="9" fillId="0" borderId="0" xfId="1" applyNumberFormat="1" applyFont="1" applyAlignment="1">
      <alignment horizontal="center" vertical="center" shrinkToFit="1"/>
    </xf>
    <xf numFmtId="9" fontId="9" fillId="7" borderId="0" xfId="3" applyFont="1" applyFill="1" applyAlignment="1">
      <alignment horizontal="center" vertical="center" shrinkToFit="1"/>
    </xf>
    <xf numFmtId="168" fontId="9" fillId="7" borderId="0" xfId="1" applyNumberFormat="1" applyFont="1" applyFill="1" applyAlignment="1">
      <alignment horizontal="center" vertical="center" shrinkToFit="1"/>
    </xf>
    <xf numFmtId="0" fontId="46" fillId="4" borderId="0" xfId="0" applyFont="1" applyFill="1" applyAlignment="1">
      <alignment horizontal="center" vertical="center" wrapText="1"/>
    </xf>
    <xf numFmtId="0" fontId="48" fillId="11" borderId="0" xfId="0" applyFont="1" applyFill="1"/>
    <xf numFmtId="9" fontId="48" fillId="11" borderId="0" xfId="3" applyFont="1" applyFill="1"/>
    <xf numFmtId="0" fontId="49" fillId="11" borderId="0" xfId="0" applyFont="1" applyFill="1"/>
    <xf numFmtId="0" fontId="0" fillId="35" borderId="0" xfId="0" applyFill="1" applyAlignment="1">
      <alignment horizontal="center"/>
    </xf>
    <xf numFmtId="0" fontId="0" fillId="35" borderId="0" xfId="0" applyFill="1" applyAlignment="1">
      <alignment horizontal="center" shrinkToFit="1"/>
    </xf>
    <xf numFmtId="0" fontId="2" fillId="17" borderId="0" xfId="0" applyFont="1" applyFill="1" applyAlignment="1">
      <alignment horizontal="center"/>
    </xf>
    <xf numFmtId="172" fontId="0" fillId="35" borderId="0" xfId="0" applyNumberFormat="1" applyFill="1" applyAlignment="1">
      <alignment horizontal="center" shrinkToFit="1"/>
    </xf>
    <xf numFmtId="0" fontId="0" fillId="35" borderId="0" xfId="1" applyNumberFormat="1" applyFont="1" applyFill="1" applyAlignment="1">
      <alignment horizontal="center" shrinkToFit="1"/>
    </xf>
    <xf numFmtId="172" fontId="0" fillId="35" borderId="0" xfId="1" applyNumberFormat="1" applyFont="1" applyFill="1" applyAlignment="1">
      <alignment horizontal="center" shrinkToFit="1"/>
    </xf>
    <xf numFmtId="168" fontId="0" fillId="35" borderId="0" xfId="1" applyNumberFormat="1" applyFont="1" applyFill="1" applyAlignment="1">
      <alignment horizontal="center" shrinkToFit="1"/>
    </xf>
    <xf numFmtId="9" fontId="0" fillId="35" borderId="0" xfId="3" applyFont="1" applyFill="1" applyAlignment="1">
      <alignment horizontal="center" shrinkToFit="1"/>
    </xf>
    <xf numFmtId="171" fontId="2" fillId="34" borderId="0" xfId="0" applyNumberFormat="1" applyFont="1" applyFill="1" applyAlignment="1">
      <alignment horizontal="left" shrinkToFit="1"/>
    </xf>
    <xf numFmtId="0" fontId="4" fillId="0" borderId="0" xfId="0" applyFont="1" applyAlignment="1">
      <alignment horizontal="center"/>
    </xf>
    <xf numFmtId="0" fontId="4" fillId="22" borderId="0" xfId="0" applyFont="1" applyFill="1" applyAlignment="1">
      <alignment horizontal="center"/>
    </xf>
    <xf numFmtId="167" fontId="0" fillId="35" borderId="0" xfId="1" applyNumberFormat="1" applyFont="1" applyFill="1" applyAlignment="1">
      <alignment horizontal="center" vertical="center" shrinkToFit="1"/>
    </xf>
    <xf numFmtId="171" fontId="0" fillId="35" borderId="0" xfId="3" applyNumberFormat="1" applyFont="1" applyFill="1" applyAlignment="1">
      <alignment horizontal="center" shrinkToFit="1"/>
    </xf>
    <xf numFmtId="0" fontId="2" fillId="2" borderId="0" xfId="0" applyFont="1" applyFill="1" applyAlignment="1">
      <alignment horizontal="center" vertical="center" wrapText="1"/>
    </xf>
    <xf numFmtId="0" fontId="0" fillId="30" borderId="0" xfId="0" applyFill="1" applyAlignment="1">
      <alignment horizontal="center"/>
    </xf>
    <xf numFmtId="171" fontId="0" fillId="30" borderId="0" xfId="3" applyNumberFormat="1" applyFont="1" applyFill="1" applyAlignment="1">
      <alignment horizontal="center" shrinkToFit="1"/>
    </xf>
    <xf numFmtId="0" fontId="2" fillId="19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/>
    </xf>
    <xf numFmtId="171" fontId="0" fillId="8" borderId="0" xfId="3" applyNumberFormat="1" applyFont="1" applyFill="1" applyAlignment="1">
      <alignment horizontal="center" shrinkToFit="1"/>
    </xf>
    <xf numFmtId="0" fontId="2" fillId="16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/>
    </xf>
    <xf numFmtId="171" fontId="0" fillId="7" borderId="0" xfId="3" applyNumberFormat="1" applyFont="1" applyFill="1" applyAlignment="1">
      <alignment horizontal="center" shrinkToFit="1"/>
    </xf>
    <xf numFmtId="0" fontId="41" fillId="9" borderId="1" xfId="0" applyFont="1" applyFill="1" applyBorder="1" applyAlignment="1">
      <alignment horizontal="center" vertical="center" shrinkToFit="1"/>
    </xf>
    <xf numFmtId="172" fontId="9" fillId="0" borderId="1" xfId="0" applyNumberFormat="1" applyFont="1" applyBorder="1" applyAlignment="1">
      <alignment horizontal="center" vertical="center" shrinkToFit="1"/>
    </xf>
    <xf numFmtId="172" fontId="9" fillId="8" borderId="1" xfId="0" applyNumberFormat="1" applyFont="1" applyFill="1" applyBorder="1" applyAlignment="1">
      <alignment horizontal="center" vertical="center" shrinkToFit="1"/>
    </xf>
    <xf numFmtId="0" fontId="41" fillId="20" borderId="1" xfId="0" applyFont="1" applyFill="1" applyBorder="1" applyAlignment="1">
      <alignment horizontal="center" vertical="center" shrinkToFit="1"/>
    </xf>
    <xf numFmtId="166" fontId="9" fillId="0" borderId="1" xfId="3" applyNumberFormat="1" applyFont="1" applyBorder="1" applyAlignment="1">
      <alignment horizontal="center" vertical="center" shrinkToFit="1"/>
    </xf>
    <xf numFmtId="0" fontId="9" fillId="0" borderId="1" xfId="0" applyFont="1" applyBorder="1" applyAlignment="1">
      <alignment horizontal="center" vertical="center" shrinkToFit="1"/>
    </xf>
    <xf numFmtId="0" fontId="9" fillId="0" borderId="6" xfId="0" applyFont="1" applyBorder="1" applyAlignment="1">
      <alignment horizontal="center" vertical="center" shrinkToFit="1"/>
    </xf>
    <xf numFmtId="0" fontId="9" fillId="8" borderId="6" xfId="0" applyFont="1" applyFill="1" applyBorder="1" applyAlignment="1">
      <alignment horizontal="center" vertical="center" shrinkToFit="1"/>
    </xf>
    <xf numFmtId="0" fontId="9" fillId="8" borderId="20" xfId="0" applyFont="1" applyFill="1" applyBorder="1" applyAlignment="1">
      <alignment horizontal="center" vertical="center" shrinkToFit="1"/>
    </xf>
    <xf numFmtId="0" fontId="41" fillId="9" borderId="5" xfId="0" applyFont="1" applyFill="1" applyBorder="1" applyAlignment="1">
      <alignment horizontal="center" vertical="center" shrinkToFit="1"/>
    </xf>
    <xf numFmtId="172" fontId="9" fillId="0" borderId="5" xfId="0" applyNumberFormat="1" applyFont="1" applyBorder="1" applyAlignment="1">
      <alignment horizontal="center" vertical="center"/>
    </xf>
    <xf numFmtId="172" fontId="9" fillId="8" borderId="5" xfId="0" applyNumberFormat="1" applyFont="1" applyFill="1" applyBorder="1" applyAlignment="1">
      <alignment horizontal="center" vertical="center"/>
    </xf>
    <xf numFmtId="172" fontId="9" fillId="8" borderId="19" xfId="0" applyNumberFormat="1" applyFont="1" applyFill="1" applyBorder="1" applyAlignment="1">
      <alignment horizontal="center" vertical="center"/>
    </xf>
    <xf numFmtId="172" fontId="9" fillId="8" borderId="22" xfId="0" applyNumberFormat="1" applyFont="1" applyFill="1" applyBorder="1" applyAlignment="1">
      <alignment horizontal="center" vertical="center" shrinkToFit="1"/>
    </xf>
    <xf numFmtId="0" fontId="41" fillId="20" borderId="5" xfId="0" applyFont="1" applyFill="1" applyBorder="1" applyAlignment="1">
      <alignment horizontal="center" vertical="center" shrinkToFit="1"/>
    </xf>
    <xf numFmtId="172" fontId="9" fillId="0" borderId="5" xfId="0" applyNumberFormat="1" applyFont="1" applyBorder="1" applyAlignment="1">
      <alignment horizontal="center" vertical="center" shrinkToFit="1"/>
    </xf>
    <xf numFmtId="172" fontId="9" fillId="8" borderId="5" xfId="0" applyNumberFormat="1" applyFont="1" applyFill="1" applyBorder="1" applyAlignment="1">
      <alignment horizontal="center" vertical="center" shrinkToFit="1"/>
    </xf>
    <xf numFmtId="172" fontId="9" fillId="8" borderId="19" xfId="0" applyNumberFormat="1" applyFont="1" applyFill="1" applyBorder="1" applyAlignment="1">
      <alignment horizontal="center" vertical="center" shrinkToFit="1"/>
    </xf>
    <xf numFmtId="9" fontId="9" fillId="0" borderId="5" xfId="3" applyFont="1" applyBorder="1" applyAlignment="1">
      <alignment horizontal="center" vertical="center" shrinkToFit="1"/>
    </xf>
    <xf numFmtId="9" fontId="9" fillId="8" borderId="5" xfId="3" applyFont="1" applyFill="1" applyBorder="1" applyAlignment="1">
      <alignment horizontal="center" vertical="center" shrinkToFit="1"/>
    </xf>
    <xf numFmtId="9" fontId="9" fillId="8" borderId="19" xfId="3" applyFont="1" applyFill="1" applyBorder="1" applyAlignment="1">
      <alignment horizontal="center" vertical="center" shrinkToFit="1"/>
    </xf>
    <xf numFmtId="0" fontId="41" fillId="12" borderId="1" xfId="0" applyFont="1" applyFill="1" applyBorder="1" applyAlignment="1">
      <alignment vertical="center" wrapText="1"/>
    </xf>
    <xf numFmtId="0" fontId="41" fillId="1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1" applyNumberFormat="1" applyFont="1" applyBorder="1" applyAlignment="1">
      <alignment horizontal="center" vertical="center" shrinkToFit="1"/>
    </xf>
    <xf numFmtId="0" fontId="9" fillId="38" borderId="1" xfId="0" applyFont="1" applyFill="1" applyBorder="1" applyAlignment="1">
      <alignment horizontal="center" vertical="center" shrinkToFit="1"/>
    </xf>
    <xf numFmtId="0" fontId="9" fillId="38" borderId="1" xfId="0" applyFont="1" applyFill="1" applyBorder="1" applyAlignment="1">
      <alignment horizontal="center" vertical="center"/>
    </xf>
    <xf numFmtId="172" fontId="9" fillId="38" borderId="1" xfId="0" applyNumberFormat="1" applyFont="1" applyFill="1" applyBorder="1" applyAlignment="1">
      <alignment horizontal="center" vertical="center" shrinkToFit="1"/>
    </xf>
    <xf numFmtId="0" fontId="9" fillId="38" borderId="1" xfId="1" applyNumberFormat="1" applyFont="1" applyFill="1" applyBorder="1" applyAlignment="1">
      <alignment horizontal="center" vertical="center" shrinkToFit="1"/>
    </xf>
    <xf numFmtId="166" fontId="9" fillId="38" borderId="1" xfId="3" applyNumberFormat="1" applyFont="1" applyFill="1" applyBorder="1" applyAlignment="1">
      <alignment horizontal="center" vertical="center" shrinkToFit="1"/>
    </xf>
    <xf numFmtId="0" fontId="43" fillId="12" borderId="1" xfId="0" applyFont="1" applyFill="1" applyBorder="1" applyAlignment="1">
      <alignment horizontal="center" vertical="center" shrinkToFit="1"/>
    </xf>
    <xf numFmtId="0" fontId="43" fillId="12" borderId="1" xfId="0" applyFont="1" applyFill="1" applyBorder="1" applyAlignment="1">
      <alignment horizontal="center" vertical="center"/>
    </xf>
    <xf numFmtId="180" fontId="43" fillId="12" borderId="1" xfId="0" applyNumberFormat="1" applyFont="1" applyFill="1" applyBorder="1" applyAlignment="1">
      <alignment horizontal="center" vertical="center" shrinkToFit="1"/>
    </xf>
    <xf numFmtId="172" fontId="43" fillId="12" borderId="1" xfId="0" applyNumberFormat="1" applyFont="1" applyFill="1" applyBorder="1" applyAlignment="1">
      <alignment horizontal="center" vertical="center" shrinkToFit="1"/>
    </xf>
    <xf numFmtId="0" fontId="43" fillId="12" borderId="1" xfId="1" applyNumberFormat="1" applyFont="1" applyFill="1" applyBorder="1" applyAlignment="1">
      <alignment horizontal="center" vertical="center"/>
    </xf>
    <xf numFmtId="166" fontId="43" fillId="12" borderId="1" xfId="3" applyNumberFormat="1" applyFont="1" applyFill="1" applyBorder="1" applyAlignment="1">
      <alignment horizontal="center" vertical="center"/>
    </xf>
    <xf numFmtId="0" fontId="41" fillId="20" borderId="24" xfId="0" applyFont="1" applyFill="1" applyBorder="1" applyAlignment="1">
      <alignment horizontal="center" vertical="center" wrapText="1"/>
    </xf>
    <xf numFmtId="0" fontId="41" fillId="9" borderId="6" xfId="0" applyFont="1" applyFill="1" applyBorder="1" applyAlignment="1">
      <alignment horizontal="center" vertical="center" shrinkToFit="1"/>
    </xf>
    <xf numFmtId="9" fontId="9" fillId="0" borderId="6" xfId="3" applyFont="1" applyBorder="1" applyAlignment="1">
      <alignment horizontal="center" vertical="center" shrinkToFit="1"/>
    </xf>
    <xf numFmtId="9" fontId="9" fillId="8" borderId="6" xfId="3" applyFont="1" applyFill="1" applyBorder="1" applyAlignment="1">
      <alignment horizontal="center" vertical="center" shrinkToFit="1"/>
    </xf>
    <xf numFmtId="9" fontId="9" fillId="8" borderId="20" xfId="3" applyFont="1" applyFill="1" applyBorder="1" applyAlignment="1">
      <alignment horizontal="center" vertical="center" shrinkToFit="1"/>
    </xf>
    <xf numFmtId="0" fontId="9" fillId="0" borderId="0" xfId="0" applyFont="1" applyAlignment="1">
      <alignment shrinkToFit="1"/>
    </xf>
    <xf numFmtId="0" fontId="9" fillId="8" borderId="0" xfId="0" applyFont="1" applyFill="1" applyAlignment="1">
      <alignment shrinkToFit="1"/>
    </xf>
    <xf numFmtId="9" fontId="48" fillId="11" borderId="0" xfId="3" applyFont="1" applyFill="1" applyAlignment="1">
      <alignment shrinkToFit="1"/>
    </xf>
    <xf numFmtId="9" fontId="48" fillId="0" borderId="0" xfId="3" applyFont="1" applyFill="1"/>
    <xf numFmtId="0" fontId="48" fillId="0" borderId="0" xfId="0" applyFont="1"/>
    <xf numFmtId="0" fontId="41" fillId="39" borderId="0" xfId="0" applyFont="1" applyFill="1" applyAlignment="1">
      <alignment vertical="center" wrapText="1"/>
    </xf>
    <xf numFmtId="0" fontId="43" fillId="39" borderId="0" xfId="0" applyFont="1" applyFill="1" applyAlignment="1">
      <alignment shrinkToFit="1"/>
    </xf>
    <xf numFmtId="0" fontId="9" fillId="40" borderId="0" xfId="0" applyFont="1" applyFill="1"/>
    <xf numFmtId="0" fontId="9" fillId="40" borderId="0" xfId="0" applyFont="1" applyFill="1" applyAlignment="1">
      <alignment shrinkToFit="1"/>
    </xf>
    <xf numFmtId="0" fontId="41" fillId="41" borderId="0" xfId="0" applyFont="1" applyFill="1" applyAlignment="1">
      <alignment vertical="center" wrapText="1"/>
    </xf>
    <xf numFmtId="0" fontId="31" fillId="41" borderId="0" xfId="0" applyFont="1" applyFill="1" applyAlignment="1">
      <alignment horizontal="center" vertical="center" wrapText="1"/>
    </xf>
    <xf numFmtId="0" fontId="32" fillId="41" borderId="0" xfId="0" applyFont="1" applyFill="1" applyAlignment="1">
      <alignment horizontal="center" vertical="center" wrapText="1"/>
    </xf>
    <xf numFmtId="0" fontId="0" fillId="11" borderId="0" xfId="0" applyFill="1"/>
    <xf numFmtId="172" fontId="48" fillId="11" borderId="0" xfId="0" applyNumberFormat="1" applyFont="1" applyFill="1"/>
    <xf numFmtId="0" fontId="48" fillId="11" borderId="0" xfId="0" applyFont="1" applyFill="1" applyAlignment="1">
      <alignment shrinkToFit="1"/>
    </xf>
    <xf numFmtId="171" fontId="48" fillId="11" borderId="0" xfId="0" applyNumberFormat="1" applyFont="1" applyFill="1" applyAlignment="1">
      <alignment shrinkToFit="1"/>
    </xf>
    <xf numFmtId="10" fontId="48" fillId="11" borderId="0" xfId="3" applyNumberFormat="1" applyFont="1" applyFill="1" applyAlignment="1">
      <alignment shrinkToFit="1"/>
    </xf>
    <xf numFmtId="0" fontId="54" fillId="42" borderId="0" xfId="0" applyFont="1" applyFill="1" applyAlignment="1">
      <alignment vertical="center" shrinkToFit="1"/>
    </xf>
    <xf numFmtId="9" fontId="48" fillId="11" borderId="0" xfId="3" applyFont="1" applyFill="1" applyAlignment="1">
      <alignment vertical="center"/>
    </xf>
    <xf numFmtId="0" fontId="2" fillId="25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171" fontId="2" fillId="4" borderId="0" xfId="0" applyNumberFormat="1" applyFont="1" applyFill="1" applyAlignment="1">
      <alignment horizontal="center" shrinkToFit="1"/>
    </xf>
    <xf numFmtId="0" fontId="9" fillId="0" borderId="1" xfId="0" applyFont="1" applyBorder="1" applyAlignment="1">
      <alignment vertical="center"/>
    </xf>
    <xf numFmtId="0" fontId="9" fillId="38" borderId="1" xfId="0" applyFont="1" applyFill="1" applyBorder="1" applyAlignment="1">
      <alignment vertical="center"/>
    </xf>
    <xf numFmtId="0" fontId="9" fillId="0" borderId="5" xfId="0" applyFont="1" applyBorder="1" applyAlignment="1">
      <alignment vertical="center"/>
    </xf>
    <xf numFmtId="0" fontId="9" fillId="8" borderId="5" xfId="0" applyFont="1" applyFill="1" applyBorder="1" applyAlignment="1">
      <alignment vertical="center"/>
    </xf>
    <xf numFmtId="0" fontId="9" fillId="8" borderId="19" xfId="0" applyFont="1" applyFill="1" applyBorder="1" applyAlignment="1">
      <alignment vertical="center"/>
    </xf>
    <xf numFmtId="0" fontId="48" fillId="11" borderId="0" xfId="0" applyFont="1" applyFill="1" applyAlignment="1">
      <alignment horizontal="center"/>
    </xf>
    <xf numFmtId="0" fontId="45" fillId="25" borderId="0" xfId="0" applyFont="1" applyFill="1"/>
    <xf numFmtId="0" fontId="45" fillId="25" borderId="0" xfId="0" applyFont="1" applyFill="1" applyAlignment="1">
      <alignment horizontal="center" vertical="center" textRotation="90" wrapText="1"/>
    </xf>
    <xf numFmtId="0" fontId="4" fillId="0" borderId="0" xfId="0" applyFont="1" applyAlignment="1">
      <alignment horizontal="center" vertical="center" textRotation="90" wrapText="1"/>
    </xf>
    <xf numFmtId="0" fontId="48" fillId="11" borderId="0" xfId="0" applyFont="1" applyFill="1" applyAlignment="1">
      <alignment vertical="center"/>
    </xf>
    <xf numFmtId="0" fontId="57" fillId="11" borderId="0" xfId="0" applyFont="1" applyFill="1" applyAlignment="1">
      <alignment horizontal="left" vertical="center"/>
    </xf>
    <xf numFmtId="0" fontId="58" fillId="11" borderId="0" xfId="0" applyFont="1" applyFill="1" applyAlignment="1">
      <alignment vertical="center"/>
    </xf>
    <xf numFmtId="0" fontId="57" fillId="11" borderId="0" xfId="0" applyFont="1" applyFill="1" applyAlignment="1">
      <alignment horizontal="center" vertical="center" wrapText="1"/>
    </xf>
    <xf numFmtId="171" fontId="59" fillId="11" borderId="0" xfId="0" applyNumberFormat="1" applyFont="1" applyFill="1" applyAlignment="1">
      <alignment shrinkToFit="1"/>
    </xf>
    <xf numFmtId="171" fontId="60" fillId="11" borderId="0" xfId="0" applyNumberFormat="1" applyFont="1" applyFill="1" applyAlignment="1">
      <alignment horizontal="center" vertical="center" shrinkToFit="1"/>
    </xf>
    <xf numFmtId="168" fontId="4" fillId="0" borderId="0" xfId="1" applyNumberFormat="1" applyFont="1" applyAlignment="1">
      <alignment shrinkToFit="1"/>
    </xf>
    <xf numFmtId="0" fontId="30" fillId="6" borderId="1" xfId="0" applyFont="1" applyFill="1" applyBorder="1" applyAlignment="1" applyProtection="1">
      <alignment horizontal="center" vertical="center" shrinkToFit="1"/>
      <protection locked="0"/>
    </xf>
    <xf numFmtId="0" fontId="30" fillId="43" borderId="1" xfId="0" applyFont="1" applyFill="1" applyBorder="1" applyAlignment="1">
      <alignment horizontal="center" vertical="center" shrinkToFit="1"/>
    </xf>
    <xf numFmtId="0" fontId="2" fillId="25" borderId="0" xfId="0" applyFont="1" applyFill="1" applyAlignment="1">
      <alignment shrinkToFit="1"/>
    </xf>
    <xf numFmtId="0" fontId="0" fillId="44" borderId="0" xfId="0" applyFill="1"/>
    <xf numFmtId="0" fontId="2" fillId="9" borderId="0" xfId="0" applyFont="1" applyFill="1"/>
    <xf numFmtId="0" fontId="2" fillId="4" borderId="0" xfId="0" applyFont="1" applyFill="1"/>
    <xf numFmtId="0" fontId="2" fillId="25" borderId="0" xfId="0" applyFont="1" applyFill="1"/>
    <xf numFmtId="1" fontId="0" fillId="0" borderId="0" xfId="0" applyNumberFormat="1"/>
    <xf numFmtId="0" fontId="2" fillId="4" borderId="0" xfId="0" applyFont="1" applyFill="1" applyAlignment="1">
      <alignment horizontal="center"/>
    </xf>
    <xf numFmtId="181" fontId="0" fillId="0" borderId="0" xfId="0" applyNumberFormat="1" applyAlignment="1">
      <alignment horizontal="center"/>
    </xf>
    <xf numFmtId="0" fontId="2" fillId="25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171" fontId="2" fillId="4" borderId="0" xfId="0" applyNumberFormat="1" applyFont="1" applyFill="1" applyAlignment="1">
      <alignment horizontal="center"/>
    </xf>
    <xf numFmtId="0" fontId="2" fillId="9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5" fillId="17" borderId="6" xfId="0" applyFont="1" applyFill="1" applyBorder="1" applyAlignment="1">
      <alignment horizontal="center" vertical="center" wrapText="1"/>
    </xf>
    <xf numFmtId="0" fontId="45" fillId="9" borderId="6" xfId="0" applyFont="1" applyFill="1" applyBorder="1" applyAlignment="1">
      <alignment horizontal="center" vertical="center" wrapText="1"/>
    </xf>
    <xf numFmtId="0" fontId="45" fillId="16" borderId="6" xfId="0" applyFont="1" applyFill="1" applyBorder="1" applyAlignment="1">
      <alignment horizontal="center" vertical="center" wrapText="1"/>
    </xf>
    <xf numFmtId="0" fontId="45" fillId="4" borderId="5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" fillId="0" borderId="31" xfId="0" applyFont="1" applyBorder="1" applyAlignment="1">
      <alignment vertical="center" shrinkToFit="1"/>
    </xf>
    <xf numFmtId="181" fontId="4" fillId="0" borderId="5" xfId="0" applyNumberFormat="1" applyFont="1" applyBorder="1" applyAlignment="1">
      <alignment horizontal="center" vertical="center"/>
    </xf>
    <xf numFmtId="181" fontId="4" fillId="0" borderId="1" xfId="0" applyNumberFormat="1" applyFont="1" applyBorder="1" applyAlignment="1">
      <alignment horizontal="center" vertical="center"/>
    </xf>
    <xf numFmtId="169" fontId="4" fillId="0" borderId="5" xfId="0" applyNumberFormat="1" applyFont="1" applyBorder="1" applyAlignment="1">
      <alignment horizontal="center" vertical="center"/>
    </xf>
    <xf numFmtId="169" fontId="4" fillId="0" borderId="6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81" fontId="4" fillId="0" borderId="0" xfId="0" applyNumberFormat="1" applyFont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" fillId="4" borderId="0" xfId="0" applyFont="1" applyFill="1" applyAlignment="1">
      <alignment horizontal="center" vertical="center" shrinkToFit="1"/>
    </xf>
    <xf numFmtId="0" fontId="0" fillId="0" borderId="0" xfId="0" applyAlignment="1">
      <alignment shrinkToFit="1"/>
    </xf>
    <xf numFmtId="0" fontId="2" fillId="25" borderId="0" xfId="0" applyFont="1" applyFill="1" applyAlignment="1">
      <alignment horizontal="center" vertical="center" shrinkToFit="1"/>
    </xf>
    <xf numFmtId="0" fontId="2" fillId="2" borderId="0" xfId="0" applyFont="1" applyFill="1" applyAlignment="1">
      <alignment horizontal="center" shrinkToFit="1"/>
    </xf>
    <xf numFmtId="0" fontId="2" fillId="9" borderId="0" xfId="0" applyFont="1" applyFill="1" applyAlignment="1">
      <alignment horizontal="center" vertical="center" shrinkToFit="1"/>
    </xf>
    <xf numFmtId="0" fontId="64" fillId="0" borderId="0" xfId="0" applyFont="1"/>
    <xf numFmtId="0" fontId="64" fillId="0" borderId="0" xfId="0" applyFont="1" applyAlignment="1">
      <alignment horizontal="center" vertical="center" wrapText="1"/>
    </xf>
    <xf numFmtId="9" fontId="30" fillId="0" borderId="33" xfId="3" applyFont="1" applyBorder="1" applyAlignment="1">
      <alignment horizontal="center" vertical="center"/>
    </xf>
    <xf numFmtId="9" fontId="30" fillId="8" borderId="33" xfId="3" applyFont="1" applyFill="1" applyBorder="1" applyAlignment="1">
      <alignment horizontal="center" vertical="center"/>
    </xf>
    <xf numFmtId="0" fontId="4" fillId="0" borderId="34" xfId="0" applyFont="1" applyBorder="1" applyAlignment="1">
      <alignment horizontal="left" vertical="center"/>
    </xf>
    <xf numFmtId="9" fontId="30" fillId="0" borderId="35" xfId="3" applyFont="1" applyBorder="1" applyAlignment="1">
      <alignment horizontal="center" vertical="center"/>
    </xf>
    <xf numFmtId="0" fontId="4" fillId="8" borderId="34" xfId="0" applyFont="1" applyFill="1" applyBorder="1" applyAlignment="1">
      <alignment horizontal="left" vertical="center"/>
    </xf>
    <xf numFmtId="9" fontId="30" fillId="8" borderId="35" xfId="3" applyFont="1" applyFill="1" applyBorder="1" applyAlignment="1">
      <alignment horizontal="center" vertical="center"/>
    </xf>
    <xf numFmtId="0" fontId="4" fillId="8" borderId="36" xfId="0" applyFont="1" applyFill="1" applyBorder="1" applyAlignment="1">
      <alignment horizontal="left" vertical="center"/>
    </xf>
    <xf numFmtId="9" fontId="30" fillId="8" borderId="37" xfId="3" applyFont="1" applyFill="1" applyBorder="1" applyAlignment="1">
      <alignment horizontal="center" vertical="center"/>
    </xf>
    <xf numFmtId="9" fontId="30" fillId="8" borderId="38" xfId="3" applyFont="1" applyFill="1" applyBorder="1" applyAlignment="1">
      <alignment horizontal="center" vertical="center"/>
    </xf>
    <xf numFmtId="182" fontId="61" fillId="20" borderId="1" xfId="0" applyNumberFormat="1" applyFont="1" applyFill="1" applyBorder="1" applyAlignment="1">
      <alignment horizontal="center" vertical="center"/>
    </xf>
    <xf numFmtId="171" fontId="38" fillId="0" borderId="0" xfId="0" applyNumberFormat="1" applyFont="1"/>
    <xf numFmtId="0" fontId="2" fillId="17" borderId="0" xfId="0" applyFont="1" applyFill="1" applyAlignment="1">
      <alignment horizontal="center" vertical="center" wrapText="1"/>
    </xf>
    <xf numFmtId="9" fontId="0" fillId="35" borderId="0" xfId="3" applyFont="1" applyFill="1"/>
    <xf numFmtId="175" fontId="9" fillId="8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175" fontId="9" fillId="22" borderId="1" xfId="0" applyNumberFormat="1" applyFont="1" applyFill="1" applyBorder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 wrapText="1"/>
    </xf>
    <xf numFmtId="171" fontId="9" fillId="0" borderId="0" xfId="0" applyNumberFormat="1" applyFont="1" applyAlignment="1">
      <alignment horizontal="center" vertical="center" wrapText="1"/>
    </xf>
    <xf numFmtId="0" fontId="4" fillId="0" borderId="39" xfId="0" applyFont="1" applyBorder="1" applyAlignment="1">
      <alignment horizontal="left" vertical="center"/>
    </xf>
    <xf numFmtId="9" fontId="30" fillId="0" borderId="40" xfId="3" applyFont="1" applyBorder="1" applyAlignment="1">
      <alignment horizontal="center" vertical="center"/>
    </xf>
    <xf numFmtId="9" fontId="30" fillId="0" borderId="41" xfId="3" applyFont="1" applyBorder="1" applyAlignment="1">
      <alignment horizontal="center" vertical="center"/>
    </xf>
    <xf numFmtId="0" fontId="63" fillId="2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shrinkToFit="1"/>
    </xf>
    <xf numFmtId="172" fontId="9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183" fontId="0" fillId="0" borderId="0" xfId="0" applyNumberFormat="1"/>
    <xf numFmtId="2" fontId="0" fillId="16" borderId="0" xfId="0" applyNumberFormat="1" applyFill="1"/>
    <xf numFmtId="2" fontId="0" fillId="43" borderId="0" xfId="0" applyNumberFormat="1" applyFill="1"/>
    <xf numFmtId="184" fontId="9" fillId="0" borderId="0" xfId="0" applyNumberFormat="1" applyFont="1" applyAlignment="1">
      <alignment horizontal="center" vertical="center" wrapText="1"/>
    </xf>
    <xf numFmtId="0" fontId="2" fillId="19" borderId="0" xfId="0" applyFont="1" applyFill="1" applyAlignment="1">
      <alignment horizontal="center" vertical="center" shrinkToFit="1"/>
    </xf>
    <xf numFmtId="0" fontId="3" fillId="19" borderId="0" xfId="0" applyFont="1" applyFill="1"/>
    <xf numFmtId="172" fontId="0" fillId="0" borderId="0" xfId="3" applyNumberFormat="1" applyFont="1"/>
    <xf numFmtId="165" fontId="9" fillId="0" borderId="0" xfId="0" applyNumberFormat="1" applyFont="1" applyAlignment="1">
      <alignment horizontal="center" vertical="center" wrapText="1"/>
    </xf>
    <xf numFmtId="165" fontId="0" fillId="0" borderId="0" xfId="1" applyFont="1" applyAlignment="1">
      <alignment shrinkToFit="1"/>
    </xf>
    <xf numFmtId="177" fontId="9" fillId="0" borderId="8" xfId="0" applyNumberFormat="1" applyFont="1" applyBorder="1" applyAlignment="1">
      <alignment horizontal="left" vertical="center" shrinkToFit="1"/>
    </xf>
    <xf numFmtId="0" fontId="2" fillId="16" borderId="0" xfId="0" applyFont="1" applyFill="1" applyAlignment="1">
      <alignment horizontal="center" vertical="center"/>
    </xf>
    <xf numFmtId="165" fontId="2" fillId="16" borderId="0" xfId="1" applyFont="1" applyFill="1" applyAlignment="1">
      <alignment horizontal="center" vertical="center"/>
    </xf>
    <xf numFmtId="10" fontId="0" fillId="0" borderId="0" xfId="3" applyNumberFormat="1" applyFont="1"/>
    <xf numFmtId="186" fontId="0" fillId="0" borderId="0" xfId="1" applyNumberFormat="1" applyFont="1"/>
    <xf numFmtId="0" fontId="3" fillId="4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168" fontId="9" fillId="0" borderId="0" xfId="0" applyNumberFormat="1" applyFont="1" applyAlignment="1">
      <alignment horizontal="center" vertical="center" wrapText="1"/>
    </xf>
    <xf numFmtId="187" fontId="30" fillId="0" borderId="40" xfId="0" applyNumberFormat="1" applyFont="1" applyBorder="1" applyAlignment="1">
      <alignment horizontal="center" vertical="center"/>
    </xf>
    <xf numFmtId="187" fontId="30" fillId="8" borderId="33" xfId="0" applyNumberFormat="1" applyFont="1" applyFill="1" applyBorder="1" applyAlignment="1">
      <alignment horizontal="center" vertical="center"/>
    </xf>
    <xf numFmtId="187" fontId="30" fillId="0" borderId="33" xfId="0" applyNumberFormat="1" applyFont="1" applyBorder="1" applyAlignment="1">
      <alignment horizontal="center" vertical="center"/>
    </xf>
    <xf numFmtId="187" fontId="30" fillId="8" borderId="37" xfId="0" applyNumberFormat="1" applyFont="1" applyFill="1" applyBorder="1" applyAlignment="1">
      <alignment horizontal="center" vertical="center"/>
    </xf>
    <xf numFmtId="165" fontId="0" fillId="0" borderId="0" xfId="3" applyNumberFormat="1" applyFont="1"/>
    <xf numFmtId="0" fontId="0" fillId="4" borderId="0" xfId="0" applyFill="1" applyAlignment="1">
      <alignment horizontal="center"/>
    </xf>
    <xf numFmtId="0" fontId="0" fillId="43" borderId="0" xfId="0" applyFill="1" applyAlignment="1">
      <alignment horizontal="center"/>
    </xf>
    <xf numFmtId="0" fontId="0" fillId="4" borderId="0" xfId="0" applyFill="1" applyAlignment="1">
      <alignment horizontal="center" vertical="center" wrapText="1"/>
    </xf>
    <xf numFmtId="171" fontId="9" fillId="0" borderId="0" xfId="0" applyNumberFormat="1" applyFont="1"/>
    <xf numFmtId="0" fontId="67" fillId="3" borderId="0" xfId="0" applyFont="1" applyFill="1" applyAlignment="1">
      <alignment horizontal="center" vertical="center"/>
    </xf>
    <xf numFmtId="10" fontId="9" fillId="0" borderId="0" xfId="3" applyNumberFormat="1" applyFont="1" applyFill="1" applyAlignment="1">
      <alignment horizontal="center" vertical="center" wrapText="1"/>
    </xf>
    <xf numFmtId="176" fontId="4" fillId="0" borderId="0" xfId="2" applyNumberFormat="1" applyFont="1" applyAlignment="1">
      <alignment horizontal="center"/>
    </xf>
    <xf numFmtId="176" fontId="4" fillId="22" borderId="0" xfId="2" applyNumberFormat="1" applyFont="1" applyFill="1" applyAlignment="1">
      <alignment horizontal="center"/>
    </xf>
    <xf numFmtId="0" fontId="8" fillId="11" borderId="0" xfId="0" applyFont="1" applyFill="1" applyAlignment="1" applyProtection="1">
      <alignment horizontal="center" vertical="center"/>
      <protection locked="0"/>
    </xf>
    <xf numFmtId="0" fontId="4" fillId="0" borderId="0" xfId="0" applyFont="1" applyAlignment="1">
      <alignment horizontal="left"/>
    </xf>
    <xf numFmtId="0" fontId="4" fillId="22" borderId="0" xfId="0" applyFont="1" applyFill="1" applyAlignment="1">
      <alignment horizontal="left"/>
    </xf>
    <xf numFmtId="167" fontId="9" fillId="0" borderId="0" xfId="1" applyNumberFormat="1" applyFont="1" applyBorder="1" applyAlignment="1">
      <alignment horizontal="center" vertical="center" wrapText="1"/>
    </xf>
    <xf numFmtId="167" fontId="9" fillId="0" borderId="8" xfId="1" applyNumberFormat="1" applyFont="1" applyBorder="1" applyAlignment="1">
      <alignment horizontal="center" vertical="center" wrapText="1"/>
    </xf>
    <xf numFmtId="188" fontId="8" fillId="0" borderId="0" xfId="1" applyNumberFormat="1" applyFont="1" applyBorder="1" applyAlignment="1">
      <alignment vertical="center" wrapText="1"/>
    </xf>
    <xf numFmtId="188" fontId="8" fillId="0" borderId="8" xfId="1" applyNumberFormat="1" applyFont="1" applyBorder="1" applyAlignment="1">
      <alignment vertical="center" wrapText="1"/>
    </xf>
    <xf numFmtId="0" fontId="0" fillId="17" borderId="0" xfId="0" applyFill="1" applyAlignment="1">
      <alignment horizontal="center"/>
    </xf>
    <xf numFmtId="1" fontId="0" fillId="43" borderId="0" xfId="0" applyNumberFormat="1" applyFill="1" applyAlignment="1">
      <alignment horizontal="center"/>
    </xf>
    <xf numFmtId="0" fontId="0" fillId="17" borderId="0" xfId="0" applyFill="1" applyAlignment="1">
      <alignment horizontal="center" vertical="center" wrapText="1"/>
    </xf>
    <xf numFmtId="0" fontId="72" fillId="0" borderId="0" xfId="0" applyFont="1" applyAlignment="1">
      <alignment vertical="center"/>
    </xf>
    <xf numFmtId="0" fontId="31" fillId="16" borderId="0" xfId="0" applyFont="1" applyFill="1" applyAlignment="1">
      <alignment horizontal="center" vertical="center" wrapText="1"/>
    </xf>
    <xf numFmtId="166" fontId="9" fillId="0" borderId="0" xfId="3" applyNumberFormat="1" applyFont="1" applyAlignment="1">
      <alignment horizontal="center" vertical="center"/>
    </xf>
    <xf numFmtId="166" fontId="9" fillId="35" borderId="0" xfId="3" applyNumberFormat="1" applyFont="1" applyFill="1" applyAlignment="1">
      <alignment horizontal="center" vertical="center"/>
    </xf>
    <xf numFmtId="166" fontId="43" fillId="4" borderId="0" xfId="3" applyNumberFormat="1" applyFont="1" applyFill="1" applyAlignment="1">
      <alignment horizontal="center" vertical="center"/>
    </xf>
    <xf numFmtId="190" fontId="9" fillId="0" borderId="0" xfId="1" applyNumberFormat="1" applyFont="1" applyAlignment="1">
      <alignment shrinkToFit="1"/>
    </xf>
    <xf numFmtId="190" fontId="9" fillId="7" borderId="0" xfId="1" applyNumberFormat="1" applyFont="1" applyFill="1" applyAlignment="1">
      <alignment shrinkToFit="1"/>
    </xf>
    <xf numFmtId="190" fontId="43" fillId="16" borderId="0" xfId="0" applyNumberFormat="1" applyFont="1" applyFill="1" applyAlignment="1">
      <alignment horizontal="center" vertical="center" shrinkToFit="1"/>
    </xf>
    <xf numFmtId="191" fontId="43" fillId="16" borderId="0" xfId="0" applyNumberFormat="1" applyFont="1" applyFill="1" applyAlignment="1">
      <alignment horizontal="center" vertical="center" shrinkToFit="1"/>
    </xf>
    <xf numFmtId="194" fontId="9" fillId="0" borderId="0" xfId="0" applyNumberFormat="1" applyFont="1" applyAlignment="1">
      <alignment horizontal="center" shrinkToFit="1"/>
    </xf>
    <xf numFmtId="194" fontId="9" fillId="0" borderId="0" xfId="0" applyNumberFormat="1" applyFont="1" applyAlignment="1">
      <alignment shrinkToFit="1"/>
    </xf>
    <xf numFmtId="194" fontId="25" fillId="0" borderId="0" xfId="0" applyNumberFormat="1" applyFont="1" applyAlignment="1">
      <alignment shrinkToFit="1"/>
    </xf>
    <xf numFmtId="194" fontId="9" fillId="8" borderId="0" xfId="0" applyNumberFormat="1" applyFont="1" applyFill="1" applyAlignment="1">
      <alignment horizontal="center" shrinkToFit="1"/>
    </xf>
    <xf numFmtId="194" fontId="9" fillId="8" borderId="0" xfId="0" applyNumberFormat="1" applyFont="1" applyFill="1" applyAlignment="1">
      <alignment shrinkToFit="1"/>
    </xf>
    <xf numFmtId="194" fontId="25" fillId="8" borderId="0" xfId="0" applyNumberFormat="1" applyFont="1" applyFill="1" applyAlignment="1">
      <alignment shrinkToFit="1"/>
    </xf>
    <xf numFmtId="195" fontId="9" fillId="0" borderId="0" xfId="0" applyNumberFormat="1" applyFont="1" applyAlignment="1">
      <alignment shrinkToFit="1"/>
    </xf>
    <xf numFmtId="195" fontId="9" fillId="8" borderId="0" xfId="0" applyNumberFormat="1" applyFont="1" applyFill="1" applyAlignment="1">
      <alignment shrinkToFit="1"/>
    </xf>
    <xf numFmtId="195" fontId="43" fillId="9" borderId="0" xfId="0" applyNumberFormat="1" applyFont="1" applyFill="1" applyAlignment="1">
      <alignment horizontal="center" vertical="center" shrinkToFit="1"/>
    </xf>
    <xf numFmtId="196" fontId="9" fillId="0" borderId="0" xfId="0" applyNumberFormat="1" applyFont="1" applyAlignment="1">
      <alignment horizontal="center" vertical="center" shrinkToFit="1"/>
    </xf>
    <xf numFmtId="196" fontId="9" fillId="35" borderId="0" xfId="0" applyNumberFormat="1" applyFont="1" applyFill="1" applyAlignment="1">
      <alignment horizontal="center" vertical="center" shrinkToFit="1"/>
    </xf>
    <xf numFmtId="196" fontId="43" fillId="4" borderId="0" xfId="0" applyNumberFormat="1" applyFont="1" applyFill="1" applyAlignment="1">
      <alignment horizontal="center" vertical="center" shrinkToFit="1"/>
    </xf>
    <xf numFmtId="197" fontId="9" fillId="0" borderId="0" xfId="0" applyNumberFormat="1" applyFont="1" applyAlignment="1">
      <alignment shrinkToFit="1"/>
    </xf>
    <xf numFmtId="197" fontId="9" fillId="8" borderId="0" xfId="0" applyNumberFormat="1" applyFont="1" applyFill="1" applyAlignment="1">
      <alignment shrinkToFit="1"/>
    </xf>
    <xf numFmtId="197" fontId="43" fillId="9" borderId="0" xfId="0" applyNumberFormat="1" applyFont="1" applyFill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0" xfId="0" applyFont="1" applyAlignment="1">
      <alignment horizontal="center" shrinkToFit="1"/>
    </xf>
    <xf numFmtId="171" fontId="9" fillId="0" borderId="0" xfId="0" applyNumberFormat="1" applyFont="1" applyAlignment="1">
      <alignment horizontal="center" vertical="center" shrinkToFit="1"/>
    </xf>
    <xf numFmtId="172" fontId="9" fillId="0" borderId="0" xfId="0" applyNumberFormat="1" applyFont="1" applyAlignment="1">
      <alignment horizontal="center" vertical="center" shrinkToFit="1"/>
    </xf>
    <xf numFmtId="185" fontId="9" fillId="0" borderId="0" xfId="0" applyNumberFormat="1" applyFont="1" applyAlignment="1">
      <alignment horizontal="center" vertical="center" shrinkToFit="1"/>
    </xf>
    <xf numFmtId="165" fontId="9" fillId="0" borderId="0" xfId="0" applyNumberFormat="1" applyFont="1" applyAlignment="1">
      <alignment horizontal="center" vertical="center" shrinkToFit="1"/>
    </xf>
    <xf numFmtId="2" fontId="9" fillId="0" borderId="0" xfId="0" applyNumberFormat="1" applyFont="1" applyAlignment="1">
      <alignment horizontal="center" vertical="center" shrinkToFit="1"/>
    </xf>
    <xf numFmtId="165" fontId="9" fillId="0" borderId="0" xfId="1" applyFont="1" applyAlignment="1">
      <alignment horizontal="center" vertical="center" shrinkToFit="1"/>
    </xf>
    <xf numFmtId="177" fontId="9" fillId="0" borderId="0" xfId="0" applyNumberFormat="1" applyFont="1" applyAlignment="1">
      <alignment horizontal="center" vertical="center" shrinkToFit="1"/>
    </xf>
    <xf numFmtId="9" fontId="9" fillId="0" borderId="0" xfId="3" applyFont="1" applyFill="1" applyAlignment="1">
      <alignment horizontal="center" vertical="center" shrinkToFit="1"/>
    </xf>
    <xf numFmtId="10" fontId="9" fillId="0" borderId="0" xfId="3" applyNumberFormat="1" applyFont="1" applyAlignment="1">
      <alignment horizontal="center" vertical="center" shrinkToFit="1"/>
    </xf>
    <xf numFmtId="168" fontId="9" fillId="0" borderId="0" xfId="0" applyNumberFormat="1" applyFont="1" applyAlignment="1">
      <alignment horizontal="center" vertical="center" shrinkToFit="1"/>
    </xf>
    <xf numFmtId="0" fontId="73" fillId="0" borderId="0" xfId="0" applyFont="1" applyAlignment="1">
      <alignment horizontal="center" vertical="center" wrapText="1"/>
    </xf>
    <xf numFmtId="0" fontId="4" fillId="11" borderId="0" xfId="0" applyFont="1" applyFill="1" applyAlignment="1">
      <alignment horizontal="center"/>
    </xf>
    <xf numFmtId="198" fontId="4" fillId="0" borderId="5" xfId="0" applyNumberFormat="1" applyFont="1" applyBorder="1" applyAlignment="1">
      <alignment horizontal="center" vertical="center" shrinkToFit="1"/>
    </xf>
    <xf numFmtId="198" fontId="4" fillId="0" borderId="1" xfId="0" applyNumberFormat="1" applyFont="1" applyBorder="1" applyAlignment="1">
      <alignment horizontal="center" vertical="center" shrinkToFit="1"/>
    </xf>
    <xf numFmtId="198" fontId="4" fillId="0" borderId="31" xfId="0" applyNumberFormat="1" applyFont="1" applyBorder="1" applyAlignment="1">
      <alignment horizontal="center" vertical="center"/>
    </xf>
    <xf numFmtId="198" fontId="4" fillId="0" borderId="5" xfId="0" applyNumberFormat="1" applyFont="1" applyBorder="1" applyAlignment="1">
      <alignment horizontal="center" vertical="center"/>
    </xf>
    <xf numFmtId="198" fontId="4" fillId="0" borderId="1" xfId="0" applyNumberFormat="1" applyFont="1" applyBorder="1" applyAlignment="1">
      <alignment horizontal="center" vertical="center"/>
    </xf>
    <xf numFmtId="199" fontId="9" fillId="0" borderId="1" xfId="0" applyNumberFormat="1" applyFont="1" applyBorder="1" applyAlignment="1">
      <alignment horizontal="center" vertical="center" shrinkToFit="1"/>
    </xf>
    <xf numFmtId="199" fontId="9" fillId="38" borderId="1" xfId="0" applyNumberFormat="1" applyFont="1" applyFill="1" applyBorder="1" applyAlignment="1">
      <alignment horizontal="center" vertical="center" shrinkToFit="1"/>
    </xf>
    <xf numFmtId="171" fontId="49" fillId="11" borderId="0" xfId="0" applyNumberFormat="1" applyFont="1" applyFill="1"/>
    <xf numFmtId="172" fontId="0" fillId="0" borderId="0" xfId="1" applyNumberFormat="1" applyFont="1" applyAlignment="1">
      <alignment shrinkToFit="1"/>
    </xf>
    <xf numFmtId="201" fontId="9" fillId="0" borderId="0" xfId="0" applyNumberFormat="1" applyFont="1" applyAlignment="1">
      <alignment horizontal="center" vertical="center" wrapText="1"/>
    </xf>
    <xf numFmtId="0" fontId="74" fillId="11" borderId="0" xfId="0" applyFont="1" applyFill="1"/>
    <xf numFmtId="0" fontId="74" fillId="0" borderId="0" xfId="0" applyFont="1"/>
    <xf numFmtId="172" fontId="74" fillId="11" borderId="0" xfId="0" applyNumberFormat="1" applyFont="1" applyFill="1"/>
    <xf numFmtId="0" fontId="0" fillId="12" borderId="0" xfId="0" applyFill="1"/>
    <xf numFmtId="171" fontId="38" fillId="0" borderId="0" xfId="0" applyNumberFormat="1" applyFont="1" applyAlignment="1">
      <alignment shrinkToFit="1"/>
    </xf>
    <xf numFmtId="171" fontId="38" fillId="7" borderId="0" xfId="0" applyNumberFormat="1" applyFont="1" applyFill="1" applyAlignment="1">
      <alignment shrinkToFit="1"/>
    </xf>
    <xf numFmtId="168" fontId="53" fillId="43" borderId="0" xfId="1" applyNumberFormat="1" applyFont="1" applyFill="1" applyAlignment="1">
      <alignment horizontal="center"/>
    </xf>
    <xf numFmtId="171" fontId="53" fillId="43" borderId="0" xfId="1" applyNumberFormat="1" applyFont="1" applyFill="1" applyAlignment="1">
      <alignment horizontal="center" shrinkToFit="1"/>
    </xf>
    <xf numFmtId="200" fontId="9" fillId="0" borderId="24" xfId="0" applyNumberFormat="1" applyFont="1" applyBorder="1" applyAlignment="1">
      <alignment horizontal="center" vertical="center" shrinkToFit="1"/>
    </xf>
    <xf numFmtId="200" fontId="9" fillId="38" borderId="24" xfId="0" applyNumberFormat="1" applyFont="1" applyFill="1" applyBorder="1" applyAlignment="1">
      <alignment horizontal="center" vertical="center" shrinkToFit="1"/>
    </xf>
    <xf numFmtId="192" fontId="43" fillId="12" borderId="24" xfId="0" applyNumberFormat="1" applyFont="1" applyFill="1" applyBorder="1" applyAlignment="1">
      <alignment horizontal="center" vertical="center" shrinkToFit="1"/>
    </xf>
    <xf numFmtId="193" fontId="9" fillId="0" borderId="49" xfId="0" applyNumberFormat="1" applyFont="1" applyBorder="1" applyAlignment="1">
      <alignment horizontal="center" vertical="center" shrinkToFit="1"/>
    </xf>
    <xf numFmtId="193" fontId="9" fillId="38" borderId="49" xfId="0" applyNumberFormat="1" applyFont="1" applyFill="1" applyBorder="1" applyAlignment="1">
      <alignment horizontal="center" vertical="center" shrinkToFit="1"/>
    </xf>
    <xf numFmtId="192" fontId="43" fillId="12" borderId="49" xfId="0" applyNumberFormat="1" applyFont="1" applyFill="1" applyBorder="1" applyAlignment="1">
      <alignment horizontal="center" vertical="center" shrinkToFit="1"/>
    </xf>
    <xf numFmtId="9" fontId="43" fillId="12" borderId="53" xfId="3" applyFont="1" applyFill="1" applyBorder="1" applyAlignment="1">
      <alignment horizontal="center" vertical="center" shrinkToFit="1"/>
    </xf>
    <xf numFmtId="9" fontId="9" fillId="0" borderId="49" xfId="3" applyFont="1" applyBorder="1" applyAlignment="1">
      <alignment horizontal="center" vertical="center" shrinkToFit="1"/>
    </xf>
    <xf numFmtId="9" fontId="9" fillId="38" borderId="49" xfId="3" applyFont="1" applyFill="1" applyBorder="1" applyAlignment="1">
      <alignment horizontal="center" vertical="center" shrinkToFit="1"/>
    </xf>
    <xf numFmtId="9" fontId="9" fillId="0" borderId="24" xfId="3" applyFont="1" applyBorder="1" applyAlignment="1">
      <alignment horizontal="right" vertical="center" shrinkToFit="1"/>
    </xf>
    <xf numFmtId="9" fontId="9" fillId="38" borderId="24" xfId="3" applyFont="1" applyFill="1" applyBorder="1" applyAlignment="1">
      <alignment horizontal="right" vertical="center" shrinkToFit="1"/>
    </xf>
    <xf numFmtId="9" fontId="43" fillId="12" borderId="52" xfId="3" applyFont="1" applyFill="1" applyBorder="1" applyAlignment="1">
      <alignment horizontal="right" vertical="center" shrinkToFit="1"/>
    </xf>
    <xf numFmtId="166" fontId="9" fillId="0" borderId="24" xfId="3" applyNumberFormat="1" applyFont="1" applyBorder="1" applyAlignment="1">
      <alignment horizontal="center" vertical="center" shrinkToFit="1"/>
    </xf>
    <xf numFmtId="166" fontId="9" fillId="38" borderId="24" xfId="3" applyNumberFormat="1" applyFont="1" applyFill="1" applyBorder="1" applyAlignment="1">
      <alignment horizontal="center" vertical="center" shrinkToFit="1"/>
    </xf>
    <xf numFmtId="166" fontId="43" fillId="12" borderId="24" xfId="3" applyNumberFormat="1" applyFont="1" applyFill="1" applyBorder="1" applyAlignment="1">
      <alignment horizontal="center" vertical="center"/>
    </xf>
    <xf numFmtId="166" fontId="9" fillId="0" borderId="49" xfId="3" applyNumberFormat="1" applyFont="1" applyBorder="1" applyAlignment="1">
      <alignment horizontal="center" vertical="center" shrinkToFit="1"/>
    </xf>
    <xf numFmtId="166" fontId="9" fillId="38" borderId="49" xfId="3" applyNumberFormat="1" applyFont="1" applyFill="1" applyBorder="1" applyAlignment="1">
      <alignment horizontal="center" vertical="center" shrinkToFit="1"/>
    </xf>
    <xf numFmtId="166" fontId="43" fillId="12" borderId="49" xfId="3" applyNumberFormat="1" applyFont="1" applyFill="1" applyBorder="1" applyAlignment="1">
      <alignment horizontal="center" vertical="center"/>
    </xf>
    <xf numFmtId="166" fontId="9" fillId="0" borderId="45" xfId="3" applyNumberFormat="1" applyFont="1" applyBorder="1" applyAlignment="1">
      <alignment horizontal="center" vertical="center" shrinkToFit="1"/>
    </xf>
    <xf numFmtId="166" fontId="9" fillId="38" borderId="45" xfId="3" applyNumberFormat="1" applyFont="1" applyFill="1" applyBorder="1" applyAlignment="1">
      <alignment horizontal="center" vertical="center" shrinkToFit="1"/>
    </xf>
    <xf numFmtId="166" fontId="43" fillId="12" borderId="45" xfId="3" applyNumberFormat="1" applyFont="1" applyFill="1" applyBorder="1" applyAlignment="1">
      <alignment horizontal="center" vertical="center"/>
    </xf>
    <xf numFmtId="166" fontId="9" fillId="38" borderId="51" xfId="3" applyNumberFormat="1" applyFont="1" applyFill="1" applyBorder="1" applyAlignment="1">
      <alignment horizontal="center" vertical="center" shrinkToFit="1"/>
    </xf>
    <xf numFmtId="166" fontId="43" fillId="12" borderId="24" xfId="3" applyNumberFormat="1" applyFont="1" applyFill="1" applyBorder="1" applyAlignment="1">
      <alignment horizontal="right" vertical="center"/>
    </xf>
    <xf numFmtId="166" fontId="9" fillId="0" borderId="24" xfId="3" applyNumberFormat="1" applyFont="1" applyBorder="1" applyAlignment="1">
      <alignment vertical="center" shrinkToFit="1"/>
    </xf>
    <xf numFmtId="166" fontId="9" fillId="38" borderId="24" xfId="3" applyNumberFormat="1" applyFont="1" applyFill="1" applyBorder="1" applyAlignment="1">
      <alignment vertical="center" shrinkToFit="1"/>
    </xf>
    <xf numFmtId="166" fontId="43" fillId="12" borderId="24" xfId="3" applyNumberFormat="1" applyFont="1" applyFill="1" applyBorder="1" applyAlignment="1">
      <alignment vertical="center"/>
    </xf>
    <xf numFmtId="166" fontId="9" fillId="0" borderId="24" xfId="3" applyNumberFormat="1" applyFont="1" applyBorder="1" applyAlignment="1">
      <alignment horizontal="right" vertical="center" shrinkToFit="1"/>
    </xf>
    <xf numFmtId="166" fontId="9" fillId="38" borderId="24" xfId="3" applyNumberFormat="1" applyFont="1" applyFill="1" applyBorder="1" applyAlignment="1">
      <alignment horizontal="right" vertical="center" shrinkToFit="1"/>
    </xf>
    <xf numFmtId="166" fontId="9" fillId="38" borderId="50" xfId="3" applyNumberFormat="1" applyFont="1" applyFill="1" applyBorder="1" applyAlignment="1">
      <alignment horizontal="right" vertical="center" shrinkToFit="1"/>
    </xf>
    <xf numFmtId="0" fontId="30" fillId="0" borderId="0" xfId="0" applyFont="1" applyAlignment="1">
      <alignment horizontal="center" vertical="center"/>
    </xf>
    <xf numFmtId="203" fontId="30" fillId="0" borderId="1" xfId="1" applyNumberFormat="1" applyFont="1" applyBorder="1" applyAlignment="1"/>
    <xf numFmtId="169" fontId="30" fillId="0" borderId="1" xfId="0" applyNumberFormat="1" applyFont="1" applyBorder="1" applyAlignment="1">
      <alignment horizontal="center" vertical="center" wrapText="1"/>
    </xf>
    <xf numFmtId="200" fontId="30" fillId="0" borderId="1" xfId="1" applyNumberFormat="1" applyFont="1" applyBorder="1" applyAlignment="1">
      <alignment horizontal="center"/>
    </xf>
    <xf numFmtId="9" fontId="30" fillId="0" borderId="1" xfId="3" applyFont="1" applyBorder="1"/>
    <xf numFmtId="204" fontId="30" fillId="0" borderId="1" xfId="0" applyNumberFormat="1" applyFont="1" applyBorder="1"/>
    <xf numFmtId="203" fontId="30" fillId="46" borderId="1" xfId="1" applyNumberFormat="1" applyFont="1" applyFill="1" applyBorder="1" applyAlignment="1"/>
    <xf numFmtId="169" fontId="30" fillId="46" borderId="1" xfId="0" applyNumberFormat="1" applyFont="1" applyFill="1" applyBorder="1" applyAlignment="1">
      <alignment horizontal="center" vertical="center" wrapText="1"/>
    </xf>
    <xf numFmtId="200" fontId="30" fillId="46" borderId="1" xfId="1" applyNumberFormat="1" applyFont="1" applyFill="1" applyBorder="1" applyAlignment="1">
      <alignment horizontal="center"/>
    </xf>
    <xf numFmtId="9" fontId="30" fillId="46" borderId="1" xfId="3" applyFont="1" applyFill="1" applyBorder="1"/>
    <xf numFmtId="204" fontId="30" fillId="46" borderId="1" xfId="0" applyNumberFormat="1" applyFont="1" applyFill="1" applyBorder="1"/>
    <xf numFmtId="0" fontId="30" fillId="0" borderId="1" xfId="0" applyFont="1" applyBorder="1" applyAlignment="1">
      <alignment shrinkToFit="1"/>
    </xf>
    <xf numFmtId="200" fontId="30" fillId="0" borderId="1" xfId="1" applyNumberFormat="1" applyFont="1" applyFill="1" applyBorder="1" applyAlignment="1">
      <alignment horizontal="center"/>
    </xf>
    <xf numFmtId="202" fontId="30" fillId="0" borderId="1" xfId="1" applyNumberFormat="1" applyFont="1" applyFill="1" applyBorder="1" applyAlignment="1"/>
    <xf numFmtId="188" fontId="75" fillId="0" borderId="1" xfId="1" applyNumberFormat="1" applyFont="1" applyFill="1" applyBorder="1" applyAlignment="1">
      <alignment vertical="center" wrapText="1"/>
    </xf>
    <xf numFmtId="206" fontId="30" fillId="0" borderId="1" xfId="0" applyNumberFormat="1" applyFont="1" applyBorder="1"/>
    <xf numFmtId="205" fontId="30" fillId="0" borderId="1" xfId="0" applyNumberFormat="1" applyFont="1" applyBorder="1"/>
    <xf numFmtId="205" fontId="30" fillId="46" borderId="1" xfId="0" applyNumberFormat="1" applyFont="1" applyFill="1" applyBorder="1"/>
    <xf numFmtId="0" fontId="57" fillId="11" borderId="0" xfId="0" applyFont="1" applyFill="1" applyAlignment="1">
      <alignment horizontal="center"/>
    </xf>
    <xf numFmtId="168" fontId="48" fillId="11" borderId="0" xfId="1" applyNumberFormat="1" applyFont="1" applyFill="1" applyAlignment="1">
      <alignment horizontal="center"/>
    </xf>
    <xf numFmtId="9" fontId="48" fillId="11" borderId="0" xfId="3" applyFont="1" applyFill="1" applyAlignment="1">
      <alignment horizontal="center"/>
    </xf>
    <xf numFmtId="168" fontId="48" fillId="11" borderId="0" xfId="1" applyNumberFormat="1" applyFont="1" applyFill="1" applyAlignment="1">
      <alignment horizontal="center" shrinkToFit="1"/>
    </xf>
    <xf numFmtId="168" fontId="48" fillId="11" borderId="0" xfId="1" applyNumberFormat="1" applyFont="1" applyFill="1" applyAlignment="1">
      <alignment shrinkToFit="1"/>
    </xf>
    <xf numFmtId="1" fontId="48" fillId="11" borderId="0" xfId="0" applyNumberFormat="1" applyFont="1" applyFill="1" applyAlignment="1">
      <alignment shrinkToFit="1"/>
    </xf>
    <xf numFmtId="9" fontId="48" fillId="11" borderId="0" xfId="3" applyFont="1" applyFill="1" applyAlignment="1">
      <alignment horizontal="center" shrinkToFit="1"/>
    </xf>
    <xf numFmtId="172" fontId="48" fillId="11" borderId="0" xfId="2" applyNumberFormat="1" applyFont="1" applyFill="1" applyAlignment="1">
      <alignment horizontal="center" shrinkToFit="1"/>
    </xf>
    <xf numFmtId="207" fontId="30" fillId="0" borderId="1" xfId="1" applyNumberFormat="1" applyFont="1" applyFill="1" applyBorder="1" applyAlignment="1"/>
    <xf numFmtId="167" fontId="30" fillId="0" borderId="1" xfId="1" applyNumberFormat="1" applyFont="1" applyFill="1" applyBorder="1" applyAlignment="1"/>
    <xf numFmtId="0" fontId="31" fillId="47" borderId="1" xfId="0" applyFont="1" applyFill="1" applyBorder="1" applyAlignment="1">
      <alignment horizontal="center" vertical="center" wrapText="1"/>
    </xf>
    <xf numFmtId="169" fontId="30" fillId="0" borderId="1" xfId="1" applyNumberFormat="1" applyFont="1" applyBorder="1" applyAlignment="1"/>
    <xf numFmtId="169" fontId="30" fillId="46" borderId="1" xfId="1" applyNumberFormat="1" applyFont="1" applyFill="1" applyBorder="1" applyAlignment="1"/>
    <xf numFmtId="165" fontId="30" fillId="0" borderId="1" xfId="1" applyFont="1" applyBorder="1" applyAlignment="1"/>
    <xf numFmtId="168" fontId="30" fillId="0" borderId="1" xfId="1" applyNumberFormat="1" applyFont="1" applyBorder="1" applyAlignment="1"/>
    <xf numFmtId="168" fontId="30" fillId="46" borderId="1" xfId="1" applyNumberFormat="1" applyFont="1" applyFill="1" applyBorder="1" applyAlignment="1"/>
    <xf numFmtId="9" fontId="75" fillId="0" borderId="1" xfId="3" applyFont="1" applyBorder="1" applyAlignment="1">
      <alignment vertical="center" wrapText="1"/>
    </xf>
    <xf numFmtId="9" fontId="75" fillId="46" borderId="1" xfId="3" applyFont="1" applyFill="1" applyBorder="1" applyAlignment="1">
      <alignment vertical="center" wrapText="1"/>
    </xf>
    <xf numFmtId="165" fontId="30" fillId="0" borderId="1" xfId="1" applyFont="1" applyBorder="1"/>
    <xf numFmtId="165" fontId="30" fillId="46" borderId="1" xfId="1" applyFont="1" applyFill="1" applyBorder="1"/>
    <xf numFmtId="172" fontId="30" fillId="0" borderId="1" xfId="0" applyNumberFormat="1" applyFont="1" applyBorder="1"/>
    <xf numFmtId="172" fontId="30" fillId="46" borderId="1" xfId="0" applyNumberFormat="1" applyFont="1" applyFill="1" applyBorder="1"/>
    <xf numFmtId="0" fontId="31" fillId="49" borderId="1" xfId="0" applyFont="1" applyFill="1" applyBorder="1" applyAlignment="1">
      <alignment horizontal="center" vertical="center" wrapText="1"/>
    </xf>
    <xf numFmtId="0" fontId="31" fillId="50" borderId="1" xfId="0" applyFont="1" applyFill="1" applyBorder="1" applyAlignment="1">
      <alignment horizontal="center" vertical="center" wrapText="1"/>
    </xf>
    <xf numFmtId="0" fontId="31" fillId="51" borderId="1" xfId="0" applyFont="1" applyFill="1" applyBorder="1" applyAlignment="1">
      <alignment horizontal="center" vertical="center" wrapText="1"/>
    </xf>
    <xf numFmtId="0" fontId="30" fillId="48" borderId="1" xfId="0" applyFont="1" applyFill="1" applyBorder="1" applyAlignment="1">
      <alignment horizontal="center" shrinkToFit="1"/>
    </xf>
    <xf numFmtId="0" fontId="30" fillId="0" borderId="1" xfId="0" applyFont="1" applyBorder="1" applyAlignment="1">
      <alignment horizontal="center" shrinkToFit="1"/>
    </xf>
    <xf numFmtId="208" fontId="75" fillId="0" borderId="1" xfId="1" applyNumberFormat="1" applyFont="1" applyBorder="1" applyAlignment="1">
      <alignment vertical="center" wrapText="1"/>
    </xf>
    <xf numFmtId="208" fontId="75" fillId="46" borderId="1" xfId="1" applyNumberFormat="1" applyFont="1" applyFill="1" applyBorder="1" applyAlignment="1">
      <alignment vertical="center" wrapText="1"/>
    </xf>
    <xf numFmtId="165" fontId="75" fillId="0" borderId="1" xfId="1" applyFont="1" applyBorder="1" applyAlignment="1">
      <alignment vertical="center" wrapText="1"/>
    </xf>
    <xf numFmtId="165" fontId="30" fillId="0" borderId="1" xfId="1" applyFont="1" applyBorder="1" applyAlignment="1">
      <alignment horizontal="center" vertical="center" wrapText="1"/>
    </xf>
    <xf numFmtId="165" fontId="30" fillId="0" borderId="1" xfId="1" applyFont="1" applyBorder="1" applyAlignment="1">
      <alignment horizontal="center"/>
    </xf>
    <xf numFmtId="1" fontId="30" fillId="0" borderId="1" xfId="1" applyNumberFormat="1" applyFont="1" applyFill="1" applyBorder="1" applyAlignment="1"/>
    <xf numFmtId="9" fontId="30" fillId="0" borderId="1" xfId="3" applyFont="1" applyFill="1" applyBorder="1" applyAlignment="1">
      <alignment horizontal="center" vertical="center" wrapText="1"/>
    </xf>
    <xf numFmtId="166" fontId="30" fillId="0" borderId="1" xfId="3" applyNumberFormat="1" applyFont="1" applyFill="1" applyBorder="1" applyAlignment="1">
      <alignment horizontal="center" vertical="center" wrapText="1"/>
    </xf>
    <xf numFmtId="1" fontId="30" fillId="0" borderId="1" xfId="0" applyNumberFormat="1" applyFont="1" applyBorder="1" applyAlignment="1">
      <alignment horizontal="center" vertical="center" wrapText="1"/>
    </xf>
    <xf numFmtId="9" fontId="30" fillId="0" borderId="1" xfId="3" applyFont="1" applyFill="1" applyBorder="1"/>
    <xf numFmtId="0" fontId="30" fillId="0" borderId="1" xfId="0" applyFont="1" applyBorder="1" applyAlignment="1">
      <alignment horizontal="center"/>
    </xf>
    <xf numFmtId="168" fontId="30" fillId="46" borderId="1" xfId="1" applyNumberFormat="1" applyFont="1" applyFill="1" applyBorder="1"/>
    <xf numFmtId="168" fontId="75" fillId="46" borderId="1" xfId="1" applyNumberFormat="1" applyFont="1" applyFill="1" applyBorder="1" applyAlignment="1">
      <alignment vertical="center" wrapText="1"/>
    </xf>
    <xf numFmtId="168" fontId="30" fillId="46" borderId="1" xfId="1" applyNumberFormat="1" applyFont="1" applyFill="1" applyBorder="1" applyAlignment="1">
      <alignment horizontal="center" vertical="center" wrapText="1"/>
    </xf>
    <xf numFmtId="168" fontId="30" fillId="46" borderId="1" xfId="1" applyNumberFormat="1" applyFont="1" applyFill="1" applyBorder="1" applyAlignment="1">
      <alignment horizontal="center"/>
    </xf>
    <xf numFmtId="194" fontId="9" fillId="0" borderId="0" xfId="0" applyNumberFormat="1" applyFont="1" applyAlignment="1">
      <alignment horizontal="center" vertical="center" wrapText="1"/>
    </xf>
    <xf numFmtId="194" fontId="9" fillId="0" borderId="8" xfId="0" applyNumberFormat="1" applyFont="1" applyBorder="1" applyAlignment="1">
      <alignment horizontal="center" vertical="center" wrapText="1"/>
    </xf>
    <xf numFmtId="194" fontId="9" fillId="0" borderId="0" xfId="3" applyNumberFormat="1" applyFont="1" applyBorder="1" applyAlignment="1">
      <alignment horizontal="center" vertical="center" wrapText="1"/>
    </xf>
    <xf numFmtId="194" fontId="9" fillId="0" borderId="8" xfId="3" applyNumberFormat="1" applyFont="1" applyBorder="1" applyAlignment="1">
      <alignment horizontal="center" vertical="center" wrapText="1"/>
    </xf>
    <xf numFmtId="209" fontId="7" fillId="0" borderId="10" xfId="0" applyNumberFormat="1" applyFont="1" applyBorder="1" applyAlignment="1">
      <alignment horizontal="center" vertical="center" wrapText="1"/>
    </xf>
    <xf numFmtId="209" fontId="7" fillId="0" borderId="11" xfId="0" applyNumberFormat="1" applyFont="1" applyBorder="1" applyAlignment="1">
      <alignment horizontal="center" vertical="center" wrapText="1"/>
    </xf>
    <xf numFmtId="194" fontId="20" fillId="0" borderId="0" xfId="3" applyNumberFormat="1" applyFont="1" applyBorder="1" applyAlignment="1">
      <alignment horizontal="center" vertical="center" shrinkToFit="1"/>
    </xf>
    <xf numFmtId="194" fontId="21" fillId="0" borderId="0" xfId="3" applyNumberFormat="1" applyFont="1" applyBorder="1" applyAlignment="1">
      <alignment horizontal="center" vertical="center" shrinkToFit="1"/>
    </xf>
    <xf numFmtId="194" fontId="19" fillId="0" borderId="8" xfId="3" applyNumberFormat="1" applyFont="1" applyBorder="1" applyAlignment="1">
      <alignment horizontal="center" vertical="center" shrinkToFit="1"/>
    </xf>
    <xf numFmtId="194" fontId="37" fillId="0" borderId="0" xfId="3" applyNumberFormat="1" applyFont="1" applyBorder="1" applyAlignment="1">
      <alignment horizontal="center" vertical="center" shrinkToFit="1"/>
    </xf>
    <xf numFmtId="194" fontId="24" fillId="0" borderId="0" xfId="3" applyNumberFormat="1" applyFont="1" applyBorder="1" applyAlignment="1">
      <alignment horizontal="center" vertical="center" shrinkToFit="1"/>
    </xf>
    <xf numFmtId="194" fontId="25" fillId="0" borderId="8" xfId="3" applyNumberFormat="1" applyFont="1" applyBorder="1" applyAlignment="1">
      <alignment horizontal="center" vertical="center" shrinkToFit="1"/>
    </xf>
    <xf numFmtId="194" fontId="37" fillId="0" borderId="0" xfId="3" applyNumberFormat="1" applyFont="1" applyBorder="1" applyAlignment="1">
      <alignment horizontal="center" vertical="center" wrapText="1"/>
    </xf>
    <xf numFmtId="194" fontId="24" fillId="0" borderId="0" xfId="3" applyNumberFormat="1" applyFont="1" applyBorder="1" applyAlignment="1">
      <alignment horizontal="center" vertical="center" wrapText="1"/>
    </xf>
    <xf numFmtId="194" fontId="25" fillId="0" borderId="8" xfId="3" applyNumberFormat="1" applyFont="1" applyBorder="1" applyAlignment="1">
      <alignment horizontal="center" vertical="center" wrapText="1"/>
    </xf>
    <xf numFmtId="209" fontId="7" fillId="0" borderId="0" xfId="0" applyNumberFormat="1" applyFont="1" applyAlignment="1">
      <alignment horizontal="center" vertical="center" wrapText="1"/>
    </xf>
    <xf numFmtId="209" fontId="7" fillId="0" borderId="8" xfId="0" applyNumberFormat="1" applyFont="1" applyBorder="1" applyAlignment="1">
      <alignment horizontal="center" vertical="center" wrapText="1"/>
    </xf>
    <xf numFmtId="0" fontId="80" fillId="20" borderId="1" xfId="0" applyFont="1" applyFill="1" applyBorder="1" applyAlignment="1">
      <alignment horizontal="center" vertical="center" wrapText="1"/>
    </xf>
    <xf numFmtId="0" fontId="61" fillId="20" borderId="1" xfId="0" applyFont="1" applyFill="1" applyBorder="1" applyAlignment="1">
      <alignment horizontal="left" vertical="center" wrapText="1"/>
    </xf>
    <xf numFmtId="9" fontId="48" fillId="11" borderId="0" xfId="3" applyFont="1" applyFill="1" applyAlignment="1">
      <alignment wrapText="1"/>
    </xf>
    <xf numFmtId="197" fontId="0" fillId="0" borderId="0" xfId="0" applyNumberFormat="1"/>
    <xf numFmtId="198" fontId="61" fillId="0" borderId="6" xfId="0" applyNumberFormat="1" applyFont="1" applyBorder="1" applyAlignment="1">
      <alignment horizontal="center" vertical="center" shrinkToFit="1"/>
    </xf>
    <xf numFmtId="198" fontId="61" fillId="0" borderId="6" xfId="0" applyNumberFormat="1" applyFont="1" applyBorder="1" applyAlignment="1">
      <alignment horizontal="center" vertical="center"/>
    </xf>
    <xf numFmtId="0" fontId="82" fillId="17" borderId="5" xfId="0" applyFont="1" applyFill="1" applyBorder="1" applyAlignment="1">
      <alignment horizontal="center" vertical="center" textRotation="90" wrapText="1"/>
    </xf>
    <xf numFmtId="0" fontId="82" fillId="17" borderId="1" xfId="0" applyFont="1" applyFill="1" applyBorder="1" applyAlignment="1">
      <alignment horizontal="center" vertical="center" textRotation="90" wrapText="1"/>
    </xf>
    <xf numFmtId="0" fontId="82" fillId="9" borderId="5" xfId="0" applyFont="1" applyFill="1" applyBorder="1" applyAlignment="1">
      <alignment horizontal="center" vertical="center" textRotation="90" wrapText="1"/>
    </xf>
    <xf numFmtId="0" fontId="82" fillId="9" borderId="1" xfId="0" applyFont="1" applyFill="1" applyBorder="1" applyAlignment="1">
      <alignment horizontal="center" vertical="center" textRotation="90" wrapText="1"/>
    </xf>
    <xf numFmtId="0" fontId="82" fillId="16" borderId="5" xfId="0" applyFont="1" applyFill="1" applyBorder="1" applyAlignment="1">
      <alignment horizontal="center" vertical="center" textRotation="90" wrapText="1"/>
    </xf>
    <xf numFmtId="0" fontId="82" fillId="16" borderId="1" xfId="0" applyFont="1" applyFill="1" applyBorder="1" applyAlignment="1">
      <alignment horizontal="center" vertical="center" textRotation="90" wrapText="1"/>
    </xf>
    <xf numFmtId="181" fontId="61" fillId="0" borderId="6" xfId="0" applyNumberFormat="1" applyFont="1" applyBorder="1" applyAlignment="1">
      <alignment horizontal="center" vertical="center"/>
    </xf>
    <xf numFmtId="0" fontId="4" fillId="35" borderId="31" xfId="0" applyFont="1" applyFill="1" applyBorder="1" applyAlignment="1">
      <alignment vertical="center" shrinkToFit="1"/>
    </xf>
    <xf numFmtId="198" fontId="4" fillId="35" borderId="31" xfId="0" applyNumberFormat="1" applyFont="1" applyFill="1" applyBorder="1" applyAlignment="1">
      <alignment horizontal="center" vertical="center"/>
    </xf>
    <xf numFmtId="169" fontId="4" fillId="35" borderId="5" xfId="0" applyNumberFormat="1" applyFont="1" applyFill="1" applyBorder="1" applyAlignment="1">
      <alignment horizontal="center" vertical="center"/>
    </xf>
    <xf numFmtId="169" fontId="4" fillId="35" borderId="6" xfId="0" applyNumberFormat="1" applyFont="1" applyFill="1" applyBorder="1" applyAlignment="1">
      <alignment horizontal="center" vertical="center"/>
    </xf>
    <xf numFmtId="0" fontId="4" fillId="35" borderId="32" xfId="0" applyFont="1" applyFill="1" applyBorder="1" applyAlignment="1">
      <alignment vertical="center" shrinkToFit="1"/>
    </xf>
    <xf numFmtId="198" fontId="4" fillId="35" borderId="32" xfId="0" applyNumberFormat="1" applyFont="1" applyFill="1" applyBorder="1" applyAlignment="1">
      <alignment horizontal="center" vertical="center"/>
    </xf>
    <xf numFmtId="169" fontId="4" fillId="35" borderId="19" xfId="0" applyNumberFormat="1" applyFont="1" applyFill="1" applyBorder="1" applyAlignment="1">
      <alignment horizontal="center" vertical="center"/>
    </xf>
    <xf numFmtId="169" fontId="4" fillId="35" borderId="20" xfId="0" applyNumberFormat="1" applyFont="1" applyFill="1" applyBorder="1" applyAlignment="1">
      <alignment horizontal="center" vertical="center"/>
    </xf>
    <xf numFmtId="198" fontId="4" fillId="46" borderId="5" xfId="0" applyNumberFormat="1" applyFont="1" applyFill="1" applyBorder="1" applyAlignment="1">
      <alignment horizontal="center" vertical="center" shrinkToFit="1"/>
    </xf>
    <xf numFmtId="198" fontId="4" fillId="46" borderId="1" xfId="0" applyNumberFormat="1" applyFont="1" applyFill="1" applyBorder="1" applyAlignment="1">
      <alignment horizontal="center" vertical="center" shrinkToFit="1"/>
    </xf>
    <xf numFmtId="198" fontId="61" fillId="46" borderId="6" xfId="0" applyNumberFormat="1" applyFont="1" applyFill="1" applyBorder="1" applyAlignment="1">
      <alignment horizontal="center" vertical="center" shrinkToFit="1"/>
    </xf>
    <xf numFmtId="198" fontId="4" fillId="46" borderId="5" xfId="0" applyNumberFormat="1" applyFont="1" applyFill="1" applyBorder="1" applyAlignment="1">
      <alignment horizontal="center" vertical="center"/>
    </xf>
    <xf numFmtId="198" fontId="4" fillId="46" borderId="1" xfId="0" applyNumberFormat="1" applyFont="1" applyFill="1" applyBorder="1" applyAlignment="1">
      <alignment horizontal="center" vertical="center"/>
    </xf>
    <xf numFmtId="198" fontId="61" fillId="46" borderId="6" xfId="0" applyNumberFormat="1" applyFont="1" applyFill="1" applyBorder="1" applyAlignment="1">
      <alignment horizontal="center" vertical="center"/>
    </xf>
    <xf numFmtId="198" fontId="4" fillId="46" borderId="19" xfId="0" applyNumberFormat="1" applyFont="1" applyFill="1" applyBorder="1" applyAlignment="1">
      <alignment horizontal="center" vertical="center"/>
    </xf>
    <xf numFmtId="198" fontId="4" fillId="46" borderId="22" xfId="0" applyNumberFormat="1" applyFont="1" applyFill="1" applyBorder="1" applyAlignment="1">
      <alignment horizontal="center" vertical="center"/>
    </xf>
    <xf numFmtId="198" fontId="61" fillId="46" borderId="20" xfId="0" applyNumberFormat="1" applyFont="1" applyFill="1" applyBorder="1" applyAlignment="1">
      <alignment horizontal="center" vertical="center"/>
    </xf>
    <xf numFmtId="181" fontId="4" fillId="8" borderId="5" xfId="0" applyNumberFormat="1" applyFont="1" applyFill="1" applyBorder="1" applyAlignment="1">
      <alignment horizontal="center" vertical="center"/>
    </xf>
    <xf numFmtId="181" fontId="4" fillId="8" borderId="1" xfId="0" applyNumberFormat="1" applyFont="1" applyFill="1" applyBorder="1" applyAlignment="1">
      <alignment horizontal="center" vertical="center"/>
    </xf>
    <xf numFmtId="181" fontId="61" fillId="8" borderId="6" xfId="0" applyNumberFormat="1" applyFont="1" applyFill="1" applyBorder="1" applyAlignment="1">
      <alignment horizontal="center" vertical="center"/>
    </xf>
    <xf numFmtId="181" fontId="4" fillId="8" borderId="19" xfId="0" applyNumberFormat="1" applyFont="1" applyFill="1" applyBorder="1" applyAlignment="1">
      <alignment horizontal="center" vertical="center"/>
    </xf>
    <xf numFmtId="181" fontId="4" fillId="8" borderId="22" xfId="0" applyNumberFormat="1" applyFont="1" applyFill="1" applyBorder="1" applyAlignment="1">
      <alignment horizontal="center" vertical="center"/>
    </xf>
    <xf numFmtId="181" fontId="61" fillId="8" borderId="20" xfId="0" applyNumberFormat="1" applyFont="1" applyFill="1" applyBorder="1" applyAlignment="1">
      <alignment horizontal="center" vertical="center"/>
    </xf>
    <xf numFmtId="181" fontId="4" fillId="7" borderId="5" xfId="0" applyNumberFormat="1" applyFont="1" applyFill="1" applyBorder="1" applyAlignment="1">
      <alignment horizontal="center" vertical="center"/>
    </xf>
    <xf numFmtId="181" fontId="4" fillId="7" borderId="1" xfId="0" applyNumberFormat="1" applyFont="1" applyFill="1" applyBorder="1" applyAlignment="1">
      <alignment horizontal="center" vertical="center"/>
    </xf>
    <xf numFmtId="181" fontId="61" fillId="7" borderId="6" xfId="0" applyNumberFormat="1" applyFont="1" applyFill="1" applyBorder="1" applyAlignment="1">
      <alignment horizontal="center" vertical="center"/>
    </xf>
    <xf numFmtId="181" fontId="4" fillId="7" borderId="19" xfId="0" applyNumberFormat="1" applyFont="1" applyFill="1" applyBorder="1" applyAlignment="1">
      <alignment horizontal="center" vertical="center"/>
    </xf>
    <xf numFmtId="181" fontId="4" fillId="7" borderId="22" xfId="0" applyNumberFormat="1" applyFont="1" applyFill="1" applyBorder="1" applyAlignment="1">
      <alignment horizontal="center" vertical="center"/>
    </xf>
    <xf numFmtId="181" fontId="61" fillId="7" borderId="20" xfId="0" applyNumberFormat="1" applyFont="1" applyFill="1" applyBorder="1" applyAlignment="1">
      <alignment horizontal="center" vertical="center"/>
    </xf>
    <xf numFmtId="168" fontId="4" fillId="0" borderId="0" xfId="1" applyNumberFormat="1" applyFont="1" applyFill="1" applyAlignment="1">
      <alignment shrinkToFit="1"/>
    </xf>
    <xf numFmtId="9" fontId="74" fillId="11" borderId="0" xfId="3" applyFont="1" applyFill="1"/>
    <xf numFmtId="0" fontId="74" fillId="11" borderId="0" xfId="0" applyFont="1" applyFill="1" applyAlignment="1">
      <alignment shrinkToFit="1"/>
    </xf>
    <xf numFmtId="9" fontId="74" fillId="11" borderId="0" xfId="3" applyFont="1" applyFill="1" applyAlignment="1">
      <alignment shrinkToFit="1"/>
    </xf>
    <xf numFmtId="166" fontId="74" fillId="11" borderId="0" xfId="3" applyNumberFormat="1" applyFont="1" applyFill="1" applyAlignment="1">
      <alignment shrinkToFit="1"/>
    </xf>
    <xf numFmtId="10" fontId="74" fillId="11" borderId="0" xfId="3" applyNumberFormat="1" applyFont="1" applyFill="1" applyAlignment="1">
      <alignment shrinkToFit="1"/>
    </xf>
    <xf numFmtId="165" fontId="74" fillId="11" borderId="0" xfId="1" applyFont="1" applyFill="1"/>
    <xf numFmtId="0" fontId="83" fillId="0" borderId="0" xfId="0" applyFont="1"/>
    <xf numFmtId="0" fontId="7" fillId="7" borderId="7" xfId="0" applyFont="1" applyFill="1" applyBorder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7" fillId="7" borderId="8" xfId="0" applyFont="1" applyFill="1" applyBorder="1" applyAlignment="1">
      <alignment horizontal="center" vertical="center" wrapText="1"/>
    </xf>
    <xf numFmtId="0" fontId="85" fillId="0" borderId="1" xfId="0" applyFont="1" applyBorder="1" applyAlignment="1">
      <alignment horizontal="left" vertical="center" shrinkToFit="1"/>
    </xf>
    <xf numFmtId="0" fontId="44" fillId="25" borderId="0" xfId="0" applyFont="1" applyFill="1"/>
    <xf numFmtId="0" fontId="44" fillId="25" borderId="0" xfId="0" applyFont="1" applyFill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52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30" fillId="2" borderId="0" xfId="0" applyFont="1" applyFill="1" applyAlignment="1">
      <alignment horizontal="center" vertical="center" wrapText="1"/>
    </xf>
    <xf numFmtId="0" fontId="30" fillId="2" borderId="0" xfId="0" applyFont="1" applyFill="1" applyAlignment="1">
      <alignment horizontal="center"/>
    </xf>
    <xf numFmtId="0" fontId="43" fillId="12" borderId="1" xfId="0" applyFont="1" applyFill="1" applyBorder="1" applyAlignment="1">
      <alignment horizontal="left" vertical="center"/>
    </xf>
    <xf numFmtId="168" fontId="4" fillId="0" borderId="1" xfId="1" applyNumberFormat="1" applyFont="1" applyBorder="1" applyAlignment="1">
      <alignment horizontal="center" vertical="center" shrinkToFit="1"/>
    </xf>
    <xf numFmtId="171" fontId="4" fillId="0" borderId="1" xfId="1" applyNumberFormat="1" applyFont="1" applyBorder="1" applyAlignment="1">
      <alignment horizontal="center" vertical="center" shrinkToFit="1"/>
    </xf>
    <xf numFmtId="0" fontId="3" fillId="25" borderId="0" xfId="0" applyFont="1" applyFill="1" applyAlignment="1">
      <alignment horizontal="center"/>
    </xf>
    <xf numFmtId="0" fontId="0" fillId="22" borderId="0" xfId="0" applyFill="1" applyAlignment="1">
      <alignment horizontal="left"/>
    </xf>
    <xf numFmtId="9" fontId="0" fillId="22" borderId="0" xfId="3" applyFont="1" applyFill="1" applyAlignment="1">
      <alignment horizontal="center"/>
    </xf>
    <xf numFmtId="168" fontId="0" fillId="22" borderId="0" xfId="1" applyNumberFormat="1" applyFont="1" applyFill="1" applyAlignment="1">
      <alignment horizontal="center"/>
    </xf>
    <xf numFmtId="0" fontId="0" fillId="22" borderId="0" xfId="0" applyFill="1" applyAlignment="1">
      <alignment horizontal="center"/>
    </xf>
    <xf numFmtId="0" fontId="50" fillId="53" borderId="0" xfId="0" applyFont="1" applyFill="1" applyAlignment="1">
      <alignment horizontal="left"/>
    </xf>
    <xf numFmtId="0" fontId="44" fillId="53" borderId="0" xfId="0" applyFont="1" applyFill="1" applyAlignment="1">
      <alignment horizontal="center" vertical="center" wrapText="1"/>
    </xf>
    <xf numFmtId="0" fontId="50" fillId="53" borderId="0" xfId="0" applyFont="1" applyFill="1" applyAlignment="1">
      <alignment horizontal="right" vertical="center"/>
    </xf>
    <xf numFmtId="0" fontId="50" fillId="53" borderId="0" xfId="0" applyFont="1" applyFill="1" applyAlignment="1">
      <alignment horizontal="left" vertical="center"/>
    </xf>
    <xf numFmtId="211" fontId="20" fillId="0" borderId="0" xfId="0" applyNumberFormat="1" applyFont="1" applyAlignment="1">
      <alignment horizontal="center" vertical="center" wrapText="1"/>
    </xf>
    <xf numFmtId="211" fontId="21" fillId="0" borderId="0" xfId="0" applyNumberFormat="1" applyFont="1" applyAlignment="1">
      <alignment horizontal="center" vertical="center" wrapText="1"/>
    </xf>
    <xf numFmtId="211" fontId="19" fillId="0" borderId="8" xfId="0" applyNumberFormat="1" applyFont="1" applyBorder="1" applyAlignment="1">
      <alignment horizontal="center" vertical="center" wrapText="1"/>
    </xf>
    <xf numFmtId="172" fontId="20" fillId="0" borderId="0" xfId="0" applyNumberFormat="1" applyFont="1" applyAlignment="1">
      <alignment horizontal="center" vertical="center" wrapText="1"/>
    </xf>
    <xf numFmtId="172" fontId="21" fillId="0" borderId="0" xfId="0" applyNumberFormat="1" applyFont="1" applyAlignment="1">
      <alignment horizontal="center" vertical="center" wrapText="1"/>
    </xf>
    <xf numFmtId="172" fontId="19" fillId="0" borderId="8" xfId="0" applyNumberFormat="1" applyFont="1" applyBorder="1" applyAlignment="1">
      <alignment horizontal="center" vertical="center" wrapText="1"/>
    </xf>
    <xf numFmtId="189" fontId="0" fillId="11" borderId="0" xfId="0" applyNumberFormat="1" applyFill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 vertical="center" shrinkToFit="1"/>
    </xf>
    <xf numFmtId="0" fontId="73" fillId="0" borderId="0" xfId="0" applyFont="1" applyAlignment="1">
      <alignment horizontal="center"/>
    </xf>
    <xf numFmtId="0" fontId="73" fillId="22" borderId="0" xfId="0" applyFont="1" applyFill="1" applyAlignment="1">
      <alignment horizontal="center"/>
    </xf>
    <xf numFmtId="0" fontId="73" fillId="0" borderId="0" xfId="0" applyFont="1"/>
    <xf numFmtId="0" fontId="3" fillId="5" borderId="0" xfId="0" applyFont="1" applyFill="1" applyAlignment="1">
      <alignment horizontal="center"/>
    </xf>
    <xf numFmtId="0" fontId="7" fillId="6" borderId="0" xfId="0" applyFont="1" applyFill="1" applyAlignment="1">
      <alignment horizontal="center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7" fillId="11" borderId="0" xfId="0" applyFont="1" applyFill="1" applyAlignment="1" applyProtection="1">
      <alignment horizontal="center" vertical="center" wrapText="1"/>
      <protection locked="0"/>
    </xf>
    <xf numFmtId="0" fontId="9" fillId="11" borderId="7" xfId="0" applyFont="1" applyFill="1" applyBorder="1" applyAlignment="1">
      <alignment horizontal="center" vertical="center" wrapText="1"/>
    </xf>
    <xf numFmtId="0" fontId="9" fillId="11" borderId="0" xfId="0" applyFont="1" applyFill="1" applyAlignment="1">
      <alignment horizontal="center" vertical="center" wrapText="1"/>
    </xf>
    <xf numFmtId="0" fontId="9" fillId="11" borderId="8" xfId="0" applyFont="1" applyFill="1" applyBorder="1" applyAlignment="1">
      <alignment horizontal="center" vertical="center" wrapText="1"/>
    </xf>
    <xf numFmtId="0" fontId="79" fillId="0" borderId="0" xfId="0" applyFont="1" applyAlignment="1">
      <alignment horizontal="center"/>
    </xf>
    <xf numFmtId="0" fontId="13" fillId="53" borderId="0" xfId="0" applyFont="1" applyFill="1" applyAlignment="1">
      <alignment horizontal="right"/>
    </xf>
    <xf numFmtId="0" fontId="43" fillId="4" borderId="0" xfId="0" applyFont="1" applyFill="1" applyAlignment="1">
      <alignment horizontal="center" vertical="center"/>
    </xf>
    <xf numFmtId="0" fontId="41" fillId="4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35" borderId="0" xfId="0" applyFont="1" applyFill="1" applyAlignment="1">
      <alignment horizontal="center" vertical="center"/>
    </xf>
    <xf numFmtId="0" fontId="41" fillId="4" borderId="30" xfId="0" applyFont="1" applyFill="1" applyBorder="1" applyAlignment="1">
      <alignment horizontal="center" vertical="center" wrapText="1"/>
    </xf>
    <xf numFmtId="0" fontId="45" fillId="34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 shrinkToFit="1"/>
    </xf>
    <xf numFmtId="0" fontId="10" fillId="16" borderId="0" xfId="0" applyFont="1" applyFill="1" applyAlignment="1">
      <alignment horizontal="center" vertical="center"/>
    </xf>
    <xf numFmtId="0" fontId="10" fillId="34" borderId="0" xfId="0" applyFont="1" applyFill="1" applyAlignment="1">
      <alignment horizontal="center" vertical="center"/>
    </xf>
    <xf numFmtId="0" fontId="51" fillId="0" borderId="0" xfId="0" applyFont="1" applyAlignment="1">
      <alignment horizontal="left" vertical="center"/>
    </xf>
    <xf numFmtId="166" fontId="52" fillId="0" borderId="24" xfId="3" applyNumberFormat="1" applyFont="1" applyBorder="1" applyAlignment="1">
      <alignment horizontal="center" vertical="center" shrinkToFit="1"/>
    </xf>
    <xf numFmtId="166" fontId="52" fillId="8" borderId="24" xfId="3" applyNumberFormat="1" applyFont="1" applyFill="1" applyBorder="1" applyAlignment="1">
      <alignment horizontal="center" vertical="center" shrinkToFit="1"/>
    </xf>
    <xf numFmtId="166" fontId="52" fillId="8" borderId="25" xfId="3" applyNumberFormat="1" applyFont="1" applyFill="1" applyBorder="1" applyAlignment="1">
      <alignment horizontal="center" vertical="center" shrinkToFit="1"/>
    </xf>
    <xf numFmtId="9" fontId="9" fillId="40" borderId="0" xfId="3" applyFont="1" applyFill="1" applyAlignment="1">
      <alignment horizontal="center" shrinkToFit="1"/>
    </xf>
    <xf numFmtId="9" fontId="9" fillId="0" borderId="0" xfId="3" applyFont="1" applyAlignment="1">
      <alignment horizontal="center" shrinkToFit="1"/>
    </xf>
    <xf numFmtId="0" fontId="41" fillId="39" borderId="0" xfId="0" applyFont="1" applyFill="1" applyAlignment="1">
      <alignment horizontal="center" vertical="center" wrapText="1"/>
    </xf>
    <xf numFmtId="9" fontId="43" fillId="39" borderId="0" xfId="3" applyFont="1" applyFill="1" applyAlignment="1">
      <alignment horizontal="center" vertical="center" shrinkToFit="1"/>
    </xf>
    <xf numFmtId="194" fontId="25" fillId="8" borderId="0" xfId="0" applyNumberFormat="1" applyFont="1" applyFill="1" applyAlignment="1">
      <alignment horizontal="center" shrinkToFit="1"/>
    </xf>
    <xf numFmtId="194" fontId="25" fillId="0" borderId="0" xfId="0" applyNumberFormat="1" applyFont="1" applyAlignment="1">
      <alignment horizontal="center" shrinkToFit="1"/>
    </xf>
    <xf numFmtId="194" fontId="54" fillId="42" borderId="0" xfId="0" applyNumberFormat="1" applyFont="1" applyFill="1" applyAlignment="1">
      <alignment horizontal="center" vertical="center" shrinkToFit="1"/>
    </xf>
    <xf numFmtId="0" fontId="41" fillId="41" borderId="0" xfId="0" applyFont="1" applyFill="1" applyAlignment="1">
      <alignment horizontal="center" vertical="center" wrapText="1"/>
    </xf>
    <xf numFmtId="0" fontId="57" fillId="11" borderId="0" xfId="0" applyFont="1" applyFill="1" applyAlignment="1">
      <alignment horizontal="center" shrinkToFit="1"/>
    </xf>
    <xf numFmtId="0" fontId="57" fillId="11" borderId="0" xfId="0" applyFont="1" applyFill="1" applyAlignment="1">
      <alignment horizontal="center" vertical="center" shrinkToFit="1"/>
    </xf>
    <xf numFmtId="0" fontId="0" fillId="0" borderId="0" xfId="0" applyAlignment="1">
      <alignment horizontal="center"/>
    </xf>
    <xf numFmtId="0" fontId="3" fillId="5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9" fillId="0" borderId="7" xfId="0" applyFont="1" applyBorder="1" applyAlignment="1">
      <alignment horizontal="left" vertical="center" wrapText="1" shrinkToFit="1"/>
    </xf>
    <xf numFmtId="0" fontId="9" fillId="0" borderId="0" xfId="0" applyFont="1" applyAlignment="1">
      <alignment horizontal="left" vertical="center" wrapText="1" shrinkToFit="1"/>
    </xf>
    <xf numFmtId="0" fontId="9" fillId="0" borderId="7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6" fillId="14" borderId="7" xfId="0" applyFont="1" applyFill="1" applyBorder="1" applyAlignment="1">
      <alignment horizontal="center" vertical="center" wrapText="1"/>
    </xf>
    <xf numFmtId="0" fontId="26" fillId="14" borderId="0" xfId="0" applyFont="1" applyFill="1" applyAlignment="1">
      <alignment horizontal="center" vertical="center" wrapText="1"/>
    </xf>
    <xf numFmtId="0" fontId="26" fillId="14" borderId="8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10" fillId="9" borderId="7" xfId="0" applyFont="1" applyFill="1" applyBorder="1" applyAlignment="1">
      <alignment horizontal="center" vertical="center" wrapText="1"/>
    </xf>
    <xf numFmtId="0" fontId="10" fillId="9" borderId="0" xfId="0" applyFont="1" applyFill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10" fillId="10" borderId="8" xfId="0" applyFont="1" applyFill="1" applyBorder="1" applyAlignment="1">
      <alignment horizontal="center" vertical="center" wrapText="1"/>
    </xf>
    <xf numFmtId="0" fontId="10" fillId="13" borderId="7" xfId="0" applyFont="1" applyFill="1" applyBorder="1" applyAlignment="1">
      <alignment horizontal="center" vertical="center" wrapText="1"/>
    </xf>
    <xf numFmtId="0" fontId="10" fillId="13" borderId="0" xfId="0" applyFont="1" applyFill="1" applyAlignment="1">
      <alignment horizontal="center" vertical="center" wrapText="1"/>
    </xf>
    <xf numFmtId="0" fontId="10" fillId="13" borderId="8" xfId="0" applyFont="1" applyFill="1" applyBorder="1" applyAlignment="1">
      <alignment horizontal="center" vertical="center" wrapText="1"/>
    </xf>
    <xf numFmtId="0" fontId="7" fillId="11" borderId="0" xfId="0" applyFont="1" applyFill="1" applyAlignment="1" applyProtection="1">
      <alignment horizontal="center" vertical="center" wrapText="1"/>
      <protection locked="0"/>
    </xf>
    <xf numFmtId="0" fontId="7" fillId="11" borderId="8" xfId="0" applyFont="1" applyFill="1" applyBorder="1" applyAlignment="1" applyProtection="1">
      <alignment horizontal="center" vertical="center" wrapText="1"/>
      <protection locked="0"/>
    </xf>
    <xf numFmtId="174" fontId="9" fillId="0" borderId="0" xfId="0" applyNumberFormat="1" applyFont="1" applyAlignment="1">
      <alignment horizontal="center" vertical="center" wrapText="1"/>
    </xf>
    <xf numFmtId="174" fontId="9" fillId="0" borderId="8" xfId="0" applyNumberFormat="1" applyFont="1" applyBorder="1" applyAlignment="1">
      <alignment horizontal="center" vertical="center" wrapText="1"/>
    </xf>
    <xf numFmtId="0" fontId="14" fillId="20" borderId="7" xfId="0" applyFont="1" applyFill="1" applyBorder="1" applyAlignment="1">
      <alignment horizontal="center" vertical="center" wrapText="1"/>
    </xf>
    <xf numFmtId="0" fontId="14" fillId="20" borderId="0" xfId="0" applyFont="1" applyFill="1" applyAlignment="1">
      <alignment horizontal="center" vertical="center" wrapText="1"/>
    </xf>
    <xf numFmtId="9" fontId="7" fillId="8" borderId="0" xfId="3" applyFont="1" applyFill="1" applyBorder="1" applyAlignment="1">
      <alignment horizontal="center" vertical="center" wrapText="1"/>
    </xf>
    <xf numFmtId="9" fontId="7" fillId="8" borderId="8" xfId="3" applyFont="1" applyFill="1" applyBorder="1" applyAlignment="1">
      <alignment horizontal="center" vertical="center" wrapText="1"/>
    </xf>
    <xf numFmtId="0" fontId="13" fillId="18" borderId="7" xfId="0" applyFont="1" applyFill="1" applyBorder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3" fillId="18" borderId="8" xfId="0" applyFont="1" applyFill="1" applyBorder="1" applyAlignment="1">
      <alignment horizontal="center" vertical="center" wrapText="1"/>
    </xf>
    <xf numFmtId="0" fontId="64" fillId="0" borderId="7" xfId="0" applyFont="1" applyBorder="1" applyAlignment="1">
      <alignment horizontal="left" vertical="center" shrinkToFit="1"/>
    </xf>
    <xf numFmtId="0" fontId="64" fillId="0" borderId="0" xfId="0" applyFont="1" applyAlignment="1">
      <alignment horizontal="left" vertical="center" shrinkToFit="1"/>
    </xf>
    <xf numFmtId="175" fontId="9" fillId="11" borderId="0" xfId="0" applyNumberFormat="1" applyFont="1" applyFill="1" applyAlignment="1" applyProtection="1">
      <alignment horizontal="center" vertical="center" wrapText="1"/>
      <protection locked="0"/>
    </xf>
    <xf numFmtId="175" fontId="9" fillId="11" borderId="8" xfId="0" applyNumberFormat="1" applyFont="1" applyFill="1" applyBorder="1" applyAlignment="1" applyProtection="1">
      <alignment horizontal="center" vertical="center" wrapText="1"/>
      <protection locked="0"/>
    </xf>
    <xf numFmtId="0" fontId="66" fillId="0" borderId="0" xfId="0" applyFont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9" fillId="12" borderId="7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9" fillId="12" borderId="8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>
      <alignment horizontal="center" vertical="center" wrapText="1"/>
    </xf>
    <xf numFmtId="0" fontId="9" fillId="11" borderId="0" xfId="0" applyFont="1" applyFill="1" applyAlignment="1">
      <alignment horizontal="center" vertical="center" wrapText="1"/>
    </xf>
    <xf numFmtId="0" fontId="9" fillId="11" borderId="8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26" fillId="9" borderId="7" xfId="0" applyFont="1" applyFill="1" applyBorder="1" applyAlignment="1">
      <alignment horizontal="center" vertical="center" wrapText="1"/>
    </xf>
    <xf numFmtId="0" fontId="26" fillId="9" borderId="0" xfId="0" applyFont="1" applyFill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9" fillId="43" borderId="1" xfId="0" applyFont="1" applyFill="1" applyBorder="1" applyAlignment="1">
      <alignment horizontal="center" vertical="center" wrapText="1"/>
    </xf>
    <xf numFmtId="0" fontId="26" fillId="17" borderId="7" xfId="0" applyFont="1" applyFill="1" applyBorder="1" applyAlignment="1">
      <alignment horizontal="center" vertical="center" wrapText="1"/>
    </xf>
    <xf numFmtId="0" fontId="26" fillId="17" borderId="0" xfId="0" applyFont="1" applyFill="1" applyAlignment="1">
      <alignment horizontal="center" vertical="center" wrapText="1"/>
    </xf>
    <xf numFmtId="0" fontId="26" fillId="17" borderId="8" xfId="0" applyFont="1" applyFill="1" applyBorder="1" applyAlignment="1">
      <alignment horizontal="center" vertical="center" wrapText="1"/>
    </xf>
    <xf numFmtId="0" fontId="12" fillId="53" borderId="2" xfId="0" applyFont="1" applyFill="1" applyBorder="1" applyAlignment="1">
      <alignment horizontal="center" vertical="center" wrapText="1"/>
    </xf>
    <xf numFmtId="0" fontId="12" fillId="53" borderId="3" xfId="0" applyFont="1" applyFill="1" applyBorder="1" applyAlignment="1">
      <alignment horizontal="center" vertical="center" wrapText="1"/>
    </xf>
    <xf numFmtId="0" fontId="12" fillId="53" borderId="4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horizontal="left" vertical="center" shrinkToFit="1"/>
    </xf>
    <xf numFmtId="0" fontId="15" fillId="0" borderId="55" xfId="0" applyFont="1" applyBorder="1" applyAlignment="1">
      <alignment horizontal="left" vertical="center" shrinkToFit="1"/>
    </xf>
    <xf numFmtId="0" fontId="11" fillId="11" borderId="1" xfId="0" applyFont="1" applyFill="1" applyBorder="1" applyAlignment="1" applyProtection="1">
      <alignment horizontal="center" vertical="center" shrinkToFit="1"/>
      <protection locked="0"/>
    </xf>
    <xf numFmtId="0" fontId="11" fillId="11" borderId="6" xfId="0" applyFont="1" applyFill="1" applyBorder="1" applyAlignment="1" applyProtection="1">
      <alignment horizontal="center" vertical="center" shrinkToFit="1"/>
      <protection locked="0"/>
    </xf>
    <xf numFmtId="0" fontId="11" fillId="11" borderId="1" xfId="0" applyFont="1" applyFill="1" applyBorder="1" applyAlignment="1" applyProtection="1">
      <alignment horizontal="center" vertical="center" wrapText="1"/>
      <protection locked="0"/>
    </xf>
    <xf numFmtId="0" fontId="11" fillId="11" borderId="6" xfId="0" applyFont="1" applyFill="1" applyBorder="1" applyAlignment="1" applyProtection="1">
      <alignment horizontal="center" vertical="center" wrapText="1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left" vertical="center" shrinkToFit="1"/>
    </xf>
    <xf numFmtId="0" fontId="15" fillId="0" borderId="49" xfId="0" applyFont="1" applyBorder="1" applyAlignment="1">
      <alignment horizontal="left" vertical="center" shrinkToFit="1"/>
    </xf>
    <xf numFmtId="0" fontId="11" fillId="43" borderId="1" xfId="0" applyFont="1" applyFill="1" applyBorder="1" applyAlignment="1">
      <alignment horizontal="center" vertical="center" shrinkToFit="1"/>
    </xf>
    <xf numFmtId="0" fontId="11" fillId="43" borderId="6" xfId="0" applyFont="1" applyFill="1" applyBorder="1" applyAlignment="1">
      <alignment horizontal="center" vertical="center" shrinkToFit="1"/>
    </xf>
    <xf numFmtId="0" fontId="65" fillId="11" borderId="1" xfId="0" applyFont="1" applyFill="1" applyBorder="1" applyAlignment="1" applyProtection="1">
      <alignment horizontal="center" vertical="center"/>
      <protection locked="0"/>
    </xf>
    <xf numFmtId="0" fontId="65" fillId="11" borderId="6" xfId="0" applyFont="1" applyFill="1" applyBorder="1" applyAlignment="1" applyProtection="1">
      <alignment horizontal="center" vertical="center"/>
      <protection locked="0"/>
    </xf>
    <xf numFmtId="209" fontId="9" fillId="0" borderId="0" xfId="0" applyNumberFormat="1" applyFont="1" applyAlignment="1">
      <alignment horizontal="center" vertical="center" wrapText="1"/>
    </xf>
    <xf numFmtId="209" fontId="9" fillId="0" borderId="8" xfId="0" applyNumberFormat="1" applyFont="1" applyBorder="1" applyAlignment="1">
      <alignment horizontal="center" vertical="center" wrapText="1"/>
    </xf>
    <xf numFmtId="0" fontId="26" fillId="21" borderId="7" xfId="0" applyFont="1" applyFill="1" applyBorder="1" applyAlignment="1">
      <alignment horizontal="center" vertical="center" wrapText="1"/>
    </xf>
    <xf numFmtId="0" fontId="26" fillId="21" borderId="0" xfId="0" applyFont="1" applyFill="1" applyAlignment="1">
      <alignment horizontal="center" vertical="center" wrapText="1"/>
    </xf>
    <xf numFmtId="0" fontId="26" fillId="21" borderId="8" xfId="0" applyFont="1" applyFill="1" applyBorder="1" applyAlignment="1">
      <alignment horizontal="center" vertical="center" wrapText="1"/>
    </xf>
    <xf numFmtId="9" fontId="9" fillId="0" borderId="0" xfId="3" applyFont="1" applyBorder="1" applyAlignment="1">
      <alignment horizontal="center" vertical="center" wrapText="1"/>
    </xf>
    <xf numFmtId="9" fontId="9" fillId="0" borderId="8" xfId="3" applyFont="1" applyBorder="1" applyAlignment="1">
      <alignment horizontal="center" vertical="center" wrapText="1"/>
    </xf>
    <xf numFmtId="2" fontId="9" fillId="8" borderId="0" xfId="0" applyNumberFormat="1" applyFont="1" applyFill="1" applyAlignment="1">
      <alignment horizontal="center" vertical="center" wrapText="1"/>
    </xf>
    <xf numFmtId="2" fontId="9" fillId="8" borderId="8" xfId="0" applyNumberFormat="1" applyFont="1" applyFill="1" applyBorder="1" applyAlignment="1">
      <alignment horizontal="center" vertical="center" wrapText="1"/>
    </xf>
    <xf numFmtId="174" fontId="9" fillId="8" borderId="0" xfId="0" applyNumberFormat="1" applyFont="1" applyFill="1" applyAlignment="1">
      <alignment horizontal="center" vertical="center" wrapText="1"/>
    </xf>
    <xf numFmtId="174" fontId="9" fillId="8" borderId="8" xfId="0" applyNumberFormat="1" applyFont="1" applyFill="1" applyBorder="1" applyAlignment="1">
      <alignment horizontal="center" vertical="center" wrapText="1"/>
    </xf>
    <xf numFmtId="0" fontId="26" fillId="16" borderId="7" xfId="0" applyFont="1" applyFill="1" applyBorder="1" applyAlignment="1">
      <alignment horizontal="center" vertical="center" wrapText="1"/>
    </xf>
    <xf numFmtId="0" fontId="26" fillId="16" borderId="0" xfId="0" applyFont="1" applyFill="1" applyAlignment="1">
      <alignment horizontal="center" vertical="center" wrapText="1"/>
    </xf>
    <xf numFmtId="0" fontId="26" fillId="16" borderId="8" xfId="0" applyFont="1" applyFill="1" applyBorder="1" applyAlignment="1">
      <alignment horizontal="center" vertical="center" wrapText="1"/>
    </xf>
    <xf numFmtId="0" fontId="64" fillId="0" borderId="7" xfId="0" applyFont="1" applyBorder="1" applyAlignment="1">
      <alignment horizontal="left" vertical="center" wrapText="1"/>
    </xf>
    <xf numFmtId="0" fontId="64" fillId="0" borderId="0" xfId="0" applyFont="1" applyAlignment="1">
      <alignment horizontal="left" vertical="center" wrapText="1"/>
    </xf>
    <xf numFmtId="175" fontId="36" fillId="11" borderId="0" xfId="0" applyNumberFormat="1" applyFont="1" applyFill="1" applyAlignment="1" applyProtection="1">
      <alignment horizontal="center" vertical="center" wrapText="1"/>
      <protection locked="0"/>
    </xf>
    <xf numFmtId="175" fontId="36" fillId="11" borderId="8" xfId="0" applyNumberFormat="1" applyFont="1" applyFill="1" applyBorder="1" applyAlignment="1" applyProtection="1">
      <alignment horizontal="center" vertical="center" wrapText="1"/>
      <protection locked="0"/>
    </xf>
    <xf numFmtId="0" fontId="16" fillId="15" borderId="8" xfId="0" applyFont="1" applyFill="1" applyBorder="1" applyAlignment="1">
      <alignment horizontal="center" vertical="center" wrapText="1"/>
    </xf>
    <xf numFmtId="0" fontId="36" fillId="9" borderId="7" xfId="0" applyFont="1" applyFill="1" applyBorder="1" applyAlignment="1">
      <alignment horizontal="center" vertical="center" wrapText="1"/>
    </xf>
    <xf numFmtId="0" fontId="36" fillId="9" borderId="0" xfId="0" applyFont="1" applyFill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26" fillId="19" borderId="7" xfId="0" applyFont="1" applyFill="1" applyBorder="1" applyAlignment="1">
      <alignment horizontal="center" vertical="center" wrapText="1"/>
    </xf>
    <xf numFmtId="0" fontId="26" fillId="19" borderId="0" xfId="0" applyFont="1" applyFill="1" applyAlignment="1">
      <alignment horizontal="center" vertical="center" wrapText="1"/>
    </xf>
    <xf numFmtId="0" fontId="26" fillId="19" borderId="8" xfId="0" applyFont="1" applyFill="1" applyBorder="1" applyAlignment="1">
      <alignment horizontal="center" vertical="center" wrapText="1"/>
    </xf>
    <xf numFmtId="9" fontId="8" fillId="0" borderId="0" xfId="3" applyFont="1" applyBorder="1" applyAlignment="1">
      <alignment horizontal="center" vertical="center" wrapText="1"/>
    </xf>
    <xf numFmtId="9" fontId="8" fillId="0" borderId="8" xfId="3" applyFont="1" applyBorder="1" applyAlignment="1">
      <alignment horizontal="center" vertical="center" wrapText="1"/>
    </xf>
    <xf numFmtId="0" fontId="14" fillId="20" borderId="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 shrinkToFit="1"/>
    </xf>
    <xf numFmtId="0" fontId="9" fillId="0" borderId="0" xfId="0" applyFont="1" applyAlignment="1">
      <alignment horizontal="left" vertical="center" shrinkToFit="1"/>
    </xf>
    <xf numFmtId="0" fontId="70" fillId="53" borderId="3" xfId="0" applyFont="1" applyFill="1" applyBorder="1" applyAlignment="1">
      <alignment horizontal="left" vertical="center" wrapText="1"/>
    </xf>
    <xf numFmtId="0" fontId="71" fillId="53" borderId="3" xfId="4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9" fillId="8" borderId="7" xfId="0" applyFont="1" applyFill="1" applyBorder="1" applyAlignment="1">
      <alignment horizontal="left" vertical="center" shrinkToFit="1"/>
    </xf>
    <xf numFmtId="0" fontId="9" fillId="8" borderId="0" xfId="0" applyFont="1" applyFill="1" applyAlignment="1">
      <alignment horizontal="left" vertical="center" shrinkToFit="1"/>
    </xf>
    <xf numFmtId="0" fontId="7" fillId="7" borderId="7" xfId="0" applyFont="1" applyFill="1" applyBorder="1" applyAlignment="1">
      <alignment horizontal="left" vertical="center" wrapText="1"/>
    </xf>
    <xf numFmtId="0" fontId="7" fillId="7" borderId="0" xfId="0" applyFont="1" applyFill="1" applyAlignment="1">
      <alignment horizontal="left" vertical="center" wrapText="1"/>
    </xf>
    <xf numFmtId="0" fontId="7" fillId="7" borderId="8" xfId="0" applyFont="1" applyFill="1" applyBorder="1" applyAlignment="1">
      <alignment horizontal="left" vertical="center" wrapText="1"/>
    </xf>
    <xf numFmtId="0" fontId="7" fillId="8" borderId="7" xfId="0" applyFont="1" applyFill="1" applyBorder="1" applyAlignment="1">
      <alignment horizontal="left" vertical="center" wrapText="1"/>
    </xf>
    <xf numFmtId="0" fontId="7" fillId="8" borderId="0" xfId="0" applyFont="1" applyFill="1" applyAlignment="1">
      <alignment horizontal="left" vertical="center" wrapText="1"/>
    </xf>
    <xf numFmtId="0" fontId="81" fillId="0" borderId="0" xfId="0" applyFont="1" applyAlignment="1">
      <alignment horizontal="left" vertical="center" wrapText="1"/>
    </xf>
    <xf numFmtId="210" fontId="9" fillId="0" borderId="0" xfId="0" applyNumberFormat="1" applyFont="1" applyAlignment="1">
      <alignment horizontal="center" vertical="center" wrapText="1"/>
    </xf>
    <xf numFmtId="210" fontId="9" fillId="0" borderId="8" xfId="0" applyNumberFormat="1" applyFont="1" applyBorder="1" applyAlignment="1">
      <alignment horizontal="center" vertical="center" wrapText="1"/>
    </xf>
    <xf numFmtId="210" fontId="7" fillId="0" borderId="0" xfId="0" applyNumberFormat="1" applyFont="1" applyAlignment="1">
      <alignment horizontal="center" vertical="center" wrapText="1"/>
    </xf>
    <xf numFmtId="210" fontId="7" fillId="0" borderId="8" xfId="0" applyNumberFormat="1" applyFont="1" applyBorder="1" applyAlignment="1">
      <alignment horizontal="center" vertical="center" wrapText="1"/>
    </xf>
    <xf numFmtId="0" fontId="72" fillId="45" borderId="42" xfId="0" applyFont="1" applyFill="1" applyBorder="1" applyAlignment="1" applyProtection="1">
      <alignment horizontal="center" vertical="center" wrapText="1"/>
      <protection locked="0"/>
    </xf>
    <xf numFmtId="0" fontId="72" fillId="45" borderId="0" xfId="0" applyFont="1" applyFill="1" applyAlignment="1" applyProtection="1">
      <alignment horizontal="center" vertical="center" wrapText="1"/>
      <protection locked="0"/>
    </xf>
    <xf numFmtId="0" fontId="72" fillId="0" borderId="42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 wrapText="1"/>
    </xf>
    <xf numFmtId="0" fontId="72" fillId="0" borderId="43" xfId="0" applyFont="1" applyBorder="1" applyAlignment="1">
      <alignment horizontal="center" vertical="center" wrapText="1"/>
    </xf>
    <xf numFmtId="203" fontId="30" fillId="46" borderId="1" xfId="1" applyNumberFormat="1" applyFont="1" applyFill="1" applyBorder="1" applyAlignment="1">
      <alignment horizontal="left"/>
    </xf>
    <xf numFmtId="0" fontId="79" fillId="0" borderId="0" xfId="0" applyFont="1" applyAlignment="1">
      <alignment horizontal="center"/>
    </xf>
    <xf numFmtId="0" fontId="76" fillId="17" borderId="1" xfId="0" applyFont="1" applyFill="1" applyBorder="1" applyAlignment="1">
      <alignment horizontal="center" vertical="center" wrapText="1"/>
    </xf>
    <xf numFmtId="203" fontId="30" fillId="0" borderId="1" xfId="1" applyNumberFormat="1" applyFont="1" applyBorder="1" applyAlignment="1">
      <alignment horizontal="left"/>
    </xf>
    <xf numFmtId="0" fontId="78" fillId="4" borderId="1" xfId="0" applyFont="1" applyFill="1" applyBorder="1" applyAlignment="1">
      <alignment horizontal="center"/>
    </xf>
    <xf numFmtId="0" fontId="78" fillId="9" borderId="1" xfId="0" applyFont="1" applyFill="1" applyBorder="1" applyAlignment="1">
      <alignment horizontal="center"/>
    </xf>
    <xf numFmtId="0" fontId="78" fillId="16" borderId="1" xfId="0" applyFont="1" applyFill="1" applyBorder="1" applyAlignment="1">
      <alignment horizontal="center"/>
    </xf>
    <xf numFmtId="0" fontId="78" fillId="25" borderId="1" xfId="0" applyFont="1" applyFill="1" applyBorder="1" applyAlignment="1">
      <alignment horizontal="center"/>
    </xf>
    <xf numFmtId="0" fontId="47" fillId="17" borderId="0" xfId="0" applyFont="1" applyFill="1" applyAlignment="1">
      <alignment horizontal="center" vertical="center"/>
    </xf>
    <xf numFmtId="0" fontId="13" fillId="53" borderId="0" xfId="0" applyFont="1" applyFill="1" applyAlignment="1">
      <alignment horizontal="right"/>
    </xf>
    <xf numFmtId="0" fontId="43" fillId="4" borderId="0" xfId="0" applyFont="1" applyFill="1" applyAlignment="1">
      <alignment horizontal="center" vertical="center"/>
    </xf>
    <xf numFmtId="0" fontId="41" fillId="4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35" borderId="0" xfId="0" applyFont="1" applyFill="1" applyAlignment="1">
      <alignment horizontal="center" vertical="center"/>
    </xf>
    <xf numFmtId="0" fontId="68" fillId="53" borderId="0" xfId="0" applyFont="1" applyFill="1"/>
    <xf numFmtId="0" fontId="41" fillId="4" borderId="30" xfId="0" applyFont="1" applyFill="1" applyBorder="1" applyAlignment="1">
      <alignment horizontal="center" vertical="center" wrapText="1"/>
    </xf>
    <xf numFmtId="0" fontId="41" fillId="4" borderId="31" xfId="0" applyFont="1" applyFill="1" applyBorder="1" applyAlignment="1">
      <alignment horizontal="center" vertical="center" wrapText="1"/>
    </xf>
    <xf numFmtId="0" fontId="41" fillId="17" borderId="46" xfId="0" applyFont="1" applyFill="1" applyBorder="1" applyAlignment="1">
      <alignment horizontal="center" vertical="center" wrapText="1"/>
    </xf>
    <xf numFmtId="0" fontId="41" fillId="17" borderId="44" xfId="0" applyFont="1" applyFill="1" applyBorder="1" applyAlignment="1">
      <alignment horizontal="center" vertical="center" wrapText="1"/>
    </xf>
    <xf numFmtId="0" fontId="41" fillId="17" borderId="47" xfId="0" applyFont="1" applyFill="1" applyBorder="1" applyAlignment="1">
      <alignment horizontal="center" vertical="center" wrapText="1"/>
    </xf>
    <xf numFmtId="0" fontId="62" fillId="0" borderId="10" xfId="0" applyFont="1" applyBorder="1" applyAlignment="1">
      <alignment horizontal="center" vertical="center"/>
    </xf>
    <xf numFmtId="0" fontId="41" fillId="17" borderId="17" xfId="0" applyFont="1" applyFill="1" applyBorder="1" applyAlignment="1">
      <alignment horizontal="center" vertical="center" wrapText="1"/>
    </xf>
    <xf numFmtId="0" fontId="41" fillId="17" borderId="21" xfId="0" applyFont="1" applyFill="1" applyBorder="1" applyAlignment="1">
      <alignment horizontal="center" vertical="center" wrapText="1"/>
    </xf>
    <xf numFmtId="0" fontId="41" fillId="17" borderId="18" xfId="0" applyFont="1" applyFill="1" applyBorder="1" applyAlignment="1">
      <alignment horizontal="center" vertical="center" wrapText="1"/>
    </xf>
    <xf numFmtId="171" fontId="41" fillId="9" borderId="17" xfId="0" applyNumberFormat="1" applyFont="1" applyFill="1" applyBorder="1" applyAlignment="1">
      <alignment horizontal="center" vertical="center" wrapText="1"/>
    </xf>
    <xf numFmtId="171" fontId="41" fillId="9" borderId="21" xfId="0" applyNumberFormat="1" applyFont="1" applyFill="1" applyBorder="1" applyAlignment="1">
      <alignment horizontal="center" vertical="center" wrapText="1"/>
    </xf>
    <xf numFmtId="171" fontId="41" fillId="9" borderId="18" xfId="0" applyNumberFormat="1" applyFont="1" applyFill="1" applyBorder="1" applyAlignment="1">
      <alignment horizontal="center" vertical="center" wrapText="1"/>
    </xf>
    <xf numFmtId="0" fontId="41" fillId="16" borderId="17" xfId="0" applyFont="1" applyFill="1" applyBorder="1" applyAlignment="1">
      <alignment horizontal="center" vertical="center" wrapText="1"/>
    </xf>
    <xf numFmtId="0" fontId="41" fillId="16" borderId="21" xfId="0" applyFont="1" applyFill="1" applyBorder="1" applyAlignment="1">
      <alignment horizontal="center" vertical="center" wrapText="1"/>
    </xf>
    <xf numFmtId="0" fontId="41" fillId="16" borderId="18" xfId="0" applyFont="1" applyFill="1" applyBorder="1" applyAlignment="1">
      <alignment horizontal="center" vertical="center" wrapText="1"/>
    </xf>
    <xf numFmtId="0" fontId="41" fillId="4" borderId="17" xfId="0" applyFont="1" applyFill="1" applyBorder="1" applyAlignment="1">
      <alignment horizontal="center" vertical="center" wrapText="1"/>
    </xf>
    <xf numFmtId="0" fontId="41" fillId="4" borderId="18" xfId="0" applyFont="1" applyFill="1" applyBorder="1" applyAlignment="1">
      <alignment horizontal="center" vertical="center" wrapText="1"/>
    </xf>
    <xf numFmtId="0" fontId="45" fillId="4" borderId="30" xfId="0" applyFont="1" applyFill="1" applyBorder="1" applyAlignment="1">
      <alignment horizontal="center" vertical="center" wrapText="1"/>
    </xf>
    <xf numFmtId="0" fontId="45" fillId="4" borderId="31" xfId="0" applyFont="1" applyFill="1" applyBorder="1" applyAlignment="1">
      <alignment horizontal="center" vertical="center" wrapText="1"/>
    </xf>
    <xf numFmtId="0" fontId="45" fillId="9" borderId="0" xfId="0" applyFont="1" applyFill="1" applyAlignment="1">
      <alignment horizontal="center" vertical="center"/>
    </xf>
    <xf numFmtId="0" fontId="15" fillId="0" borderId="0" xfId="0" applyFont="1" applyAlignment="1">
      <alignment horizontal="center"/>
    </xf>
    <xf numFmtId="0" fontId="45" fillId="25" borderId="0" xfId="0" applyFont="1" applyFill="1" applyAlignment="1">
      <alignment horizontal="center" vertical="center"/>
    </xf>
    <xf numFmtId="0" fontId="35" fillId="0" borderId="0" xfId="0" applyFont="1" applyAlignment="1">
      <alignment horizontal="center"/>
    </xf>
    <xf numFmtId="0" fontId="45" fillId="34" borderId="0" xfId="0" applyFont="1" applyFill="1" applyAlignment="1">
      <alignment horizontal="center" vertical="center"/>
    </xf>
    <xf numFmtId="0" fontId="45" fillId="34" borderId="29" xfId="0" applyFont="1" applyFill="1" applyBorder="1" applyAlignment="1">
      <alignment horizontal="center" vertical="center"/>
    </xf>
    <xf numFmtId="0" fontId="84" fillId="14" borderId="0" xfId="0" applyFont="1" applyFill="1" applyAlignment="1">
      <alignment horizontal="center" vertical="center" shrinkToFit="1"/>
    </xf>
    <xf numFmtId="0" fontId="41" fillId="9" borderId="46" xfId="0" applyFont="1" applyFill="1" applyBorder="1" applyAlignment="1">
      <alignment horizontal="center" vertical="center" wrapText="1"/>
    </xf>
    <xf numFmtId="0" fontId="41" fillId="9" borderId="44" xfId="0" applyFont="1" applyFill="1" applyBorder="1" applyAlignment="1">
      <alignment horizontal="center" vertical="center" wrapText="1"/>
    </xf>
    <xf numFmtId="0" fontId="41" fillId="9" borderId="47" xfId="0" applyFont="1" applyFill="1" applyBorder="1" applyAlignment="1">
      <alignment horizontal="center" vertical="center" wrapText="1"/>
    </xf>
    <xf numFmtId="0" fontId="41" fillId="9" borderId="24" xfId="0" applyFont="1" applyFill="1" applyBorder="1" applyAlignment="1">
      <alignment horizontal="center" vertical="center" wrapText="1"/>
    </xf>
    <xf numFmtId="0" fontId="41" fillId="9" borderId="48" xfId="0" applyFont="1" applyFill="1" applyBorder="1" applyAlignment="1">
      <alignment horizontal="center" vertical="center" wrapText="1"/>
    </xf>
    <xf numFmtId="0" fontId="13" fillId="53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 shrinkToFit="1"/>
    </xf>
    <xf numFmtId="0" fontId="10" fillId="16" borderId="29" xfId="0" applyFont="1" applyFill="1" applyBorder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10" fillId="3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1" fillId="0" borderId="0" xfId="0" applyFont="1" applyAlignment="1">
      <alignment horizontal="left" vertical="center"/>
    </xf>
    <xf numFmtId="0" fontId="84" fillId="14" borderId="0" xfId="0" applyFont="1" applyFill="1" applyAlignment="1">
      <alignment horizontal="left" vertical="center"/>
    </xf>
    <xf numFmtId="0" fontId="41" fillId="20" borderId="17" xfId="0" applyFont="1" applyFill="1" applyBorder="1" applyAlignment="1">
      <alignment horizontal="center" vertical="center" wrapText="1"/>
    </xf>
    <xf numFmtId="0" fontId="41" fillId="20" borderId="21" xfId="0" applyFont="1" applyFill="1" applyBorder="1" applyAlignment="1">
      <alignment horizontal="center" vertical="center" wrapText="1"/>
    </xf>
    <xf numFmtId="0" fontId="41" fillId="20" borderId="23" xfId="0" applyFont="1" applyFill="1" applyBorder="1" applyAlignment="1">
      <alignment horizontal="center" vertical="center" wrapText="1"/>
    </xf>
    <xf numFmtId="0" fontId="41" fillId="20" borderId="5" xfId="0" applyFont="1" applyFill="1" applyBorder="1" applyAlignment="1">
      <alignment horizontal="center" vertical="center" wrapText="1"/>
    </xf>
    <xf numFmtId="0" fontId="41" fillId="9" borderId="18" xfId="0" applyFont="1" applyFill="1" applyBorder="1" applyAlignment="1">
      <alignment horizontal="center" vertical="center" wrapText="1"/>
    </xf>
    <xf numFmtId="0" fontId="41" fillId="9" borderId="6" xfId="0" applyFont="1" applyFill="1" applyBorder="1" applyAlignment="1">
      <alignment horizontal="center" vertical="center" wrapText="1"/>
    </xf>
    <xf numFmtId="0" fontId="10" fillId="19" borderId="26" xfId="0" applyFont="1" applyFill="1" applyBorder="1" applyAlignment="1">
      <alignment horizontal="center" vertical="center"/>
    </xf>
    <xf numFmtId="0" fontId="10" fillId="19" borderId="27" xfId="0" applyFont="1" applyFill="1" applyBorder="1" applyAlignment="1">
      <alignment horizontal="center" vertical="center"/>
    </xf>
    <xf numFmtId="0" fontId="10" fillId="19" borderId="10" xfId="0" applyFont="1" applyFill="1" applyBorder="1" applyAlignment="1">
      <alignment horizontal="center" vertical="center"/>
    </xf>
    <xf numFmtId="0" fontId="10" fillId="19" borderId="28" xfId="0" applyFont="1" applyFill="1" applyBorder="1" applyAlignment="1">
      <alignment horizontal="center" vertical="center"/>
    </xf>
    <xf numFmtId="0" fontId="41" fillId="9" borderId="17" xfId="0" applyFont="1" applyFill="1" applyBorder="1" applyAlignment="1">
      <alignment horizontal="center" vertical="center" wrapText="1"/>
    </xf>
    <xf numFmtId="166" fontId="52" fillId="0" borderId="24" xfId="3" applyNumberFormat="1" applyFont="1" applyBorder="1" applyAlignment="1">
      <alignment horizontal="center" vertical="center" shrinkToFit="1"/>
    </xf>
    <xf numFmtId="166" fontId="52" fillId="0" borderId="48" xfId="3" applyNumberFormat="1" applyFont="1" applyBorder="1" applyAlignment="1">
      <alignment horizontal="center" vertical="center" shrinkToFit="1"/>
    </xf>
    <xf numFmtId="166" fontId="52" fillId="8" borderId="24" xfId="3" applyNumberFormat="1" applyFont="1" applyFill="1" applyBorder="1" applyAlignment="1">
      <alignment horizontal="center" vertical="center" shrinkToFit="1"/>
    </xf>
    <xf numFmtId="166" fontId="52" fillId="8" borderId="48" xfId="3" applyNumberFormat="1" applyFont="1" applyFill="1" applyBorder="1" applyAlignment="1">
      <alignment horizontal="center" vertical="center" shrinkToFit="1"/>
    </xf>
    <xf numFmtId="166" fontId="52" fillId="8" borderId="25" xfId="3" applyNumberFormat="1" applyFont="1" applyFill="1" applyBorder="1" applyAlignment="1">
      <alignment horizontal="center" vertical="center" shrinkToFit="1"/>
    </xf>
    <xf numFmtId="166" fontId="52" fillId="8" borderId="28" xfId="3" applyNumberFormat="1" applyFont="1" applyFill="1" applyBorder="1" applyAlignment="1">
      <alignment horizontal="center" vertical="center" shrinkToFit="1"/>
    </xf>
    <xf numFmtId="0" fontId="41" fillId="12" borderId="24" xfId="0" applyFont="1" applyFill="1" applyBorder="1" applyAlignment="1">
      <alignment horizontal="center" vertical="center" wrapText="1"/>
    </xf>
    <xf numFmtId="0" fontId="41" fillId="12" borderId="49" xfId="0" applyFont="1" applyFill="1" applyBorder="1" applyAlignment="1">
      <alignment horizontal="center" vertical="center" wrapText="1"/>
    </xf>
    <xf numFmtId="9" fontId="9" fillId="40" borderId="0" xfId="3" applyFont="1" applyFill="1" applyAlignment="1">
      <alignment horizontal="center" shrinkToFit="1"/>
    </xf>
    <xf numFmtId="9" fontId="9" fillId="0" borderId="0" xfId="3" applyFont="1" applyAlignment="1">
      <alignment horizontal="center" shrinkToFit="1"/>
    </xf>
    <xf numFmtId="0" fontId="41" fillId="39" borderId="0" xfId="0" applyFont="1" applyFill="1" applyAlignment="1">
      <alignment horizontal="center" vertical="center" wrapText="1"/>
    </xf>
    <xf numFmtId="9" fontId="43" fillId="39" borderId="0" xfId="3" applyFont="1" applyFill="1" applyAlignment="1">
      <alignment horizontal="center" vertical="center" shrinkToFit="1"/>
    </xf>
    <xf numFmtId="0" fontId="31" fillId="12" borderId="50" xfId="0" applyFont="1" applyFill="1" applyBorder="1" applyAlignment="1">
      <alignment horizontal="center" vertical="center" wrapText="1"/>
    </xf>
    <xf numFmtId="0" fontId="31" fillId="12" borderId="51" xfId="0" applyFont="1" applyFill="1" applyBorder="1" applyAlignment="1">
      <alignment horizontal="center" vertical="center" wrapText="1"/>
    </xf>
    <xf numFmtId="194" fontId="25" fillId="8" borderId="0" xfId="0" applyNumberFormat="1" applyFont="1" applyFill="1" applyAlignment="1">
      <alignment horizontal="center" shrinkToFit="1"/>
    </xf>
    <xf numFmtId="194" fontId="25" fillId="0" borderId="0" xfId="0" applyNumberFormat="1" applyFont="1" applyAlignment="1">
      <alignment horizontal="center" shrinkToFit="1"/>
    </xf>
    <xf numFmtId="194" fontId="54" fillId="42" borderId="0" xfId="0" applyNumberFormat="1" applyFont="1" applyFill="1" applyAlignment="1">
      <alignment horizontal="center" vertical="center" shrinkToFit="1"/>
    </xf>
    <xf numFmtId="0" fontId="41" fillId="41" borderId="0" xfId="0" applyFont="1" applyFill="1" applyAlignment="1">
      <alignment horizontal="center" vertical="center" wrapText="1"/>
    </xf>
    <xf numFmtId="0" fontId="46" fillId="41" borderId="0" xfId="0" applyFont="1" applyFill="1" applyAlignment="1">
      <alignment horizontal="center" vertical="center" wrapText="1"/>
    </xf>
    <xf numFmtId="194" fontId="25" fillId="0" borderId="0" xfId="0" applyNumberFormat="1" applyFont="1" applyAlignment="1">
      <alignment horizontal="right" shrinkToFit="1"/>
    </xf>
    <xf numFmtId="194" fontId="25" fillId="8" borderId="0" xfId="0" applyNumberFormat="1" applyFont="1" applyFill="1" applyAlignment="1">
      <alignment horizontal="right" shrinkToFit="1"/>
    </xf>
    <xf numFmtId="0" fontId="31" fillId="12" borderId="24" xfId="0" applyFont="1" applyFill="1" applyBorder="1" applyAlignment="1">
      <alignment horizontal="center" vertical="center" wrapText="1"/>
    </xf>
    <xf numFmtId="0" fontId="31" fillId="12" borderId="49" xfId="0" applyFont="1" applyFill="1" applyBorder="1" applyAlignment="1">
      <alignment horizontal="center" vertical="center" wrapText="1"/>
    </xf>
    <xf numFmtId="0" fontId="57" fillId="11" borderId="0" xfId="0" applyFont="1" applyFill="1" applyAlignment="1">
      <alignment horizontal="center" shrinkToFit="1"/>
    </xf>
    <xf numFmtId="0" fontId="57" fillId="11" borderId="0" xfId="0" applyFont="1" applyFill="1" applyAlignment="1">
      <alignment horizontal="center" vertical="center" shrinkToFit="1"/>
    </xf>
  </cellXfs>
  <cellStyles count="5">
    <cellStyle name="Hiperlink" xfId="4" builtinId="8"/>
    <cellStyle name="Moeda" xfId="2" builtinId="4"/>
    <cellStyle name="Normal" xfId="0" builtinId="0"/>
    <cellStyle name="Porcentagem" xfId="3" builtinId="5"/>
    <cellStyle name="Vírgula" xfId="1" builtinId="3"/>
  </cellStyles>
  <dxfs count="116">
    <dxf>
      <font>
        <color theme="2" tint="-9.9948118533890809E-2"/>
      </font>
    </dxf>
    <dxf>
      <font>
        <b val="0"/>
        <i val="0"/>
        <color auto="1"/>
      </font>
    </dxf>
    <dxf>
      <font>
        <condense val="0"/>
        <extend val="0"/>
        <color rgb="FF9C0006"/>
      </font>
    </dxf>
    <dxf>
      <font>
        <color theme="2" tint="-9.9948118533890809E-2"/>
      </font>
    </dxf>
    <dxf>
      <font>
        <color theme="0" tint="-4.9989318521683403E-2"/>
      </font>
    </dxf>
    <dxf>
      <font>
        <color rgb="FF00B050"/>
      </font>
    </dxf>
    <dxf>
      <font>
        <condense val="0"/>
        <extend val="0"/>
        <color rgb="FF9C0006"/>
      </font>
    </dxf>
    <dxf>
      <font>
        <b val="0"/>
        <i val="0"/>
        <color theme="5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b/>
        <i val="0"/>
        <color rgb="FFFF0000"/>
      </font>
    </dxf>
    <dxf>
      <font>
        <color theme="2"/>
      </font>
    </dxf>
    <dxf>
      <font>
        <color theme="0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 tint="-9.9948118533890809E-2"/>
      </font>
    </dxf>
    <dxf>
      <font>
        <color rgb="FF9C0006"/>
      </font>
    </dxf>
    <dxf>
      <font>
        <strike val="0"/>
        <color theme="0" tint="-4.9989318521683403E-2"/>
      </font>
    </dxf>
    <dxf>
      <font>
        <condense val="0"/>
        <extend val="0"/>
        <color rgb="FF9C0006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ndense val="0"/>
        <extend val="0"/>
        <color rgb="FF9C0006"/>
      </font>
    </dxf>
    <dxf>
      <font>
        <b/>
        <i val="0"/>
        <color theme="9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b/>
        <i val="0"/>
        <color theme="0"/>
      </font>
      <fill>
        <patternFill>
          <bgColor theme="4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color theme="2"/>
      </font>
    </dxf>
    <dxf>
      <font>
        <b/>
        <i/>
        <color rgb="FFFF0000"/>
      </font>
    </dxf>
    <dxf>
      <font>
        <color theme="2"/>
      </font>
    </dxf>
    <dxf>
      <font>
        <b/>
        <i val="0"/>
        <color rgb="FFFF0000"/>
      </font>
    </dxf>
    <dxf>
      <font>
        <color theme="2"/>
      </font>
    </dxf>
    <dxf>
      <font>
        <color theme="2"/>
      </font>
    </dxf>
    <dxf>
      <font>
        <b/>
        <i/>
        <color rgb="FFFF0000"/>
      </font>
    </dxf>
    <dxf>
      <font>
        <color theme="0" tint="-4.9989318521683403E-2"/>
      </font>
    </dxf>
    <dxf>
      <font>
        <color theme="2"/>
      </font>
    </dxf>
    <dxf>
      <font>
        <b val="0"/>
        <i val="0"/>
        <color theme="2" tint="-0.24994659260841701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 val="0"/>
        <i val="0"/>
        <color theme="2" tint="-0.24994659260841701"/>
      </font>
    </dxf>
    <dxf>
      <font>
        <b val="0"/>
        <i val="0"/>
        <color theme="2" tint="-0.24994659260841701"/>
      </font>
    </dxf>
    <dxf>
      <font>
        <b/>
        <i/>
        <color rgb="FFFF0000"/>
      </font>
    </dxf>
    <dxf>
      <font>
        <b/>
        <i/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72" formatCode="_-[$$-409]* #,##0.00_ ;_-[$$-409]* \-#,##0.00\ ;_-[$$-409]* &quot;-&quot;??_ ;_-@_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72" formatCode="_-[$$-409]* #,##0.00_ ;_-[$$-409]* \-#,##0.00\ ;_-[$$-409]* &quot;-&quot;??_ ;_-@_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72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4" formatCode="_-[$$-409]* #,##0.00,,_ ;_-[$$-409]* \-#,##0.00,,\ ;_-[$$-409]* &quot;-&quot;??_ ;_-@_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0" formatCode="#,##0.0,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9" formatCode="0.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entury Gothic"/>
        <family val="2"/>
        <scheme val="none"/>
      </font>
      <numFmt numFmtId="188" formatCode="[$$-409]#,##0_ ;\-[$$-409]#,##0\ 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entury Gothic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entury Gothic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entury Gothic"/>
        <family val="2"/>
        <scheme val="none"/>
      </font>
      <numFmt numFmtId="188" formatCode="[$$-409]#,##0_ ;\-[$$-409]#,##0\ 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6" formatCode="_-* #,##0.0,,,_-;\-* #,##0.0,,,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167" formatCode="_-* #,##0.0_-;\-* #,##0.0_-;_-* &quot;-&quot;??_-;_-@_-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7" formatCode="#,##0,_ ;\-#,##0,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202" formatCode="_-* #,##0.0,,_-;\-* #,##0.0,,_-;_-* &quot;-&quot;??_-;_-@_-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alignment horizontal="center" vertical="bottom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entury Gothic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 Gothic"/>
        <family val="2"/>
        <scheme val="none"/>
      </font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</dxf>
    <dxf>
      <numFmt numFmtId="168" formatCode="_-* #,##0_-;\-* #,##0_-;_-* &quot;-&quot;??_-;_-@_-"/>
    </dxf>
    <dxf>
      <alignment horizontal="left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fill>
        <patternFill patternType="solid">
          <fgColor indexed="64"/>
          <bgColor theme="5"/>
        </patternFill>
      </fill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fill>
        <patternFill patternType="solid">
          <fgColor indexed="64"/>
          <bgColor theme="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family val="2"/>
        <scheme val="none"/>
      </font>
      <alignment horizontal="center" vertical="center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colors>
    <mruColors>
      <color rgb="FF00B050"/>
      <color rgb="FFFFFF00"/>
      <color rgb="FFFF0000"/>
      <color rgb="FFFF5353"/>
      <color rgb="FFFF0D0D"/>
      <color rgb="FF8DB4E3"/>
      <color rgb="FFEDF6F9"/>
      <color rgb="FFC00000"/>
      <color rgb="FFF57E1B"/>
      <color rgb="FFEFEC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1.xml"/><Relationship Id="rId25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19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077823271653394"/>
          <c:y val="0.17288593165830271"/>
          <c:w val="0.60570560692111775"/>
          <c:h val="0.844881128592924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0-2944-409F-A8E6-372D4B75C64A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944-409F-A8E6-372D4B75C64A}"/>
              </c:ext>
            </c:extLst>
          </c:dPt>
          <c:dLbls>
            <c:dLbl>
              <c:idx val="0"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44-409F-A8E6-372D4B75C64A}"/>
                </c:ext>
              </c:extLst>
            </c:dLbl>
            <c:dLbl>
              <c:idx val="1"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44-409F-A8E6-372D4B75C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'Market Analyzes'!$B$80:$B$81</c:f>
              <c:strCache>
                <c:ptCount val="2"/>
                <c:pt idx="0">
                  <c:v>Global MSE</c:v>
                </c:pt>
                <c:pt idx="1">
                  <c:v>Local MSE</c:v>
                </c:pt>
              </c:strCache>
            </c:strRef>
          </c:cat>
          <c:val>
            <c:numRef>
              <c:f>'Market Analyzes'!$C$80:$C$81</c:f>
              <c:numCache>
                <c:formatCode>[$$-409]#,##0</c:formatCode>
                <c:ptCount val="2"/>
                <c:pt idx="0">
                  <c:v>500000</c:v>
                </c:pt>
                <c:pt idx="1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D-A34F-A10C-147BBE61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</c:pieChart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300" b="1">
          <a:solidFill>
            <a:sysClr val="windowText" lastClr="000000"/>
          </a:solidFill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74" footer="0.3149606200000027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Language!$C$346</c:f>
          <c:strCache>
            <c:ptCount val="1"/>
            <c:pt idx="0">
              <c:v>PIB per capita (Y) VS População (X) VS LN GDP (tamanho do círculo)</c:v>
            </c:pt>
          </c:strCache>
        </c:strRef>
      </c:tx>
      <c:layout>
        <c:manualLayout>
          <c:xMode val="edge"/>
          <c:yMode val="edge"/>
          <c:x val="0.15081325495132994"/>
          <c:y val="6.7358818303565509E-3"/>
        </c:manualLayout>
      </c:layout>
      <c:overlay val="1"/>
      <c:txPr>
        <a:bodyPr/>
        <a:lstStyle/>
        <a:p>
          <a:pPr>
            <a:defRPr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232217725468683"/>
          <c:y val="0.18287166324541707"/>
          <c:w val="0.82308638356757524"/>
          <c:h val="0.67553098107853671"/>
        </c:manualLayout>
      </c:layout>
      <c:bubbleChart>
        <c:varyColors val="0"/>
        <c:ser>
          <c:idx val="0"/>
          <c:order val="0"/>
          <c:tx>
            <c:strRef>
              <c:f>'GDP and Pop. Country Comparison'!$C$2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Comparison'!$D$2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Comparison'!$E$2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Comparison'!$G$2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A884-D348-A6EA-4D82D7C358B1}"/>
            </c:ext>
          </c:extLst>
        </c:ser>
        <c:ser>
          <c:idx val="1"/>
          <c:order val="1"/>
          <c:tx>
            <c:strRef>
              <c:f>'GDP and Pop. Country Comparison'!$C$3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Comparison'!$D$3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Comparison'!$E$3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Comparison'!$G$3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A884-D348-A6EA-4D82D7C358B1}"/>
            </c:ext>
          </c:extLst>
        </c:ser>
        <c:ser>
          <c:idx val="2"/>
          <c:order val="2"/>
          <c:tx>
            <c:strRef>
              <c:f>'GDP and Pop. Country Comparison'!$C$4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Comparison'!$D$4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Comparison'!$E$4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Comparison'!$G$4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A884-D348-A6EA-4D82D7C358B1}"/>
            </c:ext>
          </c:extLst>
        </c:ser>
        <c:ser>
          <c:idx val="3"/>
          <c:order val="3"/>
          <c:tx>
            <c:strRef>
              <c:f>'GDP and Pop. Country Comparison'!$C$5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Comparison'!$E$5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Comparison'!$G$5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A884-D348-A6EA-4D82D7C358B1}"/>
            </c:ext>
          </c:extLst>
        </c:ser>
        <c:ser>
          <c:idx val="4"/>
          <c:order val="4"/>
          <c:tx>
            <c:strRef>
              <c:f>'GDP and Pop. Country Comparison'!$C$6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Comparison'!$D$6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Comparison'!$E$6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Comparison'!$G$6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A884-D348-A6EA-4D82D7C358B1}"/>
            </c:ext>
          </c:extLst>
        </c:ser>
        <c:ser>
          <c:idx val="5"/>
          <c:order val="5"/>
          <c:tx>
            <c:strRef>
              <c:f>'GDP and Pop. Country Comparison'!$C$7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Comparison'!$D$7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Comparison'!$E$7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Comparison'!$G$7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A884-D348-A6EA-4D82D7C358B1}"/>
            </c:ext>
          </c:extLst>
        </c:ser>
        <c:ser>
          <c:idx val="6"/>
          <c:order val="6"/>
          <c:tx>
            <c:strRef>
              <c:f>'GDP and Pop. Country Comparison'!$C$8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Comparison'!$D$8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Comparison'!$E$8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Comparison'!$G$8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6-A884-D348-A6EA-4D82D7C358B1}"/>
            </c:ext>
          </c:extLst>
        </c:ser>
        <c:ser>
          <c:idx val="7"/>
          <c:order val="7"/>
          <c:tx>
            <c:strRef>
              <c:f>'GDP and Pop. Country Comparison'!$C$9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Comparison'!$D$9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Comparison'!$E$9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Comparison'!$G$9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7-A884-D348-A6EA-4D82D7C358B1}"/>
            </c:ext>
          </c:extLst>
        </c:ser>
        <c:ser>
          <c:idx val="8"/>
          <c:order val="8"/>
          <c:tx>
            <c:strRef>
              <c:f>'GDP and Pop. Country Comparison'!$C$10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Comparison'!$D$10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Comparison'!$E$10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Comparison'!$G$10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8-A884-D348-A6EA-4D82D7C358B1}"/>
            </c:ext>
          </c:extLst>
        </c:ser>
        <c:ser>
          <c:idx val="9"/>
          <c:order val="9"/>
          <c:tx>
            <c:strRef>
              <c:f>'GDP and Pop. Country Comparison'!$C$11</c:f>
              <c:strCache>
                <c:ptCount val="1"/>
              </c:strCache>
            </c:strRef>
          </c:tx>
          <c:spPr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strRef>
              <c:f>'GDP and Pop. Country Comparison'!$D$11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'GDP and Pop. Country Comparison'!$E$11</c:f>
              <c:numCache>
                <c:formatCode>_-[$$-409]* #,##0_ ;_-[$$-409]* \-#,##0\ ;_-[$$-409]* "-"??_ ;_-@_ </c:formatCode>
                <c:ptCount val="1"/>
                <c:pt idx="0">
                  <c:v>0</c:v>
                </c:pt>
              </c:numCache>
            </c:numRef>
          </c:yVal>
          <c:bubbleSize>
            <c:numRef>
              <c:f>'GDP and Pop. Country Comparison'!$G$11</c:f>
              <c:numCache>
                <c:formatCode>General</c:formatCode>
                <c:ptCount val="1"/>
                <c:pt idx="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9-A884-D348-A6EA-4D82D7C35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536205568"/>
        <c:axId val="536220416"/>
      </c:bubbleChart>
      <c:valAx>
        <c:axId val="536205568"/>
        <c:scaling>
          <c:orientation val="minMax"/>
          <c:min val="1"/>
        </c:scaling>
        <c:delete val="0"/>
        <c:axPos val="b"/>
        <c:majorGridlines>
          <c:spPr>
            <a:ln>
              <a:prstDash val="sysDash"/>
            </a:ln>
          </c:spPr>
        </c:majorGridlines>
        <c:title>
          <c:tx>
            <c:strRef>
              <c:f>Language!$C$340</c:f>
              <c:strCache>
                <c:ptCount val="1"/>
                <c:pt idx="0">
                  <c:v>População (milhões)</c:v>
                </c:pt>
              </c:strCache>
            </c:strRef>
          </c:tx>
          <c:layout>
            <c:manualLayout>
              <c:xMode val="edge"/>
              <c:yMode val="edge"/>
              <c:x val="0.29692300593081844"/>
              <c:y val="0.94751607727700649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pt-BR"/>
            </a:p>
          </c:txPr>
        </c:title>
        <c:numFmt formatCode="_-* #,##0_-;\-* #,##0_-;_-* &quot;-&quot;??_-;_-@_-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536220416"/>
        <c:crosses val="autoZero"/>
        <c:crossBetween val="midCat"/>
        <c:dispUnits>
          <c:builtInUnit val="millions"/>
        </c:dispUnits>
      </c:valAx>
      <c:valAx>
        <c:axId val="536220416"/>
        <c:scaling>
          <c:orientation val="minMax"/>
          <c:min val="0"/>
        </c:scaling>
        <c:delete val="0"/>
        <c:axPos val="l"/>
        <c:majorGridlines>
          <c:spPr>
            <a:ln>
              <a:prstDash val="sysDash"/>
            </a:ln>
          </c:spPr>
        </c:majorGridlines>
        <c:title>
          <c:tx>
            <c:strRef>
              <c:f>Language!$C$26</c:f>
              <c:strCache>
                <c:ptCount val="1"/>
                <c:pt idx="0">
                  <c:v>PIB per capita (U$ dólar)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pt-BR"/>
            </a:p>
          </c:txPr>
        </c:title>
        <c:numFmt formatCode="_-[$$-409]* #,##0_ ;_-[$$-409]* \-#,##0\ ;_-[$$-409]* &quot;-&quot;??_ ;_-@_ " sourceLinked="1"/>
        <c:majorTickMark val="out"/>
        <c:minorTickMark val="none"/>
        <c:tickLblPos val="nextTo"/>
        <c:crossAx val="536205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74" footer="0.3149606200000027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Market Penetration per Region: active countries</a:t>
            </a:r>
          </a:p>
        </c:rich>
      </c:tx>
      <c:overlay val="0"/>
    </c:title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0"/>
        <c:ser>
          <c:idx val="1"/>
          <c:order val="0"/>
          <c:tx>
            <c:strRef>
              <c:f>'Result data'!$N$25</c:f>
              <c:strCache>
                <c:ptCount val="1"/>
                <c:pt idx="0">
                  <c:v> Asia &amp; Pacific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data'!$O$25:$Z$25</c:f>
              <c:numCache>
                <c:formatCode>0.00%</c:formatCode>
                <c:ptCount val="12"/>
                <c:pt idx="0">
                  <c:v>1.556798147092431E-2</c:v>
                </c:pt>
                <c:pt idx="1">
                  <c:v>8.1883059066359832E-3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6-4BCA-9AAB-4A2A4AFD80CB}"/>
            </c:ext>
          </c:extLst>
        </c:ser>
        <c:ser>
          <c:idx val="2"/>
          <c:order val="1"/>
          <c:tx>
            <c:strRef>
              <c:f>'Result data'!$N$26</c:f>
              <c:strCache>
                <c:ptCount val="1"/>
                <c:pt idx="0">
                  <c:v> Central America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data'!$O$26:$Z$26</c:f>
              <c:numCache>
                <c:formatCode>0.00%</c:formatCode>
                <c:ptCount val="12"/>
                <c:pt idx="0">
                  <c:v>0</c:v>
                </c:pt>
                <c:pt idx="1">
                  <c:v>7.1164180133485144E-3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6-4BCA-9AAB-4A2A4AFD80CB}"/>
            </c:ext>
          </c:extLst>
        </c:ser>
        <c:ser>
          <c:idx val="3"/>
          <c:order val="2"/>
          <c:tx>
            <c:strRef>
              <c:f>'Result data'!$N$27</c:f>
              <c:strCache>
                <c:ptCount val="1"/>
                <c:pt idx="0">
                  <c:v> Europe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data'!$O$27:$Z$27</c:f>
              <c:numCache>
                <c:formatCode>0.00%</c:formatCode>
                <c:ptCount val="12"/>
                <c:pt idx="0">
                  <c:v>0</c:v>
                </c:pt>
                <c:pt idx="1">
                  <c:v>1.6406456576401298E-2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BCA-9AAB-4A2A4AFD80CB}"/>
            </c:ext>
          </c:extLst>
        </c:ser>
        <c:ser>
          <c:idx val="4"/>
          <c:order val="3"/>
          <c:tx>
            <c:strRef>
              <c:f>'Result data'!$N$28</c:f>
              <c:strCache>
                <c:ptCount val="1"/>
                <c:pt idx="0">
                  <c:v> European Union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data'!$O$28:$Z$28</c:f>
              <c:numCache>
                <c:formatCode>0.00%</c:formatCode>
                <c:ptCount val="12"/>
                <c:pt idx="0">
                  <c:v>1.785186031291746E-2</c:v>
                </c:pt>
                <c:pt idx="1">
                  <c:v>3.2321526755707375E-2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BCA-9AAB-4A2A4AFD80CB}"/>
            </c:ext>
          </c:extLst>
        </c:ser>
        <c:ser>
          <c:idx val="5"/>
          <c:order val="4"/>
          <c:tx>
            <c:strRef>
              <c:f>'Result data'!$N$29</c:f>
              <c:strCache>
                <c:ptCount val="1"/>
                <c:pt idx="0">
                  <c:v> 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data'!$O$29:$Z$29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BCA-9AAB-4A2A4AFD80CB}"/>
            </c:ext>
          </c:extLst>
        </c:ser>
        <c:ser>
          <c:idx val="6"/>
          <c:order val="5"/>
          <c:tx>
            <c:strRef>
              <c:f>'Result data'!$N$30</c:f>
              <c:strCache>
                <c:ptCount val="1"/>
                <c:pt idx="0">
                  <c:v> North America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data'!$O$30:$Z$30</c:f>
              <c:numCache>
                <c:formatCode>0.00%</c:formatCode>
                <c:ptCount val="12"/>
                <c:pt idx="0">
                  <c:v>1.2674953443705204E-2</c:v>
                </c:pt>
                <c:pt idx="1">
                  <c:v>2.5957989388566707E-2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E6-4BCA-9AAB-4A2A4AFD80CB}"/>
            </c:ext>
          </c:extLst>
        </c:ser>
        <c:ser>
          <c:idx val="7"/>
          <c:order val="6"/>
          <c:tx>
            <c:strRef>
              <c:f>'Result data'!$N$31</c:f>
              <c:strCache>
                <c:ptCount val="1"/>
                <c:pt idx="0">
                  <c:v> 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data'!$O$31:$Z$31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E6-4BCA-9AAB-4A2A4AFD80CB}"/>
            </c:ext>
          </c:extLst>
        </c:ser>
        <c:ser>
          <c:idx val="8"/>
          <c:order val="7"/>
          <c:tx>
            <c:strRef>
              <c:f>'Result data'!$N$32</c:f>
              <c:strCache>
                <c:ptCount val="1"/>
                <c:pt idx="0">
                  <c:v> 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data'!$O$32:$Z$32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E6-4BCA-9AAB-4A2A4AFD80CB}"/>
            </c:ext>
          </c:extLst>
        </c:ser>
        <c:ser>
          <c:idx val="9"/>
          <c:order val="8"/>
          <c:tx>
            <c:strRef>
              <c:f>'Result data'!$N$33</c:f>
              <c:strCache>
                <c:ptCount val="1"/>
                <c:pt idx="0">
                  <c:v> 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data'!$O$33:$Z$33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E6-4BCA-9AAB-4A2A4AFD80CB}"/>
            </c:ext>
          </c:extLst>
        </c:ser>
        <c:ser>
          <c:idx val="10"/>
          <c:order val="9"/>
          <c:tx>
            <c:strRef>
              <c:f>'Result data'!$N$34</c:f>
              <c:strCache>
                <c:ptCount val="1"/>
                <c:pt idx="0">
                  <c:v>  </c:v>
                </c:pt>
              </c:strCache>
            </c:strRef>
          </c:tx>
          <c:cat>
            <c:numRef>
              <c:f>'Result data'!$O$24:$Z$24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'Result data'!$O$34:$Z$34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E6-4BCA-9AAB-4A2A4AFD8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399"/>
        <c:axId val="536326528"/>
        <c:axId val="536328064"/>
        <c:axId val="536243264"/>
      </c:line3DChart>
      <c:catAx>
        <c:axId val="53632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pt-BR"/>
          </a:p>
        </c:txPr>
        <c:crossAx val="536328064"/>
        <c:crosses val="autoZero"/>
        <c:auto val="1"/>
        <c:lblAlgn val="ctr"/>
        <c:lblOffset val="100"/>
        <c:noMultiLvlLbl val="0"/>
      </c:catAx>
      <c:valAx>
        <c:axId val="53632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Percentage of population in active countries using Ride-Hailing Apps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pt-BR"/>
          </a:p>
        </c:txPr>
        <c:crossAx val="536326528"/>
        <c:crosses val="autoZero"/>
        <c:crossBetween val="between"/>
      </c:valAx>
      <c:serAx>
        <c:axId val="536243264"/>
        <c:scaling>
          <c:orientation val="minMax"/>
        </c:scaling>
        <c:delete val="0"/>
        <c:axPos val="b"/>
        <c:majorTickMark val="none"/>
        <c:minorTickMark val="none"/>
        <c:tickLblPos val="nextTo"/>
        <c:crossAx val="536328064"/>
        <c:crosses val="autoZero"/>
      </c:serAx>
    </c:plotArea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Language!$C$357</c:f>
          <c:strCache>
            <c:ptCount val="1"/>
            <c:pt idx="0">
              <c:v>Usuários ativos por região</c:v>
            </c:pt>
          </c:strCache>
        </c:strRef>
      </c:tx>
      <c:overlay val="0"/>
      <c:txPr>
        <a:bodyPr/>
        <a:lstStyle/>
        <a:p>
          <a:pPr>
            <a:defRPr sz="18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1577112860892402"/>
          <c:y val="0.13981118887296223"/>
          <c:w val="0.84891597999515045"/>
          <c:h val="0.50886824167892653"/>
        </c:manualLayout>
      </c:layout>
      <c:lineChart>
        <c:grouping val="standard"/>
        <c:varyColors val="0"/>
        <c:ser>
          <c:idx val="2"/>
          <c:order val="0"/>
          <c:tx>
            <c:strRef>
              <c:f>'General Report'!$K$5</c:f>
              <c:strCache>
                <c:ptCount val="1"/>
                <c:pt idx="0">
                  <c:v>Ásia-Pacífico</c:v>
                </c:pt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Data'!$B$13:$K$13</c:f>
              <c:numCache>
                <c:formatCode>#,###,###</c:formatCode>
                <c:ptCount val="10"/>
                <c:pt idx="0">
                  <c:v>1989857</c:v>
                </c:pt>
                <c:pt idx="1">
                  <c:v>12513868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C8-4E7D-B1E1-A6BD72F716FA}"/>
            </c:ext>
          </c:extLst>
        </c:ser>
        <c:ser>
          <c:idx val="3"/>
          <c:order val="1"/>
          <c:tx>
            <c:strRef>
              <c:f>'General Report'!$K$6</c:f>
              <c:strCache>
                <c:ptCount val="1"/>
                <c:pt idx="0">
                  <c:v>América Central</c:v>
                </c:pt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Data'!$B$14:$K$14</c:f>
              <c:numCache>
                <c:formatCode>#,###,###</c:formatCode>
                <c:ptCount val="10"/>
                <c:pt idx="0">
                  <c:v>0</c:v>
                </c:pt>
                <c:pt idx="1">
                  <c:v>868708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C8-4E7D-B1E1-A6BD72F716FA}"/>
            </c:ext>
          </c:extLst>
        </c:ser>
        <c:ser>
          <c:idx val="4"/>
          <c:order val="2"/>
          <c:tx>
            <c:strRef>
              <c:f>'General Report'!$K$7</c:f>
              <c:strCache>
                <c:ptCount val="1"/>
                <c:pt idx="0">
                  <c:v>Europa</c:v>
                </c:pt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Data'!$B$15:$K$15</c:f>
              <c:numCache>
                <c:formatCode>#,###,###</c:formatCode>
                <c:ptCount val="10"/>
                <c:pt idx="0">
                  <c:v>0</c:v>
                </c:pt>
                <c:pt idx="1">
                  <c:v>82337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C8-4E7D-B1E1-A6BD72F716FA}"/>
            </c:ext>
          </c:extLst>
        </c:ser>
        <c:ser>
          <c:idx val="5"/>
          <c:order val="3"/>
          <c:tx>
            <c:strRef>
              <c:f>'General Report'!$K$8</c:f>
              <c:strCache>
                <c:ptCount val="1"/>
                <c:pt idx="0">
                  <c:v>União Européia</c:v>
                </c:pt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Data'!$B$16:$K$16</c:f>
              <c:numCache>
                <c:formatCode>#,###,###</c:formatCode>
                <c:ptCount val="10"/>
                <c:pt idx="0">
                  <c:v>2589530</c:v>
                </c:pt>
                <c:pt idx="1">
                  <c:v>6780601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BC8-4E7D-B1E1-A6BD72F716FA}"/>
            </c:ext>
          </c:extLst>
        </c:ser>
        <c:ser>
          <c:idx val="6"/>
          <c:order val="4"/>
          <c:tx>
            <c:strRef>
              <c:f>'General Report'!$K$9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Data'!$B$17:$K$17</c:f>
              <c:numCache>
                <c:formatCode>#,###,###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BC8-4E7D-B1E1-A6BD72F716FA}"/>
            </c:ext>
          </c:extLst>
        </c:ser>
        <c:ser>
          <c:idx val="7"/>
          <c:order val="5"/>
          <c:tx>
            <c:strRef>
              <c:f>'General Report'!$K$10</c:f>
              <c:strCache>
                <c:ptCount val="1"/>
                <c:pt idx="0">
                  <c:v>América do Norte</c:v>
                </c:pt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Data'!$B$18:$K$18</c:f>
              <c:numCache>
                <c:formatCode>#,###,###</c:formatCode>
                <c:ptCount val="10"/>
                <c:pt idx="0">
                  <c:v>3951022</c:v>
                </c:pt>
                <c:pt idx="1">
                  <c:v>9055551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9BC8-4E7D-B1E1-A6BD72F716FA}"/>
            </c:ext>
          </c:extLst>
        </c:ser>
        <c:ser>
          <c:idx val="8"/>
          <c:order val="6"/>
          <c:tx>
            <c:strRef>
              <c:f>'General Report'!$K$11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Data'!$B$19:$K$19</c:f>
              <c:numCache>
                <c:formatCode>#,###,###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9BC8-4E7D-B1E1-A6BD72F716FA}"/>
            </c:ext>
          </c:extLst>
        </c:ser>
        <c:ser>
          <c:idx val="9"/>
          <c:order val="7"/>
          <c:tx>
            <c:strRef>
              <c:f>'General Report'!$K$12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Data'!$B$20:$K$20</c:f>
              <c:numCache>
                <c:formatCode>#,###,###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9BC8-4E7D-B1E1-A6BD72F716FA}"/>
            </c:ext>
          </c:extLst>
        </c:ser>
        <c:ser>
          <c:idx val="10"/>
          <c:order val="8"/>
          <c:tx>
            <c:strRef>
              <c:f>'General Report'!$K$13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Data'!$B$21:$K$21</c:f>
              <c:numCache>
                <c:formatCode>#,###,###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9BC8-4E7D-B1E1-A6BD72F716FA}"/>
            </c:ext>
          </c:extLst>
        </c:ser>
        <c:ser>
          <c:idx val="0"/>
          <c:order val="9"/>
          <c:tx>
            <c:strRef>
              <c:f>'General Report'!$K$14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'Result data'!$B$24:$K$24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Data'!$B$22:$K$22</c:f>
              <c:numCache>
                <c:formatCode>#,###,###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1-45C6-B2A4-23E37E36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561536"/>
        <c:axId val="536563072"/>
      </c:lineChart>
      <c:catAx>
        <c:axId val="53656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/>
            </a:pPr>
            <a:endParaRPr lang="pt-BR"/>
          </a:p>
        </c:txPr>
        <c:crossAx val="536563072"/>
        <c:crosses val="autoZero"/>
        <c:auto val="1"/>
        <c:lblAlgn val="ctr"/>
        <c:lblOffset val="100"/>
        <c:noMultiLvlLbl val="0"/>
      </c:catAx>
      <c:valAx>
        <c:axId val="536563072"/>
        <c:scaling>
          <c:orientation val="minMax"/>
          <c:min val="0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pt-BR"/>
          </a:p>
        </c:txPr>
        <c:crossAx val="536561536"/>
        <c:crosses val="autoZero"/>
        <c:crossBetween val="between"/>
        <c:dispUnits>
          <c:builtInUnit val="millions"/>
          <c:dispUnitsLbl>
            <c:tx>
              <c:strRef>
                <c:f>'General Report'!$E$4</c:f>
                <c:strCache>
                  <c:ptCount val="1"/>
                  <c:pt idx="0">
                    <c:v>Usuários ativos (milhões)</c:v>
                  </c:pt>
                </c:strCache>
              </c:strRef>
            </c:tx>
            <c:txPr>
              <a:bodyPr/>
              <a:lstStyle/>
              <a:p>
                <a:pPr>
                  <a:defRPr/>
                </a:pPr>
                <a:endParaRPr lang="pt-BR"/>
              </a:p>
            </c:txPr>
          </c:dispUnitsLbl>
        </c:dispUnits>
      </c:valAx>
    </c:plotArea>
    <c:legend>
      <c:legendPos val="b"/>
      <c:overlay val="0"/>
      <c:txPr>
        <a:bodyPr/>
        <a:lstStyle/>
        <a:p>
          <a:pPr>
            <a:defRPr sz="1000"/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sz="1200"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08" footer="0.31496062000000208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'General Report'!$F$4</c:f>
          <c:strCache>
            <c:ptCount val="1"/>
            <c:pt idx="0">
              <c:v>Penetração de Mercado (Geral)</c:v>
            </c:pt>
          </c:strCache>
        </c:strRef>
      </c:tx>
      <c:overlay val="0"/>
      <c:txPr>
        <a:bodyPr/>
        <a:lstStyle/>
        <a:p>
          <a:pPr>
            <a:defRPr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3948364005959338E-2"/>
          <c:y val="0.15355766492125231"/>
          <c:w val="0.88733172043244279"/>
          <c:h val="0.49404193765424703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'General Report'!$K$5</c:f>
              <c:strCache>
                <c:ptCount val="1"/>
                <c:pt idx="0">
                  <c:v>Ásia-Pacífico</c:v>
                </c:pt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Data'!$B$24:$K$24</c:f>
              <c:numCache>
                <c:formatCode>0.00%</c:formatCode>
                <c:ptCount val="10"/>
                <c:pt idx="0">
                  <c:v>5.2838217990134435E-4</c:v>
                </c:pt>
                <c:pt idx="1">
                  <c:v>3.2907904559660982E-3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2F-47FC-9048-E4D0BE9CB299}"/>
            </c:ext>
          </c:extLst>
        </c:ser>
        <c:ser>
          <c:idx val="3"/>
          <c:order val="1"/>
          <c:tx>
            <c:strRef>
              <c:f>'General Report'!$K$6</c:f>
              <c:strCache>
                <c:ptCount val="1"/>
                <c:pt idx="0">
                  <c:v>América Central</c:v>
                </c:pt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Data'!$B$25:$K$25</c:f>
              <c:numCache>
                <c:formatCode>0.00%</c:formatCode>
                <c:ptCount val="10"/>
                <c:pt idx="0">
                  <c:v>0</c:v>
                </c:pt>
                <c:pt idx="1">
                  <c:v>5.2376063109132167E-3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2F-47FC-9048-E4D0BE9CB299}"/>
            </c:ext>
          </c:extLst>
        </c:ser>
        <c:ser>
          <c:idx val="4"/>
          <c:order val="2"/>
          <c:tx>
            <c:strRef>
              <c:f>'General Report'!$K$7</c:f>
              <c:strCache>
                <c:ptCount val="1"/>
                <c:pt idx="0">
                  <c:v>Europa</c:v>
                </c:pt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Data'!$B$26:$K$26</c:f>
              <c:numCache>
                <c:formatCode>0.00%</c:formatCode>
                <c:ptCount val="10"/>
                <c:pt idx="0">
                  <c:v>0</c:v>
                </c:pt>
                <c:pt idx="1">
                  <c:v>2.5926235114291066E-4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2F-47FC-9048-E4D0BE9CB299}"/>
            </c:ext>
          </c:extLst>
        </c:ser>
        <c:ser>
          <c:idx val="5"/>
          <c:order val="3"/>
          <c:tx>
            <c:strRef>
              <c:f>'General Report'!$K$8</c:f>
              <c:strCache>
                <c:ptCount val="1"/>
                <c:pt idx="0">
                  <c:v>União Européia</c:v>
                </c:pt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Data'!$B$27:$K$27</c:f>
              <c:numCache>
                <c:formatCode>0.00%</c:formatCode>
                <c:ptCount val="10"/>
                <c:pt idx="0">
                  <c:v>5.1661862873990773E-3</c:v>
                </c:pt>
                <c:pt idx="1">
                  <c:v>1.3538700219918688E-2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2F-47FC-9048-E4D0BE9CB299}"/>
            </c:ext>
          </c:extLst>
        </c:ser>
        <c:ser>
          <c:idx val="6"/>
          <c:order val="4"/>
          <c:tx>
            <c:strRef>
              <c:f>'General Report'!$K$9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Data'!$B$28:$K$28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C2F-47FC-9048-E4D0BE9CB299}"/>
            </c:ext>
          </c:extLst>
        </c:ser>
        <c:ser>
          <c:idx val="7"/>
          <c:order val="5"/>
          <c:tx>
            <c:strRef>
              <c:f>'General Report'!$K$10</c:f>
              <c:strCache>
                <c:ptCount val="1"/>
                <c:pt idx="0">
                  <c:v>América do Norte</c:v>
                </c:pt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Data'!$B$29:$K$29</c:f>
              <c:numCache>
                <c:formatCode>0.00%</c:formatCode>
                <c:ptCount val="10"/>
                <c:pt idx="0">
                  <c:v>1.1414975198598156E-2</c:v>
                </c:pt>
                <c:pt idx="1">
                  <c:v>2.5953168710148709E-2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2F-47FC-9048-E4D0BE9CB299}"/>
            </c:ext>
          </c:extLst>
        </c:ser>
        <c:ser>
          <c:idx val="8"/>
          <c:order val="6"/>
          <c:tx>
            <c:strRef>
              <c:f>'General Report'!$K$11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Data'!$B$30:$K$30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C2F-47FC-9048-E4D0BE9CB299}"/>
            </c:ext>
          </c:extLst>
        </c:ser>
        <c:ser>
          <c:idx val="9"/>
          <c:order val="7"/>
          <c:tx>
            <c:strRef>
              <c:f>'General Report'!$K$12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Data'!$B$31:$K$31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2F-47FC-9048-E4D0BE9CB299}"/>
            </c:ext>
          </c:extLst>
        </c:ser>
        <c:ser>
          <c:idx val="10"/>
          <c:order val="8"/>
          <c:tx>
            <c:strRef>
              <c:f>'General Report'!$K$13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Data'!$B$32:$K$32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C2F-47FC-9048-E4D0BE9CB299}"/>
            </c:ext>
          </c:extLst>
        </c:ser>
        <c:ser>
          <c:idx val="0"/>
          <c:order val="9"/>
          <c:tx>
            <c:strRef>
              <c:f>'General Report'!$K$14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'Result data'!$B$24:$M$24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xVal>
          <c:yVal>
            <c:numRef>
              <c:f>'Graph Data'!$B$33:$K$33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64-41AE-922F-E8C0F4ED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64704"/>
        <c:axId val="536686976"/>
      </c:scatterChart>
      <c:valAx>
        <c:axId val="536664704"/>
        <c:scaling>
          <c:orientation val="minMax"/>
          <c:max val="2020"/>
          <c:min val="2011"/>
        </c:scaling>
        <c:delete val="0"/>
        <c:axPos val="b"/>
        <c:numFmt formatCode="General" sourceLinked="1"/>
        <c:majorTickMark val="out"/>
        <c:minorTickMark val="none"/>
        <c:tickLblPos val="nextTo"/>
        <c:crossAx val="536686976"/>
        <c:crosses val="autoZero"/>
        <c:crossBetween val="midCat"/>
        <c:majorUnit val="1"/>
      </c:valAx>
      <c:valAx>
        <c:axId val="536686976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53666470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1.3932415973040268E-2"/>
          <c:y val="0.77260509680073952"/>
          <c:w val="0.98606758402695971"/>
          <c:h val="0.205963939168686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08" footer="0.31496062000000208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Language!$C$368</c:f>
          <c:strCache>
            <c:ptCount val="1"/>
            <c:pt idx="0">
              <c:v>Receita por região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Century Gothic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7977773737808958"/>
          <c:y val="0.12844189817764404"/>
          <c:w val="0.79048307761607972"/>
          <c:h val="0.5488372992146650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'General Report'!$K$5</c:f>
              <c:strCache>
                <c:ptCount val="1"/>
                <c:pt idx="0">
                  <c:v>Ásia-Pacífico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Data'!$B$2:$K$2</c:f>
              <c:numCache>
                <c:formatCode>_-[$$-409]* #,##0_ ;_-[$$-409]* \-#,##0\ ;_-[$$-409]* "-"??_ ;_-@_ </c:formatCode>
                <c:ptCount val="10"/>
                <c:pt idx="0">
                  <c:v>38301631.486020893</c:v>
                </c:pt>
                <c:pt idx="1">
                  <c:v>145941205.92260596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4-41D9-B3BC-4069327E6424}"/>
            </c:ext>
          </c:extLst>
        </c:ser>
        <c:ser>
          <c:idx val="2"/>
          <c:order val="1"/>
          <c:tx>
            <c:strRef>
              <c:f>'General Report'!$K$6</c:f>
              <c:strCache>
                <c:ptCount val="1"/>
                <c:pt idx="0">
                  <c:v>América Central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Data'!$B$3:$K$3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7730143.191369893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4-41D9-B3BC-4069327E6424}"/>
            </c:ext>
          </c:extLst>
        </c:ser>
        <c:ser>
          <c:idx val="3"/>
          <c:order val="2"/>
          <c:tx>
            <c:strRef>
              <c:f>'General Report'!$K$7</c:f>
              <c:strCache>
                <c:ptCount val="1"/>
                <c:pt idx="0">
                  <c:v>Europa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Data'!$B$3:$K$3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7730143.191369893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4-41D9-B3BC-4069327E6424}"/>
            </c:ext>
          </c:extLst>
        </c:ser>
        <c:ser>
          <c:idx val="4"/>
          <c:order val="3"/>
          <c:tx>
            <c:strRef>
              <c:f>'General Report'!$K$8</c:f>
              <c:strCache>
                <c:ptCount val="1"/>
                <c:pt idx="0">
                  <c:v>União Européia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Data'!$B$5:$K$5</c:f>
              <c:numCache>
                <c:formatCode>_-[$$-409]* #,##0_ ;_-[$$-409]* \-#,##0\ ;_-[$$-409]* "-"??_ ;_-@_ </c:formatCode>
                <c:ptCount val="10"/>
                <c:pt idx="0">
                  <c:v>46849780.272932053</c:v>
                </c:pt>
                <c:pt idx="1">
                  <c:v>115367775.55047011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4-41D9-B3BC-4069327E6424}"/>
            </c:ext>
          </c:extLst>
        </c:ser>
        <c:ser>
          <c:idx val="5"/>
          <c:order val="4"/>
          <c:tx>
            <c:strRef>
              <c:f>'General Report'!$K$9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Data'!$B$6:$K$6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84-41D9-B3BC-4069327E6424}"/>
            </c:ext>
          </c:extLst>
        </c:ser>
        <c:ser>
          <c:idx val="6"/>
          <c:order val="5"/>
          <c:tx>
            <c:strRef>
              <c:f>'General Report'!$K$10</c:f>
              <c:strCache>
                <c:ptCount val="1"/>
                <c:pt idx="0">
                  <c:v>América do Norte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Data'!$B$7:$K$7</c:f>
              <c:numCache>
                <c:formatCode>_-[$$-409]* #,##0_ ;_-[$$-409]* \-#,##0\ ;_-[$$-409]* "-"??_ ;_-@_ </c:formatCode>
                <c:ptCount val="10"/>
                <c:pt idx="0">
                  <c:v>87928377.951340854</c:v>
                </c:pt>
                <c:pt idx="1">
                  <c:v>200836349.932374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84-41D9-B3BC-4069327E6424}"/>
            </c:ext>
          </c:extLst>
        </c:ser>
        <c:ser>
          <c:idx val="7"/>
          <c:order val="6"/>
          <c:tx>
            <c:strRef>
              <c:f>'General Report'!$K$11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Data'!$B$8:$K$8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84-41D9-B3BC-4069327E6424}"/>
            </c:ext>
          </c:extLst>
        </c:ser>
        <c:ser>
          <c:idx val="8"/>
          <c:order val="7"/>
          <c:tx>
            <c:strRef>
              <c:f>'General Report'!$K$12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Data'!$B$9:$K$9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84-41D9-B3BC-4069327E6424}"/>
            </c:ext>
          </c:extLst>
        </c:ser>
        <c:ser>
          <c:idx val="9"/>
          <c:order val="8"/>
          <c:tx>
            <c:strRef>
              <c:f>'General Report'!$K$13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Data'!$B$10:$K$10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84-41D9-B3BC-4069327E6424}"/>
            </c:ext>
          </c:extLst>
        </c:ser>
        <c:ser>
          <c:idx val="10"/>
          <c:order val="9"/>
          <c:tx>
            <c:strRef>
              <c:f>'General Report'!$K$14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'Result data'!$B$35:$K$35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'Graph Data'!$B$11:$K$11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84-41D9-B3BC-4069327E6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36801280"/>
        <c:axId val="536802816"/>
      </c:barChart>
      <c:catAx>
        <c:axId val="53680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Century Gothic" pitchFamily="34" charset="0"/>
                <a:ea typeface="+mn-ea"/>
                <a:cs typeface="+mn-cs"/>
              </a:defRPr>
            </a:pPr>
            <a:endParaRPr lang="pt-BR"/>
          </a:p>
        </c:txPr>
        <c:crossAx val="536802816"/>
        <c:crosses val="autoZero"/>
        <c:auto val="1"/>
        <c:lblAlgn val="ctr"/>
        <c:lblOffset val="100"/>
        <c:noMultiLvlLbl val="0"/>
      </c:catAx>
      <c:valAx>
        <c:axId val="536802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ysDash"/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itchFamily="34" charset="0"/>
                <a:ea typeface="+mn-ea"/>
                <a:cs typeface="+mn-cs"/>
              </a:defRPr>
            </a:pPr>
            <a:endParaRPr lang="pt-BR"/>
          </a:p>
        </c:txPr>
        <c:crossAx val="536801280"/>
        <c:crosses val="autoZero"/>
        <c:crossBetween val="between"/>
        <c:dispUnits>
          <c:builtInUnit val="millions"/>
          <c:dispUnitsLbl>
            <c:tx>
              <c:strRef>
                <c:f>Language!$C$387</c:f>
                <c:strCache>
                  <c:ptCount val="1"/>
                  <c:pt idx="0">
                    <c:v>Milhões</c:v>
                  </c:pt>
                </c:strCache>
              </c:strRef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Century Gothic" pitchFamily="34" charset="0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7376278099022794E-3"/>
          <c:y val="0.77017605068005568"/>
          <c:w val="0.99026237219009772"/>
          <c:h val="0.198374535825366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Century Gothic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08" footer="0.31496062000000208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Language!$C$369</c:f>
          <c:strCache>
            <c:ptCount val="1"/>
            <c:pt idx="0">
              <c:v>Despesas de marketing e vendas globais e locais</c:v>
            </c:pt>
          </c:strCache>
        </c:strRef>
      </c:tx>
      <c:layout>
        <c:manualLayout>
          <c:xMode val="edge"/>
          <c:yMode val="edge"/>
          <c:x val="0.2610299892594678"/>
          <c:y val="0"/>
        </c:manualLayout>
      </c:layout>
      <c:overlay val="0"/>
      <c:txPr>
        <a:bodyPr/>
        <a:lstStyle/>
        <a:p>
          <a:pPr>
            <a:defRPr sz="1400">
              <a:solidFill>
                <a:sysClr val="windowText" lastClr="000000"/>
              </a:solidFill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143399990802934"/>
          <c:y val="0.15535540968150549"/>
          <c:w val="0.84281026836394612"/>
          <c:h val="0.67870345320130288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'MSE per country'!$B$1</c:f>
              <c:strCache>
                <c:ptCount val="1"/>
                <c:pt idx="0">
                  <c:v>Campanhas globais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[$$-409]\ 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Report'!$K$5:$K$14</c:f>
              <c:strCache>
                <c:ptCount val="6"/>
                <c:pt idx="0">
                  <c:v>Ásia-Pacífico</c:v>
                </c:pt>
                <c:pt idx="1">
                  <c:v>América Central</c:v>
                </c:pt>
                <c:pt idx="2">
                  <c:v>Europa</c:v>
                </c:pt>
                <c:pt idx="3">
                  <c:v>União Européia</c:v>
                </c:pt>
                <c:pt idx="5">
                  <c:v>América do Norte</c:v>
                </c:pt>
              </c:strCache>
            </c:strRef>
          </c:cat>
          <c:val>
            <c:numRef>
              <c:f>'MSE per country'!$B$2:$B$12</c:f>
              <c:numCache>
                <c:formatCode>_-[$$-409]* #,##0_ ;_-[$$-409]* \-#,##0\ ;_-[$$-409]* "-"??_ ;_-@_ </c:formatCode>
                <c:ptCount val="11"/>
                <c:pt idx="0">
                  <c:v>706324.60936373076</c:v>
                </c:pt>
                <c:pt idx="1">
                  <c:v>65710.35854991198</c:v>
                </c:pt>
                <c:pt idx="2">
                  <c:v>26850.64793750026</c:v>
                </c:pt>
                <c:pt idx="3">
                  <c:v>425639.09288189572</c:v>
                </c:pt>
                <c:pt idx="4">
                  <c:v>0</c:v>
                </c:pt>
                <c:pt idx="5">
                  <c:v>1376509.7999999998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General">
                  <c:v>2601034.5087330388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8-4F2E-85EF-138CC2379EF1}"/>
            </c:ext>
          </c:extLst>
        </c:ser>
        <c:ser>
          <c:idx val="1"/>
          <c:order val="1"/>
          <c:tx>
            <c:strRef>
              <c:f>'MSE per country'!$C$1</c:f>
              <c:strCache>
                <c:ptCount val="1"/>
                <c:pt idx="0">
                  <c:v>Campanhas locais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Report'!$K$5:$K$14</c:f>
              <c:strCache>
                <c:ptCount val="6"/>
                <c:pt idx="0">
                  <c:v>Ásia-Pacífico</c:v>
                </c:pt>
                <c:pt idx="1">
                  <c:v>América Central</c:v>
                </c:pt>
                <c:pt idx="2">
                  <c:v>Europa</c:v>
                </c:pt>
                <c:pt idx="3">
                  <c:v>União Européia</c:v>
                </c:pt>
                <c:pt idx="5">
                  <c:v>América do Norte</c:v>
                </c:pt>
              </c:strCache>
            </c:strRef>
          </c:cat>
          <c:val>
            <c:numRef>
              <c:f>'MSE per country'!$C$2:$C$12</c:f>
              <c:numCache>
                <c:formatCode>_-[$$-409]* #,##0_ ;_-[$$-409]* \-#,##0\ ;_-[$$-409]* "-"??_ ;_-@_ </c:formatCode>
                <c:ptCount val="11"/>
                <c:pt idx="0">
                  <c:v>2349464.9588127248</c:v>
                </c:pt>
                <c:pt idx="1">
                  <c:v>591393.22694920795</c:v>
                </c:pt>
                <c:pt idx="2">
                  <c:v>40275.971906250394</c:v>
                </c:pt>
                <c:pt idx="3">
                  <c:v>1321964.6772639721</c:v>
                </c:pt>
                <c:pt idx="4">
                  <c:v>0</c:v>
                </c:pt>
                <c:pt idx="5">
                  <c:v>5506039.2000000002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General">
                  <c:v>9809138.0349321552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48-4F2E-85EF-138CC2379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36846336"/>
        <c:axId val="536847872"/>
      </c:barChart>
      <c:catAx>
        <c:axId val="5368463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100"/>
            </a:pPr>
            <a:endParaRPr lang="pt-BR"/>
          </a:p>
        </c:txPr>
        <c:crossAx val="536847872"/>
        <c:crosses val="autoZero"/>
        <c:auto val="1"/>
        <c:lblAlgn val="ctr"/>
        <c:lblOffset val="100"/>
        <c:noMultiLvlLbl val="0"/>
      </c:catAx>
      <c:valAx>
        <c:axId val="53684787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pt-BR"/>
          </a:p>
        </c:txPr>
        <c:crossAx val="536846336"/>
        <c:crosses val="max"/>
        <c:crossBetween val="between"/>
      </c:valAx>
    </c:plotArea>
    <c:legend>
      <c:legendPos val="b"/>
      <c:layout>
        <c:manualLayout>
          <c:xMode val="edge"/>
          <c:yMode val="edge"/>
          <c:x val="0.1821234610049437"/>
          <c:y val="0.91587148492187265"/>
          <c:w val="0.73040509867834158"/>
          <c:h val="6.7058475834693626E-2"/>
        </c:manualLayout>
      </c:layout>
      <c:overlay val="0"/>
      <c:txPr>
        <a:bodyPr/>
        <a:lstStyle/>
        <a:p>
          <a:pPr>
            <a:defRPr sz="1100"/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sz="1800"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13" footer="0.3149606200000021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937782448122605E-2"/>
          <c:y val="0.24154114921372119"/>
          <c:w val="0.98500362480974846"/>
          <c:h val="0.7555776745384738"/>
        </c:manualLayout>
      </c:layout>
      <c:pieChart>
        <c:varyColors val="1"/>
        <c:ser>
          <c:idx val="0"/>
          <c:order val="0"/>
          <c:tx>
            <c:strRef>
              <c:f>'General Report'!$D$67</c:f>
              <c:strCache>
                <c:ptCount val="1"/>
                <c:pt idx="0">
                  <c:v>Número de corridas por competidor (milhares)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'General Report'!$A$68:$A$77</c:f>
              <c:strCache>
                <c:ptCount val="6"/>
                <c:pt idx="0">
                  <c:v>T1 - BlitzRide</c:v>
                </c:pt>
                <c:pt idx="1">
                  <c:v>T2 - .</c:v>
                </c:pt>
                <c:pt idx="2">
                  <c:v>T3 - .</c:v>
                </c:pt>
                <c:pt idx="3">
                  <c:v>T4 - We Drive</c:v>
                </c:pt>
                <c:pt idx="4">
                  <c:v>T5 - Norimono</c:v>
                </c:pt>
                <c:pt idx="5">
                  <c:v>T6 - NextRide</c:v>
                </c:pt>
              </c:strCache>
            </c:strRef>
          </c:cat>
          <c:val>
            <c:numRef>
              <c:f>'General Report'!$D$68:$D$77</c:f>
              <c:numCache>
                <c:formatCode>_-* #,##0,_-;\-* #,##0,_-;_-* "-"??_-;_-@_-</c:formatCode>
                <c:ptCount val="10"/>
                <c:pt idx="0">
                  <c:v>3686375.349907388</c:v>
                </c:pt>
                <c:pt idx="1">
                  <c:v>4845628.7351979446</c:v>
                </c:pt>
                <c:pt idx="2">
                  <c:v>11351981.809359953</c:v>
                </c:pt>
                <c:pt idx="3">
                  <c:v>37618102.834430754</c:v>
                </c:pt>
                <c:pt idx="4">
                  <c:v>11685944.70243755</c:v>
                </c:pt>
                <c:pt idx="5">
                  <c:v>4503293.689736167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A-4273-91F5-E04C5C27C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plotVisOnly val="1"/>
    <c:dispBlanksAs val="zero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197" footer="0.3149606200000019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6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3069225617636039E-3"/>
          <c:y val="0.22401935867046921"/>
          <c:w val="1"/>
          <c:h val="0.77388791466246065"/>
        </c:manualLayout>
      </c:layout>
      <c:pieChart>
        <c:varyColors val="1"/>
        <c:ser>
          <c:idx val="0"/>
          <c:order val="0"/>
          <c:tx>
            <c:strRef>
              <c:f>'General Report'!$B$55</c:f>
              <c:strCache>
                <c:ptCount val="1"/>
                <c:pt idx="0">
                  <c:v>Receitas por jogador (milhares)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'General Report'!$A$56:$A$65</c:f>
              <c:strCache>
                <c:ptCount val="6"/>
                <c:pt idx="0">
                  <c:v>T1 - BlitzRide</c:v>
                </c:pt>
                <c:pt idx="1">
                  <c:v>T2 - .</c:v>
                </c:pt>
                <c:pt idx="2">
                  <c:v>T3 - .</c:v>
                </c:pt>
                <c:pt idx="3">
                  <c:v>T4 - We Drive</c:v>
                </c:pt>
                <c:pt idx="4">
                  <c:v>T5 - Norimono</c:v>
                </c:pt>
                <c:pt idx="5">
                  <c:v>T6 - NextRide</c:v>
                </c:pt>
              </c:strCache>
            </c:strRef>
          </c:cat>
          <c:val>
            <c:numRef>
              <c:f>'General Report'!$B$56:$B$65</c:f>
              <c:numCache>
                <c:formatCode>General</c:formatCode>
                <c:ptCount val="10"/>
                <c:pt idx="0">
                  <c:v>29571924.471001029</c:v>
                </c:pt>
                <c:pt idx="1">
                  <c:v>42406585.909411065</c:v>
                </c:pt>
                <c:pt idx="2">
                  <c:v>70466326.271968588</c:v>
                </c:pt>
                <c:pt idx="3">
                  <c:v>200836349.932374</c:v>
                </c:pt>
                <c:pt idx="4">
                  <c:v>92894974.567157641</c:v>
                </c:pt>
                <c:pt idx="5">
                  <c:v>35558736.975604951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5-4731-9566-F6F9BBA60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plotVisOnly val="1"/>
    <c:dispBlanksAs val="zero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08" footer="0.31496062000000208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'General Report'!$J$4</c:f>
          <c:strCache>
            <c:ptCount val="1"/>
            <c:pt idx="0">
              <c:v>Usuários ativos (milhões): 2012</c:v>
            </c:pt>
          </c:strCache>
        </c:strRef>
      </c:tx>
      <c:layout>
        <c:manualLayout>
          <c:xMode val="edge"/>
          <c:yMode val="edge"/>
          <c:x val="0.25715672641019277"/>
          <c:y val="1.535097063159876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8420081598565"/>
          <c:y val="0.11083446123683496"/>
          <c:w val="1"/>
          <c:h val="0.499693698453299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'General Report'!$K$5</c:f>
              <c:strCache>
                <c:ptCount val="1"/>
                <c:pt idx="0">
                  <c:v>Ásia-Pacífico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Report'!$L$5</c:f>
              <c:numCache>
                <c:formatCode>0%</c:formatCode>
                <c:ptCount val="1"/>
                <c:pt idx="0">
                  <c:v>0.42707894747170455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F-440F-B392-EAD8F723F38E}"/>
            </c:ext>
          </c:extLst>
        </c:ser>
        <c:ser>
          <c:idx val="1"/>
          <c:order val="1"/>
          <c:tx>
            <c:strRef>
              <c:f>'General Report'!$K$6</c:f>
              <c:strCache>
                <c:ptCount val="1"/>
                <c:pt idx="0">
                  <c:v>América Central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Report'!$L$6</c:f>
              <c:numCache>
                <c:formatCode>0%</c:formatCode>
                <c:ptCount val="1"/>
                <c:pt idx="0">
                  <c:v>2.9647659564592619E-2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F-440F-B392-EAD8F723F38E}"/>
            </c:ext>
          </c:extLst>
        </c:ser>
        <c:ser>
          <c:idx val="2"/>
          <c:order val="2"/>
          <c:tx>
            <c:strRef>
              <c:f>'General Report'!$K$7</c:f>
              <c:strCache>
                <c:ptCount val="1"/>
                <c:pt idx="0">
                  <c:v>Europa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Report'!$L$7</c:f>
              <c:numCache>
                <c:formatCode>0%</c:formatCode>
                <c:ptCount val="1"/>
                <c:pt idx="0">
                  <c:v>2.8100343792964522E-3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F-440F-B392-EAD8F723F38E}"/>
            </c:ext>
          </c:extLst>
        </c:ser>
        <c:ser>
          <c:idx val="3"/>
          <c:order val="3"/>
          <c:tx>
            <c:strRef>
              <c:f>'General Report'!$K$8</c:f>
              <c:strCache>
                <c:ptCount val="1"/>
                <c:pt idx="0">
                  <c:v>União Européia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Report'!$L$8</c:f>
              <c:numCache>
                <c:formatCode>0%</c:formatCode>
                <c:ptCount val="1"/>
                <c:pt idx="0">
                  <c:v>0.23141141798088227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1F-440F-B392-EAD8F723F38E}"/>
            </c:ext>
          </c:extLst>
        </c:ser>
        <c:ser>
          <c:idx val="4"/>
          <c:order val="4"/>
          <c:tx>
            <c:strRef>
              <c:f>'General Report'!$K$9</c:f>
              <c:strCache>
                <c:ptCount val="1"/>
              </c:strCache>
            </c:strRef>
          </c:tx>
          <c:spPr>
            <a:solidFill>
              <a:schemeClr val="accent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Report'!$L$9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F-440F-B392-EAD8F723F38E}"/>
            </c:ext>
          </c:extLst>
        </c:ser>
        <c:ser>
          <c:idx val="5"/>
          <c:order val="5"/>
          <c:tx>
            <c:strRef>
              <c:f>'General Report'!$K$10</c:f>
              <c:strCache>
                <c:ptCount val="1"/>
                <c:pt idx="0">
                  <c:v>América do Norte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Report'!$L$10</c:f>
              <c:numCache>
                <c:formatCode>0%</c:formatCode>
                <c:ptCount val="1"/>
                <c:pt idx="0">
                  <c:v>0.30905194060352414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1F-440F-B392-EAD8F723F38E}"/>
            </c:ext>
          </c:extLst>
        </c:ser>
        <c:ser>
          <c:idx val="6"/>
          <c:order val="6"/>
          <c:tx>
            <c:strRef>
              <c:f>'General Report'!$K$11</c:f>
              <c:strCache>
                <c:ptCount val="1"/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</c:spPr>
          <c:invertIfNegative val="0"/>
          <c:dLbls>
            <c:dLbl>
              <c:idx val="0"/>
              <c:numFmt formatCode="0%" sourceLinked="0"/>
              <c:spPr/>
              <c:txPr>
                <a:bodyPr/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0717-48C3-A912-3C2ABBE644D4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Report'!$L$11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1F-440F-B392-EAD8F723F38E}"/>
            </c:ext>
          </c:extLst>
        </c:ser>
        <c:ser>
          <c:idx val="7"/>
          <c:order val="7"/>
          <c:tx>
            <c:strRef>
              <c:f>'General Report'!$K$12</c:f>
              <c:strCache>
                <c:ptCount val="1"/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Report'!$L$12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1F-440F-B392-EAD8F723F38E}"/>
            </c:ext>
          </c:extLst>
        </c:ser>
        <c:ser>
          <c:idx val="8"/>
          <c:order val="8"/>
          <c:tx>
            <c:strRef>
              <c:f>'General Report'!$K$13</c:f>
              <c:strCache>
                <c:ptCount val="1"/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Report'!$L$13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1F-440F-B392-EAD8F723F38E}"/>
            </c:ext>
          </c:extLst>
        </c:ser>
        <c:ser>
          <c:idx val="9"/>
          <c:order val="9"/>
          <c:tx>
            <c:strRef>
              <c:f>'General Report'!$K$14</c:f>
              <c:strCache>
                <c:ptCount val="1"/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'General Report'!$J$4</c:f>
              <c:strCache>
                <c:ptCount val="1"/>
                <c:pt idx="0">
                  <c:v>Usuários ativos (milhões): 2012</c:v>
                </c:pt>
              </c:strCache>
            </c:strRef>
          </c:cat>
          <c:val>
            <c:numRef>
              <c:f>'General Report'!$L$14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1F-440F-B392-EAD8F723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536953984"/>
        <c:axId val="536955520"/>
      </c:barChart>
      <c:catAx>
        <c:axId val="536953984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536955520"/>
        <c:crosses val="autoZero"/>
        <c:auto val="1"/>
        <c:lblAlgn val="ctr"/>
        <c:lblOffset val="100"/>
        <c:noMultiLvlLbl val="0"/>
      </c:catAx>
      <c:valAx>
        <c:axId val="5369555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3695398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63286401064656717"/>
          <c:w val="1"/>
          <c:h val="0.1407091725373562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8740157499999996" l="0.511811024" r="0.511811024" t="0.78740157499999996" header="0.31496062000000191" footer="0.3149606200000019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Language!$C$458</c:f>
          <c:strCache>
            <c:ptCount val="1"/>
            <c:pt idx="0">
              <c:v>Participação de mercado (receitas)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20" baseline="0">
              <a:solidFill>
                <a:sysClr val="windowText" lastClr="000000"/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1587660443891172E-2"/>
          <c:y val="0.16122595927561703"/>
          <c:w val="0.7099349057936768"/>
          <c:h val="0.6778797535772421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'Result data'!$AH$550</c:f>
              <c:strCache>
                <c:ptCount val="1"/>
                <c:pt idx="0">
                  <c:v>Time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data'!$AH$551:$AH$555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0.25226163128341578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5BC-93B3-04CE9495ACBF}"/>
            </c:ext>
          </c:extLst>
        </c:ser>
        <c:ser>
          <c:idx val="1"/>
          <c:order val="1"/>
          <c:tx>
            <c:strRef>
              <c:f>'Result data'!$AI$550</c:f>
              <c:strCache>
                <c:ptCount val="1"/>
                <c:pt idx="0">
                  <c:v>Time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data'!$AI$551:$AI$555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0.29580543585308572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3-45BC-93B3-04CE9495ACBF}"/>
            </c:ext>
          </c:extLst>
        </c:ser>
        <c:ser>
          <c:idx val="2"/>
          <c:order val="2"/>
          <c:tx>
            <c:strRef>
              <c:f>'Result data'!$AJ$550</c:f>
              <c:strCache>
                <c:ptCount val="1"/>
                <c:pt idx="0">
                  <c:v>Time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data'!$AJ$551:$AJ$555</c:f>
              <c:numCache>
                <c:formatCode>0%</c:formatCode>
                <c:ptCount val="5"/>
                <c:pt idx="0">
                  <c:v>0.36347672352097227</c:v>
                </c:pt>
                <c:pt idx="1">
                  <c:v>#N/A</c:v>
                </c:pt>
                <c:pt idx="2">
                  <c:v>#N/A</c:v>
                </c:pt>
                <c:pt idx="3">
                  <c:v>0.14860113568403763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3-45BC-93B3-04CE9495ACBF}"/>
            </c:ext>
          </c:extLst>
        </c:ser>
        <c:ser>
          <c:idx val="3"/>
          <c:order val="3"/>
          <c:tx>
            <c:strRef>
              <c:f>'Result data'!$AK$550</c:f>
              <c:strCache>
                <c:ptCount val="1"/>
                <c:pt idx="0">
                  <c:v>Time 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data'!$AK$551:$AK$555</c:f>
              <c:numCache>
                <c:formatCode>0%</c:formatCode>
                <c:ptCount val="5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3-45BC-93B3-04CE9495ACBF}"/>
            </c:ext>
          </c:extLst>
        </c:ser>
        <c:ser>
          <c:idx val="4"/>
          <c:order val="4"/>
          <c:tx>
            <c:strRef>
              <c:f>'Result data'!$AL$550</c:f>
              <c:strCache>
                <c:ptCount val="1"/>
                <c:pt idx="0">
                  <c:v>Time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data'!$AL$551:$AL$555</c:f>
              <c:numCache>
                <c:formatCode>0%</c:formatCode>
                <c:ptCount val="5"/>
                <c:pt idx="0">
                  <c:v>0.63652327647902762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33-45BC-93B3-04CE9495ACBF}"/>
            </c:ext>
          </c:extLst>
        </c:ser>
        <c:ser>
          <c:idx val="5"/>
          <c:order val="5"/>
          <c:tx>
            <c:strRef>
              <c:f>'Result data'!$AM$550</c:f>
              <c:strCache>
                <c:ptCount val="1"/>
                <c:pt idx="0">
                  <c:v>Time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data'!$AM$551:$AM$555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0.30333179717946085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33-45BC-93B3-04CE9495ACBF}"/>
            </c:ext>
          </c:extLst>
        </c:ser>
        <c:ser>
          <c:idx val="6"/>
          <c:order val="6"/>
          <c:tx>
            <c:strRef>
              <c:f>'Result data'!$AN$550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data'!$AN$551:$AN$555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33-45BC-93B3-04CE9495ACBF}"/>
            </c:ext>
          </c:extLst>
        </c:ser>
        <c:ser>
          <c:idx val="7"/>
          <c:order val="7"/>
          <c:tx>
            <c:strRef>
              <c:f>'Result data'!$AO$550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data'!$AO$551:$AO$555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33-45BC-93B3-04CE9495ACBF}"/>
            </c:ext>
          </c:extLst>
        </c:ser>
        <c:ser>
          <c:idx val="8"/>
          <c:order val="8"/>
          <c:tx>
            <c:strRef>
              <c:f>'Result data'!$AP$550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data'!$AP$551:$AP$555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33-45BC-93B3-04CE9495ACBF}"/>
            </c:ext>
          </c:extLst>
        </c:ser>
        <c:ser>
          <c:idx val="9"/>
          <c:order val="9"/>
          <c:tx>
            <c:strRef>
              <c:f>'Result data'!$AQ$550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data'!$AG$551:$AG$555</c:f>
              <c:strCache>
                <c:ptCount val="5"/>
                <c:pt idx="0">
                  <c:v>Asia &amp; Pacific + Oceania</c:v>
                </c:pt>
                <c:pt idx="1">
                  <c:v>North America</c:v>
                </c:pt>
                <c:pt idx="2">
                  <c:v>Latin American</c:v>
                </c:pt>
                <c:pt idx="3">
                  <c:v>Europe</c:v>
                </c:pt>
                <c:pt idx="4">
                  <c:v>Africa and Middle East</c:v>
                </c:pt>
              </c:strCache>
            </c:strRef>
          </c:cat>
          <c:val>
            <c:numRef>
              <c:f>'Result data'!$AQ$551:$AQ$555</c:f>
              <c:numCache>
                <c:formatCode>0%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33-45BC-93B3-04CE9495AC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63210416"/>
        <c:axId val="1263215008"/>
      </c:barChart>
      <c:catAx>
        <c:axId val="126321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pt-BR"/>
          </a:p>
        </c:txPr>
        <c:crossAx val="1263215008"/>
        <c:crosses val="autoZero"/>
        <c:auto val="1"/>
        <c:lblAlgn val="ctr"/>
        <c:lblOffset val="100"/>
        <c:noMultiLvlLbl val="0"/>
      </c:catAx>
      <c:valAx>
        <c:axId val="12632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pt-BR"/>
          </a:p>
        </c:txPr>
        <c:crossAx val="12632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28517044190319"/>
          <c:y val="0.16615479977738057"/>
          <c:w val="0.17062563035650768"/>
          <c:h val="0.67685996499964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Grades!$A$1</c:f>
          <c:strCache>
            <c:ptCount val="1"/>
            <c:pt idx="0">
              <c:v>Pontuação na simulação e notas no curso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Grades!$M$16</c:f>
              <c:strCache>
                <c:ptCount val="1"/>
                <c:pt idx="0">
                  <c:v>Total de pontuação não competitiva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Grades!$L$17:$L$26</c:f>
              <c:strCache>
                <c:ptCount val="6"/>
                <c:pt idx="0">
                  <c:v>T1 - BlitzRide</c:v>
                </c:pt>
                <c:pt idx="1">
                  <c:v>T2 - .</c:v>
                </c:pt>
                <c:pt idx="2">
                  <c:v>T3 - .</c:v>
                </c:pt>
                <c:pt idx="3">
                  <c:v>T4 - We Drive</c:v>
                </c:pt>
                <c:pt idx="4">
                  <c:v>T5 - Norimono</c:v>
                </c:pt>
                <c:pt idx="5">
                  <c:v>T6 - NextRide</c:v>
                </c:pt>
              </c:strCache>
            </c:strRef>
          </c:cat>
          <c:val>
            <c:numRef>
              <c:f>Grades!$M$17:$M$26</c:f>
              <c:numCache>
                <c:formatCode>\+0#</c:formatCode>
                <c:ptCount val="10"/>
                <c:pt idx="0">
                  <c:v>9</c:v>
                </c:pt>
                <c:pt idx="1">
                  <c:v>11</c:v>
                </c:pt>
                <c:pt idx="2">
                  <c:v>15</c:v>
                </c:pt>
                <c:pt idx="3">
                  <c:v>14.5</c:v>
                </c:pt>
                <c:pt idx="4">
                  <c:v>10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8-4008-85E9-AAE084417CF6}"/>
            </c:ext>
          </c:extLst>
        </c:ser>
        <c:ser>
          <c:idx val="1"/>
          <c:order val="1"/>
          <c:tx>
            <c:strRef>
              <c:f>Grades!$N$16</c:f>
              <c:strCache>
                <c:ptCount val="1"/>
                <c:pt idx="0">
                  <c:v>Evolução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Grades!$L$17:$L$26</c:f>
              <c:strCache>
                <c:ptCount val="6"/>
                <c:pt idx="0">
                  <c:v>T1 - BlitzRide</c:v>
                </c:pt>
                <c:pt idx="1">
                  <c:v>T2 - .</c:v>
                </c:pt>
                <c:pt idx="2">
                  <c:v>T3 - .</c:v>
                </c:pt>
                <c:pt idx="3">
                  <c:v>T4 - We Drive</c:v>
                </c:pt>
                <c:pt idx="4">
                  <c:v>T5 - Norimono</c:v>
                </c:pt>
                <c:pt idx="5">
                  <c:v>T6 - NextRide</c:v>
                </c:pt>
              </c:strCache>
            </c:strRef>
          </c:cat>
          <c:val>
            <c:numRef>
              <c:f>Grades!$N$17:$N$26</c:f>
              <c:numCache>
                <c:formatCode>\+0#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8-4008-85E9-AAE084417CF6}"/>
            </c:ext>
          </c:extLst>
        </c:ser>
        <c:ser>
          <c:idx val="2"/>
          <c:order val="2"/>
          <c:tx>
            <c:strRef>
              <c:f>Grades!$O$16</c:f>
              <c:strCache>
                <c:ptCount val="1"/>
                <c:pt idx="0">
                  <c:v>Posição final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Grades!$L$17:$L$26</c:f>
              <c:strCache>
                <c:ptCount val="6"/>
                <c:pt idx="0">
                  <c:v>T1 - BlitzRide</c:v>
                </c:pt>
                <c:pt idx="1">
                  <c:v>T2 - .</c:v>
                </c:pt>
                <c:pt idx="2">
                  <c:v>T3 - .</c:v>
                </c:pt>
                <c:pt idx="3">
                  <c:v>T4 - We Drive</c:v>
                </c:pt>
                <c:pt idx="4">
                  <c:v>T5 - Norimono</c:v>
                </c:pt>
                <c:pt idx="5">
                  <c:v>T6 - NextRide</c:v>
                </c:pt>
              </c:strCache>
            </c:strRef>
          </c:cat>
          <c:val>
            <c:numRef>
              <c:f>Grades!$O$17:$O$26</c:f>
              <c:numCache>
                <c:formatCode>\+0#</c:formatCode>
                <c:ptCount val="10"/>
                <c:pt idx="0">
                  <c:v>7</c:v>
                </c:pt>
                <c:pt idx="1">
                  <c:v>22</c:v>
                </c:pt>
                <c:pt idx="2">
                  <c:v>15</c:v>
                </c:pt>
                <c:pt idx="3">
                  <c:v>30</c:v>
                </c:pt>
                <c:pt idx="4">
                  <c:v>25</c:v>
                </c:pt>
                <c:pt idx="5">
                  <c:v>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98-4008-85E9-AAE08441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963754968"/>
        <c:axId val="963755624"/>
      </c:barChart>
      <c:catAx>
        <c:axId val="9637549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pt-BR"/>
          </a:p>
        </c:txPr>
        <c:crossAx val="963755624"/>
        <c:crosses val="autoZero"/>
        <c:auto val="1"/>
        <c:lblAlgn val="ctr"/>
        <c:lblOffset val="100"/>
        <c:noMultiLvlLbl val="0"/>
      </c:catAx>
      <c:valAx>
        <c:axId val="963755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+0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pt-BR"/>
          </a:p>
        </c:txPr>
        <c:crossAx val="963754968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Active users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8461015902423974"/>
          <c:y val="0.19543138248069952"/>
          <c:w val="0.53030569708198261"/>
          <c:h val="0.614258415066539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'Country Presence'!$A$242</c:f>
              <c:strCache>
                <c:ptCount val="1"/>
                <c:pt idx="0">
                  <c:v>China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Presence'!$B$253:$K$253</c:f>
              <c:numCache>
                <c:formatCode>_-* #,##0_-;\-* #,##0_-;_-* "-"??_-;_-@_-</c:formatCode>
                <c:ptCount val="10"/>
                <c:pt idx="0">
                  <c:v>#N/A</c:v>
                </c:pt>
                <c:pt idx="1">
                  <c:v>6984322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F-425B-8ACA-CAF8BCA2CFC7}"/>
            </c:ext>
          </c:extLst>
        </c:ser>
        <c:ser>
          <c:idx val="1"/>
          <c:order val="1"/>
          <c:tx>
            <c:strRef>
              <c:f>'Country Presence'!$A$243</c:f>
              <c:strCache>
                <c:ptCount val="1"/>
                <c:pt idx="0">
                  <c:v>Estados Unidos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Presence'!$B$254:$K$254</c:f>
              <c:numCache>
                <c:formatCode>_-* #,##0_-;\-* #,##0_-;_-* "-"??_-;_-@_-</c:formatCode>
                <c:ptCount val="10"/>
                <c:pt idx="0">
                  <c:v>3951022</c:v>
                </c:pt>
                <c:pt idx="1">
                  <c:v>8692541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F-425B-8ACA-CAF8BCA2CFC7}"/>
            </c:ext>
          </c:extLst>
        </c:ser>
        <c:ser>
          <c:idx val="2"/>
          <c:order val="2"/>
          <c:tx>
            <c:strRef>
              <c:f>'Country Presence'!$A$244</c:f>
              <c:strCache>
                <c:ptCount val="1"/>
                <c:pt idx="0">
                  <c:v>Índia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Presence'!$B$255:$K$255</c:f>
              <c:numCache>
                <c:formatCode>_-* #,##0_-;\-* #,##0_-;_-* "-"??_-;_-@_-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DF-425B-8ACA-CAF8BCA2CFC7}"/>
            </c:ext>
          </c:extLst>
        </c:ser>
        <c:ser>
          <c:idx val="3"/>
          <c:order val="3"/>
          <c:tx>
            <c:strRef>
              <c:f>'Country Presence'!$A$245</c:f>
              <c:strCache>
                <c:ptCount val="1"/>
                <c:pt idx="0">
                  <c:v>Japão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Presence'!$B$256:$K$256</c:f>
              <c:numCache>
                <c:formatCode>_-* #,##0_-;\-* #,##0_-;_-* "-"??_-;_-@_-</c:formatCode>
                <c:ptCount val="10"/>
                <c:pt idx="0">
                  <c:v>1989857</c:v>
                </c:pt>
                <c:pt idx="1">
                  <c:v>4824346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DF-425B-8ACA-CAF8BCA2CFC7}"/>
            </c:ext>
          </c:extLst>
        </c:ser>
        <c:ser>
          <c:idx val="4"/>
          <c:order val="4"/>
          <c:tx>
            <c:strRef>
              <c:f>'Country Presence'!$A$246</c:f>
              <c:strCache>
                <c:ptCount val="1"/>
                <c:pt idx="0">
                  <c:v>Reino Unido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Presence'!$B$257:$K$257</c:f>
              <c:numCache>
                <c:formatCode>_-* #,##0_-;\-* #,##0_-;_-* "-"??_-;_-@_-</c:formatCode>
                <c:ptCount val="10"/>
                <c:pt idx="0">
                  <c:v>1046665</c:v>
                </c:pt>
                <c:pt idx="1">
                  <c:v>2435826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6DF-425B-8ACA-CAF8BCA2C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72768"/>
        <c:axId val="619474304"/>
      </c:scatterChart>
      <c:valAx>
        <c:axId val="619472768"/>
        <c:scaling>
          <c:orientation val="minMax"/>
          <c:max val="202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619474304"/>
        <c:crosses val="autoZero"/>
        <c:crossBetween val="midCat"/>
        <c:majorUnit val="1"/>
      </c:valAx>
      <c:valAx>
        <c:axId val="619474304"/>
        <c:scaling>
          <c:orientation val="minMax"/>
          <c:min val="0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619472768"/>
        <c:crosses val="autoZero"/>
        <c:crossBetween val="midCat"/>
        <c:dispUnits>
          <c:builtInUnit val="millions"/>
          <c:dispUnitsLbl>
            <c:tx>
              <c:rich>
                <a:bodyPr/>
                <a:lstStyle/>
                <a:p>
                  <a:pPr>
                    <a:defRPr/>
                  </a:pPr>
                  <a:r>
                    <a:rPr lang="pt-BR"/>
                    <a:t>Millions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1344232699900501"/>
          <c:y val="0.17431812251538784"/>
          <c:w val="0.27776299617779338"/>
          <c:h val="0.6470318951359156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125" footer="0.3149606200000012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Demand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22777080653762899"/>
          <c:y val="0.19543138248069963"/>
          <c:w val="0.48714512030617679"/>
          <c:h val="0.614258415066539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'Country Presence'!$A$248</c:f>
              <c:strCache>
                <c:ptCount val="1"/>
                <c:pt idx="0">
                  <c:v>China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Presence'!$B$258:$K$258</c:f>
              <c:numCache>
                <c:formatCode>_-* #,##0_-;\-* #,##0_-;_-* "-"??_-;_-@_-</c:formatCode>
                <c:ptCount val="10"/>
                <c:pt idx="0">
                  <c:v>#N/A</c:v>
                </c:pt>
                <c:pt idx="1">
                  <c:v>53046231.355448335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C-4D8C-AF41-8796D93AB53D}"/>
            </c:ext>
          </c:extLst>
        </c:ser>
        <c:ser>
          <c:idx val="1"/>
          <c:order val="1"/>
          <c:tx>
            <c:strRef>
              <c:f>'Country Presence'!$A$249</c:f>
              <c:strCache>
                <c:ptCount val="1"/>
                <c:pt idx="0">
                  <c:v>Estados Unidos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Presence'!$B$259:$K$259</c:f>
              <c:numCache>
                <c:formatCode>_-* #,##0_-;\-* #,##0_-;_-* "-"??_-;_-@_-</c:formatCode>
                <c:ptCount val="10"/>
                <c:pt idx="0">
                  <c:v>87928377.951340854</c:v>
                </c:pt>
                <c:pt idx="1">
                  <c:v>192274689.46289992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C-4D8C-AF41-8796D93AB53D}"/>
            </c:ext>
          </c:extLst>
        </c:ser>
        <c:ser>
          <c:idx val="2"/>
          <c:order val="2"/>
          <c:tx>
            <c:strRef>
              <c:f>'Country Presence'!$A$250</c:f>
              <c:strCache>
                <c:ptCount val="1"/>
                <c:pt idx="0">
                  <c:v>Índia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Presence'!$B$260:$K$260</c:f>
              <c:numCache>
                <c:formatCode>_-* #,##0_-;\-* #,##0_-;_-* "-"??_-;_-@_-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BC-4D8C-AF41-8796D93AB53D}"/>
            </c:ext>
          </c:extLst>
        </c:ser>
        <c:ser>
          <c:idx val="3"/>
          <c:order val="3"/>
          <c:tx>
            <c:strRef>
              <c:f>'Country Presence'!$A$251</c:f>
              <c:strCache>
                <c:ptCount val="1"/>
                <c:pt idx="0">
                  <c:v>Japão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Presence'!$B$261:$K$261</c:f>
              <c:numCache>
                <c:formatCode>_-* #,##0_-;\-* #,##0_-;_-* "-"??_-;_-@_-</c:formatCode>
                <c:ptCount val="10"/>
                <c:pt idx="0">
                  <c:v>38301631.486020893</c:v>
                </c:pt>
                <c:pt idx="1">
                  <c:v>83859373.725545689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BC-4D8C-AF41-8796D93AB53D}"/>
            </c:ext>
          </c:extLst>
        </c:ser>
        <c:ser>
          <c:idx val="4"/>
          <c:order val="4"/>
          <c:tx>
            <c:strRef>
              <c:f>'Country Presence'!$A$252</c:f>
              <c:strCache>
                <c:ptCount val="1"/>
                <c:pt idx="0">
                  <c:v>Reino Unido</c:v>
                </c:pt>
              </c:strCache>
            </c:strRef>
          </c:tx>
          <c:marker>
            <c:symbol val="none"/>
          </c:marker>
          <c:xVal>
            <c:numRef>
              <c:f>'Country Presence'!$B$240:$K$240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xVal>
          <c:yVal>
            <c:numRef>
              <c:f>'Country Presence'!$B$262:$K$262</c:f>
              <c:numCache>
                <c:formatCode>_-* #,##0_-;\-* #,##0_-;_-* "-"??_-;_-@_-</c:formatCode>
                <c:ptCount val="10"/>
                <c:pt idx="0">
                  <c:v>16429246.95789904</c:v>
                </c:pt>
                <c:pt idx="1">
                  <c:v>34676442.718041174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7BC-4D8C-AF41-8796D93AB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268160"/>
        <c:axId val="620278144"/>
      </c:scatterChart>
      <c:valAx>
        <c:axId val="620268160"/>
        <c:scaling>
          <c:orientation val="minMax"/>
          <c:max val="202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620278144"/>
        <c:crosses val="autoZero"/>
        <c:crossBetween val="midCat"/>
        <c:majorUnit val="1"/>
      </c:valAx>
      <c:valAx>
        <c:axId val="620278144"/>
        <c:scaling>
          <c:orientation val="minMax"/>
          <c:min val="0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620268160"/>
        <c:crosses val="autoZero"/>
        <c:crossBetween val="midCat"/>
        <c:dispUnits>
          <c:builtInUnit val="millions"/>
          <c:dispUnitsLbl>
            <c:tx>
              <c:rich>
                <a:bodyPr/>
                <a:lstStyle/>
                <a:p>
                  <a:pPr>
                    <a:defRPr/>
                  </a:pPr>
                  <a:r>
                    <a:rPr lang="en-US"/>
                    <a:t>MIllions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2287715451780465"/>
          <c:y val="0.17431812251538789"/>
          <c:w val="0.26832786371349093"/>
          <c:h val="0.6470318951359156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Language!$C$449</c:f>
          <c:strCache>
            <c:ptCount val="1"/>
            <c:pt idx="0">
              <c:v>Evolução financeira (milhões)</c:v>
            </c:pt>
          </c:strCache>
        </c:strRef>
      </c:tx>
      <c:overlay val="1"/>
      <c:txPr>
        <a:bodyPr/>
        <a:lstStyle/>
        <a:p>
          <a:pPr>
            <a:defRPr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1577112860892402"/>
          <c:y val="0.13981118887296257"/>
          <c:w val="0.8685180769675136"/>
          <c:h val="0.67325958217953186"/>
        </c:manualLayout>
      </c:layout>
      <c:areaChart>
        <c:grouping val="standard"/>
        <c:varyColors val="0"/>
        <c:ser>
          <c:idx val="1"/>
          <c:order val="1"/>
          <c:tx>
            <c:strRef>
              <c:f>'Individual Report'!$A$68</c:f>
              <c:strCache>
                <c:ptCount val="1"/>
                <c:pt idx="0">
                  <c:v>Margem Bruta [MB = RV-CMV]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'Individual Report'!$B$61:$M$61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 formatCode="_-[$$-409]* #,##0.00_ ;_-[$$-409]* \-#,##0.00\ ;_-[$$-409]* &quot;-&quot;??_ ;_-@_ ">
                  <c:v>2018</c:v>
                </c:pt>
                <c:pt idx="8" formatCode="_-[$$-409]* #,##0.00_ ;_-[$$-409]* \-#,##0.00\ ;_-[$$-409]* &quot;-&quot;??_ ;_-@_ ">
                  <c:v>2019</c:v>
                </c:pt>
                <c:pt idx="9" formatCode="_-[$$-409]* #,##0.00_ ;_-[$$-409]* \-#,##0.00\ ;_-[$$-409]* &quot;-&quot;??_ ;_-@_ ">
                  <c:v>2020</c:v>
                </c:pt>
                <c:pt idx="10" formatCode="_-[$$-409]* #,##0.00_ ;_-[$$-409]* \-#,##0.00\ ;_-[$$-409]* &quot;-&quot;??_ ;_-@_ ">
                  <c:v>2021</c:v>
                </c:pt>
                <c:pt idx="11" formatCode="_-[$$-409]* #,##0.00_ ;_-[$$-409]* \-#,##0.00\ ;_-[$$-409]* &quot;-&quot;??_ ;_-@_ ">
                  <c:v>2022</c:v>
                </c:pt>
              </c:numCache>
            </c:numRef>
          </c:cat>
          <c:val>
            <c:numRef>
              <c:f>'Individual Report'!$B$62:$K$62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_-[$$-409]* #,##0.00_ ;_-[$$-409]* \-#,##0.00\ ;_-[$$-409]* &quot;-&quot;??_ ;_-@_ ">
                  <c:v>0</c:v>
                </c:pt>
                <c:pt idx="8" formatCode="_-[$$-409]* #,##0.00_ ;_-[$$-409]* \-#,##0.00\ ;_-[$$-409]* &quot;-&quot;??_ ;_-@_ ">
                  <c:v>0</c:v>
                </c:pt>
                <c:pt idx="9" formatCode="_-[$$-409]* #,##0.00_ ;_-[$$-409]* \-#,##0.00\ ;_-[$$-409]* &quot;-&quot;??_ ;_-@_ 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6-4BFD-9086-F86D2319D793}"/>
            </c:ext>
          </c:extLst>
        </c:ser>
        <c:ser>
          <c:idx val="2"/>
          <c:order val="2"/>
          <c:tx>
            <c:strRef>
              <c:f>'Individual Report'!$A$69</c:f>
              <c:strCache>
                <c:ptCount val="1"/>
                <c:pt idx="0">
                  <c:v>Todos os custos</c:v>
                </c:pt>
              </c:strCache>
            </c:strRef>
          </c:tx>
          <c:spPr>
            <a:solidFill>
              <a:srgbClr val="C0504D">
                <a:alpha val="70000"/>
              </a:srgbClr>
            </a:solidFill>
          </c:spPr>
          <c:cat>
            <c:numRef>
              <c:f>'Individual Report'!$B$61:$M$61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 formatCode="_-[$$-409]* #,##0.00_ ;_-[$$-409]* \-#,##0.00\ ;_-[$$-409]* &quot;-&quot;??_ ;_-@_ ">
                  <c:v>2018</c:v>
                </c:pt>
                <c:pt idx="8" formatCode="_-[$$-409]* #,##0.00_ ;_-[$$-409]* \-#,##0.00\ ;_-[$$-409]* &quot;-&quot;??_ ;_-@_ ">
                  <c:v>2019</c:v>
                </c:pt>
                <c:pt idx="9" formatCode="_-[$$-409]* #,##0.00_ ;_-[$$-409]* \-#,##0.00\ ;_-[$$-409]* &quot;-&quot;??_ ;_-@_ ">
                  <c:v>2020</c:v>
                </c:pt>
                <c:pt idx="10" formatCode="_-[$$-409]* #,##0.00_ ;_-[$$-409]* \-#,##0.00\ ;_-[$$-409]* &quot;-&quot;??_ ;_-@_ ">
                  <c:v>2021</c:v>
                </c:pt>
                <c:pt idx="11" formatCode="_-[$$-409]* #,##0.00_ ;_-[$$-409]* \-#,##0.00\ ;_-[$$-409]* &quot;-&quot;??_ ;_-@_ ">
                  <c:v>2022</c:v>
                </c:pt>
              </c:numCache>
            </c:numRef>
          </c:cat>
          <c:val>
            <c:numRef>
              <c:f>'Individual Report'!$B$63:$K$63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_-[$$-409]* #,##0.00_ ;_-[$$-409]* \-#,##0.00\ ;_-[$$-409]* &quot;-&quot;??_ ;_-@_ ">
                  <c:v>0</c:v>
                </c:pt>
                <c:pt idx="8" formatCode="_-[$$-409]* #,##0.00_ ;_-[$$-409]* \-#,##0.00\ ;_-[$$-409]* &quot;-&quot;??_ ;_-@_ ">
                  <c:v>0</c:v>
                </c:pt>
                <c:pt idx="9" formatCode="_-[$$-409]* #,##0.00_ ;_-[$$-409]* \-#,##0.00\ ;_-[$$-409]* &quot;-&quot;??_ ;_-@_ 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6-4BFD-9086-F86D2319D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30848"/>
        <c:axId val="620432384"/>
      </c:areaChart>
      <c:lineChart>
        <c:grouping val="standard"/>
        <c:varyColors val="0"/>
        <c:ser>
          <c:idx val="0"/>
          <c:order val="0"/>
          <c:tx>
            <c:strRef>
              <c:f>'Individual Report'!$A$70</c:f>
              <c:strCache>
                <c:ptCount val="1"/>
                <c:pt idx="0">
                  <c:v>Fluxo de caixa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circle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'Individual Report'!$B$61:$K$61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 formatCode="_-[$$-409]* #,##0.00_ ;_-[$$-409]* \-#,##0.00\ ;_-[$$-409]* &quot;-&quot;??_ ;_-@_ ">
                  <c:v>2018</c:v>
                </c:pt>
                <c:pt idx="8" formatCode="_-[$$-409]* #,##0.00_ ;_-[$$-409]* \-#,##0.00\ ;_-[$$-409]* &quot;-&quot;??_ ;_-@_ ">
                  <c:v>2019</c:v>
                </c:pt>
                <c:pt idx="9" formatCode="_-[$$-409]* #,##0.00_ ;_-[$$-409]* \-#,##0.00\ ;_-[$$-409]* &quot;-&quot;??_ ;_-@_ ">
                  <c:v>2020</c:v>
                </c:pt>
              </c:numCache>
            </c:numRef>
          </c:cat>
          <c:val>
            <c:numRef>
              <c:f>'Individual Report'!$B$64:$K$64</c:f>
              <c:numCache>
                <c:formatCode>_-[$$-409]* #,##0_ ;_-[$$-409]* \-#,##0\ ;_-[$$-409]* "-"??_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_-[$$-409]* #,##0.00_ ;_-[$$-409]* \-#,##0.00\ ;_-[$$-409]* &quot;-&quot;??_ ;_-@_ ">
                  <c:v>0</c:v>
                </c:pt>
                <c:pt idx="8" formatCode="_-[$$-409]* #,##0.00_ ;_-[$$-409]* \-#,##0.00\ ;_-[$$-409]* &quot;-&quot;??_ ;_-@_ ">
                  <c:v>0</c:v>
                </c:pt>
                <c:pt idx="9" formatCode="_-[$$-409]* #,##0.00_ ;_-[$$-409]* \-#,##0.00\ ;_-[$$-409]* &quot;-&quot;??_ ;_-@_ 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6-4BFD-9086-F86D2319D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430848"/>
        <c:axId val="620432384"/>
      </c:lineChart>
      <c:catAx>
        <c:axId val="62043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/>
            </a:pPr>
            <a:endParaRPr lang="pt-BR"/>
          </a:p>
        </c:txPr>
        <c:crossAx val="620432384"/>
        <c:crosses val="autoZero"/>
        <c:auto val="1"/>
        <c:lblAlgn val="ctr"/>
        <c:lblOffset val="100"/>
        <c:noMultiLvlLbl val="0"/>
      </c:catAx>
      <c:valAx>
        <c:axId val="620432384"/>
        <c:scaling>
          <c:orientation val="minMax"/>
          <c:min val="0"/>
        </c:scaling>
        <c:delete val="0"/>
        <c:axPos val="l"/>
        <c:majorGridlines/>
        <c:numFmt formatCode="[$$-409]\ #,##0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pt-BR"/>
          </a:p>
        </c:txPr>
        <c:crossAx val="620430848"/>
        <c:crosses val="autoZero"/>
        <c:crossBetween val="between"/>
        <c:dispUnits>
          <c:builtInUnit val="millions"/>
        </c:dispUnits>
      </c:valAx>
    </c:plotArea>
    <c:legend>
      <c:legendPos val="b"/>
      <c:overlay val="0"/>
    </c:legend>
    <c:plotVisOnly val="1"/>
    <c:dispBlanksAs val="zero"/>
    <c:showDLblsOverMax val="0"/>
  </c:chart>
  <c:spPr>
    <a:ln>
      <a:solidFill>
        <a:schemeClr val="accent5"/>
      </a:solidFill>
    </a:ln>
  </c:spPr>
  <c:txPr>
    <a:bodyPr/>
    <a:lstStyle/>
    <a:p>
      <a:pPr>
        <a:defRPr sz="1200"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52" footer="0.3149606200000025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Language!$C$450</c:f>
          <c:strCache>
            <c:ptCount val="1"/>
            <c:pt idx="0">
              <c:v>Estrutura de custos</c:v>
            </c:pt>
          </c:strCache>
        </c:strRef>
      </c:tx>
      <c:layout>
        <c:manualLayout>
          <c:xMode val="edge"/>
          <c:yMode val="edge"/>
          <c:x val="0.21908220339030152"/>
          <c:y val="1.4136966051244685E-2"/>
        </c:manualLayout>
      </c:layout>
      <c:overlay val="0"/>
      <c:txPr>
        <a:bodyPr/>
        <a:lstStyle/>
        <a:p>
          <a:pPr>
            <a:defRPr sz="20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23891923954313965"/>
          <c:y val="0.13538443172051198"/>
          <c:w val="0.68869479525067734"/>
          <c:h val="0.6430907178947908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'Individual Report'!$G$30</c:f>
              <c:strCache>
                <c:ptCount val="1"/>
                <c:pt idx="0">
                  <c:v>Despesas totais de marketing e vendas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numFmt formatCode="[$$-409]\ #,##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'Individual Report'!$B$31:$B$40</c:f>
            </c:strRef>
          </c:cat>
          <c:val>
            <c:numRef>
              <c:f>'Individual Report'!$G$31:$G$40</c:f>
              <c:numCache>
                <c:formatCode>_-[$$-409]* #,##0,_ ;_-[$$-409]* \-#,##0,\ ;_-[$$-409]* "-"_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6-4A9B-BD07-7D530A7D4731}"/>
            </c:ext>
          </c:extLst>
        </c:ser>
        <c:ser>
          <c:idx val="1"/>
          <c:order val="1"/>
          <c:tx>
            <c:strRef>
              <c:f>'Individual Report'!$H$30</c:f>
              <c:strCache>
                <c:ptCount val="1"/>
                <c:pt idx="0">
                  <c:v>Custos fixos
 (ADM. &amp; OP.)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'Individual Report'!$B$31:$B$40</c:f>
            </c:strRef>
          </c:cat>
          <c:val>
            <c:numRef>
              <c:f>'Individual Report'!$H$31:$H$40</c:f>
              <c:numCache>
                <c:formatCode>_-[$$-409]* #,##0,_ ;_-[$$-409]* \-#,##0,\ ;_-[$$-409]* "-"_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26-4A9B-BD07-7D530A7D4731}"/>
            </c:ext>
          </c:extLst>
        </c:ser>
        <c:ser>
          <c:idx val="2"/>
          <c:order val="2"/>
          <c:tx>
            <c:strRef>
              <c:f>'Individual Report'!$I$30</c:f>
              <c:strCache>
                <c:ptCount val="1"/>
                <c:pt idx="0">
                  <c:v>Custos de abertura</c:v>
                </c:pt>
              </c:strCache>
            </c:strRef>
          </c:tx>
          <c:invertIfNegative val="0"/>
          <c:cat>
            <c:strRef>
              <c:f>'Individual Report'!$B$31:$B$40</c:f>
            </c:strRef>
          </c:cat>
          <c:val>
            <c:numRef>
              <c:f>'Individual Report'!$I$31:$I$40</c:f>
              <c:numCache>
                <c:formatCode>_-[$$-409]* #,##0,_ ;_-[$$-409]* \-#,##0,\ ;_-[$$-409]* "-"_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26-4A9B-BD07-7D530A7D4731}"/>
            </c:ext>
          </c:extLst>
        </c:ser>
        <c:ser>
          <c:idx val="3"/>
          <c:order val="3"/>
          <c:tx>
            <c:strRef>
              <c:f>'Individual Report'!$J$30</c:f>
              <c:strCache>
                <c:ptCount val="1"/>
                <c:pt idx="0">
                  <c:v>Custos regulatórios e políticos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'Individual Report'!$B$31:$B$40</c:f>
            </c:strRef>
          </c:cat>
          <c:val>
            <c:numRef>
              <c:f>'Individual Report'!$J$31:$J$40</c:f>
              <c:numCache>
                <c:formatCode>_-[$$-409]* #,##0,_ ;_-[$$-409]* \-#,##0,\ ;_-[$$-409]* "-"_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26-4A9B-BD07-7D530A7D4731}"/>
            </c:ext>
          </c:extLst>
        </c:ser>
        <c:ser>
          <c:idx val="5"/>
          <c:order val="4"/>
          <c:tx>
            <c:strRef>
              <c:f>'Individual Report'!$L$30</c:f>
              <c:strCache>
                <c:ptCount val="1"/>
                <c:pt idx="0">
                  <c:v>Impostos (D)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'Individual Report'!$B$31:$B$40</c:f>
            </c:strRef>
          </c:cat>
          <c:val>
            <c:numRef>
              <c:f>'Individual Report'!$L$31:$L$40</c:f>
              <c:numCache>
                <c:formatCode>_-[$$-409]* #,##0,_ ;_-[$$-409]* \-#,##0,\ ;_-[$$-409]* "-"_ ;_-@_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26-4A9B-BD07-7D530A7D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620505344"/>
        <c:axId val="620527616"/>
      </c:barChart>
      <c:catAx>
        <c:axId val="62050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pt-BR"/>
          </a:p>
        </c:txPr>
        <c:crossAx val="620527616"/>
        <c:crosses val="autoZero"/>
        <c:auto val="1"/>
        <c:lblAlgn val="ctr"/>
        <c:lblOffset val="100"/>
        <c:noMultiLvlLbl val="0"/>
      </c:catAx>
      <c:valAx>
        <c:axId val="620527616"/>
        <c:scaling>
          <c:orientation val="minMax"/>
        </c:scaling>
        <c:delete val="0"/>
        <c:axPos val="r"/>
        <c:majorGridlines/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pt-BR"/>
          </a:p>
        </c:txPr>
        <c:crossAx val="620505344"/>
        <c:crosses val="max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74600741788234493"/>
                <c:y val="0.84543259116116476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pt-BR"/>
                    <a:t>Millions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1.7123965319252997E-3"/>
          <c:y val="0.1145849342122137"/>
          <c:w val="0.20676986247074391"/>
          <c:h val="0.71211223678473412"/>
        </c:manualLayout>
      </c:layout>
      <c:overlay val="0"/>
      <c:txPr>
        <a:bodyPr/>
        <a:lstStyle/>
        <a:p>
          <a:pPr>
            <a:defRPr sz="1200"/>
          </a:pPr>
          <a:endParaRPr lang="pt-BR"/>
        </a:p>
      </c:txPr>
    </c:legend>
    <c:plotVisOnly val="1"/>
    <c:dispBlanksAs val="gap"/>
    <c:showDLblsOverMax val="0"/>
  </c:chart>
  <c:spPr>
    <a:ln>
      <a:solidFill>
        <a:schemeClr val="accent6"/>
      </a:solidFill>
    </a:ln>
  </c:spPr>
  <c:txPr>
    <a:bodyPr/>
    <a:lstStyle/>
    <a:p>
      <a:pPr>
        <a:defRPr sz="1100"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236" footer="0.31496062000000236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Language!$C$432</c:f>
          <c:strCache>
            <c:ptCount val="1"/>
            <c:pt idx="0">
              <c:v>Análise de preços e custos da competição</c:v>
            </c:pt>
          </c:strCache>
        </c:strRef>
      </c:tx>
      <c:layout>
        <c:manualLayout>
          <c:xMode val="edge"/>
          <c:yMode val="edge"/>
          <c:x val="7.1686182083819022E-2"/>
          <c:y val="5.8895337744524913E-2"/>
        </c:manualLayout>
      </c:layout>
      <c:overlay val="1"/>
      <c:txPr>
        <a:bodyPr/>
        <a:lstStyle/>
        <a:p>
          <a:pPr>
            <a:defRPr sz="2000"/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612914118957617"/>
          <c:y val="0.18033836346077578"/>
          <c:w val="0.87833181405561744"/>
          <c:h val="0.472666382277837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'Individual Report'!$A$61</c:f>
              <c:strCache>
                <c:ptCount val="1"/>
                <c:pt idx="0">
                  <c:v>Custo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/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'Individual Report'!$H$52:$AA$53</c:f>
              <c:multiLvlStrCache>
                <c:ptCount val="20"/>
                <c:lvl>
                  <c:pt idx="0">
                    <c:v>Sua empresa</c:v>
                  </c:pt>
                  <c:pt idx="1">
                    <c:v>Concorrentes</c:v>
                  </c:pt>
                  <c:pt idx="2">
                    <c:v>Sua empresa</c:v>
                  </c:pt>
                  <c:pt idx="3">
                    <c:v>Concorrentes</c:v>
                  </c:pt>
                  <c:pt idx="4">
                    <c:v>Sua empresa</c:v>
                  </c:pt>
                  <c:pt idx="5">
                    <c:v>Concorrentes</c:v>
                  </c:pt>
                  <c:pt idx="6">
                    <c:v>Sua empresa</c:v>
                  </c:pt>
                  <c:pt idx="7">
                    <c:v>Concorrentes</c:v>
                  </c:pt>
                  <c:pt idx="8">
                    <c:v>Sua empresa</c:v>
                  </c:pt>
                  <c:pt idx="9">
                    <c:v>Concorrentes</c:v>
                  </c:pt>
                  <c:pt idx="10">
                    <c:v>Sua empresa</c:v>
                  </c:pt>
                  <c:pt idx="11">
                    <c:v>Concorrentes</c:v>
                  </c:pt>
                  <c:pt idx="12">
                    <c:v>Sua empresa</c:v>
                  </c:pt>
                  <c:pt idx="13">
                    <c:v>Concorrentes</c:v>
                  </c:pt>
                  <c:pt idx="14">
                    <c:v>Sua empresa</c:v>
                  </c:pt>
                  <c:pt idx="15">
                    <c:v>Concorrentes</c:v>
                  </c:pt>
                  <c:pt idx="16">
                    <c:v>Sua empresa</c:v>
                  </c:pt>
                  <c:pt idx="17">
                    <c:v>Concorrentes</c:v>
                  </c:pt>
                  <c:pt idx="18">
                    <c:v>Sua empresa</c:v>
                  </c:pt>
                  <c:pt idx="19">
                    <c:v>Concorrentes</c:v>
                  </c:pt>
                </c:lvl>
                <c:lvl>
                  <c:pt idx="0">
                    <c:v>H/M</c:v>
                  </c:pt>
                  <c:pt idx="2">
                    <c:v>S1</c:v>
                  </c:pt>
                  <c:pt idx="4">
                    <c:v>S2</c:v>
                  </c:pt>
                  <c:pt idx="6">
                    <c:v>S3</c:v>
                  </c:pt>
                  <c:pt idx="8">
                    <c:v>S4</c:v>
                  </c:pt>
                  <c:pt idx="10">
                    <c:v>S5</c:v>
                  </c:pt>
                  <c:pt idx="12">
                    <c:v>S6</c:v>
                  </c:pt>
                  <c:pt idx="14">
                    <c:v>S7</c:v>
                  </c:pt>
                  <c:pt idx="16">
                    <c:v>S8</c:v>
                  </c:pt>
                  <c:pt idx="18">
                    <c:v>S9</c:v>
                  </c:pt>
                </c:lvl>
              </c:multiLvlStrCache>
            </c:multiLvlStrRef>
          </c:cat>
          <c:val>
            <c:numRef>
              <c:f>'Individual Report'!$H$54:$AA$54</c:f>
              <c:numCache>
                <c:formatCode>_-[$$-409]* #,##0.00_ ;_-[$$-409]* \-#,##0.00\ ;_-[$$-409]* "-"??_ ;_-@_ 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B-4A27-A40D-61C1E4E041E9}"/>
            </c:ext>
          </c:extLst>
        </c:ser>
        <c:ser>
          <c:idx val="1"/>
          <c:order val="1"/>
          <c:tx>
            <c:strRef>
              <c:f>'Individual Report'!$A$62</c:f>
              <c:strCache>
                <c:ptCount val="1"/>
                <c:pt idx="0">
                  <c:v>Margem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'Individual Report'!$H$52:$AA$53</c:f>
              <c:multiLvlStrCache>
                <c:ptCount val="20"/>
                <c:lvl>
                  <c:pt idx="0">
                    <c:v>Sua empresa</c:v>
                  </c:pt>
                  <c:pt idx="1">
                    <c:v>Concorrentes</c:v>
                  </c:pt>
                  <c:pt idx="2">
                    <c:v>Sua empresa</c:v>
                  </c:pt>
                  <c:pt idx="3">
                    <c:v>Concorrentes</c:v>
                  </c:pt>
                  <c:pt idx="4">
                    <c:v>Sua empresa</c:v>
                  </c:pt>
                  <c:pt idx="5">
                    <c:v>Concorrentes</c:v>
                  </c:pt>
                  <c:pt idx="6">
                    <c:v>Sua empresa</c:v>
                  </c:pt>
                  <c:pt idx="7">
                    <c:v>Concorrentes</c:v>
                  </c:pt>
                  <c:pt idx="8">
                    <c:v>Sua empresa</c:v>
                  </c:pt>
                  <c:pt idx="9">
                    <c:v>Concorrentes</c:v>
                  </c:pt>
                  <c:pt idx="10">
                    <c:v>Sua empresa</c:v>
                  </c:pt>
                  <c:pt idx="11">
                    <c:v>Concorrentes</c:v>
                  </c:pt>
                  <c:pt idx="12">
                    <c:v>Sua empresa</c:v>
                  </c:pt>
                  <c:pt idx="13">
                    <c:v>Concorrentes</c:v>
                  </c:pt>
                  <c:pt idx="14">
                    <c:v>Sua empresa</c:v>
                  </c:pt>
                  <c:pt idx="15">
                    <c:v>Concorrentes</c:v>
                  </c:pt>
                  <c:pt idx="16">
                    <c:v>Sua empresa</c:v>
                  </c:pt>
                  <c:pt idx="17">
                    <c:v>Concorrentes</c:v>
                  </c:pt>
                  <c:pt idx="18">
                    <c:v>Sua empresa</c:v>
                  </c:pt>
                  <c:pt idx="19">
                    <c:v>Concorrentes</c:v>
                  </c:pt>
                </c:lvl>
                <c:lvl>
                  <c:pt idx="0">
                    <c:v>H/M</c:v>
                  </c:pt>
                  <c:pt idx="2">
                    <c:v>S1</c:v>
                  </c:pt>
                  <c:pt idx="4">
                    <c:v>S2</c:v>
                  </c:pt>
                  <c:pt idx="6">
                    <c:v>S3</c:v>
                  </c:pt>
                  <c:pt idx="8">
                    <c:v>S4</c:v>
                  </c:pt>
                  <c:pt idx="10">
                    <c:v>S5</c:v>
                  </c:pt>
                  <c:pt idx="12">
                    <c:v>S6</c:v>
                  </c:pt>
                  <c:pt idx="14">
                    <c:v>S7</c:v>
                  </c:pt>
                  <c:pt idx="16">
                    <c:v>S8</c:v>
                  </c:pt>
                  <c:pt idx="18">
                    <c:v>S9</c:v>
                  </c:pt>
                </c:lvl>
              </c:multiLvlStrCache>
            </c:multiLvlStrRef>
          </c:cat>
          <c:val>
            <c:numRef>
              <c:f>'Individual Report'!$H$55:$AA$55</c:f>
              <c:numCache>
                <c:formatCode>_-[$$-409]* #,##0.00_ ;_-[$$-409]* \-#,##0.00\ ;_-[$$-409]* "-"??_ ;_-@_ 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B-4A27-A40D-61C1E4E0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620569728"/>
        <c:axId val="620571264"/>
      </c:barChart>
      <c:lineChart>
        <c:grouping val="standard"/>
        <c:varyColors val="0"/>
        <c:ser>
          <c:idx val="2"/>
          <c:order val="2"/>
          <c:tx>
            <c:strRef>
              <c:f>'Individual Report'!$A$63</c:f>
              <c:strCache>
                <c:ptCount val="1"/>
                <c:pt idx="0">
                  <c:v>Preço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/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'Individual Report'!$H$52:$AA$53</c:f>
              <c:multiLvlStrCache>
                <c:ptCount val="20"/>
                <c:lvl>
                  <c:pt idx="0">
                    <c:v>Sua empresa</c:v>
                  </c:pt>
                  <c:pt idx="1">
                    <c:v>Concorrentes</c:v>
                  </c:pt>
                  <c:pt idx="2">
                    <c:v>Sua empresa</c:v>
                  </c:pt>
                  <c:pt idx="3">
                    <c:v>Concorrentes</c:v>
                  </c:pt>
                  <c:pt idx="4">
                    <c:v>Sua empresa</c:v>
                  </c:pt>
                  <c:pt idx="5">
                    <c:v>Concorrentes</c:v>
                  </c:pt>
                  <c:pt idx="6">
                    <c:v>Sua empresa</c:v>
                  </c:pt>
                  <c:pt idx="7">
                    <c:v>Concorrentes</c:v>
                  </c:pt>
                  <c:pt idx="8">
                    <c:v>Sua empresa</c:v>
                  </c:pt>
                  <c:pt idx="9">
                    <c:v>Concorrentes</c:v>
                  </c:pt>
                  <c:pt idx="10">
                    <c:v>Sua empresa</c:v>
                  </c:pt>
                  <c:pt idx="11">
                    <c:v>Concorrentes</c:v>
                  </c:pt>
                  <c:pt idx="12">
                    <c:v>Sua empresa</c:v>
                  </c:pt>
                  <c:pt idx="13">
                    <c:v>Concorrentes</c:v>
                  </c:pt>
                  <c:pt idx="14">
                    <c:v>Sua empresa</c:v>
                  </c:pt>
                  <c:pt idx="15">
                    <c:v>Concorrentes</c:v>
                  </c:pt>
                  <c:pt idx="16">
                    <c:v>Sua empresa</c:v>
                  </c:pt>
                  <c:pt idx="17">
                    <c:v>Concorrentes</c:v>
                  </c:pt>
                  <c:pt idx="18">
                    <c:v>Sua empresa</c:v>
                  </c:pt>
                  <c:pt idx="19">
                    <c:v>Concorrentes</c:v>
                  </c:pt>
                </c:lvl>
                <c:lvl>
                  <c:pt idx="0">
                    <c:v>H/M</c:v>
                  </c:pt>
                  <c:pt idx="2">
                    <c:v>S1</c:v>
                  </c:pt>
                  <c:pt idx="4">
                    <c:v>S2</c:v>
                  </c:pt>
                  <c:pt idx="6">
                    <c:v>S3</c:v>
                  </c:pt>
                  <c:pt idx="8">
                    <c:v>S4</c:v>
                  </c:pt>
                  <c:pt idx="10">
                    <c:v>S5</c:v>
                  </c:pt>
                  <c:pt idx="12">
                    <c:v>S6</c:v>
                  </c:pt>
                  <c:pt idx="14">
                    <c:v>S7</c:v>
                  </c:pt>
                  <c:pt idx="16">
                    <c:v>S8</c:v>
                  </c:pt>
                  <c:pt idx="18">
                    <c:v>S9</c:v>
                  </c:pt>
                </c:lvl>
              </c:multiLvlStrCache>
            </c:multiLvlStrRef>
          </c:cat>
          <c:val>
            <c:numRef>
              <c:f>'Individual Report'!$R$56:$AK$56</c:f>
              <c:numCache>
                <c:formatCode>General</c:formatCode>
                <c:ptCount val="20"/>
                <c:pt idx="16" formatCode="_-[$$-409]* #,##0.00_ ;_-[$$-409]* \-#,##0.00\ ;_-[$$-409]* &quot;-&quot;??_ ;_-@_ ">
                  <c:v>0</c:v>
                </c:pt>
                <c:pt idx="17" formatCode="_-[$$-409]* #,##0.00_ ;_-[$$-409]* \-#,##0.00\ ;_-[$$-409]* &quot;-&quot;??_ ;_-@_ ">
                  <c:v>0</c:v>
                </c:pt>
                <c:pt idx="18" formatCode="_-[$$-409]* #,##0.00_ ;_-[$$-409]* \-#,##0.00\ ;_-[$$-409]* &quot;-&quot;??_ ;_-@_ ">
                  <c:v>0</c:v>
                </c:pt>
                <c:pt idx="19" formatCode="_-[$$-409]* #,##0.00_ ;_-[$$-409]* \-#,##0.00\ ;_-[$$-409]* &quot;-&quot;??_ ;_-@_ 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B-4A27-A40D-61C1E4E0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603264"/>
        <c:axId val="620601728"/>
      </c:lineChart>
      <c:catAx>
        <c:axId val="620569728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pt-BR"/>
          </a:p>
        </c:txPr>
        <c:crossAx val="620571264"/>
        <c:crosses val="autoZero"/>
        <c:auto val="1"/>
        <c:lblAlgn val="ctr"/>
        <c:lblOffset val="100"/>
        <c:noMultiLvlLbl val="0"/>
      </c:catAx>
      <c:valAx>
        <c:axId val="620571264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  <a:prstDash val="sysDash"/>
            </a:ln>
          </c:spPr>
        </c:majorGridlines>
        <c:numFmt formatCode="_-[$$-409]* #,##0_ ;_-[$$-409]* \-#,##0\ ;_-[$$-409]* &quot;-&quot;_ ;_-@_ 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pt-BR"/>
          </a:p>
        </c:txPr>
        <c:crossAx val="620569728"/>
        <c:crosses val="autoZero"/>
        <c:crossBetween val="between"/>
        <c:majorUnit val="1"/>
      </c:valAx>
      <c:valAx>
        <c:axId val="620601728"/>
        <c:scaling>
          <c:orientation val="minMax"/>
        </c:scaling>
        <c:delete val="1"/>
        <c:axPos val="r"/>
        <c:numFmt formatCode="0%" sourceLinked="1"/>
        <c:majorTickMark val="out"/>
        <c:minorTickMark val="none"/>
        <c:tickLblPos val="none"/>
        <c:crossAx val="620603264"/>
        <c:crosses val="max"/>
        <c:crossBetween val="between"/>
      </c:valAx>
      <c:catAx>
        <c:axId val="62060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620601728"/>
        <c:crosses val="autoZero"/>
        <c:auto val="1"/>
        <c:lblAlgn val="ctr"/>
        <c:lblOffset val="100"/>
        <c:noMultiLvlLbl val="0"/>
      </c:catAx>
    </c:plotArea>
    <c:legend>
      <c:legendPos val="l"/>
      <c:legendEntry>
        <c:idx val="2"/>
        <c:delete val="1"/>
      </c:legendEntry>
      <c:layout>
        <c:manualLayout>
          <c:xMode val="edge"/>
          <c:yMode val="edge"/>
          <c:x val="0.81235445536416673"/>
          <c:y val="3.68816831354375E-2"/>
          <c:w val="0.17962761925501328"/>
          <c:h val="0.12227305935399123"/>
        </c:manualLayout>
      </c:layout>
      <c:overlay val="0"/>
      <c:txPr>
        <a:bodyPr/>
        <a:lstStyle/>
        <a:p>
          <a:pPr>
            <a:defRPr sz="1400"/>
          </a:pPr>
          <a:endParaRPr lang="pt-BR"/>
        </a:p>
      </c:txPr>
    </c:legend>
    <c:plotVisOnly val="1"/>
    <c:dispBlanksAs val="gap"/>
    <c:showDLblsOverMax val="0"/>
  </c:chart>
  <c:spPr>
    <a:ln>
      <a:solidFill>
        <a:schemeClr val="accent6"/>
      </a:solidFill>
    </a:ln>
  </c:spPr>
  <c:txPr>
    <a:bodyPr/>
    <a:lstStyle/>
    <a:p>
      <a:pPr>
        <a:defRPr>
          <a:latin typeface="Century Gothic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163" footer="0.3149606200000016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accent5">
                <a:lumMod val="20000"/>
                <a:lumOff val="80000"/>
              </a:schemeClr>
            </a:solidFill>
          </cx:spPr>
        </cx:plotSurface>
        <cx:series layoutId="regionMap" uniqueId="{91251D96-AABB-4AC1-A2BF-EDE5E2BBAB97}">
          <cx:tx>
            <cx:txData>
              <cx:f>_xlchart.v5.2</cx:f>
              <cx:v>data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regionLabelLayout val="none"/>
            <cx:geography viewedRegionType="dataOnly" cultureLanguage="pt-BR" cultureRegion="BR" attribution="Da plataforma Bing">
              <cx:geoCache provider="{E9337A44-BEBE-4D9F-B70C-5C5E7DAFC167}">
                <cx:binary>7J3NchtHlu9fBeHVvREDuL4/OrongoQoihIlSwJlX3tXImESNgnI+LAt7foB5iHUs5hwR3jlnk1v
8WL3l1WoQtapBAogy4FasGeiJyaTCZ06J/Nknq//+evlr3+5vB0m086vd7fj2V8uf/3bFzfz+Ye/
fPnl7PJmeJfMenejy+lkNvl+3ruc3H05+f770eXwy6tp8stofP2lY9nel5c3yXQ+/PWL//wrv3Y9
nJxPLpP5aDJ+sxhOP74dzha389mWOeNU53KyGM/V8mt+6W9fnP08mX7s9CfJbP5FZziej+YfLz5+
GP7ti9LffdH5Uv5a5V/u3ELcfHHF2rAXOE7k2ZHrW44dh074Red2Mr5eTXf9nu87vh9HvhNYlhWH
zGf/9qvkjvX9yWyedK4mnZfJ9PvRXT5pIiwlK7m6mg5ns87q/xp+oPQ1hvnRbNLPGNOfqC/on6Wf
/GWZ8f/5VzEAE8SIJhvJsbopKZqT2XwyHiXbvn4/sfhRL4jcIHA82/N9K4zsklgcvxe5YRiHduDF
dhDHTv5PZ1KBnuW/aggyi2O9UshhPSEFcHJyeAG8Wv5+PZzmTDDtvv34b4c9z7H8yI7sMHCC2HdL
/I97nmW5seO7jutFgetE+T+d8b+eHDP383WC9/mw5PyrFnC+n9y9n1w1ufdtpxfatu9ZjuPYQRgH
cYn3tuX1Yjv0Aw8BWFEceWXepwT9sPUsmplfLBTcL8Yl+188a8HGH/7S+W6Y3Cbjq5wND9/9Xc/t
ofEjJ3LjOOD/WuXtb4dWz4u4DBwnVufACvJ/e7X9Jz8nUHW7/Me4ZmeYJfFKrBcCkdNSLq++O7xc
jm7fJzUKeD+N5Nk9G2l4XMVuFAWhXT4VjtWzAi6KAKFZlhMjMP2ahhyEsf2UmmWxXimksJ6Q/D86
Pzz/+4v3W1XAfsx33J5lu7aL1neCyPc98UqKLO5jJ+Katp0wdlKVpbO/jhoz67NVgu3ZoGR5/93h
WX50yxW8fYvtyfWoZ/tsdFRRHNix7YlHEE8kHqdWFIVu6EU8h8Sen14vf7vdTpCZ8UfFSsH89YQU
wJMW6JzBL8mnUcM3gRP0/MDHMojC2PbR9WUZuHbPi9n1oecFEdrJFpfxYKFIuu89UF4tZFGelPIY
tEAeR+Prxej2tkE9ZHMiYt+L/cDyYXjol15G3QA1FWLHuYGPInItpaZ0NbQLQRtORPEpQgrrn5QS
OGqBXXY0vppMpw0KwHN6vuc7MQaBumWduHwR2D0/9D0ntHzf9SN1TUsB1NKzif+rhRX2r8Yr3H9y
+Avh+GYxT8Y5Bx7+LHUwymxPGVyYBrEXO1i9mq8i5lHqYh3AeyyHwA+EUVxPjpn3+TrB+nxYcv74
4vCcP5reDWtee/tdxZ7Vg+MuKsdzozjwlNGlsd7DJHN5eeIL4+nJI1U+P6d3y3/WEGRmPl+yWinY
v56QAjh6eXgB9CfT5W+j1DE2WNw2dwTcgD0e4bELrNAOw9Aty4HXZ/YQtbzIdTGNmdYvgN3JMktD
rhcykdNSMi/eHl4yF6O7ybRzPpzNhzlvHq6ZulEvjBGLclpgCFiuXVZNNg672Itix2YusCv+oh2J
MgultFhIpDQnxXHRAjvt5LYzSG5/TrjGmhOH7fZC1wmCAEOMu9q18U9o2qobRT2uZscPcJ/m3lX9
mOxIlFkcpcVCHKU5KY7B14c/Ha+TcXK3/NycKKKer6IKfsiTKX20lt0WXSxnDDgsarSa63gYGvm/
nbmSdiDILIZioRBBMS7Z//ro8Ox/NWrYhI57fsSDlasgtB0bT17pIEQ9K3b9kKsiCpS5oDyt+jmA
nOVvNSa9mfvrlYL96wnJ/1enh+d//2Z02+S1gHkcou7dEKecw2XtEifQFVFo91wbz4XtZvyPRByh
lh4z91fLBOtXo5Lv/RbcArjYh9PJpEFbwe8FRMdcnxiNMtMCxVmN8yrG4DkubA9dO3b5u/LOh6Bk
uvzf4SwfNr0RNjB/vVQKYD1TEUIL3qzPIW902aCxjLcCVwRRYyuwLde3fXENh2HPDfBpE352LXx8
6nTo6mcHgswiKBYKARTjkv3PW8B+PCmTJn1FXfa467L5CRcQI7Yk+wlx+uglN4yc2FdhNGEr1NNj
Zn6+TvA+H5asP/qqDWo/uWpQ7ds++zrCUUFgzCKIrJSLrnuI7RO/cfkP1nKE2Vze9v2bGmrMfF8t
E2xfjUquXzw5PNdxpqvTPm5Q43RdHBG4J3BJW/irK3u+GzDPyz9SysjBe6qrm53oMfNeWyr4r81I
GRy1wBo+Wszm06QmSLKfq6iLrQuH0fiBG6rMCWkLIyNOhs2rP05TJ2whBkXS8nMNTRvkoK2VgtCm
KpJ4d/jTcDYdNhu68d0eHiLe9j4xNCdKg/SaFsJlYXuEzvwiWiCOw9lU0bP1cJqFUCwUEijGJfvP
Tg7P/v50Qk7c1q/d7xh4PvzFTx05IXz2XBGrsXHkcUi4I+wIrxA3dPkUQM/y8+V2gszsX68U/F9P
SAE8a4EmesJFwJu7yfenH/QsogVWTDDMZ6+ri1Y7ATG2l7qhXRxBuO78SGSx7ESRWQbaUiEEbUZK
4cmLwx+D9D7Yvuv2PAa8MqPQCnEu+BYJEiJ+bHvqlPAI4iAQ4Pd9cQyWf1dqeztBZhGsVwoJrCek
AI4uDi+A48XtdVLzwXtKAFOXREZSKMiSIC4cln1A3NYOub9k3Cn/dTXBVxG0/FxDkVkE2lIhA21G
CuG4BW6go0/D6ftk9EOTwUsiaMrVhi/OwuatRtBIxEYFxTFB++x1Wr4PcpKW/z3JJ3Z3SZQWC1GU
5qQwjlqQRXE6HY6T7e+Q/Q4EdjH+NksZvoHvRpbS+9q10A1sfEcWdzc2cZ52pNsJp1Oc5NsJMp+H
YqEQQTEu2X/aAivtOLnhXt7qB9uP/Y7XI24ZkMVCBrtHQB+Vr7M/xCvNf3yS7Xycp2mio87+HQgy
s79YKNhfjEv2Hw9acB+QwnbdqFfOt3oBV65PLD+iwMC2yt4JD+cE71EubbJ7lf3AdVFi/w4EbeB/
sVIKoJioSKAFlgHbY5qMGnRNk1JnEQuLYo9sifRGLh0A5EMKkU0iC9ksNuaZ8Mspeobb6dnA/3yh
ZH8+XuH+sxbs/2R8fYs/bHaTb0PTtbenBnJ7Ko+FM+DGoTGPSFkEvFWz0hoZkjzeiaRNMlh/TkUM
66mKJFpwEQwWVzWPj/2kgJeUVHYKbBADwqDOpnQMnJiMCSI3vkWdB68m5UXS9VA9OWYJ5OsE9/Nh
yflBCzh/Mr8ZTT5sN4L24z0eaMfBK+Hw7vcJEoj6DjfuBcjEpvqGVDtOibDKTuaj5R81BJm5v14p
+L+ekBI4uWiDFsIeuJo0+AoiRYV0anwPsQpT4gcq+ya6PpF7zDFEQxzBD8koKm//46SeIrMI1iuF
CNYTUgTHxy0QAe7R6aJBCeAf9T1ivx4BAcsjViD0D89QL/ao7QsdK/bSwlhd/xzX07OB//lCyf58
vML9bw/PfdRjk8bwo+6nIDzdHrJWXFYW9yekKzapeLo25i2xLx/7N3Rc2/Pw+2v2F6V/rnp/EhhI
8yaU31rf9zsQZN73xUKx74txue9ftCAoPyD/6ecmb14ypcm0UgnsgedZniwgoIwvJIGalw8JE/yF
TKTegR4z94uFgvvFuOT+2zYYv0Ns38VdvgEf/vJ/tH0LOIrdtM/N8refFo3u/5jUXJWTwn9TUkks
vqR9VOqEawNs4PMuinmi5rLPskH7O9Bj3v/rleIArCfkCei3wPnJK2P0aZgz4eEHgKQfSvlcEq7I
jTYFhUlkt2KVOs0VEYcU0eT/diaAenrM7M/XCebnw5L1x61g/Xi7l2U/kwuTCqcPnjcC8lZE9Vj5
wa9ytUjDsuOAPwFRJhDX7jH1PFt9UJv4ni6rsD0drXD9+eEfmsfD6R1vzXzXPXzHu46qXLLU+544
F1mI5We+ygjiIcRkGFE9b3A3ZwRtNTw28T79FFZW2J9PVCTQgifP8WL6I7H4ztNktjXUtN/2J+iC
U9kjGo/nzbNEInqXPGlCASFXgioxRlDS6bkmajtVG0RRXi7lUZ6tCOXp4Y9Fnyc4eVqdo++nBAPG
nbfDD4v3t6PL5s4Jdd6hH5I5F3q2TTDeKl/MPEzxF1mxFVk+sRnCxfk/nV0MELT8t6Io6aS0Tror
UrceZbO0tv2WEN22P5Vy7LdBjrWhw/2OVUA9MonsVuhaPrKRjrxuHPSoFESYwHepKhtZ4dFX9Gyv
9zHLqFgoBFKMV7h/dPhTdDy5HTVqzXV5TxHLiUhztMDrylLYNWM6zTdFnznEkbPnlvBiQ9Hy9xqS
zAJYrxQSWE9IERy3INX65G40VZ7UzvLv0+T9cNZ5Nx416lgFqgXbmch96FlEMNMXrCYR3+OhxUUU
5P4NYWHcgz6zfDb+kBDXxr+T0js6OfwBytD+3jYajybOg4JSaGvrsn1NYN2IFLHYz+vKyeQrXzy7
kWSWkb5WiEWfkpLovz28JI4n89kvKO+cGQ9/KHcd8mJwCXqEHfBBEXQoWeacq4gEPXBe0rLzNJ9V
9wsqghY1BJmlsF4pZLCekBI4/qYFEpgqaJsG+W+TIZb+h7IFHsNRzE7XDwIBC0dlxmCmGEEWjqfJ
bDtBG/i/Wie5vxqu8L4Fu/80ed9ksWCXlBhcUmx8/CLsbBBcyq9ffOZge6lIqQfEAgXNbi737PUL
PTWxcTPr83WC9fmwZP1pG95Qi+kCVL/8+xvQOwQcAqowFbAR5ocjMoTJAwBIh9PgggWWFqrl//TK
I1VPj5n32LnZhwjmF+OS+8dnh1c6J9PRfDpsUOsrhyu+VoVphOqnRtwuKR0XpASPB67ClIpAS5BI
jyk9CukkF4ppP5j5ry0VEtBmpAxOWqB8+snHO0zws5mqj9nqF9rPlrNVQULkcAhSB0ka8tf1f2T3
HGWBZ1mRKfiXfgGf3d4ks05G3P7SKK8WAilPSpm8aEF8+hQU2u2bcE9ZuD1eOqRmoHfAlKoAPnJs
PNIjsaljSmg9r3IhLP9RR5D5VJzmC4UIinHJ/dMWuAyfJx+azA4A5Ij0YJu6NbK+rErFgu2GmAwK
30uYApBxr1s4XydYng9Ljj9/ffh74Olo3Gy1IG5wBdQSkuxlpYzVNA8Jq6qMjXA0aUoqYUC8fhQx
94V41NcK/utTUgZPW3AXq9LqbYp2T43zWDRu6p0gYycvJ7dXoEM3x3cvxKoCaDy0LVwQVaT9qKcq
14hK5GXj+T+dPT8VPcvP9/LgaUvFztdm5MZ/2YJ8VIBkmnQ8oO5pMEFIAYQ0hQAloVos0LwwvXgW
kaZHqwNMM/3dU0uN+aJdLROcX41KrvdfHV7lnxKITMYf8483PbT30zi+reCfKEFYIToKcCLljuDd
T8Bn7Y7Q+X50S2+U8c3Wo2hm/Xql4P56QgrgSQucn09HP4ya474KHdDhY13lIdkPOo5CssDls0qA
z//tTPHUUWNmfbZKsD0blCx/2oJsgD7hkX/VPaT32/Uemz4t7MgTf0v2bjd0CB/gb3A90wtzJ3rM
nNeWCvZrM1IG/RZEbCBv8igC0Tuo0kzoT20vpJVLZxr44cofIOvHqvD9kiFPb2rCG/spIqXeLRyf
4FNYwBFh1ZY1Ed4elZBkcQlgloGPJlJiTmuoMauhbJXQQNmgVD6nzw7/6DkCCQjHDhixi6vRfOtb
Yz/uU4VsO4TkbQTAfytXgmbxkqUNYIhDwxXqYKkElzWYe5BlFkPlB4REKvNSOIOjwwun//FDoxU5
rk8yBbmPhO9TOEABmeMS/6IJHSAJOKwDnq4idM/b/cN0mL+STCrSLIt8nRBBPiw532+Du3M6HF5u
/dT9TgNufkCKSE21icOvsAC146ByKny6BCo4BFRRpQngKWDn98IqKhYK3hfjkvmnLfD/D6ajznky
/rFBbQRIDslZ7Gigqom8g9RbUkeAJFMkqGrxAy9HctRNscFwOupC0nbwJPPu19cKKehTUhDnLQAr
6n8aXt78CamQ3mONwqpnabpl6krUXicfFknnFY3oThejcZPBya7KXnRo9YfGsbikwYkqnQt80T3K
FGhHl+cO5do/s5FXlKlucoq05W/59O6Xg+EnxCkx/IU8LK9bgGn0ZHg3uZyCcXdZnJjO5PvO/GZI
S1mgZ7exZr/LpOsAr8BzNQbXC+Bl0oXjktS4TQjeALFDgQml/7a8xhU1nf/z9kn//26jyazN0k/J
FwtBleZokntQk+7JD6P3k8V8tO0T92O7ylEhVEnRVNabiCCNdoWrxkUKEZXUbZW/QoVP/i9nR0XR
U0OOmePFQsHtYlwehict8Cs9GY7BGvwxZ4FJHezH/EeoQb3V9U7XxpPJ3WjcaCapCsrbgCmoap8g
DRyXjoAC9gJ3Cp/rqpV15QzsQNGGQ1CslKegmKgcgxbE7XMR/Bn1JGSzYChgOwMyHpDX4oq6K1rI
ujTLsVxCa6YeLFplR0Hm1he3WTIbfkaIacNfVWTWAnfsyeWi2WY51F5RehhyIVNwm5b9l2+Obkhe
kuqlw2wl6ejkp1pqzHIpFgpJFOOS9yf9wzs8SliJjXliH4EhL3mWTva+QE6uP36YN3eFq06nJAKQ
frdKwCtdHioNVVXGRRGoMFjpCrVQN8FPrkfzrW/oDccgWyYPQTZaOQItMCMGv4zmoKM2m3zkBT2i
zM4KESDTMtrbVbURwQ1Ouy4wqaIId3iZ94PF8vfl/9zjcigWCv4X41IC/Ra4xJWGnE8A5L1t3N6m
fSlYSFZAOjCBByCbCTlociAjgFwYuomQiUFLL8y7shwyG7uzJjCfNr2vzefB8BNCNoa/kFI6fXP4
q+IpILFNemg5IgFwGDTKodFg2tqxJBqn5/mRi1xUx7s0opHzfpUtADn3OiLqO9KFQgzFuGT+0xZ4
aGm6AaRok/nAzmMr8uk+PsHT4WR63aQA8F/YEeHS2E27JWDflfY/qFVU4CorgwwyajtDqZqGyz/q
CNqgkYqV4gScFhPyCJyeHF7/nC9/bzQhnsay5CERiAak3AMuA/7qNwNgeXRSiwjceZmAyuqnnhoz
8/N1gvX5sGT8+beHZ/wptzOJcU128sKvQYE5edkAx5O8RJFOifldGl8DLU+PBXIjTdjxO5FkFoC2
VMhAm5FiOL1ogxiaDUWot48bomK4YvMceO0AdJlPoSRBdUYJUUMrFdA94w953KLC/SycUWF9GxJV
Fx9rUlP28616lKCp9GzyZCjOJCmmvPt9wGyJilKoo0Dj+TuiDbplBgdryNm09bN1Vc6nP1fhfAt0
z7Nk1GhEIaZRAsmSFOJ4VODLziEqV1LpHcLWoJWv+jvqnK8lx8z41TLB99WoZPuzFuiaZ5Px1YJq
6Xzfmcyd/bY8bXHoxgICJP6ItIcge1rXNhG+CoWagO80q9YpsX0HcjZwvlgpmV9MVPjfAoXzbDGm
Z87H5thPTYgdkPCSdXIv52Lg11ZlsoWely9NRQzG+TZiNjA/Xyh5n49XWP/u8Nfs2SWoxeOrbV+7
385XDRoxZOnNYmyb1qWnLI97fNG0VAOzLcZXre99inLvW4mmLRUS0GakDM4Gh5fB8r+ox9+64fYT
ATggLtjjCoUtzvvfaMonDQdQDQ6aYdFiUxdBPTnm/Z+vE8zPhyucb4HiOXtk/Pkkc95X0in+1IT4
rCB9kFCZUFPxu9/W74LSyb0L4AQqyKH9QVx+bJJ8B2w/DSvyHl44SPW9vztd5jMg14uzIKflmRgc
H14bcSYm4+GsSYUEPAt1f6TK8xQFnSVQMCyl9xCAhfSMWiEG47ZWaWIlsSialr/VELVBJNpaKQ5t
Sori7MnhRXG++HV4R5bR9Dpnx8Nfpio3EtgDJzMIKqEaWhvhf1adl0GqUJ4KXBW6JDKSoOgesTJ9
rZCEPiUlcd6GZxJe9JwRD5cBkLaYXXiDVKaw6i1bdsYpiDuCN4DfoanSP8j/6SwWcDZd/nc+YiJm
wzlIVwm+Zz8lOX7WghDA2TT5adtH7ncvUHpAZQIZEmRgB0GlrTje5zAAcxB84VXP6/yfzjme/LQY
5mP78DxbV+F6Nlzh+5vD65yz2TQZNoiK5pL6To86or40YUkjWyXNTy9x+ogDD7UCppBdourJ2bDb
V58hOb8arnD+vAWcnye3TdrARFToEuKFKgHb0LiXeAxlODE9MkmLyLoI6or+bH7PFu7FQsn6/Acr
vL84PO+fT6aN9sdxFdQTfUDoOqSqPiQUFIgJ9G7kik1hAlVztFy3ZPpGkYMZvP0NZt742lIhAG1G
iuB5C/LiXiSfkh9vZvMmL1qPqK+qPCCoTi+0SqvMIMRQpi4B3QNKVAb+q5+BPiTRPWM2r7FRzJIo
rxbCKE9KebxoQfuEF8PxxyTflqYrb78bmKaYhF/IF1WtEagDQfmULwLQFEheUcnthah0WbxZLP95
rwNRLBQSKMYrzD85vD56MZlNft76xN6P+6p6APg/kk8IwdMtQfSMBRyerCAyfcnPIqGXSHAu+Ewf
1ZNjPgL5OsH6fPjQNRwvFr8QcMk/9eF7nBxDKjBJXKc5l8KUc8rOB7zSvsLepUKTTIdqCmI9ORu4
vPoMyeXVcGV/f3P4/X2eNNkSDZ8ySZ9UDZDYCbYusfaSamFL87xHwzs8NQHbl/1g64gxcz1bJXie
DUqOnx+1gePzGpCr/TQKBTOUiAHuR0uWtM8ZTxjNyUx5fuwoGxcEIoIBadcWXZ2fD+fLf91Ln69X
St4XP1nh/9ct4P/wfTJuEvMYk5Z0Ed40amcr+K3ypqcWnzp71/eJQKpae9kG8Lyeng37Pl9YYf/q
Ayvcb4FTs0DfzPbgw1U97V8f8UVnuzbBPB/OJvObBt8zXa5aH3wP8qXUa4XMnvLuJ92TbU+1ywao
9ZSgrfRs2vx8COsqez8brmz9FkQXz0fvQRdo8CUfsPNpvkF0hTRmm3o9Houa5icEAxY4raBsUtBD
zC/5mIQgmnJup2gD94uVkv/FREUCLXBl8sFNWlKPmZw7tt49HwEvMR+OZ/Ph9tZ7+718VHIJHjOL
PEEX75lUPSgmMk9AWg9xvam+305uYGS21M5UbToDpY+qHITSbOU0nLXgITSa39BnZPv5308ivmo6
Sqt7+E4SIQ0YxVtUdRTCGxeqFnWkY0nY6fPRfHFPb5u2tCKJ4kcrUmiBw/NlcpVcJ7PLZJrvzoe/
iboKAB8wLjQ+fSCqrRpVCQx4XL5FEmjat1p4GVKalp/riDKfi9JiIYvSnJTGy9PDn4mXpJv/MmpS
Eqonh3L8r7rGCdwVoi50oLE8P4cmFTpK0bPYSs8mIWTrKvzPhiusb4EnYt1trSnT4LGn3JvFfsCM
art9rEnu2O9GAKHGAkclotkSNUWgppTNA5VvEhJ8USUZeVxA905AEHpo+xW18QSsVlbPwGqicgq+
bYUCuhr9PJw1qIJoycT73wtJ9eR/lacIJaPZCSEheZVnEnFxq3ov+U5CBpC0PSl7owxWK6syWE1U
ZNACD9EFXWzv6BLdbAjMpQaAwDsFAAoFUz5WfWbJkSMT3S/MaP0gQNPlJCPqXjEwuV4IRE5LsVy0
AGOFfbj1JtxPMQEaTskFdWDYBelztPxU7aqgvaei9URpHI6NSISrI2bjgeATBO+zn5Icf9mCRAgo
axIpVnlCiTeS6pYD5Zf0EFcBoQNVEOCQLEFOtJcrwcxeq6VmI8/VR1SZrkYrXG+BRVDgfTX1DnrE
Mxvu7CB9mUzngGnVJJntqWo8bmBQR52YbU29RShUDanQ9DSmYQqJWWnjjooRkNJ0H0zS1eeopZUD
UPxo5RC8Ofw7SKsUaeoYPBbE7A0M1KcZ3OQHNk9TMrAByydSiZpXbuuQdKDyFWARrQQ5K6BRRwaf
nP/T2RWwAz3mS6BYKE5BMS7PwItnhz8DL5MFTSqb9dCRYEJFNd1/LAqP8NMpPHbNFlDV12ROUIjK
HQ0eLDXaZQlkNN3TSVdaLCRRmpPSePn28NIoJ4o1dSAeE+OGk7zyaX9vhTofo0WTxrI6HxHBejLj
8EoQNygdD18lDpExpCB5qQoASKt6Opa/X47uEdBU+3+11HAyVjOVc/Hu8Ofi5fDX0eXWD97vtaQg
8lUeBZnoMJg20mURoKFIoVPoTPyP8hzJLmYvl7/VEWS+I4qFkv/5D1a4//9awP3JOGmS+6oAw6U6
IGvdrRJWSgcgpGQ75JVKZ6dVgwNxAMglqqFnE/NXCyvMX41XmN8/PPOL5gpN3QaP3SPe7m6qlVDI
m5LAI+T65a9/qetT8FIByzeKCqdwK4lVUhOG/zPNkyupHZU4Sr406MakrKOAlNmQSXzlGoKg5R81
FG1QPOulUvWsZyrKpwUl8wiBlIrh9bTBu1f1MovI1grITff4L1m0HWM82BTvKQMuraapiGEHkjbK
oVhbFUQxVZHEyeGvgZeT6eSyyUuYoiUeP1ywxMt47tBJunQaaOZBth2p7fTcWoUThBySKRRtT+ze
IIVipZRBMVGRwFEbJPBJta1v1GunoseEYqiX1946mqmMNxs3tZemV1Q7qL+cgPVZT9IGKeiLpSD0
uYosWlCuhEYeNQqY2AVGBfQszwNRmtJg1U20dByUnIBbB8WJohk7c2nolwME1UI4muWwXimEsJ6Q
EnjVgtPwavghabBwWKXwYgegj3IsoRL7I2WvcW+H5LkA9oHZXFZGtdRs4H32EZLx2WiF668Pr4Po
fLB4f0tToD+pFxCVYSoyTCIFoBGRi1KyS3IA29Ihq44WT5SDIAyVDawfg/S5/B+qZdHy34rOpHO1
9eVgFov5V4SUzH8khdZvQb7XqyFtm1IM9gadSL6DJPyA1ypeJDpr+UhCuzjAIKUySpWM4OfmMaWK
03RBvU6Wv8+Gs85xMvr1Pne4XC+EI6elWF61IPD8iu05Ta4XzUYeUE3AceG3M0QeuhEtM7nsfTzj
nkOzLVmmk5K0/FxDk/nQ6GuFNPSpiiTODq/VXo2uh9N8fz48M5W7mr6YCmZiVR9YPhogAiokRl68
BCaigDrB/J/mxh3+7YtXy99ryNkggNU6yfzVcIXxLTAqXk2mvyQf889/OOcDHlGerXBVVrUg5cAP
cF0WCXiq9NghBwMsnPyfXnF+Ml0Mr7eexw2szxdK3ufjFeZ/dfhd/9Vdk+AHxBQwEEh7If8LvKe0
7FW/D4B6iuhFEEdIhsR5SwQVvgKZLReGaR+Y+Z6tEkzPBiXHv2pBctfr5MeG8+1UDTioKlhoDnmP
wKmX4whB1COO42JDu6lJIWsRXj8AcEJfKySgT0k5vG5BJ9jXQDLfbT3m+0VzABlVTRLpmBgDc+nz
3im9hbo05AWSCHQc6hUAo6uUhKf0LD/vv/+LhRUB8IHqByvcPzLrnbI/tHNLh6X54orL6LGnak12
+R6+/ItktAPc7H5bD4OIFoZkcJJaRQa6Fwu3gWX3VE666tWGq63S6GI3kszKV18r9p8+JbfgRQuS
Ti6S8afa9I79BKH8lTjvwdjjiCsvQfnpoZDHwEGhHVJAd6oq5uROFG2SQ/ExFTEUMxUptMCJluGT
9pOPjT5EVFmYzQtk1ZZNgmF1IwWWRXMA8qJpE1AxgXYlyiyL8mohjvKklMiLb82qWfQd/lOBcl9n
BmmDL/IumQ70vwMxgrbbtgJDLCuoLv0YCLaATcn9mL4M7fwazN7kK5JG+ejuj8P1SiGH9YSUwes2
yGA4XWz72L3VUoQfBn8ZWbcYpLiOy2+TEJeAYj5RSdJ3nUphzOsacsznIFsl+Z7+VIXnLbBDX9+M
bkcfPtADpkEPGVczudBUAAOAi+WDP7PEeVAQcRNwJOjLADYr4chc6tnGf6pIGo3vU5KkLRUi0GYq
cmjBvfx60mx7AJyUNoH2gF0NcASvJJSLZpSq5gxA31K1io+SS8HBUVNyUk5u7wkbxIesVgoBrCcq
/G+BS/LtL3RnSHImmFTtntrH7qWgn5imlMmDya16cWoCwHwlHQIPMv7KtD2JUP5vKd3fTo9Z/eTr
BPPzYcn6t9+04OqdTOeL6yZDWtTiEUTBMAX9mdJUah5LvO+GFGREsJ0oO/BwAdXZueBXN+8OFJnZ
/7pYKQSwnpAieH3RAhFg6s0nnbeNZnqCFkfc1uXZ7+F1DKtpDgG183jr3U0uGnhZT9NmOeRrDZLI
pyqyaEEi+ptk3iRYhEPckEtAweBSlUHL5vIryLcpW3UCkBQxDEDus8RFUEuNmf+rZYL1q1HJ9TdH
hz8BbyeYYtsL0fe7ADyqIVW3eHwTqWNMIEMo3L5IRRGJ+aaREKn/adhxPxxWvmS1UnB/PSEF8LYF
Pvm3ixlAAOPO0+HVcJq2Oc918sMv48Duke1mqXxzarBRROX7II6pkAcUl/A6SSb4i+L8n86ug7fL
fyva8kETPeZTUCyUksh/sCKId4c/CYNkNJ53zheX2794v9MAjF9EI2ziTrxJwW1SWGXaa6iraiRD
AGuCFDy6AqI4SMbzpHO+/HcNUWYxlFcLWZQnpUDO+20QyN1k6+bbTxRdZFEqR1XbXZcF7QtTzEUv
D5aL4zBIaujZJIV0WYX96ajk+zeDNvB9cTXqHE2TRtPdUPy2E3Al8zJSF7NfYr7nkXXI09XFX4oB
ndbv6XbZ0XT5GXI6gwTaVIV7Nrm7Sqr8gJBHZV5KZnDUAsmoxOgmDQawCShJolEAVdxkJ3h22WHR
VdgFAdc1jXooXiKTXXgsBvUEbTgU+UIhhuIHK+xvQWr6YDht9Eiw6YkMACTkAHCs0nOEqUxnE1o8
cDPTOzWFQM63fXY9D0C5rIFc3sD8fKFkfj4umf+2DVpp+PHyZnh726S/rguCAQaCgnECuJtgrQD2
BvfPC8A3wIltcTjSugFdKw12ommDELS1Ug7alBTFoA0X82g4nfIsGdLHLd+SJk283/1MSN2jkQYp
nmR7ArUu0gu7wH2Q7UAVvYt3leCnvJ1zmu5xOXCws+9hbUUW66mKLFrgv3uzGE2vd2ghsp8sPBzV
gBVEJHqqbDV5W4fZbQ3kASi8pHxKw2FXoswno7xayKM8KSXy4vTwl3RRb7v5ibKfMB4rhz/ukXIx
GNHr+cNk2qBmsnkk0b2NDFrileRWlT1JqogvokSADNu0hk/2luynBNH+e5uqNJ8Ebak4BtqMPAOD
FpyBwe3kZzLftn7yfocAQAlQCzy8GAriVfm2S/aDiuvQ4o3H1KrpsHionsygaPn5p8V2msxiKC0W
gijNVUTRgsw3vfNlUxrpscfnfDTZG3VoMFnMbzovUE0Nngs6vakcQwDBjfnPOMBxx4LNlaOJi4hP
fzJd/oZdfTXpDBZbi6vMR0OuF6dDTssD8qIFcQelq0DFbFAmVH3b5ESDwkgeXrVzCkY1AsOicAMc
4Q55AvnNkNl1mUq5nxNcXytkoU9JOQzODv9uOpl9SMY3TYoBzKfYon8NDbPyvC/d3wcUJiYfGbyq
OMOJVb843bjbgR7zmSgWVgSw+kDJ/ZM2mNcTWqVPxh0A6gjAz3JWPNyse+yYPk+3iQSf2ONJe/LT
IrmaTBuUCS9aFaOjSg/jDRD32C29prohGZX0MVamXSVdcgdqNpyL/DPkucjHK+eiDb4O4qM1ABz7
PWQD+lQqxY8hgT0RoIFKrOeda5nTVAfENz/XkGJm/Hql4Px6QrJ+0ILIqF5T0tTL9bF65v4v16Pv
p9SvNqiFEIZFqIfLGfwbVZ3KDaxd0GRwkKnkUlAMNIKsY1r+PaXm3g9XuV6cDDktz8d3R4d/MA0+
ELFuThze43Npd5CuARCNY2p3G2R/WsdKc1zSxvA1BQqZXTsMXfphWjQvzj2ulWt5F4o2XA/Ft4hD
sP5Juf0HLbDbTq5HqlNeYzcDFzOROIpIVmUkJfajqohLg/FOCILChrQDVMlYqCPGzPrVNwi+r0Yl
00/a4Nj7hTSlBpUO5dsRmZIx5SBWpNrYC98qfew9l37HWuMtne2DxfK3+6XG5AsF64sflMwfnBxe
4Z/MR8s/PjTpqYjIiKEHBNgFmWNbZUFqSkflE9PTg37p9C1QeF12ft5WnoodCNqw8YuVQgDrb5QS
OGlBvvDg47RJ9oO1BeBckaCKdimzX1UZk5pKoQ4NzaqwEYPl7zXkmJmfrxOsz4cl4wffHn7rfze6
e5+8/6XB+1Y1kwN0iJAOfrpgVRao7f1U46s6WnKESQCoxP4VReQkLbaSZOa/tlSIQJuRUvjum8NL
4SL5YdQ0ngHYsD6qheQiZOHRr6lcLRiqambLjaiv9WPKGlyhgi6Sqx8AyANk4X79g8rLhTjEj0uR
XDxvg0jGn5pN4H4sa947snNxQ50/btP8dny41/SxyP8+foqLyXWDFgGKybVChXVGU1cF2F5+m6rM
7YDeNvQBpM6fRBiLef1xWkeN+XLIVklFlH5YRf+0wCC4WNBQrtE3EXnCFEaR9JjeuoF4E9H9mDyA
SNUuq9hNFPFiLTF9MQZmbjtBGxhfrJTMLyYqAmhBUiot7n4cfsyZ8HDNw30MZpNFN2OqBIkNiEQL
nqweGTA0/KODHE7sQG76xfR+SRZ8R7awwv3VeIX5bw9/+767rqtW3S84AFBFSMkgedZghhB9EUVr
rkP/Y7p30EPCpXYN4K1c7pk9Vk+Oeevn6wTr82HJ+Xct0Dvvfpzi/dz6+N6P9eS08NDkkUmuF/ml
Et0S7GoXBzUPUQQTZg0kdL3z7nJaCy+zgfnFSsn+YqIigBZ4n9+NR/PhVVom0jm5G1G61mRmtsp5
5NVP9jV97lcdaTTjzKdugexUpoldKlhLmUKhCLqazDrLv1PGAugo1PL/5qfFpCXNwkm/zPRDQlYb
/06K7qgFfqSV6AbzZmWGt4hKNk4PjlIwq8l8KXkzuqrcEIPackiTJFUvxUzTj9AJjWkVq+8tK7Fe
ikhMS8m8Gxz+PlljRWSMMW3U/dTaIx7Gfq3C300XYOE2+J7qcmkTrKGtAQX/eDJoNFE+FiqwQ4ZS
ng6QVgHpxyKjaLS/7ioWioNQjFdOwLeHPwHvPr0fNu1iopqBqpKYWn/MBSBhFBKpdpkELj2qFXY1
IpJhZkXO/b1L5dVSDKWfrsiiBWht58PZpMkQWxefqk+RJ9mqVtENXBOEQuSn3BCbg6xIOiOoCiD9
JNTTY77E83VCAPmwZP15Cy6Cr6mP/LQY3iY5Bx5+E5BYxPVLBBmXBcC8EhmpG6isVew+anAJPmed
3HXu70SSWQDaUiEDbUaK4esWvJS+Hg3nhPmbEwI16J5D7h0RN5KDA66DkiqyLY4ALygQJVOAfRUO
LclA0XMf2OT0Q9RCyf/8Byvcb4Fr49vhXZOxZoXOVoSZy3z3aIBJGDqg6pCC0JBjUOb72fKfNaSY
N36+TnA9H5ZM/7YFW/471d6nQbWjYBc8MuHR+RE9h2i2UmY9BQpwXLk1gMfA6ycR2b5b/qOOIDPv
i4WC+cW45P53LcALP57MKEXo4FXqPBtOPw2vJz+TZ5RvxodfApSc2wE2mEfPCFNpghIG8Be4tGnd
XoXHO17+oejr7kibWTDGHxFCMv6NFNhxC9wgF6O7ybTLU2I+bE5KXYrdYmpEin50Mi2G1Egw98nO
5hoJFIZn/m9nfsCUKOqza4gyi6e0WIilNCfFcdGCcugL0vJGV8lVeoIuJu+TJgNCNBHH8wd6J4g9
PGJFE+UuaEtgQFOa6KwKf0StlaIN0oadYaeesg2yqf6ElFD1LypyakEizcoF9YLa2KtJg+8rX3Xt
IkBExnD6upLGNj2W7YgcAwuQSiqviDGVT87b4Wg8yTxQ+YRJ6ZqlU1os5FKakxI5PT684T1IqxMH
i6smW4TQwo4KOA+z28ago9wEi04z+FxSjoljqOpqUB3ABA1zpmd6DGrI6rh3jrdYLiQiZqVMBi2w
Ao++v74huQPHZYMply7l6soCwcjIzHDUlCYTzECV6gdsN+XWhvKfo++HBL3um29TXi0kUp6UAjl6
evhD8uLj9Prjp2bl8Yi1MZycTy5T6MM3Na03pPl6dPu+Nuq2n78caeAAwfcUk5cckReIJaidDnoe
UavC/QKGGbUrqm5Ot893ocd8d6xXykNRfGLlQLTgvXU0zUE3MzaYLss9BWD1QGt1cQOuyiDK6gkD
hiCsQ664giSr+gh3IWiDBIpPkRIoJioSaIHFeLSYzQHHqykM3E8GXeyLENgfjAvyX1O/eOkUkJ/T
w1QnXzkHCBLHYCeaNohBWysFoU1VRPHu8LfD8u+KwCadJ8ovBXYD6A0onarPFiQBUtNUEpQXx6Bm
+XZZDrsQZJbCeqWQwXqiIoEWmBWUb/y+/J8m/SUB2D42KR9pAmBWDK1dB3hrXWwIXyWjcRqApykL
YAd6zPwvFgr2F+OS+/1nh9//Odh+U1dB97GXwOLWjB4gH0LHyc0U0zXffQ+/hh3MAAC8SYRi+1Ot
brOztY3v0/sR68DGkWhsTr4DPeaNXywUG78Ylxv/uAUb/yxttdyg2sGNYYchZtqqQ5KIWOMfpJUp
gVKqghANOgifuv4O3YEgM/uLhYL9xbhk/9nJ4fVOEdxqSvE8Run2QCc5Hk7v8BrN8h34cN1Dxgwm
AA4IOvfiGKpkzASeChkxSYpyipUhonW7UGTe/uuVYv+vJ+QBOG6BDXA8mc/om9OgAuo69FGKQvK8
MXZVr7ay+ic9kw7wPqD29PehQlR2Fd+FoA0SKD5FSqCYqEjgm8OroONpMhttxU/b0wIj1kBNHP8h
M8wDl1sgE3e5IYAQ4z8bcmXqCdrA/9WHSO6vhiu8b0ESvo7e29QN8AhGfJ/6q2NqUQhXd54ms1mD
hVg29wHJ3uQM4xNSOAGlpyhWQsgJCRXUGxXq3Bh4jPTH0M5UbTgR5Y+SB6M8WzkfLXBaG2PpTR2U
x4SCXQ7KHs+pPn3Kp8v/bbKYwu8ReSPKFjvragnNluN4EekBlIycTMJ0ad6+fn52osh8drSl4txo
M/LM9FvwojobX03Gy99qCgn3vNMtWo4pgHt6xvNiClQZXUmTUWdKjmasQPnS+ghZ1bIbUWZJ6GuF
KPQpKYuzJ4d/W/V52V6p1vZN6SxAZ3x2vBViN9MMMe39pp2Hbhz0FIo0YVD6hIIRqnDJygeiliCz
EIovERIoxiX7+0eHZ//b4Yflv9/fAv3W6cOF6aSbAcE1aW6AvUTWtxenGEv4slUptSYRom5kJJO3
TEmqxdmx7bJA7keiWUbbfkuIbdufViTZgodAfzpZfq6BS9pPpdHsjwAEiQROiEMqswM1udmAUxNG
IjpBe3YyQCV+0C4EmaW0Xilksp6QEnjWAlPlq7vtydv7cZ9jQf21yuknGRBTXcSqVWGRakNNmlPa
Zl05EXU1VkeMmfPZKsH1bFBy/KsWXOT9yfh68h8d7aheNWiZdC2gvHGAYIerjADXAiuipLnIOXdo
r0jTAgwYipBckTCwL3lmmZh/RcjI/EdSZv3Tw984/ZvRhyb7dyiYLTI2PQqK6fNEfiDeck1LkRBF
hTEtkYEAj8kMdEU2bT05G6Sy+gwph9VwhfPfHp7z2jF5MrkjlfayUa+igtyieJ6H1SpHFo2kCaIb
4vQCEA0QTDpx4XhU/at1jbU3eWbBbPgZIacNfyXF9uSrw4vtbNrktYL7HYyVAOQ/30lvdc6DJiVV
ew9ummoYGGd/UBZSHTFmmWSrhAiyQcnxsxZc5C+T26vRz00GPbhKAAKkw41KTMYApGdB+REcuhwe
YiIkpQF7wNlgWj8cu5Bk5v16peD/ekLK4OXXh9/1p8PlH9PrRtNtVNDDAuvPTV+rQPGWdr5Hxwgr
AMKA0hgnlUFZArsQZJbAeqWQwHpCSuC0BYHX08UIJ0lHdQSYT0h8ajAAYvO0DXlVkeHHsSD/SbhK
sAjp20hFGRBdxKhicWfvRdkGmVQ/Tgqn+hcVKb05/Dk5mY7IEKTLT75bHx6h5VmLmxDZgFbA+5ZE
kNJBAUNK9XgnvZw8TsCSpeWxE0VmqWhLhTS0GSmFkxbcGCcgVP6r0TZDPui96CKUkUr9y15L2j1N
DidoB8B0IYDYVr08cvlnxRW7ELRBBsWnSBEUExUJtEBbaT3zsnuzgXPw2Blwz4z9p6PxLSn7V01q
I/JBqFmlNSBpmmmjCP0UBMQOnZD2yS4wjV4FU2I3esznQF8rToI+Jc/C07PD3wn9CUUsqrDqZTL9
fnSXa4aHn4hQIYpHJCy4oOkjFKecONL1abrl+KSN41vHa1Ip+dqDMLNQKj8gJFOZl+Lpt0A8Lye3
RDxqmnvv5ywklRwkcbo9gVOKNyS1rfVzEqkHFY3QCFARbAfYMd8T2W2xE0VmiWhLhSy0GSmFly0I
PPHly9+bBUNQaVVUrXj0mQDdTpWplh5ONkJCREQAzWm1u1BkFsJ6pZDBekKK4NXR4fXU02kybjqh
nwcTMQkCfKoMMirbFU7P8yMXo4JiVUfVGfGw1Y3sHegx879YKNhfjEvuP23Bm/U0eV+Dqr6fDlI+
DrxKuMtxLIG14qBnyvtfIXVRuK3g3p3Y8tXtobMfgiZbk9zNzF8tE6xfjUrGn7Zg2x/dDu+abYbp
A04AtlPeWwjtU2Y8nlfMNQKs63RDnfG7EGTm/XqlYP96QkrgSQuMhdNGHd9hj8ACmR8KLpw9b7vi
VQTur8pkRuuoDtcEKdBKOvvrqDGzPlsl2J4NSpafPju8rj9F1ydXSf7lD3+LktgEbLsF5B8d5FTs
p3zZKsAOwDwIR3ALAP2ESsr/bS7F4d++2IGgDYzPv0TyPh+vsL8Fr511M8hs5z2c/4+tLnct38rc
lfnuezjnyR4nGQNfNQ+Z3OrVHvtd5knqBzeZxAGakTq+0X26jZ4NGz/1iFZQ5vLPq2z7FoDMQVuj
qp7m3iQj47LGF+GGFZAg5bTzgODiiZlmMkmkuXpyNnI+/QypcVZfV+F8C4LNZbiPppTOI7zJ/eE0
ni3G103Xr9sBzftoYpZh62pKiGQAFTkoVFAodNAOxJiPQrFQnIViXB6GZ+8O//g5myY/be8ltp+p
xTHAy6MQl2iVApiPcDQQyqTtGRl7IP1kEA+5ss+ePvXkmHmfrxOsz4cl58/eHJ7zBRx2UxroEfF7
+nGPgoezecPoJSpMj4vZCwGZBj1DAh0rq4DYZcyjn0YFThXrtZ6eDXs/Xyg3fz5e2f0Xh9/9Rdud
pnb/Y/+gPfb+8+RDow42l8oFmiiCGsB1SwaRaFmG30E1Lat2U6+nw7zl83Vix+fDcsM/f334Df98
Mr1qGDOM3kAgF9MWiOZN2VOn5FtDKCFNXulvqep4iUAKN8NOFG3g//pjpAjWMxUptCBj8c1i+c9G
kyFIhcfgJXfUJowFIhIqviyEsBeRUUQH9Zh2xlWtvwNBZhEUC4UAinHJ/hct8G5SMj3qnifjywa9
bUBVcemqDll2ljpadu1HgOeifzgfyv7NHqTZnZO9OHcjySwDfa0Qgz4lJXH+4vDq6HzYeFoQkFWE
WGw6yvikPaTqRjO7HAD0HJXei7s/beEnAr27EGSWwnqlkMF6oiKBr1sggdH75W+NWr1UPXlg8zic
AwrS6WZJ0YcmgW7cAzOJKK+tEn7B+VGouPpRON+Bog0iKFZKERQTFRG0IM54PpovGr6TfTIUadmq
nA+42gJ0TkkGaX85lFWooAPIT5R9f3aiaJMMio+pCKGYqUihBabAS4Iv18vPs8tkmu/Hh3uiVZt1
FUdXMDEk/VTAfDxerLEf0TiOFveG/KwdiTKLorRYCKM0J8XxsgVVUCTfJ4tRk5JweyqsjmbKqppF
Z10wPUFUpQm75aW4qob6ghp6Ngkh+44K/7PhCuu/OfyVAOs5B02mKLpUlAOjB2awaoFoW/7/Z+9L
eiPH1S3/SqHWLTzNQwN38aghJk9pOydvBKftlChRFDWREnf9Ux561Q3cVe/etv5Yn8hMZ9lh532+
fQ2UF70oJCoYclA85DccfsNj42if+Y8in6ipih40z1inL5nQL1f/x6s8Xf8fA08QeAN3AwhLHL+l
n73e/scS+9DFAUqLoaYtJNJjjWD4uBPzcV+DO3qUmkGGx0G89Ium9CsQfr7NExR+jjyB4d1bOAgT
kgdeWTUjbRkXjoj/QXnhEAraQbDDQ/PoW+krFCLZV4D2ov0V5v0m+O4pHF+/aFK/guLBw0/AeDD2
BI43YCft3/yPv9/Q18xg3qOBYN19SC7kD2oNPwLDg1cXWPCmIZru+/A+NFVfNKNfI/HjZZ7B4cfI
ExTewFXNMfI4rm9eEYP9ZQzaSqOeJ9qqowPifsM/OBAB7skQEAoEcJWPEK3DXKcXzOcXCNy/yOH6
33/+ZPXjNyCSkND/x/951XLnsEH3FbRxUYaIw6frj7JiKPqP9mSo/I/WxYgMPZBHL5nRLxD489FD
DP4ceYLCG4iagDLs25t/3FH7n7ywtBA4gbBQUHMeQtSRy/HoEBj7PA6YTU4IhxlH4ZvWeCyJ/usZ
/QKEn+9yiMHPgScQ/PtbOAgIjEZrvFe9Njb2Eej7MmAPhc0DWYRSCrhYc785ck+vEY7bF03pFzA8
fPgQiYdjT8B4A61yz67/+PuAPvPkms6veSrQvhtugw/ZA/38wz1+AAcqu6FvcWQjF99Hmapv2TYP
D8XLp/U8JofPH8ByOHyIzMkb6FBy0srr367uXj3pzIDWBqGxr/qCqiH413zM8lkoZoEqbsAEgexI
qznMgX35vJ6H5vD5A2gOh59A8wYOzQnKi6B1Cfqt3yvUf51vwu0+7FgHmQN7/vW7sn5wYIwQtWAg
3pAvaLo2AiAPKxe/bE6/gOTB+xzC8WDoCRSbv16ZnNDilUnwfatvD7cPqOmGIAucj0fqHM2oIwdF
LBxke6B8/ZMSey+Zz69AuH+TJxDcDzwB4A2wfSdtP90Vr3gQUOQQAe37+K4fdwyPvewIhBSYJpQE
RYzqtzIv92fwu5P9gvn8Yv3vX+Rw+e8/f7L6b+A6OqOMClQuHu4X4RUE0b5FK2od4Q5iX4QNeuLR
AcCZQG08a99NFHHCYKQOruFeNKPnEXjw6AEGD0YOUTh7AwkgZ9diuv7tm+a6jxj/bsz862jAffhG
fcNGCuBGI+PjAA7UMUY9Iyhtz4E19S0v87Eh9U9M7XlYnnm7A3ie+cYTmN6AqDq77q+hs+nrnRUD
13GIGkBpNgCAM4H/Hh0WA1HzqGCB1EGUY/1Wy9C6//Hv0uolU/oVKvcv8wSM+4EnGHz+6/X1WduP
7W/n9DVpKAvdrKx9+iU8DngSTz1wH/dHsKocFPR8LojsZXP6BQwP3ucQiAdDT6B4A6Tsz37yryar
9u1n0EIafAfqG6HSWvj4ssjeN2kHThEoKcSdgQp5fBheMKHnQfj54AECPz8/XP6rN1Dg87x99Q6U
+8I5CJMM4HibqP58oCr2ATT76kaIsXRDH73XD2TRSyb0/Pr/+eQBAH8OHCJw/gaMp/M//nN41cvS
fV4min9BC/+o6oIVfuDDRfsqkgjmQ+AGaPHoW9nbh7r6BfP5xfrfv8jh8t9//mT138BtxMU1RyWX
oz/+81ULO0MEhSirhprOaHgPMXPQuPvbZSkSlffVpxBA/6T/z0sn9TwOj58+AOPx4CEiR2/ghuL8
7kU95P85evz/N7b/f+0RnQ6slX/8R4dMyHs9+a/7E26IeA0U60QbB0QvoQvTgTuB3LYQ7B+S/lFn
ZN/I7P6nv9urL5zT88fj0cMHp+PR2OHhuHgD8a7fJ/i6sd+4v7NQAh0JbfuyU0/qOyPwI7TRLAvx
gFDb312/h/riZVP6R1h8f51nofg+9ASJN0D5/fE/vvZgJfdFwC6mV6zcadjQzzBKEeGKC9M9yRo9
Ut+oS4gyIz+87MO4y5dP6nk8Dp8/wORw+BCXq3//6127i+la09e/rkBDV9isMJbARlnQ3PteDA+M
KuSwID4TmEHhw+uAbfVYYr10Vs/D8vjpA1AeDx5CcvEGLirQdfl/vap5BXI2hKON6rX7dmb73OhH
YKBvBmKfkCPxIHj5ocR6wXx+hcOPF3kCwY/Pn6x++gYOxB9/f9Xw/H07ABsJWaiG9819OPDvkMCI
Aj0gxeGDoH4tHLyDk/BfTucXa//jucOl//Hxk5V/AyzT5fVthfgCirKu//MV4532K4wADwebH8XA
vltHD0RRgFJViLnZ1wBDhfkAp+MxAC+e1fM4HDx+AMfB6CEql9u//jxcThzBBq9pzSL0G5Gx+wiz
CJset6KPrVlc5cHYRRGlfZv7/V3GAeH0kgn9Aoufr3IIw8+BJwi8gegnJE3ftM0df/WDEaFDHGIA
v8c3HfYp8TCK0pBoTLb3x5823X35rH4FxuO3egLJ4+EnwLwBMvD9Tf/KwcoujFkU84FX4SFlbp+9
+0hTw2xCxdR90qMNyvB76OZDTf2SCT2Pxp9PHuDw58AhAu/fgPWKquLXt+3w23tO8c+94P7XHW4H
QsjcY4CaDSiO+q1J5QOdYexJQXh/yGmECRs+DSh4+byeh+Pw+QNQDoefQHPx1+uN9/rL3esrc3df
stOHS4FuDEjv/Rbn9AAY34HQ2gepIQ/10Nl76YSeR+Tx0wd4PB58gsYb8Ck2f/xvaJDXOyBoyfCn
N/H4wgilnxE3C+0dIQMe4TiHCRX/9VSeR+D+uYO1v//4cNU/vwFf4oo2X/74jy+vWWlpn+GItC7c
mYKA8pEscdBeDHQI1hxnw0dNgr15hQyLhyriRVN6HoAHjx5g8GDkEIarj3+9KLrsKb+9vr377e63
y/bLdfGKzgWyh6CHEVaD6wkLtB9W+4E42tf8NNFKFMksP9jCA57jn5rZ86g88ycO0HnmG4coXV7+
9ShdTLfw+16dIESEOWhaF+oCSV4wng7ulhyUIrZRuRINkvdtkp90CHjxrJ5H5+DxA2QORg9RuXgV
Nf5vN/N/L56t0jd8mzPGkuvxOuUjHZd3fzbY+Mejv3j0h6x51gL7LoY2t3/73d4HEfzbwz/xSEaB
cPr7gzLsP5+4ux7Gv/2+rzaK6rkPzODff1N3+xHoJLT1RbWtn7k1v//GEc9R/u13KCXkc+wrsINs
QSfsfbrl0E7fhnABj4B2OJp7mgAWhf37/czOWrYULf+5Ej/+/zc+NWct5eOAVwGj8Ptv4vsX9zPd
hxSBS4ANDwsdFXhwJ4Pxm+tzygt83/pvDh2KzqK2TbSsY6+gjIRjWyYeeFjCpulEG1/GsbfJGObW
loXSIY1b+rHO7YVI84S6l0XR6pMut2dCeW/F1uzZJPLVcWCfVyNriMebpPesIO3csiK1Gd6G1fxB
B3VJXHqxSD9fz+1NqTsz5dKZiDPanwap200vppWq2ooY89KTQQTtipm6SkymOJnCYiJ270erfUYG
sZpp7bmTPp4KnSHktk485gYrq+cro2/mWLaLFzfc8FI623NmG3YXS1/FghtngubeWltTQcJuWXc+
HXdD16wmRo+7wqozadRG4i35FLfd2CXKaEti2c17Lge57YYqJHxhOhbBQIxOzklZFj3Z2XY9xrQa
p0wXzRdYgaeqyOdV4c88mbV7Puf2nehylpbT5KWLezn5jR07tSS+MM3Env2R+Ky6k668aWo1bqn7
2aiPLH+0SjIEJrHHcCt9n14oKzRSIZWbuIWOg1E5pLSbYiuM+svUCWsdSvVp9g2x6vNlExatQaKh
Px2bCnNjdhR7Pcu6afgwV93nsnAW4mPRh24ptqoek0X5ZTwKujVL00paOz+Z66pPTVfxWI56M3v1
kJWSOMUUHHnBNbWls1s0vSg6O0/mOjpGt/ExCSk1Y3+oEmUxnvnGPKZlL/w0CtX7qQ9p7Iq8I6Yy
BqKdmfiqHs5xsGLkyxLVevq0tuV68ttd0TQLWcDUpEv5xe2bJa0t97zz2Bx3Zb5rKjuLGielysoa
yywTVnAnK4XDiOuU73Oro2vWKABOrZNxHC/7gdopj93MK4olLT51SAglkzNsJG3CLOx7STreXoTD
fBU2g06iUgapa9dbg7UtKRaziPPGHM4M2ZKRWTvTNqLYaKm3krM7r7qgsMnQRDsxc5WyfDlxzHLd
uTklQjllVs92Rdo+LFeO4m4q1UcxBRYxc69MR6sKYi9cum002BeWI/hJJ8yTofQzq3K9tPUFZqBc
Sdw6J5TVDTFrRRObG3nW9fIjXRwWU9hdpHSLk8H7FLjzhYYnvxvb6H3dsPmdVwQ3jTbIOJXTanHt
uHQaK+lG2yO2w/u40LzOnMnVuzlw3plGedUZ72ztLek4mB9s2eRH1FQXxiKzQXC1K/WoYtb7J4ov
49obZUOwdCL2P5mMD7FUUR3zINSJNxlLHMoxXKvNrBWNy8ba0Wag8SDnMhunlh+DD1pbTZ3tS2ik
sC7bNC+LVc7F8q7hQ4S3skju2Top+3MDO8caKkWaObJi38ud2Ox8wo3QX7VUf85Np1oZovsstb9z
60Gu3VG8C6rhbm5Gnhbd7BwJT4vMGusiGd0yTHsDUPbLkWW4/Aw7bcQ7Fzs98PaYhcSpF48IPSeT
7Rcx95wk9yd7lVsrhPYXWc8jN7GcWyHsGnCW7W4YfEW0QX3SMciQsbAVmc0QQrHovbhTRp2Gw7SZ
g/yL47Mkku64iUL/feW2J41nLOvR0ideXpWxO7abwSwbrFnqGR6hXjJ35owgYiO1w66IA1vlqQeR
VeiRrsdlIL3L074fOxKKMSCaOiJzreljU4kvJR7ZlPlA2uK0NGSHYx+FK99rTrVJo6S0xqu28NsE
oseJl4HFZSQhYMPcSybAtvTn3tBB+tdO3NGZE0NWa3OyP3T1tpmZ2hph7idVEeZptMxD5s9LSCbb
JLNfeanVLII4e9mgAJs12tU6mJzbwKIV5F+XNKFOg1yVW+ywkjCe2m3rJYvLzCSY24/ulL8r6kDF
djAcW928pU2R1QFepo+ifkVD64zShmdluygyMNknkfYIm4OzvrfKVRndiQrfmy2vI3agr2E8y5RF
/TZsSpkahVuTXs4feb4ul7FJOpHrZKHhlgcBPZW+cRb07RDngjGix2nrK0qx+JRmAavz1LUoKY1R
rjyox5yJnYcPImyGdBncglR9PpLA16mDj1tv1nFrdAlzaAQxXuVbZuxGbtarhc+KGKwySGtKO8kD
t0/LPMfmpkwQIxiTyGex4/V96rEiiI2m91bmsExxE0xpWQhK6mA2SNX50We/u1mMZbsU8riJuHGe
c3XVG4EXC2eihPbOeFG3Q0F4FB55OiIRxpKwGrauzvkqX1b7jvexyosxmYXVx9Uwfgq9eQOxOCRm
Dv07MONcWup2f95tKJe1HGWcO3m5qmuaGNQsyGy5l004sGwp6HFg1Cpxl8jNKjmUpDDaDXWpJMtg
BSRvnQ9tznGElkFkhaWq1NecJYMTbqo2GRfnWDYDS1g3Ylc17kLGdrHIYOE0t4sZ23WY2JUYYten
8pPT61XQx1MdfLR7bcZzNQJg0cdd74Qni1UQb96/2GBGsbtMfGNor8au8651rzLucr0qlXlXsyYO
aj8Z81Albc1SnluCgAayVyYtklxbklBbfSjb0N4u9lyT0O7vvC5Qa9VUJKfe16of33nBspb4/0hw
nuwHWm/UCWL7dDzOThOjdHEVR1BScVlMIsFXv1SVu+5bbazt3slP2rDYmcyBPeJ0RVLM/N1sVX2y
9x2INY4rYfDpcnFHTUxtdFmwsNgNsF+neTuKJj+2YZEht7JJa1X4qylq1rahZAZZMxD47JumNeRK
UX2xFPNnieXqhjp1Frcn0MRH+OUqZsoGeHnnxbMyrZVdwiaqR49UwbWC7EkcWAfKIAEztk2o+lSH
5vtBBlM8KrotB3tKjapl0Hu+E/uVKlcNs860d2wa1V6xd0edZ8k4FPZx2IRn0VJ6xIp2zhCGKzVE
C36nzSGiXCeVS7CedBkSf68gmzFKKSRT1ahdF9Fry9BtjPctk8Bee435hYX5HPcaepj1LSyE4Nrj
uiBK1M1e/5/Q2Zy3drgc+fY8r8NFrM1y6TaOanCaaSwDJ7NtMewsVfZJU8xWrBsjrvg8H/tGe9QZ
ay19k+TC78msZ/xlCXkPhrZchc0oIQZURYpCSDIf4ZfPcBYhYoWsCEwr91SP82poxqSmg4gXhJIQ
1rQNYXaw8YORnvfMvJTS+DLlrtqM2tDx0rA89jjriCuHM6GdCALPx+J3X6spCM8DYYTZogs74UuE
75TsHWw8SnpnGbK+xFEq6+OoPiqtsNzQtoUp7qjbkuozFli3S6CHeJnDj1PO+MrkU1YLdTFQMWzs
Nid5wT66QvOP1JAXLl855cran1JWGltTLis/9w3gOd5Y3kC6oNmKyPvchSEjsnKSxrFPKuqF8RAa
UOC+I9OaO6SItHXkB1264DSQyuZ94uetWAX+tm1Vyt3ivad4mygfTzm+LFLKnbVg1CI9VKWbX6EB
K5SwPcwJXJ90MTWL67mjpCvtKjHGyYmVi8+kduPaX+pd6DYT7DZvYxbFEDsCiC5VKpDNt4Ix2qxa
3kpS5OH10JYitiyT7yKL22mLBOVMeFFLBC3KI5e2Oi4a5a99LWMd9EuCJOYy1ZCs553wzgfBpl0z
YYV8GZrp3HvFsaP0bjRZ+M44Gb1mIzqv3rmLBZOpnVazp96V1pIULAh2sxihZBszzR29rOvKuTFh
KMqAfwp94y4K2MpregFR1F5bsuu2/cBPB5MtOzdfjrqSfwk6f1pVZnTWF0Oz1nN3HU6+zNBMdVzN
03I5ekadtFNcKm2m4zTpbUeNNW/CrW6K4qzrOjuFVfIOqaRXupYzacUCvaQ6aMLqRDDrQrI2cYPS
i/PCguelvGWrYYKHlTVsotmfiZiKYg2NRgP3du8uTn2769wkXLh65waNCSdpgkdj5cbatJZjQ4wD
TqVz23GDnfgWbKDcPrNGHewqRoNE0XFMqFIwiWzrc4NtToKyNdNQGkHchDbprAhSeMLLsnVpiOCo
MIckKJwCDg7mrmidhawzyaTqs741123UD6Rsex7n1qwTwfT7HtuokKYPx9f8UFqMJTkvCFVQThOc
ZuKETZTqIEZxSbmVhYrrpevWHcuveq+300GOhHvyy9JTPzNEDx+HS7h/pU5qx4ZFwPB3ZI5t70Yx
nZSzsqQuk8JLvWGQ8cSrr+WIH6l2jqyPZNC1sGPCkYySS4LGhWnlOy0pC7h1NOiSclmGVd+r7QRL
brt8KqqmJDOdB8KC+eNkqm2g39kMYq93E3OOIoIjKuA3J9QqAuK0VpENTXva+EGzyZ1xh5twzAKr
7k1Tnk02HUnD/f6oXIIPLXYyVYPCSTK6WNSqI5WHfWHr/HPnFt3ROPkgDCAopq6fQB9Aio/i1JnN
cjPnXgba6zw0y4+0UXCi3CAT/RQm7TxuzZDDPLwoWGmtvHA2YsaqrR+qgEgjvJkN04AmYZpojp0g
2K1RSElCr6visR83S4+N3rNwjaJLO2ju90UAC0FCo8p+EGQenJwotZRxjcURIXXjcPS6pMKRTdsW
YrIzCijPvr4Z+rLK2mqzeHeWUcWVPZ7yIq4NTkCFzCvPU2XiGEYNSahnqLtqN/Xuadt5Lgmp+alv
JlCfQx1bZQCbavK/GiFEScT8LmV++cnIvbjnrZn53rxVrDhbOLS06R/7PCqTqZtjV1oeTJUkYku1
Fsp0sKV3zGHDLmqDq7o5H6I77pOyH9TGHyZIPApPQ4y6SnmrbyvEAm8Yir0kHkgoMiGhDE6/3Ezm
+0g6t0PofG0g2G3dl6Q3669uvTiryoF6LqcmHmAaQRrMsejVUSjMjCups6j3iWnMWb74UazG6BLL
rQluWwxihd2QyIAduzad0zavRlLMTpBYujoNg3ndiuJczasq8sZju3O3XBq3i2t9dozwcvL0Qqze
guMPvocMS77taZGJZrxZzOY6skXc4yhVo4WTLa6Y5561VkVXYZF0nn3WCiMRpZHZQ79bphATMkyQ
U9FXeNKUjGPhxzynEdFLk7qTuMC5/DoOfklMKmVihGPGm1aTIvCbOKfN3WD6N4ryKub1R9YDYbk4
JwHcDF7YXWb0e9sUytrx9JgpnX+18uVmaKqrTk1J2PqX3BtyeKD2pvbLDexEkUnVL6SvYC0ZTh0X
RW6l+mQQeNcatWnTaWKn5cLWjEIEU3+AJWyUbG2r8qh2Y8lmOL2cvo9CyklAjZk4Dfsgy6hMZyVv
/UKzRLv5BDvoyhkclTC7O5qbqU6Wwsv6YaoJeEIjrYyjbvL9I/BhLShHjFrvpdFd9W54Voz8ODIq
EVdOUMX2GNhJlQ/xwHFoGEqGZrV7w3gossaZjpDpeyZbsz1eOGRCEdl95pJaMve0s2/ZIi5nw66z
umxTf1zco0UsiW4HEC1FlPoQCbyxeEzL6XJIzUZvewavyCmMVBXualnAv7ishDrtq41SJovtsCc6
7C41awZS15JnjWBnzA+uoHbvWD8X4JncIVZecSpGW5O2tILY76eceB0jzaakCpZsDZfbMI5gdpkJ
bb14KhyWBXLYzEWbzGZs+LkVVyb7MLk9nKxJX3u5IrJxrCPwUStjqIkjgmjVetLeskhuFzMX29oz
WCqKahd43bgdlWsQrpu0Dcar0u2XVUC1Q7gD/AOnhgts5190mZ9Ny8rVYrroGwlHbnYb8AntTMaa
+euaOk4sK1hKuaViTQNi2G4Ll6D4OkP904Ztg5qel8MUrmbXJSyEe+D2elNC5ydlTSGBJCgl2+zP
uzk/y60pTwMJ2qnz2q8OtPWq+tIxW29B+7Wjk5j1lCe1tXBid210VEBMcSM6bbQ8itj0OVjcOqNG
AJkbWCufX1bdqLcRhH3A+XFd7fyR12lZ5ypG3MInPfOeqJmxGMo0iBelvo5GcKW5f16iL11sTxcc
fGsCXsei+mOTl6QWNSVu12RmIBimFJ5HebdCbU51tueGSD87XmKH88pqTHlccygfZQ5BYkg3Luey
h72scWhw3IQXWvHMlijhc5dC0PVERAZLHFZcMmNoYlDwxZYr86IMQ7CWsNDzkOZJTtsKzmbvEaOy
rfVouO+o+lg6ImlHwTJQ4DL+DK+/jcOgVd/2lTXUXTLWg0OQGxQXrAERsJQnFvOrI94FYIkrBe0y
tXHrVNiUYbubonI+LWo42+7oekSVgpNGm21qVVzApwtk4uXCjFlgNETbE1+PiNxM5Z4gtF2V9qqg
WVOPjEwiHUTOMmF6eRbNxkjagMZePpxrUV5aEd3Z3cjB0RhubBVtk1SCJkXNzyxHDhCcCn5m1a8G
VcPUKcSHMO9umtL/qC2VzYvyyFDCR1/aZo2rhOOgA3lvUxeHXbrHbZPRPvwE+gdXBt35lHNi8SCK
u04s4P7Kzz4INWJLfU6tHp7j3tgJT2GrUBh0blYq68q3QFVpbgsCyyEJtJ5hPUsdN6Xzqe7ewcM9
5tqpLwNPggyGuaOkA3UZfJ3nSMR2EX6arPxiGQInYcZMiTYb0uZh1vdBKsRsJsYUwuI0Mx0NW24d
F4Nvn+q5OSpaCvRkU+yawTvJQYqK0WrXYxV8rRcrMTsIND8cc/hkxkddDFnuWTmBm0rXTf+p0eGV
O/BrsUgiZdcnpiE/d1OU2VFTZbMKoY6tboR3GGxn7t+1ozcR0UsPFmSpMkrfB0LDPptO4La3oDrK
LRjPJhaeYsTQY5VoPWy11Q2phj4mrlc2mWOC2VZKsJi1CowtJI+0wjmGnSSYy+OijOzYYOx8mJnc
FTI8r9ugT9QEU0W5OWTNjLm52gSc4sIq7K0lyk/WGBw5nTuTqN06fNe1EhtWhTtjcZZPpj+mklW3
XR8GF2ZgTGTiSpEe7FFdRH4CbEF/VXbs0VF9AYE2uSwNoDNyVnVH0i0Lkhs9uABe1atABR+o7PAn
Cui+ECKN66tq7im4JXVadMKOa2v6gE64JjTtTKE4cOSdwu/jtgKjZBoTI3AW9akUHzom1ErZ5Yeh
arC9g6E+9+ri/cD7L/NXswyyXrBibdL3InKaIx702BuWKOArh222QCBaVjW86yO/zDxTCiivcRdN
08d+dOjWgDOY2rrKGl8ZHxc674p59FK3aN2MG2UZO4OrjkUPyeZ4Msk91ayDWXtpLW3wLwYodLeY
5k+N5+Oqi1633Fgrl93pwQYDpsLhVOZGoml31bRWAuqrORKDlVEp1sJsvFVn5eMxO0EFSi+pu0G+
yxvVpqzIjWNWjLHTYkmqOg/j2lE+6UFjEYF7tLVkzodeqmzxuuNB55uyae/qaM7hmGFfqSgPk6a3
THgug5OOkaSboDrJg7HA/ZXyt7wfwfTQOmVll4OmZ+5m4I2O+XVgzu6pUBQU0PXc5irzQ+uLVzkQ
XdJIrCpqcG3kTHHd1Vbc97MJl2RY+2rIanhYLtgagZDnpLWWr+BuDKK8dpvDFY/tCrywaXZLHDBw
zNSa/My3jTXIk+54kuMFK0HzBTAcnKWcY/DlH9y2v6kFd5OpbR3iVSBYupBq0tWwU+pZnIgcMnf2
6w85Wy4cyb2NV4Fi9BVkEM1FgFubd8KVp4Hglz2OI4nyFi5my8XWwYXqqWvyJRO2BRNstN/XbN1L
mSdLo63YEwHggg7mpVMmkcg/SwNMvCFzHrey6VIP90kch2mGlUatgQyme0v3J9ipHAWpx5MorHQy
NZ0F4b4pp7xZdZVzaTeLHzez/ugEoou7r7UjzkuvO+FN00I0ekVs1cEXJW6rPfFnSIhlWieByc8D
6YPv5ydmBdPGPrJbdi7m5k76Q8bHFvc/U/7Zal0Lt0G4+nRoSExfWWRxxOUUMUWonsYYwZxH4Qj2
JCrkh8H30i7gx/5nOCC2ue7z8G6ywCrAUV74uey8m85vYaznmRnNm8hfNoFfr8cynwnv3RunSanj
e2RMHQ3jYHCbazq5n7Cll6XFwvagl7yT0bSmlMr2Og+jMenb8MQSqRsZCc77yTTqL9ZSJsKsTlpu
TaRp1FemZw+6/WzW/GzwNQRqBPHr8HoTGoV1ogK4y7idGWpZZkwKuq693jjL9y85htPKMTyojjDy
II2E/hDk21n+X8bOdLd1Xs3SN1QEqImSgEIDrcGzkziTk/wRkp2EIilRoiRquvpaPkP3+bpPNRrY
CLATJ7YlDu+71rPolsNAHgNI2HC955YuB66G97E12SpHeRgKiGuQKs8WL3RLa7mHgbhf6rA8+1H/
TuOuOpRoMfppiTeElXE2wBtCZy+azVSOGfenLvEb3u/GuEAZ3weQRnCVKPSyY9dF+tgr7kPyL5qU
eC07eGPTZmHfO2hdwv7AJGtSxAW6rDeGQP16KnnzGTnRujGeeZZhmVO2+nfBQvuN7wu0n5DlEuWq
fgscFAO/sMdG+WeUqyyR0iPbNY8FCqIyoDbhkTp0y3y/VN7Fp6iNKWrxvYntw8TG9zVKy4HJJCh7
BplnRgXkYWL0wW5cYalUgYOWqhFpM4UFihpfZW4wwajnd/685ktD1rz0HDh9gTduOorWs6ubO019
59RIw6GAhvawkF6jVEC1Bf1g1zaUpbTENt+zx8bRKhucwck5h+kdy+EgveGFlsUBxRTdUKJV2s8R
yYpu3tVjSIAxVC5qxFKl42KPAB8WLEaYTwu2hiOKwSaZrXazinqpnDDCVQv/syiLMAml+2LnBs6B
6hIUsDzDadlYU+Y5E5GrTtwd4S+oGb8L09VMAxybSOU1+mp0MQ2Ff73KdOQNv4stVv3ZJZsmqp8E
rbqkY+jx287hOT4EtchEQL/mQDe5p+GRwrYPdxgUO68i2PJIcS6Iyw8ECwmq7J2/1M7mBheEa9nm
TmOKpLfmtVrCp1IMzysJbRYE5Ze4mnqAy+pFI8Tauc84Rc9dqS/fhTkUtqJO4tJ9D/puv2KdKigg
DDft2wOwCPbtkF/V0CgbO7Fgkn/jWKAr/AIFD2j9sH3Ec/CuNlnabWk5LJ1y3ZROkwVqDC7+PGw9
O3eZO0iC0TDnQnDzwSTKQVt5DuzM6Xupfxujflg1vzjY1Fd/VMlQfLaoL1YFq5EZhgbXyg3KzW5b
jf0jLXChe0fKPTyg15q1n8Fa1wevr38YGw+NDZbEte6SlcRb8X7wbqjXvBTuCPlaQoUV5gpZBl2u
x187ql9VED4TFWIJUQ5Linneh51XooaUZSKhPCVAVfieSoINvYuyoeL1vXYH3DNsX4XjfdkoPCjF
fmJ/9XM1+Bkp+2iHPBWknx4Ko08y/yb3L7hueq5yGrR+gq4li1Ug0Qj5dLcGFGbrqjayIWgtIXYO
kYJEOboYgit7DpRvU28NZe4QkSycix0kqNwvZ/gipnZhavdo2uS2WWCXmyBMfM3h/ZtBQbUq9iib
ox0u+sfoYYoS6cCdjWGL+jDhp16mpgar4LnfEyz9g6zbZJiXXxKbrwaKbdJZVL4jp855moIqEfan
btwPU6C21DfNNfY1zMHEeFLc9Jcvq4sLhKIzKVS9XdoeWh2M/7aAqOZam6w2lU4ldiHlMOjiYsPR
JCUYVfW2YPJ7qts5q0Pxh4cVhQ+rOZRlmZRUV6e/fUHdVZ36sVPpjFMZICXVkHZt1x/lUP64Jfyb
tWslGiV/zgdhP9yA7x1XeicRu5krnB8ck1FtaKGDJLB4oD/C8iOTo05qgCtLJ+jo8MmGfFph16zK
3RcfAsXyydQalnnxiWomWaKxOPIm+KTWS0JTPJWN32Cbm1GZ8LvWw3wVczYF6lUOLtaPxb4bFm7W
EfrSuLzasLZpFU1P2vXlpccNR/fzMEhnfZza5q6ohd74lSGbyose/bHBnuMaN6kWrMZeyL9wVrxF
59xx6K+mzFYzqcxM65jNFiam1eFdMI78GE/4JQUJoFFMPLgc6vQYCOBYfrPmIgLy0Bl1dIm6giqS
h9n0Nm/ZCnM+RDMWr0ol0g+hE3XxmtHOExn67t0YVJdhXSF2Mu97sgyKac3tZpjkBh41BPb53Cw2
gbePhc5UaSfCEYs8rtpo0Q6x5epgK0qKVfEdW1JXePPGOBaLchxcVVhjM/HpU+VROPCosfamh/AR
jBsZ6CWr4CeltcvqhDidC/mE7z4rLeV9V1/JfGmgF48F7bKyXr4LCh2p6mGl40Ct3Jr6j1zInSHm
TLvS5qNTVjmMmYdRCyfloUZPDc/VLpB3HBukZSnuMcmrj055SR81xaat6MV4ekhaj+Z1R8Z9M0KL
wRjFjKaTvyss/5SiI6nvPpraY0ngix7C9KjztfWLtKi6HaNmvAY3K1+FLVw/7qAKntVxMW3OF/OA
9vTXNKXYxsIvEujckKhq4mJ9KK9RP7ibSa/HerYRaLJiyF3AWqHcDhprGu7f62gWmllAdmlp56/a
Q9M4hdUHGDhvV6zNyzDf1c7SXRTyD1vrU4oqSH/aYaFoLJfPNRqqkywWL21pm4g2aw2xB+HKHiY4
BOOU3Np6ZzG7cJw+YKmojR00NLt4PbvYU6k7r0nYwjItC1smxVDvZOu7GzHQV7tEP3M3+AfHi918
ykIZ470RMFm1Y+FE1/4+6GR57pv13a8DyAFFOB3GibS7RguSjeOzf1OQhT4RgCNp0S2wpwasIMpo
WKUm5X2Dha6DW1ZAZgihT1fxsXFK8YEmDQJv8CG5KEBmMLshS2JoBZ6nlPd9jN5zGINfpMLPpBpA
GXXVaQ01erSAHkdx58uqRQ0SRVlsqsw4w6WPR9zfatnZYgC7dbPR/6MJarMOMeylwQDLIX78rWF2
enZ6gr0LzoldSxVtcQoH1LuJNKlHNyb0nmWsTytfoZ6PGOzzzUBV3TsxwC3+w4ZylSvOa0g4A8Ux
V2iD0c9imIvUovyTE7R0Qvm7hYQTTDCVGBFfPZVPdVQ94MM9liSOcC89UR/CigPUQYdo4aonEh9F
hE2bQxCeLy6thoPS71TNVfqvwPVfONM/MPagvZfD37HT//Xf//Hc1Pj3nzee939/8z//8r+z+AM2
pvkd/p+P2v40t4NB+v/zQX/5y3j2f5DDNzr4L//5v1Dhf/Ky/5Yj/m9++P9HCuMkk/+eE/6f1ddf
8nc3/PZ29MnfMGGceEkZTs765xl+txOR/44JI0EBHD/Gxw/h2CecGQEW+Z+UsIujoALmRFHMcKLK
3yKR/6CEkQjDt3CILI4ywNcbQPzPN/aXuwea+t9RwojI/CsjjA8iRyIcH7+DCBkOwQMm/FdGeKns
PIGn46lXlUfXFz9UD6dqic5wUHaugnDk1Q8E4z0I6kQNhQ+NT/wUpj+Ngn0NPkA9QHSScbQXSqdQ
IqI0bNgpFq+Tx950VbkpiHcD6GX9ezzp75T4v3ntOBULsPRfXz3Oa0fqzcf5fHgbvodL+6+E86qg
EXZFVaJZr999DiwovpnDQ+LLZTdp78wnp8gmjoIRhTjaE4Hyh1Q8I8UPWSp1MCPUThbcsF1ybyy/
hBqWGp1+ijbeFUsIDWZtE8p1kQ5NgCUex3OlqlevEWqmw4C2KAgh13RYmQ2Ka93ol1ii8A0jHWbe
SP+UhJltb8ImWZzwboHp58fxFz75AuvFDexslW+gsABbGCrYCAzKMolBzQFPRPHz1FVQUgwq7BXe
VRpX6pFh6c5RbkLzBLLVQANMB8NmoHoPqF5b0A9zlPUSgp6DCshOswvEAWhOHZm0LqRMqdPsJW1Q
xELtObG4/aDNqV46YJlcs8yGWF9aVaF5GNkdXCWdGYWSoZDNeVzrMlctH3IoShAiv1wFinS0usdF
JZka8TbL0UZg64onv2ruKuy/j+AqzqvfPc6Lh24fVJIzuigSF5lxFzYJNhg/k6Wp0cMZL1NV9zT5
otyRwDnxGlLd6IKkVlELeMY6oDSKc9VDdyl1lIim24JRM7gvfZ10yuLLXnN0lzGzcSJnA6npvS0a
7HWT1GlPgPWuIM6J2sTB+jgYHicrEODEW8JjYQA4CtXp5PYzqBg7n5htx9C/jmTdKdSlBffOhQYk
FvQXacHOUX839P0XVTXD+/e34EA3g3Bp2jLYz1ZHr9S330M/o1LjHk24s+XKol+NyXPUSImt41rA
0xNk7xYYRU1ReWg46gKUgBvlBevFEUxcMoRf2ht4ykcwa0HTqJRF9RtR83b23EuL3S/h63JgPjjh
6ZPQ8NvpAMCI4o/2pk8Rx4/wExJI99f6HNS3sdWRL5/H91XfX7ldXuR4GNQUJc4qrounNnNRvoZk
DNE/YHMiAz02vjygmEkqlBR4CeOJ9UCUw6mziZH1sSkIzAbn3q2dR292FG4OuiTiQJMOjnIyr24b
zXhaxADIutzNw3gaRPtReOAfcITRb7uYs3AXkS6d91yuVwatNulb0GpeGVYJaJyZ1AAaytOCtpEE
7Dg68Gj8Ae5pO50KFp+UA7J2eR374hfOA365LbO//RndXZZwAmYU5FNLPoydPkgLJ3JsOtT/0NoE
B6UOO/Z1jurj2MpL69xpWFmpu9CnoCoBdHQPE78nE7qjrg5ONT4nhPC5z5cQXepozhHsWyAP7i16
0KazM9i8uvnJ3kRxsYpj0CrU8PqxKfi1aoomtzUDzzJeYPBqiHbD29L0qEbR+SYga+vEYScaUvi5
Ma8SNsIdGace/CmasXV6iRTGARuizGPLLytRGFsv3peR+zl07YQJjBEyta+0jLdGyzHRJQShOY8W
5ziZ/kInF0OgARpdC5CZ+hy50NCAdyfuDSAzFiMTEhMqxxk4WVOcfe0exqVGEdsD12pi6J12uR/D
4kqW4WhDs62gwCTVsNbQI/1fyEhTw18Wv9EQYuSlrM02brGqDMvy0NnuAAL/qyf1oRjL56ACYijQ
kidCnHVHrka776vy8PJ8gBwKcqoMoZK2pX+oB1Hn5RR1WM3CY8mYyRa4giOTcgea8Np6odkvZN+v
EWiuxYdg65Zb3bHPSPE35QsvEaX7YtpYJ7KkWenixhK0cJZpmcAESe26fKIpQOcWbIKm3U0wS5ni
GzbEf3B1MOK9YzciI2PA8MGfH9DROv22KMvDisprByFdHQkw5Zx4XpuPHvuORJetAcDdKkZJPVZ8
OZQEaHsl1b7qTfsoyKP0pL8nUNhdKoZ0JtizQht+ED0+A4L18jlwLp4H63PQj+gu0dyYmSWMg2tt
yGGGKjtACg2GXNQKSFqbKlEdRoBcDZgVbQsLagi5GlzqJqMj5MgIjWTiFqufTa67oW74ULLuVzPz
qWU1JoNmXoY9MpErvVY8fo7t2B2cWueTIuvRDMt3OEUoHJrax5bpn4isggPm5WfYhP4erNyS6J6h
JhfuJvLLMdV9hdW2kSCgWmdFt+BlwZ0Yc9yqb2/CciLphhThSytrswvmoc/qWTSZa2UamRVDR4o1
66Pw2NkJTroHKcEx7pMfjE/wIjZLVKJtHwo02BAUWFmGO6WykhKSr0k8KYBHDUc1oscPPt5LhEIC
CNW+13oJE41JmrGB6g/jsw/RTzRu9BVzveaTLOHIxn1WrmMuZfXuL5gBpXF7sFBt4q/6uzDtqTbm
eSngxyMpm7Sje1Fa3MMNnZ2qB6Q//ZCY6b1REH8m/JqmBj1EENbpGm8HxnfG+4R/AKyzaF9Isfe0
/S1nSNaLHd7bJvxj3ekuoM1H2PPvNoJ/2jt7NPpfq+d3G95h5q5N9z5hSAKO2JgmOLByRicbwuxY
zlMIxR0irWgUdA9egWoOULy4YT6A5ENTDfkKMYA+w6fX/Xro9tPmEqvJO0Dz/Cw9g967wWt1ZvfN
lxFQ8hk8Oe+DswLDnaLB2vRo1SCYNjq5cQ1mkBSRKgGaww8fO6TWcqr9Pven6N0ZugefDhATvFjl
7epkUVgHeb3UOmtierHGy5uBDJvVCKwqMYEUJrdhtCRACpo0UFCRDcwe7r5AoXzyvNmC3rabsYjH
ywLLz3rB2a7xqR6Cx7JQ3yADvifDL4UosQ4ai7xE/Qjz80344YtjZaaH6TG2NQcSImhi+HV0NcXM
Bm7f3h4fQJ+i1ORIQcWJC+oE3hLY8Bm2yriuBrCffQ598QvgAKo9wiksXqcMEZzn7i1UNeZSWdJE
BRYKfRBwrObqPEz0DE0/pRIrbN20MEjG8liNSHhJtL8Z+8QojxIS0xdGnN9aV0O6tF3WBqCfpoFB
GW2+a+4Z6CnCpoFptza0OnX75bs15q4DNYXw2pNpUbsuYR9hXy0yWUN1iqcuBFgnXnpTrEkwLalt
KkDhAWhk9yXsQRmDLogBm0xbXs4vVdN9osDJla9sTssWdiE8yR6sVjZPfKfZ/NvZHjBMNO4nDg9N
I8+R+N0kYA0bcPidSda5qzeS9xx8YOcnnlHbQUGxDjQoEN27f2JP5mtjEVCLQYhVfvuknPptRjmU
djNzUNED7w1kZj0aHYUzy3R1SQRpGKq0MfAVA//YxaFOA/gFmwD+x+CBrjQ9nAtlw3SOcR91PNxT
ALtEQPTRUQQynKhdL0PwdjXZKEXgjg7B0xwX55iZ+syGd0mDHhE86Gp1/wY99xoswLIG1ebRqlgi
JHR89hBUgPVwsfZl9Vb38lf43vdsy5Q3hcqqFSZEQ6IdsA8LE4rUqbLBXRetdwqqYdpGWEsQs+Ai
PrdOXvZyJ2T8BB3xAx5VQqn7pV1L4aibbz/kNHWWJsoM1GaYVW5iI1wNxMtEITIYG79Fu9wvRfjc
YUdOFdVThrI3Y6g7c0Z60E2IM5FY9SnkFvhjeB7yxFppdlMUX+iMmgpVbOaupclZEf8ov3nGSpcb
jaYDhnWNdBSIpSLqKS7t0VHod2Q8QMpw27Oc59yW3pXpAAipBSvm2yPEeqiVtfmqLMTxv3WRYLsO
IjzVIZvPbS0++DQ7J6cfrxwwdVo59bYWas7Lpvoh2jwsAfmFon0t+ntWNXA6ayRW4+G2vEOZiiH9
2DZ45qtBSQXflXIonV2wfrrTum5aR33OVORt7MMrGfa+QiQJiR8nfZdQ7wqVtnY4BAPEwHUYn9zR
+ePM9hOoPm7T8IR24k4O/dPga5NWy59Bse+xRXE6RwLeBvMfmKscyPygQSYaZ6Rv91LZlziQW+N1
WFexVvYu+a2Kd18N8Fhq91oEHQiscjOb+QJpcKD9sR2CY+1VgMJXdtLOcwRrMhztj9LwMMXtjzg2
2vAw/G6LfGjHowffQCEZgzOjr4XnDbltoy/pt96uV7ZJnNJ9WNlHo8M5XVtTYvhHKO1KCQZ1fep7
vUNuIin70McE9LH+xODTAnbWzY3DFEFiTPVGyvA4SXE20wSxktgcz2/Qy+r3aW0Sd/L/SHDqqTuK
e6ce9kIER1r6+1ETld5uvcIg9W9B3wJOxSH02/Nq1he/8u7Kqvziy3ouu3Z3ezHVbK44O/CuVSoV
8zPtUaF2nn6bqhYctwBQu4CU6iPzolWE4pbVHQqk4JsjIHYT/xN8zMJ9JLvvGBndtHNAomDqEVGd
bYO8Skn6zWCcHFpLSmeudzhZNTpUzW/DI7LrerfZ23FKjP/qL+BvIqYPnre+OaXKwfc2SV3Om6mH
wV2j5K2mOp+bH10gzSuLO+CT8b4wwLujesVGFHpIaE1QAcLoOA/2eyywskrV1llpHiAprqlTXedW
/gHTCYEeLXaAcbCBZl6gnpCbgWBQ92V3ZpPMYh58Whs9lo5HUoLkX1UhI+sBknY9ZRNg/3hjAWrn
0LyW3gU6R5S1NcUVwqaSYOan2nAv86YCKm33NeJRN3pbgsqeh7jdFCR4t866QjvuJNCsGQPUQYqt
rpmBEemikhvBnEJZBUeE3F4EtZEb+qLEegl88G0jzv+4weDoDZanxRZbfBOsmzei4owB5Pp1/c7g
nwLheBFCfcTkCcnqIner6imAMr1D4d2fA20CBEPlfI8jLsYUpnHxig3i2qH7Ogp2ayXbUZxmg5wE
x+QJazm+q0LybIJ8clwkNsGGoVZe5XsUb5eueorK9q3xzdHt+89ORe8EfkMSjtHBpTW2oAoZnYEj
bVO8maF+j5GbR4tlyrTv4fkvSFpzoZKSNZ+AdbdyhZA7UiCTAaaJnGEdr1T+sHq8oCV/4MgRGFi1
uIDyTZchDB5cvrby9jC1XoJuPEKKsUkZT0hHOSOClA1FkAJQ9+pXd+NQtrjW0JuIli9ohAZYucgP
UH4VHS5mXyAR3JcvPI6LhIgGM5fpBJMaQQ/9YhB2EobiRk8iSAOX3rfI/ieWtTCuAjwOfHXnp32p
L7Vvd0sbv1KCPJUIzjLyk7i+Rq1F3k0cO4BUo5Hf64oc31rNP1HZTXtJmp2d2IfHiwPMs+7gTrHc
LOV91fj6VDv+TkRGnhCWEA8KXUwyI/y28d1pK6My2LdQaPDSyHguoXU5PpJOM4KhsBecj8FHkK7g
cSJq98fDKgglaF91SC3EcOKSuPvu1BWPfhVqeUMedxcFK5wKFwUFsONV+LtVogQC1yFT4fv7zo47
INHIKY5oYZoCOAkcnTanMxot7huAGHGfrhDW6XL0A9uBn0fp3JX+HdIoPz742q1Hu33t4qWCa+sg
f1jAdwH0eAUsGH3ZiwlG3Pt6oUnUBFcnRrLF0P4+buq3ErFNqUU2l3WYOxVkwPhPNCARYx1A7mTt
J0R0PdQx/GmGC3i7BHdSBpfOrjdHG5ykHAi6I5MVvPUzII5nHPyVeN2EGzCgFQ7wZrsKr80WoFTs
ktchkgpw+FgK7wWB8VWytN3qNkJ5TYf7YurvA6Eu/YgAPhbppKy8L16EQI0JnHB2cUoGpIo2Iuva
xk8ADVwH6HHxhHHKHFCtK7oVpJzYo1qg7xpfpXQqkHd2SJHSAhZ3yd/qJULF7bhNaiuyR+IazEMw
vq0N7hOKkS4r8BYAQfpGCMRsxUUzcekhpxpcFX8k950aHmRl3SS8AbNh7WHQzt5rxdHddyNKHF40
JxsGe77aXLEJRHy/cYy3H+Vwr4Dh9Sv/HFwsJVX8zEKNzMn0irzym7LTTuAZs6qWP9RFjst3XyaX
H8tI/MSj7IH3ZRqKICpFzhM7q6fZdGcPLYztp93c45qK1d2Tabifm+Cxi+E9hf7VynskWG/slM2H
iDqJQ6c/rB+2cSguMTBrV0L9g8aVx7N7QlhcNH60a3sk0ITooGQ4NjP4kIH9356bhHOXFqarAYxB
ePFqbOyN80BabDOEeQYBM287NuGL8pcPu26Cctr5lj5Dim0SEwP+5FbfhRp7EgIu7ejBPes6cEu7
wZMdEikYd8oPb/rf+qS8Omu75TkQ9C6u5lckxdE7tsOznN5pd13I+rys5U8sEUmRc8NThF51NItT
FDsbFcMW0B7BMIa+oRgYPRfCjOeKI4xPyPDrM87bjJIlGOBJaRfzoQDCRFqokqHysyq0xwXOARhE
jigO7JCE9vNbpYYtvAWTqRnXCgFaHRyQO3VzGhMIuuTB3Mgu1d3yLAiy2Bo8F61FhhNGUBIgrCV8
TOXSdFXWKvunQ84FMHWRskA+Cz1DDSjwc9mCrImhsE/sNhvnAHIeqOzGdidiv0D0PrUr7rfvOxI9
dCdx8gIy8ciVQ8NB6CkeOM14XLjpYiAw9xPIAx/Tq5mmPF4h6CsxXymbVTbNkNoWV95VpuWnKFw3
nfU5gsTRQ0dYlLiS3SGFQN3DbZq59NUtwGH63WmtAWqGEEvSkqD/IvxsIJlQf9hGIjyPcX9yqxlB
QOGd+L1A69uzC5NgNng8bfvI9pnrly5OJdnXvqR3Uem/WF4iuWWbHwjih4Li7t0Ul2I7InB4WyHq
xj7A0whwgkPa9d7+tmLQ2LTJqOBHSjx1WI5n10P8DLH9S91FUWJa2OHVGj65w13BMLsiHl8IRATM
X16mMLUfe2fZY3M+eiAt0tm/LWbIQdceWDji3BLvXsYkalJSfc1aQ0lahsSZsBSHsj228XguqpfR
YnlnHbTfpb+fSrBadXTubHmBdZPYDsaFwZhWPbUpOLC9DO5WXV7YiuRyuaJKdT3cnWG5b6GOusgP
gOKd38ZYNADoybmpms3ojm9LyNJiau4H6BtT2a+QjWOzAcj+sEYCAU9k5DIB1Uj8WL8HttJvLAp/
TCqg+d2EoTLP5REZ3ecm9gCnLG+d5kcBBhUR1mPFb2U728Y49xqxWMQT1/W9wtEASGUraPwaLjYY
KvxhKzD0EkbtG9UzJOxpZwgescg7jRNitnyuN7wkz9IpL7rDQRaOOE7x9MpaPWY4OQDhRgctnihg
PHCIwnIba3ZGQgz5BSwWeEKuzVM9PuvV/5rmCSyazsC2YxAGXwUNvpyKfoyijZKuv+f6vp7kWzi+
MxI8zGO/82n4AU+Lp63EVhXfJCAWlpeyyjo/RqQBGFmECqiw/SZkeNLbSOJY3qah+ik6LOAaLbyO
9KvFjMCeggXJwaELiVPxnKt4g6D5WxHyH4oUfY+CH3ms8tK3/daZ+aUi06vn9ieYKHvH6TYEMeIC
p3dgCwNYL9ePoaf/eHVLs6clslJRzlGMbdqwX1KywNGKS5wkhPN+VOCnTY8fES3eoaL+EsaaBGeq
BQmrI5aP0YzeOxBJwHcOZ+UWx/yAk9JIJYOX4hpbLzAajCcDyLp2vBe/gBwJXKts6Qeb0OfPQf1n
UZitGjc0RLkyK9hl1UtT5J1rLkt022slqgB2i4HVQbltJP1TxODAJP66w+VhBDuGmOH6xgTLJ4tz
XjS2AixyeoAP+6Ad+BEzxM+4/KljHxBn4IJNHW0a3QblGNIgmRf+hI+HOFc4VhdTGbgPGc4xolBx
v/zExfpRW1w8ZKMhITvLQQsPexyexwSPK1uzYZhhovYEedjyZ+DLBmdNwcjx9l5hXnH4AALUYH6+
sG+dPdbd3e7MOIX44+Zey/kR22PgvYcCwM/anZymPNVNl6oYSJLFHCI4KoGP+Yjx2zC4MHr5oxaE
Uxzx47Trc6z71yYqzq1lXwUiOxAa2eMw44CBSbMvQCdvIwQPDNonKUCYFN09Wd8Bqub49PTHTg5X
1vHdhMWSBBO4S9ytQcw7a5fXyRF/BsRaAgs9P2T8LJin9kRC7kCj9KCL8kgLO5204jNmht5Yag6s
xUUNZwTwKbbXdGw3wDzAYnnRMyKaJ+rcrrk7dkkDpuy2ffquHHZQ3C5l8F/snVdy5UiaZleEMYdD
v14tqclgxAuMjAjCoZVDONbVO5iNzbmZZt2V2V1V1u/zmhXFqwCH+yfO339SPbfRV9XvzJ4JKXpP
iau3JVe0G4vrHz2UcToiU4zH21fjJ/0lbLlw2mV8E/xGK7cpH7IxeSoU3pLj1S/dSDndEi9VGt/k
CPES1MN2qCjaBCk8K7kfkmFbG97UHPDd3VahLE+/o8KPq4Xgnq0o5ivjXwuPGzU1y8tsh1eODr/T
wTlGnfeEmQh8Jnv0WSvxt3mrkYMD070ynO2JxCoGSlGvwmJ6i3C5Eo6Io6QxaaEHCCyF2yJgCnmM
vJfa84iZ0QMb5bHPGrPWomzXlic3YBLuu2p6vy0UmcemL3PMS+UnL4TS7F49tjwIGz18pfzlPqZl
N2Tu0+2TFQu19Nn77Au573S+88v+nk/CcYV7LvLGw+ywQt3+vIeZTvFxoaEtL7OHxV4u1DYqr91l
DqyeAxuDJw/jQHkfFrK/N6ePXp89chimjGSdTIj+k0xviF0b0372mnp1PbpPTuJ9aoLOG8fmQCeW
azyOb9IgH6etF21o9G9uW9O25aJt9B75/Yczz2+3b3jo+UaxF3hQEaBkTz1zx7PfxpVXyTmOwV3k
VD6Wuj62SXkdk5CsnlfrXZd6EdnJTZ+y6RzL6F21SXtXUCfWdD+rlHqsyIa9NnLY9fj1q6X3YeZk
PDW8JGDzVfXWjh3VfVCt/n8g6A8C4b9BB3rg+f95ImhdF//3P8rP/6LV3yJBt//Ln5kgHir/J/Rs
gnq2Kxl3GLrwOP8MBVmhDVlYwtTm8EfihRjQf8aCGE/mhOifETkdSDGMcfhPeKDFIFeHbDnMQeay
/zl5+n+TCxLhX7M1ngdHBmwgr8beTtpMdP9rtqbP+zQrYyooguf3fVqOqQpOmXLSonykzNjFmGTC
tuZqG4q2D577BkzdQXJo9u7sHAbcKsBms5v2a2Fxc4LxK9NzYj3OXpQQLm5iLBQ9+ulX6Sw2N99g
mZ2p7cA8QV1ENnLiWFTHPKkqAqYVGMNit9iioUfQJzQwSENodjMqS5aNLEQ7v4GgKXrOUSy08mMM
a0If3AkaxygTNxzgjJe0aj1wTudhSakopZWddE+dGhOKwYtkgykrGA2f9J2H5otgXgrcyUlzl/Ym
jCVkOToHqyAam2IbD1ZAUabJoItU1NWfRM63sC40kcJ1rYBi7IRDwWNVFkHZb5NaYPphpo1yb0cD
aQ21AM3FIhs4dec5w7RYYOncrN08m60T9QR1izOOfnFUbsUdrMYmbrZxgaEAPOD2iMhpV3R8k2Ml
umA1W6hlW9MsuDI9WaLklCFwZSjXkVneapUDL/opgNX9CKoOpzsb/S5aVW1pPXq0tQnWznVoEYyp
+o8mBjVFoqCGT0D6QgDn6qwiCH8kKpvcVSvHCe5FE6e4ZHPvzmY3INdl7xBNkFvbzlPJUbtuXm+q
sV4a/AQCi4fCpWeDJOhi2cThXC/fOt/J7K3hZII9QdwCxSSy2pq4SyT65amI4VTsI6nF8jJMov2e
Cj2SoQlMDUCvculrb5Vbdmrb20gNIAK1ow91uCT2ocyMmwFt5LE53hV9WI5niIFxcWYOUJuvgYgM
Yj84y43LZiWAjXI36d0tPMc0P9JuydzT6KsWXonbzuFZGodsyaIDR13h5RnDRVWxlovQ8o9uX9rt
IYmqwt04jTeQNKdf9jUR/Cf+rsfY844oeK06caFkFOr6lDZaGy7T8gRAwOcf5YIKB0SfyH5oSrz6
7WAVoX/h+WCZo1NyX2x6Lyf3AwMCpgmBlXEQwUUbHbhrQrlzCu4Ik+oUNRnNpDz0jdoCL+rMRxDQ
Xf+0m66tN/Y4pu2Z0ilf+zJaQwC3ronjj8Sqo/rFipcM8TlCctwGfW1/G6x4Gt5Vb8sRB4ILYHz0
FqB2P00M4HTb95Okjz1FUbqu6BSEx6lfJu/sefUQbIwVAUokbdUSeeiFN+mt7xRL8ZiHSP/HiqSx
92Ats5Ve4j7l37SYTdle+G1FuB+jLSWHNpRZvgkJ0zUUGaRtsKXibqi3YpkjccyG4eacopyGdBHT
mJIpMJIxzqmu9qTNikJ4/mno43Yigm/x/JT13GbfEvgp9LIavrvSHYu3BMKNvZ3jW4vbqYIhPUIn
YwNF+LAzZxI58/hBgC5z1stQVHTNbU4Qt/rQ/BWG3MAXRUMV3I/sB4QObXi/53AwMfeQjPIy2Cub
y3ErnNHxdmPNe/4uc6Jx6zKF+3oSwRyKYxsoXXyf56yhoVG2ZXpO6CMXJzdPuFqoLjbtFqCOaD8H
4czJS6m7sFnDoQx7umxTWdH/BB8xdE/l0jT9z4CT+ovIJFln+vjJObFn6pde1ngEzsaBlHzjlgn1
T783bFiKaFlNRTdR8PVRh7c9ghVrbdNY33PlEpYRnfbXk9S3cltJSp2jVPsUsdSgGywwQNYeuWxN
AkhAdUj8UZ5LhVGyZd2iHmwTmjxTC1b9qmnG8MygtOoS61lWHL6oExaUQ38p1zWf3tyJdDVCy7q4
WlE6yqx+eu7cBIzOGM8PPU1G9l10KxKi2RPey4Y4vk/ZlvZ5jGCCo7Wx3Eab7a2bEG/J7uj+oxjd
EHNYCo6pnetiC6ey7nOqK0uUg/Ny+4CerRQG1TrxswQZbjDc4V0cO4Y1ImjGkz+lRXWIY8//MZVS
JhdObxEdZK67rv3ScJTMa98UpS7X2uupyWYLPorWryFaVCKjh0SoW3bnPGMurzFmTwF3EsEN+TK3
4VMb4DgGI8sfw8A158wp3c0enkLelxzT+kYcqKqnh6T221NcjnorhlvjoPbedeU99E24r3r9mN1k
V8J3rH6CGskUk0VPuPXQ4/TVopuXl2nLIupMAGOr+6C237pcPXs26EbbFL+ndH5slx7Tx6PLTMv0
dzJbH4nv39Mu5HXNRNjU0Se772mAujK8iKlzvzkSqlde2SOQj/xQjUqdQ2cRe0KdPFaKEP2itaBF
9DgsjpU/T010DjOifLamH9VxgW/J/CTvwks4yPKbNEml914eB6eiKaM98nLyqLlFE3TDJofjNlXl
/WT7SuwoU7t7kgm/Eg+5SVn0zwruju2Y+x+plScXdUvNBtz8/OUI13goeY6JxQ0RMvW9UUrxoK7u
zGxmYqSYQjWAHaBR3l0BseSD7cy7ZWx/TcHyNJX5i8URaDvxW++5YalGeOojqlv7XpVU5eJ66lc0
PgijBnW0EwCifutszu+XdPoKDADUSJgMrTw4WaV6kksZXf0ZH0lS2cvrytkjaZt9Vzekjpvmo6Df
+WTUpN7IqZUnrTyKmnPuvRtt5edquRFLKnoOTlVjHtgVFKqOgG0zXAA2BZuezNZmcex43WsL9iME
oM9+FNeiKC6hXd5pup5QLIBijDG9CwtgDDDP8EPlCdGWigCCXLpoTerpHOAvbHmab1onrdc6KurD
7JqdHNIHvrrp4nJN1ZMmG9g2vyG3cPCwm0NXhQfdFW/dIj9r1R6y1iVn2BdXiv5YwtR1CSNcFpxp
DkWQYLRX7bKiesiVOA5J8NPVPUTUcaecKKHJjQ87zztFqk8qVX5kVt4dJpX8yoMMjWmmXD/NfbnP
TITYBxnTNjZgggVuh1Pv5zHbhwG8o4HjNHnXacMy8IQOTdzEIaTZXfqEeGsd34KhYX+es2RdDKyh
MoNao31kaK3GHNc0FwfLcriFR2pWcL1KHyqeaHdNRFbOXdL6uVZZ/024cnxOsLZ+R5WKn1NTEWeb
nc7Hu6iBJ0AU0jy1Kzt/HRoaNkXgR7uyzog79Y6tzhHEmEts2KKO3TB8DGMzvwZpmD/xT4qHUId6
UzWeuird4VgWc7Nj2x3+bgKRHhw2WQfynM3dUC7J+6ghFGPjaLBnlf9FzSB/0NWgN75p2/qOvSgZ
1mKwoWAs3ajXehn691pFljrUBRCyK21qQ04M0HHJcgbnZz1lZul2CJrRcKzYR3+WFrvStRvl0LRD
30qKrduZ8dkzCkeyGXVAk7yeR70Zh8JP994IfOlE8XT2ftSw3vQF8hON5IkG/vfUWP7wOyxEGuzb
uqhsjDZD8a1ZRzU6Ogm4iNphENrJY1r0/NI1h2YeuXlO0DgFLwGzdBoIlImhu8KHEG8m7TRPgsY9
CdMS5cyhXgx8CE1Pbgj6GFQ6IhS7q4ITEaZ32fX7oB9AnHbdwNfgJkVbsEOSOjrg2C+STmhsf9aW
/y0L7Qp09Bwg90YDYPN+uJ8sg39DLXpxblExThUbbtn5tZy7/AzpvDlgjfasiwQ2bYLJuzIhFAyv
CYRMTpwXo43wcJbZJxaElyJw1dM8d+1DlRjnTL6SXpsR2bEbxbEexHtl+6D1WgCWadbD1nGdN915
P9yi8e9lUD+XdWj/ULLpTnUpeDzrjn7vTR62LciCpEnvYZt+1AsUAqpL23LKzSlLU8wIX1Qo6aU+
l81Y7ntu2Stg4Z7HqUqJkxXTa2MMhdqlTnfsMMqvBZLZjkV8WZM4UzuuS6K/jhrsR0hY3kG7g0LO
6KwnThRiO+HqbFLOT2wdSS+4EZxOHlBs6jj2COs0JGwpyTxIiMhzbx392RFXNnL9vmrBDrmJey3a
DDsxCMaLDGKywV1IAt0VtUJNFPWZgEjMVjwv9pLA2TX0sUNtPf1qdTRtDfmpfVrFgA7AIOII6jdW
BsUHC3fF7XERz8Nd6Xq/ghZyrBMdPMreoyEHAV7/KXGc37Zxv4P/ex5A2ALPqSHu5CVU4DH6jq1F
qaAhyUm6LdoSvyVuU8rv0sGZD6yIZFtXn/yAdQaeANE6n3P1EvsHWNJ3c+PcdZZ+Y+9nVmWvNgCw
XgHeHuKe0NWg/avl5x+D7N+h15JnFvZ97OI38h8JGRwrAUjVhmEUExg7+ATJTx7ExrZBy9QSfFVf
ZN4uzKe72eQv1Tj8IpFor5apubLzunZG6GuAArdy4pyQbO5+RTXVgXDyscxzcaWVc8yDiLkB+eJg
knWIWSGraOLsGwU2mjjCsYvFCymLPVDZaeW7tDII4el9Z8X0LF2GA9hLS+2QnG/MY2Qd+JwRk5Q1
MMPloo2B6m4nvGlrlg7Z5xktzd900JdgZqTVWjTda5r4r5QwAFyZtKCnM7xQVdwPeQQ6Qmjc8DkY
j1oRAOxYYo/NdOu8zhtMZyKFPB22dkcfNKMuk1rZXTRSB7FNBEB2zKJtX1m4HiQQsmy4CMYlbDFc
uZQsTnkTnK20I+Wp20fh92Jf13AMzAQ01BMtkUZqKlPoPC6oyfYsXtwseoC1c5Kqv3e9aK3Qyjek
JpLHpoPZnU2VpnPF+pNJ+oSAt0MUliJ/aAGOkEq5pZoziVtblOD4C1Rr/hJM6kT45kIEAIIssFla
MkrQTk0vJIH4TyiU68ESd4tHFNj0R2eueDchgRDP3GxZ4pT4AjtkSndPKbk8dhaXueSIFhclNDeC
VF4bES5xYAMR0Hqqg+kyJsXV5KUN7Nk5ZNTvPZeEryUJ2C75D2SDa++Zb5T8X03eTlu1wL/NhCTq
WYYH1rzmEHap2AYAZzdsjSboc4u1tid2qdCzI9wN5kAA0k9YTvVUXRuDaJAX8ctYU7tvyurVtshc
J0706Nq04s3An4RzZna1W3SbIYlAGAurObKPa/etzQCFcQiGN3arDjCZLoMOFoXdsetH8NF269Ju
i8Ts7LxlJO9Q6BJ+WAb95WZWdfFna5rxqHINN9PDNcNRkE38gfY6D9swaRbvIByPp6JX5aPYRgqq
BK6Lne6iNB6frCyWZ3eB/6Mcy/A8aueXNOQmilPzZfGj7Y0Y523iuAYkpwuA0xrJ3waY7dRoGrLN
iUvvPqhx4jxfl1+FbXknjZJx1KLlzOXbw17JgftPpgt1BTiIKVFBl4PaauBwum5GfmZ6I2pPo26k
xFfEgmVG0HE4RUuUOee8zHuAjtbwXtp+R96JMg0gsABt4xjZkb1PozQ6I95M0bXAtjtWxUT8rIvy
GIe+jPUa4xXruCd+tMg4elDKN+lTA/1nPlILcS6kdVTBF0yAaC7pe7fJLO4ymx3N3ppSUk5O5Rb2
JkfpQinANfE50J3ZQszbLtXzFxCPCv6LbR8QyG3EQ2fBR/C0xXIQyJVlZY8ezaJLapcvrSOXcwMu
4I2ErL+J3Sy9TzrRP9tdQiFiPMN5f5UdqIxasl01fgf2KY1fVLbs+L05SfvOh8kmuWstLA13TkA5
h/ZriS0So7wPMKTWztA/uANNjNkLj3MmoaKUu7wmvR6Idu/33q8ia042Z4Oxs36UM8lvPXenRRU3
eFL9rSuz+8aGEhKGqVnbKGYb3Awi3G15AzxCFtcSc1L4/i5xFPMlYmcjA7gobE7h1YTs8f3se0cq
LmcTuUZnrFf8Jgff1Fc/j07A3bdWN4erMRzNritQFMs4qh9BjWnEPTj/dkJn3BVRsqUSP22tkHND
5i7QdLrAOeXSTu8jTgb3XiXJpSArMAYDECSLnsu7c327Qber9QagTHGZFKpcWQpxZwkcDZmPJBY4
p1moxXwt1MhzZe2J714GVx3CZXwmRwz5pXns5A0kcgOszi4WOQSEtU6ts4z7V6fRUO2gF1CFC0BK
WppFEA7OkX4dHak4Pk4+DI4ZWn+kl2/91EarcY5fMofnL2Hfd6uz7rNc06xCZVn3TCKheyH3WVoB
Rir0HYAFnmxxeTtU3CPNftYj13MQ3wWqfMxoT9rS2yfGPBUTte2yguldBqzrQ24d7UF+WpY8IxXj
P/nWB2PIfzBxZzlmKfx6oAKnrs4f6JFejG+u5EeOMMy/zZPZDknxioV1QDDddLI/umrZV8sES09U
2yzsDksPkDaObbkOgulqXPUlk/5ULvMV7hrhKe+RZecxsJLXJGi/PK84UW9/SBw2IHlpoHPmFZlF
TiYm6L7G/NYedcY3fttN1JGiMOFWxgOfZay+mTB7bE1Ml6Wyjm4xgHNQD6OufzU1YxJmh9uv33lT
e+hr6h0Rv63nOJsM0uA4S+KSXsKOo3uSUOhHggYkt44SAZ/Y78Mk3eci9ajZeJTbyMs/ECK+Q6m7
BuWYrcHT/yRz/w4l9x6gMpmriAe198qa32/6um/XywzPt5nCb83QUUigASnLUSC2Bv69zfGO0wjM
nzi2wDrEuSRFJI7JCAkxVzxgGzto3nqN3G7XPQQ1eg9u27zyDZIUHk8D/BKN4Z/V4hyN7KhIUp4y
v6Cu1JzzsN26LtrJYocpWI5crWcQtSvu/G+liKjwk8veRYk7MOJFYSJjE3j1R59OezaVr0no7Jes
/qQCCwiruyTF8DM1GmycLF5uQ3Y6EDPd3NxnnXPfFlRTDAhqBEJyhtmF/emPzM8e6VquiwX1pdQf
weRZK8Y9ceNJddvA9Xuw4rianKOKsb2nZPINCtALfKN0NRP6PYC4/l2PCRI3B0G2M/aGqP0xrJhw
kM7R59zHnzqnLJSoF6ePPvigAD6T+S7tuTBvOyURX0A/EPGkFlFaDSVxWPxSWYpSXfNSyQieelV/
AHiITkNJ26e/7VnkZHNrZgwsyPt4E6VQLglEqe24DA9gkNROyvohnQyWMSkOkRY7GTcvOe1Lt568
razJbwaB/ytofGs/9CUFic6rd66VPKH+/GTqy3WybItzGyEfHS7nNLavHbb5ahqbRw+1iITWwESV
iS/VGx4HNXN11MmLnsZ3blV1SJtoH7byJUyL47BgZnezNVEGWcZwN1f9dPJElH0mWpqrXLRizE1O
qXfTyjDnJymd6xA3/W0EkTzhpiAJYBmxHxLtGlMg/+mOIyl+jsnvYWJ5R9PQmmAPvbgXH3n5Gb9m
eXJrsu9OQWQL+BZigxuHw7OVDjYBlma+lL7ofqaoWdS52oYWJJNFxl08iPm7LkrqYhz8z9Ey298J
y3YfyCokuwECyeAmuowqxhnxeIorCk0Tg3zWsUkfuoJMveppHo9Ota94GteBV6wDJ90m0zBcw6kN
DhxE74llo9kPRq4XQVMvKunTtOm0sa0AZTgjUZFI7lLG7mwyP0IoJwG+oHbAKpf+o5vfsCDdM74f
lynFrZ0PQPQhpaJAWYnWSEWzYMPXpfidCMfmaOqrsg3yFYrsk1UTQqqZDhMt4TdTMmEhzHNYU8Fn
zf54PSjgvk4ztliN8beE2QZFWFP+zsT86afBu1Gh9e719R4j6TbJajmUWjzFtv3Ztc4vRRci8heL
MRooBSCqvkHSupW1IdFlrSSYGbPVtnE5jhR2CSpbnM8x33nCjM6xGEgG0OhHK9TvOrcuzH+670dm
TbVQqpKy9w8JHcd1ldj9xuehTrC4hPaZEkDzOWnZVXMOCPrUVsZC3y7vaBf3ZdB9FEI8p1670PCo
PxffiDu7Gw+26z7HM0ADiFAOmlFxVI5/dLjoZtO6KzWzhykB5DAdrezgcmoJeOwWVB7hlAS3Jjha
yYNraurmMx2SCAfph+huEkMVuLtWlt5vOnrVJXQGm7Tq1JKRlurZAQzwPFfLePIkN70Mp/keTmqB
2tu48rd/q4xiBmX32EY0FvrOJ1dUt1GFOKyy57GVyZ09WISEo57zXi+kxQLqtsVvvDoBqdSKxedS
3djXprmp+qxm8PmnB79QHhL2ILdOWSZvCTWtiw6VOtoLZbyDX86NvePh69/R2tFHK6jdB/gvFFin
ReVEr/IbKLSYb63pjDSTqHh70llachM+GygVzluELNSZOtXDo5wHJnt0S8usKDpLwBOqGb1jVQhj
H+e0Q+ZsOUGVc5R9dRFtJeNUzqV1+uqpILR4AeUXnJzayEMUWeWXnJyETrppH2M7Ao4IvrHnRe2K
0osZKZl4zJ16ycNkPuZL1R4jR00nm+kqlHho+SGcMUqNFdB+p9cBGLjp/Jv4VN1BnbIAKI/TIXZq
InFu1wHCwSujZxFo5qWVjKdqGuaiAFV4sEzDQpx5Wuo139LwWjqM2fFvZ66e8PkFC5XDQrVAyhos
L70bp8Y9ugNJHhKwwAZwp3eTjRt1q3A0u3Bh25uLPjt6k03tkOJrthnrkGd6Slp77YMmPsZWQjdF
hiWAQWaWnVujQM57SS1XptBMu3E1VU9bJ+zFF6+I6idasQTok9sAtXZhK4ba82rj14QQ9qb0hw1E
9632YJ6VGA/NBvMURSifll+0ddDqWniG1U3YLe0k2YS0Dr6pAoOzjTJxzUp6+VYI3yerXe9eZsH0
ALyeFnnR1Jm/FShfOzPMyTbvvY6lL/SeDCGyEJ2E+K3sgUZNUWionORAiySDwQ72rA9VXCywrir0
uhXJhWyj8CKLJ69tvXIX6zwj6JyM1W87duxfVIImBjEF+W/X8SnmjVXc/4hRIt5GJ699Jhm1LlXw
JQ2vtESoGBftkv0AiDj/qJSoqXvEjNo5+4AiAD+WUTeTdM64l3kDHBpoqviAEyruCYRqyP0J+7vO
5jkRjE68tVvkTUTIxRT+QxIo1gI/TqgRLLVio9eK2A6ORk4HEGLIhY2bj3yLihi3dwMlh5zV69sg
Loc8RcUDZzvUcW/t7YThfLtg+MMPriZ2UpPW+Z5hksbZNk6kmdVE7Y0ui1cxeSjtKuz6PJrYhnYG
h29VGo9EeQIyOzl40hQnew6V3mnAbZ8IsH0OPqrHpRl0pCmFGNm+k1zhCZN6iaVus7jmbqdl4lDd
Cht1d6NOE64Pxj0KMCzFwFjZ8kQQ5XY1qYbxRSUtLiiSEvn4F5BeHMqQQuFtksEwzLukHFBRPUaB
QYixarIbxBlvMlS8sKMcYid3t7bLA3rTV4PrbzNGVpRnxSOX1KUFIerqE9JKr3SBY/vD8/LCuxIA
Y05Qn3vV9z6j9cO7Bq5wIWdvG0N1yoOuSFSjbGcii5GhYQlVwPsaDP1JYhkMjjkD8CwfQzVSFO0R
i9ZZRwZibYU1I1sC0iLwD3sdNntPaOK/fZzkhB8nNKTjEAn927UkFodYBPgw8Pqv8QTf0AsbbFTI
hqwYVG9/lrMLWbzR0RChIICtp4YcRebJ1myoRa3L4TxIJ/yJyWHoF6mAsRNDHBPAEb4Vil0n4vya
ROPyBTSTQ78vGtEC1gELBUfVCsKtmgtmWlgCn4MEJgHnTQ0R8OIyk2W+jLfIyJ6dNzl7jmaKw2gW
9s55YD7Z/IdNDUHCQKisaQTHy3xxraEOnoMxDiwC9ml536BnJFs/IVKxLpMi6e6H1EmcrWH8Lr/g
gMCzH0dSJ5dOW5F3HvKyeQjmeHGAztlnzWN24oR163zAnp66qwR8yYZmsSSxHT/mMsR4Y77VRHGS
PNIs6OUUKARk41NFcATqMSux7bNR2FLpckqaf4Tb8epbhsVQarN+kgoWzqUhnIPyYY/ISXVMv2pe
AkXp06c7H3oZH7Stw8fRqgmQkNSBAMLxTdGrVw0yJPBMbKVSxBHhbjPNz0SD6FEjsGWv4TLL8NEk
U/GZeUu/HKdAqfalJPhg7zRtX/ZFfdKAv2TTFr8x3mEurza4EFK3/JUZw4wZpehtYFjYBo1V+T2w
blsg12LYDLvwPkSglj2gP/AVIl2LcFIBSnXW+fCclXpjr+vQCLAIJD76lVx+Te3AHL1SxsRvtJUu
73nm45yauKJr1utu+LTbpaTjWSo0Qz0x8O6+SYrxC/uTHHmt+ItUdRfgaTbIqrdFlrT15qDlYdqg
ZjBiMoVL+FvgIrW7hHRNsBfRSO8ApJsfcIOpkRELUZYlp0Jm5sstSTscHWpT4bZuipFihQEwfA5E
Db2omBqyVJWXucVujDQNrpQxo28jc7rMvnUDhmEG0os/FCLv8MMjpNEzfTWT3SbJvJZ1POimaK3Z
7iAYW6V14VieAgzhmnFW0Rj0T9XYiTtDDTDfpIlVeZvedAzgMkNBzobFnCM1cZWC4Gpm71gN/XUq
RkK+eS4znHBG/czs9UrHu/gt5aRNqkTRnwoniVyWxY7lE3MDl0Izygu7H0+/2gyZixvvqcVlgsvY
tsM3PMzwI75No8O1KORPWUbWtzj3mhFkTuFy0OfiwBGgJF3u6nHuvEcUD0aYCM/k6tjG9IQv2WR1
927WMDAlTftF4mG7nVxri8bLkZVWO2cdcYDYTETM+o2uEq/lGVcv8aawfbCQ3LxaXWoYCUTKmC4L
7Jz/4QyynFpO3hoQMtTyZ26Lpp/u2dPBiGfOCUGvlNlQ3Vk3CyqZ3dSUj/vOydWlRx5ZKKP7+mdp
WuYVVG1MOr0vjOOtDUZKuzdO66Z7xR5F82mWiQi4BXRBS+GFe5nmBKYYuDE3ezvO48/ITaxlTwaq
DPfW4HbRzh8Ftu8Co4rUVseoV9iQCizylJY+SqEauytT6Jx820J3GHkCTgttklFCLOwpdK0613QE
TRqCKJyga5GeOlnqeUtqhpXDybTbHxeGc9Ao5+V6SvdDYNYMPkS/c1EFof5MNYMm+5asGCfuAkNQ
1Yhza1eWTQqLvCUv8JrX5qYbWcYFtV5TwDkVmfQstQrdIuFmKn2z3NmB22Z7N5q84bakyJJVhie2
/2cq+J+y2W7YuP8aPX0j1gkvIIp6G3UekEm9hUv/YfS07bgpMnnubG7jvp6CEAXQaVvioXnd75CI
YwbsuIZBJBxGqFpB+v6HtO3/wIb7K9buj9f3HelhRDquDIRD8vYfXx9FTUGI5PV1WzE0OlXjIZBM
e3OFmn//71+K+kvkhQGZ3ODvOdllYhPYqMbZ2LIr7qTgcGwRXtvkSR4+/euXsm9v+69fq/RCssGE
FOEDMij+rx8rSbnTRuRPHvmG1CtBd5O0bPa8Tdxa4pINPSJU3rEdMSyEoEKW1SB88ScD8p/+uDeq
3t/eRQiVUESChZsD/d/eBTvncuAOdjaJLuVnziZxXM+5Vayatqgee45Gy795xVvW+K+vyGf1oyCE
V+jZgf+3y4mDapxyf/Axa2Y51dn4myAMZGVrfFcdHNeEsN6//qr/+wXkeK7rOUCv0fJC+TeyYFfO
lJXHyWPqKekZtocUdAsCOyIY9f5fv9R/+zpDNwg9nznyNwak44Z//VGdkezZRHFnG9tZ+w6+Lzsx
Hs9ehQmn+rqIrMO/fj2i5X/9Mnkx1w+k65I8d9zobx+tdVSTeUnF9jyE87y12pQw2ozOF/6bX+1/
eKEAogmXbBQGHhfKXz9YNA8s/XONad+J8fn/kXdmu3FraZZ+l75nYnMmL7qBinlWSKEhrBvClmXO
5ObmzDfq5+gX6486WZUnXejMystC4wBEhOxjRXDYw/+v9S30qdFlsAjY/sdfR//Pv8bzqLQZ4JqE
5TrWb0L1Fk52MoQW3MbcNjdFmRjbVMen3MfgsBVlHMywHj64Wf9RhMEaVQWQIquIlq5H4EQgB5rF
bhD+kztovmx/d8+ywfzzx/rtshZpwJft7GQ9kiTx2qSIAiYYQzyWoDHsyW7OaRgm1yzwjX9yQ/2n
E8J4y2XlkTF1XTe/TtifBl9JpgX3Gcm1JGsUpzIY/esYC/ef/JbfnxALOKklTIuWKb1N4Ym/v7qC
2kFGw0unj45agZT34QGeYUgMZBCt/vElnq/gn0+l5fnYEH2BJYKTCvP0738VQvxIK/KInLIqgM7o
NLCvetckiqzFgM68nO7G6p98vd9PIs+8Z1o685jhcLbM325eEnjhQbhpQtlZp1M2OSlG1GiQbv9P
7t/fzyNPB/4KZivXQNplO7+dx1qgfqmrNtrow2ioM2DF5MlyBoG4B81J98ep/Csh9/rHWfsN2Pvb
2//1X4PzPsjP4taoz8/m/F3+NyD08nz9v/04/1b8LJX6jv/my9szu3H4+3+YcfDbcAej+xSW73I1
5ln3r4Dev1iGIXwfFAxrGRMnzH9YcSwIvfOMz4jjM0eYBv9cXbZN9D//B39kzQ8E/5DOz+kP/iuE
Xt2ab4C/3f2uIRwDvS9LKsd3GFBmq9Cf1zKGX2iNpdKETdYJF2J5LgJW3ty01raMXDS7NcEVKi5K
ivUAUGtFGKRdH4B3xo+UMbYkNTYIzYw1bL6DZXsw6St5SlBILZQEUuJn2nq0LNI6wqOnVfKIaI6+
VgLnAABZLmlwmzlMS2x78XpQVrcM7enMmNuTQF95G2xKMB6H7iMX6t3s1A9/uiSV/dohdaBg021d
EJfkrsMM8+IdlapFKax0hz0+6G1CposUQ7Y9iEdNyJ9Kj981y9gWjrUZK3a/vfqoyv7U4wxwE1Q2
kblhi/jYtQ1Z3BXbb48c38oqccIl1PH19jL1ySeRMAuMJJAqQ3gCEvN6l2nOOa2sdW4QI6K0XiyR
8VHdNspmy2nvVwgrlimeiDXmlO0YFz9SzdO2FmG8u8Gj/1v8FDybAJFZ+ZeYUX1kpoj9tCMbtC12
9Yy9/iXENE5jiNpbYLfTUvwcgrBYTlY4S7cI3U3yEe0pNr++OSrdOurC3Ck60yzk2mIN2WPdBGzu
CiBIDZkAKP7N19h7VrUdrCSnC4pcvqXMu6xiUT75U3nVX/RY/QpS7a3oW4s9SAssbxzaZU0SeRuo
7UDVcK98rV8mLT6RiomUyPh+55dGtksmSv8u7meZE1dG/6s4fj1n/9KA8/8jMJyn9B8MRyr8P/87
+3t3IP/DX8cj/S/smdi7/LGrwBz47+OR5v3FcU3PFYAOWS/6GAT/Y0Ay3b8Iz2a0YLjgCnr237yB
uvcXf7YTcmBLK2gq/SsDksPK7bcRad7sMD8KBkydAcP5bXdVSf5jNXcww/An0ai7oi2echdFPfr0
ejGgkb1Qv6WI1Q4nvaD2WPSq2WDMKzetA1jJ94hfncYEdRkZ2L2VBacwvTmQRC5NOJSXUJqbNrKz
Y+1SORBtRg6GWV50Rr+9l4zFRXMrdz22xLTVAPsvXo2W24VwKiY6ENZQoaCwkyPn7yex7s7Wsyr/
LKh/7yJVvieIAM8JO2VDTLPINVvGGPIuOpjpi2YS/UFFqtjqaZRepnwmUGY/AnzLm06X/TH3800m
MnlBgku3zNcPYVKhxvHfskQdKBvXh8Qepw12F2RFeI0vkYq1jd5h6MB1EF5E7+xl0e9NfKFbs5H9
hWleX5ZyxkyUajhX7Us4JNm+G/SL0ZCBNnUwf3JgKFM0DZevg9f6w8UhDXbhmJ6+CTD654R17K2q
bA1S02y17CejXudO9yuiybLr5tNKi7W8fL0KjaqGntQBLDMozhIs52wJN5lz4+ZTEYHL5Y8bkMOC
fMRIluS7+1p6Ue5LEHYxfWsrvnydeszeZBZVOdbHlMQR9oKYbGiOECCR/fXw9ZY6M+25OD2JPAUq
H70ALtLOlWGxMif7PFlJO4P3Ov8wnQ9W0M+4IP3UMIojTyWXCJAmE0Vd48zT0z1acfdsaqZ7/nql
z69k2K4GpA5rX8w9/WjUiK31tPPXq68DUTGYw+1+Zck6XKNGt+nBSAntsc1+JhocVlO0al8RZx8+
fn1BN+XMc9PFy0yHCpnMh69XA/cGQfbh8evzTvONM1Vmug0UdlTUaCEsQiet13+8ZzNOypxGtx3w
xvdW+aD16I4su3gYHkfqTPDIoVljByJoVAX6oWljkoUpqT14esM2lIzsPTIORcONEDepNfH3BFQH
Gk8EjbikfBN98AJsxjEKW7EWgEIOKMfMRdc3/g2BrbUeRA/REqXdIQbfszWjrj/IwIIfNuarnIbN
W5Oan450uk/N+pmEsy3fdNMtSCvYLG7xIxqA2lVBDO9GDcHWKef5ebC7JzEE7topKusMDHRujwck
WNKC3evIfM6EFrtrC/nxbQiAsBuU1r8V8ZPWtZdIt8gJo5iXELMVLiItuCa5n75jWaHEmIOn84LU
RRCcIp1u9fQ8JimY5bHtNm0Xrq0OCDVhZ+2qlmH12GvGOXTYY5HTWX74gFf94UZ+CrsSgj2eKCEm
zxWha7Osh2pj4D6YtWZtzRTBQZgGKKRz56z63FmPkGD3tY/gBugZxv6kKn/4Qq4Z34pfTVlcYaG8
RfYQPBrONC0HV8jHMShB/VtCwhfiZ55e44yqMLilWvqLJUi2MIfOPQUT2ABB1t9uzGW5MWRxC33b
v3UtXbJ0eveoHP9C4X8bMK89+3W8JbS4Q6RhaFd2Ycu6AjNRjSyygB7JlVn3H7ERjPsxcqOL/GLl
I9N6MbUc5UQzBrcaD/MigimEZkr9Qtj73FVTdQ9jP1+lY/IjM7lQhWkRM0qs7sK+w2oZZsbSIYth
yeC9wkmXxb9Q6i/jkXvBc5uPOJfDoSNxFOYqZs5IAewvgiMm7une4PNbS8+FYrkHGhacoLKRYzMa
4zs6BOAnDZHWSf1s51AHHfTcjzo27X3YRNdkIqCZkjgeF5G/FkkQQnUKG+RzqAXLMb+ag/sw2sLe
ZfY83OjEeEU9kXaafG7Io0fAr45B1FwJGosePbs7j65AGSn6b1P1WPSpmBss6X42g9+T5AWvQ6wJ
+wWLqI2bbyNanSS8yCQXFUEJEpRrMaIH9Lxcvyh8IItVP4XmvYx1saFP9l6Cd15mPDRNLtG7WBt8
czCoQpkcC9JiXoXPu478At904z3jerQn9jxaqyxs733CQOGTv3Em7Vu96FSbTNiD+0oa2krgEd5n
LFr5wHwc3yIZNUQ8MY6mhxHHCbdejFeiMZKdm1E0Jh+WwDoD0+yYYJa15oVmHIbQZElivuuZ+pn3
FQtSjVxzw/eCxzwvbl9fprXLiHOeXClZeJvEbYY7cZavwKjLRwTx3g6RNHOZVr4QvanfhSttGlZd
tO2kqd+7VDz5mLUQp3mnMkdt6cz9ptTgMYxLU55UHJ6Z/fIVlUvg153qKW0H2hshwQsy63QeYpBe
+lh3J2iEctkaXvhCmMpGTxvyOQvlHyfHHd+Efyk9MhqrDg5Z77fBvkjwu/S1wkHjoroLFcnupBjZ
58kgApgS8BOu6qXjiP7ipZViOibLMo34dNrgfdpSjnc7HJHvYSHbWgXa18jRyueGrAdiQZy78lCP
2Ka2aZQ+reHbN3cSeWnAZ+VEyiFN596jfUJowbbyhXb3c1jekyj7tdO9VF9Xrew/vEqXVyQm5BEk
Xr8P1XQu47B7rMkEpddsbDterY2aUBAvu8s2/zRV1B6Jxz17oWE9xcJ+QK2q3Q1aCoQMFc+DGWgb
c/74g5m/FKSoP/LE7KJWmWeX8PjRbdq72dfFVgIn2wQCTWyf6SGaYft7gEX7CvBaPuE8u1Z++muM
GYsQL7z7Kvwp4B2tIxgJIOzazzFvccBPO6PW3hsCFHYaAnH0WtX0iMjomMHb/frUwQD6ToXuxvfa
ntE6M+4qiL4rpzCv5KFsUi/2L/jKr04dqvuk9cFWz+H/NRPi6t433Dcvm0zqx2omnuX3cvDsh6D8
KRo+LMu8d3g1cLTsmkQA+I2UzGx4iV55b3QRrUstMzdBbW7k/PREPvxCWXrnNBcusRF8ORca6GPV
N6+lcxSxX70ZalLzecd5EuflzsVyup7MEcN5Tg1fx2S1yslA2fvBYeQ33IFDEOo0K1YzDAV3Yse0
1TDmr0NO451kAuDaHvdJUvsvpg8ZqCjZ/QbOGiV2vgJgcbNy6EgF/rqD6WnA1ySuk69/OSLhbGFE
yc9I141tGUgNWfoMsQih4onU3w9y2jsTEmfLqay3vJ/T/UgrbgbbPhSa0c2jWCG67I2m6GFy2gor
GDBYCkrZnbgX7LV8TlELZweCMD+VERBLxDanAXLYk2LRPGN6LeI+xl8TTSG8+PNT6tFkN6e026G7
QfmfJc9Oq25eaHaPSJ2MrdkxXSBORE2kt289lbuVxsy78MjOgYCDMgWpiH2Eewvag9RUIriJLcd1
82Z628aK7Fetx7naJOfaJKkjERWQIj0/kl1N1iHO9RUtlCO9+3xTjU31gohjhT5q67JSvaHIr699
Yn4DPezt7bysVnCH+m3qF+lGl1V+VwYaBpyL04VJ0T+6A0sBKs9LLeo4K047Haw5YmVoEARjANEP
tmZTTtDy6iCCxNkaCcsl5sbZfhzcBo2g4KJ3u80kmvcEcfu9i02i1TPajX2IqwPw2rOAT7uwaUqe
Uek1b2627FPDOtJcpTCT5/HZH0MkJQw9bxWzGKGYrtiO/i3wo/E1Yny2hmRCDQzQ1S+6ZWf7r24e
mNeeRePRtL2RtECuFiDReJ1OmJX0nMRDPTbzg9HVxESiN8TyU8L9GM0n5mnG5U4cwphBp9JniKQF
VZEbZFo6ht+98cRzOtl6+C0gsj+ujWZ8WohRHwaS543qtTaeC+SRb4ySayNu/D0lWixX8xTiRxFz
QsbqJk+Q5KAF8TeY558LSbXZNua2L5jtC0gozavexhFMlNef6GCSUcekeckiMl1KElxgUDIQ0CIm
fRgWxTrFdbXAdOCuclaQqzxBWko84DruarCkNosaP07Sk3Kxg0XMmAHacKKULVb64lML0f4SgFbh
564mZ7g0aDBgeKYPiLR+6IA1FiW9nPPYQoR3ecQXurDTdUfMzlqfcrVrRxjnoJERgIS49UYDcNVY
Q2MLEw+BJwZUw0hfokQ/JTa4/t6yPnVquztbM0l9nVpC24ml2Fi06GlBN8GRvQDRxu9Da6L4luhS
pFH461TwN+tz5ZpkQI/FCbdYf266HGGb+UEwYPFW5NVjOPsMzQmwcZWH7xG2KTxv3JQSoDm4Fkwi
Jh2cnZic11JirB18PV8hobKtHkwNG+K1D1wmGd2EXVH9nmspgFEHT00hh3tMmG3/Gapcu30dUMa+
O0WgnYCODcvE9MSOpBFzPXcA1lIftZsISu+kT/p3Qwu0W8n+azta4Q/KaTTXaxUty5B8Z/Aj3Jp2
efTRfqxFh2QmMdWKNpGJfEhFh0S6F0FCTKKBimfnERwqABZZbWCAYJ+3iBpmQqvfInU8GpE8SQv+
nSzz+DvT13tCqe4JE7VxzNLuATqkAl4uo++F3h96KrwvwsSUnwqxRW7cr3vZVu+2nFicCnWBG/5u
FJpgi46au8HOtTSb+o5la9qR3DFiRK/S25AOFfEg/laTdbUl3s/aOq3WP5pp9YLckFKn7M9IbrmT
E2IBQ3WsympTjqD0ItjpSx0zi00NldQHnaBSdCGysRnjInks3HiXpGdnwskU9Rb6YYFkJx6eGvDk
S1sbnxLbvxYa4kuZd88GW5Hr16HLw35h67D+0NRFkIsS/6EfPB/DBVDjTBjh1i40Z+lPRIRhLwNs
Zk0EDyaIFcZG0r/wkCdpSodAyrOevPB1A5gkJ0/Z7qPU9F1hU6u04TprLGICl0IyalADETh0d9Ia
hkfLg5rcVKSHkUrZrJW7irwJoQVpOEjZjEfVWeyPHEoFRClOjfFSBKBOm76d9nbrvfV5I0+EczYE
C7ggK1WdnUzYZQSpEeitN8GSgtga2HWEQRP/gka6Z4uDRMbVa+MU/o6iFw/kfD3Rga3F6A6vCL8r
vAElJdWqp6iL1vRGzP0RyNyIhYl4NaQu7dYtuuEKtenbBith92jEeBSwpof7cdDKdecwIZFJE5AJ
QU5orlbNWGnHvx2k1a3YkfegafJpoY3BA9/CX1MYH3cGfPyVbueAlzu1tdx+fDY7B5S7vQ2sCPaD
CXm3G5Oz2YufmXKAJwFYKYQ8DjvSopsnTIcMlQiWsU5T4vYEenHUZdWhai35x6GeX6UhAbFGDlRk
LOt238iddEkii2+dtHOSVNUlBppsN88QRcqD0TYkNOSaXh5IVZEH0Zv2dqicdU2RLnDJ/wTss9K0
HkvuBEykAXTqmhm5RoBr8eK9VgNmKz0eDl6dnOi5kfPbsQGqCVMuK+9bPIfJ4gMbNXk3B0bVKcc+
lrgoiZMubrbDFDCcgwldwWW/eUgS3SDF4EfDFH+2BU0snKtnKOz6NFWkBpDH1rhGyuwm9VM/dVtk
/tnPqSnQ12AFvKFmJS/TwEoQkLvjkhM3dbr5zLKA1kUoPvLaJqC7lv0jLr1PZ0jdJUaWF7OL2bt6
wfhkZ+1jG5PyXBnnqBjr1wk2Ofrj0nzWRiU2ptaPB+kxNmU8N00D2apwjfciS6JnKO3HNijLOx38
GhCh4x9ZTceXUJ+hnABY2f8Kf+2qBmhZQ1p4FJ2Mxq6Olpe8eUmNr0EX6pwFOoRfN8gJ3TLUPcvS
EzQaHpE4bh7HsviWU2190dpOQTyytzOG+KSMqFwrC4E0PZd0zUWwNPsl1T0NaMlnVzVnwMbtB/uj
775fD89IlbzN3GLp07LfpwVysRREDRQbcg5h8GjA4IvsMjbTBaAW0V4tclCZTehMKUpiahcOlsqi
osSiuxuzsVzSpZEN+xWVABEbx6pHpFb60VPPsrhNhL8cqvjgsS7YMsJ7C5yp+joJ+jcpO7w9iB+z
zg23GuG0T3alDrkIAV3CSPaaKDx0nvPRWP607VgRelPh3ZLedLdmpscrt/bx4pDpPBd0+jIJdvDg
4Od25qVMa7WylYIuZTsfIz66a2mTTO4P8SPPfrzsGpZaUe99aiaoOKAw00ua7oasOHYJ1R1JFBFI
6Lp8agKHPUtlnmcLWD96+cqTurlGnC7P9WivG8WeXy8oRtrOU5OlxhO+wyOm2B9dIrPNSBoVvAlo
DFGUnbre+BlGbveUeeI1jA131zQuCWOkICz1jBpnoLW3Ie/f3GAvgxkoByh05QqPWmxo7yxlj4Ar
43JBsonOtgiwDMgvirJ+mrh70HfXMdPyaxqkL2GZocIPwJDa0PEGNmV2Wk0PGNDwdvfdCpnnBnl3
8MCy9ZNlaAJIyNZWRdUch5yUxxyV9zZFwL9kM2afMD8MLxEEHhJHd1CMigfMlCsItAN+QLgmsZFf
CgOep3LA3sjiWzY4myiS6lphcFom9kAwjxfuraaGJ4PodmEMrr5BrUqaZUVimGLsweDzZCkzA6iV
7SeJQLicObci1V6ZTN1LrPob+jCcXL1ct2MzLpOa+q/enGHFvFkTEpyYGy9IjBDWl3Vn9H4tIQxt
Ckg5K73R6UeG7StzcLCfYliFtTSvMkEC3obFsaVSTk1uDluKUoh0A+TxzL9Rpj27HrcDM/aHO3TD
crRA8BdBl58D+ZPAxAY2EbbkCvc3zgGaeTjruq1oPhLSMOEHhNoqMSjrIPHlcplXfkKlXeTHLLjG
FZFaxE6wsItMUPiCMJ9m6Ig3Klfh96HyKPNTl8qt7FhVRnWLE3C4Jq6KWo81jNksSMyCXDvzpLG6
39UI/EHkOFQErffWbdAC0m1sM8+iQj3gbfTUsBuN6dNhmRH2ycXqQmLH3c84rcJNHnvtJsW4R7Ez
CdeDyUdCpzcc3Bakio4efEvu0XjRaiNYOMRkWLXRbdwgevOd8uYhRD3tE4LCtiw/6xUBZQZar73f
m9GOn7DAIdP7GmUPdu+NJ2l4LyLVxzVIAbZuWe4TSvGDwNTmoZZTu1KtKZdVNV3gMUa3yjDNB4iN
axNh7qZNm2oZMyI/4FLvH75eWVIChUvTB19hhksCdzxzDSHZI7Fn4en7B5AjwWFATop225vW1cXA
ZvAw+NqyLIZ613lw6vWh7I5WrbV/HDzHypBZpUx+QVQvgjwpt3ZbXVMruMfeKlPGR82Wb1MJCzdy
rcIToN6S6aeKVwYn8qhK4MpBNa1Do/8l0tDDbKLyRVzBhqfOEh99236FheZtCeQxdmP4zP96zLnd
EF2GewggJtNib7uvnFJ7jdcG8g4tCWe2aKqueIzjMVgqFyoJLID2ANXhludsRs3S2OcqPOjUS3eQ
AvG/6U661txuOLRpMRwi799fUUkYt7lmnwNf8y5DV/kXYmrXKhqq09ePyFM6xY0cD1hk2w21tscu
q/Y4cDADSay89O0usmnpRqFyZRAlTr6Y33oRC6ZpyqBSuhZv58PXH0TJSHkm84YNnXYvbeVFViEc
7pxVEToGwfoXH2ITieQ16GPvmIyv1Akqoomi9BU6JPHo8A5VBFgkrnX+uDr0XGXJDvx5qjH5TsCN
1rBJ86vuFA8KS8OOusBaa+e7kFTw15Ai3M7C7LGCDxq/Gk6vtg15lIupA1ExIN9+DspE7vP4E7U/
SUWpa7yaPJ/bUsPqqJjJro10AI8Nt2ayPZK1P+sseGpb80c9WOEMOyPbWMMtpIWbJiMbKKv8mSE0
Rx4NoHo1nZo/xmhdZ3WKGYcdRQNsUXu1055CpF48T5ZJ9XIYxmuH8ZsIn7g6q0ASpiJYXRKzAxc5
zI8mmm69s5xTP1g78pPcRe80sELgS7LyWdYIf9mOESyXwCFSQ7xvnH7nBUyQLN2+hYL8B02fJfve
2CwMaX/2gF8XnSp+6SV0IWowiL5DUKRDmLPNrax8N/MJOsSW9IeCbRtAI8IkALLT/RZX8SVqqD7C
JGUz6pY/6lfDIl9lFFO2L4uIGrck4raSwlmYZRNdINetELKKDX5XWE3TxIo3aQ6k3oX7Xod/Zb0a
fOGHwU0/UOq1LvQbVtb0s4AJPThJMIP5vexShm9hkWyHROQH0TovCNzNh6+D7sZsCMsr0/A+h8y5
0knEfShLixAYtjiLfqvsSlzjAvX2UDr2jnTd/EKuBCUm0T1kvlmeKgt1dYKMQ/mosOtw7C9lKem8
aGT9gK4DKdC1e4z2N9ONjAfqYERNzYeI2vjGUAbechyrUrPZBOrzX4HgSNCeU2wgtnxLGmxHdj+l
D3Q1ik0fEIbZaY44Fr77hPLGpXQe83CRQMw4mWQ+PRLP2LmRSQqGccHTXqxqBeSV8SGpXe8hwd1/
/TpUURBwoSyxskzdO7LpOQnZRNvama0QphIPZZa+hVWr7b/efR3kMEM6TNJpKVufyAsl8WkQxNf5
Dwzn6bIUNclk6Pu3Jb+xSSGKVMR7PCR9hRO0S5wzoWILtn/5ukjZHWFLVldvPiDh0S49ZnbNwnVq
g6DaRIBpSCWs7aU7iLPd5/VWWsU1G/CZA97cUleyYeZQqVCtZ7NzGo1jrJUboY321axYh9jejPKb
caFygChFDpyxLpxIXfQe3I5uQDtPR8wrmH+heRzh+vz58PUzwjirRRjrBm6+hFXDOGNI9egpS4Nr
IFiNt733SJd3WNFBn2OhMK7TCfHYkDrFvVUYzUe3aC6Dm/cvyJSXlijKe4HPxSRFHC8sJkRXp3zv
zQEXiR4cdFaadw89dtgm2kssWrh3mvwR+piLBmdI7tBetLXtl2LLgoO37vBmkeVxZV2b3Kj8zN03
PCrKeYKjUu0TlxRwv3Wju+aRQ4evjNri/Hay321Wx4eq8fNl1erRxfP4Ha05hne/JnUxlVO1paIf
3pWwP/LItB/6kO1SpXfOgTtjHddR8NYOmXnotM4mkLQN3iof61aJBWEPJrq/jmZM8FWRHry2g3in
oNMVKE6IDQ6Ms6AOvQoxly/xgdOPG0EtmFQ4yjouDsAIQhpT88tMq2aL8HR0aa/cVKfr21Hixo/q
3n3RjOJB5lq20dFj7s2qxxhqWN3VxuF0JLnFXckh6n6o+VBRM1jmhJR6vobjBHLEVQbsrXVO7I88
ic6aH3avsSzHbd/o+c6eA08Hm9UXiUbtIQRDdcjdoVlGpRVuvEIZF28w3gYvFy90y5rj1Fj7IY5e
urzBPUeB4aFP0JzN70TdRXtPQXb2K1YdshixJ1sZi+UuoJtuI1voLYKcHIoUqvE11oJ1tDVGJz27
na52CXa7Y2O4ciWs0ViHUvgTzUzLOgxJYR1AuyTEgbJ587Lh4WsXXLvt3VUlHy0OGOVKZ0kQDCER
o11czZrEyzKK164kmEGRKw3QUgwPLBmqRzPOv0el2pHyEDzT+tRWcacfZBqCs7OzfsU+jGwpCnmb
wmBaBDPMCXWeM1TRp8SybxLL1KYp61+ORCTCBEImglUKijzOGS0hlZfuNR23haaSE0sKChej/CDA
3D7RaNfw/dQ3pQ6UEiWTR/ZMWzImTDiiRKnDdvS1dRlHVHqG/CcY7Z4LxNBYJ+F2HEW6Mo0keSyI
vq755zFAin7HJgGLbqr0VSCcF9X5PqgJla3HtPnpUwinuF14x8gwHzNpXCYMGCdXMSvPQs6Nr+DG
zSIKx8FClg/mtAtwMY60biBcP1oRiJhRVzc/yIzVQEN93XUqOw1GX+N1sqoNvCOdDjmRpYxHO7bB
cumR5gJQJAzPznwYq1ztBYTOMJEtRkas/E1HlIzDoDRY1iuN9m7d0/HUhP7D9RjKDDdqF0YGSzXJ
flSloeMM0sxr0RdvoW/uJ6ezMMBPPLDomlKXLEWphR85PafKr86lQ5iCR9LiSoe0x54HdUZuTZfG
0lB1OljrI7TgrMQQ67TSARWe9cMpJQDRDqgcqGFu+Wf9eweifNkFOeKWAcRXabvLAD0SbbZ1m9nJ
98AsVkUiTYyHzbcSU8nBkO5r+OYKbe8x+a1K37JXpKVTlU7oLoyADR0A5OisGNjxpzrMIqYYNlbH
+Q+N5mdhhNO1u7shOkgNkpPWfVgjCZMlz+c61/Gv9QFsmro4uIqCXG7igQ3tlHZe3t/QgD4JP6XK
yA5/EdHL6iPzeahsWGrB7OsK6nwVih4EdTZPzKh2V641pgf2C2s/ZryzQQepinW+nhY74dgDxRaC
xaI8vTfKineVNtnglkbklxngu6AqxNpPFXtcH29zGXUGN55zcSETL9O2jp+wIK0pXzJGhV64SccM
G1uTX/FA+cuuJdJXOO7FFZG5hnzxK4WurRkLAQx5SXmd8lAWr3ILRAtyMPiDOr06HsxoOIcEb6Gm
GbkFIUdRJh2/JSOJuGFOf6Fi+ZcBf+c8IBYZyjvrNu82xDnBbY8x+qYnCMnw8PSItpD6aEjc2qMb
ooWU4J0h0ZHaK1zomNNGPN0m7Z7gTrVEd8yFf6agLtTOTiEoFMHmrqH2CmrPJy/SH+uazqrXO+2+
ls3V7jwqU8lIJNRAmodB8qybFi9ohQzSVByqe0Xw6JjPo0vvUhESvEnBja4rk4YOfTvtEhjZSmt0
vMM545hEotF4p6aKis0QBlTQR7FMGJ+XFf1XXxBbHdpKEC3kn6DVNw+OKXcQRMBmmcajbk7qAkXy
ie7YGqe7kOG1iqrsELPLWk0oHOD2lObBLCpymPRp48GWOVZqOWi2jgjAxKkO/tSHs5iOhDDpcfBL
9oXYU03GOKp7+d6BZrmGm7Roi7zdVliASTnGioAlXFc4WLsuiLcxGpoNRtsfUhvvWdlOOxUmK8yG
IR3oVux9H+SaxKkvZ57p5IPidAduVJurTt00AxB1c3qzxA9vIGkkMGIh65IEm65b0IeBmgdU7ppX
2Rx7FsLzUWyk8jjejOBMfAR1GyTNxULV3LRFh+jGiZZtnEQb14TlDriL7OBaW1uE+u6MPL6YTBIH
Y4q/KRzkm6yvt2M/fouxgZOuAnw+QVAhqHPJ5DtYkuhE+18tI1Adq8AJO/JZa7Lhnc94tK0Td+3K
QBe0rWrAJw0BTR48gKVQwtzoDHsrW4Pv6MWGuQxy9yWc6vqgCvsVtSRbFLa/eQJEefRpX1FtMCnH
dJX2DUgaWtGu+Mh5hnAvT092Y98ivrGTy2eG93M+jKs2NwAhxeWTYiQY5TUEkbHMuQs2g4nnFGwZ
mnDB7Vu2/aVSjQFiMtI3RZfeWsI2paHTHMwWjW79kpXhH/LWRU6ImhDkHc6zPmF1PFGkcSAMo2qB
iimEWmXm/+XqPJYbV7pm+0SIgDdTEnSgE+Wo7gmi3YH3VSgAT38X9P2jO2GIOh2n1RRZJnfmSom9
kxnVAUdqV09nf8GzJ8Cw+bA4GiNrTpk5fA7F2nbaefk+7ca93akDd5GEXl5JgTfR8f2YBGI3YEvf
aA5QmItJ2+k84xadAHDQnM04Na7iM4iMG3F+mP/shXWf3iQrPuIeXcMA7reG5/ztdf2SDv6znL0Y
5aeglkdFYDXR2QPBOpqr+ZKnRJQZhjMU7X72oxZqVluHVBA9RDYDKCACuIEKybHfsOB9BtUxnrg2
1Y5xoseA/2O5UI1n4nWvl1uQ0nbN+yo/xLSFWLywelF0u1YC1gEusLdMCSKnFPOHW2wckDLHxgIM
yDYQY6t1g+neicwiX26Bbqa2Uw3iGBguXr5Es382jEAaTa/Wo1a3IdyEf89kP7DYYfkZvU9B7HIe
+F13PtAEM2XKzZGVDvTy7Fn1rcfLiI+Bmuyg86OqKY9xPdHqXf3NA+/SL3UUzPJIg4kIQb/jhhxe
tWXM9h2APZiYr0NBD5SyNaYRnHOSmqNkxfvmSmjpj4ueWvjB3XK7S5qUTGHKQ92pC05aZrm0kFRz
eZn9Twu6wNpI+G/Zr4/JKEf0ISPdQn4p9pSeHcB+6nTTZenOgqclq2lnV6QvwOvctRzrgH5JuuqW
xor0Ey+wb3PRcsr8pws6FUWtf10WC3eMSe+5YdQXBEnVzIj8ml7sdJ0R8oK+mUwZdtKG4b6e7BND
l6GTWzEBb0zWlIBv9A582GJSVxIXKgbWQ4MrUws28EFep5o3+2CNm0LiBuYmiIEY6zByyN4hX88h
sdTOXlVyeo2vZqWQjh1+7Ro44sAG3FrNFN3mVfoJhbJiRO/vDYuZ70Td12M2G2q4MtvYSSIvj2F9
mCTxeOxIWRRkxs8KwxfGbNtP8e+CRGClvQdGKo+LQVNjPQAjO8XcQy4afOiDGrTxkKDsbHxrcs54
rZeQH4v4hNO3733gT6dl7UmWAHrejXZYXgxGWhYY7UR0XD11A57e+hVZu30D9vP6/UzVs3fPHZZx
3z4CPLhhmHVpgJh4J+YlRh13gr0AvzR7sZXHK8w+la7Pquxz6ps0Uitu2FB9tk/19B/sF7gqNP1u
BuAIF1M2PwrTmY/ljB0UZKO9WXLpHC1PqUNjm/YjoQYagqV+GCgexA6I4EnkrmUkmB21daSWQBhn
fdTL99Y3o3GpZl5xo41oznCPzlBd3NLZJ4QQzSCxPnQ1iTfmb9uFswK9DuaPEXRU2PhpvkLmmVNP
M7eA1DTv/dTBNB6K6jhXFae2nMG8Nzr+LlZch3ooF+Tw7Z6QddtEuA2xF/p34BjOC6MxG45ZnB5s
SRYIJjCt9VhGeHsgw7vqPHHJOeNdC+1x0sMeU+xWTGV5n4XxSepl2tPE8Qq4hV5Y71H5dXDgms7Y
l9P5fe5adG3RzbinU/VYDMSDwkyCA7ny+ceU0x7dh00+518qNr5E511yt1eXHhlPZTvswc17bQAk
y/OMIxDrR9iA2QkZYRYRcm84+hluGbPqL3KqmXDR4m1M9RUKrg0/4VLTPQbM3AKaNHKpBmx8H9YH
Ncza1s7wp3WaYPY+sFx5a8QBdFt9M4T8p/txcmosV7sDzgVhvoy7nGqRY6Z0DopjQbvjejqsU0ZH
eINqdZhaCbgOz8IZP8VwNtaH2RqeShbFXiYxQwGteXNzuN2ml1/rtk/2SJGPsnCDS8b0r2f4HmJp
WI4wI6w9QMePGSv8tux44+QzNTZWvia4/Qto75qZ+BCfEdFyP8Kmah2cgRrTPh6Xc57h/0183rbU
U/7sLBYUDX76GY/K4nTyEAfjj1i4T7cagne6N7+UCaQvgwjb10RtLZkwGDPAYMRQ3PCkJPcCEMm7
WZn70u2tbbr4KaEqM7n76wPXMD9sLBAaeYv1KVHsQeZsq/ckXo4ub56X72d8lKHJOC57S9rsHSuR
N2t9+P7q+0G1+a1wszICmWRshE4rY+FVOJWZ/eIRM+WF4IIGmbJY9kshg7sxzMvJIvi1sQO9ehcW
uQEwTjr5CG4BgRE/G1XuTIdtaWo1nWmzZVyt+RhMcffDmBN4y6n94a0+YKOeNiZc/XpYHPi64gGx
b2Npdv9skMs2/qCF3myWDwNJ+r1SWK1St2xP1vq0L8sXfAANY44GaL8HuaYZ0xtVF7jVtOGrdLw5
SlHLohmNLOohaUEAjGkoahUvQlDKWxvU89bEIYbV0RtOie//ClRdv/MXlWEAXf4Qc++5VaJ7a0vi
4R2kixPoI/062iK+gxrCR7yfqwUTppMASxNTfFN+Li5puYRjT1elt+jWhk9QG2Lazq6pRxs1wxP6
oOf8LOrAfUPhfpyEaapfrYNDJpHduZbwjDjyH4bVrOHai/4C1OeOIzg+6B2WZxuQ4z3oqvTo9Cxm
KTfuNx1fRTPePEoniMnrZ/heA02fBVBcOUOKgk2Yn/24z8+llv3fVx4OgxP0awSIZDp/P+Cnms5U
E5R06FFKuzTATJwufhgVBxIV2NvFyIcHJU39o5D5z7znEwI7L7mC0kWXOHdZTzSG6SkXQqEYDbKi
pJ1cziN0qF0TmzoHLCleKPI7oJdqp66qFgQJRV93Z5arAegClni4Gtr8Q6Chnfv14fur7wfun+M6
f+Il5F79wUbaXBuoupeg2dWJwkKAajlwrm3nzbjZ0Yek9q6fa1wXILGd/cy5qFL94QDcXZRTTG+m
KFhmsjF0uVLtSSmJT5GIRwIcfjvh9jkNtd0/qnz0gXAH+bGqxzHdfj9PNN7kMO3QWgtRktfq5U04
OLTWZ9JPP0sw2c22fNbDsBAPSpebLZARdcFuUa7f+/4PY5DMYW0sfhhMVrHXJAhcmF/L2Sy0xygI
e07GeHN7o3/YZFzrznAOBQvYAxLxH10v5YtuyJeknayIRciKnAaWiTQXcGdmb70arhfDlkaD41dN
T5dtcFccsQAyZXBq6HABGgLYfIiKpoV1XNXl1emn8qqxexzI5P9BDCiuKTcjwIt42HyPzm4nuQf6
PRvH6ezauIlxyVKwie+ZHkzLv7RzYh5S8vBcazoDXuG62KtJjxxZMmL0PEUl1XRWJYZOb75/bykY
0a1rXE1H07DuVrEEnyPX7SMHHSMUKUZ6zLC31gO/XHVkZWmnjf73TA3BzRo2o1B65GXBCoYbrCCc
8H5tGdf0Dz33Kg5G1N+5JB0C+5UZDfXZIy/RQNvdFTB5em0Xmjs4E7Fn0dh9/34wCqCH3w8S9Xvr
4KPdcTAMrqov2oOryPbUABmZNVTiOA2cLR197g8a179bEQ/DzcM3ls9oYT38ahzv4ltkyE7fP6te
OXoENCHbga4yNuhiCyqdjSUwVTc5duuwpub+CzBhugozJZiavwU6EUATZZH6kJoRZMuOB0yBRtrU
37tTX53Qyp1zJbXhVPTkX4lRsDuKO9dNxq5+u9A5FAQA5lscO+AucU7Kt2AaQVImq3ufPQ2psquY
wE9Icz5639K37V9H9QwnmjIqhcJOOoL0HectozL9qmuuTXSoM/e83wNSzc7I4NFfdBqrunBiVv3l
tGl29ARRH0s217YqzaheH76/aucjOePpEZj19NpBG9dRbl/i9V0y2gwqLLrT9jm33z3ezj+NRrUz
lHV6xyo1bRad9JtReiu+OkiOg+U1keZ8eUbQvRtEyj6W+KnWbnYvjWD2YgqHcjWOXvGBRN4fZ68V
jGIJWArSGUAqfTo6uLqG9JV7V37r3lrrwAVbm/94Q4lFWcvznyU+u8ZRbz6O7SzT81eXFBWtMY8O
09cxbmkcSF2YNGKhDwAuF/kFKIV0ROcNGgOlYlVVqFc+RQWG7y65AVdkqsis9qQlSr3qhLd3CA43
LELaNfbzm0+N14aEXP1BipQJV+O2B29qf7W2P2PG0pdHys05h0B71eV0KKjUfnVSukpwIo6eO//w
vPRaZt2UbPT4lzs1d1JLxnOqPCoLU7S02kMVEZ16y5baxISsDYeRZrp9UvfeM57f7Lx/UUkz/2wR
27aKvhK4rObNzFT2Mknt5hRHTavUD93TuKEktfoxmn69mbpPKI3tm54SfMsZAeVTU71/Hx087kdG
2/pkYFEEJ05Gl3VwdUzK/hq48o6QSPJw6pPbDE/ztsS0oXOCWw7dzIViHMyWu9voHZtR07e4m8VR
aBRQTHiYjngXgYWCcN2VlJpg6z40nAT3qeBWiSXrl8Eyscmgm55jv2i2fUB7hVc7b1wVLm21i7M0
fUExCfCJ2hDGKlXe/ZizmAleMhz47QLHvSodDng8+7d88ZkEqT7CUo4tajQOnHraV06OvBaLeBX6
WP3CJhMQSBK7uo2nXYqUf/f1lVttqfrcf6a2azwXv/kQUjjbwUljBgnA7bpcoSlNbhC6duOhqUPA
L72AkqAy9tY5IZJzvlyCtDduCOIGF74Mj3Bw6CfX+WX1XFFc7I9n6tTtnWll2K5VL8KEyVzEbdhE
nhv8LR7n/zuI43YhAmCq16oHC8y81z5yGeCAUViPQMz6j/67otpw6Z3M9CVkmpmTKeqbq+Tnw+dU
+i/pFNwx+jZUL2PZGUaymZW34DZttE+fhu4jluEwMdGTu8USt7KX/6SwEWjyeMMG9r/fhKV7Z1JV
/1SA0CSFWUZ+5vUPRx/7x//3PT6u6mqP2qNydkqPfQQ9vbuS0RtfAV8HAMeKh27BKsgKpwypN0qj
AjWGqT8q95A76THhRaAL7suYU5gQlnlCUO84dnAck6AV9o4NQMAozIZqtYUEWMoiSiXXc0I+bqQF
mi2nd7LKBiyDrYfvK1578VqXOtD01R5a77lYhPR8h88ujlxoWJQARCZp0A2AueCmTWr6VdT1bVBF
/tKY/K6WlOo4SW7H58N+qR1BHR/gsH1mNdb2+xBny+mJQck7O77NBTkpNHYo5hsi48ToTNW6zf0o
xGCfeStXr7Fmfgna1g7rRIw9crTzIzzoA1Mvde6qNcxdkiryisk/fN/C8i6vI33yfhnKrI+lv3CN
z7yQYUnLn+Kfs1ZrVFD7XsB050dbTfRPIOZVkmk4pMp5Sx82kbzKovAR83liGNNFBVk4YGpiy1IY
eHUPKk+1owBwAt6qg4Ku0XhtPscQdKj8GtbCymxhbLxvJ295wKiiTdHCo8J9+bffJ8GJQ3YeVaUF
ezD5q9EcFjJ6jBm7ENfL0CERsdCUsp9ALSWtCaFuHl3pHdnPzjS61FHf0jATo+KF/OmdNTqQoErq
RwFRFlsgqgctmLOXvFfuG1z2z1xPzxoyGu6YawBg747bAMPABjursRtWW3mCYixdLgQBXU6k0K5a
ulbvoKVinWTGDMOOjK0XbBU+OmqW/k4pDcBdVxh0ySwp5zraJVtm7cFshsvg7TKfjwCBaR85vD3p
o4X2WYLjl14Lk9JHpKLg5B+4WjgdvtM/cA2TFKxc8TMo2vNIOPE/NjOo8vKga/Xd7F9ZPS1uay22
2myf0Sy1s5jSfxmWfgA/0P7p45oDSZPDeF9Md68lEM7xL8N4/Y9Iuzjqk5WE2BkwEPfeVcdBfOn8
ND4XJUPi/IWT5N7j9GJd/CSwk03MxzEbZPbL1TMX3GrVcSsJBqxM/Ct01A3OPYV25Ca/ZUc4Zxlz
N6CQRMWwrVZL+hNTR8z9h0C09l8aB/qOClN3Q9mVfSpZ0wiQlXVoKXN5i/FPPjosKrxpl7fS0L0I
zuCwyYSvbZhQD6eO8cWmBDccTSX8QJ23ZihXCxRm/i4it0bu2tmUWbs31llM753RujFBA85GwNA+
ErD5fH4zmzNZlgAsRRc1Lfgzm9GN/46NQxFe6wY3LtTt1sUGBSRG6Bcnz7istyJswHaTPe+GF7Hk
yRnUyz/GfF/ghrlIDmn14YKOM9w5zAB3UwFhsTk6laDfGKKCHOTFqy1yxLKItHm8TOveSNKloBjV
feRL89pxWD5zE6DTeMY6o9XLP1pImtcCZZeW6dWz1+0Qnn8xbe23OhMT+CkffRnvhyoJQqjS+jYp
tWCjZUazLmD086XNVh+932XiumFX0ZNIszTx/rnYty1diO7M1pz28lS67PlIltuJhko16ni+l/4j
7uK31OwV4inFn7wIWJ7VTWt7be/ERKz71N13oKjRqtyfciHq3oPKjuKZphdX0yRG5jBOgovMEnlQ
ccZ4eRxIKTEWn60xrHrvBZvgSz0yUOnnZtzDnm3CzGC+PnSc3QrV1VtjXL7yghkPytW7lljT0egH
tTMD9eaNGOZS/3dbEOLDwbHRvOTW0fsXEfa5E7DNQjHJ8dNykngDd1ydR/5U2EF85kSNk1zXc/dn
Ica/vd3x3nJRrvB0/67plSlwNNJoNwRbEqjbgMN1pWnxnhwebXdzS7JxyHcojIh3hboYKbbVluJm
dl61L4fMP44jluiRE0eDa1PJMoJ1CHNY8ime14f+v9rN3vLB5h1atsNFqKvVakTNZgPAMCLwz3ZJ
Dov+1Xdl84NaAy3s/ExEYzG2H6MX44+09ziy1CeumRfTpKZzAKlyS2FiQ/iv4kOZyfyRcHTdmvOr
NDszcimVQwDHpI1Zm1nHkp3o/ZoZMurtxnJdY49mNeHTm68+iPCCNBhNQ4KZE2LGTNzdstPkjBI3
b5dMs59cXtHCSYIdzXmyn72Xvo2jWxDE6QWxC93fCYdSz8x1nvkEJb4qfbrCqfF9MswW4ey2t2UC
QeSCNL5LbnoW4Y39PHI/y6byj0K9eq2EonEFC6Q2W8arDl2YkPdSXheb+Xvf/J1hQNwBATCwJdwK
QD8L4+CKTyE7JO1qClQBkxjaTjYS1XHr+ohvnA9CRSp6zLI+tBNpQ35338YsIfSZyrcEjYRe6Q6j
K4RaV/rQIrzlrk02quCsMI+K/K2kMjnsF3+VQcwVtoRtQEDqP01Nk2PYYPnEFsgpq9/VIz5RfQ5+
LPP0PrC93MZBsy6Zpw5ZwbJFsuy0Ft1EQWp+ZtLriHFkIBumMYgSfe9jwjwqryPFhNENbwvpVtjw
z2n+6RjNbyBOBHgSfyMrGoNdx6M6jen/tl7avzYlmlu4qQZWcTt/MMFxLrrUN2OlcBrzolzc1XMJ
zfXcijy44PNnRRhTtTfmortNy8JdqM/kBgjjve6XkpX5V+6xz6XUQfYNxcIVhgmwXX57TZdrAsX1
Qt3nfPFdae0UTpIN3A9xTpcMPMRiInDPlI1M1KeZtKVP+VrOalTjjsNPHdlm714mLXUv7F4GXjnA
n23QHZnnzAfhcKPlbnP+fmCX5KsOeQLv1bkUAM5xJzIH/GuUdXArCI/uDEmar9I762KU3BGlWfk7
SzgaZtRKO+vykeu6jLKmq8/Ez2I4s7gz0t1UziJyDCs/8Kv6w1bsn+dxpl7Ofe9NV500a+8mNsVl
5ehE8IfjTSxrhPb1Z7MSXDku1edhijJeG6VzEGSYTq4xftIagSLlBeqFlQjuQ/8wbZqKBj/9L3fN
8e4trNtFN1GtTS4bIqFLkfUlo0jufw81dw0kS6j+PdXrtFCLnylevH1qUXfu+t6fFB4ZyH/pQQbv
2w5pj2tzpmZ8D20xoKCnTogFEAM6GjhTQEwfVv1X0IViyDn5O3XVqcQ2jPqYPz0Gj6kfHMC40xVA
02Koa2BexhzHBOcyJkD0RUEbZpBCH1g7IbY2sfuiRnj8Dl0foOiJLlNWsNHwLR1a3fjAP+GFpStk
1HEG35jPtDXwnkvtPBb1ckksaMEat+ctZQPkR8gqzPPJrmCEczZXWxonT/S2NTuOBNW2sjDApS1e
BfrLt6MPz2DoHhTDY2wpuNAsEkNqwcrPAMR6zwvKwHon87ed9lhIDGynsbkGRHZRyqQZBVVe7ea5
h1wCPhpDZh55dZuCNUMRyv3tZNPAISjVO2R1Zl69ihaxtLszFNjDBuAiZTsoGutHZqCi7db9kVCx
L0Ps37JmlId5aoxD0+YwgRaSidUI6bl5nzTc8brhQWCHPRI0WJz5qNg7L8c0xLUyRUSecOqS1XDt
kTIz14oPyPHDxsnETMNek+6S1C9XG8SBiWR8474wn4QxPNyWVTsdQNG4zuCQj5a/ZgN0E6WAf4Q7
lLSagYUyqGK8fX+ld/nPuVvGY9Yf3TK26eUwNwSu4kvtz9a+oFtom+ukrkrWNI+XFW+fkW0cqg7C
gkOEjU4UCZNskpXSDoQ12O7uxaLB4cj9J//OXZvkHi1i5qfSE7weE2bZjLtjNJr0wOX7cmq+wwzi
TDvFqRgGzCIBzX4rd6avk+xI6O1SAJfCUIEsnrm496th/jIz7emURX5KJHW/3QhBZxaICcqsDqLs
/guYo26mWfyBe2luWy4hIzcFyoMkBlHHv9fJ+JZoa3kuns0D3bcHp+teC4cB82qFy315Ajzi7Cac
g06X5RyCyzXUjhLc8NvZsLs/pBnXsAhD224An3fzBeRZvMGu7FHQ9a0O7aT/V6uDfjenWk4ntHao
G+LImTboRwpkVX8CDDXzXohjAlD95hZgrzyJjIFCZ/4B0QVmXk+xhNtY3hUzdDAv0zEucKg7KfVZ
7apl14J6MiiQIRWjL2JOuNoMVJaLxn+UmR2ChcDqrlfk+igu2RjZ8u7URnay2uFHKpNXy0n/ynzQ
Qzd2afPC4xYmsUugdjukyX3Eno7szF3abR8YJjgjyLBhskgJhfa7J8tfDcvRaHvjkXBcS8wTAI69
IUoH0FPT7kyjmKNYH1pUxtcElP4vQ0OShSNVMB/YrFdtZrX9S6N0MOATEsaMvXzTn2m3GO+zzsVd
0xyx05jZL5o07wXquuq3JCupRzFHi13BxDc8mphgMAXPFGbxQZLJPfZyZzMUINtE9qShj4JE74fg
tLeIyKQA4FKjVr/onl6ei8x/zLUtNkEPR3HRhgtsDSa0hKVx+jGvRRiIM7m8mepJq6S4K0vsFO/c
yC+rf6njWlHTrwcR2zqPOp8yiPVMlRnihZntcuae530Jlp9+LDJ1ev4jE3V8Yk2lSaNfiAh26HSI
tvvOm7FGM1m61DFVor3N0NyNG1KDxzEu8jccJkxFPe2duAIsnMVQ+87u/gxBp/YFQxx2Qq6NUv0t
3KU8SDPoYWXoDOva9MXQhpe5xyoosgFphjKzDbbkJAw00rEm0GoYk6uMXOerYYm+622/7nP0E9Gq
baV8s5187Bf1nSwQ01i3TEKjNdZp3GrutFHUpS12dj/0WzvpUHupsUbGs81Nm1jBLV5X2bFOGqgE
6e94nIgnNJhDZo4RmOlpvzZox4MRke/KnsJbL0gesYY1K7eq9wajAil+8aOTlLbSi0gMen3wQVzS
kjOAGPGdbe1jjnFcMDpT0uMLaTju+XX9SMzCfB0qHdVH/2K8V+5EkJyMqjQuTRC3YW12HBoY8ocg
TBl7gcV71CUJRVU2fTgP2qmx0/adPNmeX7F/4bXb9orPuFovO7P/JM1YbmQZGC8mkPVd0VcIATPe
2NmIx8iwh+BstcFbQSugy451yjT2jlib5Sl3gJ0gktwEaeUtMw1m7GYbefQSvKtqfGRFSZBf+SN3
1OonsFZJkpAAtINFDosuYzVCjtvBlsxTDJ3jJADFFbr/n2wK90yye3jjh7zUBXMSI8Ox6L4Jy2Ep
AvyWr7g+ik81EQeRrk1fGF0PsMkIvIP0cAYgY7kxwFKN+dzB+jfvpLL+s1BKmIMTkYzJJpqCfxMR
zHljZ9Zjsl1gpFRXh7QMbYFdFHctgK6etLgyTQEkS068PbBZbgZd6C8O2nzIqJMboD9GWJrtRlK8
OI7UwSx9cRrQ6LfYZUWZUyaZJ3+mFhAIljYSLSP7fJppMpQ+HMShofF7Yj/dJi7LSms86/hp0bm5
b+MluQ5uUm3gJdq7Uh+Pwk6aQ0O0oGnBFPdzK8NRk/0l1YBddOUQhDYB86hwm+PUMjlX1QSYrwdx
UdfDydT194X7erjoigownDzbWQnnYJIcZ5Xmzxcljo/cRyuOpQEczKKmhKXlHKt6J0YoqjTwfqRa
9jZZYF84gsRgtLBiV20fHznz0LXuWuZe2ZzgjHUfzujrXhMIOs7QyDbqG3opPe7O9BKPZXVfXUt7
/t1IWAMTPQa2fjhRfBs1S8DEqqJio03Tr2m0kp1cqG43WAcn32fV0u09PrmV1WrAaidQVQWCibJt
vpO32vZMIGlrHfKr7iT4Ml1cDNzpN1aQ22c5n+Nxno+8yNdFpe8c1l8ZHr7bJcd6OfkscIG9dzSt
23pBmnLz7vQt2O0lhGjo8651MTvUVCze7IF4g4ertHF+O1zDZl2eFqh/RpJP6LbYGWJHo8xulu7O
sRS38cr8+D4LlxU/t08R0Yro5HQ6xugFXdeFnYBitSriuO+Kz4n4Xol6vnXHnUsk8qg3XHy7GJO3
g44tG6vEWGo9/+BLbm9llTYRKZBIqp5/pnKjhjfxISDhuP4c0NT+efSNnvzRvNSqgeVWtehPNK63
9WmgTmmjGChyQQIVNvoqjJdl+RgLrCe494i6utLdZ5VP9NJIliih1oUxCV5/G4avtNIXX4m3tGZ/
nzv9s6mC9QhcuLfWel9mjrN2B+MpybySj0XynNlB1kiwHfX2dCK85hyJIXE5JQJloeK/aQVHt2TE
jaVSJkXoJdbG5mV/t5TDyWjyo9RmmYVSJQAKQbChQ4+us0bOJ6CDZ4osjXuf08TjZeWRj+kVQkH3
s3PNBmv4ytTx5z+wNd29wG5HUEa8+YZMTyKYvSuRnh3FU/2ppI+H3XUyD2B/jd3Ueh58Y9gpkhdE
JKV/TitvPMqERhp8yFqq2ZGCbHQwOol3UEt+y/ZHr8l/7WIX73bjHJzRhIkfNGcud+mRZjhvA/9o
OXdlRo4HWf5FR2GeUQrOws6CzcIkPC0r66fXIyvOGzpPU2yueJyq1j+WZQfhr2FpFtCrOFy67zoZ
Icb//icu0wCrLblCp416CAU/a+JqWZNFnamaf3RzXOAYHwA1jS+CCOedxfa3s1i3vHKcmyZhSw0F
1TQuOXlDsg5rQ/ffotnDbRTlO4RAe3acV4moPUwuQVnYkeH3LVFhutDWgjWn+ueoxvsQWkkOr56g
9NisNb10q2vRcgZDDpDPHjIimlMauSU0Q6W/NJNHHxw+sEti+vSP1hTFaFUDPsjD95SuVIGh7nES
AUCCVNBBNsFbTYDU2Wv+VL5Tdbbn6v7hz/TRIuHTItd22p2h19nL8z9oiuND+PwhmXBKYbtRAeNV
+g7/MRP79DBGfDBYNI5Ozvy6Xhpyv3kyHFs5idcSqbwY2VLQbeVriVlrr5hTGuwfddPpXEaQC0Zb
iV2sS+6ZCAERrUsUvqeCHhRQC0TR62qIvh+SwUFx+/6ywU8W+b3d7qsREUvUsMYTghS4nStkTHy4
2rB6YDt3bKPv5w1j0yNxmL3VLjHeWj3ZjQ038u+/c/BmuBrr3z7HmOCHBjwcmVRMGxjGv78iV4Q7
9Pu5ckShkxrkP/3vu31LnbGdYOXPzUTD1MaDE6fxcSJUPtmmG6UD0hJ778n2hRv16UjMMJmSbY/V
OjITD/fFoHred+vz76/a3rQPg8PMuJtUhNw1Rd9ffT8A7cyrjbQNUkOeDeQNEh0K6Knr9fgz0ER9
y7AgbOx5cJ42Sfx9lmBFoIfIJz2JDR9q8rCZG8yvdhVXT3RRh2D2M61VctW8dt22M+9pjjYZZpGF
PV6tg1f1/tNtgJjEnXUflEgu1Md3VMFRi0l09Vn4jBe63v1Vp22+FdViPHXHZNRiZ6gk69PO9v/z
UP7uXTZW756Jlan+NRHZeToIkxcC8CyW69MKeW3f01vIOuKZTzSdfIN19TRMqjpbaTx85vnntyZZ
jrYJvJmYzbdi2S9JQJwoMTZNOy3/ewHi3PrPlyiQgH3honscoIfx35w42ZP9zLgtNTmYktxQL63x
xc5tDiQC+TLtqvzpgL/ZdZnTHDmOueTNJp0ofop4HVCDyYUNSA1Zu89cvX+/2llBTH3xCMZ8P7UI
KO3wFekHMgOZ3o5PJOm/ZtlM97HUm492pWatgqk2wUsCSBbswJ+Jre9yQymYsJEfsWQ415V5ImGQ
f9l9AuwOh5rqmuyFo+PvQI7xddC4S9JdWBxGH5ups4Y8bQf+jedW2b3pev/dC/Dtrd83EQGUMzGU
QikIbSuuvhZrIjSXVsP5+2mGlKkv1mc6iG5Xk7DZAnDwNmOreV8EciCEUGYXMZ+0v0pmPHyXKmZM
PmNyGDzSFapv2KNVeUKESm+ECskOY836wd0/WroMgmKa/RC+AaRDd+dtIkBJTCTOac0VZ7Jc+pu0
8vkmO+hUbi78r2Lh4mpolg+QxPW/yP7Xg60/3bRS50x5a81AE3xp+BS2XU0bqwPacIuNwOTo0xyL
rMXjVvqbYJHmKfWUc5yKROyQOIIt93HWHdnS5Rw4p26BzfT/2DuT7bix7Ir+Si2PjTR6vOdl1yD6
hqTIYBucYFEUib7v8fXeCNWqlIIy5ayxJ5mkJBKB7jX3nrOP59j5tW7GL/pkju2Ew06nDJ5FS0gX
cm/vOZBTcpoePCWBvsEkec2qaViim+Gu+21wDCiJz5uEYrjZU+L06j0wuHgusMlCh7G/oDgFoFDi
r5BDuqHQQHGlhpeQtW+VQiBZlo1A7uHbIJ5y7SuK15jaumLntqnxVCSCMlFIxyQ0LP1JK8RrnQ14
mvmMh9CuDl7TKfdQsRYNCVycJKVRXY8RExiRBF4QqGyoESXTpl7yxNxWNFSv4O7TsHVVkEhorKIB
1nO0PF1rbzSrxYj7B9colz5xF2Wdx4eqS7+wli4vRK1KiriWeeeq9aKkmwiZSdrbgmifRwepsaNE
8ohNopoPQT9hXyUl2MI7iLSn4UmgwkwUcXeFZSU9YBm6x4owHP2R16FAIYg8rUWcqtTKE7PZvBox
F8UByCFGAlr/058XBem/mt5XF2rmJQ/k2Xz/c1/31TVxPrOaDLplFFXF0xgEp16PA/PjAQlTcmEp
WTU/nZlWsmQPzdy/0EzDeaCsjbgIOTcRS4+5cgjUyl0qjOMbIyvrY4fG0C4LZydkQrnNlLe1E+GQ
HTpJhda1j7pagRIfeDcDtcgPrioeTn9e6wpJoJmW7nyjTB8THGEeWsCjSnJm69Oi8cy8WXrj0IIG
S0r2OUO3apNmG1i5d99Qt95bcS/nwfRDNANoJ1a5vW+r6DI02vRA3PSlA1+f9FJL3est2x+y9toN
Vsn+mOEEV4wllnn3vkosczOl6eE/88ejkUXXvCMpQiMLaEluHIKh/Tay29ZZdg9mRlfDd6OZEGzY
m/EwVMCZ6AuQpDN0+ROC5QbAJAo0xh9jrjQF1Qi7vK8eS4j/TzEKD7T2FI4L8rwpOI8rC98F1Ga1
WZdGc5vFtJEdSvO0robskMIYVa/8cLzVbBT6NkTMRaoW9U7YDFdaeFUoHpg3I2xuopqBXvj6TVQy
aLd99Q3isHWMqJkZFfdOqahI92mqMhM3AzZq9gcBLklG8JVaoCCoWvdAoaUGlgdyp5luHuFlMDBH
WV3ZgWff4BI7knPrr9VpLjVynnHysVDnQOJg1hPHUHn36ix+Spjwt42qpcvTH6t+c53GRXML6kTA
xknh+WcvFFmDozvE5NT39Ba9sHXuYz6eno/+UfrWEhqLXHqixxHVSipG3saMGxjxNHQYNpxxGzaD
Ro6b2j+h+MbJMV17XUecoU02KMKH1r3JxpxQESA1nvLUU93buPWgLOGnuPjrmyc/pNA3NnZ/7Rv+
tzGpv1DIplmNqAXWGpAIbH6wW/KIFBG+WkkVWhcUgTnmn+xYeFjEx4gGYGL22VFRhttEs4pD3XX+
zrVhy7CT2aA0ZnGi89T5oKMMUW5URUuPnYXlRrmAb0M5vihMjEfZbVHBiRsye+NrPnbzSo7HoXG/
uEZU3NZN2V4W9ODnsmjHI+UL6IZtivgS+8qtAWX19O+zrr5Sgs5fMJgRgEoBtsAnzfj31M0odWtw
EPCXxQS6L3s9pf4gVPUJG3gxd2lqtYG21x1DbLKU51dKsbX6XWJQAgoM3uSmqMaF0XeQMS3jJcUy
BgR4amPy5ig+luEmeyi6h9YBZ5DRH90hnOt5z636KBvUnCyxQNK85J6FbECNzcnOc1e1Cfuj0B6W
JXwDSoT6UUkDVtmQP07/cmitWy8uoFCLu6RVv4Yp4JYBbXoWlO2KuNY9uwHEAMHwbQj9xejY0UXb
0utWahbZfrzPdBfBf5c9GlbSr/ywqpcBkRGkLOcLlmsQK1ujOIphpJwQms4GRMJrEKBW8GLtlj46
b3JVh/vSYmoww3lDy37RQ7ukrWtv+kFplx5zmTVqnHmINSPgdY6LutwgJyNqGcoZFSWW4U5Mi9SX
bJdllWHLQvxDVm/HKOXTKspLjBckYWMVYxqvcRM2LRdXZFLsQbEad7Yx7k5vlBPhxxLC/Zq3Eg1t
Eq0TNw23SmWO1KCXGtppnA9Xo9VjdBxFCQ7bvbMCuFuBL+ZMIwFVb8PZB1Fxn6dVfRDx1K7V2KWr
vaYdSR69CT0SkUn5I4ge1eyEyOrYHG+0yn6wG7SINOFZscQYD8pya7K6Rdfg2RsSW5fd1D0wdb9d
BoNzGAZznpYdOkYqDez6gmrZlX0/s9xo75kOHWA4EH2NAZpataj76ALm7wPv+hpd2yO2zkeQFSP6
K0RYMh2rKxfMyqxuWPkkZQ/VkG5/qpJ9HeQRJfiBIZpuz72bKWR/KO8s8SATiYJpUlB17yxgorjf
QFcU1T3peotKeOptbWa8myoNhCZy5zHmVMAyRrkeVDVah4VaLRHmMAPXxZoddEd3UFW3yQC0tWJl
zFYbK77ZhYBwIveZjdwVVjryOex+wJSRX5kEAW0jDfHudI1FFcTHMg6++tgF8L7HO0Q/l2aNqYO3
eheOGJGdCGWEJRYUIPF3AayGBWijwZ9+3LwoE/yhbjvV7+gZBvq9VissvRVr57noyiPRmJdTVO4S
B3YEqpfNrNFY9w733J1KGbLqH3Oi9ZauEXIeoMsffQcWNrcqYu278c0ymgVd+whGHF1zCgHOw6/I
Czs1WTIlatFtApKoGI2syaHQf/FHXgOTmAqKbqnClMqwqNPHfTYtDQ/OZNoeGDxHWwnpXkFBqLR7
GvTGyquggVI9so9CAachnJuwVcJrxGTppW+zIg/VVD7XmvbgRVFKKgU7F5VhnPylIJkG401tFC1D
gOgXqZ0/lZpaMZMZ8aXO/VFCRIf+SG3MalgqYQAmG0Qx/VklMzwNDEaiSt6tWmFjosflJg7bEr+w
isHBjKJF2hAd26qsC6kCX3GvL2gcwRu1RsxQV5L9IeIHQXqOX4vVqBBTWAHXvSKQ5z0BprxTavvO
w698k3ORZ46bXhYaY5HTVcZeFJm5h/leQUdvdwWY42eZiHBZqkOw04Ko2jJFpeTy8tznfjELkr64
TlpbLAfrkiJMuwFNVd5OPn+Gbrvz8yu9VXgjAFBtSjMpWMvr9gIG+x4DRLVSw7uEfNXa9ve5dOA1
Wc/UQAYYHBzFa65cFzCtS6187Y4BmUAPddy1PJqE+FlZpl9mk8nM4ScutY4ZoPOUV0l6YJzqw5rn
b5ixGCOW2g+DpcovQJt/C2tv4/pJcDEYGO+IR0mzksmz8sFxuHm6ZBVYzhrRtNvQbN5puZLWSxQF
gALyo4GlSVbx8w7Mw8xviP0oXI0xS31lipgrFm20uEJJ3PibUWVtK2kfzPI28amZxy84Rusv6A3h
GLfq3SRIC6a1BKHo6N5jjGPsL0fXTJ/HRp2nDv3/xGZKGFqgXr1PbLQqGZx1qk+wkZSMOqdZshFr
WgYo0KIk4do7ilNcB6l8C9mqr+jag7NoEFP2qZyXxRT2rojoBUDVhtY2ZGwgwKDf0oj1QhNvmEV2
GolIYM9ciP3KAcx2e1WKqpkp7A7AaqJCGMaDXVTaZdF6OsoyvupMF3TWosWWjKMa2s2o4MI00sCi
u840T9ucToydblqtdxcakiUqfwpufN9OjsJHCYOlNNsoQf1YxbpcOTofKKCTnJnVlvzE6o5cm3oR
KPUNi/5q1VF0w1MDI7ZBhVsF3Ys+dpMsYqdEngELbHjL3MVAV/mouQB2Kdb4dBmIOOF4PLbYINgZ
F1rHCBZmCyWmSKzRM70s8CtiJkammYO+ukz9Ll0bVpsuQdAiX2OhrtBwWeNvRFLcRYfT2Um0gtMA
aaRtt1eiHvilTY+GiOMaunGBfiXWDrmMYG2SU749DbWU74ABl3MyqNq9aFMeakFh4XQInFA3tUGE
taLU19E42NdDrr6WdpgdDYI3KCzNiIQMt33cEUDBsjTDf80mT2FROW3MdcDZs9O++88tYoQ6bK+G
oztnmZIU+RZuSrCUIYv/Jqu6hQOD7tgXEUOOyK2rspzIwB5KtemxUjUEkl3CClvVunjd67l3tDxl
D/NrvO1onuKscdN1GmCVPi2sIJ5vEgWJeWNZqD806DA+0DhP7Hiv3Usrvh5SvOx972qLsF2oSrKn
UucsZWtfsMpHXV1nCwxx2sas02ydl85FzfC57wXf8LG2bfMapHQ5GDWbmeebPKOGghsJ4STs9waB
SOacnKVoWmKVk6obEqHAjGQNf644SYCRsmxoVey8dOCB0Cj3ZD6yV9cvrmonfIfSRz88pw6heNph
bDsTn8WbS/FhQy7Rahjqel7rsK0bMjGsiKaWJ0sgWy0FYualoHTnWO+DeVOihJVu9h41bBwpUswG
BEprn0DSNU01XMxeNy+hFIpJlpVSEmhrLlUrBTpNg28pcXHHEQdD206WZh+PcAqXozDMVZRGRzsK
MB3RlpvVZI+xarNvis7x5sCxjjjKlZ2LiKdMbkcCHGcWTS0qWVwyJUcfZNmMeXXPLwpZ1Dm+U21K
QtJRblEOSW2MnpGi1auAi7wBpBBqAy8BLjdgICXSedWxaXUx3dp4oxaAcvkMJMay5yY3uxhHcVEC
ZqEZkhH046Rss8Zsm9bDOqsDRoFQQFpzD31uLvoG9E0Td3LPbHAP7xp7jTawmE1JirECtqSglpYe
VaqjAYYsLRis9XhAwQFmeg7KZyGsL0oX9cuw8PJVrvTYVOwnZByHPksXagR1w9K7aOFvvchGCEID
fIx8Wkp6czlOnSA1KeG7iTxHMFzPw2dRu+BQUjOdtrJIY3VUUeHUMUOS57POmMfE+MyeW/SNOAB1
+q1+fo+7pTNaSudi10nrpQU5x+LV2dD0Hzvn1vRGFAZTFywzsslgas1kXm36JLxuo/EGN94DC++F
CjbYqrNn08TGnHnuZTtE27K5pLK0LAhGERocSjNmb9NHr1ghIXwEHsSMZC2aWlkVeqhRuMMfTzQ6
S8V0JpFjzvQ4xiNaXLvlV9IK0nWj9pQkLWMnsnqDdo4c+d4aVpVPc0Kyn+5chJok40gVNrFVlKsu
xi7X1q8iRXuY9sYLWvBvPbNvboTolLBD0kW5TsM9WP5s64f1o4EUf80thIfJfI2embSupNgr4Ujc
N/XZWVRTiKvsut+R+410xIcCrCXDcJGm/TbQuFqW2xlbv6dqHWKXg+CpGgsEauSc6SzXOYd+ltfO
0hLNPoNzOxpaeRmmAVp+BVOCFscrM24PxGlCXgF0lgcBkGfKmLO8k8vW8KePpS7jokVKOEKsgtNi
FXKqXzhPvRl/NUf7AmMzJTnliRVk02Y6Mt7hhYGymtVonBYQFfoZvdMnE2kj0ilvCXBu5GHOAqZL
Y+50FAtV7Dj0ezLCs8a1Xplr3ekyRNA8TLD2WGBW/cLrBmrjtqvRPMMljbqWvK8xd1elnly2ZBnt
DHieDJeImRlf0aDz6e08RyI63WQPnXjJZqKxbdTg9rjtyQMkKO3GY5xX+vA9sYDlo4TcITx+MALN
pShHK8ZjVm+O+AbKeTF87QIFIHdU8YiSKRBZ+rKqvfc6SKl0+4MzB57EEk/4d4nrIe5EDbOys7Se
oQwfEGeNN3kQ3XVdumpBQ6/NivJxayALozCozNVaKVj8rgHH3uayD1YmBdZFVmMFG1nGhZdeq1Fg
w7PZ2/GujYkL60R9wV4MzKhQKeshPFsENZQnt3AYQ3Vk8C6uRTkIlWawBes9Y96yKBdrSnvtUCNY
V0XxVjpKOY88kDTEKdW5imS0pG8RsoodbYlot74EILIgqIuGgp3OUtt8JaCrnIXlGz1NcE4aKCTR
Fw/StdaE+c5Zgd4JNX2pHMJNTOMrSLNGvbBZEBQGekizt1aWqrJqhVu4UCuyy2p/q5fo44P81UF7
grgUV6o7YHFwla0s1JtMAg/xaLCbrDidxLgvwcjQBN/nYriLcAhYPEU8wcwpbQJEOKwSSeNIJcnV
TEAXmsMDIDcRh0+5xcpQ6zQwbQFCfFG/JF2VsVtNc2QO5pul+JBPSWzVVGWlU0WYg+HfF8a49UZ/
GfDLKaCi4mJiz+eQGMX4Lfas27gfvuGeLGdxSscKrTU2U/j1lPZfDfKlZpvcESxNIRDQq7SvGsCb
Io19LiLmkgLa0AzF/RBSF6XyxWKAxDwGDx/j+0hfcPw6GNYxls1LBPLOdL03pU34TRr648DgVNp7
q8crgY7DWIA3xuI8Phs2w745NTfhT9DzydYmzfYLaTuEACGWrZUqB7CfeUvV+4papAAwgKMW7pY5
sxr/Gagbk1mo8XTTrW30BmPrmCyohlQroxPwBR4oP80DU+ZognGcar7kMSyqtaqTkjvayS7XbShq
jjyQFDFPiAqcN9CXLK20FsPofvGsqeYq5EFNKD8LOu/Mkp1RzGskNMm1HmFdb+2JzLQiu3Dnt+KV
DtOXXKTVJSW7YRsn2p6XDsk8RXgr/8a/gDsHg97XV2OFDSoXIQRzVpiMdF/7TO83Ffi6VrebWcBb
ycZWcS/8aCk8BO+D8JKFGYFjIie9Y1BULsIYw1OCiJhuS0pu64IrhAdNIUEOI02iiGFj2CQThFCM
ay99jSIjXtz4gtjF/w/6PYWF3w3523//22uGLrwcDm9ekKU/5ojbBO3+70m/6yZI317+tnxtXuqs
DF7i8x/9Z+avYZyl937PILf+sDWha1JYumk6lioJGmdLOwWNGwSXT51Laeuq0KQqyemtvmeQK9of
poNAQ0rDUvnFqmX/lcxfTUxx9z+EkBv8ElVamsoSU0jV1jnpH0PIC8dr2OBjXzHFBSkk0Uo6QsF2
kh6qFuQbbu858FICWYDhQBIjoSmstfxosTho1fq2wfi4aT0fOphEnQdcmS1FCIX8usqgRakq9omB
xeC2kVT08sjsZgXV3XVVw2sbxRYxHjkkGimggLxYlJuk0KTxO3Fe5g5CBlxBnUS1vuk3FImSlSZC
66Dra8mG6xoqxCymhbgSXaetnCQV6MPp1WGp2yN0W1tBGa1jF6NzaztfhOEah544E4o3Rr+C1K0t
S1gfc9IFJQRrzWZ1pKQlymt4cDZdeA0HsZIb6ToYyZqocXem0LeId5MFiwWf7MzM2udlHazxPNyP
DIaEw3o7D/0I/r75SOgbXrsi2KLbrdDDKkBZCOVyDth5vqRQ0aiCTCZlv3lEX6fO+Vi8+omRbZ2S
VKAmwmdpxAmCKaSHuL2zm3F0HnKEyOs8V7PtEIM2YSBOl0qFrQ6BfHrRm/W90zWP2DKgUfIzez10
574IYazkMX0RR7nsCrhPbePuY9VGtj/enX7bRIhr4mHtWoSGlCPohTqAPsYVY4cRFdEuRPoyCz3v
oW7y/LFHgVbqurUPE5JM8wP3sfpSaswMRvTedsYVkq763p4Yk6HNTu90nRTb/cp2uFvp6G+I/xhp
XpTo1s1DGek+rfqbMUIaJxt2UmZ8EbvCADEvr232UVjVKriCUUiYO6iLPBnvwLfc62ODP8S/Tdj7
35QSr6mPrbmxniG3TWiquJo3yK/J96JYQ9YBbh7LFOtg0IeFzDtrn9pVxrLQvBBEUCFfp9lBuvK4
ImEJp5BTPIeGly4Tv3urE2JDlSHf5DgCFrzC0Ds1SDxOniAFZXEtxQMZf/r1D+PK9fd38W9pk1xn
QVpX//1v2pS6/dMryp0zLMuxp//TpCI2/MdXdLR56hoiWE4fF+u4v67pjQZtKG6qisMqkdi1BXjN
tOjre4PAiTktsmD9+cewHOPD53A0VMkOH2aSPU/j44+fQ/QsnjFnzN28viC/5KuIHLh7aJY6N3zw
PfoVZBvj+CzIRsrpSXW9Vs6wbIE7Ii8g73syRRGZUe59Hcbga0hlKcGDTRlZVPPSCQ4Ut3ZxFs4r
PJN2jAqjqpZ2clXoPSvi3M52cvpPrSJZ7frki0lfH0en+ebZTb6yfYkN2wT7lNGLJgEup1uza2r4
orFJehzMh3JXIpHf1dN/4ELUtFWjtwga+7wrgYMSt0DAiadJ/pbg693pqyqKuzV1332fDS+q1t76
DoRkmLUZ4AJB4vL01Z/fdqMT7vovpz9NaaPHs9OXp3/aAnfjVc2f89NfnP7M0KluDhT7u6CmJNLY
O9UJVhm13Y1RKsWumT716as/v9UNrCxuADBsigXD+WrdqCLiG59unV/1r32BKRotq7IeYjx0aFh5
cSuw8BhZrCWhVOtMbR6Mug5WWtTQ4fYnKKAYlnWcglDuxB2aKe6mV+abKO82MvSLnUkM2E5zEIf9
+W3c065QiS9wWLJ3UyDVKZXq9JXEHNEpvU8clKXughSmTZDZPMWscObpJEaj41rvTl/9+R9aCkud
HvcGfMBb2hbdElchurXpP5mUN4it46nutAeCChCiwRyVZPaTayXBSuZps2ucBEsgxHtnCVL1JVWG
ahmDyqebUGNbjAaQkPBNQN1UPpFZ5ajtUjvUFi3Q7lnYPWWeam6TCN4Wkk8XUBotowHTwY44ntMf
W+WE4ZJBOq2BL0x9qPEXe1DzRyKBZBYNe08BhqD7pDOiE2BlrAfmzpLVU0CyBeqc6L2EP306o3y6
DFYpO1BC0xkCKVGwPtBwRCfOCFyh/xwcgnp0z9DWLgLInczalH1ZKqPZrGub99i28i05qOseM9e6
KqEXGS2NMsI5r2r9mAPababn3UHSgBR/+pLY6XIny8Jb6IOCQbAih6P2HUCY01ca4SU8Ufham+90
n0HR1a2ik4+ZIUQIp+f99B8UKv/4CpBsv0jIMaX8wSvx51+ABe2nxWyKYYDUQiTHDy7zPj0WC7U2
pQxs3hkRa01OzbmBSWX2YBwmmnw73SeJESmanb43KRXLBuyi7CeSKWZDVifAPm3izh292js4Ubos
cJeVG9yffkIBfh+hLoJqSO16GSJc9HRNeRiMN5m65lKTzGBS5ng6IVlQuh3Lx05SwRnaFcgrWFJ2
LO/1tFYwUx6iRn+hGf48Cmp44CrvRMYrg+ocGXbqrzTe7YWaVhRUEfQ3BeWQAXYE8WEMKH3eUSR8
sTzdW5iBDUip/grCrVjqEV2IYkQCQqBXvUl6erBszZdWCxyz61gNaIAf5haUx7XmJRbtDf7MG6g1
m8x2ol4kguo1wgdkz8qtSzTzIjPF1mNnqyXYbxMTe5Flc6QipHVEDc9txFo64yvFonlUBdHci7pr
GZj6wkkURg8SEJwm/TJJ75eknQPYwl+Y37YlA6qw4+YAMjAhO52RXTE0dmuRcmx6Ga1ZQo1GDtih
B6A8eHA5cxsidz+yQwuniZKVTqxJ58bei4hRaEgMa+fj4x21yrxyapUY2ElZLq1gdlqPVE2YrxUv
xgVGZgm5EAk4e1Tti0jDSUI3YCwD/t6e64UoLwwRrmsntva+CgODzuMVUOsLVn4DMFfKweYy9Agz
MPzEvC6f9Uqy8HH0YVOWKt14R8mPXTkggMOkkJjYJk0WNcwzrx2ieSCK5Hb7g9nv5biFCIhBZ1Tu
lSolOBbD9enjcmraviocir/+UQSh5JPYC23Usy0WwfuUBcJyGHGjFND6KCM7qA+LtN4Lr8arV280
E4BQkeJzqRuFiC5AUMvOrCggVaZEgwS4CcoFRbyY4QbNNeSco5ukzqWXRM8Uf8H6+WhnoTbAj6Dz
RzF2PiC9ClL/qmqoWbm+sNcRjUp6Ogmnk7X9ulIp8SXk1aWJvNXB6C603jNAFCRsf1ND7nhZkHtp
OImJH9VrXJ5CU4JH+ykf7HVSutnedFloAmpAi5VC6bXtLlgXmt0vQnwdp2t1+iM1JoAQgM676b9g
4eA58moSycKLuALkCUu0xncB/jwz9qFHKE2nFM0OqcYNLPhNLDvym7pUZ+2mORAYMVe1zP0az2eJ
71tD+tYjiXUsSqbNYwF0dAfh6hVuVRhRr1cyw9p3Ecu4au9J7DguXGYjlf4OVSM9JDPRUTz7S0qN
aEjxE6+Rsd2d1n0YksgvUnV9WyjcMhtFLwKI7tIvnzVvA8/M2lgS6iau7VfLvOWT+ddQeUjf07js
5bWahAWJMmgnLATExIARJoOKt+/tWzxik1D40fGBE/vewKaoufetsGWZOiX4ZcbR9N1wMwxsAShG
XKr4GPrRvLT6HCc++0eUgiazd5bVyEugX+Benbn00bFfOcpqAz68nTcUiu+ccE82KF5pUmKXUM8X
orTqxUjCFwVf/2sTQgxumFS2XQR0JqzT60BN1n7Rh2v0R3Ie5/Z7hsRipoDlpuoMOopXaC6g68yU
b5JhOeqi7kolV4WXtQRU4rzBBSQWuN4VuFs/X4nqPy9EBQJmKaD7qbrF2C4ch+3xjwvRyACglxff
KkupLi0N2YZCBAFUykq19m0LnV80U8f/ikakvcyc7F3NsHo2/ktH3x8LPs5lHJNU4dSnkBrWIjIy
JMKsEVAo5TwtabdQ2H6cPvV/vPb/6b1l/1jHV3//L75/zfKB9BO/Pvv275fBa5lV2Xv9X9OP/fOf
/f3nb/mpf/zWxUv98tM3y1Ph4qZ5mwoWVRPXp+Nx/Olf/l//8m9v/6fyh/PDXZl+/T9+7OoloWqy
9II6+6nkwT//XvIw7D8EFnNbqKYmpa4JChvfSx66+YeNrpXYPUMaBjUH68+Sh/aHze7CUPkhChtU
Iv5Z8tC1P6Zqh6R36rA41IX2VyoefKwfN1O66diWbQpKLqDLdMuZ/v715RCk3rT1+ndYK5ZnGNQG
exvReG9sYIbvAJXMdCtHxFatf7gqv9i8TXuzH/Zu3w+Hj03jkIZm2NPe7ofD5YkvGBtZMzS5jnoi
RH0VzD8/hDbtuz4ew7YsikWorM5LONAW69aVwpvni3CL/I6cE/vd3QWbYPaln72ZM0gY9ms523GC
298c+2xvOp0f+W8OtxU2l4qW9ufz8728GXrAv1SMj35Frh+cIzvfu949MEDPpLxf3RAPRMpd+70s
+dPr9NO2WD0/bexFgodItTm+Y4qz7WgEZiilhurNIUG19Y2fYjbW8PC3iDJa90KHNCHs51gfbz4/
Zx7Sny+3MAG/GI5h2g439MPlLmiEC1qLyDYSNBoe4R+uQkGXMrXxm1vLm/LhUNMjz8XlPdLNs6cn
aC1BXDmHqvLhKzR3WjvI1QK1v0GwcF8CXMO9SzLF5yf4i6PKKXSZ0qRlapp+dlS1bwuH0GJyv1Fh
kFeq6V8jt6lQZkVMEN2CdQEAdOX186N+eFOEyVEROZrQYeSH21loQkFG74VzUG5ZOqdbmr1qxFua
q8+Pc1bw1HkReWx0W7cNzeIOng0AY9lVfVPQD6jh3SQ4+np2dpkKupC4tM8P9fGULKBblq1SC7IN
48OTEvqmQ9hEONebZqYGL77//q8cgPRzQxjq9O7//PZFulMaroINNNTzdRrD00vKpPrNdPvxeecs
LEhJ36vO5xesUUVA1v0J1Ua6B5EXNWAoygMsn83fPO/T5/1pJBOWaprTEE9F3BTa2flobiTI6xmg
zuAsKFNUcqhm5MEl4KNOrd+c16/ujmlZmmWYOo+CdTZ0gffUNAtYF5Uh65aX/eC29l9+1jgf3iNd
I96CtszZ+Sid1oAo5P4YXqdc1oZSwS3ym+plNDB1rcJMrw6fPxG/uFnEqPFA6I5gGlPP3l2SwQ0P
py1cPfZRFntNAy6IWZa/ebI/DhEWs5lgImVaxvt/dphaBTlQBXVEVFgsSYSsGzaEsa2YL5rMPDbR
JH1sCzOn8mxmweLzc/zFU2IQ1KlLHkmC54yzG2c7nhlLk9rjOGDivVPsJ/wkN4Nx//lhPg4U9ERQ
nNqm5gibh//nl0uTYysjQNaEeeVaOI9CA0o7u6H2FZZiybY7hJ33mwfmw1QuLJ4SiRNFY8h3zofe
JMcVNjRVNFdswL1q9qIJWW+TbnjRqIreJOC3NraD4enzU/3FU2MYks4O6y8mtPOBCilW5bYhTKy4
RaWtUbQKCnWtC/f7Gvh/nbN/8coxvPNuI2rV7Q/vdx/keMzVAtXxmKL3qunGrBIiQn7zEpwfxmYh
wu+n+2BJTZXni5IQzr7WEHkxh96tfPGaAXGznle/WfucPx/nR5k+xQ9LuzHKXCNJMcBEGQQp3/Ac
ZCqjjYPIAEuYELn7127S+fGmm/jD8TyAEkaLaYDM2ktTA/X1oBe3/8IhDF4qxzLQzppnj3ze5Oio
JIcYyqtBlrMEwYLEgvb5Uc4fck7ENFWb90qaujWt5386EapeTRSmBLRYltddsIojGo465XuXRDhB
k45iHe0/ArRReCHm9YKbz4//ixtnTttHZ3rRjA9niWVKSytA1XMMMmut8ZSVFlNWEWlCaU5mu8+P
dj5Uns6WVQDDpVR19XxOE1ZHBxZZ97wbSxgUbuhi3dRT/5FwqA7HYI8em+D0yzwchufPD33+Wp8O
bQsGaXY7llTPnhhrxKscmB0X2kucr75utOu8T5PNSBzcy+eH+sUrZ5o/HGq65j88nOFQIkMFEUnX
U3+yB7kqhuo3D+cvL+QPhzibTFU76fyO/CLma0msbk7GBg6sm8reYi5vkLqa35QEHdm/cGJSmhpT
Dov989s3BhFeaqNkFnDJFel94eCQHeRvHpIPrwRzjC5VjS3FdIbO2eWTg40kNES+aOF0BqmUPdrQ
xmeuKTZe6n/Jw+iubXy85dZvBjHtfBfFCli3VRtLoSMdR4izUSwsKrjHvkUXqVfuu9bZg2a7z3r9
DfLDHRcZdylaJTQ7iYwfP7+0Hx7Ps0OfPZ405Eu1qYiby+SjdKDCp68BDbPPD6J9eDLPjnJ2aQMi
dEzkyOxEweWPbrCiooVEjYwUG3dFxvg9UF43UbtKO0B45279CNYbLT2Tfpl39fnHOV+7nC63I7Du
sBGhqHH2EJO00IL74UYbrbgo/HZXtcOuDNILI4iQqkVfPz/cry7x9OoL1klIRcyzS1xUntMYA3dX
2PlFUHjrAgKtplu/u8i/eoocXeespIoLTk5//8PrLwm7cduAW+np4RtW+eswkrs8C9ZiREOgYclf
5INA6Cz7bcae8vOz/NVFBQmvsuh1aFCfr5oiuKENovRijlzRbO5wsWDRMqi8jtc1JR73EJtGVqz6
uM2tw+eH/sXTxUvjMDBQ/2CYPV+LEiOTZ3VLJDZ+VU1P3k0z+c09/DDusUdl6kAAQBmA2tnZdJmF
QYJ6TC1xcMq7UJVzdYiWlVcvqhKfkxLc1O7wVwe9s0PqP99OfM4jQJ8AmtxkWBrJyBuT3601PszC
Z8c4u3K9MH326Vgt6qR+7jLrpsFsVNj/Q9iZLDdubFv0ixCBLhPAFATYiqIkSqKkCUJSVaHve3z9
W/CbXJcd5dm9tiMokmDmyZNnr5Vi3FH+q0X2+wNiGbQbOa5IjmOciazfHs8hrxUnB4S00cbbBMuJ
T43Lu1Vv+OyYD39+In5fytfX4rcttXV4i0bGb+uNPtWdYw68r8JseyrQNtmIuvhIU/G8aAOjoyP+
9pybwq4h//nn1/79afzrtQXdV7Yr1VDF+ij9z88wEraBy2de841Zs9O7ML1X4On8x2b1+ze3voqg
epeaxazDPz7NkABcFGV8mr2eHFoRhv5i2VvgcMgwmQn/jx/3v70n6BsslRY/MBpSf39PFeVqEYws
LT3ESX7ZYCLkf3xs//aGWB4dQRcRx7v228c2mKQbRMzHpsfgZk6DwHXkVBtrSv7jhX4f5SEOzTmL
RZJV0uSk56xv9n++oCqDSq07LYZViPqmNe1DXRAGKHekW0GCDcwMAMyzLNk+ciXM0Mbs//kJ+Ze3
KqhjVoGGZsPRWZ/e//kDkkkxdTvr4HMM6tbJubUjOM/VrAq84c+v9C+/A8GOY0qa7Ca1xW8fqmqh
C6J9i6LmzQZ6vJCBz05C3WUMmNsC/m/5Hx/uv7w1Rkd4czwR9Nt/f2tx44QhqG8iIG1UIO4crFsM
5pZIQsHACffY//Ez+JcHk+4HdwhSECZgefn7R1ktI6zIhacmzcFWSUrQOYj3f/4Q//01GLXS6UPo
TGr+/TUEaL9givmpWTJGcFSx8tsJl25/fpXfqwSeSsK91IA0AEi1/n4n0jPfH3N70WyUhWv99DnW
f0W83J9f5K9f0f829/7/VVgQDaoRLmB+q0W61dtUJegIe6fc4Vd4CyJxA9vKojwcbDx6AA8YjyKT
XnTMhkIkklF7UIxxF3Sar7biKcmTAtjuHAAXSC9//vP+5enhR0kziW3Won3w2zITdXlb08EHbdBo
+b4qrInZAbB1RWXFXAnCPv/z6/2j8Ob+QNVp9Fg8q3QIxW97Es3wQQU8wFKAaHNUbZch0hOyJwZQ
dKCm444s1yWxND9e6dF/fvF/PlYmDUmu6Hhu+b2L3x6rZYnMWVoA3QxhP5lW/wiJ5z/e3z+fKV6C
9iopC6k59PX//uQS4oeVMfNMGag1q/6h5asr0Lr/+Y2sv7G/P1PsC3R62OsYYuab+/ur9KFcKjC+
ZGQgJun2tYrnY4cyoV8zYU3tzbBr//yKfzWP/vaSVBCG+VcBL6jj17Ht/11B7VEyiWexv/dQb1wn
MvaWUf+0FojMzvBUC/ENcnNfJyGhFhC+i/KW9s53GTNt+Oe/5B9FjSlZWQ2dvrJOF/T3TzgVaddM
Iw+QCSY8FO/cBLgr7lwTb2G5/MfX+Y/VfH0xojEWlzMWtdRvT6vIsMQAq0ZO72cP3QmAusfB6dbt
/vyeOPb+48HhlejtaqouKXj/8eCMcEgm4NmKO2lc1MtaX+Cex+pMjspE3XGZVO47XUWlEt4CslmI
iVWSek7TR4ZPbZKwBblNWK7w4zQ8KR5gDEaYJylxJwjYzJAVybX1DEVZeHZKlNMu83v9vsk16yxh
XXgDHwMTVkkNl3LExgOq+GTYPXVjY/zIlVkyHz5/Yhd+6afpmpaqx8u+ywGqu/kjWJ5z8lnzPPqz
WZwzQIosrsAUY4bJYe6Md4qya5wv2db+FIIMbcMTXBKfwduYQWsicM1OCESbAq1QCbO5cXZLsg+N
l1rHegjAYyC5F1nlqR3afdEoL7l51YZiPwYNNJqEjAuDB5avZweRwKfGIlAY2mPUEG83la3d2a6U
6jlVLIY4ck/KyO/hH5YTKVUyCOUmihifr+U9puB9YL32kOhnUd6NM9inMb6XMzT9TORwqtDmukIE
eGexU3Nj+Bx0+R6RtitIv6mIxFsJ0AsqX8i+MrcDmsi97sSQ/p47+R2TlByL5EVRLHmAUvvtTOJb
cLFkTvFjDiJZEQB1TX3P+scUHeQsK0p3RmztEplcUzLpmhSwpQkoyHajD+8Gib0ijn0L/JLJOdca
660y1QjSjZ1UCZWK2LNInEo1ALmTupM53hnVr0RR/NipaHcXxBKd/HE0Oh8CG3g3hupJSNaMzUUM
shBDqm1QbhpUAyJf8biZsgPgyZZxT4biuhi+sLs4zPCA1nuC1QD+WdQo4I69sV9HgfHtIk5y8b2R
PYYespuT+zzY6PVnROzLHv1oxigNRHgHRqVt3UzZa8m2V0y/NWuvwYvXlDuGvlwC/cBBb0X8Y8oe
SO4t/AWmp6EO7LXkec7Vo5lXYB8hhRH3iwSI8PgGieNm5dqmquEolKEH/hZ1xh2BaJXJ4GQHoh07
k2UepvC4tM8N1NxErkFZtyjuFvOZkwUzfQgT27dSfcSF7fG5auavETg/4Q+4N0eTZ8H28NtnfXAw
kugl75jQFudFeTCdfQfUK4o8XT4Kgh2iebAAXC6XvhYYSSGwkOmOQqDu8VCBUDoTIjvqUjkY+ksy
UWCB5QYhpmlfS3XIgsWbtZ2OX6Ymc5ePr5W4psPbMG8Ftlqn8Kf4JRmsrZmeTf1lMV9KlLfT9Cyi
y7Qc6AKRwjQsf5mf18nGCAGP1M95eBjpATvNre3pwg3syUF/1MLholkZX7BsD3ZIPjEpDgOQMFLi
OUEw0FQc6dTlUAwHBF52h0UMRHnwMqknXDyWfh2NT0VzS/57m4FPuzBPzJ1wwdM6aF+2vD7Chsm+
aAkIreZO9gPDhgOhcIK0d1ElAFEw48nx33JTcRD5Nul3OWFp81mrXfGcMVgZfQ7CE8457+4nfEPt
xqiZZpq4Pc29SUCOKlxl+KmOPcNsgZXhiAi+Nae/1GL+WZCvtQgUJBwB8CbLbWaOyzbrB3pUYC7t
dsB0IxS/aatiF6jgbjqjm6HtLr7BD3pCFjsn3a6lLK311suW9MdgZxtCUXsRM4A6DfO0q3O5G61o
36fitV8I7obBURBLIb0ZPDoKKtSsvugg5LmKl4+L3mxhNt5DLR5cPW5Td/2DZSR3dWeBGZlBYpt3
aSRfZB/x7QX7dta1jT5pXFeEOxVj+8r0aYbm06wmID3iyIICXZwjlfbR68IPc9iYaHqS9h5u2iXD
+GQvJHm3eNqxdBzj/gKvDEIK5TA3cKGzcp2eG+2Jk67d343R3oIoYwZc7TbMvG0ZFa6YGB1PQbTN
s634TMW2eZymGFGCX0T7InjUc5bpFLbht9byMKUnoDXgNNgnYvFoN68NKcdun36WCS7ml1bZaFyR
cRU4S/KY+pFGmhuxV6HISKa9iY6h3RSAm8YTj5oNpAPcuHVqwPpHEKHxjbUq4txwl+TzLiQxYNvv
6LG/wrC7inG4D4efHX9GRatzCGdXbxl6ncezHuS70ZkvRrdmTCk8xag7XktuVikpMyI7fqvydguK
Ew4SCXc8ezHcVMEANVtXNLz06Z0OcMdcxxihP6v1uRzfjPQ1Td8D7bE1z6TTK+p/uXPgjce7YV3s
HoYF/hN/7nAZxhdASCKv6Z+kfsCeONq3VuzJnznZj5yrIgcJXvqjdx7N4TuIAPwkz6SnJ8ePQ4QF
H1DJCMJCQIeVGr+H9puhbxZS90mIPqvh8fwVcSa0f8l0B/WcHc2th24Ln6IIb8yFuGkEEWhrGvdK
e6109BMBxRVAdAISoEV+MTUWyNJDa/DghLdqUrcR5OJ2eR01Ik8NNsjwxDWElyb2XQHR2THZJJV2
eCY7T0xY8MijbP3KtH4LEdJrYuHqicEFmF55PRModW2cR7A42vAakhLu4/Zdhk+Cvz7srbNlZ4dJ
oa1av5tJ5q8j9F36qCfz3lKb9bktx3qXlRcyZGlyDB3N1cGFth1G9PIqGN9VuXNiOO8lqJRXXYT3
ZHSepHZSHbItF8M8z53ldQy1ag4huOqlBjHWA5FQ5HxxINW1dfLCcOFDojunxMmxdDx2Hev4VYtR
1aQvjtXdN6W1q2btaqoWdjztY8zJ+naLPzc9S6tkhNVipZUbu/7M9b1hc6sS3BfzdTKdjWVcaq3d
QGsCNXx0LDYCBjQAb6PZs708+wH+Eg8ForLaAHN8bsP3TN0DBhMZPPttrdRe3lMV5VdT0V11jLcE
uBB7adXLaJxl8RkwEhtLbJ9AUyqg7arCOpKU940W7yWy31l8WVDzR4LQIkD5PZ66/C3ovxox3DHJ
B6rtbsHholzH4N3hBmrGHNlPzQogdecMG4pqXvJFZ1p7CveLreG3Kx8lqOREm7aKRXW1ilJaFqEF
41B0TsHKqfB+WqO9lNnEHDEbToVRLRpZz53NnKa72Cz9xBbXvg22iNzhpKCGVDuibGETfDTgHj0l
R+gA/WvMNWiK0hvXWoVPjNj9j9Y8dvph1tA1ql46fhrjhHMkhoonGPEFbVyxQBCy1MwauHt6NQDh
G/1AODI7kKp7l4uFJjMf7rhuf4rMV7u+KgsGyD7dogXy1D5G3BU+NYTMR2n+7KO3jOewOi0ZUWsF
hVZubmccQQpn2j5SEdNwGpLYnc/IQr2ujEDytx9J+RiO1i2LTv1SXzPmsfp53QQ6v238vsaElkTu
KN6MKNtEfbox5Mo5k9Xj1No+tEbWlZeI2F6ptC9zaGx1Vf0sxp+rDgQeN0P1vqp/glsm5/IU2aEf
U45ygjpxWX/M1Huzes4sojMA2tMpTF0V8q2bs4rqdYE+jV4xMe4P2+6A0w7a0zx+DlgCe/NODXyD
3U6ZTRSYJE4pppaJmoYDBbYfX9MrZ1sNAdmqLpLP/ciuLuQCPeIvdyj0Pr5mjobh1NgQa5VhC6iw
OIs0RDCvriaNIHMug5WXRy0N5l3eWYhIjJNaxrq/OM7oL/DiXEvknqgblibKCowKV3VRz3bSSc9E
/xYTfyB3wkS3VW71JnzFOrFJ7MzX8+I15cOwIvVSohYpmtbLU+WBaNw9SUSAv460X+3YGfcp84A6
8QW1HAGcriZ3H3zDhceQH2K3Gszs81Dpu2SCoK5MD7UJq9tO7mBUoUZ5DvsfTgUxLjHdON128evY
gsQ6J5POIWcL5xlswCFne6zMs6NzRtIYzCuY60mIGIDCSivzFmgR8gWMBlRrjYGsOTgtutx00ctS
kr2dey9G9rkAvAfe/YT17Nq0n0L8LBFZZ8Md9HBfLUjhE8KdLQ/mCcDSfjNYLwQbPYCAmyBvN7Ib
AUOwd9gPOFQ8EqjwzlUGuKpNN3P8gJCf8zzNDul7oIUhp8VK58Cd7KYQ6eKsP/OTvSGThR1J+AdD
+aPjFJdMNaldBpgv5VcD+A46B+vXtGmCXU/HtwxsPrXQb+zy0qOVwnSIJuyjEOMWx8SsYViCNTgz
mUHY02v6O3v8ALrhlhPVivJgWI1nOdU5Ea8JqygKEIgb4IkIIJOaBqEyuLFzLdXjGt3MpdxXau/l
tTySGJ5Ttr0LbBF3ah6MnB5Ckl44gDPrT0Ow+W7QyzotNF3CQiDM/ajk7BKFBxOfXx5DPIRwsgTM
GEh5VQZicUDht9ZA9BJm7CdBmS/N0R6UVV/JyXtDugbxF3kNAYyETEie8gRAWcim5QG7Uk4seHlu
ivkXDPmN+eKs9rKTbj84M8ZA9kgh7oDlU/z8qKhjdUoxnghbRhctFKCSHDKicLdIVKXNtkIzHXKG
IJ/MNj+H1yJ7Kk11z/cwpoab9AhRiI6wTo6cX6VbZRcZvpn62wKFLXwYwkedAcQkHnZLH34HQM9j
yr98RbOEDaGxTdScJ0GtzGG4znZWFSN6BdaxS4h/JRlgXv1sckRBv7OZeiZOIT2IEaZJvMnD+7SB
BQNQ95GzmJnvyX/KHOjlOpV+y0S3q6M729mkzabVNpRZRXsntIOePY8WTfuDRoEKrmKmyBME9YLB
h8qVBOTErekT06zmL9juOC1ijFf0nYKwvN+VoA0RZsKOXFvyatUC/4Yr9GPiyXIdQofNI8hiX7f5
mH5hKN9obQxzs+LjNv2wQgmDL8SZBk9GR0i9CURt5QDkG/4GuWr+OYnyrUNrDHZkzHsFZ4E2KtwE
M/J6zY+iH6twTmMkC4Lg26L80IaLPsMi3lkzIKP7BhhHXn5aLMAtMMf4h1JurPje4GiqLHgcgBJx
QqW0nU5pER8I8NhEbIL7LunddqYeH546wvQUwUzUnNQsP3GL9ZRUAyHMzSpGJi8lu2pT1K+jVI8K
LuzAhDMX/1Ty60gzJnPmY9rtG+xwNGJmwI2wEPTnRmX9RDIWgPoMPmap7OuGOWjaYaSoidyu+yNO
LZYvUE20csMM5QnU1k4um3h5oZGyLM6mSjnbK+TZLHmGxnjscBEumbvUzy3N7mXcrIOT0bW3N0v6
KTi8c01IR8hNgwS7crtV0MIknJAcTuamxmbrheFWjI/J/DDyOxnt0yQZppj8rqceovqBDUTtDnc+
1xmjpZ5PRjfPjXs6eadioBotn0ooJe7UqhSFdAVSTqUvo0MMPm2eF3g8gZh9gWRHMXEOG8+Vit9B
3bSzjW2j8y2z8wjHe7ENBwaoQDbWEIXucExtJm0X6mC/eKqTnt245aBjaD4hCLO8NFg8jeqsa99p
cDZqQt4VhdEAYo1rAVcO/aGakEUVwXeldL9wAh/KJT8oKljcvoGPs7xPlu02aXwy+8Ln4oSVGx12
Et8rzHSrar9JJ5JQ0KUSCTe+4KgP3w1A8aB+pmAYg/a+b/LjUN86/dExZhez3QGRMlbwnyZOpKZ9
oFzjLc7+hPfdSMNrU+LWkDVm8ZD2VoYTY/214Le3yekh7Zw2olE4yQWY83qN+t9xGoTUkawJVoG4
6OBw8KZxreBW7y03V5fINXME2iFat4L4WiC+eofay4f+PxP44qD2mMnZeBcVLfxNC2QYrKU2BM8a
V1v7JNTrzRjY9ceo00hT+Ifbcfgc9Uj7AoO+rLrTyWSBqEP1qSoUAVNxxjSytEOdsWAvykfDPUuz
GdN1X+I9Fw9zGI/s3lOs+DP/C8eDMaiH1ojSU2wnWK+IJ9ecgmqz2QatVdKhY7DDmkraHZLJMtdq
YGLs21inEymb5EM4yULc07IQjKoTuD81rPeGJrMXJZ4kTqDIrCA3yPKB7ixJ4LGIm0sL03c/cIv6
pIYz3LcRhL07MDjrl3U7EvlsQEn3+vxq6imWP7LukNl7/RmKT/+d51bxs3cCrb9ybZY7myDUZhtb
TJF+2WGMLySqoieGr2F7hkqTfYJWQN+zRD11TS2acav2SutqJTNBHdeHIFJzqlUPlKfmGzXfIkqI
NZ6XEaB+l1bc7paWvuM4KzkTul3xJodBvW+RrT2EBdzVwLDta7M6uWIi2X6DVIUeQCM02nsiwBVv
iO6xhDTsFgr+G1a3WL5jISvuVpwdmLs4L+5Jj4O26ELYPuocsXVxiydH0EPJGNGBZWmCezx4hmmO
30Uzcygee4P0c94hVnAHDE/gIszB8NUZC8bGSZr+qNr4p9GNG48Zefj7es6nh9zQyw87wAzg2XHN
+pU5xs9cGMCVgm50+vPQLiLZcvWZ8OjjSsLlobONMpI69X6uwKR39VCbcpgbxXA/lzYLm9V12hNO
eOPca1alu4ppV54+ceSvmjl9lNROx14qiouuIr2oSmrx05/BUZUjlJChHY2NtNhFF0VvP8JOU6+q
PtaweIPoLmoSiz5/WTr0CzJ1fG3rpdlF2EcgLU62ulvoYdFmNVmacYr0zxCBV4dG03xYI0N9CfS8
gGLAnp6qtvhrE4wahN6p+YM8fe06ZY2FuiBtz0R2abJk9vvEmLhjKRmLYVzUKlB5RjMxEK9vag4S
Nc68GAy0SfFYA97Ud9CtOej3nWZ2W7WrSFl2WYbSOoiTHl2bCAfUUikseXdoIqs61IyFe3NuoXti
jGR9TStxkiPFXF6959pQtlcxKKAAwmmJj6leMRdBx844gy6h86cCf0u3shKrfCfgQDZJtgkO7Pmd
1VvDN7wUJEdDVgjspbo9DtsBifVRwrc/22kZv6npioso5gJQppPTlDBMX1VzKkMJbZl1lrDDRvQc
okUaSIGbT4le7bGud/Zc6dzysfOdBqmxcmpN0Tq0j+v6sDhFSblRZSbGgHZQW0iHAV0sh4fksY/z
+kfAEeXaBIpxjsOEDgyeeZ8nACw/ypqFU3KR3Ophpu2WJLlK3ymcjGvaEgg2DRbWTeTQLNfiYNmi
B+UCYgpjA9HOGC6/GqZea6TflrZtAB1d8ikUrddKhbtdq8mqbz3F+rJtNY7G3RATSm6epFUML1on
3/S+mV1GPmFfqkVzF2RVBuxg+JjbiE7ANPXbsNQqwm4gT6Tdp1jngkieeydvbc6ROaeYfmGaaiMZ
feAAEFYcfjoKe7X6qoHXfXPAzrZNn7K9CXX6Uju6tFNnTBpcr54Gy6KrZ5EsxrtOFHwvo7gHdDsh
d83BKa8+juSZ+ozbAbw4bP2JVleR1/YaPUohxzd7VAcuKue2fVX57mGHDTQQ625BcBhz7Q1bvkZg
DemYcor01D2YkuY9azKmeWe1i7ar9www6iz2tcR22TgURbFuzTzfnLUqp5iijSoSYVEm1tVxJBny
NS9Q4q06xjEJmIcwTzdoL8jMswNLQPuExSqyN6SbjSOjRA0ObyUPP7inm25RiS5nTqK1ydZPyiVl
+HanW0r0VNspx9MmqR5w8MJ5qor5i6nZmkHDRX0Y6raA5CCh+kPvtD8UGB2fWmD023IGugHXRZk/
RpBSNFXrErkMXFLVOfZTAPE20LvCX1ogbJ0hC7qCzGIzPjU3bGyBUvBBhfZZRfpMte0gW9+medn8
LGKl6Q46HpbMa5gYSCE7LMXA1VtvPOlz3dAGldM1N83gKhZL3TTmBCA1tWwKo7xlb6nq8LWw6DtV
dR9ttAQ0NZQh/U2kMRYeEakOkGLzKRnXAt0M9QaZW16OAPNsSm39VCvm1OyHOnQGXnvi5lfE5Jid
OLY0iMEMAnl9PxlAxxn/aCjWyJeDApa5vNdFmtUnTLk9AdFmAHLZil7UxziKFlqxXWMAMSdhWD7k
sxXU0AEHmBWffOrWKmtkpJiuNLQLL9HnRNw7yKfUw5wHorlAT6iCgwJZAM1MkQz1OW7DEe1GGPfG
e5yugiB3NMVK9JaDpYrULWqDwfROKYaBvqgdTl5PRZNtYq4U0z3Ymr/YtejnZOZTFOl0p8M1HS6o
uBfrY45K43No1WM6c87Slk+soa4cm8Kr+7LJNzZi7q/BjAaguCCMvts6016NUu8fkFq2bwyQW+dk
Tfknef4wSac/NJHGAgw7N30NNKd9mLroZ2dhSjZUe8cEgMLhFxyKFswTvFTT3KdWYNzbudl8hEYN
mR1JscuUErLCiJMJu9hNayiesGizYKiy2SVOcd8a9Dno07wk3fgLFDC3TiOPKqWWgcs0k9abqhbb
uBV3QNrPTt9t9Zrupxyrz1KpJt9Q+VjHmSNHtTJDytHepRz8c+7J41m9l/DIyDg2VIRS34m5L7YG
O5CbBAE4FZXO2VxE9lGY7csYLIh+pD+35s9SEofQ8+5otUqDcHR0dUHxJnTXok9et5rH5c42W94L
9LqtIzylwWeNYyme7zrzZRIK17HJBjOnN4YGNx7lpUD1tgoZG8DndRPRWBqepq79aI1nwnm7vL/r
KNH1sdr3+HKtNH4MOUXgcdxKdkNljNkum4cQoSGcSG381WMmVmvN7+dnWPRvpJdoaMmdBtbEGvKd
4NZGf136/qRrBtQL9dNJLnOv7ixuUEuu56sSsW04/GinvW3QZVbzjTUrkKzSI9SEPWEb1+yoioDs
xvlG6082MO42THZqNUFUAqUfNceReszCTF8rHfyB71kNL+Rit8x8bFgB/Kqfd+Ng7GGfeCIZaZly
ZCONyOkZ9Pkij6sqMoqoPxTxLmH1p13/ZgepV/WNN4XaXlY37p6mKud6N/4OW/rLVsjnGsOVM22X
ybD7IGYOWO+8kG8uSjklw1Fp+K8w9k6RP1qI3PujLGvOugFoKaxO9rkI7u2g32ozJYe16qMd+8pC
tVds8dhUCa07mBIhV8fQ1LT6bI0DfqT0ppPTSeMfBtikjI5aC00jNoCrN77GtY7NyzrJlkuhl6G9
TbJ+VIc7llgm7LnRhxEChI1mlPK84vUWIHWCG6OG6GB2jhxxauLuXdiqSz5/a1fGY8hdo9TTg2VV
d30Pa8mhU9chTIKy51QaJmT4NUvl9w4X2uBkmui2tBcj19zQhEqLJUbpb6E9UhgvZ7odux4BISYx
/v914c6QSbpbP6t+wZg6N4ddhAgTFEgRohJpjDvQ1k7+1ESXAamC+ppWwyZVn6lUsTw8lByQTXXb
LfzAM0Kqg/CtmGm18VwBgwqZRIKdS1/2s8k4WM3nFBNkyJwbaZVNLm9dwQUHrM6x+Z5LOs01p9jQ
1Wya1OxvNrTxeXwW7T4PlrOp0CKMr1Aq3JBRxhrFQSSa3ZihBI2pSvBcV5m2m2HRQFM0Z1qz9i1u
41spLE9djdEtOmztFlu3frmVxS3LHpdi3I5L/7EAooXL/m6MY8OPO/oFpwopAXdddHAmCLhG6kfI
eKxnAN5uN993Gebaz8FOPWPJfLU/V0Hnprp+wQLI+I15XvAzWqXXmb4yq/zM2ocBS9NilpuY/wLQ
UNS/D+mromNLH899dky5QjB+TWHHJSd+lO4urOrHiHNKzZagG8DgR82ju5KOp2TcVEzxcKXNBIwz
3xZ2gGWVUQbXcQV5MXdMNbpBnUo/b6BIwe+QvEDTdwEil1yRcwfGklpab4OhPmiYZiECe9ZcvpZF
u8vM/mCFXNFHm1jc7Ohmhdc2v1+Pgi0/+BbJLqNlm948N93Nmu4m9ah13SuCbZgu/bl1guvUJV+p
1H/KmDy5MW3QflYg8daTndGdo9xbVEZNHta/uYS7xr+yAQuXHBaQ4KV6uo1xEwTOyco+ImWflb+M
7mfZ1h4GI+Ld7xrewOWsNFfHeiNXETgHdTzqKLfz0+zc4WrbhSSH+h6be6ih4nwYl2uX3Jip/hFH
OeLYDTQzWGiROEFTKodrXN3o2pr1eejrdQhkCO9ijoxzeTbs9xbVQNr4RuxVFl3icdsZ0WNH15HV
TgvDc08+MM1+6S3lzMS4IrHRCh0bozzQCC8wNnbU03t9+JrHgzNOaJvHrUXVCVKLQmxvjEfJ+agM
aUPdEBgULjn2r54COJAr44ZxJ2FyIav4jvErIi8SlZrH3edZq48jptEZWaFQOjen/T1grxt0Vp74
0g1Htcl29jS4NWecJTiAsOMH9lJM6YUWcWC+YBl6Hqp6W0VfKo+KHu4He6HPKpltgiCNHIAxL7Wj
3+o4vVdP74l51kfnMEIRli14MNlyKUV5lGQe+JsfXSI3mvRBoXrSSY+GqLaavCyR4TnhKZ/jA9M2
F2upPzn4UKEVVGws2CGUrZDTNCYnE9mFTqPRGrfGtBxrKz4W1IfmCEzI5NbXUrW1Lba1zPlbF5AJ
jdJb+sTXmV6J0fea+a86e0g16Qbty6qQYlfHQW/+Upwy2BTSl8ZuUW96PL/qFqxIcEYc4uj1M1Bi
R74jOx9q6b5WjK3o+6NjZ/cCnUCzSqa49M7q1gvXNQxbrKVHu2hc55Iq+hSmecu05imjZmkNOgBt
dJgtbtm4gkFOAkExPYQR418UougSfIMI2VKUlJf5uVaWnynt86RhPc3fWuOJfI6vBz/nicYZjzEs
CE922icjsVyPKacgt3bFdL8018ASW7PnxoHTUR7R3pLPS2c+MsP1mpqfCZtXi2ouU5nh0zzDjrxU
oUQ0qVbG9nXJP4eE8pAqeujpjHa1FyfqnQIoNOxNbpDU3TDqHFkEyHg94sI/jqcVmDg8GzMjc5X9
KDV8QFomWybN0itBjHsT9VxGXWlCmypbAxsFhpM63efFVe0/oQi7acw9+QJ+LX5sFQ7F9bKlp34a
luiWqNq21sKdjfymsp8SwF5AqHh3QBe17rgIIva0GDaiGxA6Rcdczbm0IwchvoaeqZU9+jR3xnaR
jC+SvVlw0tLJkUF+r3lF3qSUym7o2SiptdQHWPpUGz+ZSfZm/TM0OZY8IGP1O1xtiQqDPy7vjVBs
CP7etdl1FthC227bjAzZ8YkHXbZrdX6ZyslWX4bxdS4AwM5ZuFMahbqVX17nGmBBXdWYH5thYXNt
j9kwM6LFGRfa+sbS8iM40Bds1Ec1StsHIqoSMh9cMjqmjbfUSUczmuMt3YTan9Wm3tjmV7zOjSOF
a9nfcYev3e6dRY/3UDyUu3raIrHrr/2p4P6IXLnjag8W2xSW0Ec0j3DNes0PMYVQH7RXbWsobnLH
reZGTXxbeVJHnnOEvqxf/GaPaonwazutJe19Cak+9uZTYt1lL1xLpOiqbpb9ov8K3uXsqTeVmbAb
5xj7tZVuankApGCb19vO3ujuKp5yx8fJY6LshfeLYxm5ZueVXkJHN4O8f+7R5zDspyAAgyXeMtkw
PEbmPhg23FxR6g73eFbvynOzzf3xIUWQxyiLu/wfc+eRJDeShem7zB5t0GIzi9CBiNQ6NzCSSUJr
jevMUeZi86GmpyqJJgLWuRqr3FSSdADu/ly894uDbCc77M9+xPkxekysFYf8GtjXTmHJvx1etWO1
blBQ3uT8TbAJ+bOI4P2wQT3mkKbrmgzhobymYsDh7KzuOTONGeM74bV84FQDpgrBzJ35HMunGLuV
E/pI+aG5SdSjG1yTFwviLcUM5DvloKFgGGzS4HtQrLQnQ9yhEHby2BeVX0b8wFyC7k+q1wV1KJ7d
x+zWt92RUXpv2Ildf2/RlAYYwpFMDs5kansqjKxlO8TeMOMNjXWwL78lG25mx2TjvXCKIyS8PYKx
+bZ6ybKN+8Q0odw1bordLhOPMhnBUsLBhRpqUfyyum+p9rNwHoz+XbIeyvLVGq4SHgGyKNrJKFP7
iCVucgqvxQHFZe5IRndPmcbSN51ml87P5Be3C6XYcTgAyDtQZqyfO31DckkrVxTJqKxk7I4KSTYg
k9QBvaOorkmddWBphgNVBLHbVe05qIGEprsc67GVSa5oV3IQtB4TErnGViTdsQEdGAd4NiL9sJbC
W8r/hrcCsgnuVZNPnNmNgCojIbB3T8XWeRQAS24dLh/3MV+CD9MacZbmUbtXTkO4y7+j78azumLl
Pmm/sPEBU8BRwAH8sNL3/gZDxDM1Hn9tGX8BzR688KgyCtljAqx8qMYxwRRgXRXbENoosQOuBfwM
5qCH5iFnv48/jPKcj3vzOk9XEap/4iH2qdbfJBQO6B7cHbbZtZ6iiPtcg/5tdrxyt1bwuyy+O8ae
YnyLDiEn0QCOzlbMKNccOKWfEAQsuUVzenXvAeKIuEHeawdluEUBEm1jIL7ui+ofEdqvH7R9Znc2
IG9OKCVzHUCntpfZrPlR/J34rD+5O+eVCdOdJGeVyWvppTM5+J6pSeCjBPCx5fac4Uh701XH4Icn
rloucSMDWFoVj4KLWv8m+hCDYw6MRrorzG94wADxxyoh/U4Srv8p+TvlLY5f0zfzAZaOeNcGdPaV
0lxFuO7h/JLsK+mMIJYcb81uNUD7Kk9RsA34TnWl/vTwPUWKfNV6O/DlpF76d/PJHdb6sHKusmo7
oNYab/kHgwfYaFO+aDeWslJu5K22h1N7Zh3hyE2iQdiq/ZaJFPaUFFf+HQLLvrbDeoCvkPWTHj44
5Xcd3A5+BzzPF3Zkpld6xU6JZ8tqLKZ9BMK4QtT3/j1XCodZa12r+U5vN45zVkAWSY9Vgbb7m+fu
o3KL+6RI9TNasZ9a5t6q1rit+B0nbzldKbfoqXrSSn3mY0A+52AikIVhXuW3ZCAxdJCvjDcuDsDL
K21jfi+uOYTd94ONpm7GATVZI9DqK9dGfBuBAWZGOvpWwyIu9n5w8UUoom6PjYcSPAmsX9rwbvXv
VXqtmddWvpOrNw/JQzX+lrp7axOcBuBjyG8eEko2PynbK/zcdFftN2B+fHW2xW/7+1Ch37GmrCEc
RHEVvgl34im8jZ/LOwy8+p/OLetQZePLoPT2mLEQV/KLH60bNlT+1QZpXvYS8sWQFaF4chNzvxvc
qWk8XxXlobUesuxO7LZ+s+Nsk6y1BwmOcot72Eq7kk8RV11+ma4dgyFaUwRhVXoWTtjayiflDdcM
atoH3Th6lOEou9QbDOWj7qaKf4n46myC+8rGP4PJ3wzHIXisMhJW922w5RuFb+kVsfEm60/WCXOn
lhWCJbpcgwNt+63Vsdm4D+QihQ/jrHO+sgflDNACU2TRZrlq7qrgDo9qdPO1CGzpqH7OaFK6phJn
o5Wsu1cD+VR9UwZH1X9pbwZtxzoGCgnzNtAUynV5Tnb8OVZnZPJWyGzf+C6nvVX5fXjpv4Xisb4y
27X+EUubDjO1+GdGB8rMSG7vFjPUqV8y1o8mTNZi+iSy5afNtm8Q9N0oqIObMrLTSNbXvzxSTtgG
XKHOEgDxeBSOxU7Z4Lp+qNcoJAV4FrQfQEoUYSt5WDPttT2k2W1wtt5A9XHTbD4y8Ajyo3pVHstX
98P5hqFPfRbeKemjTLJS34MtdxbEi4VnbD9H71OMn2GuYOkGrG9j/mh/tJatycfwMbBl/u462bov
yjMbe91hm7jRxDVgD+wQ3y3Bzjk7/aCqW76NAp330Yas6onufG3IMa8pY8EP2eanNDy4L/69sRe2
2a1O7uyGP4ggwHCxPPkjHhaB5WOP+C4+twcwSM3rsO+3eXwcfujXxYf/Xp6FW7Cb5LLZLc4WWyvO
afnBu2VfvQOPe82NVHmx7uNn8Ul/ta6R3Kd9/vNX7MWv8hspsUa84TzWO+MdClyIhgL+ranc6+Iu
b7aGwrXqkYuIbD3H4qmpnhIgnFbz3mi2Ft5lWF0n10EIqsN4wFeOyzmpRe4VsA/Na0x0N/qrhMOa
tgfbjyJ0q65LeROSFEtuuSjkbr1JVBxWZAD64Z4a413nnykBIxKGWRxEjRuJA65bnw39NFiHVHkv
MG9ovJPm0WuQYriw/KzbRty0FcHi1jdpTB5ft36VI44OW5eV57IBmYJiravE+TDlrDj4Su8CZ1Nv
FbF5FT3tGAvBCQ8P1nnOBGogAShID27+pLBml4l+7Qs/JaTdB5OZpCk4Ium71nJeKLStypdkRIoA
1NV3GuC5Bp9H0IJQ6X65NKiSQkkda633HlBlXOfZjb1tad32xcloH3xuGVB2rX3ldit2oeL7CIwc
uIIwGdV9i/RX8SR013BhqPygbC82xOhJRn2mgVd0TFBeTm+TF19kBwcn/sslQyDKq7x94W4RNisg
gRyxPWcP0k9Jdh0TQDacdZ7jSxnYSQ3AtDqWue3g4dawzTo3RXrjmtcB6MnaRsF6qP4aTKyUHrKP
kOnTbb1kD9SHa2Vd74eYCwGm7VjqsrYM7rbh+hxslKjciCO8LLxXAJVzc5SeKr67WQvmsarJOqzy
u0y9VxTWrW3xWtxhVM4GVEMcReNkrcV488GWcm7DyLyR6SiuOepG/F6+coXri9dGvuF80/a3WX5b
A50ma1G+a9JKk076UwNgWL7KTHAeZ+tnr6zLFzCe1NAxfs7eCurEqrILUQOv9XNO6jEzvJOJOXcd
HaWyWIWR8h3y9kGhECF9G33z/LXo/MK2FzWqzUhdSO5V4Tr21z1gtDJ7Sb+p9bZtjwidp4DVTBCB
WQwYyi/wZ8RGReCe84SdADJZT5g/cqgquAxDa+p2I8BGW1fZWw7sQcfH/QEpk/5Nt7b9T6Je6OEx
bQboIZvhnS0LO9nAPAbsSDIuWq0fHz24DijiWk8935rv2bQU7mgNSC2sShAW5hQgWNGWT1Cjn6Vy
dAvU1x+dlMumzpmBvESR6+s8qPGKREn/pFZ/cZe8NUp9irlzhFtEsnNpb+X3gDda6zUd9mPVOLlq
+ydu+CS7RNCaL0NCeXMjZMI6VpN9zqxGWoCaDWLgzGySzkJNzcAkCZo/GGm07kiYarFMBQMf0TzL
bjrFP4VpCyeILG6mRNVGSwyKL8orIMhT0UgCdLA6O/WeL+08TiqDF3o4HtbWqyYEQPjhXUUi5bvK
sUNLIWHEQwAO+arFQZLiPOQysJK1YfaYnZM76UrhZJQ15lxalBvfi4BjQGD438IqqDDl8ymUQnrr
AsW8cyo8Ig8VjnMMXJyTFsxNiSSmIgpMcl1DqBTDDuzZG9d567CJH3NjQPYNyblrGj/ap4XWHgEG
Va9O7GV25MjRbQt4/MPLTHlXD6n/FA8Nl46mbe6kDAtQmJUgOkVtsLUecEmEa9rVgNvcUVJEbLpJ
l4VakL2qfojNXEgFCBg35gEQFPquP+mxhOiAW7IIxBraWEjRSf2NhmByv2lrQTkLGgr9XAdcbe8g
zfnotWQYLA/uUwmTkwuF2/YcwcJS2foJ8JBtR80CzAVE2VaAeFjqSUNNWQIxiAoBc9pv/P5OdtlP
hiZzN6EYGY+5IUSvUYhYvusHIEUDHWflJ6MoqU55pPJ1SD5V6w0fdWgIZxFM0lGH0bIRJMym95jx
ccRMSuBkIDyh7+e/4s6UsBpIEiCoYQYdGX1+HA9ajCsCLY6vOgNaBqWOoEoPUo1NNl+jEja6MbyF
PonkAKXsU4rfrQO6zs0OILQJqd4bBK48rKepRK1Pdl0JEGkZ7QfTkbjYtM1LrY8KsTCx70iJcRpB
Z5txL8hgOKRafYNi2SDowzjVPUSn/bKrN4U5cJPLPGNrVhG8B0xXyCsl/U+3hRfZiK5+Ln2uMG4m
lbbcedAtA6ly9plChgUPvhGQBSrLjyoTmHov3petxsnIV82cVacorPHCIZDGVCRE3Delr9fdK+bc
ZnXjykqOe5kchzXXlKw0gM0r2UoHjrNuG66Anq6UL2kjqU+SoAF3a1Kjo0Tlu/kmKhwQs3mm73X0
EMbEtlp8mAW8QsFR2++plAgsBV2E9lJTptd1o2EiA7XrGRtCk5u7Mlp0NAn4TrkasrPgZ1xS67Qh
HjPDdK2N7EYx12NVhm3RqzqXbs+xhG+431nleyZ3cXhb58wVSm99IZ7cNK6tIy4atXXqCgP8q2fV
Eob05PGF+1zUEg1FfdKIzwrdzrkx98rmSs77zLLz3Kr9H0bfkfqJLaORORVHTp+ji5VQuHXMSBA5
DyeZ2cSsFBIku9jTpWg3AJPzzoFlsm8wxAX7bo28jfbDwfNqVJ+qw/qNuhv19BWvZo1nV0/FJ84D
aSW8JOjQmaxJhahd905DtbGNSIPaKKCo8T4SGsu/Rg9YrfdVpQsOPohYjbxQ3y6zXRFrbnKyfKcH
qCOD6MkocCVpW8vm1h06mbN8iga1WL2ZaU2C8weTa/CETSpDgc3Rux8AY+t+CJea/GYoxMA5Agk5
J0HZy4D7lFjcSUahLYho/InEThBqo5Yopl3GRHYh0a0m1MmRr8U2wWEihA1iOP19pgmPVSSilMPl
7zLFXBqp6hMCPzo4/zxS/p3Aj6WmGcMaBlftU5FMf3GgaiIYRCS0quwBXR/2vCckRhfo+tPnoh+n
IuREsKMyMwp6TIQD0mHQe1lN0eJigcpSeD66cy2FGaD/q4Sscsr1brB2ovdvKYb/Snn+MY35+V1n
/net+v+5/5mO2u7l9C/9JlX//4c2vawxT+a9+Z79n1Xyv//XZ3n6v/7Fvy35ROtfrA8SyhQaCpDs
Nv/j3/r0aA78S0KxRtV0TPckRGv+1qeXlX8ploxsjqyOirMIcv2tT2/+iwhH5ReCvoG6PY38N/r0
v0tzcBRE6AfPP035fVbyzD4dorSzC5yTM6BEQq8saDj8rqzwT9OTCd/5ugTGLWqZcPkVqvgUdsMf
Qu6+f+rj2/8bQZ8F2eean4Qwki4CZNuks6vAGGCDAvY0wxu/VKMFgZ+5B0y0J7hiWehzBq0t9gre
vaisd2l8E4WOsrv8Bb9rwPzdQVPZUyuDVNOC0rQ1oz5brH7rSilxNcwf/K5beMbMR6iT6Dc5GKRF
zUfUmivt1EoWtkqBqZveJP+dZOU/nzGutZ+0nTr8xsRcLhs77SMDCD8WurlPVu9yJ819wNh5n1pP
m0zsc25YuHip2dYsdXNTp6T7IfFZC0v0TAxMFYJ6bHd1B6K/3YuCHZm4qgvWgsDI7/vNP30zPvLT
27eh33RO2Dd2JKciBesEK9l9LYmGcmvErc9WGnMOoqQoJ+EXv2YS0Z05BF3Sd7UdD3Bue/U2t+Rf
l8dinDT/bGX/fM0komUOZ1EZK2whlud+CBiFkNAqrD0mSaVny+DnKGyWxa1QW/7wX2k4//PMSZiD
eXKMoMpqG0esq5JsQR0Yr5c/Z25qTQJcqqU6wRykpvptkPzmZJ7fIe2gbQO9dxcWkZm5pUwkj/rM
R4cAiSe7yETjLpB652BGlL0uf8HMCjLVAnMjtfK41dUg5vQHJ8vPOYGSkq1cx6ATLz9jZtCVSXhn
cAL1weUL0D8PU3ISnbQSusp5xgrJX9UuxFhwq3h8gCn8dvmRc502iXnPaC09E53Kxt8MO78cCUVK
cZoUnL7W/jghPkWlWTdFAJ+/tmFWVBQO0nwv1V66MCgz00qZxDzOfIXMrEW5RZOvEkG5aVBAXnE9
WAhwaYzkP4ShMolwXEClqHfUyq7z3toYXqJugPHbggQeDUc+LE9vlSL7VpLQTyh5Dy1u6JBRBfD5
l/tvbkpM1oEsrE3wRbgexoaFLbVfHPRA2QmaecuV9VehYWdVZ+nC5849bLIA+BWcVScUK1sVS7Jf
cltuVFE5F0l8dlpoWXl91MkvLSzYvwtP/b3cTAWnOnEAAauVVJiBAawKaPGdKP2A0HayzOxbK8Cs
L+UHNQMtcrkvZ+b6VAPfh9qtu61C6cQws3ivaBZIYN8YkoXum2t/7NZPc73Fta8tRbqPnAwArFYH
+xxg/Xf57WfmujxZHCLBMsJaBLKLn3l+0ipJ34RZjzdfW5kLk23uEZPFoLKawO9DwgmG9V2aVR85
rDxqgdrD5U+Y66DJYiBH3L1b16AgxCW22SeJSi3UaaTw43L743v+IVrl8bmfB4BrZmmqbGBGlrxk
bvuShBayO7B4FNAfl58x9w2TFaHowrARMlaELG4fTfxQg56MxuW25/p/EuxIHAdFlpmVbTUQn7Bt
xZUQ7Wp3IeDmmp+ENwLSCe0TZ2pPl3AQIrMdXBc6NNavvf9kl/cMrEszkQCzQr+8aiVJ2OViopxc
Ej6by4+Y6f6/nLI+DXEtOREwTLfE3XTfgweQ03B9ueWZ3plKxGpy0LH0wWvMy3MU3oegwbGGXXjt
mZk51ZhPJCTMvUQobC0Hitr3R1nNNkPhIbkVH7/2/pPg7bgNC0E2FHaKL8YKNYK3Kqv2maO8XG5/
7hPGfvvU8yQtij4uqsLuauHGD9JzAOY60OXnuoievvaIcdA/PUJ1XReP3b6w4+wjkcFdQzYchqc+
7744DJPgrQKgbaHQFeDnyi3GYttEGKGt8dmF1X/5G+Ym6CSG0yxLWwWlYduwhhut9U8aML3LTc/N
0En8aiT8UHQBNJi6mp21+W2sW+wGykLCbu7NJ9E7GFUo1JFfIEOirfE+XLnp0vSfefOpyK1vic4g
6QnTPw1v4jR+7ptR5FBdODfPvLk42Xizou+E1M2Ymthxbds0pN6Fgsz2crfPtT7ZeDNZ1j3MsjHp
Nkn/g7CrgyUp1ZmYEicx2+CTVcRJWNjAiW9AQe+KQKKGEltoNRjDr6+9/zgon6JK040IyhsLm6Qo
716f3gVpsbvc9Ny4jl32qem0dVIddRkmOxzOEAxdrd/7wsLVYa7xSbBmiqmV5tjvwnDtw3JyAWeS
+/jiqE7i1CwNeKcZyxmv/pEnPvbQvfbjcrfMzZhJoPZtVyCJgAU38jzgRjv9ewlf83Lbc70yiVJT
dQ0/j4LSNnp5XyEejDnjaRiahV1wnNT/eYQyrcklWi8zGG1qRLcYyj1Os2foToc06x68otvrUnb1
la/4D4ndzBSkLjNYyro6zQFgtWJEcTdt4BepgVksWHL8eRzMMdn7eXoKMhWmqABS79TSr0bsX9ro
7fL7/zlwIQ/83rLlhn3WlYxCmYFwsjLIVLUe4EHa3PhFuBAAc68/ToFP0eWWqVh1FTIiQuKdRA2w
dlN+acXEPej3ptvBUhF34zyiexLcaejgCCxkC3Poz9dITF1/bzwNuiHuHAGiKSAkHx5yuwmapy56
zrv3EKbq5SGY651JAMeoRbuDz57SuQPSH00IdCWTn7/W+CSCOcjWpV6zsPURtAXzoBVLKYW5157E
b2kNQmgVtAzDczMWsiPt7vI7T/xw/t+F2pzapWZ50tdp7+S2mSBcq8Gt781bF097SpDQR5GvcIwd
KMZYechQbMnbYasaBjTQ9HD5Df68NiHV//vAQ0Kndt218AEMtdvKRePW71lNZz47tWY8XX7ITOiZ
k6BGlKMy9IAOHBDJqRWAk8AFRBf1GtPZXH7E3HdMojsuRbPLLCvHtiffaKh2IlFB3mcpDzHX/Pj7
T3Edlix5lWzmtpj/rFJba58a9+flN5/rnElci4NeiunAm6tlfM7VEPFFYa+G/QZL84XOmZnA5iS6
1TpotCQ1EDfKVWNV96AN8mLJAHyu8UlQkxAA/eJzkhOtLkZH0JfXTY461+Xemev4SVSTKrcclPrp
eLFZ6c5PlGLD4WvFANOcBLYgN13roVJii9CFVABQldAtxNVMrxiTTTkMjEo0QBTYWKTuPQnoc9gv
HPpnumTq4QGOR2+7TM9tUvSoi75pKO0n8e3l/p5770moSuhtGV5Of5etvGmUArChvLDHzEz0qZ0a
NiyuIvp0id885fkpA3afdtZKNOqFB8x1zPj7T0Eq1qxYmYJagoP/tIU6ZZujo7YEGZjrmfH3n1rP
1SQKq57JYiEYULjhuUN/72udPolPP2ixPtbRvHTyRLk3Yh2ydFZ3C63PdcskQKWwbw3ZREe0UCVE
oZEXUMTH0moXpuM4M/5w/JyCRYyu9AYXfQBb6RoYJwglyt/7TgKipHaG9SEORYIbZ54V6tdOEcYk
aovB8cIa6Ri70qWNqZbfc3nRxmEMzz98zNSuJnTyPk/7luOnqzyPSlwr8p9PUQ7XsHXeJb98RwxM
WHv+13KTpj7Zf/NaEvQCWSf8CzPbbXw7WuynmXjTJ6HcB2MhVaVpyRX3noDy4SCe1AKHIV9fKD/O
TC19uusWvoXiLPxflGQrQ4VJnCCFIuwuh8Vc65N4JglcG4HLXaBqI6sD+VfFNzK1tZUELHPJ5Xru
IZOwbtOidboK2HTjCyKCnM2d0cPAxD72a9NVnwZ3oYqaYOHWJg0BBDQfOQEjRrHsa300Ce5CQvxD
iWF56FJoIHRsIoqGqIUXLxndzs2iyQas1kPXGR7RlluNLefp0Uil6yCA6iPk0cJHjH39p6ibRDTp
mlBuBo4QeReL8qZ1XAj4yZC18sIYzAzy1FqnRgFWDfASsrmgrau2RBgU6bfy4fIYzLz+FEMmoLqn
DwGBNqDWqfvSTZU3C2v3TO9PrXScOgvc3kJNCSzm3nFtI702uXzLkrO9/O5zPTOJYCADVhtUzM5S
EDckb7ZtqWyKIP1i8+NjP22anYAntyvGqLKgfEa9VQ2BkmaFDz2t9H9e/oS57h9//+kZgY9PhxMh
StjDeX5Ef6o5lYOpfbH1SfiasmPFXpCjZxXqPwStvBN0+Ys7mTYJ3n6odLmWIpZP3fqe+ehGFNCO
vtYrk7hFBklI4ZwgzdDpP0McPzK5/u9cAP++tWqTeBWbGtk9nVHNcJCIt13rQwZFMagcFu7F4/T4
w4IwxX7lldkmaKPmQKmTQ21mL31k7tNSePlS30xhX76g4DadElVUjK4HTbNTfVhIAM0ErDrZdFMl
j1xPcrnQx/FJ62WgvKDHXdOum6Vby8yBa+pl6eGNJICULWysi8P8epBVMT+0UpI5q0FOfMz8XNeU
Ny72Ld3CV82E2BQDVruQOEy0WG2/zX+1VlpCD1fa9eXRmBvsSfwKQYAOXTlW8Qx0C/MYw/tUPSoK
9MDLD5gbk2kIW0JryUWV23HePwP9OWWFhTo1+Pem+lraUp1EcqAAdW8y8mdOX4wONINfHT3dzBdu
ZXNdNAnmZih7BZgUF9UQ9iq3v5Whp3ujUb62g6mTgHZQhsvDhB5CPhFV8OKbgc/A1xaiKcZLDCLP
Q32SiDD1gxy6j4anLBw/Z6blFOClA67MKyo9tmlAI2fSyKVyf3nOzDU9ieNKGPwsHJLc1lz0xPjf
a6v94gVemey5CSwiRSgGzmxisvL09yD5NbIovvbi4xT6tBuWmRsFocEluETEhczMVg2c58tNz8TR
FLplIQU0CFLLXUXpjopZKaPAtl3BAhsgtl5+xly/T2I1UuMOQKPBM2T31k/aGxhLCwWMid/r39uW
MgnSSC3LtPGJIjw7NoLcH+vSY9pESGZ6o/bxQytldpNJD63mkJdQljCC8niZ+8N2pkzClwOQmgxj
6sBHSKnJ1G3SePBKewdzsSAJNjrJ90Mix/Va72DIS/B2Awj+OvLkCqrqqPsiUG29FzAxlWq4FnxK
Sclo6pR8SGl5FpXhzeyNg4yoQYoRT5Khb9gPJywgd5dHZe4DJuuD2vWa0SKYbwd+DR3O4EPOUvsm
j/RgVdi2wcK+P/Oc/4B75bIE44tDiwUDVXOUTZkI+ygxr8ICYakwQEYGtcmFbWHuYePvP0WKKqHD
2ygcMsh0m0DkzZ2fCZuh4UhQQaRVxZfaChbO8TPTeooEywUX0lYBwU3IvVPh5TeNJbxdHpuZvUGe
rCb1UEmJa9B0L4oINxmbThJvq9L92kIoT9aTCBVSnTR9Zpth/WxF0p3cLK2xM+vJFPsltL3SIm3H
aEOBQGboMQ7UJ6E2NwIGkZc7Z+4Rk+UEpmPYKPW4ZDkiTjUetPpW3NSWfFtFS0mQubGdLCslKkmS
VbBkVZ2/Byp9xMZyf/n155qeLBypX5rwBkn16kjQi2F6jcvkwpY/N20mId0NZRUEEJ3svtGgB1v+
TZvAJQzchVCeefUp6qsyqWZZiPPbKnkDRaq3prtU8J559SnsS8C0JzNNArfIi9sCTzYra6/TLlxI
aM69+WTrNzOUbAeFbUKpxSdPFc+DHi4cE2em40hy+rzkoK/KWt3EI2vYfG9Q5fc87drsgsc0VZ8v
T5m5zpnEa9XJbRCOm3RTOnvFL/KVmnkH7L0W5s3cJ4y99mnV1LQ0jzGiIJ3FdrTT0q56d8oWWYYk
Fu/MEAnwy98xNwqTyJUcDU5WwZbjlcmxbeprXc0WbjNzXTQJ2FjJhwoeUWanuXI23XztytqT4qgL
5tVzbz4JWvxzGsUa2MR0DfZ0IWsOgkso5F3ul5nb31+Exk/9j3OiXjWezIqW1Y9NmqPS4G0bP993
Qq2tQrVf2LFmOmmK/+KcJCl+oGW2XicPvenehJmyx1NnAc0w1/xk8/XqFgnaktSH0YcfcVxiBIW2
g4b+0eVumpmm4iSIjVoOTLdlmhp+fXLr7r4dhfE47+lxtb38iJlxniLBIMQ3aTKm7gVEfctQ3sSm
tDDI1p8PjOLYa58GOYBb1wsF+cpCgLSsNd050ORnwROQAo73UiodXGyNKvdrQFFTnAR1i49EFWo9
CRFy30lR36WxcCiRQ8vzcglpPHPcEicBnZS1Vjouy2qgaYcIt56g8d8NB1WJdni1hAF9MZRNLw/N
3OyaRDhqr9kgYv0ADKfcZ7p/b4nRY657C9vyTAyK0wgPwwTWNweXUnI3Yui+VhwYh7y6chXhDgHr
L8bIZIt2JVnXNYz37KC12pXkIn4U9vGP1sDC83I//XkKG1PomB8JnoN1RWY76NG0rvautZh9fa3t
SYS3CB1HgwcWcChSFNoFUQ+rjSW73VIe7M8h/hcv+HOQWJ2sOl6mZjbKCSho+NuiUu5NNTgEQ7Gw
U/x5zhpTzFgbexUOfcQhVmX7cuiPUmycKq/Gp7m1zBVeN+fck76UzYC1/HvQe5FmDChFkOSJFMRm
OtvQlfXlsZjrqkl8g79RhAhpD7v00IxSEJqRo3CLZdWV0irewnr456Azphgyp1NLvTK6zMa8Y2to
+JS55a53l+6gc81PYjpRsW+pVMBjUN92Rh1/cNcxKQUOCwebuViYBPVgNJVgpvRRjXyqEMfXfhAf
Lnf/3KtPApnygaAluUU625deFdf6JXvNudeVpfLWzKtPUWSu3teQUFi+dUsbBX1NRMgzT1+YPHOt
TwK5EActwtGusBupsylG3cqi8O1yx8w1Pdmllb5G+lhnT3BTdn7BKhFgBayw8OIz3W6O0fBpF42s
ZGhCSvV27nXbDk/QoHPuG0N7+trLj4/91HxJ6CiyLnCDQj5Jctw9qKfnrzU99tenpgtZljH0ADBH
4hQZcgWgtrn9WtPK700HJhXjQaXgF1K6uTYqpKf5jiW41tyAToLUEjILXHBLEMnCHm7Oz0owXi6/
+NxoTuKzK2KdUwnLS1CheZr4azkStqGyMBNnVsgpFCyqsOmJ8PKyZal/LpPo1vTFE6XLG6paC4M6
8wFTSJgkpmFXyUx2qqIfoeId2spDbUffXe6fma6fwsIKav9OL5Bnt5SYKrR775pLujDSOHz/mcA0
jEmcynmQywAqx8tYiGVbWgVbq2nRJB4KEDKiXOKE2mAknaETGjTSJuoDWKEoQGujLs7l75tJ3xpT
/JjENdOCV5vbSZPsi1b4ptfSPUXOU5AH+4L8Z5SK77maXo3QqSFVXy8/d2ZmGJMwR75BVuOGm4or
33nOY+oaazNG8mkpmzH24Z/6dhLrhopbRtCwObhJ821IMIW3nPBeV8vdoAQ/DIzHFg5kc/NvEvmW
K/VhkTH/LL3eN/5oIK8jq7aUq5prfhL6hgvbzNKZf5qD0We8dZBOb6V8IfrnRmES/V5SFqA1QRqJ
grvWU/E2UMI9Ak4nXf5aOtKY4spM03NyiRWM5DbicnKtKHuqERn+8m6EpbgaLwTqTEdNMWauhjmc
lVC1IlNzLst2W6NFnwn1QpljZh2YIsp8y8PmJgew4/vVujNilIvVhXPMXNOTZcARm8BwSyKwxiG6
L4O1gbzB5Sib65Rx3D/teBwCEnnomD2RMRyMJEZLVFuH2sJNau7Fx6d+aj2WkeHKhHFo0dJfibHQ
osKHF/bld59rffz9p9YtiQUxS1ghIMyt8XQ6AchayEXOTPspeIwcagQFlVr/kFu6+h4bzfAuo3bU
PKsRB5leVHF5uPwVcyMwiV9H6RwkK+gjC7ehqjWO1lDsQsVZmDvSXPvTCLZ0QKiORUJJRojQDI6a
YZxj1Tn3qYwMLIqDorIJnfYqd2IEJ4cHT8NKdnCvHaytosC8u/yZc4M1OYs7KrK2g0Q9w0C9PNTq
M/oJC03PDNYUZcYGVTtpyRfGeolHynDyJNnuJOnZQCX3S28/hZoZlV9HWsEg4QPlcnDrH5Cz/BqX
Ha+n3+ex63lWi21Pameit44Q1btvlEB/cfp2f/ntx4b+sNVpkyCHGBXLFsKOtqAkaDP2Jcrk7tkR
k71G8Z5Szfbyc8abyZ+eMwl30iZ+36OrhQIHLjatKFV3kpf2WOdKdVauTAUb3HWpevFrUajOQvzM
jf5kFfCdAthcM8LQMAI0vODASRgkunFl1NWXMsvGVI6sqpPMtWpysm3Dx1QKI6+jZrpwPpiJjCka
DUFU3ylL6lhJq2Pwg2MzYOQWPenLgzLX/CT+JQXOmkHlwA4aM34qVchxKcjYhcCQx2b+NOaTuEYt
Qi8MQFB2pyHVhss4rnb+XSUIw8qTQMYqDk5uOYqpHIwtcaPm4s5tfduX/Ku8D7aNo++gQZ3rtLsz
TG3f45wnqtKxFoclesJMB0xBbf+HszPrkRN3u/gnQmKxDdwCVQW9ZOlkks7coCwTDBiDAbN9+vfU
SK/U438opLqIFPWFcdl+vJ7n/BagAQUonniZgcfjI4i0VlKDO33QvDuxZWraHI/PLpxp8ftxdWt1
8HwGzAz0kn5ckS5W3/Uq4JvyNlyjVjNzcPOp/VH9NXQAbit48YIqH9ZHWYKOe11y/tCXpsJNUq+o
ZBm2D/02bRehO/Flgy4gkbWCqX1ekpMPh9EreGyonqCM7U4WJ/QHQFc5bqxB3RQDI7Gfh8Op4+0W
w3KwiWsXY2KU4G4owDxP89J6CcCrKiHT9E9DQPMQkyyyHrIDYF82/QVXWcWpEUsOY30+LuAdgiq5
8BxmmICEpX1oicdNA5vG4JGUrIVdxEsD09xwLYF0GiBmsxwAG1y31+eqFypexASgnQC4dqQAeKgx
tDIY0I3pSsCIgKlNGPU4YMXDBBfRoCx+FsEmT7C7GUFIBCvMt3o3gbupHbUa1v3bBgRfsXavvdRN
SknTv3M5WBRcL2OMrGseL1cKMV5yViDMOvfUeLn4KPt5fXQpqGuDpdrTFat5rkP+pRo4WPQuAZyG
uHk8VN0n2SDl0B7AFbeBdI+Jq0VCchBSsU60v4IA3BXK+wLkC2CJB0l9MJ2nHzbYXS+5C1NzPHTC
9QbT2MlT5FcRBHjlB//13QKT3JdmIOVrJ8PushSt+6yoPaRS4Mu+vcB1vyyBN8ct+6UKyGd3nX4D
durDCa7TjyEpymhRVnduLWT3dBaIpHAZdiKo+EFfoWo5EebBjdoiOVyxbVjruqVOVj1twL0htfL2
fLaznzE1kVINHWkc+ITPyJSSFtiGtv0ky/ZgG7/jYwVyF4Ljza5ymDfp44Gshg+5NXxCve2HwLPc
jExSoM368LFpoWWEVbT7rReu91gV/vrNUXr6vsLXOOnR6Ac/dW/m8v5bFVc1uBUpkaCicPJ/JWwD
iWFDLB5sDf/82uWb4slymScCeGKYrVMbD7x52ACWc2GkxpcqvqKlFRz/8eZ5sFDv3WYQYyUSYSv7
sMb3tIisr/pdAGvqT+4nGxDUb9aDRyL74Ll/b4gYaxL8DMGt7vGhzsJETN8PQP/g9eu+XjGFlVPu
lAzHRzAHKx58bKh0X3BNQ7/dHt472xlTWylbpIkW7ArZ0997oBWa72PYgbf463bxO0PK9M1zCvDM
p6ILs7H8PoCT2RZHrn87jW6qK/Nq7kKWt2Emh9PsPvYAJsHN8842N3eWnNnuMlwLd1UC6QnOZeTg
qLdXbyPeZ09SYJFRtANHBQ/otxBAtPXQ5GZnf2Da4vGuJMiPxFjsF/eVdM7HFd5DUeGD9lTYX2C7
Px800d6H3P9OFhSJHYXrqjAr+QK5ovinFtX3HLApi+pXrfyX+waQEcRVrjfJfHyGWEDr0jMDqfh2
yXsdYUStY5MSCn50hKUvAjMPhUc7re6bEkyFI92gBxGODLOWdZFTJrCZisL5IGZ3gupf/embJaOq
ljmAjzvLfOyugQrDDY0Dd8CDdtkr/drhb0onY24Jv6n8DHtnIHE1bPI2voj7dpamjLHUU15YYc8y
q6T6VPC8eMETo5Pyrq0PHlh3pjRTyrhQ32LC79iVEcMzoEqbVFqwhKxUCaRXTu6z9fJNXWOoLJfg
bpVmIHpHAbVOOrdiBZLJXePTNVbjUCoAGMA3znqARN32b5Zfgu7ID2Kvk93/dnIZBsE8OCPLtgFI
O/aDzb/vq7URryTXtgcnOJaNWEeSmtUfSEdF4tPhILL2etcIW9/C7aG0CMUAyi8N4FtV1T0O8/AJ
7PnbP2GnbUxJ4+ptFbCglGbaHXDiIdDszy2cLG6XvjPtmKrGQrKS0G2mWT6DH513jxTJSf1AX24X
v9M8pp2dEyAlzq5RvO7mczU9kqtI/IoFuk8qYUob56kCeKGVNOMrHFfrFSefgPi/OjgqhHN+DidA
6nPBj9Ic9lrr+vc3k1Hv+pUjdYjeXmaAp3zSnu15gIfKCJLifS12HQZvPjGslTdMDeLMdj+CCSKK
GqTll0329814/27835Q/z9A/U6lBfvJ+KbA8cyuMS/LX7crvjVUjjguiKmcrV5qtDiy7g0rbp9Ah
R0f0vdKNYO58C29UGqXXmz+fxs0NYjCej5Rie6UbkWzhmWFwZwzVhdOnVldf240ctPlO0aaqcSSc
8KHBJNG2Un231gLkzHmorOF8V7Obtnb1OKthmRyalVD6nqko5XmWQOLeLn3vTGiqGjcesNLmFlaW
+u+Wb4gqB0hX+PtjKvLqrxVwrk0tfwahG7HezTSrAXq1DpbPvba7zixvxmsgJsiIXHzcdUoSLRNr
YxbU4cFv2yvdCOhQsbZynIBmcwEENpAyE4GTNkRvv2+33V7517+/qT3S2H3ksfckkwGexyGpKA79
3XamVlPZKFoHOdmtsLN2Lk7YtERLA5P/zQevu7xzXBnhvCK/Y0ZGmo1xhVbHsXhxw4Npbq9hzFh2
avB/cAbIVF79tSn7k2qORsy17/5wj2cbgdxILuqOg3dZ6g5z54zcb2CUmlAezUN//gAz9YvMm7rR
34I141MQzyHS6dZG/z2UwcGeYq/86wPDm0FTN6BlqwbgxvGqdihlWeALKgjO0O1Xd23amel4J+tq
cb3KXzKm2TOTDYiC9kHRfx6YzJQvrryjeDTflgy3dvFISKx4GSOPKwpUd7knrKAv+28LbblVkz5f
UHsYTwNWGn5my32yOWY63knc+QIjCTHHQjt+4kr2Z07wclPPVpDcV31jL40885BbQELgnh/GWEAP
Sp4fhOxe4xshy8LZGbD4zhmulU/uTL5XYXHZbP9dvsrX+2pvhG4LlU9hg5ieCad/CsRyafV93isg
7/y3X3O3wxPsYOkMz1qJP/AsoBvgndvBsNkJLFOxiBt9PZQTnzJn+SrFe0LcyKIfbrfKXtlG0LYw
IV1A69PZBlNcG/p5R8/n7c4rIGaa2VVkxZsCZE0YMvP8opAYfxn6YLzrjMH+R7PYes3icVtnc+/7
iRvU9cmbj9zE/zzVs8AIVqGxfpfVpIHSq8+Wah6L2TnYWO01urG8soosZdAWUwYNzQXJNRn3GWbl
8SCY9oo34nTyVEGoaqdMNUBak+YnHkAfGkd9uT1k9hrGiFU1L0qsmukMBwlg3Ejiz8XL7aJ3poHA
iNEgnIIuLzEaF9JC4srZiuuAL3X/GUqU4KDx96pvBCtdwBrsbUdnDaUdzJRFEQN3tyS3f8FO6aZu
sVEV3LHtRWfllRYIKHFZsx/3FW2Eqg/TmYXalc6mDZyZzn8INnHQpTsjxpQsrgR5mSUd0aXc/wDT
LgDuq5cpPyJh7BV/7e43OwPayUnjoKKzEWeHhRbnQSP5Uxw5wu0Vf/37m+KHiq8L4Jw6I73C06AF
DnRFvy94Yrzd8HvlX/v6TfmOqHJkrXY6C4ElZnkQe1PSy+J0u/SdMe8b0SpHMVLQ9nRmsRQqJRk6
l7LGfXl1lN21V30jXl0pCIhUM6b40p16EHY6sOorsKCBwyHuxD7d/h17I9+I3QXMI7sNtc6qDYbN
vXcW8j4xADPFhpUmId+afMzCuovxpnq2+6P7wZ1am/rCfPO61W3JmPU+k18AbGGPZMH29a42MeWF
jCkfS5Q1ZivM+BM7ILCCWNr1YF+wV3fjjtnnU6UrWmJxrZxYBEA7F+XH+ypuRKxnk2D2ZjTLPLKL
F0LqMRxJr3eGI7v+/U00taS5EgqsIbPrLVZAGRFvPHWaHgTrXqNc//6m+K3GU5838zFjfwfTyWvv
LNaIUh/HyLATMKpxQLWmfpUtOv/rdltf5+//PfgxZsRn6AO+zHCrktX+69ZAaTyM7ytAFbpyS/KB
RYDIHPyIvaY3QtQjy2RzgbYpRtol+VJ2mT1ZTtpN987FzFhdm4WB4CX8Iesr+hdR/fPI579h9nN0
iA3/3FimbBAQSIBvxTpmyIdN1TRNUR3QJHQgpbDqTzYeHAEnry/KBlT4dvfsNJqpInSH2QthDzlk
S+OCDV+/873+7LdHAKwdpT4zhYSc+1U5Fc2YqYDGUvVI0/jMWje2ce3ihJ862waiGfht0IVtW55v
/ygD6fr/9i7MVBdaiwdOEa/GjIAiPxTQcymFq5g+HTaA0KmXaeCj80A9yVwdfHOvIa9/fxOZbAz6
oBLjkBXBFHUe2PJwXVnXg27aiXtqxD2Fj4Sbj+imHBqmvmYn2JSdbjfWXsWN2J/XFS58rBrwSOuS
1LYEwO19MyZ+LY+wP9cp+w9zgCknDC0JaQosd2AYWXkPM5IcvsshEBzH7Em5J6/KJxZ5Cq8FB821
M+lcabRvO8Ne2xlJKh2aawu+ws2+jppwjBWrPiquLoHVPy3EvkuJyUwHvAZG2lYwiSGT1tadtdIs
tqvqPkcRMJj/+0tqa1wa1mNYAYVgR5QF8yko9REzcqedTKUgh3UGd4e+z4IFgGUoZE8eGWKxis8b
JWBrO0ES1EfOZTtbQVMwCFEKgCCu6rMwf6C4153bAs4Fn+Fv9HJ7JO994Pr3NyFYLGokyCDsM6+e
onZcv7bkQ+7yxCb+gRJr7wtGkI+8XHqJq/WsWUmiHF9GNQzwuq77Vc5Hob6zBphiL4jc1rHygz4T
gE1ZrZ/BCP7MWQ+MvDf/qkIsAZvjx3OX64No2ZlciDkDCKctN3hwZwHrH62uelqno7uAvaLd/3aJ
B9o2DDtaFL0GiQAQygUs8HZv78xbpnQLV7xYeKF0zLz51dlInAPktvEjR6i9ihsrvb0E4EfYgcom
J0xytiQDV8ldFTfFWgwHFW7BwS/raxlpuBnnw2ey/Lxd+E69Ta3W2rRXGsumsqYtilfXFhz2RsL+
cbv0nTY3pVohSBQ5iKMqo97voqmjVnV4yT2SC+3V3YhfNrAhLyuUPvl9m4w5MovGwD56Y90r3Yjd
VrcWvNVRunIq6HtFWixHCS17RV///mbiqXpeFGEhgDxo3DEhbbGcHBjWJbcbfW8PZeq1umsqrbdB
kNxCw7t4yKb3kY5BIujS8/BBAMWsfixOeSbrcN8tkmmPV84NLXN7qaAecvCumEsxf2mGrTkiYe+8
XjLTBg8TTp4P0HRmvnqtRitzC/dRdF06uJB5Ns2nWQUpsAOvcBx7plpHGs9oXrDcN3WY7FLCAw/o
GYumRHzCBeXjuMK/MHdPt/trZzSYui5eNls/kdJPp1aDq9XmOvVyq3m5r3TjnmyFZ5QGwZKl1GPR
UoZRVf6+r2TjwG2PJVEQW0/psIrwDMM7J0FmrzxolZ1lzRR1Qf/a+wUtpnQhI+6x4QLi5BFhTzkT
kcOGh1K8H4/yHnemKVPd1QaDA8Iq2l1I2FFRVZ2Ry/LRpdXn2y21V74R72KeBxeK3ikt+/Vz43rn
bvZfOiss7huf/yPrssCw6Qa0Fc11CHZC/U53SK+EsVB63w9w/ztheQCJknkJMTA3PSWtNby4AiSY
XomDG5adjdK/qTlvZsQm55MlFl+n40jfle57pFk+EkfF+XygQNjrAmN97ptODqv0ptQSXexUPLm+
ZSIv+OAuYaf+pr7L4Wq1kEWj0xCJHrbIkNgZafHU+QfV35kjTIWX7p1mImydUhuPx2KostaeD9RX
e0UbYUwFfId5OyPQAvXoSOcEt5fk9rDZO1ebyq4Oj6Qu52pKvUZ+UHT4S9XDaWiu0Vy0Km6J+31x
Gp50V4G4Ene+LP+bR/pmNIUEGT+DbqeUb8s5cLr3ytkOptOdcfQvjetN0VNT424KiRIYqM6zWxQi
5gTaZNq/3m6ynWnPVHbhrDDhpniaUsbW8zJ1sV7/niguPCzrYWbjCeJiDCx+IBzf63sjrn1pl63i
9ZTOwxYX2HaPKr9P//Dv5uRNQw29DV+lGl0vC33irQcvMrWdVM+Ostb2esKIaGuq8k7ZYkpJOVun
tWoe1npjJ+Bjft3uip0PmIIvIJ4meFA0U7pxK1ms10n+9Lh7EBo7LW+qvexgbPESgcK1VQErUUPa
4pxu13vn9sRUeuW9syq/RtF29wvO3NGGtKtrKpMKf4bD0e54Z8IzHex6rYCEgTtXWuHaLGos+ZxD
AtHb9Hvv2Aerzl4bXTvmzRBSyFil/SIxhCo71p1KXL4ezNfX3c8fbphM17qK2sXk4F8aehxJvf2n
lkzxZD25gZsWRJ626ehqaW8UGYflkoR4ARoRYt5Gzq0N+ragxdduPHqY3+sII4Rlsw6wjecYpYX7
bmBzNKiP2vewPzpKFtr7gnE5pmQbukN77YbVTyocJ2o6RH5oR4U6ki7sNZIRy7b2qraa0R0NbpPX
xUudcXjUy5Ec98/FU1Pr1RJcjzuQAKSLVSPhY4um4Sdzjh5D9kq/jrE3w7R3wsmqmwpLwvZOIlGQ
2H20IEnydjTvlW4sz8KdWneyLJ1ajMWb50WMLtE0NweB8OfJgpo6L1v1K6DtmEU7RZdYWf4nJGKe
V2f7yJsuk07w8/bP2PvO9ee9aaSwqFjtFPgZYdj/8APrJZy3ZzdUTwA1xVR3B/ukP49Vauq+fAGE
WCvwGYACnOCj706R8p+X4J/bv2KveCOYhcM3ZsOrKyVeG030vaCv5fQgq4Ot2F5fG7E8FpzRccFI
Cpo8Gsr+6sESF8NRlP15PqWhEch2x3g/yECn+ZXYE4h1iJuaHB1j9ypvxDAPagazVJwRCsZaZGm0
n/0tfD+QsDwYqjvVN4Vf16sFf+5RfaT+X5bNuszYQt7u1526myhTx3fdxWcMxw9XfesJT0bNFwiJ
j1w/98o3gtjT3gh/FE+nneXDPCDo3GdgLxWyt50jesyOSQpEEkaEjVsAITRSodWgr72Qb6p7z7tQ
5zF1JpF/EpVTBWlX9zO/sMBVyBZvLXgZcN8u+DmHwcqSNKyrx4faqn0ONWa45NFYc3K0ZdvrwWvz
vJkE8omyScplSJlUp6KuV9TsENWyV/j1728KDyY76KtwGFInBPxrplZWw4ckuT1A9go3Ar9sCgrI
2zykta1Pc4CHp63og4PR9+c9Pw2MsGeFp3mT9+g5yS+bzDG1MPnUI08iror8KdhoC0ss8k7Y9n3u
rdSUlsFbxG4g/fp3VwIuQ9m243dV1fdlL1PTEq+qGl47thzSAv2dlZXiT8WKgdXm03xw5bgTUqa0
TIczTG3hco9n779KXkRh0V1qfedMbDriUYEd2zSLAbs28VMvzgsfcFsDjO+P2+Npr/bGhDDVFs0b
ELnTrWu+bcR7ohKeBNt9b7TU9LubWo9w362HtFICF77dD/gHPs9Bebqv9kYcb1uj6gDZMGnFghFo
hOJnTaoTme2jLdVOuPlGLLd2US4bkJnpMoH2TcjW4SGoONrz7JVuBLOeVDuMCo0/M3dB8oukkXbo
fSlIeAT97zyk8TgN4CfqnlP+ao9z5vXW5Xa771XcWMAnt9z4RPI+1W6REGyTwTo5CKe9oo3VO8RR
znFGjJjJ+lhWWsQhxcvh7Wr/+bBFTVWZPXeClpiLU+q434X+JOmQ4X7yXNTTOSg9KB+Ospx2wspU
mE3oUHiFCJ1WIZGPIbiN/4BuE8yRdIYjJM9OS5lsVAdXJPZo0yENJEyEZzn8zKfuKDdxZ5tsUlG9
Ehh60bnwM6mamLIv1QzDX5HAqYW332/3xl4bmcEbKEtuCp/IQ/8Ld9kv4Ji++ARs+vvKv7bbm3W4
GDunkxvKd5blgbb6Ap/lB1ffJ5ijpq0dW+q2pXAKSAsHs36nLTDfivqHBBzjzuFqBHDDiNvbszek
5Vw3EaHVTxdpPMRVl7oaYl+GLTKz2Z29YYT06M1bX3ZkAIEJmo3rtmiyEgfq3dudsTdYjbDOFezM
fPjQpkFRltg4c8ActbpzP2fKz3jvtfBbQUtJbQEjuCVN199190NNnRlrrQqp9qh4WIpLziSMU9nB
pedOAJgSM7tdSraO25CS+e8amY7jFPHyvqcYairJ6AKdEqx9hlTAhKaRT3A18peDiu90JjUit7J5
3TEfZSub0XcS2VLYnbtHK8DO1GNKxqpQB7bn6iHtmVV3kRDtBB+Ibnjyq7XKnJLnz0iE5PeJSKhp
SOfCTDrohnFIB6+6BIX77HlH+ep7HWwEcEg7tZYKx4xNNG1MxvZdHqwfGhgdHUxxex1hBK3qfRBd
Rxw1ajJexmlKCunet8Sb6jDLEchKFCgaDIQHUXpJszQHYqSdWpvSsBy+PNvkTWhxK+TPuc3Ksycs
dlDxnUOMKQ27JgXARNqWOCFZ74pCvYKT/LXQuEedAufBbdnXQdavTTAG90WDKQ/bGhL2jlIyhdea
7UY60DWNGsrqoxG6M4xMKzlqrbKiopOp61YPcnBf/X4+82r9fHtq3ok30wSsGd1e5bUa0rU5EWVF
UAM+OmsT46tRMB1dff77Avm/N93UlIfxaggH5TQqLSy4+olfC+9fig446G6M2zV8LpxHQWxo3v4q
gs+1I08wXk5yoRO/+7E29VNgkaSCLn09hN/staux/V5xWzr2oLKnQ+dckFZ67grnI6vGO4e5Ef2b
Z9G+7rYlLfMgSFzH6c5Lax9dBOzcAJoqMkjTB2jr1iV1kaRWOtM7vVQJ0nm+SHofMZf+D1G1BgzI
cdWa8sGTZ1vhqUBZwRHfZmcWMNVksOnr8Q6eL2njr2MTOZZ0RRxwwn7dHtZ75Ru34Vy25SRwc5Ra
tRfruToxdaQC2jlHmGqytnZ0iQPhkuJg3tWR5Y2VlVT1RsEhIH2zxe3AnfFzv+bQII3gIPxz+yft
DFjTFmxb7G7Fe8cCBdh3uuaR1X9ZlqPj4l7h17+/2S5vsikI1MdL2uZYdMtvvarg8Xif6JGa3FVr
JUBwBGiycbIfnblNQfr6SAAHvd0ye51thLK/blYzls6SAqpS4rzC6mjuw4Nm3yvcCOSC5K0LsfGS
2kNX/RXgIhJCeQkQwsEqHuzAVampKqsahfzzOuxSCS8A8rl3fP4QLIKOT7jYyLtPs++41eehqMvS
i2y3X0UVSWh5hBNh54chF2HTMvRjlAP3IDPChY252wta/6Xh+RxeQXe6fBjW5ap9HMRU/Q1fDR1c
ROB4wQmelRRpek4zBk/toOR4rm1AUk7OrGz1Gw/oMOm1yVi1wLViTkg2BRRMPAl41CGRfQinC186
4b0vhs4aLqG7bDIbu61mz3MXkHij67Kc8Br8MDUu+dK1m/7h84A88xcsOqO9RosN5ft5baX9s+RW
u+AhRnss9YDVglVX3+gCY10ji7Bdeq9Itg5vQ2DPtqT95FTu9Htb4IcYlXO1IdHQHvT6MJNBtb88
2ylGFMOvN5faK7vyEXl3InhsAOJZP+lpLtpPQH2sOoULSCCf9KrEFLNJ4OjOFYAuH7q6y4sP+VYN
9alukaAa10UoWdx4YW6fkUW20oct5zVPlqEOtggn5267AIvbfSA+MmL+gd+l78UhZroiJnWtvg6N
k+evoMNP30rQXOzMHQOVJyXH3cel7CrBorFlk/6tJmQDfqiQ9NV+mAHmDrImn2A4XY9SitjXbWDH
y0y3IGIjk/IsK8ZAkujzcUtErgiFl4GFS9wOya/qvK0lkXHpLhb08ctYoes2D2gAex4dB/cSsx+k
gWB2f2kaWdALd8KBJSGaNo84Tm7rqRJ5lSdUs62NbUg637XTFMiThvYRU8YEaHPxMCDRKDjrdcyh
O+q8QCbIAOmnWKl1fKJ0pm6kxrLzo6J3yh82/PKhE6v87alqIf9IcrdxnU+uFpZI87lsdURCKTrk
W1hQSpea+s5Xf2l9G83aTWVsVTLEjx38ipxX2fMgwm4Sds902bY8bmWLXGha+4N7orRkbiybwEME
sHnJ42nqtzVeNl7waPQpchd7GWKMDV5dsySw63D6vG4+96NygcAQGZo07OE2SDk5dUyPW9rZq3Lj
pnF59UFqZKJFwHmo6eLLGetNWPdafraYEqOIoBO1Rbo5tmjfO2vIFxjoIqmk/ccvwz5MRmh811OJ
DkR20YLMfDjYc+5ApV/oT04gaxYHql38pFkZq85wjtrsaOyLlb6nfAaFM66BYtpOMIKfdRuJXs4i
k4UX+GcL1lXBg2wseGfkoc3gtCNL/H8VyKjMhpXV9tmuZfcVQO9PTDmnLfdC3GfYRD36Ymr4X2Mg
is/OTPiPzR67+nXsgkZ0p2pcRFuf5mEi4mPJciF/41nSYSfYKrmBjpAz7rGHZfTg8xrJqaBcxjXA
Nx1s00d7DuFeU2nnqWM2mS71zCh9CpqxFoAz10gSggG63v4ahNVM7wv4kheXsqmb/LdbgOGt0Bxe
U/wawEdSyYb7vCWu+TBBjNs40CAIaMmnh3ykwEfDc2ai5waDnX/b6r5WT1ipgyomFEP1U9vXWJXw
Ml+sr1bIivKF1TKXp5Uj3/S58auwvjS6d+szHad6ruNx9AQygFY6ENwz0BpWxvArnL2kxEZGXZCD
0jRAuziwLGk67s+R5/dSPOECvICDXuAX3skFJI0lasMr+HNlWfN3JgOpsrbeEm8rxzKaYdG2xuXy
4sIIekWAS1yYkIjna7R5/futgCl0OXysrT7cThXQz99KuK7QmEnGxg+L19JfM7MH2IGsG69hXibH
Ki3cFZiChJIq9pDU9KUmk93HzGFuJBXIwn5YglGQY6fd+kENfHXZeBdkD4cio9oHggqrzg+9lM/h
zMoh4xsJM5coiuBeGm+IwqCR3+BcLsS5JLWDIKks8Rq6aOBonezyPa2GX6hD/cNZPf7T7exOfmzr
gMGzdmMgZsHazfZP1gYD94exDPQW4/DsrMnYVUv9UXi13b1bixJm5qPDnD7Kc6GANmkDVjw3C/XO
QPVeExPsZ3A9sAvzF7ZNTwSc3R7z6jpIHtWjNc5nUP0K9Szb3kHrzVgs462a6jpSraO8KIT9lI54
PeRhLLeutKNmQ6JpJFk75LEqVkjIeq2L5qEja78+evU4dZG9+Rqoc2T+hufZa2t5CRthrbFLS5i5
cytAPo+Py4blwW4953n16gUKDRgLsXjG6ZSChOm440nByQu3xKXN9OOwFPCwd8ncohQO0NLWh5pH
hbetTVT5uedmTVFjdgxzPGwlahiKIGZQ8QfPZWMpjJVtRYMQVm0kYkXL+m/dplX56q+8pREmO1qd
O6dvSBLq2W2TYRNOHUsvFP2LKDZbPW0FgwLAAkrYRQY/cqSfKnvLrxznPKhOymq7KvKEX5SJ3mrt
ZSVS/AB9R7rCe8vmuRNT4rrrxXLLII95J63qomAh70QtUmDsryRg0zeKmbyD93anlridpUOSlWIC
+TDxpm1P5SZb56GlTU4vmys6SBxnMse4f3KchLuB70TB6K4iXnhnNSlEpGulIni36ubZXmc9xY2e
IMKfevDeYZo+j69lh4zsJ2ssSvrsdEGoAbpAB0PgAEPQ75M/UIsnkMRN3seC4RokAjop9C7LstF0
0NgkfRuFN+QRLGIbGwCfhpUw25DysvQ5Wd4BewZTwkB22ktk4PTYKcGFb/6w5gA9RcUYokVpDmfH
j5ZcZPXe21zOMNQaodeYO/Ms4qnrl/HSwvyUP/Q+LN4ShjUfa2/VrUuC+axcXwVk21ZsO1CYxhhN
DUAnxYTcZKmYyFNQKjAF4+VceAlEWQXNmr7p50gFBPHml+OcP9MJ+4VrHjNytnrEEo5foLaN3+tu
CbYPDTzgWIIo5T0MEJpxhRm97rpHnNkt99S7PSRMiHLxBZmyMPSi2AjWGQnHXD8J4q3Nhw2rsvXb
HgcotWhDqyvwSiATQ6mGyMgZCZ4BN8uanAcyOEMIudWAvHDUZvutpYdHbafM3RJ97AfbmXWDKE/O
Bjrje7+B9fK5bjFicPnudEVcWuCJwLXRmqukRNIHjaacTn9Dal3ZSeXYpX8W5cTWF3i8eCSB93c9
xc60wF9EwoG8jMsQDMyz9vtSRHybB+sk/FrTxwWJc25McxLSpG5DFUYrd1snnrV2l2RWIXoUG62G
XdVcbX/WFiUfdbN6y7Nqi6G4CFJJfem6ccOYl2s+nhws4020uaVNo67AE+Clbv6PsW9bblzXkvyV
jv3O0wRA8NLR+zzwKkuWfCmX7fILw3bZvIIEQRIE8fWT2nNmes6J6OiJ2A/bJVmWKBBYKzNXpum9
tOyWvXoFJEGR9DAuiMwKrHBfOGS4S94EfBszJAzVAM+DbhoQoLst4ymoEBLgiZafQP3MrIigoqpu
9nYQ3k+6VybVzN6ZBRdkpMiMX0tvuWwNRFA4Xq34zRDSh0jBoZFIAtWGjvNpQVyNl5fYIi7M78cp
tqSn7sHxEFWag7zq1mOj4beWtr278BQnWffDzkRHJ+rTTcQRXSKSLntr28xQPZEEJUGNdAPUUyJj
DRqFCxIj+qAIFw4qu5Xe2BTNXvb7W4/EYPhz28Xhd8hu3jVyACJTIUF42ejNtAWDQsKrGJc8ZKz1
7hzqb2HqzNv+NQ2awTiwsf4BjcqMHdeQAGdeGzmjiunAmlvGKxdvwCVeLrSFcx6i48MSoyJS+FkH
75MywUmzlNkicQrHCHAKab7NdYgN1nrBF60DUiPneSndrJbYJeIZYjKRuEG9uBnfW7jmiTnyfvVC
OR/lhNox3ttgdBITwTn3VHa8jNKNr+oWpahbIEwEa9yu3YJUjwBG00HZQasULg2Cx9zJJXFE6sDE
nqqRISBXY+hxKNfgqZ6RkXcOTS26hIT9FF0qlFw9KWocJ85jKdHnIZF40ve+F9RXdTthL83a9VBK
dmK4473jLZ+rDUwVh53n+6nALu0eQCd6MP3DyAaKhJ40mSx12yIbz2JrUMB/cCrjlqljiMPplDjg
qtEXiqHHVqghI7ixa8v6pItQKcUhyqPHNuxHiryJrnvnKKRfw7rbosPAheqTvpebV5Q73c7zqtX9
uHWjU2B3nxFmHlzXme71FhRV4LtorsK2ropwHOWGPama+KWrXD1fIu5FQU62dd8fIqU6732o6vm3
wT3yDYAPoRYbViEyZnZTbcm0s1CmcwlvrUIqKD1vpzXwu4Lh7Ud33N35xTOSYVNsVvbojuX2vtjG
DIWeA8/EvAaKicFiWZN0AO4+5J1chyrvfYNehFsLT0m3cQKS7GFkt5vJqnBIgqaR5OegGkvObDVw
RUffBLVvHUkuk6rdsMJxbg5XJwEfPiTp2MNkNnYR8zLkXie8OVVKRH0esGFuLmM1ll0KUzxfZj5p
SXlwEVIpzvNCrscW7CHZSSjK9ieGyZ79BpqvnTzRaprm3/U+79PPpu/mIENUlb8V6COof4cyZoi+
VcPxLjG2Q9get7ux/p1PVyAOW19b+aN1O/lBkLhJ38zkL+zk1FMQ/Rr3ZdxQJ6KhTXjfulEWVWPt
HYPNxcnajwh2TUbH3WBAPlgC/0RnqIh370SO+46GEq39ME1dlLXz4E4nxBqsbtFCkNnlpkVMw9Vd
eZ0O7koahfBThDmh8R+IShxM47fwRbO+dyYThvIOlppxvkiDDh89JRcy3223rYA3/GBB0LG/dily
ZjvnRiyVheP6Utcv1k6TSSWLMHCyLhB3J9SfibyE2CVpWjIv4I9mcB2Z4OxYNuS7i2G9D9Z2yvA/
cGbTzBddXoYNib7RqfEtG4KeTwfHDSHdmzZN+keDDnVDy2DK+kb3JOAdAJvdWXIGB9rolWFDbboY
6BIKtTBQgsZ1v7MviTxzdTONDrU3AhsR3FOcIWr2OPDErG+tP8jrwHg37dtXuxHYCjLTyscFSSnv
A7EMYEhtahvP3Kt/67oNxcHzK/dn13oRTRztlvAaIjv64nHFPgKaMLAQo+BP9eloXB1kM2Jdwmep
YFR800sOJ2d3YXVYBJ1DUbOV1eA9hwh4p7FE99+m7e7WQXMNK/GiGdvKYLw3Z6k7/hHaCeDBrqcV
nfFiwZavHTVNBiCGjLHpBd//B1+D/w6d/ReqGe+va5tyxEwmwlYPQSCmdAJAnswB5TCIovJ+GK1f
hBH7n6Kp/xuA8F8HJxWRZHSFkgeDriuFuzY8OszyD3L73z/Nf1Rf4/3/5kjmv/8nfv4c5a6aql7+
5ce/P40C//3n9Xf+73P++Tf+XnyNl3fxNf/rk/7pd/C6//i76fvy/k8/ZMPSLPvD+qX2x6957Ze/
Xh/v8PrM/98H/+3rr1d52uXXn398juuwXF+tasbhj388dPP7zz+uF+rf/9+X/8dj1/f/5x/xV/+u
1vlff+HrfV7+/IPRvyHdEoHpAY2wWMlVKbt9XR+h7G9gbBn+2UfIK/Ouk+Ro5Zb6zz+4j4dIwFyk
XnGXAez449/mcf3rIfI3Cg1HBKd7yBA8DzTw/3lj//TN/Nc39W9IJLofm2GZ//wjIH9Btv9FcwUu
9gWYNNIoiggeJP9KnkzY/2vALDxFViMVJhv7H7UUwblc9zsE300xfJyqQ+jaPqmc4SHo6adttije
AqBrLe9OCwUrZTSmG1eigGtYDCE29VvJFMoMbpZcNmA0zQ9HhcGJb84hDJ0fS7nc97vP0zB6pCzU
ScnAE8DENi5tc9qxw8T+DFNiy52PlSmMcQ0fdCVHY3U6jM5SRHsZpP48AuEzwQ+4ztBsgp9juslm
QQ3JSgTkbsBO0AM7rVsmPkXtC4eMzNlCjDSQ+YVGbZ33cC4pSfA8hqhjN1iNZAtg5VjtO2BH17tj
1RvCxONyqTQqbf17erA4uZJ5Hm8m2tDDyNsCDgxlsaQcUBoJ5nwW65Tu/vIbXevPXc332/CxAW+L
PWQzYWw2ZpzOWY0ymbj8L8gyW8boyLZmRRoV7IbXjR3sOuvYij4FSI2UHAsXefG8AGrKw5ndjlOQ
La5XVDX0raZDLYPhgOPsEpl57Y6AbwyCavsJSXkMb8KvpkT8mZ5mL6kxaaGhlmn8uCmrm02OL9dv
pO/Lbw/dIEprCzLFa46qWlEsBdubF55QfLuZo5+xU3+/us7i5W61hMmg4xlM7Dpu38RwkZhV3Y1y
vlchMAhJ77caCIY/iTKLYAczulmwlBPoS/hTDEgHm9Ffn56FXuZsIBqtYQDVVuA8WaPWZAImi0H/
YOUoUTYM5Qf+9lL68tGM5Ql9XImZEciXwtk8DcIe2sZfYoMnxoPDnuAgkoRsvq3Fnrkrf69RdB7g
7XeERTuJV6VPETwzEmnkFqPzu2cG30Xku6gjUWiKKtmikh8r1mLySIRnzNHfVxZdhtNEhbkbLdSP
jmqa1DQ4Tpqtgidp037KMsQX6vZx2dgPJ6zuxO7u6brx4HYZxYfkGMPm9f2wjRhfmwIUvtMm04Hr
KjWqzkrkv92iUq4SSpYCt9xxAlqRrGKMgIYCL+49zCezDRGLThfG1foclgPq+wb3XV/zX6wMXwlW
W9FMcNe1Th9jjPMdkuIxVu3nSm4AN/w2qtJJ51U/VQjSH+3UE6mXCPFnzMF6CW+biIo4RKBPVgFD
ziCdNMnS1iLe1yYnvL8uJ7s+zPWCqWBMWtAQkI/cnwnflkQBfS5sCMyk3oraw12PhDGbzSO0BrqG
o+3mNp8TX+qcr0ji051Lc2f3P3fdhacosvTkv+1B493qdTPHYR2ykmh6mWbWwMraifJxB+u+TezO
HY9jK9GYULIjpgySDxfT516dL34z3iu1j5mn0WGPA0nYYsitJcODRlGacdkOSQulDiYIMRo3L+D2
tknFaA5j8DltjsL7yfURwukMNc8qP/zhwrPeZ3cINIsxnRmdfCezIx8yIb+7uSrvhp3cGtgRXaAe
BgDnvfAocDM9rycHeMhpDBEsZPftCdDpz32ZBNwr+EdjLT+GHH6znoOGnW6vElzNCZAVP2HLn5F6
B/ST1JtzWtgaHrBgb5Rul9tpi8wRdmIpX8SedsxTqVyvBXk0AzGtmqPTOQ8ykuPRaiLuIjXlNa3a
goq9CNtKIdYPbygKjJss9ptjzPdGkusUw1CnA4rcfNrOaixRA49Tm0HU3SbI46vSWqKRkmv3Ml2X
7tBMz3x33qtK2niAX+NMnBjOSestGjFE7QR+MigLUanYMtfvVT5xBN4BUy8aop5qL59dX8N6RyBx
4IGXBkruBNnfYyLa8muL0JfoHuYLki8wF4iUBd1e5gTPSJdAXii6zQPAw9O8w4bON3JAA4oW1Ur2
Gkaqx4K3ZZFDclidqlY8IQtlyok6BhF27p7zKeVXmsLWnwpkR+wa+7K1ChugGNOwwf22wQjEoGUE
8ONltbI3zBuDmBMFuGZb54T1455T9QaZvk7Giu2FF64vdjQv++TN2cpdiUXTJ6sKU/gxUdzSEUS7
c9Xny65eIO/FNYimfGor4LdDa66gRyYJe64gPzyVCxyiwpqfcfiBuqLyce8/hhATbHXQb5eQkset
cY4CX62LTdiGgsS+UDH7kAGrihmkQbG1QJw3QPZJNdH1BhzcwfW8u2kt/fuI+L+bPtPMBDchvurA
AQQpyuh9tpom3ojmHzGxcVe32Bo8Ku8EUKe4mbpnILdozSOvPk2MHUAmrAhgFGvKPzRdOxgEOdlg
9X6KWvwkCoQbsweih9cecQB5u0anOVJhBuQdBwQ2IM9ioGptNzcrRXeG/CAoOB/vVyhtQO6zdG7D
PY8cgh1w3zMzc/MhCgsPuI8uUj5MZnuv6AbxQ5B5LFowaFNpKxy9/h6rcOwwx4seltHqVmolb8Y3
qLjUaUOFXbFe3E3lxJMJcALQYpqskX7wykrcr9FcBBFAiooLAN97/blpXSXECb9g8lwmpF+PTEpa
6GE90LINCkXrX6WSGv2+gf2ZRDPFliob1gUL012deNaATjaQoNVcz/A6cnOcyPM1wTpuCAuQS44b
eGrg/d1NN4ZsX7JFdsu6B8uTndjjdv1A3C1FUVXKJGqc79yGk/MQQPXg+vVru87pWPs5yAKgfNHU
xKSvv20ZxOHWv2lKbnWDMxlC3CqTfARlp8ez8MsrWBEePYJYLFoTk80YykwV6wHR0/IzdMSe92ug
T+UAFn2Gm1g+1G5CKvob+90vVboerAlGlSikRscUGGyw+GlZThjL6Z9HhZjhaZoksL/9SOS2Xra2
XgoGt9QYzRlJZ6/10rWaX8mGPXpsOpMILfzUGR5BhejUMLgs1W5VkKb37iEzUMC3RImr0DKgYZSC
z9nw9Fn2mRzoEtejaJNoRfBf12P9japKZHPZNKNx509ewh33rqQEhOTYqczx7c3qePHemQnrfBUZ
xquIv953tqsOwxylRKOwE9eHV49+mw4ul9HuHtZ2zh10jDdegCgQj3KTL/UEDRibQpy89XwkTkTz
dvdRNwBbM1CfptexEqZZXPL9CYTuniNAsk3GGpmL647znn4LwiZ8wGnPPfdhMNGe0VAA+PJdm3a6
e18ZLOS81hV51cKwB/S9zgJDtzisABEgwvKgxdZlFqau2I/YjZF30FKIOxRnfjyAJYJr3sEOpLs1
rM+lVfNtBKBx4rbBDdKeXYa4dt039T0oziSYDGycMbJyGscwD0VXH+3uIgxTeUG2ThRcWB2sibv2
GEkI9owDRowbvXzOFUf2s0OSxoUlZOv1TUKmuY1lADUpWuwAT72SYYiaBD+kb6x82nHOJ0NwgOVL
l7MBxaBRBpgIFPb+9YTpjfc9Odv91g23lfLvIiS4ct1d5lJ+bKvXZ71K/fV96wKb4Ra/cVh9HShG
ulMkAnxdr2F7tvBDOjTuhq+4HrAAqjGNGmysM0v7ugGQCGFEj01vUeWNg/GveDXvtkS8Am8cADYB
y4YIH8Art6yf7BtQR30yT94OQYQEqZWFkAn5kmQyvPofWq+Ll2Z/2AJni/0WDplNexwr/ljty57P
NfeOcl39TDTbhxplnTDabzlboi7W7pC1vukTF/G5GUIt4xE8QlrC/jKd9PKq5hqgzLAA8kVIazTC
U9qW4RyjZTyYWR5qEyKVC8P5dF/B8IGxOXcFWO0S6gNpsraa7gdIzu7JPPuJL/Yl1SiNhRMORzPS
OQa9t8ew20pAhaHwGkNMXlYic+a+zRcTZgAmVTGCSkwQWdCAqapunJq3MQbY0DchPxiBL1dKoOnT
tR7uVm6Ra6ubDIhNkBBaeoWsui1ViPUqDFac4nJPdAN9B9uj1GVgSSxoo6QU9cWG5rYxExyzOUQi
SsO/qGq7GFx6vjN3zsowwOoIpjdVtgI+aapMmjC6YPybIl5XqkRgqQ0BVBs63KuiI+KTBxapzT6J
W6g2srVg/QySIyxFOg976mAWI9U7bOMqz/nR8PGlrLo1cyM7xgDAP9rZgPTDAnLB7ySdCDK2oA1r
9VTAze6n4HBYrWB9HIcG8o0JfUFqxwC4TqI7GSQl3B8ovRu8ripKCFWYF5JTIHQ22Wl7tFCZUb6Y
eJkoSVpl+hieQS8qDEW8+fX7qgDGeliOYpicw8IhdjKYNc2WcHkSo2tuouHeV/N4QP0FNz2C+4I6
SyqeOJqO1LMctacfXYypH6QfIaobUQqxdvSlcXKNZItMoKePQcU+tT3u+0EcualeqBqbBOR3kPkM
PXB1HfNF4nfauf2dC49GlE9pSO1aQBwkUhZxdLHA70jpF34Hth06t5/QiOAbn0Ga0eA3QoMHlJeI
LIa+BKRs9yvQS1pW9ket99elHKuYyPOO8T6Hdrc8dLFx2icvKp/DdlfJWi+PoRuhu3OweDQ77j6T
OHpB0ZTDJYKkuUK8IIQIEDBVzACncAp/a4t5JX0CYUGZqbRqJWQSGmV2t/5oQh4k2t1cpBbXYMZF
W+VbiP6rEaeO1V6KbalMnD7KQpyFbc+OfQgljnbB6FaVA1UPC9I63F9LjNOm8PtFfd1z3PJhBnqD
+RAY8N17hj/qsx+A63Q2Zo8oGG9gmAdYM0TCtEOAS46QNYh2fIdG08T9YKBpYjeeERCotA6IC4Ej
hZif0u4sZiPFBdXiBaFQj9h2Xjd9W8OwMSabfkE+G8ena6IDkNHjGIpP3EJouCQUWZCEXAO2q8Nf
zwaxgKC4BUu1cdcVmivkmCMqQZ5DjeOvDxqAkes1uBf7GZpzqMnaTmY3eo3ELdgspGxDdHFwNAZ8
WhilEQO+gTfQj9GtRWlowwgT00+ei4a8DgEsm3K+qhlizNGKC+a7oQPsvVd3beD3Oc6/Ee3kxaIF
CDRv8rBBJpXPy0APXqd/YGMpuPY4GDgZd6XlD7NcumJWwKUiR2Sjh7+Es0BfvqjQIF22/R6kCvJQ
nTMPu2zA9Ostwbir0z7pMlqyZiRXw0+wYwy5ZHPgjMUCqs710Q7WPUyhwXkq/L734EZD0SuY9i+r
+I2h+hWEb3MckQ++OMyk9bag6i2HdBHTwzjNw7GOloe5RBKNK7oHton7KOzGjC64AhtOlrYGZbWt
pMomiU3MyQDewSxx2lOYqcEopGQIDXLZLwki8uCgcsthWQ2HPhp9SdAZ4CnVmBjTVtmuQEpH+ncD
TeDFwombd12Vtd4ZgeRoalnzVqodlDyrbvt1OHerjQ1tGiyf9kmgwwNJieZpr88g5y8lpz+dIXDS
uot+2pkWq4V2y3QrCiHU0avMO0A2iW+xp7htAKkUbc9tadJe0CpxKzLm3rYXuEeWFvap3d73iXSG
p2og31pPOexuYq8bCxSSJ4WeHsZov3B3iMx60xGcGuhlz016xaGetAQ42nuwl0CjuimvEJJ513Un
adq4A9ufqTZ4Dqk6wE8NSgSmAf7coTVMuUsypDnQJJqreCxtMkR6SGAJgn7Cy0auH1hZernXOhCi
hdCf0jpBdje0J30IZCwMEjnAKUyqtFkyPoomVmTNxrBLNzAqdH5sfYh62ILFaVWq6+F2d26s2Msb
D3idURhs2XpQPhOZkSczHkaGRrzxnkshjyGAx0PQzS8zlBUxKleIAgbZJqKCoYeIQP21gMBaEAzJ
XrVo2d1+uLbRFXC462FDhg5gSviABra+eHBogSJiUbk/Vvdh04wXlwanfhX93eaoh14u2e4T/2zL
qycsKuiTzy3SFaU9gZOaaDfm1XZmjQhhot8dfN4eyY5CEi+nksbyDXLBqIalTISlLHSxQK6UmDJY
QB9Ct2gb9bF2s81NiEOpD+h7UArzg5saafbWps02eSnxvYteOpZJ5Rno70qTLS2ygaC31Eex73cY
e29jCj1aYvtyPAOwreKZ1ARbx9BDbLu9B1N5r4fWyWeAu4CExRJr3aAoR20SzP57DT79tl9OoYmW
lD5LUOTJ7Ju7bQWhH3EmsBy0SFufok3Zw/LYY4RTCn2GUOlVUCxRTp0HD81VQjxxT3As4n2GCQc2
nbcUF3/1WmzEwEu6Fe3tDt6+MzOGiQVWhO6qc+ieV2PH07BHz0CUVbzAmC/upZPg4tY3DSXnERI3
rDl4kuEchMxONgdBBJqU+SK8IIB0qDziMvl3BO/SrhXNA1VNubYNWuthe8eOHB2j3R4QdLjGdO5h
t3RV8vcejit4PqP98LYT4uuxDVc0ylXLSshrMKndt5hOK2tAhJXfxIOxQQ46R8MSB1+p382om7Gc
LtKpTrUGxmFwdxQmJO+jFrfQeakUS+wHfhnyA69Ch7HtYdJ7EMfujuFZo1jhi8W+ObO4uEr8mPzO
OTtVDxRV1QmPVje3rfeI8CmgwJEO4gmSww7KM1D1/nWwcs0AHZ+CQM4XZLw+TctP1w3ARATOadRO
c2hE06UOo4dBlKcdtE2KIHaVllEUd3KEQ2slqsx277tetrhrJE2bae8SihM4rrnMkcRqT5ZUOT7Q
fHZdFNgUSG/RomzJ9mDdAL6qRLNIniE54ZmlR+aQ/b40JN0ZcEi/xEyutnVCLcUphq4t8bcwjjAr
Ezu6fg7JcvWYMzcYsVjvy9FDR7dwqMTG+wiVRNJoD4wsBCi9H6KabtZipTuPoVRtY84Als0N2A/L
ywdq3IfpQXnrduMAK2wHw2PqwiLewp1DVG51lA75Hc3bU4ieuN/Yt3Od3yrtdoZ47Y0GvkglaOgS
Ehd1bVr1hG9/Gvk5gDz2uCvz4ZjpEVw1T0XtoCiNIr9QnvO4LxWKTuicEx+YT47BrWFo1xQifKB7
vqkzAZViqiDHjUsFP0I6PNHBjW5cdl/BBuY4QuA3eA62YsxK4TaLEiRd2HNP4HbfIA1I6CHMTPsE
rzD35h4DIfqANuuuVs1jL6qT7hd0/kxfCJreRMrgVUj9DQMtDA30/ZQCTMchBnTA2yHnZBXGZAan
h9rJtm0aamhaZAO5EZE1FPeeRfdoXcjRkPELEUsYZuiiE6cDBz/2808oKkyyob9Vgp3Vtj42ZUNz
2vELVWWTesHmJ8rbvWun5+ay60lO6YuCrlPpNS6Z9I/QiryFbEM5JgE24tyzuYrCo+zL5sAWC3Vm
69z6UKZXfJuwP9slQZBtgVJOY+tbvAP3keZSo7rYw+FRgaThG2UZgWlYJufpgF3uq1/oSXtH6G+u
+ouyzWyNyo0yT6dbZ1ES8vAVIBQaQALrfah1i2ZzF9BdUIXVpIgmfNw5nZbdz3inMFfEPrtQwAaY
Zd7AusKPjqoHweFBhg50PxoO3KvUYdrat4r0+qQDefRR0OBMjD7bOegPqHnOWiyyEP4I4S88qhOD
6CF81dtF0roDKBwielj6dUZbgJsO6XD+T12dywEHIUit81AvJyga5U21RRNuCjf3SEeeo+X36ooI
DW+pUoYJigYBkyFsNrNWV++QzMVmAP5oRqjrB0gKeowqdUBCWmhYrgr6Km6ab2N/t+RzHj+C8G3e
f6Fe6sTFr16mZQiSNgQKN8wS5yd0I1vkdEXXvwRd867KKkwZwqZRt6KJNbTlt65rX4YKjEHDSK64
+j0PFY25iJx05JWNcaf9HCPc327vZ1ftDtBazMxFErf0yLBfzYzl0EbcRtrtCkzU6Wo5VYE5kMF/
D2b9KfnwZviyYjSCvvqWtfkXdGN3kAapM8RZYC+GoUoM8suAiml5UEr+Io3dHqLuVQ7tmCCqFZiQ
7DFU1wzFXjnBMRghUZCkBN5OPyyrOfRwFSsgYCpQ1r8R46q82QI0HuZ3uKBoFj7bbiGjliBDlUZ3
IOGy2+LYFVstzsh2ydadvmDF4cRSkKVEqv3VvgPmidXMHypKPgHd4Tp4bztSg6EMjqPWmLjGmUcM
3h5ydI6+rQLERkHNMo79LbaTZERT8GOd6nwImh8DFe0tbN+r46og/4JM9AIAHdxLVf2kfXfaXc+C
QKm/p9ofCshrktHMUH9AqpIiSdItgmn5GtX8yDrvMvDxZ6sXP+7nXYJ3jDLBSHhkk3jsh2nFvlJ9
Ax9/QmnMcigcqxMMWTJhdQStbMhwBsgzPuMDJMAQCcNyGCIToNTVjk3Y6fIZ4w+nxQfxBcS36rzh
swLdOHby1phyOvIe0F8YQCc33WnoT5IeESLMmQlyWNDK6BFFhFditDoCKAFoAXmGP5doD87U85FY
yReUeu6ozrrxAEc4Jc+uYagn6FH63mqQOXI/9R1o3OEq4o0c87gYXI6NeonfD7jvZkFBitU70MBs
E2H/NABjfTKz/7hQKNmukAatNwyiAEo54aKkyij+wwFycQpIVPTDvmMa0IVJihdl44xjzDScx970
vkZd8IB5rQ2kGloz5ff9BbZx5z54QoJfdZ5Fp46LHe46J0Qsbz2eNeSbWctxSmYE7selniCBByYi
DDbCN4Att2QUhbdAaYpXXb3udmuefVzBFa2FDxVpX8uirMVHjcwHcLI3tQFMCNLInIMZ+v2hzIL2
te+fBVDiiT7WK7sFZ5CO7NEDKAxht3Aw3zwJ4AwSMzN8i6MaJcsGFecegKh87qqPq4bXQcF7PQkl
mFgCll5ssVB35fBr899GyIarobtAw1FAxvvD4EuFhOpgFbBlHKQwOaVHhzg/Bdswm4TwZ6elOaZR
WuDhgEfJXoLyAl0OH26njvkl0CTX7XTvAujCnWZxnPEUZ/SvIfS/o0GPcRcU138j4NY3wIrz+DAP
zQ0C3tLVnc61mS9BtEwJkJxih1a5Yl+LixOwhxar7ONN/472AVTrBPYDMD0oHOa7cRu6DzO0kM5M
r3XI08ju/YEXssP26VWf+/49MR9X4nse3noAWm0ExUY1FqN+bfUtxt1SF8qspurgGIXjG+rrmDpv
w1i+ctqnCG7HKGkFqOyZAJ6GnCIz3RHqiE3Di8sgaVSyrA6hIrlOggG+6YYQo3h1YksXG2kZY6kk
DmfFHICbCLP/xdF5LDeOLFH0ixABb7aEo5dIkXIbhFzDu4LH18/hLCbeLF5r1CRQlXnz3JtJ/qMO
+4bFvIm943l9npf4dbHT0AHCXurs3DW0hxJSJIpk7MsqXylNjnhjB7vfV++VM216hi8tHJjcET7S
LBtcEhwD/wbwuaHHmz6+LgnPeOYtWUG7Ye4ZKQXGor4yjsvoZhmfMOeJExGMg+oteR6Y1hzUsezW
7XxL1PxNMeIOQa1c0FuKzaLw7j7Y2+h5kS9a1WxKbZvEWh82LWj7YxDdcb4404VlCxu9+xBMMpIk
cRvtadFaGsDooOlLSAHCiVagASqBHp8jle+OBkC5m739mOjsc7UJxWWpLuj2z1pzziW4BeaVTXvA
AqapPMQ9n2q9rbQPY2qI2nm32wvWIB9g3CukNpTbNRzM6yQA8qlGLH4/KU5CDEb+mp40037OGWnQ
RDxMMhtJjzwZg3s9IOiyUQyb2k7Jf3pqL97pQDe+jElshpGBsCW/DDF/BVTCfs9GD19S3mWQUkVD
+J+8blLPWLdcGMMjLo+HWW6TZndGH346TRvcZkww5c3a/3uMCkwU7pjIVLkb7xTATCL5OjS3E8bW
dPJDjee/y1q3iE5TfWWz7c9AQ8Ifuk3DvEml/JBX1QHmJFE/FIU/ziTD9mvlShM3wc3nEEpJA3mT
9JdGo3kso1Opx/pLx514qyLpJre5ODcVbvi1y/m1ZvWE3TEYNMXZdWz78HJcIH7ZOuyQGcblggA2
8rn32i7PcVCZU3rWcyfdtdkYruN3GXmq8RnFX2vZ/S8SrEPjYkpaqgpZBSChCWUo6kYpDiqMHjP4
CJ+CbvDrzm0SJqt8pGJiomAoht8p+mc6z8y35Py9Rmpy05gaG2acw7030FgS+4LlApl9hTUy6xk8
ukbgwB4p8cCY8vDPWrOnCQE9iFva8TWpvaa1s33LaTKA1CR1fOjuxTz+5sW6m8WXVvGkO7ZXau3P
gFXcjnhWNkKKuZhUiGHlkJYd5sdMZQfNFAUmxy2XDBeEtsKsKkuAMepLwoK+agbi4Lr4CUtsN1P7
XkRjSLDbJsurXWlKOyLh8Y+lBopqeSgtGqjsWSNDRSi5F1X34s1ejatYTB3abDyy3ZyBX5/ToVj4
h+jeJIYVGzliuQU/h5aptMLOwcKXrprHwGTTWdqFad5uAqoEuN6amhwSpb9LZ+tttmJ4g1RiZqye
pPIgKHsnGV43078bQeyxA9GaKzxK82GMWEWVLPsBw4XZTN8dQvGcdYfFLp+xYP+NewaxAKn5q1l2
IUpejVmuDWawACqDMvkeHUrdITVChjG0mrqJ09SaMRLcZ9sOjTrewmGgIht+r8ykKo3Kkcl7RYX5
mA85JwYFD/6JCm9m+KWGhWUHMWnbfK2gubAwzdvQFZ61zLtGkqhsiwt1+VmheTCab70H2lisr7bh
fZtLnU9xooJLVvSo6qMvM6Cx0jNt5Yx34FJbWVC2iwF+O9AkOtUu0fq7viYBfmV6iIq7rAvkTPuV
y686rb/U1fyWH/3oZCEm9X5hz7o71kYXJJH8PusgIJbZemVcsyROOhrcwdiUD1bCG9FizBmwbpzA
J5h79wDZDckolWS/tK1yapOhPxQCHqMuntN8cUII6S4lPthQJL7KQXahaN9KIbpDkSSm2xr+kqN/
TjTcoxYHclepHGv5uxEvbmWyOqEolNeqQf1JbqojmfD81IvqwBApWRnSFQ5cPrY4+v3M3lh1RzPA
4kCiYSS3QDkIHGEQ2M5dNlXXbtix5w8N0jXkMLZXl2GrtziXGQVQytdbJnf8DLO76pL2qrE8a99O
aX+squZUaGkLZhzNGyniNWEDYubpjl5j8ePh0Lw85VQtjiX6TafnT2YKITQtu0nBNBTr7iQ6Ty5B
wvhvt9OboTeerechC38u2vKtqRUDdymYC2ujcVRMFn48q5yCosD4MJu7Vrx372l6lcUJozmsp4vF
12AZ3mAyWnNcZjpLs9dNPVD7N2vddiNu4LmFeSONCMwoHk7L+JENIogpwApSW1WDMXO2hqPyYc8j
NBcVxOdCaSh07FyZOl81eWW2IHsPrA2njTvYczgh/dJEsrqk9dKyMY9DmTGViJftUqgOA3rZn8yI
GUtU/gxMJAoxY4WkKt23Dbs8MEh6YCpfmNlfi0h2I6LyMA3w5fVxs58Zg/v6Ep+rIt6Y1byPu9F1
qvhWrPlJqmsJda6w9/WS/ygAmb7WyjwrZnqu2u6jiRY8kJVxJvdWfdjdbFdtjdkvZ8crMQhPRXa2
Le15EcbV6YobgbKhWNSTBQEEyc3gu8fWT8JYOGSftV3vUT8/VCrt1glNvQt12XbZzW6w3rAjfb4z
11uzym7SFWFSPKuDtQXAOj2az+ic1991d5wNV8FkBDSAlsbd814k1PpjtF9SO9DtPpjm/lozJ+My
XxXrRe/vbK/mLk09iVKvw+MSpTfxAOOqf/IQPeXx6iumRBgxdvGc5hVXa412N0orCe+Ai/oaLk1F
RMmLLImTw3yvV/R7w626pOUpRy3Dfk7pVf/MaeejcAaO/VyPB2m0n9gIRI+INj98NwwSqDKCNao9
ZWXY2bO3YXrveeSK+GpKz9U4h7LRBzL+83hE5lgT7tWeVaMM8u6OLPlpK9wJhVxNTWaCGGfHhYvz
lahNX+5x8NGpgH+Spqc2L5xUG4Fhu4Zdk2PDow7FyxrqUhxabI9lgggNl2wxZLoiyTaU+PwMknxh
vcaUpn6MyNFARJknr18lzyRi0xLbfGr9iYeE4acr4AzovaxgzgWopS8Gv4UChKCacEmtlOjCusft
kSWd3qP4gluuOm1byfkus3IsrpObZOKZTapPsXlC6Wf+0B1tmeRKTfgJNoCYcWVT7Ebdehmt1oXK
9Ik2I0hjV5VJyVhECvv2I12YC4KHtuZfmSrBIo1uXzExW+WHbSJf90zO/CLPT0yKTKbUFKcYGvZK
of8V0rzv5ifqY1Sq6qjHTkrl5Xiset7YK+EXuCj8x4S4aa6EEQXD1JzrTIEMzvy04mRclRfyZB8O
3rH17AmisuqNTZqIJyxR1Jc/KXdno7Ve18I6OKdsfY5hLje6cerZ1E7aFW934Ze547bVQ4zQQque
/IcsndeHxHYCImYxRvTbbupPrXhbsGL0I1xtQihUWyd7ZcXmT9qnkxmYgYx08dR4OLD/meIqmjay
JpSjVMPvcnH+FjklQ5OdC8O+RZp0pNPwLMd5shy/Y6n7qsZ7KtWZldcSbFwRWXeHQdrGoDhOhMKv
+VViQt0QXvKcOxSrNiQJ29qajq1OMJbEWwA3xV5TPaN8b3m5CCk65oLqopr+pQK+uqbljaxMJsuk
4nUT1AFVxrhuif2uy1J+pPjT1eSnydcr6Qi4UBVG1Y3FxGNrZPa/hKy5jEFukEjJa6SzslYS72sr
PY1R/r4q9Q5cwZ0zBAMpM/bT3IktaSOXZJSPTcKInUc/Hk1mPmN37WBv/Di9m7grGThJHMiLTWKB
speGxghUGdQ21bGCjmqJrkfUKUGzrJCTA9vJX8g9MPCjvznjp1O8WwmzYFiT3EH8m46c1uTjY7a2
udc712BZ7SYX73lm+S3jSTV57ZaEAA/1BIP2QMks6Xlg7rBVE7XxCaj/ipdBgcPuTyVKc9SJQxl3
t8JGV5BFLby+/dGGodx3E2Xjgu0PgzktmbPLsvV71HVOvFQfkBSzS77av0n/arCNcTOb0nXNS1ey
vhr52NZQkyQypssvUD9PvP7o3SRPWG2oaOqr2iFC282nkkt+rrdbnRGEKTImcT+zpd2LMg+NtWDi
MGVB7fxN5MNw6vcUmMrZii3k2KCPckZ1MR86uCyDvhPiegwz42yVPPcXZQ4JN3kh9f97GQ95Fslb
GLE9C1XZ5k5XWcxFqI5BsaRPzIEYCMM62lN8XKPF2qbO8ox1ddlQPsUHSeFJ7fP9Giu09mTs1PO0
tUc9tLroLhwSynJ+sl7RnsmJdNKAagbJLMOaI4KxpnrjvH1nfR91T6SgmE7Sc4M7amNAYfW97lIS
oZQkh6nuDxXZpdjHxCWJsYtlTXOixdipZX1tyYUveQY3XVduS1v+kPA066vyU/Rc+NGQgK+Ld/mh
nxRzoBnKwU66pzTXVn8+s95vF8fqyzyQ6yUvodY2QVpDBKwqjFN6AHvGAqp5FowNvNRHtbRvU1v4
cT/InmQtnjE3t4GAHwxsnqopP6LvQ6vX7vxD5TNUgRKbPsNGj5nevmOys1FU4JbarGEvrfZbJa7k
ABJ77R3ZtxvKG0xxtpx+ro5tYJg1btTMR3P9tc008lh5+4Sn50nJIx2PtfbM1xqauLpToh1WANAg
Z4JBDkvMHyVGbNWYKU3krD0xOT8oBp7EzDmKpPkYk3UBX2kOSCa3OCkQR62nvlQwophPTTMeKhjj
Wn/Irw1TCiZzeBAplneTBAAy985lnbDeTPo1zb/hAbzMmpEt4/x3s6p9WOmwn/XgoQkFVNlnsGBI
rU47sFZ59Axs3ODh0sEkVKAs66NqOGGW/uaNYCMy43D5dQGTHnvVtVS+fhpGTK+qbvqD3rzUsriu
zXSeGTHrNM69E11JatmAheIi8uZ4CHq98vR03mZOiaWPvfNtdNUoxuZm3UviG0hqHG8ObuXVnAKh
2nQXlI258WWz9aqnUdSW3tVWPkDjTUMBKhGENSlmtt9tmhHf6jFrClczY89J4o2lpYdaSvadzgvJ
H9nDUBCIoEf3MZbPTjyFHddHrh5tiyGem0vRpk2NXcdQt9HmHfXMs7Zox17neRUy9vYcSQ9FKRP+
UDahHfEftdKnWEUSrEXYj50vJu32yBMihPuaQJIns8zi5zvRQanLadBb+5RKpJEhEjA8RdW/tjfO
K2rQ8igjTf1aoVcRIFDv0uW1SHWWrStWuFTGVle+1whnCgvKuYbsbp9VnFZJEMe6GVSacZDU5Day
6wyslBFlNSa3Auh8E0fphe1hi5ddZDv/yKgLxqR+eSRMkA93VIhJCpphLS7rgg1ijq4L45ZYXres
Ir3FueRFFrLCAjKb6LIfv0QzgFLG6IVUkdeFkS92V7+PpIMYfuReCqLxHeAocJgcKIkU1pEdmPPk
DhX3k4nZMu3CQeBqgv5d1/4L32O5gWzc81Yj8qT4IRP9YLJUBRSt91o7PlQoelas7hfdiA7RvNQb
s+nfnd4MUjDDrjRCNAWCRfm/jIK6o9eCyRnm92Kw90MfPR7GCpycuK+NYju7RiYPTETlXprvRCw8
lts4GFwcOiHTzo5RAfrX5IeyNK6tk+zHrrgmr8mYHpzorZlr+jMcLjFmq1mpHq3vREs9qT+9A76A
NWsnVrPZVJPjD0qCE4p/p7rGXbUaw2aKeKScA/51nueo8Zt5OVFmtoDVwGjM/ayAbGDJiy37zjOS
R8+6QnXQwGz5kdH7A37kjaUiTfUWgqSh7npFCau0ehgoUnS5NfYdq30hdxYtLIeHHH+nheyFqFgP
i+Hsu2zkAR60Pb7678WOf8om8zSphNDkxutV3NoK+An8LJUj5N86MkiZfadITk7NQMk2CEqLONxt
68hnwnwjeplrxXA1ZfB0CJ48T95JY4SaNYuOWhmUvVhDZW7IndbyYZcU5pmaDqbMdMFtXTzS27Ik
T5ivoBmkytViCCVVH3xLYc+r9VhjhTXF1zS6PYa/JLj0e6M356vdtHcrne+5DR6Rrj4VQkKfCg0f
dQV9W7O2fqSvtwiw0mLDsDqDAJqa8c35cR8zzFfN52za/hjRfJVdkGZJmCaT26AT1dgD3UUqvsHg
ZXi0QLMl3xosGuGs4ZJh17pmJ78CEpBp20dV10+GMXh2FINnJ7wmC8W481QxalYn0kMJ3fAaXT1q
pnONpHhrleEcvyT7siTBqHBOrH0JasrJSO0vi4F6phkbZJh7Y6rnJb9hy36JesR+MW8U4gf6kVyw
CeN4T0ohY+ClTe/NdBeW15jzLraN58mIA6fKXm2JEB5Vtre61B1FoTwNs/KUU2t0Golhy9AGNueR
FX8b5NzVCk3qX2YTNFKIcFb/cpbEQXCbNlN1ndHJdJfABARjp6kgf06nYwUkoLM3CSdKpRRRCHmq
WlM/dXLdzWQBm6vdMk3cc7X8iErnqDKbkWv1lOtg3GxFqyjfc9/OhnO7EFcQRa9xcTUna2fluceF
uUu66LfOQB0sxdMG5mNa/kL3D5CT3SapGzZ1Wsy4xHFJMHMJy1bAOsknpTPDHKPQeCHUaN9m89/G
fsIwCge2mG8S8tAk2A2YgDbko3GULDGhltVPnaxtI/qw2qhvst7sly7dzq3xYip5yMpWqn9y+ry2
XQG6zW3fW+gWZKg8SJrSKzDQkWJxyGw2wVTKN/kfUM8FMFHS10GvpJ5RluSA6Sxbyg5xqWCdKl/j
CYFCVvMz8/03NNOj2RlfZdc/GHi/7+VrJJf+lCCh0nFz4GyVvmCWylJXTSpir0Tx4U71QcMDWt1T
HAmuTogyzfpJFNrLucpf5CgKC3Xe4S7aGtQ6nfRlpTxNHEw88E+T1e0HE4l3YlTBq6FUr6iMPPjF
LW3jR05N4mu0EzGd2WyMAQkrSL0fRbJ85yJUV4VTrk1+EG52nVYQVzT/ExE9QJqUBimdiLJ9dOuU
+jKyA01qun9jtp40Q7suwIP/x1yo0m2mtBgyKZSblEunPhDQ6JbKhxZjGGrtdIe7fx9nOtU5m88i
1VaANNtviOAvQI3AEAz3CATxpZRmVxq1K8qJKpp9nBafXTGtmyFvX+acy4zkwE0+VX/xkL9HTfFH
cuE/exYfeoRtsessLBgc5V18zibGIN01IWtn0zPgSrEdljHqPXYPFU/SQzovle2QIswm9VtpSOyR
m+Bn+Z6Qe8vKoAlQCTjMpK2En8DLKiWUzBTAoeOtsR3l3MfTvyUyvzVGSd34AKlr+UWCvxBEvIx5
dNQt9T3Shw5ZfPlI8/q4MACcUrGvsMdhGOaDh2PPem9l2VnKdYPJ2524YTKEt8Qg1eWtrOc9Hj88
ujS/BYvvNrl8iFT8/6iHOMfU5EK+H3OvEqG92msa9AlYSxxbvFeI0owTaiyMy62g4kvqXTRy98S/
qsV0uN4LTocp/VqRQDuJEh0mL97IZSF7td2ziERov5aJrG6QweKZL47SyN6kCdfSOGIpYkWXe3D/
R3SBV2RBV4zUi2qMdUx1Rxt5UKqDSe6+Wg3uzdmWMdnPRbGVEU2I57pYZOtkNoFdxeIzPrrmVnmH
33ghBTOoFmxmrFguiCipmbUJvaeVtmyvqduryPOLIi1v+c4WhDsPXXvK2JidWj+4K/eNHl0bEkp9
9TFSqrmtY+kFAma71ljIiLBJ/MVoweRFyGrrjzbhmUJh2BqL5oMQ5hulNA6ttTXq5gfXyhnfGrRK
0XzRV73UzlD7ffwoqo3OZXPRjxDxNmuiyzr8duAFrNslnkh9KFdOy5uJs8upnHuXjqeFTcXzWJcu
rmf42DT6hSV2CRj5sPLoq0NWM4gmelDjF7zJAq93hM9H10C4NO2EqemYLvafhWyBTxNw1oycg1W9
VlTDrTOHLWlHbmm3r52ZoeBlrmrfG/ljSLTHJIyXk0c5tupt56jv6mO3HrFqvpRXfm/Ml2QynjDI
73MHDGapXDEwaNNRLOI+8RV7uUeDX44qY2RML6te32cDrK5Tk3QTpwYIbot9Z40YTM32TaXywadu
vbcMLoqSV9FM/z9Nf/vlp3JKMP322WmbHZfVl5pZQZIXFKE1mSiVDyixa0sgyCbeUroJRQJWG+44
zK6NhV6jFcve7ux7rN0jKXtyVqskFWlF05aRvb/thhkY+Gf5CKtkIGuh5VBJT8HcHp1ietGVxBvt
OqyI8TWLySuJTxvgfys1uqX0GliLX2wiurG0Y1HpeA00WCwhBXEvRTBc4L6KfFy1+CwKWEcppTjC
bK1dUpXSTG9QhCOWkNZurIPn46/dllK+r8xMw1aSf8rSZ4p03RplmGpfzPYO8zR5NroH8NG+cHCh
xjofuLiYAuxJs54eZZgub1pIccda3xCWhUDgXrPdkPApLuU+ouZtZBvx15D9gpMttapzkzCns4fu
O5USN9EsZindLeWb7eTENRvzxbL5CelyLNXXdn3BD+HKjBGFAQYhSbdY5S9t6L/MLzd853aAlRbr
Ydm5lKFMNwqAbDUgC8iVU3uDzQRjXA9aXshMvlNG25xKJLG4tqW8SNp7o6m3mpMNKIasFMDjAulW
ZdtCsj7kUQC9cgiWguA7h0+6GkgVBvZJSi/KpNirYlLXCiw//bmoSCbuMgaTzH1WR0eZXpqLPDT+
hJ87QXmOBirRpstdg8QZN70VEzsdVHr7erlh7fzuKzOYAHezOX1alf5SE/+lOij15bOM2mPqI4TC
7MeGDf7joKLDxSnkUzjJrsWQGIEaGGvHs2TBzg8bOcjL8tXAPMLoD6knOkn4E7q0xBONR1vv9lPt
XEfl0q3PuqFup0E7qHBU0mlwfh9pdWJ2KM9EYD0iCkgn04ErNAHgW2BYXmwGoyI0lRZDsfUlVI0L
48JGvbuhye/DikJsRgORhx8JIVnLA07VmwH9czqSILCnPsmJ3LS22VzcNGTswRyvQ7RX6mejVK9G
r/m2bHnigYgnWOpVGEqV75k8vKEczrOAejDOkmbuCCD5YcwclOy+lSnJdcARvSz2aTs+tw3t0ErC
RUOOg/jre1TjjEFG2ZDmqDWB/pihkvBa6XD1E35umnJtVoeNgrzmLjJJbWryVcvmhmRmah+Z5bTK
S4opcoOG+WVTQCsMOrv0fS0V1uOi9w5z7DxA4i8ASIVOzZ368QyWm7hFZqKY4rNYJK9NqoAU+0CR
GUIQ9lYVtfdwlnVdclxkUw51Arc2jZ4imcXXdbBOxUw8ziJ9KDpDeTEdoki5SbSgTnxO15I9e7jx
lp9B6O+dYRxnCLmMHYfUJ8Zrq3LsF4IYDWYiuPtCrp3tYAPGm9GhMvdxc2+4KoZIMJeovNpiyK1q
h3Hs3b4jWKvQt2IBoFwm5671Kadte1goNZJa87F7bE0pSGVwkGjJghhQRS2PRM3+a3XpzdGYwuQU
KvG0N/V1S8iUl8dlskkpdxYhThzWbm8j2edR7ynOcu+j5FMvl2cygKF4erIGyidS5cK6Y5mg0zA/
G3dJNCJCUz81E4nRdmReVMTMKEZbzWqEqnYdJ6gNqfd1u4gQMWBkZtkOSa3czjhW6HVxsROZTuLi
pUjNyzReKgWzR945CKTFkYDHvdZhkS9wGIHD6hOPYbU8J1LxhZvyfV0SggMefzW0oqVaeaJM/dMc
SuzMYVmT6l0wceuDjInsQswoA4zq1EnS0dbjjaJ9iPjdaallsvLLUR8pEMNBLI2XymrYIlFzRq3f
lak8LWRDzqUP2u3WyjGaxoDAUr1Qi01q2r9CxhOLoy3ZkLV5SbsVkL5DVhFsFzWLQLWKxLUyBWcB
OXk8IiMHQceMXvvUJFlzCctjm1JC9t3IuCg3GBQbqZ8zVo9f6BoCUVDn1tGzPErbhNY1jxUKRsV+
KZIylDLCdUaba/0RFyItqFQdWtIbGw0vPWFXJrQR5oYGd7ra/aB5EoT7iMth8vs4gEu9PNlE3iEA
S4l+auZ+j/1kD1+6tcEHkmLgEW6fI/sPbg0BvPAw7VBU2puF4sruN+mAgU33GK/2zPIW+Z+yQPVH
6VH0Oi+DQ98fb2XlzdbJqgRcKrMQKReyCDiqcKOEaXz+ADLj5xmZvQUd2AhHe81a06MCM8Rrwo9e
62NW/JTRnThFxht/KSVTldcvMnVvmq67uKzCbC6f5PU5W7p9Pia/kqS5AKfuNPTvsS72ODzVBSKm
qgxiSWRqkgdgWMmvRII8E6t5zvPMm/XmbrcLGX2VK0mg5bH6GS/C550/DhpZd+lH3O1nfJ6EoENG
QXabpyQz3HK5WZRKJfoRKj7p21Bo5AptFhwcI+mL1xS/O5ybi8DhO2O+N2fTTUv90MeMFLpuv0BN
2yPrIRVeJsZdUfRXlENIgiy41K+Mp6mMr5b4NyOdGkW6yTDTG8qetPeL7YzPsvBVs2bP6T9nGLhm
LbRp7t4u0MavKfuynNwXvFZoLrEZg2phlcgUft6LPn5Ii+TGotu2nDCi/tQKmeCfq5K0dzN/1JvG
k5Rj5Mu3WSeInAB/VAreUN1waO6cnQZNskkm+dylMihz6VcyZ5deWNNzNuOV1pJyP1oVCbDTsbN1
36pGTxZY2NIzHyJBDjBHzicDjHM5v8r5KeZKlh6WYN4MM3+RAIQI26UzQcHSRmKpRp+Igm023R6n
YGptCDZeXE3KLlbxywWPiWJet8v0r6yrUGLUO5b/WnWGD2i8uc5JJHy2Mhyt/1Lmnao2Q6uQ+Hft
ab0z+ds2t0QduIn+0hsEnBK2zt1IAXMzo0sGYM7t5CosITCT+6SjCy1P1Nwqk1jRxgGp9wpYrCqQ
B2AZNUEoXzHJVEcJvpex6r6BCz9i1r+JSNihmpov3Dduf+kIPQSawzdfNMtbVo3/CDK1NthWBo/4
E0JxUS22WvFD5xXn7oinAjUCrpU5W99/qmNm3KfZPpNaEI5Y2o7WhHlwGuRzUteXdqhNVoK272JM
TKLhSvt1bJdfpY0fYce4xKLU8UwFLxvRNjvbeMoHI3rBkTHgw+CzVWX9Yy3Wv4ygmYQ4y0srUY11
uJRQHpNQVCpYh1XVfsXLaxJCiLRjEP2uKuZuRiBDUBl/ZEzmJGDK3daqr+QJNeygujFtXwJGlACz
rZC3atOVZCvcDQ7XJfqeOABJraitH7Tpev0U41Zq/9ScdLrdBH5dOncVSJHYyE0WlYGOs1pBvmCV
36aS/xXq+7BUAWqZkGmYKtd0dsIkNiwPSB0xmq+Vg39krLJA0FJH8kB2vkWUzhoAUDES7kEzax2w
kY89Ng+x8Y470c62akYSR/tkki8RIULWl4mnWdKk3WLYgaKGDQMCDqGicQlDcZMexqkOMPNSKF3E
hDr41NHYt8YfTLFOTnSJLdwc75CirLvoiZhQ89VdYST0e4XBz4x2oiJYKSYJYvI7E/5c/GXgIekq
QsyjrkFqpjQELbEHOcwcge87u+O5/ZurmLTmELBZT3jL5UBY1LhwcAIy+9HRxhzHYD6zQ3LjSSVk
n2TvJt03yW8vntn14On29zz52fiSowbjKdkjGWUOEKBCKIAd8bvdInFoo4IMA92t12szaAAKMgLM
IZ52NudvKfa4V7ypO2WYbIal3fTnYX1Oxr9WOTh/4yM1W9nzprBHYVc372UjQLDSY8Ukr+6yQy/O
I9pPNLxVYGjqspGzkVOUSKM2qEbeLaRIenU2OoybiKhiDLZW8yHwckqLVxZHh7JbT9ugR7c3ktFD
bCHwNvdZNLIxaXVr89q06Bug42Ijo/mr8bmIzkPjeI7yQeQBoTCbmDeeSRkeQ3sA0qZpUTOYoMbt
v/5/chAzoglnoVyHhF675HljKN+a7QjbpW3q3rfS2sPQOSF19jXGeeVqGp9xZ3uTHjpkj6057wEX
krM+0UgQk9doR1MJdfOSv+i4EVtyNXsKkDXbE3CEN2HlznezIdtJ3NIMDx3Mx5ivmJGTlsOMEa7L
gPPbyytmbz6aEmsN8bNuR6qw7JSemqnkhUssd3g3Hwbe6ObMiL8IaTH1aFa/1WRL28VnoeFuoEwU
ySWxjpXcHa2OHq7lrJTcZPzo+ZR1LimVQ6rhfye8eoN1iQ2crjVJX9ZmkLudDUzEdgcwPzQXuz+P
EOSl8QUpEMncEGz5ySeSxFJcvhg8cjIgpjZUUfTTKUjNMKKKbPVt1zBwgoGhSSR6DYudycNw6ad7
RDDBY+9G2fyy1233CKuejE+Rsu2X0tL4j7oz2XFcSa/wqzS8djSCM7mVKGpKpXKeNkTlxHlmcHoj
P4dfzB9v24BtwAvDK6OBQtetWzczJSriH875DgjmpdssDWIThKPoYSCgRBBKkqBk+7k+MKbvQnnN
qoNixYStdptYfxxetVpP/Xr+I4GWq+WhbMlv64EdqIMynwfu5CnlmRl+kWmiNEGCy5KJPVDJcUV8
NB9qtNZsKnXWqIbKwLGAQJxBFPUnZwC5yB5/mRBWJejL551r0V5zkkB7RONHn8iCeaZKw1SkM5SO
Y9wRqNu86qmKy6dWW59rbKVWSRGiZXI7lMj/2NbwuZZ8C5l4KmOQQmOUsWB3Y4ZXuvrshQ0QZF7u
Rp2BYeUvzC9rljs1gR1Cf7TgebGOCCjvIN16YY0PpQHQisuBtBllmCCdsOqUWetXXrtOIhm4hjES
AzOeVAC4GtbGTGQD8dlYovhB2RL4Ij+OZSL2TRTdmUnpt1B5/YmRTxyV5Q499vgKyxLDZ/dV5TV1
u2hqv8qs5DZR8iV8DGtDsdpI5UuUdaj+0vxJ0WadLWd4NFAjQ3TfrDCV1GZyabPhRTWLOMAioc4d
XzMrRhGsce+lDI4YOqPnBlEN2O9GS6/lYCLKd6Av48RgB0fPx6io3s7utINadVxYWHGYIIUcznF+
Xw9vCiNjqN8a1TfOuE10UeELSvQTeZRwULpjyBTHQBvGVbdzTaawGrZBaRWvhgYZpHDi7OavXwwW
vdk0aGeTBk5jS+4Z+I9lZf5m1diBdkYhHMk2hmyofUZjNARWwwopCiEgWaP3QOol1X3Sfnu0fBtV
dv6k6cP9Wp6xHtin0SC3Rg85QzTQSnRYu3FWEXLYxHeOkVGVp++Zjc6iNjE6Yr7DwayMHY+xuhQe
EySnFeZHCr2qTah4HD+bsINEFQzmtgxZ8nBzOPieeofR2d1cszCSsM/rnummM+MWkGClnNWa0Mwc
Fl0xb8fKAmw4YHdcytd4Cd/Gfr6pCv175PF9EXg3ochF+9nOk7Oo67s068xXpxmLnSmyG+hIVAMw
nls/ReCD5x8s4Yq0nJccqfNJKWxBEudW53dItfgMe8Z8zkyNwRsnchVf+qV5hJ5611CXAyNGFnOj
SSBtKEll7L4BvyHrBj4dMV5qG1rW4y+rrVu5PLRldiGZzIXt2H3O4dlupo9+HoImD+9jQ11Ki/ey
yVk2OmwLXe8H5U5PMsOKRTZuGiO2V8zJNbfMFwyj9w2NncnRMMLtd7TLQMXQ80NZzM87lAATCmy8
JBLyWyzH92noPnUrRSrbb2ddbk2sHhijkSuwieFhjYrxrA/WYxkbUB//dIgqm4Z/PHDxMynsxE9r
qvuBHnvCK97jeCeQYMM9zdT4p0j/iOphlg9Jfxu2SZBLm4ssOmr1U+l8KhSGjVsdczkQbHTE52BE
jw2mBhx/vhWn4AX1bVdctIzdBDrqOkKIVbEkQrZZ+7WRbjx+oMbK7hMuaZxTEC+ec2aLHgFStWQ/
FSNJ7BEY7anxKg75VfTulm9jx/S/Vy+G+JnMV/I/tiEAJFu+9cgx09KkufnmU36qYgO5Wrl/Keht
5kzbt7hJrDZ5LuY2mNMxGMLvMgOS3VOrzFkarHV/HIRRF6SxBcwfD3Q+3xogEzak5wRmbv1JkwdD
owflfoxQQOo1CoaM8bjKlsPEtTrOmGpnQEQQSsiTOuVS7lpeWeJg9ypnm7ZI6z1xpodyqg+aicKq
scKvqi9PmRqeUsfaNO2FhSapCLNfu+lLpZ+1hikofYKZSH9i59gg5mve5/C9rcr3QU5bRxSPbQip
xmXJh7mHKZFf3he45XMj2npZsl0YhNam/TDQjrMzhUF7v3TQ4rK+OYUYUFvtJUnbt8SCz2WT+8Th
7YDFaD69IvIrvbw2lX2CY7OtiHmOKFgFYy8jwUXsKiYKA0WDg4I5wiuMCGF0GLoPQZQcYzFc0wwO
3uxL8oQi3bxtGWatqXomDk83urU7ji4NInmGq1b5bSReQjYfelMfKhriGACVZzs+uQbo1Bgt0O5J
pncopXMYO4CTL4l5b5XdftHYOSmyvLA7xdfRS2DrBqoUPCrgbjs8fV1PQaW9Dzjmqm7E27G3eoZN
IDU77nbdGj4Gc96me/gUXNuDn3sOBF/6Ej3EKYx8t7TNl4w3oKSNtdoVmMTKV3hbscxIe0mIkunF
oAmnTRIRkQVFuxva7oUS3xMxL8m50Dseq/607t/TgSWkzvh5IJpkykPcCR1YGXwwy/c8/7DNPGUy
RPlxkdpwSH5/49TgL3MTdM8wCHZxwYK9Mm4KpKS1eY5JPCk1HjZkJPlQ7+Lo21Ljbi6ZjEGlmtNn
zv9N50YXlOLvffo4krVgo2PE+3EX0rPY+nSnmA6YmX0P73UnYmx3dog5nXp9rli6oshouR1VKNCG
sC3Vs/dV9qSkdrSdcDeJ+iZMy7vVPpmF96QZYdpdzQnaEQmt7y6gnuSfMpv5uoh0pViekoHjYBlP
oPne1ojyVKCZMFhnSido9GJfegJLefcwQZjjTmlIYmPcxJikY8FlxMzs5HlVScv4c4IiYA/0NnFz
74LJGGD6a8Z9hTEAj8JxD4DQ9yb1FZft41paaQhOtnGojg3+G08o1OE1GelYEnTdPk2Y/0tQACI9
68h1+8g9crjw3ABMFCF/u+DzPxA0w7iQz3AJi9CJz5WFOAgySuWax6KxiHXziKgNWtX+CgSDad+d
M1177OgF5vASlVcXkusk8z/1QowCcbNXs+uP7qRuSeqJIuxJGElHPnFwNdjZoAvT56O0xIM5TGf2
bDcd5oq8ayCK6RsjTHsq7+pYjgcuraujmdde0tAqAKTTo7GAR8gG9yemiU3Uq221nJVZABvqGR/F
IUEo0XfBxGDUoom0vW9h1vCe2FyKB2Z6pWcEgOmf03E+jF+V4ewdDEDYcI+27vFSZ/Ohs8FEOu27
8pjFLGxrXiZ58OhJCrM5x1oFjcMIkvY+ndzXdK4ujUGw3vr+wEU23ZPlvoSUlZO2XJ3VKbPudPh4
uMy32JqUor8Kd/Rz9y2u9ubyk89FMLCtsGMgDGnxk5JkZ/DwC9wNfPAo1Y9SQklBGx2DuMnmbj/L
BQ21Omk9Aq1efMFUvQOo1Iv4UWQYwszxpCk0NGAwtSE5DCai2iG/7XP7oLGMjpCtYgC5VMwp7QpV
LlvvlNenCYxYPMUjACJr2A+mjh0MS5CZI8uPt1p5V5Ca1HR5gAWJPRd8hJPGJWD8ROOKl9gYtOa2
CHdZ+oyH0DWcQ1ZDKMKj4oTxkzd6+25obof6y22ZZMV89GkPGng7Q3bUmX9FVLRG/9DXzRV4M92o
2tkdTBRN2+TGfC209G1Yri2D+kr/adVzFtvwarJVh8CZutfj+tSbPdy4Go3ChECW+xo9L1kahNUT
KVlH31FJZU3x4xXLa7TcOoX8sdoA8PU+TxbUYS/WQEKXjmL5E4EGAKHwbskVuOfwm3jQTdW+l8Vn
wvYNe3KMHnFIymsMn/TMhP7QR8U2bdDdBzRSJR7opH4ZtXvgUgBWWdegPtKjd2deG65oZ38SQLRX
QH8kurIoV3sr4WtrH5R8Hw01OsZHDD7Qw/E+low6C+ahzLHZ+XEV3VYLQ18xb1DuFWbPcPsjM2Hr
FR96ha80dV7JLtot81sb/nQlKUE0zmF/8LpPIqf2QlFUS/lAlUpGEhuN8ujYrwi1grZize+hIabs
rbKbqr1fnPxB2I+jK/4I+y6f1I7F/SZSCGOc36y0biDVbHBX1k30p0Qmq5M6IWsBTBiwtiCKg0Mq
XH51rvmJeDsi2i2gPZTb+8b8nWOB61QciUxjT/1sVE8AK6H4CZSwIXhGlrWgHWESIS+sjgN9KNw1
1OdpsK7nB5wgXnO72txsTdsZHGZrdl9elIE7w6Pr0j+xDo2+GB+KKN2SiwN8MT6IOghHVgoz9jr7
sSu53dw7I7fuV99S2SBJZec+gYSQVRdYSXMAA3OafsIaUKUCvJFMHeEmIBas1pfI6DYsI+HOmAFS
riNZOYz6xq8EUAa9Hl7k1stQFoIohyh4SIeLNI/tM4sWQQGaH4Z7vtNwkefpdsIV7KR3SX6PEBz5
qWgsxjEvYXxNB0B435KJWxQwsx29p3i4Lst+zG6SGL+b73x41Qrjeq8Q5qmWvafe7ETLSXeCXng0
OGnsX33yApP9ugnBv+PGcuebQVNbG8Ty0PFsXeNkXdZ7j3bJQGrKbthezm16bkxvD37v7JLLqlnf
yAF4eNDfe5QHwtgMLUPJzr7nM0V9PPC5ivekCzCg6a7m8FsKiWrjYnKnwcSi9zCeY3IjN2N7JVKh
j7qzw4XeTFhlx60urn1MeHcvbt1z2j/bQDwy/TlirjkXzhGtvlOcAC76aaGxOjq3rBwLVqLubc9X
n9rpSxqF2Fux3l2r6aMgknYUU3SLTKL0BagyW5GQ2Y/peZhb/ZTEKuX9oUspkeNB76JqdxAkzLm1
kyhYhnnuXyK+E7y1jOchQ83KJ7VuzbxCx5GlhX7QxvLJ8dAOyybxCb0s18xIeY+qzg+XFvYGlpsd
aXLeLso0SImma7KSZT7SadCuMlzivoukAP0KOTvlzutQcBe5hd8fNtYMeOtZ1ns8rz0AcE6EznX0
06RFt8oGPzZBaePIFibhbVHzp0d5x+a9eNO1cAk66whbJwnC2PhlJ/RHqTK9lFCpOfAjshEbhMKQ
FFneeXSNANdRN5wSAF/nHnwaEvG6vsTCImis7nLWOrS5RjhEr5Y5wAKES7T/67edA3Is8WqUoeuf
4g04aOlsPJDdUDyha7ep7DvEM19phRZAG9L5CvrJPme9iSZalHx+LOZg1hrZ4fTlfUafcsQXI91T
rNX21c2gcfX9kgaltSBWtitikfvF3RNlzwSjdMmOK6PvxJyhxxnuh0ZKA+XV6O6kIcW5q2MgiNkS
bRvSKOCLaSkslMb6HNtcnntWS2evUr8loMygU7LwlZYiHl1GXJ7QmnB/EWze1nQRs750h3Fmlzd5
g3XwnOLOm+aGL2rBKHWjMBgskPyqQZGio270VijAMNQNqts2O9tdWuN0qB0mL4Y45UoJfsDhviWI
KiBkiFhiAI/xOpuTLmjVvJ/1U5SX9qEFR5cVwj47eBdmBTm5cqxzgUyWx7C7a8qY2EqFf5J6FPRM
Ml6BDrunvmX6HcopofbQzX0RE8UYJ7fWuGjnSr0krl3fgGDUVYJqxjAU/lbmZFoJFNvREuYO4YL0
TTUN8bYHaHK4gTAbBWbZfXjJAF6VC9dOwUaaUdJuXZsHW7KLvFvUPS+cdSbydEqS9rjwAEPohKiv
k9Glo3rK89K6WPIXvgmHWFW/IzNfUMCIuw74JiVgxGZP6e5hcbiGMAddFkw7iwgyLfyaZA0Hs6eX
jOvxFJsZR3ldfSRIrS6tII9xaYtjZFc/48xEHr02xKAwOXeTONkOJj87bKpdqpu7EvbqjlaVsZrI
s31fDCeutsceIo4IYWbEktVZPGTxmcUezBswOJ4Rvqi5ws1JmpRf16vRhlgpVFH7JVThoRdU7JV5
JnAWtj2uNzbxFiqsIqQymBBCgOublmyVFUI1iNv8GOORwfY1XvBJY3iiZ2iObc4czCzXcXuC2XB0
MHbknsQiwiZ+riair7VAyjnE+nKN2FUeHB38TuG89yvF210tjObSPFmiWVE6A4GaTffsGpjZ0qK+
QvdjbVBNEs5xad5Y5XMHHfs42Ag3GTDuq5zxWgV+kZDWP1VkXnIl50NtMUEyBkixcODJTeAWJeGC
s6ow2b8KAKnLQlVkKyARE4BTaKYBuzdwqDOBe5OmIQNN0JI3qDJDM2xfbQqag4wtf1yNsImi2cuK
ZA31YHUbTdWtnq8iGI5kGas4cEZdXYe4G67Iir/MNs2OC2iOqNQvRQvHpRhmskETVF4JV5ab3y08
DBt0Wt62WJDxdglcQa9yvyydEz2LtbVzjCiVCsJ0CgdaNfAhVrL2ejrkT60qXsC2sdnENt/E/RS4
+oj/3okJ7xDjK0HUNsx2Ep099URybXNrxMmPmZnJXuItRdUqHL9TFkC2jEGFrIAAqMQ5zBhXnjPM
h54zLr4uKtymif3gCZZoxjqy6L2XpGvtnW6qbxLS2UcPkjCdA+LXYmtkmuVLpGMlmamcy6TpTKR+
UDsRAIdyTOxkLr5JbGBcoOMlBFaRoKxHkNLNEiBsCJFtNtw3XfXYhYCMH0Mbbyyjvk16EkC5bhik
+61igeOVQA7NXn82YxtXhjcSyienby0xIMYlpY2au3xeaMJyBrVQjXivyqjdi+WiFbRrY41UD0oT
LmxyfwzlYcOvoZP+xbQvVXOu4+mP2zk5pnHak9ZAvlqs5tClGr/J46su7JqrS6r9TtHknkJtsvf1
4txpU5adHBuUrVDpjWgb5kCasZuBh2+SBZbvwAKOyhgXt5rHIzTI88zQ66ZBjBCiDgk7+Rgz+j56
fbZtawzuNaCejfmJecklLBb2Qjh+Z0L7EpV2MiLwwi5J68eFHXWGVijKrEekH1YGnzx2MAPZYn5A
VGbee83HHOkH5ngm5k+Yb9FEz6Zizd6kervDiTVCfWzDXbOa16OJq0kVe83obWB38sR7JneeLHPf
Zc7eN9VtWDeo1rlcdg7rc92gd4kLRcwVPOZkRBYM9cykEWiHU2zDvigQrZFW7gVR7sGGNwWOcsAx
ZKxX5CRM3TbJxk1sV6f1Ib9dLLBdgsEWqrQO999DI4zoIFC0OTVw/yrj8M3FDWrQd9epGS3n3naJ
6vzCKHLYGt418az83GghC8m5aTAskO7RSlgJ4tWezFNRVi52K4e7IOr3YJppBQT5v/MYgpwrarra
1sUgoqBsOjpteIW2yXNkf8w9tIL9R1875sWsyKnpUKyFTn3buDoZyC6FGfdT5bOAKpjHR9EuF7U4
FWHybmnkj+s5J2ciVrtYpcPHY5VDxu9H3Pe/ueVQQZcmQOCyO8iZykLgQNqBXM90cGSd152KCJW2
FnXJzqPfN8s4DqRh/9SR85q2+o4/jrec+e4+lKje8kLDxcl6Fhfpe96643np3QcEeKQ+D/BGbdcD
sW7xWVKDjQ8RBaDX8M971pezW3N54mQ0Q8veNNkErgIaBz4V3PKu29H/xc03A6X7LF8BSlNkHVSB
dS0TtQlzwamZKeJwjSGQfs2wt1ZPTVsgkST8825Qdb+PM/2pI9zwUhKpAOIGISy8bMlIiB3jHbr8
C2hr4zmM2LyOFgBk1ZmfMKm0Y9XhLp+WyLssqwx7pHmwBv2QEzV/tlDppHyNmxrlydbk3yeuZe4P
M/cmsuTiBShhETQwf3GkRVfZQH5ciIIP9Bqert59Sk+8RelAWQMB0K6aFj0Ec8i2mYLGwL+R9ogi
mVsAmVYukPwEqjA9czdY/QNbh6NGIBYWJu8UpwD4jQTaF+0+6FlaR78p7BG+8iSC1rVWeJtxI9GE
sGklmrIv6aQd7chLiPisZ01OaCiQyMKOfXsKcbxmPD3AfjEAmleN+ckmyUmMhCBbBFp+bZvafG5d
mGwVgNVEF+mOoHS84PIjtqbpndG9IFXAlxXyszYfmlNfopYwdf0FU8BjQ115XbLkZNE73ALGv2Xz
MwSUas+o5Uly09FhVR3fUT07AbGTHYSJEmie7XR8tGx2AN1lMKqbxcJOMYNf3TrS1uhFcwNVtGAe
Gy7GB0zVP9P8OvSTfelTp/ep3etG/y6ngsh2RAyaxfrSktEFekR3tiByaXaD3LqygX7QGCRTcnFc
lo9W7p01Kd7DCdUeTSazRG01JHjPsyrWEeEIXXHOHhjzMNgkx9yxQ7iI8OKArXunOpLHQdC3oENW
O518482YGedp6rMrm9ZtI8L3GrI6epzdYsPSG6FTbQZPoHNOUMvBYfMGj2kFqXh3zjKgcE+i93EM
ixtvvieZMEJHsgajOEyaChryNPN032x7nLMiHo6Jm/smSCx0XjeYBeD4aMM7BvjjnORG0IXzN4Gj
1t5JzgMpV6XJIqd3jY2ybNbqpfolXgVPS8KUaUDnW9pIdhKF8pe3DziE3twUMFfxTobjNjPaj9E1
aTCqENBZ9KG78zN3576jGT/YM2fXqECiGT3hb3qZID7v4ZfqAwbXsavFpWVrWE7ZBOPaPubtzImF
qFe6y6OtVd61mHQfXKLDBT4D4u0Z5gMsIfKJqiUqW0RMcK0Q+ObHQrmrNiJ5j1VkXB0ETrWIAba1
2nzAuwahxBhf6h5TZmIClylXnaOrTUc3BbxbusV4YCfx3UsG+ghEwFSnxJNnmHu0uHtgAwg0CVDk
YeSNxoNfdE5/Q2B5YCR8u4QPXEylq/2irBS1r4eEhij1gyhCDVunwcLEoubjUSZ8TRr7UqVBrT+i
dkdBggZ2kzXZJ0JxNvTCI2Ku8K6tlT3GLTJVg0PGj20Se4dWggycIADqTqv2rmd961bLGDMu4bc3
3g2ZmQ75dZnfTPriTzZxD0wzz5HR1+8JmrzMa8i4pcJEBODd6ULghT9OApND34ODWchkmloUhUxi
/YTP86YoV3JVFv+ScgS7JEWktDgweyfcuOPYEdNa+41hkonbvchIrFnX8b1tok3MIpOFM5rd3pnG
VxfSfg8HdozYp9AEkWuhdRN2q3gM0Epj7y3bm06hX9Ht7kgK+28Lwc2PFlztDHb8yBsGsixpVaZJ
bSav0Xf0M8g40/M497B34uoWKGQIZGGfzRYmFzybON2/yO7yYBlWZ54TI/hnSWYBGT9DtIu1B004
NzX2RKxzfovBiKzxHl1McjJbNQYjp+ShQl7WQWn3oxkhJbyZ3keHPG3zxTv8c5WnOlAdc/HhHCR+
51FU1A4QawtMuY3+Fkdq76CWzpL3UjzUIcKUKukIINSfvNAeD3+Fl/57jOp/CQn9+j/Et16Sr7bq
qt/+/0F+q0kA7v+c3/rwr/9Sq888adTP377/9V+K6qv90//jd+pv26qMqv8c7br+t/492lX7uyEt
5hCaJgljtQ3jP6JdNf3vurRZeTgWkaq64/En/xHt+nfDtaWH1ArpkWtbOn/U/SPaFSjH303Lsh3P
9QzTM/jD/022K9+Fo//T3ygl56gq19haly+tm5qpW/xPt3A8/LeI4XhMpz7WuW+Lvq3RkJvwBx0w
122BUqhuG32jT0tyFD0MNdEYJwJ5km23xtt5nHvThCE3dvUvT6zOebuVJyIKAFybM1Jd0ZREBlRo
P12SRcOwohah88CaDd+8FFybnieuUNEJkkDnMpsrRUBmDPUGDyVKZEbZzlaQqXRSmZgUh89AdC0m
ru1a2JSKkk7Wp79+mbu8AYAfXUkRG8C8d2B35HyfpYZEYBH9iQpavkpffnQQyjsrUgRKrH/FdkC/
NqstCyd3eKhWyVCv6sCprN/VWdAk5QmDZL5Y0cmoBaonjOv/+AVY1dZQSAqQTGGgnYmj7PoFjV4y
HvDtsFrC505R2dPQzeNSnhjrm13MyZKmE2lshMiKmiEZ2ouUwAlh35rriwND2uDGPv71mzRhbPjX
/4vb7NotmRYQBcMksUAM1jssHZxeG45CPfbtUBwWICJOKVkITcW7LEiyyXrkryYWKOZDd3pkv8Ai
T7ET/UnnnFGazlm7KotIJ6b5SRMT53SNEc3Cgebl0StJB9DZXAEOs8WHi1IdY8wuy/Qj5GtAtf2+
mUpxJCL6PNRztBeWuro9p7zGyPXAjtO5MZzpjove0wBOW47Qfcji+l2TJeGWHwVKm6RD7lsPhw/3
/lICFqgsBcmh69+YSd8DiM7uwCy10rn1ir0EsWIUiUB9CuNergwVSld6xZa7CCcwA09rT6XHkqNx
9tpg3jHo+gkXXIqRjXkvezy0zmC+1DbBpLaaat/p8naHChPQQvdtZBi4aJGt/VBEb4SS3w09GmyV
oO4NBSjssAmpcqNy2rKdstEBINZgai6qW9CfyWbQYqTMocxJ+IiAqmaPNgymzeyRPqxieewaAoQb
kw6VXCa/77z5KWtrA1n+/F17WDrSEUshV9P0mjv37jyRWhtrf2qLqCqlDpEqvFWlZQRgN7U0mo9e
VO+krBFlW19loQH1yJt3i8JrsyCdHav5MHAEgGJCQzmmRRXM7NsLo6bFbl7tyGR2bMvKnzt1K0SL
tBkRZDawMZvzCRhzSJCF1WKxSNszPI9lgdaJvuKFTwEeu8xeAmvCVztacDmMGd4FmDTGDSPEg62Z
2n68DvNbdZuu30TU6je9h2rCaddVS2y9jDaIs7E3TmFXosHKyJUVDqE7rTcDuQes1hkMhsuG/J3S
th5zq7+deTvcCscTSvgmyKiK0dt81G1yn0bPTITXAlJtOt3KDqWLYLMlY/ZcW/IzDsU3tfryZnYQ
7uLBvAnrITo5ZA9vYFeQU1GHH7BaWPjVbCJY1HTsAklXSMaWQGOTBZkCf7KL0hcPXIuehSWRHtTY
o21eCXeDM9e4t502X8phITTQ5H33qKFumlwL90zrAxWb3l0M2FZbxgNZfivZAvlOXpP4OfcgayWU
/rziSZQwJlKXg7TFBEQHe+RsfNRBDAUGc220QF+080TQxHgpwqrZ56l5A43IPSinfHZnsmF6MeS7
ORQ+YYdIl+KOALoYiASFkK+15tETaOKTtPppowZi0kyYYl1nRw5kNmo4Uy0PcrBgmYNIgjQIUozY
BU0bfGN0wbhLuMImroYTiZLaIRX9DYk+EAo8bBAzXkEyJEtHz2+MttZ3hux+5WTJTTGQW2+wT5IT
en5NI72k7YznLmfpWXvskhBZ0p6uHBOECxkrXlIIJbiRxOXVwUB4zjuJERfpncS9EZDEoJWWffAK
4kmV++VmY4EbB5uEGqInhnM137AZMhfuGXK2yXaI1UfWG1/RwiiWcQ6n+atJng141fLRM3QP7bap
9sIh31Dn8gFzvnP1gf0vMNict7eqB9gldnLxCNdmWu/sR216sWUHjzDpjyPM6gWp7HkRKTvR4qnM
Fw1uUBksDaanKuoYL7rwFZKasJoqNV+5UxosWzToQCYZXVk7YeSTT7DxvMVsWrPyoyfUE16LEtcf
WABHC6MtEsrPXPtR1dcyuAjqGonvh2X+0vdHhfk4cRdCAuoHmSYMqDwgJxSxyIEe20RAv62NLwds
Fg4sOTPiIc47L7sHhMfMASO2YhlMAMSxyC3Yl+fNq+ONHBbDTxhSho8eHSoZsAhgMattQ9LrN9Wc
mKiokFQYApYtnojRgq8S9cMxdVeCYwERoZcC+MiVr+zuzLR08dNFQePC+kZeHxR4/6Yx0bcaIOO4
SuaDNTpf6HW+Rk286BmikE6xiuVbGafsxS3N5qh1FzsiDiEuasQITnocvJZukzZG2KgKZW4I3FgI
pN2BDDnne0gjeag7ki6z9k4mLWBIi82lzSzzpI8PTHK7cyuwWs9d6fohF6ie5wR8n3RDyn1qal9F
Y8w76ijGFjSrBwPADUQzoAvEifPu8x6jg6o1FMIIm9KdTu9Oqg5ifT1VX15efKa9wzp2gd54HiJd
31KhANHjM6oBoeAD1D8I5LHA38qYob32BkYYxxXD3pQjP50M5BSTYItRfA4ojHbV2G61wtwZSt0M
qgmRQKhm19kA6kBNgATwaoi+dUjeefWqRpS4RdwcnJx0J/xEV2OY+ruIpJqlq2DuZaACdYHQQZpM
CMhVBi6S8tlPK+1WrxGFg999mlnqITt388Acw56kFdIAC1S7ITQFza4teLBkRYO+DWWds2dl7BIj
yfRVB4VkxJWUZvGuBUcZzLp1P3fRvAsFVnVUvehfEnMvh3Z1uOLy+uspW894jZdjhyV20c1rHaIL
gM5AJF30QKVZYfgov4a2d4MwWx7DWSDgnlgFV1zDCWJg8E312l05v0VSIq7vUPbVhdbj3mCmElXa
oZJuSv4DBh87YP+uAidk0lBZxlM2U7k1+pVJ+4iPcKp2CYc6lA/R+UmkA3UZhgLXh/eTO0xW+kSR
/MVcnVgznvd2LU72hJy/Ieoc2Q7N277SNgZDHUJbN3OPHW2Rq/BR8fPgUME34FRM0Lr+zsbE5xvW
ZKFBNaoLAW6vGQq9eBqioG7c49xpjI3zB0+PsJcMDJ1kQfYLS6VzWpkfmmUxK8/A6nnn0OW+XXQ/
RYZ0cgldZm02gEtyjrZIjl3MfLuMD6mhp2c7/2x5mzsMr3ACV0OK9zYSlWGonKR2C7DJMhMCwSQW
oYONA74fu7c1AX7V/UTMHRY8JWnHqJ1NlkMvc85wV7fjbPttM487F5fFgRgfScqhvhOjYwRZlTPa
/jLKOOSgQCCkQco4Mc6p3SfBRjkkV3WnTaz/NXGfWhKEzThH25aVnOGooLPZIitB3EFDHVXOb1MB
WIsd0k87HwcHfqkBT5X1VIM6mgyL0MaXbtsSob0kvwIXP6BCFvw1qg2C8zA9CH1fpLuobc/GOHwu
0xKweos3I2Xn1oVj6udUg0ZaHs2cT/co4hQvHRFCyHNIRB/aL57kie++IfUxUwr4GabbhbkzI4UA
Yx/IUPtP6EIiNOI+6LsaiP4MqAlXjxrUmy0Jfsks89KYhbqZsfXGtlmy+y0lRSbJ4DpYyyQrIcZG
5AQ42ZQGbh8mgWN92KM694Id/7PGPu+Ezx94vK4CfXTvCVrT/o2p81hum+m26BOhCg00Qk+ZM6kc
JihbkhEbOT/9XdQ3+O9EZUsOEgk0Tth77cXQw1yGgLqJbQAvcTJCi4YcV0Pag2hZI91KQX1Cz3OD
djyP5vA1+7a+FkX3t2shxzTKFC+Bee5bg61Hn7oXJYAVRrNFGqcCUhl4tb0tsbPvKg/tIAaA+NCk
5Z7dAgJULwiARw+EHlX9zEXV7ke0SdwdySmCBm77o7eP2+jdGXpxBdyKer0drJU9N3of0z5QRKNH
rfQ9mKi3UZLU3X2M22yCOE+/erAKQVJCoErGv8DW3iPexE2vGndHQJpeEBP3hiSAcJpW72t/Fwhb
7Npc0TFAslyOZRA/wh4lhF75dGD+cqyUeZEOvlN6jOZRpdGHTkkd6lhU2L1cV1ojLDHgZxgRjOKU
MGXGoiy0DfXcxMS/6Lr7Dq24vnZ9BszT/4HSyipTbYPZna9k9/xErMJUWquTqj0H4miH7bcS7Zbf
UpeG9FJ9z6mTmz9SEl5WOaHBnJB1sK7znZQUbrojYGDKLoN2kOvmfzsGlS9BMV840/uDLIHW+SPW
s0FBEtPxT+UVUIFb9iZO6bonYblDtRrxTdN4Fs7y95O/H+z7l6EEAOslTU+eTEQkfOb//a1mGkgg
ilLv1M+VBVFgyInC63Gs/X7y98v/+zutCNXRNZ8J9UFO/PsnSt+poNNWGCRlVln//y//9x/XOEqP
Iyap//7k7z82Cou/H3sO5I8Yvdr//off7/j3t/99F5VgQBDA6/39nPn7//7+8r8fGtXSzE4MF8P/
vtP/feP/fZssDMY9dIL9f9/P75f/+9sACEtOMeIYfv/J/70Wv791iQFaVQ0KZpVm0VNrfCQhmsxy
bt7synsPumG6SL7O5I7Ht7CYBprOdI7EsAMaOBChEsBhSe1knZhRvC0SdvhlZj6TKA5dTt5Z1oab
7GIYJlhYo+uYuw9dV2d/vGKVmfPLPNrWNVJZfmnpgoomKx90Z342OEmXYYjlYTAr9fD7IZAhrO0R
sHFhqQe7D/wzloP979eMzgAlaQwVZ6FP649XZ82cXz8lxJY8DuWjI2cGx/UfpSyx751CPSHP+uzT
7O+AgGRn303FQQ6hdvbD4b/fkmrB1p2nHsQDIlBCo37u0wTKwXTQdI5Ed7DSDu0UdxU0TDAAmBm7
gCYqNBJxzGt8r3Nlz49Ddik5nR66AS2kqmZrS/aw/YDdCMJYAeppILYghRtoKVVcKSOOsm2QIt7z
AYH+ql2cNuarUzHNbwu/P9ktcOUAO+dWFvKP0bP8bpvO2BSdFq8p2eHo2X19wN1CEFnw5pr9Ns/c
gwUt6OobBLUy1EsQD9nbaZzZ4WIl3sPnbTk8kJFK3y1uwEjms3m3BkVJcKvKJn7t8F2ASJ3/DTk5
PDnRklJK4+wZGQrowfqn8DbOcELXvS2IEnXddxqrRVQiHokRqq3HLDcOXTIYBwZC/0yFvqnxxuqr
resrCgY0r/3obXipQeOXE3iOAjCR03XEtNxrJBV/kKy7HmSF2tyj0jGnpN5rcDjbGVXJgxvyeHNL
OeyJyQb+F5gXiOf9j8vW2TatT5/OblcSD7s0S6K/UJ4sCILwH/JGlru2MVzcQuiyq1n2b7wqmBEN
61NUNV5sxT9Kmnz/OlbpNjJV9RCE8Vc5qxjIIvOWBFNiPuantICdqI1I761WcvqVVvFkp1ghvMLF
aiLjv4M2nss2TndRktAtdlSrZAM/oEvaFyxhkZbBU5k92z6WPlNHtvzM9lldnFJDvqd+3aHkjOXB
HHByziYAqiZi0wpQilbktwI0MnjBg4n8z+tgSpSGhbkrGfyLf/8wK68+xbwXNdQ9PE0IZls0AifR
uAhjxEhR4ZT5kdUhkXhNybhlyt4Tbjti19P5aBXedPz9lUo8RgkoZrqKsx7+YXFlC/ajHaYZpmdH
F2G20cXsesA6FWMEXhzTeaokhhJBHMMMVjvAnky8CR4vg5BzzCwmuRecG1UbjQ+tEsPD6KL5adrx
dZy5qiKDhffUUalHIqlPrR29kemCqqPpiWGOoM/VkcfjvsUyOSEimRuCd9P7bgxp/lA64ZNwm3pv
h/gjdAyyxkrK4+hW0aNdSxaQXpps00IPp3qobvXYMMzDtwvcs3lPmVetcbHftZ9JsZtYnNwspt6Q
b6j2E6kQfJL0x+LStW+DvJM1fVjONqS1oh1yJBYT/XaS6vzSzz76ZIa0aDCtde36xLS0QXmi7TVI
CXferFmOiC89TJ46FGgbSdsYDRwzrSHeehZ8QE/a6FAGnXrKwDFxqwPRVGMOiS1mzOZFzjo1a2tl
3EPqjKZVm9pqpnMRvXUERB6NCFEv+3UXDC3NIXykzy6sYkTGU3WYJ+NpSDBu9oR2r9OavVpqQ7+w
FFQSnwHsMfd8cJ/W/KhmpBbG/cPvr6IBUKGoEA8i1zAOufndA5xbmBlgsYoB27nTxQB4htl9r/Gx
x5HhbhGyLk3moFx/KW2oLW4dVkzXZhCvJtT3Y/DhDUO2FmBgzkFqfzlyZJDp42pE8pAEjCHzNqke
U/KWSQkjrMMwEDulg1yYHAe7poVNgQVgvJhTWi3tRL8QqffPL/6qqhHnrClWzjhHeHLbb7q74TIE
2BKDDmokqgF16qTgQ5ZFu1zMD1Hpzofk/kHbrsvQiUjnnkmuVbseO08Q2+jtsuOkBjhGHtMpaOJH
C2PRNo/6D+2WI7GR/YdZC3kvlLdZVzUn2/47OWI4czUuERfri0dhtcaALJfl7Djn5L1rHBI5FbYy
S+QfXZPvVOV+gVTCk5XopQIdGMekw5PFG90CE/lVb2FCieoe/318rW1eqvRFwHVaeZqbObI2phFw
JDfnwuvbdVv1L8ge6VMc/WwmBYoGj8GN6VSfc0JiPf3NxNpwZlu7HnoTOT2TR+ZTzi6ZAKZW/bk0
QCORwdI56iHG1kdU9AJW1Z2M1LG0gCSg/fRFF0zMA9UdS1qwXnxC5wLt57IvhA3VXhVTe9qKaGOX
zp71uVhYM0FyPgsSLNZ7T9eI34qnHFeYkv8cD1IERFiiR5kCj7csnW8jc2TsTnZPawsPFBM/YIJF
oghzdUlcSof3+/+eBunKLSZWt41eGZCKcHfTIceXdlK3xivslZEy9vFwRy95zgMw5CKRLtMezz+Y
iXlTdDRMnng8I+Ra1zMpeao52iJ+d+2G50ePGKnjyWS2LlZH5PWWgzRHANrK0KFCziCGTJQh/qvx
6vTNk5tUn7QJTyHm6Lnr4JKyd1iQSby3rMFb2Um1R0DQrnrsZ46BTP1eU9KQo22GEbvI+vzBQ8Fl
Mlm+BF53LO5P3VBi/y9w4DJbvFNsnt1OnJgGd6cATWIT25KyVP4MOctZLCf3gSjtSsjCYlGNFdNK
Rz0zfIPOrp90gHgvFda/uBkOY21wOBOLMlcQmcfklbBVvXx2hauufZUTk4h7yx2nx8nJgfHX9NGd
RuDE9Kly/dMMec2Y7HOWPbDoJ2APIWhjsfL3NEQEKGVvyozdtQzIdvJC/ZBGxbAbwJmsmYxwKg/Y
74n9tuphWU9QyLjfjNAeT31RTacOXRiV06dLCvfAYp1p3Vg/Zmm9C32kfXkKHcRw82vrtPuZf6q2
sFuJ2KApE8AcYx9TPpzn0OY0AuDJesmmgktJAh3Nr4pHtMXxcyr6+cR3i97X57siPZ11fL5hIcmE
qXDAUOIMucufHALDnvN+2/HtHGDPrOvceU1mnG+s+HlmK+vBJzNoHN9koqMdkCHm5KH8W7XyaaKR
M6J1qF13P9CerdCziWVKHg3BLww1ua/IbUk84Ixd8HXfRa31Y2ljZgl4lpRuyrTGx2CcsvRd0KPP
eUlQJZnsqEUYkvXmx0zSoeljAPMwOywqL8ux8ntAskMWojG1A4OzQ5346i1x8JOO917TiOV6tjVu
dgfqnIUm6qB9jBeJbUhSLaPdyJ/DOY/XBe+BWFUyRLNbkHop0urLSOPuxqVj7ZtA/rDWU0hLjWxn
MdJ6nE0yoGOeUrHJ4AotYtCX1rG0FI7ZmkwCk5ry2No1Og+2T6BGyqOIB7EM0Ndseq8fzmFF058l
MxG2Yz1cOHdnAoYAc5O0EGxQYMdb3AWQwOozEZNcR2CdeJd9numlbjdUC4B5Y4FdEoveMMHSUw3e
yIhwMS0eiymDjMUL+ZGhCpWxdNABeYc6rD/cgYlq3VkG/qu6XZG+c2oRRXPbQ1PpeE/IYRMed5lF
AmNTEYYuUhjeJKd3Wd++Id8Votq7UgUPnbZBCCYhcMxqP6DT5/SaNyqcnZVCMcpbwi65mVie+gYh
odZUMQu5J2K3krj1uvO5gmyFwww+K9Y5pHy2Q1IpGWrxrryPODm1WUUusruFg9h1FL/VDdoqRjQT
bZo/2x1ktntCGjqYNeVLwAYdK1WDr6ripoLCBeKWyTuOluS7jYrHzPCta1pBZZ9r55/pJn9at4Wn
0oid2/NKVmX5LP3pLCL9p3HUu2XoU5XcDQJFwhAsSCE0dOfQxchVZ/mjdwdkyhTeexHHT1wULM2c
tDxbSfxVRNarkV3RBl7SiMKEZRWB2L6LC3DGR4scOVzkMQQKc1TnQOTf6N8+COIFK2C/M9C2VkHM
arf2BujVFdIbyWbq0FKVJM7ok/IxZKeJC35ZmX25ooqH8tEZiljElo42K3BFshM9mNi1BsfptllO
SkTfPuLTBF/k5wdAkH90bUOIJPXGtPrjaHa3YfDrDeY+Jr0mXYLKMjRAVrTUjXB30TxDkOojtcxK
EEZlTKGdCvUARyFf9lZOzErLTkXm33PBjq1FiFAPMfpEv9SrsTFulQkJZWbaqGr5arTV3wFYPjhW
VpMCbmHku2vWTvh5B94zv5VfkUMOXYTA1izSQ2LgtiXvzQBc3BRpSsm/H2G8gAnOcbUlxCTWunuy
c1EwToz1CYaMsUFIV5JLH2qrWOuJ1QJ8DfqAySEfK7FXvor/hCQR4ovYAmPedx4iKNKveb394kNE
AyYcVBQLXAurapgyGC462TBJpJaK/gWxrpcTdSEjVJZisa9wFBqyfmG6OO40vM2lKvS0ZnmbXgb4
Vpf6/itONehcjQMzAy2DxU3IJ31lcbVnuJt//+Dvh98vWNk9TrVFdq+zOUAuZRCj1CfVYkwUlWOi
npDCdLs8x5JkwhbQLN9NNf1x0iRdW8yGoValmzHInJUx9X9tw2ootAXC6+bGOyqPCPFzNdogkJj4
Cjt4U9OxT7GOZWrYuXlgAoRF0KCHvxaRVUu0mMjsMVnjsXUKZP0NK3wDSXPUZdt+zGlrIzB2ueYJ
GxD6BgoQj23IfzpUX3QgQFfiiNoqRsVcOHV0zE0H/EFXXLFQhFtaROBs/dJs9KdBNUnGOKlhbapT
mLluj6K7ni6MK3vYzPYpLU3z4lf1NhfxSxIZ9i6raR+g5l3teJQolzu565qmfiyFieRb8ZgsqYga
aeNPZCytNUjmodbvGrzSY+tDWZwBrpmN/YGnAL9fGS8RXIiDDOwnSeLcPUntztF5zotQbfyOErpB
mdMVzZWzacMSPDhOgSJtVf2FQJ5ssBRwxNXFTbjfKQ4PNGbsqtlZH53AIRbUtSjo7InSrouOUHG/
NKsw2tNbYzWvQ+0D1AryaTWV8TcblhXe3Zemrd5Hk6K9qkmnbXHIsNE/pNU9I2H0b+GoP2VDpr1L
nm2AA69DSoFnHz0kbvxTXRTvEUuqCEttUCLcrgz/w0revcC+Won1T9tMWAM9rx2Xm7FI5ROxHEBQ
iT4DTmIjhIaO0jwNMYuSPMg2KE8/8RTqJY9Lyi3CreZq+mQFwUTG+SH267ERCPVK+1uzcWEzMLqr
qk/2g4wuGrj/xgduJf2qAUIdv5DnSJ3dx5tKFQ/uML1OEnv8MP80HXAP6QElSr4Bu0BnM9Fv4jUw
6njrSUJ7lc9YQVEWMD9phfnqemWxLh0XhGs07MiYecwy+yfhnkN4LL9cETorAMgsUXBLuLLm4W3d
dOOeEofGtZT6kibqj5znv03LIQtcZVywBd4UBfz3OhvTNcKwYoMTt2jd+TRsx2z6qX0CH92RQHhu
wGU4oSG3nW86RVShddnss3nYW1BcsmG0NuX9n+TtQ7GdvMe9xe7fYk/kuLjXM/orGAoVJuh/Fd0C
GxbmAS4/zZR3wDkTst5di/LK7GzuviZVO0I5mcppeYqDWj9OVLGlg+yU+q/bNsQtBESaLFEuvpUT
EiHwCTmuYo808ElAj2VUT1Dri6sx8WqOK4ym5oD1pSuN13hKPgpi03+mBnXtXSgU6XS6IoYkW4lx
/lUMpr+PbfT6aWfGiGg0zNGIMsMhG/Vk9rBomcnciHqcvxFVPpCXkr/5hjevLR6KeMoKgLRZ2pyU
SALmxl73LD1Uc9AH20G0z5PEqDjZrrcXXtbdMN5pMK5m+d2vvEnqb8/GbJKRGKJDTphcJPbayFrj
2Msc1THEMF36HeoRRKvsUo+O5wTfzVg/Iasq3hKRNWvu3vbUTpFzUqhs6gEfaz1CenADitCQDa8b
Tfa3N1Ctmk6WPIXZIfHT+6QFCU4r/QffY0U9DPseLdw3TuVv/BDOcwTQdmPUobu3obXcqoE3yy5F
+U3XKc3xjYXEQ+NT4hVpI16nYGYcamr6GIHP1Haa8FZMmLQdSQCsUzhi2YxFv4l8OwKJtrU7/Tcr
zDugnRwPDMj5rsYivHZ6Pb8bgp6/i7ruyvbFXY/4llBbjMOhMbE3iWNl1OVlsMtu188ofg3WB59+
R4hhlybvugk98qzvfBVrPnZ1gjM7RguXhBoKPbs+fPGE3EV0IZPme4vBVodV0hzqCsu4mT4Y7bQL
gg41Y2X8mRvw/vOFiu7YKic5WPiSCtkOxKEbxlr29TmvGAEwDiJvAtzpWOtLjS4SsTbothELe9jR
68NMNCbyVVoBFaTvqEyz6mYxbztLb9ankCiRtZXGXK+x9Zym+cfUopEXpX9UYSMPBqQjvGRi6+vm
uRXJNsEFeCJ4nGSSwUaRWGxHFyxbDP7GtMG5uyFiseB5nHCRjl6vzn4DRdZU1lchBAbM3Hru5o7M
jHlgH2mHhBkm4HhKc0aGRxV5IptcrhupPou6ye7KqG2OFO5aNXKRN96+N51b784/IrQO2A//zPO+
F9Vnh99Nj8gJOkQzGZyIiXETjkQmPaqPAPZE/NRKPuGoaBYOc/11c5/ldExS1zwtByaGqCOFB6nJ
Hu13hqgKXVk7eMkRJeo9nzwU4CgpQIzZe4ja3L/9fvBb7WIjZHveFeVR1rJ6mAUrBqI9/Lgf0JSy
S5ultUVmOEEuwrVdaeagoVpn8VhdXPt5gHW/A0IP7pxlstFpHkN5yQx8/pNZIgLgPAZrTxP+lY/O
WxO61olw5Q3D6XMQgxj0EnjyoVWLBxGUHwlTbAJDqTJSdDFDI+cTVvagdoGSs4RcyRJasW6j76n9
UAHaeMF6cvnott3dYGe8dqEQZ+KK7TGD1pA6gA77RWQ5xr6PhxdzBsqXpcAqMsLH1nXsTdfIH+pz
4ZKymDTeEd3hStByQiDMiVXM7WCtLDAgw4BWo3CIHUU7gL/cWsUFooUoV6sOUByAWeJHwoYoJtYu
HYaxjIJ0G+F7P/jbEk7sjTl7DDS7WVRw4ZeyJABxMC6e7X1PQTU9TS5LMJMt76oPWiJXMW+hI1TP
aupO1NOs5MXdVT7ZDZAhev0yQnqPsMbhtBzXzjA8QdIr1j5P/dTA8ysCu9478HN9oV+QgL15oojJ
Aq8Ry7FE617DAR5+6GLl7D3NgkaSqiArqLuWAEQIDYEg1vy5oA3oJpbf48xRKzjprvGI2YfZEjkH
8rkboMI0iPfq0GS1Fy5LaXcH222u1p03SHJb1d7VI+pU+WO/fSbeFpdbg39SIvlIm+cgt9+T0g9O
XY3Ovphx7zmI/YcBvt19V1BoWgyG7/QZqOXYHrdbq6OMC9phnYoRh4pLiGFKEmhUfBt14JwyMvX0
hOuoSntnr/NxBxQcdZaN1V0HE+MSJkcHaSHQsGwHoKgN0BeQEIfKAgfxOe/cG96fTVfX426OUIAy
O10KsF2Hpk1/ohBRJzQxLEAUc7n2OuSDbk6enzGc//fBGptgoyUjlJqUjeXoADoI2yC8uqAsSp27
R1fMX0kLY6ueh3ItUwgV8/DU6ihfpmOJn7xZj9r7V9xlgNk946wqYQfWBNouis5sl0ODxSZIMkYO
Db8jHHIlh4+AmdByUJRsXgqAETLMEc1iubZCZw9ITNC+8tonLPpsYMDrvCn8nTf2K/TMLOeL+DGJ
02/DF/W67/WEeiF5MBPNytD0yMMK66vnwJYLEi6xLobOnPx1RbYviZR9xCoEEtG/Y6vbpVTirHmg
s2PnPggQq9YV3raqxPg2tbhB3LhOdn3VIFFgslq3xwAXCEZ8DIlNrp4SRnIbDZpuweZeY16lJW/t
oxm8YusWZwLoeUt7ir3q8T4MaBjcT7PpQOMusiXmkveKamc5muhNZpS8kdsROQQkTFV65U99DnOG
y2zOAX+aecco6T2ZSS2EXoCIm2u0Ycl/HodgHzPPADHHNqVrJ0ZWCAHj2E13jkRgNcCmC+fqrrlC
VmXAlAXIkO1l7PnEXKV/UY19m1Gk8NhO2EllfaOMqdZO5xmLzn+1CE8DopGybrhzP/L8TOVecRU+
JL1/jpSmKEyDV1wP3aKeqlcPIu41jn5SVp2RqamqgVqcmaf9LZ3YftJANMnZZUVBTsNiDM2TChlU
Q0sqCcX6qTTUh36oezTJmHRGG/NtjW62LvSbVhnoUfXhzFjUzRJ6NBLdR6fEd0jfCl0iBQjHNMYy
xno9WxSaTk6bq2lIwyhWtC8aw1RFEhdjMuZQel8l9osbDe+pw/CkQp5jOPWiHh3jUMZMaRwoM86T
9toXVknfWSTjnX1HViJ6XzN+Z/DZFGxWmocS6hLFAZF2vrhlYXskISpbDEr2LLV8SPwuVnwSrpce
8hWmoRWSW4Jg7FG8x2lfsYWg0RqQlJdW+VLVcHdqj+Sj0laSu2O84rlCfxKyk8FYbd9rvt3Y0+EK
Camqg4VrJHhaQ6ThI/5KtKDjHXXt74wk2XhJDbskJbel5xWRFSFBvR1Eq4RA9kUtAUInCNdD5OBj
9MhTwSZXWnwq1IBe5b86OYDBPrEeSCoBNAtViXr4Ma1GGK1WuSe/eV58lVN5bMwg3400rsjbt0To
MT933AtEPC7wIWbp5SoUJTGxjEXwhycVSka3+jdaGPbqkcCOVHPRhvEj5dwWYdcTbe6rF4MX9YnW
YCLEpjw/j6HLGMFOuoUV+YRBab1thLIXLxKJJAqJHwrh9eyQikL/MDDpJ42hc2lDKaOy+RAbREyF
utlpYjcWkq0xSs0y2Fg+oiqW2a9B7bx6Q9w/2vjeu/sMavzHdWpuEoudKEIciNXSobMqzEXvtq/+
TOA7Ni0OgBAqdz00l1Dov2JkBjqOnJbariDFI2/VFt+RZccPVS3/CRbwQMdcyq2MhwLZAPBbBTdY
hai+yt/l4HNqyOKOFANXmqMtWDgTytusd4YllWqxqF2CULCxoYRzMWguo5g0nTmYCbGe7JshGSnk
laTO7797jpQFNqOWaFvcB4ORXyAugYr3vScnh2HUhQbBuRhQ74z1hekX4LQrFBtebneMW+2dXw43
wy15tMXkwMn8Ll4h5rOEAwMRnwACvBpNos4ULki4cxQr4aMRtDUSX3z2E+v7RZvhl54b/62RFqY0
Up6EARqmJjzWx8dpFPrG7CpZB/eljJWsaysRywq1G1AJBK1ertxFNCGD5xFANGYcLBBmw+hCT53e
R28x/2IIw2yq6nYdVXf+Zw6iM3ZQQE82AgOvda/BaF3MBIGj75Lh7oCntEdPbkFUJkOIbb+sz25a
YFpvabQbNhg5c+OF7YefQQCfLwefRXzh2u0V5tDOV4vCL7Ntml2aijM2t+jP6Qj3jmF+FKn6ynjO
rQxPbGqitvv7jRkok1F/pd+8O8ozdsx13lmrvO3fK+H1mzEZdt2zFTAzSyyinqfp/fenix0ACRVJ
I6vay97LvDnPPGcBdTKiasXKZ6aZkxmLC4rYkmG+0+RwQPWFvRHG9JW7wBXN+lAwe4JtvodAlRtP
NkSahd1wGqq4PXgOAURMCoudz4ZwWSfxuaJWO7cDBu58PtcDbDHunkWbD6yDJaJEJk6PYZ0+clry
Rrc1o+jW2d19BwZYEhp+1ggNvqRllYF+MfT8FUiS6lkMf9JgtBRO40PZwBWuAqEWt1BkzKmM/NTO
xetod/u4545BKL+jGyL1zHTgi9TWIwKAPybqs5ktXzPJ89CiSSqd/qiyW26pGcQNPrbEhUNaWkRp
9eMWrg8EcxwbV3mv+fGwMhpgl15uNKMdK0sIniWkVil9HPmv6oasDsqvZWZAdvQHcmcMeVSCaWIl
59vEKm0tTaZMZb62gTyhKpOaRaxlv/NpwmvngCRas97TYn7dofOTJFTTkWulWfQ0qFCWtktQLSuT
dYw12jTi1x7+M/l60CYtbEKLUjxMgYYca3/FGAgQ6ELhH4YT+Vb7oU+nVcojGTWG4RXBMouDijeH
jcNsinWp66fJ2NtTJ+9gjCdpkVYajpzG1AoymZ+Ai1D5MwGfI5voNm1/Q12tMfogIM9JNCqYh1oJ
F1MDNTeK5BXE6yvev1tbow4TBXmqvQF9No7G4/399z0nWY7IxWReXuE+XIZueq/y6ZJUTbfJAjjL
xPIuzRQWbWU/Z7QlyM+e/TT4cYh4QpEJKa8vt7MNOAU4NIP8TSWVdxaKT1SdgJDAuAiEgLVUZo2A
PS2ONU31DubUlXyuHQMDTBbKJ6SFsnK2LmPpr6nRXudkeu0Fx+ikkLkbuOvc6ChLgmODwrIXTZAc
cX+JTcecFAR9zsyRUz7gXGZ0Yp0Ss983DidFZBo/qNbdbUuYVNB+RZG/aUbE83W7FC2Yq4Tq6e5P
ugw31iLtDg0YIiPhrCWbYjEAsUTV3PUtYiBuqL3U8yUt0kdTQYHuBasBnO/mhjQmFX2HXOi0N0Ai
lflky8lFPssoMWyGlcyDH6AGzMNN8MIu6RQhdyt6Ykj6bctapPTQnpFT9B67/TZ2SDh0uLLWvjJ3
DUM2duAN7QkiuxGZVO5CEYnKcx9bF5UZ087/yTrCY39fAEfb1yjwFg09zlZBHl+G/bj3Qu4fmLOA
2jtuANTNGSGhpCTfEPBjxSTNjBku1paCP5/yjHAEkMU6tm4DqJ47L4OlZYNbtC5O3rsO+3ezGorD
3AK1Yh95QnByUSyxFqrH3cZjcGvLUu56kvi2iPybiJdlVnhAphnwkdD5waM82JalPk16PAhgpLju
yNvzO4XKzeVkANbLyawFr2LLij6VD01JQLXI0iedmIgLoXnld2WE5+QcTsOAsADB+tTmX2nQvTcu
52ra4hwawBp1AwJyu9UX1A9E4Ir0o0+HP4Ms1L5ktgqs6E+RDQ88bIlLvo+NBFcI0wRijxgAx679
YdryKcEJTpCh/RQIgOYeZ0I9XhXs2+XstfbC0eog8WpgPqOjsFpU+1PCq5dMieBqwZmfzs0jw5pg
k5bzu+6mfJfGPDbvyb1sPonDbM0vA6ca2aXdPwqSL5o65mDjISG75RqOW6bW69RLeKRi4F23mZHu
uiTEONoCHpkHwaqhHG0OFT8EO8huO0FIWdHz0TGeQgMOYafQcqK2NDwSiRKL0q307P2s82Q9l36K
/2dk3+F3x6GzIO7FpOhV/oEYhop5Bfjlwjm7tfkyoxjBsQHWcMb7XiXjjmhzVLCe+nIUsR6uPf2b
Eu9L5fVnRpDiqrb6c2EmnPBM3pYGMbcJBbWlML8wvF1UIg/2/finVVDLm5jgu9HBKeU0KKbt8Skm
qIq0a67h4KgBbIOkZVTjJcPTOGOVRTTKiglVTJk8emX4QrLEYQoptMPqoxCcj06Fs9If8/2kzdsg
iuexk9uQKocFY/fUwc+HVUfUpejeefLSfLuwxvQ1UP6jK8O/TQN9hOTEtTR2lYhPiET/eDz8G80P
YRjZS+JN721FYkEyfnnEXMFxiYY7SbwKfsDqrpkQwgfm/MIWsy2j7jg6pIFOzgPKxF1fFMBveCX8
hheXsa0kqUmFZ2vahg7vpuqJKvG2qSY+1+uSj7I23zBzPra00HTFG6nC746LMIzvT2eGM2Jdl/y8
sgyePYeHZxQ4G7fm3nO/Uq97TytSCa1i53KPQq4mncxJMMuYxkM0qi8fhT9iZoQybogxc46/k2S6
zQaPq5DNJfRhYdkljRkrPShxiC1g5BWvsst+Zg9kNcBuFkkzwUssqrxsE2gcok4+ErFXbanoHj2T
kIEMmyyjkkUIznGVCFwG9zzNaeZ8o6GssDCtwgJPl9PfEvo1GSQmFLoajCPIO1vv8FavrXtoNGKQ
/ey5CLeUu+964xwQGIiQYud7mreMCeP9EPbTv00JMCT3ruwaV0xNWTdip4+4rPCzZwtXcdcFJXmq
Qfk4leQ0OPm8JB/sVDgMH1T7yZbmJFuST1zx1NHCphZTZnILFlK2AGYHSuXZuxiRAy/U9P/4KeEX
glOdRSaZsw7+bVc1X+WmacgW1EfXM/+PpPNqjhVJt+gvIiLx8KryVqZUOmq9ELJ4SCAT9+vvYu7D
nJieie6WqiDN/vZemwJNb+UWe4TKdx2pU2nMjA14WxVnYtLFtC1IqqEVrweC1Lq2DdrRPM3AgB5Y
N3AYfcbJfSw5zbSYNSNXHp2PKRAfw1tEBo/FwVnzrB1dF+bvUB9o7l57cXBxdRiuuprgjNN9YJch
3MKRz/RFxM1ZslC3GIkkTJ1InBuneMoYLTUxhQ6tvkEK2Kc+LRSx1eywPG0r27vPDnWBjc81gwiJ
6/DPsafs0Z9xG1lLsbqy3ifFoT8R8wbQOUh24kdo7Su/Vz9qfIQq9duDA9iKiEM8l+RVW8z/JpZo
cHr9e2vl99FzTrlRvSe0E9LnsJEFdhiPtRxmKS4WXR/itD4WRfTtt6iihjoZ7vtIVlq55aEjJEKz
CXWyGrvw4pQxvkXJhLATjDKLuFg3noS5yqYO/WYPU57gMMin3thRzB4eebrMRAG4BxJOCpfWGMI0
gGgGetlNUb6Snlkt24LfZ49zUX6oMvKQBN11VATf7IdNGvOasM+waP1WQK9rEoIIHiAJe5zXKKsD
allCu5iZGZ9W6FbgTNKv0EWZAd7E2b+hqY8etnT+V87wfzsnBBwDRXjMwzd7rnaNZW+kjkg6ROFz
qdJ7bFX/mtTzMLonqGPVX+J2J6ZluE2ZzRPXxinDggQYpfvPLekPByPGSLJc8jVYFcOh46LMyPbU
iOnJwN5KzuKtsVh0h2XTL+fpLWFZMKcU1Ss6D5QurxytbxgXjkk+IlCI4qK6tzEtD0EApaIZ/Udu
xhe7jSmVCMdbpM03DMIRvKTqrQH+GU/4lqd6N3WSpFN4ifton9dBsspS6MOeAcMfEZA99J+aoFb1
8r2RNHnHkUKJG57A/j8OilBWca1sdym/ir6FSR1pFX20S/+xxzdkNOFbAA/GoSnQSpKbHYqEG7pE
onsdJpwXzgSDyvJ+s+EnoB1qBNZnu/mPU0QQFAsemdAgXA5GjnvBGzdv9pOJ3b9ARslXglNgHoo/
Dc0PdgTwhDAhdxjYb6DwkB9Nj7isii4+D5KhSNQa+fg0Rf6zHGobw8p2bgP27LG8B95A1TwkybZx
TZICLHQevV+GHT5jr3txO0TZWIFZS0OsMbX9NpMyI7kMAn44/+9rMiRYSgvoGBEeDPosaw/p6L0R
mv51BZsDBKQHHVLBWVPKrYqrlRV/SYuK9toF819eQIJqhvGm/nDRmcckGW52d4f3/2oWiq00bZ+i
8NOb2NBFmSJ2B6TW5d4XDEx0X4LswzprISCvllXNo+8JHWB5iUDJXafRVzxClBOzDkOpyxnFQ0Q4
MLhkUd+pRQ1RZV4cgNyGwnmSggBhpbdtK1H77eCfBTq2ToHzmHz5/UykM7NZaoGC3LIF2+YU1b88
6XbdUlQUzSs3kvycnc89qjmokLE2nznkPKbR6c7M9I9D7AdPbac3PAWbFM3NQqh2ahLfgN6NEr3a
uBjO+DRCfGMAzPdfUGrv2flLl1THoiGkMUycukv8LWFo3w0FIV5T+9PkWDu4cJYGWw1PIWU4X6W5
NEJafLoh887Zv/F40TcxMqLIYBk69q2IeetmucDLac5TCbYPm0YXfYYpu4uDgeW6Lz9kmX0N9LJR
hP7WAEBYOfcu4RWpi/E4Vyra4mVk7kbOu0w46phzGGGhpM0Z+1EylntL8/rpptzysq7QPIAqAHrH
8czqyeiuEHfN8WrX+ulLyzV4wN6z2BaZoeMFtKTY+hY/YpalH+UQAK4ohlVh+i+uNd+K0r+n4b2q
8UM6nfWuIWzsst48prp8svz6QwUCNCq8+cjyGItA13Trjm1wjjaYeK8I+89Nmn4pJ7oa/Ox1zxek
OABVnNogQOJ3VJJtoa1S/gt0vElRjRMvJ9WRE9CtYoR+yahAfzD68nFCC4jQftXofksBYnvM8Lqi
1tpL/wNM2FcwgxW0PZmHt9ljYkmXKvuLqh/J3TG/UPimDYz3ln3oWMjimAsGsYOHIprOSTf+utTM
Uk/yLZvsMe/s347Yu9eAO16alAKfA2xDitzA1hHDhEmyLgWGF96ZyUBwtJcrRtSpC7/kJdMixFAb
X1ZZrZ6BfWWYsnpMyS37Ky0wmLqmJ1sxvc7IwaNv8hWWQl2dwHgJOS3ZmV9jItBbIYhCW2OPLELj
neIgsOZueK9n03nIB9PfVg4GnhI+tuPXzRquEmF0SPQxHeKnzMcahciOUqPTrTCTz86DQmd5+S2q
INZbg7XtRcJGD695w9+Chyc3zoMsfrzkA6VlEUXGX3wNqZreYxNsqhI3puG3AQ/1JGnf6OjGsfpX
Zh/M3YN8oZlDip5jfHAZ7hdKnaDpXYRdET7la5wdgXegMXf4SQUXk+i9L4rh6CLgmDPB6VIdfLgB
a/je9iqY7F9vRhL2PHWYIJ7PfK9FKs5wMzFKUtBGPai5EkN+hSoakWnrFvbmvHc62Kdj1/45KX1f
vvwojPgPrXAZZg6onrLbOirA4mt677Nbj7h16FhxvOtggvF3qblf/EF5LnnqhU29K6NY2vsA/ioC
HSHu0yK/+x4eDzGYawSadGWS6qGNwjwDlX2Tvi+xkKsVRxUQlVS0UkWH1xlzF+/eVEAhiAr9btcG
v18+rOOBg3kE5YB/NbofTXsFqlpXYF1Kh2Xk/kvO4mi3sApIE8Iexs2UVHuStXfyvVS02MHWAxo1
+vK1yfnSUe/th5y0I3hNFiyx6J4jttMHAIkhI9khstHfPSbUIzyCXSLDx9QL9c5cFg+GbNjYrW9T
VR9ewSx1UlsC/W+uKuSuAoXKb0BnIEgcuVooc3G97EMBjGNOPjpYIwNBY/W4LXutuxINUlGmm6ep
GZ40KlGZmOG1cOwXp7HQy2ARchIrD3b+HLtfIlCQ3SZqGBwk3QyHpzNmziU6+61nPA92+utWctME
3LLTJdmTS2OdKMIKDMnMxufsWVrWU666rzQnljXhPiQehC/VDxi02MytKpAo6PAP/FY2ujMiX5cp
wPsZfd6wx3OTMIRn2bTZM89Zjd4HahP6Z9JUu5Sc5N3XyV36Ili7fv4blOqGbdJDKVzh9edSyP0j
kayp4WKYiOcMc1NG/4YL0CIGFMep0S289zrmElZ14aeY4VaB3KEsw36qDVud5LRVwkV5y4A1K03U
LM8aNsWWaaukfsdzoSLgfSNCb4EJP1RcZpIId3TuyB0mhosymf4SOX5zTMaxCMc5EFNmMmgJyvIr
ZtYa+Rzic2PQBKfxbO4rvz4NPEVPVh/t7Dp8jsk7ASCim8Vp8XYBu382kuCpcXzsqUHPENyOMF2M
20T7b0PhNns1vkgKZpKODwtC0Rk3J/cQAogrMwkiPlEKbrX5X0eAMUXtv/cVv3fEquSDJHyUaEox
GAclIbiIhOlMZjBzaZuXIadegDOfv547WLXZBB8gtc8lB50Hfg5SBgMDATrjTDdnRm8hWjtu+IZc
zQtgUseeQTRdx4i+qXydo4CyOD6ozZTTRNs4wTXzSZCyRwNqj+jitIdbjYxDgjdnyoQ2lAs+JN/F
gCWIBONuyG7OnH4WWp7gOVy05lQRRero9iNa84iFZsG9ij7bpN1eDhn3tpcB7dCz7eUSTW2I4eOr
RDwK7EVeKIijUGZSN0ig4Bvb1eDrs+EYJzlzqKS4kKcrQ62wzqmrb70H3gCp+GTTqpAb3bgpOQz4
U54T7hTxgThjsnbIDrIjZC9DT2iomAYuAi3+2YC9Z5fhcx0afWvdxASCe2/IeDzl5vCvQmhMmWqu
LCpsNzNqK5VM1Az5FCYVdad2fvdiRrQ6TOzWq5l79QO8B0zUJOIfBDSzwWP/qLyKLGvc2eu8Tf90
kuwTbxo3dhMBXBg7glAt9CuPaIIHXcVsadaFzvYwJLl9dGcCAGE/sEgrd9NPzGOznAB3NJEJx9pN
6IYNqAHLGozBHiweLd8GU6KcDM0MCdUIKZ0i/JQrEaODLDuQ9lax6z+Nib3umOGQjlGAhiqQLqBz
3SA7ZCM+4k6GzZYY8sscOyWycmIw9WUCP9T0ZXKO2HFXupScamt4LqtMdhFKRvqbep2zhd77X172
F+TdoUKG9nMETwsD5cOYmyt7wdc3vB8nIiVbO2IqPP6YsXT3vR7fKwPnK2/NGvcHxRwuekyaeeFG
BnLbNirfjJKatTrZGDScrTl+5mvMV7qnNb6tqOvwZzlhBLVxXnHMSTBIbdp/cyDd3VDqdutRhJmm
P73RDwdXpyHeJBuHnEV8uPGzf30V/+FKeXWp/OZOyowCDHBDsoeEKHYqXYerqDS7jWYK6bRu+KKE
smkeOk9U4+6r+lAuomedxz9duFtyCCCX21UJOeMycTC2rflad/zWhiduWtmfU6Xeq3mEb6tilxTs
7v9P8F4tNmRvuauYvN8C7G1nf3Ytfo+cwhYgL8PNXEpbA7Csq+STZPhwwNE3w6adfpQi2I70EXUL
QIml/QG6Q7ZuGFKS1X8vjPId18hkReahG1hK+yVJ5kKDGeiPTRfzK3eAcuR5bvN7z6xiPw7CXNWT
85JZnK4dEydpzVWXQpTjLFW/tz3O4RVZQKO0L9qnNCHnF9t7LJFbwmZXt0uKdTbBQoIVxnE82nk+
ZbUTkT7WIypEYgdKOLLLNiWxH0OhWXeo8SjPXIyM/tI6RNdGHeNDil29pmgzWY+M4DaQLddJQV+j
GJYztKaGi2zYX6sLKtcwDLclhW5SUsOOm+s/f36WEovDkM3c2mQHqUed9OR/esX0HrC3PJh/Ycyp
FDzB1zTx6fXdtPMsqAlNzNIceUttRRT8xmP2muBEXIeKbtYENT4ZUALJ/NbC/43bud7V3CXYjXmz
TIy5WP3AaOQnf0oo3yo7mqbQ/gAgOkQ2jL4ftmaAGScI9NkKOiRgwqn8MNTSzVwIIvARSXMck2fh
cyaUJR63ufcVhYYcJXvf/2vc+Nvz2zevxL+ULqMpY3g2SJOtvKDYt0PL5LKvDjq3UYBEBOh+RG2o
qIAIZ96YZzlP1UYOct3pwr9wZN1mzXTPZjKpBgnloW431dTyeR+DHokzJx1AeDJAbZzhC4f9Z8DZ
R8p4a7kWNVlocLqNppUfTm9jPxTbQs8bKjOA8qAsM+CEUGiekhSxM/dwgXYtTB1GKAlYI/42YsVX
q2vJNjXBqRj0fBLyIw8MoF0NDPCyDIxzkYfMUQeCIBSLupFNc3ZJ/r13Sx+630j/89TAczNwPIXt
fz4OUiPEkI6DfV6lMbEn2a1pminvBm5GHC0xIfR8GuVREE/ddKCv6ZYm6t8qGxClxOEQ/DcOcGw8
updt5mOrHlPaw5T29TFnXewxhK3MrHsHtsxCgcSUVFwfstbmpx5cZDjWhEWzyb3hDoSmPQ5B9yuD
NNrag/cuo864JLTQYg4JH6z2PeniTW5DSLNgskvGjBJ7Cqfq2V73CHU79oUJVISBDY++dE0dU+KS
L4ldLv1dNe8noXeWAI0oZPOByeka2Q7EAMWEXzmsm2IJxA6C6Rl+10GLYuuZwQcjaptutYqGmia8
p974TumF3DmTRW/EXnjjVzIgYHhV9S8bsq8WR4oQ83BWMNoAf31mVNYwhumOmeIfGw3ONh6sbD9T
4k3JC40zcDQSw9mFjmBqSQzedEncEX0Es+Or8UrEON9PpsC4EANz9+1HjvJqHxOaLxQYiq4oCrp+
eNelOz6idg0YjIovIQoiKvewu5o0Nxq8vmdSfrs+C0oWkWCxvYij6sQXTExGERkdqBlLjzljGYSQ
kO0qIOBezskG1Vh4RoyulTXM80Fowmp4ylrzBsxsmTdWh74DnMltzqZ1IZtL6yEu7nEPyAsWq7ml
J+5DdGCYdBwYayvg9VpmRtyLWgj5JBbyyXvDKnxk5BTuHOYXK5sbQmX8EMX/pimYZmqy2/n8IuuO
LItTK77reVWZoMhZJk8pMH6YiGBzINcAUulxrdAnunOF90hGeQHC1EC+ShpAW6bsixbenoy5ebGZ
zu2E+6w5VHs8JsJDOCIIIldBUR8SChWP1EZdBOcaOGF8U51hP9Nm8tPSkLBu9DKlSun3CjEBsnZw
U5RW9AUEL9t0oeZShV+P0TgPvrbemHij/qVPWNDJ/NdEXyASrYKYPbDwBVYpe6InIXf2k8+5pCdI
g38n/rJ9Pk/HKMzNgNPQdwPMyTh9uX7xszbUDHWcLwBRJL+gJeJ1bUSnojGQImkL8gImG2O6DNzo
jTsjDatjpFV5HlL1DkkAlqeV/CGIHEMokZtecKjyuFNRKU+IQQubwzD0WhpBM8onKE7iPkq6gmHK
hLedQNN+9MWnlTW3Js3utHHRR+ahVrHvOWuu17V4Hv2gehTpGK6qEyW4GEuC4W0qEGNS90nYZkZq
gqUJ8Wfdh3jpYMnua4t+CCj6mAh95+D2hJp5AjEyjyUnvfZqhoQUKp9fxxpxx3CIoWC2IQfkIZza
IkDOh+yl8qxY+zwC4+Ab2zBEoWzDod8PRTFTRcz5SXv6L6mJ0BdsuyvHD3rM45qnD4/wOl9odrNd
ffhxEeNgT8UutcSOcBGX7IzAPG0o+7SJ6Ykxt2bfMKOhYLhvJK1uXIRq5gXc4o4R6qT9FQyNc+1k
e3Di0Nsi3sVkF3DmB3kGi5xXTmb9t2OMX5zOzQ+j9uiINCmamlx2mmmAiVm/sJGlD7ZH1jCTVbOx
J+O9yJrHhgv9uujTlzSD2Yvdcm0u35fAnBUxBdHmWO/7rn/tbcqJyOjSTtqYpxjL5dGPPYIDVXJA
n/a5jbQamw/gYxqd0RQeZtIm3JO5Uy5VY4Mx7926XTcT44F4Zk8qa71JopD6CCOxNon7qLLCXlW2
Qw1vH2PHAE3HYCCXGz/iocBCSA94lP3Zcq2qqTtSHCaxGVfjNo4YKPOZUGv/Ojpl/tLPCDKYF68D
yFQCOQVSfVDcdGiPOxfeDRVBPsMTXM55shsHc2bg43DRDZN1b9rB3gG7uG/bdH5w8/QdoTfZEbLQ
kG4h/VnaGdeSF++hnhN/XQx8f3MQEMggUuKQli07sAKNN5LaqSZwKel1IRnQQsU9yvUGKocJtWOb
djfF0NB5ls9fTQzo0txx2043tgP7IOiSn9oi7UBFbOGYz10m4HeKNgUD8ZNqLIvSDrzVEks31cuM
jrst27Q6Gy7WoRrQnx7LC8XdEZCt/oYrm97vsXllJaNXiUIXUKnHFvLjuk0kXihR8WwFnHJFc+E8
7OOc8ZOD8+i1iViseUR5cJKtQpJgKXszNUq1YCJMinpyzrF5LbJlCcysqw27Ype7eb/uaTgw1LbH
/LLr4uxekXZ6sAZ+Qf5XcsR0Aaagbrs8WxeqU1eNy2sqKFgoagpCQHXiJb4noTg4VsXHIDnOmmrE
xJ2bBWIs5vz+E+MeDSrM2DHSZhAm/LHdUo100xizGX+oYJUo16SX0O1Xo0LOcqwav8DwFvaFc8JB
Z/ml2lXz4k4t23eMLiQtW7y0YsA3tXhzUm6vACCvI9PebcbUmMbt3DxKnT8EKFgsF5zMkLFZF94z
LT+5QdO27hb+Ok4Q2LKaDqeOFgwEsagaMlJdhbWRV4WAccCu1lZtfjGD+Hk5d/I1iODRMi5ZNzd7
G0dB0fKZCQKAR1jt7z6hIrRE7JcxFltCwhynq9wpqf6K94lTQ44hAj9HPxid7HNmfugg6w+9h8SR
yN9hwrLfia56dHLrZ5xRkyrE74mJv05jMJsNPhF7eu3lcJW9nyDzUzhKmOfZIUG20wlGhk6M4LyO
joJ23mrnJ+qag9S05c2BQa2TRRBjxpwdCeZBNQdIn6awVTLNHFvlE4Qspn44o1ZtoA+in7yN1pFz
EGG1VI8/UB9UnesULLCNVFxM3bPl+yMKV/ipFvwdsw1T6ZrKG6NdJwtvC+3rXA21xaOfMaMe5p2l
/Wa3ZGO4JTcdgXP1KMGurkfjuddk5RsQioyjxgIkTqxIXv3GpLmyNmBWcw8sqlHIf78ZrpWtdd24
K1QB9tLZnDaBe09yxUpHjh+LvcH8Lp2Cw5y8d02l92adB2js4zP093CXBs1/omnf0qQKdmmhSOVQ
Ip9mYl+apORmTnrMEbNzBzz9obH5HgtrbDaF9oEz6+SxjQyqSVNJw5E9A1/1IVq0uI7r0ppO5kTb
Z97++T1brWx92NHQiZjsbJwWzAK0DWj4ogNSwFSN/MVC6Jx/UCuiQ6tpywgm+lrRHwkWpaWzxQug
C7R035v7s1vO+XYyQ6Qcqdlxe4txWpavVZi/TlX+aPuiOQATWnw47LSlVGKvQS1RpMWVvzjB3qGg
oy0f+ipzDoxoow4iAjG2eFWX8XXKDSChplzjcQJxp27Q9bHRiOHVnvsrbj2WwLo5BT7EC7xyzlqX
d0jGYiMNjD6oF/LBL0287EnSUXEUBg++FVmXKXp2fHx9huYEM6rvvk+MQ6aLv//9B6zW0WfUj7VZ
X3KH+NFQ8+IEpU3rF9hp6UUwYZqwWkVF9ZkMqAIwbzyTWEkQe83dXeS5OoPK4is4OF3CxbkRZCZL
ztidXQAJ6i4llHH0O7DM5LTeOWFA/+I4Xyb+t59ZJ8dGv8fC+oTLGd2maJ/DzuVuKCdji5tg0yTz
UyNh/3tkxDitYDYV7QcsenWoU/eP981fCZUNq6avaA8fvxqjIoZmvcx5CfMhZddOsC2Q5LbX3uTS
+jBOwYajQoD+yLGY0Ace7AATssz7s+GRCiNxzXnALM+WzZKHe8da4SRQhvitRyvGbFF/R4s+Xfte
igTghlcL6CZHFYSUGrfayvMK5pIlSEub262uHLymM0bjvLEnFGg72DGKxCoORAGVjgtGjVczZ4nf
ZMX4ZJXJyCEsTAgHTy6lV3Sdg2951zKnarKK73kHy2MZhsd+9EG4ZRvT8cS9w+d7AGEgxpI4yRiQ
FI9A4THwWnwdLV3ztCiMTv+clsljzpGGUfE+99N/KWZ3DA/Ye8Mwn7bloVccHkt5tRKk32jgd8aY
DeY8IqYQeijdG+WhGVgDcLCsYNJi6o5yvfBLoZDx+hI3lh4eOJ31T2HPFlL1/MMpXqRAxmd8rc2d
FUB6RTYBuI/7OuwZT+VhPXLDzp6HAHq4N/NCDK5bHv/3R+nEJ59B+s5uGwIzvd4msbfVdQkdWjOB
waZIcQHLJeVo37Q+UelXMSayjOgxm0S1CwEyoskzmB3EK/SHh7TlDsxqGiRev+UdrbB5AZQexu6P
6pI/0y4uGLWiowzsq5WLHQHwbi3cWq4yk4Q9YLuSW+xEKgMZY01Wh+yb4VER2pq7rioOKlP6VNKh
aLcKkbJZGpSBV1JqQZV3Wp26zqyxpYnvilT4vmT7We4p+GZcceXsW9L5sUQN/Ww9JdSfkbKjq0QX
z34JY0IXNZq8HH+ajtymqJhleJyLVm48JNveLJ5KBjdkHoGy1FzQSrtAgAS07ns4LAJK0jNoSCy/
xn/4XdeeT8UYXtDH2vbzbQrh6ckvk93AoW/xOjDAlqQpwc+dcTTbD8XgPruc67k21A90fzDJQfXa
xv+pceYe1cb/WrtmxOOqXR64w2PZGJualjoSrTCrvaDejL6HlyZ+NQMbsayWxTboBvEUobqtamNs
GKmCYihhLlHWxpMJ/7a1GvIYOXuOT/9V6Nc8oahPmIJ3TW/8owGXZ+jVtYwjfJuVPapznDTFuWrA
YAVdnG5k5k3Ae7L+zNTgOYEtRAqIRg/LD/9TzrSnODsWLMaWIeS6NaJtjSFybUWTQzyBZqKE4Xjv
dxN1labAbaaDVWZZNZPrPsKuTa6+90BYa3JELOwLIivqnwnMpqtw9v8xesOhYUM6zRf4NIsg1fE5
mFFYayxoy3NHiMuAU0W4kfGeDzGyNKkoiJh4PeCxqsiMlN80sh6Nor+BRS2httc4hxvvYGkpVhlT
AeIx+NatObs21tr1cGmhEJNdFptYQpwTXiuOnddsKUSTh4HrdZJZ/pNLh7wmRxXb0n1OfIyS2Jvi
zHkz08b4Ep1z9gFU8o9YCCaKWIzsJhOgqn/QTvnXRgE5z/yREEO6Vx4VIgsg0GYyf7LnyISt3nBD
afTJr+UPmBqDoC0J1Dy2vlG/3HXa+iZN0FF5UsLD6SQl1qDlXCbANvOvI/kGde0ym/LTlR7ji3A0
PlttfMgByMLkM2BqAvEWz8UGa9yK+dnwLVxyBMY4XFNOUXjRy03hp/1LHHxTNUq5a9Qm+9hSZMMx
A0GLqOvn+RNjzYb3ioTIMjgbhGPhJrNwn5A25r6M9uvN3jmEfmrkWXDzNJ24gRIDw3r8bknjurxw
ocv0jn2Eim2MMgFO2zjkWENdQ30eO8h/vZpO4TxsLSfqDrlpJmezeZGjaEh51Hu7xOwmHahjqPrd
BTlLI/sKY11Tj3nwTZ+gkLeiL2jC1Rmz5geQlF3t7+hQBcgYQAxzaHNEwZ1Z7kVyKXsOYgZ4I8vz
ZuSwbh9kFLqXwpQXkTnhsZwsqsR18Uisq9qkjD0zt1z8PMy7ojp9q3xbX+exQVXibeHOE5I6AMaD
Dv2skcl2NVvGrra5dKBywvUue0LrSr6Ouf7pZJofq37odoDwORd11R8UACZfDJaieDAvPjovLAkm
qW3IKbqzTawB0PeZmXDpQLfTf070GAsz+yVOCB3+2SExntnypfBq/1HQ4IsrMthKfM6xnHglunBv
z8Rdl6G+lU/wIOBihR4gh5S6zlf8JCXSC22OUP9mzBriKgtiOK3rfUxOsoTaqv6+SBKccpaxPe2k
sIZhfBshmWOwH2mJvsoB83GQcf6Bt/eGNSU+ZAoqRhCYC47Bo0Le1gwxWqR/B0dCVhTyBOYQ0Rps
7fjYtDSJJrwTMDOHlXAXeyXJ74eoF28jSMiD7sqU/LHIDuy+1C2FKJ4ADQYuyWhWeUVCiYDDvdZe
tYtMTCBl7Ymjac05TD3GSGhFnJbjeh3Z0Hj8yHkiqUE5Ljrn4ogsd239G6QeSMphpjdqJhVYiENR
jPpWVuIhiFSylpQ2v+be6D1EjjutISzzHNv5vM4AlV9CC3OxRGPeGrUPZlLa8gAKM1xXoh3x7Kc+
NMcouMcONe1FoBebHbPUwFbxO1SjbdOal8Qh7eQZAEsaegbNJEV5HDCaqCHt7qpQDKLgj6LT8Je2
OZQbBqPpLpZ9d6dCglA5IdkeFPo2A2h+J241buqAr/Z/fymoleKmWlCTuvy/JOfInkT3hLrMA6uu
C491a838NDrCnWXgXJSVvxotDlseoutzambXbubS3XgqP81za21j35oOs8lluQikxn4ew6YRQ/lJ
jH83tzr/w2BHcM3dhOTKP6hTZzLcqHkbDMvJjVPH2p7s5sarVkDmK3ESjwTCqJ3CLZr53afogn1q
2UcX9M5bMJkIZiPxgIAPZW3g3H8BYHwtDwlUn9tA+yPcUya/cZX+y9Qkr5qzAbcTkf6zu21f5j1E
ZEAUC9EpGrp2u1ytj2rgJuWWuJiwaSZno+msdVtgjqwKuz/K5Q9iWsFDNGOVnmYyV4bQWBDpN98F
uq3RT0smAoU3X//3R501GE5KC+5JyFQCD/5vjlBIRcCt6xz99L8/dJz1a8BXBUPgAgSlEdL6J2OK
kEnnY66i9jW1Es5T8NHCWT3PYfMnI4tmCZobrEK4J2QuEUA8iWOFj0pCqnLha0DA8w5+WW0T9H2a
Z9JDBgERjd/Oz6KOr6UunWPrNfvGLqbj//5AsbpFA7+MRbIIx3xdEPtLpw2rIWTDmpMU5peLtskk
FYb3xpLKzKkoDBw9rJIqLON9WHEMMfvOAuEoLzHguF1FWn0H1vK1kub4SLCVs49LjAc3PoM7rtVE
95xmp9t4MTTU6phlfFZytvd27UI7XRrTg/jKXGd4Jsh670wmEmPOyF+nj6iJjw3L7LHnapGq+DK7
7Y2G+OFRjsUlK7Nh64foO9RehsfRsxhSx92LJZLpDqyTMClnG3Bp9ZVMCPamyJkP4cypkSNiTT/R
RuQcvmzcCBzaHyx3IKRvt90J6VM+drZ3M42eumsXF6aNF5aTHKiSUczngueJI1gYH8it/Eu5hq+y
waVG2NXBy9zClu2+CXB7uIOXP5phV0z4FLXnXRkQZq9ON+65++bMF7H5OU6UHEefrZ8lGHqdk55U
Gr/hwxtuvGQ1VqMXQ5tyT9jQfAyL8EZkWLOZLmRQDrCwXynIdqpX4cEcMpLiTxXEMGOCKQ9s82Jt
qPCLxwCpq6ppJ1EAoprh5gjaPDKrsI42yphrx/raxRx87cFyt3Ralue8a/B1uJrpztzvklZSsu6n
zoq6QwOUXrgncfFBa1y0Hy31ovvO3VvCPNdlPrzkUWNf4mS6xnTnrUy8OWunHAZi5/NEl0SG/ueB
z8jxg7bGdHAq17zZdbvzwNNVMIMpvo5eRaXECVTDoZlIkmjM5TvoKGcBi20NseLHCMPHyeKLnFzY
VFUT4baa7A2oqPJk9IArGxIiOywCpQD058Tq4lcm+wYZbsOcICgb4tkymbKOHVVy/Eu+siIqTmbS
JiyZ9MiGcM82FFmDbzZa9zIW+CqUFPzy4FAyM7kGjPtd3CenVDGIQmX6tQPuioTVm1U9qHddWZ+9
NRl7C+wYAgsEzZy8MUVaibRfZ3DFBz+Ri66eD3sTFPBDF5FCgu6+Q30gI0AgzWsGHwcN1tVhThmp
F/yatfT+ORNxVw3Kt2M3PErPuis828g/6AFexfSjllzJ68wDLV0DGqQLjDvbWJySavw/rs6sp3Em
2tq/qCS7yuXhNnNMgEAamubGArrxPM/+9ecxr75zpO8mShBNQ2JX7dp7rWc12wlH5DNIqtPc5Go1
JyJ/FQQfh8lkQP1iAu52iBqa5bELOBtjWCB4lsQTgBCUGnSpgm0t1S6IWF+9PPqFgSSnFBHECu9G
YoW2nlLnBqPp0bFTFmsr64hJEQ9DaKjDGHrvBeS8fQO0LMEJ94tYpHsn88sxFPexTbg593V28npO
6/C3mNt3J2bdd0FH8zwnKEOxouzKTp6dn0+dKJBVKIdjfgCt1ba/dFw3flpit2tXoXoUw2qOS5pi
blesuvVcQWWjixFQNuIiw+lWrIbnyPyDdvuWisg5N55LE3IaGSmW1N9FRFefuyWtQ3G13XMuXbHt
JYJazh7ZPo70RFQgPc+4eBRqYmo9Z5cQbOceLkcjipRJekqYNfMB8oItgthkur5J901e3ribckay
7oLfxvZjBzlG1nCMtwbhYP3mZNT3S3XXA6lRgXmcROaSRoSV2Av7x6ZCLkhJ8m4EAw6lMrT3oDjf
pPbcQ5ojTCazyzPqSxsB6dJ1CPTIJLkZ1nCBfKwZpuFUj9XTbEnbV/DxrTp2GBl6b51hwpFRNSXZ
2vEpiuym4uJ5cBZ/IRcdjSMeg9bcgWtszpB5orv8hIOm3StAqgh6veuKNLq20nWYBDlAUVWApVQR
eBREXCZz/wbtIxQODkX7C9MS7qz50xhSebLGbjOMyiOiAKCNUaG+lOGABpttC2v5KzkMcBzKkJwn
XXOOAmpWhQxY7UacmkmSzpjr42wuKHwqhZvZdT/SGZ6dayKSCp4UB13UjeaeHLi7BTdUMmB0WE2O
x2jw3v/zqczeSVjunmCPcVfHjHFFfS3KaDkZcXs2DSKQkhwktuWBSDMFRbPxJ7feBvcfwzEKDxMf
ec5pFzMwwdk4783xeficgy67Z91Gi92Gb22bTQ9O6H0nGlU8tQZCTQF8WrVz+SnrAF4D03/EXw+6
YDhZL+7vIPSu7NtMz4VYdqrn9m4M55OQK3xj6bQfq8pnbM4SoUkpZX7qlkiFwhHSOW6ZDYoBwqVB
pteGz9kK0xkn3l2XBids5asjCrRmEeqBI/VQ7xMQJ0qZxiHEFA5AL7rSfD44nUu3tyfUFIrIba3F
gokFOB2pgqWM/bGi4p2C1ifRAXtjagRXN5c3uLmUxCJ9KnPoem7RWxcGgoISqPmbxIPY2416D7R8
EglRNSyxyDTSF28ODovpj17HetWUky/y9GNqGF/JyPpXk1C1Gyc/XfXDkqy0owsp59CAgyaa+cWG
+sKSVnxoMDDbChHYnkp8i17sj0pn3GhJ4B4XgYkiavM3qhrzu08vMTXRf8J1S7ffUkMdSVitjhWj
z32YQTcC1GTuFqxI25ARbOaZV7o57S4vLULFrPjddkjsqdz6OYmS1VhHNFUFG3pjNHo6dmixxj6u
7pIawIWF0CFKSggxXs28oBlAG0PkRzpVlYe0PZc1Z73IrE/dgglMTNxCy5i+pPVqiO/eqXaP7VKg
6G+g6nLuw9+nD8qqb1qWAwLVED9E2J8STbuil/VnN6PKZ8a0S3oDrySIcBAi431mmNOL5eEZq343
bkJQD0IdX/mQIz9YXSny5uVvnRWgYDjP04ofroHickbBNyxcSW6y7YgFg6/Y+LE9s3N06a/ahNlH
qvU+IuFkaL6rrKbdGGISs0UGjUaPb6iL1D055Zaov0BMFywUqGBjOkAjvsULYVpPSzWc6dTC2Olo
xjam+CejfWt859ZyqimIJ9ymW0u5H2usJ6QtRhVRUzNzEhN3y4ptMqerbTBqwzpJ6rlT/eaOWot3
elZAivNz0GnI8bp19l5xXMo4I2zV4sBoNrS0u3IbxM2LjmVFpC5+XdrUZ8wJtB4dMlWzTuLMHCiJ
EhEv+2oNyqxiIns539HH4b3SQjJS8OyHMEfROzUjR8f5tcUXR3dmOkKd4LC82OccEsxYdgkUVMkt
ZXLTJqSIjfZro8U+bSduKF5toAn8U12M/2SYLySk+3mASiHXD7ADumfPxlKQKiAGRdcfvba9mfEf
pwZI0nT2U24Xf81av4Q6fY3Lh6Fz6Ijnj0bWVbvCaY7xUp4dBwEz/bQhINgLiM55EhY9e3AgGoKt
Z17otv7BlgY5CQTuEz1LZtsIy3ZWggbayOzX1A9KeBgUB08u+e+LHXwxzbqavX0/0THmRmWnW9R0
baPo0wjwnGKPae3XMMEu2yQvQsfP8Nte4zaDxP1nGfJvI+3ewqJ9IgcHcSpImYhmM6HK6RN8OsBj
erxVXXTGcOtLhEouNg46qealMbGPCOMqlU0rxdvlYwluVHG4ZxJPwsAD5QFFAlE6BAydmhALzvhl
LdFNt4hIxFB0W6Uw6ljx3ykFmWMaLMPZSByECR8JVy7tGbKLN2F6Z3RoUmITZ50tiHU0GYJKAgE3
Tmm013BENRTGDCtdlV1kgoA1bsxwSx/ZZ2yIJMJJz6u8ld2v2tSS/7Ls6CCOHKOZFrzPqnyvOmXv
g+IJWODNDbO/AuRu4i5vKE8YrJZHMRMHmuGr3gHTU11QHs3R2/JX3+HkteiVEOO9FItHckr2FKnu
00QDZIfAAkdiEGL7vTRzDGbhCsoK43eDxRCgIqJt/eCNIUq+edPijfDg11uNgaCErSLfVSSFHsio
YDNgPu629b29StJgu1HMqmJPnbptzJz+bSLuliy46IA82nr29kvpNz3SY6xSaJ8KPntObe6qmmwz
47V15ssw2feFYL1Xwd8R2Q9p3o+TwhKGBBtTs8OOxVzjShbu1R6XMwU0eMUcrTMqSOhIbwrbRF2L
GwTFDzGnr8RfAtiNWDQWFw/yiFEBD2D8PczGwVhNhCkshMCu/UynL64yH8i06/ZzNAO2oOePuOac
e9z03PhPRe7mu8JOD4HHgYLDEp97Q8mMwpKdHPdN1gYfXYGEN2gUWEF7oX+ShsA8WMcbA2FFTniA
MijLiaUamEGpz7ggszYdaGyJCkgXLf0HrREWIN93QR2Fz3nv/WKvlZuXKGL07yg0/uFFOO1ODkx1
m8R445pl6lYhgYHvPdgOSPYYQzTFil9BuThokREbiQluII5P14goy5h1ia2JtCTMx2GNxCxR2G4V
vcRhROs1xsZr2sMCsvWunIkoB7RAt/daqFjvdMawNNfR6ziZn326MHxu2nyL1fRqm+s7jdTeQYzB
LHGm6AGUuwYHT7Cgw5KflCAgvvewYmyjvV4UHEK3afht6LUYZLJTuFOvk6nCNo4Uj8nazkaWAOl+
IE3VEnhJAZVdQ7Axcwq5EJB3Bg21lXtSrVmDpoCUUUS3VPFuTIw8knNkhevTn4d2bMDUrA//97X/
ngVabYo+jBgrrtnuNmcA3+5+CYXAWkRA4jQubt+uwPO568M4inGfl8U/Uo6iOzdI0rUMw5G8QJIi
TYrBhJnEyWGaLI6Y0uC8koFnq1FpbDoXQYSdt/O2rNR8VzKL1eOs9yDb3uuW1FyV4jWNe3IwonFt
6doc/gmbaA+5MuQ+o+bfzpaj7lm+afcL9TKg6v0Da8reDVZcHIt+eChcuLSj60A9WZ+hS7WOc5js
S3wDD10K2JYQvPxrqhj329mLSzL2H9VRGeERf8Q5Bka6SM+RKr135rD6rsF4UCXLh9lMnBuiPD4E
yuVtT4viihWKyHm7Mw4/L1PX+ujmsoFdB0MMrcWvug0u9RJObwhtGlxdlik3DOoEYW2uzxVMe4fO
AuefwjiBUaEJpjBzUCS8DdIMfi9D/DtQGY3OnImHwz9WkcsVKxf6qk7rC4esmCLs7zLYFvcT8k0g
DeY+aFprzfdCZZPr5mGlkW0ykYDJDXlrVNdeTdJ0DpFCfl3E092gUzTmbIVFmMj7UhDsphZfIj7b
4eSDZD73PIshSszSOCWOy9y9Lk6zG5+IFfm2VlwxfjYMBRFJqwh6txqvMmkW3nxEXrgn3edZFZ0+
im46BFbLWCJZiHPRSfCLoL4Uji/BXHO2X2vteHFtpKTUk+HcDDtmRVtiCr8Qpo0nJX/T2lueauyU
t7pJ/ZHNBbxK7RzsrgkPIYg/uPEH202djUGRvstNp0GjeXUog2mN8Q71mHk2MW1bn204PNuJjTch
JAuppGgipgrn/pqSG/YNdvAWbVwFveVem9NJNK65GxdAYEX4US02WrJFfg2QL3dFREmgtVsBGuOB
liYPBdyAsWY4lYYcTX6+5mQSFT7JaXQ/0t461GXt7tvMoq/qPdT5kGzqYiE1W9J/8kJg/xMMtR0I
2tcxkuGx7COTuBCEL/S7d3VbHWaChlDeBJA1cHdwYvlyo0piRHGddyTxx7mRxZ+B5UYqSz/EJelr
Qf4ASmCjnWi1HQe+W3ueX3p0TJG/0M4JgEV8pYyQdqjwXnOn+6tmjsUJZ7VDJfEShQx0DeqXm+n2
pT8RTpJF46eY56sMu0s3hMU+gjV8KSYLNFMzgmAIXWaWIqQ2GwVsiEyeIX1cCMOAdNW4hMkNfXn3
87Lrz5jaKPZL+3lWetWZccWbKxZwHl97DjrHspuChwz3wn8Pdhd+oIERe2yBm3h2qmcbkiXsYGnt
NC0RgG1wTA5NPuXXkA4yJfSyL1U1HNo8ey4Skis2nF8Y1BrevA877neDJJAN05wZPmyd3/Wkmriq
oNobCt9sW5FSj/D65yGbjHyfrhx9kzsk1nTjVYKbDi9W6Q/rw8+z/3v4+RpYQczMQ4Cw0yjJQJvG
BGqUQNlRw0H0odW5Pl5yENkJGfa5iuBNtpFT+5FM0Do5q57UQrcqUDmfEwIfZk/hba3WD/Tnwc6G
wIfXfp5tSxwTLFHnnks9bGnxbTyGBpdU1gbyZ6YUlD/0nvuawUTqgy7VuMSwfSTTxLKB2AIPsm78
zhwxGoRl4+MoxHSDutgjoO5ugWdMpvWgC8Qb8gGKNxylWQ7bHOfjNsIUgKKYOVvbFQacZIE6oUap
PjNSuoPOWP/3AJtaol7nNDxE1jf2/G6fameV2i40xqd08U14PkeiwC/amlLkhOLPPOH7WzTynFFs
a9JJsZ29j2wCNElRnTImY56ASN82Or7UFHfzYn5nHvGsKNMyMO9kUSZUNmoFEmczvwk6XnjONEyQ
1d3PUQS02X4yajEe6u67AiL22GrzbUC/K5IeIFB0WORvM3FAXC28rw1Coa1y61u85ChryFFMVXfO
UvOgUDDRKth2pfSTHuG8okDQym9rBGjFhJmhORAcSY/f+zePlDxLWL6MCnJFQx+UoSTY2QB2e3FX
13w0eenRAjiNQ49oqgmYe1LdeyQLpQyE4wT8NzX4baqsK8KZ44zqy5kK2ueSHHBrOhujfvTC/FMG
0btqSdyZA9QR5clJeN86jyw2YStAqNNRKnqLVMAvIHTQz9EQyZhaBPhWwjmiFXyXexBLqzD4R8TW
xXU7P8Xc3Ds9dLwVvbiEL0zhMBuPy94yDISmg6/VfJ1+YBjVY0qc7Cbqk5c4mb7NEvxag+/UrrTA
YxacGsP9MlKNODX4KkzsNkY7wqYJvVM4IE+1rqigjyGyIMfGTmhVj2QULk12mGT17TjNAQ5xcIo6
3sKkelAIHKKBQrCvHAYXRHBMs/FUB4fRjoYTvID30YCYJOMXrhNC6MkgSR39C84Ku1Itr4VDKir7
2NELik8crcwXYKhrZb5UKExBB1SI0qjgYCqEGwulVuQkflZFz27esMJNwcH4axm8dXp9m9f3Kk46
Aq6Zt9j8zqFT/x7HB+HpZ48z6YbN/9TkcQa74EiyEBe0yccA2JBjg3xvgb3FdpcchOP9q6b0OW6C
p1A5JxYD9rGaS3IcOZWHsnwHSfBWz+pdpu/UuXcofWita2zhCSax3RhVSIuBr+pM0STJjCsGFNwX
5AJF+fBhxlwc9aBwSSTfzC9ebY6p88jVDnb8l25FiFWRs4CK0TcDrqh7m0FuyJG8e6KueUD779eZ
uCXCDA92IuiYVvUdOomjKkyuNs2nygeESxJeHvcR/pCqe0xQDo2ZuGgu/Y1p6vu0Skzm8hSZs2kt
HEvxXdN54gRB3h5nhrIjKCV/tMvgJjyDLczoaVwGxjFQFYLnnBA6ahcnpKcRRwYAId6gnPTgvuMC
1ApgQYClk34mnwZG4LX7FDyMBmhLz8S5Y9JvVRHS5Jr4aCxzAM2Cjej5/5ldrLRaLLcGIK/b/Cst
4m77gs4BJqt3GQS0vgngDQv8u5L9m2jrI/ncNG86b2OCuxlm9xnVwK60NYZuEX06lTi2gpxFaR5A
XZzmFltMLUuJeZVflsDRg2yqvZKYEnPyARwrunppfXIxBOAfgQnskrGIr5gMdOfZu9bAJLdk7NCs
WZ7sfPkOa3GGLIfqEHmdli64NND46fDc2VZEAoxxMeBSqVYS3BxcmsX9iME7zPJL5HivjPqTVa1H
zB/8rhO0TdOIE79aT/roNHxdMoAOGNwROrgRGukxmbssAAMj6GT5ckpATOrson/dhIH5hxQsV14K
sONsYSBEV9Jeylg+d9x/dl69DcHbHPK9jMujHRGna+YGqZKtyd8qX4DkARUU6C8TNmBPoRA3Gkn6
zXxaBlwTUUMHRiQ7t8f6HA7XlsKcGpqbVFi0iO1qVRVO0V6hZh4k/3pyaBwFzg2MLMehR1KMv2SI
eHBSdXLKU5s/YrLuSmhkajRGP7Cmd7fkapmo9gm0cw/23IMBspBNd8NjvgJ5WLBQe34v9M9RUESk
QbIDWqzE9Bu7g86ry1Ta3zkGPd4QsZk17WurKN5dvEbHksXPm92vtDE9MDKMHbtnl5A8zGUg5VKs
cXQs8Sc7Ef8pCSUj4xIcz0G+XeKWsNk6svdtan+tVx6RDseIXhuooeG9x8aMrstk62HBtlPzOqb1
Y+wyMS0QVMsZUzLzjM5aoyuxUG+KI82PT9GH1yJbZRDujPaZD6ktBaJI0hSAdH7aOW+ohXZ21lCI
m2V4H/QN4OWbUJScCQvfFoYeFff6E5U1XNFe041vwpPb49ZJOrPbuqbNESvglDMdkpMSLkywVV7M
keAxA97g1ePKP7F3gSB+U02AsnvXO3Z911FqszxGWn3kkF3YoA03S1e/fc00YLkJbK0APQtWGXhi
CuZLYqUAH2wUy9ljca8njxmLpClWe5eYw2FCAP2sqOjkUvuqr49tUBJwY/kMx3Z9hwPPzjXeT8DN
+9a8Voxrts0isUGb5R0djRXtNLY7ei3V8FS774JLve7Q4ru/ZrxGQsOMJXJxhcqVfsA8eDPMeCPs
ATdY+uzU4bPCNBEnPfRueruZ9+osNTovFyWN7h6l17HHAwakUnoagIgU3gBpxX6NPXJMg/HW2Ma+
C+ffCPrVPojwviDPrXoC+moocvRVSRMraf0VOZGoofpM3OivNi36YiTfJyC2xaq5o4K8eKSi4mVn
iCSOYWrdgOjaASuc54BfSRwIf8utp0UrMFlk0WeVgA1QKZM9LY81k6vcLnGklOdCWJemyIFIAS7e
9Pl0aez85IVcUTOZrysLYoY9cuyNh59lZYGsq5XjJ/E/z6VhU4zmaxMN5EbKDzdrD1kN1ycNvddp
MZ6gYiXpO/J2em7COyVT8jdBD5BNSI30KEgGDP5lhOuOf6uAQq+27ZaODvb3Rf4LZ+hPBXb4hlAG
JztDjCkgjHMoA0wmRh+BQcMgb5KYRmduHc8EEpCWhV+n8treZuRSo+bQX09/AfdT3tbFy9J6IGs0
AC/pQec4r/VwFTLD7UZ1ar3qJR71pxR1fa5ViA1kgbU55u5TYdMG0/CyZWL+KRpwAqM14IwaVhi/
ts9VaP+LomzGfI7S2bG0QaPNmJiJ18fRwNPlmmzPkMASmCn0dxBc7uzEhb1O0Ko/m+a/xTK9o2cO
T/Y02YfKipiayYCsu5nPyVagwarOX3roJygFPkWa3hG/4fh57BLBCHyEfGjE5gr2uNUia/Bc835Q
4hxaiTiTfXaNA05RthFWe/79Rq4GXu8x01BE2qhtaYJSCngm3OLeHs4OJ9J0SI5dMcXHyl2SAwX+
iux8RJjg+WMUFIdhmD4x/UIJ1zXoOk+/9E4TbTsdSWic486kEO4E/cfEYSgP+jXaV5xIoKLnSMqm
qMJHAoLuIMMp34dRsGNIMbwsgfGngX616xu89HkitvHMOBpNJH4lzjUIRsFI6nh0Ll1W0CPQBu2G
NJZ3CJ+LHcV8vG2b/ELYXkywKef1GjyPqLCvDPZQbikYd662ftdGUNHTEwhk2a7c9EZAaAp6IKRO
jLJ7pwKYMIXUMSUAoLAY/o4DqgjTBtObgLqiJGNqMwCPnrhN2cgiF7FJFiGEhatpLt02R6kMov3Z
GtJbbqBDbRf3EFeAT+u8e1XVj9M/+eDNR/paIRIo8uaaeUSEL1ClSH7dFnNJBOspds00vtguTYep
OHaZviRR4xyrBdHCem526+EbX27K4YzcO9XeoN6u9gHvH22+aCeLgsbHYFW+6TCx+XlY/vfZz8v/
71vqLIQR2rAtx6WLP4O/uDz3zP2Tlh29rxhIp3IB4IiGrsueGwEk3KFgQJYPatfaDxFvopbMH3pj
ms4ReqrE5bDZQPxKj3HRUJjSfelSaR6xTIsrMO3kvGKgZucPozOPFlZ3p1Pr0EY0xeOqvAbC2EcM
G4lyYqGSnn3vZlPBML8bdlNPMojTH0cVEX8dF4gO+/GpdJXEBmsBQSRR0GFf51LBykJuCBinPsad
VWGjLyk7Yv2KWeIlnOR9Ulv3lhxu1PUwyE2yi1DZFYVJzRBCzOgAUAiE5zttlI+9qG8tV1QDndxq
PE7UuALtNriXtEa3gUA5jLnf2EYF4yPcUbVSJwMfMu7S9G/sXHu21kPZOUCdlb6B6P3CaPsrq4AB
LHL8VxlDCHLN+wpK0DHdWcYS8vj0HA6JefbCliH6+tD0AT2gMvizTAfsfxxMgXFtkbY/ujI8Yy30
ISU/iBgwSNURk4AQpC5ZhAeMCtj3Engn0b1pFiA6vcRHU/0wRN13No7WUawjbO8xnJFfTixk+3JB
qOKJ8S50Z7+H1YNA6RkBFaNFt2OhB1aN3wd7pAQ2xFgy7khpDONfRq+fqTMQo0zJW0b4J8yf67wi
cFtmSgRjpCTb9xdUEY+j0fbXYMHQHJTTHy9lMuAt0xGN+l2QGsyeSsANqj5JV57LFmbaQlO90fXZ
XENDVuyvZRR/+8a+TPHMJK19TLvkdeqXk6z1tQweXJx7wAjKG6CDVzs0B+6f77RPGJEpBORtbjC+
bphxvEPTQBOxDNUuTChhhnVmBw/XpJgNkuoTOPUBSwNtjxxas9QNNKmy3kRevHM9Jm7FJG/M73Gi
hTToiOAt7qV2ULrh1tLrfjqy+G6MIBE+ze9yV3mfboTNpfB6IDTBwFc6MGxBidWmiY3nILE+qjko
CHid1BnYBYjMGFtbkBzt1FuRySiUAsNrfKFN2jo/T3WcAY9teqhggeccM1Of+7WV2om68H+aqj/P
fr7mncbQ9WC14NMopTPd6UrfS7eKjzb4WO7XtdkUWdODFvbfkUEpMcz0oPr/bURNogZtOTc0mP/f
10PSSo7BOB5JJczGO93OtW8mlt83aXF0TLhF0H7b2n7DzQVvRu6ka75QWCPdRdSEVBuEYKOB24Bt
2SVJ8ayr+U1l5i9JcATrLSM5YlZTTBCbn58tU8H5ryC+BaIdO2YcNftJA90uy1yTXhxXf1zC1klE
qDSfUEc4XeiiAq9Bj3KoBLo92mTReExW1nxmatDpUEYTBnzcTGuGeQvto5/2COzZQy1SWJeGDnHB
z9uaLI4tcvq5FGcinqPTFKX2jpnShRyk0UiWq/K6F7Ox2/OaRb+xx4RMJVEDq+cOO02g9qbUWmHV
uDfxhnL6CsmNR/W3Stow5nM0cQJxjGKHydPAQT1BvUBfBBBbFF4WpHWxcOHiggCtJ1UddD2xOk3l
dKJvch8EocuQn1TwFYeOhMXcE9Nd+UXXdWSCeHF87FzmtRSv/s8DP7D675m1fp+H0W0L7R6I3vry
5+H/vu/npdFONh9+eaxQRvlU9uGmFgEG3oUgk9q5RbmF2/p/27Q16cJ+uz78fO3n5c8z1J+gQufp
/PNKsQH8923qp8/bg9WKc4lEKlm9OetDjZHML9eHn5cFpm2i/YAZlfbowHObgI11eJvKNsIP1kD3
GhYaFrM5/vdDrHV79NafZLiqPIS9dxvDiknX2Oamz9za+O/BCc2XGB702qZY64SNWdiQKYgvh1+C
zx7zkQG9af4txvYrW0R5CFwOt8scH+aJM74kY6uBWbiEBE+Ny20x4TMxeKHHg93dBmxuQZ0hMBGI
IY3PX9GkjsQCoTncxbbs/ZqayWTRJX5s+V0l5RP+ZUPVh2hynX205IyevoFZ88XIffMI6gtt575u
4yvvzasRclRupn2c1fdLSvyQmPkHjs4vcWosB9v6Z8147fSwfKWl6e7MJbxm9ECt3ouP/UTGpFvJ
YzdmK5rO//k7nK46D2V3Ym791VXTVQVQ+iyp/SSYD0Jgrgz130RxiSu1kBaG83qncNPTf5zZvM1h
20VvU0eMA12ODwSPdPUcyqwazxBlEuPeDFGYo7m0yf48VASiPAUu91v94M3CA3dA9kKvnhQoOHYH
1XVgDlL3o8lb9iLAG2PZPM2SPinGhYWrtyGIov4omvaJRn67S/gwN9EyHKEK+EGDrN50ozf1itvx
TPNgTMEkG7HT7EPnuwcF9ABc2N2LRcrNEunbBMf1wGz5lfyU1BcNzprYy77YvdF9P4GK/HAn43fd
g2Ds5fReRrmLPax/aKaqxe4to6coT474d75g6wNwbWps6w0xeK76G9kQMogo6o+1+ySWN+k00MiW
ZdiqMrtr9I2SDsi05sBrGblztFyHpm+qzoXBWZxg6eiEFO2QwxM7ApfJ9iTebJlHkGqSWhwgl7i5
VOE3BqKdaUsuDDW+F2scY968lB6uBsy3hGIm6pS7y5+kEXddiC++KCk0xxahU2z3GAUoEH8G2WEA
uTFirIl2cs1mSUnLjFe8vYWyTHrr+Ly7Q2xC3PcSnb15uTCd7hlRAuX0Eok9ikRlDxlti2sKxg1l
khUPnJUq4q8catAM4f7gEQPBJJvoH+uti+g3dRJ9UuPglTNFoA7dfdW5uAwnCBNz+7sWgkNbjt+h
orU4k1mJKmqttuEKjVgRN7AGaPSayO/T0sp3nlUei7b/q+pmPrM5M3GAZuZpZrwKGts0JKisRq84
pPCDq/GAL46xk5c9W45HnSLkZ0dz3KyiB1ufljWMvQzzP9FgGEfPnn9NtcgIlSPEPMtPA3HXR2Dq
alOBR6Emm+e9R8MuNOoDM3tuMoh5u9wpgKuWAbnYsOIxcuJuiqp6P4bA9TrnxHpMKyZO4pMauJkx
8FanOnGZ/ReEbVkubWI35YSin4TFDSjN+r4YEr0bInwHLoezDYrSGHAJGRBWfJCTxuoS8oPs9kXR
z2DyQK/UpIw9dCo+ZIkd3i0Jca19ySYIRAkvTIZ5NOv/1d4pS9cJHn8vBgjDN8olfFR5CsHZuVY1
p7YpRpQddvIrVs3XQAYfkACmSHF6MCQhkdClO2ycUJ+eDGvkioWQvEW6fHZJmIDCFe2N6mzLhUYi
gXJE1NaZx6mno+cQiYjs0jHoT0FcKrbg+FyuoGCiRSTeHWaFRCowIsqViWpKr4uyLemxPcJ3xw+r
v0eOA/4SgjSBpPYYWUQ4ze50b7l4qSZ38vbDAxl5dGF0u3fa/nfimu+yarkoZpoRDV3fYtTfLkqc
2PN+DwyEt2NKH2r01LOT/XUnQqk4EQ0cZHHZTc2Tjj2ESTSHlANepy9WrujIeSNawqcgu0eD0Wxo
WZHRF+C7iu66FpDz1KPuZhUmhKw1YEQbCizf6MDL/N2i/yDxxz5QOz/Rtj2MprwVXoFPW4WvpRky
0DbnlJncNrJMjJOkam1MVbEiST3vJ2S1uv2d2ER4OOIt9kS2F+P8V2dEf8/Leuo+2vGcHORaXhQA
Eky4tGL0Qlwg0x8TTTSKBgBnaisc5xpU2YdKwLaSAH2DO3rszfJzUM7vurGJDSrpdhmYJvtfluUg
qWqtVy+vvkcFR2jy2t1ktUDl6PJuiBOFc5P5yPCptWTzPBjpI7C/Z43uAXmlZzDozR3mVeVHQbSJ
NWm6s+BsmFAIcm3Grc5JtAF8hmiydZJDMtS7XKff0axfzKHA4zKgLxHVQgaGqUETjMcGRS0qC5cw
pv6iDOcGiDO7sxL5NHTVo91a9mk0u3LvyPJa1MMbMhdyiJig4AdnMFyZOwakbODgd45U9I9eYYpD
4eLOb0aYoTkp2i4iBi0Z02OaSQ/UukeHiaOr1IvuiTfldptFxAwlcnyjh3vVJh1nn3cSGnza58Fe
mwyH0EqgPtXEGlYLi1bVcd9N0+p9gyE5mCT2aWF2u+x9jGcDPSWUy2Qcq02/chkXCaBTFOM1mleM
cD/4gDmJ8dFMZsrJ4SLxueCqiINr66n7OWTJX2yT2WZYM8LP0Rcl/kTycEBTGO+sM1yybHgv1CE/
5FXR7SvN8dmGkthaS3/OO5Omc7GTQHLWn0PefNUBuIIhuUVom7pjdQSPG2+XEfZVzljzGJf0Vzjd
GvSOQC+GlvjiLhen1Hzoy+BVGma8U/gzuKnRRRokQGXTgGJub3WkiOWZV+5rVEAA146pDdp3zt+L
mV1duPFtVPLUkPbKNvE/zJ3XcuRYlmV/JS2fB9nABS7EWFc9uBakO4VTRLzAqAJaa3z9rOuRVZ2Z
1T09/TZmVZHBoNPpUFecs/fazm7IRpinI/awwAHmaDlorQl7grVb6nda5O/cBlNBm6TjWnTdxO6R
ThgNgtc4hDxpJTHCOkTgx4I4C6RtVCvL5rNnKX+sSfTSI7arbgoeys/1S2AN7KfocdBvKNrV3KfH
VihchBOfxqgJVllJt0tqxZNHguc+HxoIroV8npkaqatrhN7AH4S7ffYbKLjU9VGWzAVOZCvDqSzy
lZXoD8Bix0crgYgUzu1zjhpoI2lmt7yjr7EMjstqZaJ7hzRFKCdWu60fV5+12W5caUwLw4VnA+eW
LuB4XxUY4xvSranVeAezoY9hJklM25dVsTMJk84BgAUsA+RVAHPp/OqrHvJvvkw+pqQPKOsVl973
gpsh/aa7YD8KlFcUzLxwyZ6i33a+UgZCZeyKZKvT7NtQUMT/PbrpqtWJs9UoaC2sySUbSbr70siW
nUZjD1tMiEWiLu5kSL2p8j5Hr54RADBJEuuzImWbVTnc55nmJGAsZzUV4WXWI++YNO3NAM9vA+ZU
7DJ01vNg8UAFSOf81LlxqHpmg3y1EWVtkKAv2b32ewDjGQo5+F3YaGjSVOOhc8L6TGL5wBqhmkbz
BkYSRUFH0MNy4dg6bsCGDN8RZoFPzKvzulbZ3LlPxdigwNYaEqG4TjhejCzcLX6w1j6nQX7vDkxo
OToCzLCc3ZnnZl2bAhRDxwwsBFsj591pinLrdDVGnsZ/9Plz0b2kGZM5WuGAFB1jPEC4CwicuRm9
7BssjWA7NeMNFYRH15rObUZMPPjZkcfFPU16KSku6w9ta3mbhnXRgaoP41gKMKEGtO8WVO1jkR8H
y37wrUASQkBudjGZnGknOE4NH9orJQ5CYBlA6iARQaadSdLCi6Ex5Fk2uHs1gGb0WwYd5KUnEL4n
E/vXoCCX/gI3I9iZJJnT58qRSaQlQydYoGrMsSlHAaeUGRsU1rRLbfcTPkR81EzqnLZAq5GiPqFl
JJcC2SCSK10tIVl9NzZs+n6GyiYbc1M61lNJ6cssJ20pHHoiopPvHuGHZGHXe63Rl/mY0nGj8LcY
ljwXUGY8cZuiYdiwAKiLLr4t6zLCjwMjw6J5u7HlSPcbb3pMZPCFULNlbn0Kz8xerYLAGjvhY5SJ
u9fwZfbZN1uzgEOgBuv0GoC7dtdk7rc4a71HYQjs5HF91zt1f8jcujgPLm0dCuZEcKXvDtGdi1nF
QGX0Byh5QTbVvCTbRhNjRBFn1a5DgEg0tpY+2tq4HCbwmkBy+FsO9tFJo2/DFHR34LTJCNghFIF4
E2IOCzHJZL1wDu2oCgStDkhDg56sTw1sl0jBRh9cDFcKPZhyhpOXVGNW8MjC3gp5dBA2w4Az9V15
MyQetoZmoAOAOHURWSRDEvmab6betpB2DfcwNHXiEULsrI477Qo4hlUqoByNeN8Cqbo0EAJWyq5k
lwlGdKvIIE115EOjISTDmtW+BjXci2lPWRhLHXuY2I+wRJeuhyaLdBVL62+ajl2m3sBDJ6U6WWSY
uJGcPvAaVgWW/ULeDtGMOP2KeqQV5DN1qg22D4ZqUaaKRWDBaYZLuSwwsq6a9ottfAnKOl5mcyPJ
tc4wVgONl9wm2zTDyOiAum5DTwOvjjShHdpN4TekJRTd0uPEQjQiltIPb0s7PhCfi9k5ssiGGPBU
9smhrjyAnjBO+XgILZqUxAG77z1GlbTf0WNGC5Gku7GmlSnZA+cTqWcGDoBFmGjazgGV6bnZKeiN
HQsufatloIYqPTv0uMDcmZx6K1qy+5j30gyPmgZFjT0AHGbf34EgvCEV+x7u8XtpVzH5SNDu2qo8
0kmahC33Da3JrPTvUalHG0NHadJ5XDW/QRg9pvUupzS88SON4dBLn5pG75ZGZFN4TAamzEKRc0wc
TtgBcXru9N6lWijhxxkBmQCgCFn/1aiAvfsRI80q6vp3w8uh49qWiUEnmZOtV5fPRdV6m9rp5ULQ
mPJQUjrinFkR5dKo9uDDBx9ePbw2tHF7uLOsXvznbsI8ENj6pddBO3TjqECY47Q1YHZoMUU8oYZu
sjmfp/iBcCgaqRQfKAigvfPaMzV9fAatgUZtzu9HiijHzrgEc1iQODJQkDeeQKfUq0jRvDXDoIRJ
kDocOPc5sPCTtvN4ZuGeLMseft0AjTjXp32jWbuorJ5Df/y0MSikoQbwG3P7ZFHeHEbARUny1g8G
mXI62cWmXpHK5kNbTrFVROgYCCTDzB5Xzt5pJNLclOaKhvYvsO7njF52QV/Kgz1CQ4dhAFDH99H8
8l3QGVFwiaPy1Ws5E3min8Wssju5iqxhykfpZnQ2UfIvRi34IujrPKyNSUx7AoC8DVrlpzo3kh3l
4RDqhrspED6sIX+s/QxVnA7kd1PA7MdMsIfpMG+wxn6vjOSeFvLKiRy5dEeeMCOTmCkK967uib8i
YuOmnOiJjs4EI5OBgG+PqzLS8Ami1lqT9IJylf0QxECGBEchedAUCZN+evpjqklwNB21b+8RNPbB
psgQ+w8eIWhVzsqbg2C6yNfUMMwlkWPP2kANT4szkFg0kMbe7g4WrS1yp6CESzUzRVmEUy2+w7RK
6uDoP2RVvB+rjHUvMuKa5yVpBxD+RuYpVLKPINXastYtQ9q6c7CCLFhvkfO+5+AP14V24xQWdrJg
Mgj0QFCZeSczJkvbmmS0qml3MCKYRKRKbRGKLFij8ifUKWCQmJJhM1EgG6Qe4xSj553V9bCbQ9Z8
7D/mjgfVhlCOvPiIeu+2k2Gy8nJ60CZC6VqQ2Em46u1Y3FaR1q2CnHnDtkEBNI1q9k+nTks/YdQB
CkCubmn3pei/k4SubXrmU+KSqqsSp4nIBOiJTmuCrFqF5Y0SGQaMoYMLgc1O7JfEDt69FuGUXzlv
6BLhhFu04JLQ8BYN+1d27XT32I9FyUyoMoPDzHpaG9obtGpKbY3VPFY3q8P+qfQIODDoH/cAUQrV
V51kE2zy3rslzbbdaWOCY3f+hvYO+g9IP+oCAQbILtg0/pgdgzC5RRZJyJlZdeu+9F5ZqNi70Y/I
sBSvPh3nmCXhprIIYxpH5k4CniaUy6MOBbqT3IFTToybRmkuYq0z5ky5Fjsg3N8f2LixtWoIxjwG
IPaqPupw5j9r/JjzNNhgLgN94MMPZEcCeTCDLaSq+Uku7iyvRutCOX0LQmaFvYVGFK2XRTO0waJO
gweZjfE5ZlcYygkO/zi/Zqo+ZvXkJ+Ro1BXdheecJPhdW9qnahpu4QwYSw0hQ+Q69M5NhS/w0ZnD
MaP/ra0xtbIFlDSZTHyWxBzB90ohG+jEpte43fFYJdgcs2kbYladsvXcERrTqCCnQkwhYeUlYTGU
NoEeuZDabkcU94us66BUAThfNVBmS1sxVKpLNgNbEW36o5b1C872fWxTLanjUFvCll6n46gjhJxe
BpPxy7XMPeSg9xBopxchfsPemsoB2ieBjDFluRN33VPX2Z8N1qgVhcj1IAGkp0ZGWccVxrIcmPnY
6Ac62uxYwg80g5EddepGSBvgPLHffUL/B79SqhaP460sLUv3mfkd+PBdwWJnE5T+26tnS2AyeVjd
jDjSCgUAL+PokCJBQkFxLyr3KUrG17BH7IjrTi7qckDDIKkrxlI+GOZA6UlTrXNqAVXBtjahILLU
MgfB0yCD7SCROIq4klsyYi48eCxtCVoofQQmcZSdTfNoq7gEqXViOwYzQ2iyMlNig0facLBwXZQO
XbMt5vSeoin2H6QNV4U6ej4WHxJERWporMaFCI7jNMplMBBFIJrhRs9kt6ci5Y9Vv5lCFpqOWPYQ
rteUFm/DhO3GQMPQiSgU1RRyd2HWIhXVzG+sfOdjWn5vUrXcnPN+bSX3QUElKh7vSWhzud0kWg39
DSPyJybklyyi2sJ+HcXSFL10wAV3gdPviFsIlr472wcKjovWrHf6aKQnct02hjuy/bLKuyBgGz5g
hl1Bg7XXmcjKVdRPzsqQzpH/NztfdONurnBaeiEZWX3+MClgvhVqGihONCYIjrYBRpdFaDLEN0H/
nuasD1sivLIAm6Np2VKpBg6uhXIPfisNZH0V1Vq56eX4KaBvVSElOFLxJmAerO3nBjUtEXLxvicW
CMfFqrZwgKfu4PG8UgX0UEyb2Jd7ekbL4UemsevuwAubPB/suLxVM2Tclhqts+bQQBHhPiYQwNXL
55SuJRNSb68VA4MhRwkb0whG4btEfH1xExAW0npq8ibbmbr8kei44yUe/9HAiEgO3p44cjMIKPmE
/jOpo/SQcJyjMdvHXS2WsQZeynCNaU/9kSylcW9b7HN9yCVrZ4Lw3gBe1lzP3qW6R7OaQmWsoyey
G7RvWopGr6BPhGnJ32AKeAod/ZuXOR+j7t7WlXlnzMObnSYg9bHFsSk0vgzBog6GAR1eC8tPdRod
oKVlC0FNK3F8lDyhfQymsMIXCAT50DBVbWwwEwudmSBPUuprSeRvgRS9hrr1EDQw4fQx2PS0hmQH
nsPwgR9RMHbXRoPF0j8TJ0sLxEIQ3+j1bRA5300Q3TBY5JkMqE98bTeEWt/r9II35UR3zx3EseMu
oZ0yF4sppUY6sTe1Kiz+Vk3XCqs1icJ7yHDRovBY5SC2ciyawIVgBZc3A/UjFpOeVvs7cpeAGftv
tUsSkTONX8iIqjWataXeN3shkoI0sq5chKPkA2LW3XZBGZ+D0HifMh5SWcxvoUG30k/bvTHR3jUo
peNvn3oMLvzt+kfGuuaAFAgVfc4ohkZdT0eIMAghnXGr6SnGaZpRq97xNhO1mtssOlNTcLduSZnM
KOmOExs2LdOqGre+Np37klGThBJnF9X6u8G0tNULiBBNU58Recekagtz4ww1rcKAYqDdZa4KDLN2
QWkj+O0ZQcIC3j5zAb6sKTyjjb6TxCmjfYCNV7nuJp/xd8lxLLaoUt8SWze3BQpXgWcy7DirU+ts
aXi/GR4yodgdSCKwgTHJavo0ugxoTW5+xmN6Zgt61NCHLpw6Ho/EWFT7wcxetHo2DrrF9IL66Anx
pLekJgy7M6yjU4L1pWpBhshxmh60b4VlBitNn8RujDh7Rwvu46rNiC2O2vI24nptqmrO1pWXQczB
bBVm+SlOt6EJ5NIr2RoawtLW0pN7vY0ePK0jdkOZokBAsNuYix9hzKfNi3GZ232yrvMzXvKHMXb9
VSleZDFBCAzKU+Ahs5AmDNO+EJ9ZWhvL0CWx3OSp0zpPrqqWsaMWqbFIjGlLuKFrYk4FcIOvhYpt
VQXfhWN90kGErZOxlC61eFuFnDdPEQIME+WdEMadkGRwZsImZaP9gNY7ryf8U8OAiEDo1QMZIyNb
eCSb06i9g/CIaO7EsEIrEd+UErkQPJs1jU5C0FJdW3K+WXwQokf7yqCFbUfhDbg2ZN2A3ucYM3bf
AfzoberQ+CRBFujBLmmjU905j03pK+wQWBKX3k9UF5u8Nb65YwU9F6AVphV3QZMt23pFSGBBwE3X
TRUlwizeNVUozjiAo17aZxV0AJnO3pkmK6Ek20+uf6PnueSu4/HT9Rj8iWudJXJm1nnIKfbUn0Bf
OjOcegSmS7R0D01H/05dMlj8M4nbbJWQCoB/jMcTZsq5oDjNIrKhBGZ5RMPRVmzjFVYM2tTXrFb/
JauNXTJVrzFNjxnRDCrXdC1ruCCDRX8f+cOCyj5FZY3dxpi7ewd2tF0gjJLDsO5bfT5Trlf+iq58
Qpj8vY7MfQQe/8GyzNuqzl/RSoVLn2Iw4lmCOCv2xGuJ0E2Mr93cuju8bkAHYwTKxchyMyDsWWgP
RFnpdxOLFU/KcoOB7t0UCeRAgBsHCIvWEm0RPofQOMNO+dGfdLOJ1nQueXSwL4Ch1FG8AXgBdgRH
jZOGVQMxPw9aJQmgru2tzARSNjrzTFmPrmnhejdWtofl1DdSBJtzEm9lXTsbAIEomPKCtv1QObdC
6f7N3oL61vs591D0NYAiYANgERaXRxPRT6SD4kRHv25q1O1oGLe1tysIZmDnpu1bOySj82wrFTqn
RbTjVS4NJscD7SHz9NAEFhNYNh7rwlCqvWRphDAf9KbdwdsdV3DoSNmIQewKEwyqW9kPPQC1Bnny
jqA3tEVEoGCiZ0dGsgL5boywRVQzIJjdZrTNkA2fuUQb9WnaWBloo9Rb2yS8bLC/i6jJNjMwkpWo
jBMVK28dbYYWoxMB5uC87BKIMgpiyDU3XUsrNSDSb4WZ4RvCdH7Z1BGlq9iZjNdulRHfMo4mxaMt
WDxwWcxvOy33WRC30y7g6m5rWkzFOG/bMPe3BNbuws5HiWTP1Qrpww4bxyP11IkNGIhyHAg4AQZ2
DzQ3FkNLe5Zn9p7UzYyAAQoWgx2fazcRy4YoZIoO1MPIQZWbwDJxDFTMgxbFeZxK37GhwqTPiu8h
Ak1WTpuB7jr1iB+2HUHyG+xHXe++RskWuRhRW2kP1Dphu5XhMxwW1qy58zrBK1zNqs3pJBVLZdYi
G7PEkT/TFt3qJFEQNH1k95XvvcG+UREErGxs+GjuWp88cfAxay/MsjixBiJQBQfYUu+yN1Hhba8d
ojgHMRyMfHgRt+Ax+i34aJp8CdJtywEe7423Ke60NZAJDTcDmaZlSqAdYhwTFPByRp3J8h/e0jzn
D7q0/O201DM7WnUji2cwJ85hmHGrkSy9ieXnCH4DuAb+GN1H4EKfeZk1w8FpKHtLaTvUJ3Wkxbgt
cCVoZhBf8lRcJuzwxMcney3xeYSE/pFMJkLn3dhOtzFRCcs8VvJCj0JVBqDMtKmRlNgkuhIOWqqP
X6S1kG5C6yBg6UK5YR5gQejDOu14LANDLFJ2rFrOLn02Um3laANiAgYTI8GDam56K76dU5525OdM
NOX8bJATmg8J8G5zONQJQ4UjrGfGt2AZNvrayX1gmfljRW8VlnWNKLq2gGEyjk9e+jrAv1wlwa1n
2B+eDh7QKqaVlP2ZDX9FKg6359w7q8wrnoUkP8/VdDoCgmJ72MLQq4kVtESzCjwUdQx8D3XtIZaH
C1dQKEgiIqWwW7A5c+W56zm6sqVoVbU1Hdj8NPj4b9jSAOcBGNXFpCzbxVqnsIOCTyewYg3egyha
KDQtqo06iBEMuwgo64jJvVdaW5uVvql9ykqLQKR3nywYV1OLN3yiWL+C978TB3WcaSog4aTPJszQ
hafw71mIXjmpX1BSsrcuog+BYsloig98DRvYAgFpLuFN1/hyNYNmqY35pulruafhPA/kmREoLCaC
33Eo7AvMsyZqkU1YcUYoeT4CrzTW0QB/xA2a86iZHyZIYtgu6YeRAlyI7PxVSVU9y+JpbCRlf2SV
whrQC9QdQWc+bgoP3OQmkBQIIrKO4Z0z6ISJbq/aHtWPZqTveUz3ZfAdjQGVttzgsUOCP8Vey/Hw
6Rfo33795d/+/u//9jH+7+CrAJM9BUXe/P3f+fqjKKc6CsL2L1/+/Tb6QPpS/GivP/bPl/18l39+
yU/9/q6rt/btT1+s85aB6L77qqeHLwDw7fX38fvVK/9fv/nL1/VdLlP59bdfP4oub9W7BVGR//r7
t/aff/tVetfj+3l46u1//97pLePHgFaV9ddfX//11rR/+9W0frN1xyB72PZcYQmDdxq+rt8Rvwn8
FQYSDf6LQ1X8+gvU+zbkh+Rvju5JT+fbri3BAvz6S1N0129Zv0nbNBwquLZhmKhjf/3HYf/ptP/H
ZfglJ6W8IP6n+duvhiH4LeXP66MOzBFSt13X5n1sSlYSdRbf/3h7gP6iXv+/eoyYZGTG87JaQ7S7
6C3dkxm913LU3AvpwmuffLvcj88RD2BYMjuwFOOm8pmt2jB+HRvxmtNHXUrPgEvXaSdRJO8+6ROW
QzMuas0bSOjxStLHKteoMgBZxpsaIwcmxkcRB/cjEYOMxHfYWU1at8jCnJJRWCubc8YYXQHPoS9H
X0/U5BGb1LHbirVzg2raK/SjDf8tzu8G29HWM2gQfF41iz0df4XslS9MtYPSwV0lmY1sO+eX2Fly
8OzmUutkL7RBhjBeZ7XDmuOSjZTcuGDsUwl6WbjruMY8Ri4PFCgUzLLqv8W9f7EreYisau1ynKLl
LX0mp6VhODHRLkzKIf/EVWQuCfr7yK2hUgrIBNJisSE9crLVR5sGivK6T+sY3/9OvRXKOjSKQCT8
kJAHl0gzRMYRWB0L6rc5YaUYfsSobFHcA3PjwKACIm0NtBenFx4L8bpde85wtFN4QYVjPeqNOIzS
x38FjNjXa3ZFLmex0RDkWBgrAt07VzJtl5VQA50RfEkobEjO+PxQI27QLTK/adH79bzoNh7T0kEl
q9oJWd/eDwIds88lq0YMLTqi2lFQITReJVPCRg+bgfrqq82ZZBundBocFINurCcjfVVy2zc9M72R
0lwrofJVLk6lEUh6OQsMKLzlWJYu6ygL0YCaYsIJxSYq8UVuuA9WRz5kXdJil+m8GaeTU+HWvV4J
veID0mYk89WuX/UQmWgQsJ0SYgBYRv8X2e8FjI23GHvnSBBrvkXHsa+1Eduvxdwgp+IhRS60Fa3a
x+cPc2ZutZjPTi9ZWxue950+7LJ3IS6wWEHBOtQmfKeQsdWKyankBOqec9KJ70B+GbKqUXdvRTsQ
9y/XbKq/1AjtavbJBQtugSQZZ00Qd4U8isH950PQ+voxGNNdDFpyMQqCpBybR9CsUS4puYnBZ0k8
eU+N4h7CprtKqbMsujnf6LAR4DJw6QGz0w6h9RsGGw8Dcq0bzwAzt1nVAmNO3issIJlt3mnluFBf
R46AjAIQz+jwqk7cYHPMRfAz7cJM8A69hw3TcPQz1CrAY5rMvgTJ/BgM1oGwuv2M7YfCPPhFtHTL
0CCcDmhAgE0F36PeA7ceqHpHPgeUhgwi/j510reA3BZAF8m7PtuXHKrNkroYw3WxrlP2P/g896Cx
BogiNAzVPUFMzambL41DekWYeBENfJ5c+DambRMapp71edFbKCj61Lu4uqee/YeRK8BoYK8qVGeL
IOexLrzGpBg+nuwmBXCCuhiPV74QXkwlW7Trqkp/6EjdrCwbz4Y9gr9So1Fjtk9Z310aPaa+X+hf
KBgoBiMLER4jZRZhsWss7lmUUYP4Rh2MWLMqficonDvTJCTRGSr6NvQaCvuEtpaTFuhfmnReM3X4
qEUiAifiHTrKr9ymxNEkwQuIL5aTjCsdYZDXm8d0+Kqhm8ZSM3kvAkxu5G/jesKV2EfeA50bxrhI
exkM+Ur5gaT7pjJxoMBvpvCyyuW8MhxMgVTTcQAZ2fNYRNvGa8XWi/APGUHzYna0b7WJyq4ng292
0MWrgQltnYFNcmjYnagj35jNK3UCoGpsgfem9A71KM0jkkt1u7styyy7JgIHNjBC7/IuzREJRijS
V6SfHIRggJs5rddRjaeKE0y/iG4JocKXyGbNZwdsPUOd2p0TvhOTyUTkcg7G+kIbDxEMmngOp7FN
VMzOtkuBn4gqeCKFfMs18pBK8e04sk9TF3+WdG86x7qjVLu7Xs4S4va2h21Vl4l1QJux0Wv3KMK5
3KlpYc65ahUKJR5xSusp8XRBGr//HNTVQ02AiB5qyI05Bk+d1+uoyJhC8O3zaFknNRi4CIoZKflk
148OeZHysdpSCbjJKavhOuDK65rxSHLgxzwBnTJc2nDUzRu2ayONoC40XUbIrl27VvJYOUQi1f5a
M7nddZfP0fBhXY9nNoLvLJw3s4vWQ8ytNKmhgF1Zy3SwqEzvgiz/YrIJwcBenAYIWyz5wnejwKwr
i4J5In5XLxn68P36aFn+8GIDzQPdcNb1O/XiuOHXWmqay3t73wTyQvQtuofIoXHN3WimCYrMin+y
1T0LowxYTv5lqnq81zuX6/t2xMUtkix91GloFvqDoYZug07bclIfKkX30idVv6hiuS912YA4BfQw
GB+VahwLXqw+pkPbBhv7XcIFzmkDZqb9DUgGnFSGKE83T3UzXSYad+rF6vDn0gUO7lyMxNnbRgOx
uF71alq7fqg84MgqZiQWdWB1u0d1uGNLEmGvc3Bo0AundwkKAfQZw35FlbRIXSa06wciYY6SEJeU
XrJw+BDXYxwKDpTYh4WfjjuKPHT4U+aEcBYrQ5tejEQdivqjpfFLnt6jnZrR0jGnj6KW11RTSoJv
aAHybYV0at2y0VGHmzH8bZn5buhRB514o/JAXqkzmVxQ/VLGeEQndWsg6n4anPAtpfJGzA8n2ESH
bzo0B/HjXi+TOiGaS+qfCKkQTczrOnZ6Qte5bxPSV21AOQ2PH+sQcvRoq9WF/4lzlZIBerFFhivL
isx7qNmvVsZPl2oiM+P0NrSHu+vF62r0RakfrBCaUR9SY3YqgVSM6PXVpYHcxjpCr7EeBqkSJ3EZ
XFYkYFaO189CSgRvqVvvHlhDdYV8i8+i5rDr5ygjVPGhLuF4c4DXR6KHAzZ79b6ncidzK1i3pjpB
ZX6msPPzdWPKv2iEv64n1OSLjCSZycTIELW8N225Z72obol2pnmAdaC2PMV0AXvMp0tCXnI9tOsR
ZyCVQCX0hyjHpny9FFYUfDpzf3t9uE11Y1f06MGrfpYZj3tjswiNf9CeQfKFkW/rqAfm598QOCxF
R26fhlJLjm1DwfSWkfd8fa9E/a5GIzPrekmrpnm2QlxS6jjcML54fnu+TuaR41+MGiSTyfIExDuC
Tk51g5h7KctxNbQkE/WSq1irsalkEbRODP+iJcWjp9M06rQf118INe7GldQ9r4+oTXBtONAMqIr3
abQhQIObL5pzontfSd29mgm7CLc3AZkmSg7Ch80SrNkSK4Akkf46Olzv+kCIXZ+6m6HgVPTZDK8S
MIz6ARbMHvHh3V6b5LtJrXZ9/SDXF15PuqNOUQltgtLHiUrV4jrzc3+ycpvK10DIbZeUM7kctAYB
7W/x0W9tGDZbWy2kPMYSIpu5Cm32ZgYvrip/qTFUDXtlqR11K3qAFMTsO6XvcccsbYX5yjHxegM4
IZBnarFMUuST0cLHtHdIqDgsiFnD5YK/DFBKq+0If7+Z60oeo8xftmVm7WV91Y+hz+lngpmzWRkt
p12PhQIoUbm9PrW+l7L1iOoDrYM1wMkKshqKJV9gZxPTqXUDRuNZ3aHqil+3ZfbcFJRTfz5YsZIP
BAPuoEIFYKTUPQzV7bteBaPsL0GXbdTjDB+4J3madMZYH2jzdPtIYo0SPa6LIHu4fvv6vM5+/pi5
+Z1uT/W+LPZWBvZSK51LxBpGDZGh5h6MGqFU+D6rWaDIuIiFfRc3/btfMdpNan+X9XKvRi4jTl88
3GQ9yiP6Q8vrvewmcpmKZA2SYScj/9Og37uwxoCFJz/RunTQ7ZOaXSa17xgLfovHx+Z+WWV3rs/p
uD7D19GgdcN5WRfBk0Xijg8UBOsQqqVkxEOK3ADRO5DEVVMECoHvbtnTUjEyKekNsaqJs1mg60J0
IJhNYn5qd1f2FF0wg2HsQ002M+qPgf9Wxi1j0hAjijXEoSJwe5XQs509omBoBaDacvkp/qi7u0jr
sbH9vtBVh+TU85NPVXCRUPtZAQnnZuwMfhMXQ/u5Lg4nZqPr1awT5phuyo8pGi4ZskPvvFMXeuuQ
PVqdcr3VEI596iTbwluqv8Qyelf/DRxW4lBg88rFvIigdUGC+14a9qUz3JM92TSO+ccwZE2s4Uyt
4bA09q1j+U/XR8XveDR6N3nWCCOhrfpO7hErWd7ZY+eqLoylFkKhWtgnsCXUo8XSulkw7h4NMIzQ
2pAGBNbdPx+ytHkuxvytcUFfplQPWRIQJOQpUdERtA9eCah/Xc9qfxCMJbRUF2hFMG5YKApK1vzX
XalAW63WaGxZUPCH2Vo9v6UwPhFmtDy1Ov0RIDWRcB6GZLq7TuDqJeiYWGgMMsG8yJ5DVTWGcuQP
795ptEs6R+8dWwc1ElRIDqRJ5c3OVbQ0QSxhc/2d1wP8+aOUS9qIbqsvgLlaj7kt4Gl6FzEW7ioL
iSd0cmqpam9VujxXnp/KhYxP/XDvqS2xei1z8rzpXWePT8tjfuVleUHfxOVThXTQV1KtM9TCc/wm
5+779f19BsDJmcGzLce+ihZ6xan6uZ8IxW6Ct7umNg0IPBzPlrV16/6lUPcrGg5+B800uha7FjXF
XgxRsjDJZENQfyLgxV1RMQKUrN0QgtcirkWQTqMiZrOK2ZzBz7H1J1mdDbVQUGd6TkwcGmJ4mNV6
Q21tWbG6SkjWeAPJKWDn1C3SmBOS1eL+uk62GwZ1ko5aFCnxe0SJs49uypKdd+5xGdX/jVXsUGSq
uTOuu99qmnZa4C9Je2pQXvJcmRo4HSjdbPL1YBmpZ2hKJipA8XSU+XiWDlqPfgiq3aSrW9xKDurG
herOOuChAlrkxpxZ161ODibuRcc1qM36wR0prvNCtXHLbLX2BNKwvG7uVVGk8qI1h/c5O0xw1xv/
Wji5bt3+UFD8vXD3x0KdqsL9qUpnS1YGOtVC3XIpGVIQ/GOVbohCwxpDZHn0t257y/ohXPKHF2Nm
Yd31l5LAi/95hfZSZPzvr+XZP9Z0/+si7p9etf0qVKW0+etbqcru/2eVXqH/4cL8S6V38VVn3edb
88dar/qJn7VezabYazkmlVTXcmyJofAfxV71LRfeMWVW17NUsZdv/aPaK34zPUO3Hcm1danEUqL9
R7WXGrFClrgWNhzdsaje/g+qvbbzp7tISqxrOlUW/COmbVBXVrXgP9R6qw6kZAmIaTMa0JUBDpfs
1wefYAhcwmJYjfJBOGCcE7KU3GRnYAFCvIJPjj1taNzGDuM0fP5qekY3TtISfSqeSbYfy6xFotWw
O9a0Q0nRwzM/rfa7h9VvrLqdGwYvmJ3R8xG7UtkbYHQ7A6p7PiyduNiM5byiBYNEnl5U3G7DNnwJ
LLbQdr2aFWEjhu8f4eMiIxAjy01COqG3q+0BQY9NyYaEkoXMGJ0FgVeIpV59ryeUnnTVSFXH2qNN
VYitp+p9drwPWIvVH+6C/+TxtP+bE2v++cS6ut3bJCMQD1YVhxLty2DfWV287iu5+b//JvWg/8dA
8K+X8C8DQVmVCXQKLqEn7jTxrTeO/837/+uhuNBK6C1Q9LG5If/yCyqH/YSIh3rjBreEk+DMeySU
m+3AEh9Hgp9NIH4tiT6sklMZHk2kVYkg5C0+ty7gtTZbmyW6eWK1GpjMdv/SmWT6Gs8q2CHE7ty0
WJ75+RgPlnqvtiJYAqAMBGHKYv+HvPNajlvJtu0XoQNI+MfD8kWy6ESK4gtCJCV4j0yYrz8ji90h
s/fV7vt8IhSMUjmUQQEr15pzjjtjJhq0zlagw6hPSMRo6k0PCEOybutwBCxGTtQlpyn64xX40z5a
/fkDsP76CfMBWCLkN6JFvEJ/QD/9SJi7+FEzqm7b0chO6IVNb1lsrkL5WdYKLyLyAhK3fCSrBe5g
PpRCRARqxx8H4I8R0n+1S/36MvRv+aeXUeIV8uaY7yHD9eeFIW728ILwJsbK4h/2KQ49v+1Tv27q
txFQ3TgqTOiubSdEMYJAi8jVfY5/ekf6wPg32/GINfM42Hmmvv2ntxQmXVMMOZ9sLz4l2ATIrQR0
zAiybHZG8rkLrzxy0wbn2JnyfjFONVCZfvlMaMlq0Xl46Bfwk0TRa6T6iz9/60zh/vjSrF9fmtOj
Q0RaCw0Xo0IC1SJPWNpLXS3Hm5i0UHBbG0PF93/e7N/+2Kwfn8hvB+TQmGZSCfmSW5C5dN1QXdNQ
wlMP2eof9uu/361/bOq3Q1TlpmkTQx8gl6RihUupVL78+c380xZ+O3Ig7DNzTDjddpxfOjCw8h8O
TX//YYUBugnHslk+/PodISIMGqq0biutm2F+kz57B47EMHr78/v425+DTYeaoazHOfe3n0PqDyj1
UENudcgzkeyNfDKXhz9vA7nY3+1xAd0SlxmvxSzw13fTu7FpmqTdbssu5wg3IlDlTJcGB7EgT8xN
fP7oHxCiyHLcpt5lzwp+IZeKg+TTFKNUbfzvwk1vtCUo6FgiS2N6xFPD6CbtWNcQEYFkf1zlkdob
RMiV02OW41QoAHlaOV7a5MagvVDKfFM0LgPF93gYtyY4EBkup8F/M9t3w+Hxvs4EAnybnFRQoMhA
CzSMKwdfykLf+b13HsF4snoYKI+RahIZHR5AKYD44deN3tcATMB4ehtr2UwJHHNpDhFK/cT011E6
rLvlqTWso60ypMhyP4y7psF92RcnUX0zj9hwXuFXf3cd9eS5ywPMlnvUo4M4jekEHtn/nslwnRgo
EK1uE2XmQ6L44OBiDHxw+Olxt3dMgROGrFjqSnMTNODYx1ssF0jQXrDgIFu2wZa7u5pQgIaArzw+
CaJT2UVuyyE/5VBI8/adeLCLZe/fDe1bvuwizo36LYyVu42AUc2onXQiwVu8vEjnM5FDx7b+SnQy
yHVEtIi88K2t8xEYUdOt6zEj5gBeH8mPY48YZwouURjtxuRxbNttm9dHL9wJ4mNMiYBmya4zlnBi
qGny0hpJ3wEMb3PWzUj/7vh6cOpmK8mZopzRcNXuFVr/94CICRJBHsaJVmpq6qWjhd1PiOvacTyW
4uPJVuND0+ohbb+b2ocICwOESeR466ZNN1KMK2F6l2VA9hHKycDbYyjAkMTpIeXbxhnq18wvCNaQ
Ubee6Mi6w6tRZmvsPwPJVmn7PnGnFN1vB087eAWfij5pRJCOVWVwDniIa35lcBAOWfaV0BWKM5JH
8hMN+LUarh3zoyLAaZQZkuhoMiFJ3hIpLpTGhoFSomJhaq/IhAdG7ZFNwQyIsm+Qr5C7OkJcQnGq
JVK1WxNfAPpMQg2T+7okhwNY39SUa8NWz1nscPYjmJ2p45Lr5BA8OXFF+Cf9NhlyPBbXYaKIYxdb
ty5One98zc3sBV/4DSkUp3oZ73H+XWHmX5vOmxXFQCjwDFGEDvJNIiYtq+7JJg4m8h8V/swac29c
vw4zDJcE6CCTLy1F9EkJQ7lndP2DbdabWDLKDDH130rEiH1GLDLQH0RrC3bDlJeP35HCaefQih9U
s2PQuh7C9DQZJHcxt0b37S0zigIDVtNy1RQ5vrDhsmwJghXN9RRXLw3PhsF2E9Q3tSBgG1O8lSE3
Gm7qvOdzGFka1/jG1JbAwvWcPWEEPSRtiecYuPPgbvPmJZqb20giDvWcbT3O6w4H6zBk10HwMIp6
Awl6ZZj+Tk1ojl2x6ZED6GJSEE8aF3fwUQ7jKIn9xBMEdibtqm3hGSvXjJ5sp9tDB1kH7P1LOEPG
3JRzunHa6Sqc/ZsCtW0CEcltyuaiIcWYic8hpBnCXBE1r7fqimWl32EeDA90GnZKvNAG2GTVA8ij
nC+nGU8Eqdzi+jskVfkSYBdJhw5cRHQlZmuVxSMETCIx0eHSze2Xlwz0r8234HK4HuZuA1huxW9s
gKBnsSGrabZOORLAWmwhwOxt9M9TilVwUTpXa6P6mMRagpTNWwrNtQ00cST/CP/sakbzTKTxEo9X
4AuY7zkoQP3LpIs/hxygjBxYh/huTpjqzNuELOBZIStAxIeXHpbEnS/UyW5fXBHfd3I6KHXdBOQe
A78yiEyE3EtsbAGR5VAxfqtBCNgc7kaUz0aWPXURg2iomp2nbojcJC8s30s4bJGbboRRHNL+oYvV
/s9nQevXtgarGRa1Pv880w0sk5HMbydBjv9Y5GpKhqUhtpJVAGI2F/hdrYVqotiWFUtCka2nmahu
CbnNDDdOkFyS4XI9USt1gbo1kqcu8/7hpf3l9PzbK/vt9OznQVVQkHVbr6S91EU39NAIOVou3P6p
4LsM0fwOiLr//IH8pfT4bau/lR5E3iJP60nxwuW4Cp2nQWY7h5i5P28l1LXeL4tIvRkIwByYRYAG
Tb/5nwrxxO8xOYucN8fUzZPe3jWotuVwi14XyypMN/KPrHG80QVAlvSbmaT0cJGXqg2eY76Kwt40
CDsVrjFfXooBWZELBJG1tckPO4voRkrn0WltFo0Ib1lW1LG/bs13N6GdQKt59J6G+yH9NFjIWsJ4
lcMjRFCgoAsxigpGOGYr7KwXZp1vLOe5QQPrUJ3E/UaChhaCL8C2d4zOTp093Do+3gP7W5rHt4nR
E0onGemqJzcuSfrP167OtevDTRGW19CHtmE8PiWetQlCUgka8QIIjbTmey9eYHh1ExFqywO8ITgV
eA7m6GkevediiO8Xliam6HYGQtqC1VjjZ98nOr6SDmRcQlgB9t0jqko5kTBaXc1oQ//8zVn/8M2d
l1g/fXMcAqNuxvPDbsl8dtwm3QPKT93GCZbgColtuzzJo+zrHcfeKHz78+b/0j9i7P7RjPJIIHc9
vfv+tPW+DSa3c9h6Xe/6VG6bQ3KCDXE1VPJjF/3/Eoj+X2w/8ktER/vRJPhL9/F/KhhVX3/uPXL3
j9ajcP5l4nq1gjAITFvrTf/TebSsf7HaNv0QmS9e+PMt/248Gs6/aHAgMzU91zSF4+heyL87j4YV
/Mt0xC+P+88Lu/04lnwIev9eaEoX9JdjTmAGkGVM4QemQ8KXa4e/HVBnHDVyznDTuUi3e8aAZD6g
fCwMovmwmE2bzCFNxGvwUKK0filAZW2qLmDVb9PD17w6V9p0B+akvOwXDE2NHBCEdAzZ9VXnP5O5
lJckOmEFwM9O8mORL3AWm2HVj31OeHYPNjpuv01ElGwCULwU5pqsF7M2vvD7EN6N98mLUnn88afU
XL6KXBf0NSkpqA1OxYvYbTiVflxm+f6fq9sR9l/YweuF/D0fWyXn40huGQV78ZY5tnt0Aukek9C/
xm9z62qi4AhaUJERD2hQFBI8L+RBpRmEmWJI45kYmC0AhUkAqdDTzMJ0E6X4JfrrQfMMSayEt0Lo
QUixZ+NJ9REVQYlZ4by4mc2cKR9wxHkCAFYTLHrhFM6rSPOnIc6R1lU1kMVsug0S8+soy5sWW/o6
k9dE9nFOZfHZJ+1IFGF5MBpWUKFVv+QuB5uYdCfsmOT+QVy/MjXhsRjrlzCzx60tjwgzimpGAmT4
K7IwTspptzFZ7T3ISFuzI2MKkym+Gnz/vm/a6oJYeW27DpNHpOT3oSZQOppFSbzVKdJ0ynxiETWr
atk1s0e0gkLTi4Z7ZXqYyY2WdCmTtMEBerYRIJqJSHdYNTKvEDPEr2UJPUdgOWlzMh4DRw4rMYEg
WqjRlppxvrLauyiG4TAwUj60HvUuqTKmBrnni31KkuqROuuIKxRfDuhOkvu3MFm/K7RPCBED/6KO
+aRZmjqrJSifnN78mo5ETxEy3rrqWcaxtYlDvh17uvYMkzjM7FZN863wcNrHhaIO06RR1Rc3ZVze
RGX+LWMw6rfBdTSZV5PnPNHaR6PPu/TC5YpUaCim0qbonY4q4dwWiu6bEZA2MfVkcBT1sSa7AK4i
2Rc5DKjWplAv+mvlFslKwoIqao1j69YeYmmbVnyAhTkitWnIqKb7REfzn0QnoUGwTKa3/jJENG5H
p82g+gQvnulXd/SsmlpsYIG80r+6m4nN3RRn8GtIJscMC9bUTNhR5+nXpNUKPqwFbKyhdlmWdBd5
sDwvnD/RsRC4Hz/DkWFHr1gpCOAux7wok3Xi6Ezn9ZJ7dDcIE7tmx/OqKIfHR/cwIBxwjUd6Yd6L
Hz9O9sY8Lnd0Aey16sGc+M5lMjIxrkqM67wn8BqyIubPG0+Bo0uWRlaXMbZyCl+sZLUp7yIRbBRc
rWNCWjrA8MBZxyp+9TI0xn6Txod4bh8QkMkkG76nhfEUCZOIyLjsLz1r29hhsU084CDE2lyIPDC3
LqL4VeTkNK1R8B1i8wELN4jEmdbLHLy45Oc+hARHB3Ph0iSI9qYNsR6DL2wJZX72nBj+SZuuJ4N4
5TQd1Y6l4nQkamfnygJuDtHuFznL4t1keyN55M1nUfDdKFfUW6xL0U6/dhTqTDvnUZr4O1qiM8zx
snLITQnpB+BpLk6mFT24MisOIrjBu/NgRZBCAYEwf8677gaqTc4ChHxcPHt7Qbbb0DrDISbsspEZ
zdzAPoZA8VaL307bCnMcbmqTuW04r0PMbRslrd08KpbpVRZ8IUdrn+M4elzccbm0K7oFbjI0u4Gs
TIykxTblQ2BHzsm/zJI9jfpHn2zx58ThOOJ1e2UbVHYzB1zAccmlqq3vxIugNTan7yF2dT7xhWzT
ZG5vl4AfSpup4yBvE7x4iYEXuIksbEhudDLBzJKFVhAlcjKH2T4Z3w1jbk6+d5k2YisiFs+o0/zD
oBLStQtl3hCJ8jwXdbYtMfBpZlj3CXc5na2CKLxQfCKazn0rZxT5cdwYd5inUHi5+T0JlcYKKzPn
rSb+pDp/uo+MS5oY/dewX+zNYLK7W4CqrqxEdOALxNVS9d1L77jGOjfy6tgBnMbGBKXVEPKQtQTJ
ydEbd/BzaR6HTX+KyG2DUNB6XwnQuc5nFNZLN1Ubc7Ip1p3py0IoHjIJYFsYDg9LbVd3XT7sUjje
N74R9ytRi26fyyF7CIYkPaHFQSjZdmA8nWitOMkA1uYPwnBm/Es0byyJoyjGvnw5ogjJCdq9JksM
J7jVbAUqIFbtI3izsbYupZAniRFv7zfDrmndaLWUzDNkz6QQHiDBlpw4oc+SE6OUZPmZAhaK3WFd
R7QPHUii17WZvrACE8Cely8EY12KeZq/phiSXV48NJBh91OR9e9a5ufZu/Nr2Ys0nKrKsj16uFRP
Vuj/1qUnT9aFUGjf9FFCvHszxRjBxRcz4qWJPlv7QUSeUvCG2eFGsnWnI5g4DfuZ40njiU1mAqhr
qqeQCO7LqCCUcxRdtJVieQssQzGAhdneux05TRFA5uxJef5bSDaiPu5+c4ZZgtIl3qah/9TP8cQ+
jBKaKgVCEBKYNg7XMXDd27SBm6DsETBa4BPTnYGmHPxlvo9tYya9j2nG6FsBGnmSAMgY5ouz7O4f
VihoEn5d1LOOd9AnWC4jRA7zjvt7Z9vAiVw5gXoNY5tzyVIdyji862umtZw5+F3S0Kb9E1rkb+H2
aCbjDt/1p5goasMovy4EjhEH29Vr7b9vO5ZRQkdA4cN2JOGmFTIYGfbt2rEQ1SRYnNUMAXxYW76V
31gpybEj8cllq+ZVwFjb8CumxmgOQwbBthujKSw8LHTwJ1Y0MTfAnR7Qud3PJLewQv3KwQZ7fNs9
5iMlglzSB/tQ+g7qJH/ErKDVuHaX7vxJnsY4uZ1IKV4PcnqVuOUbVtMtYlYXTReFnbHtOFj4IiEP
TiTXwWifFq+1Dx2RXawj6Z7ZmgcwvUuyxo6ybR/rIEovVDvx+h2/30py4YaIuito7+JMfW4UNUSU
jd9gweLtY7nZxbSCVLEDitFtnGxs+XgTHNcEd1vIqkgHbL7U8rtpQ13gk26Z7YNQDO/pbkwremyZ
Nb1Frvvuyg6+amM9TmMYHXtR3mcyvUpy+03Uz3W4nl2iN6twvCS/ID3VWCVWmQzmDYZugTzHztJT
P1blNu4rpMpMqImyjQau1H9G+sjobaKDr4r23zd83Kch3omnKK7Oz0AYvUXpLJlBdMY87CQdoGk3
Tdm8FrnNkXNuTWAG+im9uqhh8tWv5w2cX9THi9A3FkJU11l189Pr+LhIt/F29oElnR/1sbmmNKvV
bIAFOT/LxzYGi0NX23VolfQT/njq833wYJvH0qgPGhRhQjTmLh8XQ4y+renFH+/n/FgPSeBahR4w
HbNoTiQEPg2WZ+zr1q9PKp7q0/n6j//2w0MRy/Zw/t/5+vM9zv8thXNLSrPJmZbnOV/1425DWJ5m
P46PP65fYh9BInZUcoHgxY6++CKsEiTGQNJIr0kRCeHVZhleRwapfpOUNlEA6bfeUsS9WYQyF+41
KN+d+RC7WIAtTEVeNEAQB8U3q5xkWa+yOC2Ry1OojRmCncZBfgxklwKBcfZKsQNTMceNdW8MNalo
qcB9tCD+ygPxXI6OpECKzW0IYbpHz4koeVM2SUN7Kf2kDGaU0rp0HUJaQsK2d1Sge9fiVC4XUkoa
ayp2tVId2Wrd19wo96B86P0bkbNGREh0UM0TVA5OWwLoLKh/W9IWVk6e4kXsPheZenSdkkw1o7pb
+vZKtPI7KQfWqvs8EKK8LZybnFp6E8ABWgVpsZA07zzBxzXJmLuV5PfoERCh3yY41oKYzcAQmwqb
3W2P/YesbyTeOCP26SRfh44VaebvqA9uk1jcmTYieFKVEajT61p7jvHdK+/nsFTkt2HXj+wam7dF
KrFIy4fJIw2JqDHAT+M0MZmuEWoTJpUUhJonUXkVNPqwUBp0kcsvfgc5vWkWZ2UPHEL8CMmjwbw8
c7qVcJvnNEktRmLHUoJx5DT67FbV9dCQjd8jHuyq8dHw02uUQgzNTOc5LSnYfcMl7zosWJD1amOU
dfxStw4fsSgI0gc2sBYGdqNI2a/WEp4EQXzO6ETbZUpIrrZfTVInVMIPKhQEYfvTOvOa1zZvcF4L
rHNNVt1xon/w4Gc/pO1jJPryC9EMX3A1b1o/J627dyllI6wgfifHi9onvRwheLDtKWsuqtCgeddU
X4jZmFFkxykFkHKwDUrSvuNgQh1kxwRuERhVXg+LPkpGWgUVRflKEfHI6MFCxxzJ5jpI+Jk481Pe
j3xlYfl9wd6pmUsHrNsbYctkPwxdfGlz1LZTmpedV39qWImC8izi0X+0HIBfeCj2Y9kPX6bC3+Wx
8QkXR4URz0vW5TBZK8eavzX9RNC1spGlL4CUrCWVWOavmz6HRz2n7o1njAioHX5oNCkeW7XJyMde
N9U4EMezdGuzJde1ptYgY+9+Jnx7m47h8xKJG0bLFKM5GTgV6Jct+kycijrGp26ZLadxtoFaw7nE
fEzDZCtNwgGBLh+jiVNpWo+3tlW9KCuobgJi/6rKfyFss2kdB0cRVC3RAVstjEu3viGtOj/YpBJf
UKdvci9iYqQYiAKicvC7UnmOw8XYOyVSLzI040CgLl8Ba+HMWgyvLJNwzCT1SBoCMtelG0KGMo7c
JixOYMc+kHn0TrhFuZkGMtvR5g3rTKApxS3PmXNS7/GICz6u03jlUYVf+Co9zoTlEOsqEUhmzXen
47MZ94Wcp+tmNIBvG8HXaBZXYnLUnpB+YimKmvCPUF0Bxs2xk1TE0vTRsSiC6uh2sMPPl85/erza
B8PdW6OvjklK9GsV2M9Fi9cosetL2k0RMdL9MfVzbJxY6Ouj0F0jo4axEy6AFC+Shosft58vnm86
3/N86Xz3j3ue///jPh9Xnm//cXcAs2zox3N8PDweX+G3y02moU/nPxJn6rKq+7Q6flzMNRTqp5vO
F+0soBX+311blSPZAL8/7L977E/bKWO7OMgesA4S8SMWmxKMBIR3OQjKl/P/m6ViS+fbx/O154s/
7v9x++93/fFU/++7n285b+73Z/vb//+09fOz/93Df1w39T7KxqD94B8lGoKUFrm/wDnj/f108QNm
f752AaNAdNDiBQeSaM/8rclI+uP5kmyBbPXnP25KSP754vnK881W4TDT+O0xFOLc88edzo9pzlee
L/544vOl32/+6Tl/2sbfbvh8pT+T4oNZw3KtzY+Xe770+5UfT43ledWF22m2DrIqH4DlAVWs/Wd/
xtXkEj+LI67DtdtUjNURzNsgptNJXEkwHRdED9vXhSps8tgui6TxN2nNMN0Hql0P2aYzbdZVbwU0
y5VPWu1qLGEmdeYrsZ+b2qPLZy0shzJ/hvstX8rFevQh53mkM23jAUl+XULkafF9Lz5yrCUDJk4J
vSvi27wu2iOtgC8jJBCYNLZg/bx8CvCaeni9PRt7U0F0MOdLkvSmaPhu9aI/SiM5aaUKMS+sDUIL
tRnFBfhUPCIBKfIW5OHQJXs5gl4gYw6bSjckrah+ifz6guQisuVanyUMIXlbbybzyrPzTYwyfg1d
j6aObrbApCC6Kx7WwwDErYrH+1qS+pcFb44JAzT3212iuon1uf9dKfsZWyKsN7c9pONXIClI52Nv
3jWRn69NxAR0iUWH3mcftcTfkTS9Zihe7SENf16s6pKnrWy19vJ0PcZ3Tuq+kyf1UnD6XvcjjvvJ
fqqMxaJD2qFnIPTyogwTkuUHeVOKApIwQQxYLoyjrDlLDb71rTaXqxz8UOKZb3UfhtsoDL/ZoXwb
kuiW4HfMiTGh1TU2lQTgiOmG3qpkbTY4g3auDASjm7idopKihzTKTZtmPqcV9eKFZJEKbL/HYOEU
Rlb8wdKJ9MGAQEFqObNbW2va5OQn+84BM+rtQNm0KysXVWvRA7DPgvSIi3c/1sgourgzdzkLDRGE
7mW1mO7lXGFVMb0dFeWJ+9o7v7BZp/REto1MA6ewiI6xL6NjN6PhaovO3tDYhUeaj4gVGhQqwFuK
naUY608J02aJNrLgYxRdLfa9Tbu4JOfbCuW4bq5SWV6VFdHveY8qANd4iyKOjkk0zRSlXkHeb8nw
HMnCu0k02IVIwYktPq0cyskLjQdK8894U2EO5HBZcxvbnV90n/J0eJxqZR/7Ito2RS8BsU4ADqE8
+8V8l5ewbI159nBLJi+ZM74uiSSnz7j1S3+6qkyD4Fjyjtp+8bZpP9wtAjoAhvv2AlAkCU0mNy6D
VLuavT6LsvLOkTnqJPO6eM+NFGOqgU3NKqJsFZeE8bjfms6z90kf38Seez/lpFW2nM2h22GNjkp6
2E6enAqPlB2rSvYu4gykAsPOTHxsIn5HExV8CU7/VRgSDek0Gx9i5TjrmPnZN5mYcAYqK+LHCfc3
ySGz52U3+WN9K+bhRkaZ2FuGdwMqYSQuY6YExg26kNTlIanDIWvqHeKLEs7Okt5lHdOx4NeJIiqr
2NkouTE0MkZXkij0LCSC2afa27hASBFMSda8CQh3Nw/XqqVLQwki1k4RvHrFQrNILQ9qcg9OHHl4
XEYLcX39nBTJZWp/kaxOUNqFNeF3lvbVIQ3yC0qxGL2Mk5Ir2d5ELTxFa5lXI8kjpI9OJG7KYNj1
YiE1sOCoGhbaHjfQzZ+p4vmJqjDbe3aZboY24rizRIe5YjwhmMSIpnO2hkkllVP52q+h7Eh8189S
RguhhAl7bj9lSIR0ngNLFcfsHXp44aZLTI9Zg/O56Fymec5dSQr/CVcrFvQqbNemgXeP4g2uDF/U
0AZHUYYzKS7tvPHAbqDmAvvRNJA8xtgmAt5aFwgMCUNFCzePUbGhaGdutHjr0XYKbH0OXl2yL+E7
LruMNJA9KXD0vzSIANvu3aIQKxCeUm0z5ApryVTwgqhWDsSLM61ImDSVuWclywmUuAsNPWgwfF/I
Kv1s2HRAQo1GsO6lBiVQYytg6KzrYEdg3/VovkXEXB5TnLuRhi20GrtQGigw3ZdJ4xgCuAyTBjQ0
GtUwzToAmwtIXvDC54xdamdo99msTZwRuAc/Jrix0ggIU8MgbBeLIA7PV6RHQC3RHcgyIe88p9Ht
5giy8oUvMojDB1O4X5AMYX3ot7k7ljtvsI+L87wszgO+lENKFbkeTTIgsGqVz379npkT6Lix+DSI
6L71SEdzNfKiylMDInKS7tWQZ9chrvF4bEiCx5NkVuYGkrk3SUR0oDTiweSkgS400pQNaBvk8OnQ
6QHepUyZ44rHJS7tbTT18U4zcHYq51W07AORgd7e01APstTWvsZ8xAxr1qNGf5QwQCINAwmCHtkh
fBCvNXq4c31OOCDwEAlFxCGMg1EnYJH40YzBjBBYdRXpePdJH/AJj/lUaSiJp/EkcUGEramRJS5G
zzUn8L3IOGA1hnhKXTqWU21gweUcJjT8ZKkYIsaWc2+k5SXZCajzqqxd+7hOyeFqiFMYIJUPAFWm
xL5fTITumAZPloauSI1fSYV5Y3TWwwKXxToDWiC1JBrZsvgXpQHCRWiYS6mxLuozzu+eUGJwLzRW
rhnDovIbI5InxEE5RXypUihAMfaDNgYe4Oc4jPuQF+0a+Z1E5Ju739Cz+2uZjwFx3+7nWmNoTA2k
0Vy5yKeBX5XRWy4FQXwuur6WoWbtoIWpDPawFivfVaUDOMoDXbgWTZA6zpWaVo0G49CALS8dDcvB
6EMVk7jbMrWfVZvsIule2RLkhWES4VRinKgB1Oz5yCMsI90VWwsuizB4KDWqp/JYnHMsvCAWjq4b
s1iN9YEEvlx6kH48fvrERNa3nW0lG2WAA2otfZQFEORCCopTzm80DFn/a4xQp4FCpJWSLwRjCCiV
olU5bhn0qh3DN+JVNJIoJ3tzLb0vo4YV1X37adH4IsPN32hmflGaa6QBRzakI7OxAgbavk3COIRQ
n3TLlUPcLlmZ4ZFBcb+bi8LcyOlu0hgloYFKIQUs5/NhS27Qe66hSwZjW0djmLqBsEbZ0SXQiKbS
ZZwcGdsiVE9xlyDaS6PpIa7Fvb/U60q2Ap83Ubh1XzIS6RKCyBvCcTUYyh8L40L5BDUs/pOv3c+o
s70De/OjHNH5WcYYAzkvTlIg7TShT+UaQ+VrIFWi0VQGjKpQw6qgSLegZBk5jdRXlv8eWAunFaVI
rNKwK1djrxDMA1oTwTMKM6pxDceSGpNFVUqK9Ih+tJ1vHfpC9MBpX6E0YxCqQVuTRm4ls7+3w5L1
e+7ss6R46EwCJTzzBZk8Vtel7Xepv5Vx1kDf6R1y3GGX2mrjeW5MDpnGNcVbW2PAiPP/bBonH+jK
PoETVmhgmNLoMN0kYVU+BztTg8VGjRgjsrvZzdOdo+FjPcmryNQAktlhTBgHORxk0j6Yhk9SLfQy
Hw3EquwIJqy207gtYZzVdj5eGQHYs5mUz/yYahhaorFoVT8zwInj/GKAmdZqeBr46IASPhFoHzzn
MnZq40JIBcYNYEFWzbccjjVKBB1BZS8N9uiZ4AcNbCtf2P1AmGqQWzjitrY13G0JcUIX7fQ+5tQ5
uUbAYe7zL3qNhTPhw4XxS1qrB5tscfaC4JgucDaA5RGu3W+QyT0GMAUiiHPEBuZbT0PoQlR5tO/X
VV1qOE8C9FIj61IdLHqG2J1xdhhvQw24KyDdOSMRLHWrngN+g9MZhqcPoOPQ3LiZuMvPwDzIeUbY
XwGogQ2fNSyXxp08Q/aQuTI4hQanAXxE5z6SNvA9Mut1GlvZFt/zTKlKLjV2PjrWnDpNgH7uhISa
zsnXFGU9iWb+xazxf54GAYYQATsnvZlFd99PyKelhga246bUEMGuXMAJxohMbAAzFIjfm955qn3m
TeLJcxUgwoEEtK6DYmH7n6OkfJ09f5fK5qELF3djQDOMA/9W+vSvcZ3RkNRj5i8xWsW1gIMIJfxk
9+RYkZyfbZVmJRJhvynGE1HM761g3O1CVcyhK0Zu/5lyvBIauuhjHzcDwOgpE7S1VldqzG6jYY2D
pjaG4Buz2H9Y4DmqAGk/6YHk8nIgsj4zlPBp6Cl7TTv+Oh2oDWeNh2wHO19bVxgEIvYdZC7TTPiM
UVzXGi2ZwphUGjbp+GAn40htPZrTx3Ee7oB4kiiMwj1wEYQHxfsEKUB2NPE6a2YcBNcyZERQadAl
qiaSXgkOaVgGVYPzgh7zs+/peCxqgu52KByUuWlVclheri1DTLtMqRtTAzbH1m6OQcMyxQfg493l
GujskJV6IV0kWLUmOkLrFNX50fuxC/xtKrKDdHqWTFWp9pZG+eSo4rceUoINphwVkTkz+vPeag7o
RDahJoZGQXGYRoUKW9NEPbCileaLGq+Wpo1moHs1fRSEpbNpe/nGYvVt1IRSkZO9FMXhbZYVzA00
xTQzj0OCvilxGGO0xaEGeNpPXQs2iRyOToEErxZOPQlGE5Lut24Zmlup2amOpqiaXv+IeJc41cQ/
TKCXx8h87pOJsR3efmaDXsCMC/VVNPTXWUH3Xbh3c9lOayL0AXABc51HcLlMTJu90KTXmJ7wPrFc
lJ7S8ilLL+NIths/4CyZaVas0NTYyq+umDjAkaUehqrVbRsk8mnrQEIwCKRxOIMhOCfK2x32gINp
U5AstXYT69NAXuMuVvWXKgEQ67t7QxkARtJ35EGvrubdKqO6b3QPUyly4EmeMjDvWrh3Ub9QPUkz
FHgUIOhSVrvLMh9Sb3lPknbXk62+TkHVArPICB5kvyHEDeGfpem8C5he8qGYnQLubQOiuhzMlrSv
2bMDsHrXQpN+ySlJMKSQvCQ1B3genOdak4FpHXwvQQU3GPo5oA7Oyk0JM5ngCZsDQmR9ZpEL+UWM
jo51k6IjjwsS3AESu+RMZ5pQrEAV5wJmMct+GkLVYdY04xGfyyrVhONEs44HrfOzwR9nHoF0Uw8I
rSadeiM1JVn3KyqwyTCb7P3kgicJyVa1hXpc8uq2qpcXUkCB/gJfbuPvNIK7q1lTmR3NZzYANSeS
PRbCWrbT8m+hac61SXJLC+DZZZy/dk2Yz4XLTKsfx2hvF58csNDyzIf2u/A+Np/j+r6D+7AjqZ2+
VWC/k5gpWdrTSmwjGORgp1Pw043mUHPM7DeTIfHwYjJSwKo7CbU6BF+dg7Ge8nv0aad0rt8WIRF1
KD//X6LOa6lxbVvDT6Qq5XCLLWfA2EADN6pugrI0Feecevr9mbPr7ItFAatN07LCGH9kiDZfiWIu
N3SbXPvOJ2X41o4933qyU7RJIeqReL5VaPO3tYnau69KlG9DMocI+ME86d0ubwXc/q2Ke+kgtfu/
niXttfNb1s3+gmJifKrhwZh4OY8c2hUmSceMsK/BsJ9V8FTTAK7qKiFO9yFhdUT4mV5QfWxCD1XE
7C2oX+gR72+F4jmVTfwBIEndlTxBcM9m89sykojnLBSSuzSTd+lteC+4AgnZIzLPCb5AM2IoCrZC
is2D3tipdjnXcvws8KcZpEhrC3VOlAeHrK1XEC44W7iLe9QubGv60x0reQx9P1yPlf0Jjy+oJ/7R
FLBt5rk9JZqrWULebwp62QdFwh6ZhsIVr/2Qo+0I7jMW3nBO3vKOMDnkM0M30sWAEi02w37DbtRR
BB9QCG+nLNk9mI6UBj1SRArTh7o09ra3vGfporhwJ9q6ArvdoRm6a2698+atgT6Xy9Wkkp7pGplR
Z9e88se9tdYb3JUJYGo3qRo+p1z/IWqSgpJb131wa723GyLPCBWuW/zahSYZOEytl3ahGvT3gxqY
jn8/A74zD9kUXa3QaTcOyeWAD9qSu8Ji8CBddiWGDJUmHWo7QIAdfXDdIctg9u9Uw5LbQhNx1+Ob
HBvQVl9SlVHUdrRLWkwEHszWjtz0fchFgSKO0vI4/wXZ044aiors/g1k+LWbl3Cli+gBhjClsjuz
DlNOAWXa+Vv+aw9OBEHTmx518RT7wOgZqGuL6Mar/P4vPMnc8giYPvZJkG1banrIFCLW5ZDcqJza
IH+0JNVEtZ61Tiijv+upoBpUq3b+jWWnvU1sBtIMC47trqGO2S369NS1NgZ2fscZOj7PKWdoRLZD
3+vNeMyy0S0YNslj6W4OKpE0NIYy7DIl+Csj7/KdAfiH2qQBE2oaFrreH/bmpF9Sf1rO/oK8cDyN
Wvh4LHW20256MJV9A+EARVuxMjrkSXZjEOOmQYldZUI2G+6Ah4sMJIl0a9XKSm2IcJhJNIqmA0pg
H1AN25NtTidGW0g/NQId9mA/RsET1MrFe2orLgsrpKhHe3j4id/uEIghW2g7guZKePM7f9DdoRoJ
ixtv4ZlmhWwnJNsl0c9VOL/lBY+ZtCjWYW8W67wgBWfWplqDx5LWZr0snb0OmgBG03oLZbfGjrEe
eQu2nrIPvz/790PIDfu/f9fv10wU/cGQcpvKgVAwQiAOvx9ScqmA7UiuTZFJEMZ2YzBCC4iidb/Y
yB5+v//7R4fbi7Cj3wp9YWrtQB0zzjzEu1YUN7v5xqmhDGgO6v8/+/1ebXl7Yh+DbegKkI2cxiUA
Tn6bbugPiWH+97Pf73liJFFceAE2knxrmbnLGS7R5Spn36L7XUeF+3fIzYviqrizIpLfiWFv10tO
zp/pEk83Tv+6NmvXYRoANo8W1h3K2bahlBKMznuYhWzuVRhxa6yQBheDeSVuWtylEbqNgrwNoIqj
E2AiLhVmWDunn17W/8zeJhxYZOteHMFokdPOncCp7KTobj84gC9Dpq9p1t9oiBQcJPj2UmQ1LmXG
adBeVwQJXd3loe6ds5wWMJbs1V7aRyuar2Pv07tNY09KjGWTI8mMGnS27B7NYK6tkDDgQeD+bBcw
NnUt7QZbnETvylkXteo9WnysdeYwMcFZj103nap8KblgIZ2NYboLov4s0vxhLjM2V/Rny+RdpjR/
zrBwqQDTHcB0PIImbMkkW0FJxF5DKAUgJuln87kguigb5iNR8zbOxt+anyRbZQ+9JLoTtM2lzrv7
sSbnIRzyg2nRSxTV2X1pUTqbz8t8R0bJl5zo0Z6bJl6s/i2HalJGcTCFsYtUB9sfoS1ZfCb3bsMs
9j7QhL1J0sE8/H7I5sLaO651GSrzMdvV/U1dmvifrTmnJ23L71IQVZm1RCsY2ad0vGuD/mM1FqO1
yYJz6pVfC/RaLBxnZ9BYS/jtG4mQbFJGQB04CrRVt4T3WdFlPE7ClUFIyoACbzS66+jWj0uZGWuP
no/SGygMW6bpFpABTE2TkRPWj549Xw1p39/+I+jzpXftV+3+1PDOO9FkW4HmGqDZWdC3sXbTLrei
uZGFJnS4LU04sQzOWekQD6vQflWhuLOTcV6XxUDFdOndc7AYwtARcBM344wKij5jO3NLUvqb8UiW
QrQTOngH3Urww++LvjHOQ2lbWyZjePeGooh6oRJ2W1I6lE/542wqarFskFYQD/y+pRu3JEHc1YF9
cixiSebmMgYZaXTLbhbgbOXQEWdW8TxRYo+9vWAarHr+QrzkLe2UMwPiTAa20zTi8Pvl/30PhZ0Z
/34zr8Axrc6nUzZMaWi7mpQF4lRgjgy6+cc17SWO8vLQIC3aqsk5FV297WgOm1rqtE4kQeo23Rso
G3B6YEAf0wNBd+e2F2M8ZgzTXV38XfqcT8LutRBoUcphCTdhZR3cPr/2VnepkQp7/kDfBxkXdpV9
ZtmtByfFcTeqdeaBn5SVec6D7F7M1p2kPYijN38JdPzoTCnvE+aCfKm4T4Pox4t6yqfc/BrwAJ0L
4wtdPr+c55KlOKylP9MkMTMh+1OwjhY0JMuS5rsQI7pHve6qdMBfltC1jlGhGINaxn/UVMFpcjsE
rmGQc11jOiBgEBKsSVZ1S9OUMS/04M76naay+YUssDX26jqualgsrQFb/vfYCsc6346dzdxM7Gjc
OBy2iR1s1ZAijo54TW2m/TQHdO7UkfcCcDhBoYykfM3qH/olEouyJjoU2SNyT/gStKIb0Xb5lvsU
qULVg1/rmapcSoh6Uu9mE/gOApaA+gfumhFmCqZPj0KKIrFwJCTjmXxwYy/p1/WQHd/bwbIncYdA
h4aQwQZC9jSR6psvoX8odH70QPgNZp29VR5Yesy9LbBIgj1RcS4ikk8dApUSa34Cv4+2+MK/aUaa
DkERihhhH08BD2q0IWA9svBdK5OIla5nJzMJIa3GCBuMYJIYdatJYg2/hQhhPqcqliUEIW1Ht9pj
590P5k3r48vJZB0+ZYu77Z3Uv3NIadwX0vs3RuLFCN0dxBBTm0Pbq9wzq50yDyPNQLmz1uLFypkX
KBz4Ul7DuIqB+tqX9hn9zUEJdsKFiz40ISMGPb3NJruyPKAIWTHqc2XcusPKvR8IZNeACsuyzoLl
u/HktadsI+4SB5WI/Krn97ROvn1pvGaOBuz/rQusvxIv3Ue0BMbJUn/UMS26T1UavdYdVChBmxu3
+WvXJfyvBLMJcTuV+bfvBHQlV6sx6gEIkgdSs41t2BOnnjVUNOHGGfya+Ep16lwAkgaG6q5vnVM+
tntiAVZ9x89DFIDXlnxKs2QjL/41RvPInYLi6qtR0M9KjJDOb6tP8M9FAGemxrbI/GOCw3vx3VMx
10A6fQrqMKx9NPj4ZrIvN3X+tTWhdrSfrYwZT25Pp3M3kYM35QStG9lGdKSiTqn+M/hcMYm8FpF8
a3sflGkmo2VkhY+e4GNaQrHktfXGxxmlhMO1RWV49Bq56uxHw4Ynahy1yZPplxcWqB58BXCJ0AY7
aA8qoHbbS4j40DW2c3gVGrzSyD714UfSqSduXBVhEj6+kjuwKZx7NjNs7w0rM32SsGhxUHsDSQ/s
tT3m97R2D2PSxi71ds7SHRbYcBwFzb/Cr178Ljq5dnaFGuKw3jOfPi6Vd5wlJmlIzXH27+pbc1Ma
ILpw6+XqNBXTTFih8huOjZo2uef8rUtml2ki828OI14IqW2gGuAXYlbuWLlrgQru5sIiIz7uR7hm
yA3qsbDt7ym42ZSjNRIHpQkv69NdSOr0nevOMATjgm8MBXDpFR0EAzk7mde8Se86LPNHl/PT6Be7
8yiYwx7c/wtKM1iRPRrXpvE9OxaEHwEojFXpmTabf/Q/3X7i5LIJUEjgaAd9YOPfhBwSbqB91NVy
5pIDd5Hgu73HOz+NH7kseJ6mE77x6W0s/c9GNX7sdDqMu5FrSfV5jkcRVIsQ84PWzrYqxm7rDYJR
qsRUILNLk5o81yyUFzr8FASkgGshx3bKj1ygvMzIaWsoxrrTrY9wVZxw6I+b0sUkDt+4EqAXmJIQ
3aTBD/FryP6nTTTO9JBrcDfHIuo22ugcR1/UTiTyuurDRUZ7wOi3a5V7bIBNibvqCgou0RoTFvOJ
jeAxkXs7Ca6aZsfJriAzxvptVJBBMxrS3ibdxc7wTQ5Y0xizztFE7VharvM+JOHeCMBarYXYOfub
UHdeXfAsN4m0KLGdYYJ6iWxAUtrqdyl4211OU/2a58nCVfeem/3b7U1qe9msQhv6IXLJofDaeAnt
E7KgxHr3Bt6sAmuPYb0GrvUpoWhljqmPhUwR+Y0tIKyOTm0gbFCyO1hJAmfAbaUnBms1lskfUMCJ
osLuX9p434v9WRjpD8/uv753KiIQZEsXj5zVp6zm4q7K+RJWZ99G3apLqngDGw+Onx78lIwI78lT
6AH6njqt5BwtwaWA40UTY1CGGXI+NWqTlN3OsItzPehH125oje6RRIDudLBUcBrgXqhYiljM6c6i
V2M06udQGNtqMP4GIVEeIoKcnfyLakiEIwNZJxm3fs4lQV1uu5QfOsq+4NSBCKLTQBXv3T/8uQSW
vM63hYNSeLL4I4Q4LBIM+gXTS8Xw6UZdx+QJCWvsEov4LWVqd2PKhCRbzpbahdXCcIQbFix6M4/c
iRoKdps+EXdydJZTmN6mOpOomuLVcIR7LBNzi7OPt6fjxhO0ybXM6seRXqMV7AMC/pC/P7TQkyyW
u6zDOYWtEIVFFpp372Nwv1OVcSodD0Dyccx4SrPe+Aormng2cMStloEZUI56q2BK/IziKkOE6Sbv
s+fCNqnT6onjnZ+wZmz7yaci1DoorpG0x6tDDl26m2X9vBArehfM9Q84wqs0ih9Gnm+R2Zwmrvqr
jSCWNccwZzTzKweepIQEUhmx6Qt3hlrza0YhE11fqmOiP3Thf+R+9ybrnsiTYWGq5gCVCXaSzAl2
RZ88daB8WRF8V/SdE2bBdF3ZHw7Kkjs9ti9qYH2fo60Bq74B9dllPj8dEcNFyYcs6P7cukgnAwar
AD6NwvFQtbzCMSdmvK+csJdNUPdHGoMuY18dXAKLgxaKak55tk5CXDpAOSA+i1WhoW90Jr0paf65
zbhlxBviorPP3cT0hNvuuWUf72gvivOkfJFGs6OF4YNLdN7hpNLafOqbvGOuiz6jHLosmHC6LA+V
w28smjEhLpa6NtTcQYbYr9j4rnhswlvWBT06bosgwsVGs8GotLMGArVagnR4rCWfFje/wQw/+yXB
soYLbwAWstsUN0ehfogMfqlKjtdgi0dd5//gHc51NR3SRtOAs8SgjEBHQf4yc6OD2ZYPJoDN7Vil
mXNCEfLdRD7i/mOG4XTN3OYSzr2NdCjvbHKne9W9UOIIED7p7YQgkCiL6suGnEYnIHYOtmYi2d+c
JPsI0/qfZ1mPUjB3ZbicFaDQgi6d7sTt7VBavb7qdBjiMIn2Skzr0b0REZps7IiHJ0NoGyXb/pZ5
BtB9dBBxgbi9wrYPaPiQY6ftyyJLOBvUeLxzmwGkk87TsYPCtVLGFdznzhw8Cd85jM4IhCZXorM3
JtqARI0nWj4JOQq76+9VOC+c7XYB6m/af+grTctpOMp2ikfPeuuiynjsEU12huRO5z8R5vkyFNG9
WcH/9TPIkZe0RxdK7i5pxxIXN0DZ0FDEuUAyaE//YP446oJYczY71v1RIcvCaK4aUvDN7qMfPAf+
Vxork+IAhcxkUMa77xK7EnjFSaWliWks0AD+nT6gitaHoQgHtJDWz9JQo8TeZK8W4Yjj74e8mUBF
JlAsVERkX40NbLcNETGqEBV+G7qrSpOtX3S007q9/YAEtNmOcsiP/mzlRzEn+bGrW3ytfoeD0OgO
zFycPL+f/iJQuK/uGKRxg/n04Y1DcXAAGUlcGZt9ZXfmjqgegoBGzzimPp/NBZOIlYo9Q6Sx9bTa
O43JfSrqoujAwOlxdYOaLNyTqdZJsToFaFl+UbKRyxv6iw+/X9ppCOcjkzympSZEuugHBww3PKNl
0az1gES+8EgsoxhLobZbYN1v37P76tbqffv098+4hROsC4+BjhlkZarmdmJNdWzc9NC/H0SNXYU2
UZTgv1/n3so3CXeoCkcdw5vSJaPYdDXQuqrniJrIrODx8fvpWFcXHs+4AT1U/Gh/EO//onBpQrVA
XZ+LBKMR6bv3zJO9cmnKDOiW8WZxiW5Z/orylmBM/9ZBnTz8fhCjSkgu8Lot6dmvIpWrXpkcKgRl
GKLdi9NDZ0zTvhmrljyiieG2D5vj75fMk6dsqOz9MEpamox07aRh8UA6IssMZd9xVETeSVk++sOu
PwUL7Rjj+E9Dzdvh1B7wLhXXTFSbzs7wJgy63aBmztFa9F/1ZL6aLqLB6C8qTmoUIMWRVFKeMprR
Ibi9u9T2PmvS/GtpYgtzv6Zmup3lerP0dvNeOPUW6U3wEWXCXoVj+OmEKkMdGQBKuTU+/nbTzd06
ERi0BGzbWmV2yk4SvFoW4YSC9DiqoRNgymz04rwh/TsYaLch7qdLyzDWfeNuJsH7a6sbZ1ZRwCGX
iFno91PfC2+BGVU8mUm9+98foZtAQLc4QA4M5Fydy6cZjekmUB8pyfyrdAgthCtyN07Cum8HNAzZ
1Dvx79ucLAK+p+WmSTVAdBdw8rt5R1C9gvEtfMRhIkHJ4iBZIS3sXKc0LsCUkBFSRz5CxdjoOAYB
1p6NHDqU+3l/m5/KQ+/k2dUmDwKX9Js3T3InsvIzTcHadD+vvRDtB9aY2+pBA6UeqhhqTT5Y+tEh
I+g56WfUDEERHVLGy1wmLM5FfsHjGWdVpLd+XupV0DQUtOGfU4DEdESzTplN8bOE+c7Ju2ZXBuE9
b7m5a7hwMiHQ4dj0j9qKzLuIOfeACzSIXA5KzwEIkCPifzqClUmkOyx60syHcyUSRkc/Ocl04dIP
pv6htU3OqbB217MNpmZxBxfJkt4v0GHHoB3pnF6Gw5DqU8/SvDdS+07XsCjLQnTZTB1VQPj4H6nb
N9OGyEpHPWJtMpYd1HiHEAb/ZFrQHCzDbVq1zrUckbBRhp3dIaTcBRztJ69GLWB23dlI1Lso/kiy
6Q6y86InLGlf0SDKg8Ek0wqWTQS9Ylbtk5WCBXQmNXhoN82DB9pg+gCzNcU3sWcA9EHFEuUalRj3
HApJ7OY+RG7AfVztemkhcnZNhGJ4MraOnf9RefNUKv/jZtLOFSSgUyhk75V9YSQ3VkQoeBtT0SUr
ha/uLATlNCBYdflvYjcnpdrEtjjeXPfCo1Dc0NwYQQF3SwpLmPSsct2Sfzi1uiyJ595Powz3lsuL
dF0H1JFb9XrSX0Hmdn+m3Fz2A/XbVYl2Ceva+MKuYh/tEKkJGNz4EvGAJq7hWYf2R38LvkC8OF5q
InJLKuSe69sHdHl7228TwELVEuFiEu82LoT4Y7pMne7eCaVxgGo21lXTSyx19MgC+ZxJb0kuEcnV
6MePysCVXskq33gkeCCJReSsR9/YQs1wq3H0v3JBjyrqxN8OLu5KKdRb6Cc4zTlr0OGLHUn6kAMT
dRNzbYrPYVFExWz7OrN+3GF4o4STVxi3tjZAgBMoQqxsCpuNBT2mL5DcSE7c59qhPKtKwz1L6+HW
0yxMx/0cC+dTQyPhM1Dnol2GUznpa1eVER09XEiaY0B11Ct7SLoaGltu3ajQT/hD/nTlTKiIbj3u
vT4Qlk7L2JMYMSwzLC4RI9JvQgHPyreoxpta+myJweA8J4vx1HYwxakuR26PkD7J6J7MDClANERk
Y3f+l43Ul/MEL2UebWbq5d9NCtOxxw33Kj/UunQAPo3+2KH2JvkweUoMazkOPneJZX4eQ6XfliG6
l6Iujtwp7tQSNnHkk7+gaHY4Wz47g9e7bmw0REJmZm++tqYdL8IMcbYvTKcWUjL2D1CaBaUfY2P+
gBiAHgbHOVXtTUKUZYepny+ouL6noehPbYg7zmjILTePmNtpPA/rIg4b2oyFOzS4gbVxzZvlMQm4
trSVXditLfJzKIJwSCOLeZZSTabCfO/ebBJh1wcnc+CSaEuWrK7lPJez/+lpv7yfcVhSn1uuKizH
ZzqzWJtGXOl98mEIuzwvKWLK0oYzcUwggozoa7cDzDT0zTdfI/NEawC/3s4nXTiPvSL6obHNbhuJ
aAdLX77afvBR9CzKKvfvJdwlvzM9e8bskh2efxUpOSDz8Mm2kcYecsQN8fQFHVtr6qAhb6q6fO6W
4ojbHIQiCOaHjrdnx35obmE6KOiBB3govf0Stslr4xPFplOEv+4o/D/0qiyk7QztCo0spoeppNg9
T/uYBZjecMRgFHUYf/QEQoWeGXbMCYBhqxyLMjL9jH/OWkwusjQxnRRirqaekg3RTphmWakeo9Y/
0TlsrQw7sPFYKfsU9nj5xxDrSpjhlx+91L0TPcp7g0y4ey+Auh8H/umYDEjFqb5yLzCPtuc6m15O
X0SA5Q/9qPIHD0Akk9S7d6l+QOHobwJWyw2wyIGanwR5uROABigoEAIq0IKPcbH4PFPM+7I10kPq
pWTiWW29Kz2DxAuCLmZjDE/EmPNZI+tYmPVpwB8DfO3kO9rUoji4IXc9+qFVWTAaU6ITW7k3xcMs
rTMlTobV9OvfD7226Z1rM4r51plsidPh5ht+TmKy/vhpw6IUEiviTZ9DoQ/VAlU4DmMW6+Yed0S7
X6zJ/5r99j7pC6qqZX36fX9tMxJrjPqEkEcueK0E5wpI7NIg5mtOci4l7xVRz0ufvntBSPwono5V
XRh/6iYxtsmQb2kMQ3WeCqKZE3PeIGMr18wgThxUyb9ueE4JqdkhOuYfRZ7PurPcHxMc5+DYXbVG
hOvoD6GcDUa/+2H2Mpzoeojric5cFJO7aSG+rJ9Qfg5VydwoonXnQbyiBTZQ8DU7l5LeN0dAoPSA
AdKxgyv2l2vWEEqM2j/aNkFRcOPFuzHZ85/Gau2XALAcf4grSSNa/z5G3MjluecaBs1jDS5j5YgL
AijUhQQkH8wJ7SbJc3YsO9PaeJlwtm0+ZqvcuxW2V9LfLLlGidvI5zLBLN470nuLiuqpDgpvU8jG
iduu7XZ5DzNa3DoHPf8vHOYU99SJ+iRRCMc21g7Lv8aGu6ZJu9+ZiFSbqLnaFSaUqfD954krFwwf
ZWlt6Thf4KCiCQEdwfW0sBJeOfrWY0Ry2sEo5Zb+QHNlUz21QacMF8hmO/l3OYklf2GLrg1ZXuny
14VpibuoGHcu/yAA9OxSJqO+c2Ea1ri5nYNLhNuKK3A4lM0UnT1uBlPoD0eakz9kmT/NNB+Q59DX
p2XEamYAzuJoMdCFDi7NFJCsGyf5MxaTwpnGhlno6GxqSjKtqbtLkBLs3MSEqJNWvwsRyGIuR8tK
0Am2FwxJQcKDuCtvP0qix1dhcIARHLZDaB/HKRTITevLIlWBtweZRyJdFN99z6KMnbwYk/SiFvLB
24KCIBECdIBO7CLM/HQpMXsmXfqeJDZ0oE11qaZLwwd4D0Yg7WCICCYqiHkEV2O6NncWYOvaJtCD
s6ZE4EQwFOXIVb/28lHt4ayNp9IlqccgimKw/rXCFD+2Ld7LpPuD4Nu4ys59zhCKfTuy3tTuOK5r
4Px7V5afUVL4r6WJcd+r9fRQFTmRUBy0O/zj1tYC07lk4cKwPrT5l189pV05fc8Lzn15eyYPQ3Qx
BuYV2dHcaRbC3/RAVCte/cNF258ih/Bx3OzYyxVe8aUtsn3ZFGfcYhtnCoKzM4bvPiAT9krPIXck
Lc8evHBR6YSiw9Y+MkJ490RKyXWNGoDpWNIg6p8LHkrvsmtKmGYQSqZXCInIRWnL9DhbkYCRRVRb
lNVq5uBvZuqTz0yB7tmD9IVHIvy0bOxvH/KPGGeEF2zODkVxqHhsazm0lCMsM9FhbT9Gu2Gsv2oQ
cvIljGXdOTWFR11NO9bSKoaoiVwKmXhvpsXzJo1cIOWg1cc+FD9lOXhxGxCnFsL+wUXZ5ywcNybe
rs2gezv+feoKRcB4aP34VHBwnh8AKd5R8tCSZeSoWEbjwABPYoDd/KlTtDkCaxk1CbUZN5pUdd0E
B8vJgg3kJFW9Wl2ojSnWvzdkvzUfw8HLN4skjWImC3GNjJJJqeHWJtrvpeqNdUs6Vs4Ndx7VfFhM
HDmimx6ThJuPSHlYZEvxykI0n/oI21WDaZQUEGetlvHZFiT+oZYDzSkR6QAboHj1kP7aaiGhISsw
tJL7rXG4uU2O8s5FlmUmgbX3TOfEShW+JtFHObFUMNtme5T6wGScK8MwFrCiPCbyqMopl/Wb++wS
Sqg6bDr9vo1eBq9O9qAIcm0urXVJMi8/6pu037Ls9n78W0sCMJKCxkWPeFjsEgQGefJ5qD0GT6Pt
X1raVEKzDZDBohk2QuWCVlnNOV3VGEaRz/NUcqOtX8rgnLTLI00p6VOLmqTop+qaa+pILbibPOrH
e6KLXho1E3ZpTxe4K4k3AqlMWhrLFhfYn7A0mjNHZpUGt6jIW6tgEFR8aUNPQCfsp8HzYxXu0YC3
+PQEtq8RaVGCO+92RFdG6nsPVmpNa57axSm04KFGX9ywCt+9+nK4WbrybWHhZxBepFZTlviHsi0T
0hp8g6oxwe+kyFeTQ/quDZ1guVZHEnPVmU6Va4npE6FRZu3T1tgvrp7iSNjDe+ddErKInvIGemNQ
/Vcgm/Q4NCxngANZx3NZ2DbqhLAXO6shMr8yGSSn8rMvi+SY5BkITsHg3NTIDgdkfxSFGaTXTLXE
E2r+dIVpXspRQkrgpXON8FS3mvcE3y8ZEjXm3/ayTN13Qb75Hg9H/d2IFIxSUPXoaoeTHXCkLhfk
56aFcB2v4wb578Ek2Hhrmz1UT/sgDFdfXPKZYrtQuwJwkuTNa9vCq6VBn58a2kdwv4tLaN805mON
2R+mHnsyrNZAOL5j/Uzd4seJM89riA8cJg3XkVDoueZMmXuvML+xC073ioxjifIsGUSycWq9K4KU
zM+Ix7AIVLAzEQNTzGz1T2OIHrm16Mde0kWsOpsFUpqY61E1ufBhA+NmUS9rg3wuNt2DWST5hQSw
qzDdMHZLlJjLTBxMqYwNWZHbYXRJHmuYaRNoR4lHglQg4vYLBG9rPfm0uzpuwovA6+sgb7hF3DV4
fx6hGfCcIk5H85wfW56pe188lZ2w6AcOUFe0HVfKMnxXgHJr17HGOClPc5oTPp+XZdzZ7n1beAQV
pTWOEjizDi0hutRVZkpc6txo27HdOSXHysHwijOLiJXJ/oyUEigll1dy+hGcR6CEk4EiAFdDBwXq
emvoQbTemU3yX/NBzSOXXGLs/bY+m/VAMQLF08Laj+QuOTIQcWqgJWyX01Qv7tNMo4guM3b/QK/J
5stOqUduvLK7fTRVD6okxVQuGP/bMcz24C04HnCY3026Sx4XkXoofSmr7CdkXgxmRKRnP0lCTwEo
3YgMxXettTAm2LDSPIEc2PFIG9mdm6uDmCex8RoYMO2H9sZynHBViRIHmgEOgtgRXExRoN1/sM10
caR2UuqTFPhQ6x5oqkPYzwJQMyYc1G2P47Eth6Q6kbJmxiMKSGsaLLyEzkenjPZI48UCiOKGe9dq
/rpeO9/jzZ7uS9E6t/Y8PG2mO59yJDgnVeYPjur17verqN02CN+OScDCT2YcLicArQHGekIDTAHu
Xi5FyLuFJz0aEk1VRNffXprEgZ9YlFNPy1oLF4Q1ysgrJbr1RMnu2SaAii6MBfqdONQHJ0/TdZbq
fkfs22Nmh3/yKKzuJzt6wK4kTj5xamBKlhvbVBrYuqvu7eyv5GJ5GiXdjoP9qJR+IXCteGiJL0tG
igaV8SrqpXxuSiM7G42KfbsqTyIbrktVqaf59jQtia7Xv5bCgkg0n/1Wkc8/NJF7cWd5DHu03LpY
9l1DtEACpbwjGJdFJMtjZ+CReSvCNsYeX4rsPlojCo5+H4xk0AYud7+oPJVFgF+9s/ZFSY3QYmVE
C5vVenHCckfBKHa90Yi1ZjuxLf+zN8G+8XAVG4cH9CqBftxUDhrPyNfO0dfWfWnSTOJMpyazyAFD
SpPlGM6tzESE5rOUVwS6WzMFKWGpkZmJ/hv+k8jgdghia84H3JYOrGfibSLZYh7tiZ2DqRSjANVi
/587oimEwPCdy9B6ygwIZt5NukDpUeDdysb+UlVyWyaDg6Etrp1GbH3NMtUEqIVGixS/qdKn2oCp
E9IXG+WJy9hJa/Mfzs5kN3IuvbavclHjywLJw+YQsD0IRh8hhaSUFClNCKUa8rDvu5mfzS/mRdVv
ZNWPWxe2J4Iy1YUUjMOv2Xtt0/GCTcdRjA5UPyiP0RsxCwyx4nkdy/TBLeZN1GP9s+PgVzTrza2o
OygHaX8T9/RjsSIBTRQ/Q6YV/FxF1oOIB5irJr5UcFbKJh82mckob7FqIOZ21Z1uFfqN5rIWmXW4
sqx6bCB8bZRuIUE1fhcM04kuvaKxsdA39Wx1U9aZmzR3z+yddVIesEu7JJgzSh+a+1TH8TkGA9sk
0GIQE1kmAyoDr/wWVcZOZG11EkR80Ok52tryKIQKKUBi4ZZbAsKrVSHakgA8eQsXQN8ZGlbcKCCE
IpBY7lO1iLBpUE7FBI6VuLpjPaDcI0Z4izovRoDk4Jyvu0MNFOtcqX46z1R/7LaWBbyJetnMHILa
JVkgem39jB9U3eUbzaLRylrPAoBKXVlMNLMR0yLkUmwMcv7qx4lJSFIMyaLNp49GS0pthRewMTBq
NhAmfYPb0pqO+KlMtHTJQfe2Kn4aZdtcGqNelXYIIrjvWJxD72Y4ysCjTp7yChWh0+I7Rzu9rkeB
hDxPm81suwNO4VzfzVP63AXWO3g8drE4dKTBeiWzWVvrWXbOW067qDbEoUOAjHJIpffkIjzPRvuS
CpoetiMyzo5jTOS9HIIXb7AlC4da3XqkIXtlaFxMlGCI7mzr1cnwGbsFHwCfkrEGmsQCmL5ELCIu
Fqp+qdz63pTkHQQZkTu5NbXcbIx2PrnLm0RV8cE2Jabv5iXhJr6Xc6LfwrCciSoNFtZasFOopErC
SbgZjPPMQU5Uy9nJsqce/x5I0UKdhSfSU2/fs1UE07u8YR9i/e09dqLhEnkMq2LQ3W7tUDGiggrg
HkjCGwmURE+DPjhz0CpHldvtVVrde1nIb9aWX3rYR+uCEStAC0Cwka3hmWwgoQR2Mt5gbF6ztS0e
9ZIVSpF+Zd48QdatJW6YjMuM+pEXUAVwCw4reiitWKmaOnWsx4OXNMad6ULEW75VQORGzK/Bff/V
UdV7PalgW9UGJWkQyI3t26am3fSdSwitENWObn3dB1pzzGbQLEkjw51tzFcQKeE5m/PbjHHjfm4w
YxjLGxfp85rNU+E3kR2fvt+4uvcxVKHObiMYjizoZxJyaH5kPx55GId8mtchybttlKEaSMprqQJw
j5raNY1mbctRuWBN2IMNFq1nFiKBrR+S6SJHjx1PwIwpaEBYhB2+NETOp1ThPzOcZud0xa+YgCFU
Icw+GOb1yh7XYxGQvDjI9eww+VTssKK8qnxntNmK2+u0FUSHzABeYEfHCu9mFWrYdlE+rJYizrGs
twjk5pCmz+VgeWtdota0BozpFUon3cGzO7Y28zuOH0j6AgNkOwzV1rY2w9y9x02NfanYVSF+UbvL
nhm+oxopkAFk8MpXtYeCSp8R6mjnICWYewQf6JfhrhzBpNBb7E3DZeUYOscmosgvE/46hf6eEj6j
SBbWWQnRT3ZnN0IEWuKDmVl/RjoKyWB0X2sLgh1RJfhMX7REz3ad7mwrIWvOEERtSngk4s7mban6
myYQkILTZ0vUvK7N4aWSuGNLC383MhWKWDIlOZF/TRKZe5IyR+AnDaH1Ui1ZamjeytXsGT9qNDJQ
XN1jOxkvXEX2hoe3sxP5qZqaBahTvQY94l3OAbjS5QmJT7lJrXc7VE9pLMeNeygchuZZzxMSOY/W
QG5lZgFnCmyH4iPYF4X7GngWLuUyetRc/ZG5ExbpBnpGiBKlq9wHDT4nd/EAb88IyPoyIzKiXQF7
sug/7U3ETAOJ0m2+mItat4Y1UYWrqR6oMDniVAowyOokTUzOQleLjkphKAMY5VcI82Vgo1eCkRFI
9o5ZOJza6C4Br9p518nDwBRiI151JCANo/YQQ0N/sOhriWTExhIu2aDCffZmDTCEekauTvbLZN0B
MrvDQrIDdvPTI6+8SZDG6mn7VJXuK0h6v2o16UuXRbWQ9GUd+lsDK2SDezdWGJ1BkLCmw3GMsvrN
0DqOgXlYD0k1I4LBP6+M+1AnB8UCXjVKHcWhF21i8wPDGGpABQmITcSZ8+mSpgGXhD74uZHUvmO1
O8syn+qMKjM/zaaysOcJ7vALwD2sd9VU3ttkfK2KrDxoHUoqeASrGWYwyJ8WZhiTZ7NBYU+d85g7
e4gbb6Mx4tdpmVTL6qUrDFRFiOBFNwSbokavppvpY6sFVyctr2agXuo8fgh0bPrY8thKhqAAWjaq
sZ2uU2AU9CWADrSfQ2p+LWoUI31301bfDiTWl3F4Qyhqvm+RpIvRAjjbhJuCpHbTSYp9XOjHcQjf
00S8NRnmoCSMz1ob3+aD8wNDLIqUbLgimtmzMH7uw+lHAp9WtgTGJNRTbunSUlVwPWT0JEdgIkON
0c9cdqcOVKH4ZWxlvG4a/MkjbWedB/pqXJx1NNvXpnVDAAzGsUrkU1aAhNLxixhz41PtuH6E4H07
ztUL2/OHuhh3SeJhJpSI8kLXJiyAQtZa5OkepguCXW0W2GhMq6+6LN4mb9g5FR3BZOhXlwkL2jJ9
bvdQpYJ9yLGYRmhHIiP02xk2UgaZx/K+3DZmgGeA4u9GdFAjawIVN2dRRVvbBlUTWvIOm1voGxlM
7BZuShDVIZqW5CmpG+nXEduTOW3Ok02X4wlTR+J7yWPzJlIs7hNl7mUM/qwIEdch0bA2XoifRGE0
QkxYvrbOuK8ac1wXaX3JAMJ5hWLvwoBsEzyERL3ts1I95rCd6PxREnrVxBMBSwk7ns1E3U1ANrj1
QOiQjd4hY+68ae3izY1sJmk+6QOl67K3iOFczTbNn3svM0SlaYf1OQNkQkdJd2bHm7xE+ReanKIa
mXMjMSFOt4WE168zsqx2ssrWvUJ210uW1gwJqEu9zVjE7j2W3M3YEs6V9Ul6toIFSzcXj03KXWKM
PptJG49Ww41fj/AG4qvFSs8fI/RaftH0EgY1tpWes5kYgi1C2E2ZZT9MIs7uG10xC6lJX49Ymmv5
W2vf6YU2XA0untRm3ojd8LODPRcPTCo6sZQUn33FK6ECAyvCghMYHQvB79ws/IoTd9cYVbXSKwfV
pOhOIjQfU8N7gBbGE8JoEHSafQ70Rm6NciJzNd6MMIb1sTh87ysNw3gmHxATHTtsFgamAXLUaQ3S
NgLjE6g7W+hiWlbCK0avs6QdTx4HHe30UMun0r6TpfXCuC7YZDN/y9Ck+p8JKjCm5DK6WJInDX/8
bMCcjhkk0rY2M1d8kiPk0TliDesWCXPVjeOKO8V7UvE8MS+7TfKkotHPY3DGm96h4GIe8aR7FPhx
FjwXZHsgrKzvZWA+4JxB3O3AY7GHC+vIl6ROJzjxoMGq8KMPGTjKiYu1xZNQdZ+zt6oriExao88b
my0owRKlr0corMs++4UUiRfFaNzHhLgUfXkIZxxOjMusY7O8+X5vRvGDo1N7iS2S6N3F0Rgvdktq
3vpYVAlCtu93AQHy7u8Pfb8nv12Q32+owsZy0XXEcECDBQb6/V4+GH+89/1/f/rn/+tTfv/f9yej
sciPv7/sT/9H+g8MnTk3fHsO8DQsirXfb1Ro/v0/vz/w/X/JP37g9+clql4cw8u3yb7f/f2h//+3
/dOP/9OX/Q+/7ffD+7uv+f3AY9eO/nh8v3/i3/7zTz/y99f8/mX/6af87Tt8f+I//Zw//f6/v+v3
B6Sym00aNR/Y0z5Hbww2E/GDA5LQfZ2NbAMz+O+kgPixqK8yrYttN02135qOuZ70zfcl9v3GroET
zMvAf8o+mImN+zZr9oMohmObvvHyKrBngloxE288ku/pu5VRbapRPKd0qMe8icR26LQHiByfpZyj
bVNQJHUzU6ORfbivGmSIXp1z+Hlw/FRZHH+/UWk/+LOMMBzoya5Es7VvGM9Q7RYIbyGfdF66S0W6
lTr0FvCHASWWe1ubyQ9tFNPWHmruNVnu7Lq6tnbpz9Fyrb0dLYF0ZrpDu3/Tq646DkNy7+FGB8GB
ys5abOx6nuV7lQEKGI2f3AKybR5rSD6bEIDl91nnLMNUECB1xkIDI+bRwnp0YA5E44qbXVve2FHQ
saR0Mia0QXsM5vtQiwQgN/R5+uv3i2e27T9eoHCamLnoGr6lGrgUpQLex3mxQqLsICTr+11hQDGw
cUHLrv2lygCLsKujGoyI9HRik1zVDpvjRFoR6/xn1sEMOxNkF+BYvJIWS5ZoynQo9UMGzGV8UaJF
4pTE2yC3iZdlelUam6jSnmeMIT7D+ruug73Vlrgj+ngH14Znr8sWKhOlLHAWbon9OTOGY8SpS39A
+Io2x28VypqlCzkrermNoSUQ0W+Grut2fdpmGHsOiR7sA6KNVq2arfNwckqFJcQL6Y+y0wBw9Zgs
pZ8LcmWNCpi1iUF/xj04z5CqAgpjfRqNj21WoB3UyNclkuLGeAn68M3Gh4w8X767xPWmVtlA/+QK
LgNbrkszylBa9hcuxn5tgctN6sE+W0b3HI6LyZM59UGK8WvETcUf50siUmaNGB/Jcqd50KJfaW89
GWP8ysj3FR8LTTebhmRoGcZDE11NesWJC3eGBYPywxbFUGMYd4LsEsNR+1LvHxxjus7O+BHpxTUG
6xn33FyXsgRE6HMFpdtM531mSUSdeX9NsvgcJznRuNUjc3dxBmJwE3b9GtVVvM5Mtvt6nKNSQlMM
QAbICIOr+NCc0jyMNg5uVT8noye2iYdUuf1uDsC5eklrTAd3cvMtqq4JPMDIbsoe5HFIEnqscCo2
Qnq3AaDMVVXQesXm1dGCdJ0gCfE1MaLh7u9pLLCqmOVBT8ynQTNQqjT5nY0vsorcz4DhY1Km06rE
H7VRw7CfY+iwyC3Bt2T2j5o8h11pcqoMBOs62X09ULv2HV4nVvB73G64OYN2o9XiTQOux8TtwYnr
izH00Y/4kyCdq6nFuAH75oe0QJ0GCVoaTGsJJUAvn+xJtTz53mchoFxVT4h5joluXAuT+hfXyRs4
VhIQqv4l1nl5Owg+wT0gSvcwAxIDgxgf8pcLIokp021M2bLsh5yNA7bC12X4PLWmvmn0aNfYKGNB
EjlUj9HWbBqWaCkPOAysI4Occ9IWH4JqI2LCa1trk1oEz8yx1W2mlB2HM8bXnV3yjGNTnaHN+4qw
uKJXANzCOydpAc1Mp7B8zziASJ+byhPLtWM2onIP1XjrKEbykppqwxxjbdVjxJB8VAxMBMkLYMKm
+SYuqahdUEXlyCMJReGnuECgoiQvE0+JnyK3kIZ+a5TeuayzbUHWyeTRofCiCHem1qD5TC6NMzk+
Pc6tZ+caEIXe8gNEd2xoBtYu/S9dWunB6N1rMkX3UfTmOOrCAGbVLBYtKMgDCT9GlAPXGQ9FZx0C
Zd7HQSQoHOQlzUkbiGrLH5vyQrV19PBv02rnT9U0vo5wcNF1W8cEET5kLSILDXUNtcC3WgbAetPc
tnW8KfT2vY7YnLRcIFR9gKQbI4U2I9uzmMZrU2XOsfXAmbDjTQEmMnkFX4RlMzPf5jnI9xnqwJW5
uL+t1PjUc6jZ1NvzfZF5L/NS7va08mtiiM5ehIIjBcKqy3NtfgSWdy1B2V1MvbxJEI+s9MjYeaTF
8ZSnPvaTPSzU5DBP0XOrAGaN5Yu0cV0N5HJx58i2s528omvUAP1MN5zYWUfBiinp1HniRc3z7IO6
bfqXMiSIkNs4EqTwvTNBzNFdXTvlIAjZ9S2xBhYU7ZXMZ7Y6t1OChBhMHzdF686N2rdmmafXU/bO
KuWXLMSX7pTYd5f5ZZS4RwyQ+yh3rlU/PXuNfXYWZXXZYBwozPJ9ngnAqfEN4FHYG0XebfupgsSR
GqvUWY7LgsCFnMlBHCrCLRw3w/8wbxBA0ORV+f1IoAI681Nmi6sTINQzrIpNfnU1ipaMCb0CaRME
J1s+d7H1KCYrAjrYPdgsY4FnOx+etcCCMfB6Q0L3YsRv4EWzPRs9dv76DXlG67FCkW3MlsD/SHFQ
hkfkIOek4cXEbfNe1d5p3/Rlfh9Jeqx2ZGLcz2xv8pQkkzm+4MAl1R4Ei+jD25Z8+LBT67Zkq197
YFGd6ZLpEWEQlaWQ8XwlUYTPi0tuzAMICktQEWOyKgsAINl5usisHkK7NYHH0ZaYdUSmfXeHtTrd
1U0AlrWD6oi5Hmbk4K6s0P0sIgIhTKwqk6qnXVO9N4rmiJvlbSHdFA9wtI2y8QkDPrjVFERHHHx1
o2XvWU/uq1qdrF5+QZWV+87oD3UQbSf2QeyLvqfRIvtf5MxeVaLKzw/19i9LPO17UU6ETEbtv/3j
P0k7/SO9dsll/Yd/bPJWtdN991lPD59Nl/KlvxNc/7sf/D+f39/lcSo///Uv70WXt8t3QwOd/33g
65LQ+s8DYv/j37uGu/Y/RMQuX/G3jFjD/avhoAoFGSiEbrMQ/q+MWO+vaOQ93XNsk4G25yzpsX9k
xFreX3XD1W1GG47hGtIl8/ePiFjLIT6W+5kuDIE0wtXFX/7rF/9vJMQKYS85ar9jqV3dFMSruWyf
Tc8m0dxdImTf3x5UHjb/+hfj//KqaxF4cWcLwiRbkWGSbZGbrkjRbMCJZeMJkuhG2ldzueiCaYIQ
oxEXjt2xB5TlOM6eVKhq51Y23b+HuydskN1H1s4qQYovjiCJDd112R2XrhH58IoU7slvtDaZKc5D
2yFGLGzzubPTR52AgDYCfQ+TiszEZcs9cGQsrM9ugFHuCZR/2GXGGVhvaJqSaVB3nsLhLZAtCaMD
Tr+xT16lRsx6M8CwQN5j2HcZp/TKlTXw4mVenZUJe/7c3o3Jk0YqDSN7VpdFd00z2FxUGl/SJPYs
dsL20JK4YrXsYXLjVnoO8xy8fLZiYOjhRuIcZoY+WR47TLeN9qOO2xw3UISAg3HMU8PsWqqHwYKP
6l2irAIO6LHb8UD0IbEG1tpWN005P6T6dOM40e1oZ890ScHOYIhrRPj+RfvTcoYK/gYAbycO1omd
qlVqIIk1NKAVtdP5tv5jJJ8FIHL9jdlaIxv4ZTi9B89pONuli9+e4c+61Tu0aZFOMkAB7bducT0Q
Z+Tbg+NhPZwDFiZOs7bM+YyUuDiYBNcAnMNsCL9rr4aEmCeXG01J2gEpSqTJZsHOmmAl6YLaam4Z
4fZyuu/1DAkHvmAVaQaI4Y8c2q1vt9qXmMm2BG2brZokQW7EiBFTcWGeXWZ7vK5j9ixh/q4UZiJQ
8exq8ELZHv1fHSSJX9cs11MN7KcYj1WMU73vzfngKf1JZKyeEkVSblAwfG8wqHsCvo9sJ4a7BI3v
evZDe116e9o+v2bnZM5av7WmOMPFfihadqWyb8C+xVIjgifrGdd54y37/Mcx8B6y1n3gfuhS/FA0
YjG0+6RHK4x5HdxT79o+DhvowKSdMRdiKGjm3haO+7EQ2I0bjrOVi1FmRcAD0RHoN+MsR/0jEDjD
tP8ElT0djLAiTyBSWA2MotnliqlYSzHeJti7NH57aN69vRVWfacLSLkDDdnKYiXrA5d6zVKYCn3X
Gk/eHF8BAU9svxUoibM15+7Gk/gEsPVV63EkbyMwqL6mhmgMN1xYrgDKK4VfMjF7qAzYT+jVTWoX
YBUJiv4XNpxs01lGWEjPH9AuT0hbZgqaOiEoCuN/XiL66UUJ4C+ueUBEUjFT9dgPcX8EQ7cJO5K3
KhjnqwoOyuKWjxj88cppHieg4J3Z3nedZO+KeLElPmxdK8LwTOLtJqffCydmdVjpmzgrwfFiIdOc
MbsrBg2pE6GgoByQcXZqpqpDvosNkPsrAWIkGrOL1qF/ljinScgIUIUlYtxWrSKDF+d1UD6Mcx1d
HT15inn61k6mkl2tq3un7tFFtZQ63qwzJIRlzHN1u7CUx5B7a9kBwkM3GLMMl8Um6MUumTvTj5ME
9TXHIBRl5iQu+61KsjGqlGAXHyQ/m9R4i7DnbWKRfaSKgNUc86ePAGLgqSBHW8C/8bRmYwZLQ+aw
dZROuB0JN5zq6qHHXcK8kAFr4gY3VXytRblL6jg+0LV+CCc69RVsBHTsLlNIGhsbmZgbxo+mhtyi
5GhgOIhhWEnnloA6MKoIOGU7Dmtyf9TeUfEzLomAuwIvIym1CoVi/BbEbXoE920aybarhvJWmbbv
Ii47FaRY8UtCi2iMSwzCTmBmBANGYVUD0vDavkQ4EV2xB1G9J8IPvABMjBjfOkQRfmDC4pNFeK2i
+QghC2K0Hj2MXSFYZYTqDPcrsMsjdoVTrpsOIZLgw7pabZs+r9ZF5dHuQVhbZ2GHWipgSyEXvjyH
tJTkmSO2ubMrIPwuBnQ6GRFj/4iOVPv23mVawwlk3AQuM5rGcqksXW3nFZHLaw2Hm1Nmhxn5pSo2
XW0Ee2ThcKta4yaLS7GWaa9ujOxSO5VkE5WjrTCcXS3Fcck6J2OLhYbSY2Lg6NeVc7Wp80G3EyWg
V/kBpD/aUIb27QSdELLj2oytlr4nXHfCfij66kuvIhzCrUKunOrn3iITIvPwAY3ar8ImeSYkwqCJ
251R2gxwbMBdudfdxcCEuLJSNJD20dSLCVbDdMFuBErZRu6HvrYioivQ5luIdfaPoUVMFHdHNFVc
ribbVRvDL3pLm2sIWhZNLg8AIWpQop8ir2RiCSx2oGEBB+mweBnOGO2rgMS8mQlFPDD+gq4jsgsv
B7kbA/HVWgTXdZrxEiUKM6XFkrMpqa7njYE7jICNZSY3DTsKnx26PKJ0QiEpsLlz281ccND/VMqq
1kmPf04oFiGQRFApxGKlYiSm5awDFonXlCLs4INYomzUT1H5MnTjoU0JEEO7tcuQpjZ4xqFoQHDo
WEWC+cPCkRZPulHnW5VzFURKPURFHh8nrWcRbyC+CQBaZSEEVVUOPherUcuNyozm3oSwpo0zpqLw
Dj4XZB6SD7PuySqBy4sIEL4b/RI2SL2gAtqRhPgPor7KtlZJXneYjMfJss+u5z5RZSVafJ0Cj0UE
zwAurGOpk4QcGaBTdPtN2KTLoId4cxtcUrk8Y0to9qOl7YfKPWDqOOCdJKm+esPvdW5yrcBNEJ3b
wrhONb4fu2dEjoXgUPatu0Ezim83vxVl221Ua5wgY7LsRRZQ26wfkZbRnVkBZ5KVFn5vQrOaxguj
2M7P2iVfc7H0JJi6izTc48fe9oNzh1ZO+q0iRkyQYllh1+UJQv5It7ECBoQ2yMCDHIJzw8+gDlrv
brkpsdMMgV0ErnzWEUKlZF0MdCOew2I7IS9hVvrZDpnLqSF8JrCw28bQaDdDML1QwzAvCLGfl7G6
ztRAWGdxsAV5vNcMHrhq2P53+ZfZ9z/AEqBOFtMT7X+9GXRUIkl/B+1yBm/F1j3Rh58zrK2NSASe
/6psb6ZhgtGVhfaG7FuEWFxgk9ni/lWuthkW+5aIeV0OVqefcTw4e2Fk4U1uYiRceE2kCEL+ihht
hRn4kJlJ6QQ71NdIdNiRiQu6PDP34DAIKYwbZ91zPNBEaDdQiztmJJ3vmESYRCVIMDMU3sMSn2h1
zP+sPHyGePDU4kxHFXQc3YPX5jG+H8IJUqtZwWWG2muwix0NjH+5Yx+NBtbjVJSPRUMFjxzIo47U
gq30DJO7L4kVab/LS5jUmuM9e+HwoY3h2YrHnnh1A+Kulx0i9ukr4t/EKUZYuKrIE7w1rZJVIhox
DYFIjsAoW/wQE+HNzSXUptQfKxAbDeD5Jj00Xf0ZloxACppUR7cItMOW1DLjdQncMKMFDTbh5tLR
auhAy+PavuoasY/Ext/ZBiI1G8PbWswzxUZOMmq6n+30WmANozolyxdNXEGOZo8OYtwS09NfrJkx
QdYmmKx9odiGyZmjVjSV5WuwNrbJiLat8xA1EZwy7qWlpq0uTjj461WoucTZc3IEGjd/I2xMrP4W
C2NgpdRkgrXiOiFobZXE4OzQltNwe4K0iAjzl3Tr98RC2aXN88AKe1ixO11yyTnEh7Dapw18P2jm
k06X3SQay1ZHcJawELAGO/Zjtn71EB4GDwiySRRB7bIJ1lv+aNEoN2DE4w2vFGLW+uhnoR+cTObb
tiFIxcrrL/TYDWqHMTm4MocUP6JsYCkH8AZNKvTWs7OoLJKO1eOSKUEKLkE4gJJFYuWb3p1+6j3Y
zkAGvtsVFw1y8E7F82OYo8H2Bg8uzhQfGbhbWy9SR0MF7hJ0sQvzfDtU4r3V7MfMJPEgyHi8ruZd
rbj9lVTcDQdjL6px2Iss+Frq7Lpqv9IciMdoLQLUwkzXRYQRxPX2ncA5ogFL2to4hecWNZ456JRy
4EciSz6b1VCtSFY5ulO4JFT1dGzGj0kN+SazGCAju71LtC96/9cRNkFMf+C4nOaiFLdudmJWyPY/
w6TbJ5inW3KOZHGSeb7DKcdfSVhvGh3yxvHkwY1Da9sM1sWEuyZc6tmeeR7wmjfpzV8yQFyhxtln
R+asCpUbaMiowHPCcGm1mOgJ6kGlc88aGxLiWbhQFE6Cm8T8mvYaeiEt3UwdrGTS0JIhrg59IoNd
XPIqq4MnDT8pc7EYWOlNn6BiQ66MssQVoPmhUeSiemgofdYh8psoEnI/mPDMGahdEuShK/1FZA6P
RpQzogOe5ci1P8cBCaqBkx1S++BuzQGZvDfMBkUP2ptsitpDn5WdP5X6Q2cQRW3T1oZN129zkIBB
ls+HMYw/WGWh8RpMEO1Y6oFmaT+lHV3SuOMorS1uRSx1sh48Qdje16Lt9oG0zknh3Iae213IWluj
HMWPyIHhSyDrEaTJCGjkNDPzlkmtIYMxCBBjKzP0w1OAH5SVee74uVPTvJEpsUJhqlYxA9NT7SCd
Y2P4MUU1mKHevDVaOzllJfSGPuzvGir8S9U/Gsj7lRFrjwMXFPo21GmWGN87V95qlnHXsJaC4NG1
41FoAU9rWBhn01WcoMHwIDT9CQXPO9Zt1gMVZwpbNNJ4GTbOcAzs+ked8uKRmXxnIUJVkD5pM6B8
yLjPlDHwK0wqBxvJz9pxQTwKjzAXa3SXG7w8oAvF9DGPl67AnKV0SMIWaw3aDGEOrCXLfQzzgcSO
bLvoDPKMib7mTpfO1hiigohh85cehU7ehpnjbEYqE5/gicx4Hdb07JgSLHpXzW6Oo8nuMLRQeOOb
xjnlEm1XC7PbUbf9cAKv9VFLMjAQ2qY2khdDOOWhA2C/idWjNlhiH7bih0kScWhkwdrF07Bp0wSA
Rd7sNeybESk+N9F4dsdMuw1voA/xcPI+3+isDtSI7GOoXWOrjnPQshqw2vtKzcZNOzlbtsBwjtmk
cNAlN5UCczjznDM9qg76RxgFahtiGTcjc6OktnciLV4Lw003lo2lOV+eFEdJInNSuRzW1PAyISKa
coaVSVL60VDe6GV9Ynd3iYvK8PVkWUUAJotdAOxTEZFy7y0JDsiWNwPYu5yKaxvlxOaW4mw58ixi
89mbqKQwjAAAoRbvkcFQk3hnepFDwzOwddih4r7kLmUUAAfcilZiAYEL67V0QjaeacgQnTiCytJX
dk2S5sz9juWF8HudoiQlmp7MNVLEh/rnPBaMqEcV41r1Uz3E/ya36JT2mhfchE7z1WjtDXF6bNeg
5wRhgfLOzW7Tqb+xVXVI+/E2G5ZT35pRLLUlvVQcgIXgKVZBMPn9MBEurOeHeCLf0/HeurS7mZsJ
3eI4HruUh8zmLmLciU6nvrJ3CjSsWpr8TCDElyosNxaNnl+wYeszvHNsiVHgJoz/bK8/NcYIEo7V
mjRIbHJzQoSRapER1z918y394r6RGaL6GW2p3rv3Dk6ahuNqncYaC4+6ugwUwP6kUwm7xmgShjau
60irt7iJR8Zq/GoBN3MtqvuVnRsPLTRbUKP5ryRBEYaADBRRYvzI75EztOA/41dvaLeRpmPrk/Ye
BynziEC+sN2Yth33uABN54YmsYGf7/lzzcJ9iBLyMV2eJ895s+3DILpXSUh1nndPDm0IlZo6Isk7
uBkRHDOUAi8b1rh1NNxKYp0YTukboqA7FB8ZjRS9CSpHUn4Yutf6tNHj8cjD2wJaYvtqSbri8Zec
sJUr3dnYrc18lGuJRmsVaKkJwJaTN0I64GjuDWLqJZAvuXC9eutM7gqnc/xI68xdo8U/pyYiFqFF
m6ylHxmJTp1edUdb2l+a5YJ9keQnGj8TL6GInImUaDRIQwingzU+ZhLFPFwlVteesnRG7KZOEmQT
vr3qtscKs6owo4M4baIdVj8YC9xgdVgYTPLgmIa4K9s5PALwpWcqS5JqqI5Bdm5DDeuPYQu2kSP1
SQyexG0N64EoIJBxdHJlhb+9N5LGj0ltXNXoZzcWBJ0Q1Hcp9bd4DMI1lwyDCaLYiBwHXfvogmwm
rZIDoLZSsM059dZi3066zNcmianMjg72rE52792nxQit2RvekzszzfOfgqLKiR4E46h1CV55XUVE
5bbehvo+waUQPFsDJwMbxoOWo0oMMcetPOLB/SYknCVvkojb2RXW4b3jsYAfpCyQPzqHAXfNcqPL
Tj0kYaZ8CI/7NEcz4L12M5+D5hvoyLPZB8FR8/OO2R5CGV6eTvThuvmPXpt/WZ3IiH/lb5KBFYme
K+esC4iLU6URhsgqfKLCv9G9rxG3CZY482eJGJoouCXHvbJQ1nPtSYQQZq/53Yi6m4sKBbix1mKO
uf9k7sx2I1ey7vwqhu/ZCJJBMnjhiz/nTGVKSg2l4YZQSVUcgvNMvo2fxS/mj9WN9jnV7dPwnYEG
DlAtVTGTZMSOvdf6Fr5UyJlkqtFVYSjYdib5gEMDmfjIW0wMh6HeuJx6z83fWGaxLwIKdeImQEsA
TNeM3Yh2jxqxEgaIVaMjZj0nmY0aAaVzyPXZpjqbMsk2AvnHWhcMCgsWpNhqHUxJbJzm9KUXS6QP
DZ6wDrmSJRacjGpysNCTxJ6zH/KJfIW5IrlVGCs95zhflMPfmOTb0TGeotmGlq1v2jI1KfH8rym0
kVr26b4agH5VwXiINYuAh0Xxmta1deItRwRUyFdEUdmtP3nnNpawPk1MUHgHtElrsHH66pTBOmza
RVpY5NdMD2+kFL3j4jOMbxUmuSXxoEEEdGhI3prje5AcMSsVNM0geQ4z2qhpEG1sLoIe+GvYIf31
1Hevmgi7gnWY6eBZQ+xssevEIu63qROfsza+Np1dbXEO0Y3080sOCghKxsIhYTWmyONtHazvdfmD
ETndlZZZAQTVpXOyAbj9nBA6u7IGzRC+fusiC+a2JaD/NjSnbbkoI4itMzPzWrbiC0X2GuynicY4
vi+SfWvM56kXDxHsxzEoXhrJnLrvtFjPEOlH0zyEgLCOJUyaKh/YHHIH/2LNxKfNhxvJt/EkUW1s
MieFHkZPqnef0kVW0E3erknIVBmj5j0bHc4PHtHjhc/JhlgT4PTzDSlbJ7ZTVoYBEgo2cwTw5kZM
9Qu0DvPEmHUlTCu+Grl7dbQ+BmBgVpVj+Sx+4y0NClJQ5oy5+kLvjIkIsI0HK8vYKlhO1g7No1ED
C++cq3ocC0zbdNc+lIEv0JzeHWyGGYuOo6O9I1m5cj/k+4eqgC9gtu9TEzyZxemfStTuJBidDFeK
o1ATVLdNtAFc9WNZf+bqZ1qYW3B0QEPtZW7ddkfHrG8s9izT9u8KbX13jRlpK/mkvdnuiHzbOQ0x
fA3pQqv+dihYHgglNaa+eGyJwUNnFfabMLxNo8OQZnReFnWuyH6mCtYP/QSg2LBMOWmmZ2IixXpo
D6rMxJ03K+RPvgKLKiwoJ3ZzSNg/LLopjzmAtpnO2h59vuHyzRv2FJGZpf3j5N+5khTkiDimnSwY
pqK7N1hfwkNF43fVr0w6A39n8vXU6mOCWrezp/uE8d/gtxVSrux5DoT3oHL5UEN62KZWe1/RJD+l
MVqjLmvyPYjxWx9DPo11780SOKrrwtzXTnTJc4LhMqRfWMSSt6HdupWzZ2EJNwLW2U1GjJcjpqfa
6+2XAGnEyu27YNPwZTSdOIBxegwqkaEidO68MtzOhSWB3nf3YwMi1reabYvCZRtkUA5CAi4ElNEi
oIfIrKHT43dwYT8LEz1614yHLBheFHhwVdo/VN4DOsy5/gox/NxFt2GC97qcE0x82jzPY/vmNYvM
I7O3aTi+zyogeXSgUDHKOyvJDvQ0iCQOmdrVEnWlaRG2GukC5/p41zQ0ajJnwOec99sscYKlZfo0
5n50X0ICxs/qtgea2kKANEERQH4sobZdUuDmhvxDKkfIoY0BLOzJTmfIjaMaC0scbJiNov1grwf2
tU4hLNcTnv6xXMarNlZ0B0tE/SxT44PorIPZZT+MAFDCZB/gH0nIFtFeiCXjxKamKtNX42hX4IN1
5zmbWXX0b3viKyqe155p13egftK7MQBZ7gp7OIEKxzBJpl5ZEmg3GLijBjVuQBF6q4HtbcNmdN8n
pM9x+LLfEkxKHfioqMuuZQaQ1R753ZDBr526YPdUdPEm9yHtDCizbcjG3ZbQ2CsohbqlL2kaP3NS
DX0sxQeX5IQoLXzad7o6y6zvOVLJZzIQMVEOiTpIIlXB1fWYql3r064AFsTgRPeQZqK18MbmjjhO
xnuQuwgnVVvf7KjYmoas2Ry5eF22G1waKVdZukxo56Hqj7ajP3zqdzMj/cb0xy0e7Luujz96x43p
wVTLlCF5sWitw1eJULYFMbGYmbeyQvE5FTjdE/APTW0Xe8rtc+Vg4Rd4AnZOUlwyvsWjjO1D6/iA
630+CXsVqeEYUHjwWAMJzo6Ioj1IBvVd5+3wAce3gVLHWAVPpqNeSBw+mzVMqNpK7pifIeAMs4fW
ESTIsJrU43BizSe9vTeJ0fPUR+6iiHRlfgHydpdxT7exCevJHcLXqpUU94FcBb5xlE54m02KZrrR
nDlexsc4pAXSCedtMHmC685iQ9bQDzUpkEnqbayOLWUw7Sv6gi9ZkD9kOvldxGUhCybPFx8s5nre
cBdhFTnQroHqyHsHMkWXymZEEMTJJ7g2a6uw0ILpCOkWmPEjOg0iIfyIx6xD7onugp3Ha45OKo+5
IzIMveM+SR8YV7z4rUXgwUjLzQMsyBCNtndl4pqNDIvDTk6zNsoKsqaZJnFCpkxil4a4ScDClkm0
2LHoH0wTzEkzNtcsin741zq688P+KY85XwidvPMu9Oveix/J9yGXr3H9/ehcDQcP4RKPZZtLeiWB
6egaxEuvVAw1l2ZoyPRARuDuqrRAhtQ2RDwOb+aQmzvl6NcpKmhm+pRnE/FWFNXenetbr8wS/W1r
irOdxg+dk3TbrsPzVVlzcsqnJeeins49zlYOrSXRfFFg3/t+dVCAekG/0KdnarW2SEhccZC4CjrY
9/FAsadNsA8xrxLEl58knb23AUqSQdnvrpV1aMIMirsw/+g7kj7nkfgSRjrxio4IdAE2yZGvN5yr
z9mHv0kA1Dk2UG0zoVzFUWm/+jwZjUy/RTUH0dgngCouAbmBn0hZf5f8RkbyXifIPuF0YAjm0Xk8
4v4L30D4dIpWBexeV901MQjetowgEUzTLjOqr1xQiuGzqFa2XDJwe7R3ZgS3NXChOZOdxUYXBQDC
jnruSYyJ6QwIRtPpL3YMVYwvm2Cra87OwWSuORaNVF0T4O2x3ciEg6dHWIhK37T2xDGt7GTf6fKx
DgzG2/kQrAUQfXKEnENEzwyichDg9J6e7MQEOFd9ZSnh7n7xWYfdUx5RyVLpoKRPqE5kDkqFFLjH
xqXKbnpj28cFPdw6BUaXwKbXGf08DJQgVFw4w+XIDBzHyPNc03YkWgyMKykxxGkWW/QpNDlWaM+/
mgw+QUeGTDQs5McKLqfO4EdULW13F9zawVB1y6QyPQa6dBEmMlV39owwWVWSViApiR+nqpv3boJy
uImswwKk6bMtgWl6I2V4MznXDk/coa7J/4GFhhOmnbFU+fm8hztN5J3fCcJkw3ln+s0JRJG5H02j
WWJlD8aQf46jMXDcnfw1FEDq3g7aX+QwEp9yA9murxHVIbOxCUukp0znMVpkz8jkP/0sdjYkjJKO
swiK+qmhnyx3JpIFxNdTs2uX2aMmMzqQVMBexvOpKDdcznOEBKwCab4MwMpWJXqEXTyiG/ewuG8M
/QMQ2nBCSLjM974HkArJp0MIyogH3oNjXkY9Xf2WJKD+JhrTG0pgBASx+xD79o8+IMSuQeYLbiCf
k3KdABndzIsOoc1wV9Kdz+5UTkJ0PYy7PHiJDYNvrcPKWGKOzKdW7qru2GKgO6GxJlmABCwGdJD2
gmh0+Wghub1BdKyyDlgwVdGId4zB2EefAGTvSOjYEC5CBQMEtVwG5GHpEQ7TrxtAMZummr77BTQX
GPAXuB7jXTqM5zk3Pue8sLaeTeUVoRubGPBzqjRuuQXVjTiW8HmYDvDdz/0M/9TJqWxZk3MwH5gI
P2J8JUU7XAYGZaAZGM7qbPoeBuNLTx7Q1vKzA+zdblskPRlVhOBtrXEEFZDa3d5vocoyyeswsF9r
icRSAMSeHRnvx3TRjPQIdcoE8zNm/PsY2ArPEfJTcmuYDoXr0G5eInYDGPAJU06E8NfsAkPSkOWj
M9MA1uFIn4P+8shToGE7tEwx7RhwcTu4r2HGlDMtazQAc3JIHA41ZY5yJrQ6CKLdh8/kBr0vAnkm
XtnRD6mrGtLbJz9uST0sc6A59LQf/KBpHovqeSyNczRHZ4l9DDrHisCDu0llxOYZHRgxvDIz0KFN
YVNo68TaJVPwlZH4xU4/POuIUGuJ4qNiLNKXM6WLYnqeaABWnuYIEUWvluvUN17Kjm/Cchc0aVoH
pyUn/PamMkjn6b+ZaUDINqbQLWETLSbO2Dmijzh5+3wWlGPhzEOKXZ4evnpo3PoBk8kNMRdy3bG3
biXqGjqBHuvUrooIJk9qHxIkDUpc8KsoLK9DWzKgMun0cFKgw1Ik935gTDuTcd869pgK2kwhcUaH
28oo9Yq5aroRfphvy2kbopuAsofVvt7GiCoekkRT4UoCnVxjh7HFxySZhIR5cZsR+u1jj5SpeKjp
YHQ0UKLpxmQBMovqRnfzJaxhLxNU6mG+cUqmHelDZTnuRlXzR2zl0z7Ko63Q2ZlIbecWjaEklRkf
v3gcCB0+M0c9oqvEIeUSPUMeNGOsZL7MJDouWx0poix8k0FdHbTDtmkFLpX2JiwoH1BULGPKpN8q
M0B0wvnKywyeiuUVkiYdNYPkd2yx8Xc/874FQ1OujADvqQPoR4TpY1mGP6fO08i6e2ubmCWRIx0q
Em4sbsThHZXWp2HUHxKmKlhrIn9CDeYGod2HQPQ1yggWTViiDHR+NDZg3bGwmjWOjWsTELFV8xBp
9ns6+fLijT8LSROVktekLYeDPIPPv6sTDSwNd/BqjnwiNapT74zFXZDGmE4VNz8pDumUPcBX32uf
ZPAh+T5KiEV9HD+VDbpQ6tU160a/sd3+VDnRt1g3wY1ObgXRZgguk36TmnBYE1feWoxVcNLG5s0g
eqo2ECVbRA7vTjZumOCS9VcAPBtsGsuBi1zO1QQKmnS7sAqBYKjZed3y2ao4v+eYSbq6I9mQlGLE
mYxjbWy32kTm0nX1KcwIvC7z2z7Azol+rNxHGAYay/bXpuYeKDOybnSF+bkkdSER1zrmbjKCXnBp
obePoFRWC9Nt5CI3gRqAIxEFvCkBa6CIYKpL1z7cJYRMMszt9ok7aTKF5bqXiOmCtrN5DuAPJQjN
V6Pgz2a0sIIScoN1QG6K9qMfTCwV9Pij3D5Ybh9iT6W1B+ig2AA6eM6LYeu6J/Iayn0/xOiHOpGh
oYMdpGZSy0lO7Vxia2vFb8UI4tepbd12ib0plULs2dpvbpWeHDTASL8+JyGMrcCsLXIZnEqKN8LS
ZLiv3PaR1m3+YmGt6FBZQvtojo3uHhE77iwVZIib3BeegGYd6fnLj8d7TEdflUfOdCpEdBy9G7IR
kwuHM0NuUjF4iPZzQX1AdPgST21EnBItBnWmnIE4ZNnLELsnPgWTcoWCveMAGLcaHm+5oibA6KTs
O8NivmbK+Nwohi2K5OgIZmsQJt+TuQc80Mh9XkxU54lZrVxtU8sQ41t6/jEeaHyOPvt9HvkoRzln
rGs6QptGAo8HggkcIkkoVZklufXYQBpAnuwpkx55kV4tJGZzNFVHbwJqxvtwMNXE8iHGU2uTAcrR
G93GMtTyPnRdUIPN6BUY8nKWzsR3l0KJHKCNACK9Lv34gwbpQOjmA5FxW6eJ3B358wo4mXcITYl7
rmMblwHJObOb+Hvh36gpclZepu690rpM1cizjV/iPBsJrs5LQHhVlZbRfnZNGykt52rkDB2Ix+iE
+7JbG/P0nKoB6BI1GhuupQn7WaQSsfdR6pa7EPVYIAUQpKByOFRaUB9L5rStW5ytSdaE2DakcwvC
sMa3Pp4f08Lo9w4mRGlMGAANwiJa9vSE09jeM2W2RVy7aiAdX5Yxq1c0axe5yGIaQTLEdlYYefdU
LtNIx/dXg5mAexjyq8P+vRG0oBk9xDivIuM2R7V3sHsEfU76vdVLSeqOLeG7Afwsyri1JckyLp12
3kickSPj401NnePnGETq/pr53s/l/0gJmYHK1P0YrVFDSlHWKbIGYBuoQ+Y43EDltPdEoCGC0UiZ
eL83SrNpqGxtFvYPpLTzPh9HBDPeR2JSItCvzo9MHxHRyRRj+6IKUpF/S398neqB7I0Azk/L6NGt
11Y972037l/NpGyW9YZIZtDiIjDPTTFhYsokxsOq5SkgrJvOln2JCz6HYpCBd8QQDD7nqSl3IWrp
VReIb/E4equq4vwVjvnRnoAmoraXu97ibYnL8JKqJt0NpnwKYhSu2G3tdSOtG7rrxNm2lk1vwdlp
ymbqy+YWLxGTlgD0QZef9JjcSOU+hoBv89m9nQjXoqdagTPyumOEuPSA9oMPl1nlrpAYiStD7Smc
PVSUQLHNfWrV+tiOcicdWLvVPI57ApsH5Xcr7XcksJGJsxOeeRjzHhJ40j65QclCQU5ZiVZxHYcd
TMuc2QR1OQtEtfEj0dxMZmcdPMhaiZMwM6cAhS7lW+Dn4OP4Vrqr+/bRGcmPnND/72wHS6zCGQBQ
mDD4vn9Bg3UIOcDNDY5lF6gxw+8Ns03T+NS5Wx0rK/yWxnl9xSLTOn2zMegiry0tGOUp/8OCnLop
jZ5NwMxIcwjs7ZQzn+yRWuxa67bQXnjm8b3mjrY4x7vuxgG1VQy5dSg7JsjMFj4Dn14kZ3F/Xbtu
dVkio9FoYpAYbA0hG+Z55HPYaF1ir4IZ6ytS64qJzGfiPcg+eycz19o7Yc4k37h23MENsk/CYXQw
bXjXLVfBlOJk65H67qu+2IZ+Jtk2QVBa2TG20ZDV3jHDmHnbZX2JHcSI9qFNGgZXv/MBOnIcA+km
UTGXbr+dyL1x5/IUecRnjclrbZkDoh3QJQnB1xub1u5qTIS7sdIWRxuHEpQRE3vJSGh4ty46RGSl
Y11NWWBB6L9ZDL1fOjRTcFsvQCNZayikab27L90iD5jr4+h3Z9ljO5S2ZWGDpfVeN2LYBkC8m8Fm
h3OrN84ZXyIty2PloZQV1nOQM4SOsxFyH8Ryv8POR/FIStOCITIl7G+I8+668YvpMITIB0eBrJgD
JHhGJlHM7gziZjX5rY7/mBs1CR7VkXOdySUNXwieEYR1W3NSNE1pCeUENVgTNBqhh5vBdu7xKG5T
YjzWk/WE44x/sxnNW6+lMlwMO1RVdY7oEavftEh8BqXva5TH5B/xLrl0PICM0PZEdhkmwzs8aNZS
GwUXOt8VEeWbwDbkfVJW1nG0HLoAgc1ClTePIu9eaucTAxrtixBkaJF+aMID6VssAXLNOfYJyAaX
TRsrnC7mGH43hT4H+Mu2nBS+Z1jCQUl2R7cZNdZxwkQDP8VbqOnVzJptE24FHgwLVbg2WQoy13rr
etSyAZJ4t7Ad1pL3IpoZpeE0QL2H4LbF34hKO0BHSmynW23gvYy7srVu6vm5szGUGOBhaEXfDi3E
O5wet6YwEazn6kcykO6mLI7R84wMJrLIPG3JeXAHRl8M4NuNXXwZE7xeKcqYJEdonJD7rCVTOeas
KvEyw/efbLs8MBpy6uYb1ZJ1YA3EjqsQ17M923UDL9osydB0U87q8TYikG3dmfOT1S1+I3tkVDZY
hLfH/SdNLAecAq4ZEwdtVdQfzL8Fav4PciLc65BnR9XPpGPFtHa7Tn+fjQA5iRG9OeNVRNI60vzG
FsNmy5ZywxNW3tE8/eba7qtlWXcxsKM4q/SjdnE+T7xj+0YzFDVfwgELFsHz2zBQO6uM5DrGs7ob
EvTj/sTUA3v2eOHgEHFsjWP3Ajlfrf0sq/ZjvDjj2bgDJztWdBlg6yQHjUh8HBqeau3lW4c+5aad
/ejA+Szf+RyG6KoTueWW7a2RUZCZAuO2r8BgZYEd7yt77DjfQCei30kDtm9whHpGiu+TbxeiARMC
pO+4RsZ9s7Q4/LnNdrD6nA3nE54qArZWuRwWHTc64JG4I9ipXUEr6bubSncJ46CxEjEkI3+JEZoj
2iM5r5dY0znXUnJWrBwOo6MGt8OaJ6r5K6htoo4kIAnDh8zYpncyxTQLfK++zAMJcdPMTorXZ4Im
EzV7GSzvB4jQlTvkxMswEs8MK7yxYfyucrMjgmUqkCZ9t6LO3jddTDfAaRIY6lm3liXtZNvMb8Og
YDyh0Ul13rkYbWjzCUPcPiBFNaz2fcbhnkATQA5+7R/hwBJpnPM2jX26dcrkpzLQI/adQ37zXAXE
16ycIfbu2tp7qSyYt5VbxbsuXE52DQ9OkiTfgiXFE6jgI3sKf4J6v+2MEtONnW3HPKKb6XrrtnTI
w+7AWd6ZNJjWi/FnIHfiUC89JVk8qkrNKBKyL4eH1FEYXnMTwOR4N01meh8a+AJA7+GdTjZWHN97
YnA4z/jvjZHeAoPFgW05TEu6b3Al78dUNCfg1xp0avkpY0wlCdmigVEdZlcnWzEIe+3PfrodAwOb
BizOlVTIcyfhfAl272GgUzBVbC9SZHxjBlz/3Ayzi/clnXJXA35ap4xg9pTjxSyDC9vYXPjdKZCI
DNOpWrwWCHmFOPsVo1gOcRWLBiBKV9en0o9OGuL2FpkoYmNf01YnTXpVOeObrVK8RBV91ahAxd5O
o3mAlbQh8M8/5caXgMNGKcos2tMEmA9Ap1RXUc5rB3+B3993tp8e8gkIKYojIsKsJ0KH6tS7ZjYh
hIHGVW4MxwTU0tnyi208opLDC8O0H6kj2LHBYOvqqRXHYjqHPfPA3B8FVkU4QXVHxKvoQMyGVXVj
koHAYJX9ChYOVWIeHXwCtSOdHWiJtGcIbepgTcFnmLhr9FIMVe3xK6xsd5XPA9JcG7W4Oy7q9hpV
vSAmhBTe5rbwZjITmJNdaicNN2nK1MbssXKpSlwsc7xQgD+HdXxflqhuBV0qTMre4iOJaB93xT3o
vItsFaoAN09QMXh7q3jMEjFtJte4cZGKYeKihhqRNYy1H505o1GhhpVDw156604UBzapav3LrfsP
3/CfTLH/tBnjK/6T6/ipyPjfn73Hv/3IJf6si6b42f7lT+1/FLcf2Y/m9x/6k8n5/xNXM07g/7ur
+b86TM3/63+mv/ma+Z1/+Jpd9TchJHRQ10JLZct/+ppN0/qbb0rTJ9jPZyd23H/6mg3/byYOZIff
4f9zlK/4Lc7MbfQ//rsh7b950nPxsTjO8tuW9f/kbOZf+YOv2WUSx7XRfpMW9mlLWt6ffc1eFUM8
aaf4ZTDdcwFXYoAFXyTjdRysR/CVqOH9g5AoN0U77GSW/PoBHcOOzOK7piAew8n3Q+QfCqu/5kNI
SQsPzYkOOvaRFdGnG0gpMfxvTaoujSap3QneGmXfzO38MXc+HhAOG7JzznbjHxI9Pifu8PyHe/KP
R/e/sbvdoxZvFz82du9/8zEdPMwCN7lp2Yu9+w/2bWYlqq5p2b1oz780Xv9a5JVkGjfswpQZMbMk
poUHT03uSkXODTmkFxAg1yLwDzINDtLms3L4DjGaqGniyxiGVwnzsZHuw0BvTdnyRrndK2Joel6Q
CSEaYCk70kNBLaewSiTbputeRSCPKi3uiZUEf2d/hTjY6FGcQu3j4vBuMskqEDLsIqxHTU+hds/L
94hH7hiyHg1Mj4diYF7BBVNihEDOhHKODez+0FCHwpdnqaafDWZ0XVCCKC5rThD6IoEKowOa0S33
5ELO9sEGB24gj1AhMS6Cz+uSi1rq7cwaRMzEvYjljZ07W4UJPe+Nb7/+zGZFqgcyT8dnErj2cx8d
GtCwfcSqYKw4VnO0Fj8JJLmvk+K+yaAfo3A9NFl53wi9zb3+2kc8aEV0l8z+F+e8QzYCDCqD43+4
5eby5P4fxz5PNlwVi1dICN+xlWsBB/jjLbcdshFwAZjPkmQRGRMK0MYHrQf8Hx32+rMX1D9UHCNe
Gou9rMIXoiyfVeMeVch/PQDKiXcUqn8daueEGfZSLOrB2iWWKHnWXnRT4AMJS/8wK+5tzJNEGJFO
+TnF8Qgp3mmIC96M4Vp43Lk6eKOtdVQZb4Bvn5YHRajsfsDEJsfh2pg8OIJvibSRYZIn1cob36zX
M/mcjes8qImf1/5Fu9xNwq11WAJC5YlEXNJgo1kuTKseBACvbx3fLU+umDA+c7dkzN8/RwcRqQuO
jftiTp6WO06I2mW5nlDi2+0Hbkub78N+op3kOWdlkGwkZvtmeZgg5pBKk8SHGlUqWpD4jhCeG3t5
sh3+Il6X5bYaFca4moKOhq/G5Z9bEOfD4ZpM6K7sYQMh+DqP2GT4XU3+V+K0L3XZnxqR36PVuNch
H7KgCTYgmuXMcqdiZH59lD71tn4ifWifaPfIv87lSuPtr58Y2/ztgXFBPLhwnCwpWbKlqf78wBjW
1MXT5MnnIuDlHNKn5TvUmElwSe9UzPdr8x3C/vz13+UFpUuHGhoBEgYSvJrLffu1EhLZu7ylTcO9
qpOn5aMuF1+n4/Osi3vEWXzNBW3i8r7nd8hIvjNS/fTXn4eN4M8vgGubJpuEbwu2GaQqbCJ/fAF6
Ox5oZ7vms85iWkXDJpzTJ/qzPI/wESv/q0hZXfhMy7MlHeNNaq6/RfXKSiPG8YMMHOrC/rU2nYd8
ZJU23OhuaUHYLPl/fbH+8uX+8W3lYlmYpWTfQwvsmb+9rUbptsJKAvN5iGeIFqITr8s7C0PodQYn
tiMVvUX9wgqqhAvsom52yvYJUnWj98Gtq03o4PYl0wrFROKQyR6BqVIJ+Sd4tyQJNdYLWq986/VM
AJMUncRQxv4KBXG/BuKDvqnnCxj40QK7GymK5DE13vyhp5QfnRl6Fy3h9RkFJqon7i+Q/JXs8B6w
N34jNu8NNSLnwdQj8Bad2bvUWu8koTaHpub1FVB7WL2RC4/8FZIJASMDeRQGqIKlnwRoCkVM4aef
TTZ+NIquD+DRDxmRGkQK5Dui93sBcfA2xga1B0SCcDjJP5cFFePTs+Fy9XEoeA71U+sj5PE//v53
18QAVvlnqbpLWi1dT80LTMVyESOLcx2wBPD2qqEssEdwyXbL26VjcANydv015kPY1LGZ7osm+IZE
KN9guMMKlCztuuSd1JUP7bSvcZeTWYNVafXXD8a/LOPLg+EBHZC+h+TIFr/t3H3pBvnk4yIKO1a6
JPhqEIc3gXskyojSwD0vK+UAInrZdjnEXInOuiPxZWOUxR4H3z2vwbVm9fvr67LEvzywtunajuea
FjgY5/cHNs+sOET4//frEnb/GgokuZ1zkr31M0SeS34269f43JAN/mvPHu0bGRlQ9Uf1awM2CooL
wjIB4B08ftDGCvbXF/lvvjzb9C3mKrhvfOX5S/X3h7LHIzdwoZhhwYJRoLNht1R2EnGYDLOnpe7g
dPlNhTwMzIRlJ1Ge8DxwfUjR7zyc9TVJYUYlT399Xf/my3MwanEzedFdz//9y+vxYivoYN2v6wIF
c9ACeAqRMA/ahobvcEepDJqQgLWl/NHD8Cxdbq2JBxLF/rlxuMRiuNKxRhrKLJ4cXjz//+n7s38v
G7nBjrBBWNrCs2xX/Pb9JSBXTQ3461laLk1NagSM0bKgYmTrxex60PPwulSQReoflgdxqQmWLVc4
bA0hH4Hvr8AU3VgUach/Q5utn+IX8OZdHrEFDPl9znKcNP6lRuRklxR05Ootf260PLiD85C4zn8o
jiz7X59eBKTCozaSFkcM+XvZH+IASbRfPA/wJVfLyghvpGxORYGCyhi+yJE2zlhVpqPn0LrXHe9b
SXt4QnGIEo8lMRQARvx4gelFGoDoEO2pPJs1gtIXOuDfapaPVeIr4o7CF9rLcgvP9HmYxvxUQxxG
gWC8/Vp5Amb5+P8xJQ3uB2P1+8IJ76K6fUM9i0eXIduMqXtIxE/222cZcNqIC2r3WLSbwsImr03C
dSAZFSC/eKOW6FnRsxnQRyWYu2bfCpEVwkygw954GPDFzBIYAlU8wQ7lh5kpAp6bPlSYzXvip6bt
QHr5SlpsK7Jf7BId6aSAgsMdKxw/O6IJUf1QPZKdkaxUyl/XlNNHUVIkhTGLfN0W90B7lzUe+HQ4
+d+WOiANCL0WzD1X9bx8ObIcz9rAeJA7EQQOKjHuCS5peA1bNVn9bZPIhwLKj5gU7Pj5o/H4L94l
ofESLPuOKIt7adBb0VH/2pCLStBG/zw4XNXyVHllrfZiLvnuYXquC8tO9zBYuNqRzabxsvtmViFS
GYQJiL/Zfyy+j2bg3w/tvAfhFLBcZd5XgVBorZiR7kIi9ehndq+DTZeHeAb0+5qPrdoBGV9MDRkl
bKum+ChSbgTJkEAj3PBuyNjjMCs82VQUK1FguBJkvOO1IT9C+/niNiXU3IKubk9LBcAEDFMS/0ZR
F5hIQv4er+RGJwgdUTjABsBEcFKYD0HHcQEELPSrQfDJ64aD5VIN/KoejUD87CfxUzQhE5JRkJ1k
BYzuFE203o/uGBWTjpHOqJ/i8N1wgm9apUSukuMBjEkwqoi8TfLLD9fXGJHGudsPmgqfQgTEwNTn
J0HiDgx0BbZ+Qs2suKPz4H8l9vRRRw4zJl4xIDE2o5vofY6X2oMJwtoJwgnsNQRzGRafPYXyxbB5
ELgqsiAbOsUqY0H0WrUH0vggFt4YtIDqEDLkuAtz62dvY8gNZ5YmFUeHGZcyKVNB0HBGyz91EaI0
QidNIcHTNgTdNbT5orAJYuj7Vc97vIfsGijfOYfPRskjokxSegLz5zA53d5r0esuH2z25M08U8LY
chS7v94MftXVfy79XEnAs7Ithz6EUEtd/odNKrdaUWW0iJ9VxyPucpKVdBMYSoYEDyGcPC71aRG6
57Dm6dT28oBzvjCTbc2pazmi5qkDxSU6GIHc/vXFyX89FLho/6mk2UEBv1m/FdGU5rY50vt8FhVb
ukG7g7ispdqqPYw3DSv4yM4lQudmOUaG+XhVJo8Pw5YjrIF3Sen291KbvYATsQrlg/J42tkLGqyQ
Wudg2Z0jM+d9MY3wxvjoHA8yx70nXQDtlTo0k3xoAupEXbCZTDlOd/fouf0OLd/BcOl4x/Gd7ffX
v/7ovw7Iv90XNj86Q65ve9KxfjsP5URUi0Xf+rw8hrhxTv+bs7NtaltZtvAfuqrSu0ZfQwiB4BAI
5O2LK4ecSJZsyZZkydKvv88aJ7nBpvC+uw7HcYCwhTTT0716rdWhH5EguN+B6S8yr7wX+lOr1mk4
/HhGJqW+HfK3QnzwL3qnRCIh8agonB0HQMQzs4q2T2Hytw3/dmpZVdRTL193/NwjA9aKuXKm+xnv
YD05WR+0pVvVD8QeAO6WwXSBg2eCfVKDx8yfsGVXZMxZQQ1XQmXe+e9xoNjc6JcjEX4Mu7o6cyF5
uPCpzkzjE9rS8l7Fwluz2a7P3X4qz9wV6QlOqZ/KXgF7q5DmM/PClOZHmE8/wQ/WAATDLQ8X3QOD
c2Gpl+ObocqZzsDJ/q6Mq1AmXF9LQ4zt2PbuysxoacBcbIgimOqv32crrjNxic4rB4UDLiM44uET
zFxT55PK4BDo+ZVN2/uoWb83A+tviL2f9oRdzn8kCyqOhDFtVxh8GmajnUrnQhVnhysl8JhNTC7n
u3F8kKND3lxtgnWyenALYJAFaVIITNKyF1bRu4yxowLXXMZqD1CSTQwY0AF5sYJqk9/A657VSoVi
4g9i95mBUId18AezYQlha53lzC2tcPdbcIRgZEXLFn55n84EQxRVOhO8wCO7SFh7csEIivpC600J
tU2mSDDrwvnqdCSJq+jcKdK3FRvtdBkLaPrMrYgSPk9IA9k9vBVF0MNaK7zlQ+tTGCWEbGfguSIc
5zhtN+0bNyNRqXNmFgf4Gdn0qxym79nAMk3WnFz+Zn0eTKvHIWSI+br3s7P1Fgp6XZHqDOm4BGsC
k6rd9qyUGmDoAsoJ/DzOhph8MRy/O1F/27bRGufB8h4XKKwSWmaZgd8+FC1LEjeiGQxD/1WF8TJd
ekqUZv2hcDi7YJdeB6X7k5Hp3wpveMC2GCe97bA7w0Jlc0FkIqVJKFXCHdV4DtUgW1QMbAudcPiv
CmTTsieG2K+/DQOJAhyp9TmqLIfhWR4UA+M42I3V3fZdu1xuf4ZbD8YeziNXLdzuq8G4PzMSFdLG
rruK/Ja5Eym52dCW5FUZSV+NkQujoPhthpqDKIPSe1PCmmo3fKqllnXRD300/sD+dotU2EwSMMiM
MWMU1FnsDjCAmZrNrm0/DCsO28Er0x/ZtvjIUKPScE4ijMGJgsp3cHGVa+d59RoWKBPGN8l/TMH2
xvrsB0ozvp0HRFeHqm6zbN+0zGJ7Vbo8PBiSPGGQWINan3SIsb8hiasHplU0gBcGSrHNEIMUsmZY
sVMBCZm++cPplFxxwJX5AAploKN2xb2N/fsch4nL8J1JSwdn/tVdVR8spJDVxU3d86UsZtnM8REp
KSGagPnNxiV7d1M8tEOcJvDzYVmEFe/qZPWY1cvHgRlur7QFS+VVyL8ebJEVZg6KkMUNcbN6hffP
TeiROthQlA31/IPrzYtXE5hjFdfxh4a81PEVknbU4SgtgFRAgbfcTjPQdGymnw3efoi/eXzTMvPO
MoS9Zzwn1Jc+ka3YkGhkIXehSFmgI6BMmLXmvK3akPw/vwHwnpVziApu0X8JhdeY1QqDtcTMGKB7
74zOp0JPDwYfhow5ME7r9sMbDHEXVyaP7ygbmB0rcny1Yh0VYdldBlBWfk6LzfZrhrblLGE+JpRT
7ly9UoDuyNwR9H0tGREC255w7HoL4KSO38E4rIGcz9c9z6HnOwvstlCFOF/7YP4pqzh4kJLBDJfi
KVuS0E5jtf3K2FJmmnZogPqgvxVgHCw5G5QpFmO7uw4W5MxOhSJhymCBkThTS8B7xdhweFCHxkYP
pKmosRNqr8ZoKQWUI1XgfG3L+M7Z0CZmRq/zbhEjl1wXTkZ+kJWPdumBZD5kDD1ifEz3hdoVYvSC
ezkt+dXtjXEiliQKou5VlvOFBpTQKfh+pRfDhANhwziz8yAFHiYpgBq8JpOuP0zF9L2oQDZ3RJQM
mgFCMNjZTcojYfLX5vX/NDGcMYjdy4fS4ynUKyp5dw24XS6BocoQswwz0UFC6SJ+PCW+X/SkR6yl
l9OD4LkIbXtdbuQnYRwfpDXNpivJpNPlQ7YQqgckXXuLG2HqYcqpBC5buveJ17/R4kI0+E51v5oX
2ZwmEH/WLqnp2vkkqNfU5PfIQYWfuPQBspaqdhMCY5DbcSy5PTsfXIUJY28FXJQlTbCNATuYf9X2
wd4POrzyuLk5gVA9V+NHaeQaICCaIUl8mLqWwaYcF/HywUL0I7eZfjvtnoQkLb4zHQ2EkT2kNpbb
rj8YekXw8u7UuqKKtOg2BfpZHVMEumHwbohsCGCyQ7/7DlDEmcrGnDiPV/0XAVgt7hebaYP6DlvW
k1nGs/lomujXScg0Y3MAxiBZKJ3d0LCCQCMG9IzuoOQNcCVff7D4NghcmcaXqNwwlOQ3INMAREZ3
Tf+lAOyaOhuKbUODZDtLqUuRhwqfb+LwXbIBhCFJf3nBebqug+yIGsKNTJLE4IVqAf9d3zhNMkA2
6FZ7EIm+Ag2pKy2isgVMJndXQ9DU5M8GAxz81EzEzR5piNbZN/UGehNdn7gmLfKDa0oAfugM+F4K
jnmwCSAOc0qNQfmAi9OHDUPVuY9XArYsmEU2psWtBS3k0sUPelgMN+7AhhjpBpLDj8vtbYdgdRyC
2b+5NjrREal7GHmesKu/60GXvGIM49KuW3ex/iBkNUyW96oFQ3I++EI/W8ovd8t92hT32aq/NQ0b
tirPGYtyo/2EJh3V3KnaInqmtiC5o/cekNthOX5wbcHahWS5YJRr6XCSt666hOPDgEqW72dM134h
CqIWOhhukusWQmLN8PZsok0wBh+x9LtVRxgI40KFUhaUN2XbPHRr9yJqq7MQG4UMl4UBk0ltw5bh
PpizED1oyuBfMCIcLJZMvqVTzpRDWG18T8CiUbNmog9H07HJyvPWpb+W4xA5oq6i2KqS+aeC5mEz
hO+0Od3Nm8T//PKjEy/heFlRJacJq8ulB/v00QWQsJYFVOUHet3wp2k2nmUuzUgXBTyppWum7+4m
elcH9aOwOuQvZ+qe243QPE4O9WKYX6ZB+2Zw4us2BfWwvTd6ol0N/NVeuHSc6w1rM+fWT9svJgMB
Q7dqetbCmluaUE0Rk9oqonm7X7/DxEluk21SYQh0zDS8yRqqj93qsZxnb+mHofshTiScoQk+Raz5
oaeG/d3vo7NgctA50z/g5vJ+NLhG9vw6a05fZvAyVYNEyADmMFij4QeUCf1vkEwKIyyr+4e2BwZN
kN/v0IbT6NUC7TFLncQQiPLFWb1Z3reoZqdo/I77+1tnyQPi6NF73ZWXH9MzsHacBLQ7vYSuAKSI
g8fUNx65sl+UDyJ3KAsxxXymlrc6bTxdjq74Tt1PONBvqWlZkLTQ4UHUdJLUzrJ3iLuqci0Esg6H
9JPuEMxOOBPwO3C+c5j+mYAK4N1733oyZy/uqw0lyq/Kvxj7U0jSM0c7xjlhxOHgAt3bDu9fkSOI
hmhcT9uCG64NSOd75CRgUwKtMLe5pyu4e7DUihVUDbqzg8e1Motc/QS1mCd+n74+1Ym10fQw2oYM
N6C7HHtRYg6ibb/EygY/d64LprpZL94iTwf67Ha3wzjjeIDywkIYWJXYPpHi3VpYYl3cZBvgo6y+
LSv3NZrIS3X3B0r+Yet8hQF6VRes+DUQES162jr36u67I+8dSipgo2Gd38Bqt8QMBQY16VUBK0BM
8EYUEF5eW8+0nOKEXh1+GR7sElbZ0xCQ5APSN4YBPogIkOVYyyyKjzpdtNEx//1m6u0lLJ0PpEa4
vTJnJstvVNWLXZAEpMt4Qt03RL5/cWF0mOGDuPCnPHMAUvTtJsK3fFkAUgBGCBKYAykW3GTgLFMR
TTlqyw2tJ1wtRI1QsqyoWvXDrRBGWgcf/gFk8Ex6APOKiaaBAmec6Ot/LVrcTVD4+WbxoPrHpqNE
S0CWS8tHmYY37rh4KzpJSyvqFXaiNzY7U64A/0CAkQCSMuEIgKlTkFPg1oKrH9IFGoyidYhlE5AH
/bscM4HZBvbjQ7qCq/b04p2dMXT0g/1N1coWxwCOBGwiuAQWAgi529SXZmQb+oS1HeEjJ5zAIYAo
c1624P667WGoLC26xq/wU5sTJNmvQjYLJ8JcExIJ4iwRTBRDAPS3F/h13J5YI8wSOTq/KIaNL/Qm
Co2+/tezSNDTtU0yz22zefDAYlkjlvwFAG+mBdMJ6FUaWAhAlzqKcBXv6X10X7Imuna96oNwKadg
wUD8Oo1tJs9eIPSIgPQILltysIiTVe/MIyfMH8KQeoXR2hMGdLRjcopTwgMVChHFCT8z5fqDGDcq
Z4Zt/VhHHKeQsIatcCjhBYFISlN0NRb5+0WecGhS4ZRsUYV/uptQymYiv+jz+5/tB5CeOStAdPVj
w0qUKpgZtERFpFMdUedcAImL66s25hZkLRA+nasaYEAQfj2yfFfcrvn4M+yousWFmjbUmzYph5iU
tXyHKqQt64OkTpwkZtdRfaJGXg039c68DbcUij2hnMUflLsPy11scymBDZnZ3oYbwuKSn7MGEIT9
1TuwMpQIOT1sG4rXl5dN9MxTIS+PQ46dhP7FIXNoCtpxNIw5ehgGkpqCwmo3/6GYJ46Coapwd3wu
BxtdE3I4S20rAEpgEaKWX35E4mmTEHdN5diLGMa+INnVP1WyO+Sr6qzkjNhzHHDJU6ajIpm4SaF8
DhHlrctk1dDPbrK8v1WmLkJVwVJldMhsmvNnLeYLm0ixVcun7OlcFJXzSqeAFoi4SWL0KTiqHnZj
D2uILT4G8XVCLaXUsS1WKKyqE8FZZNeDjQfHIxQQ5QewYW1i+dfGm8oqm/ujlz1o0eq/75bjg2VR
cGqoJslKgiM9IbeHnTmu71GFg+2LzbDD12AzfGk3HPkcbepBxjvzuC2rr27rPdQ+eMyK/BmYXcWW
7q9WpnavylssRaBnAMZQ0O687iJJg/fqK4n0ZKDQlwx20DGr45bx159KRzhfaMlrNMdYUDZJo42h
w10HeesDBbHHAM76Wb0Ir/Y1CfVJeIrYejCWKI5iuDEJFsrwpki3g6PMImjjDWhn9odIUc/XPUKw
4UFPeecsYUaY/8ImuhQFJqOHFeIDoW2sr9NavShjqCs1nSq8koQN2B461FD5l2UJy6w0yDw5lhn0
NRPPSdvYNHTLCd51XV3EzfI8DsqL0CPnyMxMFTc0SzgMxEjRFbMmPLfpMxhImUV32rXGAYjCruBV
kkXD+eRHdxOMiSbjOinAEyaIvX55j/rHVI4Ex7HEkPL6PoXbYV6SQNg3c3d+r186S4fboecJKeml
hLRNCJ3/ItiqL2fLCWAMu3L4JduOvh0NekjAZ02Q0nqgxVCQSJG8ZW72LcFD7eULthSMp0kjJ6uL
jQP5omtMdAAbFOiH267KV/ugwtE6lCSxEJ8USJQMitZp+aYQbLUTDB0lZOl0Ix1+qebR8lMy5r3o
4FoW4fYVkCucHhfSgLgq7QrIgR2gYNInOQO+C/d95vxHdEYl7PqdRfoFFH6j371uZ8Mw/1qHcNSg
sDBW5zap0h+Wg6O8SKRi8TPFWRGP5eX78dwDjGlFEnRoFSfmELcrMPopp2S+fKhJbYQHCxZQbmSE
Jy45mH7Rh1wIzC0Vlp5lGBMsqZ6Fvw0dR3QBuxQyughiaiMpyXD68r4gATlxvccUmxQKQAD3huM6
JOV8mktMETF2s0zj+2EHxLMewBOrD9p9OJK9UytV4Y2RrTOFN2bHEqXAAluDSzpNL7fhm/09ZH8p
GptKk9Og2jOARgo8CPsfPZIAqoOrbDYLpC/xPL4PA6XmMCpxgMTaHlC9YujemdtSqWQ1Pp7G1f6H
xeBmoMVlB1DfLqLHmAL2VahOhuXRhDsQbNuVCJfQb+pp+ViPFCxrdKO27VpXJd1K1yRneYOVOtqt
Fl8a5YBqp+gZIUR8dArnU+AkUDRGelgIsS4YVQ4hZBuBiiyAlpN4/K5KzUloO5RjidjOoSm/Gx5Q
b5qLYEFVXWVcS88AxaibFX1eXBacLqfqneOzP+XIIoP3IwIx0sKnj7nHmh/leBjde9gENVg3aisO
oRoAiCTg315ma7F7lunMzzBBySKbs1uaM00Wk0NwJT1WMOlT0QpOkb2OK7KQ3UKdn0Bjw2/a4pN/
na1JUdGRXje7e4X/ciKtoNpX4WOVDZNIgPCA2QC/ISn17jMm8+gYVA2hDaJq8eUNcsz74Lq4JrIm
EyW4zxzcuSArxnVdr3b3yiilEiAdPccY8I3qh1XnfpjP/fd2I5NRZisKIFXsbnDlLoji43AzcXMr
iHe9mX96+dqs7OVJ8A0hnHpJmrouUNYxF3w1JB0c5PBeHe0Ws+Ys5R4N1DcpOCTZrq4xxOpvWJPg
RtGdlBiG870V4Uew3ooWiaX0kgD0iBwzjxxEuauLbIILnwCwVCTozBM2d+IXOIo+Yj4ELrKH2AsR
hQkq+euhF9WwUQPKu4eSyvwFHvwScUE2fDFxfKeK152P33VzywXREsc6C4RVgPvACYr2rr/7Xszh
+LNA1DCfAvPj5Ws8XpicbX6MPINjLoBkoq311zX2fbUjivhbgF3qDCJ67VI8cni1gPGlSyUOTUDF
ro3ilIaYRb91k+5LhZ9Gk+5JJKeL2lAL78nD57rIrLDATyAfE8EPrgtblDqOMdSQFKhdw9PYAI9t
RV+IuBdM8u63X8KRUiehI7Rxv5c+yaqIHhm9RavHIQ8ay+A/fuFj/AEzEK1M5Tav+/pTWFFf9eSW
HRkj31bPM+au4PIFDLVghnvat7cV0ipRrpS+4ydFaRVd66TSYhdpRrDaMlu+w+vjzcvPJDwKZ6Qb
HnUMq9+PY8qZg9+96Hb5ar7c3ttEXLTmNeoXul6Dx+9Ok4rmhS0WRPFQjahmS7f2vyThdCUykFU6
sVEdx3u3zpNrMZtE2lS9H3j1TT5s6Aqr14RaRfghvne0ArcQe+E98cSt/EAFjYUxgFkFBpSr5X8W
EZwDlEUKRYz9OAdQu1eFqAovoPjsV0AdrJgCmBjm6/870HNn4jBiL4ELpJC+n96ZhuTY52G3979B
vHbpfm8DnvwSkGLOKKiJxtr4PcMvwkYApNfoFG51eYirHyxLa5G+TUi9TlOVj7tMoG0sW9haxuNN
crDhgyzaxvOorPcPLtyR1mLJh3QJMe0V07zeZ93iOmvHmZgJZRveLZzuY7pjXCALUpjs6RQI+cbh
TgKHTYC2SIOoVUK72v7a4VMDp99ftHAYOErCacZHWTIJ9TWvwwo44dcb/tou6fbqk7zhw/1W+zP+
5HX/RvAhZbK7ett+rfvHejfjg78h+GAo4JCdhcO5vk7u/r39ar7zhi/x2sb37Ve6VPtv/POq7+VI
HGb6luH3G1h5f32E29n+r6VzwRs8zqBkWVGjay74HK8hozHgZ37lhQ+Du5Chd/Z6/7H/DJ/kr7z+
/YEJDZ9MyF7TC2icDE2Y8RdqNN7wSuX46/Vbk71lXgcf0zf92c/2H3yan8E37f/Z9I239kXfuf8B
u/v9m/0/55/pR+1fi9e8d7+Zu8X02tV/gjL/5UhyfLzD6fRC3PMgQQEQHrbKqizJV66fUUlWtDzN
XpKmaCEdXZbn5O8JE+Y50tnzdegz0WKCRUP7JYBwqhNyR6cKxdE/AKmP2p8Grqnh3IHTSf/TP8h6
+1W/xoqRFpCkUWWzsDifjnfp/NrFJAu7RykP2hiYlcaGECnRL8shupSwpG84BaLtl3+wkY+aGFwb
uzjk4GHr8PZpnIHVOKfCQWOjE8atSTWQiQn2YO4VLB5OmRLugQHkQc7XLgGAOBUznJkK6kKd1oqR
Baf6ief53HXFHF6I+hAMs6+fXlflOw3VaImcjfa7rsvUtGbH/JswUZvnIlYNxQxB1yT8vA4R/k7m
rTPS9KETplPrH7TXn3uWMXm3LQpjrN2eXle/rpJol4aL+7LgHoFx1mP2OWMYEzKtq3VdXqqul/xR
TSulkOqYbpLuYxxvsaOM7qSjEt8DfP7UmXF0zyRy4RT2UXvDofUOMpxg3Tcom9bTR52aSiNLB+lx
CfzKYA61MYepv8D4Cis/whG1KVqRs5YBxtlq/glK5426vCC+JwBLm1k9yXB0XXAUXR4lmrvDJk2z
NGlTOdn0UeTxsoPeO6DaRBrobuc/Mlw2WoZCULOE15uQmEeX0Ap0YB6CA0n7nXlo4dIfoejlDNr4
vBw2166LXg0Joal3/AliG8CLyZIfbgIFUTc924p4Vuc3DVidhWPJpdQqrB0GWzF7SJoFtalE3nSY
NPbq5SUcRYfHEXUao4zTEOmS4c+DvmeTrIssCcaRfpT3U0TubGMg2g10qAZy4xnu78s7gzXxD+gG
waOp5/Q4mQaMH3gCyP+xnSCmDRjvcJZBQSglMkng6StKYHcFmWk+x+KsRuyCE9niXRkAGmY1hevY
7fw387pNMOjhr1E1xwqTkvJ1P5+cd+xeikcEm8x8Dheuf9sYiTHW29XdfPLxRtlM+eeiMP37wO/W
74OEunYaI3zyc9HStigCywRlXpCikk2hlhcINIxh9PKUAa0ndbO7/h9KMS/ZbjbjRwOT7hWqhJ/o
3RlnMU4/X77Px/KuVKCCm4phZajvDqArBxlLvWvCHcsLEkRClbTJv5Hwzkxc/UCyYJzxu4TRbQRb
z12ybBLh1vQPWBx0F88nLyAnod2GZw86D7CI4JS2y8b4p3vAEhViciau1D2ktzPokzvETKqPNs4u
iPsI/MM5nLCSqZm2N9L26Q8X6Lz0QczK6ftAC0H9KxXzIgqE3hbUDeo2SeNZGaGAyToG3NGGq5rs
m86HKoFFhy4P35KTCFNwvJxpGro4vrGcY7quBydFEdb0DbNm97GkTguz7LPbQ5hIAGy0lVVUhS3V
6gZuFwigYEN4SheLriE87x5a7u/QafV6lP40ltuCBoGoKerEWaCsIdgvd99Lj1Vmgu7LMDF0YhHP
0p6BadOc5kpFLy5VxhGAOEMMmBbR3cuLyba0/n5OCWIhN/JonIcRWLd70GJE/TOOywqrbEZJ2sXE
tpwNyZ7i1XZ0FhfpD0P8HhC9qKLVk1FTShWLyVn/qjTKAb7O0s+vnIQ2DU3UejncWsVeknWUHKjE
BuAk3DOxH4M4O0jEx6OmHAbxWlj8O6AMAd6n16628G+4U0KUyuU+VNBlCzol0NfFPLJFc5P+qHLC
OF0WRsfcJxt0YTk1AGwvlTFTXt4HkD8TikEpOioapJagU2bfGofN2XRixwbbL2osDAUHGOHyNxyo
Q0ssCwZuon9CDSUxyMt3/wh13d99AzbIuY9t6uFW7n3cd+DwfHQH6j0oKtgrPujuuksHFi/ZHGQx
EdhaF+ov5KwWPKOP8lsORYRyuAfATYr7+mrZr6+rFbRy+NZNsbtz6vD2NLHtuev1fNZJ4oonCEPr
aTYw9eHk08bZrxZ1cIWa21bcMHwRzyhc7F63eHjtXTfoF6VQVujvYBEJ3sDCR3kJnHslxqNq172A
Zbi1AN1JoOkoS06gOiRADeJpEgfSgz0cFESIsIvDO9ejnyl+FC4V9DophzkMlSJAdP+ZOTSoQMBE
+LI+HhM7sl6sHnuPPBS8O/FYIuSrJ57+IYrE1ZG70MGnJwc2bNtPf9VvgZ9WYdJ23p3yF1lOKI/v
x/nPDNPs7S45j0xjW3PK+9Q3cavd9xoUSV3bLsAQu79zOhBEF4gdNpXk6i9foneEWEgcHvseh2UI
Nc+3UfKva5y4NFj1c/fOokh/VZf7SjPzZn/KzP17qkre7MtMXk1wzys15P51/82GeFm+pVzd/5X3
fKTJf5zoMVs/UsAyRDPoLvikfhSGMLyTWRWMVD6x//H7H/ynjOXHK+uj3OS/pdqVu2U/KEn3Zagy
ED5wMEAozCd5M9zz/qAMVc1EZbmvP3nDB1VoOMJEyBr7z4Hz/nzD79LU/vmnLOWNvreZ7T/zp0Tl
r/sqdV+f8spfxSDi5+2/9ucf7P/N/vt434/6WXa34HGFAZqtY1WU8tiXj9Sdfz6a4Z73VJz6WOhu
nq4+w8OyQMsiMQjMqT7ZXodcsMSBjbxFNXwXVnpkPNA9+MDruPo5B9Szz5RXWmX7B8Z7HpLMgPYw
hL72G4/49RnOVH4YX+Ci/14a+28tmWDAO37a/tnz5g9+wZtfEMYv6CJnZ2sRRC2++5e/nv0w2z/y
kgNjDz3sXweGVW7R/a7+78GGC6Sme+SBG79/Pn9eeSA8XF73n/nzlPjO/XtBvvpap6fGGyCT+l7L
yP5U3vDp30tn/zP4eX/eMHwDw4pf/wne0BrcvwJG0EEMqkeeeuFa/IEBvBju7kEJgRh8xSn0dVCH
/Stf5P2fj/1f4bGcXhWH9RjNcjgGvHrgErB8Dur+Kco3YeGkw51OM3XBbc+QgiZE62JGYHwHOjiC
ot81v6jYtY+yF1qPADxRJP5FnagrogcXeqDhKMcOUVfGgTNyYtH1d9J4MCQZFSL9XIGkEPLdFsYU
FPC6w2RkRe8ckp/6ZNY3AJS8gNHQBwgvKnyGTkTXZ24YDg0qlaB5gkYcHKdF0NYDExa3d/VyeR+3
xSWT9X7q+DcR3HVypPk2fj9ffMJj/LLeLh/dCM4c98w0MFz5spL4HnOOf3FZMfwnn/3NwXnka7GJ
m9FbDVxWT2lKS0uEVTodHJCYddGbl3GWnqVaWmYBKXJJfgjLQ7k5KsgrsQ1OS2aPOhqiYqAp8TnR
uWUgnk+zj6Qx6xEX0O2dWm2isUg7oj6vIn+GV1Sb7R7EqhD5UUwlZUdqplvsBiBWCeRpgpLFGZ7k
0LouPOM8GpRk0cHBuu8zv0+nMtretYWc3CL4YuppCI0D34ejzEFEJezGUuszszMzzEQh15VdhbJO
6xHGcixQ7k7QB5oVCfGJZ3oUsOmekurDGQU2pDw/wEqqHUo0b1V3cA7EZKMbjXi0drPLepPfSzwq
Am+59a5czJBF4nXjCvxp+Wh8GsdK2xKXRAiQKVifYvAeVbS2tZtiyUf7FInrUTOf4TFZvVh2LDj4
NSACNCoJdQ0qzCHMPideeZXnUUTSRqKG6R33mS4HCy8Yb8Ztlr8KVtNVZvDdUifAd34GzubMydxT
lbcQjIMHDcBhiWgEE5wDny5AXMlrlLCmubOAO/xAbYy2AuCkK52hyLXabRoWJWotnIhnZE64ZSQ/
SuYMths2CiwyESNU3VWUSGJfnia3HBXf3E9DtsZ69GLEFIeg3eSjBMZ6cAPwRIqOn9KeEZ3whua0
EDLMfD+rvlARpp0swUeJGQPSNbrFIgUCgUpOb+VVdKzdjvUaY6dDqFYN1fhSoA0s1NOJ8VG3RddP
UURm4VMRo6F5ep+ZbeBHOPCu79QmE3fOLH+VRaMUnpwksv2xvDFERqaFFiWHQxA9iXoUFdXX+//v
oBQeGAERkmYKynVwURCXwxrn0/1F/WIFDUvuJSZZqpRbmDkhomhZNcpPpyzoliDS122TSL/p0PM5
BdDpafj4uUeehvgoBDR8QYaSA/CNgbJMHJnm1Z3MEqQ61tIUR0nnnGQ96vrK9gfjX+DC8GKAuqze
mmK59fhxQQQDuAo9fIAG8pIN/KKqDhBb8SBwJ8aKe//1mt3VEAM8wWjLUnBW2eHRUZUpZd2Dt+76
6wyjYOnzJHPKnPBcZ4ZVxW3xSEKaZVywkBri9zAKEABkkNfbggMFQe7Qo5sdIbUVPGbcunQbwzXu
lxCT1KYVA1P8CaVrrZsn+54osJw1SwDftP1QgBYhpvYH818Ugi4XIYtCIGJXN9QUyCbkysTplVX5
jV3eAdAB3IFkgNJJra111MNUq+PN1XZz1fCYBQUIXlWkli7UcftbSU8UvcX8l7Nj4fMLWqiB8kzd
0465OAzbtp06EbnFstptVhDHGybmQYLI54wVxYQHsoZONocJap6JZruBhHeAM4AAp3Rh9sLftY5W
wBlTy+4T7ek0MPHckWYp8ygbYTdEh0eagwirjpNVfccfd7YZvRy+uBlpwBLNBPtfqj/JMVXYq0Uy
jOatMBsJcBTV9EuroS4ShnjlJzajjtSDSMwOxDzKl+iAQuRgM663dY48E5NjRTjUisKbUU7eGuIT
adKbdhq/KwJrKYoNRMR+UK9YjBtF3tMOh8/fM1Ac+thYHQbuYaskjgH86qS608NFsjoLd+iO5KWG
FFWpZombghZpWQE7KU9RBBPpT0tcK1A5p5ixfYerzhZXpZfvmv/M+QVwDHPF+LTAjkmPJdGtg9V8
p2Wm/S1IU6vnd9NdG1vcG0x8UE3xPqcLEeILM6ygJsLULNd0xFb4uGqzqO0ka63TGcExcBNIYwRz
CUkPHjmHwbZ31rv9vWTk6ohBN1OnYUMIFVOekmXZN2TTDmMblapYSQnZwFAQeIkUAUpLp8a+AyDy
dHr8TKg1WD56YMIJzQgKiqdrr6qaeeSv1/VdG5Furj1I0fPzjNFWhDRsLSMeOgjYPiZyrZyuKy9+
t4XEK+8NyeGkU643tGuEzIsOZNzwTqZwQcUxAciawHSQM9A/QHSOd47BuzWhZQZjwICMPb16IhO+
GVgFKKE/3wtiaCBnJPYYBIsWpN0t3d+Qc4E2EHOG2SY6C6JawhwE03t5YdrM/el2lokekjksl0Gh
D3E6plCM6bQK9xcljYS2jiqOerl7XY8SUyB0HJb5N32ydaK7OqLl9+s2G4+GR9K21CbtVd2hCoW/
2+LVoaMlY/6d2EPqiNT0OdRN0j+2CCsCMKVqv5k14NwPehwy951CatEK/z7AaMuIIvTrREjQpMv0
UL60/WJ8leBpOzhInUv4sFvENagROTGuZJ8iQZiYVGKXqu6AA2Mte+RJJP5NXXGMIMEsWgKCzpKX
b+sz+x16AKrolEcObHtYkBfUQek6XyxtlGy3qA5rSM4Y76rdUi+hzbGRRCQPA0ZrpelrHZciDEiL
qZTKetIu5AtGp7Q3VMEQPufFicf/3G73TUSiR8HJjj/K/7cMOmy8TWmB0CHLvwmmdVdQvzyKvEBG
ZKxJ/I+GEKqTE17XE5UTcp1Xv5nG1mLrH1WdR5g3onhKTqjiEvpDtVCf6C8EtMk3CX3jbU6ezIWA
HqhD0o9L+Fqrd3IqqFHUaeOEuD3avhXjJCzfL00/qeWmcKTVoMRhnXxO2+AikI1eAG/rtHXm0c3U
9QY+6JxECzFWIE+vd1rh0LqOo8xWevWg6ji+lty0XSTAdWR9A0k1lDnrVRei2peI1qwgK3ZkMITX
BDdeq2hbnqygBLj/vdG5OOm6yVCxo/LoDj69OMdNF9scfxiSY9JTGggls12wJKNK9mHBNRH/5y5C
mAppfmlvZjFBXSqJgjDJvlE970ToQhawGuewFeGwaZ+ePtBtmXR4sZiZ4xIK0VPQw9OLpZe9HJNq
zcUmOLgMizemepctkmurlke8JU1WmXP9LqprBSbpsX5zNdQzkyxanAhleKK1ljt+TsvvlJBtSqEO
GxRHQyT3czjze3Eep/adoq4SKiUsejhiZUpwpN+TzupMOX7aLi9Tl+FgL8eMo9pLTwiYH1UEzIro
iCBT+VPWLbvN/FYNQYEEomaWO0y7ocnDhKa3TY1jAc6MYIFBQOmHd5PcNqxXnPOJIVTNqas6hC90
VREiSCZeYRCA/9jTR9E3K7xKym5+q8q7/lXIWt+rHRUKJgCi+Et4pAixjuv3eYEfIMy4NYU26Rg9
3rumXF8Xy/qUEkGr4HCV/HVp1ijkr/hQBCumdKb1/FZdHNPQI2Y1WM8CL3rnor0pfVazUDO6wOUm
ukuLiYEhLUgL6SkTaLMW/ZMKmgqHUrFSKCQKZ3iQiVYetxfdcCIPfPYZgzt68DRjQIL4IET0W9lW
DEFqL1kCTHVWyoBMv8H8ippMC1SeHlIQ14QxnQVwEd5Z4hiF3r8gGqUsOIN4mDYThH9zSIDCmhE8
YlXNb62yOVow/YA1R1BAzPQGIceZCsyW+kqK+MzgxM+GkR+BDlsr++drqjaq6hQgepTx2WsjqoZx
JDL9kTimpnlfFkkK6WYv+tQj1upTMTuQBEituUmdizhP39Ub2N1UZr/LUPzfkVWKhIfnAd1snana
Kjbp5/HLlt0pIb1BsJUh94n9fLRzdF8Nd9SPKIiA/p7unGaXL41H3L21dGvBatZFcb80GdWJJ8m+
eJfzgJpfkuKZEQ+aLYNtrEABvlCFlRyOqyf2zvFCJMtnDcYuDAthKgcXlwzdblGsVvNb+VfI4lEC
BQFp3m66c5oJRhdsA7o1MvlXDZyG3aMTJe8FQ+GedXMaSjmO+romOPM0VdH8oWh/esP6PhqYqVfu
97ObUCiJO88ZakYvuDT96pVmM0jmLoWwCOySGynEC4ZmJQBFc7q3DWugnH4ZtKoE1R5XD1zJvmjC
UobZEw3F7rCEt6SU0NZVxDMpQp0e2rWoiHQIRW9L2AlSm1t/AXpbJ1bKYTeCVR6Tg5MvMi3R4Mv5
9BefdnlerRfz9LaMIM9jviLBgH4vdSOstI0JbLahTwljWyUAb7/rfstzpnI5LbY4gv11XV6EBpMe
NGDEIbQ1raMB9W+mnIF7bYCsUNeo2ycAU5MD1L8XoKNcRoJTS2/fkb3a1DqdWU64OdW9sRLBJ4Ff
14XFNhkCeWF86PPRVJ2/rAd2lq6LocE/angqAm90RpV0AgYEDBqJke3QLDH4hSGgYCSvq+GyX+wu
rbacO22i3WXmoWQgnpgVvYOauQ5SHwohUKCTkZLFOHupAMGKYOBknnz0FDw4+rDZsEZCLpnCMvmx
W5WXU7e71telzhPwzJj7mVlt3tv2Av9ewhs50AV1f1VtOioV+bwi9kll7HiS53LIpbKPEI0UPAJG
QMCoerq0qjiaNxT0BNAdtwRGsBUioS6UBp5BkvThwfyF6XLNEugpn2aO+gd1C61lX8OfMsMSC5ez
VBivxFy2E4SJkbYKs/9OMDSejU8oWiFaKwE0h7Eg6Mf1Ao4fByUkTU0rUZZn5BoBnihmlKp7XbNl
vmKKI128eFyybFO3Scytl7fpUbPE3kvKZJ//geEcDp6oVum0YFI495KDr0uy/xbkYKKkIQS7yzJM
wrHzzF/x1XMzlzWhz/L4lUzK3QFW1LlE1cmE7Xt5v1gUdsbKy1f57KaF+kpjMyCNPIrsTYTsDXdv
rnIFHkKQlOdG2wHjo+YRtJQN7k/LAe9oLrTwWvBvY3jgNaYHDwKWqhw2E9nSy9d1pD7S3YusyARQ
02de29OV2Kz9eWQm1yB3Z9hQJWM88tusXMzKgAHWbAP5nSrihgkON5zrpHVXrU89SjShWSb7bWgK
GHAwguK85irrzPmUDqsLMKvXQ7BXwWrPqbWntdB0mACQ09F7wQ/6lyZpjcEEQjY7CGSOYz13JOlB
AeTn4/Tw5URkO63zPa4O9fsjv0K3Zpv0ByeuU3um30YtLllYugqvUjXrLMbXacWUD6pZCczHTfsj
dvIr9cKFS5q2eLOt5h+kGQgW27NltLhaO4sTSf6RBZ2eDWBfAO2SPiqMuINnM/Uu1u1Lc+u4112U
X0rW2/hs8onilfNIkmRL76bkQ9R1ZctEihFJ4IVidItp1tBFty1CGgLuNrzToasySsj9tMM3Qwfq
y2sKxR8XdnASkEpDy3U5PwPQ1acXngxtX/imTm5lWZ1V2echxOa4GDEcxiZTZgvqxEhhoMsXc3Jw
UBkAtqpOkH5QCaUWmjoqioe1u7qqoxXt4YzanZRig1Iny65s7YWuze1kvkXsSYMrTTtQyS5Wheyk
3J0yj5TMw3oDgGkNQXeWdWQfMrYIuzNBPGELn/MXkC/oD77GueYp7A05O1R1hDVL4wQLNCNLF0tD
zTwS6qbKNyyyb8oGRExrNxj84AZVF4Bv4Euas+TKwPl3ulCn/Ws1boSuSeVv6u6LTPsJERdSwBcM
pWidnZV3ideomkh6TqlVlBzrbCpw19DZZJNwbLXCjP8Y8HrWj6RkjDUGbUswKYaK+6AmjPiQMvhr
vfps40HspnGtTpd0fypg1LSx31NegUHfa5Woa2HtQTh22hraIDpx45PlAO7VLcgyhuNi24muKH5o
42N5Cz1YdbJ1xVovFgwwkr3XHnOxHTL2tkS0QhEqFsOZ/LCy/+XszJbbtrI1/EKNKszDLSnLsh0P
6tiOkhtWjn0MYh4JkHj68/2bVp8IVInp3HQ6sS2D4B7W+qfl8DXwBaoB1CGhF6BDIhppVDFlXlmi
z9R2VCokJGLxp2BZy7Hrdm9FODUiunoWJKi/RqsZu5BCg2CyYm4EjVQTXzKMFKi8fKOGZXyKMq10
LuVXRdYXCCVbHpcqk5RCDqQgWHcn+TE6TvnxxHHE2zeSDpqApiO9cYJ1ZKMA8XCXyeFb1N/8Fo7S
R7B+zpwEPFmgJbg45rH6lhPpoqiLqXLLV0vNVn/5HV5MsOJZQal5e2xzPHdr+clyWvyS+ReR0X6L
c1IOjQoYBS8pTEbvsDgoHJBrhWFGD4+QulJRxIOaKg0firKvFOghWYUqGiXcoZ66U2MhYYi6BIWL
aayVEYFrZV/NwHjujmbxgsaRVRmBca7O26gbXbtJp5BdyWLgqiuLCRadFCB4KLuC3JipRGm3i93h
tvGBAULSeXXk6KGtfrqbIkYS1vU1Qchzt5RGhUWCoCJgzNWBWvecG3FTh/dykMU+0zdIiFLtpSUh
Rb1NEaMjvyh5s8HpR7zn1R+l8yUXEAhTUck1USrXl+yzb40kdu4p6YrdtWq3PtC1zocuuBf1qK+7
CTjbKyZDF6GpCxWeKL2Pr4Ff1N9C+MQotHPzoWQktAz/11VIwTNbHLLWgXyMGbF2Qe55bltOUTUE
ppdOD7RuI3fKkS20Z4CGun4FUonFX1p62D3Fv2TFP/E0Nd/GhM1FZRz4FLj6II9hPipWlCVXcEYZ
b8PPy4v0x3vJC05N8nBIZn5/dEO++e9mzBFWPpmt54lgH5a17UlXzfIx6UDliX9m5K2w3ssU8owI
zkJlPhhJDmSG4p9BHUcMArJoaSBEtTu9ytL59fWkn4vYYu1tYiSQHsGNsR9WC25qZqZxtLy81Ccq
hJcnnFe971nRw62OTEJTBVVbxDnlar67k+Bd7gelE+jXBp8XDsCOqIAMdM5PXdTEiBsCHyv1NMM7
0797+JRF/UgUsiDAMWmqnPmyi5mRVR6IEODG9UASM1BjVamQCgG1ryLQJVvjaaXiZbsT1GV6XiTm
Oz+ykQLi12ge7COeCIGpfKGE6mOE1Lfv21RYtKHGSl8tP1SgWzgoTDWlhB4CnWUMZ+4CkUxoR3bY
jl4+ep/reVBbiSFMgCggNlaP3dCexd3evzcKzpAmWdFCNtgvhRLDJOQimjjx5a9RipcGfyi3VmtJ
97rKa1GYXk1uX0uLZPpHvrKXn/PC+adlpHbHJvxX41BXsgREUVl0cC3vnlT+902DZ4gedz6Q3C+1
XUsOFP4IIwfQNpoBV6ntjGOXbijmqpVGBXrkqyaZyikbO2R8K6RBdIEOEwFJZm9JWIKkcYGhlzVI
NYNAAtGVHnHHG4N4o4fUVCBVOREk6fXC4mKCC5844TYEFQ1CRFtrbe1k9W07zFN0P1icyqTkSfMr
/5AkWwI+DOfBpz3HoEhrS7GOLK4hZUJF/ExhIZ6kaKLv5hRHUCDHi4kk0VBbOin5XKV9t5ozPa6U
BjNLlLd6vjvZXMiWcjoycbOS2elr1xCzOkVm51MMv/xVG8hitZPQoMJVw1dyV61r/rwr4p4bKiTp
ahm2sYUTyhT0sJdGRcEXr/rKR5Cms6RhLKriiOaec4QpPOptNMxLGJHGow7k9jHMlaoWXZUWtqL4
BXnbNmubW85IBX7OsolP40Pjw7wQryt5IWFbn5tFwxswLat8jl0+8HDSCL/kTn46c08C7Err5IcA
0RlCVUsjqcatxpGme8B05frxa8Ik6/CPZF9wjVWf5IiRXceYs8mq0wmWE7GhPnmsrI/e0r5qHOaD
UA9LI20FFGmqsS1yuW/yiXDVaQdj8/L7f66RRyoacwuLOibZ8+mR0BdBk5G6TomAoNXEKpKuKyJR
Thj5ueyQxT9pYBwlg4znlAV6HT5tgOlPqHoHxDZqenRaK9vcLqI3c53+IbGAFqUSMx8xcZUXEl5r
uJDes9J41eKfBexowSiaPHoibTSl7xqtGJSwZTPd6+UPb/Jl1osPMjoSSA1hvk4vYzr9gZwrixqE
qSQo7t7F84w0gg9XEbuWHulChiMLSje+jpdzS0hSJIco8wAUnQSaQf7/d6yUd2WCdzRHHribGO+Z
vDejPojc17xHBdgY9kW1AMPSFDU5Nm2xSW5V9vo1FuVH3k2Sa9OUgmMX0e6NM+W/SqzmM6FCeWba
qhpDLX+D3bGqWIz6BszECWXZxcSuqktUIo24Ua1rozgiiPGRNlH8pwoXsfG6IFXACIhX/SrpkuYw
qhVlitdWAyZqZkGbREv0jzncq8BgTbKiGgDgpkvjlI7RJZruvLyRG3DpSL9CSCiCXqnnsv1riIj+
GEWo0qzfKstZAr/r6lcD4K2/XLHN4PAM5/TWoWHe4g07tBz+vd0Xr6ZT9LG1La40AGVJguJRGXSE
FjxmTIm/obVDq9OAqDG/zqgv1UX8bC/jAww0vXMzoihD8g2zx8qGYlb7cabSj1/0WnR8ylcpdLDG
FxdxcGiXv7x4zTTwi8+Hvgv1FHcGpNTTnWv1aVrae5fPp/QnVCl2CjAizRxkiwLfhTSY6BdHvam0
ckxeUe6BUdjSj5g530KJJQ2d889iTlVHKvcUZvG71opiIVVo1QjuLHIytC502NYpyrG/ESzxDAaE
uYSOgKIK6nw9P2GJmnzxqsA3wKK0dbOP2Xkuol80qtQE61MWKilhAPEUeQm4MmyNOIR7XNfWdTHI
c5BaIsEyJCAsBeji03ftkdZQZ0QRGuYSaM+M6Z5DIFn0nJIryDYRk/Y202IK7VF2qvR0GminQHwx
vyIdiFpA4YrolFNTe0KuI0kpOQ6kSHh5iTxDuDqIFDnebKLVGKKwVl6M/uDkzt4zsIDi2x+vS5Pq
p7nyKLrMoSYgNhZwKnbdzAQFMISU+Wp8PPk57HhCQmSGRoKY55yCwjHVaxuJHfNDX376i7hV5FYS
pZIf7NGKhesY4SnwB2tOJ5cqsPnEjNA/mzbnSuROMibKukm5cCiUxV9wikmgr5JB+J8i4Y1biiB9
6YlU0AqI001v9jNqNqWVqG5UMNq85/wtnBgjPeOOOwJ68+WHxguJkDAJ/T+zzM3EOIGE/nnI5dAu
kBUDaWvI2OhLduHhK8mDN/JOa1/qSJV4SVtJ+bYLNimsqV8XzhAvSD/UjGJ9+bU9Q7Y8fW3rL32H
M6KNyWfQka4z1kYFliaszxN1PqRYNle3h1P/QTdy0drvfGeg5AHp+4/GDjD45YcyncXTwwpwykGV
gDDNJhpz1XlM1b6JiuLk3ksyK8GSHkr+MaPq4GJQAIMw9KZi1BPd21vZfQrkG2nIJaVwwpngQWUQ
qx009goGu0iXYgDHAUIGpEXiAHmFzMhlhDaC5JTjbQZx6CpuoJy5Lu0ZerNjbBJ4gipiofOakSB9
njBNVcVG1DmxnniyRS2dkhzFGV8Hap7dqAH9GOocs1tXr6dO9yNFa+HeS5JkYmt6xC8H+E78+mYW
kqpLn3NYCWUAe9zTNL8k12+KEmkMy1qogik7mcGtpsVMRDINJU1bXZJWSS6alJN/Y4j7WhCtnRoQ
HMMlBKqHA+/p8YiuePTjNnYNLylIT9+u2YcED3KuvhtGBmCoXedTKFfONJigYToehTNr7oQSiwyX
imLN2skpeB0QuwR3eFAsPYzxjAnSX98ufRcXTZ71vGfdmZgFuPLezyELRi0DNJ5aBfHgxvoGYYwE
5UHKEmkGavaOVMX91Yb3GfwWITQ0moRfCff5SpeFpOpIaJvvGIK03eWfuiZ8bVss6KD8HLnL3Xhs
fs3ATbeuZf3KXPZ3c8E6QL5pcB/4CLUWYgSKtnuXRdm/FTTqLeR6vLyRDcK92sjAOiDfLrcKbvvV
Ss3dJXF2x9Y5K8jkKbIEI5DqO0BozNwQGpkoyGsQpmHF38/9uPVVLKWU+kYMhfuer+CLwRopYc8D
N3nFGrSrRUsiyfulQheP3t94pF7+GM+gj3Docj9ywWCQWnszpy4nPjCaHYOMKtLTBO3ggeR34xAB
UWBou3TPhpaR9lDjpBIChTmadAcacwY11JXnUiGxfr1oTYnw0yimi6QFC6C0rMPSvte4qMGtPtq1
i/9XgBjZR/IVjvi/D4cHLdCiw8lCII3E+to96utVWAjoy+l1X362iyQXdrmiWenRKaixP67APQT7
pyWyjxSciDP6pXtTvlHDKiwm9rM7KfVVPagxVOchbFkwHmPvss0Ydz7vFK5MjRFUl9QJeF13UL3Y
umAi1SmoE5DyRUWnGhSVRucAMxK9qWzTOL31vF8P7fIVudqVeuO5NeFxOLAPefch/3x6ijFZnUjy
U07pmdLqNs5rO0vMUBYJZGamM+sEE/8g1RHg5Cs5iZTtqOK/L5Pvi2O/nhL/j5ffu8F+VmvCC0jf
QTlBDBB089Pnyqss8itn53FoZYbAlepDFLs83qSGvHoEndV/yYOqS14HmRmS5gGuRgNEb/a7feTk
FVbUf7MtCD9qvplILRECwFPviaemHiBzhzPuUZChHldFlohXdfX6dYWpiDOWsEaXMdwSwqpM9SLc
KBypCp6ccWv1EQhDeMZikfTPtSp2Sr2/fJsmTpQ/JCRO95YmBGi+mVxFOsiEM4an4cEvw3eqrkTP
Sn+hf0r3pzloGnH88st+BohzeG0RSiRGQ5F2sqqe6rgblmA3eKbSl4VWntTC3X0fEs65Is9x3GkS
X4W6njZ535Sv6rh6LZvE47EhHEqzfFRcS9QgLa29B36z2BT0AnAO/5amSkpFiWu1AxSk2kXVzany
I2aea3AnbtFH6UNdNYzSUmg50laa9prg/s11WPu5HcChjjWT1e8nGFuerjRr789BHfPh9UUpcW3o
GQmBecDmKNbHkfVKd7dxf3D7mFQ/1CYK34gwDavt/UeiVnRheiw2AIL3tXC0b4+2dZgD997E4h9Y
sonzQ0CTGLbiSNsioihl+gJUPRwijaF1uG9qseogSARkmYHuXsCdyNO/vGSeK95wV6kz5OSggFu9
Na+r6cLjkeoHJmvwilsgMqzMCNwFXFKZSoOvMWFzGJPfMOFfIpgp7za7nmlqJbPRNZ4TVA2cyEwG
wz/gHWmvzUNLSibAWReOxnW9/PDPfeUhKhHxx3Cx3Dmrr7xsPb/LY8fo1JuQPZZ5DNfUqaH+EOhA
NJXsYdKQSa5oALxi/mKM7PgnjT+T2vLKg10CAU7IsafEd98mq0A151/04NO+zKjWhp83dIYuq0Px
RJmWhsVnQxMrz8k9p2DIaDOTNqHc6oh6c5FyWO6vlx/qGd6HhyIONsI0mYAsra4IzExjG0epA7/F
1xrzttAjSl2tDaIiSOChJCD7enrtFN0HXRvmOGZ9DkcEFaKtD1gTZsZE77vlbR7Eb5e0sW/ymkAv
c3MDer782M9+ycgCeI9U53zPq/p8GsM2PBK0aIo2JSQZwz1OQNFyUpHFRH5JJ5g6mIJ/4ttKohDr
YXQj4BOa7vrycz27c7BWkSVCPWlzqj39jplEmzm5NdtkX0GXJscvXWEzfD0He0t/M/FwEJhGwyj0
ngNwsKNb20qhcoA91c+hp1bqiN+X5N2gFeP2KRgyRQP5SkKGvlvGm2lff7u+7S98qpRDqtZdadkB
4JzVS432p9Pe78blXpNLDXJen5jmvkPFo/EXcoYld23sfEr66U3Tz8yfPuCrRRPC9RhRZkolYwQ5
IO2eX317+eU+96Wjsbcp1aDXJVxfvdyEsKU5zO1ziSsimzBsNWU6lmZiT3TPKwccVtCMfNWN0zDc
SP6ls2Ad3OKq8PJizhzvTZvHp8+hjsQT9PS5rGwo3WLZsxgh9xSFKgmdKC9ufWgq4qoX3DLg3Vh2
bgfb/lMAudHWMHweahKVKERdWiFfcYiaA/iOlwBPa3pjk+vn7+HAtcPMJxHXkFqbZWYauNDnCkW5
2gtNNWcgccKoofh73rh8D8GM+klk8TWK5RkVBih0HHKSsVbANtf3Q5jM7dSyUCRr0wdtLLz+bniT
+bsbm4VOK695SzK1+JjeHh38qnqEG4kBkVLqn/XDsYP2QoG5oGwXGZjcVFkcZTwa1ZbQVsH/wo2l
CzcFfcGzcac+xg2JrZEW0LA0FPeChqf/PjqHNRLL/006XghgtJ6Ds5CNt2SWd7zPivEmG4h7shGD
YTc9a62Kz2E6f3IjiyxTQARweBNR4/n/NjIglgQYBXbTqxLFZ9ozjLUaGsiTXQpq+mGMIVJJXBga
64/U1lD5x6Q+iegZNCN0Qz5YE2COiD714BOF/gqmUgjeYu0+T7v5Y4RH9OUdb9QVq0ZBKeZApSH9
AvqEpzsrGpzZD2vIWkPvE48gdgWdwW2zB1R71NBp/Jk6W32lYofEDDN4Hq/l/s1/4k3BxCSrKNtl
v2l3LsMfrl3wxmv29Gk14YhvGaWqbAmrtmaqvKxDRbnciwuSAEh9hlcg2tTsI+GWexs8ncGr9CBF
zjiXsLPvw2w3EDp2JB6TqnqAAabaM81kThIh8kiFYKfMuXOP2duwOSAJBnpgdvKyaPI3iuDr1opL
byueWzVoNptb2SGrjwLh4+w773g6s/fQL1x6bxh1iZsZHJpjXvWK8EttJRNcyn0m9Y74YnI7H+Q9
SN1uC8H6bmjsz101vvMKHlZ1Rn4I2/8eJHZ5XKhPQDCEB2vTBb18Hwf9jtRJXrYQzjnlaUlhkarC
zG2S4pOy047weTP9oVkWkgKMWoKWHivTdenVxTwTMmoYyRlBRqNOERz6dP3yDfn+7kD/JwWP3Ila
ARrrIA+l0DpJQuMjEZlA9sKH55jqiuUsk2jKRIPHQVFNiw1ImlgtDOG9YrOmkKYpPyIeRWwuU+BE
X/byDnzmzuUTxIRWBGTJowVcLYR6Isp9VyrX9mdku7TWj4z4gIVdOZnGTq+nRWic+prtCggN4Cx+
QDKL66xacAnQugAbRLcxLQSZ6LqYrtvWTXrP5WQIseIz+y/1kYAshwcJgcX8C+w2QuAjnIXU+hOi
G58mgBNEsHwR42o8KKeBn1FUnwXo6s6aG1r81GWtkNpjcCnlawujHtBGc7ooY1tqQkOA1SgQLQ7s
qCZk+WDiaoRhDe2AGox4hOKA8ob7eprBg3ruaqk5J/hYIR3KZLXyPt3kU3V7/S58phh1Kesp6jGE
YFdeb4nFPp3ceU/2RZrU3+KIoFN6tq0OoEOck9Fzem92MYNtBZTMI7tT84iMVBy48z+IiUcrAmFW
cxZuay/qeF4H6Tg9PmkgQrbMfNurd6YxpK/OU5BMojTQJrOJ1nc5wN8+hgQAc3g8P8X74PHSeIKF
GDLRLlqP8yH9TSGQj1SMiaVD8SFoU9yk5mzoHNb8OQVdiabR+9D6kJZP+jzpb2zNRaEUU+9qfGzw
3F60345OolyTt9I4SpY0g+xJtqSD0ATxzoixVL81AQA7jI6IKAkjbTl5K0ApCbQ4d0xOCWIHuUPU
nTDFa1u5BwJNWU9wVD5+9njP2tGMdWNx6vxwK25n6BDPKW5CSJGCiLwEVBHRuutu0+NyGyHEV6K+
DjFdloxq/SGgaloQqANq05n/Fi+dGV15PvQAIvm4kYXmHaHLdT3sc9eh7kLKHTcA/V2HTEwe7Oa4
kHflM/VSr15bT+3lXJ828oxaff6qdPM7VY9CE3QIonDaen7+Mch2SEKhYtnL7ZZu/Yu+FLyTD+L2
B+ZVpNV8E7VgcqC0JiXYp9ad2LxLfc0cZDRD65XIRpL3nXvx4hyPksUpk6o93Pepv2nr31Xkqzl+
hNNyplVaNlU4i4K5CNiP+bQY/+xl910kpcBG38VXhDt1sahOYK6l+jP6EixEkh3NPbPTlO6vFtBe
WIlUydQE/mZwiVTT1SWNRtwj6/IP9u1jZJw1Sv/OQqyRKpHCI0hR/59WBSfSWe5orhFhmbIrwExx
AFINnVeAOnSVbobDhESS4MDgnSmJ5oatsHdv63B58y+rPIAyd7wGyaI0qlQQ939/4WD1IVVdZv5n
MjnjpbTtMR5NZy/hh/LBxGyboejArM0RLJg9JvZbm/RRWGSfgjdCSmrAXAkfrzzXZaHsYpYmKBSO
KGGYtdCdv6A3yzR6+a46Hu6nvnszFv3XWITmMYfG/ek4hUh4NzlltQmanhBCnoz0F8VnxPHxz/NY
WPggLnfvKhv9TEeGZpdgJKSlhJlyLz59un6XzXsrqUaD9CthVUecaTvFY2Dui0daTfk4hG+riGgg
m32NY8SlIneEBYtIzNsBUvgqB3RJUjJhmxenfE70oGuQyep9a19M84jZlZ0e79+nlo3oGxTWbSGD
Xf797JY06xX+RwN2VUBIyKrSTIr9f1bcKFEAqSpGRNba6jvNTxXuGmsYDDosI5kJCwPwUGi/mlij
QeVE1VpTU6bhv4+aU7U+Is/plL9fWWvGUb06b3gomxF4DL2C2l1hmNNpsMJTFg6GPRd0JHuYjJJi
dlOGrPhT+L5wUwKGYDEIvzLhIsDIxi5Wot7J0t/S7rQRs2t4Jh2/oDnyKyopX1Vjj2+N8FpGSIpa
k4wshwvR3SLhjnjhiVOaq8jaqLjSj1ZajDS8+usU/SGGVFPGdRkaUQmzXowokMQdYxCgnTFZZlzQ
fidREXQJyFxMip5QWKFeEAu4+Ct4NJny8JJU6LbY52dpIvWILsU5m9/bfgZ8y0FXSYSOFlqn3tGu
mbvkfTa58WTghYNLGnrxa5EwQxjcrCcSKnXwWBG0qRgw6SNk3MqlkUEHZ2JWIXAsm62AClAGA8ET
QDRGIC6sUP2knaJb5fcY1038D6AtFz0TeoPQiVRnr/ZvNDH5xe7680pUroBofOBVYzOQUFPmJl0B
Gv9rmkOcQCjXvkjrofANTUS+rrcyLevFQpTlEqlVEsGWPj1X8uWYZ9axHGACnB/zDOQGR1F4cOOU
/rbi9Kb3dsr3McAWys00iDlLDg8NBM8MHaQpQJqWq6pTBkCjaYfWUOKWkAbplXT7ya7fDETuQ8Gd
gn6TRQs513hkaHx1YwlCElSjqrvecVT1obCzTnU5YB9OQeQhP9BteVt3TN4NXfYptN18Mxz/nYbj
VlIYjYOU9Vqd0kKr6jOlQ51ADTGeTyo7/tnXym2B7E/xm0bZ9NdLI56mot3F/b1S/yRVUyKEkf4j
p9qISRGDaU8kklHdwIF9lmpxsRjjvLicy7xgw4xJIvbyGWOCGp9+s6BQcIK+C0dCLbBqTa3MH62q
dHg0cbAFe3tsvskEpOOhJjRBq1BHhoaoiwQYSohSXt2gbFe5Wgq0TIKqeflf9OgaWiwwUynG9gJk
DWWuiAIdmpJGmNGKiPhNjl2K3Nhj/zLb8ZVRHoBfqhJ5+VMSXscCvfiY9K6oDxgrSpDY0wXcx52b
DPPQn7FZ+e/ICMb1hKHZ9iirUjdLNgZNmisMI3FGqLGUCgoZm7z8tG1OLgdkBpURjxRE2pfNDq/m
vs/Hm75s3c1skU3szWlwQ0HdkyvN+eYT/lSkPX+oYRJ0Eas/8KxBBDunKVGZYP78sAy/EBtva/qB
OXO2qUUBS3XHNBtq5bb5ZtZ6xJHpWUzcTUepuAtn2BoBWWOV+WaOqEE0fJmUS/57evRu/OOe7GPW
3n4TVE31qijR2g9F9H2w2aUxok7iKV7FFZUkTIIvO1oHyCyupEjI+vXj3X4rb0gdIVEvfLrkfedz
ngLbWtIKh3m9HcZ83JiRmUA/OaN6vKPtMT1h3qHtt+xtaR3yrUdwyMZHobQtHBKEDujP+55Lhb8g
2/qYhuaJj+U7DHe37ODeLb2PZbBJ2yamP6VtmBuaUszFX3QrNK3k4iKKjZgqr+ttf2IdLROv1+q4
yBpMiRv/eKo2u7r732bkr/MyeMfa1v8Qo/ry8npG0AnkDwYOqUBEIRnAT1cXyT9Bv/fL7j6dYM7o
RnVJqlhNs4pLTDDNWbSg1ibFDSa4TI4d7YuGYUXCerSpBJ3Jn6EBmwRaEveEbyLZTlax6fd8d1ay
kbsxTflr6HMUdefLJf0Ths3R9/wHXOc0VUiMgtpkIJNo8uwVZafRDO/z0+v94n9UsyyHuXEk5ziR
pmojIFyV6rLjjarouh7t8wymyzsjZ8BGvguTc5HgWfgnq15m3tlPxXy640MFLGz74OJpUitUSZpP
KcHtr7dmgk3w13GBflWLoxEshU3YqEQHywG2XCp1CfevR1Aa1mt1ggA0UYxhZArQpq9oW47DpG36
qTXuXqXtzIfmmyY7kQD6bs5QTiAPAmz8rHJfwiVdySbyDGRsuRo3fancBt2kpfb5sOTwg3k+XXPe
oRznqfV6Y+eMQb4kWVIzqrQZWU796PR6zrbSWBWLvSnG01vFORpoB3uKbDvqodWZSEwgTEv/LnpJ
UhQleV43L1x2KIr28wN2iXSVeCmfPva0P8ZWNrU9tTZqB0UhUBGoJjRmSV0LifO6bccPSTQiJv8m
bckcSH7jv7JwF0kdoxUpafbLu/jSRMijGe82IkDQ47VIhGjetgrypjNxfjOi63TB53mk6iZkNG4x
xwCuwJ0Q1JjOG3AyztuWSa72/LmynA+DTTk54J4Fj7cahhpKDOFV9s3Lj3l5Y8uhT/IeSmy+/wt6
tt4VY9U2p870eEWrhJKMK0NVld5p7JIK4Z7uVF4MkIyC8UQwGdUDXE6zPxGV2f6hI8jgU5yohstJ
Z8TwsYYhIHGl2ZHhxibCT6a7Zrf7vYf9VZqvjOcLYPpj7IIJIrlaMz37bagoEeoMgb5utL24zAN7
33X3/KZf5gMRrwauo48Vin9W81NE0WwLJJdewoiFZznQKQUlmNATSjZYI+H3EMtf96pccuV8GYiq
GO8gi3y0DtP09mHc9s3AU3JLycQpCZv8so/ybyMKLpDY+WwvTnbBMRJlG/6TUkqrxASK8yH6XXzF
KHGJ2+v5iCOWSQJOf83l594Y7Zn7eD5lJWB+9HBL82aqBUmvkQ5pKRg8gCS6mAAytd09V02OMEpG
hJcXsfvcgyGyhdBDmZggU111OlbVp+6xOrZgTHy1qPX/FBwep6Rk+UyPzgkYGbqqvilKxjspszfa
d0xaImxwa+e7djtQTKDKpS5Rw+hntALoV9oN7wKcEL682SP3cVIQuXqcyhsUQDWhJw7jASqsmEDH
NCstyrcFgv02dyb+lpw6IV6qDEJae2N6kAzPLvkyLWbCMFdyozipqOPvsnKy+gtn+TPtKtBw+lbF
5y0TrXQxUR8OsQVtbxJOYsujTKNckWwn4hiZMkyAEThuSn4PSfP4y1QnKgjJ8EIn5EC8NE5u+ick
DP6J0pBZkdj1Aj4TLRVYYKUCEqjqbnbS4rZoE3ubM/xk62fob1iEX5jad8PizDYMxGxfzeHY3Kf2
aXdTYGBrKtWKJ8aJTlyx0wlNehPvOPCqgut3wBIw4/GjwsSANO+pmQY7SMmEpeaLZ97voMhftYGA
ALirQ7QoQ0+tF6PE4psBSpc7dWABbJuKR54DTK8zP+c4IYa02qLj5JzGmwZSaBj4NmOn6rissMK6
zF7ra74Nv9B0jz2TQnsUiS73W0ldqUQiP1eUdsu7S0v+3xwjy11EKYZUs2nWuSQwhdk5W6/wGJUr
Nm0+CMPIBKPT496m08FGCHh4MAUlGJjdxN+jjIZrioEZONc30YkGJz7FDlEdxXTnz/CE8wnpUEiu
cIQ1AD/kwXrXN5I3BUQ2AJh6C9ZssSu1S89AEJm/yTshbhZ4rk9ts/S8q0gL1Xf4O+byEH5akiR7
12QJ3kav7W6yLH6oquHfc3RaNiTcxq/rgFcXZYAyDiB4ERz/nGOr4hXwRPGBbxE3FL8Vgn5Gicwo
7hIbZpLDGMvli4dhU/j1p3zH95rTrDGrNL3tIwTsxHok6kn2iNLthZkpTY6QcN/Gryy6eWBqhqrW
u75jPgjQJXZzK8PLzChF+245efOrf02WN6azXbX3qaMWYcfST/l+booIWyjItzXZP3Jn/oIPvLux
T/F3BrfgKj4U1yyvl+4gAYs6hbm5Q2joFUM5+ZXdeXzgM82AKsgQv4BU6VJ/MzMoUcQYQg/TuAnk
RgYm5xoCc38zwWFfl1JdRgDqoTD6UzCCx6L0fFrtkEo7N96SNOahjJXxJ3j3iKJJ9xfj5RoSZlFw
FcSnz+KFFYgma6BYLTMhQMH2VMT2gWMnVtMsDLcY8XORYmAgM+glwf0mwgnwQNHHTYbfoP5/Bm/O
6OfEGusCUs03kSTVw29GPiK+TsE0oDoKXEZ8je2s+KzIPNM4ADvlWinRMfmu7sHTf6Asf/laiC/o
XMUi0KYnkulyq66rw2PSejt3aAzVBxtJsoyCXUH+G84T8CSpjAomhceB4hR5d2hzC2RmwwlghfLM
aDohfjgfH5QalxYMuKMvT1uKCCGW/Jw4YMcWLelTQg+bcvngJ8sfdoDQGResIA0hikoTNaUPxcRg
Dxz7+WvJu/M9Z5+FppemE+TX4VjOLc4rKYXVBijkR+iVDHdyZWmI05BE3/OEw0U3qmSlj5rxR4hP
+Ge2g0uAgYOMliFHdbhGAZkyi/bQ6OJBR5qQWC2dHWJDRTgZPAtwPAJM/Zfnl1UKjMAbbPOP6gdt
BvO8/C09d3eTd8j0nYAhYJfczNJVSMZ3TX0WuIAPDQGLrMbJykEr5k6TXeUnAM36YkzjCf+kgFcJ
Kbmal3DjKLHl5Qd7rjRWEGPEc1FUXOQWW3OecKa39X0TcLGEGKGLE404DENczw90yh+biZMyDWIu
39Z7La5Vt06zO/1alEVG+MxPnQ2pW5kf3Y9B/kWdpp1zcuHrFwQs4F88vj6IAv9lP9MQYzXaAuik
6Til7ttTugd1QM/P5nr5c17qSRJgROh8KXIozi6mr4TumLnHQ3VPXMurwynjZYORcF4UbrWZsfwv
AO4mn1taKdSRJpuNmt14wan47GRnb8385Hj3qajr99KcKkFduWp2AaKD0hHBav1Nn/Bv1H/qTp90
0/oEZLUCmUhjuhbI9g21ajZm1b3eHAX2Dx+9YDpxneu4U+ywcI7H2fGpR3CATOkg95JTDAuQFfym
2hAmuAIm6SmP4Hgvv+jnyvuEpp8um/l7WNFXTXbE5qvyk1caGaFYSMkNdC6J9WuEltBdy8ooL27c
oxCRzFEMLO8yBqpjikr8XpkGZoTDP+EjNRsQ1R6VFdFjoe89vWGmxW4PST+U94qX0+mocDQxfukC
tAknY2sKUEzsHSaIbXBkLDBNvog1reE+mx4kGXDL6WN6mq4dFBdkKQ9H7i0ZKJgTA89bHedL1c4Q
vEFhXl/DSCzjNZkRQJ5hCTLtpJsglNQgyY9Hph0XNsUC2okDVzTWGRlKrN1/L3qUTQ5rJ4MMQcCh
9Z++u2gO27gIT/k9pfCDzKlSIJgTgxbeBDelCDzwVjRH6vuU9SfdQTA+6FzWQOmF7rOtnbeB316N
NLpArHk4iD+5+ZjRgfLl6cPVO9frrcTaG5P4o1pFsnY19MbNGXF4MWdKIY2nprgLy93rxwuHahfD
3/hgDFxsJFObIl5y4/L1MYyvfc8iSJ/uZuiq0MXGgvWQbn31rF7ftL5lxdYn/8hdK7NF3KDFH0hz
xWuhVfiYJGnmBJEUZ+Rh4ZEhNoiXuTWvA3bPAAhMBIA3ZRYk7jIYjqcvsD/NnltUdvBpnvEB0Jpz
LxLcQgYrdYDp5vRwU+69hRP/7XHEi46Z1iK5Ln2wT820NSlRPuZi1Key2Vw5YIyH5v9fHXlImMZB
chKfygcAea2hrgPX6yarOhCqwhx1inl6XDU1CjdDfOnQW3K+mdEq8YlEPftEeRbbtFhF1B2wVKv8
n2ihba+CsshpO41UP+2AizPRD4VDaFcKQkR9+icnK2V6T8tVlG1K1A+FhMZB0kUTx3Ta/2H0qI1D
UwvxzTZlXkGauT9sh3JJ/n7DcgyDNbztD9SDg0s9VZTRDfrlelvX0BaaVdrM+gGnLLkt9vxiszCY
JyEuTP+58Oi/kfCfgJ113pf05PZumEwsMRndtH0EiyMvHZriWwHqsi2qrrktxoTStx8O79pgd9j4
Ybjf9HMxfyxSIQSObsAQQqaY1G/5KvFO/AnDpMis0tsFbdsC+zAzt6hAc0TbMm39mEgQi0iQsWVE
sLvnqXx+3ZzlIGN+Fy/InndfJ8bbey3EJPlvJ8+e7tq5e5gqqom51LiJ5vgniBXAgk+PHc3gABop
zszxcKsbC7Bjd+Nn/GRqb/76jN/qnWg8igYDCMo6n9Z7W9vABB6lNWFmVE9HoG3zEwxvMbuwLeRb
dDfFwJ9mXdlbc7gXO1pvyCIKm4nfwvlAqLPDjzN5eum4/BAyNiT6unLUjSOWksNS3uXtEDPkLm9w
nlDiMDucUp9Uwun3urGG19wTh99RB3HCnLL6Ju6z8Q06UMCAPQdQRVeZBnTCYsQVCBS3hPelI/zR
wIQjK8aDYO/pP8XpF0Pk0KwP3Z1fIlkqYqRtRV6A7kRlt4E35YV7NNrDIQi3eY6w22KA2ibonAcz
4W+ZQSQyPrld80ryI1/uEpXt52ub8ckxpr0oTQ9+AeYMIdQ1Fsq/0LSed+xr4OfiF5NVpvtAk6XE
DStWRDEtsuoo+2n2wErVR1KQGAGx3omqdtkG/kYq81PlDE/GBG2SY5joF/FoMPBPz7K6PpZRG07l
BwFQIpjmAoXziBy3pR/SbCH4dSVxSqECHvrFtIVHrALw72ZoGJfEdTQ/lhXoyeml52JSGPgeTS4s
zuq5RvLMkbOWH+IdNyb8vpQhsjLokkoPiJ3pXNRVKbHM8Puyko3U4UYXQIWCTUcC5zEq7nOneSXp
5YyuQv9NxXhM3K3vw0cCrBfFhFC6/5ASnGHSfPL5o1390lDyoj/TLKB5f9iaoP8SA2+BeLMlwGQC
6PkZIwETez+R8aLQKdlxFWQkNbU8DZqjY2YH/ZSCSw0pCaHgZ9EpxVK8UiEsB6n0flKOSEFpvOmI
ZTRfqHEYftj9zAyP96QWKfSDRq3eeqQkijXSQhFdJbVBkNZ3x8O0YUC77WGJ4Z2ZzZ82n15e2Ssd
v1k/AbEGyK+CgCCOtQQ430/AgqdoMeW2TbzvLF0YDJ+cHerWjGqHQSUpthjlpipXBIbADPuQF1Zv
xhD35Igs/Lo+vdEw71nvFBYvP+9qxoZ5Xi1z7IghAEpkyK+/7ETO6nnwsmL3QXe3qloBIRI/DVnG
WqleT62RDGgMcBzT5zUN3ScZDedxD2xOOmrNINJnQC/zRdFFRkaKB3HeMTMBTYnOKSVDqStVEazU
CeXzS0FY9SF0+eFe3kASCd8qskL2MX1HxiRwVbu3smCePzMtBuWeQyHlr8VetT86U+m5fGZ0sWkS
MtcByfzB/fVYljf7Y3Mb2eldljVoaIj1gNKgu74VZK+4NN9FcUzmt6xuxLncJF3GacoyQxUr2bOq
5/p0Lf1mReJePvOqgrZyuw+9bOKd+WilqPuUV5TC6hkPM7SZiZFDKySFWAr7xEAq7g1kfqkSQ9v8
syS8kkejcm63CrrWiTUxrOn6tIaVBf7n06pNUg6CR0zK09Mqp9a2m7bco35W0NH0oG7Ob+0dr2v+
BsoKOwJajBRF+Fvqw/4Rty4b6Tk0g2SrePfLtDB3WHoXHFpyOphYRETeA64DaSiMy60AhfdbBI20
ggpHFhCEqE3MVLo/H0Ai480hAzmPXubthKJc8eT59em/6rNWxzS7CNsZPm7kTmv1S9QzO+U47awP
8p/MjoO3BFRelsnHAXraH2IElUAt5AvcBxoFqFDcq295bzVwVvl8vY+34no8yDMXHCAAfCbojY1K
Z7WQvH0AGVM21gddvWnLm/cp2pU9SxaBz4A8yTCFcKvU8Gu8JWX9qehZO0SXLJFGLoJVIIx7+SB6
7uCknSEQF58+Tq51F5bbadIfoFg+DkcqRy7eNKZi1vT2mfoF1gR2GIGMVApSJyg+QDEwCoxosvnG
mcaveeF8SveMPKMG3Ag8EkEcMaM69ufXh3K5e/mRV+jceZXHMREwEcZM4nBXd7LX91WdlSHCEgWL
oNiUDjg9IlbgQqIXeafOFpnw1xihhHxaxYlkVTI90yMgIr8ufup6rfDcqwSmYFKexmt4wToKaCmi
4EBpsPsgW47tLX9qFypGrJAfgPtIKoAGU5sZjMUSg8zgVYNwipsciKqRA85EjCv1XzNApDvv0d4K
Tr1O7q4kFuZNKtAd2AfWEBhjrQueAnASL6t+0cAjncboVt+6u/mX0zSD76KdUFomgBUn1x5yChnd
jnya+IMihmWIlylaN+fE3MJld/qTn1VvO9v6vmub4s04BlsPathr6Zr+RrafvujVriePDLU6HDJb
a72nauqp5Hg8Fr8ICZSPW9w0otM3aYH3EJZfgLlkYJKFmDAxSAgj6zuP9OUoEOZphPWJ99b4DEt4
SaUE1SX1fTRymP+N4dIrtd75xVPvowvCKYuYfQVqLd5xQjI0Zwwg90vuYbRz00QXNYd2xvDV9n/M
nJWUoWs3S8jbV5fq2823xoaa1acxgpKAtkgH9dCCw5l0anJG/Vo9mPB5LHhFakEJwfoyv5xeF5p6
2/T0pJJkaYecedKGpToUy+thpIsZ9nxmP6NP80mE29oFvQiBfLR0JX3nVMdvxx3ge5Hbd1CxNW0L
FWDcqR2NwwxTVX/ccJ7UG9MhRSWiJb92fki7OyxFc4tV8XPaLD96j19BzPYjz4rutRUscJ85gZGM
pklvppYe0ki2l0ZshHRwxSb3+vwGXxQso0Nn6x2D+E3eIflTHLDvLD+GqC+Br0XU9fyxCrXLNhwZ
hOgDr+65sexeDVsK6xuVNrLGtFxeN1ECahBiCNDchOnA32znQA3Sfac+auDWZQVDh5hRNaJL41ri
SWZEzGQLIg7+ov5acBlzhyRo7bpN66OmLIP82xzu3I3jYBek1uECLBZy6hp2VT9cRXNXTqTzsgII
QgLqIHb1knUX9X+snVmT20aWhf9QIwIbgcRrLVJJtUjW1pJfGBq7DRIgAQIg1l8/30mK3SqQU1Q7
JsIhq8plCQSQmfeeexazyncr6L4PqioPZpfC/VgcBsRKR79c3ZgUqHPpt/zMkj6CSlKnooAh0Vql
oUnJbYFSzBXKddSSXOEwilOugaLcBjtNzWUhqbVX7y75dcxoVD8+ivzZZXoBcDP3aNg1IQVSvn5Q
O9JOy1fVYtNb7Nwa9ECPD5VNzERRJYktUxSH2PDiib8j2C2jbRwa80fiJJdOzefo/o+rg9khrTa2
WnPWSdeWEIGXAx3PXjaVqC7lKjRF0LwxkaEUROn9KjR0hWLvwCBnXGEd1NApHZzTqFxxzlBvJSvp
yx0GB8+Z3RECHSy6CH0RJ9LzYnCqN/sh3YVrm3CQV/QQjSdiL3p8FUV2oBiwpItVkl3tOkiGnPET
2mzxC8VZ7PrVA3ySa9l5iBjNAzlEUmPdI5K0m/MaQ8AgBBI7VYl9OVvlG9YnK9XJt1IC6iw2TA9d
MsoYar8R2SF3d+/liqZIeP2sdT+HOmQVhCPLyJg/BVe6TvBB1hv9VqIOdb9/NFRnsqOzZrj8vsFX
p1cp0LKr9IDpeFxrQmz9unFhUOuj9BYnY6sSBmvVLEg+NOPt9nDgbAQ1m5PMwBsqQyLhtR7onhiF
aQZjZ5Ro3uINhJzMY01IOxGP9JQVxTE0rGW5fF9Gm+sJMVvH9YvGV3vc2oA7qomZJlbOgvEn2TOW
ssqy01TtH12wLEOTcRCowCr9R52Sssh8uWSaef/9eF/lFKT4WFJwZnOKIFhts5Xv89cM1PpqY4BZ
VDrJIytFQSrxixt0H92Y97fHwE7tDM64CkARb5cW8daOnCFVhi1TeEwMmxHjwpECgH+rvGLA8DlG
+Ccs/vJpf35HEM3Lj8j4wCn1+ftctzt/SFhn75qc9n5ggJb2X610hPgjg2Vow4xM15oq8Jy2+OjG
YSOiKBXV2ooM8F9P+473lwYExxiQnzmzMiB2tR23UfJk41qa4BXMdNDKFRW0MHj5U2pAoAradlU0
tYBEn5odbytsWglfxZdz9rSF++AjZPKHDHbiy2/BucKZaSokjXBBq0TJ9/wOxns3b9ZDvJZK4ZWC
sTXkE40yBI22hlFco1aXFA326QYsSopmWRQqYFwH2GWbleg5KeLH3cOUiYMrgGFoSRM/gSFOiqVA
1bUAA4NmpWwgEW8p/pkCQzQBCsvxSgm9elNtFhqyVLUosizPB568jK5QBsjoX+IhDSkFiaVB8kUB
zQI9wgkne95SLW1pAjWTs5bpsNj//fkBEo5kS3ukKKKIwbGqRDtVVC/PCtD/b7X/MKCVKCjGQ5ew
MUBHiEeqMsXwhqRrif4gQqLCpuLKQXcImoSYWqTN7nIO25km08A8BueVGRxanOcPOOAtbPNtnTyp
82D+8V5jcX046xQFv0oGBtrftDSObrrqNQIUOhjp3GYom1DsXGC9nH3xsOQLCW0kxCSYp19mDY0r
MDk3nW1HZjXSFcvYWMtXD1kngeTAwjZ7vKu1OIRb2j6ILV1Y5i+oZk5hgxB2/oK3joujmZwVGcFi
irsy3S2fwggCZWf+Kd985XcIDreKLf7uEp64dS9eMENAn23Vrgss/trVO2E54q0Fpn2szXABJZyZ
y2phECwCYQiJMH1lPD/Cy3CHS1VbOE9eXSnJ6DYcNp+mMbnx/AD/JLZpJVzg8CVLFVMuPni75U0d
rB4VhCKZUr/E8Ietb7FzXm/S8Lss6ajxbl7eWM4ge9AHuEh4+kTULOaTyKkvuo65KQsYRb66cUVX
i/AAg+lW4wXVnSgN31oTARapCLlC8tWdlzjKSsFog124r9quJS0o+HnHdf/SpiO6x4VrPl0rPHmw
MiMwRnjk87XSQVlawdZ0ntwKkqxca8QjOcL7go3LgHbERHgpcpdlXKOrVudrtwZWcp7AlegIF0Wj
qLg4Ydw6AHXIaLuQykQ0k2nJtOwyNWLmx2VfDz9iKr2AwaFctvnrWy79bDNmGbQkQEmFKJKKIGab
JPjsbbd5Q48l44/lOnq9nfbvpGjE9verUHDN/VNnz4iNhq/xzZ/KOycL5HNeMlgANqZ1+dYU5s96
XP7LiZo7Qa1iemhSKEsF6YzSzQgPlRoLmNzx2BVpDxrGlapuXn5gZzYRJhFkMyc+RBU0brN6Nltt
lkFXbVcP8pBXOSlXC9it7wxu/Nb4RvECnLA97v0CJ/QIZC1oSTTapWX/wOl24brObCKMrJTtq+3N
nScM1MXK6SNvk8FlRONkPUdJiwaKOkLCR22ULLStfRMRFfZ0ZeygTQ7HDV4bIAcDgzcrL7ZS5y4Q
Z1JyowPec9yDnr/pVKv+rvYWmS3+3IXedoYNUtLoCiVUVVUtwF3bL5zvG7NAH3n0JiaGDL8J1iKq
xTC/KpYfXr6BZ45/ZQX85/pmxWkdbddNgG/lfb3IrxZxDeIEOi0SpI6H/zxdaigQ6GnX3039/jXq
sUc5EmCE9soORWLYIjB+eqB1O+BBXSYrG3UD1oBQZ3upV50CIa0FVwq7psoKy1VDpb/8ovgWBb8L
wFafECeIOQGvnYqfnshfvFEzqtfdGq+smZ1OuEMWPkKZoAWi0Fspppb6YttXaA42UDNx61TbWHTc
M7R9YM2Ir3Vb9Re8fEPPrRTxkchOYcYLT2C2UgonN5sxYbiUmP1jTSo7dwU7ElG5XDqd3aL9AqMJ
9zWaHFBmjVI1ErJGGch0VR/LceXvXFUUUxwLcYxsAt1PVV7t1BHeEv7OwqOq8o5KDfPDukER2ILo
hTELjEjK1VU2rl9ZBJzWKo3Xj2O7+Hjhuk77ZIienK14QsIxO0m1rPuVv3ZX7Urgx1tChe7lVSVF
lGhvWrslTsAayR4RWnei59HoiQNKI0L2veLq5YuaxfHZrd1aSMCPiuF6ujMkZ7kpd2Pnm/XDakrf
Rfnyahn511VUvV5E0iAXSFd5nZhFOzGwF6zm3qM6sLoBBWPIBl3uAeESHoIOgZ79WRJsAYM6wiRB
l/RC1bCKhQZ955W7kQVCj/Ccskb/Fk6neAl5H2UFf4zq2rZPLrwaMwOnw6cNyPIGssJfMohmB9nU
5l2bJcOhMbGGckglNRjR4ldj4rbgiy4Ai129Bq7AdRpz1yEe/dkHfAzSCDTtlEW1Hks3Ql1lu5fk
5qB/GZnqgHRYsadijF5+Xpa3/RyKxsAJ9wAuno0MRHq2x9ZZAAtstXuw2D/MCrPGAG2gtYp5HHAY
Qiw/rlgbfBRKNll/E8WT92hxZFUh+aT2lmaJBFkdx9ZJ7qoJn4sOyUu+sJAs5bIDgBPu+R8RuF3z
HrzDmAVdCExIs4J0BGIHEMyGDg02eZWN/d0Q7uh4wLn9GoNj9OwGEUTvLL+Z3PxpNcYNqj49Y61+
ze5lvuqsEItPIQ/cAvwbQNNuQCXNIWpQzVv2OElVYo8LejUTWcxUmvG0fOqK7a1QE+GE2QQj3M2R
27Kq7cgAGxubKLzCL60TJiIboxjCAGnxCv9VWRHDiJjMpeY30KZ38oSoIOAT+daf+PkTcprUbZup
MU/SreuAKUsxTKAUq5yYzEfesXcpt1y0bZQ2N5rKq8SwydXd8FnGaS4eaVaF5b4x0GgMwVLaDdIl
tCTrgLPgi2POtOwAQIjEm58mLZ7Vr9AAOcTPfTKhvUwSKES8WddXxFHej2nNaBGFgwpZVd/dCKNz
oKClIMnC4WqzN29i3I9Adx8toYzQymNcibOhW60odjXcFqCn+sDdUCqqdRWwB4CnTUa2Q9L3Hdm1
QcFMktFUULZ3Seu/tmwFZprWMorCF10eonfrM0OPx/OVf4qqaL3iFcIfA2ERKrRtsWhNDReoOU7Y
lQDnqMXQ8GmorvO9mbj1OEbmSwYMLP53YnAITLFMZOZQCKh580AdAVNyCI0HKIo5hiYjaijzhFEE
ILEaI9fhh2o+Hc61VuPM+WIiqiBqWlEohSwY2VYL64RfqslsSaqJAhBE26HpuhUmJiMfDBUQ+jO9
sWIbEN2DlzpQhIphKDGyMCsHjESBgcStqClj6i3IsGAgpUBgos/WcCu6gFTvKNW+6y+xBvsTLlYu
AJs2aeWG7yjIU+8u2FcoJ+A+yL6G/+cfcUjUTujzGvQgET1KSI0dBTg0u/jPl7e7mRbpsGHL5pGx
MVDSibix6MG5iFgsH+y8XX9XteOegqImbM3W64OyxhYY9eKTWwf/cj3Ew4zkymCdXo1Jax17Xr6q
Wa7aj6vSKSKJjYCQ50t8yseB8NZw9cDr9ch6/y61fMB4wK040WlFw5imTcxSMDltk65H/ct5KZGN
rT6oCC3BbA8Nmi5Irai6B4hf12XKzx+hE5IP0jH7pOaug1QkmrSoVjI7fPkznUE9OVIYzvrSk1Ol
zI7G2qsnr5+65dNxxpmSY6ztCyrhvVIdNaYVe0PMRz7bZ4XfibFhTcCL7R8HBBw1R/Jfur4c7rfy
6yicdM/j2bVlxkV2t26TJzfBlYOKTgr9FJmM9dEGYJeIWfmJehHseElbInIdi3WyUGQj9wtcC3Ep
5lu9cSPUAgyH4Qdow/y50gyjpgycNbAOR6r6YsE6VW1e+bvdveGZCW5iamNJRtItKxJEs3e7r9FL
j9sQ993pLqNqePl5zvw8D/eMFLpIzHzciO1//+naOh+3ynI10LP3VGQQ1bTLqA+zTj2CeOTjvNpS
snlo3dmAtYs3XX6b7zmz2mZzNbbtm2Yk14I9SvQjNr23+Yi1zoI3llNcucUa6gnF1ffsACqiOCqg
6SLWMkrIpY+X84BlJ9nTnzeIQf6Ow3jgz9CUQtuSFHYTXn02UhHqlYR1GohY4IufuXyHzlCuSPXh
KIN2GdMWnmDp4abfND0jEW2fOo2EUqc+JwK09qOxlkwl+8X0l8kG5lL1rQXooMPJjFJ5WtqOA1g1
0jBNOYdv3FAuZu7fWgPozhlUomLw/bkCpChdku6KIn7SZEXdgw5fhTBoX+lrKBVMULSpayKhMtUe
UVn/uQb2lPWMPEV/AXI9swbYLOirIdxBipxDwcV2KtMU6oidn6oosGmMIkdYpqoMbRUaw2vTgGvq
8W6r6c3YbfkQ1GFsepBh/wVZ95VMSF9eBDPlgl0EnPJUYQk7G9yjWcffjUE+NmOawVMb2YyDNyJu
HLNwpI8CEnlrX2uiM3rC2zbJza4KnvQGyy9c+7IMz9Afv1aQ9d+C0kPM932uFXYUXLpZURVDVKxR
JwBJU6u7BhEAt07wmZ2TpFwiNa0qALlA5Q1cANS26go1gVSlJ6hVk9QLt+5Mt8p1RQHehxSg7LzP
97ZsORkQg5ouGueBt2WOXNndjhuKmjx7kr0Vd5YeQLQtJISo/VHJQxjpH9NEZA0DVJHuky+mc/vb
kKmgpORoJbL4zxIsD9uJaUNhk2KrVDNHvCYB1tzGQ5c8MCxFEWqoKV7+ROdQTOSMhLKzHZLQMaeF
ZpnZYSeV7p5MO32vUQJcJaYJr+3wTPW5Pag3dDdm2Jb/jqNXTpnGPZodN2veEmCesIecLxmm4GM9
B6GYUjd6xfahNvsHswk/6OsDRwbHNUPknsaCMSOo+9oz/9N137A0FV6j+ZsiU2Vj+vInPlc9PfvE
s9ff2ZCVPe2HnSX/akTUe/ABlUVKkm0esJPT/vRLikH2C7mKlSOu3exmIl6ILhAjxHv5msIz+8XP
12SbjJ/OpXrhrQjJKouncln8QSWM6KYn4aYJ9z5gJTVTGSxhThZobdyO7/V++HFf5l+LwnmfMsLB
BayqXmPAgKcBBlmMNXcN5N2oeRvu9M4t0fq7GV82cEV6oDessZBoUsgnr8xi0J8qrTcz8vWie3LR
Ylw1PT4GZlUM1Gl9+TlfrPZvoIR0dxuDu0MeJt8cruld1g3VRxnkxh18hIzK9zptgOaanMSnDs7z
TZ1Um/cTYUIPWcpw7uU7dw5to9SEWUuZpmJoVnXiZ10tsF4rntRIqtxXtaHppNzvhbeJBKLqTMxO
aSokQZV+LQUJVNcd43r2CxiSnV7NyqBnFzYTrdX5sqqW+3Vt+0JltIjlV2ZErZuOFopZqiH/RqhX
E3df6xpCg6xAWppI+j8YIG9Vlxj09aIKSYRuEVPQIyFhvRigjOzCjAmAAl6YgR7RO8tpHNWnlczx
AonyNRoxhx1bjiuqBu2QisNG6IPoYRO1yjEz6W88o4gxmheGOEqBjT7fNbs8ZdljWfskXov8EFVM
yWNU1aDSMiTjCKGHqKGUZ5lOaZkDO2P/mxpJtXSX4wdm8lt7EDK8UdRLzCFzoh8NPCKwdtBAH5xy
eByDdxIL29koN18qE0u9pXvcVsHdsnJfyVJNJjuiLMoVUx2V4sViEpV+oZA+mZEBIIvUEJEzHydm
PpjPEBLEQRv5lmkbsjGqONWrrdLTBpzi02ZpwZRech5V42Hb6x+TMD1SAQQXHufJIah4HApEJt0+
E7z5ZhWUfjOSLBa+K0x+s/K7L3phk/1w55jCOnZKrVzBDtzWC/xjQLsoB4s8e1OX7hvbnfOyv3xN
pxgm1yQGAxb9/ALH4vkrFmwxn1yYOn8vEEUUG+mU7RiIQs+tpKaGe4dHtvWN3fHagaWKqmIxJYCP
PMUkERq9pokQhT4rqEXJbHVJ+SoHepkEd5A2L4Njp3sYF0+nBA4umSvhHs8vvlhMbb2s/NDO77Q+
+go+G5ImeYuQpLrCcgqLpx/k/yMzShZKVoAbgU/KcfQXRvRnXsEElx86THVLkKufX1m8GcKtH236
B7lBSORq5d8wlOQcfoSUVP1bbTUCFw1wDuHC3C2YX8qQ+gUK78l5SW8fLLgk2nImLHMGoFMV62Xa
5iPkNYhbMvLw2VT7evEWYuAdMAR0WBAQpHSSprstzNp28F9XCcliVCgyoHP23gcsWd5cJnZbU9Nn
Wz9DA2I+tTp8Qeq6+p9O82I3RAmsvO0DfKVHRoKMB5I7aay1UCygyQLG1+smTnaPvWyJSBvQNE2J
Z0pCt/MOyip58wsz61ciViIGVPNop/NYJ4Sr5qb1zWfBH2BQMHbJzfqFduEE4OTTkI4j1FZ56HNn
woDDIt3ud+YwXf5xwoo+IgsQQAhm3KKpMXST77wm9djg4H5FapukHup5NZ4PIOSIfONQIsMFZKan
8HaZsl52zDytarlmlGhoK5gpBXiIPH8CWegvicjZ8t4SSZqv6QmZV5YdGNIElspgAP4Vul8IBkx+
NY6XSO1IxRUekeImeqC1wSawtj48DgmJhDPryBRYqoMY149PlB2fBc5Oq+5xMpu3mkKoYDymYmv4
KPS+wI/qF0QkKljnrxsA9IIemHbuZLTnVH7mb6Oi+Sz+h7tbEsKevQui1dtNtP6adzsbSnUAqqAS
0hhpBivRg1BOG0Lq9mCySqPAb9A0xft1UL0qdttbVbzFAIuS6kNdnoVUQaJVQ1zuruybNPsgaPE0
oQxieIbJbBPP4qGaCuOPGN6viaeDR4ggQlIvkai6yHu18oYHqyCwVDMGpWEN4DAQeUQBo46637Or
D843DdakVRPcJb5oAFtZJAnlVEj/lueLx1U7sKk7X+q4/yx5z98ZBRPbDl8yIJzCAwuzr+lPGwEb
X7vyqN/vpfJUG6s5oeB522GjLlEcrCh/mlpM3frVkLf/I95KR6yYcqQmP/mQxf6FNvYU1nx+XYtZ
beqYuMQtwJ/uh3F/nQW71yLf6K1RyelucWCO89/7KvpiIVfpZMHAZa6svecQLgxKIeePGNrThaP8
dG+nE/XYOElxBt2ec8+DcbPth7Ac7tX7i0aXrhkTUc2rFdUIQzto6kBUBn2zE2J2c9m9C+vUa21L
tB+bpXLNnBxDvAGaGCc41fA7JeWI2nagfzNzqy6WI6fnJn6ICJFAZeGP+cHsTY7HLt1yyPiPsr8V
itY7h+vG0IDeToEucOqsFxRkySNdBnADKI19RcpSMCFxswT5HWzFF7eW6Gg4DmoIRoCVPSHEArAu
87NOm2Tijn7+ALMjbAp8Z++X1YS3J2coR9iRLvAzuGz69qvAZU1S0PXzc+bRGhlABbpM8z3z1nJN
EUUSx6rwilnjnvldjrmrGeX9BMkKCBVjH+mm5akiGkMflv8MnYJECpol2R8vxr+gE1y7yYT/7PLL
hDtXZtqvnVl+ufDSqhB6vnU9uzaLuf200okFw4OPY/ReHEvLCNADn8CBqEV1jRIcCmczew6iSkAz
ezH1iXYrtT0h/rg4SQE87wmAAkPVmSlJsGT/GtJqqO4sL134mdrz2YXPrffjxboqaeSHex0eQlCP
Xk8CwMMG63iKZYu28aDDGO9hmgyRk0RsjAN6SvwkfoFvfmYFoSZFnMXsJYh9M5sidOXQpct9MdwX
2+xmUY0P8AlvZTQrjxpNJVPs/cHT7Nap4aNeQA18reULkoWYAp/67hLf7HR3AmtgCoyBlKiW85CR
It/n7dKvDmeUtvSD1hUi3JEKDdfgk26Y3TuVkEOFICKcSD7WvBc1g7ahyw3tKbIb6+IYCtECaf+c
lT3IGUgJnQoubrdm9GIw+SOCCgZoGfFWIsZQVWwjyJFI7yPsJD6ZZPteJaZun8jm2muCTFlHQCOX
M0fOPlY6bdjIFGcnSdlxs+mClef199oYxbewRDNhznqsEeNf+Kb5SO3eUTYGEYab9W8iSVhixCL7
qwgd65Pw8vo9twx8lidzq8RfJJSMzwvGYj913lCFzoMginQB/wUHfstDpg/U6yYYSQeMJVJQJglG
EkShPlFgp9PhznFZuHxa2/FEOa1BnGXIbR0yft5XYPbi+7L0gEvQC5Ln5Jby4WHyaHsFMBSXvQEv
GxC3TFpBHEKt52grp5QIi6aWKXUEpyNL0psMe87/h4ucvXbTroUl62+9e1XbAlBwzyfCrQL/5rQz
C1qEEK5CCJTi5py9G0V7sipU6RAN/V7+Wx3DGqf2PmRO/vsvHMgv30fKlefPN+uxKl6uN8Gj5RBG
VGIogvXOhQwxZHclFxG9d8IKeAdIaD9gLHaElzBwxjFE57SwH123ZRuwkp2OSo2tRpQ9MQZ0hkvs
MFFFiXlw4T09xV70PiyYPaAlYko3q9xqkgDyvvNGW1GKxGRxDVIcEIm+E1HDbRiughRoFKdr1c4T
MIiNoVRnqLguZ3ycjgy16zBU1WDEyI3t+b2d4syZ/FWyRAkbfdCOExINpN1GA3+bDuWAr7DziMZx
5J/YCp1hgMae2rIlGROLKWiITlkdBjjyyn35/lkN5uycBk3TLB/qOUSF2avaLXeM5sKoJ4cEiSjG
TVgO52PAxgguvoEP06DPNQ4i2DDNloh9PXNtJbz5fgmynQXBjWFkcu3WMo5Co4onS47eCSZVikLt
uhz0O+iK0X7/WxV1IZHwIy8Cwk6GHVt3T/jGfle8KQInu6l91mTh0+i03a7FZCpBmJryB/cO7Qir
HiI3PCKkDld9IvPoAIvdcILqGqZESRLX68oRuq82KPN4dWtMudwUsoWvixBDL/U9LJSqFC+D7mu6
q0ZMXaHZsEFflxuyMfC7Yfbuo1m1RlUIFm/jfRbfxGuGziv+ImYR3yJ1THWBGTU+WrcBOsQYq2mC
5j8peVNFVukgWA3W/IE9hIzroKTFlzatxFfwtdUQq0owZj29nrZ4HLsFesiQqAD0xql3HSfj/uYf
3SLr2sWKs4GIkd8myg53e3H4c+78CVFKuFTlHur7WQ0ZjEnT+OHg3ktyt+qrN06SIA5jr4/yT/tq
eKrb4u3BHQhO4yBjAHT2E1b7yrtgfWUBCU0XGYxnzx8mxtAvZaxwYliZxcQp5KHn3ouYoJpRtaLE
BBpkw218VGgoo44PVBa3EkSFDuIqoCybssiY/cARv7ReztXcsCoRDaEc8oDwZ9BkDRd902MAZpux
po3wK0IYZrMAUCDbjROWhnAqF8PNq3JBHi+7oyUpgHh0VLgZRZhiv+L0EhJ9qtBh58E7E+o0EZDg
5DN4EmUTFsNOT9Ibp/Y2Xd6O6WQBA4Xd2mgFSy8ijaYyv5kmfS1ShuAdEStF/m9yLn45fBch42i4
evn0Of90f7rO2a5Tr7d0hJGTEonHU5UAFL8M+Q1Z0I8BSIhoU5rdFNsagWYakwrrC/G+kQKgBoWK
KXZf3g0tTDrfDRc+3RQECgqfuWKdShHtwW556Fr8Pn2zbPwPZkTGAovXx0uj2jNVRGgt2Z2I6lJd
aVhk4ebqUoLfKYWM5/nz9cxOkrhZDC0jD1aBACBONyG6KXYSoin24CUC3/Ws9T6JhlWmpMwOSPvW
PophFHbMpUUVy4maE7oluqScjrdpfEs2xwcNk3pOFXfFyaO8NexdjlMcMZb/jnBGnwnonF4GUDia
U44I/DCrIC4O91hAsLuHVIMy0GItTL/THGwICF1UKF2zsBYpskT+UWWpnVDjwZefvQXTZs8+oIiA
ZYEECxn9/J2EOlYmE42fO+0Ndrh1e59v3YjJLnxjESubipMI93xMKut1fuOawgG6gNKIuwtjiRHy
dL5AbOT6nIdF01Z3k+E8CwZ8HIR0ctJAas9xjGxijjIzwp7uKw5Q14VOUBbs/jKbzitsMaxBYxOI
WB7WhvA+7CH6AOckmPEf03TxtR+K7GNJLB1/DmdH2uCNu9RL4OI8WY4cjk1Dgoqj47DB/zXqpye4
3q0OP49hGRi7A+Qsupdphs/Gg8zOcQpRqJOnx2JfEcdS/JHG2lrJfPtE2hy0Uld8bYx03pl9tXkw
hES8S9dd9ljulsWb0NsO1008Jtw9Gf+H2NlnnLMwWhGzl5go9htZ6AdoWupi97ReOc7bZRZt0ysz
rda3TiIknF4LRx33pgCJdpL2azgss5tx62wfKjw67nbBHuuNNvlTxTxE5vE6KzbuXbzl5uJ5cyng
3OYizV4L2gxyX9BmolQ/wWCTRbnITdi+S9tdB8MfX3SonIq1lqzNJiauQDMIgRQlUnuZoK20GX7D
ZKm6WkXRd2mATM85JWTTjjDIkTIFxA+5iMm3ZkDuoMEMpiZf8y1zDvKr1XxilP1mLMb3diqABYGa
ggAwSRRbzffFJuwUyiHxhH1HVWSwTmwQEjTMOoOE8Asb5Zmun1ghBdmpeGSy8LzERV8QpK67dim7
GcMCPUGouW28ABM1jmdwyLzfv3I3jcUgjz7D2nwE30m/LZv1CQv4X0h/P9PaLHhazDsC+PX+XEZb
T2XuutmYPbgtqyZv8TtltZQcyJX/6O6lSVh21V26Jlc772vzej06y6vRW3v3TYo9n4ggjbsqX4U1
PaPUBOhEqxucjZvbrGdFN2G9eShIS7nuF8kXa/0pUAp7XO97V7Pa68U4ra/i4qoaL4DBZ0YC8Prg
1jPdZQtFPv/8xgerYN9FzN8fS5e3LAEAXmXvpMGQF74lBTPj1iz8uPNbATpCD/VCAoVFkjj6f5g1
XDuC41U3iQA4qYhXiVKk7bXo+0C2uNtwhkwSuxRmuPqFeZouebbCmFgyGEC0y857Ek1jgjIal8mA
AxyHPrCgTVzdYpxNx4lZ+rU0Kpa7K2NL+E+hkkmX5FR16umVtyGPlRrjahWkMTSsibSGIKRcf/mM
OFe30GUuYAnCNvUwTHx+9/HfS1tDEsd930CqARy0jNgf0kVlHqij03lq0KOkW1CkH6qLDkcq8eM7
/EUyuuoL13WmC2bqq14T8id5abPlOIWrdtxXjXevSZusFJoJ6oxyYWBOhlTDPXkbqqeETmuo1ZQN
2yX/Ubo/QeaKz375os61wTACebKcp7jPz+kaE0h5NcQ8V/uq8lw76JyL1H84IpbWfHQFvER7KEWY
LlBOKmZP4ooLHILwEQ/g99PCf1I8pjjJTcTAJbpkgHmucOZaceuENEUXPmccdH7qTWvkWYggCH+d
uCYm0zZ09WiorRKfMUVOIpc3jW+csjzYFHWLm369pXEUX2z7R0dhFjuyHsO/2L3kX332OtlwyZrm
RIIOOnvQddF2Q552470mj9LEKDpZugEN0HS9csax0iBgDxV9iuq20NxwQM81cRYqbPl7+Asqwv1y
gO3ZhUJaAksETbuMfmcLZcUhOW4TEDBtU/IWxMZAMyv8/Yi3gaqN9A8DLOLoxYKUGazKewvOUbZK
yTPJ6ktKtJdfy1OSExNI+jfwQ5YyVb7W0k8IIn9sXVR7l/qTuhlzm0fWMju5TPIBBajQYHKEuf+p
WcY3UiCvaYrX7ntrvszdbl/rQtXPyZ7RyWRTfanuP3/7Ip2rIZZsSAdm1ziOzjbyqPu1Cfd5+k+h
c8xK37pSblmLBUx7lSkuxawdNUEpEgQnX5RpWHzo+O9FfLH9PbfRwLwij91HbkMn/PzCoK27PS4I
e1I0gacTnJmBt7TR9D2GrwNAv1TMYmlgCaxKps+WXw7nvTSbVHSXoYIztQhZ4v+5phlU3VFRu9U0
tvjWwCyhSQpxiFIenNZB6mz/kNJdA2Vdj9mi6SK+U8edbXBpcjSas1YoSMH+zsv207XNXrYuYi9w
prqlecMlD1euMij/0P5XlNndxkMuBoQB0/Uur3FykkBcnaW7Xl57hfvkrrd4oThfHBellrzpcHi4
cIFaiLPDl/UgRgg0RBNFM/w0JoRtRdgrHSZCExG2RRe1thOkRIuOaEY6RzpI0VcUTyhhioTjpW/u
ZBOgyc3fGndh/wkZEc6KNV2bXVe9GVOox0DojQH3ykd8TpgP8pIZNteQobeUn7om4aaqYeQ1HaPP
1RDbit4D4L7LR+2ZkdLzC5tBLEWw98Z9MTEfBJjS0Nn15WUGhUb01aLuPuxbT5aFPFPqFfisVhZ4
zD0Lcxg/qn9LuGABcuCVYPFLZ++ZDYSrhPmC2ELC+/ljdRp3ufZWZrgX48pqoTBFk/RRu5s1MAd/
lPpaTba8ibQDSzMgckgNkCqbk8vQ+P9xXfIDZHdjkDm7e7UhYGDVJ67lAYhrrnNWBBDrOcvowQaX
y6MMRy8thT6Hn0BMUwxkngGZH6vTC8vgdF/jfsWwuqBMw++bjxGKPsIua/A9bGook+H1uTsaY8YI
2GtZQEJm76o7dU0y6JYsRaQU9THibV3mGlqtzvOlCf4JpZRHIC7kvI/BtbxMJ85WuzR7x/migtOO
EBTZAzvOcJBjGuxcM2N5a9W0aLP6EmxCPKFmAxKwcrzypnAa7CNZRgAnTQbggwJbZngqBFOz+SPz
g4d9+MmS09bwgVhaN6q9NN1uiJggnpv0RJ3NNuyY+VocQLFEjPH6cnj7mbJRIcXQaCPfME42sy2T
2LsNbVjmHSai0OvkbiFGg2paTVKEAJed3EIBSzhSStIjtXOaWKYB6J+PXhewBoorCQ5F2wpAFC8j
macuuzES+xAdKf4IRNucxAK7m7hZrgIaYbjSKWOCQ37BxFHNm6MmLGX0HRJwpsGaWOnGg1dGf2K1
YSLLMfCx6aRcpMoKVWjSuxFEguq9ueQ0dAbBxtFAumzGZTHtwvwIr70yMk3i3luXXSa7Iaryo5+7
JB9qtSRHPJozHLcuXaiwBRvNwrO3mZoX1uHpWc7FGRMztZecd662i5u43xNXzu2Utcm+I0SGcz11
ru2AB/BPoKfxAKmpbc0KhSEiZaElZby/tvpXOLZ88s9o4y6Bw6dHJSw8sou8hPUI1XZ+JK39xmm7
arIcSsuxxROmdzGQxKOgZ2RrY9igUCuV+pgMpJtWwLPs0CwoE1fIzYV7dop3YGGGACsw2OnIZ/15
TVasXN7NtvbuXUbHQoSke5f21TJr0aXJKVP9lYmL98TpPQ7D/rMShrV/WX0Y+5cynod3dKj/9cWB
xETKBQI7g/k72/ALJiLOYpPBm+rZPtjwZQolsYd8Jhpa9rJiVO/iW5Ny57ASIRyi/c0Sf1RnH6S5
B1GK2tS/dSSx7bss4gA3R3bc2UTHKQ29VJwxQWYFy59AZzktoF3AEGneasEqE0O6LtvTT0ycXJRa
SJ01mVVmwcQY/8KdO33dwNcQtfk0pp5nTvBoM0XNMliPzD4OSZHlbvU7FQ/oDq0puRCy9Vd5oRmO
GGeyARR+fzgqOTJZJpfZtWeOcDoScDXGA5yTLNTnr1umLNRxSFP1Ta/tZK4Gu+e6rBxRzBDcBI+2
jRLW6LgMsYK2U3fcvoSF/8K+duZ+oXPASRJ2PnSkeZZlwVxhqJfb4ZNML3VdYgJY12QMOfMFs2Gu
S5uxNY0Pus8yDs17ejkokXE+fVfU+S9IN09LC3q4BTu6rkuxcbP75QwVNOXCtXRxuR8rt+XIeRWc
IClTD5lY5UW+YytjaYpMprlSsHS+/cIM5tw1LVRUCEckE3DWMhWM54fUSYd7ya3CDVGAItz3bGEO
OF+O7aIog80eoweGLynSREGEuqiaWQAzeXQgFBIX3vjTzd9Oe9Gt4BMFgXu+kY1V0KTbTIBRcjfk
zad4C9cJ4MUSW8Euwx28elpyiVwlvi1DAOUg+9TVyV3rZvfNqro5hNX/jYI6BPJLkNWZBQGocyYZ
KfDpul0HgxUwy/+8WQhsOcyjU6xppfERf/XoXX0UBtu3XpItzLUuc0BnibdItnCwimBLM0zVXHp+
Xd3ChaeYQwNXUFbf4pqSL+TKgzu77EpCQi96knKUwWIZlg1ZJ8wqxOpRVG0c0f72yFO58jzmDlfl
H2LIl4pAdlvoHIS+kscMcEgY0HoDrZRNEJvEDOL2qvTf5innMBIAs2RIB/hptaJy+EEKoFZRziZW
ELtMcAEgh0oNhjRiyhGQSYV2KBmVKqmhcBlvUP50mKz+mi7KZo48L6q5X9CQuWkgkmg4ZqsRr3TP
q+vhnXx3lG4t4wppZFI8vNUYWf/BY8OpkaQc3eRh4CrmFoogCl83X/4pQCskQUFlnjQebgdhhg8u
17akLj6CCl3HJnmIANAdn3r6YC2prHfRJ2Tolv2wNxWBPPdh89dXO997Z80EQmbxspGVlAghgrpc
qS0EXQi6s+bB/PcCmzwn4wRVDykTF23KMtLZZjXZddUHIeEXlunJ5oF0DM9jD+kiEwhauee3sFhg
XOV2dfmkv0u9JQqWj7tN+1H4qCFoQw5l0Hqv8ya4l2G2WeDMvArvxyH8hIT6X5c32VPLT1qFyAMP
BcdQAOH8UFquwSDNtnwK11JTRh9Wq7QiHK68kblKX2MGgkIodwBZ5HlYugzewB7VZapSy/ufiC08
b5moZjIj2MU3y357I03s5F5y3zg9SjEEozgCJsW1HSHobBueFtWSlLOk4WWE0LKGgMc2rAla2nIH
WZqMX7/JEOFItFNJdET5dI0d8o5fMGs/qShBrPBnpLdUG4YQ9PkT7jqXOMQY3YlQPk33FNQp9ICC
/a0qcJFvmnrxYcz9WwI9rXeHdTMeje2K9XqKGNTHwe0y2F4qjc5fH9pGAHtW8pxz7DSZSRonGu/d
pLoq/fQ3Ifa6RhFUhYTL9l0IjLUvMqur3K3xDj/QXDRXtWRFTSCFvlyGb+cHmSSXUGYJtuMoCwLb
NP4EMQfJ1Ho5I27MveQiRZx2Q9GLol7EJdGNG9LgdZCp1i33+vdB4mLt4AltUFbAL5ZJJzpse3Ho
wJAL0q4iyXj+cAOvwQ18mEIrEA+nxzzHsuTHrykASI4L493hV958vsOX/MZ8xw/+8I+7vXN/1/S7
YXL4iFTYfGeb4geGR/4N/c+QA04gwg2/8o0GdEnfOPw3vvrxm2/mu/1PzeE3/F6+EPlN863pP/FV
uL7hG7nD23Zz+FI/goyhX930+0cXksa3hgA6kre+8QXf5Vf73el3rsx+aRJ9n78BToJ+SevHYsPX
E3kjN2UDkf/R/nb6nS/4h//IT9XEKBTDY4wlyqBvUQvBTpx+t7/8+IKTK73j94dfne4xaPmj+MrV
j/EPX5cb+xt8OXswFP3o4TuYnU2///wNfs//0Y8Iu28u7NbW9ujnE4/nDRuVupjtkWm9JTj8/DJu
OcCyrCs/hSU2zeUeDzRTDSuSMiCh9CXMyHx0iLSOlcsyBO1rWsTqOmZZ4fmj+bKHfYKv6Qh+ovie
4yeKxcdb6erMgKlVTZfhA7+IAynCq1kUCppcMz2BjNQ08D9YAU3VfzW+t7va1nl+PWYtSbB0pTXZ
pTVRog1y8pvShWExKcYByhNk1GUfPJRGlxWQySo+S2gKcl7yaHNro00tz8UdiKvBRRhOaEPK1tRW
zZ031MFHPiUEt64ovqVNPb4px9FFLMFfljrCu7Ody2vednd9k/7u7rhefD56OjtCWMJFS6gMiM2b
ZRsUb5Zp5aXXnD5QXItpS74rrIOPOUfSdbqsdk9YDCe/ubAZbLRfn/xp454a4KiG8+rK6HdpProw
CrBK6Y3H9TObcQeWOnkLxXWzVY7LVm5+/GjYw5KZiMHBn/KvHMfW67iY9pA/4JPiegyLdSFDQMsk
Xvnhqzxpw8+uWyYPfQeTvMGbnj9xGd3kuLZc9xsYqEU2dTdEJflYxOJI0aRVT+LHan+bFs63YgOL
pu748DbpFATuu8aC7o4ZsaElv5k80mjrPYET4ruFMQr2XbG7NTsaX2jdxlO+6MQcPoygAU3ruoPt
ui5ftdv+y34ZJld4EuG8F2NMx/DoLzXMkoh2PVSjYsDIpRiCzetuBaOiAMxTJuf11Hbrh3hd1HwA
IiXr1X712p0IRi13zuqaFTqR0sNr0W9EAuDNuUZ9gCg45d6lAd+rAzyh9Ycvi/X6CpmKR0HLvcyW
kIuChnsZMGO4ifd4cAT9HkJIyUUGA9fkOJodTOs1xlJyrizhZzkVK+XC2pyfY3ZpctQCH6LePslE
CWKnhfHVbx8SZ7rNtuwAEQIuyu/j2D4EtISA82b4UOyfBI5ImSJmuA4xKS2Ohh2Xu7GTUbMujgGp
rGixNsApf3ZOLLpl5QQ7rMGAieQyTPDjPdoPep5DqhlbfUqirhv0yCMd8kIj76nZOrcHv032zv3+
n8v1Ah7ZGod1uh/6jMuj+xNlHk0/qb6KFY+QvscnmtJd5nXT1sNPGshQ1np5Dj/Lujzid8gIELkz
HWP72PiLN6s2eVe07SeNwJnMfVEs6GVVguXZPt9zTWLgEiQ6Z3FXm927bgHPo3PCg62aSmTXgYWk
uZ8tRQGN+pyQZ/gX6e4QwKZ+26T0BrS1fbC/lqJMDiXTCud3gB1VfoprtMq37UGc+7+sndmWm9iW
tZ+IMRAgAbeKxo6wHeEm7LR9o+FjV9AKECC6p69vbqWyHIT+kE+O/6JOufJkViLYzVpzzcYFVX55
RRp3o5ceXCv2t8tCgciWU3Qo9WMAdw3HZeS7wuH3qA3pSekmtQeYwOaEUjFYYquy9pbI3av0yrTl
f1c0B8Bn/KG4BDmpCGhR0I2ihtIq/PVneKjBO//fv4Ei9ulvmKYNOcksOiQX8CIKKJKGgOBNP4Sg
SaSvYYjmmkr7ET9KgxHp9U14mFyWhKCqwQ98wmWFBR6SzjJ+qMkd+4eRBKFP6R7C8o0YPiSU2Q8I
dhFMkin0GjqWGjpVewbxX5EGTRKQCEEiXUP2+DjVCjvVe6H9RQYpqKBrmQLQaytyT6Qhzc31e3xc
QVMyRjTO+BdjV20meBEBLRm1IQOx2bvbVv24sFbbuyylLS6jvwRUCYIRmViuNAIdGRUzpgZ7x9+C
6HIKiD1oqAJjmL1qcIiL0uLMWXniOAqJdMCmzcE2h2pm1iu5VtD0doCHhN5ChiuQwieUFqMePa2c
11xCO2gchyGLaAgKEBD9RRwsKWnEa15mi/t4LN9A30nXetR/9Q550iWjVwA/UoDnmz9NgtWyx/LJ
OAb2EaAtia1EV5Y/G3x7AzxUsk4WJjB41wSEwSsGyYKTjXslmDJoiMNYT93TefD22biKcxxw1OGx
MGTnfc46O+xe9769UUaDDvUVG1j7m2BSdSfRvvi56fr3XLrXxj9JXA78lTQHFIeoWiSYx66+KwBX
M1m5wJhPPmYPRnZ91ib5xOEulR8cGFz5Ahe44el6hPywqZx9m7498ojkt6IuL+MsEbFNN6Qsf0zG
jkjaf2cEdUH2YA53IMOXz0gz0nt6vsBsggUIxAzoBrft6TP5Q2gnbeQ571fTeAkVE2ANjIzcHrm0
y/Ijm+iXet96NNe3AlXplaSZFNorYRJNDFxvJAUH0bsWg49afIt4iLD4KMPcJGpJuRerN9ryEVKL
LDfATsH7Oqw84pAlyukXuJoN2b0MR7IC9je3iL6YCeCGbSuLAk15/IYCLuXfrpmtpqA2u5UIgWy9
WI1L6LEaqoFn4Q6u0WM9ofeS/cMUcc6LUGlcf+qJs4d1Kawp7XaU/FH5XpVHke9hYfNnIAFp1HTY
nyf6GFT6yYuHSkjWluzxGdEzi3v64rsRvaqT1ileU6DogDxBqVIJ1gXEowJeq5yjw7K/8SP7QsQ4
9O8/g4jslx0JyYFaE14R1W3WcCAzhSBD4WfXLm7aIjZHuBZP01L1Hv4GQCOqdCNByAmggGgrI8Me
DrbGzvE+WhfpB7lDeKSlKcBJCxEAGZ3W4RKPkGQTNAQBicObWDIBYsrrKdOpXPdecVU4iCUZY6vX
l9E3J32BSRwmocOD0qKiVfeht3HpBP7z+J6ySpfASZGg+hoBoxpjXawZkVBpTdcUGCC3Ls2kpMTU
NSy3FbFjxNjRgjjih38wEdfyn38lIBkDEvoEo81Q/C7KkDMsLcJEk8Uru1UIIXMFdAZ9tnktkW6A
O1hg5zdlOzINZC3ivi1rQQEhqsv0fMiYHiTOLeLou8tif3kLG4jy+TMCEzItZc48zyDxMzfa8jrs
t1EGAtxD4Okhf75Ww6rKsRnZpzagNyQLMxFPyp9Cxpk10GFARPIG6nLYlxrliClS2oAhijMMIpwL
us1bzXmacvPL3lKL1um9Ma2yG+cbZuc/LTR/azRv5YWxpA63tFIThYPT1L8odD9Pyj1g2wclFlw4
glyoSDDEHKDJQE73GL0rt9GQiaBlSCOqqVaAz9BlmSjZD5QeKodMHroV3Z1Eipp16cg2JjZYIykO
UHYldtt9dbuzVFXn1DoI4K3gXhOgpZpdNYW3D5P9as81SMS0QMRso8EEBA7Zjg2Q76dlf2sMarag
ihP0N0ow43fNXD9q04c8oltbtKx4pNAdrg/cLzIsPz8QM3XNfEGAxqMhprkM/Lm/6kQH34wxHeex
usB5HSVswOWHkW6J6GctqrdunsAu32+6RXfhVM4t8O29pgaCvD1UxnJ/18FsnJAcmPXEeRufg9C+
Slv7UteUPbjQYROIIcDlKpmZpTZ18sqAAOkG5DTDfxnmiFDKtAKh5I6zts3b2rp5eR88A6AXDJbJ
LpIxFIUflpFPT1SC7uqwdZFKqBxoYkBKki48V9ROlafsAmYMfGCsxiljOdVMbjV6RvWexj5Gj3aW
ju3NRwx6LjQ3DCeZmuKtN1s73W7IyxDX6Xu5IijGRte+xlGZZT30yxKw3MHpxP4B0enKKBsyMXdt
alUZ9oCyikfWc5D+bKrlnQxxm4LA+yixvqnyVheShZu1HHRERj5OPCOJdMgTV5qu0s4l/gBPvtIo
tg9gmLiYWjFGLiKwZQiT+kL9cv9t9JY//8AH7xmOrNdA882Fx70H7Xv2ebIyWyxydTL8e6IE85Sl
1BEStPSUQQDdpJtdCWwShb5cSHjM/6hQ4BxVFuhUh7/MUuJm/u/XDgpY+gRYHfbz0NkaOXaZEjj7
timgwUC7NcMLWlwDckOrVZGiCkaHkYnZoGTU7Eo2yWpxTIFxdjzlnTh3sCKBkBUiaMYZYL528APw
WjT4971DqjTc6WbF+Z5JDAFVTsZYCnA9DEeZYiAkFZWU2xic2cxMFd4VZei5sEATUUsJxEaUhX+W
Yb42VGR/6xHlSCTdrN51QUyN2jU5IEyANoaR19CCMpzQ4SE7uoNXHSMzfr8W0ZlvcmLfIJemWjb1
EZ7uTxfMFHjIf2PuG+0b2WyLM6dAiSBD7o6ukgV+e5RjmWqHyE/dLC4DEw2Tzu/lU2dMiIUjTEaV
8lwET5+p6Ou2XYQFJTz2VboHxDeTq7aSFlXCZ5inGfiDs1CUxONaUb1SLzgOZa52VutrKLCzIx/Y
DY7ZSsZONEaz59p5ywFjqdRAHSrhRZ1SRSlYRX/Gs/9D7HnXop6Z9HmpFpLtA+GNUEKLn+VIsSZQ
Til1CHPllW90I/LW09jRZIFBKpHj/T+HPfiOHOU07haxTtw1cSsU0usnsP+gNqcN1SaDXp1fwogU
WgxWTJfQqGnjSGLGLEtYBQTIe89nki+QRZVSoUx2H0YXgdDNhVpIjWkVLiLqqKpkiaSsJcPmM4vv
xGkF6AUohWunDfd49kI72C9FnZIlcPSg7Fd8bBE2qZp1mdgDhQCPKHsnu2Xiyinbp1w8FScwzk41
GEPtjT/+IBVvTg7iDCWiD1oJ22Npe/MhSD20HBTVLjEXndJI5HGddfCPTZK0+kg2h2LqN96NrKfK
PfojKOX6LtrU8rk+Tz57loRsngu4FOMk4Mtn3L10vxtA23hnBm8R+QwKvkhoUYepdG8xHqFi1vXU
b7Gf4raVmKHERclGdWrihak2ZPCmBh0Gyy0UwXeW3V9K3FAEjI+t9qsqauNSxwfo8K9/+cOb4ujp
TnJsBXtLTSNkYYZ21l6+QD7hHiq9Y5BvQOSgIl8Cct55mewUTYOgiRkGummEKZVAGFTx6c5V26Ib
XEm7oBK36o+DTgxna0UQJtguR7cgKLkOscUutAuyRN0aeSjLpH9V9AH52d2H0u7REVMTy2dXoKNE
biJbqNtRQo36VPWuuuJVFfe76VFXeeHYjzXBPi+/nxMnIMAF/ANDmwiWz7zQNnFeMsLKOAEhYSpC
IseAUyfgsVhx6zvbqm813HS2zs02nz7oW5obnF+tUIHzCP+JKovnYuVhPgXOb8+7ICt2qkP1J3AF
zck7eYDo5BPjurUBLYo6+CqrLAtrA3OdoY5LvdVt5TBnMraDcOtK7AZb39PIyv0oprNNkyEzFnFO
jb3NHh6I0Ag45yJQci5+Fp5NBu4Xexh+qFgO4gPXvyccyvB4tefwQlVTuBvL27wvLn2aV6V/1LCo
z5tTPvNIxVmN0DdaABpCHCDm2oRp6MLELVxi30IaVGaWGfzeyIn+quPPlb9ZC3CUd5iHMkbWqUZx
61rfgpQ6YQUkBlVOnWOJQajQBRWXxkq1B9fxIJzsKSqRDYieLvmHhvw+vbCOP+MPwoIXZLUt7Vft
tIcIbj/6kaahZ3VJhkc937KAA5SUSKQ1Pnl6+aWbEojbJYFddoaG9Mo0cK3LJliCjWSQmhETyqJX
1uRDEd25yWURvE2347VLUqsKUswpPpNvhDlP+cEqxk/qlnvCWL0CinRZ3Ws1i7hiQt68HTMMLlAZ
lXJx3ptJJV3xV7t2rvqV80NhFeqcPBKmophNjMbIrtEdqF1VCeuG3Yd/sTF/fwu6NX6bdvg4H42F
15CchnRfrCm1P9qY+ikidkUR7RD8EPUF/5g6wnQrMCyUGkUr8Xw3aszVnn8dzgsm4kv4N7O2zO+W
I7ypbHtv7FGmylvrKtUXIROROTezoyBhnr4C6MGoRaB3N7W3ue1iM8z5poLWUwKogrU3YVOsV934
tmy5egEH8Vl50DbUHFF/rcYdGmzt1lfSHXoDvWzhRmp6BPf5e/LWzrx5ra/ZL8TqSJCuruMTnqZu
PjRVRmcDDa/t+4c0Kz6r6cyt5Ks1WT+OEnXpG/Wg9g4Oxlj8FEn3fHbxqSNauZZcwrBi8O2a7Qfy
aeJwl8W50RBGKb5XOI73uMlxO6Gk4aiOEFKzAgWzqEgljeJnELRfNVQQt18roQDEPfOentct0Kx/
e65ZB1iv2JvYcOXMXbgNU8A9tqNhYnE6m5pKmh7ImwZixKujDMMvGiaoQddzGYuz84LzU8+l7krx
hUuR2J7unC4M27z14+290WlA61fhHJG1JS2EmGtahvhZwRelXB3J6MNcRt20khcOQ2u+43kr/pPP
RU0vbhNza9Mc/raji8lJ8KKsc6NP1fzS2BYm/8dcE96UoS8zZGvAmizlQMa28J/GFN/4lALjzHd8
3pg55EdB5GfQLU7YbEfXXVHFbhkcgBY1ZkqRavCNN4w6vhMmTOa5kJhQIbExaeLFqbUqAFBq0/On
zPOJGqM0RkHwgija0eerkf79XdFINvvJBqiduKhCQYikbDeQhCJC3SQqN4zwdnmdxaAuk/VNx4mY
xHVff8rdAm+1v/WgLLgpWn2scy7ns0jDc8YaD+pxGFI/BSEc59nmdIOB5Zam23tFWjcdI1k5REjl
G6UlXRQ8QKasRVT8lG+FOIsqQmXhfISdD8xUrmlU8TIqP1QmNFAw3IFnH9TOH2FyyclIkvtoSs2O
MhNXAnUsx8Q4Xddq46e8fTWN7mu1zTo2hRymeziZIi9rggul/8wqOrW6YcYDW9NecVjN2/ti45Ll
tT+sbhOXSSGpCa1OKUFBkqsYkxl1WBpCpHjLYfl9+G2y/GZ1nz0NThWS8o4zmRx8qXnyXpGmWbKa
mHjaEcrJBe+d1E1O8He2U72X15BOT/FYAjrczAp+BSnGfdGCG8oof3r+EC3v+k2B8gclUE8D7iNm
6bn+zaCZdtaIaWX1JyNUpb1EPb0DIuS2W7xaxQNwJLISC68mtWluGn2v7e3OmMp2RPKKfGKSsVXf
yERbSIccAFTNnC+wnjNAWLP6UIiKFiEKqNma9ZeFm3XRMjMNZ8ksT57RKijF2gI15qKGNN6nMJha
kIi1a+2MPiuLAcvQmCol4GirqYt44pz3AaTqIfil/rqJ02ue4Nqq/4AyeOJy/v3ZtQx/OxhSLh07
HwLC2lqm6diXarip6Y1mmDbmAuo7xabRwa58EFkzm16F6bWo0j7+oCIvvLz8n6VQy/qY1BdoPgyE
Gb/OnysPk8G3y+ItY02TZKo+RRQAKY+EOmr5yxr/OBhWRKrwEh0PwYSnouQQ2chM07A+VsV7eSZF
MQMTkppl3iy1qByo/MX4w/f6z1aKahRDP0O/6PjvUHmoGRKIrAVnNLBny/NT5QhKE2VMYEUCbjJf
PXmwWaRFzGCXFWq0TKQDSzFnrnzcWeXiY+YMJRJeBj3Ce7XJjRyZHuIYGfbyF3gmfj8ESyGSJskD
XtMzc+wy8ts9gvd7+fdz4NyaFa0TWWIraUWOgLxOWjM95coAv/qs8aeWitrasrS+meJS7rtnX96p
refg0IhHClaIIBOzu3batT2CZQ0PYqxrlb3lTRA+BcOWo9hAeHOJPtCACogBFOR4tgH7ZAPmZp5S
KsGmZDhIk0NNSvoSGnRxXaIY+G1Jzbcln8qTbfp/LTPSC/Zwn0Mvxlt+JoGqi7TOg7AEVKcuFmiH
lhTVNR/eil9jaUtoNxiQWb3miQ9xIsIBFQ0lRxIZz9Tbs2i/VtysYIcNiCoLAg6ktmc6zqao2mYV
J2TUKc8EnZHm4bKVbHJJEamMySLW2woW/i+592iSpd7tCPW/vBQ9fcX5A3EOLBzwW9tfzQ+DOi56
N18mHFKchjKoFj7BWORK3K1d567HVHmi47cJvYe1Q3/N9pARPYf1x37vPPYLJE6eQth77O8Nz2W1
/1B11rXl7H3+IkAF5YGQfykFIeU+ejl8MYcxPQpMzx0fhbnp7DPsIibwMl+xHPu15cZv9FjKO0kx
+Hj5pz8n8bBIuPxdtBkhSOu8+HZ3Ky9HNJib0FYh6iq+TTm0p4izCFjAU/+gEuXOgaqggvd39qiH
CYUMtKTM1CVjt5x0aH/lYllvAZpffuBnljusauQGrGymwchZV7NuYeJNF02xsIhH5CLEXSHoNrAa
tw/eIBO11UXgRheeHCkcZtZyWWAHern1V+M190ahzOiktvAcqBFPEHF3BsE8da7hMws2zNSRxsEw
T3678QpMoaNFXCfoRTkLKGC8msApKmCvJTEQHgBLRyUMlBjde4bYR5GehNn9vu/XIjS6RrcmIhRs
C+dc6ffMCVSvEIKwI6WyA1V4Vqyn+7zejVFYGUhAy508pQc9aZP3X8sNOLEQKUotebypmZBIXtkZ
Ztqjw0tupSVmPNnIoPSQd6MSUUC3SloXIKFjMKbOX1vJdsmGYE1rAiPLQeGlZ5bFiaaIOR05ZBgo
4GY1nwz5cVyHKK/TtxEZEQLlDYv/KKqMh+jN1GwfpfRX4xEwamOzERcP+ieaHBiytTn3ok91RWwZ
MUNCT3lJMzC7y+w2J8/AMWOhstV94XPayQTWTrFJx7MF2vOrsoEG20DBKV3ALFzVMOYEiVYmMRsq
6rsP6ihTZMf1gnXrhyjP6uE8kHKiJSCRG+0YfSXUormaJ3WHtB13G85lOekq+Ivoc0G2grA0O9Ba
0Pc2tDDmBIo51GDDsIA4r+SV8wemBKeGAvRscMhdNCeg37Nepd5GZWcvUraUD0JBESlcP8AiJyqi
vzyqm3U5Dh8E8kP1uFeDlnv72xjp2aXBDpYP0qmaZk7TAxnfapBplrxiQ8C+AgaEOI2+MX8/TNwM
eyrjoRTs4Mb0tHXc8iXMJ03Izd8Ijq6JMJNq6u8FY2Hjnsi89Mj6UXUrN5U+hjQDT+VC2woVwrjG
QE9rQHzJfs88a0HJCc6t4YSxW6QoEzdW2eeiDO3D+JNTjbc03jcaIjcUaiJPCPfGv+vKzsG7mftp
yCmb/F4Mr0icBV0n4ZcsDn4Z3wjS0Chf3m2D67C0LslPIu6Hf4UokOLkAxEsq/Q2dgfXHI4iZQiL
EqlKXGz5oRjshb+xcylcwQo1ApFwNCqnR2XSHrY+6SWjZowgggJoFFY3VaDPHTwHq7W+uOVwY62c
6+O0MoGE5HRUSvTOGi/baOkM/M2IRr2eCm9ZymhPqOpzB94kb9RI28FWZXLvNdN1Uk4fDTt8hJK/
p8KR+Zu951NOPnRCHkOePxpaLgr3VZUvrwU+iwF8fiRy6iIAcYG1BC0GqtUcavAX/dDF/gbdkfL9
PH5VKlx8ZMFBxje0QKBfjw4hALnPwkNWtdrRDANADXV1l3aB/ShnCAFc4iS+fG6eKn3gxFIjgt4v
YWDM7oIprvLObbbp2z1TGKcfHwRWqrXXtFcCLW03KXhkmlhzX4HzXARh99Uwe9hVmsDrmO2X3HIw
RERnL2HaKW+kJKiJ9Nv918bfvu8d6CTQHTRw7MMczkz/V9TD/pyGz2qX5KYmNru47yaLHbdfVfY+
5Pp/h9dzJvPb5ReK+8SsLSq2K2socnCGvT3cbIqQmhM0dAPJ09p/Kpv91bLxbtIcl0E1pov0um+r
ZH0Ue2q2wrz/6g8AEHFKZsUo1iY+M2ZsWKgi5pTgCCrtgp6MinGL5zvEUW7nA+WEzpn9asbggDQ6
kQ3lBD6D6PX66/JfVkqBxvxKe9HYXzAgvYkCCzgTcgB79qqEBdMG+zOONo39RaSZOHe0DzTCE6zh
k8UcLVAkYIcvmmDj472sK0k1CqLtFPMGYH1Oy5cX5amWFdnAwhF+TssazO5NN+gLr9/58WGWIsoW
tE8BB0cqmW5Naa8VA2QshXSfM+QxYQL0CSlJ08LRzjzXc1aC4ynChuqO/Ywv8AzMIEo6XEZT+rZt
EYTnyWcbvqYx7OfKwdj3lYwbAk49Kn4qPcKm5MysQ03EL81GLLnvbaL0wlrWZ7byqVIeRBiDR16a
A5Fqdkumq22367sSXkLNFqUyFknDhbNuCHmYX0Vl/F2Xk6bmwYos7gYOBTNWEfMCAAqVd9G0+SYe
SbMafnCC3k8O5+Yf+bedPB9DWERYR8HFftafAtuN26wJmJECwcj9jn7/ts84TkqU6274w86CTxqA
9hxHoqsYSwSi2zLCs5FAfoo666aIY2utY6JeJjf1uPhy5pOfqon41OSN4mcoU9ynnxzXkLrtfJin
MnPzYjQ/sAfZRPcBJnKqA+TXHpS8yFX7zgOJFBMK0shHI8BhU8H4er+N0uszz3VyKfK1hZwwcp2b
Z05V145EiR+GAH1fIryIzUAnsBDIjpzBtDluEb0ZltW1TgC5wYjn40XWN/EYOqjnIsD+weDkRC2+
JO1JdD61QM84HC4Gmc4GlpZGodGefgLESXoAj8gzyQtUQ8pv0UgLgMxVyAgGR8MIOrb5cp5J/syp
jJ5nCVsCIT0zUMbUMyDHL/10iCoveSsOruBuTUGNICnxPzbkj8hwVHC3MbNTPzYs1quh/mW0SMj7
07F57VM0nBf5mN5kduKjng9d1Ej0CaCRT9dY2uRNRpmUmXwswQr005+ysGIzbABt+POi+Y96RXsp
Rx1CZlQLiS4oxlNmbd+LlGoABM5ADb8VqKLqTJQARYSUG4rWavlGp7uIGTrppZx9eVGeYCA5sPVZ
kGogaMdmxYRFakDb0gje9fHyVgVDmcO/AdoT8mRohDSbYkup4kXJ9DWzxezgbKeqlTGo+vZmTyMU
ekyREDcsFLBOgKqoU2IhRav2QpaX6iSFqxIuf4bPf+ryQfmpLHXwQgYjM2S42C2yIEiXrlm9B3oX
fCFJcoadt/ZC2iAhv4ZoKG75YYKQOQQUIAL+bhTPEMzPg5Gn1jBTv8DHzgjmD5DubJ3sEKFHe4++
HTBS/VnZ0n+Q4CH2rupIPZRRq8mUkX5cmIwZSAJXuSU5uaLyuSwParuXP/2ptxa4XNZiFvsMvnUm
/IZ6WBneJE5lu+acNPQHzDiVwmI8JfE00ohCw2UNcQXgHpYrJqGcRSo+/rCUOHFO4udrEzsH4MFc
cra3JneRTMGGwWSTAdURQqUqKRqxp3tzdILCWOWXdtfxvm4aWqx8e1076Re1QLr+ztuqntr1iPq4
WUIAuBXuHk/fWLpwku2mTmFyYYWFhP2635Nbs8SqELqnO5afhmEwf+7rn824+aUBqmhCsmASrmVe
IiiyXIBUlooVZc4DamjMam66dMQIgrGCsANMkkRa+4PDS1XF7PDiZ8gCidqI/5htl3QbLWvAJpia
wPhNRwea2HdZPpLqwSSfKtMjBliB8FkJdQmvF7NAve07b1vfCkAQ5dkELcF41QIV9bnYua8w5L9w
EZut/f6sx/2JW/33hzYh47+tVkxp7SyPAHzV94ab7qpubwV66tVHLFbDLg05S8XQaIYfcqXSfNBN
xzWI333n1HdySPqvNxGmbuSnMUNn2IBo9umSmBIvqrejlgRlv0015OMisLCb++VyeGsNENwAKDjC
1Q5LAKx2KnP0+ZPXaT5CH6q+/394rFmr5G7qZT3kdCTHQrJJKXtplxiD3MrryqZILKPoym5ham29
292Yfh8b+6OBruBOpgTA/as2gddFo4QnMRUaCNHT11W0wNnBjtel81AkOxWP4kGKVS1jc9kKqRIX
c+zoeCUc0hibw0zSbPEP2oTn9Q/PRZ9AJa56Y16b+Xlfp/ZUb9+qf+77HPSJ9wQhyfahgVX4TsOO
0kBL31ADLX3Dw3MhB8mtL1JSvby0TozVnz7TbGn5xSJ3bXzt3sqptZ/I5yuXmLx5/EH0EZ2KfYAj
Hk1MF9CgM/yYYAVPtAgGUbV6olm4uG20d0A/PVBS2VDJWRQX9MLytTTg6jHP2vh9SKTB1aPyvMhp
F5Fcr8VmNEoIKSII4IgGBmJYF+k+aDA47Tjm5EjRLYCJFL2pGuYPEiW0OJ6eWwhvybeANeYx4Jvz
DFLHayOnznIYmlyaDu8hws7F3vYErnEIgNuJsCcV5pF2JNl9htcj98ZnsMYr0cwFHh/sWJmTwgIQ
2v3ylztx6wunZ4QHPYqp2TxVr8Y9uV/05W/Ewil/qDY+VggxFgJV8yHYWK81TpBIXdighrg6sewt
nAczXaZyOtT651r1EwNSnm4lYw/2n/PMwA2afh5affX36EwqEQDVAlKmBo4y5DYZmpFPwDjaN3oS
OVTK2M/MkDB0E3gpw4eetHQjNfz7ShOmbLJfU+tP+oHnNwC4HLE3FFNYBFMbPD07/AxD1LASAkqz
rJpbcy/ZpZhproBggE9zVYHHa2Ar4wxZax0lsym/4/zQdqV/72xZom+ha0LhImn9DPqY3GEx4L2b
3wEeEpYYh8FNjXPKuyiHS+WSfhxk8eIi92MbPUY+XgZ7JMhtQzittd9hbdXDuraxLsqSHW5ES+ie
2GD6lxEeIOtoZJdGizQHCieJM5qq5rr0y4Z87Gq8iXpkHKXMc5i+7l6VHQ473XbxaIex845wzuCm
rKIapjaKci/hPwJ8Jl5DRmfnVKCs8ixsuwZrp75FOMr/s24L8D0plqOjOC4L/lIdBvnaZdK/tlpl
gwU0f+WI/0fKK85snIv8bbJ8nW1BrCMeOYsbopMnmf0g3OxaDUocvKamauldd+Vud/nybjtRlTGP
hrotAyaBKLMaux7ZiZEdjB9EwRJ/XVZ6Gjdk9uadanr1tAKMhcSpf9RpIfdwYbiG3gUr9h/Dyh7Q
HJgK9O6zrAGNSQeJZYd4z8PJIf/TdBH8evl3PDc7WPA7FoADbMkA+4hZWeZatIrbrAUMAnIXGNSU
0q5zP6L7tZEdSkuuu1p3ow4Mnb3qwY+sD0N/evmhnjvCzB5qtrjRnUaBzJ3vJLr3fFBGGKgG8ZFF
MreEkKjd8J+kiG7UGurdrcBnmb8TkskLTBISgDfY2GvUIe/wurTIcRX/WJdE+y5vbjWZkK7y/CDK
sD1mmzPE7Fsm1MLX5jbKVlc5Sb+pwrs2sikiqiuZUJuDw8a2mJ5bQhpzlTLZUfAFrN5XxOmBtnHI
JRQAAB/tZnefF4AyGa4nKBKyncvAfbzT9ETyXl/FC9eLlNuCDFW7a2h6Xk7nnChUQlT1gHDBkoiH
uWQ3HbKlH4FjGkawEF8z8Edkc0grQLBMYyapH9nT5rf1mDEEU/BrWW3vl322ltZGUgXNZDLf+9jV
pD+B2KnXEMs0aADmGFz8i/SYBe35788+O8AtvN033aokVUAbFVyBuREWYx5jPSaRMkY0vtGk4vUV
aiZ8WzRRMac3QYAdcpI/kGCdOL15KMY3mKFR/M1dh6dtvZmqLbefCCImUsmb7DWt5zqCz2wKp91h
QClGqN6m4TXt0a7AA/eIiSdMdbEmKu3e3+1viqG8kbJTQ7bzn//UGYFdgaxlwFugF87Oum61S0s4
f7QbAP4YsF1rIKnlKwqoJgiKHJBiW3c1wqg3tu+/Mq7gyNb93HnnJt6HM0eEIPT5FsNbEE6eYGyy
vp7ey1O8c7edvyAz+W96h9pKO7Z//COlEDcP+N88F3IvwUQCrsm7/9QMwyuZycgKg1nZ+6L1/1I8
9JlnVL/z7BnFciZ1xDA9nj5jusdCr2pW4HUyhFKhI0lug8lD5nExsAck4xc3VQesel6VxxF2dNyZ
TNAYp0iCoO6t38McjWl6mV1bFlQ2DggX7X/vgNaEdH8vPzqW3CeePcRNTGUvNrFzh7Ouy+qgDVe5
QR28xsjjDL1WLWe0wZXN/ebuA/L54kshdv6e4Iho+WVj7640iBIdIEOnIOsrCVk9TMUb4twFOQ/R
hAn0wjgcy+ReI05jZ6IsNnj8GQIQYwCAdkusXqbBkGJAKaF3qhEXwNdhgiCqk4iRVdbjuzPdKKuk
3FJnGLFCCAAH0AuzjvRFSWV7TaLGOvzqVs1XTsoGPhK2flFNO4PA0QOta1JFXck5hfJYLIYGVluE
87dQcXmkq00RQibtyqbs39hRRdsiMyg074ClYuKI3ZKFMmLsuNY5qdXXdFvKGMECNdS1w63EaJr+
Dr3TRTYV70WbzgL/1//Vs8AkLkZdDGEMxx2NoIb1UnMJax7a5n2cdI9pwSOLNjox4zqzCp4Xv4oD
EJkC1yHhnE8XsEVfXHT1tL1TaydLBEP0mFCp1NxZmErpHpbfrUhrEfIeuS5jWPKg1yTxZzHYj+dT
ak6AiHjM4McDBkJfv5gPDtJs8pJF4ufG5kNGQvLhlXLmqKHKYHmqKNenFMApFqUIi3q5BRI5iRv/
AKp7DiLS28CTI+VkRbDV3AbAddtlWWwCDqWRewYjD+0ELUYR47SSNZ5tFswpATxJ1DN0FK9gCofD
mrkzgbCUYibLRWN7oYo284J3Qj4Dt/1quTAtlYKuYTdeKueBOuYdz7a+fkUI1IilGF9/VhIW9MBO
CuXwYKISUdYCHwuJ15PaSpuPYEyoLvQ4gXTlGwmbOObsssaIMIHokbDp0mrgNlxqqOPjzm2oNQDS
G8+9S/I9Ob5cIpwQ5Y55KOQxNX5lyxAIpVEE8dsL+W49Fi5RuHgsiTETH1lIkuwUxM7X3NpbYPed
INmC0iKCvpFU54wt9yzGmkVA8aTbSCw0LUqLThHjUEkP+YcgMWt+GS3Hx8wefiCNStYrb/9KoxL1
nEme3+RBcC8Wtkotpdzmu/a+ijtqYmr8FjyJ+9AHs9Bml8pSFs8ikOiUls23QUASsBxQE40xGsdP
KEEutW2aCs4ctbWxZkZPf3ivnPhUI8eTR153vRu8FtdW1FaO7F/duP3pMgaRKFWwh+F+yuOtQB7a
rC7TYMfyA6LEncnnWvEJYpExnExthGdZS6E3i8euxTmCo6MjMBgK/HTmJjnBbYNsx0ZdrFaBQhnn
xUO4K3L6/M2d6i+d3tLIZBN/phaWUHvY2Lf/EY4ijoK+neCJY8Ho5ruH3dhciwBiVdx1oF7nC/Zn
Vu7Y+yljB50+ujIOFd2Gv+G80N4nJ4sqRsw4ex0RCWWyGJY/qKXJZwGZi/Ywu5BOieEq/xMhc7qn
RUgR+VhfX+C0IaZslh+1T8X/OA9MncB7MPvmtGGQInhqThuadvXSCYZRIDAAHUxGuY9FAyoq1bVU
gp5nXDOZAnKqNPlBmaPrQ+yHLl48GjMd7uU/GKOeuDkAWpc46MEo91f2rINzkSjSxS3dOzMOp4PT
aFdKe3vixmDiKL1NAHwpMyKVZtLEyX904r+3SuuLohp0t5+50XRjPS3JqAPBoELiPvD3m49QfSZg
SVIF4Z301pEyQgE1pRrqfWxlD+UYGDB7SgrryY3fhRQNKrjFX8QMGWW0qg8293APPfdcWXvi7KUb
ACDzUOFyhczOXquLm2EfZIUZ8Qo+kH2oSMEa3Ql20hFro0fPpFMXDZQnYRJIxjTMuCS52Yy7axWN
PrQDz/Lf7mP5zAzw2hiEcst0AXKm81j2syR7dhCES2K0mDsuSQ+aPzikxrRqRL2E/yC+Y5k6j2pm
VDL4y/pHbpffe4fzz+fjK/cCKq08JiTW91C3Cx8xfhMc/RK/Gv0MJia6QySdi3CuKj1OegiGcsrx
mp/y0dB9JJp0RvfLYO7WKKctDK8iKmkq6iyBThgmqw9WO5HWhqI++SnJjswdGhhASt8GNMX7nQlT
DN2e5k9tgabmZhwgniTKAg2WZXdiMsQZr2hMEVWLR1/+KRgcyuLC2rQX4g4eqovg9Ybroihq46Er
MzzJlWSboom7YGxpU4OseT1Z5Ue1buqAZQQTDCAcytNC39J71WXURGumUFeL+Je2r24Z9QEiL1nL
zZeXt4ixTJltEXVVjI5xqXPBPJ+ehZ3Xupukk3cO3V6zR+0EeQnaze1h6EXTwtmnvGmM+TOLCCNU
IiIeKqVbnYAcPj1/8Wh4cgBJikFSPSagppkwafVS4MAwAkff/uSnVhc2oii4PA/oyz6UXXFnPpM8
HbgWhYTYwfa9pphlxvehzdSoRswGXfj2pvgYJNUno+2HR/31sPh1n/HBcEjTyasTubZ2yCftS5Wy
gmN4qX81cDpMpIW6fKT1xvWHMiVCnGoH048CJF/dueQbKlPEd9ZJq/1TOu3FwWJccEFJSpEuZ4gy
5zmIpz8JchPQJOyMGAM//SRuNgAQJQzuzScxHGLsU00TySRLiKM9WZxeD0cSipmPItcyP0DkTIBr
jWk0IxHPw97LW5KTpUXtQ8yvCWBltRk8BwqD/ncDpqSrriYNvd2vrsWty60oXRdt9C7aUXBrJ/cu
/kU5pgXUp1QVumpUwAbQAIViRnsKWJmmaLLbbArDyFbupiwsGZJcZ1tZw1MHiQHXb/KfOqzU3IlM
bDBHfBm87fSoXkg0XtVCYzDd7zYTefNILyWMSePpR72g+Ek5FgsoYMJVpFIpfNxVqCtUib28T06Q
WDTJCJcMFTV0mccGWl1ZcCYOwd1B8oVbI37jR7aFWl2Jv9TwiwFrEcIwFTlHDuXzKoftqiSYDr01
L6r38TMWrprlzUUZrN7II0b/d+oAT3KgqGYTXfkPuCInLmoly5vLmunWnI/hllsn6VqL+UYfvtYb
O/KdDgekDlEqbR122FFoExrwSdWOdBpa8tLvwNc483afI2RcznBXOILgDNDsPV3yvpf1474JQ2bH
f59CHveF8HTCn/uGaIigwocU4JHJBfnQ6yiKvmvmbTCogQQED8KYKEETzdq6GVSZMygQdayOcKb9
g7b0RPsH0oP0Fvd15GpGkvRbFdlNTRI7pbu7k4JSWHq5wVp/h5+Jg10ncy0x/VVbyNnQGBTI+5Xv
bHQDTAlTPMIP7vDducLixHfm2agEaJy5p+c0ZqvpfRLY2sBA6nbHqT5tfqm6Fc6vyazaTzkcNYiW
7eFBXnUSK5KlSEPFSItOGnTqs2iLsi+qY5QMmrvJMUY8cK1Ndakqjc5jkCcgaIAI5Pi8V9iVzPKf
roc02dtu5FKhe270XZnUhvpAb4PD220W+x+NdVPCZT5qd8XANcBmpkHl5IkweaHZjS6byf+lNy4m
hByajoB5EK8+dq6U3nFOS3X2sNDjzS7VJQxyG0Iwh8YzfWhRtA6U3jS4i/Jx7e/Sj8tsvFP3o/oz
K7egTipI/q575DblT5+LKjI+Fma5UCM3Ix4gI00HTJiD9TkUAE50FwztzPY7sZRp1xYML7RWcFd7
+rrdPHWLbJHv7qR7yPfpXbFqrnVTmCIAqmaP9H4dtBSkFfbEMS48pLwdMhqIZGEfBiFU/gUZ2WXE
/A5lOTaa5Vo+RCpVTa++PcS0uyJFZ80jRcd/z9EDvCTOF+oHjXs4R4m7CRp0Grf+XYOOmkyGz/KL
1OXWw2pVeajJURMvhfVdSTSCKO+twCsf67hJBg9coueRYWPr9HQ5rFjGBLrSESNSnBMguyTK+9z3
MS8AQRCnyyAo9Jt6NsluzdZjNa1FnNDl3oUDBpyUwXr3x++gppkBhrSkZT+SXgNmIBOPiDdr7CIA
XoVF1LATtPBE/WpgrTFguDriiqp5znNuaPKerXh+ItpGOftDip6LxNwUQGCr0sTzNZ91SO5RxEqv
0axsRX13jwoozL56A7EofQix4tAfUq83Q+BdF0k6YlbchrdZNuZvXQJSLrwOWVxlY0vXtvUdatpH
K7IfbZ/wF4HDRHQt1uUCb+sQ94PGyezLfmkFZKsAqbu2Eg0AOLzNZF+XMThxaqHPL5wNIYYk/tgR
27BxMccy1RJZEd7mS51zt/hbwljSDk2dgirWaQD9eIFQovH46xO8awolOC/Vtl2XFvku/ZamUcOI
IkLvW4CCXu83NdhRF/1PWmAvJ+KD7TKg9xmSRSPT92BUolDHj89QwxIYh6BkYT96VTi96b3oL3uj
nwacaGcsVeG9TZqi8bOVH8qLynacx74sLrw9Ydx9tn1ANk4EUJ9l14Jasoo4H08ZR81UYHAHaD1R
d5fBRlJmjP9MDCdT//EiGnEBr0mxMW6Tnj18EJbphgyCkw0Xb9shWkj4R+yei7Rpcp+sFk5eaUdU
y3u7YiS9ggOL09brlu6FXVmYT+/HSx//Qz5H/6ltyuaun/jvpDKpO95y3Ob2Gkz/bbohHqegI1iT
KHQBDlzcZNs8xp6OgcgewXwQiAZJC6IytAkzsp+iOMXcOKDy0zoJdlF6U3p8KyA3+nqeDj01nZVX
MAliPWFvzdszkhCsqyemwn4Hjk78Dn7aDalC5cS6qZWoUUSEKBnhUUp00uQnzmW8CQFA9z75VEwQ
rhq+6X1fS8PEFyQMLoAbIYZFtmFI5/HPX0WD84jy813pss47FzjBo0OCQkwfW/wssZHxrCC4kdIm
HZ38dYEjzJo5SLzeb+yLPRq2dVHuh4vB3f2PUVpbkqgV6cXKLr/V5BtNKioRKOCf1y78iz6vCogf
6rZiVpdq/Qh44ML29e2sencpYUdPXhzkQKLX6dz9SzuvcQXvlj0OVDvvEfYDd1My5u9LJxnu61qq
hbRDU2rTtJVp+dNPiTWiOaGCz5wWDaX++YHArMtobMAokmr3yvwSAY/olQgKxfe1x6XrMss4DDwf
JXwUevmrINHqXFnNVZAT+ZRt9IHTFSa4y4rMNWUDeCVVcp9nBR7e290rQkGrC7+C45F5JfOhjF/h
wF67duKKVTmtVBNueSnenhOnbwk2L6vSfbXdDPkVYwVGS+N2+VoRjcH/cnamy20j2bZ+oUZEEjP+
iho9y7Zcdv1BuO0yCIAEiIGYnv58K2WdWyIrxDq3u93dclkyCCQy9157De02u86YeF2UJd/VMQu5
Jo2Q4LGUB1DmLryTniKS9NrkogsjOCrtRKxZjnJtI6t0j/Xq52xzoDrpZZzz98MM/2hdDGnQR0fZ
lCs+YMGmM9QqUAw/OcZt+qLZHP7agexceiHLtQyrhrnZ9o8xK5lalQdod9tN+savuTpzYIk+5sWA
RmHFxZcmJtVvwkyk77/C+OczR9qYxna6KElz5sOMD4JXnJFAVuIJ+TiZyxLnEutNka/LPZ+4dqHc
CAGv3Sb809+Z7ZVzQAPKCmOIxdtgZqTExuHdLH1aLttsj/Xuh15wE7Be2U76u9W036w9Bl3cGie+
LjAmKhy+canZIckKo6fseGhdA92scPi9rGLzsWFjcevcd9shJ9PHS9bdkJj1MOKtpJSwMJnyy7b0
enK7RnMV7fmRleGl7AyYTdobegIutOrwtfFdngL2NFjSG5GBeDN8d3QIlUziawSsZPUGDOJoMiEg
Jf3+qptgA4iXI4iihrC6ptnkKGJe0I4lYVwNO7iZnXod+C2YRRVwxcP0fSxYVX5KsF23a5obuo/y
sk70qun3aNe19eov1wrv+K1shSpAK6GDFM9C4SpA1CBgIfvnJjMwIF3yYr8K/xj3mhbvMfGftAU6
bOzZwvdFfO545++ZFvFf2PiwAS97yCUtcrvO50nkYlFnwfW8YDM+4AQf+e/NajdfpkHdX+VVRhrc
hheo1SEXMcivVtK+9nO3LuYmvllWxI8hZNrcHOZDDD22MXSwZBht+9W6GYY9iW1a23AGywqqVtdH
+Z2JeEPpcsLLeDN5d2ZmQYoARupAua7tQ8mXLbhfad5zOnqkz5Ek5838zf12WF3s+/KdDGO9LkrW
TkRm98KtdXpuXFV4vKv1rgPS3G9uokirNlz4vS4tgIeW6XYVDQUY4ZDftIc0Xlv7lH401xzDBj02
mzjxtvHVlM0hIQS850Ua+jjc74fbqoHX1gXEF/hFNLyNIyLsPJxQ1nBgcDFOuumucwgYu6wXNK81
7dNrPlN4UdFhXNWbZXfrDe7nCKaPfa7jZpgSvFy2+4AB0hJd5Fm5u6uAwa+dcEovvYyyI9pVywfH
VZrcbhPcrtzxi9uvnMsaM9uLNkaA3MbUB86227/z26VbR+UhwZhl1dysILEQdRvv104CX6w88BY5
M1vp0lGYxIfhq/2KJU/JEdYxMwfe6v8w29jlzsTZ06X8wi0tm1hfXRl3H8dtXV53UccM2+VhSXWd
dav4bgzKmLyjKXj9n6rocAbbFhHkNFOurRekRfFGkqHXEvEWDHDW9a6HVdijPmhXv0ZD+t+idMN6
v/yqmf+sIQyF5yh4q5MKE9oawlwgSinbTtSfQ5estnXvIkx/NF33DR9MyghxuzOfBfTES1Ikm0Yi
Ui+CVH+26G5MnGC3R2G2YW6DzWNRJj/tPROx4uV+ykY8Py/4IasQuuvSj9CIHIt1vQmpatOH2E4A
DQjGeAymkKsrfV+G951F08SLJQLMyznGwS0VC5Y17kecXK2FiYwF6c/fqkPQmFTGhz4pG5aHM1E7
ImNfT01ldVLwSG5iHG41irKSlRA68mb/Y1+6N8XCuR8730SwtbRlusssrr9eZd7yS0ajTpn9KcRJ
0YiyiRbrJ86oYCdIEuogFPoovyJZ0dimjlEp8OiDvBYjzn6rFZZSQwJo2tmX7+fKBh4d3VCitNER
4Z/LPT3xOtsQYJY3VW5RalET1EjH8IetoSBSMo3bNWaXK74w366E/Cqp9FDBHJELFKHavvdoamJf
CQ0ldVTqiUipIORJJIFhgaeV1T+ELW7a+L2bL2t/S2a5zP7ogJW5InKinozGNDbTAkbzcvDuARAv
1HMq7VvWEfLSksLJjinwqo1Htu0ZpRMOPyLQxVXyUwjMAXluaA5vLI9EIxAbCFCQeWk58eSxyCOo
PnBU1aT+UpVgc1zzTJyxfJjwwLhQjyeeiYI95M+dxSrquTr+ZEeYFBsa5iwKBmI8PgZQVtLHpFvp
7qckf7N43o04HbXHjp/jpInuPvsdw2G5hjhE6vbo5kbkSAapk5FYCamSFuDlxx2fNpMx4Qrq42G4
+/ArnsMRxcIwAZd3KAn08cJVNXG36kxcCGRVKchGnHqhQqVLjSrTZD0QsUUlJS1yEo4j7OSg6dr+
mULUBgHgsV4KEf/NEtHZpszDLsBcmVFTfeAIGTfq51hIEtQoVV2cIXFgbBYch2np4NJCPEa9Yrgw
A/yNGBtsIfsiXujQ/8gsXZCHUN84Z/OGNCebZv1MSco07pbAIUNFT8Bwxe9MEJCYLEQwIx1D8Amj
/mFzWMtXUOMLTVpEBKmgFIhuLjUnGbnVWi+kgv0sR7ePrtqh/GAn0FArJOtUx6gGtsVHRnN/UXSi
ghPk5Ud2ytHBeglYGepQgBIeUfTzRzaEaRkS67f6ICheQxObZYPARQiSQEfJJixHB9Kg7rTU5L6D
aQDbj+hVHjzYf4HEnSBbTMzhH4b0B4HPqPVIm++YJB+X0Sd5Gc1pN6gWY27OWXDvU0WxYjq5Uo8G
BXfPbGWixpZcUnOoept+6yAk0UEPD4K0tBPKNEWbnh1DyJ6ZwXXemptN4b2RFZlGMefTPk+n/9CM
qPO4tciUQ+Snz2+vEw57M5qqBEHijIB/TgAvE4/t56YcrvKItasRKr4Mv1lQ8QH0TXwWOX2vxoH5
GINKBqfnna38kyE7w3UcDsgEgVNONXc0QaQ2ryKOJt5WwEN5z6swUBaafBKBhNZ6RaT3FGZrGKZa
7jvz4FjO4zqndbftVJAzzL43vCeihQimE64PXcRm5Igvad8fpfD9NhaTg42YgZqmPsFrpoGcxPBZ
XOPMJzZJrCayAUTa0ZtVzEzMmeSKgaDhk+xgNM/8P78TYO9w23EIcIH9ElU0fxsQFI431hsUhfah
1QVWHB5qDXlsK+m0k5qED081e18S4xmvwGm6kb4uQArAlEuBWpKTnE/9OR1mwaRFI4dXBeMBlIlH
TL/CaeJtJnMkbbAaA0mSM4aPtM+u5ZDbF3tUH/QwbTBdbfYepSjCF8v51j44PvSF/19v7klkBYhz
k3sX8vtaHpfCVG1so4FpxLheQ9K03l53TXhmJreyysdnZQGfQ2ZvSQTpln8fvd1VUMxteki2b8py
obdtLzdN8SGiwxsfXUVRXrzqivSn3GrKjrk2bAOtwswAZ4nZbjr+Aexc5tA/RFGQof4o7qa2LL+f
H+E5Ce5FgNZeVu/y9/4EM07sFhnb+DTUw0GUU/xxd5wFyXxtgsPXcoaqwDMWWxrhuyXK2xP5oGfe
/jEmq3fa8j2X06ba8FflYFQC+ovK/7As3k9nnjnPocpTIVgiz6Z65/cuuv/iamkZ82J4LV+1tkHG
K142Xay2UyXtiKSgp6Df7yaOsQhzKU7MLNz9KMUbi2dp7BPMYrGEkTCc6Tsf+kGnS+vgKcZmJorr
UwyXbPG0P3sVl6sECxkhazdSNSb3BM3ckCkBuJI/qypUH6Vqzb3ntPceUq6X3y7LJDt59glynFW4
wh3heNvxwqkKYck9njjiUCheQk9miKlRM5QjIBD+DiTKp+TGn1s+JzoCuzh5Kxap8SkcxhXLmbF4
5zFvLHwB7u+6CFMm2cpo9QAOyyJBKmwtgayvbstV+E7H+RPXXOW2sHg7LCsSSoabOLisd+Zu621u
vDElAgqAZmzUVx6mmy5soM8CLKgE07zb2f6QkYlK86ffK50bzeLswoF+oIRGDNq+qJoA97y13t05
LWG2wnjYUhE27yPKD7nIZvOjObslTKOCefnGn8p1OOkjUnzJY2G/p0Q72ta22zTv6y1MNBlYkQhp
U5fYYkXvlPewlYssTDd87qvsHFzoBzQHonsada/1RKsqG9R6i2CsHnFz0Nkq1p81JJvm9FKHlUxG
RXsVAePMhzitC2ApRsxuIazBvzqW2XsbD/pP6XVv1UnbOQMRjbflfnejWlPcUzuq249f+fqVMFjt
2U9ipGwH2xwuoIyGxFKydTv0rp9Sg49b+mGF3rchTAS9Quw4YqH+/8zzEQMiOEig3jF8YQJz9CyK
1dx0tTvf1ys4FMx5tXnLME4+NNrQFIbREfvJzmO14d1m+cDa+yJrgKroPzpd/gYu3Jl5vjUVev5y
Mv+kHuDuQrQElXx+XUNAA+Mu9CFKblM3aW1xdSZnGFNoqC/qpYbmZcRbKD3xU/yRZrO+AR+xAVKa
V4nzqtpC3Bypccs5GhnlRTTDcgHi5y1U+fDBibeF5ksLYAomxBIKjg24U9YKfQN4H3vzSzFg1l3R
BXbS+as92bdgLI4pouWqPBHnSB4e8YZjgARl2z5Zw94WjF8+JCgXMDQd1/t2c1/7u1u3K2/Gw2aN
MB0dIo22dZCe2dIVEWSJMsSO+Gb82Q3N7kpESPmjii8s4YD+Ipv0NgqOhKXsUUdr4N6SN4XsAipZ
i0yCfVbFyrLBg8KdP738UvxDEa9xNaUc3H+6ruP02yXfb2d8Y7y3EuLF2/SnrKLkamTxcNEZtOWp
pRwzLlP6QGvDCzdEU91hFjcAxvX2/+6eSlpOiH5qJU0xJf3RelqqHnR2axgKofuR8OOJaWODw4F7
RIwUNuIn6RcQhFvxLSzpjgZvWSU/RQSRwbl8Tgqscl6+c/9QUAFKoO6SxMSDEHnc/mym0GAcZz4o
P0CHzqP9LFKAkOREgg9s7mvEPI9zO9vDcWF7UxipWkzW14esp63XuhqZ/JomYmEwMODsVnNYc7av
4reDy74o4lqkqrA599KeOoW5CDYIqwuJKEEDdEyLruow2DaBV76NfaL8xMhiYkaTunyqa58pJyUS
3GbVq6OfbNZJTOW96h8g3jNfA/zNKWTJyVJ5ou1lgfM1YIu5qvvrPI9feWcDYE8H62S+QuPWXUel
gFfh821mcb10Mmk+MXVmqlzVzAXqVUBKchfTWSTsBn4j4sICliluY+ZT4sJjE5JWwy1Xio0Na9DR
PEKxt8uGVm+us/XsrYisAvvf8f7LWJzEXQYyGY6WSpmCwQiiwKgPNqi1aqd/pbkRjDZ452iap5R1
yIDik5Cnkbihvzo6dKPBY1q2qSdc0Jg6lMn0IM92k1GmW+822quY7KoSfANi2lWncEzWjUWKLPFu
Zg1tAPBQKwn+0TtRwFjXe2tTIzknRBV8+b2wcRHPz4EkgViSwIVhZWE4//wBtcty8Mtm1WMeCJNe
45DMfCctEEtmObp1e6im+7+s+7gIVAumqbFh3yErUX2SxeYC/9PoHP4S1IxYlkkztXRITe1Qc4L8
qrKQPsQnZUEVlJhNMsMaDTx9HDOFjGUxTMONuIkHnqXvQZ4wq9UPf2DQA1XxyvQiq8AgsuAcJbWq
3mKK9muAerz+Y3wNKSKpq0TqlaqkgN6q0uQ8mf4UPOZesYmApiC9lWH00T3jfYo5++I3YhiWJc73
InN0ETzblHGyGFBiBuTL6s9wY8YLv24A+AGHdBcUKaXI97pnlsKN5iPvVZPT9Y7wkHXgWY50TfUu
JkwtNWEW+xBgwasSudsetj8MtmfMvXIKHjAx2AtZzQ0UYUpvi50Rqtg1afTz0e4CNNiFe2cJKDCe
YWarCn9qQNrtrr6uoCus1ZE/2jcoqBSOuole8Yv4vO1l64uvnn5hgPBjqBnfi2RdpAz3Xl6Up2CK
FqPiEFmbHCj2n/+tL4fLUTtLH6/+n8kDYLIVuCKwVcuWldwyGw8Cc68j8kgflhnsvTotwXPLHpxI
QKSC1F++utOcaK4uQKEJ1AP1Fy+/549/waRpUzqtsXqsOOJFD5Jbl46tK/orP0JmVKKc5pmodfEr
xsx5emUDB+hOhQOVG4bXj5QIMH8b6In5APzF1YWhzrIuQQ5GakBFI4I/Th0KWGWE7mEQs+6fBGeA
29iMI0IFc7SWOBn0F3dDp92N5r//glB5Avvqk/vI0BJ9eoxnn3/yYpOOOLvFg41MF8gVj4itVDPi
A2CNQgDXhLEC9hHtysHYsDsP2oeRC2HGp/33fJS7JRs+28R0XUEs5wdEfqCJz6+rneNwO6ThAF7J
gKWOqU1rRwMwn3q0Q6XmZytYAQxujcdwrQ5Bebq87iFhcYbOS9+v0zps6eET2O8Ebj34YcNQYciW
63FiKk88B8wQjUhNDi9oLDmz/H43r/sh3K2rcCgvGfOFpJdz7JpGY4Ge4Po0xwxsRWJ4Gl90vSrN
DLYMEgfRE6CYKJ4tnuvNDZP99zU+oDCbOBKtb0Y9IxvbEf6uNOecP6g9wKKdccJe2JlNfV3bYHgW
EP+Pj+STZEJpIh+ORgDCntPQj8BIdxBlTMxXrbutLsXsRshnfg+qM5pUb7eklxQ1P8dB1S3Fcb0V
fYJKVtWEqfqvvs9824/ZmLHgbm489t1riI/M0GFN2wq824pH0HOr7eSu4nATuB01gIjRAkGqdPLX
vmGHrHrnW9WxgRQZhJWXX89TdbwWA9GNtFuKIzVHi7TNIsZ1KbC8sgntAuUgq7fMkZTFOMIJh4Cq
XVKDRw1UBIWoHFL6gbaM8xFu4QkCyzXZ0BpqMt6d6AgGa4PZCdOp2hGDUojpPx0+odTybkxLbsbE
6ArEguGo+B9bVqmVcaBFFuUiyiHmtAEsD6m+ERMWJNisfsWjvGOypmPMQudo4ECw9YeM2IPtFa6U
AzsPrKJs5TI12sPaYHF8jhcYeMJo68411xnNw9qE/ORuYkWNfZFgmAxDdEPzj/MDfDNnM0Msomgb
WszgFqbQ9M8Uk+gd2YwgsiUwj0qNweqtMLk9ALffNLeGsRdB6SzCxeOPLlsOloGfuoDHDYnzLYs1
IxOTJSP0jxdt836geq0r0QFBQ9fDiksWYlyOuElnrKlogaByZqmc7meoznzonjCI1FEd7eRt2Tvu
tsdctKRBoiF+q51cOhkbdISfnF0uGf8rvnIGOAcYZBj2Czl7JNszxDlLtv+H809KBtpzj3lIDITz
fD+DcUZPtx9zEopppkIAGkRbtQEaZfe3I0mqR9UDcgEuSyqAhqpJXAtVPxqoCtWIUGu1cAxevmmW
6f98s5V2lLEKtrrI4uwk+G+H84DQxll8bprtpFQHMqc1KQcBAzgfZFNaCwla1FVBVPhQxB1HY3Q3
TvBaYDz+UhSJ4hLsuQbJ12YrYtuENcilzMjkqaHpgWUbksNsldfy6wSk1XRhDLGOKKmEtiJqI7G8
kDFcYQCuhg0jN9UwnvbWDsjoQvfOw8tQoRYqpG0aIplu/0ICerqepN2wesEg8ugDnj83J48cJ/cw
95XZ0FPyYDeBcqKw8bGkfAIlZXyhhK+xBlAr5jvMLtfj3rXDqTY65+96+sjoGVGOh0jgEcPD2n9+
XVWCZHt/8DbvMpcNo1pWiIQ29YI3SFw/mE4nmtLIxiyGPsqY7oPliIBoNyAmbDjA5tzVLUeGNVyL
+xlIXehN3G/hWsHUufQTZ2cJCBj7wU8jwa3uR2Yp8MrIKeu/Ms4o7vyGH9Y5O+iu1fRdYQE1ZF8Y
SmadH9rmqs/3+TpqqYMkOR1rHqFfsZ3EDgSrLuy/ihjqSUbLJlJcYtriw2gzq+9JG8dXaOLqs7E1
x48URIMyzwTY44Jjwxh5futarEfZjVMcJ6WjZGwqbsiThYBEjmroBNFnwu80DstE72DCwhahSlQw
6b8oxU6OFDzQZGbELkGouctR9/zCvEM4jzvCLlDywiPNcC1aZ/ttcl3OdJxmgewj58JloCqxjO/Y
h8aMfsxb+6GSL6rZg9Esih7mt50Hyal0u81NOWER6UA+MoZNF6DdoX0R0bOiU8kR2K0PTvaurhGT
GpZM502ge056b/b0YsbxPsYNf3XM7EQpEmD6Dk5o3Uw1Xqsg8KuUKQeKhHnoL7FsezDzJr8q2iSj
yVUbhJQCtgRvdQCUku0bg18qP7krKW2tX1o9QNSlorlwChZlWXDkIW6sfRxiQZeMo+/NkCOVA8va
BDDMuj1zu9J38rt4b7tIc7iJXfPdWpNknLHXdVaYG6OWwaygtDGr6i+zQdVeAIO2LP3xyqc3507k
77ORA7Bj/mLvCFgF5FGXnUcakcyHvNrox4hLrmCsMsjSexw4zMdyZq9KzTTDIK6a645zh36Qj5Dl
bkqk2O7wOpuXAhEzVwAbmf4GwslNPPOuobHZ3JpmAlzowfpW+x5hHz/OP/D8skMLn7JacFY5rDpI
Cpyz8WC4ZNdw6ydYVVmPXi9UEVjuHw04bJ0HxTL8b9YiVlg4jmVl4Y+cxt6WzjTzRzh3M6Ubg1PM
TER1tRx7f7dNr8PUTx+8jgJjIL7nEmQBu7u8n954vXa1GLbpmEPJHQ3lpDMzkHLS0rC9UfM5+ZIc
LqpdPn1hagT3zykPvwqsNyHccSJfRHgMoFoKdsl13+zrT0HSH14t3jxziW3ufVs2ON6tnYI7JMpQ
XcN7XtL83dyFeNhGm1eRWPttuh/W/4E2Fddu6zmvrc1yRD1h+nPQoqqEvx+IvIlUmfCeDDcUOdRR
cReVcCPnqTlYLpl6PlURGlBI0tpk6d3BZJ/FeLNO2ZwC4i/EZBizZbyyAdnykKK1v5ISap6cT9MY
PTrYyA4tRgEjGzGYPIN/bkh3kquqiweeoyTFG4Bp0dGg2WG5FNW+WD5Qb5ltcSeylCeesdBxwf/S
2soeWBFq1h0rStc1t2dtA6jweVEMjQxS5dfjM9TUZljjBazNsZZoYISvJbsD1u5nOevISVLOkYI8
5Nmg6Zx10lGITAYx8MBip9iSe6NIThiLQ6P+3eta1ezIpvYvRk7/9CBJo5ZNnDSkx/l2w5Q7XtL6
2MWA61hKwmHzZ7Msb9zevxeqpVbXR0I95gyDZZKUcEKNPBQZg1ArXtkBI6awA742qkla6jQNd4Ow
vS5d540EedbuhDnty2XZP50HQUgqCullPp5wxxfvuPukb6BmfyCQCowIm4IMQASKNpdYz8hEoomt
URMoO1vvPF7oUl5FZcjmG5I0vs6jKQJs8Mb3XeB0d7wyoLV7OsNy02zuswNvnDqL9Y726nVYktE+
TCtY8MWXzvXB6TYU7uVm+NpNlOrdfMAPqOBIwRaB2iKF5ckThVUhozT5EAXDPZbwEFv3XJiXZP0V
UwTGQwPX3/VOdmlbHxHfnXlLr8H5BOZIzA6u9J/jmZpiA3lhtyuvCeVo3xRbvjmrOAzr2f1lYJho
5lyBwK7xVanJMEK+YCMVu/Tn4mEDFcD99Ry2xmlvOH5YqhHL7+XncpKWwQvGa0UFYcBYGWYe7Q5Y
EMFrjqP5g4axGcE7lgMza7It4ET+IIBySt5RtLhknf64BceP3krdKwaBAGyrHmNBWUhLVPczV3la
5qDtxSiCyVJMvM6x3Xq06yF37uL5s3VK0muf719n0fajANzDwb+ffYOuhhG8QF/YdF2e3Jmxe7Ak
CsaXMRRIVbTM+BkVx3dEmn4UDOulKvkGrJ5E4+GE/ncOfiddP7cZ323YMisUtYwajvaxFpXFwU3I
qxV54GCiL24Yv9bFy8lG1Da1SxoaKkbuybNYI7xttnu/8gJUW8M50aaQhqODIcLJWixJl/8c208x
MOuwNvMe83/HFkXab7s5uSYpMExK9DKPME3gxjG8s5pfbqYmO2Uh2oeicfgaAxFdawFXy/Qop/dA
aeDIyndSUMyZxaA25ei6Y/A96HjAnBiOHd3LJWi8Pt7jOCFSowUxY2i5cHfrgS1etvAZODYgkc0n
YcyV7Zjn0RpTG90i5UAsoCkoOnSaOlFSZBjnDNQJDCdfvlbbujy/Von93ThheMG/jlX/Ue5sN+N2
F78e90gRuwJDr3I5DFSNFZqTEH1P66Jx8aKaiR08wEsiocpLHC0QMAXsFTGjXNBjlFXZFjaeYtu6
2QWe9cqEOAzqT7PbFEj+gox8UFq5ccP3ZwOvq2QRcbsADAac9TkNazyg5WnxX7jYdBiedcP8BwHQ
G/on5wvb2tcy3+2/0FFQImUdIoreYUfz4PCWNCGvoDohe1oYwdQqIfMaIYQEWVChUDhF+xLwGLgI
ntDYbH9046a/M5sCx1+AyLvR7Zrbuo0WKGsr/3OXN5sbU8z+QwWYgMz2ULz3Buq6PO0P60MxtXTH
xc6gpcB/seyn/hLT8/xd0S7f4y2tdewA6lRDkaEiRqxy266y8FXtrLY3PlnIN5mR6sPfAghtUI+A
7FGzHZzlNcGk8Z3V7p3vY93jhRlKzA+BkXKCM251bPKLGITQwGbO39rR/QYhPz604nlpkYokpEX6
1Gv7KTRxFpwMCLotfGns2sSMl5db1vJrg3EX+WXCA/5FsMZxMUGrzSEcQ7AAV6LxPurPon2bb9r9
VMmD9ZU8c5WlomstMRWQsVFHn8/HfNPm85cp2bzVNi8DUepYnJOnN+dttU6IoGr/MTlVYk0AL+84
PqFahgjqT1C9USEXpxQwmcRRAF/dAn7DvE47jBiyGpLqpsjFDKEieDrWCSLjP7GFVeOKSO/H8J3x
0tHcSuPyEeD1qa5V6oVI9j5Vj+yDtL2NTJ3Ek5KlhtjVyECtTTcM7AfFCSlWxC8x0quGr3XC0Fc0
DhF3hBHK6ikCFxWH6uV95GR8y62JiRfgFKTyY8ChA/JvqJaDLVuTRh2Pi2NaghBbQTHWwPMaAB/y
5QgUt+f9k0qdswTJq3MRA7GJOVJWWKt42x/+SiSBjhEZYxlNIAsB8Zqze6zG4mwMsGWo/n37Q69u
AIo5uY3nAlUcjSKXGFSL+i16p3Sg3ri3UCgedCSIzxevtDntGEdb0cWCic4KNinBfyIgjeN4L86o
j7glnuiWYKk/dIz45PmmOa08T7vCuRgLTqH+8zT4y8XiuoSV8Ag5uYTzye9wmx6uh03MD4bEG4AK
iedn3YZYG1pYsuG2fD6GwtY760APJNojayZu+AughsTY4UnpYCLaVJ0nZopRX/S/dAbWpBPIDaBO
kcUow/ZAR1ECMYiWq4MS4ftjAJQZGN3AwpM2ArKahsLCaRXOLOIlXef7BbqnsEAxDS35QLNaOWTo
FsIgsPHkdmgKT6nacsLS1Kj7UkJHpVr2fBt24srHcyTBGsiQUBnR9o5gJi/vi8bUbvROu4Va2nHE
Uotkk3jClwf2dNzTGtsK0eV+0Bkx+3jtT0LreUN/TzCslSZPsGXLl72fZ5xvL78nJzYCxxd6BHEW
aXTYN8xuXisDXLxLh73rYp+En/QFet2vmQe5hjhDPOKFSQOE4usx1uaXCON65Y3P8eYvQBc10LoM
leXBro2h5AUxMpdCxjrOfC0JAqNDAUVWllrsq+wayIGkZfaoHUiTwxpymvKz4pajdCrPjAhOjpyI
6p24yTjy8EqMTtBuSDxbr9qvCGOHfxp3isnBnA4qcbZAKcYIwPL5vBz3apE7GH3SQhim0pJQyIlQ
y7BlTXcR2JOWlR1Paw56thg66TV0seoyyF/ELYSLfr6JtbukztMOqeLfz0cpbDCS4f1gtCzCIb6e
iscIw+H9PLo3GWwahEu/bM9aLN+dApsmHkxUXTTzx5eXj2VtPtuvOBQZasAKR3uHUcdRNxTFyVIt
ecU264/VqzigyzMF03Dc2ZHqOt2XrNtRJtEdmUP60yBWv5RFk+9jTRYJGMuABccUFaPPWz523t0y
aDg083Z4MRClfwD+Khf25jFmYImp66+aaeFtjOvFOo7RfVJf5K/rDZgm08xfWBqtgCbNrzggLsGW
PhGGWZd1vXLXnnMYb9o87F5VKQJXm7oyFGBY5RAiyh+BrJwCEGzC9+BidvviVgOupVRXDTCZuZSk
hQcw3LpngwK0sz+/k4hm8IPGIxOtJVf5/FkX9WoTmn67fxessm/A4dcWnOCEVtNjTYSWFbK21Wt7
WGGeqG1cUxV22K82iu23WVQlsfnLj/kf3ppIViog5onBpDw6urglDIb0MPszEaVMYCz+LH62GP4y
CdQopBTHXZiRCtqaTU1kS4Ho1mRMLCChYWrx5efs1OS04Lq1dMFH8dpfvt6TgVvkIgcNoAUawkGB
wY6X5bAx0Ujp8VkuCv6ye8OYLaQi4swXcAdC9Qqu+VXcQKmBhi8ikh1HiCu4VG92pnklLZcMB1++
shMCHR5zlI94zFmEDkuW54952M/hYTeW9Fhw3WWQKX6t8t7j3HwvR2H6S/aHDK3KVPgHHiUqgmW8
bDvfkjmKtA0Y9l5E9Q7tJ5I0hf1QVnVQuklCvpJjoBRekkrpQAcI1j+CfM0L14IfFQWFBKa1FBL7
8FbuNS9/yhNeK58S43243tx9WK3HblJL4h0OS79bHt3NEYFmhGjJOd4W8+z1Nr2behR8+kYwg8pH
lYutlBUAjUJI/4X3sjrdZy8Zuz7XQ6dONGLoByry/1YV8uq3XdaHNIeIKqX+lQshFddHcc1XXflp
2bmsZBXz1ErglsxtP4sxfCjNzS4sruXKFpXL94Xu/vyGbwmfx9cXcXVQ5MEsOaGeX1+0WU3o+koQ
ho4Sm+JOrFaZWv9vmS5GP6tUJbgqVz+AaKITl8JVNETQ/B9a0eVW5cUCNRfSvLxfNeXWMNnCDAiE
pL4qoMIKBoaD8Fm0uwFoWsCUbRr4oVHGxheRanxmdZxsdepXiCRdoS9nndhj729Pwel2+GMAe34U
dCZFaUzmT7ZrvndB/9lydSkCbPA65HB9AEBLWCyIbeAq346Rd1kRuVzwmM4bK1kTueePANwpBuQx
+IlxlUd0EzLXvUPSJ4b8czoXSmBrMAfTSxeGtciPcsb6OoCpl0+i6362GHGNuRxLY/DKzy26HS2N
0sVtZ4g+vXzzTozakOniFx8TFKH/Cm3j87eb147VJsz3nqFYZNOlsVFFriUy4k3T7bDUkPpPPjB2
mommevRgYaBIZnuWAqTmjUuZv/qY7vqb2bt05vHe5ngm40NE89OVwWtoxsAFEc4C53H5092Bj5DA
IDYgaa5qh6NVnh8Skh8nPoLa1gKPM1ppMZ/ZvMi7mL9roGL3Z8e/UzugzCftDjLZrVzMeCbsks7j
ZDrFnj96GBCImwLgCMPyPKqFvTSqcxiCPHpEwXIN82OyPH+r1jtvfrCVbhXtvyWN+cPS+dBxSUCE
U8pfpi9fqy9R3dUiRGlzvHOAS7+dt1m2wMjxlUbkpRMbgj/miel3ORyalTcfgnulxQ/G2lPXff1D
4JwF+YiNozT7ruF22a6hCdz6XWINb6WU77z0p5Bq6Yf8CcOEVssH5QFKHNukBPABJLujySU29sqM
KOo52hGFfRS+iWfGzycvPVyp3mdh9CE2XxNCYYPuAJoWXZX0DmxfNAKP2xPXxdKSq2yGiAFJ4JXX
p9deO72X6btAUE2ErDjLJ4CMgYSQhLjxP9bwC+hZOaEF+iB+lLxD/oJaEZJt6g+rh9CRZ8WpFMXW
vcXiDkx2H6c0yCRo+hRUa9N8+EMVsCfQ7eWZN/T0kKFCSki183HGI4f3qIcfJp9X1JmKe0loanEp
RjonSdntKa45dMYxLg2u2nHJFUWLNwwHDUxTLXxZ7o8NE5aOfYR4AsvgLflGeSRI1SQZqeomq0JX
LaUE6fPEJZ03x+uMEUK0wtA7ZJLgHb2pTckolhLrtXrpcChu5rm++l+XDMA2WJfv4lV9LQKMulgV
pOr0tBmqMZKr/3m3Spvfc3JdzPRF9JI/7NE5WRxWqznu/On1sB8vJn9hhwCrSGkLYiqrmdst+w5p
TUf4aBc6PRURoXYJ0Hk9d80bxYsqa7rGgdCmvQqoSnIhXq9jfTLpRWibxCyUOUQ3AjfyNQyYtUi/
cchyxpH3qaLB+wktI48VYEy4klwoBJypxtSjHOGQVAOdLtnbWKi914qVJFoTIN2piN3Xbh3QoQWD
iDksmajdC3fsi2wzZsu1KLkGA5XMzL8k1S6Zsqr8LwK2HJx4laZktuFHWW8UNRj1RHyV4jh8sW84
M8YIL2lC3CTO8aRYkImxMm/8Tfj6sH3rLNmfqhJEOYPy8d4JEPk0UPyD/mvRwt77PaiIoH28/OYw
jDhdb1A8eQTcObQLJ0rHqWlap867tyLwGSbT4wjUJA9mJMOqIXW26Xr1qR5LGVSYECAZCtzpVSPt
BSMd9gbUkFYVhI5w9LhbfC/WMK+sDhzmvjYlvWzGF7uJ0UfSO7eEKMK/nx5UnMqzXLImmCn4n3Mx
vK0CPCzRqdyBcdH24Hho3SZgRTMlJz6UdoJRjyG2XEPwrsje5pW52PnNazv8U7eG0kyaRYr6z4IT
RjwnMtiI+v4n5vjozr8kb5XaZcxDbw0h55uQfI89WHoqqd0gdNxr6qmdQH7w2vZNh6laXW7+LD02
apWqOtJ1e2LkOGmAGgPjG4SvT+SncoYMwEEnN3SmEpBDILYt2N9ra5Qvp4QF/6I/OK0AY432pHyy
viNH7287Ddy/dmUY0iC04AL03OCD4yGKwwz8C7RBNAkcLcIRzYInhLR61nuzo3Cd6g9LQCfJQ7HE
wDPr8B+2PZ+TFYUZshCGj0c7uJeMGGflJsIIGYIAWP/vg/KV0pXsuUbkuQ8BV7SGrgcrZuYjglix
B9PQFE+AZMvk78yF/cN9g/ZH44JEgw7meDpW0ME5xeRzYY7ouUxM4FS+lUDlKZmn9g2xI1s7GpVF
bL/MeOKvbrifAMDjgw35YCBwnsJmR7JHm3IQuDhTrEDXmHQcgQR4UqTOgEvSuykvPhSV91VCRm2P
MgDQhERsEpUXYr3i8Leew+IyX4Z3Pltg5gIBozCwzlH0Ks2QrZM5vPVq3EZ5WRUcVy5I8kCAFwG5
E2xzDsPB2/14+SbbQ+3Z50CTB607hOCd8PSP9SCMSWqEkQdjWcRNX7VXadyifqL+SXj8e/RBkkuJ
LyMXB4VPjhhh45wWvRs7nO5gkmQ7NlZFz8RyxGo5GClelv2n/ar8K0sh3XcFlQ0W9xjTfhZv1n7u
SKJ18HF/i31p9FAeHMj9iAtkESDqvXxl5JgrvadeYWcrnIt3ocBn9eW7cAr5sNB0wIKjyFDj2ACq
Tdrk0ERNj28M7abLbsecwSrfIkBduVejlbVBsmH8U+OFR/o3Uvkx4ONuOEB4TPyQr3YPodfX9Bjr
03Xz3zOXevJWIN0CaURjxGwVoOpo4RXFLjLxmPVoVaXDAqSTWYuOAUEOekZ6U2CyQEYhigTeBKxG
ClPeUb7Gn4I7zghLkwjj4OzH1izjJqmE5Rsl1FoSS03sW0waFObetsEZKNXTAPH5smNID8oGZwud
FC/SUa3lJF62c6sY211eB9kQI9rujM69HxoE2GCiOvi4b5u3Szxc2abp9wRPY+7a89/H6XTjJ/3a
ZkIwB5X22nKTYaQJYtFJN+7Sb2qqRJpg/PpZtYAVy1v3Ex4Tj+rlB+Sf7KcQmALsC+CjsG8BcT7/
aNU+iZtN2+j1YDdARqlnU5K24uQZyXJ0CxEvlvL7MBXT9qn5lkgGGbNonVk6yoV56/gu2fyt3Qek
dY5k86tAO907h0srJxTTIoF/JOKNfHY1YtLeJ9smW6TS/gohlzFdvPC3QP2SK6xN2EjBPyj3Rron
zbcUcaGp9/kW+ERzxuEicBJrP1klEbF2dEfq5sAmugvfkY39VuYpasHKIrrNdps1tJZXkvFrEWBY
Cjjm1pRuNCtAvIqEEwTsY0quR53CyoZjiCPRIjJshaUyh5SJb55CnuWUqgHcU/BtgXhpm8dXKkA9
Mi8KJMYS/KteqFMqHz75v2wnTjqjo099DL+Vs0ewXJW+G+mRrd7MTe7wy2GmT1NKHkYXuG8YpqE+
mV/J6iEN8ntUWFhuq6nQC/gk6tHR//IqPUV+dHUxqBqk/8AExwg8Cqhq50x7950tPhkc0vq+Grce
QiywCfUPtihhuClDM1mOWfnWo0lcN9wrPUMEBLuAuaGaL758iTYJ9HiP4B0iowT2GW/TUWGyeGm6
KqLYt2FfuoG219GgX6BgRhxQPfxQ516H+1vjDm9UWpoQqzUacXU8coPSWN8ZvLdBwPAI7krcVR+c
pfp0SKprid1b0VUKFBUJ9sKbuL3XO2EFVfC/1GKoAT3zwU4Kf+49hRbBA9DrqG+OoRc/6BDemvQd
LwY0RN4HKtOI3U6Np0TIFqIAJspwsxCUwXjudbbnF6JKRUlJNKroh7KU9R59mpYP0qiHLC1vCJ4j
CAAFDX2bXnSZPFk/c8n68VN9+cOc4lt8GPp/lGEcm4x0jl9uM87DfucG77KFY5OjU7iKsBO5F45s
KpY4zPs7YjIjwa+6ZotvLcwcHOdbNEKE3J4Tup5w6rTpUNZg3ZREVGjH8ijvgJF2OfqOPdLls2MS
BnNZR3v1P6Sda3eb1raG/9BhDARIoK9OnItTO5faufSLRtruIIEEAgRI/PrzvJPItZCOye4ZI9tV
E+8Gw2KtOd/5Xiq4DzCYJVzPmbyaOQbuAhJgY/lD/g7oCU2r9uXnb9aFOoPYugnMbuBWCbcGNwtO
qLPDmHV3lxLvJkmcJZlxTKtptyULPpJmdFzqCOi6JKSWb0OAkkjItsiIAgaplq8VHaoRvyrDcNRk
5Xyqz+yY7ccL5lSIPLjhtfqrcLv0Gqb6rrBgHI/gKIlBqfxFbRDuAiazosNSDM9Ytrhts3zVRsL9
nHX1m8Kr7/psjAMEhiRUvut7mYCO3FUBM4ONQlRFrlEo+2S4BP0irPNtWUd3yB5wz+LqKCY0rpMZ
g5S9gkLyurlr8xKOOCcEeqwphNxMPg6Ir3U+6sl3C6wOMdVUDI10WEb9g1zx/PXaJHt4vQCuzIsA
NUPcZk/Pw2a3X+xm++nMTgZr5EEvZUyg1WkGM6wCJSQJ5Ok5StB3fCbfsov6iYDLvCAIgHT2lMfs
Xy29geQ8Sv+N6IRb5hs6CasC+xdZP+EKqeGOkdMZAYp2ga/lC/28JjhXA17Nyg/pevKOBv2VeABW
rGsJQkPTbKLnswiG5UwTH0VlrnrscFZ/1RxA/xG93P2Mdv+Qxbh4sJ6PdfVh6kP6XBvc4ZJEoerD
FAdTDhoPnMPF/bB3NKL7z4TmYLKKDP5/nCDJdnmIOZbuiAwJVNYacATG06WQFGaAAjnKZepHXZc2
m+ef3JkRC5sK9OJ/ntzgnchwrglxdQ/fGRARZu4bHQ/bqvq899c3ImAjY7oXkh7g5iWdjr3UoGQ5
QZo2kWBHllRwucixMRHTHBgF5VG8xqYKsQE8SU6oNOa2cnstJ3T88L9Qop78GIPSJCu9Go/1cGqB
itbrQW7ixblJp3BAZMU3ExEBXX+bs+/gzKtxtgA9YbNy4RXOovHJyP3VX3z2ZmBAQlIMMx/3TGq8
miANnzvUziGep4jfrd/EFA3VHrJnzL+AwmXJIeDRLBQEaYnJe9wghRy20OxFmNRaiuvt67pc7q4k
ZfO3ghZxUSFiaJyGd+kohM/QHzcg4UNVW9duy+m2ozuxmuqnjTCe+F+h3FyrazkqKOVxJABZUyn1
+XpbepKA7D3HaMaXCil2GTLi5UYxPRsEJ0RkuP4e0FjXpTdO3Ufg4zEgnF4bSebvr5ZFfKfXSrmy
x5DI6oBiol0iLjAyKm2Gu0NeL3uITuN1tpc9zTCLQx27ZQmy3XZ7Igz6XCcgOk24taFqG/h3hWw4
wwNziuyFPKezdsspDtluM40sXIhkDKZ/yxZrRIzKaMldcF8FjrUH5iziO4Kwyctach4BDccyVgJu
Swll139+TV9cFULtQ43giWwaNOydX/hesugWPQnip90w7gxfZP0m9qkiEF2Hd4xVYfwRZkZaFYIn
FSsVrilRf2HecaFBAT4I8WuGtsenQRkKz7nOF5SWlmfEfN1w49l+9YI5zx1Q1VXBi4bx+XfpnazF
xNg7zx2or8UrG69zg0N2C0sAHmW1XrxxjJZAI6j94UsPrq+cH7ZhPImKO7WItkvJsRwHQE0kzIVG
fEaddzqaNGlrEzqtJeQ65AnapUQEHq+MzmRnOgW4Z3AX8CecAgOent9dNPeqcu0Ed1JK80L8Gewm
hPtCuSnAAJXAzUhVdb1ONjM5wz3ORidQh7QHqKVV0ST9nEiFrMb3FrTLHiXLChPSIMfVea2xiLpZ
9fFuDbld9lDS6roltTSFi2h5egNLYh+UJ61RhhAbhY/pGCzS7iHONh9+wej1UuHFbJtsTxiGk+lw
aSfrajJJZ2gNKCCNJi7YLCUfKIeyoEGCBgu2n7jEcWM8XlUUINQVemBSzUkxe6QVlsyQNLRskvS+
AQz/BS7GpXMPrNPycHFsHgYJJ5MVItgZ2ZvaCIO1kguwbmUwL9snjgyqJyw2hGKmSJhsh55Q7Mgd
VZbYx9JwfIu2OzU8+IBhp2EElRsO7WCTKP11Og8WaWdKbRXbRrhHBiZPMYWdiz2iGVFvlg42x/yT
1oe8MWY+8ymmGK80YEuIce0awniEPTWUIktEuT54E4i0eWQjq3apcnXIqzHLw+lvK/fw4eBN7gQp
aW4tJrPdB854PTQlbtrbtQiMvCssTQiT5mTRHGMWrT7NQG1G1TALGJ3NnpH/eeWolqah3jd+rCFc
0RxWewrZlJSnj8BkHwRWGEl7AlR22FxFAcI9hwKX9qRq8ABjCtYeNO8klgDUE5Xr/kr0IVXCEgCp
wI0gWb6suFa9btEm/DvaMY3ktTQuFIWPfkBRicw0esur5++pG1wtT6xj1CAI2vFXf5lfOuVaRkSs
6grFoXfK2JJBnbgbTiEL3Fb5hqOZ6BfQBOhD6nURENFWapt/wpFJihU0mdAtLShS3Q9qgA/i8bgQ
e2Ny712yWgMGseZLCVggFwpzomPH1CxHupKshX4azljjKBTGIcBLe3kkbJ26jlN6Yq5kTy4yTLA5
muMu/E7zL8kbGba/mZVrcn+Vc6p0jTL+EHkxfRocrir41DJClnd+hhoXX7V3nl+U187GHQPChCIN
3jyuTBxFjEGgGQ2m/g3zijjadaT6wTmPjvyceAGihI0+RRt77c1RVaDSIXDg84OSH5kYumsqLhsa
rudLh0AHydm1wXgxXz6c7gaNojPvnINT5DSKLbN5WdhxoNi6VxQyMIb4KgrtQzkmbceNyB8dRu3S
KZYE5MZzHju0GEl3dKcRnqKOAnDRkjcUiQmwhvmCyWixTbaptAD1cEZPROkgTrVZDhHFy3bzol2A
NFM72fgU4rh0wuNboq8tb/jDm7MNjAzWTTTYErM8DIt8odRIh9eSlAJN/zSTEZiVBiTqMUnrqJtk
2qluWUkM8stO94rQwL0BDlvFAWjsacI63Jeu3+ANEXPw+mzrOlmF/QTLBqJsdrfYFvVVnkPZ5SBC
8IdU7OvzD/Sc4842RgcJK5OYEaqHwQPNvPXeJ22IkoaNw2bR6A40CpaoUrrziD46pe3N0ZHsmIUJ
2Mf5PMdPfCPvGAwowPE77rodkdyJ569weuFIJ2ZRhFaKQix8BrtJyavgl5T9d7JdVlKfyghdqd3h
2QJ6SGXojwkjgIcRSL8XrUQrxKQu6hp5FaQOE7G09RAl8uSMhkXCnthAWoGKdpIk5JBUr+t29rtm
g4GDVxw1j2KZY0bfxu3FVzAB+5CiLFgxI5CsgmSHLmm+in2YJP9pd+XVKivfNAHqQt4UnZOqdrRI
1JML0n3+Nl3cz1C74LpPBC6q+8Ft6uarcnnwYs5r5jHKAq3I2zSB3LLXjMgZWeBdWtHfa8Vp3obL
qlJUeq4QHRGNych1XdjN8ENGaDgXqxNy7elhEHL07mIk7hzunJAJLL4NohbKS3GrhdUJ+FTjrDmg
EGPF1EPuQu5M6DhsHKJBsc4Io7/lsPgvLm5C2A3bLdRk/JdOL65brggs6ILi4y7P32ez9LUSTjS1
tPgGwrWpq3/v6oJpCPATxF6reWHLuRMk2LBNDc5mgjOOyV8qMOjNGIWQBywT1OG1HXLqzrm3/03H
AGa7D4quVk0frL0fuS+WOpKOBt8SY2yIUlMdMJUgsFj0G+kW3I4ZJIR7fRZGkcM8aJk7CadSaSHE
XvWHUZbBclNIwdJMOjkjVnCNEBNhTf7FmlFf2hArq4NFTXMw3V+Bcr+DKAHPElfVKCsgkrhglzgL
GcjKuExxyQkFzPPP7ZyoDacdkjbeUKxgFDqDI7JcrwCKE/xqVTZrJ5a8MD+QIxqyM9PeV5wAKr00
l2l5XxUpJc+SuKXsoQpR9SEdmJJu0oSfwLhesv7aysWONwONOLlUkNdI1ikXS1gV3bvZJiCZJnvf
LL21DUltXsMNKacYtyWTMaepC4j3nDqAjY8mHeNfw1GeFCkgCbv9zkli6+tyrg2TcIoQtO+y4ZKA
9Eg8kfsHpnl/i+yAb+EHNr+HAEbyPP5dPpdGCGSKcMiWD21SXj//PC5sPlwnszvOD/i7CKZO3yOw
NygdG4KIjRXN5nPEiSXFV/KC1Lnaj83uH6RD6lxzfQO9C9kArC8ePTvOhShgX8pqIZgSVok3vK4S
HxkEIUHE2UFFAdVd3VV+QA9IXyzbESvJISKoAtUta12yHErOCZJZRe7UyKqD6jSuNb3Ac+Fv5uUg
N82TTnZwz5q8dvGS8YI7EwXDZrGILwhzYjxpPUdLB29p5tKyKThQpHIvW5BlSeRE1MpW4Xsn/NHy
UkqLIOsI2bmL+qaKUJxdFdXyIOwiFvDWvxX70WYjrBIZOisxR4ka5ocBdiKtckdnTNVGorBNcyD2
/hJmYcjpaTU1Z+QIy5Da250wUj1dM41TL926ibEFOBIuNF8kt6IIdg9FsPitRRmmuUmOdzzjdfih
7DIKcRGMJvRFcz295Ea9Z+vTw1SJZcQ1xk8bXCDrlQO0Lz7p/kEkQpEQdLdkvqFaRltgmNzuuvJF
sP6m6ULrI6MmKCeoFY8MQzSBU+RivBoRXiVdCqRhrqKPz2I0rs0xBF7pagxqKO4E6UrfYu79Ir/s
Dg8aSEBSR5gACkHMuXYXRjk3IeGdVwmzIKVBmRhWopBfCJQ7xxkooBBkMQBHx4jC4vRmO1FTT/aT
NLoT51+mRHbvfrZkSm1TK66fTvuHkGu110IZLA5FNTwDIBlIPr9xmER+sAgiFyYGKjFP3dhgEZQh
THqIW1Pb4ExOQfkpzn+eQ3dKYCfOodDwd6sr1iSvXdQf7Q6yBtRGVlyThRgwZdfere4Y5TWqVpxH
8YVWRePGUMRgsqqs1RPtmMKP3+PZeXvAPaY/YN4nKebQDsDZxBCDqwkzDCowo9lwWMspVdQhk4Cy
wc3c4IoIi5aQrdmnclu/3AcHsGySd3RU6afVIS1gWCiBTqVyOfm4r3DThdUsNrLrodYRexotEuZE
XwWQaIRmPrRpn4xerpqvEujInt6IKJQoilqX3ksgUou7u2FIgLlwtx6M0cx+QNIsdJ3mo5xlnEXz
sS6yt5S9D5IrdQw41MWpjhX2I4azv6IgQB39/KowR5ThqgASowemBcfpZVDLJpPFKo4BsK3LPAII
6hzVpwft8g+J7XMGdJprmRyecUaG26JWqEqCqNlchRQ40rCJ44rBHka7RLfYsof5dPRRqFqEWlL0
pTAv1LdqPQVM0GzUVKIHx9EWei4++BADdZLajJ4yWqCn0ofTCb3fEuakPEPjsvnY8RzFvXMapUPU
GD2CJwCXMkC/ltWmhuaCEgTRiF6ZMCIdLx8vvlkIlEA24OYJrz594/2sWJdOWEbvNCxvt1iqBDMK
ORTm08XrTTt9L4G5MD0NsdwE5WOUwtDTIWS0PXSlohhqyCu0XaaTIlZ7B1qbRbSu34DxsT9D1JNS
JMBjQhuaOaIz4RgH3C7VQhHctYjdesbLNRwONPvNrInasLQRobYKcVLiBc4x+/V9TOaRJiwaF0nC
pEwTBcLqxRD9v/GS5GqJzs1GLJS4RI5jiLt+10zrkY7nLFYCixJGA2KVIREDyRkc7ERbsdnReN5r
5ZmhOZQ7/bPdUrQjFbNBuSrm1fxvvekgXTdab4I5mSxcy6HfGs+S/bjr1RwhFgANvjchpJzn37ZL
xRsVmxzrMO+NkIWdrpTOne6bKQnlv8mtofadh8OCaOCWcZXcG1U1C5cVlSlIfRdYLMezYvOXqSV2
9fbKS6aQyDd345SZi898hokDHnI4hwJ3n15aA4ebOgkc03WIuOc5V6TBvFQ7s43amy5acW4BKwMh
Wq7Izn8nauUyQiXt+zxxuT2J7i9gSEiUlBjSw4xzw84H8dKLEhOFeVLIwHVoFpAciJeHPxPxLq3Q
P2C3ssMlTg65TZnedZvvaUiFkuKRZC8dHZpmsHIfdiVwl4tnsA9fR4APGnHLh8KSllpohSo5hHkr
i0OcUaEQCfi52JEji0HbwsnWy49BpQAFjPs9YdI1uONdG4er1SG6W6fVyyTevrEYWEVUECXnejC9
2CRVNC03b7fz+LXu9yP8JobuTxn8OJJgDe/ZpdEEUc+T4oc7y+mllU68nC/QfNFkoFldcBnQjHWm
I9QkhjT+kruwNZgfi6aa4+3kpnhKsLe3PtUcDGPBiJLUqN1V9JsqN2uMsNIP0RMlSEufv53n9CrV
Nlh+IRiAYYep5ek1s58lIet3jsVrinCfEwt/TwFQlurxM+9YjEEN4bQXaAygOqcsm3dbL6MHXXyT
PE/8OQHPUtmJ0Z0VY7jzWXYJSsYJxpuwlujbgcWH17qqVxlRXsyiYjbSBp69bq46DyUl7lbJx3Kx
/49+ACm7xATUVCGomC4KpBZdGshJTak2OOH8KmWEqAk9EWHTOLLy1RahTMos9SfSFGpeIwxIBtza
/UQbVrxOUCM7YPBFAtbfSRD81XMkAYBFhqOal+6ozdhl581XAcRdBxtfxrMynf8fv3bzBdfHGVcT
z7O/1xE88oC1Aw0W5WTqwkWbEpQgE47BA/addbjbUvZrUaopkZuNhTTD4zXOu3Z8nDlIOYAeSksJ
Ufydhll6ifTzSm6k2i2bODdrhzcKWDWd8daLvCDmn8anigZ5/srP+bYz+kt82n1IahA/hxxoLF/W
SYUYwjAU8bjsTc/c727Mw4pe7XMsDhblS3P741pzF04+01JxWSq4+aKnSWirsbbPQ37+8rzhjZW8
EFMy4EyQeu7vYKQd7utpVeC7bEMkTRqke9SC05Eveqr4TGRsvqXi/iRsswWOVb2sSS5JwR8qPBcg
rb8IiCGTak81r6a7Erqq7tIk7BcgxWGnFQHYMR8BTGcThQs86GhCIF5v7ebbu2ipWSlvNS6FKSVn
TtUh2p+96ZziuHCbablka9LUinIjYb0YVuOT5jOnIelIuaMYqsN5x+RqWA/WDbs33YixT+M9Kg3h
ia6LO6jGcy75j1L56a6KSmlwobkd4CqO2CdnkCjetY4hXutrFVfyfowqfg9PHpXHOm2N7cSdll+P
eLUa5+mOa+/SXEpGB2UNcRDdnMD8sISy+fzSOSPa2o8aEEEboB4CltLSeoKade0iTJYOAb1iM1cL
xKBEekh6YgRgNtBgviGIg3KcZlLktvwAK4MAQQsNhmE9Lpk9U2fpmnDqwb8FMJcjYXB4JRNGihF5
WpbJrgGY723e7KbuJ52pEnqLSe1K2Zj4FOHlO7GqRaqICTYXA18tmuVsL5qHfdohTl2+PCokJMmU
bUBHiydTJbHHwy772ORjh8RZscigG30ohwTubsjghrokf7MFR9oyA9PwOFiidazWU9jeTPMQERwH
+SIKWyzBlBvM3pYWuCtKQ9BBsRaeNn6HzwQ8XBmQMDAC/BW59urFfPLUHf/g+ZhblgYliPYN0a7B
Imr2SWHpeguDkPzoqP5+IMYQPKglm6Z5myNpUJBMiZMDm5zSutksxChQVrpGqgKE8nr+2dQ8dH0a
nmgzcevZF+Kk3uIpPrsKU1yOej0HfM8Y0gvi0OfX9dmsDmd62jn4cgH/kzX26U/oe2VLElHD/HGe
MzqcA/bT/8qoSMM6cZBELjNbwANT/WCNNsXMaVAZaMdWDSFCsZa5+G9q0sbJz2cHi12mjBEhJDGv
G2JNSbLax/gIl8biyjEOtwCW2APF00tIC34jxEkOrY95dPTFkU9yj9KNVJYZ95k3Q9OGcex17BKH
LVqZb+GgOQu0kptpceXP6g8tKRm0NkALIMN6J9sdCmQ/vt0kWMc7i7dI9aorM7ukImvp3wVfa+4h
8db4cr58ifhdspCx6MBN8fRhl3t3VW6DLQ8bGwPTmpD/oRw4mQ2mzPSUDSJJZ5qQF7WAI5RcF830
TZEs/yNox9Q6qh7UjQNqPL8Wz5B1e8hPLm+wnzmxN02iYlr0RCugoOAAK4J9LUYFIyhLl9fCatXU
1Y5kwIMqIDGWOb2Kbt06UfV+4dr0dz+tyXRtpDkidhOCBDXu9NapuF0kqV8YUsBkF//r2Xojsc1H
d88psAVIEv3rQMHZIctPF3hoV27J902Rr0D6+Tsqm1eLXMfc5l5woTPl+0Zu4bDCGV7m4AlTyxQ1
EpDiLtpBSt0s6z85ue9VO8/XzScagHuzbifao3UhB6gLEH84JPZQGqdxJOCsWxlc0XzQAWTxgh5r
B79RNEKJQVQSBnOX6IhGwQwTRooaqInjwYt5HB+Kg+JS/16lxA/mitNKkdaLMKrZsvpu16k/1cGY
1QfahEtPmhmpClnUNUNr5Sxbuqz9qLxrDww+8YG9T1OAUaZiL59+qAh9qEg7TvWr/8BXvolf8eQ2
IvJS38/v5d/z7/0f8fXxQwDmwJ81f/F97gY8GprVrcr37CVfB79i/Izb24pzgl0XjPAb/+Q3+t/m
Q1DrD/nVfyD4ms8YggbbW+4QX6P8ng/t8iUqQv7f0ev+I18fP0Rz/Wb/lQ9W1pa3/HvIOTB/HRO2
rX+h2+BMy9bsURiyv+QzH/rfKWN+/y+nQVmi3+Ff+898ePzFjeQzt5avz6/9s0xtrbRAfVMg3AlA
7/QVzeoZ3Ll6v7nrDofu1XbWIaefsrIaxrgzZk8tAVn1pvqA21R6tQlLRtiLK80l+C6CURCXKdUo
TSb37mFvxhwytRTUY6/JCoAfMlKzwksDm4kEU21Cs0aa+zMWu/0QQBEItJmoYF00+CHiVTDbTTos
WLjRLnmxL/HA3l3jtTx/0W457qSbNVNyF+4bZ4oNnoiSV8aBaBg4WPydb7Jv1TZlhTnsQkHqpaQH
+QCxGH8JYxboSn7te39DqJEwt0bZQuUaY0T+i06S/RWGCG6rbP/bwVu9eP45Xdzm0T7MqDkC8bKH
OwJA+n472/KCzZzPEgKq1ZekW6JHpVBpJifqphxJI+YbQrjbNX5hRO9iGI93DoCQWsTxgcsZ5Gb3
/5+LG25XfuaH6+1i3925rc6b6BUp2vBKuUDmwddklotgSCCoKuufCVGqpBXqqxANxoGYitMQ0qLY
mIsTq2MY0uC5HOzgDAAqiLct7WUnk9WMVIFxXOu8M9O78OTHGLYrYTxFAFxu+06X+5snRMXm4DA+
RxcjHBiI1NmsIWpyzHGQMtjYwomr38Ig+yr/BinL5VpkA6KM7/I4zUzfaLsQvRiiK7UP2db9fb2P
oJlVn/I5wHjrfJ7vt+8nTfS6K+StiTX6i2bFfWuogBJkCi9H1pRei+HxjMWbi5AWR0uW1uC1oX3u
8Jfg5w2YXGOnKmGcS2MQZIogQgOpQLwqFnqvipy2nkjbhpGPgfZ2fay256/qDGruF9M/VzV4Ctku
2HTFocxsHJ953pt1DQCG/5+cuiLO3HZJGhGztjykFNCtVTGo9aQBuny2eyUStkIQVmUOtUv27+fe
4v75C738SpIuM/MocQjcG5YN+RZy0nRZ3C0D76uTeQQ6M2ZkyWhEbio0+BabafZQOAD2NI2YaStV
O8+g8a+Q84iRT1EoFvDIpV16ski3iY7w4HxRGJw+2bBz2ik0Pv9OhgISsgceoxlcv9UXajoPvwvZ
P/NGMBojd4N7SMSlMFMTcUHD+39dE7qA02sq3RZW/SqmUAWdNtLm2v0uaoWBlFv5eUL/89hCbYo3
n38W6CifExUuKHYJasLnY+SqhiiRVhu2wgBEiPfABQZX1TlbdzdLctrogndc3WrqKcNEGKHAU1gM
sdDriLUmTYZMMdyKkDdqU5l7HHHB8fTXizXVk0sbilwaJwpW6YLtCP/Av1UExmo8qvnMuOz8IY0v
lDIgTxkmqe1gkvnQ+utAUabcRrgSMk1zcm4hc2SR/5+/exff1aeXONxBduEumXEKmVWAJgFRwYCC
uTBFwCtNcoW3ygq9CpgXs96tLwYfjNaYBckMN26BqGbKZMAMR2igKMXSfY9cqVb8cK97eqWDXcVZ
1eFis3S8O/nE5C5ZaxBPiyj8vEkzOt7pJ0E/Rko9LDC9At1EVGMZJTmYPwDEapm+WXuTG5FEhPuP
nz/ncJnW4hRoRCRDxmyT0zckWe/bXeFOS0hSXB955eJzU4W91oDKDLn4e2W2JWwvwui2JbcO5hQt
MIwkbSUh+pTnb9zFXW7m0/lO8CNDuDi4qJJkXNiZWWWHoqg07tL9PmlLnJOKt6ZMYgGqRhJio1rQ
bpwbfII58HKZEYJHXIAiO8fZh+dYHjcM61Qj5lH4DR2Kmvk2zsODeOBUBmmZUPS4ZlgpWZjYW8Lh
xDaDQfxe/bA4l2Il6qQWcd/EyxSzOk5MyzLPICJhfav0zhKjux0/03E4pR4eAswvOEZd2oSe/BzT
wSaUzJnnrHb1ofc3ZwJghR1bUKzhPxUmVDIG09StzH7V5LWE+kgTqGGaEqNky3MkCJk/Dtu7psCy
9hUGBiPgWk4qElqGa2esgb54/RAOGVYyqySC43Th+rtt4WQILO8UUgRyBFlz636XGLvHlxhWJmzf
lpExozZq8Ilj0GSDawYXjuv+8JFSjJMvLqCkrJAnVzZYvd22zpMy9XmlSh2Cc3NvimuSSxhEy0bm
OAA6euJI0CMFUzwhng5Nnhxgxocql6+LMRXzSH/KoHeA2iQJ8Rd+mupV59XGfNlgUXmCoTYztv9K
/nvMpVmZcgvNO5AH7UNVFHzyK5Y2KaPjupKLFxYqb1zMCZJ6B0VNSdDFNFtVAm8ZN8JWkVxIJ6F0
e5YDgOLMwmzbCCpCcHuEkY5FlxzfxoMkLh6GIfswtC6E/IiaTpeYMzmQ3hOlQElAVuJHtJPJj3YC
MoIPpV4TrTTUcXA24B56ZIyj/DaGVSjbVPhCHQ4q0v/bWHJ8977YBME2wMaZ9wBXv+FZWCYYOnf4
gFp9MyHcGDq02G4ybEoX00+w4uT/fa36i4HCjUk9YRliy/860l2FwCSUOKAeNPMqdnlNnSWXVtHd
BTQExjbAFlrqFj8Ydbi/uN0//SkG56RP4FjOY2YuLgMaORas4y8mFSzar0DNn7R9SpasqYK4MjAt
bona3fXYB2+NFCg2FvZHz6JL+8zTixvsk02wzuflfgXziEUg2pvaArNTXy8secVlQivimHxRwKO+
aXQtHMJce1DnJdD2wlE/lIsvDWMACfyZPnv2508mHuSEL/ylRz5FvZ28WQl/3dXv1ZTv6iUvKSNI
3mI9Zo1s1Y9HMZhItXrfHNqX8zq9nYbFS82O/vuzm1OOPSaazTyGMcP7FU1Kv2tcKsht8p9o5X1y
8WmxooIRkURfIm7mKHSqsnmdR+3b1Nl80CxOISySpKjrlnXzL1jQayMZFGRPr23YojSxv5uvk2hv
1EJZvAtSjw4QHiaM5gsFzlJOUjekc0bIOYQR+k+hwVI0KCal2yNYU4bNL/hyXlhoJxc32AX9dQyZ
YArmnxYgwiSb/aEzQ9vgEWaRuwiMjAe39t9h4/3e22msgzqD4XISeXdJ07wed8G4tNKAf0DsSHWI
oAwMnmjZumULyZ5zg9fTqDc/nXekpRAd25S8P4OOBDNoHKwt+nH3kwQ8GRMXXQKsmfbRUoIlcmHD
8PRuzTm7OtDczZvyumwmf7oeNy4o4AItenxKF6f9OWCqrgGeOmI3Xt3kYYeYBtPYHU2AvO0zD+Es
SnlhhqKOjlcFl9oWrjYUfQk1Am/u4DA5VNtJ0DXtXd7CaOP0NSU+QJrZ4srPEb7MbuZnV9kkNjRN
jMB6M7n1dv5HyewM1GSArQs0JjO3dbxrufi4SZRU/a0i9+w03sYF/hDpwaj54onGcy7SI52Hl6Bl
8xAjWwkB6QouOwClNhexADTYMRMe2PbjN/D/uC64X1Ltoo0ackL80mG6iLBYZ51mYvR2NzolBH0I
Y4hX0YegKDGvonva1uQjba9NGI61cIYPiNhT4jWPbHiX3lt6lMfrGpCAksUEj/+l396JaQ6nB0Cy
vWs7yqp19CE6EEqoiQHwi3TsmufnGFAD5VrxwjMXVdtHNvBvLgtGIgg1eBu4y+l666ZltF0vpr3v
o4KWxNuSokQeH2o85UNiick/lW1CQnVm6bo09WqixWfZED9/XWcZCoAfwOX/XNegZHGW1MbZsm57
3JzeTqxsvbDSyArBCpBcxC1wEa5RUnPqbHXB741syORdJhMA1hYFAlQJSgPGj8pM2aiTe3luiSo7
Xj9bMTU8PTB0wRKBUpUtZ1g/76utt6iC9C4t91A53IN7nU2pl/C/jL+UVEyvojlR5cEyO7yooBy/
jYJqe90kROXGbrDGj0xJESuChNuSePApysZ8U6+/xW1yeBHMnQ1pd8Qs4by1euHWJWJh6OlxWxQv
0wq1cLubrK8roFMmC2lEa0UwcDxNiKBxW3Kc2rR6FW8y/zf7FhLdAjIFSZjAke6TxiMklH48YJH7
oksp6ZxVuPjuELP6Gn/n9ZuRZ6xX8exOQYKGxUWELMyM07VHSHa0jIvCvRPrfpFMPnjZ+mNAvRTP
3B/BCv+e2MHgDrP9Qzx/WExrVGs9So2jwI0cOMSFCvFNNJ6fs/8iUXfobf2rXzjfLswRRWiBaTyR
r+OQAu2k80WUznOPTrgffGpndlcMCOcLXPBgEalng6JpJb5SA+CVw49BV0jgMtP2+Wp2u167DGbD
F+Od+qXyGJxhEuGNyekLv/z0bjInT9LGWx8McbB0Toj8VuDrbTbDAhwksFipwg0uQ5TGlhsMAQ4D
XRPScv1Jw2KSn8nIo1ZtfvaoHy8O/vDpxXVbVAi7ujiAcdGG03lIkwXQzrxhc2XMIDQw6Zbfo7mM
SySowAIRAcey7ja/Fer5dAewqXTmzeKzTLIF9UtdIiglzWefxjuny6cJQ2NIuBxyaPJPr9tBiA0y
7O+tSddcSxPIoAHtZ8zShwQCMWHPJFxOzhs5cRDmYwn9WlQfiVt/4ZS7uBil2SAojxp6KMl31gR4
oIyD2YMwDvk98ePO6v1u3v652qwfds0OnzlqVMIPXCY9R+mPpGtumX1g2/3UtfO/tS/2Pgj/6riD
XDGhVqUnnoaDajDZOPGu2gQccRsetkMdg1/N0S9SQtS4hIYJ1iXhSOvOP8slQGxWphk/5A9podXg
Ss8vRMv+Hi7Ep9c1eEv89dQn/HzfV6l6SzRcygtk52BbxrrnIUcF2V7M1CTL03iiah1GPgQw/gS2
9ZarRRZ1VD2K0CPzxHIIgcRS1rTSOd5vTnWv4GAlrarPN/8S2maVQeZTAf5Y+tnnsiDmC+mULP1R
+L3XxDEl4tM8oGX6IPJhggWceB2msYpor3/BluUSzgv3FNAHMTEitcngPQ2nqzRLiHTuvTu2VHIQ
QDWeFvhzBKVU1Yl2IsN0WVZruGWtDznVv0DE0iM5e2QefgWcB5oxDyo6Z7NcV808pRSAcRKtaauf
2E+IQq6lbvqsNVg5A07xStUmWjRGTsIubu+yG9Up8fxyurg/YFHHyAgmKRbsg2sro6zOKAMm5vaV
diwhh/cRtZSWihldoi+UhQ9L696uCxCvdZN7KcDUKgoSdSZjmaGXnyNsF2w7ZC9nzOknbX/mZDO3
3s0nRm8ya3ViQlU6Kc86VQ6g9objWpU4QxMtXZTs4MuSb/iFxvpCDYw1K9LSOfcMNHaA4IQ43oV1
vd3Zk5TziwSOR7VTP0VAoa4xNa7ZAr0rbE7x7f+gnuHo6/4Lu7x28cEKQzBCTJMuC0Ow4XWt4Kv6
xPXZ0a5BgsI2YpKX8mRzL3OEiABPkdTEZk4T5rvMSZWSqv6qWTH+D/8NoMSQNPJY9tQavh33T58g
NS7hEHtIc/QxApTyhlmfUEXKQ6GKIs8Zp32Ln5xI9ymOl0KURDrs3USJmqF6/++XPFz7iPk60Ruc
jIP6tmn3RdwFAZo+Lmq7rm/9SQaLgwdUb26X28nvJoBmMq98FD1Ak9OBCZgRGaIMTVzGma+XlvzT
6xoi/clukbUHjDjx0mVXV/IDkxU1fnqI0vvJLUhTCh3VvAJfAwcd/xFLh+r677orChvqY0oZskrO
yoeNU+UU4GwPGLxk6/XNPjlcB7H3w2hy0BnkeyC8RrC1Mbexx1Pnl+8xK0fy062L666O3o88wwtb
Kp0xh7M4cYAig9MZQtV2ls+qfW+iyAmoXPHoABiMgFiNe1pQJ2qLZ9Iks0ytK2OLuhiliW+Lw5JK
m39hukXnN8M0DcZX6FFozwYlF8cP2C5bookjRBBId8gOYOyk2Lyusj8PecX7SLOsQ5eRt97Hjbu+
niXTW2dH0+BTXShiaeSeXdi8kBnTroSzMMC0bDivwdEqD1cbKoE50yslISCDlYuKRqDyFUo5/XVR
5l+cAjQgz2shAR9ZthIWluVYRXPpCOJ6bAAKj5oR4GmJGnaTiVOW8JSnzeyFgxMBGjJGiewS+9S9
gS4DDxNLY1LEkzYnFZoLZH5cR7NrpH03JcoYGcv+Qo16YZFJ4YJvAxIdcMHBDfMDeF5tuYMpall9
3Kg5zDfGDDc8tvcawyuUtmUVucXhe7Qjsdlt4dZqwtnWWJY15MBxGqkS/IXLu9CSRL6phJke8zwH
3afj51FQT2TOpxKacCNdVeSy2VNOiCOV4/kdbxffRItSw1niSGgtB6hIuaRP+q8XmBArfITB//BS
PJuxEyOdLdfJzkatUjPFP6nSAWb6YixIVqnxqrukvmGcrRdTiraj5Spath+iMf6r65rRZaCwiijo
TxdYtnMTr3Iq16JBNKhUq2Es/RaD7yURhsAw0sNLixqUq4e4WP6p1L90vr2t028NQ6VxbdoFXBct
MhsYzkycjjhEDC4rzapkX6wcs1KQTMiCFmRRC08ObW8KSNJiv6TtzKTe6ACP53c1bdMXcqQv987d
DuvFvvIBUFjKD1HrbQzRsv3htMgIUP8psRSYHBe1wZ4b1knt1Xk4I3KA9YYCJ41o245GUkb9RKds
z3fqtdftNHHfGLYjGxKJ4K6MlF5xYJDO3G54Dohd+zxnHsBuEhIauemumJCh6Ah+00CHXuduWS4/
NlBls8r9USaT7sp3qe6w4zGLPG1ITaSWSyYugGN+N+/eNUmV3TgF2aIja+m8bz25CcND2sesaLbY
rOcGUqjlslkuvpjas2STF9fcHLiiovgpgtzmeD/pDvHK+WZrfSJSK/qUUZziQhEBWQ75zIwtAQnW
GV10F+zwb5+n5rWqet4kKXLkD7DFCQAbNA5VFaHhYowBijgY/QyPuQ/5kP9q5MNFUQmiZ8ZTkHri
dKUnHu5iFBkpomRkomwMMqw1/y6kjQHEJF2XYDIxBbTBRw0zKfI7NZrVDiriUrIa03dc0BoFgJxT
ZiuwtJWTM7iuJGvSyXzXWNm89Io7/Oy/4OoPqJN/WHqz91kQv3K36NIxjrENApdM5Ycqp1AxoAJI
/BXzlA0gSc1shU3k+QV3ZrSgTgNvtAh1DIcjkqjBNTYF9flyvbhLE/IYqxuYhtd2PnKZ0RZgLAZ3
4qyUmRvmFl/l0JxyqwK/vInb7K345G1C3IaUw0H+QRpFv+K9EytkvKG0ZznYJWQNAzcSyzIa3sGu
xlE6zaN9tuF+YfGCIYT5gu9hbfKs0W4iY8WuH+xEKYbtYv1nOt//jpSOBEJSS4xxB6lGbjdaoKqN
TOO6ZyKOcdux6/TnbI4aClU+lFoSlNXEiB5Rv5i6+auRZ6CD/uxnwv4W00GqJ5Dk02fQBV06DRdN
b7jsRtAPZHibOtgD8xmHNZkzyF2rD4WhchKPCEuqI8wrFnu/QTGiEaEQIMCfjjXN8wubE5U6pxxl
C82NO6gIyJasF06VzO6w3YS7RjqzdCKPX/ngevdoQfjA114a0us/+BxJE5J7t/1XPuQ7RE7LN/n+
ll8oOxCCSN+RMhjDTvvnZ30wIUgv+njUffSKD8uejV6zoaPw6L8+yjueaj66P/i32MQdVclE5HX3
Ry/9+Oef/GZzACV5WfKzMeNEBMLXXvCR7W8RdvCvbP98Rsmhz/Y7fOYDX5/+6jUfzy+SC9JMWhGV
PTP0WLBpBgMfILnlYrePp0bUh530tq3939S+kfn0l9hEMkyVvYfUxzGG0LLrqzgJVBWlm+47INsr
AXM6OeSQEFe4KMdQlOQdsOJ/KuPw7JJJobI6kHq9sfQQ0CvjsBxmjIOit+N6byzZLrwBsiM02jMG
W4NSOKu93TRYF745qLJ8jBSI0si9R5HEL/kTPC4v1lb/K/Lvny4ooaesndRjArSHCK+F1C+tXm/E
535pRd/5+PiLJabvelQXseKu4v0L/Yb9Ys3xofqGwohvZZXxgeXHZ1kysIJ22D/hGKeVzS/+XlY7
H5A36V9l+aHJ5c8lzl/VL/T++vqvfEN/Zf0HfW51gfxN/e/rNUj1Fz/9wKX0v2nXdvJG9Nf0+FLw
IS0AjvQO8IGvrgOnz9RR/VeWP3/My8Gf9S8KX3lt8E1BgSjRVP+L73v6wV6l4xfen7y61fvDS/L4
CvXaqP4V4lVx2hc/9GJ5mGHqPetfIL6pf4H4wNvT/2v/IVrpe9w/9I32Xf3b1X/161v+nK+slO4P
XQhMMf7BL15drobXmOvV7z5eEB+6P/jCf+3p1/5f+Vv4Tf1d9lbzm/1f+vjheC38s78E/n7+kM9c
Bb+ef+svDK0gzXlMrMQEwulwUNr4s7JaT5ZV+j7vuuqFpXDrNM5jcK5l89WdckQx2JXbidDmIBR4
DmEU1wDeoQd/RwEB6izgvHPGgnMuHcZ45YLfokBhZjWcspTeus6KasoUN+DQCeu37Xz9Tj4hAU7W
CZBSB3Qjn1759khFrmCsGNMThtVQJSl6YJRY1qFaNuFhYgqJSSKGVdzGnypU/DKkaNcJvkU9QaKc
8R/FFV84y7iA89Itp5fjL4FgIoPUwS13vPmKtJdgAwtNmiDaN4DONoi/xEX8hznE4qN7BDtV+ugU
NusGSiDJBY9BRw7GjCM9sNFbBqWCilycdqHrkO8xOILLA5RxP12v7eLiLP4S1biOxR21N7WiS/Mj
zwOzP1E+5YTlT6MZT+jUlZEGemXOrtw5QyHFQ5Y/gpAYfF1E85BqXBaLYkRp+cg3O4s5YtDbtaTM
BEX+FzYmpMEXeo1FwOCFYjjjFGNamDOLWorTGRU0Aif86/hxB4VR0gaHds5/l2K++6589BTLMtFt
ZVNrXBrSMVKsGHEH775G292reMLzCBYwq3F+wA9STPE4ctnBs2vzHebAKzfezTSc/JAfdbicfdLz
UoWtVCst1ni1+1bV5e+KHsiIGui9ufGkBr8aB/0vMDnopmip8Jfjf8EZXlz6/mbX5mQIE/2aFJMv
Wfm1PhBzCAsrTkhCiBC1BAtMrwQiK/gs3pKcLDORqobPES0fKMa/uBPJrhE6U+/fmPx6z1wAECnD
yIWAie4/mEBjmDlmZ3/h+iEdw1YH+sM5GxPW0+rVb2eFt1+UXD9AvDzF444EPPKc9aCOUUSy3Jcb
gFYd7dJbs2eDnegeGjZs5sMxRDy2t3sFvWQt55rutjMhWc6eCiXIHAfe0R5tiA7ynlN1c+WMXBjG
AvWeXn22JN8pWC6oDamZq5qAQ972in7CeBa88XI2l/rRNBJN+HeMsy02OoaO4O6aMZhkSY3S8owV
/eRN14XNaVoptyEFMo0b3tZ6QQFXR9Wt6BTmNaPuTw7zUcGCyBN88FCWp5pbzaj8wAfkaiCQWlJO
220Z28rg2siPHsiG3v0IZV08+2nIqMehAXO8YauKlwxvMIkSv19GOgGdZwojSJoum1VguipPX3Xz
8u4Qg0iPq0QH4DNscQPCNGT2G84O38eB3CGg1d8RpaiQG4Tgy6iBTyY+Dm1q4ebVgghnnHci5tAp
e5y7xr1blgTCsuSFjkf6tRRVmsKqz3t0KmNOJu1/GvrvhJJofOAkNUQedHyjcNZUjejw+UmYyR7N
eB9x/enCcrZR4ZXTxeqjfGwjJsWyWjQzMK5VVFQN/HUWpntaTKSyOALctC0zLIlHfga66IHFKSYQ
DOLFCtH/5zEABNooDmyv2v/l7MyW4ziuNPxCqojqrv0WjYUAQVGkSJrUTQVNmtm1d+3L08/3JySP
0MQA9kTYlrmoUV2ZefIs/1Kxsi4MbQvY417U0Ev3EzOLDwIW+jEwegFsZAw44aFit+1fg2mUHu6a
hS48QrEK5SonuC+4C+CpyJG0pNHEDSdrKFEMZe6pHo5O+8ucJdtvePza0JIn6mNcDmHpp6Z43XHz
TanHIu+OZNhpmV1NA0IsRUgpvN+4+CJA7b3zySr+FUcUYzAg8S6l551jy0ivhNcRbfF31wNFNhv6
F1vIHD7vp0MRcdk52Tbe5NsxujSZRKxFC0bbwGnS4fXirRcYZ3gHsyuK6yZOjgc3o5PtLwDSF9G1
h/r4bg5G1Bzcrbyao+N6aIc+v1hPg480VlN+8WM8/6Zwca+mxo9vC7ct71U/RSHMYEZw6WXE4P2F
xMAqXT/33s4SgygMQbwkeYqoH/2PHXITvqzgis6mB1K6oI+52/8rmEHEgdEpsna4PXWpdzEiUjcv
9dsa0yCBXUSLVzzTSC4Sp1Oip44hduPEqLaiWEkMVA66lAUb6CqyDvIebVKFpHiAPZ5wB3gDNlYn
rMzz7au6zLG+NyoNBXiDuDOsDvia2Vnd677pjzcS3RH9vTeoSe1E/SDxs/pYw/LVNDga0EqUVYlU
v/ox+u42yGSIQYyq5Pdd0P92Cgx+29U34TFlwYhCOoRKifPPEibR74AcEbzA5pBIaUlc40FuEUkt
VAWsFwGqB9Ey/vN4HMwFzgbvpegrNTTX4+eZwYkvYm/5qhCZn5LvQih0XMT/XeZPtNNBQBOPywn8
/zmqYxvhgXZJVljvqKIG1cGqqRveH0kMmknufTV5gMy4EPe2vi+a2ioyC6vgDHyjAo2juuSvKhF/
/gHPvRUeHtBOlFE+jWlLPA5wm5+Xu7zC3Tru6NP7WU61XfA0F63fmyvI7/+Id812E1fEZzFRvIk5
fNdxmvqY9Ue6/MKDWHEoFgxCEXCmVb9AHTCBf91n4KGm/Y9+CIPfCyfG+CXwUCE71pfF4J8ORYPQ
Zzq4V/GJFWkifQoKh33KKjc4XYP95mKOfS0XF5S3rtROgDkuthlMtbTIO+4Jj9Pdz8vXpq++7SBd
X6RhgAuFhDFjSDF11ExQW1/UrDlX5bMvDsVAiBF7+GPkTmcvrm6doeyd7J3u6bmM8Csbwhs7jad1
I3abHWZp3AfwXp6Y8pmYMyqiCBwv+Cm5Kdkvq62cHyEHgv+Qdnrho4HorW/ycviHB0r/+SX/P548
gMIg1AyD6PMnP7pjG8QbyuekyhH9oojGenP8Q9Mud3qg0MtIGFWh9w1KDzqMOsX2Ihni702A/iGj
X8kd6zSrMO/Dh2Z3TnEiwsp/P5p+eOOI2ZGmRtYO5PFz52nq5f3QFm/UV5LApJI8fwFfQ+qivrAK
J7EaptQchmx9rz6YwOXKZkQlzFrsD8rj7fPv84nkE2XGvz3XWfK59X3p7tu4eqPLVJCMosb2IWQD
COlJeLIpM706gd1UqGlwoff2MDKHECdZpfTFlF7reH6ZAMmg60CnEbXosyb7li7rbkH+7J0EOZuI
KByI2c3zUAC6xfpxHgUKFMaG2NL7UmNxvmgUJdcpyyhmoVUbFz05oQoo4acltTcdiVlSFn3+VZ7P
WuwS0yYhUaaJjsLbGTDPW7eybOE83IskLnF+KovPZp9hsYTOpYECZGk2ENzi3fr1L2CXK6NZN+pQ
DWAaOAeEDkm3Ow3ykcwRXpYkO6+WfnrOsyWP+p2T5du8IZCOY4YwlaR8koNXmii+8183qSu+F/TD
ByjTAzI5rsABzGAledgGc1dbSf0JuRLB1EpTkFpKBuLlksTOVs63BTkZpQTjvx1J3+NjVAfHqTjW
w/ymQLPuzj0hI+23+OjAxCnWgnyqrVbGLGt9J6EVBHhOF3E/f3ZnDBoanyhhuI6apsp/952dC0W1
Kq7rvckOTieIVpqaS+zBzEcRfjfJE7Xhe3og5nIOpu6+aJITyTG3wkSa17uqhcvk2q0jhmbV4t3b
UmjH9uoplq+KDv2TWglCTI5mpn18axNhob/8gewibtmabkaY7U8KQ8o6iu1Hn0IN0OAFckdN3V1O
yJoxDfemnUfSx2e5J2S65nb7sbnkMJIFmaVuiJvQXJs/4g1Cgcjd/koe2J+YSxdhjNwM7Tgn5Upx
8/h7XTGU9NA9rFuk/RrMZg5bFvrXy6oG/bj83jWQrs1cxldNzQ3k76ElxJWam2GNd28bJAdvIdH1
RngNLxwl3T9ny0yHnqoYLo4K+rORIH4S1VgsAL/6Bf9F3KYE/Ghiai6/Q9ePfpC4OJpXKhETEmoG
IOPkx9vj6Xc/IsLv9drZIhItVeor5muNGs+Fw93hzTF4wBfhR+fNSJ2svz/2OTSXTs0wVYhl3Tcj
MoRxQ07v5unp4LdauKJButi4LkgtFPr7IPneNC2vvk3KG9Om4Ws/gdjZxLRZij14ghJ2B3wknORT
xLLQh0RPK0GOyuyy4tLpyCtBi3oHP/eQNhy5UUp6FvNx9yNO6A62/Dl5yIcCiOlFszlH+Li0zOKY
RHbHhje9+1vlxuV1PiDd2nTQWtgkPk4B0QysX+pE2jgi7TZ9y7cJyI/HYL+92hf7ARAtOXPRdgNp
fJK9nk89DIrKLQi/eXFZbGT0/TR/LkYOXr/xE9wjOnyIdnBcwMVg0NVe2n2FKzw/zyUI8om8pY0c
KY/46sUSmkuz4E6Q4O2eu1V0ibYPZViLTic1zCfTk34hzt8zZK05TCGTGDfk3CEmx3P4bFqXierB
byJz4fV8OGqMIaBZnsY/Vd/ynLPTwUS7isbg9KZbsPIsYF570i/iKkQc41SV72fULS83Uw5oH7AY
tJGKa+OqnhXfwSWZdEtelNsU7iX4NwBeMbZS3kZG6IxZcr3F8Xcv4m11u7U41KkG01nXoroNKwut
U8YEU/tq2/nzVZ2wTMLiFGh3X3QZT7tvmhJRMhe+JiBiTGY4lNFu8W63ZNe/75J8Q493/WpAyGBl
5c1Xz5/Ec7PEhy0N6SzZM239GeMatcvMD6e1EnXTl6OpecNcGCf6A/jHiq83eyiGAVReg+N1epqv
4J+7uD4SuMQMUhNAAgQomyJuNhDuBNHqwOuqbFOiSyr6SYRvnUcZMuoCkgFjBw1G/3zZTv2pHBI5
TuQJpJQC4vOsbJiyvbNWQAIhWFlWqUW2uGXOSZNbIkmF1VHQP4+IHtLXmHcImddUOWW0uwiz4+vR
ca6VBUUVNYQkcupyhb822tGkEzpf6gUJ6OSltOipdA0gRxAgFQf6DMrL4/vPmduoMPNxf68LSgjH
2UHsRU53RSQxfA4XXEDIOTJSkDyTv3+QOdW9rC6zzHReVhs6n55qm1CBgSNkYEG6dq4nvPnz6vVF
7T7YtsAVi2mqmpauiJMDcAHBpOamuJ7K4wQXVb7eM0aRiZ1sP2SFJfK2UFM+KDkJlvgFOTp5scA8
fg3MD5RRQZFHG/ViGbrfrQYQfet3kBLeq3sk5qO3oN5OmieCaL1PPz1/IM7ZKfab0vhzWYYQ9FFw
fjX1yzFp154sD8ik4EdFA8Y0J9SbAFEQdremAiqhxGp1jXOYMelumFLMOHw1AQoOFR03zMBMVmPq
HTH9ZmgMpVOeWE1A7PEZlwlxLG3rGB9RK/Ug9LEkHQZD49EmWuKX+Bj8OHTDALknlX/THI94ZUJd
AI0h7SsRjZuIzKBG2htTgANiUO5BLfkJ4qL0DF7uxj+5R/G5Q8QiYpyA5sbjPep57XIs96fTG6ua
go6O8KS2bQDt2PoYavbDjFMBVHwbSxjTylGCOA1H/097j+dX7qljj1KXxmm0QyWe8vi5cp8ucjjH
+3uVOkL3yXlUXgc69WbHAsE2DRb/0E3eHgNvLr7hQQlEbRsNp1LndDP66Y0Vvc0QRASOk6PoJG6B
53DX0kZ4GXBkuQ1n2RDKlPwH20PC63m8oj1a7Mjb6LDz4OqquyHXq8F80+oJgIUVZ3Auy29W0zot
v3VghrTCOnz/AQRPb+r8gRgVkR6ywpjjnL1JqOZLVwQuuAgqCLcB+SQfVqKQADUytbI2ZBx6qQxp
rCKqjzS4RUESLl3RcYOd9fwKE3J+ejCIqpIL1uCUmdDZ4YyCyW2Daj+88efZu4+PctXc6AD5g+Md
ppwrWUOLuNkNlyTMyV1/5P95myYPNGJtJqVTaG/ZyjOfIi9uaKkiBBpVSqMcmzPDAi52/aHfqAb6
dTxdFTmi7UNiUB7g6i9KiRcMzkzKl+7fdTMpglNyqa9qUlX+eOO63DUFKqk3MkSVEa5piuBQ5KRJ
AY/rrrRMm4j7JiGMKpa4VdMCnSDxK6eBmgZDkoMdyG0lmqPyo0X2p0bTgfSgzuEj96glvDJR862P
yKD7EdSTB2NuUU4f9etd08YegMkoIc0jfRjn8abY6F35YfnNH+m7xy53eet8adjYl80JhhzcFSch
CeVyLzCLIQ4dY7Nd1H35a2Eycq9l+ZpvwOEy6TDvyCDnyGkRXySPazYyNP9EMeF2GhKupOeFX7qX
cUAlwx/wsXsSBxlM6rL1naqxUX0qT/GV+g5N1UKyA6Jz01d8tL9RxyBSfDzYcsQUM9/ZENz8gn5P
0bWYckzv8ro7wJ7fXbl7ppKnhYqPBAxOttLNgTpNLokPNXdPqlb0Zn/BtJrM+cTH9yGjRD+kIo/K
ODzkURZxnUncMvR8OmLqIx7pJ8uos+mn9LIegvImH+PsNZkFeyPmu8WZZF0bDYgjuN/NDp73nJOb
bnv+/cbPP1hdppa3Elen48108r2bbiABFm3/+QNyTnzn8trLhyMBVc9t/bPUlrdkzVRTV6nEb1Ln
kxyU1PWJ8dTqC3ZlbCIgFHJqxIWn3vlvgmC7tExgpnqgBD8wNr0TqdIX+bvfx99VbRQD5CvQljLv
8DNyWllN+SnpfKhvS6YFGkTzH3WsuwA/qpyRUwSRuIabaUh6M+9i6lSeoZhFiny/W6IvXsQEQyHM
c18CEp4rQtk3AY0SJwcqGMFOH18GEGPqatgVkhFnaqNW/y7f4+6CcrEdu8refiHzYOwqZIvN7qk9
P5iY7eBjk/aXV6R046dhvtwg8T6/Wg+T38dxlrGrQJn4eeGJcM5n6calG/bVuOFX37eXfnh0X8cr
EasPvO17sdsScms6IAifnw7U6CsqBJRxzbo17yA5zh+tTkHUMaFvygxqb57/yoYtqZfyDokBtz/E
e2xGm6GYmfFSvM1J7nyFtV//y+ZuRZ72d41TFxY9YxsC02lBouCED5/vhEQQj6gzR/xUd3camLuY
GfA8Ua8flwWfujn4VAxeS0+8pSycs5XFXnjC5puTOf0VhoT1BUa0N+zW5XrygLTLF8Z1mZRFCfXY
FnJ65mXi98OWCpMpK332rAY7Qo+j97kLtz2K5ZRcGMNyoBnI9PjGUCwWDVq4Rc/7Wb3iXbgf/+U3
wfEf8lvIA45eHTHTm1qeooi4t/uGz5mDtYWYxneyklsLdfI8syvnHgt748zN6z6jLZMR5d3wxDSv
hHvVHYm0HR9Wh/7pKkF6Hdgf1ZyZCdemJWzF6+zdzgsRhmjMlMkBOrUnEuMkMv6YDTvKFPU3KZ+4
o1qshkeJgUW/crsT/1OH8ee+WL8OPR2uznW5WDxyPA0S9tSVpiZKh0RaGbvEE5HDuFw+GHCn6Hoi
/FvM9KGOwds5XdyLJvPKm9j4703VNa8NujsHZ0U+FcFQW+ND9eemK7LOpWXORUa5sVwgQnECez3w
jUcCfF6ZawQ9kmsr8l1IkGD20k/upo5FQpFnQklleLBDVfcRPuiB1PSPXJAyF0z8+SUWvVe9TyeJ
d8j2mOL+ihJsDziQ26MbqeBZlpDhCWkuS/UD8PHpEM1Ve+NjgIp1JSmXobfq5BT2mPQgoYEqHVNT
/r4LyD+OWvcSwihjUoGmepay7+0XIPr0TCdoG1Fh1Jpco4YWIxLFioVf6CczBvLSGEi8rorACS9V
Ukg12t14fDAR7U3cVDh6h6a96UeTXfUl4dt3Wl6o4oN3ZHAMDH2960caZk3Em44xu76kkPfe+j53
yzCsx4tjH36fDRqtfeiW28UcszQio89ps97SiigOgPr966YLgVys+fFdU3CNmqJI7uJs6D6f5sL9
NnVTRFNyGW8aYOm/+7Mmw0mKhsrInKpxgeOZtL/KE31v1A4PXp/Ml6HfbxdLWfyDERRdtZUzni9L
cYj96fNWtNNhcqB6OC3aiiedE8M3epCTJtBdYMZAi43cxD1xp5F1tDeFT8uCpnYIYENNQocT6Y6O
YTaOO3Fs+Ej1N4vjQF8lrD/220DeGNb865q3GWoq0ip6+2P6XeYd8/HUIwJLygTw7q2Z+OO+BGgy
19+KTOcjIUdyT3wsE3r239DyWGG6ve5diQCTTx/ila20RWplVRsV5x5nkuZ0arG4pGdRZg3jddpL
1FyIsKxU9ga6BMBbtZU6NnDhxWQuGJPeqNHhZYQX+XYXI4bEfs657tvkO6Yin0zJL6Z8YyMKJSYT
8xxWsieQTM1zNVmPtm2b8oCl+4pOHv2ljUdt4PuYteZc1HvvrVu28U08s2jsxUwGhHwPzGKuiy2J
fz1Wzva2q7b1W9MuA8nCGLX/nPfhcSQNYjBtqt1hX9GKdTO+ugm0d/Ox/d0Mu9YcorbMaLCVxXWn
VMRxaX/tmulVtCTfvX2Zf5aug5/RIPS7jWdiE28nd7hsYl6GO7LtMXFMDrlH+9xBCm9KGcmohbk5
NPhIC9c7NyHPq1vOE4+P0N+GqF/ByF6t8mJgN8zV4AGH6cr3UXRsr4MqwYUyC/bvGOWw9iZiGGpm
Z3sFKqlHmGHB6uGY+q+c5kTuuNGFwxEqyR7G367jvW9CcqnCILTqkZE2vpLBhl+tSS9D4fK3ud7R
Wm1SScpjv9ES4rqyNtdRy1nsJNTvdlRSfIUvJNMI9oz47bpsySinE+4fiY3TQh+Ql0MD1kgO3yaz
Genb4gXfoW73h2lWE7zgoDSY7omoaXuHUcrWrA1l5q5E3v3CfpBHsDhwCI+GI7RPKzxL8prsOibF
3lOdgJVBs3evPNWLKUhhvOMk5Wh2wYRO3U/TT/kbZ8FvEuc12jsxfdTNMF5aajYx0JCbvp6aj+TP
7MjF/FHvmvhqbtnXBBHvdmqIkfb6A9jWUIXr6MjPdIeIKFPom3DZb5fzwoVOXMXEwq8JcSbpM/qP
qf+BaT7lR1E7Q37pd9RY0TR5t543Nq+3NMmgF/Fmve203vJ988/Hcd1d7rytvSsMeQtZzGYOXcEF
Y06gH9OND5u8ycG/qEH0aCnXQ5Y241VHrn1N6y59yxekrKFLwWEpvG8OGjAAiPbeTbkO80XF18cb
g8u2W9nWlP0dCAD6cm64fHQmMqIp7Vnhoym3fyZV6P/m9PqAtE5IEviDzevL+6ia+5WjjVF4yknL
T/q8kYfcTj5huYu4Q7uY4PhLdwq7dqW4vIfFHl1ODpFD4K5f6iFqg116nO8Nco5s1JFwdaQplHdE
Sdvv/aXLfGqSrBvv/ST95NeUMk1GINpn5GbIr3gTkbXDH+timo/DldXs9+ftxy9d4O2LsdsmJFOJ
xc3GV2BW3wjY097UQZJ+jTySkF/qsSWgec10D7K5vijXJH2VM6QBSAOiajbDVRPxTgR2bOOs/9G6
KV34vW6dtVjhKBGdCuAAl4bWDn+NF6QzPm+qB3YkdE2w+2GrgwYnsCtT8/t2XiFmmNst4T8iDQ66
gNTIgbxz2Rzx8fbAVHhp2FxsW1W87cZ6fI3MA5d8iF4VNKfs4V+YNDeLk2L/xkfiCVMv7pOjWe7r
ZJle/zKRiTd+eZrvk7apDlMbJxflDleRownqF8ZPTzRcYLdTHXmx8F/ss8fFwZY0uQN6AuALoAaJ
YBSF+1V7hI7cnVTNxPe00CDUepoMqaNRuo2AMKWt+mJfw3ZPz+sATOdoOyYY//3Ea6/biuEGWxpJ
IyRTVZTGGSAGyjXhLTvYNU6afsoBSgrPIWUMeXwICOUjCoxOxGtVbmLkizsChFc9mmZxf9guI6q2
9vfQYrBDdehzcctp6plLCgYihLyEGeR6aKngGUiFkNyuxq0Tv1WrAMbYW12yZsR9nAbUjNWDyLuF
oREJKlKQIKsJFdAxg04mSK0Qj0IONBkZiDW5ScHYIksIyfVLZH386IMaEFE8oXibL/fTrVLBT2/W
Z/gpcgPMsrMysNsVQ7rb5+47MwJ/YKX9khc2ACUR2RD6kkySZkKxhWvQfnOdxeoNCe5poY8rL5Zn
dVIw68A3ZLGuL/aXTbeoCHaqQO9dADSVzxZ8JjyNR+caAS0JDWsXqUOmLrZa3ooMEsyRSmg/0H7E
zUSRxk3UU0BQbwZGnZr8sNeV/yeHSjosqrAloisxQuFYCibPx5KgFt5GK4m6CJ2dSb7XrKhWaEuh
7yeUYZ7/EiLinMegIjtESsandsXJb3eObI4IFf26rrt7YYZ7f3pV5Pl3q2NBPiXyhYhhSAddb6v3
8S8jTZHBoFf+ZuEaII6s+hXyPM8X1090qfdEGY55KGEg2sKPz3gdnI7DPI3FvYzV7SRFPpoVphJ0
QFbwl2PlY4+g6SfoVEC8Zi2/laAGIGeXv3Xt8tG2qV/WBfq5uUq1D1kewzOAWbSrHz+YN6x5uS08
2BzO78Il+pQle/JI5J/9nghpjLlzewiQSMSJZKGTNSNhgcVEycgQjxtAWJM8XwgHz7+zJ5Cxjx/t
LC46fhkTeXDkFNFPSv4i+sUZndZgouhkuJMSVwAPycdEu15Co7HwwJwk6amolWlJgIBhpHBsNWdn
TgTdIBl4uMg/WVWtiRDDdN+yK9n1IhT0E5rVHr05gSW7GalN6N6mqr6JpiznVSGT5FamwYf+ThYn
v2MIeSNpe7HrNU38f407Hr+U841UuFEzu1vzQZtcAFR5Qs8nmCKQAQ20FzF+9cUsCrSCZCR4JA62
goF0sCNFIvoPYD5C5z8ObR7IqX2CcLMujp88qxF1PY7eyhgm1/XNkOnB+AnuN6LsqmjEVUazGTkP
9MX7kJs77Ls32di98XcAlAVxFEnClWHJfvgsOo6MP3HarOmIgk0ayBK6ibpSSE/h72vk0wXS+u8l
LoglPohFhF0810Vk7Ly1vyVBb6Yhc94JFGxGgOgQTwWoargdxImKDR0VH3EhzZu1Yf4uz5pLUEG9
RqrXF9p054IEejKuZKYwBBIRY8/mXY5TOGuW5CGKJCWZVnhjIfZ78F+cxKaamJBkqCijKV6BiF/z
D8oWNLGr0YzVRSg75OdP6hPRzSeBgZ4OeYl+708iDse2TcZ0DLAr5jaXHgH3mtthCmJvf04v96nm
xDH23dj5fGSa9EEXtCKIZnARV4yGFs8/l7V7frwpeS4mR0AgvWiHmMrj4FaHK2DD3sn/ncko8ZW2
n7QSRFSVY5y7Vahl8Wt8PAXjAgn/QdrsMz4W/Z9TJXfIGaoOB8shEBIcprw/OV+ssg9QAgv53KaP
aDE/iFRCLY4NWU0MLl8JcNOCpz/xpbGQEZmmZtzSocIjudltIGmnOccYBy0VAbIj1MX0OgSRs7YY
kLJymt7coj6VA/Xg8y/qqU0VRMCJQt0BMTfo4xfl9X5XJ4BT7o2LrhiDSkRWruwkGYlwAXEL+rt+
p13O1YRakLU7IgJxOt/mhM//XipLG/3RM52F/9qZTiXPmsH84whKlPHPMB/jnqAFkveAgO8aWssX
qtnABpNC1wgVWysM6DxiATz/rs4FJH56rrMInM91XtEKqN/PPV17xpEzbaELgKJ3Pioc1mBck+ck
vQPf/1FdUkH60yq+bRcmf0ye1f2wF2lOow17XYlMS5JQmPU6Xl5a3J+veJ91xVeXfJ5ixhJ3/kYj
yovEbYZTv7xBQ6k+9BOjaIdkSHhCDVCZPTBArRERni+t6hhzf82YigXg1Lj9ENxaoJ+XL7OnXiVP
Fu7dKI4Z7J7L7HlLV28z3fQ3Umhz9yW8pgBMNegFg8cWYLo7K4c2jZ+Pa/Z7F/uAuFhn1lpUxt4l
/7TyY8tHK8OE6Iks1CQ370zz5ct70oJqzwJKCKCaWMczJ8x8H58TZwU/MkeZ/063r+AY6r5JgGI3
5q86KYOQ1smZToFPATnOdrSWsUjXaxZqpnHG3+ehu2227ld3+CKwuxLvJuJ7EZznlQR7XgGkcOAU
nZj9MvxwyZiVk6vXJcqzoEw6em4Zfff5sTTzPyqf14V5ctZXSAP+5mlmOTX6HyXcQgoIDa5redJH
YXEuMMfG25WUhuy/ZSEkXZOIGi4HMzJVvMn/yFTmyaVPhLj2qDSBXp+dIm8dhniJZjrwKnoTqJ3g
LmPawZJXFXXXR1a/35GYUezPkKPFDJuhRDassK4RqUEWMe1LKyMP6SFClJXePdyUZP2qwuj5c/9E
OoqwLoBrDPSIS1BVHq99tE8ByUb9hu0NijB2hpN+J5a/iWsgvyrg0GIVIEpTZWlWxsfTWzPEoPzg
XuCVojlmj2gLbebPqmJdWFomIlsyoxaevJQiSkIVEsingXWQI4iSbZndKXXTLSS1XuugRGDWqdxc
KlZ0yaKG2oG/J+EIicPSdn+V88pykKvSfBTXdkJw/qXgoh1/diIiF/g5KRI2QHvvjLWZB7FBdThd
3xh8GZuQLUlRs8Xjq4HOk5kpxGDrW2OgVC3u6WPZV3943Xa3VQ+9BASVf3t+pZ7aW5jMh+5ujxgl
gN6zleoi2nBR4Kzv3BUVEABTlv/F1a/Jsg6jZU4i/y6ytKhE1rwdCR1RXiU1o9RJWmpKUUQDVPoU
IcwojawcTdnnn/ep9AlDW5gxvheEOyRxHu8srywTMGoVxWEwv/MZl0h2uN+B0QKtWHhQfyhItYtw
6TmofBebRDfwX2x0e45bgKYvPNjPSb0fseNpWOxoBEbnygBeefImz3N2b7b6dBG0zqWEdvs1pRtc
XNncjlxJeZK2+5Z+ntzytVQZ4l6a3GQH9F+kaWsznRetCp5c5x0gQJy8aKowVj97byi6Td4YZkBv
wvcSHy0qoFXoOQlfoBRPp1LSU8LAySLAxYdKM/Y5p43Cuuuas7AJaWPJflAtCg8HR8snAOX0wvt8
4ibmff7vA59tzKn0nKlfivxeVUVUOLdJv78SCEB6YrHHCUfewj4goJS4hoC3gqvcqEzxxNVVF8YD
kkL7F0LbE7Bb1hnFQ5zzSLqgYD9+kV1YTCYaGYfqEPcVtQRAwiJinY9MxODqghLMFtDSbE+fDqoI
t8DNv6hV1KQQXzbIMPDR5nS6nBtaRwnWKNTJkcbDU/Wth2CtgCRlDrGPkQUDxvpgUZeL9k476/lX
fa4bQZbG2UdVj4IUVMNPZ6r2wmmYtgQ2+akx167PYN6UBXCDnsjtO8CiCjhalz04tot8PjmHwY//
8AO1mAeA/wXkB9z5qBYqegDxIAzQnHzajunCHLWBBx7VYCSYwzR7blgYgZ+l2BFnYILczVkNXs7M
hUzOYISm9vGOYNXf1S4tFUsAiebSXHshM6Qa2Ml1jcTghd5O9KKb5BMoNQog2YyQ3WM/eH7T1psZ
e7JD743y1Wbmv0eoh2oZmKyCL606dmMyKPz0iYR0fItkNvqquFNzmVGtXRcr39dAbpOnAVfyQ+3L
35XaqhpoFnMjsZJiftftuptg2+5UgtoebZJ8Mt30zhJPucQW4i4CBJBW2ur10DrIOYlSpzfBtOJC
bS5dCTrKApNJU8EpecUq+NV7lliwB4P/+f3yRPPw8Vs6a81C3RmJwHvvzQ7qS5cwFoSOJJysPZrc
7D3N9pyjtxt+U89IBD/pktpCiBZQ5FEEgUmawCQ9/2g2qXx8xerR4HrFXBD4HJ8lncEY5rswNvWv
2UDaZ8mnjO5xmKUbGB/FERLnu8/S3YUraWVaFZga7iWikTOR7IA8XMjsZNsJ3bJB4jADpW4HUi+D
Ta6DDH7akM8y5lMr3gLdVLIXbc50BnjAHRx1Hyix2rvBsN7NpEmX1me2TwOm1pLmKJCKANFz6Ts0
mTssokUDOmJ0zHweAhglbkVwy5mKzhOAAyA4EEEW9j1vdo/7id/fYE0AlUgQOMZI24UzcTRMDvUn
brMaMNzuR+4A06kb8tka2618hR6GfONBwjAAY977Ldgi6VNY6AcTxm9RxsgZfZTpBCnGY7YQLczb
Fmw6Ln5x0GCpp26rfvVrsF+eAXvoZ0D7nl9AT/fQcwt4hhP1dk3ZdPFWW7EvPyJ7FAVdcCLdoTNJ
NlbeVgJMOGH1KNQzc30AYtYDVHp4TE32HDT8zooQNKMYhoJbFzvgcJSYAmsLMCZ+rIqDjWabrYHo
Lzz/bf6P7cglhmgBqfC5Zns3ZbFrek5KPOJVY0wBAgYsEi7S4/SqG1L3EO8AVPnbCdxmxxB+nuC+
0Zn/qKLOwifyFWUAZawaBBuWiHC07n/1V8pQxaJYLHx9V7NfyISkByOm0Twwti1S+HENXhc3fjB0
967HhrCsaH+VONgGQDXGJ/cyXceryqu6A2N28FahxksAWiy4FEmfHAcU7ipaKagWZYepYI7ar9wN
wGoSwGuGkb0BVJCTHrEbAT4xhEovIR2UryLANtcqi+cJHptZNu8mDk4wv4SBVndGM0h3Yt/LjoZ4
T9mPGRawQ77fnAAC8SvinRkAv3oi5rns7tplx3cdF43DAPdiq/gZYqk8v3pP5JoKJv9evXPaqOMk
C4/o+8i/0LlATNvy0uVvYXu0zMQU9SV4qQRJ2qGQnIC+DLTFNzJOqyECASV6CS36xNjx8ZOdZcFT
fgy6tEwekhD2Mq8Kcft+RuhENU2A9RG6lFLIYZ+8lcAIeOXPslawknOEarXA+5r1EuO1cWkp7MLb
fQv8IXXNlUovJdSai+mya/Yk+URx5rzf8PY49M7wOY/Wq9UdDqeyRRGhvhYVJAZcCC0SCFJKQqah
GDW7DqTrBbca0whuLoxmM4bfsn683/hzCYVEjCHMMf1kiUgSYFEGtwEpVBkRrR80hBQ3fA6I2bzb
yKFuRXb+ZX7z7gnGDC8XrwwJqHNufwKg1sdjWG1ugIMJ4fLBNryca3QcqBooN+BPGYh9foDM1Mj2
myMM7VRQdxtBGyABoDwGwHQjfswdt4AwBQbJf6UJYI0GaViASQPEpWGQ45JLbG+iks7qTF/TxBAU
3RPH2I3BffZ+8Ho+gmyGpaOWD/ze0cKeGA6wHWExE9/9FDS/JbxGK5N7t+FfzJFgADWJMFycAc6S
V1oLOHJehOZa2BxJ9WtS1F/dkQ6MIBrGQTDYaL6piwndcCIST2+BEDEkaBAG6IY0bCdoDeaoTG5o
T1dxLQpkAFTKLIIJ+QPHfwDjNK8MZ9XPpWHMkxcAuy3iCwQkTye2nLxOpz0544xmy+vj3pkuRt9Z
DtBnwfNoalbviWL2UPXV8NmtmZLCfufn7XiyoVDjhlyt5RKkH+FxIYEI9WnhHIopzm79dXKvI1qh
l324fK0LUJdR1QN+DbAkTIP9erGaqqHP0Jyu8iB4T8s4vppqRFi8EZwM5IMdn0bEdRtmxTkAywtJ
nYioQHsDvOHCovsUbKTLfAs094DdadGiHLw++fHAjY6MdxzpXsUhZOFRLOLHWtGc5ui9s5IFClJO
5G0+mlg3EgxEABvhSzfrzwUq21pDBxQ5ELyPzroP9VJ24ZB24Rsgma8VzRoXfDXkJS2Dul1g4m8h
56EnVH74ixkluZbYwWdk4p+4ssDfZEMzDdCEXXeUMOZ9zEVGUv3nShgMW2B+1Wr9YDkWS6DFXbxL
Gfn0hlU1MzkG6i4MbmC9AdKWSknO3leW9v+J4f/7rc/7BdHapceoAEagho+6kHG5ftTAU3UujavX
mgFKN1wzQJsZ6PFpJEntV9RkUbH+A6ajIvRPec7fnmv/uIzkWkwSZ4acI3iDewJZuWdFGNDqpMI2
em3HLfZ6YQBboFQFkkCNcMDT1/1CekMklIOw+hpOU39jhAZSgMns8y9w/3Mdrm3jRyxGzPO6+vO/
d8SH0zZT84X4rVN70DAA0PquTnzcSrDMFBBJbqBkyLAtuOaLPANLvP2qsapL6dq74V2dDe+SfPqq
x5eKoCufDqkE2hp4QoiKJr/mwGKeoov0gjKJ/+RXiAJXNTviA7bq+9tXwAXM8XbHuLTmqv6eAK3L
zs7dVm5Gtrfa6JpWiuYoaQ1Jhamx1MhPl9+Xm7iV0mSso0INWhH3HZW+6C8THgwLcdNDsY5rTk4k
MjOzCyVerchzov3NjDBE91OjwvR0Z0HkqC+vP7PGyiS28x5goIAjVpYKo2kYQ8w8+vvnV/Xp1OZv
r+Rs+217t87QD6mss7v8G1Tjil7BOBmQuL4u4zyz8JQ+dpr0ug22W5J8tJaakG8nBJmiMf7+woM9
GaXomUciTfsMbR9vN69emnTONnIuRSlZzmsdNDFyOZA+/SbJFPvoV3PzvWVOevWwHoy4Fvjpav+q
WxJxR8GQ43S8lNM/wU/hQMQxVFrUxmjLnzWA6uqYGJyBEzRfSLkQ6VDHFMQV98EOLGQLERBnMqlx
awph1bjROtHrK2aUmHp2lhfbh7TiULzmF16hXtFPoSVBhYdOBZ0M2wr823afIEOcTsc4tv40MUp4
ffdQmqtC6kv5z1Mah3RhCHuaylqVLBIz8VEtTkV9DipIwOUvEp2CJw/j357urHlQ50PcbGFxwkIW
4S8BxHNIEAzPSFTIU6u2us3G3asFeaV8/qR2fA2I2lbyZoNRveOe6EMlSp4yMQisPrp3Mpi2No1w
AYSmU5MVlAG1PVgbiVo3qJ4IU2ecAcGGlfzC56jqXgjjg4BE4hKpyrDSSZLKdJkWyP9Po1xTEK10
dosAJh3dgEKuxggW1Rc5Mxmb/Uk6Comi2+3YHSQNtOHBbaV1+/SFq/zpLfi3d3h2lUdjFZ2cZI6t
v6tfx0xD0DShDi6O0Xux5LW6/1b9Y+Qr+W7tPIH+1FwUlk+7r8+rN+E63b6wA59aY4AtEX7RYRSg
u/P4ENPWGgy4jh33BbETarkwLoUHJQhUiEZ9ohMIqalGPUY3bzW9+TcJ7U/gzctIlSfLJg5svGd0
gNzfuUCuV+7bhtuMnjIjST2XiODChIiJa5FwIDg10hdaCnwzpSrToNB5PUfu7XxUV5e/z0jdFPw6
gSi5Rb8KLTUmyft99c91d9d6pzuD9YyFHBkEWhu4nYgy27Ec6URjyIpoQshzLD8l74bEu5E7u5Ij
5Cys+YCyJisqSLU143xYT7SCF+KyIprMv1SPKj8RxEJNNSYmLD3LOy1YAdGMRHtck361xTWX0YxS
rXrdMi9DNW3meB5wkHcN/AAmQeCe18ld2TjbFIx0VgJUAk6a0oE4kwyF7k/JC6iVaiYEgHTXTcDJ
HDf9NBjSf0b9gs7OqJT+pd37MCxBlJhAH8/k4JL+iEBlSly+M8WVWuBaGesjRXFj1uMf8YQI3p6i
6N8KXqhML0f/o1Olo4hNt0Ks+R2lgrKpxnj/6k103f8PZWe23DaSdesXOojAPNxqljXYclkuV98g
XHIbJAACJGbg6c+3ku36LVIhdke4VbJalkAikbn32msYqFoxL65SOodgF8IdRo8PmlL7EDhwvpTt
rJ6aaqDEMqwg9lAkk1nDaIQSzDZaUU87DWvZDin87ZpetxOYzffp/kmgvlexxOWLxic6ADTTi+Do
ypKiteVuxlVEp2wp3txu4whdKWAodmKHtQ8ZrF29wrHrSeOK3ktpsXLHu8LQZn1usEvFSBUFk3d4
oiPCe5pWND5oL22ShIXGDEJdGEj6W3ivFagMVnsgnSumWUisL7Jmk/zV9qhPIHKtiZ6lY2P2rG8b
AS0tPJGkkGMewhhBxjHFBvtNSfTqEgOM9fLUpoPzUGUrkCUpmHDSPMcJy1gFJ1dgo18NKdZlHuun
mEJFCAzPlxQjTVrseXU1A/meedEKkch656IIScezYdja33KrKT8N62p9PUYAXENDh9ik9B/v73Zv
eAuR66w0WcrjGOeig4LAygdn3Hh29JQl1Ytcgts+uDP6KDlRtxbQHcNloSLGcFpxLsz3DEkdI7S4
Rv8MRp9u+5u071lUnEGY6YrTpxyohgPbwzhNi35XrM7WrXuux0lifTm8iYtwOnXB0NAOnmn8Bwl/
wVCD8JzDgK986JPUYlxp3OdqB2YTHaO/Q11a19mfqsdakp9GhyKBHAichDdnhjYM8o/K7Jv5Glwn
7Ub+kn6t85pNdfko8EgMS3ntip2gw1U8FYruZx1QmRPfDJQpstwe4HoMFRUnYJRXAReySedsnYKE
thfYIp4YHrx1rL56zQfHVt6sY3bU0Dc8ixG+qJ0y0jNhXUwtYpQ9PvMXeX4g9Hu0N1D1uE8bUKmQ
QkDRGAMeX+bMXwdXTbe5OrHS3mgaA2QGmH9GJPMwAX99rnph7S0IfOqHdgchiUWgwFTts30x3/YB
IC1NLby3i9ZrTWcut725964xH1ifjWt0kly8uBStUbX3TEwZj+vkddfjLZihuTG6AVEBNrioGYg6
Pli7fcFgxnDvv6o33PlIDaXe93mCSG+LD3oRD/vocBNnNlA/hbSeHwpqecQurvNHPp5p2FtPEA2Z
hgpkNF06LFJtv5shuF+ncNmYXBtmDqVexIt+/xLfapdwDoQUST0NSfLI23JtsZlxPN8LJ1HGqaFU
m8g7unOKKTwdLrXu9VRrwid7Q4Rf16acVn9HsXX65D26Lp5NG4Jr5BPFx/t3RNqsnGKw6njzUW/d
P3IYXG3oUCj1eTuhyasVl2EN/30WH1FHkp4p0WRUEfwXDOdDpgsjLeq/INIOAt5k/Mt/a0HydRon
3lys74sk+dHOgJky4sCQiqmAysABfLQWiD9iBwTL6rIAfpMtf9YABY3sIQ09MrQee8JXqMRWTOKJ
sQOJJgMCDjS7zhZdDezoxmF5NhBn/sdbrpfgYlhPH0ofxQb/+lnDAYF5d27xkCeQItj82pYaFlJM
Tdi6lmRcc5ZF228iNvv4OYXh7jF06ovWhuju7ZGt04AWIPRBe2cujIm9IcDgwnmwCVij00XxdglN
OLid8N7GAfCtXeFhhiL2S1YAcBSN/K0TpvNLhI6xtbFPxNiQszimt2MOD1wrxVpLRoLMdTKfcz/k
kZtlGRF+HnPXZlsD3fZllzYSKHUhpNqIBY3rXLtmgyBvm4O+p4kbJwylYxeI1FA87RRQRUo39Ewe
Yks0aRYORwwfqQ5FC0pBRiD7hU+GpY6pJKLgHSMlG+LfRUzNiG8XQOiSIO4zvyBbcbkaqVQV8yw1
j0YEP7r8knhN6WI2a7PWohqhqN0y9h3XjO+LGrOZokE8B643/rtWqbesebf8YsK9QArhNuPCxbWP
ww67lB3Ls8C9GVEE6QgykssTNG85msPr1pq+DwLGjQFC5iKMXNb6fUWO9B5f9LzxyhtjYWAyAP3M
te6yvk8+lLh8kQzgtGdtxfw59kDPsxV1mOp/k1EYs9Veq3fTOhtmDf4r7mM2Q8GIZzSLSVoiy4yx
NpB/Zq2aSN4EmReUEAOpb2IXQK4M5m+bsvqW4wgAZEMRhWyr6qitxq0sDG18A4pcZoI5n40lAvJ6
A+odVxR2RWmtUE7y9mb8qCgLnPMuqn4ab2bokKNzOdXNPe6WLXKb6e+4i/9kjgTZrmY82dYvsYMz
RZ4KqY/G+N5d95/srv1eN5ABu6Y+S8fhclimz9HAQowayvvahzgbM1vJR4x6GuzzqDGYvNvltsbe
YrX92iKSO/ctBiNGFtvyCDBs3GHSs8Jfw9i1eAWrq+64G37OSmwjeWYUJXLwPiEGA/22XTDNGVKG
ieonvGrY3bQb1kht6fvndU5vxjJtwf4v/Zy3w7ZyFLb4FCLq623Mg8CxFa7RqobMbCaodck6sKeB
CU6CerMN5Texaj3SDqodFlCM5IN+vYK6P48f45bZYJYzBfW9+afvZEjrYlbcCiTBrqqNByopp4Oc
/wMLyPK6WPnJE/QrBNROjpq1LydsTLe4G4yr5VOxQCbAAPCpnbOArEvdtWadXWUllgRku/DCgila
M29YfvJWI98d8pSaa1jO11vQeM/lMahHfOotD7GI2WSLoBZ1qZLuq2qwBaAKwCqe72mCIbnHSru+
sgoGSPaE+QGhItlVEdoYNDZ8s1VTgjdsEOc28Ml9tNKuIHnzsqFgH7dcApGbZAaQV1sEeXDmJ+UP
Geq2HEKX/nrZ/rARw99Xabd99AhEOW88mQGNSNBFZ4hELDqxyR9CZdpLOdVjFF1UfsGhf1dVh2Ns
pcv2IxjSpT9R5IUiccFNL2bYe3DTVciqdNchqg5SORh2yS0zFqZQaWUxKGPI0yzaw4QbWjb0IegY
QEFhokemcPrtFB2iEn+WpKs17P9oQnZz96dA2raDOYsiwnAymVsIhs52kAsMrRYin/EbBNvee6WI
dwi5dMJ2Bj0JAAmWF+DSpdW9VIPD05g+NkmECStmrNRRoso2wJKyENN7IksJz8cWjG7jtEHhETNR
rxIeHXU1hCvGYwcHrbWpcP53p9kIT4x/TTHy8MpXVpxEG8VkHcM2aSVn0rRG4hiFdYqJamhFMpOF
QRm1qFeB+TJkA6q7vI65LJvp6brrqGQ11+y6ts2ESFaVBzSjqggKC8OPmbXL9TAUKVr4zdhmaNlI
1SuQqxrTj1OBpxhojL8qP9TD7q7tUMKtuBEuBEp27gFPxQpGkGg376/tI+7J4TUeIOlVnvu7bRLO
T/Lpli5EyntW242ZgAUYE6R0dBiO2SPMISj3glNQl99I7SCCg/BU4+pDL24cEpkXFuv5WTJqoVDF
WukxmNr+IxCC1bzi59D3iZhZzxRG8oZkYGLYgj6QDF5ieKeNz5qWGFccCFCaavt+h98ZcAh6NasA
SSWH3ISVQZUrLFg8BjQnYqRNoPHDANAcQsLDQUWKAhhURgr2lVW7wSuU/QAUMy/2827XG4LtQAuk
NlJ5VZLvUPADwiiNHRoQVITTePeRXEi3AeEGG4xIwYj+XteRA3XE0BE+8mi6mxqUCt9uLWwcTkie
cp71XEr1Etru9ZxijE4HoQEBBAhx+ISAv78yDsOU2Vf4WV5ILyOy8tEEI+fLQbfz9jnCkk3bGQVP
2zEYDdj+ZJ8Z+xCrAlVQFoIiFW0qgcXgZ0cAKkV4i/bKwDhGwK7coLTE1pcewzyTJZMj+HWafelO
mTEDI/C6T75qt4JZSjaDREiuNhxM69ljpeuJdjDg0j1cqTVwevRq8JjfoQ3z8sGm0WVhJHDURVtN
V7XrZLc8KRF4LEAzmDDl7vo56NtRHiB3InsqGq0tqDsMx0eqlJCViy+akkjABEzQiHJWx3zzQmjO
xz1ZCTS2yPtvkQ2HkD1AbG5j7hral9V69eABY9TjkwCd05KboxAkvTIU3bw2tiZc2A/WWpNMcTq6
y/JURPK5J5W9A4DaIbnI5LcIlcTe0I9BU8GxASqQ3Pwgjq1YcUy8tTcJg5HmzvStEd0VPSSObMgh
Ni/vr0KjATm8DehGY5H5kUEGBxdr0ekvaP8ZIoNmi3dgco4imOkKbpIkWemYoKQmw60F91Vok9xz
ZXlgYwGvp6ZoPZjgOtX8z+oR5Ujg9VipVC7lc853v3/ZBjA9vuwQJ01AMUyKD+bhVrfpEKrMxBqi
EjEOm9n4re5gCLewJsWPGQGB9s5brCuqDoyT2aJiASqtD0RAsZA1lP3GnLoNUjikPdoVxk8REtmc
5SfcdWLXnbweKhbDgIUnhrZSai5bnk3Il0x91WIS6C9oLVuOlQ4S3Zhy9uF0m0/0B426mqWl0xF/
UBOJJrT4oS4qpwlfB+qpSMJLXOHGy4UEDo+RyYkS6+01CRcXQ1JCy5zDXACrScZszZ78+EvNb1KH
YBW++IO0gLLghf6OdeT1WNY4+mhyB1qhLHGIShGiYfifW7YQRubDCLFZsAW0mQh7Yg9Z4/v398iI
Uc8QRRf+IpjRQu8/aK+hquftmsJ5L6VMWJaomf2IvlqQCsIrHaGiyGi2Ib6AMpgNs1P+pMZpmB1E
zEzFXRgZNEde22NYZcLUmFhLhRa32NaFunM0uEu3fF9EJ5TYsUdnA/Y7DvQBogfQgHz+J7gdgRn0
9xslLOmklLNJ7mETgeXE++/Dkc5B70OA84YL9YP/HhFnMOJug81Y3Gdp+lgvm49mzC0n2ZQyGeaZ
iMyrtLqCDn2Fgw1+fIhbhN1osNf2jD4gRMbkBIvvYO9Aq0XyxMJE2708MMTLHdbzmYcDirZ/6RGl
zsmR8522SAgFIx4+uNSZPLTw+gLY/a8P4jzF7qLGrffRWONy8AvDkwlIUmbXVmw9qWaTS7TQesw9
roqKuV1L93Nfz7TN/oBxwIatauZgAOEXWScOaGLtBvRBwyoz86fVHiXxAMAySmgmm/UOnrSq04U4
97anbkmGZ+n2tdOKUulb5YviEJaG+AQnvxSnR9gyRMFPcjqWjinb0CkhbfGY10gfsJfeOD9FqMEX
0ghj5w1RBbvIaEY0H4jQRqvUEY9ac6b3l8gblTtLhMw9kFHGH5CEXr+jHNXdunQ6xtCM+JS+6W+Q
53CgauipYk+6RPnQCDY3Jw5utDzTCLRyPc+kbcETwxXtTnw4OQ9XsCcGfF0kk1buyfsX/AZcCqAX
KSIQBy4u+0AEtVhBlkxeRE4cYnG59QDbfuB4+mw8PBaOQZSF5MFjnMOGK07lwgSW6Z0ovaZS4fxX
/fi/Xxc2mihO1Oh5iXNA580BHsps0ZmCtldHISEM14LQbDYF2a7rWTOPVsm4kgnlrxGKaLNi0sl0
43ShaJxWDh4ZdkDeMiOKPnq/cuj10O/nEONQdmgh8374WSwXSJ+3Y8Oppk1QqjExhlTzS7dpZDA4
VBj2TjaRCEsrJ4aVyXtpMESmdNQcfITqBWuBCgulLnNWzBwu661ED/IowoNDTJ59BQkivPsyxpsX
HQ1Om140/e6jTgWcL69kNxJY1VPnph9EA68A4zU8atidNbO10s1LAyHZ7JYEhhnH6BO3UNXK0VsV
qYkFNpazw+tnId/1q22X9CDe8EEo+S/wJZqe5GGut8hkEsKl/sexBuHkLypYnGFDBrFKdaH6kIiR
2fsXd8RoJpAA7XAQh2DxSYw85vXFVVFTFFFfVo/GAFtPqnKP7AGIAwYisDwJaDyumVfAH5++CuH2
aZ5HVpYOMYHzMhEQfwZFow2KC70NMpNdD5/Gob1QfSIuogZHY2H9te7yq2LjXi+85Hbl36VLfVNH
/1JbI4P2agVbVi/1tJbt+BHnpQK9sBtFni+ix+uXauU1PvaJBeRKeyd6h5wQpJGWjtWWTocJ0QiR
AInCk5mGzNRUTCMXFqY5mVD/nG463rwuxsQB4VMx9M1DY/am5VHF7WPzqPWh2aISi8MKW791ytQT
Kg5iLhsGIBFOV2LO+xkdVL366GyT22nj3SpcUQ4Y7y+Nt64LxoYjiy1yh/Bcev1+eU0wrd0lSe6K
CJ0i1yTGr6jtBgLukDbQ2qlRV2KNhoWiUot7EmeesjZ+6OQ+PUF687rkQmKTvks3E3uvr2voIY36
uK0/aqtWvqcpwwQgMAJgAxGzC44TXYDxSNFZwo2UAFmFlJ56sQZO14dHZBelyzKnjHXuYSxjpO+/
gXKNjZglx2iTuRAMlKT77M/Jk/p5qGiIZOkP8Q88Y5+/NY9L2INORDukYDBgMGlQoIZhFtmqHCZg
8mxTfMEU9U68Il9OpmIlg6OgApDSaUZXOFOpZwvTcrA/BipUWJgj4NzhwxlhzUFsax7Hdct523yQ
FlvHg+oMwzBFT6pyWcXmQAvgVWyMAJuMUuBWaqMV0RkDORULTUH/r351IDumIe8TX0ACc/RmQpKC
gaDKI4feKKl8hG5Dh48Jq+CQMorDjBZ+mr54c3jXbB8MaEAsTcRoD37yZeoA6IY+v6OlOzuxlLVU
X23B1Koco1hOqCRxD00Huq4EvrayzeO89cjpnp5W29Wd5y632ssKAufzOPiECfQnib+o5J4z7Na3
9eYDI/eP0iMSWXni8ToukbgmF9sOh3oTT7PwAIRbssbe4vW/NctYjDNZeiqPQWR7xK9nCkjECfsq
1qSRGy+sWfQQ4y6C5Dqep+9tC1ji186DvVnfqjMfmvFJtnu6A++/icdHvuMG9ORJBJvL5+k76MoX
j7J/dAeIwSTwtBEzHQV2Q4dTdrTqOZkTimzl27wQ1pGWvOKdWEV0wNg2LwDoCwc1zXnUJ0/J2r9W
q6I0IZV7anxU42ofNo9Nxf4MEinaoipvzEQ/ZXPy2ehroR3FZXzLmfKHHNXqFDuPSLzUNeclDsgF
0kRlphjjMRAC2dksePRp3G4MDEX6Z/OwgtPLzYSsHqw3hH3sBZhekrRxOHxnvh0Unjtxb7cljp8R
sul4w/hDFhMMt7EPr5gOuX18PRYAaEK2CpNCpWFGJb1QoymZEk6zzc4/y9LFvhwpWi6gOVfnVYmf
MpNB3MLxY52+m4GZ5/POYn6KihpER7aG+7/5hvkGiIkf7oMErGjCanaSgXl0OlDoxuPuxq/RJTdM
T7No/Oi7U3weJ6ws5i8oti0IuJnP9kMGGTNT9D3n+0g+Fxhb9Ys07raPdW5NUFGcKjHBxinZ95sG
kzcCxVYCOHDfi4eOl+xiVEtgGtOghUhIIBFx4/gyu07t5jnksxRaKn7Nbeciq1ohfoSJSbjYwnTN
IDupTKEdJDx2h25x4/XrD26XPEqwhs93V1YfNjk+UvEOBxCZKg8jVy9yYZ7IAH7NZLzeTe5j1DK2
3cNBFgqdvAaeq0BG6mnzEgcDLuy9DdjJKM5oWZg5oUGtiDDkJaJpai89NERn0ciEMtqRSTaQsAFn
hhlQm9OjVYyuW56SG7gO9nmdVS8Cvk0OmeVnX7Z9Ip0uqcIcphoa2Y6CaLfMAZuF1TKojDbhwWNt
EKstD9MGRZK1ZQaJAXJ+MYyMGb1enrk8+FGpk6NC2bkoyimiFc9hVItP8TMfIEMMFtf3/rbgHpW3
bAu4/fv0KLavCub1cWy1JMD1bpM8yo1BT9SICkQWpgYVAZHRUWRYlhwaImSrO0YF9zlbss9BOj01
vnepu1pO/Z8YQsE+8I3myu6JUGZbGFYl6k+AAOpNDRiGABf2Jf/7/ddxZHVAcejg7gT/N1KFGB5u
b90Gh+Zg8O+lmeccgL8txpC44DWsB2OnG6LIVdUBye0ydtmmkUuKmt5i6KGXxkgWygEHYVHwPyxH
xBI3xp8eetbaxi8/1lCX/gfHVQa0nMj2Cv6AOt1hpmhI9xpbvW61N2pzBBTnO+7eaQnPMZQjIUWI
lhFdPMiWc1BLedNUW81OBCtedDzSwqGt0LRHiV+6ib8Yt0WDzh20Pva4EB8BuAaMQlhHGVpT5JsZ
iwVyFU1nagJ09wRAaCBDRMSLkHvlxIuKpQCXZuQHSV/2/m088pbidZAigUrEA4BwEvOKfyvC8k3T
zXEG94vtEkkAc4py1XyqAoTLumtyUNUurCqliYhtBo0zahC+Jr0VEhOkaTZnG+0/U7hYW/M2+xan
6bP4msojbRc6JIu77xKFtaVZxU9JkhP53hgATyoDyk/OMXxSaMnZi1dL/AcC7m9GR4C3C3UYskAO
SOVgKnRBlnBSPxWlHM5HeHhUaeqadKBVeM4rmFUgAGquj9YYnFfB+j7awhYRMDag13j/jXyjPvFj
2nu4hOoRsRZ7/VxHduTthmywP4nlJPqGHGuyySXkDbMmDTJpiwTfKBWsHuefOoYZRZ+3a1oUa7hQ
/LnuvgYIXsRWpiFO05iFzBOONvr9K36jl+WKE1TZRBeSQno048Bry8pnH8OMAlkiCimZFrnd5tZN
g/MRX3UVLGoW2i1DLd09n1w4tnRuIWFwCGrlnQlFYgcuHjMGUex0sY2B/lDA5NZfeiJjjL0KEdox
LVWVKNK2rAIYKRMfwYy5LvwvCO+vtHvoiTWcdurj91/skfiOdf77i3UPGnfL7jarppx9gCF0mdqP
kHGrGssSBBTgzLGSP9Tetha1RFIPH72wgznP1J4xlZzSDOuP9siK8w/bejKMWr8EoKQEh8QA2iLQ
zYAPQJenK8q3XgNh4AgDMPPhST3kWDQD5e5qF7Hl0mEq0UhduXadcaQrYcmpQ1cuOPYx13vIgXk1
2eCxgr3GhUduIoRKIiUDGU6hh0IYXonGPRYTYblAanAr43oNvRbJhN+/EW/UeuKHYOxkAyAHSXRw
/i0+K3nKne5BYgXxh+Kqu6/rrMHmElVsyqvSyQAtWhpT7R1tLkYA/x/0XA4axhgc/7mqH7A8OZf9
MtMSvijKQow5TJGwaRCtKNHdSG5w3EQ/NPTRWG5cqmtT+E9MiKy/Y8VzaQuRD5Pw0yVbX+V9e9+4
p5oCs8xeV7qBzckBz9R1Arbdg1MTKxfOTbfYGctLQy0sFH7BFiGoyMRycg9kFCDo2y7n765vPaSu
c5+toc5wkWZYwXG5BPN3udKk/95O4V/v36RjvozDZSYqx6ERU6Qc4NFVNDNWGJbuQb1LNojWRdZ3
PRH2I59BYJm7zOfZyfOPYVOeb1YDHtwA+Qw0hCokVnZJ4saNxjTj3NGyw0GzijthmmPq37MpXUZF
co3zP/IxUDuRaPEXJvjWAR+pYLnj32On0Q+Na9Q1q6n8L87zo0kGLS5Wu8alkgfjcDFapb0ru9Bf
7qVplpeXijFBjX62+aIxdTjBtIypWGImGmLf2jX9ASffB82Aiy3Fr3Ft5aGxV+x8q/Tcm61/BV3/
pz1QucRu9UlT+1Heh5xjErL4Kx457fR65BStddpwwxVIerDOCE+F3O5ikAxYqRf+27G+1G26a5Zg
Y/RZYype4hpssq6ZvGwxMZA1mcoT5SpyUNrFhjwjOJBFxF4mwZPxlsX3ce8gwEhYU1NrRm8kJDll
c+feKhNS6Wrvr74j9YDDXQGqilmDgKxoQ19f/FB5HkEeUXEfjx3g/SJDYcixxNvIs1DO8nZhSJsM
hCiEjQiaY8UQmneMNuEbyIQw2vhPlbW7qmgi3r/CSKfF4dtLw4oJALO9BKe611eIOoiYmT4bH+IA
SjOuFdgfm6p2oaTTVKzaNH+XmxHKPWOxgZuP3eYHna8q4QRcxgs7H0eQOCxti34Tm37j5WjCniNr
uVMFzLNkeFrMA3RDdGMEuWBPQrId8BcQsLjeQrDQIH8RuhhWf+02gUSdCKzZ7HQAy/NDZ9NuV9y2
XvksRz+5R7N5QpiBixx5d1Jfyl1GT5tf0oJInG1D1KRAlQGo0IaaLCtciyGUj1SwxV6LK7WGuAKq
VI1vBwV/0550XTChs0fvecDREUE1YcZzsCdZXtrl8GOXB51+An8IC7nyfeSH1CdnbQDHVjNi8a+C
vL8six02WTiMEXoKZI+9RshRIlTOpCwiM/6mb2+ZPxrEnn9mpAfMgH8J/zRNMZQOtjC1H+Su4YEE
jKQ9TYM3c9C4nB7iXAk1NXbnVO16qiVaiOfumyDEfAe7tlFh4fn2Tysrr5y2u9Fw0qD4YKwLCcxS
qud0QTJLMEbuJ129jpJ99WghLISqCYomM9nXCzdyEcdtJ+Z2YG2UQthToMW00g4mLZbK1NaSZWgu
b0KgOID75V9z2hnNUuxQxzPNlTH5etVfoUy4FQA7YkDk4zsvv8h9nbS62fjWZejnWCnR9tA72Gp1
GFcqt15Go3KgyUinVknYpim0M0rEGZyV57kYeZt3ZfMy2+6PodHKCu/zEEvrTfiZicceJj353ry1
7USkY/jI+xh7UBW/fm/y0SrYF7vlQS2rKa/EXmVybTpzzZ9stv2OHZMZoZgzGYEghVN99usRZSnH
YQNnnUeoSayfS7Gc4BG8AeTTdoZ+gCTCh3N2KOivLL9cU3sunyQOVb2ukRN4CNIA4PAR/YesXHXm
xmuGmzSaqhlEDTNafhtIAFfbpTplMGl+8esnM8QkDskqJCTVNAeTjyraeCunmQOj9tLTqQUkTxS9
eYIzo9DfnU395k+fg+MX/7d25p9WuXxdVbt/+6g+TIxegDvxkOQfNIeXwlWuapqLKCkdicTHTZne
FqP3IBrO+3t6oP3j8FXI0EXVdcQ2c7C/5P1q5VTdbH8SftFCRYoaqBnkh8KDwHIlByXEyvzvoltn
Z3bJpBv1XkGXbsdgOAg+bIdiIOv63UU22zWNPjcGZRloJBV40cvOCsqY3W/rv8dtt0AITMSFyPmO
WgwrwA1yEP316qloQOlgze0uCmasoi1Qw4zX48r+yIai3LmUfahpvdtxvf2ZRflwWfOdZ0UP4FeY
1j1Pv3ouPaScnaIZnzSVi/JpNiIf1fhiQkcZiGmu9u399/KNpRqxPnF+TBwPrO4wXEjJrCtraocH
PbIK8vFtGuKE9xXruaxnc2TKXcDHVCCKHOqNL8Yafgbmecb3FrZxA3P6xHU5xzcZHjgVEdbBwBQ4
dR484x2T67weSCOk56VCA4P1glzTFeCFXCoJSVzqqbW5AUWOcmFcXSdtWV96qzS8GTPM1H2Cvy/a
ljtDnNs5k632nI0Du88gbj/jlJDjNyi4fRegC+kRy+gRiBMCtoy8Wuw1uwB59B2OlC0wqB8jSiDO
8K9GhUC0YwScYAIHtTK7aDcIS5Cn/LQrkIDWZo2NMdFgfrzbPpoIR7sFAZGomohULGTIprzMRxwW
DbpZjMv3seYKjefS0glYHtBGgLzR2sOLqkPwXjhWpK7Z88843Zb3hV9zPtDYinbpJdQhSh6JCvpl
8gTaCag0S4niNHVXQtFuvEWX2hsv8zyA0iCPRWM6FXvVeBbaTYpQiQMwagBXswkpFQld8NJ7PSEz
1DU5cWv4ME5cjLVk/8qZMVkBjSvEpqUB4I8ilnZOHBrBDUDI6NZ+RjsQdCuiIonGoP2wDP23tBjy
M1Sa7WVjlWRJ2zBTl3C5yH1+xIKzTB64qPYyfi/ep/AGFdE8llD18i2cIvyVzt5fcIbj9mpTwSQY
rh9FixPBGzAGoL/V4dFslXGVkP9nWupfFidMrVSBq02Xw0k2kGHpTl/kWiBXDSFHRc8cgMQY5Lx4
6CgKCXLSir5WkyzpDhJ0KaYmo/KVnb9FZKpqtyH2z/ADgNXNDgprQCQ3/ZeIy58LgpH3X+Ax9/T1
CzzkggE2t6zExdmrmwlMFCZh+BDqj2BOqWT3cVE1/L2Grj0r8GBrXd5rodwa0qu8FMTbdjD4rK56
WajzLrQGDJ+ZIm44edofWRkhxw5CNvtQIITvHPqbVqEDTLXdzp/E5jTdrYU0BAK+gA8xmcTOmQPv
0mumKyV11LiTScRhj8VlA4anf2daRpTDdSAXjug2QJozBOtv4p/KOVOcjzoDbBIVISMTfujPkzJn
rlFdh/H3efWsRld0H1GIJd2WgjiLRe0O7lWSq92C1HApxFuzORnjn7ZBPN6weTcgnsVwiJG/Uh6+
3her0t4WyxTvHgVsi4srgroY60oPaFlKSrHSNPVXxovIs8iBHowZOFMLjbjlPvb+8jqeMkABgujB
mcy2Db3iAFVd+l2YbNyI0gJZrgAiZO8P6pm0pw7s5BgmsjPYa6gWSX/ptw45ptwrKuspdS69suHI
iQg7ACCDGsJTiFKT8aaKELulHh+5ZoHPaoXUEqkVUtakcKBBHDaZS6fJVwa1IsJci1+UL+zCEkD8
F3qYo84SXYMTRZGXeHGIN9JBLeVtncFB51iaxl1uAVqO4nMLbxkbkDGbNwEdakitbogue0nyWMq6
L55/Yi57E+Jsxvq/SVr7qSO69zTb5Xi67XF3QwkgEqglaMheLxjPH90NaZKeYWnF0fTcRsM32bXo
UfEDKhu5tWc45NZIrWSE4Uft1zb8sy2THzIFM56/2hgKvZvMxM8N5uIbhFlPDet+5Nhb6yZhTF7s
0GqO0/e6p9LRDqj2oY3hqoOiGPsGuhdROe2FuWNWLz9Hn7NyrvDZr550G9Wt6SQTLN0EKOlEABXk
qV5LXDGPKFcPiwWrQSj3/kI2C/XVQcD7hSs4kzJxF/jk9fuVp8wZt9mElZQHdpvD7qRkRCDpnq2K
3ZPpJgqAadjHRcW5Bp3kQ0wNJEZgvFOxoGev7FG4MvBX4cS5IBl/vOaFGIxXQX5wTUgGvalb2O5U
T34C8AlmgE6KmGG6ZUWzFoEKDMiCxY5OlmGD0F+ztVAretseMSdiIM+1vqqrHwjB4F31z3IXyGWA
NS57OXVkErCJrtp0yUVJLLChwViQwc7AZm+WYf4u8NDY0fBdkicaIY5PQY+BuXpOe+RYYoc8HZdz
vJ+BGoXEQ8DA8KAZmX3lt3PXs9bNRI1Rfda+4bflF/VKhlIO0UI9XEy2F86tzxkscsOaFCEL1ZQw
YIFHkpKdJmMdt0pcDfwG0sqY/QbuYf+9IK8e+6DPHo0W3gxJB/BUSE+Kj5NE0o457A1aSA8nQJvB
IRhMe+6kwV3ihTfGvlAxv+rsMnSTwLjGFUFVPZG4n518RvXJqIVYLLHDrcz++f5qZq9gub5ezox/
MZvwE4+RF7Ksg+XceKvZ3k05KpKWAXtK/ShXw5buGfcbKujQm5lxtrcNmqy2JKYckhkOIAuqLU9T
d3j6MMSzq2ILY6CnPKu9+mXZMafQRmJ4pcqKabEruRhdD38Dh65hi+9qyy+CJM4gP9Y4T1OovYtZ
s7Vv4gZncjvv+juTae+HRukMMo3xU6uMW9oqsoKx6ItT8dOJQkSjZeae+Hz6V3FIiapJSWvTsNUb
FMB1RHOmxPKsoPLMYgpOZqUcI9v+m9+irC+AJsYm/WsVbeKLrbX6hJy347qAf43hKuIIUO6U2GI7
YDMu5sSnlIsZDjLT9Ef27aYcQTzqIjtX/lYRLt8jLFKaHrd+U7p6LY0GZLDnIqTqKyqeRGEPvmrz
rNbGz4RZCpa4R2Y8ojtXrQ2eWLIVNjH7SRHhF2SXBe7OtTxSa4wgPIZcdCK4QI82geFWAGs84yUu
JXrjJueXjBsAopnuoYKLIagzKzE+KFKmxALj8XF43ouYOYhRbyDy9obNH1Y1tmf/r8GBKJ4Y9dz7
vlqINQQVWZQypz3BtDr2cfBYjCE0K2bzHqXZwWL0EHtM1iohgA4oEvNeknzql8JefS5a+w+FqxUF
M3T4jQrs4Ci1Ss51RoBGOsOIWNx1pfqJ4E8D81lWHsLkzYQKnOVXvJLBf0DNoRQaUEs1ufjbNp2F
kWqgai4JaPCc9KmAOWQsexhm6+4gA30WyFVjTKXAQcNqMXEH2XzjVy07MjOVjgKEsbBdCoAfnnZB
9BQ61p/St+o0W0Y9Ed5d61EwMy7Wpir7b3EKT+uJjyKCYTpTdEGzJWSHAfHh+5rP49CVlqcoTEhL
CDaMjtFwz4FmjKN1yK0VwS5e44+mhLbt8NQw989j+ncGC+/vO7BVj/edwCMIi+tBDspFvd53hsZ2
JzL/9uRwOaEwm+HuYvvMR/5kjj7h4/5PW97E3hc+8sfe6KNPYzz8MbGN/otvrEuMfjAf+L+P/JWv
8/H3T/Q9DW7gJfxs/fz9R34Fn/zzi/gmfv7vH+Pv+y+AV+mnYexUuFCDJyZcFyxHLkgfzR9GCVIn
8B/+zscWLS9FaaY/fq+/6pP1BZ8bnv+GEhdy0w0/LEYgmedX5RU/lZk6/2z/4/l8ZV1UH/df45/v
fyB/5XM++ikd2PhFP7d/UGay4PTeEFKETPj4SlrwMx7s+BrFAJ9kzf/9aRu61eu6RUj3sP8kt7/4
yd98zp+qvHCW8+indEq2lZ7xL/k+vsrHiOqczyf9tQHM4u80U/wFehaf/POHjeUsjx6HqiCE42X/
5X++q5nO+fr+X1jDA5/oj/nE6/9zQSpr9v9sXF1oSMFf9j+Aj3zOv/jn55kfoF/CJ3xsiJLI9PnB
JywAvnJqTb+xpBUbBTxEaIwTHUy7lgGkNuYUgHjADiBbYBrKsYCIIKyMCStlCqpxJvkjrQp9y5gz
1kZOgwVLdD5M2yuNdxrMEyreSrYiOPM/3r/GN8opl4weLHLgCtGeHLZhOZDO0IfW+l5CX7kjGb6T
y+lQYHSLstRmlC6ehKlc/tPOa/L0q4VVBsZ/oQU43g7oyaSpczGTEo/p9Xbg9RHe5nNbPXZZ/NDM
4aWkNaTY8x6yrTMh0zRIUlGVzPWEKz7DK8lF6jYgJ5c5HUQ5tdSnCUFH2S5GBiB5HDLikIHm4X2l
3u+cpKXS4PaIsCxnAx/53tme7MubBiyjoYksGEYbfdTwn3H4Pk8OuEAjNc1YmZu/f0ePXOl42zxF
IAoNRZZ02GfmtYdyNffW97AtjIpCjbUo9Uqe0czMdmm8/G4+y9bQiqF3ibJshgxr6rcxRtZFKd+t
ituqXb5qvqONKZPTFGtUBh/jALQBtU0OXuozxrg7V60qjw/QN1J3ZvDojp+mYlssM3kNL9S/w9Bf
9Mv08bSA57hwRavO7MuB7AYjCx7K6xUz2K03MgDa4JEprJWuE7xKvZjhLsDXlzDdMJp0rJm7gx27
DDL2A1Bs5VvVSMwl1nnE7Gv1QRK7qjoFfRwja1wpZHeGdEwlAtfYIfzWwuChl+a7oQHl5Q5pvmwX
0gLiaQ4ks3L96yjwoGXB8DTaZQZrMRysvdbO+1A13l9llN2aACRNJKlpRElSUyAcxcpZWqcBdrF3
XvUF5qIhlDmIlFHBHC76sp+GJAstIw2NGwB/BX8q+5a8eeGZ8gDYDwqBLQkxlu5fY2o1Mhr47KMo
TtG/jAT+8LogRAD4IWxgfnawUQzZLijckOxKlYim9C/hs8CGUE0XVxg3cF1Z/2Isf1mFe4c8uuWc
flu1buEnGMsjqUfuJQoMUMxlgWY4tiGFkKNHh8Gzg/eqvRq/SeRsKBakv7XB9CUrp1sViwrzWvGm
LJ53ayY5GoPK3VzKG21LBtNA5lVsYQko5huMUUnF0uqNiIDhbDxLAKx4g6ig+9FOoXZ1HqoP/tg9
iP24CNc67YlwPB8V45URF9sZ9pzYI7x+dBp0ItM6migZAoQKI9sEsl+sgJT2cIW7oEF74csJoqh5
msdAVQSv2sk/x0F1JznRgtZiwEJHXNL/dUcLAxI9uS44AppCHo62ER9PNv5Z2Agz1SIh4kqzmh7K
kqEdg+baI0jTXvFEFAGd/wfz5BAqYqvxVLrKvN1dk0V/m21ANIR1SkTfrsDoN6wBRv5y4rcLHxUf
+SEBrVc2Dk+RCQGdaKcGn049z7gBS8sQX3OVoqOdGrj7rt+cA+9/ysvwEQ3x7fuv/8g8lQ5IXGx2
C14/8smD0rhpvC02XXgcGQdDzhvN3bKWaBWlfVJ/fNcy9bGlGkFx2PYuTZwxf5drwIh1nfJ3EIx8
Fd4pNoNZfTwzFHtmOETNgRD7i9xI5JMceNHuzFn9EAAXKcFLE5v3X9TxmgtDyDRiWkuHCFfr9Zrj
K6tiWG1HFKtAI6C8chgpBvBfMFoVHrJllO5L9jhFF/2IB3jUEMhEk2P69KTscbX4CgBUMsyJ6zva
73R9HFouCYYUIMkBm5G0Pya8DWW0dL2yszQ4EwKzkfAJMawIOYbwwJ6HKbrp/3JIEMT25HQCGnTq
gTitgz4+5rgulR3EkFHuMXp6/b4NLSwvV/1RuMIVYyYNgeFGwixQyEcL1Ug1iEHECc9r8XyUtZJm
SybpFWv2iPdM3BS1oQb149BunOzxxPt3VMDpOoUjUyiFHgTqg+tsxhxHk4Q+ru2eEWY9bZr21u3a
WwVnFmn9JQvic1EalH6n5095ENkY32wy988SL2KD1RFUHmGXcOLaDu+t64boEqX1pU4Qp/v1teV4
jcxhWIZ3diaPAsiBYXLTjqQA6L3bim7BSNbgc7BchLNqmCNUTkJAD2jbW1cvp2cER8JJl3TZwEV+
AfAOVfKQRDoo6YyDzr2DuA/GtACjRVIRMRxmc6pwNywWKPly9QfGcs6LRNkiogMUA4F62RaMPV4R
nGc18BQkshwTkn7iXZ488nIwqdyR1IcBfrEA2sBUA7gbi/x2dJjcmZikOCY2YHEkDuoouHlEUWtQ
FrW5sL08BWHy2AN9VLbxhEhH2g7VU3ZakdEWwzs2Hkc8uCgnN1yYvnM/wnDYU20H8q6AMS6JvbMB
/fK2aKkGJoVn0qDLAcXQUocZIjqYwObf9Y6LU351vS2Ypv9/zs6suW1j69p/6EMVSIy8FSXZ8iTH
kRPbNyjHPmnMIABi/PXfs5qRX4tySTmn4mIoiaJAdPfu3XuvwaAz2DTAFJE7Fv4cn6Me7BwEsIxK
mF9RIuPYBRk0GjDChPF/QZU7vnK2VtWQmmYX8Om4e3Tt63B93SHzhNDL/Od/PcmA2Sq+MfdRp3uE
dTzqfm4PA8YcMAPRivIBHcnRSi0s6c7aSaa+wD1dQgUgAYF1tDrxfKB/h89ZUz4SZmOSRZ6uiBVK
uhwLYfpz+pm6yZYVcLy1cDukKIqIyTb5zbdpA5RxYCvVoc9HNybGGHsa8TOjodDDKQcx671SAO52
EMTAKCMB+1EyAvX2uQ3i15dJjX/jw6ricHq2SEd34Wh6iHskr6LLtPt0DyJXrV8pmKRIrGA4OhQ0
ZshBkVALj7iHNFbqLj+wh8wN8cS5bLb9Tesen4sj5zFOEFwpSXFIRZMPN82HdxIsdbY48zTcamPW
ARXXP6rgrFL2ABE1JUA4gQq+kMeXJIyEzhcZSEG4o9FXz2RMDUsrmoZP/+0E9CD/YM6GYbmnet/Z
TuFBq+62B+d4qx0MrhBY/FNWXACJ6GF+qxPXeLBt6F+L3QGl6RNF3GsBDk7ppphJnPmevrBH/pXc
toiroqYLHguE9llVl5NPtukOwdE2mVSi9ak3WLxhTV5DnhlHrFDBXgVMJP1+NZThCxiC6gFysra4
ZnY1a2qmRZPP3sVx8v8UQ0PmB+oFWjQ9abzVdlodWsmOg9Vn9Bw96FEFhU9DGZV8hcSMDsg5Pcih
OH4oxnChwkOZD0q1MBJyBdeJ42TADJKZy9WJWUSFgka0cB0jaguqUEirXey6p+/yI1E9e10gUwKV
UOjmnh3YvK50a/xQWcAcNYws96YQwi3lkylUuwOO/AQRVM4OaLPfNlDXwZkJzAkOweVGIqrvJM/d
rkdaV1v63x5bI9e147/zLc4rkC1YnHp5LQCTWuAC/EoyUYUxkZyFSaDg9B/wbO/rMdqn7u7FcfFf
hq4ByDVeD8N0kzjHL9KaEYZCvHkN+vPaLr8YWppg4GWxw0JngSD0cH2Ph2477I479zVdlFv5m0iY
+0Tyht7bQAme2PasWYa7UrzHKEMyAhb5Sx91jJG/rmPnxgmeO/b+8tIC9hcXFMUujs9Hl/rO2ubu
drEKpG6ByiQgl/vamAQkVcPRQUibs2pjMdpgFxLOkl6W5AuUnz5fyPdUZvn5PK7xRVwAZyqG16Vy
9/Ce5d401cnWLCjDgjVZgJYJDOanw4tDUIIDo0hRLx+BhL60ICljboKFase4rVBHlO/igck5gW3Y
n9S6Y4xUJy/5Q1QgUQN1gI4r1rWPtJn4IyLDosInt2svI1PQcvJWTmzzzk8v0hz6EbFNKCS0Hm1m
HqGKJkT0f73gaNJKpg+AB3l5dLavUoPZOMEhnF+LnGiRNmCNRI8U4dtHp1EnTgUCnRYs8RVlCaGK
JRYR4d0iA4Gnr+kRW0SjgQsXgjsQfiLObg9HIwJute0Hf/NaO5RCrWSnVBnRalP52Z6c3YrKGOSL
KeWo00NcpMYHZvujsBUKCcp8Cx8dUQACiqKq9Z2kqNDMIoI9f8x5VGPVhccel0wqHHiU9R5euDcN
m2GKyvVUlwaXTnd9X+CwKHgQHLFbIU1MiDQW0HqboRNZNb0N7hhiRCh8iSGaAwV4+qb+au0RUMEv
uT7XFz5i64VxseCzO78x8GRVM487jt9l9EbsKVtIBRevkh3r70qWsMJT3ivuqugzsrXl4XMR/1Fd
kXvGyRxWF3r8Pmecs3RkXd3dtKmzETZZCAyRWj7lOV2XNa1TugQcRjIqwknVnfut7NfPRm4RHvC0
mdIHBSj1U6xbtjrDIqpqgUlurrgYQ+e5+alhPIsWDy75PFqk8das0PMhxlEF8MZP1j7YQvNVmEZR
WaUM9C7gbHHMDuET9CCF4Bf3yHwZahYqZyhpsdhislEw69+e5wU93k3ZBpTEe5ELlQIx7IfzcWyj
bTa2XY/rz+ZvLW5bIlvoUWbRjdVf5honT0rdw/UUUGbheG3Zl2xR/9LETgHlwc2DkUzCQQsCzAnk
hrPxRuSj9ULkcZGN4ZgN5aiYWdzgITTGgsGYivhPWmzvkwumBEEBG/pJ761a/3+7MLigIIji3TYm
vaMc+/Am1W431qYPXbiXIPJIhUR/FHpSZ2pTgDQgNvdJTCv0hHUVHum+kWShrMI9CIL59IU9zjh1
YRh0YlBC8hGf8xi8w2x8b43YLWEVqZjDSeeqWcArqyUnJle/oQJFeANt/90vMfYNsxfVLAp/xina
NdH3Loiri2NNAjADAkG7Q4LwsLWwM9A9zSWa1i1f64xza14BpSbN+ewb/oZaCB2Y0ac/1OMDEh9K
VmJwR6D74MLx8G7neVNsqE+e7rakz01gvkiAQQp09oRke/kUqqFY+KAVJMUxjfGHxm8+3aNQRWGU
FlxTFDdDeLh++hoflS6R/t6E1C0JTTQXwdk8vEYVL2rHM1t8A4JXUGdfHooUge/l4zZvvcvKLyh8
J8Aoyk8+pXi5jomAFiN43ddo2SxoyO8A6UjXT0AEAf3EM9867dtgal5rzshkU3i/DsykDis1J5oI
vLW0YSzJXhXapz/Wo+KlPhZMktCjMghO0jqK/XSE9qpjWZLHcuullADNAZE/ZrtsW1y2AqitnJbx
pEb9Vu6I4sAgUavWpM1FZEvrkysiX+2RF4ju9vQFPrI04wIBzsARBTXDAJzLWTBf6nlBVeHOXWYQ
p6lgcojsNFS9kJB1VUGRTVXM7ISpDTEUVJKLKBBa5pb5aLb8WEarMVbAkBJBDGTfXMTwOQh9iHNs
Xtwtk6oTG8Lqe8YNFJcKuwUT4IXmH7zyRR+kzXUj3JFqzIJ89p51KkEMoqY2c8JR7aAUWPUGYE2A
J1jBVKrkTg3MZleH/kUp+d9N3S+AYNtXfRGE+9qlsDQeUTBeV9+98IIpe4Ojdc0OZXbXnrCQ3QwM
PXIo/v+LBrB2pbPAS7OJMgp4TziL27NdKzoco7lZY84wGXU59YYUT5SdiK91Iv5kZKAqDasVZlLy
lBxIldj4tPNz5C60pT496I9zJggJMWXNIKT/y6ZwljMxz/uh7oP1NaY0v4MIvYobggI+5j7ij1Ox
/t6bDClu9vva/0BP56MIjLwGzTPYBUCi1aKre7q1QJqeubZHJVdEO2GvYHYExRMY9NnW0HW1h2jS
EZ4Te5VyE9ps6LAReCm5SiTGUK7WeUUtcx3zdK7X3m7BHgQyib88vzP8Yl+HNgm3jT0Bgpi7OT8l
r0cKroU3nRIQ9vUsO7xr2/K3uFpeN6iRa8uilvxGuYfGsRjAQ2kf5XQvMujz3PXH+SUVr5+v6Sxo
eiX3xAndCTsUqoT/0AFV9opdgEa21YpOguAF91UFGoyqeTT1dKncfKXl+XxObo9uD6c9l8WJmIDO
REPh72Ew9+IhPvb+PIHApNKhnJyyud082XQQrHrRbBdksdjzJXLboGylHfKtRRVKEViKI3gqouEz
v/AN7YpEVW2YPwTQWyptH6TYEbcVol8opM5I7tG2msL6m7uVBw3VK/1BNyNEbdHruleIFGnAlrIn
lJ8wG7rBheZGe56FrAQUqeVbjj3tN3eJP/RoQFxJLFgMXiwUj5exE30XOFjZUh+OV0TLV4g8/RE7
BKoW3pLtBk5LtX0Xg9976R/5niwWOif52oxZt3eS55wpfjUHQp0hEeHlZmNv8vBeO5sgrXyvWl8L
Y4KkEJJYVOxVWpJWKh6TtyLaaRKIPq7Skj/s8st7VUOZQAk7+Pwx95FS0hY0JhXFGH0FcABgYB5e
2VpkxyoIxtOVTXIyFTHA+ieLC4AKWupV78cNMoxcoVAM5kBZmeAoIIYVkIZxIobQCe4EtBCEture
9y3vJgByW2Ug4Cvb6eud4yeZrnTAfWAm/PFMaHpUseAD0YP00L2mhMd9fPiBnF069sOhnFFcJm9y
1C0FjtGlXyTxqSJeL/u0BiTLtIAzMqx/cpQGsc8LeoIcliTFgnDkhO4YAIMRBd6nr/CRAhG3nBKP
2n7gsXFnPwsIXd2szoq6nm0lqGamXmTgxB+cgANmBj2D04aVwtQpSZbVVh0e4IjqzSIeWdYtXfo4
Hq6zbQJcDh8bVpdKFU77LMJFqedZpCCikmWEZEkU8M9mL2WluZqW7Wy5LgKLFIbeldkk18ypcq8V
G21I29xGxiaQeIgjuXsZh4iASjILSxJeg7geAIqI3f9Yvusc711fzV/lnKGztLgeOktrlkvLShSP
Z2774/NV6CINSoIdyMDmHJIaBWVAF3hwkT6CV0SLukuGF4BY3/lQhdSiPul2Azf2cbfimGyxaBm1
N4SfjIdHKbqi0hFVnUowHSEHupRiD3QPtB5JYSjDURR65ro1HR7efV03Ojzce48Fdn4wmMu0CtqR
vRb7dcAbwPN9lHdMhg41TZEJ39DGkBEMZEyaKDKwkfsRfMyXs0sDhWphTZ8uhGcOeEdkERm/qN8T
zIfbINn2F/8Ds2Prh9sIKVuqh1QwsEF4uA69jDA9wXG+42KvZBpvCYegULjGV/dHWoFtdMS2ERxb
UUEWZHFodauhRDx/O38RinGyQOeTYia5C5/64XXl7W7uE8dMb8SJ0b51n7rI/kRlM+01wD9kkX5l
tb+4LmF8PFzE1cUWgy4HBP70MFtZjLNh9uCUIUm82XFx5zn+Wrj1ZlnX5VZsHFoqr7KpoowPHGDR
WXb6DRjkleABir8cVF5ZjiNyS1p+PRBUKzJC2cDspjdFnAClRDJ3lOwb5UDqksIt9ywvyeeKWaPW
jA4JvYgG66b9AEV4L12IGCYltXnq9hTgYsChStrGkGa0RY7jnyJtDf1ARHWJ169j8XbtvkQFUL0x
+q7KuVrDSl7sYkGbVPgOgYmUaEUQprzA+fz/vGEA69LOy20DL7rdbK66kHlb/vb0vf1FwUD62CSF
aAeR5G/P6qZQs6OFH4xvomi+0n0TLFaKGiOhSnBX6y4bUC5t2ZHbnNR6c6X+lDwOlMaKF6rUX9gv
lQkKcEnHYbxJ5/b/NFa26aUJkbHhEwreq0ZqOK37pz+LvdazeUJxiHJqoD6Qd556531fwvveZe8t
0kaWj8rKLPtQJJo4hRevytHkoA0GCMK0RLcUww7IqxaelvMR0J+JG9wYyM6RNP08fg1qoIBo8lhN
j7iluSBPFXEWxgVaL5HtX7SutW88+igIpG13EjCnoHC2FPNuu1ZLubMNVw1LnLlfJRV80npDlTCl
hdADrJU8ifi5IsqBf6e8jeLLQg8A3rlqHlZ1UQOpwniNXq90KJ6+8Y9bIeQTdtNGKwHR5XNmoLfF
SvKQTpgRgv8+SfClwwXMYwMvnt0ix+AKtCZCl6wpfQg06iShoONQQ/9IfU7bETuyUePcZVnVpLKW
VY0XjhZUDcJLFul6PoJcdI6ctxWt/RFYKFRXlddImcnE0RDAivR2G2MMCWWwm4iWMAee+dDCbZ0P
EeCCCA04NNOpQz8cono4zJlpD9MbyVAUYDHhEuFjgQoqAHgBuAd3+HOZuktRF41fU9fx/rC2MGLx
os9mDKas1IHIxjGXBZNWfstXGiho2ylMNFvOr277unGWLzZkAPGUhuXzfepfBX760wLoUssk3z3b
kKImKw5L7afv2UbvLAsWzP5JX1wQIQohK/wwztNmQbKWGr/OYILWqQGotmRUgnr2/oezNJgqb+Nh
l+bDOT3fKHPATV054Llyzytwa5Jr2uRsTFeC/50mDxvTwMQA4Ny39Xt5pt1P/pXV/bw02S/qD7Ad
wGpGeIeArTqvPzi7dnLnvqgsP3FbS3ISjXykmGTRkVThm4ogp0RDekDW/EWmVIE61DGIEjZJcYuY
ls/Dl21J5mxaAhGOkE0TLu3RWHpjHmzSsW7fFxMbHhhKSWDaPgOLzvIc1Gdwh32PYJ20THV4iQ3n
z1HcJwQBKOJJzFP0eM6rd+7EluX7CE+QfJDN2LJ1tEFo+Nmd/nFjByDiDrUVCr3ojyJldLamkm3Z
HCN3vRU6SuffHm2rZsqYjOZPnaplRcguf+VyA5GWJt+jmirUvnzAFfqqargMO+el6xE+jnR64O6I
5G/9Fan8iIvwdCD4xaEFTASYVc6KOHM+yp692Jm8FAW+22nD3UwQHQVUrOKAu0UrmNO+Su3ixomk
75IZ2zMLRl3yW5Pim00mCNdWv5IStbp5Anp28EL/BQj6cYVKp23q6cw4zltWVPXnmm4dbfLhWK+3
UnkT2Eg+j3HF5iiVKCn8SISp2EmkOK7ei1rcLz74Z/+DsholoBp+j0T/mR38kbYX/lIseDQbGTZI
A4/aF0W5VEhbdu9jJ3wHMeGDOaZfZMDXCZVXVesfTZUiswS9FoaQiADSaSoSKgcgawrEvuIWpU3w
6+q/38vri5ssIKusZkzFAVJmlnHGAYG6dSxZlpi0y2YB8Gs21fFjveIx0dELxm6Lo6c9uAvy6jSg
SxRodNw0HcXOiGkH3dEX5i9eqb5wjrAdOhmSOeuXp+fao8hDsJE7Hmk6OTp2hWeRenQrFFqCWi5L
VKbvu3McHdQGUbFER5yG+SP0upxDlJYp8hRHGgaItWj0VIpHQecZ46Lg/BRJe0DFPNRiWA78O8tZ
ugoQzTy7M91BKMcuKbV0FJhbql9pl7D6uBIBYEE36KyoOipAt1ICjZGik+S+JV421QsyP7CgfCr3
NgoQ9guQMEL8Chuleov8/6zeAP5aTQwwntBB/QJvjI7GA7VV+dIIhaQ6pkdtWBJS1riXfcwP6fnz
Gu1n6r9MB1J6sBf3yoIunlwCUgh6o33kf4DdUOVAUwEoLCqRAG/OU4guGGCt9tvljWpfuktq0tk+
NgcqIScltix9YkUM9ddl96SagOhykpVTW+j5ypeFJv28h+i6QCOA7fB9InJ0HoYNleJ0cKY7NbNk
D+jiv9TkFIlQ54WBwMGQZmI7SIfwSnp68FVeq64tyLOJKIdK6dIewQm5SiCU0ekF1qCEBr1yInmF
Wv63jroSXtZZ3EpIOx4aQKh006uxcoQSjRlBEozJPl9EgRyo5IMnJF1EDvGTdILKbfUG14K3Us60
rmhHwLv/Yod6PMlVP9vg68TGT26un/8UPOsx91DGOU53uiViYAtVbWERAQVCWnivkd1HBZNwZUqZ
qnA+KEBA+Aj5chLZq+Kj9SiQv1qTJRTNYJN/VJXnHk6ldfI/yAVpVOG/YDzLZoUG81n5b02q1IF9
XN7abAr9jsaXtAA7rIZw6r6ZkjWHYoEtPhNb/CH9BBqUgMLa02GJwxVnQ6Ag44LCQPPNyK6D78cE
O1FmtBZVgpapq1KHoiMlm4MDXt+kvDiLinYibBONk+8SGNLhRSAhk6LYjI6iImdeuO8TJEj2Y1zc
RYiqePLBEeNGpPen4+kjkB6oTOqgIj9EQJoo+p8NZ+LRk3TTErQNpwd8AJXEC12meGS9zKRLmJFF
kSVpEi/R+qHFyn5CkNke5hE1EoRZpQ/Nu3Dx0Xutbv4FmF+x/edVybXuoBiQGQXbcAvW8exa5zI5
VFHEnI8hOyg5QmRLCZG6XqouylBMdVG7QYEYUSdOiBEZodA1vJWn4jP3TyWh82uKAF4CCAXQj/Dk
w2vqvKA8ENea98NYvVrmBg9o7p0UNinFqIygWpwtHwkkDNFF97CZuotqTO408qpy6jpP9RI4lBzz
dGiTYuL/cNLRPcTxASQriALyy7PxzuFIhHPrSGqJfYiIJphY4XKqoI8gkHUMwdCSpdghpD2pztwp
2oqMQ0kEFFhXkXg+fSMfNdp1YVyUtKsw1ojOwbVeFfZDdmzK98Yn84UmqZOkaJKNq+qSoUFNq18b
nuyslXJMQflN57Bus7wa3eKdYODaZeU9L+nTpy/QngEfjjQBjx4wwi9oKSBR8XCkIz8rChqLrRUb
aygIiUaonVtFS6n7GUPfjmOvDRYkklKC0ffkh2A6ZQTm9t4EkzwPFT+qAZL+hYp543J4VCVJbF13
gqeINFUSLvvWnz4LBDUE63UXfvIOgVX6nQIUQZnV8kFb4+zV2Hi/E2huhDTuwIOye6wY4gioxGGQ
BpvSQUVpLW05AepGCQA2kjJZy1HI3c/brluN6rObhlijG8l7DvjS+Uaap8Pc+2s5fVSl18KmJfQr
foTcWqYYfsRMYXCHGjCQ5WaBmcAFWnLOhovvyMtBejXUpVVumw7RG5gsL9Ul0/9txhAxb832b/Et
rCBwsnyNZQpja3NiNcC5nMr1b7mi6ygnEWyVSsYKmCEHJ1Gddezj9ScvWjZh/VGJLyntkJytiWFG
YNOkhYDlwv5kUEHhC7ivpkKTnBatyhNSUzM1wYa7C23ybhql80MOgwLQhd50ytkRUW9W7Fc9wabS
5DS6KCvXqJWP9JJ2Iyt1Qu1Kt+9fVNkeVT+jLTabO6i+IN5EwT9PWXetN5ebtH8/4cSCZoZ9RCKB
5/yz+hr6thXUQAjj9PxcIuNenUPf997qZYKbMkxWzOKHksUPbYsfahY8McWwP2ll8MjXhzm/gF0P
Kmi6k3bFgMMn2ybtof5z/LWZpa3BG52e/JDa0Bvx61Zz4ySGoXcwL+MSi9nwjlfHy1312xAgbfiP
wAbvc7oOPR4q1Mv0stO/0/uSyOsdJ8lr8OrTv9NzHvX3rAzH6QV85x8JDiWpFBEOYDAv0d04/ePL
Zqb/EnNo+keBA0WLZssZ+F6Uo09pKexR3uAVPP4Q5eCJZgZqG6Dlfn5EKwPhiPSK/3eNcyHpDJ5Z
2QtL1Pkhx/GFX7TqGJcv61ASGqcvTtoYp+f6tenu9MsnhQxXvyWL3pPAxullfIvX/Ph1Xvnj190v
/IRfosnFE37i7ehJEH3sPGIG8UrphMx3el8ev7hffoh46Fv2svhV/Q0+jv7Hn7r/RP+85wABlLix
6HM+Hd+9Rzs5BCQqWoFHiOdpdNZ6Be1c5D0iGe+ljyFqtF9ColnMnxK+0w4udS/BG6fdSQBZ9hSi
T7ku1osZGCkJ4YFl8gm7qnmZnbkVtkWNKxVsuw31o38aV1Y2nCbCiAQXWz3iFT5WzzDsBGp9+oM9
UsnkFIN8BTKEiNfRa3vUFSizQ2faI9s63aNcBTnkneX36yawmkXGVe7nN+S+APn1A7GOVb9RK6mM
8tdRUEPBwbaW83O8gB0jOqkyYhHPIFOEPLW2T1TR/FA8CcTVLYR/mj5G5WWQDAjoEnrpkoqcCqvx
torGG4lHjPQonWbYK+fZ5PNtmvcIOQGXA8ZoeTwoRj99Q3bnhWtuCJDuiDMAx5iYQtDDnbxLyXMz
zkr0P6hTEd44amuWbu9Ojz/kgH4OdMxgYsfpke9bXSB7Zqfw+pXY8H8PP8LKz08ULu7DE7Hi539Q
/vkyPsIaeHGKGTqN6wtiiI0OaPecIkdvJXtOj8QFifBYQR7tNSyYhWPW69OiIlCwdrSo7OODpWQX
+mntnpbVs4sJ4dHzvFj3GHC6cHOkx5vzewyYB2s6kG//hAD+HDdX91eaTfw77SnxV55y675wz/nO
6R/P9S3u8um7+oJ7735BMw61bTsK7hfiiXZFfv/He/P8pObEE3719Ab23XjjeyWnH6OoKzhtVPUt
Kkv6C6coD5aSlW5lnBiYn0eO54wQ43p61Ch+vn9ozDd2gJPe0umRwTuNIuNHtP/xj28S4Ply/XL6
nk1DcAk8vuXr/vPp906DzuNpx3BeHTc3/We+WL+wFd5vEzz5sVnwBJkl3mJcJKfEI+PPdDhtGj/m
AjPiFLX1nZ9UlxSR+dmPfQAVpn87PR51KrUEQQlSpScuod17Nj3yrg+O+TjS7PnNQEq2aQdDxz9G
5TSeGh47TXhyWpqnUWU8fx5eBvn0DzEtnmh0NUvQ1dLwc07XKqwQor/a/GqNaqSVhfyTFfBE48me
3+CmwheoAjxctsWI8a+GmdfZ1ARpLUe7vFZrpkHmOY9N9NeP5zxh3HhkhH5+PA0eI3QaudNyZrRO
I7faHdg+3A/UaW2zjTJujJ59xf+N5f16/3mx81O+/Gdz5ll/rC6W4m3x19MxFZzSI8MhO6bA02ON
KmXNs35g16AzB117vvO3KQUwnA5edSvk4QD+N6CL5NZJAHgfTfE+3MZ4bOctsKqQk6TMoQRgBR1W
vii29KdnJAolS9W0SET2GZqPfuN4e3/CBCc+IMfuJGh7dOsue2cy1Jj8kYfCON+LwUewvQIHQxcP
ahPVm31YHr9Xy/E/yFDFN24lwimCwaTmuCZPYr0ngsIsWYSoxrDjyBblpIPlBnjhFu9O7PCQcLcC
jJPsxTaC+6IKgEsnmpCyd2qkGjLtuASzm7s31M0BxyEqiZQrsvKLmu59e7xBANJgvQSiwsW/wZcE
kQm5I02OtVIRQf4vBI3y02zZR4JaU+L+WCQALqAp3JocYSk3dfyXkStZR6eCrLApkYqs6PxwiPkI
Rql90VBB4VgjsKM/FkhYBGRgKV1yrAz2ftGVn/2ixs6TK3Aj7r16C4RvAIfz4X0hfdhp8kF0eyZ4
KfMkjJSS3/oKTFfv4n2XABZH89MekPxDCCZcf8Wd5WhQSRcAoW9b+4s5xOIMgr1qnq2b69m4n80B
DYAGvikvShB0ARI8lVgtUGUyFKGnFKm33fd8ZYBWj7rZAYw9rOuL5gizPzp6Byz46uFvxy1RMKj5
ngVK6mqEc5oy5gy+gAS0FFKHk63JpRW9RZ0ov8zldSpEoetAevd05dOBz+KnAcasB0Q1UEP9s1+d
8NLNsvXFuGHiOakYiX52vFpxHr2IChT5Icb1yYW3YPl64Wzq+CoagJ83B/xim8OCq2xRF9/ibqiA
PKfdZZ6WzXXfuev3qY3jGzMj5bJCXWxqpkycTEgFUGLBJH7ycHWzJiU7wPEmRCtgF+NdUES4vtGZ
YapAmOnRZro49sPHqD/GV7HPwih6ebbSPwZbV7MDcXOsJaeF9rD/+ktB/yBFSl+eLc3ALMqr8dPK
yZzSJ9EvZMToXqOoxWE84sPEFbXJDtnmKsuu+rjmAwwosq7hYX7TwBJAefTwXpxc60MRVSicdguz
V85SuYf2ap1DpLG1Va9W5RIfmA/xcayu1srZMa1dZ3y3rqyDnPfcN13XX9O58TBJ3iT0AllHEyQD
pj+Lk1QU6Fo/Yg0KI9FQMFCLPgkxsx6ijXM5ztuY2jjRwEfg0hxydRgX865PUj8DERfP6U05G/Nh
DVMXpbSx6perbVxt0hfbMml2QiJmwR1mINAO3Dzy8++yjzCcJ4dDiCHQLq0RyB3DiIpoGa3X0bBb
k6syL+KW3iusF6ANfbt9gaFL9po7Vv6HBR9iyTHDgPDLpUSLOXWiaA8KuXevhtI5hlfbDW+PzZFX
bi7WeGh/N0toPuZBv3sDWwbVxmbZoba/Rh+Qy969GU08XHq4LuzVi4syhm5d4u/uDMInpueEPhER
rxnBac9CmRwDTuLJsfzQ5D3+m/Ew/zW2df8eRyG0jNDYperStrTI2ii7Toa0ai6y3dibvZf0XFG3
QV16mkr3Q4et1feantZ1v4D7iZb2wITHF4qVuL7oY/50HBC80+lLb9L8uhixiGhw3UDg8JB/yqce
6ELmFvuadtxFv0FxZAi8O1P1CWUyWolurIuR2JM/Y9gbz8dLb+DPFTHSt7Bs+5fNNPccxViEceJ6
N6gYQPwd6H32qEKZYGbJYYnwino5ExszY8tniQNcawqQxZQw696g8xv5YPszagctHPRlKxFhNpQ+
KdcCAmzX/FU2zR2teZbckm72TVDexTUhKdy0zm0VhGycyfeJzQODqjy/MUngvZjasUO+vMJPueUH
9Qw3bEczFa2bel9Go7k4lNVXt83yd2OP1ceaDJ+mibid09zcS1ADVK1U+rhpU+YRjQxRzYT9AQn/
Krvq4iZ/fdyVzW9j4/7dcEdR4kQGplj68SXoC2pcMhkrKmm19MC4KJIWBWIx0yY9gociDZpicarc
AWYQprdIn7YMA6KTuJNgA+2OuJ2Ygj2r8T3vcoJ9hokFL6HYj894TCyJZyYbUeiw53TZv8ZyAxxP
7X6dTFRyemUHHN2VIO8wKbwWmGnSGmTEjvPVOG/ebeLxdtvmr804vcVszr/QyOXtNt0fshlJGcLW
x8YceiS5IsT5uKR4A0vA9dn93KU64lrCn0eAjA1yK5eVRCB0t0t/i2nAmyMeC37Lx0KTza14JQtV
mz5SA1UNJveAY9hCGywGI4vAOpaEE7tgUxKUkHyi/L2UV80GFlOTSd64JNa6cVe+tyo21jVvOnLj
J4YGGJeHug6mHjgLaTh6gA6XZlarbxciSZzt2MPQyHZGLsh1D/Xl4I5frbQcjR5SmUqBzDCthMKD
FM5XDczsAzuLbcF3gTPvQyf6NobNXvkGJFgmoF9jgW52ZFQsVzB80uSZHMhPfc6Hikt3utJFum2H
hnc7H/bpuFFmwJae7/AYX7devw/YZdhhP5lB5wOlLRXTxG8QEkh1M467+CY/UsZoQ9zS+DNFQm4Q
G245IZT0p9kiItRhtSOGmDnwO2bBFTiEaaaqsjOi5+OpUc2m7Q9ri9oIrYW+RkS5iyfqqmRC05E3
hmhN/jOi5tkABnURNJsY5maeWEnhwVxrHguS2O/kOz0wNeOB+NFwP4AXsCgQ/uNVGPns3aQgZVv5
AfSJhZa3mnkOIQbG299xSm0jTJruKqwLUnlcDWTk6zcmhUTM3CHvsdkFekIJur6AJlzu4EkffKd7
EjTFtehR7AMkaguJSl91yAnlJIFFrD/torAU6eMEfJxDGl268uaZMvJaYI3By8xpuIkjcwZIBZfG
LRVxcNol5o9qLqKXgAoNYnZs0MYjgcBQBWOwI0a9NNy4VZi6XzaOjDvLw/GGVPUL4firP7A3Fp0c
iNwISeSUWOKn/Pohdkok6/BJ9luQTlsqU3YJDby0cZlFIHc8tnhWqptDhCVceL/1KWpScnguDCZF
Zjge3hG++fgtE3SiU3CJ3C37YK81MCzyK8LK3q0QXQ9IFl2XajuyfFPCzZ+KihoqV4fuOgn4Yovw
B/aCqYuvep82a8pkL7bo88XHNL8BEnnESYqb7TtKPngF8mXZqwbplZsxWf82mfnTGwjsjZQlkmz4
NrgGmTgUyAOyxLhX3urw0M0YF6kj4I4lcTNlmzIDEigHJoewzj0+qJe22yUrJgrrzEbEL/dWYN4t
FUnNJueExtIAKvYR5A2B2MHzCzJLcWQvMj5Z20RTxkaDU1SJtf0aWr25xxohRcSTGvCL1FCFa/PJ
RhC+kjcoWZV6zlbjXutMPQNMm/q/kHMICCCkV5LeF14HngYHHVw59ugzvDUOt9M6ruE56WbzV7ch
Vx0A23VsBOrdRSXDIMcLkzAwUYR3ZYtyusOMkx7gRF3RluxoSVpw48SJKAfjKxEjgxtvUdF/ybgr
8Vwx3Spli/xIK8KD7FBzsDgCutn3hVT5/eS7KUkxiHdIfajjH7vN+wg2dHNk+cdHVkhRs1OiMdWn
SgbQFhCprp84IqhFPpektdHUIf2R65yOpOeFdQKGN0ZeD4wJoK44X+i5xvPue1TpvfWHBNCaOiXP
brnDt9Hkr+XEGR9Z8jYQN4OM24DVssKmy9IZZ6g6jQs5k/NGI32wKScONQm5vbXR6HvkN0+qTQcE
CcBATWSBUrEt0uUzndzNPpbVlwAchc4lhiMu0qM6JcHjuWlmL3+by3utaDUXUpau4RDDrJCoG01M
i7YGNMwmzwuoV72K3eQ/jVds98UKvkx7VVOyPOIDyW5Wpet+qfzuJnLbZb+JU3Ndy7oAZvJ3K+Tm
1yQaJ56HX3qfm4IMJDqwon3DUlnh4tYdEmjuiHHByTzO5SYL80eo+TIZ+MBT5pBzhEwfIycAVaTr
nGPTVGyd19OBUUT6dHedIr2yd8AM8Xnxb0ChjoXAFIgrGYm3DQdP6uBm0tXRWfOXtbyy1HOcV/DM
4yuSru9+yzurEA5qSRkF6i67CgSrtqBgiT64A4dr2udkNlI8NVv4wFMCrs6d2Pviymz27oHbTT2e
yeESC3GOJv6PZIzRDlXlA6EXws7FhmMePkIZuUclRwmq2NOucl96jszF1A+MmKhNh2ydk5Md4Zbk
USEjw8l7JqYBMo35AdzDAUM1PA8OV+Nual96mdwqOsbOJrtqwdkFl3fE5rVGF8hvyand6Xi4mtvd
9Zot2+vJJRqb3KcMUGy44bWKBVYbrNMUlmXg1PN5yFY+yTLDn0GCp7jPiXlWVIwmm+b3vmAM+7Uk
q6njm34LADnmmON2QfB7TxJ/hZMp71GQ9kw4J1z0BXti4xE4eiRESWT4hWBgVwGYESfapirMMfo4
L/FxHsh0oiRk42OLN8m6fceH38HHrpqbA7DS2zUOIYzPfXvrhkXwsgcEk6fc2CZz/qpcKmsoEPgj
duUJQ2nvTRMDj9Kflx1IjLEbSPXYR2l8qV/FM4K6eLvv+w0Helt6wXEXI2rugCKNGZgB8UQUbRAh
uTht/lpIjcjVzcIdOybk00E6tPiLkvnnACPJonSjlYOJa8Vd4MZmOgAtUscgmSU3J7r0yWc34WTR
9CQgptT6iJQmkKKwkWMmQIhhD2d3bomDTGsOAS7k/raYcQDjM0xxG1+NDnUE6S9Jc2Q8ov1QBLyL
vwFH1GoC29ngsx6sxR5smjiujoC+yERdzrmYjtwgiBRTMmKgzJYgzYmSD6eYz+/b3BVVl29xzlUU
IVnP5LDaTcQMCQho9jyCMCM6kA52d0amuB5ZkupNUAO5Hfj8WApu7EInEFEwnthSF6/9vR9J2Z2B
Pq9DyN817Ys+U3Km+pdp/OFFMbOiTKThq/jLcPvRZDyw8JvQG5BfZ0Y1IctvCrnJvj8f3jlZ2L3Y
FUf1jbqQGZER8j2Wc5PoEJ4Sw+NSwb3a+jfkjggTVUd88NiYipXteJnCuyHv/+rHHVCo5ht6MJ/S
bJNfr4cjS3Bh88gXevLW6m9sqNgUBiXHPhu2bznGkwAPBKGu9P1rmx6YLcMZrB7SVwnbVQX0WDG1
2IHnAqoFUZnaYSjlgYMu8giQL2NhqofTNIyB6iSiYFvNTVJvCk8VC6xfVUz0uc9u5nxvIu5qf4AV
6nqH9UVzHJrf1ojjsj+qmhSM/XubOjfImWIWwAmh59RDiYblCvXZljuND1opJfMdDdV+ZUk2kSnc
O3vEk7yL6RDVNA4niT6BhFooXJa6Dt1fGd35DflYsRLEyVmo3xAi/UIF0xIUhcP5O+5ZcTUryD9q
2UW66ykP7k5jyqv8ns4jNTCeQLtGQwbVuuhNBATFLoVmxd6qU2oWoIbsGtX2OoVG3cG+Gb0bkw8k
zpm8xmP41RzKLvAhKa5TPywuVFIbJYrBxhUHEp2cNn8Xjk7WIjUjN7EGNQRrw4RbPQ5tfi+xHV1l
x8eXSw8OPhyRclLKlM8ae4xnD7gyU5rBHxShDNyZ+zKaBmILeig9dWHfJXz4CQ91whkJ45vk0tlO
7jWpOXXKiPSkcbCCjZPk+7ELB7aA7KtmXueyG0P0ZUK4GusjUwcgzxbXsal+1WxsVMF/oKcCNXH+
ezmtXHpT6dJyTcs8Jr9t/X1vquilaUkUdR5yQ5KqSTayxS7qXzXgawm8qm7m8YZGwrSF6koUseeW
uCaV1VKwtbN40Ox1SS4MVqB70Q+B9/7NePd7GyL6AdAIwh7td/BkPSOOhEDP5lik+sWOk0LE1OjY
ru0clmJl4zp/NDNqi7Hqqi3Toxj0NxfyApP1aK6ScSsr7Ov1KyhqXbbmmG7jKc9SrKC8QGT2nM99
SkKK7i7vwtYyBUlLcp413MNmTF/02LPGZvkYZ/ywKLsjag+sWD8hltkTEdjg4OUyb7iPczZDZtR9
1F5rRkUfhWCXm2wTPwsBkru9nxl2U/iKWsG9T0bie8SlYjLBndn0E7nNMe4r6McIel8Xu6UhxlZh
iRwHBcSN5lTCtF4XTTqXQs1IGuO4EKlblk7FicRuVJwTj1ABN393u5xCSUF0lEkwFAwEeeVDlrHe
m5olJ3csYAOUlzkAEIv5AzCY92Yl7nfkNH3TUYuS9AquUQdKThyniqTIribkpy5Ls/3zcGz/sG6y
jT8yDgkbI76ugg4S5Zox2f7Wo9MFiX7ov5iQIpbjUq7IPWe4KNvx/dSvJBlbnaUgr1IDpXMBwH/l
T4+zwRx1SRb2fGb0i2ahefD/aTqzJjlxJQr/IiIEqFhee7Xd3nf7pcLLWIDYBQj49fdLddyXiZnx
TFcXSLmcPOck5cJs/5mWdgFcGKAFBBBjN04F26E0P5HX6b+HkJ8vHD/aZZKEIhZ6c1IiSiUjiAvz
nq8yR/Djoe5tBQhlKrq9cIn8SkAHLOI1SLCVpC4ChTrl0ZvGvdGHdOw1ucRu0qy1gDDmFISq5i9q
I0Ni1uDv1bye79VxZv+pqPzrVkl38mjCGZeYoFYqmyIH6DBp5FC8UM8U7Lxi0Q+NxykRNLZUVhs/
lpipHoaswF9YASz4ZMneS9wprATGCx8XVowJSVM6MptcKF8wVfFxcn1nWDt7VyRMLHdg1pOEwRb4
9mp+g5aySN7yi01n/Q04Yf9tQa0sKyfNDMP+IqCBzDGcz9N3Q9zvX8eq+C/SF17KSoIUD0eQOGZD
cLxvYZoI/MJ/r2zbvNV7l9ABpsdK6VLOxys0mTzCyzbDseara1YPkLZKRAQ5iYhyhL4kQCGeL3Eb
dwyTmtYo4gqaiKjmjvA/KHQKr0M+ECxPJ/0fM7a8usUf34bLcoEPkeUJH1GZ5ZOBGMOFPX/ZgsfP
vyKICyRGLQcwoznwZoWyibIgbBC5SmnF3eTbRDeL2l5UTuNJxDlxBMWEBW8WHdADNGn9e4h1+8P7
PXnrM0odBMK8A7EIISIXpQxWaiZ1vNPbNu87fLa6K/AfQlAjQAL0qTtbAmQ5abnDUmNRgdg1YhSb
yBuW+omUwCkb8UsPEJwo+dy6JIYmbV7/WVvwPYdYAmiFAN1SzVGSCwXT7cBNvA4aj+NKLYmHPe9K
pjBUpSDUJELMJ4v7vlybdwZU/aOLy+ybubK+IUSXWDCRHjRIC4HbXsgHGHMVQnUkdsw8wmGSP5Bl
LG5iV7CAbr6iw9WjmGqntG6YJBRsY8jfuJF2IK+4ikPLug22c3Ld68/FxtwyLLQbOuIGD0/xoGtk
ygdHS438Rfec/aLpAFw4c8gGeSh+pv0JsKPOCeYqukyfioSWC4vu2N70a/9PGTKHPQENNZWCjmwM
hsn+K70Q3UJ+tFx68sBxffJ2Pj7J+xUGsVQkFBygtTaXmRrgOtRHTi1QATexGv/4jg7c5kLeppgb
WkH5gAjvBNgYrvL9O8dMKKYKMDu9K8xfIHQAIT+z5KWXqeomCSzn4jAyNHEXeiiNVXvABohT9D2G
IpOI6O9MXKunbu9+rg3GbgVmD7Qm0svkNBKeHv5dePWK+D9WP4uwdU9aefi+5EaBQ5+xO4Tdw5Hg
b0WoZDGqz1C7DZRJlNRhMCdqeztI5JCyuhBLqoLixITdDQjHfBGMzgFg4JP/chGxl7KIiyQwKJuS
gTX4PzQuST2vzaRUGXbqGVDwo8Y3oYSvBvunEZ/XlJrKXLx7L+VigvfpzYFM4JZu8Iux0VfCw25G
dOo87Nx2fAFLYaz1fzZb/O3kFvcQn+IFNajxMViWdyR2pwr9eagT9RBsd0KzphoufthWyMJufMQI
/gVD5ifMKKS3KNJ3Uoy8LuYNbuMGxtDJeSqZ+YtYiaMzfHBzLGvueRP+SrR4jgPU87qiJNctSU4N
ZA+aJNqlHMKdjGaKigc518O/ck+JzonA3gfBw5ycHelrQtEs0yefXT2HLhmemJBRco34mDGrprp/
5ycu7oDm22QA1AIPFQuPX45eCAZhC4y4F1DXtY/PbIMLKIAauVWihJcdXaIswLA2esI2gkJmrv1b
ht47YpBsJruuXfPJr1ZgZR6GzRL7axjKDhzxwvnFDhdMCq2J6Vmhi6YnoF6YD4EarsubuHXDrYoF
eJCOoTIDtMEl/kSGzz6MJl9+IrzMfqtyWR2913JNHymJm09iXDNcKOakyLSbgJqNXBnT83AqSZwG
oBl5vo+B0ezyVh9HfaNWIk3IOX6mO9YjAcYV64jki1ETU1fKGeoo8N0CqgJvDCRSgL4hwbg/NEpo
UzBBOFLI73d2csARE6+JwpVZZyLPEQSDG09R7DpSfsfgmlJbwXiYSTj5uf9UY5p9Aw00fwtmhM8F
Lksusm+QOxC4pcsuEEnOk4V0Hf1CMgD5Y6Fnf86JVz4uvDpC5OeJBvFT5vKaJCqRdNhj4tt+gebh
uuat7L8WmYOskhwWLm5Lah0OANGRnfEoMP3dMADysDqUfljJSxBrbFlFMsT8jZpAD5Qthq/GgouL
yiRAsbt4YHQzxJ9+aRFOnBILkBn6gYXu9Jip+6iqSw63n7csNkiM6X64Fi9ADdXwtsdM/m87Cv7c
SuxAJbnjdAKWNBTSf4fgUdIqsW2Q0WJ2uA8VpJDmVlXrlfeXRnH7aJoYjw4zrNl7c8Yg5TDq6WmC
5MpNLaNvNTrWywIUDCPSTL2CDXII8PprPKaAjn80vuAFa3t8QmvhgET1yctlPukmnoXtR31/zvis
AuH61b/jFMScF1n4J8YQXG1GoBcWNfQTdVzamJ9BdSCiVN7IS/wymBsknXs4gdko+1v3/sy5xnnE
wG8Y54HFJN2fM6MebsKQqSBouJ1XQ8P0+dnwKk+Rb3M0XQLA7+zxiwHOzyJUpSDsaucyP6cJqjo4
VpQ2gkGqFucv42IQR1vZh7CVCflA2O/ZYW1hxSD7KnyaoEKoSIjS9OhcClqaa0swyHswG71xvQIw
7RIZuFQCtq109Cx7Jpa0/ByeB8MfQQsSuhOPXyU9MufGjfQ6Iu60NaE6lElI/P9ZVsrd9meS3+Vz
bqnKnruoPY1XdqmlB2+LIxJOql0oY8Pkwl1pTrnFfLghZKL05G1RgRcLDrnxxnR+bCGgLYw1tKwr
crUU40o8tiPes7vwVcjkmcQOTzFJ5YG8jkYGHdXgSKdFsvpbPx+Uq1d9IdwyKwySlvlgngB+pk1b
vvIaMpFmpdndcCFJy7hZb/wqFhEwNYiwq2bQGIum8qGIeQaiKzIsMgc/kSeCPBloTuoVmWqouWNi
RlX1QS+U1qLHjRqpC7Dp8D2Xg8NNKwB2wua9JmJiTT63CYP9IqVOAhT5FzBEzYYgX8j8lmndvZlY
9yuuvKpO8OJMTvdRH9xlkSEG8Gau0/ImNh0QHEIjs1PrKeKQmcbxQisEaU0hksXKdQM/oCr+PESK
rqEDAEjpk++jZelfBSzQJXAoVLR/KSoKUSxhAItmIjHwlb5N57F6pS7XDTzbnFCsTcF+E41r4l1B
WzhxvabzPY+l/RGA/UB4UFcKbFpjeviaYxKGIVy3Lb+J1msCf5taVzTChadQ8AtQI5R1JjdEh1fm
kN7soCKCm/A05zAkUBlL6JPCQaGKsew4ZjL3Xa3o2Vm8QBZte9L9od820/UTaPnySi3H/to0Kiee
q6NEwcJqPRPJAq5Zzv5F8reXUJvy4rs17u8mVVIFVgDrWoNTuMzmjGZ9/dKs0kLH2/AB+NTlNO3H
mrCo6mLiV2yQN+YVp8c3j2JroD21MvCGu22t+QHxYrhniQbAk8r/4irA3xTEBbsAQ6mZ02yq8sTi
N0v+gCWh3sA85XhF75WTxfSWfeZxctYqoo0dZFQrqLDdmtwTzytfMfruj0+wWbaHJL3S4akwRMI0
ZcG3B6LOh8s0XhnWkLLST5PqT8XGoDGP7woPZaK48PTswugTSQBIGezvvq/vL6X7tC255+vrl2GB
dJElDL8nhMQGLPJzCaiAe04Zr19UDeSARd3JQ93jLn1ILqRcUFwuOsp+Ne3IaCBhXtCeJpccouSW
DHJhQUvMROQNK6GjnFFJAB/SqPnc7O36NF898XJOff6xT5Oc6Av293Jsoh1JJuPcNJT/bNJhCtNI
Ooivdr1z69H9x6M5HzWA76065y3GMJQpNp9ZeqrRpDg/6oQ3EcYAEf4tMDSHP5tichtAYbuRqaML
F5FtCAT4vvvTjHjNYvZkHNt3NsOgPRddsJuZtoQfY3Of3Kyq7L7S2kP0MITWol/2nwUCil9ulVXb
rmHec2LjqCdi0HAsw1MeOyrONubfgS6/dVFRv9SjIO8DbrNg10QXDB/v83NYn1it9WSOIxO4YblX
sh9EnyQ+Ad6FtwB1Cr7llAkliFNSsIf65mzoXYm1P23ElNGzB0yGzsNClReGVQzGqYVFbC+t2VBv
IKFw7cQ8WkWA6x6VI9AuUKu1RDljJBQv5OIQyZPIsAU4HgzzVCAGAWGlz6KbYiZXMywUgg/UDpNA
BICbJBUJ4294r7f1mp6PBl7G7XCq5WaZmho4p/1cJWl202Y5R6RCWQhDFPpITUnBEPKk/B8muHse
joouaahHWppiK9+okwNDRmElS1lAU+T/7BNC83BIoC8bB7etSP9Z8bge9DQjY5QqYuqz9x58hT3d
a7uC1sGpwAmZReinv2ITRemielu+Daiz1D/o/ECo5isLBdS5XT/6NhavMcBbT+x/S6UCfEPR0YNB
a/PlQIrzMtsVftbwMEGMBTQ1JEN7CnYmrTwGbdBSZTFWsa7x4wBf8E5pSS0jybyoi/oJ8gmXlAU4
kEuGpyJDUNfD5xyUo9ukcX+hHUUdSPtnnN4IMDAAmLtXO1Ac8pgZ0Ai2nHsFUkVRsRgwEbVeyNZu
Mn8J1MsfShUhr6Jor4ffQ5lQUPWV+mjLBCTY6u69WdcZUtBsMD/x6UtXwpQc2ir9YZdie6trAeDp
CIpBauNqPOpHmGP2n87nRbFJACYzgw31sUpi/7kfVcLaHumCqMFf+HwAu1physlan3By0PdxhaOa
VEADCIPwF8UX2NBI7bBcxo99qec3dpPvNefDV6WEML9PFV683GWCPTl8qbufejinDyYlqLmJqXMm
uHkvY/0Lx8lEcsswCRloe8AquFHBM5Pk95PJ829CMDyRRQa41JSMYalZrOOxFUsa/3JC2HY5rFX2
F/zSsh3MHjwUe4p1K5J4heEH5JSrftFv1JSm2z6Yit7jlPZP7DZND3jcRHgpVJw/NNI4QY/8pcfM
Li2RjvZA5HPVrcy0O/uQ0pLdyqNg66XQnDjbSALoToQhbldOk7Z8eRohuAEdid1fYJ1YSmAZbovA
ywwMPfAOIcnLyDXh6weemMEF/iZ1Mgwj7N8zGq/DjBYN75dhmWkq0GJhvybdprB/NAbejyrJVnht
11exyjBJ2X/1PQ2LijHhC6PAUrIr6ImCeUCGJRiOO67ifPuKdaHb9R08rPjXcCkAOuu8fgJbJPuD
lTnCsSF8cnqdaYbfFr47Y3U+ss328mUeexZSNaPsVOOaSqMQ6D6FMMkVsACniMG7OfiugRDGJVEA
RYJgyyzyQtYquvTyKQyDtKIopoDy8iTIAgG5E6aRS/lxgRMo5rSYpBRvgk1qA1uuIKoOOXW1a2hq
pCGWNbg+E0aSUMpk8rgtvIaG6fXNxv8i8OkNkHDyhpKN8SKS2nTnvBUzORV3h1JoZLxFxhqKxZiO
XHI/WzgFWJ8zVFr5XZqDO92kSftCjPk9Sn1ACWFmgCUL1CPTJQp7Qgx4pb4WyR8X90wokn0ATrWw
ESNAvkGT4gKHJucGsHRsZeON3BZx0nH0E3aQo85hILoJJ08TXALFAcYekRIfm0ef0ZTy9OCTC9xA
lb4+DpprYha+ZZ/Pd6Nept9whJmb0BVyL4RTxvBsq6FPSr2Mm1H0tiYgfGDYO4FHk1McRIhwYoqa
4pj+qbrx+QGMxeGEJcKPgQz44M5u/eEvfBrHlABSlv52jrhRg+M4a7DclNdLaQWDmMkhzrRU3Mc/
m1FyqYMbbFphBbHbBtM9aGRTr75b7CToGOHLukqY+VDZ3cJWvk2wTV3svNaTEiYgALKPNBSIgWGR
08jc5DPXvmeBhVg8wQMab2D08WtUglCUeXE8noeClrq2fy7FqW5mdkV9DJ3ekbv1SbmVT7kStv1l
b94MCwoKYje//JLYt0UVRWztgOqpcFFuNcTmuKqLu0AR9WDMdBUc69BG6AZYSkqBIqYLGHIRBsAS
YsMTpUvVnNutX5OYYuB6UIb08F3I4bwf50HvgiFX1/IgW6Elyex1J+CQUfFfPUZAYr9hpNj8x7ji
l1hpzxmQeZDlJ1lKx7iCzZD0WY0Co8iAVZkI8G2YAGxtKli4kEbxsv7LzjT88Q0O1Av8QgISQgWY
Z+3jbpoOfg+QvOCmBrcsWn1J78Fxu2H/ozDyZY23nQXy7A010PVKLV1hS2J3ClnmgAsQs9BO2pBf
eg9/lodwC4yFAazpILEMgzwQDXQaSnXmbBy8lcQ8WMbaQm3E8cbhEJIuf2Lq6q89evnPTS7jYWaA
FHEUM10pZgQzA2+fsFuglsSa2dtoPMeP9dzXuBX2ILJEwIDkDZjKhS5WgFUT0TwXA7M4I431cXna
4EfScfEe3AAKKLTLAtoJFQFuY+n2xV1hbNGS6Jv6yL+t1+63ZxuPKgkMLPaAJe3BqkRQgd0l90a4
Mn4Ow0U8iLLKIyebzkefA7JaTFfhDZFDzIU34k++uBn44hMpROikCBYolgqePqQDKjn8YfVJbJcp
YOF5A1YBm5gFCPsgyOEvJk+76e9CuMvhuYGfwGePo+IBf3U+MeLyDRlID2K/hDUkYjEjvghuZHQz
aME1Yy7j87hIukWkV0K1InCrmAMKLde9woQElhrE2zszXOBpTP3DGfNUItBVNrZz20+NciNn6Hfb
O8rZCf+5O+WT9OVV2+p+oGe7zdkvI3P8ZpDvcYKJ+3L4A1NI3TUL/wo/jjeB0jPEfIXQm8LyeB+2
ReiRyEX9COORmkRGQ17QFiEn2a5m0pvIHb42n10J1UPFvI3LWdU3c+UgYoC9amKK6FWGlVm39JxC
z6TQI/o3On3nPJCshtkE14Tv4GLomg2JOiQqcdQEcBMURFZvdp/r05d3CZgDUVKI4A2Vw5nw8mUT
nto5/IoS4YUpgGuh7bDzgcZHyWiy4mv4ImJ6AJpPnAz8a1EuDsh2iprBiXTZYRsbnTdEZYOnBKzs
kvMfaJIDBYoMDp4JcXSfUPP5maVd7W0etaQEsgaPMh+/gVfTXBius4c1CAkOOU762uddT1s3Nrcs
ViE9oGzUwvoc5cQ2J6/5JJOEr2Q154VvSQ9vr18bmSrlOfRkV/PovDdfopIXFU5ef5HVT3ylkzqj
aJnITMD6bJagRNuyj2HVhiixjSa2Cf/c1sxzRdMbFQQpU3WUCNVC98Xf9LzQAggUbAOl0UklmEzr
5cGVB36kOAsHcoY1sF7ClLnYwRYXx/7p2T5FDa+Uqna6S2UqPNjz31F1r7LRvbb4wgAegSaGpJWW
3R+19yu8i/EpLyisZxIJnDH6fOe4fHLKwFT/sbdgYC8nPBjTfdZJjHLs+pXuAbA4ErLiLBUsogYw
owNSQ8X3URGtrnw2Xv0MJODb2ozv03sufW44YAEVdDkdTpPwj5yw6a45y795y9w577FQaobtdjPj
8YyWhXQYHWNJubeVrwPoeLIqCKMafJZYeA0XdiQu50mSfdtA1N/LZgczsgg7QKIdw3EMsK2wUpiz
5j0/t6HMtRl4KJMqWj08SghqQKdDdvyTVoqyFKsUqXXHYfpvrrWDQC4A5bKDQy07NbXj4FvT8MC4
3DLjpv85iYvXyqS31+3gT1PagyKhWVZObF09XGjMt4kHNNgLk/Zn9i58YFdKDFBgzyfM26AZafZf
Omv/YChXYEsnSKkgtsDx2d0wXxPUy9JeR9TbZqYCgaruXj3PJoSKjaKPVCtUyTDdmAU2pOVlAiFF
5jCDOpYS+eFdMDWFn4DvTaHle4jf2IDsjgfFNzI7bkbCQENHhmJnBFs0sxxhwgmqdTpE4fzYFDo2
O20HT6AQ+wabjcQlVdNzXohJYUJgV8Eee3IYhTafAU0aYqNgAHAIi1SKAuYJQgnEWxLeEI2l+K7r
kd9TArfWwCL2SjMAsgYm1VPlaFXBB+ORQA7gpkpI0z1mgWwAYAZRztGTPtg8RXbhWaXyC2K1GBn3
PWclEb0MXaBaqaWfEdWGEyd2WArU7WYoT5Bg0dfi4UdqIy3eBWVgMVp1hz0vxnZX4sa2U1UwLVB3
Wxx9LWLglq2DpwV18DYtmLmYBjVpaPXszIA4WxtKjGkCLkl+bCRTsVmCtCUKHG67jsfpbi7owqGU
RDdzTRSkjOApRXwRfrPvvWSIEwQTjyYKm4bacl676fHsaNhTacUK+XIFQxreNhuci5R/HEbQlK1I
rg/NtR8RvHLO6gXTJ+zaGRVT1267RPnUMjle2+JenKHg4FJ6oFt4WdRkPKDODTI+ocU13JV8uC6v
0j6mdpK5j+uLv4GpF7p9GT+cHY3Hea6whxrhYDXG2PaWEmd/DUQCvBWRQKLO8YXTdnnJONbdhpSY
lvxp2gMyuFEaFaRFN1ENar9NALTQFREq+P0LbtDUnfkFR1opIQShV6OC/4RHJ9SEhCYOolbzHYor
c1nYWCYW5lnUn7euTdmjnggFTzGVZJYLU5q9xx81GfM+lHS24RRozEceh36eoWJQ3DGXoa3tpA3F
a4ovSpGRc1o1Ywe43COiYEa97gR6EsArnJxu7qubqXQkqr1ztzNq7UCdMyOV+8jEGi0xE3QZyUjy
bOlELwTrMyOPn8X4YeFIPeIgRnUuMg780KhOgKB9yqjJIXe7t2hDALTMT9XCgOl6qqQVvJ5zA16P
jvExlFhFST/r7ThYcChr/xWRAOWCl1Gd/8PkF3IMtD6+LWZ13cWjcdNUWbkzf4eNRBpmauShX3QF
IiQkz/VERHkQQEwdm+kLyz5Jrom0AkL+UJbwTrs0flMll/W5jJjWBEJOi9FULqgIrzE0grK0MKhh
zMj3q+aie7FVSQnNknfsLyApXk6qdXb4rVZgf5UjdUHUy7crK/+2wSIqrOACGoD11bN/SKRhZhS8
cuTTKWvQWeVVfwfWC0WooIR0u1S54ASheeDnYHbgfuDkshGKBphNZ0bKjwbCijS/EBGkEoEiANjF
xR5FlkGkrI+jv6vVADu6pjju91+hSnd+mpi8SR8CGxxM1n8XZZZh9HhvYvoB1dKGDZaLaUv44T4X
Ak0P1ukJIHAgaENglnyDXkVqTfl9laLBtCwiEYTEncD6sDq4PKCQO8VwkckgAwjIKZkzCDO3AAR/
DfSY3E65OW7mtpvuyE//QAL4wzVyr0SPZ1CAoaRl+BJ0SGmoorjh5gKsC0W45PSzI94xvGeaIOTV
Td78yC9SyT8ZjBZ9w5OAiYH7gE3JCwgXBsyOH91CJgo8DeGzatk5uxxN99AcGeNvHLLJqeAW6cqV
nx3BLHRdTNYONCpL+vq5Cp22H8V1/k/kRJipY/gHFBIU9cpL83HyRWgKAFKE2el0f74XPVbBwPYF
czlo9IYkK2SR0GaFpG8WRmNWXWT+RkCQjx6wUsfPl7rerKKhUaD+YSxmCg26SETHV5WhUFZhUblE
3+QJBKIitUP5FiajxONU4yIAXKKa7btrFzxXr/DvuLtEVzFuSzcevaENQRfqsLnAlRhOB7J35Ubm
0NHXvGFBhryMyifv6eugkPG6z7L5ryzyt10cw4sgXb5WPb9eKHQZMyNO9dPBbs1x/eEO2JI4xklV
DXG7Qgxlh4m3EIO9DI1PGR6SZwsUR7K3tuhkbIBBHogF6HahpbqB63E9e/VuyvsLTEEpSHMYW9ry
P6IABbJj4mRqvkWQJFoMfV8BfkO0paUTbKghAb6ArmVfni5ZyUk0u2F4GOnqQ2w3FMQ5EYQ5pah2
oYrKT5KDh5Ag3BeX0doNs6RvVLiI6MlFjrVmoarRKNmD/CgYKNDdczrFIxQoSf4rOf4dX9u31U+V
UvF4PP04G4x1J2IrhEANhTiquIdcIFvKNKymilUVuLNYzMoSeNhiTMpi8FtRhlNSl7RUgt/WvMV+
l/IJn9PQtZkT29qZP9OKMUcp+ICw12xN51VgBilCzbCvWfwFgkMEsvev+uCZs/eLqH/d29v0iAtQ
NBAY6MwMkaA63emduTFpkl8Zhnnlv4uFFK0JoDtqTMTdX2GaI+KdyTx4kyKHgXNsYSK7eXzfHMev
cxRXgZYHG9QJQZtGr0UlK9y5ZyJjLMgJ8CYhnFI51GDqYsDAKaF1ckWgRJ0ElRofMygi99uVGoFl
2gL5SRQZORyBC4dmw39m9aF/6zvmZ1IRPnNkNvCDcOLtgtoSdd6LQECTDQ7u0g2w5RkDXgk4KgbE
hgitaNCmW8ZwguXSfmMgQdEh4Yd39RJKLgMJXqiInAL4DXPqixC+wY6W8tWedN2Ps42TP2aHmhJt
R/NGm+EPNcmVrCLRPGE1lV/Jmif9TWDjbSnb6lJeNIxYGk+ZayRwsbccm2zAF+/99W6TrzV3pOlQ
5zUNsFWjQDsHNEu388RjRaelXkTi8C1Lo9JTgqKGuWtW/lV+oa7bNE8juhLucoaUMAcpdpHj0Hcz
IDi3fn0KFg2IdQFZRdkn5GjjwItT6YZ7OjM039JbAsy6fmQCMRJudC9jcWAbmhwFOIcmbsPXklnf
HUmkxg2lOm6W1kA+FNWCzfiDASY28zPkz2j17YOqK1h9KWdA/NtFXSMxLDBckNL9Upq2VR/mJ2u7
O3o3t98xbOQEJ6wVtYz155FtFFiTJo9NKeWiQ0MRrsdcZZ9Kulu9c4cakUtt3cb3OeKv1GrEb7yt
qd9o7kInUVIwM12AW57Q3mAuIe+JnW5CAJa6Y7gI2Bam01J4qrk29FPUptHCfUgBfVJ+S3Ti0FaY
DtPWApTiV8M3RO8Fl5McRP8430SKpGoS/u4AC7NEHKyL+YmUFYBsQl8MOQs/FsArQtBAHYEvyXe7
DZQRMxgJ7me0ZztFj5pZ5+lEuKdWtF2ByWIy0A7fcl1OJKe1qS+P9eSTu6CIFyfTbNCIbCU+dyhh
fCyJfqDSUxuJ/rkuEnWESsb3rkeaobb/DzWRSPIMMklabqMuiriE6SF9lS6/0lyCXV+pAz17JHB5
8BBEaaWEyu3V+oHK7iMGDqDaAcEW0g2w9fGSWQa9UI92FygDgA/eatBUd3CwKBm56wdn3zkKt9MR
aG2Ob0wJiR9gAZr3yNuV6sSePAqIzin7Vjh56RVOf0Vvg4jhr23xawXeA9nht165MY79tobtaNAT
+DaydTeQHkV3IydfYizb06huRgDBAWs/iNz4CQCqIQyEoLDTITFe/xJce+BxEdXYawrzTb8eKjAK
s9BRQVCgPc/odH0ifZRMsAUYD0puc4Hc8kyZZsrFJZPAV5ChwQkInF5ccSjum5uRscnN5tzlMUiA
SH984SuB0K2cMEZ09VuqFHIvosh7owDwVQ2tJ+qYR8+1kJ/WmnG2Ykbc5GvL79c9aDO/ldNB58Yc
UJZNiPA7jMaYLFc3NDmUEv4Lo5T8Y2Rxp2hY6KAJH9EshQQ55KaR+jJIt0+p2iZmN/HYxDf73PzG
cxkSjeXfP4dLg62R8cySAUKof+Rcm44jFyWX621cZ+jKTynKHFdgYBeS9NhEYVD7NyKJKyYqL9my
wiZcMWjmvQW+VkARpOnDV0F9FDWm3ijrzuTy8Ywkv1xop11CKg5Ec38QGMHn6KaEBqAw/7hnnzFt
Z10PL9l6wu8H9KBpb/jNxvtqUSPArGcNn7T9MT9s7njwOiesru3U8oXXAf9O1J2+R213Md3fZoT0
4TGPdzsnyyo5u0jBXCSAAb3ZnVG00rqhminQxaLPlRl6JDCDkMU9PZbiIimKAS6STNlQzL9gk5i5
3cclesCuJb+TEksN4lAkuzODyxQbEvmBvGmgNBJtRWM22+Vl0VpYDcFMRLAb7TjhrjllVa/jGRQL
L7GoKIpq3phN5BwlhjWLgl2UGe6G5UE1O1b1fWLbV9diGUijvKCwZEN3jGRYq0wve4XCxbyeJ4ig
DPMDxq/8XKAoPxNOEbAr3HQUH+tqGcONPIgiB5sP810oNzAPVAoLd5I8h9IYnS0IB207Eq51eMLD
2SFF4g9Vm4NA89UROaKLaXmbsjkx3cmdCOjn1/A4uLIbAF3K+vWbXMriM+V/2BIe/LySwOwkl0Gg
ITG1RBk3YCLPbBZKPNIa7r+d0Ec5Nhu0cHODXEO4pT4zWO8IZSRPmZicTA9oZWEnSm459ulmXOfy
o51GtDsqoTBDBl/A2gKl1VkM2Q/97WulMCVo+uJyW1UZgysBVpxJst+65OmpiRhsIm6lXiQGyzDU
wU6FNA3PxGq4RalQaOp1+QM5Y3jyqPFuLAq/vwyiOWqaY6MT5ku251xJ4ONBfgxBy0SQPAJvXa+1
/UP+1//UcjYXqrT4AsjtAKu7znAgGAqGUeQmTH5ahz9Uah96U4DvX/r6sYmLv0e7Xu9tPV3YVcC6
RJkNnisfmZbr9KKH7XQ3H8KRaaVcGnr2TI718UrgyGnPp3dTvV++hZFKMNOq4CAOOfeoT1R/n5f4
jg7ku1fgAuANE7nWxzx8frkXYfEC41MqwQvvzHoNPw9Ah7gAvFrzwMK7xH9RCpNCjKSBJEyd0cF0
+VOYGRVspBKSNQoVgukK5zxVSK1YxjV/39lD9MXltBZBwxe4KqeEbqOZhIw4xaiT5CG92lnCkA4T
cikV0KGR9unukZT+C54EoppnCDAINUdqbzGlGBqMuHwk1ZDEBmS4wLXy9ALaMizkQA1xl+l+/77R
pKqmoFhrEtZULQTsns+wuQG431po49hZ0XSNFcImOgnYBHz7SJ6KPs+HwsMZKQ4CT1CAMuUC70Od
jn8sJ544mKCdA+G2C/20bYXzXA8MqL2oHXIpKi4wO7DUwCgA9EuSlGAN3knXdopt9+FLnLkQZ3ni
LRpWyvaCkAB5kZNmxMef9lVlQhIRjx5IX3/MRHuvIeB/UBs30w6wE4a+Sjm7s98eA9YcWM1wr670
/Hwwu8ToEE6ux4DiHW0hz4hOxDEApVeQf9JXJtuYneEf0FIGFD1S+wJEN4Pqy4GwkC5wTpD0iy0Y
VWQ23cXbOn4qgKdf2pSnEZTgzwYTrhz/hp/q2JLmaOzQf9qIYC6F6ZBX1VdjMmbXVdvsFAjNBY2W
7/Gc7oZVE5rdThUFwhVYn+DRJLJcdIUHmAuzZJAl8Vx5diIkf8DvwKZYLhoGMQQ5sR9TqeQO+jeV
ddM7G+HGZQbST6Qkwpb8t3adJ/YKw+/UbHHCAYoqzlwEa0cUKHgM72vmY55dejpYuazXoBZgdkoT
KqhU0B8BBw6UiFQaBXhxJORdwACHgdBL5sYedSxo2mCF7zORKRyxgFkLgRMsCQLMRDBVpcFmYEX4
N5qser9F+Y43zsyPCuptsYgoIqppmIq/hhXWuZvU9taleDxhM0jZA7wPcZu+OREsOGhuWHEfvF5c
Lw0DqnNAZYG2qbBz1KEELPryMOADv/63zRKlUpL7ucsv6WEp9lfSDrNTsHnHbYK6y1NRfObz3LUV
4YARurMUlwFQ8zNRsxDPS7emmLvvUoGcMgOh4wSlSTTJS6wdzolA21favG4Qqd6vKpqg3Cj3SB1O
u0Z99nDKM4l2pi0n23Rv0mloaVKQIRSTjBkOpkEQ4YA3RIUdrhp89vKD3iVXVoIN79SdsOQ0PSA1
gGnXGgp16mE8jcdLt8Tuo6y1FkIMNXAK2aw4IdZBhofAkJAvuDMYB+KB8p+9gEDhWOc7RkXYQpgZ
pgLO/1S5l7r8PhecNweqw6/FRQ50O3KduMMgIXl3PU3/NjlO9xnWBqkBP0zem9BKQhkGBQ0CFqiz
OYmH/or1khOZX31B99QAEYrtmVILYjHRbElt/IMQiSTgUh50qdO5/9YXi8mYlN79M0uLoJpHxy9R
tgYR77P73ei/uw2MxfIsH0iAoC10z+F+1Uue3DCXq+mr2LItTWlQYnnaICioaLq2TZX345ZmkHRA
jP0xOQcAy1HSpaQ93BscpBrqCaYo9fWvaF4LKvIP2nG2vHDuZST8OADuvBigHj1M2XS+zeqSYi8l
XVu63AeaBDLAwViBGRP3EQ4YZ59Z1MgJQ/hb2OhCa3b6/4JvknAM/HVNYH02/csipYUmTUE30gDM
CF3JmZvMm8cZjK2N5+8w74lUFwBKrylb124cPl0v++fi3D/6ElyX7csDBvR0OdK9kdT+DQuy4ACB
ibkWglykpuqknOZs/ArmWNoAVxi/Hi91RcAwufQXYBgPtuMMhvod3iHMooiOrdgkYFbMMBlh/BOS
t2JFXfpM0mPdQscQR48HUWHOkC6RKBgn/4sW7ris+GRgCJh7Su4OaZCx6hPGv3YnPhc5yauIwZh5
EdTMEsevOWz0jIqLAM9FvEoOYbR9q9zy3VyZ79Mw/EJBBmwqsIjekCGuGeME2dkZaBaDoVmwWJzc
WdfjnEgrDIxQrdFdpZlnyssRga3BiPZFIAuE5IuKjsR25bkzpqCGFL/OQFpzLXYccbh4kmpFjEXq
+wEFqHgwpQB8CmSMJoLRLMr7qEb3g2WoUExg4VqDHRG2t+zPY1J9UGJgdY6oKjU9/PbyuNKXAxMA
bf91BhDX7DBDMKH8yx2eHrG7Imid/0fCg0YdO9WE/2xhodVOGIekCkjqFCzGgryne3nuAi6oEUYE
BNTPocgieQNLHDJbok+AwXH5OpwdFtlixwY6y/IDIdVC5m9Ax+BIqHbECP46ZTjw4hBEG4b8E4gZ
IODaNp9CszVktBwbKi+9S2MRyGhBeTgCeUMQ0PyKArXm4J7P+HMU4G4aqgB3c6Qf92iemdcXKQ2g
jJBow5HSfbVtR2Uq1RdkfZxvyu/4tlKGX3Ev8TFQ9o5U5665YE/4LMc6JHYLbqaHPPngxas/4OrG
8pHI3PR9GPuEHAjfnFAyu+TtoHix4RoWMU+5cOBJjGbB4ggcaJW513SiOPtpsr1jadU3XSNC34gL
vqFmwl2P1vlwNC4ZWcVdquapYIgJuUOkkpk0OR2U0R18zZVqejkwEyed89GA4Kh6xOENhdb5pEac
HqFeNS8DzdWM4Cg53k6cNS5M+38UCQ/f7/RUtHsdj1daFDEACJPqACIMM9HKLwQ4GJzgPYv0lDtA
BrU+GDDbqzQHOLyW4FLrWY4md8inTNuDQR/lHKFIPDWCKyVuCETM+aC5n1doLjFv2lccsmeeTU9p
Zy/6fyyd13LcxhKGnwhVA2CQbpdcLqMpUlTyDUqSJeQcBsDTn69nz43LlimSC0zo/lNj75JHuvOU
CBcho3XjPakQ2Bq2HwIKiAtrDcVdR6CcyXl/2pMt1cqlvMu6jeoP8ivoslUjCClJMCu1tE65oMi+
g7AOYO/FplvtiJnwNfLnjQaKpC2FZ6AS0L6Dn0txYEwMHbyIUIucNT6sDefVTvur6iW1suSr8SBy
T1iEfPKXHtSf44gogvQ+Qxx+7s1Wfx+Pdv2KoIWOdch412gKOFivMaTah0Nr4RIZ+f5CZ8+NiEqE
LCjcc5hW4stMvPHZR+FqUkEZR0AqzeK/xKGGPUiA6RNeiJl5R+xKWksjBa/EuwxN/wGfzlEQAv1n
FSPLdSs5c0fl/5aEQjVTaVpZgu37xUBlJz1n4eZfglx9C8IFK0gOAIOMhHsBnfkZjwVgYS76qIm6
PS7JvAs28+cqbyilvJc/BwlALTEUOw5ztjp3efFgpar4xB5LrqK5aV+syT92uf1QiMTcqcqngxCN
w8pJGA7qO+cB6n1bTU7d8UlGrWWHKKFFfKhqOCLxBioPHBhlHVEwGBKtBo9bl+aEVjxLJMEpKpzn
0Gz/TVxpHBkEfwhSpIR09YRiL+S2aSe04Eb4VxKP7+ORUFJoRFTT83cd0N1XRggLQSnh3PFFdDHW
SbzCXAIiD+EJ6Y4p21c4b0q4N5gAREpGy5LIXKm+HdlJGTUVVT1mi5qsMrJohk/JMJqLzeHKPJB1
G30HSoVm1WLmzBCxdb8Epmaw64ADEjwpk9VDuNsN3M56Hm2cmlQ2tiyUQgo5E9dGKpVteDDvTWpc
G2wAjC1gMTQk5DJUILc2txwQn83/JB+acpo8G47tr+no/ooDWJlpYjHxsuVygv8AHLUV1BTQHIDh
g7CBpXJzAs5yNaAz4LDe5QHAdKDZFbwnPb6kzAtJS7+RlESEQslzkvoMCRFSV26hnqFLfvSf78lF
MNHHMhzaJpIYwxW52niE3IH1XDbU1A5Fl5yHe4WCqN4IpMATmS1QQ6AZRCpPSoOhSyM5qO5rlwB4
8OjZ3WywT+xuMs2BWCtb0vcamb2U1zaYBIfDd3R2NKqKo7xr7DNmEYBep7dtCXuwNnLkbwhpZHwb
tTvgJsz10+RhZSDsZfLwFcGnkUy0P/KdvPNR99h/HKqTxGT185hj5EU1yW88F7Juorj43pkU0OMA
EkP0KTGOK4dYC8wNgmP+72RywUXMGhzvoK4jWJkfHgBTOyQyn3d+TkJveSwjRqkTDSfyCezMoUuz
BwKCvTpl5xDE/sztiA3Hh/0iFozTc4V2BnsOiVziItBsFEwqqFympr8JKp8LsZZIW4KQMG/KGeVL
ZYQs8Ay/B+2xLAm5zxxBCtaNasmBPWcoH8M6Av9VeUPw1SQ5WOmIE9hCILANjPqqKPcJqiAqf0bY
xHakmwu5WmLsJbcTLe1z05j8Lq1VClabTj9Zl/6brxz15K5V/ADsl/yjPE+s11xnNmBLd/L7DfBT
FryVfAEQz+2joxUkWcES7DUZ59YML4dlV1I7M20M/MFgzhnQ2bjw0zfoxh2UG1P4Zzr86Z0WDtFn
JMdsnBzZTR60oOXprm8zTQ/Ckd/h3c9KqPWt5dTLVw+lA+dS1tNXoJLADHeU+PV8j+O0tVGZ8vck
80cPSDTIraGZElEvzz95xAIXXkzl4vZJcnyM4hoz0rFe4zNKoajH6yRKnPjBQ4HNm0idmSatxBJL
MQmj5NZES48cXSanWthZandhUqeyWJESUy0AKiCDznAlZz4bJJ5YoApsEDeaoPAZElMoZjkQaN0o
9tnRFR+MeN7kUR8Be22bqVUzh4A4vym7hzGjOepS6X5ENG15OCvBxrwpTbV07SFazSZ4rmKJkJCc
IUsVVQokaSqIxKWphZ4i+hZlAUWRJKLFko2/U08MDjlzRbyDlU66IJdPSMsNRdpoeHyUHN8rLb1j
R4kTg4bY+Mkk+Tr5LGrx7Ik5oXGT+WaZCOQRbl41Am5IcspVHZ7SR5DtQzsglHFmwLvialvfUJxC
8kf9cK8LxCLadfmSHByWzAV1b8GATrF6bT0GBfXBVNn6ks/1cYtDeGSXSR6jCOk7V8raXHCLoN4Y
NiXnh2D5aZu+e2HUYORHBmZ1SYGoId30q9lB6kVDiKsc0quXEl9YfHA2xMSMKqAi4EtTZN03ZHLo
S3cwmbIaiRTVCVKpLEMvEpSxh0StV0/lMaqbNPtwhohYAbsIx5SuJBOFT83uIe+LnxCS5EGWEmkM
oh41FTE/qCmVoBPVAaY5BdJaS4yiXb4C1tgML9yB4jX1qHBg8igyNaOehB4AaUJUAqoj5DoIwC9K
fBjOlLUSF1xfODG/Y7X67+DyclzuVbBKdNBy54+NCBo2ECdQUm61TuSZCh8wHvYnKytkVqUmzlWw
BYkzVg63k4TGUKbTRSFntZpvyfkA9qDDItIMO8MHJZb7XIfVCMxJ6YKCpST8rn1xlqH765gduzF2
RxI+byymb9sO7N8UEZhlGIwqPE7BOhCfHHMI6ElpSjkeG/YzWxQd2JWK1ZpXaFmdBqFxzE0H9TRG
pjnVdVtloGwHuD909FvEmIObOZvTiwrjF7nt42DGUk18akKEM2IQyIuUtD26Se3K3miFSLcprQct
PnFv6DsmKj4sAJBmGFABnDFNtFLZNyv0KdF06E+liN5DQsQyxKNcFcd/VhfcIYn/Nnl0mhrDuUDF
+4XmbaCCoFmhM2lHji5Z3iqW02VEOIajKLhXRk6H8QC3IrKk/kQknZT60lJpNkTCKZj1cjiQqN4s
c372onX4l0gmyKyO+8df5+IU9O6fDNadIHjRgohtD6Ni8DKqoMRZJWkSkktSReK3TSXJhAw1mevD
XrYBWw07yxIhuvboFxYhv5VISKQuZzYLnTTRDJnMvIAWslooi3VUNdLnCsaKwwtBwYhpVVwaMWsb
rTotr6iyJPfUFlNVJ2oWTkgbFCLOQxoW967U6ULbw6K4TjLlp1hxo6JZAMP8KSHHXUTmP28FtMET
eRYvDz8bf4zqGvjWtpAYvv7yI2icKGwtsousBcyN3v8ECAWZiAorxLUYQdVhsOCFa6AWG1aVpPuX
bVt+4i/7jrGAV3vAhRDBFd+Ni4SFVN3xH9IzHoQsgXjiyDQJ/SEc4nHO4LNo4KnUCfuiA8U/fBmp
4NH1kqs3VRKfsIP52B7Szl+YfGZqOCO771q/tkJTepzUEjXGxYltt5fdkI/0ZjICgtR9rpeFgtd6
na8HrwQg2vyt+KA7seIC4/N4PC4lgAauPulXJwMbEgjeIaTqFEpNPiKXPoin1EZorYaJuzG/i9BY
3SgXVyOrUIw4XSOMek6upPVUk8Q2ldSqhMv+a0NZzSybuRbgWtxwVRP/1w40VLIDkaBh6iGtxKNM
mwJyvTIQZqm5tcMWTBRgRxR3/QMUAhKARkokQmDxB2Jmh1BF0CeeEaa4oiDjVxGLYpIB1DUgzRbX
nzDHYah6a3Nh8UfuXR2T4IYvBkTkbzSzqa8gHBNLTvvYvzeFMTd+tI13HvdFzziP2wq1CGYvR2gm
dqoZ6t+Wu44XWgKndP9GA7+J+CUgfN1T4azcL56I7yXyArkK/yDURzn+uyFcjRYNZlXhA7PjZ1Nk
UhVnNQsZDV2JIx+gbDpbx1IHAvSSmwmDV0BOdtxyEtrCvmrkqaX177VGFz2KxwEm/a+NniFMIn8k
vAdbckLpzlARmuQFhVlcMikU5Q9O0LiFTT1Y4NarqrDy3KqZWB+6zR9JWxf3vZcsDDQUhqhMqKMJ
v0fLkvNYuzT94bPXJ5jIMzg7HUNIR5VTkinD4Tn1GOvsLjui0b1dmDp1WRmvMEoqFCGptKeGx7IK
rRxBqlwcJ/Z+V/3iP5TbQU3g8dHsqsMzktxFo9DEwoLrkZYdExQKzL2j1s4HQ2AmvsiVVibOxGjU
82+R2AGticcn/OAmXUjuoxX241MTrvtyaiXCkKnrMp2sCZEIrK608YYVEXNAAiD6CXFTFZcg2DaU
ZcAnL4YqPSeVeUzSKcxvxHNzCx85Ux7KSouU96ZN0RcQ5SMMUaNL2T0ERVacG1yxM0GdAC/aO0eU
QJdDen+a9JfJ7bo7YpxZPinWkrLBieLEZKYqoA+YRbacriCLM18B6iO05dRcEZuplHbaabLgYU7V
yDxj2QqoI7sCKnViJ8voryyBUhSKtGqJfEHtheBgB3DGDhGcdp1hPipQg8YNpQceSEYuYLK8W4bZ
9zn+A/9vx4UDwCECoxWHEqzz/q2KNvdnvvRz8sln1/+oEA194tyg1Mtdjs7VyR+x7UWfon33v4XY
bRrS6FHoSfqVPb7IzcDQwkHWJYrlJA4yuOa/TooVvyT55s6podMrjTRchiYxoZg7Fw9S7DAYYxen
hCuhZ34dcDu4O2+dsGR7GYFU8eorAK1uBxNSmgFLs+u/jiOXkO9Jmq06/o7i5ClrJEtj0yxP0QYM
CubKnw2kEKO2/B2lPM61QYluE/MUODbzkZkGvVBwW9Vr3PKTrJFRJTxRX3MQVgsLHJ44xjwiU1UQ
f2XwuUhl5eyj1WaLArZkBLhxlPHMrWgGIo5q3eTmFM7rQr78lDweRII6Ds/lGukxzsGpmQ8AZI8g
P7dnYze85mRdLnolrUNRnL51Tbs/oPao4esxllPJNjSgQ3K8d4z/uMOGzcSXcP2iG2RPqP3Ppsev
YEK6GzPLdabdDFjLj3Edywm7s7vpqViEhhMp5Cq2JEpWKTKKOD52tAmMzUL/Avg6dd2bQAv9wvy+
LVnj21HoymoFciUf769TUiUcgmRPPRSv0+CyyCbSrJwdsYg/0C4yB9pw1rM5yo2/OlbgWG4Ld1N3
HJet+HkRd823UMQiruS0QRLN/5gIuijTeMXiSOXIuQztUZnoMUvi7rHSDTqarnW5udKgB4rekYWS
UCltPCzHhyJkiddk6N1wOBYtPayf/iTucYpvlkgjaCz8cA5vWqP1z7ldZtS0FE4YVdqu/yDsxEXW
OZXdrxULd33e9OL+Sfbe+YND+ShPB8Xh2WVdvGYrN1xEPOYoMlaZ0rYuIMhH3XS/QD08wBWmGdx0
UcoWZ2rc4dyEcD3/FC3XLVYlKoZTmbUObpvyULh3ywCUxncPN0bW7/Tf1oOHGI3D+HY0W8HJSj5G
6XGejlkIfNuCgfyJYj4/M8234nmElnxw8F59WYe8YmAOD3QkttWMDQ3Exi+LrxRJ8Awk6sgBEFbe
S0v2Me++P6e5v5zJpa2fVCM7WdHaEQHVwBZAhN9lMoPAAkWTCnpeXhk9xjN3DJL3gyuIx/LJrGv3
b8a4+qdjkEFVbb3gOSlb0lFiEij/kGQN5KNmoiduu1KPHYQCq9EESCemqSVxtHW8mOll7tE9DyV7
myZ75tQNwXC6lhVtvBJxJjJyOg+o6aLS5U1JiF1woi2L8YAxqYWXR7dVAukSz1qgncf1TKzI1k3n
3RnqH/tWtD8yOMu7yXeDz4BNXE6u2gZGbBrsQNRBAKL2XpwcGDVKEbQBIchOS/bNPT2qPvviKYo9
5iFUHIlAOeNANZyU8bNCBIY2ix7TepvJVAMH7xB/Vwn8xdT33BTiaAK9KF+wj8Fu5Fv3L3oh9T3b
OVWmkMJJXIttAoibljCK+4KLSRzb1KcwH6sUFV4W3UqqR7CN+hNhVeN7T/oiuRWTTpubhUF6HDBI
NW7NEcKt6yZuttMaUl0zeC4t+Dp4fCSQ/jNzxrovXSOnysFtXAUdv1PLcXP4glimfvWK8zXiIJpw
NCBaIY0JbLukhlx72kzsfPG5tDnepaQQ4V/F0qq+r3n9QR96vJuI/+T24l+Brbn05aOYfu4QPirU
H4IH0bw75pMNA4o8tZ9w2FFZBPgTMoTVBdkJh/cbrQD6PcjAJF/al6B03cddqfUzIqX8o03c/tSb
PJahpU2yiDoeNWFD52ELWy9w3VNTKuKIKGbiYtSKMjrZPgvz9ksZxp3RdIf1X5b//o5py/1ZuXRt
VPTgHvNkc6YifW/WmlzeaAYZanbMMFvKb4rHcv9Mi4i25Timn5OR7Boqgn9il64KqpaGPuPfEHdP
HwG6MKImwrj8NRV6voz71p5yXibDC5DzTlHzKWulXCSTt6rEyjmDtk0J8QR2UpfMdrRZTVcdJw4i
nh5lERFDxLSJt1r1+t2QC1NFjNOhCxkwaKWSsuE04SfjgkXiJQHP9/hbdggGtw1xMnp1vyf0IVfH
eYzI/iexfqgpFogpGWL3LRnL5a405Xbpei/7Gm8roKLf5W9FW5SPZMhPHBc93roumQfkRzlJEdlk
ShziRX28rXg3H/vAQ9mToHK3oUOJdqOXYwzm98mnrDlyVEGmiRdu5QT8iPx1mmbGqHySJKQ/4qqz
njZioBciYDb1ayZH9QmgAWywp0BnUAMivYKzr4Pr/nRV6qFgur1SO37CNw6oUy1iQepCOuAgQrKD
FZ2kOOlpwFCj+65Pi5swUvUT3ADFq50gWQAOXfPfZwHsCcPZkN5jP92d5wkY82dsUHDgDEjL35Uo
y4BuOGfrJKY8CEn5iXsQsqrkcLThsR3P4nfW4Ql2sTan7Ei67o1mL6FXpWZ9UxkbZEMI8ezjZEKt
CVwkDbwOJTWLhaJd/jKWUwFVrAS62rmMtarzG0+ZbqC+2EgXbXI2EiH1uAMbfWtnuKFr+dCGnw+J
m30BGiOKWOW5Q69G0PhrHOGbgdhmQJqKaSLTjJ5yJPT6VmsYC2QQoJoxIaDXJI1FhL4j1RUqjJwJ
f97RvftpiceazGYOU5ZcNQmVu4kYOBfliBu2GgkUi2w3xfZ14dGjwZCgJgd3R9YM7YsZivTbtMpM
vpy72YzoCCpvGL+ivophdIWPlAxSAvgoxZ1yuEherASkPcYbVecU8CEqpx5e46ythtNaL/plS9uE
VYkgHGhfSmyEvNNO3YM9xxB2aFafP0Uyc1GDyEJqs9NmrkdS0RTwCcnG2j9XAbshroQ79DLYUoK5
HYq4buOuq/aweEKS8lEpwhYzP9U5Ixlr7t+Z+WvcbkP2+f+5RaIYl3TWbm0h/idiJu4kwIHiTGBg
k3yluUSG2tndjT1Vw8lxE1Nx7tyZhK38ThhC8dpGiKhRxXI89ozbqubx2UkxR2CWv9eBiAeNaGc2
YSJwXZG/AcCMyUPctRRmytqF5GqNDwzgBsqClrSEHiQbUaYZWFgzy6VgpP8FOzTNeQ6O9p+sCkhA
NUL9GvhJazKocjYg75kWoDU/A4AU6DqhFyQgHgF5THYIjJcMC2kl18cGUgv0dk3c0nCBSd28kPz6
2abgqwPF0AysFMqh2ol2IIserG9rdOhRkL4WxNEIQQCoigpKDN4DMTOcz8BHASRhJMmQSAzAglbc
xzbGRyxJa0gJOgpgKmYiO2jD/pdhYBlj42YQIPQZSBQB26Ovegufo4UPZ2P+7DgNO/xEBnEQdkRW
CLERzipy1HWY7sDEhBtQiuIVowVMEeJ8hjELLWhD1Bnba4l8ThzwUGItkHQOnCuZJni+4g0ZKvLI
gqQRDYnx0XiRugnrR5gkjTkR9TJIVpMRR8L5NbfJoOTjk4oLepYxGEJFStIwxBKVMjUnhRx/Nk5Z
fAZKJ9FAwd0egohhAz9F5Z7fJzEGnqMA+VxLCvjDYuuKSId1EQ0bzS6WFKSxgEqiXAAKylzpNkju
qgZasGmTZZzMD0qpH4qBqexybqy0hjnRovSMJJ8rjNtfcUhbolbOuGsmcpcvT6icAK1qufY4UEAN
acanEowGCyG1QyCfg07+M1eu098pZ0b1nXK0QkUSAC3yNcKdCmJcdnbd5qwvWOD0ufIbsSPw0eGr
wlPulPAvEx/bpomywRiHCle7fUWSxEafyDAmISYzL8wQcM5xU7tktQjhGoqDsJV4FZFiV5va2JA9
IXcOKSaFfMUGG8q3QpLvAcYANHEhGLaOPmiGEzbpnYO8DTaLfWnqle3NYBZgRoCw+GCHDk7n3Yar
KTlkeRTxsU/A0iyha1JT5fIIMypHZhAVGzDUBtGB7QGhmougP6uBYtVekHbmVr7Lfics8WZeY+IA
/JBzHb3FfacE4SXclZue/iuQKn9kotqTOmQ4qAyJtDQJHQKuRSjkd9kySmciMKjV97gVcJaPgz0h
/BcV23QWCO5qWGMehwfCgSyLdFcOaEQXGHKRAZzS0M3QklVsEE/koGXU/KlEtT1TTRMYSmIpAhqU
x/P2xrEeM6GWFUtAGOeZxOm0AeDHse4/p4hBjdAr/QuTm7dfKgVF8ItXNGUl/ibTPh4yuSdSkuCS
SBUYEYarBZCjdLJhb1kBltIHj2LXFyEUihbCW1ZuNoYB7CSYCCaRg0lYV6TV9kzLijAdHKY6QO9N
jrC9KgB0Y1A+0k44TGOwaiGzOcoS3g/mWee02kbcYTjummN7jHrEbiYuCJBCy41VSroJtZsvym9Z
paMok6uWCAK+k9V7UbKxBgzHmXW9TuQQXgTBiEeJ/MaNAWTIrxkRunwhJuAH1au63ZPBPxcwdEDp
/KcJoaZIw7nOH80jr7hpVT/+rmRyu2WHEVp0D3YapgJVP2uN5xIzC81Pgc6oSZvtXKxRezeKnjUj
PxjpMxPAnI5T6hoVkZGmy4mUIdOySnT2vUT02ycCN/oig4lGiZGLGpwdPe/CDivBqf1mLWvKI7Lm
mlTOtGzQlxXrZGi6L4x3GxDRMBmGMhopKNTg3RC42X2xBhRmFdNErryrdb5KPHO1pi/xChpPAZ1w
uAKiYvum+BZIXthC7fN2+XiBKBHcnwQuwkrRB+vKKrPo9LTPj7IjuDWJpE+EvyLZmFmGE1sSjXaF
gnuHjbbTIGwqFyZCYHlxziHW5W+AfJ3LDujFJVJ3HiZAkzjqzlUk920QUuyCmo5Yz7OWZ9EFGijY
8PtZxkwiFgW9hF4uSFcEdXLm3tzUY0gkMPIP8a1P5AgCV/JYEglgcpB2Tkz+E4VX5BLpEGAZG3dB
7Ukn5sgS3le8uNCJPF5Z2ibwH20eryUqwQTfbKbJXpGVsKj2HymdTwVo8CPDxVy85htfX0ipnGAo
obPR5yL2k0tIeCe40Bp8LQ8Bszc0rjIXWjdQpTZOzlD8UiFgORB/vWg6tQo5mcWEnkGX31XTyDId
SITGi7SjIzv+SqY87T0F/c5jsaP9KKnZZDKIgrrj0YeUkZwaKSoT+ta0BnaZOM6kLodx9lH1cczZ
d2I1cwiIOVtEJtkVTHowdbBjLwpnTKPrW9mBZPnH6P0z5nC4dkQ7mCEyb0P8RwjopSuEyQYXGKw/
D1mFIWuA9926fNsDv/O4LN91g+3fKn+p7QHESKIFqOek8PnVLatt62WJQs4GLv1KkVVeyI1nLWwb
dhJrb7CBYjKwD808kjIRxWfYCez0L+gqexG+Wp6VYHAOAqGhvf8GNfsXA9zFQB0eic2k6wKBUhtW
NvkaTxKlyJ5pgnvU7N0DdHdyc/jeUZxs3pU1INqcXbwh+EcURwD2jnczMq6wA3fl7JKhVy6B4Bar
ox75ezjobkah/Q+qSazS3IIIxP4r9yKgjwIL7ZLyY/TRenZUSFUx8o7yYbu1pioc3KzREKLRA9+N
B/btFPANbfSAVVtOK2fYGLYeikpmp1kBmYTvVR5nnngWTc2UjmsM8QyVjhyfXZjQ0doymph0BGsi
eVjEo4G4lYh/PoTvsfB0HpuPdQSOvjJZOwWJtX5zdY2nkR92wgAE3gXSDKxDbxXl8BvY7oA8ZzhV
h6d1I7MA7Cz31aBsAPlGRCk6UrtuMiamgqrI/qs1NxaMHantxJXLCb7uiPmcQeweHgdZxbX3Ee/E
taV8fRaLQW4pcLgjz61Zg2VOy1MiIgNIoc2vMfrZYDfkwSjnmdBjp6CQ+2ejHK0Uw0ZVWrWkCsQc
RztL8gHa+BEUZyw5IGRM7hFRBEOyfxk9n9omYF0fQptfM5NSKdtF6W/DJWHrqRuZrvHMYQgCTm35
jObTu20OQKcCSQy6xU7/ZaO2t87Aw2g9+KrD5a1Ca/f/RLKFrQrBTpawObc2wMFC9iMjDCzu3mZS
TtX63UbP2mHk9uFHbCoSxeAcRVIsCk8TpdN51RR7oygtjoAfjN4e4MDJ6Qm5I0h7giLFmKYTpDCw
mYhfUkpCuXq7SMDQgO67HZyvNkPVj1g9uiRn0HoGwVEy+oTdfVwJFyY/idQ1v+QpoCGSJAiceIub
fxwGHNiG/xneCq5dNpfZwH7szKJrYKoQdHTQ47NimIAWo0gcSf2wVtNjvbbpIzEIdMgMCjMS3ViG
lIFejAiMI98CjiQi/usEvDHJsBpzWSayiaeSioHYP3QQLVFyRHsgRKFQ5h+oCSCGAImW4NH0crtl
zGkxM+2E5S3Fq9zmVBJHTfUsJA0Ws9968P7KZL1pali5CT/V1Khe9EzElIo8RA52KmfNAkJYR240
YDAnnH6Cz+fu7OVr2fs0GKJBF4LaQN2DFt/0bqlPm5f/iWWQrbU+ZZs4iyO+spQIN93Am8MI/o7V
/mXy1u8rAjzGObMHW1jXMjd3ueFE89u0uT0I8bfzbAnagiosWcgQGpyJqv6w3Lsbj/SiBlSdWhhN
JwT6RYfo5rODLaBD/tZ4MJtzZL07u9Qv2J6Ez3bgcV3JcqPaQPVJMgRTof2Ea2eKICT9IH9VDaQR
2dm8HFJ3ZL5znQ/JeaPaRPCTkcbNdA4byYTsmpYAj9fJDrrCSfZd+l9ATj8EjRCZOjQ4vyK//9Sj
mbC6h5aL86q1l4wZrcEH4wxwTwlSjPcBVIcH3XGCo5HgiehSomh79pz10mpNkX5Nk8vZGBnTIZDY
IjPlKXIQLkwc55kTY8iByYRF35/T01ZOaJpZ6Kxz8DRbkFAZ8bhk/qQMxtaBlG+SzTyC7d/7MnfV
1nbMEGbobC9+tJmsCxKKIZxyTl0A4QKtCWvMzp7FGUiLIOYfSSSYZpH/KvaJjQe2eaFSw+mVT6UK
/dTKINnSUDlHsRxTIuhyVi7NSFJmFdAi8h52OyeAeY3QRD2gN3aRwvLwRhl9d6CW1kx6jj2h+DAG
qQZdiHGFVAXVuNjZPddQtVCg2oVFLcsEUyLvORaDSk7Px6Q1hzzpnjqAMFrwRoyyz7YkbknL4PhE
kLVBiTCnWBN2xkNFb/RX7wE/IaTkvMoDfTGsiLCzaqXokWgmkB7SH+em+qPJowWc79D36VE4yoip
VTDtvRcwgoFoPEmMtkqbiiP+LuvlEGdMwynw3OU8LfQJzR4LWtt+P1qK5pYxT04NQJjC80RiVhM9
Et2m/2jHP3QeMyangCNILbWGyI8CpOpZ0fPVpKZQJAlJDVAQzxKu0iNIWPi9jMPYyIBX4DtwBjL/
l8VBmSbLptMHgrQWRYlKFkhJuV3FudMdYMIdgnFk1SDbkrRrD2KW8XpqEERD1kdo63rYHZefCPk8
/aOG+Rc/FXzCoHaV0B/2NA4nGhvsp/rdAgfdaJU0VPaymQEBEGMkMi4CnR2yhsqhQ65EFC8p2zY0
aHXNn74bwX4bNeL9hlcxJQXwBpphTzI7eEoUn/i8gERX4soYg0IkhFiQJaLdNmwYwn90un6daCO1
j7LCdBiRF9BWCJy/ttRuRVkn3g3jwCNVPRquqRWlhwxnUTnn9cacWBI6bIynDUNgc8NVi2m1lcFi
ihkb1x0kcaHsWAJkRMSYISWFVlg4HalBTCSOg5FkUzlwVzlwS6nexFOls29TJreMZMP5LtvVCpDU
zDg65xBSq+L7qUTsk8XKw1qFYQNfRUdFD1CRNwvCljNmzInvbQkMts5PQ1liGDbK8c4zsg+RJH2w
A56RPbRUwVVkA1sqjNKili0wqILY0BAAPPcoYTPmV7wDATI7q2QB8XJI6+Qqq4qYvyBMnqmpn9Qa
vleYFNUgKjVpMrENMnsJPNRS3bqQw2QBOu3YzN+siwHNBcSWWCNsYDRMK0BoKTkeCckoSJkJnT4M
aU6kP44x8gDL93TQDth5wwedcgnuYpMmEQFxD1WgRKZ2IFew5QAQdr4yw6eG92giX7s66DErcnJQ
PUmhOdCpyxxJcxCLGUdi74j4OLYSRPunZFu92nxqWAJqao51NLbCDIiDLxNZTi97hXuDqBEiUUoS
xjlD0NnTVHEKuPLOKjQylksQCZPaoFMReYc2dcLaG8QhyCRPLMk7nZsaUGj5fBuzU5F1A3tCx7zr
rstf4dnI20mRVc7lg4vJ9uR7wedcgBuSxGgfVs7Zop/HmwYd+k0c06sYD2qYEoeSgHpM5AKE8nwI
ZGwTD+Ui7XJpc8hVQH/iDBQNMB05KUk+qzQu2k8dk1GxESnIrXr+EHeDjZ3IHAna2WU71sX2C4fx
8oSTs5YhJNRNlLaUhgCbSI4l9QhqUhxaJkBiZjZaXzWbL5H4WDXHJwUFT7LisKRWAfCphUYdcGgJ
lC7lDxaiH3GZEpZHFJAbPEyMDBIYCiEqJAtJ/5yoO2CWjSVTAyRmVQqLSNdtwzCcnb0SCZ7LoF+6
GIXDzBxSA3qyWpiG1DUATMfGty3l1xgtLZIia1EAqg825nrFhOd7FE9OysEKGUc8SemX4hEYTzNC
scvBJFa6VR4KDl/6awzBFgKH7O7u/AgvhsNJ9AiETh6XNF7jRr+Azo4+XAkvvQKBY3qD66uL7rKH
QXCKarl9Rf04xfzfqUb6Ds9O5IN/VB/iDIsI8J1CPE4oxX/SeUMkgx9K2ojbgMgDfbFSfUO0i5wC
aQs0hxZCRNgCd09kvcG9sT3VKuVlmsFtgetBRmqDzBWibpKkPqum0C63SewLPixecWJlX6k/Lrbx
hyP5PTX4mOCxyIqZj+a2bvycw4qcYjXzLawd1cDk8pb5pSYZKzSFrHYSLFDa1JyA4HwgsTJztMoB
v5Koym9GiALcnMNwz1tH6SAxwDYGS4f48yy8hRfvr2Gw571NAUA06zzFFZe8zM/zw7W49No82uZ5
WgCIu/JAh+MyxE6OJaQK9IMp6SmV/uKl5FQ7hAYxqZiTW6xIavlZFk11D/DwjmvixcIZeomoGhQ5
6aTRTBKKtYT4dfeYl1OsKFsMZQM3J4IyirF4QjF7wEYR6cnarHsQGAdTtMC2nc8G4FifWN0sYcsj
Mxzyh/KYUGcjk+IFnhutBAxUx3EShyA7dtwrEB59H6wy4fnkYdUSMR/gI+lUcI4k3Q19KCKpmYMb
OP6VeNUICSpXcMYdc6k2qjySP2hEUioCKTCvWtaadxD6+3YecE9inEReV6b4W7ja3J9twOHOyN8P
kGa+kaIHO4jGbcFHAe84ljuU8ERdses9thrMHVeEx/utSvLZr6CqQ5ga1jaQAUGGgh0RX817xLEW
Ip3i5cs1g+BquVQO2hyrSctkoB62ZxaKKy0E40Stg1CCWbuAx8UBZ1YYuQxsSgps6x3BJ6nvywOY
wAYLlRJhRhYrtSEZS7eMhwV4lUB+m6BrJ29pnwvTzpidxhl2kbMEzTk1v8QYMvkXerrlMFqQ5MQT
HYlJmdo2ykE2rQjSZRSWFbR3I8HHVv/dhSICH7iLNcSd8kjXKQVHDuUfhX63aZBSytgMpIi7YPKk
9hIsV4PiML8ZLmw6OlTdeUHAaUmBYPGwLqFzRrwCwxOxiCzwxFUX/pE0KGbKd1+LyEsuxdpt3FgT
8OgOo2lItPiufLY90TSI3UcZdI6HmLrgwPg9y0FoguDcd270ZhKBy8WuYMQJoxWNqsYbjMAEsbFk
hkYbi19PRAZwmVpnsQmZP9cxW9eiINZBoCrgVLu6lIQi6IYa9UqyzRRPtmqGlFvRD8rzU4RlDMEV
wRIEEcmZvFDBtVch0KIueNdz9Q1PB/ePTFsXEhIZD1Vxw42+pRyBMVtRH1yjGFSr55qZNLfBOmen
YDqOG5XLFaPyjDWzk76TelI+AGiT0QyThpb2u12qGgDtDMiCY66FT5o20PductNX5TL2dap3RFvO
cfwrKds/WbVUIz0Vhg45+sloEi40RqyXMP6cQUfFo+VVLWgDyUDz77CopxBBqh4JT0VTrz04dIsO
xRXVEu4vXMJ0Q0gm5Esl4EUvnBX2BkTe055mP8JSIblP2kWZG6GrW3vtX3zmrdzbG0kVKeITpFZw
d6z82QdmpGLU+MagUZGt2NABWmV9T6eQbnfEbL9ah8ckZ464YaL/x2J16CNMor0fdlhcIZ7ljjDD
fXVPWPgwoxYd+tcUDyNhSiAWmA8c3JOnIl6qu6FppGWDs4YlFOOWkG5cbF0ZPbPRALMRh9L/bU+e
W/9wYfVOa/X/NCyZW7dOunkO4AxvV5kWhzOQ80XGf2X1jO43Q3h18cU6b8Ilflk3mLY1ZgGMwGiI
GOH4zMTMxk4zotii0wSyUVsVYgArKLW7nWWO5A3pSEQ7aBlmq0bFGH0RJopQdHIPhw1icdf97ajr
5SZxVHMXeSGS27Gn44uxhXESv1kVnB0KZZOCicioP4Fw9t/M6pe/416IfMZoTYaCvBIxnODHmT+i
/ZFhoalsfhniVXn6PbJATCW6sqRRHgeipaHn7IvN2896RpHjYHk3zLK2cWcTgMCrDXO4HhEOlZ2Y
xGJwJlzWgGIynYCBtQ5+k/HHyt8ToSqTupgMW0hAqwwQsPPVzIxX9cjBBol/fpgizr1rHoUEBABj
tw+In/WprKanmdzZd0IfOVM9aXYO/tzq7Qce/UggCrFN4Iwl2dlgM9ywCYoQsnJAaGJh2EA2ISdI
hCcc/Vw1lP0WgZGB4Xasp4OGpmK1WYyQWQIAoVIc28S/2OPXMa3w9KVgKthOYoIuSMHzj6dMkmZt
O1Z1wjNHaCHUgTjGzI14fBZMIsle4IN1Do/JoQL2dP5KNTxLG5ug5WMcbf+PePcuMQEBIK0H2zdr
WTDwJuUrUZQgVxokDGX5rXOIij7kg2VFZm6C1mNm6i4TioUo4CyjVrP8oPTFpuasEIqjKwWECclK
YxQ6Df1AkPSVmRmE1eQgPlcB1VumetTpOxZaSx3ZMtvZqaqihkwp1YOF8hyASSISsKBbQdFl8oBl
nq0CRILLs0xuUsEOkeNgbPFBKwx5/TrhE08Ozi8rOFhCd7sUxwCTL+CpiCQv3cJYHsM6EPV7lkCk
qYruDCKZMmoHfoSq+WvTLxluYuMMtDfRi6TR/Jg1QOmItdB3HRSIyFDUfd72DaUUJ8wowgRablmL
zBzkEtyK8HiNiMZZQROwR0P8gp+hYyW3TU/hNxUTzic4ArFHhFtEi/9qNonMc+G8xShJb0ARBf6v
dJu/VY6UXznlVOZZvI7Tyoo00Pt0T/LNHqN03f7JW7UwapGSplJH9zUeKcwqxqllMQVGyfhfB80T
Eua3aCBuyDg0g/K/pgT1SpVSHmOmXziGqPOJr6D5b9rxeUX/x4HHTWYm7lgOQjz6AfduFerhs0xh
iRMZ8DcXrxS6H9PYQzKmnEizPN2cs0Ki4K7DldAX4xIpXhkh+JvfhUNt5nbOYC/ZSxiVMOByKXQ9
ETjUHSTQfNYbozxVADli074yhyVhhwLbTo6ETXw1s3kDG/vPjkeumIBL+DsjUSSVTQVy4khOByQt
qKYY7dRMQSv9JAX/mw2mm2TYlihdekK9RvEiR/T0Cibj5n8sndly2+ayhZ8IVSBm3FKiRtuSPCiy
b1jeTgwSIOYZT3++1TwXO7WTOBIJ/EP36jUolm32OYxxMMGr5sKGxMYBa58e/X/HI3KPjAKQkTPc
D44/l7jo6HZpdemo2dQ4T4vtT5mlEB5MrMGPUQBCyUKaUuqwGSlLsWiFJ2Lqp+zEJUll4L8kzKzo
+yn7e1xBH3OuqbtTCAGPi+sNT1AGRT3K/sKNMb3r8R2WHVIEtuYuIGpBy3PNRZnqUAJccm5Hpy13
+/AUUoxU5OAQh/JzBtH+nGCxjOoUkldd+aA7fDHZcmVY0mD4aeueijbB9/WT0TvJMqQVGzRw4CN+
gUrYA4dxQ09V9qs6ha+ps6wuI54V3cx6jCcJe3g8uAhmOS1L2ZQnzhbYcJOZFAwNndjS1uTbHN9p
YV5yDbVM6jtHUiXtpjc06czkkD081Mp5h6yb3S4VQX3dXMVfqHih3SClAfE8VpgP8ZsKiW3EUTHt
sQWPYaXHPoUqzyiO8iiri+Eg4qcZ9STIUcAZuV6SHAELZCL/schjoD+q1iynYMVUA3JSLkcAJYpg
R8VYIAm/haFLqVmi8u030TdLnO3NSdKfZRcQqF1foCNElP80uNxPbvbPvAXAAtDl9za7MJCLcgCq
6I6vQR/7wfoBW5CEzQzzrZWvF1oxSu/A42QlQJaac0VijCpYtCNWDh7YB54lO+ACSGvBDdmFEzMX
PhisKNaV8I5m/syZSEGLHxF/bNEjUdhcttOBi7yCjz3SI4pvThORfMwbRY85lQKArA9e6zpQ5Y/R
mTIEYnJd8h9PsfPSlfFHn+KO6FbULmTehiuUDhDvpIbbFOHmdFeedQuBt66Ahsy4vLd+bsN3m67O
HRyHJOTz04iCZLG2sdWDLJRt6gJk8eJ6nPju7nQC81cSc7BjuiFP4gf08l/dFPvK5IQ6N5i0tEOZ
x7n58p6kzAwkIuyrJsVOl9pujZ1vEd3y8+yic1kogoqQosyZ3L80HgiMdATTbiiKGiIRSurTfj2d
PAZGnHKkYT5dI610wVThMt40TvsLXtnxAWdsOt2Lql85pHEyQi5TjEQ9IpNkE/zto7X5THXKACni
0RU18jGHk/XmlNQl1kVYwlrmpsBj9W0WFlyf2ZYFKusruEaQ1Mx6lE9wiS+cwm2CSVYCHTc+RmTc
NKzmzOcZ2nWccdeXexvZ0pSBXpTIkTNvvfzEA7Z+nrqzd79zJkJSUsizfYLxSN314586qLh8Jgre
WRbkpvlxG6oimjUuiD8mcOLYYwLVcV/pTg1qoCXLIp8xns8Yze9rV30ANs8c7yBt+PtACNPyUjSI
UffdjZ9Jc6tsW/spNmyE3ED7DcvHcnXwSYD/RZypzt9gDPG94CFQN+efTYlFKRHe+unZuekDZjNM
oMHRfposhQqX4XOso8XjsJoX/ZpJRdwgutLGW8QTmkZoZfylAxWXQVgwnI7IXMHXGHML+2ETJ7hS
9yuYc9JDZhBJ95r+Y0Zv8g2rcfi8lRkfHsXo7vnv+L7sapim0D2YsZopKJXP5vBb+wwkNltkcYLF
856wRkrc4/g2rwxzDIBiuIUzn2CneQLVlJgTmSP2Rij7TKJGfhKfWaIyc23L4dc6I9/vHBe0KWNz
7WoYfP8lvetDdArs1fhYrvJO0nPytepTYMcJYMXMfI39RLYxME2sLts9fibgklNA30JTBozqAQkA
aRKeEs4qVJGIpB6MAX79oCddowowAalhMQPRY3QG6dhGdqSCfFg+ZEehud+VFxSn0CkAQ+nASKDg
LzNqa4hkrGIfJZoeGj1ZLKttjBdOT+NA2kVQt/kh1kQGIPhpC3mZnVKmqlItlMJ3GofI5HDXQtzU
djw5u90t7h9P/58ByUYkiyiWKVUXc4Y6YogwIP3XiZvd/tRDOYf5BKxJRY6chOK26CHay0K9ICbl
Ni8QZ1FJ4PhZ3R6Lsr3xuGkfp5TnVHnsGONNoZRBQCgTBb+CG1J3wpHRL2EczwZM2K7ILrjJtVDS
OfzozlmPFwfVOwFEznOluMv1HgHGv8GJzRy3Aumnu+M6/Id90kZFxhshKZVhMQytJBwpcXuA/boB
5jCiVEJ+AO5HuNBY3SZHLLPUhKxPurGSUDA1g4Jv8QsXJgHgwFzvCifvkZNSDAKnGqSSlKw5Q1OQ
9lDjQYG8dgfzDCkq2Lh5LwARfLvqdiSa4RbtUf1Er8GvcDHnQhqO0krepAbQ0+t8XNvFVNb8c4BH
GWy/llKyZH8ElUgGYQ01TWcGpS9Shb/XL7HTrWK9irlsaQgQYAwOJQ2+sN4Q3waypeTHOyY2yN+b
P9koWJhahy4Fh/IUBj/wxqvF0iRYq5lK3fpP1AHu7XYWN6bnmp1Wjt7YAWgOPBV9KfcKDSNnICEO
JiGrxH3N5beKZu3VkFgf6fltPAo+pTHCkhTHLhkVGNndTXhp2sVW7SBWYWK0o3zgUQHea0PNsjnq
scRhygmwFMJzTzCLa7Xh3AlvZR4Q8i46UDSgclohmUnsXcrOeAZhnebqj1FWzLCUuRYjP8FU1mnP
O0RGM5FDD0WKECPJwva5aI/YxsIWB7O560AbcOeDG99t40cccq96A+Y5wan/yGtAj6mTgVuavQxx
EtxMafZRJPRxRufHxAjWZcNplhAeD+uS5Y1wHOcB3jfZkagvS1XHUsCiimUmEqkJ0+vboEI/TSW3
qE3AqSJP34tkGZiZcYCuUPE0a28IjWXw+bY1c/strmhMO9S4tyhhU6S6nPG+cRWw3jpg4UdNnAZf
nQFgiVE7OUjIqa9cUSK9IPrTfUxWaiTb7yQAuU1QX84tHx8WFpo/CYCzlmq9diY0LRGrt3Op6XNk
NTeTcvcmXIhA7YEJiimi018o4tI1/onVDDrhmeNgOw7RPUGiITagTGCmU/RpM+5EWf6pLHh2CJEs
Uon4ungb7RAouxjSzT/IRZhfNnmtVch2H2KBtRZumHvgotuIbjl2cQOATXa+yWW4zmuk5OgQKswj
vT7eccNtunOiQ+6e3406wbFT34VTHR2itFdwj0f4WpJSk/Ulzn8kXMS3kC9gJCvIeVqZ9WQL388Q
g3p04aJWre5wfgxBfuQLF9DNN2Rt+C0mqIuG5vy+eIQp+h6jWJ9++w4ixU/xHrOS3QSngNNv2pIv
vpreIAW+yXegu11Gk3pad81hOHY/YmLMb5s0g7S9Y7pTXRijViBmgIXu45qj4YN8Ex+6lUXlTAPH
/ezDa9KsBySdOQbGrI9UawTFYFbAeAFAjqErbOcFE1R4LeO9PbaqoZOuqCO/QW0ANkvajD7uhC80
fHiVb6eWYNDVe7MYyWBYvLcE521YMNPbBLi3H+CwHuDojfdOw2nXbbQok0u50gcAFaKXo1wEMfGZ
SeeBRnoTNwtw83ifj3xjm3i7F5LNqYaW/21L5d0ACHuU5wQ/Q5DBvso5txvI5kX401G0t0tPjLPb
0ylaPROcwcpMKDALa42GD1GLgPRxo+rc9Tko5879/xKy2zArYJrxW4suQHPLoC1aacZVJ8VLDxRK
is1bsvLD+yM3mAvbE4YHZ2C9BcSebaifzymopcOQ0hXJyq34C9oFhpSpIVesX7/FtsrJeWHFwqgx
O5WIBnOeHiR3ir3lOL8QWsGFn+oZDKwS0zcYKSiLYBsQWXXopwGcKWSURoLr9IDajB6Quax5Rc4Z
fxd07NbALfFZhl/4nYQWnJm78PwNYREMLZnewjnhwtLumlsYI7NUG6QDuF+FKf2DsgJRlht671Q0
ye2cqJ+bZRelzdl7VCJANQwDMqDOuDqv5c2lb+l24jX5wDCBqFDkmE/18TyATRU7FOR9idMzEhlk
JAyVmYD1okMUcXka9uswhQ9rHPmHetdiDSzBBuay5X/AunC8ACBm6dJO35EZ+y/BhOV4MtL+BjRH
VNDapsrQEtuvFgcoGaWOOulKyLjOA5f23/K2wEa57VivFG5sLheDzhuj0xibAGMjB5Ch/g+K+vM8
iuDc7O76s7e8IpsMcVnkFU7HJno1BLUPOA7hz7DyQo5Wu2YqGccJHa/Dni7iuJ7fd9O8HYD3oUkJ
JlbXOo8ETiQOewLjKKgSM47YOIkzKTujWpam9apEnWdMA7ogqm4nf+xAKnFq7GuO2RmZH08EZApb
R5zAxExmllOAXKghHDi1Jwt7rkCm3GM/PQhZrpUlS8oL0QzQ/D9DnwwObgwYaeN7C9Ode7DgpKX6
dGo25DTwySq8Eh+TTOqozULQCJNDXxBU4fZckKNgrpR1yu3lNNgDzQi2Y/3pWNURQDwBtJQN9/lG
RR6LF7Ht2PBFU2yvERonf3/E2uHR2BdxTskQz9gC1htIXCjxXCGeWMiRlTAHwQs2og/wROH2QABr
SigaIv4FxpeMg7X6E2R+D+p0iL5h0JGNznM2gHZiXveEwJbqVjF85hPhxpAogBcKAiCMiVBIc5q1
lHqTRw3oK3cPV1fQGaP/+Bq9SKs3qkArGdu76edOSdy5KhGDxjt5WsroxdRzNa/lQVk9jDRhsGfV
9up4NOlO1SAOo7M+dD5Xvg2cOlgLhylCYlWBavGesXcrsGzyaCaKjJ8/x4DGFhRLF8kICx1kQq4K
IgNOKer8X9PGzIhJOD0WVQHMwe23gSnmDZMpa3iqzi+Y5X10WNnV8JBvffLa7qaS7yneuHPhZ1pS
UXzCQr7KaFKyjusuUJyNRSBoaEttwhkltDx11nt3ZP6ZiLaQPsgb0D1SkMnC6WqKS72Gr+fvDA8z
eE3MnFfV96v4PtqOCKTpnDDzxvuWjTlHFHqWcDTjmEkzzJJjzL69lmnwfBRAaNalMKxfS2/Hvnao
iufL6FEfl8WeTOq3KhyLZxPOVaUDYpuBf2BBOHuirJ9wJjcnpkQGOf3A6upL3ElbddbjHD4n0Czg
00EGV9YX1PfwmQQEmtIIoIM+GptqUEyMH7Fq5QPOBEOBhsgTBlTIdAVmUgJYyZfBNsVQCyPaLOwt
DSWDXHQu2dFsA6dQDGvkfhNSMHVz/iIvDw4vjnfjlNZeRaIv3H5bgdzQHzEzWrLpOC4SgGFYSPwi
jHRZ3EguHicwhoQYGUZrwsWKnr3sg2vfMB8qbisfug3s5/Qup/FnVo8Hm8f4ZZ7Vz2lelXGaP11R
MyXZwJ/6rlRqWnxOzo7WL1bO0TbXIVKepLtJj81/yGx+GdV8mue3zuFJ2kaeTzClldNbkW4IUEQL
6Av9qWDC3FAy4v/C8sYkAQWZem9nKv90iMc60lLnFudck+ICg+mI1Ox44rlZJlPXogtBOgMzl5U/
d6wKQy+QkookQF8YhHzRBIYwBCwx3B3FSSw0wZYXVFxmER2c5sGNedoZzeFNkLIsPQKO9iMB44di
xzAR2wYeMEMLXviRhoj2CSc/+LWU/EVC7YS1zhWhg0RjrlwlxXRHvSsYTQcWGwcsw6XgmX0GJvCB
/25kI0JsJyC8gJ7cb+Gz41d/fAKYGcMvP3wJHP2FR7S1SX4gbvZLMaIpwu319RIswT8oMcFpZNtJ
l8VgmYGPOeK4NcM0E3MYLzMC8TtDdcMtHpshT4NynEx3KFFHQl3y4LlPogbT1XC58ZH4w2oJH4OG
ZyAbsWsBdYl2dwn5Jcxmu//1RJzwqLVO1ij5YmRgHfhZDrBr5yC+pJ/cdek+TNeau8z33cb/1J1Z
5CsLpty3Ew40+2nGqJZnmQVQ4+oV688iyUFJp2751dez/5I1rH64AUzwpNHG3LV+JskPYF6+A5Ak
ZajII7EEyh4DfdJyg4d6VQN3EvpbU3BBnKI4uvB4kxx0YpLGr9MUpqq4ozcveF5x9zqQSqkJDKYa
wMuoLUJaXZ9PB4DPSJAFgEUFM59DnIvu3hBY7AzoDv36GH9eYeliccvO6Nr+8srpfCzucoUOBGXb
3Z8vZXzP9gzODwn7i1KlyLk2zjNDSWK9Kf/PVBUawteZXoBYc1nyeSU6dt2PRdG9U7S/GEWnz6Lz
F9RO529orVsqMLX0SklMJpulMvNr+Ltr4NVRLsmdDLJbSiB3ABimSFTkBCG5hpajTz09BAv/Fv48
ucpKtpxbwbEYsb6wiaDOuhQ7c6yTKsbGxeg38Eh5wjtAdnfmMr8SkSU7uQxlto+PPi7ALTd1TijI
fRzM2DRwNy8jBNpsTO528e6E2DqMx5vqwqamvk859E5gUQ44KPSt3nl2O/R84EBnABj3+Ntrnebp
XLY7BHHc7ai1OfawrbnrYa/vK6zFODV5sxXK2r20mWAcd3Fdf91GXnVHRwbORCVjQYfVxEFRF5N7
MNSPp+s+jPlWfgOVi/Ac4Ha/JrV6NAxmh7juQNCDIfhRxHrOHgvWZiMM++s7G1f3F27/umSUdpXV
xgwN6jB7IcDmX7cBLip2AqSc4cNCXsyzDDZF9EpQMUBcGG/f5o7hE9ZGd0pXMPiln3jduNs1Xyof
LQk0blRkjKMh5aAsEcfG2DYZMcLMyxBVBhR1CTzIfetxgJXHY8ighF5PimHmTX+TZABJmz7mRc50
kpO7KWEAGEHKwE7TqyPbcJKhQESk3WFHduA9GlFQ0aN0RCFliByE6mjk4Q3sQlLQphsI+k1/y9UQ
QEhg5piHn6Yx7B9DR9LOY5E+aaKKsAU0s+MxZFK4V1R9tANMFzZG149+BPBXnyPeVDEtvxXlNlfV
b0hYA2oG1p9lQmXz8b0LqJjFfzVTJW4rPl2k7bryA4EH1kfy9hojr8ZMrWn0kYzMiiHMT1zl0Oad
Zwd38EfmJ0AVO+TRk8yIpwJI4uw7IwiOP952m9wVkbKFgBf9mUGsE9L/2LU71TzUqlXZtsCAQACE
KRXf3O24FhyfsFNdaTFv6Ma4Kn7Z1W/bcDw/xh6+WNS/HEU4tsBHqpD/Eh3ABTwF7mvQEl8HpQrv
pJMTxrc5mSlPwYkmrR6P5w/O7leSAemdYEMhq+whp1h8bTJAAnJdHI/iEN49N3GBdo3/B+O2eZyI
s3nwYRHeThReHUlVz7E41k1Zr/cwbwLIqwyU5hkYzw7tyuVs8+bVg8taZIecKdfT5lCGZ0Myv5jZ
XY+Nzw2MtH+7C3hvs+ACVG0tvMtlRw7cEG/XfAQDFhUB/GZ+nWbVCKVxMl5AvQNWzVetLJcH6jdU
nTW6/BecAYYnypgJs8ORWtfBWCUpeHl9DW8eHjZPrwVBCbYdzkaxG/zo8R1nwEdZf1WX+SPgGad2
/9WUpb5IsbpwzCEzW6jRUPQh9sfA1QNG8bvov7lBYG9lnwa/Njo1xs1VHZDpeGpwLehGMiv3cPmo
C3b8vm3kcfrgqs3Nmg34IpS4k+ydlq2I2+J7VmmbYqJyqAc4IXFONeV7DALgYftPUwF8RNsGpjqV
4AEOM6UncnsIDjqyeAipWd4Jkp4/T3nk/i4opAwoDRxTBUsKlqfJnVkp9gXzsj4EBukbv/1mgsXj
gu8f9k8MXhgTcklIoy1tPO7AZFrgAzCwd2jDamwW79BRIohJHKwNchwwflwgUh+w4CWPvOzFX53H
C9RtIDfze0LcvwHFbVMp7x1Y9aFoz3KOrTcMi+AiVI9uSPx5TZg4QhLJiylZspJjR6QIKHosaxdm
crBKs7HQbm0u1Xi3CO4MIu9tStSlClukZ778BC3Fwe7IdM71xWjAe5CKjHcQN8xTOigsOSXSvX9k
I7sDf8Ju677kT7gZWRVJyn3pnGm5QEEwvxEgFFQsej90o5vSb1+JQOSJHGX/5MqpD+osmHNFIdmk
UAuVNNzA4N1fdsfhOWkJ4nErDhGaSgAPB65tShzgXbWF/IAqYnqlzJiggZWGUnr63G+n+n9JpyUX
HDOOYCyFAsnjAgqihyBgTpYMFHPJsi6/goZxr7GETb8DSoQBMHE+4er5dziszj8hkfNqs/SzK9TU
QK4aU4GDCj+bAZMIR7EH/gjrXx496jFp0cPXnjH1o7uVGEPJ+VWpEhYcYUXzdTJa8nYKJ0m+cKFt
ABysW4azUCHVosw7mS4E/HRSTCTr1M49czym1HZotwjGKlyA0p579d44QoUnujP3z0RP1Z+OXD9Q
wDJSI5QLPOd0ACWQtRu2VFC03/swyX7ru3V4Rd6fQg8TQPF8yLHhmjq10KZkkmM3G1OUe4PocLtD
Ny9LXKOy77idGTdCdAHgrM+gbMYVhdLyHdpi+1INFHhxrR4OqsJt3A7hwD7EQImOHH59w8Anx8o7
99g9xY7zx9JMjR3ltvRbPjluZqY4Oczik0BLrk+C78XAFUUzxsMD1PmHkID58zUZfFBvO3LJ9jB6
Dp2LzpTjnvM9WNP0IZYCPSaoA5oXazNnGLD3c44EZsvn5+S4Y78yYvR/BoomKo+g7OuJkkkEFeOB
zlzKB3jpCXUcamur0+3XQXcDwh9wtfWTKT2E0G/u52ZKPkMo9UswpYYLKou+bhtf9ZyGO9pIZ/cc
FNRTdGsca5Btflc1EVtxGVUJuB1NIF5B7j6qsJd2yGaXSuRf0eM3qQ9MUQON5q8VFn2us6duB9kU
WirMhb2ECQVXYDiDqCqjeNvab8k0AlUyrz8kanDnKCKDFOSSVwItgmA51EsDVGc70WhUILU3osIn
YF/ycoAWxhoP6U/qUQDLiATc9S/cPwKHgwK7YIChA5nZgHghVZLV8RDUGYSX7CKC5jeYhqdfGu5a
8tsZoOfMFtrgojDB5A8StwCWweSKLOVZpUDRUQph7uXeQaIYb6s2PJMRDhs/252xBY9KmuaTWEsi
6SnuHuUTo2BxAPoTIQMzNxPuQNz8Ao/7JsTZkqIrW2BJE3nD+YwgwwBLVOHuB++CDt2iCLYVT8sk
ypv3ucGWiWPyK3m6HC8hx8t8lhKyFn9Zw9gJr7eD2wzJvWoVE5X2AQxn8z25mqkj1G7vQ6/xn6d0
xGA+5RMy44Sv0Y83DijWt5gtieEWRCIXaMcN+Vb+4pZ7xJ/4ACpfOBtQhqHgppjk6sNDjO8tpW1S
4RCWrBpCAAtRI/jPBTXUpx7fTA2/a1eNCGmOhzEL/jumA12TOhLiEwhPK4WtnBLw9SJ4MvOMucEi
qUAvjp5Cu2qmkOt3Lv4KRcYd5XKA4GYHb5Ifzk8RjDPXOvFxE4bCylXi1sBNoQ/fuKpqXmtAjIFx
5KnCqUKB2iBn0Pm31Er1urzBJ4cKNInHAUYPo5U3A5xGvxSB0Zui1oJRwFSo/lsCSmv1I0nrP6M6
RYBXsX3MNgqj0neUp0ynK4YKSrDha3HfbBzo5hOSRPQNmodbMHKPDbd74Q+JB5L5vNBuO4+HlE/G
yJUhgckUJEtDEPDddRnq9IOUfXBiWZdMwOYEuw1SuVmIOVB1wKiTSSbf0Pzi+zh8dHOmIkfyqsT6
gJIO80seMlceosB1TrGFUSs+YkHjnL/pMyV+81oUy49E1Dup2fsUSAQpPOd0KycOtpALuK5JrDnA
6ZvCRs+x3KPqtKeTETUOaxBXCcbilF2oHTY74hnUuwqFyhwul3kQJ/REnaRgx1kzJAMFAo+p6C7N
dzdNmyFXZNJiE3e7mxKnGp/tvoJfRMMohTvVajIDvs00JFIcY6vEOD3nne6mY7y/+Ml7yU0s6xEc
bq8Rtukwt/vYqyGlFh+wCMGg5BnWxxw1s8dpYs9AIp0rLB9xB/eekuVAXsn/5Bcw6HnqY04EE+Ib
YmM7A9mWbh/uKIZpqEUc7EKM/uNyOkMno/TBswS4uRMcKD0zfEbEwZHe6QosP3sccBaqZVotGK3e
F5upJHgAYKX315e2NEGmsu8CKrspBKehkH3huwjNZH1myYhadmKmZcYT2Y7aLKXYKMBzRQPpNTw2
XrtlE7k5yMbxgiFQuztGjLUk3VOeKr3adi/MOsNk476PKLsCJ32XHKZOg0/9iIxvxl5DDgVFdSF/
8YyHiVFmZDrnnmCcnhFxKzXYGkPDf7Ox6V/p0Wlxudwzhn2HjckJQBYNyCbmYlxSh4BbNQxB2bhG
xslCY5QOBJSduA03I2tXQFuKoAhGxmSjyhauD3tYUF+1ZOGOg1ywQFBZueAW5JAAmUrTrD8eCB/r
O0I7FOzEwI753awF2hFQZfnfgKjE0E+tTBQ5c1xRe815x3axHOyuWl3glcN84r30mB8x4xcpQJQp
gX9y4dfmsdhg8+8p8+9JBE+l1nGDFOguiHiHcAQoqFrRkxbOp+SsAm/HKiEKBzz6pLuFBIfCh4sr
ssR8BPBAb3U6HAe/u4lk8sQzSq69Ml+jzy/5vo284qatkhcI02wBvX630hL1SBIBkHV9KLsTp5R5
7MrMPhhZQsZVUHoSavHj+4QfD1arWf5obZnN7GkWaBH080DpcOuM2EAilhuO3if8xKsz38C5yiDw
xjQy9Xp6SVLWKSlEP7tWRW6I4oX9KydPvgzsUYhvdQSe4Kb8DP3jYtXRyeKrxLDpUsZbnWhbVunb
lBlHy+kL5lgMmUruuxxqzJeJlvmR4Aq4RFNOtyt01fhDuczhN71O+rTvzMNoGjsKw0qk227gS8Z8
Ht439dWOYQnONcxwc/GY0S1CeQSXYcoEi4S9XAQ00WbFV3Xj/855+S6PkSKkfJPxK0SVBHg9bf4x
KpoZssj5WuJeZ6AEmM5UrQUNDJXn6SFO5x+VgwQkqeEy9FM8HNBc3uKVnu5jGWbiKxsywmR2QhA5
caHL8upXzrs1oW6KUWDIvYnozYgTmn7pWKwHwaaiTvVESujzbXg6dOAmVMRcIEUkvVzGmkP0wsKv
obzVrKlPHGUUzdRgdTq+mcePhZVkmw6gBetPU1DXQtXoJCr6ced9k+PPFFHNWoIZxojnq5v8pQr/
nTqqwoJLm4fNxr56wcjrAac4Oj+pKIsMJIXgaQwB6WCTWaQgZewpjm6jQs+9+hV7eQ5LDcdA7Mnm
gElVhNJIILgtQJthS3D+uigf3RSKlrlw6CS8x9fw1zV6aOKWiUZyqo798M3WedBMulFgO9Qtn82y
GuGsUzdQsuKcpYtX68/+X7GDRIMD9LX9lz9EchzxM4X6hmkHS8uInKjRqflgzEPyZJo7M5C5FvXE
X7G/ea4edRNjGzTuIjMFfKgLm/93XC0O9DKGFBY06ovnomzXuZP5K6MDTE8ARznDMOoDFebLfaDO
OeNYy3TDDTH3y+Iy/9b7KGJV7SXt7m+foYqJS20DX4LCHeaBsj6aT3zJ0+qDW/iXjJBeHm7Wx5/Q
pPwyBYHWOYQkjHoA8CnMcR9DzIRojoXad0xaL3ieW+tVk3pBlBzlu3W4RcVhiCnGJxv52TGG7oiK
S+tKGV1uvcPD2gP9SbzqdcI5NGiJST5D28qq+FOiECZLJ7cBwZUwNqXvyXgsCLYO5WkBQr4xgCk6
1jAZdiBPORfCJpKGLkW/57ER37kybwdY3or+i6FvxYANEc7P+AtpN5mNmHtWS7yCqq4Q8SfcqW5W
/JFRyJ4/i2KSNLAVuwvbJot41yLfG+cmcLF3N28Bxt7f84Cud4mz+M4hFQuWMMiqUDou1D+Vy7c3
DXm2MNToz/AyFc+Ry7uQWRZznh2AI7X+P+5Khg3CnzdElf3dhgWILFQBT5mGyxEDmbR/fy2F/PGt
HuiYYa7eW4MYlKRjaDY+d3wH7YpsEjdRlpi6c/uYhnoTTIQ4HFfujoMPHS8DMPm2kmj0N1hIrVto
RI2vvFL7u/P8Ye6PmBdD8E31BnOUMvVZ6abAXpzk4qGnmuvO8JYZ99/EZ6xi9Er7gp9uF2wKS3bP
gfhK6tb3oAd1ADO4POxOubevYkDP3qWgi2iWzjflyjraVIRhkdLhPVYg279jPKkeETsqMvwo6uB5
Fgu/30i9fTTd4oFAQRXgYOQI3uYYtidG/AX+pgMfvDw32215mlO2SuK/EEuOOxrNBuro5FBO+cM5
CohS7KmWNeG+XsxH+NiBUlvPOg60MsE4eKijjC5PksfHmoYCqtJTxhd8JoCZufspBPVtAlyMJe7Q
je+99sP8P3eDzYbQfX2UH79JmBMFmgQd213c7KxC9N0i4nAXymRXWbVZxRheuRHuojtcytuECTdI
CiUCPPyBbyRwH7KkYZ4KlqwHSi1eGv+4Y6P6SA1F7zAjbzMf0fDeJuAE3tQ7LqzAQ2CVcGwoMYTv
/DfrF0REdP6TfviEGDHlixQztMwjo9jeD74yAWVFNGTh4t9wZS70UFyofso/Th2BpbDm6LdWYuSb
P0nKW8GsCKBMzi+9vIivmqGOe35S52eAqzMjC8AB4v8ThTg245D7JSdH5JZh3l+nglIU1T6fsM0/
+2cd3Et1D2PzehtZ6AJpbaxTbk9wHqjvnaYHWvIFgTF35nwJtkZrB+vWxzz3MPjzqzuOCsqkCA68
40+7eSZUNNWiw9FP34OZ+fk5eNJM2xR5bg3GmSiCqYj4VcWZj1n7bIZgYqcrFQmyGzsaFRl6KNd7
y08MGiafLRmNWbtfgrk6mJldfuQq2ypFsTTCu+gbAMm4XbCIR0zuklQM8fMvrJ+XSoGiRQxeWKJ4
vnrG1QBXMVzCWxHwq5bjb0qBUqZBPF3Zpvob+yfb8fMKJoPuQqnC4bvFYl5O81u/kRoHjXcfDxyH
dssGyhix6aGLSdXBeL86u6q6/DvxsIyBgUsjzZeUgjXXtKI9zPyYquyDKRnQUmxApvpSVgKyDULj
NnnJCOM3NFI3ouVluPiPGEXHn+CE5lKAOkR77KsT13oO9Ncx8io6yghrrTEJgJwaUbBY/1mU6gIz
AqPFoGM3oYETBdedfoAmgOVp6t6nrFvjAAcOxbpBqi5DfvnkEPX2KzshfKoVjSRWtrVjcjMxATqa
cPzNIXx+mpCj5freWyxQkdIxbYmf2rnfpoonWBG2xll8fJl8YG9n4x/RS8x35nRoi9XxVXNSvDxl
fcRXbZrt1b0I51jUuiDlMZLs9WZaVJvzVXEdQt6qbKd6YTCHIC0hp8iAejM7MOXgHHAiXElhEw1x
LyUvldqblAY9gkxqYaot7CbJ4pAlZ3+CKhVwZYS67Qe5Gak48T0+IHpEfhcb2RoMnhq74oybZIta
Qu7bahHhneL52GAB41FcQIb2bxAZUQUGYPdVdvkuGUE+Judnq9j7HWIOGda4o2Y/OzYmhnkE+DC9
wpuRvgQBTZHQQWeDd7kng/d+ynp4sF1IESzvr4E/fdV3YCaK+oohlTgcGBEgLuYaIzAUCAfPcxBj
priW8Wfc/wRTkLljOSWxgBExDIO0+O7iQtqf4ds7LlFvyZnSuxuOcD6r0GzvKIHYlx4Ej723dIz2
+b7i1dcL6DYtI1a35vlWL+pBJaGx/t0Kod5nksI1B8bhDDcw1yhTqc0DCBlQgBBFgARJd5tBCpCC
jcJCrVC9QK3JzuX3gCV1Jw8QEmH/y/tjc8//lk8BtqBcLEn2yOz4SpauFExYb/l3WWdpVm0TL/RX
lOjcMjPBMOSDhF9BEpnJQ2g0ARjgzY9ix7Yxs8UrhHXEQ0q3kBRQNlNIuAH7Af+8HadsT376vTuB
/524CetVrDAldVTyt7SYPtMEuikH4rLFXzdn/htEc7zPKVr3p/QMtjiSecjRcKIP0AWJSFxH1c+p
RSZghhbQi7DBkZjQ0+3cy6NvndhEgR/dWo5SwU6IXeqOeOV5+SMLjt4BqDik3h2Ym88jfLmgXd5w
/0GjRceVYj2jew2Sxg8TdCU+r0LGhAnjiFvAdaAOr6TqgLF+sLjVAAY1KpAc+oWkuNsqtgqpJbTT
AipG4EyFZyPE5NlHDhoN6HaEG4CjQIpjMilipIl6oypdmeWnNHdHoISro9YqXpMwkoB+VHsQ3/Tt
2Y34NPXKmsHA8SUGJHPQG9KOMRQDoXNc8NNiIEWro2AiXIuvKWAETfUHEndW0AUqR97xUv2KqpMI
b1wgxUGKY4aOqFBNb41WmBqqY85saxSW+HDIQXHwj+Y/ZxFBfCHMFEkrg3ZFKQCFH3IKJjqjf7Ng
zfDGPg571BHPJDSCGap9M75BgU3cAUNPhsopV6Pcs2qZrZhHjbm7gVeh3C00/NdLdgcAXQBiCL9n
2D3ZSbwydb6ZYio1aYQSLM4o7y7mjEmaFT7phV6UzcfjJgwUZ1MuPrQsr8YbmXLeW64OvXa4NeeY
eZ4b0tJzIZyo4ejfCpHU64mZDgESvP0zPQ+jq+swr8rhSTuvyczjG4C/CZnimA2/ir6ThVAY7Dbv
AJACrAY7cQ6dkE9NzwvQyMUjS7ltTD87IKT7jehCkPRcFnOEGXNl+bCySO1gQCkbRigX7IL58mLR
0mTtUWY3ag13GGVh6P6AXzsNl6JsjIRIxUNMnkgwjs9ZFGSYfq1ZORygvoUPscBOTF1o5ZUolxUI
dmfQzFvZ5VVKuezKE1HSkqjAN8RFD29KDdUDka+FDMEwRUE1spLnUmUBhz3StUM9cl9CWeKxNygh
x+O/GcLfImT/QWr/V4yGBCrWfdJQKpCqdPkkr2GQEN69KGgw/Xl3mtEBbSPMwvsX0qQC4qv1B1yB
H1rhct5zmV5BgBBSD6VKCVABwhKGsi1gIioJFzvsolBuKvVrVoA8eTDmQlHnE1CBPgWdNF4iowt4
0xBkk5TdK3Gg7iKkxG/9yOIzYXG2HX/WI1u6WPznDGWANEp/zeuANohJlmoW2NnMklmIfQPrGi09
oZTI+dUn4Uwis0uZjJAmjPwfU13YiJpQ8OqnUtNVk3YE/RsV+ldGnwWdDOfVfGIunRSAl7CLZlcP
V9S5a1yYs/y2htNOG2cEWRJf+IqMldPbpuN1o0qCBo+sXGYucwMVYmYzwB5ZkJKE+s3q7aKQCQGp
Bt6zm/pKpwGa0Kgxc3kx7hFvuwoQbIYacjinHdFrcryICx6WhOB5xpLOyZqUSbKVgv2JG9w54c/X
NdqbrcZhPjMKkoxzwPX+btf29zH75G7rhXXjuwG6Q+PncwWKYy1CrAEukCn4kOQuIE5efoO0fYDw
wFKHEwBMwjqumJZtAcSmLqbv8BkYATJTUYUcSHZQZS3e1a58nWduQAyYIMFWR3AjG2qBv8Nd5Ld1
F1oJwL36jKrHH9l++YA4DU4L3QeVkJFJeDRUBKhqDXfs2GTyd7AZiLmeGlRvnVBAeyvizoqcfP1r
XfUQTdN+6WKuY2W4aoKTJVBGYc0drvGwEowVOa8GDdw7s3oGZxm/IyaUicRFPaidfuoOml6/sOpc
Pbx+4ilkPcGFmaeRU8LC6UN2Gl0h/7Ii4GmJDmfXaeGxAWyrinJcot3SZOft7TzGnOMNj2OiOiD0
wZOkGXEyTrpL/aeaok+5S7VPSt93IU79jn7M6LwYk6JCKZizyMhxBuCbUy7IvCmIv2BLJvwm6JPc
YFvMD5gIzurrIb6rl/IMgCkwgyBGLDWJsO0pAmUvGqPgZjZbHMQc6HK+t/nEuSGvbxq4L6nO/jqe
TEJaUXQLxJKU5JhzgI+n3BlVx0LXUjkNY7i/uNMXX9JjxyXDvKj/ZCnCuY4MHM5+zhozpZ4bydZ8
gR8y2ITQVuzAnrRtYFN89C0WTdaE9BeYvtqFfd5+PmONxXPW2EjSG6ZqDWuLK+1YhgV5BAv/7MRg
Da+BAZ0SnxEDjOkI+uK6fBl3zNMvU8QyzGPOMWZlNPwnpohuRQeR+MtvGTK2bkbxm52YngCXCWjy
UwZkQUJxZ7A304H+gOMMbWstBEdszcRjzXBsspbkjjVDjuGg53jOMFPgPTGzOXnMTC8Dh4toa/VG
VaUXOaf1n2swfMcPY3Wh7mHFlBQQmUNNQWHHPRhpcCEkMCDGV+k0QAA9nh1cAujbshjES8E0MnhL
IDe7HsCusCJe4kff84RBu7gKmE4OvIcgCD/54XG9HcIwvsnwzzXDVjj2jBDE4sWOjtp4pZmfU96k
PCmyAUChI2MCVizbwCzJNwIodBuYt0+/AJZA0HqxLCAb0faFTaR0i+2ALqmnKRn1hbtKwAsu26BE
DF3o8qR15jjHGwKIkmGWvpoh/VgFfnheW9L9s74RVvIdMNGw4szeiaASC+2ZL6dfDIgohs8sSpto
WfaOym/j1Zr3JYxuEI3/4+m8lttGl659RagCkXmqHCxZkmVb9gnKY2+BAIhAZODq/2c1v/pPds2e
sSUSeEP36hUwcYp3DC6km3UjmCIOAaVMrjkj+gHa65RTyRLyCSHhKPBjzwqvdbGYdTPjABTIOorc
I811U4G+Ih/ilQdYfirc0XgwNpGVi25T4KM9Oc2/8YhhGOyYelk+llNJF3fEjQ8/tvOqob4XMwZQ
e+CpMH9jwNMzq3E9d/+NuoOQyVX3xJL9zALVGLLEdqEIkCRG9dyzADRLgmGLIkFZ6bNIvzICbXzZ
3ofpvwYvcHt+uNtiJtBBJJHRAefhd3cUDO3zYRYAuKXBNj3+EvTWmbHlGvlCyzUWdIgXLQNtLcag
kjTgBN9eOZnOxHkx7WDaFfDy/g9ZLuFZGUw/d1RHjdwPiVYTBQxNjDV81sfLyDEplHGb8hfcI3d6
k/0sUvhaVqT6aBQvC9EdNAOLheJRxbB7IxYGXm6vpls+q0U05mDESTGCegvbKI58qAr4NkoMCnmL
kZ8d80vWHq+wDk4uiphrZitYORbhyllBHXiinpfBs6khdN/jba/1yeYsW56J2oC4ZS0nAwMiRh2u
TKp5HghSyFblzpT5mjKVqTmgYsdw+ikP+Xc1HtHE9NGRwA0GJOfz2jncpxyR5quWuNRqNbwsngcT
wHlRZ2DHe8w6dFt4RP3CSQHFLXN63OnEgsCRFh0aeM8avjkrorwwc/tHF34sgEHwAN+MiZ6sZ6WF
yCi96RkA948wNjIsb+YYwo0QByLX3mudN66c5PsDe8ZZAVdWGizxiSjiA9oX9symbQsX6cCr4SMJ
CstkRUs2EoJu7SCrGwoBcEj/37cTGu/N4SP0HbeJncTypDSrmhkfBGiS3idyI55iIkzBOo0cNESW
BPCIPg1KMWOmZBFlVgXT7HNxhBwiG0OaLPewN5GTCjX4X6Xj5WrF5mr4kzSQjZQKagNjGnYsU+nX
OviSlw5Ji3cs58+ShofYUNULkhNA3+Eya+nhkhy0yIAr9DXYOnO+dpxciQKLZqmV+5nF6g7AhMwy
mFT3YNNoIzdmssA8PiiOfr7wPc7VWxy9OABrXUXkG4HBcdJL2svEmDqw5yGaRDCG0+HQ5N9orm8C
93KgXrFYl4koiDlmKTnMVloqn23HB0LZCEEl1FGpxZk5/Ad5MkuDJ4JAQsuJQAe3ev3ailvU9zng
nJQqDwEemEtA66wwAiPvYV8DnC46kjldNAP/tOXQGfAleHWjFHiMoAyGF3Klqql3Ewc0zzR++DnB
3hqo/4XNbbQIiti8DSoqFAT7lKgYzaMBAtlEYXmOnkPzy8GKk3HA+A5OpQZqR1Ap82LAMYz9n2Ka
1iS0PAoW6APCj6Q4gWWppVi8y8xMvr19Qgt47gcq/lN54NAheT6m1uOQxQiXqk28D7tapAvJej69
hTkBptHgyOrflXNsv/AcZ0heKDlUA8nfOwiIvigwir3YXFXcik9oEuqzJKEnBdtAzPeVjwFwVKR3
KPCRPu/D70FCx3Se0AQsDxOUJDlCR2vTkK5AHDjQL1Dhvhvwl7iYuTUOcxpbk/0avJng4oyC1/AV
uh4ajJgmyFSZ9Wnkmm3M2IRVqXUMELLenBNUKHCOUflf4fkMZrB6E7/TMphEselj2aEl2U8ih35n
zEKg+nAonDjhCx+VqRETXKXpmWzLMld7fA1QVP8q6VSuAuzVbnvZoZgZrArZWKkM9mzkx+3nkKMN
AgCC2yMcYd0kAa9aPEhkF7jCblSjycLabfZsvmTUiaVbNqHbLjsacySHwNdTgi90qpmfwFEqAeYD
DcuOWojpeqpagSbKSAjmfJgceA4HvokhtZq8WxTDduTVTRUrgayFt6ZnJtsQ2YZJJV9SsRBn7EnU
CM1/MLHHzmr4mGZt6lHvtssQXA1txBG/dt0X0r5ekQHx8fFTLhd6YoUJ4HyOg7q0Te7Iqicw9E1S
t4PvwEfNt57znKWa1dnPAOcRl1FBocxVvG9oD0H+OKj4pkRlc1Vwe5yhpwEaWjDQX2G6+88EMlp5
vXxuFuo//Ja4zNB4XTmNEg4oS+KV60ufMOuFw9FTAkNSNWXHZyC2b6zTmJ9NbzDLf4GaMfaBXOEp
ZfLn92PWPxvGuVibPL7Mi/BHcuK0MAeFqUAj1JGKd77a6vBLlM4+Ir+4B43lzXsULNOesDhnP70w
/WWGwInALoV5ziWRcoOQUoe2lhFT3r4wQeLty/WI7R07h38bue9XMRD82UpClhkmzBHXkj/LyFvD
oHMmQ67STG55A9+elOO/yhPtmL7jHU2JC6X4Ch94ZEhpgugj4jV2YvZ0O6oPyiV2viQhCYajl7FT
fl81Sc25I3f14D1t2HDfGKIwgcBcWiqeD+MJNyA3/xWv1fXS7G+tezFStrSdIoGUhQpV1rnJCdyc
fVGK+9KcKJds05hbvI/byoNfcB77o7AK7JzqPfMwBFwMxdAPcSpQoWJSe7pFcPu1y7c/JJZz7+jI
ctv037zx6Iw1MRNLfBmv6aXNKIwUUoutWAKKUK7we9Hs65YgmWem4iUuIpf55W8o0pCZjvVLFjKy
NFghWSD/6oyUL92sxAcmv3cl4j4ojyw7bTlCbrlpNujLybF1L6pDRF+KnvTKOlh7xnpdScPyRBHP
fR1wsMsDAA/C1znklo4b3rfh4nGlzK2Sm8JiyaaZiZK/CjmHj0bEKPklnhtUnzS6yxdzzIF5+R0o
kWmMElhqjQS0mn3hArJsakYWWazYsI2J7JzpRzuKsIoAiup0N96arrLbsUs4P//0fogDxZrinwCQ
UhjzRgHHlG1lfOSY2idvHXFi8As8/xo097M4LPml32Yv8GxpAxvmB1ms6JdQQbG6KxoHaMQfKeE2
CKG+CNbZiCM7MRW0QIzEWVnZd79KUP1PmB0bbj+7EGUK+AhmF8ChDB42oKXsixbyVQGfKuk4IuVC
su2pJ7jJaYA9hG0zb+ouL/Po2Rn16ATJ98iabs5E4QD7hHnlx2l+iIqPqxli002Ggp4rBHYLbJj1
WzOhTzc/jtKBmZ2AlxE8Y90cf8i9OxN4oaJnOAYRDD59uFaByLWL1YwCTYi7CieBLzMUtDKP7xPe
CzNwFDS+7uCshk6JxwPgssPfczcd6x3bsG7jjJwk3NhSVp51ZpgVIP5MmeQiSWcoYdl6VkgtrEJK
GzYC0zCsBdVqrMdLZ+x/oaiP4GKnv4xK4kQ00B0oLtQAzACuyp7fB+D0WaY4mOi3iXja+YJD5Ksg
D5mk5VyPGzZu7LF4lZRi5mjpGv0kHTsSyJSAGXPL1KSRYu1FeVJ7wYP5+hjk75AUTZUA+pElavFb
iLllBTS7ySbJACc3Y4wDWRDXOyb7BaV32u1+5sRJC1L7iJArX45kC3KVpLhVDBD1RNVMTEQplHdT
b9AQO3PWlFqolPKm+pQ/huUrO9tIw8rvyiqOA6hN0L1Mjjoymw4ARoB/sXwkh/rK7VtIB+G1j+IO
U6BfcS85gEO1FkwNHMH2xViR7k64flvs4EaBLqnsmGUonWEqTLmj6t8DC0JFOR8mZMc2KzPA1eER
BKfD1wJO/m29MuPdOLxeOYzRdDmoBWDBUV+rI8fQkBtLMns6RqAEmT2gjgcr2jM8cJmN0V6qOVar
QHASZQglgYT14jRy0GODrFGoO2IV7vb0ygKpMXVCmLbyWre2278M1TzeMEYhRBV9oOpnN5rvACt4
cS6tAI4C/XmwgKDij0lcnYNmuhMaAHFjgpXBRqNRP64C8IuVGmLTJ9QJH4GSJc5ZA6P7R062PUJI
XACpJ2SYaWnkMF9QWK0UO/Mh+GAIQ3EjE/+RjXG+02jUrHvJGq4Gs7UxDMR4onDXmtd5phXk1nNw
OjUw0UWpDuPce0pirIhzeizQQ2SwNLcjARglhQDkLoN8BC3pTztc9fKCMm6ixapZn4DVXHK97ajy
pgO2sD7vyde38oGM7/F6Zo/gdGYpkHhtgmjojJuBKgJ3ZHW4gS8lS/JchvuNmng5jY8ITZgoUi72
Ay3CQiXNyPafy6wG8D+9iov9l6Pb89p9Hmjfxv8wYC8vowCvJoLwZCDG4JOqsIEYrem2RZxp5qo0
FPTKQH4+dPqYo/zA4UfSEBi93N4apgg4YCsTVWQLSSVaIasSUQmmB/imDWvTgNS0iq6EksoCneZd
iBsyrCyEBnRAOHvuh+LRYuvxC7zDGgfQeqICLLjEMiC465JcDRq6Dv9MARNmJm+nh1kvr2x12kjQ
5uxrk1NHNhEWPaWv5et0xZPJoXS+2/xhA+u9dVbJTWqO1yIFPTY90LwC+Oom7vcIw1CWfWYj8CRp
VGRr+c1LvzJr8Fj3WnR9Q11TgsQz65PYvGJwmbC2zfJFzaa1kLAr/lbewokakKlSyBpgCFHNbsdq
uJxmfGcM8ZJVom05WD0sn4q9DOj8t9k45bBqAFyTct7qyJp82jhT8+dxph7X7zalFgXZ77Ha0TkU
HHltO1RdWwoZw0h7ZjozM9p+YqT8Fc7iZ9nP8RtaZ54CfLxkPtJ/+QGHqo96s9w2btxZW0jTl0ys
vD1FmIZGQjcKB0Wu5X7CKvmMQ4QyeJWndzERM5wuaPH5VF+tWDCkTzU0++plTPd/orliGbiQsI4M
UYznECO1vXciCpk9TRUp2KCUYHj9jjsuCdQOuMd3Dv/oZesgXdSMSoCPTpBnNZseo5FSLOjAddiy
ZMK31OV8ib7jZ2CFyuwD4KU/MvWFlsFaFd2/5cZ3qVJs5/Z4QDG0YLZZ8KwRUvK5an4t4eA/XL84
N3IOenk3eNukNvFhjDgxFAR5BQvpc06c1kFDudcpQCrGWQ3VbYK9GHMRRtDEER7gYmtYQET376aS
9kmAbl+LYOVMH86JI5PHVMds0nrHDYGAg5noiPKm9jAW7TpR+HJuzhWwzY1g1ANfQ7joaIRNWCZZ
DrgV/aYclpAJIMCoaHhKUr1ue//4f3SccuGf+hS90xw3t+fbpWsJ3yIkE8iP2SpGy2BTEbc0+mcg
Uzf/ak0REnseX0xdYG81FvHN7QRhzGAqPHTYmMDllOwK/HE3Z2VOUGKUjdEIrGh6Ds/5RY77CxUO
T9fnYdstb11Dx+ElhryuaTkricchsKeTmZQIYt3sdh+Uh1QFK4+2I97qv1h0H1XF0CtgliAoCcr3
TT7L8OFhy4S0YtkWPuBw9DuWz5o/cglu0EyurEe0KEljPTkLM4WaHGOywIhidYnUZhgFG4IikJ7Y
MlI0V6DBBWJGviJ/KaOHSd9ol8XKooDqw/MKd0xRtRCEZBhncc65x4Jsmf+X1OSeZTEONlYoUpnc
bSGfZw7xz8GPV4PJDqeAqw4NspXgk4/L5uSH3wyDMeAAylLx1W3pLRtQZHQTlzKgdVPwjwzjXqD+
/pYA80dOnRELI0l6yyy9aKBpYsc07smv5m4WPU6diShoMUM64p/SH+LNyVLZianw/R4QQvzIY7FD
9dq35d3kMsHBgQe2bIE2LRMV5fiehaxoX5nNGysZ7JKfRtlAf7vW20u98tAM7LQOilwEoMOWztVO
RHNynWaMb6yuzHzNATj9NA/oqAbA/jjIjwx/ofiDKafkHzkJFcJ+GHArzHYzPM7Fg/Myl4DG82sh
3V2cRAluelxYFj1roVwBxnyao3+l2vhL3vb6rfcjhO6N+4lcGeSXw4MQlYDBGmCOoj+NP9IJRqMS
Zs2unL4nXuy2Y//FQcD0Z8fCZiRTQO5DAO3ngM6TJOdNihP9zME1cPhptLCv2uTLvhuqa2fgGft4
Yl8SpbReH5GdP9MmwGMIUXvQv9LEthjK1AudJEgnNqwdfMlkoPUzFJ3nzzCgkqAnAA0RrpcNCSLw
nmHwEhbHh4LyXwZ4ghbV2kYDJMkchMblbyA4ODWP4xouVxx9/k1TO8s3Nzqdvs3xMqfIjpg9BShP
4A9i7NX3lDFihJx7ggneFIOZmCneXVzOPWRneWJ3J9SCU4j13CaCKinTegn7jpJ6cl43cM1PG27E
FbeS8SiKAvavk0LmLI6QfPdcOgkf+W5WkTiXfGuKGuKp4Crt+NcMANEedx1iDviSAP3x9EwXSeul
PCod8mJxcAo4j8wo3LcAj5qfiEhR9cRHyqTtIAcBa3JOQNAC+MyyNYhZS5YYnqBZoUxFGLPjZQSu
T1BtcRLSgIfRJnda+tj7rKGVsiFVsBPrFA8wfF2p1WA0P1MFItuuDg7PnAGSxCH+L4pz8t4yDPm7
YuFEnjy8Gijt7tyCIzQgyh1+w0e5UlhlXem/JzhJfGSB36FyPdbHtz5H/KmiXQIEN6SuAZDMsLek
w9s2lmNTRfOVkEwcKh4IFKLJOvBs40gH3U5I6Uxb0vk6GFP816xoyCJ2Q32k8dbwwbLj4p6d0wxE
lKlGQELMRJIcNHQQHNjlhKtavBzes1ZU98B+L28K63og6LJ6zwhaAEjkRbgJ1yeCaiYrQ8tkn+Fa
p6IGgS4DXVrjjMV2hf3Lw5nkPyXeX/ivAKiucBUKP1ndABirnjH1fL/nqzBB/d2MJ7CflTVN9QKk
dgDysOmuMF+JbZoTfUZcsCUwUmEiwrXkjnwHEGX68gRDAwCn6LolVPER4vj6MMXH6XI4LtOdm3NL
k1UwPbtOGH4jMnl3RIkDcQmjGFBlTz9PDQqFvYyDEs//moif7CYYshFpl76Wp+YE9aVY4HoFWRQz
UOGyQkbyRjKaJhYp58bo0hOtW4XLKI02reUVLmBg34qx5RlhKyEOgB5psHFfuSEpZ1nKR82ox8DT
uWR9dWIiraaIR+dwBNQoMNDvQ8CCIOWH9QG5kzEkJDkpvu13B5cpFhXHOTJtTzQR5AyQ7QRSCzlm
nwGDdJ4mHXOJdueyO1JquBNLrexZ/f3MLpwXKE3G5swiCFp2i1P1549SAvarMAC1GKY1rh1vuTry
Hy8oQaCZtsNM2GD8sUdFDqIQ8Pr63e/ZOb7TewC1Bu4XhoVMhpXqOqfF+7r4d2l8CogIYsoxsv6a
vRJ/ItyfeLJfzcFPhCsoZsM9Sj2a24p2fgIURROJhw7sY1SmAttgy52oDlMKkKq5n0puI4J+2Lqo
iy51yCQ60+cYOLhJFP41aJ2OFHcQqg4X+0P4y5+qn3Au/gRQMsm8bJPbfgzx4+KNJaN8PqOtp23m
wSsciYiNGfhHeKWWJ2Kk64AK+rKLQFeMRpwFDAIXLs4JiFKLy+YgpDa8EqnEtj/JrYnJDFR7/ooz
UV8mGe0xiHOdQCzVJ8TEj8YdzRF6lf3TlIA9y47EfKRlhNHlu5/tLq8uA7Q3RkxdEINfHaYSYuGR
3ebK269f8jvRaAXy2YWRTABEvlQzI5giIvMfsUitan2T3QCGKxReRReJrp/OgRoULdd7Umjsjm6P
OS0XYqD5Q0z+KUA/GhhMX4yUq4dt4RMuSOkNztIcnQNUD6OQZnjncNnIPzZgtzd5+c5QlY5/pKj1
d8kn+fEymdchzdBEtoHGExPrxSYTsrQk9IwKWBxP44Krjzo7BYAF25wRpINPhUPCfKAApQ4Cejrx
aUWoOpslY0aV4fKMI4FoO6Lnpeit5gAND6oogBEdfZbmAQH4u3kd4Gb4FzYNxfLEIkI3AvHWXLck
PTFixQBH8QI/R2p+0QSYbJI135Fe2izHSza3zBDQh2ItA/wR4KJkPCn54AIM7pnWBfBo4dNjLcZp
zVem3yXfgSEcV6fEeZblSEo2Fffv/gTAQEAz+Wk94ShJ5AU352nxTEIqyREaQvKazIaCcDee+MYA
MqlIL7HgW66h96SlAcw2ohrE9IhdCoAYDSPOjeBl8/ACsXzF/0lFcZzcnclDMNbV2cOlAZWMFDdb
gYtyBnYNg1oEn9bamAkO5VqDN/dypJ6usRuyllH7sMaZ/jKI3L91Tg0UK5QS9x9w8xgXEsdlozsh
5aFyImKOybNGOqT8DUdyfjcCZRoHE1KtChOvD7jTEBFafg+Qbj1wNb0M/jpe47hUPmQt7zgjf2bp
45c2zdHirVx6eT9+eh0G25ZKj8cDBwNmYuBHRf+CLfT7VPHoKfS9X7bwjEhFQxu9zAvIp4l76wnx
XpepixKtqZCymMOI7hBjqkmXoMHNhojZ+GFOnATPS4oZTkPWOEYW5MOw9ANR2TrWeACy3NDqQGhg
WxBCAL9s4Jpk2M9DnHhBvX6f1rwuj0Y6BkBbmkTxHssSlKHARlJDCmmlpRIKfLi/iYfRrVqnQrlV
9mWsi4eJChmg9x+RvLG0O1m5HRHKSXvaR8A9BV9MD5SwJJhRjoxvUjyfdB+ck4srIbMEQDgQABKG
17J7VVsN/5f4umFFjlS5X/oFs4LAx2Q6wDr2FRcozviDpk2T1/5MYFHe1USgdk29XBUEet314fI9
io7zBZfrz3PG3AjWdOrG7XKMio7tgtVArGQOWTjAbIjAaRj6cJBtj6fQSb8xOOLolteZJrDoHuny
FKKAWBGUKTx6T0HIn00mkircnk/QY939MPH0P5I0eHN9IS2MkBBeMCGZNqiM5vRGTjInB1OOokLS
OtVO+mfras46y+v22bsn7MNxmhoz3jO8B/yPqRhjPJ86b4J1YswQLHE+ihlNV13TkWPvEg1fU+jC
gLqADAzdDi/NOCTj5Xash3uiNPc4xhQz9+daemfAy52IoGNXMkGQOYwfrAmZK6yRLqPJ6ELJ/x3I
CQB0ICaKzfr/sZJ9F/sPJRzxeweCG5qYrLmP4R680oU4vwqxSvYAg1hbIReZDn72HeOx5gcaxuHe
wHtDy005DZsHcHY+obBAoVHn3f5iV+LHlk1A6RhXoRmGM4Qhk7/dJ1jK3gYHNnAZixNB1/6aRyEg
4WENv5qXZObKjSvCl8uwN2vAkayCfSuuW2y9bJHLkAaOls7Szxyo6DBB7UgOqbPe+zWsM0GwCaqT
3+4uwAZJ6VnJBKqStCo3cQhR0kHxCZ8dUd0UydJOUKbrqaXZpo8hSnEstR0ZuxR1laS/BJplzPHx
CRxRsASr7O+wPO+CfLvZrQmJ9geYlVht/UpiSK6BSis5gXKeA6qKWZeNIaEJpHV9n0CQKM3EIl40
rfGdFeXIqkuiBPHPRg6COedRAK+T0TpD959gItwXPZ1qjE3NVdGhQHAaCFy1y/piEnK8WtdxPSso
LJA2iQn5tGrZrGvNIxv10PEt7tLpYlhz6jklGDYexV5v8BMMY+bRVE8TNXaykcyUtRxHWaSJ54Ez
P3ExOtifqifsmrdrkThwKkHsKmEcXpneX1PxdcbtoT8OZm9/c+qS52KmEqmKJXk8LfORaJYYsH9+
GMr9bTxmDuYMPC6SsShYGRzTcmDv6jbhfSNZmhN8sXFzs1GvWHw5qYHdF6yuMXekVP/fOQpIVt3r
WHysicuRqSw9Z0ClPkV0Mxg5zPcZKeYPbgzZGcVJndwyqHmXZBJ/ErABkT+ThoMg29Etl8cwwo8m
8yYHQ9np5Nw0kSL3Rqcfvp6yMWLEM8zcbeWunSnVs9RbWFVAGhXGdpiyjMH3Puyj/4hgISlrCfPn
nTd71914Wv8mx32FMLem6M25rO+Rz4QpXD2gGq9dbnbkI12l2xB5F2tf7ToYaaO3+hfttKBQwC6I
6j/Jxse55gbZsXSOX2L+9Md4wl/5OsqXE36dkX8AAUp3e9QaVFE3fRbrESv0Gt88HgFyoRyv+nj+
SiO853RfHcY5XRa9tOPo/gZQGfD+xuYfWxQ4/figxE36lbESQzkMCMjxpTKEYYeD4X4AkrJpUpt/
z+b+f9kkZ0BMoq77RcUHOg4RqP08+mKD+26GYNkzP6XR5RSzlFDX8d+yva7dHd3K2tzSm4O+guaY
/zqi5Bn/gYARP/2RaSz6I1VQLFuPDY+RJAWCJxWkQmV6MN6+z8YuHd4tXRbVNCQvIxb0ckfXw4aO
Vd7Acd49NwdyO0xQhp7pOgmmj2aF48nvFvXnTF89iAe4UJA0J3ad+g+NrCzexRw3mgWaHRoEnQDy
DrFWXdFAknslnQZxTgWOE/LSep6g2ZX2LbLBBN97TkPOXzqc7guFGN0HFqjfJOBhfoPjPsIGiFEt
ex4p5OlrypDhJkLSc9+lFATYCpD8EUPVbWSeaUKuJGpg9jfcTQ9lKK/60M/BTYASTfVfIs+/7zck
9cEqb3ePd2H8KmPFwcw6PAQYO92l7eDe5iOx5YwEDw/I2Wieoyh/TlYVngMiVSh0lF3pcrwLdlQI
jGg5PY0514/UpRajhFYbF5KIrx7VVfccVXuHHggjXY2nNPguC56IBi9IHsNHM5lh3M18U2qWpNJ/
LOB8Nt1++UbNEeHSzP9NvAoXREQI9MoyvUB7MUv5hQgPZ8dxw2zSTcglcCnaM5+g6V7DFsz/zKdn
9jfvNQkK1ieDG5fYGdhzVFNz5JKUiGEh/1LGV/GAuwfkcCpuKnVxZMtDOV/BdOZ2LI/1dU+m1cF9
cvEZge9BJ+3WUF7dSi0YgyOz7amEsKSUSBtEIzoI8d8PHKvZia3SgFbfgfYDaQPk4CcoaiVDyl72
kX0haG60XT+yWWTzr9IOERJPaqQWFDedDGvnEYcp6rRWCH7j8bp9RluKWnY7SI0tfoouKr27csAl
O1jIRJt9Kk+PAryvWCKyTiEySKm0p9X7y6iam8BR1dZx8CKRicGDi+mLW+g+9PLDa8OI7zELIozi
p76gR9nP/OmRZhY1CV5QB1CaUnlNeNh/n08ad224P7gMyRiPoagQpR3kjeJGjtqqnItMuQKAqqgK
+TLqU31SVEDF8uds4HNw41OxeXgJBRmKwyUMWEUtAMk8UG1gQEwfNTDUGRQB4p/2JS2qvlMzS6Tg
ejTfWRYyQ6oAGnMMQhip9kRLikZX0Y1VmsrSC5StdF1UVqyJ7C6Y4QNrbmLcJQj05U0P2eXazPTK
pIyv3BGaOX226TNnSpoHSs34rczFUFQWpr6dPckgJEs1Z6xqJNe+gQcn3jVyyrPYSPa4NiqGbgjC
Ke1MyMMG/geUYmnhB83AGXMVVJ4IO+h2lek7e+vz3Db35eq0X01/g0vHPzhMnLRMOiDkUMenNID4
b3JRHhb3yosxOOw5I3D1k3y51unGIpgTJokN5uNPc7rQHk4sDo06rJKS6cXMXuGxEpGuOTlmbL1H
BZi1CNl9tlqCxNK89rM9tXNAduUt9dDuj7mEku5JrSOZq6Zgrs/qazg8rpFqA68Kj2aiA8HnSGVr
km5sMyjzFQKNnyV+Z/LCnJMYMiUdfYIoiKQ9YE33RHtuPOLwNHkXA7xlhkMjfw3GT06ApvBdjZeC
mXXY+z4wucfeS44cJFw+wFyD0K0jrNwgZWUhhydPsxz4sRTIpFHuKrkNHegIOZZgYZTdwHlOBu0N
4m6OT1Ei0W9RCs8sHU8Mnk0isxVMsjwwVwyO1MGwbIH5RfiAMg132OvADz36Ny5aurwWnzaCv7qP
Rk7hTI2/SrgyL1K+gXD1iPSusO1BygJDYgqKp16DFkZ9HGyqDDIJwFyEuUgesOTlMEUFBQC5UapN
p+E+2/hDQYjkoeaSEq7hZKx2qZaCFvzQYEyDJc/Z4R4z95qNBdeTFcLmEPFg2s/V0+C2FQw/nm0d
qCio7k+ZE9/UR37BBMT3ty6oELYaGH/rQv7nyAf1ZfzttPBVbGg0M+SizwZyxRlpf5P0bBElfPY7
8XQVOydDiKDyvdfj2E4/i+CwvuJDSds6yRYYgzvn0e5iTy0mOlYrqBlDoYmXJoI8i9cgYPBPNR/u
gu6+5tYGA2FZYDh4gjC7/G+K+MSbgMkMz1psZ2hpXHwdDBU3M1QzRDahg5H1tlRIUDpg3hjDfL0h
CeMT7tXvGpoXAkEWKu6OIiXyzmK+iAtCdS+bCSOoGke3zNm3Vuu6Oe4MxsV1gQWuiQ2mtJVG2syq
mlmdjoJG7d5IOE64EDggcriKV6ds/ZYo9kTUSXM8kOJHEibw5v3DnNNM4j4AxKaZRiDPkbLShuu4
jjcFvk4hry5Jmc3ud1CYOABkAkXKxodBVdAO4ecwfDXqUItUC5NL/Ot5QjBgPkzS6/PrNOyAbgsm
uHE7unznswyV6kn/BuUsE4Ujh8//FW7AJDQcPIGI06xs9X/ZzJLkAYSR46qR+p7yf4DGZkKJA8KS
t2kG/yql0wiGGGenkz4ccSvY9RAFjJxU61yNnDKgA2p5xR0MTGm5wHuiIWD3BfvX3gvvywO/XN8S
MgCXRsN9CxJ8eFlxbQdHFx9nxmDCEaC0D6HjrA0IfyqeuQDnJEXeoHxsVtxXcRBMsmbjRzN9KV04
pIHHqFBQiVn2JTvq1NIDjc96MuOymcablurj7DQLK0z6kiYQuLlQiDhHNiXx3sMVlFIc6ZCYa2uW
N7EnujWa+KCt/hrSp7ww16FrKkZqQQMpChN4dKQkiUiqsspEczaYBXz6BIWPNKXiypVndllCKmKa
+xULfiAnOTGZknBGWgcWw4/miqeyw1QLfh5GMe6qRWSrAJ6fe2Qujewr+1Fu/InkwHTRpHmmHRxJ
H7iAjQdMoIeIy+v2z55UUPLokxNjBUoEGAwK4zKnJY8WmN4Yo7cp5Owd/IRztaES0jCrxDP7TRT1
ZFiYziwgi5YcY97kZIZQ/p6Q6GJZkmOXyjLvWyJpTJ6K/wfIqmRGRjujfNuDGhDfm5wwBfJY2NYP
G1uql9aT6LK7Gd+pu26NCkDnAmXFAZsHLKMA07Be/BQI2Z+QrEAJ5Org3hKJxBiQWDRQm3KdyZUC
c7cT5V+HMkLsaY5kfBRAY6G8MrpIcq0SjQhLdkIC7ZB1I0i175VJlBMmNcccSMGOXYyn2oLbAcdu
jySLuwLeHGF51F7ot0hvgKNJR0DAiuuxemK/OF3kTXFDjQAJpo+IfJFTf8ved09y1CL+67ZsRVAk
rQQskjugd2AAV3gHQnNnyEyHlh0GpAwhlxE6NRi77OSgQzjWU6LprQiU5jZSw5VxnM1uRRA5oqkz
msAojsqLGj7twvgJos/xDbYb5SNoE7ZOLEegBWayaDzJ0L2yCso2m0m/sbql7dnjoa5BtRk6Gikz
g3v6oj18zu9saDRnJvafZtDLkZbcWkTSHDAOMlctes1t4VhdoG+4Oz3phMJmDtHAys8HgJ1GSJvP
SEYUeziiTxzTc5H/yBrfw9yar9W0dBS9R1tpFdWwhd922a66xwyRYNWUtctJw8mWSrbiy4purenB
6Jb3mnUBVKnWBojBTGvhN7JVg6tuIHKOp8SVAySFLvwetuKnTARUk84VzHYyslnbMaDQNGJGgH4n
f3bakdSD8DA+7sMo/ZjiXf9I+gfGY0cKVLfXg5MiEWozZtGAkcr56EP68s5jhm8nqy9fX3mlMhcU
lgsO7XJtIKhQ4hqO9rRLSipnbPxXNS77lFrHgpk0vOlHlqMIbvXyhImedJMcdPO+qrhgC3qjShOP
iJ9o5bMRO+JgF/3XuTDU3N2pw7Yo+bd1HGvFCjgOKkpZKFuN2qUCAjTlUKupfLQXNP4zB1VY9UZg
yxIgObNkNAaIsX2XU/web/1zUrOqIc5AP3WVHotmyz/hQoVbVH5tpPgs44AINuy2Zs3y7Iqom+XL
hNn8VTPSltZQ4ozmWWOB5XscKkOZIMXEUCBLUOx5rFzj3MfIMeYRiU/UFclbXgXQ9WWDmU26FRsO
HWMMuthE3CaZRBNH+NRS/glGgAmV3No32PYYEDuHHihQN1uJDcGZ1GCafRkOmNmV4wNtsc2gfyXq
XEZW/1mvYBAlp0MZa2ArpgrHYCIH5d8SNTEiRS23AyYwrjCgPdLrSrQANJBmNZV4HK45JMrApWRm
Ok6lTdAGBwfnOvRhKIU7zhJjV8a0EBrqUzLDSjRszsTQbp+Nv5oCqLZ0YF2TMw+4oSllp8F+CLEl
q3Anb5qweDKPJBxnaTYXDXNl02S1SUk8LnE+K22WM6BoOobeq5w2FBwnu3eODgpmPHPlhGViJXzZ
aD1FhD7r3Q4sbQ2brd5B5k4j6vLunYXCwe0p190QgTd1O5ppDODvAtoujhoSQ5IUiTDqaGoL+H/c
IQRPYALHCLgkTC+ibW0yqqFuP78brC1GU5lM393W48DYGNUHLT+Qr0rJFfLHg3xocCZJ6Tp6PhV2
Uc2PBC7Ccz/F/YMEUT0qC1bKxocnVPd7udA70JvRbfQDH4Z5BmNo9Ay8WcEAOSbGDYXVPanV0Tco
s/TkpxMjkDxz8c7v2vCiX/iJmcw2kw3CRha2K25dfv0tyKSmHqiyzrPOCcpOk6//uX2+4hsOLIHc
O2H+Ecj4sotuFu+IL0m8e912/TV24h3DzSX8xgGDkIBBDlUyPV7RwTDCput2rkZxFSAckT/xBVCO
bootASeA7rxpKOpKOGIPZUqoXl+u3OM1RQZg93xlJpMKm4O4wPEg1CQYlt9xQyb5jqXxVPoZz9T8
BHBq4mwoOelP+7ErLrzMGzaGrfvtzYpsWSYAqLNIxmJ8NIOhMoLN02dUDeUJjJlpG29Fss4+Soi8
TJkX9BVDoySg0DZhIY63T32homNACkG/8MeWeTMk+bcWXPkX1rft+xkWUOi1/U0Z8MVwUm+NiN7v
wH1MGG8wV7AcohebahApQ6YWD/lwml/CplnuLYXOP5FIXCZsN5j3ES5IDI9iH8pBLSGSmf/2ufL1
4gbBJsUrr+UchuPs1Bq1+f5ZaT4QHTrveZKvUw2di3kUghUo6dgN1CGDxzpEu+J75A/V6cQ7qYsM
QGv8QQ5D+A07ayirbe6+OQvxSOzl4s+8xYBbMcx0bXfj9E0Sfkr2h6h9eymViNIvzKigTfYEWtJH
M9HdXs4JVgdwHxmPTuBOfqBPRIgFExjp4vk8Jq+eSp19hGlcWVh7nYG2ThGdy1Ck9xO8hnsHEjhk
kx3znX3wZolaQcQI12wKN8XbT1hQIyTkqDW17nxgzjl7MahC7D8iIqJt8NXCtADjvsSWErX4RylP
CiiU5Vi/YBWlQke1VtVzHUuPTpAL9YMMn4MQhVFwXICeIpV4tRZ3zZ2bJfJdlgi+GTkaILc9YTFa
/a9v3eZHWWnxOVyIMympN2bnaspg0wjXi5hGe58DEoIATR+gLmcmNBbFybgLK8FMdM6+vJKqwKVF
PAwfJcl8ThPSyjCUmoFKF92ZkkjoajXo0u05RZMQiNy4vSaSLX3dHJ502yca1D4F9D37a3XV8mWm
cX8CngbZ6qrXBJbPDRwvktTKKtAEBUN8BkAUx2fEeMewae655sF/0VdyTPt7mvCuSnNoNNSLycDS
KBrCNQq62PmC544FaDx8bGN/eJ2HNftBtAohP0dkAFYEmMI7d5Plv/nYFvjjIqdCeQ6Cg1/Abe/x
VJzNPfw0WLDcM+N2PSTsuyy+infMK500X9790NkemTeIjErNVmBt8OynxHBZ4iBcTFjc4Bc+m2GP
E8Bate1dMpUhMsMcehcfq/yBwWF5XWdsEadvPfe29kNUV9TwD9S3aIDBbakk6DuNekIo9K3Ni/tA
qwfvTxITsBPAIB4fIBLMcRkL6ObytryIKV+DxHXJ1GEDyxoc5bJ/n4HtP81VJSrV1Lx2y+rfG7tv
OsK/hKCwfpu2RNO2rPhGKT9Tpgch4dptTwLIAsTi70/Lf1PDSd7tsOfk/Aqu6w4vjmLAdZxWV3OW
kGBEP/hOBUi3zCZUfe2knBaxBD8TcmsktRD2yiH+ZwLJGZOX93xzPUoAtggUPs4UeOidRzttrjo9
D/Q2RnD3haFTci2XcGOU2zwOMU3xBX7d8SlWaJJfb8WT+MjGBWjQsLLXcmAzUoH9B/942j+YV168
RegcyvTHWWEjQXK9duv9Jge1LcDK0pgWOIstVJX7f+f4dppKFnf90sbe8WIYZhKye9okZ0JAYubG
dd63z2b8aHY/RK5YXK7TcB52gEuvTL0otmVEYP7gdcahUqAnenAoT67ikJh3i4yvOQxenR3/HZWs
w0Ibou2STie6rFmjTOZlZ+pRxxlvZDugdenWiUiokUNHoymoUESkHzZgQs9legQQd1UYgyjiwKxx
ZUXcS9W9EbFjojYzb216cPZsEo4swg/ke5AynxsIXSpzDaGmLmDlRT1yfMcjz6qAgnTlnOp/WrZT
ySUTo5i7/X8sncdy3FgSRb8IEfBmy6qi9yIlShuETBMF7937+jmZnM1E90hNVgHPZN68ZoEfrVma
mDUXT9TwUPAjgR+467KdlCg4TzcYHt+CgMIG5jz7nSUCqYjZzeoiK8ojD3cPb0ZuI+5BUY4jaMSs
jsk2y8qqsRof1mG7N7t8CkhuV3hRkDNWw5LyW47jtkDTMmS/lHeD/X77osMiLMRAt4sdc1gWLIye
e3ZSf+U4LRwRZnEn+Fbmjhk1fqqB4EBMX4AuAkAew+0pPVQ55fNdFoKGEfvAxAqG05hIbjie9rfQ
KqD0FLBxbJdd4pqoObmwMf+1BCERx0Dw0cpifrYXh2gXknWZ6fvIqcVhuqwjH9tmWoyxXZOvYCA7
jOQBlUR/ALt9roh37VoqG0cKW1HpgX8xeA5zPJuZDNkYyP0iwKQ5Vk6WnvDWLngUAcBXEjJKmiKK
vXPaYYyOEZIDQTRO5I4grIKp50syZdD9A9a5+n+sGIyvFTePGkB9dRQw0S+9iC2s1rGRSA0XPLYX
7MvVEFAGvDKeapGD6eBSDJjjBHQnrmgf/J2LSBGtsAjqmxKLJuqxHgsQbAE+1x0AR6sRIoWZju3c
ifbMFUP6FEQb+eJUdCUCfY5gJB6ckpVHyH12ztgqmAD+RN3Kf9czgrfws3WlZcQDISuxFRJ9VjuD
55Yya24EBd3FyckhsihugcTsmY1PI9bzgY27/WodIe4azIUzH0h9daiPiKgobjLIFow1UN+ms9V9
q5Oe+QPMRDyv9ncx+NFmHprflTDQDuJo3g4jAX+JdARUyUe187QX2Jhrr24RSfte0ngeNZV5rVPS
1TYO2HXeXtLBni/SdAnvarIKb/I0TKD78lX7ho5qxjfCBhx56zsU22kHS8x3loqePOICHySt5Gz4
V7969JvhsxzkdQO5YcgmIH3Cg4G5zVhU3rq2f9Yg/p2SUORDBaXJjMPLDO8jsrk5yHEOeUrz1Xve
8WLAhgOiEqxO6nX+8IrIXgjpFUxUdH0ApuK4KXOCchegliBMnXCh2hS8lV2+erxv22qZuyZ291AC
oL2tFF14P1Kq6BSSKgN+CEUjR7S7FJcaRIywjuwXouwO/i7HAQbThA4G30l1T6+biBJ1EPWBJzx9
/hAu6AKaZuNRoJt6xW74qGf9EoPomxqjdqsfm1vOeUKkHWqdwobuKYwPNX7xIGVeKjMPnsJLIYH2
DAituwHwYNhQxww7irZioaAeGYjfWmWQvduGJ7pUxS3OZNFNso7Pfbo1mN7y/TCyiR+HHXBjyKlN
RiiAi8WhjJTobZhFmIAQAj1JzcSxOz81nBaYxi3RK6Sd9NrL9/MPvQnU463ZvOy77sSvlOado1jc
NXl9OzFXYK8R3e69N0LKGixMF7wzDACuVYquxkcdgVUxypKB8MKTtcql00hjjKkYwF0EuU25NIJZ
WGZpjphuNu+eAITiMsMNVDzpeSwHu6IbDJTEvoIzYiHy7sLgr4F6kneVLjQ+c5iy2gbD63ZZwADF
7ffV0MDhvQC3ZqOVFX/lsSCZC8S87N9UhMfAMsKvh5dkF8A29kx2yBqAXqqUPK6Z84v3CXx3qjn8
C2Fl8muw3YkxZ7J7yBJiwirO5dbKTa/h8CvdlvIExU1dReBCAFfuCIbvTCUcdu84c6XUsf8nd/I/
XwlDXYARKEMZuu1/vscZLK7KbYzgmrAhO4byfuZ36vgH3nk2yacMqFUHtPphMi0X/QTN58ypXzdA
GQXwGuGVvxROsGuSMcWoAsOzD4JaOFkyThY1RtHALMX/Ra4PJ7E8dFFNgcw4FVkMT93qWVxxgDIp
40a+UL9OEc2KYzGzgv1dhdLyD0LpJJKW6e7mMdHDswu/lk8/5kzFjBIzM48H8KVSL/jBZmY/tWiI
tRDPVgoQ4CYaHrt59iIaKmHkeBWcRh+ZJ3/G34wSyWceKN5tI/qMs+Q92TMNg7DoJXhAXezGHYAj
28Xqv8bQNNZxhCR86DDbT+Q4ECGdv1H3kh8A7icKX9/iDYwiUMFdhSmC3OcZ7htPSg8YbYolpa3g
SvfRjpPND6k+7ax8IK7gF8VPeGFv4DWbs3+YZbm05QsKqYDncafcD2IwWQvBDXSG6jaLpv6k5tTo
eByIZZxxbcFBOSb8pHbVVdv8JTnzQWt2zChWDnNBdUg0OKTeYg7nMv8HaAtGRFPRnrkIxcYR+Au8
ESD/JCNs5M7gLx5Y5OL41BC0zXGD718jGo+i+ztWaKbsDVSmreimxXFQZCxKp1XnKWytAKxEZgoe
wLMRp2VNgVf7LjAI7sytafguwECFWDnEIQjaupEZZm9YKUlhIY5t2V68RR1VuAw7tXsSMyvlR49J
iBE2R5K+SBSMH/BluXaDir0KDRzkEoAWuKf00Ok6zuK9W8sE+iEC/Xh2oqM/RH+0Qf/S+EtYrJoE
SXWriLR2x1/q64SBmzq7KbdDsInxzCG2MAW50+y9QraLChkiHKE4znlv7N+vMqNt8IbFp/BS+Z5C
lUSaKV+Kw02Rf6ZBPhUNp6QWiGJZ4c8LP1pcOb6SUlKAc6IWESbEH2Us0ppeVEyKlxU4KKDegWa9
SpJez2lgG9C0eMqpeagKUGx3vJKRSeFp7Nio5cS7ZlVQibm8IWpTZuwFHsAbnMQjcEjWcW3JNkcf
/ukXCAb2uPkjXfki5G4Vp5cOoLLJeHMqUMXTe7q2prbFTRjQX337UON1b2tOgnRG/3YloBCaTpYR
dFZOKy7E5myndxVmzDG9oo0FvO/LkEcWrY9mE40qyIHYmUmKiowWRzJzuOlhNJlUhGKSQqh2BYYp
51XhOOGPidH73bnx3VykFvvtkNq1B/kEVYuW4pbjtb+WgY2mEzRmIjBH8bGGvGf9KeuRjl4iADXX
xk84Sgr4OJfDnKf/H/AOEdHvNL302wYa2kUz4qBIoItNOPK+mH8R085v5owaawiC+j/8nphZqerX
sMMbty+WAwMN93Ja2ulxKaFR8U3j8JjP/frgGVq4c96X11sLyZ/dun8zHcm4IFj1f1aKN6kpS7Mc
Cuxq7oRxZE1sKRpeuTat1oaEnfXjBXzclkxtVlVDxuVpwOT6LkD4RbZIsvjzrV/7TnxcZnbgoQhb
84we9eycIuwMbj3XKd3rLcj6N8egI75oYokybiwSC6O4D74vC4eEVcHpoLrhHsYKIsGsRsAM14Yq
vSwjBymG4T7MLITW9kRbpbg/BRpiqW4pHtR9kyEiFd1Wik8mKkTSruAOejJZyMBwQARpq7zNto9D
NvnBofGm4Z5ZbvTqbRz5kde7/WXR0NN4hYAQLm3Y0G1lchxSN/yxIDJ/SGiIDkmVdzdinRRVUJPI
z/4SzkYGqg0jn+I3QvH5ahmW8xvS9fxbI+cpptV8yxTUoamzXxa+XRR6eJWz1IBpJk4/LeGslP/A
s1nOBWLfW3jlgInetgcgehhoZvyzVIE7Dm3LKnWT1IhSzETIQ28iiUwjyZCVEXC9RPkCB8Rs/fDi
FWt4pcaUSOgwlJaQrqqOyu+ObzUAEuXyWmUzvD8a6tHl3hA1qqblrJLLmXnc+oXECoi2P/I5ZIaE
ws6kvJA4X173udl/LsP2um7YH3iI+68pvcChbRgjERmjsPD3ydwt3B09WzU33MIWuWNF6FbM9M/T
9FfF8Cal+tetyFdrs9OAMv01ykI2wMBxWMzRdjCU0Q9Wze8YOsm7RWoi3Feh44lBOgsIlVvH5Vl0
EyIWnMMkRlQChceFQZfF8rgYmG88uw/UROVjY85cH4PFq8NLqbzc0johbddufhBxhatSBI0EctH8
zSe65L5NRGLj0cwVeK1iMriQnmtl+fqQTWz/KJKMk40z2ixSazWjTI1ncsnjncYw72yCUtLU+quT
cAm6E4r0paJkUR6dT0kvxQNMjq9zrwdtF/JH3m8f2VY/D0t+2oQjZkPBPqjoVTgwpAv9X3iztPSq
DgFTA4YYZ8A+BStYzT9Ws8DqaNCyiLVJZMr5U/I+NNPb7D7xSeKeJBLytReij5Bi1pRixdtoO+1N
JpUY4qoTeyGq1yFh2BOBo/bxiM14nv7wOhiTG6Z8JKSBknDaLhMlT4GI0XNF4k4m2pvO6RU4ylDc
xwGCdk1/G30KW2zL0QWzDH0fzow4J+tlOIxkt4gmpqwxCKiEthGgrAu4qYF++beQR6KbkQq0AeCc
WPrqvVs4ks7DEviR0Ue8FeOYIaikVBg2YDT9GNxplJeCw8tkBWQez6AIXEttTJuU0wEK04xrinyD
mVnvTLFYNnZ17bllfsSlvzuaensXOLmxuQHx86LDEwIfYCS26jP7ktCYEMsOUCXPY2rQtHbxoEXl
EPP7tB/jWCiejGRtL7OfvUeSagKNnipMfVdJGbRSCtmFJvTLARk7LX8MTjhCIJ6PuKK9XY7uqOZS
9mxmHRH5AJcmR5QL8Y2PVOdPVkqT3VM23cfrkBwXkQEOsByfI2k5oNPsN5aI+ova/5a4GRI3poGo
jpkEp9WOqnL5aNDWXXS4JX3ZnYmN6zLwlAaG3fcKNqrT/DKHDrCiPYWH0PT1/ZIW23cSLZLLyGJg
SJIOrW1v9v8f/EPGmPnQEEV8bGAVnQqqY+A2cR43nVybFLM3dd8itvPD5XfRcQstLg1bkTHm0Wwh
ndio2zlyOgyFzsj+9XIfUl64OXOkmryebjjh6fN2CEgF+Im8RcYjVdJ+9zYB0mpwBJXv9O2cXjnl
/o9v3j4pOq8xiFEuhjzn+cNMAsVuKImbgPPealDfy/+/WJzQVo6f3AracxwF6ubdMQ8hllOs+MlV
WI8cNm+R2DtiB8aFn07VM9TCnuVbWtvNRjnBCIsBATQAEDQxsPyy9wzoJGXwvexA0JKAMpj5w2uz
X4PBLZ8cFozkJI8NmgOLuOfKpg2kyKZUvlW7S+MGr+rQQm4DuKkX3CjJj/+ScazSDWCbTZRXlseP
KZnRX48pNZyCCON5pgYifehiaEcP5oroDmOhnorjFaQIKUj5YBpzr6UZJIe7ljQUtUXXB1u4ckll
LD1NcteKOBbrRR1ILYCDAzQ0fGrwLIHlASRaHpH6U5alDOQr2OYnktqqg1ogxx5sZ7UuVWObQgbR
RQK+4Pk0aYtYAUdV4r+N8Hv/YAUB4dsbUW7s6DoYGzOzgspgx5JlSjD0M8nc0++QNXGfMYBmyglD
YYyEXTFyPPrwYa6igCKduBPoHDBOIR7RIMIHpdSACoWsjuc1QCy5jKp4IKiuKuAsSCXveYX/iTU/
F9sCcmddbOcWZfjEojwlbUNCYYB5QiOOFM1NZhm2D0Ba3ZB3BsDU44Z1hAH8Fzk+4zHoI2geuJPZ
8gS8kYUeJywR2waeglZRzbArezuGwQOB/cw0FyaFb8OqjHDaxKs9AcHnHPPbdYUj3E3OfvDLsH7J
Alwe7Bhydsus/AOYDrh5Y4C9FhOU5y72r+2OU4T/cjxD84LqFbiYbwQ1YHE64WgfYSyPqBh3sQpP
AO0nM57MjX1GeqdzfLXubmcxWyJS5GolweXAgUpMLmsQrYGwyxozvmqoTbZzEcWGRdpQmGkV4xl6
K0l1GGFRXBiXq9tYgvh4ctwSb/uozrT6OqwOvecU3Ngr60vImgrHSkuSTTKIzOu/RVFBQbCqv9GZ
f2BG+Q/xwVEzqXhoH3FApyDq6iWnlCsM0RNMy26wi/WZWDHKxuHha19JisfCVOZuQKB09FfWReHB
2vFz2gwPYRHUKHSUggWpf0Az9eMzx2n3qF9EjSlWrHDIJu+YGNCO+ZJArBQuvZ35D5JbvSJEUKhi
88jlIERLwomEBZLH8PAhnrn3dcBIJqVEUbrmZCGJo/jmpgDkaRj1iWyutLhpLRgHoFvLSzSjrUdn
b+MwCPwlen9/eYkJQAMiohNT5NwfKCAHeU3qWSUZTWsDthxDnlvL7IeVBvcIqKhK+Qw+ibuHpnBh
fYkGV4N2lXRedOGNernYRX6tHY0chqLxR63xb2EBaYqUAX/ymnR9gjuMC0vpcSO01vpmAmYUHl45
J3AjQOJQsBzqTArw4RGo8Bv0G2h+Lhq7Dda9RHAUNiJ/Xzpm/1Vd7fTWzAyK/KV682HFs+5oYTOm
hCKz+2grkOCM2d0l/fcn7A24huM0/yRklyo7KuCSOJX9eh6Gyr6YXLv6QVfLg/XKpXGw/6OzGzZO
c2xtIFY2KcwgA5uQPB/+dWiB3otdAA9ghC8OAqq7g71gyc97xwEyc7P3IjQzrj4+SWFH6+zFFjWJ
+LgMnrVCdUAdmRyhn3s7qa1WgaOeWNsXET2FYsZItMBGJaZocDnnlppuwZu4+9LKk4lLHV0peXrM
ZViMSb21CI5es/ZlpsmGEFBYzb19ZszIzSAhIs3Yj2fuNTwBGB0MAso0YxU+y4V9i2UJxAvpaoYa
mqSPu8QuABnejy/WTLMeGZ/es6z3H8Vihxj/JvX80wr8W2jFnw3abWuRy8O1vhcYWVAJMjDtmvmn
XuEiDO45t69jLrQHrii4Cb48XXulVTQg0aCGVJ2QBdanJW6ZTQGSDD3suaagHlJjK8V1PX6Bzr0t
YF3EDLKMA2xBVACAGgJABeiX5wavNIMixCJEnNxkNC7kl+IwIzNgMe4hyYrBrEAMWSWT6lUFdzRH
cozoqzAgUZ7Yr9jIeMBC+GlZAn0U/4thZ7ONjpTzpJVRr9f5LToTrsUKFYTX+bcFBhJWzUyGNgYn
/YJKBRuZB/0i5M6sF3Q66AZw2BwnkNJ1ZOCJRyUnHQ5PF3Yo1GVHTJmw94MjCXDt4Nq8suPjoeSQ
qFP4u9Bbvhmsa5miJw/qH8WFy0HoYkvpbfIrW94lZvFRJQztvP2rRFj1i9A0IG+kLUXNARmP2QXx
QpzdczZPCGl85MNJs73RTcQnhk3TiYDR8dC1TndKTJJdqfcYNS1vYWRqliGHabqGYxEa0nFPwv+a
weLn9lLWC3lSrON5nJR3iBQ9R9D/DksBLKdbvEmJFeUjRinPVWFttLofcV/lAFFocSqan3JLiSTB
QEwgFPZ+y2XHjiYi0Kb6BAvGqRuwjFN+OUuznXHAZCPkF78pztcM3+v/zC61tuRbRIG8QLubj2Um
ljEb87cvqKnBSYXoG2ZyEmI2w8TAxAOXNa/YqpfGROmNl2dQKCw0OjAO+E2LeBX4m8Ob5BicRkDU
AOhTTfOF1OeRxPEZdUP1DN/wn+pSqMDOV6KrUP5LQWzyqSARtsVN9aJYgldpFVZLFigXH3EKwI0L
j6AtBHMWZmssARNCZl5nZqjqNyapwGMio2fZ7dgPF9d+ltG/umKgsPfX5Ixwj82sZYu6Ve0oCJRD
lcLRemkzIDFbNf8k7Tj6ZiVx4R+jNAs4hmSkLfI/nFmxyt1+qza1cDiYylhIsynbQPIbJRXKS+Jr
8s3PgEC0K8xUAcXRnIp3ZoyxuKz3ZqSEzhb2nNatSV35hznqQStwKEVUwE5C/qxsbT/gZWQ++FYm
FXPNI5Dw9IJASvg5CBU0fUx0+qiWOLfxFmOj6M27Io6R8Ka14HMAaLGx8POAc0oxUXpEZ0soBaZ/
HB9GXDoasHQgre1iGq1XOizk6+RQi/L4y5eoR/CYImyyhVSaIai4Kg0egl6TXEcDPEOvF55CF2Xv
SocYECesa3KNZj8/rIBdXACS3OIE46u8sgzZJt+VvRrJTicDEOvoaf+hp6BNb3dE6Ezqn7TrJmcu
LGrBlq6/EaspBmT+haTOfkHSZ44032vKSwxEwidmghF2i/jDl7zqOOdslQnu14QnD92/40zWpNDp
dWywkm+CqIjiGiH2BXwPuKXyeeUbZIZ/8OvzL0RFbxTZAk+3V9nC8BiNJXC2OFOuC+WRLSbkjPOj
NaTvobs+jWfEoj7BRxfeICVlNCtcDmQ98+2ajddCDQo+CVu+deNrnR1GKRRiu+KAg1AEfr+7n2sq
2LBolwcIkioY/YoTJQgUkygmxDFi/aO8Ld+suPEOeGCEfvE0c5E9umH7D/0RzPx0gr2H3PptdLfs
EW5M/W01FDjtjKgJhqi0ZajyC7y6s4CVYttcfzHBjcdIyBWgFivWPig79nevk7LX4+mKsRFadgF3
+eCGYJcjfrH3alnXngWL97GV6fG0whiOSYkb+u8UMdmlbkPJG3+P4ePgFCtDJ4mz94eVorKfOETQ
FSu/ueRAwH2HcbXN01QxppiJi2BcsR5JH7NxBQVFA1RsXPo4BBzYuxfZj9L1hh+6TQkqw9oXkc6x
KSPm5WuENZ1sNntADWSC9dRUMvEv+GvMR18110JirKDF8TkWYfymkF3Knq/blqt376/n7QlmU8At
CCPyPUp9mrWB0G3LxcvcSIvmR2zeBb6WQFtmZDVbFf9mVZwBaqUptlCRVfZPSlxGyf2YAeapFzvc
zu2+Gdvkdpn462MLc/Ys4PBC7+DlnLyoauH/Yr+KTwADPnmJhSaCTGxpjZItB4ZH6xDcRmcoQXIV
liPXyAbd2Xe5tRbWNqavsTjEyyKP8RZescbjPpQcBp4Wvw0ZUCfxr3iK3ftbO9+UQPKXYWQA0nnb
g5r1ieMSV8lP+tZPs0g513EgDwiJBgkcWVKonyMjTohGlAjlLuNC0RTGMf9fDGpK4Q/klmFLOdqS
bVD580Vn9//FHd8tls51zMCqyvVDfGjl7/GgGPno1lxfsKB5bjFuFZUkK+EJUO0jhvZ5wygQmezK
77OJcj9CBRXd9yATUE7vYeQBDTVnvFWz9YmHwk08puuSmmdowSgcQACJFs8sDDXUnUQqTg/rlcKb
P+h46DIW5zPypSM/c6xLloNMkL3CTS6ChmZ4DDi5s5yXIsrMEprGFUxV9CupqAodueA5BWOLX+nl
wB4Wo/RbXbDx1D1LMOYYwYdQxrkGRX9FXWvaJDPlbECqJ7SxeBpgGQ7AJfEsJ35HAQXh7HPph+bC
MekfO+bHxBv1DkNmBK4F1i/27mTgA4XdQo+vxpcSg9qJj7xjeOqEgcuAMXwVQk3rsu3t87m4y6A8
XBWTtT52ddh8V92wOD/qlDSjREwr1NqJi9Xy0D+1WXC7MBLl4QGHaNIFchz4VKCAIFgUNmeZcmNq
Y5F6AY2bZwGJdbn2V44mvyA4VQrMk2JDelJ7y8e4dsy1QaRwD2cZQwPinvrP3s+I8xy0u3JX4Mc3
Es6BIJZABpztUdPAmGaGaFbmXYTMIJHgd3kZUiJx8h325GFYWaxYETD62KkNMh91Q93BDYipADMC
la8AtOh0WKqEJlHfRVKaWfLxzoY0hQkdDQU9yu1lpwBbLdmmDn5+BhXTpUxHTp44Tsu+F4mlhgwV
dBlUv1SKfshp70fr9gcCJKUpNxHWzPWcXQz9GlxBt9uBFUsOW9Qf5g53H8gv2Mr+trpgsKmI2BWq
4pbTmeA/jG3Etx5XKqwyOuLYxeENyysoj7bzL9kSaluEHuBBfI2R9IU/EaQS5BcdvmICKthiSYfd
HSy8nak/oTXrzdhHKeRXbroCJdzRMP8Wy+TY4u9LlAxp90JuRc8tUZiLKLGsqsR9i12SsEvinptW
Mq+Kmr8ErCHO3s1ffju92YyG+Wv0v3EmEwbQPSxZ7z5aJJNBPEMoVKIPWbvoXrpu8rX4do5wpXl6
SjNYaN0yLlvoeATIoPogyQeQYckweo8KDkyhqX+Fc6VUkuj9xkMf5P9SEz+DfrWwMpbukXxECnt5
UJrizOA2PWqNQ83MRe7O1U9tvuyAxcENhOfTQJdYVBSKMZYARA6z2KR5FgRIQDStZeyam00OB5GY
toE5I+xPXlDEoGEhng4zqTS/UdOxseZcFOmst1J9M1AAU09ZEhliJw6sPTyVXvhKShPUginwrgbJ
IGrwPPsGa4EbyqGh8scZAgh4BkFEMK3XtnqNHKFKcF6tyFCPxpU2teIV1y5WwfXm/7HGEvtC4iYI
QWZ92ztIK4yNCKY9ZU/D8XQJP5k/aZx57zCZ514ZJZZy35P24G8eZ0tA17HO2Y8VvYRNPhrVSQLS
SD0NtotD/Mw5Lj5bUegwByswc2FeWoOqtjPy3A4eUjhny4XjOu8QvX+KTi122amIXpgyi6bMbNR8
0t1hu8jmnFkFpSGlM5IqVBocEQ8BOTBixS1boiWajPJtTphIEilXH2wu5K8bT6M4JLFo9QREcPkV
qqvRxsoLpP+V6oBBBMtuJtsdjVIT0W/FmSxjh68Hm8F99Df5Aon5VFfQkqsV2gmPDC9Y2vOBiJsm
stbvYrYIiQ9rnV44jsFgjuFOgo5n1uqniUgWkIw7FEZwb6B+qoRRglzVjZbRMm81y37EMW8At9N7
vVLJPeEiZXtbiHOOtJ3s9mafyTlvOPCRhDpMnEvKw5O90xPAz/xQaXqRYjxoc35+OW0yKJOk7yIf
MWh2etBWw5dbwfMoIXimpFQvVOPmLd3P73QsqF9E+DUG/AoN6xUz+9UltVh8/RVsloX0Y0UsdtAj
yDfiRYDnxChBzSGNWSOVCmAlsz2edDwvH4NH14U1CR1zwLtQlo+XgOfxZ6tLYQd7iecOZxa0HJ5u
maRc22DagDlEm0OrvrBsjmdOM8LZCrCRcmEreZiBAR6u7wweyBLSpm2DpL7iG85AFLJWyfujlfqF
ApCrLOQww08sxm5KQpuoHDSbVtpQ6ubPlnz30qXfFfoHnsXcZxMHA4H3EFka6pphTO7DvP3XNOCD
5H2VOYXpCheVaS+nijqwW0md3O7l7PwJBq7vnJijQ5wAUQ/z/FEMcBrVV0m95ahMOF0h3jCk+zQb
t5SYeYqcahn4dfqV1atCoB899PU8tifWoS+wc5zQMMoikVJ0EGLMUovXoVQW+jM5xs0kZcaZvwg/
9J9th6+autmC5pMQLUdNzsxarXZoouxaWm4r5YyRZlhj4oLmYx7C31Ke+WP/NObeg1iLtBVwJhwm
JvisxDPvWy98ve4acVw1gmEOrHyiSV5Q1UMc3evxeVvOAVOB3cLsVKrIgi9inzlDF9BdLlZG/iHJ
YQIVyhWku1qjixQP06RBiKZMPhLOVSumwNf5kBIv5EtrxIIu17j224s8mBl9zXTdfkH3YhzuQgV0
/Yz7xuGQQFwM6YiKUotPfVSRzXWMUCVAVS5NjuRQ845ZugESo2F1g2+IRBBdiGGJB62yyRl1z2zZ
cQB2GbBkFPv49Yyv7EhrPG4vUthoGb56UKS0WLZj1kVDuamWrm0oBGZXVN2SefBVWPf278ZO+4eI
0otRshd8i+IaVsvktL++tqsIVgchyy2kR/oOq5vaHFsaq3m2SAg86VVgO9s70WagQg7xjKPIAcTB
Ojmvv8ivtxiY+7dGVJeKY8pgVU/JeF1IEE9/asLyEvNBI4n9FW2W2P0YW36tGE/ovenX2Kdop6tJ
C6u9kCzI5PAYBwwlJHmRooovJt9OJL7SjvtnjnkloEkMjY6S47SfMVhluQwEmUQz63BkokgNzo6O
I/oISYojAhwQZJab+iwuLbhRH2c+4jEsLPzW25mmSmikBRXO4FfhUzmn9XGRaE7w0va9dxrC7lqr
ia69jT1DLbeeFDHNIq66oWZpZm6cgL3QF6rJA0iWMNdkxezUHKs1J7cj5ekxC/eIuSYVrOGoWNC1
4RsWvpYzn1XgoS+7b3GSVlvA9syL1v7BXjecfAESFc0pDQ35JFpUyXlwpVaQQNCBxvXMeV2mwWtc
1/WzXyft4xhw89qAhFfAZk/QIsX3lQ4N2bHVy9FwZskqqjDmVLKQ4znOQNDxJSVkRI54zJKOawka
IbI0B2RkYixaM0eqHKd+tXDqIK0X0S1CqhjeahDQN+BaRhcjnRZY5BvKRU494TwofVHmbxISCdOJ
+sLLr/XW1CpOcS4mWxRuDBq+AHwbQ5sFGxEy7Mi7pHWSWC51ttGAAoF21V6k9DglY48ePK4MBkDd
dn7JZnsD5ZuQ0cP7I5XsPMGBjppJpohnMkuu1gW2F4aMgT/RaRY0B3UdgaT1mK/S21v7dujnpQqO
Keo5ikpU2jFEXD/85XtjR2HWe9N0kWyuC+WCVucnhz1n8or90inuXOwJYihtp3ajCBinNfwP+2f+
HLsaY2FLwBJm2ECYHiq4l6qgJh9XF5GtE8IY3MFn4Cfu+FK6UhpbSCFGExS//bB0oX/vZnskJxas
pqNSI48hfminZXxefTnFek8auIqVxvHS3uRjFgcHHLh4mxHcZ6lSMIji54Jfh7/WsPaIc3Hwjzf8
sLKAYjrISxxpBv1+DDGEZyGUG2QXUof/jCnwkO0ytxbEpIQ7edsOZccUK6ueYLwI5s5/xEituFuW
ytxN2bzDnOGiJC3z/EJjVZYXbmJFgViLGlp8z/ZuENkwwfLb+Ju/mP4Vn0q8FgN+FZ8eU6uM8jau
REa98XzLlCc3LmnwLds4feNZwNydWy6jrRkRaB4RSNNanhfvxKig2IWVDcZ13iAVGEA8Gyz5hkQo
ODy4mM0XXghHc6HbEwDlqhjC9rsx+OitYwSbqJsD6PBhdZ1pRarIvNWHdU491wVXy059zGLA5YMK
i3fMsLW6XxZSOaKuXbAZPXu/+9gjC7LlMooyVJHN3IuXpPm9OCNvq2J4ll4kRVnzIXOQ+7CA+XEO
mkzIAsJo8P13LHQcOBIkz/cXRVwH3+2WBWZ1dvY+Fa65nZ0ufMgq+oJyACFhEcsqJAzLUBKNI2F9
nBjYITAMtGnKG48eOZdlEOCUO7pUYeiW+c/kzFDbu9YS/bnj/zDGTW8AmYgc3OmSs31tX2wGFSc7
5AbM8N7/OVL1IWgDHYuDFbvC1aD9bbsxuaVQohaA/HrDtJiWchD8QzzTZJdkh9wK219pzp/g3gYI
EE2oqkwHDQHlMAP6EHQfFy0XIuXmFb+zDVbSGDYz1VhNp28vO+yp0vj7cBHUfvBqMMF7j7cpQEWb
BN+QeKh9dw4eQE0QV+H4Wnb0vIi4hU9clX85wAFP3A5xmfxGO4m6B1BLlDqjgY4CI/64ubF1sFaO
rMyXu6CcPic34MoPMISRg7gcgrXFuBEGNIPCk207gMsTy5KA6OgYh/yP3wTjb3XuBaBkKxce+U6b
bNjGsRCZgQtrGSF+YjicRUzeehatNmNjKp1Q4OB5y5l6Rc2XgnTw7lDoVleVhUMgpeL2BNm5e4sT
MRdNIzStBU/dD/kfGHwbnokMhbitzj98sb8gbxYNcyxvCwdh6u9mghofpM74ABu++BaX1IS2o5Af
bjZ4bdUTzNesGe2PcmAMpdMempL5jjBAYgYFaxn7gkCNhb90uW4byYWxXTy5iV8/1GghZkh64/6D
wQuMDayRMdA2ZOExSrEt7E5cKItsSlJiXLfdsW8AqopJIX4cXdu/kSSNjBlXZX+IFKW+aLoSBlkV
LsHTHJWnEejqYiD3+vsIuenKzkf3YdmpSTD3xXAXW32Ef/Q43zDK8K4wFm/vTMvwT+Sft9YAIFTH
tbOc/CYxrL6z5f5VtHgkneK0JHv7i4I9/LNkaRAhbMpL92ByXAhRwdU3PlxxjFUskD+OKFYv8Ygi
hMmc6HX14uw7kV7UN+iTGXym0thyQfG4cgps4Nbk0fbrPBMD/U+/wtJhsePDjIjwktRGKpJZDOvQ
ws/LI0RZoUTMoEqBA67cFCtBJ3aOdB1wdifV4644kyMVOef2T1F7ErUTMAruBi8c7xIeuP/Q7Plk
Xw+cXL8okGEaWkQFECQVjleRBV3BoFO/Nrkkvi1t4FMtuuLRRnUU52hPp3DD3l3Cl/Zz8D6vFdIm
lR3VKDGLlNs9wNf0sooQYcK0pcbMKPAazNilljcukLo2e3h81BeziZjOCdJTxjKfEpNuGZfiH0/z
FsLftVikT4TSfhT9AOAJBESbRPsJBATDAtELyM61YV5He84VYcsgWbAWhdeXCLMAEHXafPgTyEQZ
WI/ocRZCvZvuufRYY8aSuTw2CRdezzIoGsayJolIXpVet+D1HXWqXErj6kknmgAMYEACEl9ndKeG
ojdr5KMQFUjQxycAZiOljHA/y+KR6yf5V0/FGh1mXs5/CCf6p2ibIxgugoCr+5pMQw2n2VWWMtdC
IkRBhnu6uPYMuISSpWe5JKLQNMrNq6OStsdXPMKA46LfGysABskN7HcaToO701UU8pjAjsLn1qLJ
yScfhrb0hR6aIPzzMO3XiYXCHkUqr3jwQIHGQQT+4nVC1BjuNwKXRCkTCIIcQZB7CjqZSuOaAOOG
TWdVdBugnt2jwTCxOhrbsV0M+7gL6dIYII78PA0845y8GcUKFUvW+yLGxocGUYf0LmdTnHCh2dXC
DdDTO3J5crByCGHP+RIZB94/6RrfvJJV7/G2LqtzXd5ujm1d2hsFyZcyKZGeWarZr2BrOTltg+Sp
C18bz3FfVho8hBrMlmTCxqAaOSXrGmAMEPWgmdM+nICDJkEJ+SEu6UcYcQCGVNUbTHPK2VHevwTd
jkX6z0P2ttBfXEOAwCDbCLkr4K36Pf1eZuASxBtp1bBux3oFrJ+B6Euy5g4khzLFbCQeATIT05cY
+zKeKqATvMl2wrSHafx3B49qFq1MQyLK73ikHoPe050iiYAtiMzU63oI+WlUNw/CZtES+gulgfd5
1bbup9rHaAKV5FGriQOpiJQ7TFFwD1hPDE8hIiG4KVIgqcXjMevMuuihxrFk4IlHtBBrwA3uezIc
k3GwnbAhEMAn96A1XMUdXx+WFq9e8uLjlCKLSVp+cDAhkjhkyJQNaxiyrH2Q+GEMYr/LVMUMNN72
RA2K9N4+FDi0HwVSoFZjFLy3tL0uA471jDzInmTwAhWS6QNHLX532kJpQhUtC7SSllsjcqfqPtmi
6RS59HzMP6tXvKpwwxfiC4wgBoakOh6kM8PuhH5SwtCEs6E4loWZN+uXQYxwO0VsbTyEdeo4SdXM
0eiw0VRco+zVIeRjDxGfjCMUlmMJnk7sDdUOnv10wMwrpHETcleRgE4ukgwkc6cWWzHljmqHbUb5
MWJSxcwZZWrL5MDYopYgR1GVCsOZ1+5h2H1qbA7cpio8+jozPWEVIVAg+3Zc2WOofQwzbawRhWxi
WUV/YFW2A4FCBHXH3fquUasywSuDvXvIQvhdCn3j+QS4I1qhIX1QF6YYdhwDarH4ls/+FVNJjvBa
4F3oo29ocQs6ZTvktiyAhZql4JcFHSmlATRwV2LH6AbAZWHo2YOwbxq89St+lrULoUQGAXoES+DL
uMkoa+fsUbJv4xJxmtZ/DWg7+P3fOer4dhOQvsj+RAIHK5wLC+k55iaklTK0BvqnUp1wiq5pqYR7
4DeoW0t6QfWy9SrezGKF06E3fcN0hyK+gLNxt/ZMoGjln2wCO0BC/0fSeS3HbS1R9IeIKmQcvHLI
YRJFURpZlF5QsmghDtJBGny9Vzdfbl1bFjkDnNC9ewcwx5q2jNbWb34yZyK1kAIe+5DtX/wOoH91
1LIdEwgIpc3XAJ3VXVsiDIb387IguTmNzUCJlRUd05ZyCB+C1HavQeva39UKl90Z4ZZXF8Q92Ca4
T1wN7Y3DMcpISIRwOFGpG6wB+EYB9hON7wX8kxGgntIS06G3WztTciVhTRj9nkENxNsFz/D9r41x
9+5iET0ydf2Cm9KbOJRYQO4bu7PhR7G3EI2+LAqhoJmdh69BNYLgrXke4u3OhnEJ1vsieZEaZyLh
Pty26PETZqSQM/ENY+MleM+8ovd4IjANEFI46uAOtPtyGKCrwZto52bqLANLK0H0zGLLh2Azp3HL
ZngNgFc5URRAKLA1xPELJ2pMDzIGBC1m5oCea/ayY1/yVZn2LcYL7ypLaGNUb8EiBgUN/LfQYfWI
SzjYoe/IqgUZFkWwcN1W+AlPDFshQMdCd4cmdKsGo5qQRtoPpwuwazUKQYjpTiIhPqp7SIBEr3d+
DeY5XFb5XG0vy4XPq/oCGybv6nVHoWOPaCeCGyl9yLLgCwl8X3eYm6vpGB7Q3qEaOXb1HlahBRX4
9skUTK7U/DQ0M6paF49BK352Mt1Wk8lukCNQdBZVxqfRKMsgZFE5XUixdzbMSiZBlNX5cqQ9yRk9
I/fBDU4gbuJRIgBZVBUF1nwTXMOzNX+7ZeIEJNZF4+kqHiuv4a96MiH2gUMmyvNR4qqTXc64GpcF
iQxJSOo6jh3jErwdGKiOwtyJqIUcstYOhK/gOCLy0rYxlyNEkBLDJ9aCelHs+F9UKCdhCklVAplq
pSkEehKMQYZIXeX//fgawuFaU/4Q2S1wzMjDXFIOaKY4HFo7J3Q4A43WE20pQ2TOOGhDqDdE9YUp
LiikvU2QpOM0w9mjGZI+TzAhKucm2ZgpEO+DCEUF+/CtGJGg/JeIcafg4htJasQgBdiN2PKkw2HE
IdnI6cA4A2rtKhAp2JnbYcGBRSfMFKaER8Afw3Rpuh/35SNESGx0VP3LdPTyTYhAwQbBUdH0UQgv
ZsHkAHcADG3EsYvrhbmtgXBQiTV44hIbsnMj3gMCBTcFwTLpbVFmmOcMBXRAPAex7ync4VvbyUAu
FSOreIEYOuBwNUrmHAk7cNcrWfs1N2vld1/UygjVYH4fOPgzU/4Q6DNT9ZBtiQYt/uSeZekk7/wW
Xm4shZ7w3heI6QomUzbzEdiyKLjYNgEfN/F96rWM8aOTJx4rxzDVWxhRn6rM+OFhHKgTdOYIP5lR
3cBdtVP7H5KJp7tknGZVhWhNCUbOIktpYrg7LguuD3B9rj8UF+ThUbFiCdPxouURkRFKLRfMLnbx
yMnIj9mRi98vDp5PbYySEybJfPfx78DdjtXIW4PFWDzC58Klfizpc4ohvbPQCSRoiD+gYWEUzoW2
ZuIjJDopZQMEJdJF50KOabSR91m26L5zVOoVX4Q0l6WkxPX84+LxAfei2uqbxcX1iUAsGPYZetwA
8eOHPoUwO2ZYBeCGCrjNwjQNB5TscfF9hEnjQi0WYCaknoxLzFzTqTCBAMNxuHmh2gCyOx0FtxTU
sNICCJ1YBKGjR2AScQBj+wUFzafNUpPdsJldZqiQzdUsjUkZVRKkL9VjSaps0pwR+6RiFDmQRGYj
Xg2RIXKOTW/jhbePwQA2KkTQkcGCNQarOMB+77RiAn2940DBqZW8dztHLmRqxBAVtuP1aN9BHIBk
aHZUgQ07F9lOJ860MWcAzFsAz2zBiJ2bGsnK23qWFBZTBkcXcwwBoq0MCmupH7sWKF193emx4fXX
PQk2CDmBKjjw2tnxv5sL6O1KUNv1Kv2Ijy8gBtGXjEODMllxaRx6MSnxoTW4lxZLlFhAvDpmWgav
/QcUHZJA6CdUwELVyFzTyb8S0EDIHJMrZFNseWJLaifB3ocjaYW76nZ8W1wS9jsflsYxWxfwkhZ9
lcgY8RIJYW9jSU24wh+QcLGMlzYQB0X8LrEvFLWhEyBlNLW4l2Op01PojrAoGFdC58hLwLsee++a
9+vWQJVCN2h9oeWnHCC7+vDSrjhcprcwiXCs6WMca8R6AfLFL81pIySHQrwP39xWoEEUB50BtoNT
B+FEDBOk8SJaBO5xxJoX/wLo6tRhORs8WFs21+ghclIPYqeCsY/45lWmy6Ls1BtuX+Y3B9LcP/rd
xK1oTHr/eeW0xYWBJamTiQ5TkWqnMudRQKAR/1wJrhWDa9VXLFJAu3L4YwkJO4MeVSedZsZpaEQ7
B7S6rv/xwieSqheqL1SQJNVYTgyGYiBhZx7v4onipuA+dzI/uCshXXNCZiWBDrjVJ7lHTYGd12uQ
8swW3Iy1TB/RED8SRHoKdkpdvOGDCTouwzs16dA6V6Zj2lc7XtTcaQugVwoEIkQH0OEEXVXaivyM
quP64wdxGrBQ1h5QQcU0QlNaYyahZMVbDxYbG/7y6LrSfCTjI0bn8OI4lGkiuAB35rQEO8C+AJCU
axIkCrdgIEQGXkDG6NOHb0GBy8zYj8C6XeyU11k0QBeEAaDhTkLOcVPRC00Qw1qoZUpvcvvLd6eK
btczxxTHBrd7QXOkQIV+WpSnoLXS2NGHIagIOXuqHkr+Io7q+iB4BVSGoRTwHkUbWj/0cBN7BD/G
MYc5Q0eAcB2HFfJvGRKaMwip4sNCv1xHptUElCvXcY1jfEepwlUno/NC1wFnlWk+zhE0Wrlom898
RCGHkyT7jBSLTSrGJLanoBf1WZ2jgiIu6E/e869z8b53dVNvhHATxF3BGqY9wct2fQZ8wHKH1Piw
YKME3ONhrHwpoISx6r62l/ONbqRcUkRhRzL24acewxBUoOvhi2GXDhgleUaohQv8aqgjcIZjVEFa
zzUCkPc6poZyPWHyxajB4aOznjgHVGqlRA3Z0NL0IOahcVCDNuSAewo2JY4x0rVRtTP2k4FjiHru
GXdHfk3D9xMjHttg+iOK52TiwpdzxHhi3oiJf2gc3E3j5TvNGNkyEjwz8KpMhz1KmpH3hMhYEpJA
8CVFh4xjGITIV28sXstcRgiuxhkEt+UpCl08tekNFSeP++JE30RNtX5oOlRgtVVCRmJlyNFXkSOg
WoySEgetbsLUYINg4+AjJOPYhR3TVdvrGmHPRTrfa5eyutAdAKCL3T0O9bi5UQTlExGyeBWtWcCd
s4NxuFkW/6jxj723wOrQywBOrSdYUxt/0vZR1L+tR1+ojbbTYCqhGHa4wBo2CILrivJcrWCQRAHX
jpSmzLi5ebA8d4WuIDx6coZPqxvg/1OKhZljkKP3jHJDvznp3N4o4WqHQGEzgPXQgDcz+cWtQc4j
8Q/UybhxIKO6O99aZt9kykF3ZC0lOb9HMCXBp3KJTq4LekJdSXXHYaxTW5Ir/KcyzurHXfgVajSq
2QJiZaWcIWpyhnEDRp4MCbKDh+EegAubLUcg9lFLm2Ul/Ra3Po1ppkuEO+p7XBg+d6iNwfkAv+HE
CBLn7szYTcgBZHOYMdbUfMDx6eNI6rBRMZmwhiU4GgubFs4W5QFaWx5oB6+CKQc4/8xl717ANnIf
lMuNXa6MzMWMeeJhXVr+n18uSM6anpdRyPwkxFeR67wMlltIOhx8DvKeRhZHjObNpQ091lHCG7hk
zARlCqVakLpjjhmjTxGPovoMdaCF/yzkNDA4qjk42hxDP9xqINIPAQZIEDk2GQ2bEWqcH7T+deYs
n5Db0IVsKOtym/9IGHpHBy8wNRRj61AMJdnyOSwZqdSkix/dkUmtCcLq99oF1TMSIsqtlinSahnp
i5onHOXMFv9ssUbBpOm3izEZdI/4q7vwUd2c/4GMjyU4jrP3doUgaBM6Ibpv7ODcfbyVH7NuQMSg
7+RwO2LMFPcg/Cke4V/WxvUeSLwCoqW9Zi6+MAkrLimmNZA37UJnZaYIk71tJq6cO9sAZAbDN/eX
GTwA4JxKgwXpE82enaHidsygFOfQmaQNqYwXBsrIE4bhhUwuANUkgCGbgkeus42/GH+Db8XvD7cQ
72xuxNuPf8xHPmPH0sTV7gLhP6aFE14SzZN32+Ny+awMF7MOcDl6PLGZcGGWccl/CJ8ZMrd7HwYT
o2VR2FjfI0JJ6Akf8eYAKywxrkKNS7Yr9A4Pv6Nx7zmKkvwHKuMLhVIORQGoBnUZ6AjrPnTzH1bc
ejsboRpu2Z95RYnBLJx9Ajz5Tf+OrWXbWdEYOSKIGQnc7EZKzNUBthZbL/cCiYKsmuXI3v+xzuLg
kYEa2SFDQ3tmvUbx5TWoOY6EKqo7BHgGM2OPGf3KSUYKE2iqPu8adsmH0CiMAa8EPZapPaxkOeod
KBRCdcQgZHtoRofBtkGSIaQeCtNfZIbCuJ74/OGE1jUkyVNKV6wnozn+nlf7O+67vxcukmOcX9p/
97NYfM70bruH5jkJMa1IgSCgFQmTmFiCvP+jrp1auLgQsVXAk/tF9a2GoniXc+/91uAkvBAk0mp9
U1ItBMK/9ZmTG9GHoAN8RzVrwnyUN2zzCBwXyd25tOX10GHRs8I1oslgzoxUurjjFa/X/hz9kjWA
gZnw9eTLkJfk7mxScokpayvCvTdUDJA62NYcMnXFy60nunmNFzKUtVKiEwXGNJUwXdVD5Tj8PHC4
sgzOvNbFxUGljHH19LmqP04F8ZKv4R89QUmnqJfhdcc044l/4gX2GPBHrABLDCp6EU5UJ+ZI20Na
U1JYwvtRrOXxAaB6w3LxFkmne4iHSdwo/NssvmR3QwMJ38bSXIrtorsy9Nr5RFoqlyxkCDKFEHbB
XBQpqlzF+/m5q5OguhdNeH6hkk4wLnMyStyPNJEifFJHwhoeCz8tL6+bkeRXwzMLJDePNfx34dBk
SMkMGa9YwFnDnVptNBJ6/SSWw3tcqdo4t/9SpwyUER4UwQJdzkhY4kTLZEfYoy647/0i7yysaW9y
aFpMV/hNCQwsyO/1/IS6Mz3SCjHizaE07xfsVpNVEG0pjnA/ZjCrzuS7B7MF1JIGBy0k13RLUedk
pJctVLI6DaOw4knFyNojUNixR4ZWlL132ALSvgTwRLQxjt1T7YdfNRSjwtXlQzQDrEe1mXNJuakE
TPpkGiCOoihzKHckbkngYtFfGRl4aXaJ4iRgYv1nmix4QQFdHZFtoFMxprz8bTbYyO90L/Rh+nPM
gC/5TDMqjwrXUuGZUHass6CYjYvbNaQkyncJ8Z6leWvmN4W7DdN6NLEwBzAg4rmc7fzZR8cFyQc2
t2ZUp93u3yNuHh4d+CSqLHRSERYUYvglghY1RpZGYvfoppAdcuWD8Uplp34ctRkv/znn5LCsSDlR
xef3Fb3QC2J7wxqDj9KL4J6XxRhULEtZIMEjmWicfCUaLjW4WXDfUksfKPBCEKHDD0Wqt1EOErhO
q4av5l3oyerklri3gHsYyy/jG0MW3EHy6Q3dKeiuoFNSmCLVSA9lfFvWSXtncx9Kkbj0rVBqxOdd
oiOSIflqkAHc1AOOFQCjNNCSCWRq0oK55SR8asJvW6Ny1z1ensMQE7MwJV0aCQoZCf3Ff2VG+3Nn
FNsGG9x4UGS8LejY1Ied1B4eVCwlcsCWVGsJU5KPWS8c2rbnhXH9ok4Wgjsjhiehaqsdh043Jyo3
RSrriUEm+DQNm2gxDWRO/ORfzhuxBmE6UVcZOFPVBTpQX74ojqZ8NtEcasmGjxpnhkA8Zprjf4Vj
yTQb2X83fur9ZXza4QGgkpPMzYZdIlMBm1bMVqg3HrYtJMFmjHFg4umGBsOlEebKw0IlxQuPhtuW
NHjcucDPsJ9gj+ICxdjdx68usBIIz7etVq4Pd4HPUcUUa6srQi6Z1XS9vGwZpHEcSyg8T5YfBDid
VyfmknCZR0plHSEgNGXQKk5cQNoGDEU2C5RvIr/lmVgQDGasB7IQH0K8sjUmmmnR33ZgICgorep/
eUjpcWFag1aQXQHzxT4aj5549ivykJqLT3cGBjWM5fM0Rj+riQ4hcTmAusy/gIJ508Hx8W1zexIa
aoZ+jC3Ns6LZGvc+ioe0V5wJGoSKf+1gnAUaye7YLX5ee0GzKjqvT9aRJGMMFBhSEAJBTQxxrCuS
9QRjLf+uu3Qu2/g2g4v3WJbbv2Bv38LYKeIb8gUDrLTw4rf7SO21E8JL2IdkaPNiRUar8xFSchiB
kmGK1JR+iRaHTCD0qCiwsP6B18AXmJlpIshiGNdw+toEcnuWwe8vwYdy6HR3WzwEXxtb/Wf3C+TM
7BKe4t7HNWygqP7WzYC3roMuqStpf5DtIEJuuv+gNUE5lL7QioQYD0MGcwZnY5f+/Iv12BFuyPIK
I9DTdmAU0BlMXKWrUed0WAWwl2kkxbPNjhtcPNn+Pu+cW+gtIVMnJIAQSg8IVisDQolt2IVNTkWM
ixS+Dg8MTTBl2hZUaAAs9A3ME9wsfPgw8wggztszcIScrETTGiZL/BMCOJZfIPs2HpnyhtVXDXSX
uCWNytIz3IbsIirVQ4jtF2wKyoQt/GoLPihjr3zFCCTh0Ncxv3ATdN6pmxcCE/ZhHn8oigSN1gIW
sxRWMp6z/CH8IEw/6O75Ets/Glshk4YAET4m9bROuyFhoUWPdqfrWul3pFAxNkyFDIdS2SkA0FcP
ln8LCyAHWklmtPEuDQzFmpRveItSjtc589hJYAYwHkpV/rrKkBuURTE3wTrBm8R9msaPAf2R62p9
URUEdWhOW8Xi8bM4fCqGFqAWUHMvuTWkIpVRxOrTCVbsrZEn3AXMxyc4V9fnaaF2Jt30qLXxB+9h
o0S1w/Yd5wQwbJPD4dSi1q3jgKPVuXDaZdCjx0uDV1nli/SJ9hj68TiPL9jCvXZJ+IjLIrbebTW8
kxJW/+EKYfJguPUjU6e/UlzFwO8XcbbvKTjCM/y8RXRYsBG2f8SGpYqxMnRA9m7Hoe1uwTBdygqA
Fx2+0UdOf9TmQ4k/0GzsQzO3n1XObTseMz8HLqOoC7TzIrEEbnnvc/pl3MsGb38lUdC40kvxdI8A
OHT0Pu9SeceJzMW7CAfaXogmUOSgRkjZXTn9ex2FXI/SAF2ov+u4GpBHic7fpYmwOHMiFqKfgdat
OWVajtZBAtGUxQL+1uANNMGwVr26qs6EzIrFFHTlNUkoumdueQhyVP45WzIcSITqynZ9FmDu3sVZ
ibkF5S0XIn2auHlYEshog2m0Xb8+MwqniV7x2L2phbaFKB9lTEW9KSa8BhYkfj4hPMU9ZScqkRsm
xhPK7Pc8ht89UQAbEPuP4CWqIyqYkjJfZPHuQtFfOxBRbTI+dTsImlsyPAZin6SNSiHBLz5NHPxg
TP+3fePvkfEJt88nifzsEj6Xy7MjluaG0DUIX5edsysXlCdF56OdYQpuUEPuBhThe6qIs0phcxH/
hKi3ptjbE+hm6pOB79lwvw8sjgr52XVAOSEjIaiwZ7bO7jKQBVdXsvlfe1lkcCg1X8V/mwy0BWOA
6KMo8/cyctKbcBDgFo9nfMDiX07FpTLOJOsgRt9eLtv+lTj36q0dAPEdMgw+BvttuE3PiFWSg0M+
M3iPULV0brYv2YsTt+6bA7H5pQua4teZSAglt1QzgMtiwE4Ail90iFMNOGbgnh3EKAWdjEpGwVR1
8dCMizoJv+LUwO1fCVouurXAX4oT05d3GPuUSxEX/ejxYwo5mCYeSzJJKSjDWhkFKRGGVkfNLhfi
yV+cxiG8K2u8I3fv987dIxbfnRkoaDUQh8gbYYASfNdFEvyLPVuyMHstBCHF33evZPeDQJUpKS3F
EuEUvfuvFtjlsXKk30SlCwZhB/qnZOR9BHNZ/6mTsjuuQUyDq++HDUN+uXwHZlFIVuibxKdOo9na
AC4KyTDNdcaECELc8jUPuIkQhVIPF0SwkO4H3rpRku4ruS/oR0HPKHiOsAtcZAmSSWqo8xC0k5zi
cAU6I0MR5JT9jYfF/x1Cq5MNqXLyxIKSFJEI/Eh1zhEdSAh4i1FYT8A5UWs/LUrA4sZOrKO69C7c
5A55z3qJULe6Bz+zLUk15/LZjq3/vDvn+npqvV9UWECcZ3H0HsB6mcP+Z5cKJMyFlHQTAuio8ffo
8g2U9wVREr1rBzeEATyRLQswXDJycI4NnDSWmlds7qu1KDDrRAZEyH8wfKL+5jDiibvsL+QDzIjL
YLIMkllWuQV/GQvEMGpPk7fcF3kuIyMGnOxqakSdO5oFtCeA1XwXLlxq7Y5KOZmdheXt/LWlQIli
dMlJBGEbsihoUYjbYbsxjCRb4DUvgXgMuwnb2JMVQ8cxhd5L6PbXhhjG6/YSFpw+2TOtOvcdqVfH
ykAYu4DOilg7ZxDCskMKOnN8IGkjB0SNMUTZ90HibsWxqKX5xO1xuJP5gSQvy8nLQP33WvN7EyHT
pz0+j8kKkXbvhsm7c5o5eF14u2h9g0KM1JqWdxlkmEoQtLvl41021kNxE3Bs1U/tGTfEzxBiVgRQ
uLhmtymQ0PAwOeeo+MwkKLpLSrMD41N4sebnNm6PC7nP+cGLqnN+O8XtaK+TamFiEzRW/BXjAPuU
SljSnYmrPyF58J/rjBlhGBGQm+MCROFfMcNO6E27QIrsyHLb7h4JH2tf7zeM/+rD7KWX62zfU7iV
KxMKd6YbO3/BqPRVrLohdMPFuWDBLrrRzlDlaW4WgxwGwzkRd+0mXKZMSAhBOf/NwaSxRhGVqli3
tNnUk8bEiH8GBVG+TB0C9Vc0GG1iZRM560vIgBsWjrjSIih5NgNbWiCZ8MxIQSzyaoCnPcHEX5yT
p9T5tRbOmYhLjuAURcGhCApUfwvmptUqbAv0zU8jYjolzamLXOADEcVxAdfbc+E/c+KEzKKXsf2j
tqPJtn1vDZ9xlJA+qh48tcVnE6eV53Zgo4iW0iboasW/NCnojZaAzw9PmC84b8WPUVYobE33s89z
F4dgVBk+PgnqTwrG/6LBXAFhwkri7TL+zwIFgEEie1Q81wMQhw+OXrXhYoVtwEGrRZEnylxfZ4Yo
mccZQwumAOLAEjJ2lGGBuvMb8kZvqgS4JgCNRmveYUxWQPRNUm4PYivs12ri/HSz5D1Pc4K/2Wud
D1ML6xq+ltgCROL7yYBpxL6ST3Cqknj5HOwcIa0k0ukRUo1OcFuxt6+rATAomTi+IfaESFDwO8fd
yCl8+5/14GYzVRTSUAA9/Rqybvwv9T6mssSWjEArIgdrm/VV6aVigrpgnNkm5h5gS7xpQRCbqc9f
JsLnjph40/Nh535HgAFOgAOPrNKcUuEWqNlWsq/fgT0oyuRmGzchZKXpezrirEQmF3MebubA8he5
EmH+EBShPmHVPkUwuSr/1+hTOX5cn5wH947PrxsnmSwZetyR0hbHFuATn9VVyzolxpEtyHyq8vmv
xoLCeUf7D+uEXnUNgKrhHmoKVTtg+xWKiYtEpchgNV9EEC5uabDfGFH0kk4pQqWkkMUpmcMLTq+a
5N513R+ZlUKpgvUsE6iLIOU+VAOVUTr7AHoO3sqYUQa9TdA/I8CkiSUE4IFgQbzBUmFdYQP/cOkz
lN1uvuQIPWd7AQpDZ4jlHwCGsG/VvIB4d65ekim4Ltr6Ut7FYWGDR6ALKktKDn69lzfOczp5A8Iw
sTIfSJFGAg/IfKbhA4cwMP2FDgs6e1RnIEiw022b0nIJrY1unAK17gnZAGXCYN95cksUOBidLoTG
gOUtOMCia+CE4QDl2zA0oPiS959Y6GfjimXizlrFaokuGbssc7v6cvDvrHM7CEOzZLbAhfG6VDzK
aqbJddzzH2GPVinjaVUrn/P4v8wDOrBujWU3NdAy0acZaDAMrHGoyuA25DWsqw/Ky1kSWcADGFUw
WHWNebcrDefHLhzC6hiXycOaMDkL89j+Vo1NbVmTa8kL6+L8VzqPyQHAafrZEZ9JLmMa1ZRSDDww
SkeeAPiMsR0piABZiSvvKAwT6ppzIizPBCrUnYhEK3/e36uLG/8YiQ693XHd4NjBb0SxUUKZXhaR
X0DDYJ7A+cfJIKVhXLzsGUAO3CDK1ZIakpkoXPk0hCnFTy2E5iKqLmAH3uvEN81rto3bcgp7UhWg
d71zcWq4aRsOMlFcexajNPif6nfVBixeNA8QwFJeVthQ+ovZhScwfoE8KU6WHbuMZi0PyYqL2T6w
5LGWr2+CkhVugBXVCABKvyDsMvPJ4k/1jLI5aO/GOuyfnY2lXFkn5dXW1ZtD/X3flhxpTmTbR3XQ
q2J4eABLjwv+7o+Ja5YCppowEyylewJyz0aksm0lmVb1IxauXHVNNN/wD5oOIHBMWjBBkII6Z4oP
RYPjRQVE7dDi8kWBLJYmqrMf8/RdOwknYNEHGVRfccQLUrkUd765GI6GOedBjjVSzSeADsw1gdKE
RoPqqSL86UCdAmKO/jvx3eBF9CzWEYw66PHNE8QhwTARm730HqezC7MF+o8943OoSF0Vit4cnZ8m
r3yM55CyO6jBMGiLxzO7pfJ6AC09PRewSqw3f39obxI2f7VxpinrmQSm/jO/09w5Dq9SXQVcB2Cm
aviMVcjphsEYxDRIJvUUf11m3MtkaKJkIe3MqrzpTxYu+zf6FmAHOjjsMLkwKrgXxOQA3CU96xXG
yX7d96l3U1zecP3G2brh+cgAm6vy8gPN5XR95m1T/K0DxqB8xtYXZQUiB7tyDumXDulOj624H6mR
ZAhZ/lZJG2ilWdoTN3DEINig+Hmx+TlgCs46VJQVixcY6oQdPNU1wIqM+cJe3oIWt4zx+UdO/ZqS
/NaHDPmYdWfvSQ3LVPlBOCTmwAGD13xgqk/JvF9fsmi6HuioxdxuX3leNTq/w9ogk/w46RekxuRs
LJ8l45h0tU+dY6AXQIK+sVB+bgXk6QJuBxlohhbCJUlW9/WFztowByAXL7oFNo7pcumuVTXYXbgK
TcOdVHuwuxBL0ZB0kBJUBJsn3Z8wZYNA3oeWYaUxz/nDfJzgSvpNdG89ptR5xGvMRxz82DXbv4QV
A9aKOx+EY3oVxFLY4jITqZlfNnPyksR1g7kJXjndBXqpys7FS0yK7txyNdoJAVY9YPnmllPxSiPH
z6IyX2Mqig6a0fU6iaOcT/mC3Chg/oVe9FbNI5XIb2YG8h0ZN//lWOHemlLG73X1Yn06F/0vhPmk
ezD0EN7zxufoQDneHIQo1PWc4B5rl4y9O9Xj87EmDksUuXhJ46keD8VZLczUd2HlxsDeoURZxBlc
VzKndHDiNTjnnyERrXiOHJj0zggX+CQkO1L6CT8jL+pTnhBjNy/Vbz+ffth4wTmpsAbqCtilIo+r
O79iPs74UaxjutBiUtgKMIM4+7t4yFqsp27WiRpM8UUYsvpGu2SDHU8u8NEFS4acH2DVDjuDaTy6
GhXPugCvtQjT6nNsH91SStILuA352MFflgG+BM5IZpez0nnOcmODIcAk2WSaou7gpsJJ55wPL8in
32F00ACzXwDslzeueeg0Z8DCroRGh6sScVXIVnAJQ6ZEZqSlPYBaFR+ShGdtIS9ZX04qCNzYBqVQ
R3LGWzv/itFs9YDDAAr9M2gU6TzsjlKE3HAtH1dxxBg75h37wrGGewvuziu1hPR3QcjMr/b23+4o
jx653YH8h5gWHVoMZAylUa/RHh78uJiZuXDKmIEfbc8bZBxsComCBOzqRDEu+JHdKLggcH1QFBYY
F9sI2lcapiltGB3NLNu62AlDEX9jmOFMCXfvL0phiLdKsUAxgQPO2UnJb9xZMAE/ZIBpIosaQ0O6
4oI6ovbZqp3LYB/ML7pXhwNWKEjYmcrXouO804bbID9iG4gLRIxhVpM5n3YvWY68YUD2gtTVEZo0
VEROOnVmggyDb5fo9Lu8OTFmpCSU/Ql3JQFA4fgA4hvzLvqnKsTw+wxk3DagXmpY3wYYcruZCB4c
xn0yaxlbDkDMXatvGBJ+Ryn8ZbHMEpNORs4F879lYuliXfSF0/a76pirXLyrU81CwTiV99dP8X/Q
mxmDb/nl21KG4U3T1P0HfIaB5Olj2ueJaqFlwXclhPSVMvveNCSe4dvJJ9+YCayorm8GGwGJlOEL
pn18tp19Jqqizg/XFzPiN+Kil9uZezE3JqheElICUF9ku/y7srbx8Vytw08kAARUmkVgvKA5Q5A1
9XRMdwS+3cwV38Gi5+yE/W5imiyofAe0J7xAusncoUZwk57RSH8uMMHQAQ0VecmyqNML82rkwfu9
CVnhbrr+xl2OG4zxDfLQof86BGfk4mJIBF0Ib6Dz7BmaDsjpLQliiAzQPQ6F+1WzE1UntODBDURT
BcdiarxfOEdBQ8Wy9hHFHcteRGWqZu0WrjpMncFls/yXdG3Y5vJYq7C/GS/9BSo2C92f4sv1pTYp
Jqcc/2o1R4VGX26od83olE+qQzjzY0cMFtVAUj1ZONagOpwlhkGYYTKeMD1HkJuP3b+KtTTcn6AX
oLERxy3vQK6jvwA/aNhbbln6BCbq+DbxWOnC5jZ9dBp6AiNS2qAGqPdbr70FfbZ3mNVRMzUy+miE
2jX2X9QBxsSX364LXSvgBlNJjnrti42lJrfylyk0Q/pzw1xJHRXDShSHEncnyEYXcK50ay43V3yd
Gs48ZlbHaH0LFs9HlALcpyw4XN7hexLWdR2K65fq7EXGeFfjDPKPQryEKb1VFlWlWKMjICU9MyOG
l2hf6QmkYJiAxMINrouca2bTe4IvqzFMNsL4sZqRPI0li2Wg/Thk09ofoaD/09bA7eMkZAmpT5MA
CnqF9/2NFj7KWUbhVj45htZDDYwVbKhIiMRxWD6022CwsJ+fIz8+3zOHEiSCZWeoaW4EWqs6OdI3
4bTIvu8cke3WBHQbbvH71QupdQ01qQq8IAG+rW7JGZGgOaql+lsdC3kNL4ED2vafokq9pNh3FHX3
j3YhFXT4R8znoAtdoDwpe1WxG4kMGiEKIPahl1N/oLSjtRndjtNWgt3iYCcKAMxn3Zn3A11C+eY8
W1HdoakDAHDFOtWdAZeLZGgYrtkH46ET4ME/Eo7OvZPRF36sBebH4jInjKNuwk+pxvcFhv67gEt5
DyrYypdZA/wSLXmXt91FQkDUIzDDoKUPO0g4ceN/VowEGegXLAqhsElqrmji+LM/EpaiGZU6Ecgj
EDnJnMyz8gSkiqyw5wCi7+BwTsFYBFoXMxuz4CcRerL7xvktXFk2Yg+9L8W9pgowF2/usr6N7xzP
/w+8Db2P4KsiwlD7saL/opfHunENuRYPzDWGfCQ9mxPJgVTSbVYtDmptCVVmH7zxDSQOBsTGBwKH
YAovzZH+emXSN9CpJh+hkD071xLHhrIZ5rRkonQtQ5F8YIIlsFWC9iFI8SP0udRVJO1W3JG0zUyi
LZdcsggLp6IgWnF+ZtiDxPci/oJGXKd6uCM7hKqOKaCypNtufDnXq/9Jx6XaHJSNQfoReed/zYRh
A1oBuOX78taW9HhA6Nymsq0+jAkHftRaBxOHgpiXi5MnpS1u/dNKzM9om5FsRYuu/Za4ogD4YQC+
HxGeEvMgkoW4cr8GYty2jM1TctkqyEhCRgVgunM6emYdFgWIikTnRYJUdk9pxYhB3J3VkEBmtHJi
Y/sFxWcWl2PhaaIqxnOAFYh7UP+sJtMGpPlHaE3OVcfh1qL6ZnCOAcyO6ucfdBnNz7HPU86UlACA
0RNRFMZ9BMIu2HM/j8p3Q56a8Ac3fR35ByZxJ3WmE3GHAE4Am78ER3MiQHQxMRynuflkJ5sBW/XA
awKDpAD9CcV6TvQdxGdqLdSLP80E+JI0gEthi9a7AHcUCwaz8FIXzDIX6RtMsP3G8I6BSMndrUlb
i8NRhN03GQ8DuxXCcn5oxyw6aMIFsqu/+2TeRT5gShohQcLGkX0sTelVS3jbjOPWesKe+JY7A6qY
mx3w664PV4yZPPd82bZTvlPbXNxv6+CfXDXsTarbaLdf+jy4JXa2fLhyynJwOPzw6ud8hZDCX9gf
EKBcJRBx56bc6tPMyj0Q1IP4rkDfC2d7ij5d7V7bmaQKXCIz8UtHmAFR+eGKwxp772ko8afNOJha
arKWRT9uFCFXe+SQ/e6V26liiHPdDFBspWLn1K5u/JiJ0zJX11G2E1BkBxZC8glzbhxmUZvwFJmc
E5ILmTrm74TiCkAeG4xcR6a3c8f6H8DRlUsgJTSSA47A80yC2KUXr6b27mq0UUUVvcXk21ARpfEn
h3Svq51OAg/OYMFvkJrKaU5aB4Kv/eWb4kIxzZfl1C3R47pGjKEjWCjz8Wq/EMeYTtFyygnNQ8K7
/evuBvntAub2Yf83Y5FudmlWZKZdN014E/dJjW6T9TCmBLlj5a/iSzUA2Iv44UPvkXKd5/jXE3MM
t7BhAiknpJlgq4ixJR7v020UYmyUsrXjCgktoua5Ol3hh0EGfN4tJ4DL3+iH33JKibYAKLpqPdds
fFG+C1lewoJQlNZA1b1azGWtgqjlGbisbjk8kpabwfRwWK4wz52CYSvnU22IgNtwD8bT/6pKTIx3
VTXz4PgMxFdchw5z7Hw5XjF8GTILV+u0hvkPxlZ3WMHu11cBph5x49TBqwl5kDmtDEW9vCogUJFE
XSVYG5DN1024FoihgguvQPN0kDvZwxVS1SKNaKxOeY2vRMSxKRbWYcLlp+5He58+Bw6qemiOSKa5
sQnv45NxTsC6Z5fAsXy9cvZoijPfTidbM+ELMwAvPLjg9IuWyNkAsiXIIS8Ey4shWZQ0acaB/r16
4leKBTSUFA77PIIBXTCPM5kgEWe+kDqquT7WNJ1h3JcUVHo5JPoPzXNb2091OvzSgnuyUfmlImCR
HsQsGM2LaaADgyh3IZ3h2/UcQhynD2Xcs2JdfLxK3Go+g4VMp7DfR0jKQNMcID6aQvHFwNCNBWdu
RrTMdzKVUDyiW+izSvSZV2Nyroc25K8b4izpyumKJVQKZvqtDsWToM4fvLLqrq/adSiDyHr2VBdc
JhhyCt+H1+6a2Nlme8qpxyl7oE6tpA9KZoUKF/Mz5JqR88aFM3a8ApNZo8vq25PLAlclEcDd327g
aHA5sOB5QIEQVku4M3PEqgX1AXXhJFTIXsa3mQwTmvgBiB/LI9R+uq7pL3jHlAsiSVnhJ+rz4p38
Vp6xCGvFWcSUAEc6f5chl+QhGCJjP0EjD7gXOFbFIlF9zAiocTG581Y6bnoqZeCGFdqPqwqrtWTA
ReIE7xrOTs9ES1qe1aWqM4U05TNnnKj2dIxCAYhXe1gy0x/W+CgsHSuB6YbkKB3YSXGvSQD0scQo
bIjqNFPGVFzWONm/btGAk86y8hNKEGHVomv4gvInVZiPbvHhijh0pojlaglc4XAKKWOo52Hr9rge
DujSrpxsbiLKC3uisUdyhtzH8f6KAxDVGbRPYR5cJV7WV2HMfyTvQfRjzJ0/Rm/1yJq8CmJY9OWc
jacQ5PzAqftTRs6h31wertoIq+0Gju4pH+TNSdYyiBZtDGtYzELcAq4Jwg/mB5aXpeQ/pKTtYx3K
tYXTCWpyf+Ijip5cRtBtUA5HH9MpWi04fle7Dya42Mye1uqCTGtimhyW3Ma0rMwvpC+oNyyJfPcv
ySD1NTEjERAZFUU3sfNUwy6gx/+Endlu3Uiyrl+l0deL2MmZPDh7X2iWtWRLtjxU3RBuucWZyTlJ
Pv35ItUH2NUFVF800OVBXovMIeKPfxCWdzVwhQgoIk51tB6amgK0/l2LGyFqQTg6GOcfEBX/eeC3
x3uVA36ksYZhVV2cqjVJFi/q5xe9S+coDDxo5p8mPPY4xPjDDWmgFyiYa5AmOptV1gmGu0A2uMwR
k8rpUS38Let+j93DLxlwSTeoIgCQeKO8ViEMNHEeORh8Idyevq5o1t9xJwoqIKkheGDehPEqkFKd
bz+nUTiVnMh4dnJQ5VX1gm8lHdnAQ7Y344kuqJnSleVikuQu3zieKlERD8UnJlWfT0B7WLctDetg
MT9gwksBw6jmNOJcWaqwXJ7t8iKh/AUzHnoRsXuxAELgcyWMXjAruBHLM9wm0th7nl7Vcr7wk8c8
OqZuQdbLeArzpJWSkNMyXjjlrVGQWL9ZMypcNpJbzo3eRP0Szc+1+BUnIXuZ73M7gZvj4crfFwt0
8Nvsl7hRKTIVsMzLv6/FQsXGqrPjTocgNKTA1f79FEe4DBdzmD8H5QIxmK0m/rRWdhKknG5iRmVj
0GjOIVlAeTERvOAtxG+I4k2ixAKk4cCt3/EMAI5LKxFrlRD71hZmlo+akKOsrYLsolUMRjSUviu5
6JCr/2YEgpp6grZovlhRP4JSQtdlNIAulMqUgy1nmgiKfrn2vDdL4s9TrvaDfKTc4RvnsRRDK4AI
VmDMqPTGVP1Aq7uGqFQBmloy7HsmfYSMglnIMDoi4hbmt4jpuSL9knMS85E7Z47ONv/XyhCsGQq6
+Ldqw2oj7D5zXO1XJz8NfL2WR/aUZPybHGbCUqYK6xgt3GGRuF6emHbjWFXq7AnbZ66qRTgszO3V
wXaEhhwIfKJkKAFwSjQoIR8XXu3cYYElM1AQRo3LM1rgAFt/HKV9LPw4XoF16U4V5EjRrYrs8Tj4
ElNHQYJtzyt6GFhVTGkqqVcEGLGKH8rt4aLtcSG18VT8fJIkGctdHYj47m1+0ook4vp0+PMy+PuY
PiH/xm8ZsAnPLO4qPMeTO87VMuMTQDqfDhpJIxJ9W386jojuFFE4IdUYBeLgpoPv9x/JnvgZYK95
h20MJ5Ko+5l2sPE2PrYS0ycVCtbccVermBFVtcgUG6ekSuniWYaCFn7rFJ4E0+h9nJCgIGSnJzLp
txP8D1Pmjd9+1CH4FwEx3HwUcFc1alC5T5UM2HPXeK+mo+azCKl0YQgHtotsaNFY7Rr/1qT81vn+
zoQy/JBv+jVxZRPlogHcZbcy4RrHqaWD8cpbm2f/r73KOBVDIPSsC8QLAOaJhzgPYxD7G98+RWBB
VNKnxhlaStZ4vqlLOFJEIzHLdnmhRDzBhEJ5KOR+ACHOfURvk+MVbfsxH8pPpuRDVRD4pRXmcOPp
It/3tiPPt0cLPtQ+SmSbV88zsht1YW3JMBywAiDLY2Sayq9gsEPsIG/BsFbtmHld2qvjnpriDYJU
fXMMtXvpqvQ3VWW8nYM07bz0wNCEWaIk1tF6DSYGnlSwth+wLc+u64afFuDJbKcXKmS8Y1OGmHLQ
Jv9/GwnxA7tIsFi/VMjtrswh8J5kzeyCFKoBhtrGn7C6bEJBwQUriO3xJn1Mzry44brLRzg5k3j+
TJpuYsKP4FJkEnqDD4DVAm5oK89iJ/b9AtJndrEN9bd6Y89bs+yAR3kZY+kOthCl10JEpDMXUTCn
hyQXW+sAm3DZgrfadAecJj9yuS1o/WHo2uR5hLx4Cwz8LFIXX0bNUxHnAps4MAa8Ui04WR2yME7H
1hbphDnRY+1ynic9Q4b38bXh4VjZX67y3z2TfB92MCzYDkzNxKmRZJcVOcjhOSuKdjFWZQiUeJCW
6ULQ9g5SwcPpsXg1rYgX7a7u50cbdiEzjtxvXk8OF8WGzYL7JTGAnpgJcjWxnE8r/lRBD4PuSyLR
Epjthg82/3NqiIk/+d4e130RHV/EXh997tMRA3OdRu6rFAep40uCZRiCdwpdqbJHRYHiBNy6wcj9
gIqCy9EfK4/+aV++GAlGUykLGP4MGnKkkcLH3QdmAcVIewMAwggfTzaoaWBWpzEq/QiEbP5iZs53
ejf+Ph6pJJfBGQPkPoH3Dm4crvMXG9ODe9mdtUGSpBYb4GBpWcLuskibdbw6OWkKjjUNNWKJ4i6Y
ZeKZcvLbsJQkpFMR1FeC5/yNnWPtM9TOcR67aMoAbli9TfzrRAiJ5zmZrs4qpIuxkgrI3+NFUQjt
iH+UQu0afeHMZbFVDh8qq8593PYXc79+nehTOKWE3u3TVtlwjXdiFM4/naFWtIMrjAzyizDwaem4
Zk9drw2io6Q8Jzj9mJT6baILZ0vyVpVDW8qao3Dj6BTbOvsDp4iDEmHmG8Yh0N+d4P50OIcXAVVX
5wRUAjou9XpffDohNzYEUkbF2bTcgSUCFU9+3AKy4U+RH+sxbM7NoZZLd/Jxua7oATsUrwCQwmbL
Qet0ek/mVMKrTzOCbYq+OltltfgAKhd9zKlznHya6q09Wxm8SNRsIhxZUsxuRxEIwJaLJZ1ghVaK
Sw5VrSi6TutQl9HsewSNLeT2EXPA/YOUivhJ8WfIgvOp0vHeBJgOfOEqpyqVSTUwtF/pWz9n2sp7
W3t8dub2S+4KM8fZNgyIECWLQTqbAYRCca3KHT2tSUCT7gAoiQdXgu8Dhr08ZKRIQJLiHpaJmxua
PkAIrCt3aWc3kqIq1jMzbiEgCW+Uk8SevsTsLBdz0XxjjoOPfYiMWLjsDDDzG8xZfk7CJTQV7ZcR
KoM95gR07jYmUPUSAUGJZ6+maixbXVwOxh3gKoFG6x1nsiTiPkZ9wn9CJMUronk1O28IvhOz5px7
2vfI+gRdOSL26pTBVUT73Hk8KIkYjbL92+EFGwUgFYYgHUJjnUwVM09dLp2SJKF6xwnJonFjyuIV
QYm0kpsO089uXv+E5kNRvzHSVZyUt9xh2wvR5jMMZ0Z9/shs4xjlP0MIGRXd9r1YXZkElwqxSbFk
7m7iGjczJ+h0xL+EZIgqmRw06vhZDvIZT81qjb93okqA1gNazb0r2GWuMBMSnVncSGlRoYA84ac1
ogE15ReZ9Kuc9QW5mOqjiZBCrDLyxBLFMtWU2z3phZbauAwmghW2K7348fnkq3kwQRZnn1Ub3fs4
XVC3yYrEUSZvm7aZP2ublck1BaNIrJt551qIjlJMdFP9IqazVpSuqxZUaIOlW27mjjVgMCtkX9j4
B4rfApyV1YEE6X5p3fhael5Byjc9Bu3F1vhMmCJIhzqKGXHGEL5PHXLbmo07UYQLZB/QP60F2Chj
nOsTTNuMtejoz+6hY0gMt1NtpscT3mmqS1odP1PIishyu7IOnHOm1YXn1M/woF5LP3U+gJ7iYQZN
xX+wPqLSPFr5jWkZGOYjKX8HL1DElvZWBu9cW9ZHgkAl0QCoCI0MYG8hbblhH/Wbq5/HsP6t2dbk
coWcy5eeF7rtIkIT2C7tc40EoXZLZCbywnZAenYjofXwFFQLS51WUxcmn6fhrIThYwg9A95EBiuS
FKEI36oCmnt1QLUUE6s8WWn5YbAqH/HzGYE5fYuK7mPGgSeCGPgAPTwO7XHPWMsW1VD21pUDf58e
1eK1puHNn6oGxvqSYOZkNfDa6zkEhPcPeRH7z7BeflMDhBndgprFm1PeH4qNrTvSSjDkpLBiTCqE
Jep7vKETKay27edQb+llq3umaY6sB5GBabMDB9HMAw/O47zWY3/OdBdfel61XuxkPl70BTK6jKpb
nu5oRqwvtq4+81Hv8nxnRiUzTLrqOszEhQ4V19q8lrr54qmUp0jlvUa+7s/Tzt2MWSh7PFlvMM4C
z5cZGYZqnGqsGBzA2G/U9SEh7NWuz6qTywF9qMTWkG8PVtnDeJHMFRWA9FvbvWXvHw6vq56Fi0XE
c3mNG0xx6RWaJcxSQ+KdYwW2VNg2YRPJtb9AxvCdgUuFh10H0grAtghikBcpakdKGTAF5oHBgc3j
yUG6ill/i5OAC3tQpjaE3D+y2V9OK6LhYi/z9gzf3j/bendy+6f3yj4THmXME1l9+NWwcrBnyKkH
5OvEOSW6OOEgpPhlydxseFSmTALxTjFZgl0NSxqf5JcY7gAFf1z2dDt1fRZuEmQDfWuJvRwRbgsJ
KkJYiTY4SWGzCNd0o5bKR/DWI1BB6Ti6PSM0WDSlY998NjtHNhpy76MpWB6TNK0WPCSdipIBfj+y
D0rzEUXKdWXbiRRqXNXIoDfz+kdpzzXBW8gZ+ZQ9N/9I/Mb7sCTjxkSLBZE65vxFo5d8pA+h+mac
+Z6RDZv2jo6NnwDs7BDKnRXuWp/zlkJMb9NHrLcBfwWTpv0soK0f/ObEhsp7jNpMIrF+kbTvYoIB
DZO2Q8KBUx4rzfJBxOW16y3JVdgixvI3kbsJfkpfta/VpHlUlEf3yoEjZJflpDnOBcoQcxxOOhk3
sgokBNu2DEkRfY73pP+uJkGZS5IDx4Vyzabb2LCouGRrOgt1lb1iFGMkJZJMncPHYrVBbeAPlBs6
VYNEFTakXCC9hQnxcpdpXnMmGQzdYUCaJi/gGZ/JVwdKJSYpFPJOLdWLRnzOXrRR95afhexAbWyg
E9eu13PzsTOJIqZCGq+j1X8NSTq4cN04BtVZ3A4/2Ko912UfIninPCGrUMgpwCOmIf3gKERay9vB
QI19wfSiuJPZF5Yun1Cds7enDt+VUa6mLgiyNe1YV4byFRgW0gTIAAXQ0Iw9cQ44KgM7ok5EtTkQ
pRHVGsMX5C73uuE+UCuhLI1oaXfK+aBJOpSyLPu8kkDBBsmvN/8aJtKck5CNpFdcV6qEt4LU6lse
+tHvMl/GNSX/xlgTYoAYzlquq7ARjkPYpng9VkzAId9ZwsO79XAansmP/11mVchF+cmp/8FamMH+
1PfyPcaD43SdPO/ZlFBH7QzpPRV9YdeSHfQpN7DiJ3FfWBkoTR5EtHzdo4C0WZlBUSMyFWMOBgYc
DeOBSuksI65cRy6EH4a+L9Z5Uygw3FgxFmW7r88BFLo6FGQuBfjSxxsXnZu2LeLVc465gEBXwguI
R8Aq4RcxTAGj3IagPScILrEVlK+OsQMeydIjbVCwTz7+Q5XrZ7yonlJ3CiVjaHOmD/kkoapsuntc
SyKwNLfwMddn6wUIHomtFtrswT6esHi+ElNha1tng6zs/ggGJrM288yabXSA7QGUzbuqbHh7at3u
VB98Ngy3QKB4LkmJ24ZBrXZtGuaDQGpo/Ft+N0mIAcWigup0loO2AfDF1u3Te/gzKkcYrqy+wDSv
OVP4c73BWDjFQz9ig9d0nHyYqtTk/IIump3BxclxUMz309ieJyhzYOJ8i5kusq7EtUqcOWEwiOKn
Q/2KyuyXHGi2zqPEHyO1lw4n7cGVlXDYc9lhTLcC7KcoGqwkGyxmukmgWWG6Ge2XjZqpaw+apo7X
Xg/1eDn9NggLSMh1tv+QC6oeqQwlBo1KkqSthAGDVadZcBpnSPi/GYNHKcoROz3SVtCokTxnPU59
IXfjMjLB2YVfDF3oTrcyep3l1YvtYRj+HjP6udii/XVkiITaBG8ZbDxRfWC/LdsuiGilGItwo0Az
dou55DSkasgXxjMm+ozETMy9AQRTFH4np2YEGSIEOdcRmEQclvPtFoavtCE8UX+u4BNFT1PMRDFE
jqf0SGXJaMtGLzOFpEqhBVAbxiuopW1tkIvDtoEbeGWAOqHh9q/EOzJxEo55DsiE7keAP9EaW2MB
wwYGsUjGB4LwfleS9Gjlh4kYyNuQWk0sz40tm62XbrIf4QNSkt85nwAPsXQySxcQTcGj1QOsLWcH
ImAlgJcF+z/XDGtSG+JqJxaQ+XB39IDlpgb/nGCD6kmv91UivHSD4tiZ0glThGJECQP5Gi3z+ujv
rDAntN9nFW9SLE/RSICnZD5uuwpXFtoVRk7F9zzIfuNG/lajv2E9QtQ5ENGj6sXcB04d3hbdK8Iu
pMwe+Ye2MYc0qZ/qbe6uEUC9+SUHNJkn59Oama7Ao8k7GwqAW8jYx2e9RHEMoFV4P42CNE0adHYn
9sgfa5T1L8bhvs99yTJDI64WqVEY55PELq1fCBsUf5QRkjvNESz0EHXL2V2iBBfubGKuiI3E4QCl
1SH/DziE2mqAA8CslGCTjf/MDvL18qZC+ugNXQHQE2bLDoHEZ9uyn6qITSJogLPE4+gA4Z7zvAFa
aaBSyxS1npHRYdqyfzjFxp1LPDGohHcZt0hGW+ARxtjCI7ICKuM3eHjUzL3HWc3NaiISnwGE0b9w
1GFoffKBJRQbiWtPfEEYXYFOwsJeOyozmaZx+LGoPMA+K40r1c/RTx/XlkYT8Rl8oo1z/gQJKWR8
56PrFuRO7KyVuAhrWm2uUSgltoiishT6P9sBQjf7GLSUGBb2ofONd/pi83DkJF03HT1Z6ZwQ+3Fu
BPkmt6JQmOJj4pqwskUu1+BI6EY+TECW6IhXEPUxbcfCQcyfmimfu0mgA0avJ2esIg7D2D0jF4br
JQ3Awev1GXZY08Lcky/io6xzjs6VL4JuTXEbXSCTRUa8g9gjK/yXsYX1CNIp3Srjm2YOfXW4Z1K/
wKfaDpdqlt1lQJ0YdzU+BOHZSvPghPFbCu/FUzcMS9J2CX9pZRpSO270XZHrQUkkw0N5R3kgg2jO
bVi5yHgVhBNy4Laf8GOl6qT+FGLGqWp7P0wRx50JJaXAYt7HDeHDSKjBBRhdExhkGEPKhGfysCnQ
CU7ENFzwqEEE0XkiOJY29+RnSKANc5czoweYU5xCZ9bSUycCQydmz4o5k4T/2fEgIk1AsWo78IlF
ZnnGWnq/NmX5C4zs1bgskCVd7r0OXbDgIFMpbjO+ML9yJt8w6jjKDI7Kou2zBmJ23GwVT+MEdL6p
7wPMgrqObwjDKi+WKasuKZ3a89Ls6LiQWV1T39MZE+XK+o0w1cBd0iKh9imejvxACbCF3O0z4h46
e2hVlHQMWcDykpG1xBzp1hJUY4bQloZxGruWIrEFazMd+K+owjqau4rV4hvv4Dk7jCjhMQlztK7Y
XDHRi0PhxaCaE7xqRhw/cLfA3sqnYrXTcf7FVu3pXlKAloBVQRwSS04lnUzd06ly/GOOx7Y+Mzn8
IaRUSUGvVpZ5ncgmTYAHDJ3AWTUOJDm8DX2ILZoeq4MvlsKh5yWvwEa6Wbk4YcVd5ggI7kAZFodg
p5DbmkaBMSSXyLuRQtUIGDgSQ4rtJX8bf+pLOY0DQ2l0YjONAUxHKqtNmg1gFOvIfkKa26apNvqs
G5S6Eq7m7FxWtr+P5wVJpSlizDYJwuO+rGc0fXt5F8QgmgQC4Rl2LcQezt4PuZLbmbTXk1OVeL5h
LSqbFjaCx1ReEz9KTzK0DQGXR8KT5WkFhrKiDjHfkszCHBP4eiUuzgZMQI0g9lwPnIEF4hG9Q5eH
u/1jKnGpyyNszN7DgKedKtUa4egdlxuqRtgHXshrE0NVO/k4Fo4uA/PuUfW0fn4Jyl6MrXqNdTSz
5lwfr86j9x5zj4cjbGqz6Vv7vqjtf7Cq5dmaZkLx6nmPUw2KQY/A2PNGBq4g0tk2TfvoPuJEz11e
Cr8Zvi6WGmxUMUwiTospo7gzW/vmqJ29R2KipA0Di4HdIAgfiIK4LzDH7cVpl8TDhOGHNbu2njnK
Z/a1IDg7e1BcSbb9cYoPJhNV446kuLbDpxprB5jgQhbBKeoGFhL1kPRlQ4rJMEja6G7HVdWZpxx/
QkKquldnYKobM+sG+MqLckm2YnqsV84LGGrVD2ugXi2x/hZDRMDcVeZpbJulBcrVj4BS/SMaXA8/
SI64oKFEHheBZzwnufEHfKyY9gHjJAwmhJx76lL8yiI4xI8K6iPTC0QQGCPZkREFfhN6Bk7lo52s
rAkB7AFYGI0Fg554ztqPJhVtZByeKRLJOMKdiruwHRca6eEjJHQG6hxJVt6VTDTNJ4jaQ+Om64w/
Cy9nooWyQ4nao3led5IBEHHDV5ivrbBHzDrgggXXQcrPtlgiPTsqEZer66NGBZ2gTyaC+NF6KRsO
D0FxptLzynL+aAdS1u+42wCC+eC+JgjSNM84y9FMo1yy+MeJ75YOCNDiZyWzdE5keysHHitAjXTP
GFdeO5lgt2lC14q654cu+YljyaQvn+v4GbUMv1vg5hrzeaGX0RjT9s6tbqr4OUE8L3lUdQxrTdtT
sqYF0TrMPyclt9iBIX7tcG9C8Pzg0Po8qpJJsBZWXbUPKk0W/uSMLKemubuyVLzDj4bcc3eH1E50
n5wGkgcrvhc6XUBfYtr0JXOzZ9FOXa66i674el6HSlCOFp3r/iM33GK6bNTbiyIFRpKpZJxhuANO
nTfOsDCq7SVxWUV51tJ2WKmH4QykhhMPQj5yFdPwSs904gLiNkl62KUNhidoeO2cbvU15NFxMS+c
ShwKKCz76N5yEI9yXdOVowTWCsyiFUUEAlsZV6Kzo4qphcKZZYmfFIFBONaJ1+inWocPB2bQf//b
f/3P/33d/k/+TxqtZgdl+lu3tE84+czTf/89Un//G2Zj8sv3v/7770kSBwG2xsy0Al+lnhe5/P7r
z89ll/OnXVh2zFQGnCefmKExlKivg40YpTV8yDONrIshRU4TsJsbJu5X+RIiCORRQfqVcbzNpMp7
PLdrlvxavM7FcNX7FGj6FicvbpsVd0maAZx4lxvTd5jQhdc6Rwwi61jObX4tL/ALmuGO4Iw+zvx0
CbI092ZP7laIy8wwHkbCe0WdLFtFdyFHP40uDteODq/hqz1VpYyj8JLlOatOvBA4zplFj7V67qIE
x/Ho/vBkOMagzQ6u//ox+uGfHmMUpEkQJWGSqjhW//YYj42RR4/x2dceh4gF1gsPTIGVM6xibHaH
BpHI1PIumeprOdqFrMoZ9xSIG520ARDAr6cZN/IaMrQLYJtyAAQSloMkcBokq6j4pLfkrjYVHnbY
xB50TW3IDcYsJdp+VkV5F+9wuSnhJCfqr7+f66X/4Qv6f1wnHYxwMCPXPAVTeN3DzXUG3I+B8Nj+
QLZMvci7ZHkoCNITkjqZiwjhJZeEyo1kABT0qsIH3NAHYCJHTQqSiA7vRxdNv/X7cC2LSh5FnsLv
m/qnY0V/Vt26ic9sq8fO90Eb904Raaxc9bPMmnPWOHD9ONXkHGCoRIscUg6swMUbU7cgF5GpDE30
qBHisabllQjfWoMLS18wBSa/rB8COIB6I1CGqi7BjS131mcktrdBwSUFs/anVFUygs3j8Ty27XlM
oXZQOgu5SFB/NfL7IeCxdBKCJEMuvpmWFa9c2nhRd4wmeBDClvZY1R01IiHLyUTTlPgY7GMhQ4yF
NdrvxJO9wjm8Arcf2uWsA4MRzJ2JadXFHNJnMCZGLJogs5J0WMm7ko+xhWcxoxtTfhAKjTVZiQnn
pawsN2Tj+IbeydKLZ7gXVHvd6nwTHiehwneKh5ujH1aKkn4CnXCTO4jot6uh9wLLxvNW5k/85D0a
yJxPYXvn579eYomsoD+cRGEI0TlMucnYQGEoK/APJ1HQxsHgYaNdE5kVUhLzyeXysFHO8tYGOGxs
LJCNa8lYELWCcJeF29ZiwT0MBx1zRsZx/WKTlDBJhyD4uUujD5uGz83iQGj5IiW6LDIpSpKFTamF
xIo60+osxd9d/iX5KVPAswFVUjWUIHpG3KapBtP1OQz7qyKC/BDgvI53YAKmKH5Tn5KB+g7/1bsD
6m6lsDmhQJXVQdokhGf6VpQjnyw4KT/PweWQo8y6n7AAJWIOwyH/c1JwBLg+STXrjRyTQtUKDvzj
l5AJK74FhBfAsniYWABYMt0x6P82Vf4drfS1nigpCFyyAUaci3/9mtw/HQRh6GKxEiiGPokKPLlQ
/tdrcrwu8txqQXnR7Bc4fH7zt/mLGthc5NJbOf3C/uMqrEEehC+v05W0BnwTMdzFf4sLV3W3uMH+
XnE5HDhH/PUHDL0/ryPfi0IXAmkM0yWO/vgBfWcKotzX25OQwWUNEV53g6zmE84K9zV0YVsUC0SA
hdqtSJHQLOM2xDRZcYxgt15PMGE4iK2sMJHOMOF2Q2qbLc+wCB7rmsNaWELvtr/ENamCE7pkw8FA
ErQPCOoyzNGgtfzeIiU/u6mCXC4XWH+lZwJsiVJyWTDwlFUMZuFUrwJk2BuN6khOAKcHhelySMKQ
Zv/6KbnyFP5tt/lh6McYzCN750n98SnRYmMAs9Owqoq+3UtZ2wV+jjQWiACELyLo+LQUdznGoDLO
oW+7fV96nDHkOMgO+w+fKf7TZ0o8FSWpr3CeCqPg3y7R0cnHAlvJ40U0xNLhSX2kVfgBFyqorKLM
Q1euGZbp4HPSc07JmcVZJg+tQnNekSwHieXhrz+XL//uH59VksYR6x7abJymgVz+/2vJV6m7RVhs
IzACAxZ+xBQzGdBQSrzyTuoyZAOMTjmi8jImxsm7LYz9zAlnbR4B1kAuoc+6A8p5EoWO9P/+iAmP
u99RHnEa5Z+kCkq2BPdq6BsL3kgHNWGPIV7yn9598OeTNsXoyU/CMPBCFwzxj9/Hd101BXpxKctB
MIRHUWfURniR/G4MlPmeBveQgZ+awc8VL+yDtU0zh37VE8lA7CpKug3ILU+CMzkH3LxicRSM+E+O
oDhBxFByqoE1c1hw8FlE57On3ybITvfTQHNsQtB1wi6pIgxToSBrMJJd2+MS+cxb1wFBU0FPVyME
bILm6JvIERKZ+UbRF23OQ7cLFzx7jJnz/PXrduXr//F1p5GXxh6IO2889P+t1EHrndI1bTvKKbBP
nLUmsVWVtMcRtu9GiwIyRFjWvZxu08T/ZuQa1GZBgP5eVDPOyhFdgMjQYf71h8N84c+7JI1w0/QT
DjjiFr3gj2/v0Eh63Dk7vlp9UoJjhWBHlgOkVsIpLK+6Dv6VG5C3RHQEMWPRDH5mXVFqbvCsrOuQ
2gk+VTOIpB84/wjTiGoNDlqtGKlLHo12ebEQmFiYGJUn5M2aCLxSc3Sa3Y4zmeuhDxW4vtuLT1UJ
00VOXbl15WSvNwBRuRdEKG8h/2rCDoto8g5XU7x9IZEHG97SUkkSmZk928gsEzMPA+BgHUHEAsmg
sJckXXkHus1/n4j7EWNw4icA0SfqGRdsX2O8k4ixQSyWrqbnmzDGQhkPV86l63Uly4mgnmSL7oMB
GNmqYlULdmgHInVCw5e0gomQnwBQRgKRC4hlozasn0yOjPHaTue4mxlUwsUAOcHKGgZUsEhADGFZ
Auh3uH1cVoa50wrMX6eQGPJIKAAxKG69DfN9FUqCmEQT5ZacRbOaO3ChA2ZtN4w9oItl4DeTrPwc
yQcu3EAa4lyAnpQyLfkR9DTf78qxXUY0PZ/e5uBKCq1TLewf9PNShowybsfrDJWFTn86IV5STgWa
OioAmWCVjySxQCi00o/i1kp4FDBFz4OIcfS0AuaEj8+py0XmjEAqq+ccV1laE6tIJPuHihMSQb4o
ejzAkdWn6YfEjyUPd+QhtBJrf7sm/2Kx64BxpJ1EUgZAWx/4ktD8X3LkIJd1N+J0pqmWU5wUrM5s
BGC3Wl+ro7Dzt6AEQJzK/QumsSzUVpDYQXJIDA4XzK1x3KHEb9vAuYmG7IDOsGefLIasYCtjWQ0I
G3LC5Ta+rWAL8NffrNhCpmtJVmO/gkH3uwJTxLoW3Jc4CTtrs/oHYViwdN6EVyehsT037X21aOy9
dD0AgfnVTS3PppYpnxXHTkN0bwnVQp+AbP1mtx94SX01kqjDw5sDzGOXkS3asviOUroRHIwsPRm/
sgX+FVINxWeXoorw5O5DvlNZhZNf4r+W/Zz84HMX1y9e4daUnFeiDe82RjkxxGNQnLdxCOuLHjTu
N10fb1TUXy3TOd9whxTpR9wBxuG0AIdPo1LYgvTNWXKm9sIrA7qnBIaYd1VxCoLkCwtd6mfDM7Tk
IuQvjFoFaxIhJBMCinBoE8DewgEIXHn3i2jaYhlMrlQXJevKYmWWoWTTHU0FLafb3/AdJ+pOHBAt
4cDUE1GNhn7tYWKSyfwS35Ok9ZAnL2l22RfFGyas9eW8m5/C7lHQ9CzrANgVliFBHw9J4eBXIMPv
oCT0CboWI5YF01il+I1pw307H1iVlh1jW3AtPvbK234K50aYlc7K1qsrPGXhmeNd4wHPHlMFs2ni
7hNoI4AXD4dCZn9iD5JPEPVEBghpl2AWiO8JHuiXFVS0K2SWASR5a9jDAwliBDQzEokNIpYrmwgy
8OVBWJD1uckL+MQyXtcHrSlOF8IGe2EYDP0YqTaPeycnnkDn5jrZ0TNpsrwtVwEiHMmIlOSSBKhT
Vk6Z5nedAmrnpOSkgftw7ZdB/k3OSCYZTIPEM1UxwPzg+PSkBJNh6yYqIASntO+InPgGAu72LpYd
k+LU4VRRM1Wu2GEK45QUHJj1CrnhOxNATK9IWJhJ1fhX2RvMzJ0DZrBOQEbBqvnxTFgAbBXoqCFH
G+iEJp9/OjkomiAZ0CY36q4S4FAynoOFoXA3AR31ZU9mJl3ZkfDBxc1vHQEzTShIM3zCUYKJD7F0
tvY/aWS+dyhFoENwcollrDUCq8RNcWhecOVioaL64iqRvDQOoGdx3LIJpIFHmSSEMx0jAZV2cWoA
2POSqw7mHBnAXEoEG5sBwaxoPeRQ1prOMhb/6vcDirGNlfVytnLJsVJNjE+9VlI/lR20C82RLk6e
9rQaYJuNLPRplsFtzSgQG2yitCVCLl8IH8LEPbtDeld+WbOlRzGHf2PFsrGukXDzGMZTTltzrTQq
v3emJDIqx4FAYcj1nmXsxI9iaxgQfo1gVORGsK50QQUXLMzap12QFTiBlI2wSFaGuMnk6q85hy1Q
ePCBt0c2mQuBVObHMlMBPX/WDsj8hJG8ZTTXrkypetgOzHff8oa/WpM0eE2axvJgg79ESG3zPSVQ
PGhJC0NCCQ6DKRm+ScGEaYEUAwnjWeI7KX8mPo2GloM7vqRQYeB1gzXFC5mEv8kKmoBfSheCpQeC
fikFYx7gJSgUslWiEziiuT8ZQltBDgbzWPE04ed+268KB3dQ2kS41pjzXgc+o03hxTJPZojlwMM7
JFwodpcfeO/kN3Ukc0YoPtiXcZVlGE90OG/d2+2ud/HgDdjuglXXhfk6+vpJCNym4BdlZIpFAp8n
WavLcau+iaopT9FpMo+8lJA3VWe/jlCGCBBDOPxKIipZ8I/AQiRu+mD7VF/CZ1kH8DKKK0TbzPEL
yolEAp1zrlZj2MtGEtTtAWEMyw3LYA4TA89s8kGCLP+64pPYTMt6lvq8ZkfbP+aU8QLrzuPsdtGq
ZdDGgaOQIlCvXfkSIGVTHNeD+yNv+bniPG5rISZW0kEIsWcyXBmGychXJkZsbUFNbBY9Y2zmjQIZ
rGOVXCGQhNMxY/WzbF+1y6Eqf9vmM8p9DV7+kNQap2VRZU1GKpBuh2UZ8TESWNZJyGzO+pNDWrYm
A7JXGYvzCHruMAbHbAK0p6rnDyYcT/dBRtlRI2kFXuUAC/ghWC/Ssntv67wEd5vqjns7JbFSeXGQ
UWLAB9xf3xgYe7wlwz1JZXjrGPoeUFwId3CpJM+Shf9Lqqpu5l9JxECDXnq+nxxonUGYX+yej/aG
XB1II82rkDZF4OynPEdxGUm39p9FEA3M6PCYlTtWRL/NUzzGz5iOP6PcIBIFDRaVidApbcimlbvJ
0SX+ZNK2Sks5TiSbY6hxZRZ0SVh6xCL8F1p7HYhdMJEzHa/vMlYw7mxEt/w8u6wxF6esE16QeALA
0SJ4UN5MDisM8jx5hVKKMni24GfuAqCQw4N4n5dMLDtzrkbMntk3Uxr/iifmCD5LjyrmjdnSzzhl
ZlnJkSBSwbrLfhEkScm2Ml5yNK2Hhi0FHluhK0QGJisXXTEhdt+EYDYlksQME/7WcoQqn0fJkz1b
NUd90HkmwvY7WAHQid4Uhv+UZ5xrJQP9g5fEzucCYosB2NrdZHkfehT0VUx7pC9QnAY4k4niPWh/
kWKBOtGeYcA/eQCCv0sHRS9mInGepad+TyBFzSfSLeywmhfGxN8gRFBIoKoRzh8M95DckY1PppQs
gBmlK3Z5EIuFpZWsVGaleeiaDPklwJGRcyBugT8b2HIiC7KbsWp4ctbANYlp9Jgtl5eNc1wfwHKV
/FOWOeIDyUPNfbK2nZbsir852ruRETqzbZGl488b6e0G87j93oQ1nU8M2UZWqt/BiMJDghC/lcps
LCnB8ZFLL5caunu+pQnIgflKvhoCFgjWV8gk6YdQCr97wGM5fZUm0T8MmbKxcPoc7GxxKltkuxXv
ROsai2g/4+BlOkXo0tE2TxDWnuoCcQ0S7W/ES7/V+JFcyhDuwFb5ysfugTAJuly/56wu0+XjhrgW
nEKqKBtrlFC3gUKyRShUYNiSCSkVCcbDtLjMEcWPO84wfWfcil+RCLbXFvVZb9SN53US7fzC+Yn1
T8lDFn+/i7Dum4u02Jo7PXFK50qyFuncmerMn2qQ7hvaHg6GGqKEhagaKqa8QdQgQSpqpDVMKlEA
y7nW0ncyVpfmEyMsEGfirUexBenlcsOjDT4druO4S/5UCCCvnBIOESwU1Ec+Q24Ke9KHRx64NVcC
ngjvVtHPitWONYJLwvQxyLkuhfUmDhOSwSwZSvCa3uKNpsLvuTjlK/o9ntRAtXhSF3F0BTOXACys
JpA12NruuNhm1G/jzq6Ghcr4GJNEhvqcSStLmB6aGoxcaq6vGtt91lTtYKJt9TTwYrjAJYaBg+Pj
ZMSfSV6E8jAaytfqn9gH+Ryy3Fu5Q+eCBdsVxyvJR2KYOrXQp/jbPCuoJ9BuMVHL8SqzmauqYdG9
W0/4PGnObv7EzF9QEDzfIwH9/slqTITxNYmxe7BzVWp0KwS72ctVmIIZR1K9UsYJK1UsF0YmJrSD
MOYQFGDjgKkB/s+Xoa8b/OHENCmHOB44836f8NiuliO7wX8Xr1FcJoKS65RNsC1cPxIwOAkzAigJ
S3cdSWzm6ukHNJdchikF0tIuX+GC/LSmYavga9i8Ue5QScrnEVTKBgpDDeJJcuwwQvhkxU5yZwSh
BMjB0YA0TTngUvH7wI9TLwYeFYPsaQBWeyeVOhyAVi2Xq/2N6Z04w1bWNGXyAiIvVEAawk7hqTtC
NS3HlFhgNPIZ72qqmZpgRIUzEQwA+nfOrkaqKTGcSGJhgrLYyOHF/GSkVIPsg5JtEZkd4zfek7h1
wVO8VTin65x1oyUpE6o33yripKSidhhFUzm4lOPWx9YEMlHk4MQDhF9a2Z+4o1q9gpIccvoOpGZT
8g+MGtiQDkK1PBICWc4PgXUsFnawfNjfMtcXmmkHdwO0knIdJePNKOYWMbUr5HIqRIG/VARQk8DP
TFSaQSDbrlHaswZnFq7f0eXB3wFP6qlns5BQ1ymu8OWkssWl6k0H0QbMsnB/ODXWU1KWEcR4bdwQ
cgKYBKwVKADoMG8Ulj5WeloPGRWzLPNKWsRAaqmeFSQQre5SYmzgdDnrVvw/ys6sOWpsy8J/CEUc
zdKrZ2OMGWwKeFFwoUtTSsqUlJp+fX/r5L3dhSFwd0QFRVVRkCmdYe+110DuAeEiA9bGACfrU96I
WwoKZQs/NJM+fyh7syvwMjHw2esEeSZbvAOuI/qJWiS+3k8OI6r0cAah9b2edVLodUeUuPYkq10k
80TknuhD8DIvZXwCo/Bblzhf8jrz3nM+j5SH/OFWPNzNiqP12SKBxxuGlI1diH5jZqhgQSyQhFvf
+hpBEkGO+bcpKfXBbmaXF2vjrqwHA25f1KQLVF2H+V2DxK+Gm3VFQ86AEsrllxiXARp7lhTeotLT
E4qJIyz7Vp6JeLFj9pxR4crSS0fbcGxeD8ex5q7k5QONbPjMM1QDwsGtfg/xqTuiA2dcw81j1Jkb
3oI89Oat97nltr/ccddf7rM5p7lmImxoCRwf7KXIIma/tc7hgUrpiLiCABeqjz1H7OgTBjhzAMQ7
+trWIMuoI1xaoCO0obpmOS5uDSVY0GE9YGr8c9CosIfYkLw9xFi+4BIIStdke7GWVuiT3Irb9SmW
wpfnDEoPmRvJw5juWFI4GLd8DI0tGgDHVmccxdyXfIR3YNNvZ5cL5eR7LH6t1B7gyvjWzkz0VCVZ
mF9NOPPH19bvWQe3NRiIZI0aMHYX5mn2XEPYYtHspKSjWDtQZaacXuaeZT4HbHmgWKgPtQiN3OYA
+CpI85lCFMiZryqRpbqoAQN2BH0ZelvMYtAYnsH2RtQfpcDrTCDP2RJyJWZMz+PCX+xi7sS7oqk8
Q9mItTVsiItTUxZwHcvOwOKLPuPbxhvel3nGOFJ8AzwlBlWjXvEWOIBkO35F7aX3QwSYLLIKBv8A
BBXlS0IWwRkuchwJDAA+WmIq0UaoFuSa6YIDG2cNPzGrxxAt4/c0gdY/o7W2Rf+SAmTv+RcDdNQE
JJVBinyj5cQ1NOqI9khE8gCVtO1gtEFmrly1OVCyCMKkNvXwOEakKt39eKkNqBrQTiQ6oWws5Sz6
EECOpUcAgLaSn1oHK8DkBQ4b1YdEWd1BuctucAir/8734Wvr2cC5j8ePqwfogkeagq+Dy/UPPMOu
YQ6wkyb+H+yguIgGCv6aKZVNkGeoDuddgQomAbOcI8pD0zFEkpa6K5RwhkEMIoVD9C7h3qB14dEE
OAtq4XQ7bXnJo3Kn+V4T6QmfAw+ToaEssiS5xBO20nOOQT+oL1Znmh9x6mbWgEYQIjjbHsqueCEE
xMnXAyPU+7kHUNY4Y26AOJyZldzA81xonGfM2s85G6ipNrd4zI1XPHa4xtGYpPFNEc/Nfb2DV1Du
HsPYlAgQmUsNs6o0UJhtFxzO3Gikl2NZYBeLjNzi5y1noL7xfAS/gFCPPTSnP62+DYLw9GaUDK/a
nqEKnCChPUx3u4xLMUfvcV5DGCDIEjcM/V7aPbb8yVcIlQa/onN7e1gwfV54Az5RD9oss0/pabfO
yVdKecMeKwO8Es9VmtG9014UpfmC5RqVbsRGC3wgc2vpbo7kxGA9coHXE6FACR9+r8LrIGQmwto+
SHCY1q07uPyC/Lh2723SgVVle2H2tqmbAzMUNHSoGM+qor4eSqSGc4r1Jeo4bMo1cGKEnLOIsNCm
xJj54DI7ysVJt1clWKbuBioZJhw5tvOXmvaSCU/wZSc8VgHKM+YbRG1zRpgcX1uMx/igEdP5VW45
GeNJDHsYYC1/QTj8lLRaNxPOvhv3ug2E6oIRPx8uwSSjbg0CPHzyjfUHu5Jehcl9sHKeBwUZptbw
NjlGmAPSufwLiiT1i0cWSXU03xdyY97mkbRVFbgXLoEJ5nag/dTtwxANr5OMvjk3OrNHjgviMYnf
AYRIQnQ5g24qyDl8ZofUulp3DLa9bDxP3HnlyvkDnyp3oFXu+RIdBAAzMPHCuSioocbEnOEF1xmM
n7Ogp6LBX40ngxOWlFV+I20BFmEWrMyC/oGQM9iMEVqtfHRSENcoqjxOZOrEOQk2zP4gJ+edDnRm
x+ikOUsOLFRDygJGgmQaGQUdcu9qM/OtcKlHuq3HnpfoHHBCB5xbcRi0BkrBEXPZfIMOJuYzQzW+
Wlo6cFmCI8RWeG0Si8wFraUx2PSSSCANOk70oKfcfNj3aM9b+N2C6o2brTht+N/raNDprJC3psPS
H+UiN0u69R0ejg7ICPJBVnERYBDQ8Rzh+POUpUKZI8RZoVCLhjdpRm7IJNAPumfNxgGejy0CqWns
3gsF6Hq+ZkeM49M6YDmXuDR6lt+LlxtohXD9GfbukNM325+UVA+GgJNLMUGWvU/sEawBEKlmvc0Q
oLw5pPN62S3QeuuY1YfFHoaMPqeAqUTTDmUzPNMjmQYLaHhC6RUJanwGV7+k59/ViZJLma3JP4WL
QxO+weFiR3vaXCDsBCqmZ7Vi+NoI/o+EHNAeiFQElAo6O/JD3aKE43gpXjfZofh0yMKDqPwPply4
1Lhjqdbwf7O885qztNuh6e1aIOB8xYWCxMnTuUfo7PfkuGK8QKQqNTfusFxNeAh00lnQRb6Gfseh
CJ51DqDgn6MCQrqMLOtsY45uA8ytXzmjPNSwKJrhh3Do8B2CRTfYKlqCz2vk3jWkZCO1rg3ft644
dTEJKmFG8alMCIZqpQgtg+6UjrGLcbll5knvN1qhLKGiJYOoNBCZuKAXPcYf5r4eSD2Gmryhob3U
twEE/WzB2n3rHT45hPcyGWjaO7jiFOuaHdQeW07tLHsHokx6M7Z1c7Fbzb0hyUY4pTXS6iIsn+HO
KrqJyZe8oZMVb6zkeETFPfoJ345h99vAOjtBo7ixGSOUw7x4tv+hedwlDMq7inM8ZE+gOYLI9GQR
1qBp/Df2PQHYJPSGOj8AeI3H89Lrzvcrm/jAM0sgZvI+gCCtFCQVAOZjWGsN8wIaJuomraKC0oIx
nWim8CbX1zNuS3DVWD7WfSSP2Zudpn2Ahn8flzDDtJDKe1b4XIA9PRbB9flVB9YClAEZboCzCbue
87nG0PwMqJp7l2i/867krXFTH3Ea6d4xbmMaHY7eRd1w0mKE+/fJQo0pzHDEwH/HWQ8oxNOC3k7/
qNqoyJdP1BIodNi+XRpgScPBVW9mwm6PL2NdmOaZBTRICoCVBx1vznkyh/MHED8MYNi31p0lEWZ6
fK/GUKOKIQDqDSYgE/wDHoeJmXlyZF7gcjnj7fE0OTsuXDZr7pKDMxx1achzNhjXv7nusGXw4IXn
3L9m5VfNM4e4UQBM0mSUdwsN6QlO9FQ0HsH2eOCMgSJsWDgYOKRkxjfg+HNp3VFJYObkrXGutBq1
OVGV5C6k+El1bW2FWdMcnQpSm1OdnzrNArWjgXSL6TzgBu8Of9tCTW95nhkfg20GB81K0I2c1wRt
Sdo/F3xa69+uBcdTRh86Ejl95LloaxvAvvPO7zKYdDtmNZGvxo8JnNzwRQSCXc+h0cgwxcW0HW6k
qh9gbW5UZOD2e8xkq8P0NhpaMWyE5bF8CkI+xVJ0CS5Ja39BPgGzUfBjG1dhlNfTiDgpKw+KdZhE
HYylvfQl8HRPZnwhwjN6OFCDIyeIrZpg2uLKCUnSdv4pNx3Mmd1l2ymgU17ok8Ni8pUMsM3adoSa
j33/N+FunDn2KtqSz37sbw9T61V8s4zXgqF4+gb9Nt4eelzlQRUEOkWi6Ee2ggVzhSWTK/JN1M68
7QtUoPA8rR46EeTAJtfMTa4F9UxMfb5H+zDI2cpiHokPrGBJVSIHWg6LWCHWYFNUg2GmgsItJ33N
yQi9ZL/5twzTecgB+ALUlosAU7cHvHcZWxQ0siepZMefNMy6FFpRVbKs+l4TEQMOnupg31izXbe9
swO3xFfXG2jKd+ACzz15u6EdObfOtVSdNu3ayhU5DxHfoUgcMkprAqY5pxsOuljw29TxiRLEg8mC
atXZ82ECh9mzi2h3nljqpoKIAX1qkBWQrEws0oyUAH+0kojUYKYSc4gVJdOmoMNt5idrambDs2aC
qhIyY+3OI7NCQbzU6JP5ZqexGID+NdLU2XWhwK7zvT8lvKL4dl8kHpTrJBAI9jBQ6l3ZDy1NvTOp
xtHQxlYAYLUa9bFKgmICottz/NvsCLBRcux25gfBF8EDRyVP0tNpRcDXkDFtEy+YakZkSkEvJ91Y
2TwydHoclnGC/w0IoopqqIIPRKLezR4TvYlAI0ommNg2bXbYE+8zo/GVGNP+r6iVhvVkAYuZQnJ7
ykSJ8odkXb6RWJuRf6hnD1ut1+EwH4HlNtxKaspTDhKWgEU68iPhOfVEVVkSxdnzp9q8wX4vSHzg
lMZwsPmveAOTrHDFPd8GkEMfX+2zDS8ArEw50jlEv8qbzmd/azQggoNp+PJd2VxB3XwUM1la683h
Sahw4OYGIi6ZQB1Unc/Zp2mmV9qgcRE9ihiehrf1aLAH7nkGm5xr+KrhtMhpFufCPucNDeDCakBR
wdq003PKmw5g+k4uWSotgRpW5qDAffg6tHTmgDJ8BZt5g6Eo0KPx76CDfAsK6qEhE07TyYmaF1fv
ZD8uGf8QMzpwRv5vOwuTEx0aanLOGuYN5H76r0/GyqhNsAdn9wdsAXrsTwEz2Yizusbr5mwYZbLc
0/dWK5yyBsY5Fzmhdl/bkocpEjOmSTJrhO5ZZYyR1XlO8gwTZNVmXvd1c6TmOxCnxLvKQ7e4QDAw
U1Kg/HD5MK7p/loO7Qazi85pwjHfVHx2S+RHzfSpGni0bcqEreDwmFiS9TpBz6aUrDbew1CMn0cm
12dNiFRKL0OgkRl4CP5EEhCpddh9EOuBLShDb2Eh+QgCpclCTOWBgSDLJ6Y+8zcdhnCQJt12mM34
587CTVGFbqD7c/1YhemKKqt9j2RvYuwHTD1rtVFoithrfZ6CAlnbMHOOWGW4ndBgYp9e/c9Hs5a6
bnETI39+4LZgtpjzxBylDLlebS538UqC025K3zCLBgo69DuS5fBP60cYdQ4KyLeAsvXfQQHgh9aY
p031KMXafr/4V+MhKrDGZsHJkww5fqIJJacA0ZNScNJC7CQsNDzYfuHsrhK6n4kBLmAJntC+4ufZ
DeQScky0fHT04ukbmV+0GQu+VwhWlfLsAQ/Nh+KQV7eFdoJjOMHlogB4pdkUzV3VYdtKMGZ13oYY
HzmhU37sSaH6aGc/vfzroNzA2hFVaOx377YdvZuvRFMsO6Ybu5vxaCPRUH4jedelH49Z6JizvklJ
6yW0E6tbzjJEJ+QzMQzCfGTi3id3HDIepk13rre1bw2Aw4UtOIDEbpKW+9aakpdVskJezqfz0msz
OlsGCKi0LBhBX49DMVCGziN7MDmr5spQo334YEqXJVKeUeIM2uogFDzzq/yr3ekaWUZLCZ2ovbLT
3G1VZ32kz6pSwKlit2ctLqBnljTTl8y7XJePsjere7F1HFwE07KyvNBj/BwQnMET7Xu0ZIaaRreU
/EgUvmtjs/IG41Yf5w6RnHRwyKO93o2AuZRBeENpUiYXdan8lB63DVIwjMW1zcMgUoenxl6ve0rG
jnOFCC42I4nrD5bJTeUs1c0kNyh598HNhzjncfMB2iJDFR/TabuORZUg3BF5AgnA16rmOdtwV2Ij
uakZule51IipcJWcY1KH2bxyZi7sW1AT3SdEU3zpBj5/wR63kyEG3zy4ee/dT3sKLh3duFmx7HFK
0FzLXvDJxNCDduge13IGJgvWMPbP70FWwcvRGoEQ1/FIbIvyJp2sXB5Z3d0tzhDZQyzEpQWUTEJK
H3zK6LopI4mAgcVHH8U0AjVtDXJ2RsWWMHEAOHaBZ52MEt8qfP14bF9XEg/2mAYSCqlC16h6YNd8
ZPDONGPPPYKxgCZqzOTw8HEvcMGNLhhiJNf7OvqUDdkH+WD6wkH1wreC+ZRF2+EU6EVtEd/HclB7
ML3O1UkEAUcqzGoFmQWmougu8AiGfFqhydXoFKr69o5cQyrPtjnc1sFaMabRfWYDU4nbvKHnxOU7
pdmsrB8yitZK7LytppTbojcxTwb39+Te6fTRuvGHv0buFZ70ABMF5jUVEXRUZ3y5YWG3EdfN/8xZ
bPtOyWesTyI6a9aKDLA2HJjxX2Lni/FGwY4R2MBbwNLEvzjRTI7C4yk0Lu0pzScAVhs/W/+3Xtmf
AbIxhTtDj+KBq/uWTZr9/HaubFlJaESn8zZpmQxQH9hvLVMfTTGIyKbfg86kGx3uKtDfgZOSac9n
EIVvGGmz0bg7fWIPZMszk5o44D95ZjknceP558c8+cCNWF/gvj4yMd0O57YOMoF6H/AgW3dYP1ns
zzHdGj8mNCEAZjjqwWK1Sd6WJiN9os2CwIXhQdZNTBxu7Dwy53WfW17Spk5h9kg8aEPNZDw2Xp2x
pZxJ1U3OG0CWS8k7AZduZHBi81AW1IO7HWuR5QLpt3I582OBdjZPWGS2wacqK7j10BeWtDwKr2yQ
0RNlT8trR9ewtehJkC1IFW98rLLgZA3nPK6Pw7xnVM50RDQWOXHacdCGb5dlN+lBVw7iT6p5CCTe
N78FUMF4npPbmoQ27DahrDXuc5jA+v6DjirApwELJNU+G/JbYBFRboOe94OsybmgzAkhaSDNOPI7
yalrWFXhLgqblDm77PJPrvCmRa8Kmi2RIIrTlpbR3wfJrR4y0z2wNr8TOUPYYwKwgD8487NY/QMN
9DVcykfT4NAfY7DJpmRTOAc1Xz4Psq5Qcvd2AJTgAoHJ2/mGLPILJHDm1kLWNg0eqxL8bj5oeGWY
U2jRIt6CBcdAxe6BTZMFP25/VFueUZ0yS3MKZm8dRM5z3xccE+ojLFiEhJSKfKc2ZlW6HIhdSImZ
b0Fyr7w8G25u7Znk52yNucy4365Vv+nWiEsa0Jj2V0OszeEKloo7OPLSu4SxQxBznYLO3M8TH1cK
1c5BLuHhw1Fzd9GvfWPsxmHmg1rPRDOsFHYH5kZtBcPebzkA+o2FSMs2nc/hkJK0Rl+YBCDrAPsY
4zs4t1WrAA5knuKSS9wP246gJJf3Pfh42FZ1SFMZ/6iOrHi9NXtmKGpscIK7WOJZnz6d3mK+dGKO
VUCA9TXUOcBGRWnBo6S3nxgATNhu440nbIpBoABSU9O3eZTgBkkn2YBQCqoVsaThf/Zd3uDg4QvO
uLG6mLCzgToE6pAv7+243W5Rf+YTB1hBVsJUxOZNAnGJZNuImPhSNbJzQGuOvQYLEauU4MAja6WP
aKcMQdXIqNIpMenBZhqmgFJPTML6VyOHRASI/8iFEyxcQjLnUo5qv+fJ73jQlqyG8QJzlJSPR+ll
Bmf/Pp5wHG82GkQmESW7BHw/S94N2ZE85fC87PJ/2dKicrh7pIIj+wZoqYOMK9poj9RF8+c+Yani
O0DHoy0wJSAODsJp/jCInHDprM+dTWfJsQc3oyYthlom6URHNuyF2cNTq8y/9vQXwU6E0qZh01D5
gR0DKokfZ+3brYnmNDElaneI3htalI3RGtAzlH4TUGBMclGqyvQek6fedQ8J95w1VILLgVkOIknR
aQWs2PgFC+kEzZ77G5KnP8Antb1ACySDc1KeANj34fak4eweC6TNQekEsgbOtkCMUJaDLNBQbwAo
LPgqOEeO0l3TjU8aTFnP8G7R+eiSWDwMttUAL+QMO00+qhgcQSsJbgqbqatVbMXTW8gilCeU+3cG
YRnLj4Uu4E4hVvMBaYEdJNpMPvi12I1j3ZHu9zBHd9uTIQrI4nk2BQLG94mnoj8eKSZHHfuoco/U
K9vyI09wW2+nFtZVuN+ekpERs4yLFdqiC0z6rt7h9sRtJydN4rgOTxr4KU+kd3kDr7aKNVmVBJpY
LSUishaN+VAEd7g15amPF+b4ZCYuCJwfvw49m+iVv2bllu+TA1EHSIs1a7UKpROJm6457zi1RDIg
NmSb0r5PFr6mEIshfG2dPdQzij0XrLQsr4jKDuPdRjthIEAFLmeRRvvdzA0F4YYfyIO1ma0uy45q
A6cvtdp547S3RtbojjdMu25fMqavOZSs5Nmk93S/gJSIzl9Nseyw4SM+zZmma+B353PHuWGptLiU
ccYszYoiLr1pFQ/8quKwS5qw4LGCQ/Nn8YtP8it5sNnOdUbhPO97D2w0rW6ckBlaT6ZCXHLKxBU9
LEYubYRXac1vclifEizbgBXlmcmcMPGRgTcXtpWCOfW5G8I3iMoolw1hw6+2436qJgdm7RBz8HD8
wvbA6okj8x7pNCaAGfe0FdoI1HrljAYbowzQxdKMrCUZGRAw+g5qKCAu4giLjAQLZ1yytipKh6p8
GnZd9t7z/I9e03wUicUiwZIGnGboeIXnZNqerWP6oTnmYBKonrot/YSB8g8LK3etE/wlMBZKwO4K
c/PvSbPDfc6yqAQXQ86EStVyyAzMl22dYRWZKntzlNCUfZqvrlga06dWt0nNM9AwURc5mb60s3KZ
Yb53Z7GrHMUJCB10R5rbgiOX+0FGCINYRha18PQLkDVbQjmAQYpRI8gSqhgIXZB+SpU0Dh/NCvRy
VhndFxe3ECnL451GhqZOwxmGp9kMg4yDDltPVGcxtAWVvXsPPDMCwcAcTPTqMq2bs8NS+2exhrZJ
xhGgoEmJGeeSCq3fq2TGWGGcg49+z76uXe6APIPMaotvCKHibCJIFJ98UgriyPJqqQ7IZaIoJLrA
CkrylX+ijOc6O3JFxlxGE5yv+oxkpOHdlHGp4SJZoqmIPlDsoF0rPLwPIVOh+N7O7IBoPkCrRK3K
oo8QA/N72WKvD13cMse8vRCeMB2FIuyoTGzcRI3ehjhQJvkoZnD8Zv4JSXybyMQkTQ+BQUYXYFsz
5drGCTQB8GWbjjTATLak1qEEj5pA37nDKbyCAIzaUlgCEWPR3L2v0WdcmtVP3pKyUvSow/OSHcgS
tsbUO4QWyjOX5rISvB40HIFxGHr7HCvfJ7JvYIQxkcGdRCsuIoweAgvXZ5XP910IARvhiK63as+s
hot1j1yELUnbxNjSiT6YI3eCy//WUoe2EAZEZJ49Fa5piXpijH/kpN3Tl0k+zL4N3J5c8hxu1BDh
xXtgFb7aCHxIRue4ezLrwpTvwORi5luL1b4BqbcTZX5rpau5DM2SvbeNTcrNg6H03ISXc0iFan1Z
xcPeDofv4TH9ApUZxLDk8QfMiyjqRYZdS/QL1SQYHH2ApXPV0Deha8nruS8dU0a7oH5KFjz65IjT
tRzFSc01nS/5Xz4hShD4aIdrhqToOp5k/O1Rwu3rJ/gI62sFE8QwOc/bZnjT+lELbIuJIVDRRTKG
WEut3lo5xHA8JcrS0JaQ2cerfmnQgQC2P1qvpnqAVZa33JR9ShA5FiHigwrbhXyKfVUbEVZYLalL
kKWmKCOEJHHBXlVBgH3fzpjH5EgZbknlaHS9e2zccNTEYENJgsRp0Qt4+Ms92lpBrLxAoryhZJ+p
n7GWd3r6vkMVYlNma1PS0Exy9G1ZwtK56A3ocJs7mvCU7QPJDxKpy2xVlEIcwNn+0vZD70dK9w4/
6tYB1ltXkvk4YOsFcpB1ymtAjRRh/6olbnO3NkX1RJQKJ0nMyrO+h4yd/qoFHrT9MXuQvetWIDtI
2EjYfxUYNKcHZwedsHqyY1A7YIfyyXymhZMYsAlUkqsZ66Vtn+Tcjd9ZXPjo4nouXe5nhcDrWkuc
6Qmk44GLPV2Q9UXtkwYTluUbUFQwzLJ4BZFkOJCh2R7XPPLwVReevSANQ+BLFsuIoesBYeETYxb1
z/ymnBUtG/tC2AXhL93BDcPYfTI+ruylTNKO1IVJAyGMeT+/HLp1QhGF4w0XvYxS2uiNtqRaVu45
dlqGopT8It13FghRUcSAivLHmpj4wq1qiCJDxpu3KIUoc3Z7QwTDeAz/Na/dVWiA3SftoGmk70Gu
SKJl5gVFVBtsecsHHdFdSX3Qpl6RhbjfPlnag8yhhh6BRAGhVniLwWCndpoX3CSCX31ApJNPvTBx
XT8IYv33f7g28LyL/TEPvcdaFiyY21ngIMfl4rB/Jy0eHcZr/R0i0q04rrycK3kMzjVqzRDvkDS9
kRZeXwawBspU9tpgGIaB2QPTUWz4GCbJGaPHb5Z03CFSQ8KG6MSbptfqJfbd4eQS+a+7eESEwA3U
c0+v7fXW1Pi9wYGo6GVk5fJnn4BQNizPTAz48gZ+qB8GYew983iAPoNTHsnKb/Tt8wCLLvi31rcC
H6D4kF7s8vYee4hLudUxVmcICW6CoSALH0UUNMSBOr1kdJWQb4ksqIv/pb3PCXkNGQJfa+tkxcWy
zBB86ZHIhRoqzgVoEQldguWYCLhyOtxwFq5/GXrJNM9Ouqr5IthwLNrmC00jKh+9ERTJqQ/ex0P+
ru+xsgL+dRxcR7LwBa8h9xcTmyTxjXaKiTEjjJ6vjWpZxCpxW1JxMNBRmzE72I2EFB11fMtdQ5lx
gAFapfcpYD447Q1mW7f1kXbeDy71YqXLwjzwYT0OH/Py6s+vL/1l8eoDpiCfnue5cZI8e32EdY1o
brP0bYIP/jmuKNnZ2BxmQkipJ2xGWF5mrFB8GznMzZ0EXzZu2UfXiycUdz+ONuxpKivHCFvVma3a
U45JsdInRXGUCX8XMscODsv7rsd2oVoZcpOgw5ALCmwdsZyVZU723TcLhugoOxkn1JzFViSrR2ZU
MyGogHCChveqyFI6Bb/62O3VcIgd3mEzzdiu9AF9Rw8aRHd4sC6tTAVXaF9Ah4bgTApSmhylPVLW
ruhAAZiSRUzUPi6hjDAf0tiFExhmhcw0NWAEnYPLoNuD2AxIWPjvXgSt+AtivM0HBlV4TRBOsS+6
D3lsAKMqasPBpXQSKR8u9d+Zw0U5hNwh9V4gXcTYQhaXFoXre18hDM6nbArLz3M55Feb+JhgwYz2
FhRD/qhp14teLe4vbh8sBNfzIO6iiPLN85Xqx16GWLLuuBOjW/Hz5PyIPOB+npnh1Zit4VEldoWV
DOyYXjJHRmJ+I+G9DyFgC6erHqbNnxfobz8XHiQpZwzuQdFzGyg/z8nFZpr0RngYt9cTJ9EtWOId
Q407eVxJVYm/y7UxE30xvELI8jFt2X/2jW6NHuukP3+u6BdfoyRNDYmEDE2jOAxS/fd/nPpIcsty
t/O3N/J8k0xG9o72pFd5C7yJVw9qT+7mDHcwA2HYzDMMMR4iRoymYqUKq5sD4N8TJkLANnd0edVF
4cMcJR+D7r+Uj22RdlmP2esCVQ3UaVl9cZegEBQJS40ToUW35ggoewADh350HkTNe2u3huXPXDGF
mtp3x6P3sfEZgUETEQcCgvmNtWGDVSEVjyITNNLtWpCjXnWpzPoxj7MQ9pxx24SAlgXrX/bQ1h8g
3lEuOh19DUZSLz/nX99/6qZ+HJoghGLg83J/fs6TOQDSLmHOeQj1CghUFoeqBPUERFhXWPXA+wUL
vZS/kbVs5KPKqFAXn3X/4m758/v/1byHz5VA29WHMnzEZ15N7W4kFqOMEiSi2Lx43OJ4/tmbHG8r
xd7Jmix3GE5yYyvffGm8D3R318OehIIBADX13vo11j0vGZP95pF5Qcit47JrPPz8nxckUR0fXFwU
7meij2xBknG9SoEApGTlPdh0XjuT91UWEgN7ORvxLk2jj86IB5hkvSGmYCGv+c8P7VeDqxScLIrc
xAs84PvnxltbkzL92OHT3eFEKMu0oCUzk/JHamnZ5OmgqTHXGgQSyWBTV6WqBqn+dVPix3Ipp1Jp
2iyxXZpbeSMFObTSuX2n2meidiC6F9EgFisqDXx8F2VYqfnan7+S94tnFz6CsWvCBEtOzJziZ+tg
Gqvcw6YjvwcXQ01B/QNQIICc4eyVwd90JlXGeAgr+PN1z0POv5WVY3CEmu8hzVDvjWsgN9ClLEid
SoX0i5XI8/MdJ6fIBEFCs21cDESfuTk5pLybIlvwFdY+2qLbuT6dVzrfcxe8EDsVWdJYyUDHE0YH
rAg/n+/VkxXuOPhAvlg/ei99rmfPb6OmzHf91Ly19SM5AbC5MbvCfbFCB2FyNCZxehMZ7/yQAMta
+nQDyhKE2GZGEzMJVNYDwhFTPULceOhH5MesoBa2R3+f9Nzh0gjryWpVV9GLNl4vfYNnJ1SfTQTw
9NHpycpvhCoBUhy31MqtwM2YrLx9xrKy9tM5HWC4qON4GzeGa+GlnuzLVqrRbz9XyH0e85cLLffn
kxNf7ByjZrJg6wDJbwY6Og/KD9/QOBkoxDm5yOCUwtJDGHwz0cTXKwOD+8PU5G/qgbIjMLCFLJv0
RDpVtEWeQThORshddQk7PhlgHiEVpPyJnQP6cmoU4PVHWzNZcn1+zL4YRWEMjAnFcqgj0anc8I11
ys0dWPoBUVFE60E9Tvlv/gI854RUk8YbPw9MJWy7M4/hGzvjYKjIJadxly5ctdtEpfMp0upx8uHc
W2eyamQsX0JSgo9M9aas6C32hg/iFiTw9C/mhTJ08uvHPmbA8ipGBl0grt+9PSkgK5YiRhYvHIG/
dATah1FCznOQ0DBRQvz8VvphSPlQ2fQoH+Rg2AGhAyHTCUoJJtRItD57wv3b9K3e0wmW1GNbhf6n
uGkhJG9FfUkIyvX/4b41v1s2XByukbklJ9uz5Vw1eVT15a59O6/35mtd3/B3frQ//cffQb35K3f5
zP/+yUAIkP03/OT0VwI/8ibgSTdUyRf6dzRz2JzyD//zo1xPOfzQ3cz3p58MJD7P96e/guM9fw3z
Y1Ay5sVJiUCXm7n4brcSw/MSZ7LrZ3+x7efi4vRjkl7zlw4C+xN+bHcX3XAPcMXP+ZEGdFrvNTm0
P/KP/Jxfw4+nnzuT/uvprz7nv2KjfsFPzFf7T/ppt/vfHzExgBFx8cIl8/t3ErGTPQzfYOX8vGi2
xD0wRd5OR4yKc3iB70t3vY5nCp+AQhNtlXyfrZhKF6m65RxAkBKA+xLwk7+rY1bJR2LdO3Sw5/K+
UnYlPPTreFmexmz5vsvzS+Wo/vkL/G7Vx0wg/NSLvTihAvj5C6A+7Mmm4yyyHnsO85CQ24YqTjoG
q3gcgomAa7grPt6nBL8wIGJEqTuIbHUVpWrvoX9986kALA/uzx/xFxiHjQnvJ8DnkPOXwunZR2yz
4VgyZiEOPA9fz3H5INCic0CyFLqO6ulGV04ycSwOFRSVvAdZwG01APga8CklXe9GfUgyYSDNKHIG
60eIxurE5g1bw//09bpTVZNsYNQYT1zrrtfsV23yhg+6Znc9TKKY/sbHvQvng/RePrxToY0PGDAg
Meaj/Pn7/2LUqu9PHgdtIGM8j/Lx51cEeBnXWZoeH+uYt5BizGogDNC8qDiombtoaiRTVH1ByPL3
qraEEVv3YSx2lVXw589kHTD/CS6BqBkwD7g3cRKzcp69k54F0cUbiURYED3I3zwxAD9ACAPAiBqB
gPRR6+ONubSaQfuw2/lzMMDdKfnngTIR1pB8cw2pdyq6VGzJOVkeL20CmIQRtQIBuhLYHtBFrY0A
y76j/eeQnZLk5s/f65fmge+FMSkOr4ELMkRc08/PmgF6T8wD4uBgAdPdlzdjA3Vvw4ueUnfOk7t5
I8UG9bxoNNj0KxVKeju7FwDHKsrkzbAXcG//80dLn3u28tFi2n9a2jhxDRfVzx8NThqw8n5n3qke
GxDw5JhtItKkueEdTIi3VLcP+/BOTsYypt2Z5DIui0sQ/M+6j7FPYYYUUn4nEfActZjenNpjDYR1
BVh4kKhs2uLLwYdxwZypLhQ6Dy7GG5MdMED/o/rWoGBEI+9dUY5kjicbatJhQIzxB4avrl+kIlBO
9sIYtWQ7vMr/c49qyQpJNYohAuom/gvwgoZMx6HWcY3+idkCtQcLvO4xkqafrhcWOWck9fSdSGqn
yhz3X8zS0Xq8WSPobFTG3rZeH/sr+VIrXULnsSwjra62zY+kNYMvkv+AM7fW3UizuJjsXJ7ZbYzF
Hm2NaKj6Iv+HY/eXe4OXGUQhAG3IG2VX//wy++ME5SMKDW7TPBRpl5jqzQXtFJ70jJDeDSR2zhAM
rCiP0rRu27d1GaLEhI+GWIUopqeXQR1PHeizfR0DlOMVFEKJDZNn69/f2PcJjx0jkpMpNBNGlgEX
WAJpcF4hFoDTMi75oq4eu7zboT2+1qnKRPjKpP7dRBcj8/G2IKEbo4ESi4pgjK6c7KUdwSP7zafl
DErdyAWE8uyW+QfUUx13ZWGYQ9zZqSWtPgIw3LahveBzpT9Qu0PgsaAA9Ib3Ueh+FuBLNLm1rRrC
PdZbqwfdDfd9Gf9LkkY6MQ0qBvmWuwPjbkpoZSc6M7pImWzYHGPg+24E9Jkj4HIg9bzmhPBFFQJe
wFw+aTkJuTJ0yUua16GE4mLFqoMto/uUSEvTohGq4tsxpLb2Y9gsSpyCpUcbqh2QDs2l6zB8NBHX
Vv/UDdN7RkDXMdFSKj1lETa4IlhySmZU8zQy3JKQ3VD/MNDII7JEd5y2NFhkv77WNVjDmgqwadZs
cGgkN5dkAW/tbuA39LgnsZ7X0EL9prbiqSviC0D1YLp1k+S0BZx7tn1Y+E32WhGnRq8qcO4nP8oa
DsUwi7S+1XqhBLlUmyfWt95SNwNgVQDRacW/n642w4CMM2xuVzi9GHqHL57tv1ktYOMhuy7FQ831
9d//sVqmdNyHc7m4d9Nhfizi5qmb/Mc8Hgh+gIUwlG+S7XgnBbgegCRJcLB3Z6Wbnu3n5VYzCl30
/fL/71Ndz7o5B4Y5EEvh2WUaH+Kx8szevRsSfGpT567emNgsy3t5A2Fe9ReytVu92pnIiHqPjIZ+
S92/rUq4XFssKkS8+/ONY32kfz4MPPAT4KXIi3xAteefa8yZnC97akEKj/+gzlrm9hLHs4UBNQ8J
iIcRqc33jkD6iOXWjWD7aJBASKo3urB9Lv6Ya0dVoviiG9fJy8XSbwoTz/V8N/IjKsXYtRf8P17y
ls3BcvQSg3M8hkzmCFPEXpEcCDKSS7r9u906QwHJw3tFn/lRWJ65m0EzBGIOioLBh1rYDl06zOWu
Oxo0rWLI8KediTQz7BiFQTjWrTH7CXxvzhaqvxjv4kvLW9UygRf72lJi9ZMX3oue+/P3Enp8wyBi
MEQZ+vNC7t1xzIlFG9/Hx/rBdSW6G8sb3XK6PYKAqpDLULBWguHtmeStCpXTXEA1bl0VN5oPaM/G
HFKx4nPgg778NsLffVKszrjpcFPHb/JZyzplgT8TT+xSI52MhZRsFgxHaHfzlba5v4ftLG9DnRUC
wMQZIcutu1wP61nWpJAXeWsL1icbcPZ+Dt70m59d1Hj9W+QDjgj0sRlKQ12y6HxekpyNNJvP90Ri
gJ11/mnCa5MjQYx/zBIOMGH6OsMDCng/2ltiDA4HZNZO/GMCViZb3a3ugwI+G8LB4Xz1Mib1Zr7R
rRvscEWrephjf361v7ZjrqfLjC6fl0vb8wwMbJGQdi45dW/tWBL/WFVnqqWTPL6FY3ClpsYZir+K
leKLj+3Hw/l+bmxDZkHLgroFaMtxENFxE7zw+X49Q/l8XhTTkKAlDoJndYsTFJjmoxWyoL/8bTvZ
nJqIpRZFH7At/zvAZ8lgXjT7VMYVtwQQIIU8LzWjbxS+LhM8EQpe+GhqtZ/tCo5Rjk9UvR6S/edr
LUmb3YCpEwYzTPLj6bPaRPiK8NcoPEU80jCbhu5URlJOys8+75Elxzga2g+moQTk3cNLw3iL7D//
cAFANGlb2rDPtyyzmGiNEJTcSTg077vv9QrNIOWIUvmQH6lHxUnwqeh73cnS5zMb0EVQT9n9lPUP
7rBcmyW46A5EcO2p6InpUIci9x7VH1DdryHSwGDCK42wHqlOAdcewsz7oBVk63s4Pd2ODgxjFjwi
HpKS7otICo1mhiW81XGgtBmN78UnVK1vlUN2itUB/5fQ3Tk/RGgwC5alIBT1yGGjGl6a75orwB0Q
oHqQZfcsAZJnK7K34mi6wrXnQsC/wkMUDiA0WH+Pa5k3wjqoiFQg+Kzok7WNuA47qiRGCl2FuzKJ
h0NEPiFUDIUeqQKqD49/XkO2vH3+msKQS492FFDenmf/uD2qKlpcPKyP97MbIV4DW6eItHNEQw4a
8wM96MSjOYq4+eTVBvqAbuKziMOSmQQr7RiZA5ZIwPViYDBIaw9cShkMgKjjxg5H+Q0SDl5O7cv8
SHNEv0HysbkayowBNLWb/o1LVGKaYvjOp+HuPGWO8np5xbKl0mLWIeCY9kIW5R19TY74Zlh10icA
hCA0jJrUzABffQn2xUU9k5BSQMog+SmmvRMsH0OdrRKab7jjSQ8PA6mOujhdb2SiXtDuX9kijdK6
hyPTl5BI/VRSML5Nq44EdR+BPrESovXM1D7gbnSjxfznd/SbFt2jMaHz/G/Kziw5bixL01sJi3dk
YR7KKsusAR/ozsFJSqIovsAoicI8z9hNr6U31t9BZHalGGWKarOMiJREUnDg4t5z/vMPtmWToqm+
64PbeLCMdpoW6EOogP8RsyYF7zbPZa4It/ZZ5nuyFKXYjQoZolLwUiRjbH8UJzjRFPwPsjlke363
fshOMcmxosxE8/CuYhrRjrTVqquE3DImizxIiZJdlbXGXWVWDEmoRjwsgGi3VZo4mUFsK0MGaKs3
fahL9fPW5Ipq2Gzzb+FUPYd5ONAR4EwbC6cV4zvC3bGzBDWREbDkjsgzEMBcMo1gRaM4KO3xTsKW
HXGD+PUTMLdK+eePafCbzFh5AK7pqO9OKXhdlr7UdvpYtI/JYDmBOottZ8nEXI3JR1AkQNAG0OdY
7kyIrTjCRp9MRDVPxdJ8LBfry5gC+6sDKkIjE66wUa1H8R528xDfIUcsbKLPrjWwmHWcJDvSnjaT
uUxkzC76EHhV5A1nC1aN25RE4h6vKgSnF7V31oT7biw0Z5wIF3Xp1/tJh6e6KSfcJHw1tMRnMwkN
nyYcRmFd7GolO9tGe6JDK5/a8drudPWoDdPnpLF3Q/9jHNKDbYKd7JfVRGA8RCeCcKMrI8K/Q6q8
Upzr1lH8HXpmN7hFts+QF/NHpRzayld6/riVcsWZ0vUIlbiNfKXDa0lKYRNnKJO6+Dz1GlYHWp7A
oeI2iBG9uLbP1NNXo+Et2FY3xKVUOCGy40PHHdH/iAYXvBMvNHcWn70YZmcXA5ygI+crINW6eCM4
QIUWBB1zc3NCXCwh78aRWciPDJd/OlPkydMCsumuQgXF90Qqe1eox1lYxQ+A2SrFmTtdzDQn39zF
oQMriM4L4QiplF7uQDhrl6ALINUEO+2yRCWq4KxjKhg7hFAcIwc/UpzC8TjKR9hzfbZcXHftzsDM
n3pvCg+rqejICrryPIUoqFUdu8eqFb82EfHzpFgtVKs4GXBVC3fbnPl97DABIGd53fte6/CcgcID
Lyk5mSnsYliV1YNrkQcPmx0jEJUAA4aZfEqTWg4hLQIeMb7fnFgl0/5KdRLO2qQwaJ4dqLWWSaDC
ADnELfFD3QJaNmND8RybCpihqi2TrjzOg1LUBI44SzGS+zFZM05YizU9iVshTDOWELrISoWhL2d5
59rd42TgU7mF92zJCY4GmUqM3yWtDoDAAJ+wzKNLVnrnwpTXwboxFPYIiiEkoowJhV9JiZx4iKoN
PWTqcBvq8O8ltBhvLnwRkXKUeFxEBqaUkJOZ+TXoKCoTQwu3hVRtFrCuG6gbV8kC3KmGRvGWoUNB
oljmN/2QrAcP8VLQeRa+sa2wvzsRTogGC6Y0qKiLQXRWwHKujF6FZO49sXUYQZ3D3R/TIiX5Ez6W
majuCWfgODBDvqxLI8Jdw9n6gOckJzoOhjiasTANLBTY8/YqQL+P641xk6froR3XMzoMOMIpNN2q
RW7BTPfjpjDHNAoPDyvGYbjl88FnQJPVuh3+bOJMZrMyp1AVrzXIxpFGz7F5vETxAMSXVSykKkM+
xMqo97hwFIeGN5bsK3zlJYIzUmqULbKqQB0huZEdFWw+UZg41UHYlUaQNAMuix5cM1Pj0ztoSuXq
NguuzObHIjUgrETshAbcmSYXG58IuR3FezRcQz8nyyjHC437IXlbYn4yw+OP8L/et2FVf6wKfk8g
12hkKltKiMSWA5B1QoMDMsEAVO3OtaUT+jLp2tnRePeMgal8Re4cHQsKUlBjFBm4W28id8eJHYlj
dh4NjaJvC6BM5VNuvhabfIaTa/mw6WLLFAUgocPd3jGxKF4dG51qiOGd5Dbj9ABTb9Sw1NnuC703
apuRbjqtCJFgKwBe6gQwazDnTDU2l4gtXkVjuNHl0YNGIiWZ9nPb4j7AWt8cT7oG4fYqps6pwb9G
6SsyrAhxDTXQfYlDjjCZo0IkLiQWt4ZscS0zaKcFU0I9hDtrON62RFwf0pnXTwIgcFnnpoCOX7km
erXJE5trOTnVVSADiZ5ya/6gih33tKnSpO/rTHEGtlizYy8s+pnc+823M1r5cdCx79uGp44ACzai
OGfzfhGTjaHG0s4IEMXoElNcZJRImCPbSG+3EbcEE09kKvNS4pNrtjbromigTcouvxmBmogUdh2d
P+w/9kPFnfA9MHgBW57rzoiYbErISLnws9eQ+cPK8dp6MDlh4YGut9ZGEHU83hEyCeA56kjCNxNH
uMhl0LaI28TdQyIKAQJQlevQdcJ1EGcDBvcrePRqchC0Oi/XanBSjPgxfVIWNl+M1JEYpFbdLauS
ZI9dz12WpHTWBZ44Bbf1r0qQPxVaBrMn02AgBs+L3fBnCGRF0VsX1qjeCyWTUCTSnumAZqk7mGSA
qG4MXvEt3UxrZ9qayX7c6i4GApIf3xX1vQTwbrkSOZGPBGVupoczhzGTP+FyuxVecEw6JwXHLIYT
/6SzmCNyH5h1LZgRlwimReWvoKeCqtcRFbOCe8n9K2GapYQkydf8+gZs0573JRiDNwYIPDOoQ++6
XUeHEJG2avcglbYAqdJ1iGZKcoRVuLpbc0F3QvLeH0nZoqAVmXG30nlizCA+w8eoZh0S3SyfXnUL
lKzmo4vR3KaXlaFWCwlWSN0SyOGifWOLZsoDBG1iajzCUJJBhPC4RUElDKmN/UDVn/5l8Kj+nrPN
UMLQVFX3qDyFQPfuoStG05lZn08fBFQWplSWY4Jef9s0jR3qSrynvgsWgavpUQZ2hd7eJln5hbnq
lQC7WNptZqEC8Mo428irb3OW3wvCLfC59EMbOgGEJsNTR4P9C/fh189uY+z+/Ow28g+0NMNxGFy8
x++IRIK9GtcX6Rql95e1KQxKiOBPdl+8bKFDEr+9dYWSLUTTRTr5OYPKKZNU6RFEcGFmTEZHXAiJ
aHKF70nDfiElbidwh2g85LmKdbNLorQMH+iTtpGXuHjJJEddzAu+eJ9NB7EQ6iQxWgBA3Es2zeYf
kgCPMG2rqJ12m5tZJyRe/FN41GyEpPPc041gFMUb5Uq1zmtlEjboKs2LaS8F5ynlu0PihnBetxVF
DlCrIY+muxcvCNmu6BTuKaGfBQF0CLeXRaRY4dOvb7zx5/bMBoOE3eOqaHYp7H/eNdpscDLFSbM7
pqESL3iR6eCWIzBxOG125cIxkDTYjLIRcnvICAerok67dpHfdC6hYrRZuLpQdgJWbNNrAHBZXMZS
nLWY2CUQJdkE0HX8yDQmGbwsEsK3eVsJb3eES9SCS45mfPn1B9zgt59XlifjO9NWkTTQmL2D54hh
TMOyYMYqOtasYNA1kXaMLlgCumVBQevcm+IsIOTcDeSQ8Jb0j2mRECO6CNoHS36jpSQsTeTtIv7Y
LL0IXDVXzDmIbN/GEKFYpJHZnlqE9RXg/HwqaWbERELQZWGGlOS9b0mY7KvpyDCVwdqvP/V/A5rC
v+FVMhmeqNjxvWtHcchp4pmsi4ucqvLwXMIkRX0Hdw3MlqTuiQyPjgR5gQVE0yjztQnZAVdPHSjp
20YHUVqkmgJK/fXS+28Gq57HqNI04PeCiP+J86cYuWP1ERgADBO3YAvOuD6N/7Jnm6wK2bMFspeE
Njl7hJUi3ooMz4INm9aQPxIPLCyzFJPkseApyjDlrwerGyz/bhn968W+32iRXSQDKk3tQVTUMvg0
8+66g9X0Twrt1MAwYIlJkmZkcvjBBJVDVZZYxzwEnPLaFAtKQac2FXXFcmO9qzb7C0tInEaxoDuV
anryovzBFUunjXwD0WYFWGum8uLO4R7fr902vcU97i+WjRyRf/qUbAPsBxzAjv1uG1Zmyre4DKE+
/fMIJbt3w9kZdcuAoYKDIp5k4m24DU8ERILol8KIaE2pLf8KxN7m/j9dkzAP0f14lgnpR39f16QN
4JVe29NHIXm4HWgtKPBmVG6Ftu9Z1YdNZ7NR60FShbKMzT09JusZar0MBnW73Leuc5CMJWeSsplh
869vnSv7yE+XSXKwzv+YvLsI6/5ESUrCEhzeqS6yOOSNE85klVtnERx2AyUY9BOzYlWj7pvaP9DL
Cv2FO1Ktj9TKSGxOE4ihieOaoNUSsN73mJexYDBcpNXlVUiwZJ6YvctUWqzvZJyeMY93TajF0UKH
zKhbJtJgozLpkaNRYGvhiGQTsZNFAsvLo2VMP4qJKT6glPUuRFfPeGyG+siZSrMCkQHDQpm3C1pd
FbgAyv8RdvJW7UBeLovkkrJlGiYbCPMrOTxEMCaRz0C45wiXLKHMZ+nwLB5hcFnvHK1YsQfhVMYN
CgxsTC5Ib2//+B3xSJUhyMrn/vXD0f9EFJKHA4cJXYaJ5fhG7P4XELstnATRvPrHw5Eei1xdwMiZ
ocMoZA6dLGMDQk1GnmAOPM06EifxTXcCkUPOL/jqj5syu6dwWtOPDvyJUgSlKXSzVgy1f33Nzp+v
mZPZ5Vy2WDfwW2W48y/XrOiqNXlqPtPKc2VERwSdUROSiXT2D49bgnEARCVzV5WJjjpX11FEcKRa
0B3iSfKijjU40TjwtEWIha0IpjmbkWYJIra58XfMTHca3r6PfZ+FsFcSC8olMIiAWBvHWay26OTN
Q2VQ7zjRtAReVGb3G1C+pbGUqfXkimA+0wTqwjlsc5uObMY4lS7WZuHM3ow54LYQNfC3apW2Ukv7
3aD092pDP1bSJeIquE0Z6TQltI3vIWEzTdYjjh5AVy7HgAoKvOmGaPxo8PHFlBm2CEZSDDXTtFJ3
W0+8we7joHypvSY8wei8wQQ3C9pR3LiISv71w/ozAu8CbsPlUZk+Qw54TxJK216bVOLjL+bCWUsB
IVu/DNOBNg6cWQd5JydsazLcLqVUFXDqn0Qrp+DzS1y7A/l+HTlx/+Lq/tQlMGMzuT54VRr/ct9V
A2uMLWaNNv0ixWQ4Oh8TBSoV1u9d4jxmFjdSquhKFwBIjS4R6fbbJAti1TZYYgTW9tW96E6LQr2t
6u7l11e4nfX/unt6GmQljaYDOgrtjPbuClG6qpUZ4u9defgQbPkpW160q+AEEzkyUMV78FgRsAZG
BSxACC/JB+yWfAzknpvKPwe32fwgFHDdnW53+V5vVotdFx/gaRIkucWQTBG5DtMZty+GP6ZQbic5
0AuPpVey71ucGAaaeFYbgHJ/JFrMeLBkeNqS0YQReNaK56MAbigK+1PViXmwJHx1E6BBVII9MG4F
vMvl0AdrQnTP10qEXssxQTYadh6pAPVO5bm7uS10yIWt87i9BSUCXQBhvli0lq0GKp1ZsKKK/lmM
gl0d5VCD+nMzbM48AjEKXIM6fHDJb4PAsCUL9MlLk84/Wht5iiMhZgrIVJczMxDCrlJxsYTkfPn1
c/xT3QmZCNIZCmsEPEg5rHfPUeHvj/GMHT7+s+7seCCkCUFWIEtWerdMXAzNgX5MmgR8yl17/CS9
FXOV24isNAbi0HiACkQM99dUkT+9qh7m9aRM80KYNiwj790llnaTz31rlx+jlWOypiHQcSaVICYV
GFkk7wzMZKzY6VwUwoatz8dMkixpcCUQgs0+AHxjrP6/eSwebTANvSF7iKA57yZ5qGsmxSin/iKD
Xakepgj6CiJMnKOuPG192lzKhR0ivDWT1AsphENCEobZuyvMeQ/X61Nsrc/SeMi4cWSuzZL7i4b9
Hc/Qg5Oh0i1Sm3I3ZbT37i6mWLd7xjCqgMDMOyvSx2DYwmg7C7fOHJBooYSJlD5glnDsGmFg8w84
7R+NEZ1yzobSTLttAf7bt/nfozfRIS5RVXb/+R/8+hum6G0Sxf27X/7n/xq6vn3Nk9fyN39o316H
36ofv33oX/sEU+Fv3X/ID/t/3/zzj/rP41vV1Xzla/7b7rV//W3/Penff8NP389f/o+Lk6//6Rf7
sk/65WF4a5fHt27I++3v4mPIV/5P//C3t+2nfFzqt7///q0ayl5+WoTlyu//+KPT97//LorOf/vX
H/+PP7t7Lfg2f8ij//O/2+T1/be8vXb933/X3b/ZKrpQ1+V4QFUNwWV62/5A/xvkIE2QGY9lyTzx
99/KinHc3383zb+BvNC9UVdRnuvSYHbVsP2R9jdRTNoe4gTqFzyefv/nlf30/P7ref5WDgU+VGXf
/f136Tj+62Cgb2c3oYFFUYvGh2bxHcBVTPVQ6uNgBaVtvAD9PWaJwcDJ6f+Kvs8nev9XGXwi1zAg
OaD+oDr5ueBqFmuph2magqVz8H89lMP0PUqUYQcxifqq/pYU849hCbsgV8s3DDD8Ag5ZkKZWjkNn
c6+06W2c2Jgex5oTaIVG4JFyjNncT01y6r1eEO8Iv7uw3muXxV7XXZWGebCofR609qNN6eTbhXch
xrP3LYd59iTcXIZFOIT1BMmX5zBtgoYoiSBz8KUOW+PzXJE3rBa4prrfSODc4yqx+oX6MTPUhwXR
dq1odzlzqRM8y5orHr4nQ+83I2mFdV4WODQzLLKNb2DwWuAZuUmS+RxYxMZcRZoJ5SU3/KKO7EAP
7U858KtfDsx5clv7OOnRcmoMMO1mPMLkcfwptK5hPRZBn8+nvravqiH7UqsWUa/WhZkodntZf2is
EHvUnPSyaqoDe47WAI7JCY/HKrAr9WZIl0d5TY2oOE+E2uPvJby3iBAU2ict+5Q417WOY059N67T
Vwp/IzDUvPI9bdeYVbxbcoaS23fM7XKbT9pTIRfVGoi5Ei15YSBWrZbmF4lZ+HFb+LraXtalPdmR
8To5qxnY5alQUkbJRv5S557i27eZpQ/HJAcl1qrizTO7xg8V9b4H5fHnhNrVnp+J34mOUbLijmNr
O1yhvqEWfercZedhD0N8c+IElt2oAZvn8dYmkch3UDzum4nc0iljRJXZlNDx5DepS/wDHn27Wrvx
7GHxY69Sgl4JP7cpUaUFM2Pexz4oioqqlmsgMm/a4cameP1zWwDr5mNi+0XhTQdcG5M6PdftUvpN
uHL+rtMPrVdApgp7zxzQH9J63bVhBucoin2K8q9ty+CuqBrfYDq8c1qIakW717WJ3ybPx8+XRdlj
OkklFuINlztHr1s/NSmtSK/UfdCvd3Zix0ETRqgsmsZPBicJEqqcXePVZxxeRj/UYDktyVlHBc4k
LkNkoXY+aQtlFMT8Uu+myresT3XdJDtP65Ogd8obniLoak7idm1dlqVrgqEsZxLQZpWWLjk5eTf5
MV4eHSLxtnweIVrgPPOs9/lJUfXrnDlQMedHK9YWsgn7akdr8MNp3Tut6X5YTvdhThrLX5ccLzuA
NF/D3a2pW6q2mZowjs+kxfq66XIBZvXBtPvv1cyLnZXuGdueKNALK2RJHGt9SoOwJFixUnBMn6yn
vuksLD+zh2ZoLt2iMiVV++96392VY3M9N3lyW4wkiaekZqQWapNVSwp/Viyqu9qHrU18dtSxksug
iV0Xo1ooAdOjBd3MmFymdY4VjCNRn0s7vZJCW+/6lmgR4veS/eTUnwzctjW3DHLc466YI3OT0rgM
7DB803Ht8Y2pjjD3ZFSdfBj65DYysWebbTzI58bxw7AMvEIjBKz76o74HGFkt6RTexyc8oE976Ea
6xPZIdeG963QUyzzszEhCya8qm3jMln2UVs/hOr04g1pQpm3PoDF3o8DohTvAWrl7VJPx4aGjUuY
E39JwtmniseQvUqDtbaOUWQeoZvtw6IhLMtWcKgpvW923OKVXNmk0UTNB21y+gNWLge7WVil6dD5
dlIGdUE2Za61875U+s4fysHcTXN93SveeHS84SosJ3eHtaSxWzASUbXborIVHPbaztc9vbxaw9sh
hO8QEdocvljGcE5y6z4dj3Y8Pwxz89kcjJsaxkYZLzu97o+TtuxrL4LCMFyH0Pt7DS2Re2pXarQ+
Qhdh76xwuM+q8BUD33OOe+2im7taDb8gcd5jI4E/tI0Rz/y16ctxlxYYuc8pMhTvij7qcxMnu968
cieWiqtgnBcNvl64yr63iOezJIHLceadtjbsNnZ/ZGoW7QlCuZTs/Wy98fUQF9eg/FOQjs7BsNvM
j9faj538rKTG1xLHw128HGNPuTKGMvYJ87hd2vLSVZru9+EZIUYfGcdRi26tPDnaYXIT8lJmxvqR
IuJYVeFOVytOzn7O/SYnHw5r5R4XwiDuGj0wvnfKwnimUVCDshEuhX3peU2a9E5R06tlgjnVGVbA
Rn0HM6TB9r39ro/uOc68l6J/VZf8Oq4D3Z2ujGy+DJjF+Xq55r5VvvZ9d0W47xgsc31nh+X3YcIz
VPHuu6r+Yrf6U6PMj83UPuvjSrJffeIcgt71Zew942o7SGp8UoK21j/rd2HvDkHtoMIYks96Mje+
1U3fGU7vxrXa2Y7+qTXcvcalO+upn1Lma8rj2leXsta+ajDN8/jTjLok8YZLyxi1rNyH2GvPfcw/
egJek9/HZkPYTemHeUxyq66eYdR8j+1itzYlhkPhY7ve6Q0caNN7zEsbpMB6itv1vhmQR83wWqxD
ghWQ/SOZ6rNlg9lMifdFG/oPo36XOg1ZtSapGgxvdYJCxrnVSU3Yl3Z0HSfdcVUBRaz6iFEzzrXR
a+NYr9AMeezq3jHmYwfje4lTCVQ/tJ33sdSb2zWDXWmZ09Pgjkdl1UmminB27F/cmI1kXrWncn2u
Sv1Fmcs3Y9ZuwD3l9Anyvn20WpW9NVmei5bcyBSaghtLvE/2Ke7sj/105bXaozF090qsfIRM8uA6
d3DWP0aT99VNhz7QIL3RXT84tNvQAk5huV6bqPDx4dAeOC6PeQezx3RuoKh/s8rI9O3K+6o13s13
zyweYkNhWqUaV2l6SJT1pdfVWxtmwEoJyLmZ7q12eQnd5XscxriRKG92ZhRsZ+mOeBzsS12fvAIX
lfdCOMhikkuX7xfX+ZTgKegnXQUpi+CKurjKMR6M8vhQdR+rWvUtwiwJJNALSFv2balFz15kvpoY
LK/teFzgu/irouxypSS1OPoSYg3lz155nWv1Yc7Kc9PY10nU3ToiBY2t3aDan9v4AUfosXSw50xu
xiX84DnRddKBmKX2laXWz/XiHIkH+zJlw03ShqjbbePZ7IcjxrGBZeh3VeJe2TPhdtHaHW32mMyT
qq8drtssY+LxKWqA3iZ3bxPqhNGOhUdh8sIyj3jj1M9aQSIcjvWRr3XTDkIGZ1iQYwUAEPtFW40r
XZ/wENauTXU8Teb6BH2Y72yNfTRBKHPcXTkMj/Ow4KCi7cckOVueCZU/OpuLuyuM6Yh35o1X+2V2
7FPlYyRIQUgm1oo1kOUmVCfuo+5Ee6V4NYfwpJvzxTK6w+QahzXqzvJ6lnaPnaROOU7ikTJeHH3i
OFCvvKYSx5BPYuvcRuHdWJKfrEbHqVa+hbGWcfaY9+ZUHwf0aPJPRkWB8QPlyHK7NNUOyeJRjcB7
FOsh7pbbes1uG3badn5e6qPOzdSt9Vxm3rM2Y6qqG8gA6oMaaYcZtVq2ZPcDNuPmPAaOp3/UHGRB
yhDYcNLSrropU+UUqc6+wnFauYYPs1u1b+syHDxtPzs60SILGvBqHx6bXGf3ML7kBWeZA7NvROYS
JwcPppfL6LHb595y1xoQCdfqaaj5+OF4noCP86zbJ519VA3r0s58d57e5HofOFF7p0/FKdGLfa3f
WL0qY+D9WtNsWHfr5OwNNLFp1ARFlQWeFe8Hbzm3bICh7p0GFS/A6ZggclPb8MYE9TLm/iz/1e3l
Ms3ws9cJrql+yIbikLAhjpV6W6xDsCyAY25147bOrVxcy/odrP6IN10wABApXXGW31/qYKmS3Vzk
5yLR7t3Kum6N8UmegkvFoGTx0Ss4UUEZcrWj7fCuHPO7XsQfu9o4uOO4CytQFn0+tqlJcAqWj8Zy
FZrOXRjbfjwnD7OSH1Q9DPSIKqJ+bCMM4e3s2DxhdnYezf7WbpynXFHuWZKHhsokshVOAqYoVnv2
9HbnWhW9lgkHNfnO9nSFxeDg7bW829lxeiM/pcu7l2WKfrCk9No85s1wRVYg1GVCd5PVt93ikIdV
kEeN4bte/dXxlqAx84PR2rfMT4O2ec0OkT4dFgRxa/gIEu/XdbynzNvr0Si6h+tJbQPF9nYQrnY6
q6sr111nNgeGrHd6dtb6hYVU7I0RBhz1pvydq/jeyzP2pmg/djZbJA1YF6l+N7NcEg/R13qMjZZs
bZ4gGvCudv2FZWPMxaEcjV1DFWpitmxWD03dXymM3ebeC/IyuWlbjQMpPCGrdubqZBnxddlMFLsY
JyIYS6DD3vd8f2jAXFyGXdyU+2WeDkPvBCEn/CBdcOXegXs9xc587Q3qVRwvN+AE8FPzw9TVpyFe
6dPnm556i96QGZO2I6DnCeNcTGxqmcdeBt2+1cld0sB1yzw5aXYLIdH1B2O+Vgw9mNdxl7uRH/fW
sVX1vaXER06GG6igzDkOdaMf4t6j2uyQsnKyKXqQL4Qr8OLHCTJVVk6hUMQbyslKcHJdA21+7j39
oPVfSof3wue43umhsy/m5HqwyismxIHqKPeWSamtsexz77qPGV6wnp2h2KtcoTd0+66CZV0lRwaZ
+7W1cAEJ3DY6LOQ7GJC6kQv4Oi4h3uyeYPwcxi7mUDmghodZOt1C+8eCzCHxxL612TB7NQ301jky
cTrEg3MZIuaq3q5J0DIr3kNZlpyKCXFRRNQMVrtvkuIBISjMxurEZPy85Nmx7KxAy40TgNEhjJxj
OBgnu213tBK7btADr7ZZR5ZvjvMeAtFeZ23JfqbR4k4JhrmhdtDS9hC2X9O69hetO2eOs5cbAVpz
0PP+SlcLzETcA6REolnV/HNdabfL+mKPxbmEqRm7sBb5UbGzXM2cwUvcsU860OnVY41vawyHwDbq
x9x4ymP1KHthYyYwb/rz0qc+qc1BYiaE/LgPRr0+ExFBK9xdh1n/Kew9sYZxPs0OuaCRe6d3ymOv
6EeJpahId6269KYnLDrQTWM8xblHd5HwQiz1lV2213lrvtSl9xjW9lMJkOOrS/WG+28YkNNzYw32
d3Nqg6FuPlam2ft5oY9EP0hFG5YI/lPvtJTjy/ZnjrbowaKYcDUnFfffj7xdegB9YwhGToRmQpli
F0q3CyP3s6WRnOROxlOk/Kj1LPZzgo39QlNpYIHqA+KHJj9plcdyWp9ynP98fabn67xHAJofq31U
8ANNKog/FWp3VKFO7ye0UsGSaI2/cqXt0fLWpxJzbwIu+6PWJFBhaU9SS8FuPSZ+Ar/MoPBA7Zp+
0PfZws+Zx/HSKmTvkAdDsFNbXtnTeGS+9rJi8nSAaYH/q/pB66ofxAvwl68hjeQyEFeS629aT3u+
JAyABnEkVHg1g6Zja1OjR9iVBHNqP+qleFvB6YKaYOXdXM0cK45xgsD82iq7BUgoIb3LT8pc5yAN
C5h8YxS00whWUsapb4/aHZO0Y2XrI3tJvQbYJxZ5g8MIG1lYLfnFKvpreaaOTlBebeRvsc7zt+AN
a3b+RkYt7+AKZpTbxQ9jVA5tzCdZW25UXsWndpx/NM1wGTMeSKXYvU/+4iD7RcJf7n0aRuVCDYhj
KLeXzFxv3zfJs9OsYdDADcM13Xgy45CLp3+bjBdvGS/MjR6hIb8N3nxp0Nz5w1B2vrNg6BlDNlfB
yD1uJEbzEcBQ+DEydcj/7PHRQHKW0bMatYTkcjLN1Pp6zvTooFSvuM081lZPAn0afevttT20avFY
phebgglXK1yZG+42jHNiTrJvnschYKfJGUS3vJpthzs/cS3t4ibHeeiPNt4tAcaDiZ4y+qJDqGd6
PYcPB0roT6Pqr+rwlACYcaPM6KCtdGTWUCd7ZYoP9rKEvkWcxMhT1+yy8vV6iYKHcAHIIKax2zdp
9GOKTObi7OeB05QPo/JpyRTv1PXZE5575VlpsGY0k2NlEFa1jqUBN37WSQa0n5WoYT5deM31OpAE
FL8uBm5kScgngF7r+qFTXytDc2SG9NVN1m9Gx9P3WqI5o8jYp0etjZfDlBW3PYNJUlsWTSoMGO/3
ZmQ312qo7JPc0K5brLsBQ8vdEnr1AVP1H8ta74zeeVAKYfN75gkKEe+CtfphNAhrYyJ5pEq/Nwlt
M2LtT0U48pFn4Ddy8vZAw18XS3lxkcJofClTX7hqckuxxn1M4lUHpaO077llPXXSLnEOcdLj28/I
AejEUXdhmDS7UfrfVosCW42HnXJAFfHYW/w6V3t9vw58OzQxndp9uSKjo/VXW1sCo9CZ1TvNs63X
zlm7lLMWUkJNy46oTF64Wln92iBefXatcTeWFFINuFqhRKft0WKsXews1TnZMX1N09RvSl2+1fp4
qauw97Wa24B94ZfEGLST0WLDNqpZeN017cFeF9W3Z6DKKJ3Oept+U7OTU1DnzBF7qexKhV53B16m
N8Ns2fRd8zmzNOeu0MHy2Zlnfdyj1uzJuslv874b/do9j3m7XqDzOWd9mB8rK30tSq05rgtnacTs
OJhHXfVnVdMD0nGpmh7i2HyxLEDX1s2uDd7jCHuVXZY3Fduk+TL07AjVYr+kbU3gdi1itCEwKbAC
Y8DwLSlvba++qWMYZkXTdvvwR5jW+AGZ2rgjBOKD5dG21703BIk3XvLCLq+abwRxZsHQaNdFTimR
8MNSi61vYtxQylHiQaffLeYw+JxDL/XE04V4wT5PWM3B1GR5VDHJaBLUCysjAmIlQmy0GfUTXki3
PlyN2K9GLTuUlo3HcZyviX84K2udB/rQ7vq4eBvU+i00J+7EMFRBtu7zkrd4MduDHrtVAPUmGBKz
vKr6dg7wl2eLCz8Ac3CQ9XRF85AdJ8+9qDD87pwuN45WbzzAsrF3UJMeKxmbLMAx09IQeeWZO6fi
LjsYPfteV53TwbsLR2oHo5zfYrgQO5ScV4M3smUZUXdYcvCwPh05/G3mocYMYM5fbbvJzdJYb1rD
bWo0ewiaPj2a4/hhzF12PF4fOMF3c57d9tF0cSr30cpszgyV1862+VdhzA88D0JKocxQ7UZP9PbU
HSXPPlxSzV8YvN/p5Wnxlvg49LoWhM34mWTI7tR2oHRTYGGdf1ALCwpp5rx5oU6ttmQHu50dGpj5
q4y91hq41E5V2KQWchrMt/8vc2e2XKmSpeknIg2c+RbY89YYmm8wDSFmcGeGp6+PrOqyzirrNqu7
MstzkydOSNoC97X+sY5qy9nFqD4CzWRXSbjnA28h2wdWqsty690fpye6dJAPe/G+SxaGVyulpyl9
8hNdUrcxZufKpSJqsLUONKP7LGI508j6ZFj89e5EXOXqzDeeWr97weUdO/XfTrYZZz3RixYPitP0
IBKL+7pW8D94lfK9dBlZGuAv16oaDGjeK57cfW7Yp4FItXB7THD03tlkm7G28SALk19/3+tJmMj0
diB22lncJnCIzhp8MQc9FPAOd8ghKcTdDIt5rPLqcdW+7KYwdwaRVJFtWfMZrhpKPKuaXTlYCuJs
TKLeWIhTL/PjNDxpRtJevbR5tfrCIorQeEN92gVp7EwE4CY5pNrwVtKiEjpt49wmbfcVi1k7GFCm
x0FzH3qZ6Fc+Iv2KAu/VSsw/0wS6Wvjo6dZKmwPfrKpdtiBBySgGgQPsvH0xnhbAkZ1ddUCpE5Mw
FfTF3s5IBfOnysduh18l22BRaYjbQWTDgzFWMqKEjuJVRk2RGiAifulEWmIHqq3Q2a2QJdpS/JTp
YICOFDfNUJIFMZr3dfXkrnMB4qS1Ee2qUU3XZtCgiz63+rdNsyBprT2PnbUww6dU7KFyi2YPo+qq
4e7CjsiOMLDzdH0E6zqhTAEH6uv8wcrSSz93FkF9xcqoPBB5MkxPvuZMR+axz6pYbqwMkgCRJKSP
qrqQzexlbrg8U7yfR0PvH9OFNVkbDbDkmXxzLjIZNnG659mZAydBbkz7TJiunh/0rv3tmewdK8ZV
a3SO7QjaFDeuwYU0h808WjR/JXwpW/GgzcTlkLlx1KfkXtjWnaOst7mgDS/30zQ0WnPr6MAgyLBE
oDtxLCp2w8w9SqqlLqMFceb0zZljoMvXqyzFRyLMeF8Oxn5a5Xoai5VfEavYVD73I9jYQkhSVZrY
iPylP5j9Z05M1NUcoBJpzd3H2XhLBytsUex7oV6zcpZbhXBbmy+tv09BIN0yO44oio5zx4UhbO2i
vRBWrYXJczObWfRI+TgNnswcAaVGWijYFZqtumNMmu1NwA08vzMHLZP60MrsfpEjg5xMk52Bq2Wk
VMz2J+OUYmBoZmNXaPqr2eHBZXvkFCrWN382nL05WAey1DN217nfbeIlREWfhoAZop6iOljuZ2yv
Ihx8CUZAH7LZTmKXAs2NcVVwxHsqcEqVBa3aMnDiinSxoQ1HH+CpaNkYJ6RtE208QChFs6sstHx8
YnDZDKUrOOrUcnVm+IwZMBWJIpxFQOBh3+lGhDIoGnUX6nMWQ5T1kYxRy7s17Skt7b1BLPSUmIX5
LV4lqlisxwiL8hsNLr1pzA7+Wr2jHzcvtFTV0AI8vQjj4z0RD2C5Ldm73XXsm/UKcBoUVs92MRR2
ZAw/GCeLsCKGGL+uDHiY2mPnpJ82n6yDE+WIbglLs119jjl2bdXOhHTO6VFWp4Ey1r3hYPDg+DBP
ZjXuZmzp0ZR3FjZgcZLkbV80D3jSbeD/FpEGdJ32R8ed36SdgwwnvDtr3sMTJJBRkmlAAqPqudqV
rdkEsf93NUqu2ELyOamvZCxXzM8bz5VoJ1NMVjg4TEvOeBGSGa3T+0tJfB/MS3Oaq19Ul++w08X2
y9BDUYs/cjCSPRwiS3rffC3+TTvB2FCMY+6Uyu+NfByuyanovPScxQv1EIyuc5L5aDKyXS/1ZB9r
9mvvSYOMCzR25AOZVqnCZMiLq9N64bjDiVjfIJprd24+B8ZioqqC804LZgVRZyffSh/pW8wB6pgS
0qp/mGX+Va80Y2iLMkCyzUOTkLO0NaydY4+9Y3aoijXB292JP5A0woedrr1A+vEYEED6mi1/YmQM
kWqqNayVa4XTmB3gQx81Vc87X5REsBVHkYFqbI7+3bJQfporHY4yxgJhJWfXLrqAn6Xf84NXbCx9
SG1L6JTSvQzOuHO5+XYc9UxBXYayg2ji3K6j2Eysm3jNqVUw73x3ycIByRJJSP7JVu5TmgI6T8Vc
hrGvXTPZuEFm8S54c7tDdCCjuNQVdsQSFWbZhmjhOpSA35SoUUXhzGnoNy9co85OeIdZxyXdJUpR
APe69IZ/ovzLfVH69CqSytiZOYo/VRfdnibfibN8WfeOqN7HodKOy8qh7hUq8jkT6UnluBwbBXST
lOQXWDe+Gi90sMFBeG3BT67vHL248gLaJ3bmW8+Dp+soL45k2W6t36yVpXDXIwqIa+zMfDnPHcPK
S1TUO96TqmkPt0cXqjzt72Knmo4qaVJ23gwqop1xKQ6hYagWRwwcIoTC1Uj3uU8LlDV3QO0SrL+V
WYn0Em1mRQ60W9/6YBi7GozVyvVnQQdvkPWsGPi2mVXS9lkzi+TgAhaoeSKObgT18L1Ui+TA31Yo
riyrLW7SWbP2foxXFifKeV470pNaGA3wpG5f5vMalDYXfK/bqI8SnZZDogpsmJyDMIBnl85eI+lz
o8/esvNaBa1kiWBt8nTXOug8yac6OzF3Be/5hnPFUUrg9LY9BxL59UW14kBHlx2kAHRRPN9Dqy27
xJ1OtZsdY60/5bNKEO9WeKN7H6iCUIRgLuS7bcz3pZ08gUYiKOpKO6hike5carPSCaUQ4VB1wAh3
M9n1g5+0tAq6en4VQh7jTq3QkmYR0KLeb9Nxk+syiHtaqMvUH7Z0NfjU3tGAYeVHocVLAIrxhfYv
quu1CzxN/DQTnVBID9i/mNhZuvyOpWduokI0NjDFYkcz8GpmTTe23zz7nXnFdDDe2qoJJ6sx/2xd
lgZGZyJ3QXpieAt91d1wkTeZWOdH2m6fhOPGIEfQqdZ+tofATxov0sviaOf11XG6J4Zmc29/uK3D
EbTeeunKt6QXr2WJtqgU8moZTcamivioXp1IyuFvhkM4rHKk6UiNRstQBBqw2VWaG/gFEiCTQ9GH
/yJJghSzenlsxxHneGd/p6ZxT3n7gcncLt9ct5v39oDD0DXqfttl3mclh8CVLYyr2yM612ZmgOTR
REIVVJbqA8fhnUO1Fak5hcIfx2BmWD+Us4fQ2V3+CBp+kZ0gNRutLoyNqj6XWx29PfHf1E19JxPN
R4dfoKFiaq8alw5mFu0Qs/GOTzq5d9tLkcynSrd93IyMWcW4tRJaeuB7+bc1dG7kL+Iuq4qnYW21
3aLpBD+UhCg4IGtBRkdOYHrU+FlyJVn2otemG5la4YUDsgFM/N7tnKu7MdeYthP7pGjFbHKljm0N
q5OORXtYzexbiSkcJVONy6fJ8QnC1AhkRGa28En47UH6gCYaXyN1cRZavYsgi/a+axnHX13pvxEf
A7BHtGyeeepMwMlfEvjKnZ9aXURh2An05HZYu8cEU3ukxlPnDvVuNZZXfSAhwDBHRjp7iBxnujj2
Epg6mZyrh79Vc2PEvMyPE9Bv5aQ7r5fu3tCRaiHsODklr1jVbl0OfLup8bxOFPi2WhxppT+zHzd/
cdGNp95LnTNdbGDmO98c1W5sNbQMiflQVkngkurBhe2Zx7ixOAQ6hida147I+fKd09a/k/DPjae+
uzl/G3sog03ZwulVxzpx9aWDGGBJ2iMawGOqJdO+rV9k1sJeDtNJ1tZp9eHGpoY8cCIGbGh6C6kU
M/NUwQeU8WFUmhE6WkVCi+WdllWHnfDdKWhn8ucWjnqoDXb/sgDA8dzQXLRHqXoywrDomJ63L+el
xhELtwhxDJSYmh9zlY/kWCUv5Zheyl6QPVAVf92sTiLa7u0oa5Jns88Ejfa53FPg80eovygv6zOH
57Gb1FHm0yPNIpyaaVzvQEXD1EJnXblIhlgKo5LzOTAQme1KiC5ZJMOuLfxn9Nz3pkHuoE4tx566
2lNd9SOfdTUeaIl77r2vmd7qc4LDYGfDhjru70CuE8CHDR+9pie9t7MwL4flaBrrxYYdM4nGHVqy
HWKPic8lAgXoJfG2P/2Qls4UGG3phZNKCRNI3WC21wZEmeZzriOYNnKfkvdKS991xkB6Qa2rYxnO
9lk7+0X1+1yQopYuuxaTZtCXrXFZcv9NTkJyBy0tX7V9p003NGMEcsKZWuTbeh+m/nvBfnpwsiGL
Yn8uAg/fac2NFxgxoqvMtH8hTO8dG7IKrR9Gg3DOzeIECLJTvQztOaOz1QACMvhSa5bRt9mlFm8M
IA/IxYZhzMx+3OOZVxxXilURnCJdAC0PCxJB9MGzQ2uoSf12d8oRP37CI4WNDb5HPoD/khApdHNv
KhYP7T0uSwqls7wIan9+ctAAsq7eGUBxZuK95Liu7S7+63AhiuZ91lAG6Yn8ozn0x5Pk0TFye5fG
1EK/ZQhl8gABSIjDcddHTqTxVIrmYGfjyeQvicsJuGPdtfrCbcDutbq3eKmZEJk4TZ19Vh+aKB46
8zjiwIOy0y7CMPxdbfH+a4tPvWs5ZHtj1GBpFxCG/Lzo6lb343mPfmoMJg9uPfX/+dWW0f2uWmeO
SggJEl9C4gi/7a3YyOzNYGUs6GNxY9FgGuh+FQeawTUouBJNXw7sWoj5EsjLyrZgn2qXnVj5IcWl
54UndaeTuUUulfFWO8teU8sjUW5c2NijYRtoLO/4tWTdbKISRN4BxXAgbgS1aZNpYcxoGJht/8pO
JIMBMD+vEMUlBSk5kq1fJsCzs0/NkIG3zQZ2y8fLsgzc4InqQlG0j2WvI51Q/LRFTgNZjH4si3O0
r2SqWhrN27PhR6uGLc/T4i9Yd3MLjjH2stP3hcdoYWTflWZbUSzcRzCKK3sHUKeBBmyqXzmujmjB
fhk0FWOhc9ulHpRVv5tHfu3Urxn7eqc6rY682ITbXq9mgojKnyx2PEnJbF8e5nlOo4Hs78DOkgIc
HCUfxh8OeFSHPFqXXrExmcRR7cqYk8xdysNYUmtrTqCOeULzMcXNdGafE7RLweKDNgFyHIkVembQ
/FP47kfaIaByc/XWOwhDnVGdodCitU+pNa+5wmPmq1ExNpsDLVYwFeXYGOFgoSBKurEIjDyOnDU+
GVtrY69955AuQWF3fMZDSQRyjHzb5qdUrIL9Uj+ADtGaKlduBzTPyU/rgL/I3tJ2aZK9dzaoz7Ly
6rIsHmY5pSz8ZF+XhrtzGwJA/Vx7sdFbVnZB4FDc2TAEy13jmC9yWBjFHpYKWLSKdX7RU+OEbNO7
oTd/+9V/G3I/WvSJo9EDJ+zrEtTKaANtQt2nr6ZgE3WP4+RxZMrhKmTLzRgXSIvz+sdaECSi1cE7
n1xETG2YWSKAqiSiCR8VOv4/5YD1gj5oQYqw3Eyth9FajMgtlk+ihp4RGIViLHayVTe15w6R3a9v
okBpNyfo3R3vM9WYjeLVOMUDYXoAfJXjEnk+/9gGuQivTuV/aClyO2sI0NX9LCWcJyDRKzqmFEU6
+rmcRyjsq1d3BG5kb5pZBtYqVP7XtKr9Uple5I++E9Q9CUf5r0RiuiMi432ZIB1SdNlD/ijaBj6I
TLvd5KmLQqZKu6ofwiLfeghAKqPDo2Q2h1gzrviLUqYH78pK2AdCGa8F8XRy1N8m3VNoob5saZOy
lQXSYcZYtv9Tstmubf+S0Gy1g1+/xArVmZC8HZ5UJCgBDPMac9vq1DvrZvvjOcbJV8VDjCw1lRm5
XNv3oOfpZanL8zjHyLrybm9lkNo6cH3CCOCB3PUK3UZrjAylUOqIP5LQ0AcuPXbCqqlfYZueUn25
2LnNCqCZR9ZUJso0fdQ1xnAMCQhYnHtvXHPk9Nh3NXEzWPUptpJv00Onk/w4A86EAa9s1eU6jPuy
rzLza6uhhaBJXiYSf4LOWm6zeX6tE56AzgbjWXxxsgixi8h6I77t3tkENsXID6UqWh0TJf44ehN1
oxGkjpOFjpm9tpp6c9faCU5ciF8VXZ7hQsZQECsbx934LqYUa6oJ0aGtXsNFVIVVm73UBAuqaVwh
IFycEt11WRga0vJsUMEa2OtyLG39FPNjppnLQoDR2WIRNmT/3jrLt2zkJ5H7ro/CP9NXktGH+7oz
T0JNn/XA/Nh1axTXGQvnJe7RjMK/omQZ448+gS1U3aXRt4w9fsFehgRd+y68jNmeLmm2APllvNsM
xbJNSIoVb0nCxFfobPOTsk+juzz1unPj2aWI2h4fiCgNC5XXNfWTU1Y2j9VaEJIld77+hDd5D/d1
M7ktW3V8cAz5rVndo4WYYwYgx1AOMvvajJB9zjwfWHyMRd1ZtndtPfHs1NNd2udfAETKcJHkuH+U
0d/WxnhQQOtJ0T2ueU5IEnFUwTSAjhkpE+j468TjKXFJtC/jmoO/FX8W5NiaUd2hKGGIrJ03aNNb
NJgPbjYR26LdZlNMHJtHt3tiI2BCKuoo53McBpS1+NcDn1vJqGAm4hth3/DOmME//2WONwF2i9WB
pgbzBREraYEky8F/YwLoknKX9clxLbO/q2Z9tETbjtnvUBu3o2F2QZbzSC/2+q4V+WGwNpKXCxN6
+lbZPbLxHJcwU2M3wWNSvivNotr980eeJvp12PaHLjtVvUHxeKk9V5k4NuOvZlE8lPT7qtYPvX6z
xAxz65Ah/ydXiHGq/FOte7G6nxlrCb9pKjghwsKNISgbaTBr8DAaXpuH5lnNoghEXn2lrdwLlVas
kIge594/mjK1mA8BqhK2GUYG/lrzA0EtsmXODU/wxG4r2dJzCaJLAA+J0dVa4hcqCxxAz88Nt1Eg
ax4ipCIfMeBhAPzz6dmEBqRe/4Mt8xJnxq03v7ilztYi4dOX0TrVg/3ou9wQTdViedkgSH9uHsfy
YJj7KvU+7DzZue0AYpauf83eQidtrecuq16X1PnpLAOugXhI5QIqr2nC40gMgy7bXV5B3Hom6FdD
LqXU5i+YEY/EryaagArYRtg7rMR/Kkk+mOaNppJ3GIifFiG/srbgbQXk0PvkNybppPKs9x4eKMCx
RQMDFhGMOxxC9k06JPdm8oemjjBu6Szu65aLctBifDf1nRkXb0uuJADnuCupFtjJoYAdFOqxEura
JwZPJEMWSvUcsaTlhZrLwsCwu5WGlL+xXQeiAi9S9o3IMvwd64K5XbZ3w0x7RdfZKiyH/Jc+AUQO
L5MqfiSi3MrK/wz++g0tt590CWrjzGyx/Y/kNqlltfdrnY15RXqOeouAZgxM4qgZby4wrmesB1m1
J68niMQfCcVNkWzqVUj1KheVEgetbV79qr0hZhS40ukD1GLshK5CUiSYXPP+LvcGpMB46gJ35k0y
dRcxYnEYnZbcv42vrz2Y9+w1Tt1ndqUHk7+2tFyEOG76VCPMj/to44gwh57ddH0aU/OlT9ajsT5P
aKKR3994XkUgKjOlV4m//Ti/4GfBP0VAG0o/92HS7lJvvbFVcsUv4oTb35LYoazWC/bnj4EQ3tDB
Zr2pRO/0tt+pxi0CSyeycmWLQzHb1IHsUOqVNkCDxVxWZ+UFDa0BfqL53o8PY3uafcmzA0WOQTQk
SSSN+gXyYiitG9f0yrBJOprjLOuW7mG2b8qdjKZ/yixT8rqtz7Rpf6aevXN8fuPweTzfzkRknlPf
WqPrYgeLGS3dcFgbxEMm37NNCoENCESeYPczdAXEazoc025+8drtzEGuGfRp+TylzYn4ru1NxeXi
aMVVS+edmahr1ad7QuBRXLWSKy53eQbr/Mez6qdM5VEPO9wqYnBYOvgou5S5EW9w9+7n+aVuhidQ
qFdpEk6JNfeDrD5GvoXcpcK+x1NGBt2dqWd/gW1y0X13ZH3XtXtliLp2dAoJD3V2pYqrOca3hSKN
o3XiZ3u23KgdSsZ17nefiIiYgTMovPUOYPrsAjwEzVj+YRzuAhmjuGc7D8Z6jXlD38oh3qr7AFWk
dk8J+btrx0ZkKu1pGPhE5rhqw9mOm91AcKyTIgzxp3MFPtS302HmckJj8aAS7q5+XviA1wabZUfM
Wm9dyUE09q7oXlIHkYANn8Sn3ADssI4aSydAr7OTs44/27c3y+R5Gea/hjQ5AOVwm22D2zAweqAr
as10AFTt5L5VH6iQmguJXzei7bG36DrvL8A86vZVO3nVqXEhjxEPxHvHKMNEYW9INpeSVo63FUER
B6scKUcHnDvlUJ6jY9aXpHTVLp498BRnfk48tO9Et2MiiGFG9SE3DnbxXM8DDoqhQtfhYA1Ji9uR
4ikiG8NU93i/qcohdftOaLMVNhl9y95jgqMvAkunY6L5Gl3gU6cDLRjZqyA+I7Vtab5lBxkva0Bm
BsblCBA2Dq20/dTa4r4F7s+pckBNa8f5vEcg4e/0M3qj9ETQLtt9OhFqXPAJm2odmOAIAjE0rPqJ
5c1hihJrx/igrLnaTVP8NY8Y1kCPtCgVsgyMXl93Lhyip2AKAKB9Xhu+d8n0qMuJiLkp8EfPAGWJ
r36BwXQtHErjaa2QscUbQGrwHr/jhodxVcj8EQXTXSFQs3UYoYJBn5xonewxNCz3waQqPDCd+Sr8
KyJAPTTq+DIK5kN9mRdS35jWBmASzAMIYdzy164HcFxziz2x3xxKuLYl3AuVa+5TwxKHqq6uDv9q
Rq3DoNP/pqZ7t/2zGpz+qw/VkDSke3kL2yFrRL1pRlpxLV2/QLfnPXKv3LCTsKF6UHMdakQxOx+l
wXBoeXKIiDrZG721d/rJCOpkG2wEdguzO5v+esgFRL9Y9qi1UBMLznglieTIl1vYn/PU6WQO+0Fq
j1cUs/pQ/CwStnmQaRX1VYKCiM2bXYkqVaicypiDSfBbsGcz3TlcBsUkv6sYw4pIvrzYIk5CnFmp
vh0g81LmT9WYe0GWIpBJ7Dc502ULp94Y63WgCpJ0zL2Iy4fty6LT/mp6Vreqv8Nkhjqqm2jE5fcz
wXzYygs74zCtQwW/WRPzsVjfSQ1SJcuvJjujwytJ+mRUE6X+1m/R5EzNrfjV1vTZzdS3n8Co5fC+
6EW377HVxN9Mbin44kECYB/7/Nm14FlBmI6ZPULfjSXeXvRXwixwyGX9nQa6ji9hIHk+XkMrAQ3R
n3MQ2EQuT2nefQs1HPJaRGXjgcAYuAZVivFU9T2Mobius3mvUNx1RvPFKxymZXnyJ/0G+vQucZOz
1sk/otqmrBa9/DCvNzOIUmNR8T0+xBVrWMrjMOEH4XodI1MQydt66lYmze/UTNfBqAn1Tgj5yoDY
3HK/GvWIgGr5wGDxBRO56wfjhelor63WHx9AoO2BDyRXa2Xgntq62Y3nVrS3vN3HrgE3JI72NA4J
Rb8rz9+64Kw0u7dJ+oGO4iVYDe1PAtuK5Ns90IjUBQlWwFC3Mh4jr4pgrbb6rxk1fhtVQMJGcrv9
DG17Q7Hza9G0b52LLmgph7veHemd5yiyM4gjmX0zeWK2LS28cm3JqFJNAWPHAAhrP7KhfCli30TD
5cdop7P/JlTPj0GfEDVVeeec+aPhug9cwz66ZEUTT8NJ2vpm1KyoTbfP2d8ydcsBN/bUVdc4FY/m
YlwzTzyh2HmmtJBdpL0dVHtXzjOLRJw/bD/RSPlCNaWXMV2/B7EeYvs5r+UV+uery50/qP5PTaXd
jOODNSyn0SM7ZflWenvXa9YbsY5dYCvrvkk9ug9QawL0UyfrIWOi9SWkRNbyy22UwGMeOwXfX/Ho
cGSCfYwfeecfliG5KR30eKjzA4psmSsQvXRmHymHnYj8SVK5Gucm0+V+MJ2DGX+6Lq6CZrnacILe
9kynWv06t9XR79Pd6jr3hoEbPO9O9uqfR5/CBtaJmDHK0bs7+JaT7EuUe/A+7nwLr27ggyu28OHU
aJ8mOKUe8L5PCcl0Mm7PjBt2W9UzM+12lsOwveKrTJmbKqVdjRldCmVRpAEn5l3FP50SLjO+fq09
GFaC7toozsS97I1zueavY6cOjmbjk8z0+2xChASzxd5e3dgeA4CPHp5rO1dMDPKNE+00F49rN8Fz
5+8T6h2LX/WoLBAeG3/Zg4c8ErHQk4jJRbfv5Ihk2/Vmha54QvEwT8hEnJdcNZ+Sgb3MeEYmsbUf
mf5RwCgHErpz76FwxAH+i+vqi8CfNlRtW0XLV4aoJEyy8VtHZVRiQKeV5NMhyE8Q0E3ua6pHmVCv
FbAlzQugmy5a9hx8dq8NWOPh2cG7bO6Yl9kwDGBLAGmjA2U0tSlEVv1UV7a6yOVM1BveKmwLtWCu
zsqULDId97pp/s1Z0GPO6R3g9xr6aL4G8lART0aWZtnhMHs6ufcdYwF5WqmJvWDCFUH+zsNK0BrH
CXHD1gpEQllXSlh8mCfnykSSZA4l3JPTHoo7T6uSc9Zw0hCqgdAR5tM1v+IiBag3taPeF2aYb0tA
asL+ZgUhSUX+3PjGv6fJ/Ecwyr+kfnw3/4/UFvh8/vdfs1b+JarlJvtuGyT//y2R5V/+FBEuW+zJ
f8t5+V8Y27LFJ/1/Ylsa+MDP+l9SW7b/4j9SW3zCWVjOaByimJAh8f+kthj+P3w6tG3dgtawBOlx
/5naohnuP4jXBdMhC490OXwY/xnbognnHzQ8b9Xwpi7IRzK9/0lui7l9A/9Xcotn2NQ4wmyapLaY
KO3/a5QR2m/iPRAz8op40NqOhgWEXqpca5+RsS3MHVZS9Da9eLo1pPeiSmwtrNfM7CIAvqWMqsme
5K1XlvFCGT3VJBHqyti9ZIU2yCtk+oTmNrVbqI+qJbMJx4mitnlo0/ZKEkLJEpPkQ/+abK4xMXuf
mYUuL6jccrxvEmE86xxxLUpbPeSZHV+G2veam97Lpi7MRkWeAv4MHY0B8QYcDTlq7YtQqBcjmy6I
do+4N273+er4v3NJSw4gGW0xEZGdngi7aVr7nU0qwRwMLaJANsQF+M2HuzoVqkdJIWokMKiX6vnH
n7z0R6sK9200+xVdE1KkMUyb1W0xOhixfht3aCBYzVIsH3mle+uhkh2xZprXzghKkC9X4SBGTlE9
t0YO8sXitRYiH9ddM+YmRoh0JUcF49D6p25lrx3tKpccW4pcHoYAC8phMsz5xSQtznoVyh3PAB22
Fk1x3CAaKuXwS1vdBLEjWUfnjPMiaiqPjKk5ccX6V8Nebn3WadGoq6yk034q/lLjbIukRXmf1qU1
ozJZNDhxV7Wx+KTy3a2uOnoksv/qlejUx0IX+KcQEUGy98yqS3eir6TtaENUmnevNJjy99olef7D
y+zBDmhDmrL9TCC6AyTix8PRiifuo9KWcFiBbEiPfdGG3v5y4xg8OStMrOOD8BQ7kqUVL/kqUIbr
Crq+1zsWhyZvkcbmWg2QpBwTRULvtJZ5M0IQ+bhIC3NP0Ub5lOOUIHsBTv9FjjL7Kdph/q5F1pTH
pZHYL23HMQnPXIHWQiOvkEqOSS7uhKhwcEFVspU3q+GhQIb1ZSh3KgxnEwPDtwR3da89o5+JaqwY
QX5Z9A0cA+wGkVaVGPUKGm7eY0qgGbAMdpLdSl2L/CvQcomAnm0tfx7z1UKNmfhdq4f5LJloTTK6
hmiwR1Hs587o1sOkp4k8C1RC4gUDjImdqNHzCn1b07+Yjd1eJxZrsWEhyZKekZEp5yEWxiihihAs
3jiJnqYXpafUbwR9pyYfrGwel+yUIwX0/k5+prlbYYC46xhgkZHwkecnT1VFH9maGDCndVjiDAoZ
Pr16tF9aWbT2LyLV3n4Rw1qJHzqPNXy3Bcr6a142bBO9EeNVrv1StpdVoao8SE8sXNdW3fcq1Eao
0oMiCgBb4xALE3N47Gi3gCbL8kfPNqveNuf6fzI7rSWrgxmjXa8hIXqkWf7KIlWWRAJlsTVmH21K
mMsprWZgJiARw44kBNgHCWg+k2A5x4qoDKxdJ5+iAP01c3uW6MCXerPe1wht5KUjir89gw1X4kl5
KwZ3cgxbeYYexnRiqTh2o5L4Ffc011OefSytT6EEviTicdGDzlVTUT6l/OnSKgoqNrPjhCyQ49I9
qRU9eKCGsRWRzgGmIscbEjzTqYcJoUrpLGKF/jfqzmtJcizLrl+ENmjxSGjXMuQLLCQAh8MdWn09
F7KHnKysZOUMn8iHbiur6A54wIF7z91n73WiefYV1BVZd+WMOsXPrfpCqSKbTK8QLsZVXpocPzD/
dDHnCsWM1cIjlV8VpyzpLAurUTRsMuYZT0drwL9u4+vFCGBcCxolQqzKg99epwnsR5Hnb7dCLy+b
66VoJjcV5L4lKi4mCscRjMV2I9Dn5fuJB1JUqCVheotwnNJAuFtBN6RR/DwxTFAol2ouUll9tpae
wb69JhMPJqJ0dr++3GEiCLQy0tuAu7zJ6xI1zOKoFsebXpAT/aXuqqoWgna6QsQnmBFJQENwceOk
VA2sRTmoK1wAEuKlGdGXiXjziNvh+E/WhiaLo09eKZ/2kpJcnq947ionn1Rk3eZSAl5hNzDuXqZ1
Jeap/oqqD2Ee3x5rDo6AlITLsZZi44lqGouxMs5zNUT4ktkc4EQik3K9VTaXNNNIwo1S9xIJllU5
GsCN66lR5eRU0hk+qqQQKyfrMl2jPu6U1s7rK6zVVtbGu4t2okARK9WuD2JDGS52IrfmbGXrZ5or
tx5/cNJQtlLq38AVWKAuRQ9/m0i3xNKFLmD+kzauJ1j0pnufX+f/CyzfU5qlxddn+vZrjff/YmFG
zfQPhdlb9f72ea9/xunNmMl/F2aCZv1LlYl9sVMhDTO79n+XZvOPWMohoZkGwFPFAEF3+zdQT1L+
pcyEPSg8gPU02QIHXCNowdrjR8CFmW8Epod/QGX47xRm0i9cYQUj3Fz7WbCQ59/4K+auz/PrZCom
FJ41KfH4iL3Gv2feSIv3BBOOXKBvLH66Pf9R3v8M8VOUX+jY/74oWRmLWdmKyH/+ytZr9EhqLxMF
npyC+pF0YJZqfQN62432QDS7Shhohnh1FdeCyWwVudWCIc0Y3rA0lQbHXmVLVxzSlHLZdJxFa/GA
czmAU7/UWtORCtInS62MAlEGOFp0bajX+IhvG/SavsveRrovEc2PgSnOg4Fl2oqOedxj8VjGNzys
0zvL7UxO6Jy4HlyOV67S7UHZ4Li+u1ZLQ7VGyYluBS660iu1dAU5Hx2rQ5Mw3amug1Qu3ARpmIMt
fKkGSrQUlJ2BEU9cI5og9OnzIGc5lFoO3SWkBPq8t6hcXFnIq/vV6VsT1z2+0lFw4DJzbi49oEfE
dURydNtLigc2ER9iYxtbu5tCmQHBjVVoQltVoW0C6c4BWRSAnFqFCo2uotaxX12fLlQQtb5n9tcq
Ra8rFKVzdOO6q2++WT5XWAbz3KRdzqqYgr4uszAjs9oVyYNWkP82a7dKUjoPTNeKBLekv6VGxtLM
NC+KC/cSATAx8UZZBMtifWndK0R0zVWjGrs9qQh+zXh7xdl+GG7qWeiLlSbTpGlk4TOh4TzhQCdD
+tZ0wIDATm3kvGSymsj3O9YVrXb9u8o4xnbm5JGycqJZOE5i2IUGIkMu82iMWMpznmH6Rd110d9l
V9I+yeL5Znt1rvXVrzHZS2nL44F7WCyYe3LACv9SSGcgDwtJVhHkn5qRDzUR7uNRGt6b6fPGYlok
3dHq9bd4MvBDA4AxQss6iMx360l6tMOrNPcVx9c51S+RpEyMg6bEDHP+LqZkqSNMWWJ5vOcGGhfh
QfB6CiavSSXEpaAj1tDK6mkhKTsdf1zcFh5oXi/lYpz6VsZlIrH4nBN1JbPObAYlbKr3uIo3HJ3O
E1E5QSQJM2TDQdLytUBd5jW1tC800Re72i/EasN+d6gxz7Z6FtnYtJlFhI+GBN5diZiNI+7ACHqK
/Ap7A5aBvoAfvUuHfmeJfDRD92h0ulo1LBiHvUIkBx4X79VuOk6xcUz6Zj21mJU0jhy02jRG7Zhx
/iakygP5uqhKTpFCb1/Wgyi9uBAAgkwx3tUp3w98XkW7L+q7/JHcxUUhS8syMv16vK/vmrqdY4hZ
VX+PzfQoj/WzKk4hEa89Q3P9a5at9KQ6VuLy2hw5JWx05nteGFRmT5jnGoXsgWxIDAWT3TTz5+6t
cZGOsmQ+RrnBdEG60KQ4g2s6Ec7DyFVi/sR9yRkUX5ShzZSW9UCP0S5wJVU5CbVrULTVlqnx+Jq7
PWYOp4MmdS2Rf1Md/icGYgGLmqrevyT4hJFYvKuauJ003ilksOsczqoPVSbux4zIUKRsskyv/0D6
5vj+85n7xzJrQfnWmKYhcjPmn//EjG/HEbyLIjL9cJmG+TILsoXqN5tL8M/rufy35Zw5KqKma6bK
VgbwfEap/nSdprIwa8R33AxBs5DitXqIAqzUTuJ+pIvJIQXj0f+zheWNfIF/cf758jNb+D+ZsOxN
XF1m+xI5P81RUbben69exW3TJTQrXEm582S+d/QEflzhvyVI/dfUpl3xdTs11ddXs3kr/n+obPiq
/s+Vzf+4QRK4Xv8qOfH/+I/KRpf/RfVB40aS+C+mIrCN/xsVLOgKRY8lM3kL7ehH2fOfpY35L0jg
OOGARhOjkuYZQ/+rtDH/BePaAiQtGwwHYkb0fwMVzG/65cHgupaMfmXIlsiDqf3yYEiCmNetHkN2
xCydOE1rt55kvpsxqJ7ny7C6ceLA+HgnMV03DWGodd9Fbp6fyFUhuqbuSNtMxs2TLxtaQzfzeyhp
r1v7OX2GYShxhCutzm2uHCpzYYmPcIOIsNIzB3SdlbglNdx4gVazN/QDcTHmFjp6kNSuej0V1WL0
kLq7KjQUl2K8hdqlrZiExEbGCh9mw1sFYRbIj7ZMC28MTSf9RrJhytgS5w+CO4UOwx8Ol82FhCWG
AGIaDuuvK9llkIcyP6g+0rfKHZ3Rs/x2eQ3gjxrObVEeBXwj9vzvx4AWjIOJqL7a1Sdq+IFue/+W
hbg5PaAcTusOh8FRn6PF+DI5+fm6GpzJG8+lm53vaxzq+/YjSr3hDniMhIXXN8FFw8NJp8YWsJsy
69NVDmK/Mj/hw/Syn1rrElyB6JYPFJnTSng3A91JPVrfDB7AwO+WL4K8g0DyPMLXw93tRUTqGeOS
BalCJ3otVaEGKDZ+IX3C9hYyXzPIMERhx7n4mr4UrCD3hhATabrAIkA1EEGiMZz+Q/nutt132zt1
FdIL1E+9W2xT8qOFa7q9P3j1ueBIl9q3U/xgPpaHC+PkieL72uiJLjkTt8C1ewlk9Cm2i3olfE1O
QyYWt3sgZBvrRkaPdN9H7RD0uQeWtZKy72zc5tBv7jAGnavLgGlnvDrKcXxoD6VjHfMeXKldL0yf
TtWddmzxPXHL02qjJkEjH2S3CFDrGylMrtuCKHzPSJbLmrykad/P8L1ykgHuVAQZ3obcztZlFeq3
hylx6PbdGVUbwRNxO7Jkwl55lZyOkIWMb5fECQwjHyueHee+agVJ4xOSoX9hrid638AwHGqAS3Ec
9QUzmVKikyHABuUr9RWvCpgVGY7ufZ8yK+s53dHFWuQ7wDhOcZAeR6SrzqkOty91LSwYhLEqGTHq
pmSZFpVzOdTnZnLMARgDOS1Mx8qhXt/X3eVUEQ6z3IzUtZ2f8Yc4vK2usq8MV/JIOj+aJ91vHkBp
iYbNYXcLdnFdKo6+x2Wfm4voQ/ISz4KTw0uh2tZX2fs39uitlK+74uGW7mtrNQi8TD8tjL850/y6
1c5rDUI5OCsDtwLntr9uQpz+R+xCAoHRxfw4NmHv0x4J/rjVzoDznze7H9eRGD4qzkR1MO1/vc5Y
l9aAXDavacKJqLju5If75rbKAm1LYhwNgu66K8+3end5UPaX3tG3//ynSr9uuD8+AzjMeXICkHT1
l+0+1i5NPPQM/72tJV/lTQPE7EnOi2yLtssM1T/c2r8dUX9cT+euqoqsS5bGNvPzBh8jDY5EyPmb
l5m8JFOA7dMVKCnSYWV+KPjg/nSb5zP532/zT5ecb8FPFY3WdZAH50teFpN+NPwpBNoHB4V+pQO3
7b9wRY7bv7mmbmIxm3dT3fpx23++Jup4qV1KkquMhbMJKUf3bcayOm3i+/K2kL3q9qIHk2vVbnqk
izz4in/zMdqMvMFTf8ojLzG8Qt1P3hAkXuwSGGD/2gqfly/mvJ+vx9IndbWBrLUCZeT0yw78n1ff
ArL6fIuZw3rI687BiCbMXq79BDsAUpy+stJXJX4Qrsfr+Jz3n7nylgxn9Hj2nWPXPSVXgnFeEcNP
BUW3f7528Gvc2paeyNhDEGSDxOTFYMyv9v45VM+S+Ig8zFDfx+kSYM5uiD5VC2lygIZdd7LlI4iT
dFIDze1cwlpA4mOd4a6fWryCHZBEGbn7fNlife/vta3WLFT3F+nyGqt8pHxX92tN5SPcjkJMOtyu
TTvJw8ynn6y5YFFkmHMl22Kfw0TcENUe6nMGghbmGp4cS1jq+upihO4UcyAKrMs6p2FVvd84DTCz
GCocUl1X4orci9Zp4Hw/0GrWCffMLf+IUSrgfsn+1G43tK6Bo8Y8cOCCplYjy0OryIkv2DkDNiEA
grK50X+4MY/JlhzhG1zGPWJ6jNM9kh79yvE3vOKCvQbtkiRl/o1/O0mOl2lrvUDQc9vSYTu81iG2
plm+CIBq9ret0npJ9dz0S6VjRqdfroAz+J3w1ilYSoIxC1OOuOz67EP2AFqvdACeiurrZzSsiztT
AFcM864LB3VkpwesM/3IlFq3cUmXejqYT1fNcIJummZZg29wGE9uFk8tyLrH0auPVrEBste4t9yx
PjIJiQOUmI1trnFpHT1UbrVgbO5RfgF65edhyhHaLlfJpvOzrRCWcDtt6eZfv0wHG/Yx/76/4fGg
DZ3US4Yfr3GZ8oCEM/XbIyhTqXb7RKzYnzpbX6peCdjGqXlXNL8OzJfiTGR9OnFpkBtn6ZQcWnsu
nvBsRg95+y4OD1drSQyzUNYGkoCH4oBFzU69YtE8Gx9Aj1fwvW/EA8ygX9290enWML9jHs44bD4k
nxmK1ejLx4rbo9WL6AEAVhwQASYFX7sy5aWDfkunRjsifo8hL5gKZ2wrMF2BbBz0wxy02LHs15gm
SJvIYUSawr0yNkLwFDbsDxqViB0WviMHvlgV1OF1oWTrFMlAy+9QEu38OG6gsBStJ4sQG2z6NnVY
4Kp6yXw4qXbzXHMGd25AZweyUq58nF7G0sM45KKXJUfwoQ8RjxCcHxdfvwpe602R16XgDa6MApZ7
HdBwjKw8TTgbXQBShlOPu6tACAKvGPEQW/sEOgipI8rCsXtQO7d5Fl/hp02QBPgKWFaqs1TuyMu3
8mY0wHU5lRjbnT96JD9r0aMxojD0VXjSL0+DEaSEaWLYBKHa+jTAoJrTH04THxmG2c2Ja5QLXmkC
mZGXiy/VYwoPgIrhyhaEj2aCVkc+CiOriwm9/C6ZlSgQ7oMp5vCrsvdbPNeREcUiXK7pnL2V3+lx
OBN8nF1XJN0l1/pQgPec823xSbaEmu6SvBBUv3euzp91t/GdDFRRj5pf8BtXRe6MOWogyP61DjYp
88FTdNwQwzduTnaKvDkNJ+EedZRTWjrdR/sNFh4k5miLOGhAJBJKIHQtrC/zEqBi0MOnrYub/rZS
b/vbHb0lessuzA1n7YItpTNU77N6HvKXvsMTFJqVH49eB5KGaHe7o0zO7dKTfDBnpV0fgD6xsGGO
5GkWnXqbeTij9Rfs8XzjQNXpLUXfJAwTEejfUoalA9bx3G5Z4J1qZT2oMh/Kx6N/67ZX/EWk1uLg
ci4f+aOaNfYgD0q+oYapAYnKEWDFJlSmtoT+8opnqHcKmefLWNGtEJd1WPn4YhW/2V+hw8VBny0L
a9NqPsbpRzU/FVArpx1yaH3gix89HUKRU13mzUBn4o9XTX6jeZf0CNHrKrmsV3TQ42YbaRt9WsdE
6UkK+3W6y2tibcJRUbaKTSZpGvcSlNxsmVHq6/0rwKO04nvZcdIDKkKvltMRity9d13MwnwtGj5b
bGcuTn/erRSRE2+X2xokzAhBOuSBI8TCSqWm9sEHWeQIfHp6OIP6kmDfKp2W02UHjuT2cr0c6/Z4
rZ/1wTOEQGR4AGfN18vgDK8Ej8mGO4ruNa4ZGP74RT4hBnp9XcYsT0xmXDfwm7NVzb549RFpBWx7
yMALxJZ6hc1Z6J6RkSdXu/iS9k3+d1LDBC8CgvndVvyrS4AaZRcawpZEW4uxjn3ybnefIy7/BAyi
p+Ohwhm1whmmeBZlzyqBY6gGo9e/mddQf5SAPnAYtpW1dbdVL3nBq8DEmgW2tTkIgbd+MZnzK3T9
LPzks98m5zLlWSMtdbieBGd8QRiu8CN5abKMXvBPeDJgX8u+4llm8C/AwgsF/pGZWxg354N5iFnM
BbifRC7gRMU6X7KdUZ/MYl2SgcV7GHMu2qrCfipBPe+HKsRDzTMhfLLrtE8GW4P1EeN2cG6NN7b0
EcC6WkDIuInEwqKtLJ1r3e09ow77cVdrK6oHpZ+XkAQQ9+hH1lPrlflpmHOd/hDBeTpZDKrIl7XD
4GMIoDwilWvxLrAMdiY7z/ja5Y5YfAJzIPNYhABJLzGvnYs8wEoErYapD9idERKaO+8s8xQCAf4K
nG8YvS8MiaNv6N2qIIcadqGbTSzGQWZk4il8V0ovFVaNw/7p5kHZsypAQaHPziGO/FOgW5QV3hw1
nhZp/3YB7n71LzryBzEz/BYW/eGjFio+nohZLlD8YXGhjxigN5Pq8ZlQuJgYrmSna8I/eNg8SgBO
Wsmj7kaL1tfd66OKcrAzXyYCRW4VDgxScQqPQx3fZ+9DN3CKLbNmfOE1P7dulHitq/qMYwk0fL8L
kjwrDpHONajI/Wau4CqLzMek07xl55jd7mgurqv+owpVmzbIY/XGa+ulMmxNW4zsy5Fj3lGZL8fH
ozConP5TpHAMdV9esUiGtyPBDmPZPw9e4xmesEGn4Tn3YOoEtSv6ACAX8w96xWFAh6/7JWGvM0+E
YyzvbhNEp3pRfHOE927f8mI0H5BaAr7Rfc7WSEXrcCcJ4zwxzK8OgXAz7aJZTvLZiJ5IHHN6vSgc
VfaquK8Ao5i2qjxkDcWhm3M8RXpgXs9lzcj4yYDx4qCgNJ6MkcTmdtOjMG8+ihEzmpcCRGES/1XH
fEM8pDGWYfI/4v3i3qRAEDeJjj/UzDCcOwbk2NHvJIagO9qhlr9JQ8Ecx0j6MbxPB7n2CszUlJ5d
hiN0a8Cek0+lss0oQgfzcCmWg8UQ9QAAvQgCjC6A5o3XJQU8D8+98cWvxIVhAo6CardcDNOCLhX6
kys4XbqYQSmerIcmRkMneeq/0I9A6omLFA+DhzOfVs2NhAH8LIKXnoQeU+NrBvC4RjSgHo6ZEzWF
8kvtasshJB9ypzNot2zZetj3K4W0H6xarPAzzvkLb1ZfnKf+oY42l2araCvEl0JyzHV8bYhYnho4
V9NHIr837/cvYnhYRILUeJfRp0gGp+nRaN8siv64KWm2E8zHc3NpH5Tb53jbtWBvMFobYpBcnowZ
5jS6DXuItowoCBRhjU2HNp95sgJ1LZbwNoI7SVg9e5WNRYfaMiIQhXA3cFjxuEy510bL4bKsxl3D
5i2OTKcxXGMz4cNx4eP67b7aFEt6E3a9bndsES4nGdtkuRzera15xouNkf22j4dTxB/Bs61Iy+pR
HX+8aYwQUNczrIUqsTuap8lhtqvQu9hTU/BKHM/FPa803+hrDg2LKO3GwjAbTCvLuT/rLo8Mu8Mr
Pbttuqh/KAh262OIp6DmgH3xCvhmITr+EvXtAWHK74LMJZAPcoy3kgBtYut7cXFfG1tz3/e2tpJC
lihXOZJXgkG3JQcDPlDzGVzcXZeAgEQXKlE1uDev2FgMNmE95DSk2cQFHMyqpvQN+eMIcYCUCE0T
Xga3P6ULqnaisp1XYqH3yJ2DNhj3KqATdJ/LElTA+vZ6f1Iu7ngPy+kdC86YHWRhVQ3MYLeLgIi3
b7CLNQ5mWFIUW2GRP9GDJugdRXbmzrqizZ/4zaJgj2E6uT1xMp2iGezLWxJilB06mDqhaRykbBvf
D4p6zgxadVbvKJymM4x3c2bUeKe3E2mwjJwbKXNGkVdMnZYOzGQYh6dW9cSP7pEVqUL7unuwXhga
ESmewcQ0XPgXfcXYAKPyJwQwc4FrqTPc7ts0Frf6WEprSBcN4X0OM9lpHlafJGxW4CcSWBktRd6d
Ja42KSRWGpueQBmGl5Ltg1Nn/wQRXoDAFwBT0KQVMvbUej34j69aeoirpyb5TmrC9x3/K0635wgb
nvalMQMMdVy7PCWVj8uJ36j3AcVg/kWgfvDTgefVqDn2oig4bFpMqnbSF7jLBJrvLUTshXD1bmWA
yGk1PriRZysN5f7U6wSU36SqYVdapc2yReq7vhFcvYphFnAEWo5+80gDu1uVLg/2Ajpgt4w+eiNU
9XfpWDz1/pUd3MYoXXZhCe2QfvN9e6t84RGFGW7VTNC9rBDWk46TQ+zlwkIo/SbbzAN72hCYlNkH
kPRp3FrBBf1dAP8TVPJuKE5GeigKL1PdFjSn9VXfz6O5i5TPooJ3y8KUsQ9k64mX2XQQYKegdZlB
w3NkblsFWEU4y7flExv8vfKy+D2HLEemf1nFMhO4E1dNmP96x63nsXnP27lx1HcQ7uy5M81qadr9
GmU9eZsczeF1drVAW14BlayosIYn0i6uIC3Zm520mZ9oF5kWUzoThHETMD4Be7gzQouZmgBqOdwQ
ckOf+D/Zz1M78S1ofMYSbyibJf+IKs8hS7OzpeB8jOyKE3L4FWEcWjTK7zdzcNj5COw8wO3K2uB+
dqp6LaveTVrqAtwdQi6ljY2Kuipx+uAe8A2wcIrWkg4MW491c687XpMrsU57vlUNZSEr6qyH9Cvu
vsmj0ZkOU7FCxBLPfL9EfK62synQ3ctDzUnkrAQS+vMVBaa132gvdO7Adlzu5TB2rbPlmu9saA5j
erh78+2X+ZnQrofbo2mTP+S4FUEBckrKgLuLSMQraLkKzOEH2eb4aDIW3bkiLZoLwwF/6UVPhddx
ENcexMSVyGkFM/8DsGqxS+OVgNTMHxdT/xXbGXvPid6J94ja8rlbjs+TB+rUE/Z1HCjsZxwqkc5R
eyaHNe8ggt9kxgXLL19f/6Fe/9ScndXYXxXjn2XFX9RaQYkZfNPcof24xOjW8rJbz22IO98PB9Dw
6scHyxspEijJ/Gmp+6w76PT1U/4nIVf7nXCsW5jQsZqbyt884JOit6S6UDhRL4EzIJdtW+QF5g6U
HuCSjbHiKTyaPXoJslYZdLc9T/rIs317JY3pjOF8hCQFEgir2GcuAXvLDmkDPbT1GMLAv6wCKWjX
rX/ZKux6bNr8bl6aP/0p+u90+J/+FG3uPf4k1iZTORVqy59yo0JdEjhbgL+i8cRRy6NKXEyryUfd
cRMfHs5ubgVEfuJnDsWXx1HeJtHCI8tp9odeMeyx2Sw6T6MggHfBv4t9Is4Lnd2D2YkPPOO8C/p7
Hxrriq9nHpD+R539t/rzf3472i+theIK+Mvsf+jPs7DchUrwX2lh/LZ9YNAzxgyn6CLUuL/eukJK
63a4VHMLg0KTP9EtHY42LvFgj3Wg3Y2cPf+5ZSH/7sn7+ZqMrv356yI0VnYgU9UfTog2hmx66lX7
vuQki/ufXabxcPyDaEBw8Ron9ecxL8mSwZOxzueJvH/+PNp8vV9fSkPWpNmcIeOYmPsPPz0+Zle0
ZpyOaP2b8hs5EEaG4jNyhwPUE2U8T32ShQlzNFxm8yhP5kLFMca8C3VesitmUvjXbw4d8fnyJmzK
RY5H7/bc5DvrRJQKQyjDDQx6ArYYGB+XtRoKLsYdqLb4fh0Uh7OakSh1EJDuT7TS/vR20Mf/3d+n
avT/Z2chPsa//n3RPQN4YU6qy9w1/FATR4+P4aX7IKClKB4zA8iKk/anv5B40aOyitzSrVa0MRbK
arARtS52954zjmyVja71DoLsKh2jC6U7xm1bRbBZ45smgX1EFuifZcUp1/o8QIdxohf70sw19211
e+OcJrb0qPPACLODEZabnEMqG712jOgCP0jv5MnDKRzW2dLy1JMmh9M23+QHwB0CZwlii5kXuez+
HIX3ly3llXagkh1zp19Qa7MpwB6l38bABU9aiOF9DYrXsxb5O5CNOaeBEHtdUHH1lM9VACn5Vvix
zwLYMnnMJdk7BjC8EHeX/NyBhxSdhAABeCsE0Y6dswceweAItn6sYiOTFh3umCNuDTd5SP3MZ7LM
QXvBTlZshE0Szp8Dl8Et34n0/xlSLNqXID6pDF54+ednWPndEkjz7399xz+egZ+e4SiF3N+A8qBf
1T/CSvLUA4O6Qr5YN7PTbzYbt0Za6z2B9ZxvTX5JHomDizFaQkI3hr16fX3447P321cdH5CuEVpi
TvQvy8tYdnHd5IzOHHw4OXQJAnN+uB5Vdy5vhg0s1D+tLsbcgfzb6/zTNX9ZXoxI6mGdSkwN4x17
1L0WZZOZLut+aezvYWw61qn3FFpO382i+phPGXHhCRKcVUazQiR1+tGOjpDhZ8iU0xruLA/Net3c
6STzjz0CITY69/tx30tu8cgYH3q92WHcdOfLR/aK0MaB0Tw1j5zyDQ8ufOpEO+QE5DiEJ58yGhKJ
r6/VPS9PvskO6j5eDhCp7+6wkvcWTZx9vS380gHeCDAVKYjOjNP6MXgVzprB7XiDGsIL1AcMRnTL
A2QAhoy4ynr2eWE+pwiHzvNS+9FJX+sv08JYzRKm9FSt2rfZj1H7kIOuq6Kn7DL9eE+kp4yDbsmh
H6FJZ97KUnnvZjauHR8axgjY03b0Zw1qoSH2zNUggs2GXdEloTMfx0W/ORaBsEbd1b3U7Ta3oHDb
7+wxgzbLQl6Bpg8jj5POvl2pwOx54u4+pJp9FHmCzywGSoPpRYwcYYlyCbfNvm4jG6YqTpnKsvPe
veOJlgKqah/dt103nu5rNB5t/XlcI6G/N8jd+9kPYS0rfkOCYr6LOR3fAvDmj8rOCnt0LfS+zf0x
fow213PrKba1Ry9YWYtkrQbqMv7WWL88rWc1vtPLTneGi+toi9WWVgSRdUpYlOw/+vZ+21g3Ceap
qkbSjyDgX1dpcNqwpRKTVZoqTOUhizHiUDnHtPJTl6N3/28jHYHL349vh0Pxmzfl50v+8qaAkcjL
pueSXfUMNCa7LlGhjGjJoHELgJ0zhOYnqstY+MyVsEB2376q7EEeNzfQcYwEc9MlU2P6yYvEM/eX
PTN9Yy5w6xVnA9vwkiPXQ7NSEhczeyQ6FVDhuyuDkfOSxaR4Wc5pyVboRb4Ird17zXn4lB+VZ4ZX
1+kGaecOsgGmw3Im1NtqIHJi8ZMTc+oer7sqpAfEe9ii9zKN9rYSe5oZ6YrD9PxwMAbPQWTGY4XA
7I1v6bsCGU6nTyCsAa8hJduoukkTqK/mZr7fdMVcfruyFh/vR1qAA8XHM6Pw6PwR02H8LqLUKl/y
ttL0CBUAN1AnGR0/cnRgCxtHH8+LCBMOIFnAYIUY85S8ZeJcETnsgLxnAs4fr9W8+77aJqwI6Hfg
Mt5vp/EBTtZskZKWqhla0y7bXFlCLk+cSzrd5fc2vD0cfqYAsjCz2VJ1K6pPghZwvNNCvq9FvhVk
+3bGz/aCswkW5n07L/S4QYJ0fXsae4c3OMV6J9Kb8ebkcoEIFjaGfZ3AXi2wawGKjtYsK+0HMMHL
d2p47Uf5Qf1/R1RknboJK8DPFoNz3ETkNGUAy8EyZCGm0sNYsBLen8cKEwPbPal/cN6Mz5URbhoy
9q+4p7AUIOtq37Kd75JXkgBb3SI2tuZAPBtlxM96I2zzZ1ovNM57AldugXZCholz3xO5dZJ68ofE
lGtXe6NnAj7Ryd7jrbpMOITPrdPkq8kQsgIJaA+tf5pEyZnmXscnos+/mKsDwc3Xst8410Mfxk/D
Yxdol60ouiIb+w4nv8u026NEq60c1veem82UrIt7D/Fr7cst4zSZXVKgdZk+/NzkwfqcCwoF1DJz
4HZdDOJ3OZlebjER1kPUMOG02szOoSKJd9EfrDiEfv++0Zk6LhxyK7qim7+cEeAtyEZ/FVS3pDku
cIBZmd/Ts+KrD4zhdgFML82FFEgh9GOnZzCYTTU2gEjjrO/37oXyxOKDGW/3E6d3jA1UWWSn3B8e
gj+UJ39faXRDxRusyhirZWyof13cmqqwoEjx6AwfZhAtLT9azsexwsOp500BOlEZHGnofvdui8Bx
/5i1gR4BlsbFJnf7kHgkVg6Yvm4SGOBV/rAWSn/6gHMh81P9BHpiuFxKLGNMrxttBWMnQ7SDyK14
Q3icuW2Kh3T0/scK6e/mJt0kPSCx6ouyKsm/FOdXoIoAm7kzxik+ar4Umm63VJ8VDqOC+6dHRp6d
b3+tjf5yNeWXk3JupuKY51yt85uFuNSP2kLjiOLAQmMuMveYfUfwrDeLV90f3gY2eubqcvAJqKPm
c+6fPtGceP/NJ5o9wTwZIrfirzc+zYwxiw3MXdPJOmkfQule9nQu+2/azhhoO7/HufEBGByCot0s
qNe9YcFgsYBOPzqF5Csniowj80WKc3mcrSzxaxFilH1sfeoOa0k3AXcpI7oxd2BYFA4Azcan2bEm
YC+CwOzNMh2cx9meidg7Ox3PDGWhTphO2okHb4maJM6NsVPkmH86fP69cMc7KJmEM2Rdsf7m38sS
mOxKwR6c4lfGDqyKnhDSSl/cfKKY2tM9YArcVgu1dbmdHw7GNTwOS+nb8vrgtkt8FkZGcnnmrudH
nWdtaM0t6dstOB2NHDbBO+L+dDbD/rK4PzHVwfjDq/MjUPDLM4X7cV6HRDDf+swt+PnVuRkDISE9
+reEUHrGZ/rdYAlS9sNHdAREuWDyuo+dOxjWs8m52Q2rMuAE/aNV9aRTxjU2Dlvnvs4feiT6lXaU
ePPwHFPJPWWbzEt8qt0DXbqsQJmkNFPs25q5xK56NFAfM/f2hf57jE/56g/rlvz3s7NpYp7HTWpR
KcnKLwuXrrZ6yWxA+tHL1pvW/c27rs2gvQfABMIK3ZA6ApmEIrw9FmZ4WRcLXKCE1fxoUQcGwhMO
C79+rc7MavNzTqnn+kHDMDRXnVEwbtu3knbAAsXNU19jH7/R0tzAwPJqdE1beRY4MkBgWErrpnXm
Y5y16g2GxvC449zZKP+TvfNYkt3YsuyvtNUcNLhDD3qSIRA6MkTKCSzFTWit8fW1QLKrSbb1K3vj
bqORk8ubGQHhfvycvdd+pZPg0+n33NIN3eJWLZl5rf1Nuoqv89ucXv0lTMG1vMxnP5NqKdq26nkW
I67iXSCRwyzAodHjm1C8LfCebdGLoxPiDi6LcmVv01VFsZc9do8eTqAl9zZFToiYC6wLURlv+o99
ZLwxkdJMH3mRPsdX6oLV70sJU6e5eTVt5vs5n02KDaTX1fRE6eM/Fiemq/6OCJBZxF28eDexCNW1
4lq0t98ttyG9Bjr8OnWz6kGuq91wAb62ssmOcykyvuYTZMk6AM2MKmxalTeiJfwVqtAFaVrHAuzZ
vloRe/4cMvHWFo7rw9paK/O+CEXgtXQDXhoUBQ/FtV2KBTxGsn+AHL5nBBvPgZHoGT+tp3GNbQao
9ceIZmRhbSXSbGWJkmlfL+mNIzZaeit9410Hd9g5LtKsbXnX93lDX3Fckj5tU6ByzJ51oOOnvUIW
Fi30w0wQfxp27RM8wZN3o0pIKLQe7FdWJTtYzdNykE7vGUsdIwTkriujXTZ7SrRl+JjaLhOEcCGO
VrHm1ahO3VFZ6ug70RmRGLIcN+Qu0dQbX+Y++n91KP+/D+c/UI//ZZlYfjQf/+NX1oDdm9k1//M/
bh9p/vFXf/Hv//+fNhxhid90FbeMtAzNAY/BMe5PG46w5G82FZDAMPzHH/6XDUfBR6wj4paqiufG
0Mz5dPinD0cR+m+qhZMKmoxtAGwxtX/HiWP8bsH63+s1pmcDC7TUdEMKTWh4cv6+XlsatHlVncS9
D3gCjZrXvDfI2oYSS/7Am0COMmnPia6ciwinvJcmFz3Pn+PWOg1Tc5zwravaV9lNNxK5UMGW2hf5
sq4NhoipfQnhvJhq12TW3JrxU13w1+LqF1fs4JCzoZMmk5glSoNV3zEQ7lHsejr/If5j6ajEtiWW
twmKkk9AqlNfrNSeUK8kQVTbciLklESWCn9jF1baAR0VMWankGh3eOfLSaWPKXXkjN1eefAQPDea
cSJV/rG0zW0eOwQAoOGwsca0nXpTMyZ7Grl5hFmSX0sHBHUeIyCLkWpv1KRkjeFnUsSMHl/Js16A
/zpOsbZrLKYbYXypRs6JiDKnVt7IQl9J+ZojEvUVhT4o6VCGF39lNeDBMYU6AyQcjA4dOUDtpjLe
Iq+6Ev+GNE2gUC23Xj5s8dTByAbRa+vFxhi9lRrkz2TefYkk+SxuTZri9hW3VDehvKabSagvZjin
z5uoz0B6Nd5b2op93/F7UlP5yUZ8pYOjvNqc7ESuHxUkgaOaHZVS/SKk55LE+rHt9F2TqV8y1q9O
tCu1iAg8saMeflZseWx0b2M6B1lmVxXDcLJXc+CTNkh1OFRl5hy9Rw1PaDeQuD6mzwW2okx4G6dM
NxbTZ7C+b8LPwF4s47xdB3p55RmA1kyMSZPCue+NhAa4A3qywEpOQCfB2uS+ECtGfl1eHzK6Lp2Z
LKtQLMaA9S5MlwVaUbUkmj71zuMkvwaDO2IukJzoUwRmv7/71SZInbNKig9AzA/THH+0zL5P9vSS
dXLXg0x9UKIYBvxXqbHvtdPCRM0LceeX6gH9glWCQxsp4wyk1JXl0CAcaCDko7dRHPEqwfgjD853
879FUXFjSvuHtFlKlZ640sjYYtq9cB+aonp1rPnhrZCN+9CtYzXIEGYSNKwHl/lRwJE12PhecZMj
3FUr8PBdt9cnfe3ljb+wQpVRcRTd2zJ8GXNvH5Ua7RqTlmJAethoxK9FbP3YHnrYTlk1ofVENIWr
YdVYRNP4lXj0uyosuRU322huZhvg/NJ/1IYjb7uBdv3VGVCgp+w5yLWlXnUnMzqlEVR7mO5Vqr+R
akAyuYNyVyibKCfaOhDrzp++iibetp21grDiOka7SkYakYDS2+DTR7QatHTbgDn3Rf/lYwNmcfll
2n7xkFliXw+o1kpLrkWFHLkgvye3x9uUhpcSOLoKFLjtDeuBB+9BVapdpeknkJfEVrumXbt6CdOz
BqwuardXwktvczkAkjxaxHWrycabXuPcWBNbuzX8ZBPX8qDE01fWhshJy2FP7B1q56J/twZ7H2ra
uRYDacPMDy2UfaFSHlS0baVSvCXoZFKJej7UXiDo74Tu3YMRUUQecxAlrBd5B/OJPIAO60DO1YK3
PkDLpzHQ5R1UR/uHmJVPfSYlFclrZZntg9UgGMistzTArZBHlmuZLJ5ZxkshIlZib/TOysRr0HX2
OczSSzgC2wvVF8KsNiIhicUKXHsY3sMmeJu4VJGqbGDzk22YVMS7dv7e6uVhiJX9iBQVanyovre9
x0G6/FW1/BrdatciBp/NpwktuRsfopnFTH75YyXQjPfUkXpEJAbFDatxI5SfXopVksfHMQIGoOTa
F6g80PPhW5ZW69hM973Dh1LaJ7Uytk7RUCdr+65VD+jlOviAPS27Ecm4im7d6qzyYSSV8oG+5SlM
xYFIFbgS6K9yvsWQ5c954527blvqRCBFARIPTZ/zoGiudZ6kgwUJ1tcOnqLtiC351G3vTIbEPW/S
e6B8FzU/P5XJxUJNyqsVCe8eD43rGwitCzhC+NMCxd7i7loWsTonmVCwpfesWyGvT7v6NL8tpTc8
tf30IOzxfYz8NSlqb2psnWTlbdTI2Klhdw7lU2G375PDSw2sbGXG00vfm0fG7qesizZgPWFFg7Nd
6pdJpM+OrK59yQI56junss90TY7AfdYB/OwaIhUYGXnTsMXVEBujOt2MA/uAL9YKemxy7UNHXRee
d7NZIpQQH62cbiWALzwAIBjtfAc/91gkJ7UhEGSUOy+O3qzUPL0WrCd1rON4mN5HOp2EqJ+JSl9V
XniJEuWsdhhYSg4KPzlS2CL9sQblJ7eUO5S2LWhQVy2tbZJWLkSjzUieJtGnBks5jG63VpkbauW1
EzVuwZPBbl+rWCNq7mU/4qTQFF6g+RvL7DnnQFcnZzPhQrbMLEbt2Nb6IeuTJamlZ0e0y4hct78U
aY9/FDh/BZ38o8XzZ91jg28BrAJLUv2HA3nK+yIiVwV18TwNrKwnv7Q2mU/Ct2mBA623bWUfuDa7
w0BZk+lghetmYRSoKLkBw/TftX7mUvAvrY8/PpAAHTPTXmwL0t7fCzHo0yZXOABw1NVnuzB2TYs4
TEkht5vfIPmORLgT+aaueTOutvVRfkHuWhtR8pg2FCHIQsNAOcRDdc54bXphP+U5Q1DI0SK7+hKt
eZw//uuLaNp/PxDPHxpojmHgM9cAFULK+fuH9sp+kGZgDnffTs5lkbzIriG8/qAk/VvjNfDC6/xg
BD7QBlO6HZ9LE9d2nH7VJeuAzM4efy/OkbAb9HPIhSizFs6Ets3ifj15Apwq9klMYeEUofBn9pFh
Za6pOzW8Qj6CqTK7+/UOng1xWi+zQH3CIsCSyZ7oThOdWrMiJmBANpXZwHo5eQmSqaQrkmbpOFge
+m4ZyXEL1ot0pXPSc8EtY0OIEasMNUs0IQ5HhdawcJwmbNyFyTxtdnT7yRL4zSLDkC58/oYS7Yoy
2DWBucibwY3x+5CCfBAKsF8fPRTxbQqCHrXF14uGBlB+EG8nurCqpIxJgmuVpTTT5dGIlEOX9avO
QqesO3c7oKNNhk8keFuHeqtOyWHCXCzYhUjvfvSdjgb09FiWvwJKCN9p9nJ67LJfZm/MTiomktRA
KwVDfeKrh9rPiAKrtqUML2mP37cs6dcjHnZuFZHx6owp6dVy1cQGl18+KgFIOsmy2vSfgDDIVsvq
DyP80EmzMdFTEcBEiFiykRwP7BheNmHaHHxeSvPRqD8FQQlgv5i79N2pnGXSESkTROAmxAnW/oLA
DxzBXXXgcwJtHNnFk4vil2cPgafSpm+lh7gs1o6GhXbXlLuJ5Lem93cJYk8yIBglwYrG9d/eBdmL
DnrcQLlVzQicx1pmjnbWrPm+80I7JgLtWN/Fmf+qT/TTHPUe2uatC2j+M/4n2P5akso5BSgZk34N
SvnUhPoxLP37gBgDJW1VWHcRQ9XVrLs1jl8agtWM/KgGs5ifVzOrpMObqW/q4hpLfW/jv6znvQbd
7JQzTkq9pzbqHuPmNeyYvpDZVzntpzN9tlb/1BBLWlZcxtDynp0w3fRU9rYBJYjIJjneSIdYgBP5
GskVLO0n2W6TpuDCiJ2kqhIJ9e4Wkti6KeEGB9kh8Ow7ZOolltlHKZS1FaWPQZU+wvdZOzTQ68jg
bPU0zRoNIzoGzsLDgQbP7gBq+sBytJwLyASvEAXdmVTfCxnb2MjQc6nOlaCdlek3256zkqIjHMkN
5eK12s5kAGTp71NCQAfsoyboT1WXonanSo2Aho8xP1SlI5OuG7Dq42QcS8LCzWRnDf2+dkbXmJgC
jBrYpGZRD6joA2XFuQebV+820n7Ow27NQ7Qy7+xkSmbuKqBR/BnKA44MxsK2J9B2pHNoxUcd13NG
2MnzMJ8VDQOqvd2PuwRKXxi3G+1XCdXXFDdA93Zkb2MNriRWI+caTBkVU7KZ/xVxzJO6sVO6KSkw
0omScsyRp/TKzmI6qibKRbZQKGN6PB20KaXap2SgwFbKcr56/N539HsEvTi+iuj6UzSG+yBsNp42
EmKvXOYFoE1gEPjWk547y7oVJ3NAWjvx6+bv4mOuaQLtGIrhwffORlEfhZqCngQDz8/sih8VkqB0
9LsTMamfBHSK9KMcm/1opXSqarT3pDRuChUidURx3prtzoow+ZflOaF4510/GmbxMVr2IVLvvsjP
gXqO1XJvyWyZ6+TZ1kWEm9Dqyega3NyLD1VN9jPow/ghVz5M2exBSwIZ7fmhycbqc1ytezDTn54M
r52zqKr4F+kvm5bzZVwPp3oKr40vj1bOmTMad3JEbVPoOD6rMzvlQ+zQvWO1i1X/pxsriqybcLpV
LZONTf0VZPqO4NB1lMPVDkfoFpz2tHY9nwnJHiVHId78/gT7KfnsAy6TdCns6AIZcEa443xc2JiC
rIQTWnw2vGA3TlA3DH3T1aMLJfxeKVzZBM0w73GoojqzGEEk1TkeCEbRztPkPA+JclD0YV07+cdg
6sdMxodItHuP0JLAGhAHKc4tmvyrlgOSYKzmtBU2osFl/rM2K7EgHWxVt/ZTiXPJMHj3MiyV8XKo
klczMndjqqwVX7mDAb7nHugsIpB95Sb90NUV58XQWozX/mswulanbfphOCWlf22H1NX0YeOF2WEu
Xas2WNl4fTMew1YgvGDMo/X6UYRuGvZ7j3AoFrfo0SY0aIBnvhRzaE/Auj0E8StDi2NR+K6t1Vs4
tURx9GslEl9tYj9lEN8nTXzplXLQydcgjxhkeMTY3baqpUJ8Dc2e3SjA53efiY+pkeSkA4D5jdV5
W4tQVgdMeTxOy7HPeTrHY9hrlet7PUAvBULXcApa586vv/p2vSdNcTNviGrEo0xvIg3muFo+Vsxh
gx8UjSlZw/jSXhrP28easpzvWeINbs9zN36nIcKWsNubcJ0yHMrmhDKbRzIs0qWOwS4O/WOFX7+X
3Sqvb048rosJiYqmbwxEA/Z88mv0VaGET84cDtWaaFs8Zw++zWumfWqo707o7XuQYJNEAp56B3uK
n+toQ7LtquqhrCUxKxAOLJITSYG5kM4SPOjHWNg/ga78CN3+6IfsVS+aXeP86Ha4aXpCRjI8EHZC
TrKGBANIqk0Wx2B9kExvx/pN5kTQkPYRzoHwnaa9+3V6rkKGvUbo+lH5Dcjv0jitjpi5eK0Azc4T
1KRI9hlRL+OUnrWM5Ki2QGjREFBWTOa+89F5GOW3kyGV7cS2JZGDoQgNiOdWxi+NhGHcYIjSzU2F
R5WAHoofzQ1SdnV8yYBKCXgpYAPWpnJXx3NgkU6NyMCK4SOLYu8Uyk+sENmjvRix/WmJaClzf201
cylp0w6x9n3O14ny+tvXCdj6b6rX/6PgnmtX1M7W/I9u/WPWKGVn+Jboh7vW+Me2IniLo5c6dueq
iTf/+leJv09aqZNNw4S35ECSNFVh6P8Yzhf1WDd1alEns2zZA22MrLl0PQa7cFjrHlA8Ge2oBfd9
X+7BenJ4r11Bg8xvN+qob+22OhdWf/3XH0v+fdz658fSYI9Di6eA/+chqAVbnJERP9wleTvsMyHp
4p7xgv62aS6cj3lG3uNyLd2K6IjynT8Fkgr6rtk2uauHh7K/KCHlGMU5+UvLvjJB53kcxJHquzyF
iyz4+v0j/1tzhv8XAfSz3OP/TgMDTN5m3+FfxxDzX/hjCqGpv9nMGKQNbGvm0ug8nH8MIaQNgJ6W
NiJn3fwTMv8n5VSRv2lCCMOxdTTCmBRUHtn/NYPQfwMBNrN00JuAwYSp8+/MIAQYlb+9irYQKo0V
Pgg/yoK4+rsm+y96Cz4AgOK2eM7sDzuOPlXoyQQk6Eejqi557cT0aaAMN8lN0sHedMbK8usrWNzx
KSkLTKfmFT+6phCLMVoUmEqfHzQAF21B2WYDmH4AF/bp4Bm3Jp+efa7QPq4+c6KhUgQNZYdnt0qR
bKaFmzESeDBSbJv53H3Rgs41J3Cg9Wg9D0V+9htsnpzOzlNaESeO4i3SBmZqdbZ3HK9eJwwpFo4h
dCp1HXKCNt4FIi7VZn3Wijbe+xu1BlQqvc4tspRJf8QQL0WXUKr+Oo4nt+4ijDmFSNZtJ3DqO/A4
tLbcZaF4loNGa826M0sAz4ho00tCZxFlsKvNGlVZK1adbe6bYLpAe6CTXO/1QFMXQz9sEgvHxRBQ
7zTldxxrz6JvN41BhqmuE8LE5McgoGTZZxhCvaDDvJFiBjQZEdSxbXFK7Q9J0Pa7GrsaBHTqmFq8
sLhQveHwtwK/ONYxrrO2z4xzRxh7rBZXbexo/ypQH5LMuZqWgWUvV7GAg4HcFXRjR2H9RJFawPu0
38hn29uVj1c/SZ7Gyj9Mkc8Xlqg1mJMFbuB0EUSM4bv4rgoP8Cx85ohQrYAvvWlJeF3GWUkSaRrb
awrkhdXWTIMjCCCp6m9NXRbAK7XdFJjqUp/jlpTQ39UlVXijDquEwPElep+gGE9G1w4rpVO2Amde
0KNIDwkVXajpjIgzVFAfmZul9d0S1jejvse+JoY50cafeiRcM81QCyY1/0dU00hdTT2Z2omyczaR
xyatRfUhNJMnJQw+Az86carC1Dpq9MpJ9kgm5iN1m7zzJNWMCPLkFE3DLm4ByJnWJRiwjDsFZw4l
i1yH6DJo+A7Q8OaJMLWz5uw8QrhDbiVN9KX6k8bFEyjftwbaWzaiVPc88o58PyXAlqDMB0luWx9g
J/Uae0dk5+soJ2ftg1JtgYvFENYmK3zsIzGsjdq/TQ65dSPmVkNpjoQo1ltrOvVKWmx9E4KGYjlk
7dlvMFavgaocbWmB0jXlaoi+nFiSRKb35IFiuc9o1GiDRVY5cWsbb4g+nYgaNIwew9hsXEUBQ1Sv
ckfBYeoRGUUldYyD5FJFJKz1NfoEu3C+qgCHcQ71x1OV+turp2MQq9eSnh+Nj+wnaToYDMV0n+0z
ZCAQKGBU9XtMawwkWQ1lx6Nnmpv9APCPCEWPyDprqOOtQ7f7YSi9aiHrigSbWHlJUx7Drmp0Dgys
KhQxVomIUjF9AP1e+lJYrAND7hMxWJ3qFh6g7MgNipRL/GODIlrGCfxVZnooEStT0p6mkmuh0xGU
s1d97W3ydpVttNSVAUdDKFMxdbjhjHCMUcASx7HQo59BAXXkYZPOB/+lDp1wlSs3b6gQYiQY5/xY
dzMzqs8NFukinFOodeJzZLVvCgNFRU9zHY1t0VYYPtWHTFKsldprw+n7wUMla5iYMouQlomdlSu9
zve2alVPAw3ssNqXtvpojiVeyAihiTfkK6cFeMi0Gv5HH2M0NEDQ5jXsjlDOpsqieOq8nLq3wwEe
tR0KSEtgM28Jspga+dAT0bfwce2KkuGzCLJ1W2mEW3quFyAMUo0OyySBO5ZPrhqD6g3d/+Mo/aM6
FAwsdGYpnvLg+AAVjCE7J1m8CzVxcqawZ9zAibPtyqXvOc/OoODXVx/jyYeqnvwyo/wXNnISv70E
y2/8Ho71wazqR8DrvI/SZCIXEaw5kPEkiU6cD0UBr0Txpo8RiBgjaDd+hfiWod1RGzOSppTtCAqJ
IA7ml25lpmdDTCbZVu26UcufIFWKmzAZ5jEHS1vbzUtW3jqyL4MqUCD301umf0QpyUGNjNDgtOZJ
bzD400kPcizAlvqgDolraSVtjejgY3dtO7PZkIq+EoPzE9e5v1BKjrUFGfZA4FABYUdV1FNUsaF0
afiadoxUiToFbKy9D6a4sNJsG+mj/U/XE1kGD6WhK6c2pYXZpZhBk4R+vfA+YCyZpfqqqdVzwFic
BawiBNf7CEc0A0Vh0BxJSZiKTZ85l34Iu+59CEJUpWMHMxJ7fFC1cuPIH1mV3oNQKSIHs5gZaDQH
MPVOFi2TBtjkmF6tQDmPgPdXYwMELKyepULac2SG9rZsvQTxZf1i6hYlqwQSZDgLWRQ7ws95mMRS
jaBux7y1ozRBGujpRre3hSKcJ9U5z7o7nr2p3xiT3Jcd8pneoEvcM0xReXewHDOIJKeJIRWrMHKa
XJ4zL6KT5ZRLKWEmFC1MDQ2fMI617laqmdxYskM0PSUo7bx42Aos3rq11MyMxnxAi7LPzIvf2Bzp
Bzi4o4V2WmQv06jZUN1jhR4XI6yYiLgu9+SibOrsQBSowSSROY9u0wRIPvoA3ohVkyRYWqSlk9Kt
EG6AjChxkyhgaD61F1INkRYM8ETjwhWMn0jP5fYJpnxqh3hulOMSceXdmVL0DepTMzDHNqbsHJtE
+EBOslX7nI8d9APYRuxnzz1ttFWOkCK0p1ejDHEFhN/GyO6hK+OPEiItz3QQakzWgqmD6403T/OB
EUzBTye1DpAXHYeY196VdobVw39V4DgzJfqlUm1IVtvj0BqvY2lU7tjLDbksPRseMqeesS5XZ++0
8GuipFRX+dRyXIalfqhbxuii9C4UrUdSRbY5MSZ0il6aQWSun+HlVdu77JPVqLQezX28ACSHoxLo
czc2TdKJBm6n6O21x3PGxAwpa+3lj07Gg9aU8kkUkDvtkkS/iBhSdxizGs7c8Ew+TvII5rslWWio
7PgmdD64aVNXKqrlpjPdIjWBfaVsmnSR17LJ4W/RZqKZo+4ZgucEOU5UtVtmF7RW0Al4gcJYfoho
AUThNnYC9lwl4iSmPnmksSy0kDzEIh/3lZZvu8pIVwSsfdiEm0cCinU0lA3bd0tZRPLIsi6h1U0x
wKhMhU+m69Pa0YL3Nqj2oS/wVkwm04rAecNykA44KhyCPR4Gkbs9iICRUZvvhCgJYxuYApqdLFRV
Qsn6wJWTrOjFPbThUO6bOrwlxNuiiB/E0iB5bldSQBm6P88RYK4RevVLjeEzJdXFxm5N3QaUgmuy
NH0tpjZls23YBpaRJYiWqTwFsBuWGttmMpBrFwPUTl3pIDAKbA+qbG5K7nw2GoxXISEz6dW1wZms
VPaeaQibT8E+Ejd+vWgjjY0JTcEgCnZ2UX91wNN9H1mMkE9IBX75cmRoHrX3QkNdGle3xKhuUZ0/
Cc0Ta74D7gPLvKV5WawFdY0YTAYQpoXUv/bnPR+Mauo2hJssSGSZN6juEEpvZ3gE7fbJmxRsEAYi
3oVSdfscDaHCekZjysEWJf3SVcz2m2VIWXdl8xV04Z6fsgqmqD75c5CMnRTgBDIK9WlWKjjDylf9
N+LFGIa3Ekf/3LshSGsTtsACWrt69AJcpxTaHM/NYF2rerpSHGi5Vf7SVCPSZjXJt7EuDoVu3/TI
PpLXhQ6Ss0ZstUyr8gbUB9FgC6X9ZIk4jSaajTSCf6Q6+lcWK0vaJK+pY9hubcFAkwZOG6Vba8Dl
l7iXQEgm70gDTp7QGjc0maCaXnD2ks/WCFFqO+BD5Nge5c5XF63jnLu43FNpvCnEsRBk0FylneoI
pBoGllNJGyreh5RTkHqDiuEQsDQVxw3T0dHVAVg14XDL7PKDOXmxNOUpyLu7b7EUEStGRFP2qFVI
H722tiiw6m+nwXk7MqZcD7L71RLXp+S9tu9Va593Uj5WTMnULiC1uwGUnqbWyqzBDJCBvJemh9y1
Z2KtZg1x7pMNjbLlPprEy04/Qmu9tT81e0IDcFFayiZXcKbVcESX7B/LJmnluka5lLSwhCu5iLVf
uUJwT96CXzar8EnmvJWZlbteFJzjllvTWfpSGY2FwwtTzxKLdAxXQYRJFTHGugRlpBYs+V1+DYdA
ghQhVdCfspMYtOFBIz4prvHiZeOwyCoMryZW4wzl2gNSqFOV4xwaiwGEWbpglIgReaIjPXTpdmQG
MTrDLhHs0kUoF7l5JbEMd/Bo3UuDd6w3KBDikrdUielYdpkVLwJL/1XNqEMHy6BNdjaYRrQb0VPf
hvUiM/RnRUNjnllgGx2r3U9FFZ4UFjGjxXQzkuE1NDm6GlmBbTZY99oavTT+Ij0qt8VEbtkUMtOK
TIgvbQs4AjkbgsUbMNZ3vatvQz+R7htsPU2gyB9VMoqTnEQJL+COetupMeW+iYhfF8gHTaKhHqQI
X2kja53KmdQkD2PI7ceAfEUSQtRH1bJ3uo7hsYp1wkTGndkaoKG4MavKQgxVj85jEJ6ssq+hiiBq
rtkdJ1ny1DFucNp9qzWvvgni10lYlGznwQwrVDhd2G5GiHM+0VTJ8Bj33aMVdNXClk9zrmgUyZ9U
wj/LbwzPNg1yCoWMK68BtJRnPCGVqW2HktbhLJ7IjOZsSN5D5I8FEm4iLeBa/f7bC2q5Vg2fiij8
VvyWEUeKHtrvAItF2LQ06+InzLeUbluUKITVAhBiigCdqX3XqfJBmyx4s5b8oh+JxkzdxUVOpWj6
XB1Ux6WR3r0k9pEvdk8+mp6VqZdHcDYfIXmuazN9JXYBr9pTqVlwOaLwLBKADwbtHBknA++n5j+W
w4QwtOoWnh9hjFUypiLmF3XPRojsLXfqbp0bI+J21VYRU4qOWsxRmQmlCEI8Rsd4DBaB3j7I1HRF
AF28DdcqSJPIvCLIPQid7buLrbUpqn3SY0bVqtCtei1b2XI2PRVVhtapfG2s6BKl1pqPcdSm6lQy
RiiD6BQ18YXRqDvp9TeDy3YRgLlycnGuq+iiR4Q6izB5Lxugt9TZ6oepopEvfPPqT+aK5K17mmkH
f/zWIue7TQsV/I+/qofy0wvEgXRHV+2mnwSand9PeMiSYq/b/dkii7Cs4nuaiEPf1AhB6yeCYF97
s9x3FdrMSv2pmvo71DhQe+qmUxO5+v0nBO91LF9tbfrRQnNd5VoKZKt+jiKEiyoyihbXgO/MEkn/
FNaQx8Ppq0mJzo6M4JSpxnr+CIqKhySOTkQ7v5PlRz5GVnqL8lYr0bvlAM2LBO0HYJRIW6lHwlVt
Ro94IWD0gUXVRPpqpPziZmBurpwsZbiHJuh8IfUbQXGXzgCQbmD0i0c4LFEzEOBF00jg8/cLhifJ
JTL4pRoD5aXWmpQjblx3jykw4CQe7wqLb1D96E50shk3d6i9tI5OStG9G1ASemPyF4FjXGXZ3edv
oXgMM+biri5wZVTdsW7SSxrC7KmHXebRXzFhyE9fOsftZqifnMZGK5/wqmrcChnH50nmWx9V7QOV
4bvul7zZCF9tVCfY46TwP7wYyO/EZSVa/Tp/X+LLCNsJT2kcv3MExmYhOWEHhQMPM1yb/sE3hoKN
UXKPCKtMC6pzi5riYexQjsw8qtHEhKrMMS/KS2k8j0m518167u2wnfU+i1ppQLRvsJhk/inqUEb4
DuR13qwgCE5BUMOx11u4P+LZl7BzRlXWYE8Jrxm0i96XJkPy4pkREty4yl/WtbmP1fRTBsEqHcKT
Z9XImv0OHWB+UOVwqMfusx6widp9IxbTWO1VluQ2IZM+t4wYfhRDbYDEaUpcX3IhYu87dXjANBsi
5mgkpOGxus9DUFIcoUMXPQCVYTX0JYF4RTy4XloujZg3Qht+OJ6t46G761ktyAfYTR+jyc5MrOA5
D8UBlfrPkGdfxFgjTbcBjfYSEYzfh6dM50IjVL41wJfR2rIbcSUIReJwyFpc9nT6PBrFJbtFHvRi
0RKPqOfKmn3twzGzX/Pts5zss9e42ihBdzrhThUDm5U1lO8NPUgi5zD5+s1zG1XYjgoVkBnHVboD
UzGceRTJEPxP6s4kOW5mzbIrQhocPabRtwySQVISJzBKv4TWHT3cgeXUVmpjdUKvLDMrzarMcliT
eBKfRP4KBBzu37333Ml51U5yWKblMjSLOARV+UmV33rAKE77N70OF2PgzAzQ4OpZwruV53aMws94
k6TlZaSW48atVjBK4b9zHPfS7visSX5g6wJ6lY8grf7TVGhitrE57at75M/fW694bQXeXL+tISr1
pFAtq9ngAKcdOvYCJkNsgJom+Ggn5F0rMN9mn37h/74y8+3/o+Y45PX/l6Ty/qv7n/9D5V//WVP5
+1f+Jap49r85NhsB+5HOcB5C4r+LKs6/4f4RQfSIioUhZ6x/D3b4iCpkPf6W4gQuiiOS4//WVDzv
38DtkBPhO7oPwrz470gq/2d+NbTpcHE9G2UGMD+cl79y5H/SU9qpS2LJJJrRFztLy/nV1t1zQeC8
c51/CXL/V24ARr//ghsBlvMoygOX87AvisC2/0tc1hOirSo/h7ys8v6lyq2tg0vnJczy+CXK0p7y
T7gvkT2n46avlnAf+dZHvHjJWYUzCd+I7UenvO6lc//xK838jJsRlb/PONrwUrkJWGF3POoGm0Kz
DN3VxaHq5Nq+qSaSO9VMDqYS7LSYOZNpKHa25rRFu5h3mf/9JX6kFHCvHNzGpgkW31Ya2cVR6RCP
Xy2iUyLnep+VBe4bP/kaCutHl/GUE93wJ1w8s150V+IxEulhTokfuNp+90JZH3SSccIZ7eY6ljDl
tV9mJ2zbKLtBdfbbSbxlHby/JG5i9hJ6IXa5mM1kieFgHqvkVLfitewT+zUc9hMt46uOze3RFkX/
UlbVNQ3r5bJMeKVo9Sa06dXlC/2DkJJz52y4PJs+DeWW7Kjz3NPRi/40M1/h6Ej+vJpP4vGSTUaf
BobQVvPiWkc3qfqbxwTp6OggBhJg9N7vmvEE/6vC2RNSTrsPHeseOAozrhjjQ+erdzPCEy0LHwqb
Vx9lN4Ps0NSkm9K+y87zN9adZcx67+tO3On0sYb6LOT7FFIGEBk9XgK2q0ee9SGe4c2o5wAqqvHv
agl8pryg8CzbfhMdZXv2th3j9CIMxufetmG8uaAVwjIlWiPzw1Rny3OD9XpNwolIuBH9W1Gz8gbT
3cL60YxYSgvNCsrocvzoe/WjiGHus5cfz8K2WFRjIIGT1q+9LptXXUzBwYIf0KvmNLZo8h432tEO
7e+1X3qXPrcVx0k/fGox57b20mDFDjjKFcv0hvEzeBZeuXcUtveWnoM0DuGJzuENDRIgu6+znX4M
gdLAtc8x5XxMu7xjX3n6+e/L2NP7lqv58h9fyieX4cpET70uK6KwjprZ2KfWymey/52fsAlbtz6w
If9l6pye7bl/iki6RMOArlkKHBh+zLQnuvd5/csraRqNAQNtA1HHN38QBfv+kVuvLIbNiDz8NPo+
1qMl+vRD6+o3zfw9aa3fRZtXh4Ioxwahz2IPL2mDKZW/4RbLmTF4/mViKl8sSXxge4X6OL6lS5mz
i3Xzize69k6Y4p3a1rtVpfqDslUyXi1nPM5rGzuv8VY588wzlpnFStW+OBItALETxfNL3s8zHh/m
kCEe1dYMzrVryeWkECzGQdsnVQNmwh/F/jCazGmakudAt+aUKCaNLZjOiLnYanaLo2+qu8pg93KY
/THnDDmTlB6LyGGaiF6wznyIrnM5HWyvZKcN2r4SBAzGcsBha5e7TNqvFNfamxQuniEs0Q8+vjp4
2nmNTbFIKKganTOV1D9bS6LLlPpuC6Tj2EmtPZWIlHfO73WQmx8Cv+x6mlpGgK2/PLtt/yYZ7O8c
hyTPIi1zX1qLdo+++F5GG8+Nrc3SpsMpxy37n17+fq3ofCSObEj3peXZR2UP89bGTf5qYvNiuSBJ
ynysLipMigvdtr/5975Uk12ep8mHvkcJT9CWUIOo6d3RHVzsGj13Lw3Dj065+dGU4l5YWYb3EJq1
V/d7l435xmAoee48++IEat83SAoZi+NaMUu6hCW2f3ZC/cVb6vDc2Pte879KWsG/XtwCWOjSU/WR
KPAZuHrfH4K7Gb1v05SR6Yn972kdFeeSv7K1J9zuKprNtq2Y7EfwnFZW1DAf0O1r5JniiZnDw3NN
3SC5kPnV9xNUiZaZWjLF5zTULYPa4taPbM4XC2mr6saLnkOE89580XDo7wmBIfi3MYUSONBX5BC7
SyXZ7UWIV0UKJMx32+k8hNQRtAFCet77ZHgLJ3uvp+HoZn38o0wbHnykKqIyrA91r75Fvhjx8Lry
pCfVXRIqS4chBBo6mYXDN4EqEWTHeFD0yOT+2/xQ1y0fNTkO6RopF6ff1481PQv42jLTslW4/k4y
nJkW/1eFOvbhj1qeJ4P7X4SL/pCDqQ/ObHsbpBvUubISR2TYr8pxqrc87YaDx01DyYQ9vjt+/UYd
TP4rkiRxpK7rOx3iEKRUfBoT2kZaZ4i3iVfIt26G/OJRrvLLwF3xE2P+MAbet8xai9I2vzptPnmu
+W/VEix7r2LzK4XK73YKSrSewKgmVfQRFR5nP2CG93leyi2Gcwtl2+NpqkLv1PS9OKueg7wnHahp
efltqqFwGe454oSi+NaiF1U+2FNP+fgro0wd4SIWu6Ga6y89bspRis9pcOeNSNpL5vB/1X49vkuj
rF2ucyo1Hr+164CykCJAVJpJX1vkHv++aJdyXYaCAc6Nah2UTkNqgPbEq3y8LIxm14EW3SZ3wU41
nCdn54p3Cv3JTa/G6+pN3cXNNWB5k2IsP4VT0XVSEESkMvVX6BfhVQQHBjfeNY6lf/37q3wy1dXJ
jzYLTElY48yc1Htq3QZJo8augP+ihtjai5NsH1UYcYDJWPTWMxaTjR0q//7oWe2NcOEA2dl90aO4
FoV67muStm1MHVFll0c/7r6FMiv/aZLllIgy+MA3uSp767s2lrNN+qq+eoUCUJ+X9iE1eKt5TlK5
0zN38oaKnrcp31VG+btIBdOpCWGSMkhHp5DTqa5zpl/CRZ30m25Tmb651b5kZAO8Ne195DjebceY
XVZDBLVKjiOyJ4TmMOt9jPpBKmQHz2TLnu+0kDrr8a5MM62ovbDPbtcOF0d74bazFmidEfC41sJ8
yJjC/w3KB3qu3aXyNmY2OLHHS1iUH5PrcJ8Kka3tJY2v0+hE1wHrwbU05zzh8diJpqNPaGq/VTJ5
RHzcH5XUn3WovucKOdPjIco0PavPFpWoz/HjJR9Vt/U8rXhklbDBC0JSImyrFziu4ykLgl9/fye9
8mUpCEiYBcoRVYvhp5Ob5z7L1rPS/seoXGL8s2yfiriMqUMW9Wbqu1PVxOPdG43H1Fs5PytbbRPZ
ANz29CXxwooOgdFHOg6jB5S9fbMEeRj6wmF/RCX8pIj5ZcxIjWcjxXO1TquX1nGYCzeL+7NvsJ0X
eNxlR+vDYpG0QwD+cgHYM5LCwNoutXdNCG8RR5nqbYiSbuvFXvXazT6GOGcc6hOE7eZSv4qoPMIA
mcCwhe7Nc5XFzk3C2S8D++LaEQimHh9NkMnvYx9cZ3a0r0ryF4u5V9vaWMOma1yG0G38FvRueFqa
hNUkyOp73/0k5lPdqhYji6n4lLm8w7fHG3uj5hHDq9sAVGIefLEyz1wW0Mfcxc1+CaP66C3hBTs7
TVzK6K1+PKd0YV9Db46ORmXm+vdldg18RzdYthkdylIPJyuL9U1YwfLSpRQ5zEColOeXcNz5kE5S
n9JajLt4wQ8lBSaPmMjSteF5RUGOmq6Yj7JzXDn1VoTpJwE/Zg9ZV9zK1n+KYon2WsfezYfbH+F0
O3Ex86OE0iweG/qoC7Zz6nawRIefU+TON0NIJ1/8+O4Mr0qxLe96L9ybrjyPfjP/4Y+Q4Ojyn2Li
oxtNTvhaTZkNyCyfz5k/YTEREtB4oDpuj346xbmYT0kq62M1xjP1uTGjPN9nagZz6Fvj9O4ulUlH
zYEEtpYNf7xJkM6S8yoRPJ6iMlW3JmjVTT1epG9ujonm0398KYurjjXX0BPSeYzYclz8XSePyuKg
5HQB21NeGgfGpOUm1gbjhD5LVBV6xar0O/Y1e10VRBlG+ZpJ8VwqK/+OnOFD+uLqEG2wMse9dkVK
kUZZbjq0ml2vHGh0NUNw6smhw3aZ/wrQiJIywlnK88S9aR/jyrnVv7/n/fKzy4bqhcFmdpJu0ZLL
yDuy/HWzzsYFElBlPVAF5KR7D191Zvfla8ol2+UNtoUpqcDum7b/6AB3E2atftQz6opxB+cAa1hh
t7lFk2tuPGugisq4OOi6XdhUpsteP26AzPTTa9e8saGNmNHGLIjEOp/KkSpk12vwrPTNskmdtyDH
IWJsHVwbuAyYmzqwdmXbFttggl3eKrYCtikBntNC1s8SOKDTiKPyKL7AgRufm3L8OYXzG+IntSAs
ZCvRnwLh2L9lBRPNq/RPr67slT81yxbxHKSLn+WbKBms14xY5KZpneVFVz4wzNxDgCsTzz6MkZ3v
iNuCQXSo6cYtgFwZqQU5tRuJtIiEo/uC3acX2R7P/ZZt2wv3lHeTkPC9ogkvbkJRtpt73xuNZSOf
uZP9SeTnvhDWvoqzUzyq4jw6xOFDEk89g2B7gV0e6MY9hUj1fmF7zxgb61fGAh7VnkAiCsRWZ0mz
vbU8yLPTvK36gcKEcSxf6o7qavzfEISlHz6POZDIIYrOaEoZe9Pkh18k8msJ5IbF7R8eVnzP6G80
3xydUe2cdBHsqxR8uTpv9lmUlSslWpcQbn4UuI2Y5OZwppD4n/DVT6eQqfg7FfIHTrfFi8bQtGma
CthfRuEEtrz5vdWlvwZcQZl4KKstNh/mwl6rD7VxIF1+6QCZjsH8Rx8yPe8Car40y05WEfVYBLVC
UxdRQQjOPKlpIhtT6/vkD8eqomkunCPazAqo54MlINtTGdV9Q2BJ1qbkJFmT+yhGmr1Unf5jjeML
RxgADB2LAZBA/yL7HgXsOpQDhMAe45GOUVswDyUbrQGzOQXxxU5c8wZOsWcasW0c7xs8s5PLCGjv
ZRxsMLfRrcdKfWCU8o4gAqHIuzmBvZD6+3CGgP17I1A7ksUF4UlVzhC+BznypWr6bm8P4iWJ9EUs
CdiKEh9dUoKrDwSCMr1ytXhbBEG4miZBETPaLoAHltn8Y3xyE/1Wt9VVhv5WRvGN8MZvR1ErEVcY
AjJhbVJi0Md5TDV8hjRcd95X7s3lurVx7ZjBC1ZFZZ+I7CfbBDkbj1J1TMn1k1Nfk0eTFFxAMu6h
5tXTtCFKxyiYS1VorD2FhlHqDgUP+nLj5tZymLufPVZRHS8UyQjgj3MgCT9WNtnr6p4vDwwIzSmt
a5iNhNRv9f3TUFXx2RmdW4Aff7MskItSKK9dRhhfOEg/nsKwUWkq7Ct2d2vJk+Yx2sUO+rgW0Fqa
vukoUHDgH1hNUJ/+vnhx3pxqTbOS323DxSdShrLHH3Dktg+bi+nj99muWIKn8Es3SL+xA4aTi9lM
2U568QXjHNUBdneSDS1mg58858b5cKb4SB6yPEqS8mVij6eE8y21P+20ayhyyFVUb2Y8kOt6O3rD
P92Qf5FnoERIdO9Frm9kId7icrxrHCMrL27vBrMCvD2OPV+BPzNRDOm7mWsW/MU/GmPlmCALROIW
oHFqw94cMJPhbia5pVedjxIXltF3jL8tKK4/Qxsp9tY+E4h7pSnZXPSxMZrEfftJmPemyN9kc3PH
up1fsHZS3VuwPFjncmg2aTRcakSkdZNYdx8XE4L5l9/of/DCfHgUIk1d9tsM6W/FJ4aaEk3VBczg
2MkOY5JuNQeUdeSD/ypcNKMkRwkRi7ftuvotqFmxsgjjnJPYBQyV3uzsxn3PpmA5xTrstoKAE7cL
8AnHo1jKSh2OdCNGBVOcU9e5VZg0Ab1YFNZ06H3SppglwGCphxr6zM9Q4brpKnyWPIu4gees3RuP
t1a6yx37xzYoQJF2JgHJ0nfLplK9AoTxs4hA7vZd+Ke2smvcEsmMYuR/NoG2Rao6s4txrZsO9EdL
0+0CSGp2v2JBRE5U2a9lHqcT2tQf/Fsg9iWNV2z1l4JCZFLGYp2VTGi66kdFGcqaB9u3yAbJUExU
gdmYlhIzCBStlymLv8oEI2rfhx3VLcTD5/KPvZTVul4aYDB59H1ZgvuSj9fMevQtzd6nHnftlFG7
2VisB4X4alReP2nlvVm2h20GVXtd4e2xWoLEWY+FxSponZopRqlcdEzX655LRvd8NHMXk5V3D50k
h1u6lCsnb6MtM5Ye9PCQb53K+zF5zndPScBvBQaMIMx3hbJwMgRwBLuGEsjGGam6W9VLXO3cLsA6
MYWrdswPlWoO9WjjTu9cJvTd+JqI/toqPBqTRW2TH7z7enmUUvu/SaP+7tznquQGNCY+uCmtMc4/
TYhvehisCM+WT6pNXlw5CKSydnyx+xkr7RzYWy+cWTRwVpQmZNWfFr0uPYZxOQqdFYm9zTRwpegW
2Eu3J9BnINVLgt99KCnrkulLRSqaON8IprpSJCer+tZGD/tckhwdu3XOcmr7rdPG8TqdoZkzCB2n
jIg28gS+hcLal8WenS4nIOdUx9O17sPlnqsRDCxFPMZqm8/YWzaBSPyVssaMRzpvFFmUflWTFWGy
q6NjoNmQhgpHOCGzZoABRzqFQYLpPkf3ykSKQ5zv8k63dgAKCvaUbCkjm4DFWKRuN5pB26Y2AOqA
9FDsZlccm3Bxl1OGrXd28k0pP6a0BUPaRS9WRsfKNM4UbmQamo6g6wbDyspPJxBJi3OJsCs+d/k3
Fx3nyE10yGPtrno3prEpz/Ds1NBW/YSCEzZtp9rTPxJgVuuef/U69Ruzq2URYTP0aYIFLk0gg8SZ
PQ0bJHLcPkzM4PouO5AC0AVDJbdDWj5Bjdk1UYi9za5vU7eTBeVftOoE3rQbUc9Xwu3+DM70Vg7W
UxryZGGX/zur9O+oHAiNN9hh0SzuYyZPTUfs3g47WN49QwA2wztgCPIgfKT7gLu6M7Lcez0uy8X5
6pIhIef1Osf2b4KPf4LIe2nM/MfJsQdaBDrQJodLFzbi4luKedEy47k0Fv0wpguw0DjngFwCG7Lx
hYzEEckVurMVJk+SwRemUyN4mnhfpsL8HbJZ1Y40K7OoZZ8B81aKgbIJLLFD7QFwZNHN0TXNHvdB
tHGjXmLMogYqKeUeM9iFObsAQsCKJ9I03KZLsgni2cWFE+McK+lGKl25XRwIgqMkwls7kHubSm29
wvtKChugbJ19JeyHKSnsD14/xoQwST43DIezgr6EoWWYOxSOxlWjX6aw99YPY5dk+kV1FaPskeNe
sy5Kh9Xc0JmjMsw3iQjf+CgGgktfpzLc2AslQG7pw2nu5IEPdXIQ2YDbuBy4qce6eHZ1wxHEK2CN
/v1iKlPnyQGJ2TEhWainyxxV7bRyemit0pyX0e33TmLFt9az7I0qszNHefScxEm3KVVug8ErFHXy
JAqArol2eQg4+tuUavHcutMPOyphuvjet0YWBQZqxpapGLtvFgcZks5g2IKefIzRgKmXYb7G9LWa
Ma2v7GFxymWPWHnf3arIadbS6X+i1CQbR1FO51NLDI7qZ1ElL4EpYAvZ+ccwq/Oc6lNk7O6Hlu6v
upLhMX5cdMZfq6WnbFqV9yyes+PcGwYefZO9BEmxzW3xgQEsvHjsira+/iPsb6VD5yiDWfylnLCn
OaXgOfiS5bxfBqbiw5BU2zqzx00H/3lsnaecWRJm1uk195t4s4ge2n4PR8yfmHAyhbL39uNnYfiK
N1Z2KV2Md3VHqTLty5Gf03kd4pdKKyfaVgSdeALIY8qu5Sw7ec7AKbA3T8JtPTqY3OEoc27FrOcQ
3Ihy5+bK9Jo5Tv67LQOsQ/N8GERVAhJH/Ez83D5X4cTDxn30Dyy6f+s1STCtnkM56GtexPLsKwMS
ztN7S9nVfuDohTs01Fu2xFdsGfRzhBAgloKhiuWRvfY881FkHNqqpKlxbMDozOwID2cKj4iTEQfW
MlGniKhAK7PrInBmOjJut2P9eCZiniK6t+PPjRvlT+GtZ8p987CSY3rnkvRdcjTifWyWiRm4Zh1N
AhqLMxdZR4T3HvnjKxSMqYsZQoQ9c4h2iBknMv5yJs/a67BoV9nQin3nhv94/TLsJo9L6SvfvkG2
xg0u+3sYz/3dxRbChtyI49/f1sKF51ToHyG7pmYI/cfWnv0btYng1XbhbH3liJkvve19LxkGmYSR
baiqKybKssE9CgvQNw/UzOReo2oMTsLWNuQ40usc/3x7nE+pxToX9RUGwIinqOXY1dGXw6apxXYp
HXWvIRdcdYg8xugYgaJ7IpGwGepWH4OOVpg2o+8Zro1z+bVk4fjUUpc5RExebd8dtkTRKJSZvL0z
RdalyuU1jRp5CriOqzCOxNVnUJtVi4ctsTArbNDqxQV57gYINNhhgET5Gfj8YiCJoOY9ZMPwnrmG
EhNXFNADbRa/AWVyGdFPOURIUi8E2vInz5s4X0+txwIIwYOZK4ZqrNy8ofBSa8T1vR/r76MfjK9L
Z7Nn0AiGaQmo2wT+uXHyBTMvYfaIXTii3otqVHUuRs3pMc6tfUQb5rpTBl6ctpAQ2BM/G0KIzyLt
v8dTTRC8gbyPHLYVrpl+hNn8nHMwZhnuwpOwnLXFjbCzw+eM+Brf92MYG+CGlnPLZfUJNYzWlzYB
idyW1AXa9nbWPD7IhA0WgrTNfRD8KuoUXrXu5reMLBeJfVuR2iqoLw5L1G/7o68Dl8MkfKWhmfrD
kDHWNCffUIVGOoMsxC3m2l/DJeFY7jbWzu7UedFtvLJGi8Me1OZ90/h3gltmI4N2FS41qYsSMNsU
fTqI4nEoTj0aiuRHrW2bWVeTWrgUYd3tcpO8td7cnEfhaCoEBKvqzDDWyykEqxNS/D7dqAI/g0nL
4+AP/UZFFkjh+r10YcP0OVqNQe99tWP/qNoO5pGsr7ltU69l1Lw1w3RL49HBY+7PuzbAH9cnbrXz
lAVXZlTHeKmflphCDxH+nFLaoSNtvM1s7cyCbB3p8U/aAp2Lsik51C5JscHE8smNZq6tS4CtYse2
mTsU4oo5g15gjvBp3cx2h7jICX5t6owxbRhzDu77z3rmycbkLQR9Uc9P9Qz6ia2Pz9wSq3rjrYOH
BJcDHGwt+oMnArJQzbA3UYdgEg6V0885CU/BPH1apGqlbUVPXogRbgSX7QZzCK+RqMNs6V0W0ZlL
xUSsolvTRLSeuByXZfkVN3xEW1wf27F3nhQzoFXkcxjqHtfYiWaYQ0V8lmokrpRIw56YfmLCUMid
4FpqIp2Vx2crmNxTPhDBBJrSU4gSfOPJR9iq56EUdfM+MZwMp5K2Y5B163KK/U2Ql+dwDt7Dptm4
4UTCiEUcjna6z2Ys/q1jDq3GpxA+JolTnJnbwKgbJQrbZgqo3fE5sXnjyq7Lb0t1qxl8b3SAsFAW
1qm3FRWHWXyceNz8SWNnJzXa4kQlp7Dn3eTQhGc899kriMSWW3vhe678RmIlwS0Bnci618HEPszC
792yxeooylqNCSlQoWS4Yh9Jvq9Mn7Xks5OYpnqbK9G/uAu6Dq7Uk4uURJ089XGBT8lH0RBxyWzG
yBZWkX9qBk1LxVIF2AeqS1XUGwxs0bUYyfU0GrrJpAraQjPk/KVx9pJx5JFF8VfSQDgBOkR6zYYc
6hCgbgQdXXWHSBfgihTRQNTKoSmlfDhQ/ZnoaK5o3hEhmzHSh3HcctE5H1ZO/k+kPZw7SXbEHPHO
VGk5lkjGs/Hp4AkD9n2OepxPA7H7+1JLOixnRZpjzjXE1ArTZjZOzg6F7+oqOC5hm/0OuHUY/GTq
EMbD1thAd6LS/KjG+exEVKXWzEfJZYj5uagB5HAcSLQZr3pUW0fzEC5GPnpR/5iS5Uu785PxZziV
ww6/Xr4e+y5g24nZKCXtsG77DLaaTSFNEw8vvn4Uo7DZPTyad2IW3lWAverZktZnm7rDyW2wPwTK
nPpfmXHCc8rmbptJ3CtukkeHOlYXNScdOqBLP5ScBM3CvKg0Ubt6Hj/bMEau4oALk7QbT8Vj7MAs
49jyFxeP2BMkDcg08RA+8wj5u90tj1jgcR63yeRsvBHNpzMD7VKVpfcoKdYtCTlmRyPJP3RRLCvY
bUbgnKbxnmtX/ZnC5g1fqf+9UKzpfvcSDAFn4jqxmQmKdmucaiSFl4oV46rywsGKPViwOKTbH7Wt
ekJLMT+aodm6fa12rjU+F2lk4RMCCU78G8QUsxHd4+6GFXzxfRPsfu2Z5tB1Up7b3pvPfuLuRga2
b5BeoVPiMj13fCrv4jP3rflQ1/b7nIzzh0vdM08l/Qru9ROUYHWJ28ysxjDYlXVGq8bi+LvMhQxP
M+FnoUGmBYH7DPXAfUa0gQws4P3MTjGzs5DxtpuX4KnsmYVJWKPWOAVbuexV00oG0vZnxwBpo+RQ
rKcCDk/wOA4oSoKxZoW09iDteo+raE3ZKaul/QJqC091ulAgC9HDqEBcgrqztmUIhJMNWLouWkts
2CVElxotgZpMO2SjM8EfS8Tdn5BRJ+70jTahPiOMmvPfX43opzsZWz+9sAlO43jIa8rklgRyQDSx
sAJAitf9YDCgs1OWbIyc2frpu91uzobsMWXbDJL6as4++UdEFmQ7xZQMRtht2aD4/ms8yEspu+xk
RctvwCrOTofJvpROSq8zqrEHg2fsWgiihcCnHW2jgClp4vjuLw8C8mj1ry7vNEbC+JZxT+2L4Vts
RprHCsITMuU8WQgmrCPeAY5uBQaCMt+1ti5uMC03uZytpwEgzGrCoF7TROTnx0ogBMxFQ8+pyMAu
p9iCJ1wmAUeOnSKmtC5C6H7KWN7O6xR2i65Yh3j1kYkQ78ISSDUQsIomrZGo2VoL6qao44OUbbq3
NMEqPbbxwQ75lADkhd22RJfQGc3Zo2tO9gXshDYi+IEGjmoJihDS0xribL2LxvoYZMXKlzVd7aOa
j2LKfsx1IA9d2RCVTMXHxDZ614TF3bI0bMTw8ZnEKbW2a1k+ec43KRzn3kH0kkm7bvLsq3ZLftHK
/mB0+LuSjcu2DW+1Fe3KUFsHVeuPORiq05TzozWhuWMnKwo+Q5BMt6pY9Is/2R3XMWd6mKtjXp3D
iojH4DUhGYAEZnbH1q3jrlvpoP4V4PHhM81ejDfT3/j2UPPpc+1jOHnX6VfMwRox6oRlCXxAw2Bm
iPjnjvM8bgAW8OYYhW4D82+1lHGz9wOXBaBoTgTSTj74t6l+gCDLw0IOtKHyiiNDgIXr5Jej2Vf9
qhxa9cRgdsV6eCtyyhBNMxcHh+KffFYvCmru2vbCehsVGRifzDBqcGNaE4vJA/GnwI+35XM6V4CM
7JzrGnPpnKba+w00yjBN0scAY4c2/cXj6iQVIngW49UPYDMtRAH2RmZ//IZnk8+GP+vt7sn1wt+h
Xsqb/R6wzK/mloesyhifDOjr5OaxQxb1YaZOcMqJP0ZMi0zQ68sSMezIzXAQEhJYHl28roV6BRsB
gGLkciP39JmWXXfu4ROYBX/iYhvrwgrNaUSVw4/ZE/Ybb9FeLSxpaZYuF2gpF09h+wqE/KqDIToz
/tZbhN6zY7NGd7ZOEdX0H9Mn05Eawu6psGq6MTpztTMSTeXkMRRIqNuFGPjggYhxq4g+MoGEIU72
d4vjLd7BRC6mqtqOeKbXVvkAcYIDUGO2bESavTYLPOd2CZ7V4BWXFt3PqVlwOuE1PDAmroqAtSao
TmiTlEeSTCZCGNGqmib3MmbvI2LqlCI6FgZ9JshMtWmq8DVKas59kf6oeuZMiDP9a1OzAvsuQlQU
R9doqH7kCxHw/8XReSzJimRB9IvCDC22SZKyUpQWG6xEPzSBJuDr5zCbMetp8aoyEXH9uh83PI9w
XJW/Dz2fbDdkoSziu2a854npHVMY1czI0Nn96anscRtm0qXwwaSmQiXukZoUc1/IqudrW3Xovrt5
uqSKaxRA7q18fFe6+k6JgiOpTW3o8QUJ7qdNm/EH4p1rVdGwW1L7srEQaG1eZETZDjEptsjV1MnM
ymxrjURE+6l7HrLszdEAxrOtBjxjxQBVYrnNInYwoz++xdH4QbBk3DL8dgisOUbnPBdBNfi7cb7q
uFA5FTa4VMRyY2+HROf+m7qePlMdskblKC2IGqe8eqPzJrP8XUyT+7gu0WpeDzCjfdLBpsSV223K
dPHOmLneMxPqbgwUJW+YahXGrczZF6UVX/PSXTW5GDmnARdusROzKWIsrRaHo48/sRBQLYohDafG
ao9zz+E6FrSuZQA8ehHPG9b4GUIqPqv//w83qn1JpPefqfpyV9gTBHEw2Buja/NrT+BEupl95Uik
4/Ox3txO9mFV0BYw5PE+AkeKYcw84Sbpj7nBso31/4kY02vkZNm17tvTkNXXOvFoQxiN0KmSS5Fh
i2EmrCubh1r36VdOWHdNsidIDad0JjuX15SDZD51b4SeKRlx+hSKgZCnVNj/0gYmdWcq/2rAP1tj
vnZjjAhqbHHjLOdxl2EN6ww6szloQYKtFNP5ow0CIJgb0uUufOygAGyoumznRCtlQJcLsAyip5OB
lpxkFMEUcXnJyvF9jFgjqTRBTEvSM/5Cb62LWTr56PjimLttx4PJ+Fp8i1byebo0PQkr1mg8S7x0
vLgst1IS+iSi2Ik2HNoET4bdGMfPdjw0uzZbBIYqutyJwCCykZdOSXbbFZwcw7qBHXySmbxGbI7j
bPhTJiEd7o3WLiJwKpKDjRb9LDrfCq5U4NvArTky/Gd37QGMk3lj2thZfl6Gmd9QkaPRKluld83s
7ItWVOyf3dUGkgkeYQC9k5msVtFWASN+d3BBl2m98A8ir1mRVFyrLu/0MDU1UN0JgfnSMM/Js+jU
u0qzXVQJsT0WUZkcuBvSMFUcO7LSm+9Aok5DB3ojccuO+D1vUmdOBXNu0xFPl6jOLuWheimflR0b
HFxYs9faI7pwuu96+LTMEPhlFssMm+RQmcj/EPAnKAEABOvcAP3HPMYmDlabIC7bgQ3djpWk3X7N
KLt2fAK7VoRjj1wQ81xpnSJ7AFEcBUXuRTwPiYO2s4OGiZvaj4lURBqLN6sBFJ5bT4unwTG1eCks
BPvjPuFxjqEgHOjxSNEpX/Gs3OwMn381lFTem+WnwYEyGHU6O1r4+oYe4AMgpG/UW61EzbQTh9SF
mEtUgo60GTweXiBnFcf+0cggWCWReLJwip8Yz2kBsRcVDGZ6SywWM54SXdgmUbE3amww2rpejGX2
rut9s7VIbQX9+tP15dHz+VsFvYKeKqNtb5gLT6r4218GwhS6xg42goSdDPKvZBMfdG7HYQxwAxBz
m5lRQG+sfO3Bw89F9REYrSaJCUQ2zIEtmaxraUFpmDqe2152LGFtcMQjEGqwxvIdomXc9utycNR3
hSSwgeoC7fCrw5jF3qznOZokH26U3+ntex4FLlIj+tIch14xfdS3U5OYLzVcLU5GBDbXGb9MU7if
rf8rtETfAzymPJEgmGE+8NHV95RTOf60TL/kKfMzbhPNV+0pLqT57C6VdjC5DnnSDtulIFKp3A4B
fV4+HHPitIRCBUp+V/w/34juQuMIP4Q0iVuPlJivrRit5QXsu2bybXdDnUcM8+iUvQozw/h0GlLE
lmjhDFRTvbVtidY7Fd+9A3ao9atfwSlZi5IB1KbubAB4IYlwLHa5m7ZEWO4pCJy9n3cfauaQE/dx
++r4fPR9qxLeMzoefDcLEwVDW9Mr+Zz57F/aGchRk/vbfnHju5u24aLb5b7rrBAQmwjI4NehQmZU
ulcHkZE9phHUTFVVXznLPPLMHlK3ZWWH2KheW3fqLmt+cyRMcMI0jyGyPy6iBo6qZU+O91MTv99a
KRvR4qudZ4zVDnRbFhO8LRAOmNp57fSuOmaT+8YlQUuhTGjeavAeDNipDsKnIsqXQLZUavwjURoH
VAt6W4Pz7U42Dsn/BhsiCdidhgl8Nyvvoyoot0oLsoW0z8EFCbPCoToMqFyr8itz9F0PpO08kzkw
d90Ac6VsMG4JG3h4Zn0Q0eUrwmC+UdaL6tMVGW8/GDxJCGiw4V+qIxloDN5KGw4NyY6NYEEd8HZI
D0683DO3wyuocfBpcat38LqJbGv7YSzf9NiFZK7FBx+XT5DP1r+4QiMvjHFNw2wXc4732UJKXMuM
74VF+G7xF7Y6db4fkwJqU2UTs67tHfG3ahul7SsKtdgMY90EysvNg+uBW/FBJqeR1u04GiUbWUAt
SKCXmBpQELurboOY7ssiv2SdozEXyDGlOk19DFelkAbedBfvIwLqvj/rnf2ckFw6EfYx9hTqJFjo
WPH4SW+j77PCk3aWh3rPiZo6h4eE/u/RIbyDTiQpvPEfdY7Jut9hNx5YlRc80HlH4+VcMtzDnL1O
sPr6B8xKx8EcvIORTOJMLDALbNvsthiY7DMSiUNB2/RhWcLe+nYeZmDpT7a0f5a+Kbdu5b0ueFde
ao+XU7zEnMmHs+O7Gnku6x2yF/F3y74u7sIZU/dvg/1fBYUopFoltWM0SnfexGo0b95m0pznLCXB
ry1A3ZpWf9GRUXcjnatTxcrTa81HJQh+4yGSFJgAPZjMqltvsUcLes5DXemBPU60frYzhh0nlXeb
UkHNRdhPqILB3xLUGYEOXZ449nHAWZZtCWByl0IdWMuhjGvbl6FroDWBUqfN4cPWMQqkheueiV/9
TrkGJ2AgxY+TGqysED+tzn+klWgEuRFRJO1AD/PRPeAdboRR0/RrT9i95jfdoxm3RSIJQMocSJYN
jzXxIcahZGfHoKH6iJeHGG3e304k+YQICbWe89AxyQda0hNzq9IXc4QlUljxK4BBlDQv/iv7Y5f9
GhobEC+rvquhgDYxMd3NnHqsyPvIE/tT122iUl6ihcnwpkSOujczouRWAXohAUpSSj+oXbYZk2QV
0Xf7PuH2K7F9PPRtHGZeE1NCzeNyaCCry4nNiJPc4XOy1tazH8PiH4xKgFnIn9domH7UTNAXYmao
9fGvk9q0G2J43Sw9nEPpEHNerq5yIYnZ4lLGnA/xWcuaquHRX8lfq0UixhSkpXwfjQxF5t/ZLcEH
G7oxMMz+nM02R7C2OcFm7A+ea3z7mQpdk/QOZ6NSmC8TTGbcEH6/KcuFgxKwXA3UUw/xmMvbOw9W
9YSL8L3RCLObDggZuG399ntWLXq15r9g9sfn3cICYcIJ731TqzOLXoLsWKJEbTaA+7FgNw92A3R5
TPppV7T3kc3naga84568aYq0oTH0/8CfhS5XcSk9uMoMJNgOpn/R+GYYhhZOy1k2w5dIsOoCRaHT
iZyQTcCUBZH7T8/ghtby3UGzsLkvaQhcDzeZRpvATCSFfbnzH1jAzbDw8tLZzWfziYVXHZI3Ok25
WbCkYs3LFnFfNW7IQeeh5pqHnZC/ufQ9q2I6VQ0yHh8u7hbz0I7gco0Jr00n/VNs6pSGAKoqVB0u
GBfCDEQjIPdwdNZjc/VDMuFe29mrk7V/HY1nW2Xg45vSEE7DUEd7S6V79m3Goe3kcbZYJ9SPuTv+
GXDcw5JdlBF/YY29NTMEXjhQSB1l3+DAxX5TtvZbwlPA9DP2OXr37o4oHAVLF8cD44XxgbUNMUWy
NllQGWaELRNVd248iqw4joSLcp/tTgIJY/OyLSWeoWlhWBz0kyjhMrU9d5v4YbpFKO9LrDa44TEe
IHKtGxTTg0boP+Vsbrdd1N9dTzyv38iSLJRimuNz/28o237HoI58MePJpfSVsdoA9sLx0e5SfZ+D
A1Ms1gIt5dBVTXxPUfXogn/iUyZElC8s3iKFhz/3uA/sJ1aSKvx0lhFreyPPtIuQ7R9/EdjRHGZb
Hsp5HydttCNzcJ282mBtmJ6jGVXFzo2wJfvDq4xQhz+OeHzHbazPFP8uzC9so/6ZTnfsB6qqkKwf
ELRxorisTtgdXvyl4ia3L+MUv8mFA7+PiKGm99JeYJuBN3Ut4GARgIJHnZ1Bo9iGU2flscmJ7X7f
d+JYdbyQzSxRYdONKHB58o/BD0UED83GM3uXfVv2rVXl80ADwCv7FAiiR1MI+4Xc5D1nM0FLSdPy
tkmvidnXn3N2BjCBUa9VxoJjLt9KqsFuXoO1LGFpbNptBDjB/jPdlrOZyvHZLZCgWSewhcbMvdXJ
wQeVnj5L6d5IgSteCFyjjJg/tYkiNfigcxvjmcDormxJDw9rQUntURGeLITtMkvnQk3mQ+tgATaH
KTtbchz22Zhc8ABWB0zMu9JR/UPqEnyKn6to8Q4Oi9ldImqUGS7gmQp0dAa469oog3JWf4x/08HP
0GDzajouDkeuxmTwKErJM8yc3kwBszxt9fnQCG55jzsyHWLzJkuqqgb6+AwtKY5cJzrDYdUGspSo
uCBh+shjqTVQpa31zHW03DeWT3+3qZ57mx8X1+0XOdijKzkAjN4QshSLLoZW0+QZ8ximFA5t3cFA
ooaIxQQK/wbnUEOwM92zPX1FZf00TeGfJDO9VmKGizFNGJ0Lg93omoee6w2wA0+9JqES2jTeuihC
9he0xrGa/DfaTnpqew/UCFGVA2chLz1LTdj7rpr+0iYysC/4x6TsMfdofejmFpdq+zLzUB5Bn2AG
xlmf59Tg2KXN2cb1jui9VmD6VnyK5kfFSu6hSuNPbwGVuUx1eidSyXwlj3S6sAX0RYZtBiCJ5sRT
SJmjDzruiA/zCzEu8AsL9SE3z2ZhAOjocj4igRuqibUjMTJ+b5HwgorS51bjDVCR78ON/YTIg7Mt
75dd7IhXzqHQTRBHhQJMYmji07HxSHsexXcqvSRRkz0Y0nkxHFwMDhItd0d3drSYcF5prvafYMF9
coE+92fSFr8C59q6ci4FbUUtLLC5ML+SGMJxSfvctQK3tHUGIWFNYRYgFEh0trtMOrKW43Z7jel/
zdV0u2Z2d1NOjjxChQhbdsYbleWvM5VnuGrcq8+K7Dpq8Wk2sb+L2nqWnfaW+L2xF1PZnLSBR6+7
5rTWOiArU58eVCE+iY8mshl+3JYEN0SapqmtV42apNih5bhg6udwmW50UmI3KMvp1BgwayN/P5VO
svXSFNxYD0eLoH8KNVI/2n0FkFLn9NLLZF/a+kO14HAQRSNQ2jWagVQjtt6AVGilMezgjEMVp6WT
AfgqVFS89NyZT9gZyO54KVczOKzMRmVwbBoHeqxJZky4b0QRaByg9rmaD/HITKD7BAyN7sesrauW
L+gDNRNHsrQxrykAnZNT7DIve8PBsX54c3+wNSPeN6KPwEnm0wMu1KeSYBgQL/1gLXg0zcR/7Nco
H4cbd8Pspx1LS/+x6lHukPOzQFvjxFaqXyQrP4HZfOPzCrLTEk9ptu/r3L6kufEyDYhvaT7du1Jv
rgPiwJK7+5Szxi9lGDT9+BCs+Agtwg8Yig1FxVNRYM4zkhiyRfPHa4g4auGylk3SJkjhhMAh8h2W
INjXvbra1gA5lbLmg+nxgRrEI1p/5qism3BldP5/PxJc1rjtVbFM59b+mD0HoSnnto80nzaE3PD2
9NYkECJQJGL3XTed/yzPiTlu1LjMSJkPbmaGHR5YFEuOGss1rm2DeZjNjlF1B32Z/W096PGuX5p/
Ztx+mZMkI6Qv36mWzdtovXp8FyndGONPRBZxcoQjqHvBs+qRbN9aYMy3rcezS7j1NWrR/2xZhUPt
WpfhqwRTdUJvJgMd1w0X5ejuiZQlQWcxD6dtJI+K8FTosBKvYpchnH9hj8DxWFTSC21lnVzpv/tE
P9OUuugpac5z6Y4suSY2RfONItoR9V/kF7+PfZQ0BuHS+xxTL3qwvH2lUdCxCjmtMJlMn3CJRduY
5efqOqzCGOshfbBMczl/tKeQtvOcRAJx722d0cFc+OxSY8fflcoNaCOiwLvRxpNy6TBtqJ7bgDcI
e2Oxt0PWdQEWaEYmuw9F3djoKPLq6wRqwWjgFbO1sLbnEydrromh5HChBNhOhnO/pVgE1/3WREzA
TsIeXJnVZpzY+2ixY92X2DhEzVeuCuvRFfNTgQV6iwd9JLWzTXL7uYiSL61H9O2c+mjFEye0Wj95
mvXb6Mufb0FnUr63sX9wBnioiOay9/o8iDFNHqNqfp4tb32+H+e5ZPvRmOeixJumUNCmbMQcjghA
iwsGHekPJojSmmMNyiFJqK2hcvZti3sf6sZBr5beqSr+/d/5aSmjuqCo/3EFgCptCgresmRm0MST
6A/Dt+vIM40D6B64l4M2SdkSWJIAHVedxYxLTJ9pOYsuC2CBysenyLlDXcxc22N/pQipd0IjZUJy
NPUn/IkVlNDTIC60V9VyL406d5DMqZ+I2QrnJ7Q4KHP4GjjPrS07CyzHQnwUNg3BnHQJUDe8iTTT
ToPamKgLMBpBEkv8RV4lyPyYdJa6lCfaEKQxao8j/cJ46nIdwdOhUQDRJIdC3RYjZk1r+IN744Qq
dd8WLC72mKigEeYTxlw0VTZ22wIncgNl5dWgJaeL+2YjWQqF3Yhq3xL135JNUbQDc7a3EtygiE2M
fi/k+yD2JpkT6lJM746b3Pz/W38T1uk2oxZho2xn5vlbl2cvGPOw58gsCTz26UGZETlRBXyoItHB
t8TeOZLeL6dpDLXQqkK0aW6klrRC6xX3TKTZ2Ut/KiS+bYUrc9vElXHBwc+GNjtGRvOb4Zu5IX4M
CJ4M7S6WgUHP1cY1SnnlIuasBUU9Q8nhs2haCP2wQsoiBacSte+tXHZ2OtnBrOsRPhM8ckYTW4zg
ndzB8cbuHH+z/4P4Z1XEURaF+LPW3VBzVAMH0r7ZYrnbZvUTlYM2H+qYPiNJwAP+YF3gAEy8YqQl
npOzV5JKrl7RH6yHuFYQFwXlTnlZ34iiJzsWp68E1s29I5o4tJfmhceLtRkYQEE/f3r0uGEHaeRB
t274paIr1p5FqgXfEycun+wq+NEqMHwAwjGXUmCqlZiSHgcgtpyZGPyw55oV5vy2ONaepFSgEss2
YtGOBDztcysBqtdRfUuscEOkqdlN0joPogpZiEaHDlDIMPshh75ig6xK5d3M8iMyo7eKLfJhcqsg
HbF2p5q7cC/k+W7I64dJMgcQxM+IQe/JvSN7sKlHQIIKkBeS0l1BWCjiwOUTtcT5copbEgdxWv6n
poyQ7uwfZiutqPOmdgDA8N6H1XYyWCDNWq0eCj36HXqItdq9jmb3orkuZkzDO1hR7G57m8hXuoj7
qCfLUcn6k5XRjLz7TyW4kanYwAJCblwxnQRjJ/dzmrZHHSsYFI2zNjzqDRQc2kZAwMZpG7iUB9Bx
T0g6HTuMzjgGlxxAuYMGLGOUbQoLu2hBdNdpukzSwQo5xttcUAo00GBnZ4YEJPGaCf3NmRb9jNO1
1IwEAY21NjsmaGgV7v8mj71TK83x1kzGnkt7OM6C77fgKHQf2uk4R8o+z+BCNmb1lnu6c+ZAsU2K
yjmUPWWqutfNYTpgwsySWD1UgFHY2Ele8eMj1AhxqjpTnODasGCWkdyaA+a/dskarj20naidAzD5
2XGRPCcMYfs7NcLESZBEzyih95kUy0HNyRAsxtIdutpDskh8dehmFLR1PAtHVkdBP1CXLknCYgod
/nEEX87EUbUzKZOfXM/yXbtgJdoUhPgCSu6arda24sy+iQ22D2oCIs6X09fuGWPnL1hum8HMXvmi
i7c3HQl7H1A4Xp4FsFZGxpDOY/vWpe7pmzB7fhwJVfcFU7ep181+1MlZaKjBYV0ODh5hS90IYZKf
TaL4t3EnNirs27ziRZWl+ZRa7SEz0vh9rmLjIZdkpv7/l1Gre3vfryUbB/6uzajJiSovjj2PHWzW
Ql6SerQ3JFZGGpudU4Iz7jQk3oXqCBwPkrmglFF8kpG5HQkVX5ZKfIvE/Af/It319tHUo4XuXPkB
4HShi7H7ToWVbhEGefmOzjzfZj2+9ggoJ6NlbDGWod/p9b7pe+3VZdNJj5x5ijoepBjlyPUHvmnJ
cxHb3bbXcWTNMzj1mgMUwTcdpLyb+mFpYUAbUtDbyeBsxzHWHquRcL02JFtT6eKsmoK6SFYgPb09
weDyrFYD41ouLoS8XCak8zIW/Zvnssxn1eawApETxqPSj8pLA4VwHZfAwM6tceqYsWdV+QyfdN3V
a97MBh1paC1Gga++abubJkWEs9B5zZv31PuE6L8rvZcYXWJBG3ErTgiSAB6DogXIvi0fRte7dG16
sPR0V8tPJcsDQFPsOiVdERYAdiJB3ssUUSNDby9d7nMALpesPsEWvs00BydzZ3O2L9UUlMApJ8wR
E+BFglGvNSaARXlbJ8ETYpx6nr2a7r/orPjgvm+hzhxVS2KLlp9R0T2csyNQ73o3bwbqeT0vfov6
sz1imYqPYnFxaqcnvbjq/bSlaBCfJrHIko2F6s1zB0DYxSqAAPVQkWGTC/RnfiMjcwKvefdRwCD8
hxjNTw0mbqW2qEtmht+J8rb0x6MGrjHW0ntGQNafAqSVPn8KoL917LFW6g7KnonzyR368WHSFoTC
9jOxuRPnpA5l+VI61CnO7CUGRijMcxoclQHeRdXSm+z7Z0YPYhnfonGe+O63du+Go/WuqeWkNX1Q
TAP5qfnOwh6IXf+qC1zPVszvfBNvcWY8D/GrbdOLPqrQgYctfmqoeweiB1X6bswfMXgfN57QRxkj
BPNCw66fmYqGCdWwJpR1GPX/SqKauJzBIARzC/Q6V9s8r3EHS8yaP673XDTAGgjmRNtuhN/li1dX
x72VXwAdFBlR/OzLY7dh5YCIe7wNixcw3sd4qvAe+w2dMbLeLcghhcd4MZz4joN+rBm51TlrW8qf
84ANxDvgQJrt4CbQJN2bOAmqO9scEttX7LW7nGw8JyClfZJzC6zVDsZJz/efa+ITdXnWkdLgS7BP
QnqHyMx2tKKQrzEfCH0NNqZvgM+EdXdRH6byVlrlRS1fw7TDhRjQubIvFFWNfIyLs1vbbjLXPim0
MBeGtU0wFQHsgsFyvwBkWLCgL6DIs+43QmrxeQ2P1XNh8fVgCyxx+1nR3s3bLxwcoL2HXaKi19oY
9yMoL8r+RMTAaTk7oGWL/m2xeq7RQ/Plv1Q6Z4OKxdi+sNFfKeEDaz/o0pu8hQWe8LPM0/PABsiL
S85vq2QX5B6EfyrSzSp6SGChZSbUDzTk3LF2dXKq6SFlJerQErWoD1znh5jTP/AMzjrmUWLZGJ2f
uHnO9e/eXvZ9+aQh8ub+i9H/11EIYXLNVtkvFNeNVp+AvdmMaE7/XWtnQYW3zqNm4KNynhl+t6Aw
guKicJRIADMQuzY6wRE2jOwWji0XnBZdqwYsAh0i7QboPsv7bD8RbKM2WJAxNfzHoRs+i4rJCJGA
dTbd9PPRTN/64hfH92al97MQTuubVl7qfm01IBBhsNVPr/kKRKAURtpfXfVS4lkRdg+p61a0b+DD
KKQcrxrVklhUo+ruAVPVC0i3zqURJ26QIM8fiEAEo6GC8sWq2a1T8D6mMoio3qWdgy7rKj5UqzCq
chz7H+saHLKrYEOJe1OzL120Z5OM5fWUq/zk4oQvfd53HTIYP1tCWLohYpmOWEy/saGmaX+ZsCCU
025kpT0uWqCLB9x/+6rqNsaAeRatr3k3ChEU4GKJ85Kr1Pk+Dh62z4zHoiBoPBjE1rtD1lIvPP+u
68B+/Gz64a0ngeRP81ZHF3WHLbnHg8AjjHlzS6Bzx3JzS5UYfZrvZJEbi/YiNHM1NPuJdkw1MElV
YD3a/1K2ET6ibOxfBw9njgRCOOVbzT4L4tU1TD2V07xrXaaW7ncm546dBcoDkjFhUCcsJsKcGJ/z
K/CSkzvc2oibrkgubnMU+UNPmtaYb3B5yCoMG9oq8EmGLTQkuz31BWKikQayh1nvp7sBkDM4hgGF
bgCiSaqSB/yuGy1kC7AXFKn8xwkocNgGaIm24fXOiofvm+o2zT1zxoG8tTpsoG5FECUAjmBZbKb+
qUrkYwr2jzd1MKU4CUzsV/ltUDxJou7EMTfwScTEZotUyVDCYnUukuOjmrNH0sx7jeEGCwJG/Rbi
2a3G2IqZZGvjV6J0I6wIQkfO56zMgPDrBqQ/fCsSqsljSWnQNEahhc00w5ptcL4iMMG+oQ/a9D9d
vazoiQxfNss1NiC7Cphe13L6c0OuNMWSqcZSWui/WsSfU703erar6mJjdaRGegK/DTtQcutZpBgn
HoH6bBwToinPrSp5hGHAULJd4mhXdFGACWSrVasHBv1iRrMHUY+3rLN0uCkCLNbfmk0gGH6RJoW3
uJ37XD962Ecm/V0jJUP3zhg/r6U+oq1J4jsX33suU7pTuM+f1nC4M9/bineDKV4hSbCV4iXiwRgn
AUkwdPVlUaFkh5mVXNp1q7XarIbpoPD6YNmbgO7JFBdIWR6AkGyQ6KG/V7y1LOqeyue4GE7MyHSa
X0piB4zEfMU3827Li7au7jMwDTs2GYzgcMt5jCtu6rk7sbQdyo5MVLEVhsSlMnJuZUCjHDmhGYEt
9LsmPjBrwXm2h2rfzMeiYj8GOJb9PwrYS9xfh+Y36n7N6Z02raR5BY39jFltl8TsXhjb+yTaDpIw
fDL/WLPPXx9a/59Nq57FbSppDFByemmdn0nD4ijRPrSngt/R4k5NOvR0mt/ls27fq+k0dSjOdnnu
zBueuZVGFZbRnZLfR48meBmdUy8NIX5tq6R+yCN3z9GeksFDbWsfqfOXOhR7BpH36HVXB0NS5fq4
1xSsz4naguaU6dw1rFjyueHH5bA/NAezR6CmB8qEECdfqYPGVXmIvQJTPZIZjE3v16ouejUcXegr
lPzt9KGCqZRwDgB/bh9a69rVRFDTDCJsT2E2j1E3uhs87pPSvUIM+0wM6By5T3zlZyjQoVeq6Yzp
5lIiOBNFF15CjeL82FnGSSDg2OrUqmOEMlybeKuia2flGLX/icUM2C2di/bD6P6zQPvE6JtjIjBv
fBRGtVPm9HgvyVMBhXXpo1LxmvclISyvdoa9nJDozGu8e3J96pJH92jaceh6CCJYAHiqA6rfz/Ze
M3LGn4+m5dyE/QCBrb91FrqGwjCn3uOc5xR+sHU7CT3kwrAZ6h4P4bIrwyYjjNjuZN/SqzPLo8ys
kOvp12/BMcTmkflnp83/GMXP1SAfjSZlBvH7XTWtoRKfO8Q659ycdvTP015TlKcmM0/t8jE5L4X1
N0WYFOls9+DegXuTMFTd5bGqvMfJrzbKE2Ecib8Vfg+Hn/PjKx71lwkphMXKnxAYu2yaHEtMwBOC
GuCEV4dgo08c2GIbQQSLOYd35HwphUszB2lcB5B7k4gLRKjCU+dkrYlnGuPEBJ+I57qjUX5lkDSc
NlBhOA9zxOfcReiPJpgbnd9nNecfuKk4nULstDjzW+6L9TRjWZxnzjug/bCPiOyNu2ILdP5B4ocy
nfZxSWLEzwJbN0pCpG99l/m76Z6jJUcWks+gcLGFmrgLMOtR3Cym5MGzllPjtHsSmbb90NrJUar5
SOynN4lALIJ7/4FBZT9L/SAgFma3Nil2xaGBrjrX9gMc0zAuORBGXvyTZtrNRSlgRXUEPrpvrY/e
v/rU/EAy27hM+5IjBp3IvANZ4YyevSto2R34J+384PeY+Pzm0LOgbDp/m8TrdroDcCd+abdntYFm
TKEZtOU62hZ0ZdrzYbGpbzFQhdeDhejYt8s3x5NBJtGA9F2ED4OLxSwPxWhC4vwRpKBry3gpquoZ
1GmoMfyVFglLLncNqpEzgi4zTso6atR0gOxu4RykB3c+eNSoumIIfRBXpvuSjeNLBBRonTc16K9d
IDUHuRzKiYVpDTV5BYEOR8tIbgj5HAInekdvo2vubGvZ9Birab7I1h+1v4MzY62cQO+jkGmu44DO
BpOuVLd1mXKd2zI8rY4Qffx2XPNsr7vF+Gumxzob1LZ2H+2FrPZMVg2f8weNnDzL58BDwUsdTCCM
S92FvptTRNe6mXIgXaiNuRZgHnPnPs6Qalnt++K9hpVBvGbH42eRZ1/IveG17x2LKIskXwesiahB
VZdHJPcw0uwDPVCbjOfwLC6LGJ8nVT2lecScAQp9qXYWuNyk6Q7SnXZDTGYKFTuNvlpiJG5JuYmB
e97luwa+8ddCAYaQs53AendNelId6Khpv6TtTif+46WfACsfYvS9bjkO01peeO+6p7Z9XPEvEIaF
dXfN68KAhGuBltNOcUxOnDBTkONikkAs+htN3BwJY90Lq4gJGCBTvgJbDRZRuLC1bHnzLfw3A5as
AqyxhktXsyRIIgx0mesdeEKHitMEx7iKk3Qd9cG8kuLY5aX8boZ+LGfKWbkHap4NiEE7w4i30/84
Oo/lxpEsin4RIuDNliBB0FOkKEraIGRK8B4J9/V90IuZ6UXXlEQCmc/ce27yVirGNtQQ40ePwKAo
VyCMvNCpu802MZ+9srXD4kQsODfGKbKPKaWKU71gYR3EF/coAauGjuMRb2eIDrXmlOPz7FDrhOJf
UxkUSqwFIxOD568sjRi7QIDSqysMokl5Jb6zaH5y9M49sUZKWm3a6gX57c7Wlh0qqrYBJMIKaPEq
g5qAMGtI9nSMG4eBrCgvMXkOBYDJYFobI4mFBimcTXNVZJ91JVT6PbaWQ81N1sa5R4kDlI5MDu2d
gh+9skJQhvAglO7M4Bgvvld5OCMxABph76m8YiOAToElm3z6Vv8wGQ7L0lnBsTCGJSWhc2Wzy0pY
KZFmHTRJPvSWSpFHnTrfQmWvQZyS2eQQG7NmTOh10ZXFm74i1LQFa6xG0triN0O9xqK58JrAH6AB
h4Arp+5Gm6DWJmCvHXmKq1ie3KZKX9XwCiQibdi2nEswEYH5iXcDmSCki6x6ihEFyE2U4cFkA8Wq
xy3qQ2tjPcRVn6VeHeOFeAYaacQsjXSj9fKlkNEB+YZeg/w17/IvELGfo34w6eiyIvBVnD9WrftD
CNmb0WdVWl8zrR7x5b7DHtYqoYgxZyn3Jc6pilka7J3OvDpQ1XjeIifCWMOLMhXc3WdL/quk0Jdy
QKE7NDBFrnitQ5nEmWubt7C9pzlO7IrhsuWxg0zyf6YEDOUnjT5LZzc05QWYyjpg4N8QiSeT8WGI
S69w6G8q+ytU5B1woVUO1DNr8VqsiRVLJeEqzbJus12GUyCXdmlz7Drfio8K5WQPVrAkgr3Eg2az
z4SyEpl+xJKA1ZRn9M16bhUQ8/2WyBAwrkuqzPQ6q50n8NxVaSBOadEfdYkazDSaI0mDLOP0HoiS
kO8aWUV9n3iQAYgHhhulDcTnObLSe30FecMZjPYMamHF1r7z0mXMYuxjoBIEJjiP1NAF+FnWxdD0
GM4EabgzqsHvO75ggpyJG7UjsIotfgmhJUQtLpas3IrSIzwrpvtnkmHQKUZaSgikfk+rOt7VWKJj
BBibKcmLVZzaut9G6n1s2uGC7rLYoOcKmUHCtkr0kBMVDSdCngEdBzmQpbxp8/wXrkLPWZ5/xXXJ
ZEhjxKKxQUvY3gbIFS5hTWCQlpzDftS3imBCl/c280gNjc6wrmCA+gLB6m5m3aTnmk2G1/TM+AVP
jO3e2kVPkDfrPJXifcoihiX+0gviqK6d+keUyHhiXNd6OEUnCFhvxYB5sbNrcZAShsawXXcE+HjW
TNtnZbH9SJhSboWegAIq27Vp0jM4nbbBVn4ZY5OMbpVylrVj4cc8OUbrYG5wnuwbbn0B1EdW5Afj
/DcCJ5BCkQYBWUsQ08eM6lUh8hjtA1NMGzPDiPatsLrvqh6YvgUVnHzrQZcgNkCqvYoR6CaOe8Wt
2mDcWshodLnfql0sLoubocpkXBiQ1eEikK0edDeCeYA9l8CDhcyZmA/6n4Io/Qw0XjMD2Pic/QGw
iM6apzOLfCWZQccO4z/032KPfjEijlUT23HEoKVkivbCiJtArOalM63qJwPhDGFrZwgl3/UZtU2f
ROyTjGgzcYeXvyVAXX9waGzzKbnawLwGRVMJZ/poDIBF26nmp2oGptxETpK3EIS+CTJ+1a6nOPqn
WBKLqRk7rRrN1QYihTNI/5QA10PBbwoqFzmAmu8dxq8lhET9khhQk2epoHtNIPg0goBOoRauGYfJ
+ivSKF4Gnfbc6gG8knAym+U1T9HczmAtfsq0dXyll/4h9aY/ZVtDZFfwXg0JdxLcGYDrJlFpExck
Ri6OhhfTCDl0tJhxDGKyQZUHt5rZbrRp+y+KnKXw6blWiHetZFVas+Jh/zPFXmpLfIdazyMkgZKc
7zZatuW5qHtH92cdQF2uODV5xMFjkGBxGWG2tyOTOFAJVDVjCcWI39CEW3sdT6+IWS7Pdfxjqe8K
GV3UwlxCUnNSJnPcanNGDh8yqh49J1hqoJhNutNLRtDBUhGPgLk0w3zVnSE/E+x+yggwV52U0w8/
blkRZJdCIV/1MaocUIgIdbuUfLhKmfHjc2+Okakwckj7lVlg/EOJMHTRFzhwDqxxKI9q995DEA+0
4TvTat+OuflqNeRmlw5oT1da2uxmhopOa3li1k5SXW81YCKake0nMaMRhrBGRKatXbSoZmj6kqft
GuvdvowfXWLvFVVsUkSvYZ95jaXBr/huiN4DM4CoKdkoyLZgB1iqxF/7zwA426jV3i6wldK6JecC
vowblSAKuaB9bEcb6nVPZ+CbhHdGN7ikJ6/iXquzCf0913b5wDjiISAHhUvADGtxSS5uRnwrY+eb
/jgHU2LKJX6s71H/If2BKepnsUwveLCcZMBXs03Rac8V9oUvy74oDdJVZ0/CA0uJfBUW4mlG6RaS
FL6eem31z3CefJV8rDL4YZr2mgalX8fWoVEIDtlMTe1iJPLiNuCjZbMFEzRN8V+Z2iGO5K3Tpl5P
SIDpXM2u26rqo57/UvVrRO85gKWqaCID5scBA2ulXiKzgrPykVdUD2fJsTea8qZjmhnBvS8fU8Gc
pbLfWpmiTJyarYEJUtvK4itl7gKNkTE4+9aUWIa0d2GDXGeGDOQ95hrIwaTZRBx+M+Z/WfsDDYEc
ndtpRMpFfxHT+MWkDFppu1f01zQChIOcauDjxnaHw8+5EVCI+pHtICJxUYwraJt7LVmp9qeVb4tk
ZxqbzHHj4EVr3kb7aPJQRQt2+7ew510FSYwsG5qV5JgxrZJo3OJ8E1I1FNAb7Xi8kuQ3iwtIFjes
CrcaanfSgNSLF1U3roP2sB2ilV//n/paPqwMZjGsmBuKzUVPYRPN6gS3Hp+KkWooOhCTTuMpzed1
TEq4Zd7t8qzmJPCJea93UG/S4lSAu58U+C88UaN2F37BiDGNauBQCO80hNOFuqsRd9CaZcGADY0d
HK+BnJxotGl5AMPzXjJEQUNG3hA5wSi+3SqSdrOD+gYZmK5ZPO3Iz6UdMI/LVM4+9hg2T/k61WlN
KPHzn0R/Ei1CLwjmrIN/4pmDg0Riw8skjNbt088EnVKmPXHLbzVajBaR8qqRZFY/GpR1IKPMF/tu
W7K9mCd8nQZjVsoAQtCWHDVRriiyN6F+FBMTDVu5zantOYP4V9HEF4iZMpwBewGzt2eeBIXTHdk1
pwgkx0Obf8BYmAcUSfYeyQWmukWhhwzeZTaFSYRIXAR10D8dwfDb0zMcndUXsJpldCRuiiAoG09N
B5yEeJcBhVdSrW0Wd3l2QvVkG/gLIt6RcK2X/hwQGUraQ8KD3KwC4tkA9ZG5AsWXIc+5tF9ik4wI
XFhECqz4tOJwSw1tjSdFYuoy38/sB25l/bSqm4rMEgilK2kfDXivRsP+hMDMDhBR76SkPQK+Z/P7
lrCpA1S1YVUNMfg34QAdWwjSMW8UYlf5S6LCy0THRfkpoXfqCBCFFUKJjjOfZYaDkr1UzqbyVWef
Oa+IHGyRGbkqkXIxIYE1kA8SWKSBn/0kso9aMTyH+oWAPl5/dkwqqq4a6ExGxWX/yEQTm8wk5DTa
sL5dBVkDjZjXycAIAy2iSZYQC+We2jJfTkkX0hzqqL3Mk0474Jy6xDp39EuzHB71/A73z+OeYe4M
wijGL1fJ6Fsfvdr/KnV9BRYctek+tsbXJlO2CWwnuotV0wXvfVIQPz6ezSr67dXoaSVL2gzzHT7E
waGkijT0RJMl/kZwxHFOYhFYkuBgjYB4A6vmFtOUlTm2JPbpLwEGW3m+9q22EYX+Cdn8pVuomFR0
0dkix9xSSLEPb7bAQRc4btGqiFRw2yUrk/l8X4/HyUmodYbi/1VR30j4kbgG7YraFB9B1j0E4kZA
L88UYY6ifvVK+d3DRc667FzkdIjcqXkoFsY8+6V4H2mfqvI0q/BqfindS4P5LGh/M+kQaNG33sr7
Vo2xHNsfgzR66rwclelHMhL2wyfDAf7RCoZN1LQWT/Ni82Ud0gOVD/IG8Vt6LXBxs79l6N/Q0PSR
jU2o3IdxvBYhgh2HYXpVOTzC5i509K0A9unI1a4mbZIMCxYlH7KSoTCenkOWvoq2vEmD5cu8dYX2
1UKjMFRBx2If5vFLEaB6NKhR5bCL4W4X4AlMe6ZiWcmr8nc4tiacXjfbqL0rAhIyc4LHLZvdcryb
I1DW1a3Bnqc2KPhFdMmdiD/R7aoIVFR9kBbvHN5bNRlf0eTtnUq49fF10OkdaXLkXrqayoxfjrhv
ecNHIFnEhl1yFobstDBcHMrKeA0mdkTTN4WhQn+87kAO2QzV4cuxAtdnSnM2rHZzbqSeqKSYgrVb
8QzBnYsWMiNJtQn/0TnPTfTwCre9jLsl1P+hIiiw0qPAU4g4dtwlxLw+aclebj8yx36R460z3ZCA
U8/GymFuTHi6ip8A4y+PEVqCiGN2Ln+uvG/eFD3IHVqjJD4I09pK+V9XKP7yUvTxM6ruBo6dAqhV
mGsc9xeEqvAtjGkD2MiAonjK80tTeyxAkLFZim+lkJ/XmMfNGq8TnEjB3UmSXidjtVnD5sVKZHGR
aB5HI0hU1lm4Wckt0ADQvCRvHN441iUg61hhDGaXKCC5xVxL3lK5FqiFySq4sxg2jzwCjbGS3tRf
p/aAG2wIgpCFq1LnpXcHEegqPiI4YSOt7pBDNH+Jpj4y1QC0xdBfhTviYIS3wZIIhb1ydU3Mwje5
7awGUF6Ts6RsrZeO9PGfjE1gZMs7VeGbwXS7wbcu1zs7qlzSA3ZZiZlKDAxBuetFtstT5JSQXg0l
XCuMShwWP9woDAqGyifej8zNdYwf3efzUE60CmhCx0eKen6NmjRr3CBY5Vftr/ia0ONfyEltAIxI
+3g37drX8YHhdE7XNqVwta4/mAo4yJl79yN8L1953RbF8dXZ1VfQuyssLRMmxRtyYjzZevYaolsY
uMn5Hi8ZnAFSjNEaTaS+ZUt4LwuBDbrtZmJxNirfcVAyOrf6P6lfa58Dy9t6PbvOHqGAeNWPCreQ
iuWZoDPX+UfD4UBoR2LK5IPlCBCS3/yKpA7zHI1fIT1hn7PaVaaNXp/Me4kRxt7ytXXpfqy4WVfN
psIiirMcdcB8GpEDT0DbV8Xf9A6VAJ0yvgvK0Bk7fLFxtI98ca74zH3RDocr3LiFbSN+49mlCFpR
K/Dc86P1M8E8/ID8KHjOxezVrAizPRl1XcbPhOoQ450XEIxa3vHUIA/AwzmEx0zeOIpPS7oZ+r0e
HiT7kEcHbr9q2lEUhx1zY1+qDqiE0MEI+Eb7ElodXyBkeK7N99LrTpgk1GDVWr+YfK1/5MGhmC2h
jA0+mxPGKOz3IOHV81lhnR6eauu7sZmcjgdTwCNa1/BwdqhdFeM8aQ+2ymH2Krd3rfKM+kHeLcLo
ObxXn6XuG/ZRGJeUdOL00hLeXo1o1mHmiEvQcnucHkbIm/CUE49g7w5VAGAMqraAX9S8C/6pVG/S
eMqh1ZvIgJWfIPOkv6rzVBkY36YNV9GNkwiBNGM2DHwUg7GLYh0VG9uW9EdBqQgEyN48UBa0+oNm
oGMybZ0o/FCctAYH1taAqrxle2DnJx09Ph5kaE2zi/+GeGLOb67lICUQkQ7VSzMP93atHg22nPFD
CTZJ6qPp1LttnXlqu4NqM9SvHBQ83gGGCJ4zkoJYXDAxC7/BZAcRCh4ee9JUvEJ7tYXbJTtL2U73
IXen+TA8VUbyEcqUsyFtBp3Eph4h9tr5TDlr8RrgQdNeeUSK6sC323b84VPQb5sSjiXLLk5a36xO
M69LGJwMFNTbvNnxEKNCYxz+kj0j1AnJrmmWX0kjAfE5E3Vnu8a2NjhVoy9DPpnjwSoPbevL0t4m
EjXbc6ortpusqX2mRdu4zCUK0limO7+QHNHGnWdys3Ig+/q2Dn9my1VIPNarl9la2xXurLU5YXrZ
qsQDpbui/Mu0vabuwewEUEznS91tdJAlf3wUfIfck/XGTt3RWGvmGW4LX0+3G89ofysUSdFWd6jM
wMFGW2aIhXoZ1Ot4dmWwBs2a9os1rlRslXlTNb9Msi0Ict2uCQFDbhJQGJxCCauATY/RG6XciZKT
hWyArb9wNb4vNgftk8CPhDIUBApivZJtpFv195ZyxvmlHNRb1m6stNfAcp16JVMNpTijVvUF42F4
yeBj9yfsWyy8eQKCn/5zJv8jhYLlkpglilWFSk+FlMbiAoEurjh3YRzpsDyZq+x7hOqEqSkeqLeG
dggxg1EQ4YUN+5Le8VWp7YE/FyC2pKBfNSbzlDXqG/Mp/cXcKPMOVAQF/KbrAbJsM27E8s5bw69O
Lk2/Za5fwA3N+AbfKs1LPheM37sGSc7ZI9eTqVI6F71dzj9Av0xWxMHyNQMe5NMl56bBC8vGCqXC
azeYu44RHocdKV9GjbrpPo70hTJtN1MhAPrqyyIo6aWbRSAE+iF8LLAFtlbvq82pRnSE+UhGwfwo
1C0rt1jsbc5gXpAMTgGxmyRXrhvlNDFKi+VzxyGjT3edZaaxGRnJ65hu/KTcNi3HxxrwQXod1h8a
XeEqDQ8hH9Z7PnocxGqwy8N1hsRwvII5Y5tSy+AAXma2Mmytmj3zRKd2mQ8QX+qoW9OErw3lIOLt
PhI0y3s4IcMd19a8qXMcYgwmVsNx8WzNGwXgLnFOJQnkBie2h3cui14iWgiAOEhs1iqKqX4bf4yO
OzmnIabC85FyBqR06muUKp3sahXuz3Vo+SB5KvAjBFiknipW4SvztfpHIbruwTtGAccnC0KxtjlJ
11pz1KJLy4PDYDu/OV/F5IoKiQxuuQuZUulyHrhmw4ifdDsftZqU+BGyeOfcgVzGEFi5IMXq8Iso
R5OgM3VfyT6/WhltUn1TwiJgl/9vUNb8fBMMOFY1nyEyybvUnPWrgX0MHAqLSmImDe72dfOVxqwm
drRQiFlx8ejvRM9QL3Fnggvq9Pei/JHrdd/ciJrp+VeazfDbknlDfbLhdeK14Gtrdzw8RJFkX9F5
Rn7GJoKsv3Y5beGayMMh5auer9AiJp0hFCmEK3GU0rvJrylcFius48pmlwZ7FhkmPQSPfmBfdGcP
VJ65bbfJLZ+D2iC4QHoysB9zlLdewga/WnX4ZVfs6sYzp8HI0EVg674BF2QJirXrqCIZ6PYGZCkp
eE6WjxBPn7xW+zeTVhBj6b70f/jyoAf8lM3a7raT82VbuxY0uw7hofHbmmCk4a4Vh6g7MsZKZCaX
IJSQlvkpgoLGujN50x4cF8OFm5n4eRQv5UV7K42f3PqeGn/AEdxWjLj5PxWgv5B/AHGBiGrvShRd
Ftp7r4GN0/hmsK/tbc+Cm1odpcZ8wo7J0nPgWsgzV0c+jn1jpTLO2PAOccViL2uhMWBnQhc+r+gF
St4VFDDGUiWq8wE/Fkca+tQa+ApHJNZX6mPVTd8pqcWlOlsvCwZyZ75r+45YpYSs9xlhJIyGm2Tx
wG8ggdFBUZdYALyuoU39gf5vnckXClTRM//BEr5iVlxU/yhKYusHawW3Dm++lK/JOkudXVpd5hb0
LQ2DZ5lkToFV2QzsEIMvrLeuIJPjQtQF23Our5RBOxnjHvc2FT3ixs65p8kDBlTkqu+Q4MyBqeAB
vEfDfaecsCuEDEz6dZOtjWLfIF4ohqNOlgZCDuLUhu5URRdlvEkJut+Kc50YEVyjFjWSekzQpLzO
yOBnmL2h5fGYUVeVtJBAmMvxgLWHGFveC447XrrqzONnDXSWPugwADXoxOBebcPmFMlkVC48CR46
68GTtS/HglUANKmlfOWxiootBS0VQHw1mf6/686q36dHkiM5OPhvxi2UMrzkqsYq7TEMe7I0WMjs
TMyCOLetjbasD5kvuxoenhAKE3m7nD5HmKJAfZR0U7IQiH8csQYvQCpS+DueuR3q65zfpwHmrHyV
KuISkNXAoaW5ZcUsS6uYTKYmGHeRI+/CKt6LWfghdNqxIlSZ5hRtIBJbdCP1xmStanbybUnzmIx/
XNpDMiBVIBRGvJMSTlVmERf+GttosIaLNCDDy3Y6YxemJJriu8tEG0wnrWR8graygNIYbEmMRMnA
YxyGnHAkd5dnrpTr1axLyKpf24p4DANHsFOsZYvQbgmNNh2C6K8wPtf1daov0yjoM05F+U0gDcc7
OrvopeFkL4tPrZk3xfSVYd9G61l8tpy8E/lTCSkPkmKjfkEgo3wabQfOuvLsks+5VzYy8oJhZzAU
q0AlpCLhq8+oM2CvYT9KLY4VXpb6PHP66/17Z3WQifRdS3yUUbPLGpTTmE3YWRBuGC8hsYDJzKRJ
w/XYGFc7gxrEg2CNzJwzazUIAgznY8bEhxVv0zPJlgCih57QUcCt9foSC3ZZv3zIXcpZPj9i9ado
SJ0ICbeuv3QILm2Vunk/MPuCxkcdx3fXMvsMr6381FSsWN+PIrvqBrACFow/rX5iYh/0n31lrDqH
0d51BDaV1e+y9kk2Fnr32xy9IfrwCES8ZaiOIU6a/tg/M71m3BkawECWmHCddieiQhUd4WMTWQpG
ORs7UZMgZdhEKOjDTSijuWXh1ig4fmzdod7HS99Hwgt1GgM14XRW7MIPHTYu0tjm7L6GgnyzkTrQ
5kzsBFKWETe77KyldOSYwdaH6IqkenYtm7pmc9cwoGX3+NcW7Ia6XvWtnFPJnMFcUXugcksltlNw
PrQaUkDNirJ2Q6WhjAtsxmKo3wnknqWE6yqQaMYnlqMEaLupsY3MLN1LEFFZ/VfH0eTRC4+xLd5i
qC6hYwSoQIyXYMKvYAR3Ei5ChMAS23kTzlqNutt0bPRVqvVs/2fw3CYkSdK/QNdOpZn6gc13EMoD
JkdaiLh9lkgpSpGzkrUVWFrKVS86jIbaJhgZb3Vmv8nj6mFwKhGfhI95J0r9A9dbTzfUe4bm7LKp
OVdC/2mk8IUk2I1jBlulY2AQz3Q/i8FqnrRoAwgFq8db2eFGD8ruINvha66kiavfKLT1GgruLJHD
21oMxibZuQon/zNb67sn0zQpNK+fsgNm7J1Sd/+6wMBMThtRsfoqCssdpgh7gkqrqe7bLPmo5FBj
9bKECpbHoNdQ2VQ2Qb7jUVUgCTS/I2emUZUzSqEU6qTq/Na59J1UDO5LUrzQb+DvcboSXFeI2sU2
Cfsru31Adi37hSWm7TZa09HAsbvOTsWY3uRgSFiAJwcwG3g+W4qGjoQBtWLgBzJd93pL8oQEPEwx
dJN5KwMbgqDRxi+10MjpnGmiASKFP7yOFo33tkmbQwo5raB2xWvPGhK/7hqJo4z+fCLOTCflqu9H
IEF8jor6KuvRS1Zaz3SEIijwEYB8OIg8v2myOCzqYIrk2lZIUE9CLO7NwZFZR9SKP4bRL5p0WOUA
AhkRQlhriLzBWXNkA3gmmwSzNYcLWFHSkW2t30XDyWDIVhNDZQR8+qVl8vTnB6kwz6oj/pkN778l
vY/BrZ6WOre7qglY8ZBRP5zz2Uj2pNTvMxvp9ij4/bKNwRi0SMy/sTEOHZxfyRpeWijOK3vkVCn6
g0LiRoqcOOXLE6xuC0a783ypWA4lirZtG+sboCAWFgJrIHWhcCpT7DSM9dMg+xZW8Ew5dVcRAi5+
RA+K6yvg/JMyS7w3ZrGDCMD+sNxrbegZSryrHFJaIpC0DAbDmyGQsYo/Rp6nQB9PYrLv+Ei1rnsB
nE7WhQTiLaC3VOnxeYz8jUZDR+nh22w3ZeC3GmNmLVvTfszOBZrt3VYYXzf6tum4YpfpWEy+QcWc
sbuJal+XbDWt/NRExjbtD83U+2neXjQNJ6XhPGIlONXJu7agIJe1v4baGPNX3sV+rL02GjbsjglF
TrvWMyhLjimySRta3EQxZhJIvoTcJujPBImPZEWVlDMvfZ4zc8xQCL2PyXc6fM5JD2/8WGg/cDfh
RM2rlpUvlCd/6AhKmplrsSHEp4UitWCdno/GpqIAiVtEo1TiPXYptRoJJ7LxlwRugiGtXmQJXCl6
/VWhHWv5XJRYWldjhGeJ7U7GmhEQGjGZ6LQS5uNza7pCTtxAKlx52iukucW/VvjRtNie6JQ5zDwJ
qRnUQbYyLSAT5NVK6QqO2TAtN+Pw3tifmv0J+oyo8Y0d3av0g9ADRj0DfRaKzD4/tm2M0FBftyI8
NjEHTJftMvDaYXdRl1hLHThR0G6T3PAKEGSlYFYpk2TWmBBjIQOQ7KD0DqtgUtoIbiUUzVOhWOtA
e3gBugoOyvQDk2tlPFrRnUst9GLjsyhQI7cOo98/MJhk7kRbuIYbok7QcGobNah41RCyg8YaAQS1
07Ea32XbOSkZy+XMxTl8TOZgn2rzXh17YlEEaW8FXR07OXWvD8GXAlyaFcSx7GZ2pwVxYRO6DRnE
nDSypwRkHgXEKStH1inbhBjZEC/hIFjEDwNjJLCGQjPedWoxjAQksuhjc5c5gdkNr4dwwkEBdqCw
NjSRDFpAoLih07oq9W6JP9BNMqarhryu+dNEflX5dO4DHUyOdVVZtHcd1uyBMcjQ0msIZOiB2HFq
XhEh+WEabauiYCNBJwtq6qoz3Ixt/t+ZLU/FeI3rswFgbuXE8jYU2D8C+dwQps0ZfVVncigN6VCz
/jBy+1+NJEia7RsFSIBxX1YtIF9g1044ognqK30Ex1kV/Enm8CSM6KDM6t2M5j0W1KOF0pK4E6ju
pLRIAOAt5VrAIFVLyML26Ifydxudgjr0hkA6F1un5xYufYilL+qYn51c26Zzc5lNRtrsbBzFuU1x
A/8U3ndvHiPM/uMIpAeS56PAuBIizYmRKWsk3QBW21nQtAua3tHB7F8etTkF/VKcxdCgQb47M1SJ
bvjG6scUQ+GzxdqAozDtop022MyVfwVTXXPw2A+f1ajbSYW+NoLyT+6QDcfh69RlHlXphR6voxPp
JHT6zOlMS35opgLeRff5OxlIyX9ya5+neHK7WgOiJvsGgBID1FrSqs9mqN6FaM/GUB/IwyQk+H1M
0TCr6hHaJYHqA1ekeDUNizgrkFkRymrkX83cv7MoojTfmtatjTQ/HiXSJ9LTzAYasg8YOuues5ys
++DWMJc1clRLFu5jp3qv+o+un05zWt+Lfn6X1fgkSGPCfw9rM/0R47Uj4TQc3yTauKRmioSXHxxz
flJnnqDknvDhjiFVeh6vrai6wTNjjRP27I/aI9wrILrkyXfpJgNC1iovvK8eaqiTwO2Q8RoakfZj
jwEjxwpeTPwtd+2qjlsvDOOXTnXIpSXp0TCHS4Z4nTUyzdCA7Y084YdKFANKwfMoZfdudt4KObwb
jMEVBnXQfna5Yv3JAg+plVJVFUCEGSFB566wKMsQg5x7LrRXFbQSLGEoGt25LVn0J2QhspcvMxNI
fnzqkRXngfixYh55OK5rVjwW/QR/6zIUAjRgjLdxETLPd2jLt6Gx3pwmfjZ27VWh9tu0KHOSsnyP
kAwQTu6NTXOCcEk+semcDae5Tobqxuzg5QptlTUf6mWJYHGHB80HIghZtnzDUD6izr7QhHGi28em
LI+WvugsmhATXnexda/DkpxnprMyBP4axCS7iPUFYV4p7oKubN+gy75xeW0zDBv6+IAB9ayIpStF
9pCO49Cc7Tp9tJXi5+XAU4qarFF+qsyNotFPSx0xSNfeq+AWBOKXAglFY7/Rl6+bFHXM0yPatvKO
sul70k+IEq9DWe8NJX1X+ZDAtCIk3NZLxwadyg/m4JBOPGyT/As+1pfCGH3/eSB1pAbslPbs0JL4
oC4pEQZK2apXaAuie50p51IobjqI7dCM56jt/k2iuOiZ5BVm/b+UEukY89GwY/acjRppSmszoP1v
rC8ILldtmS04hFEb44ditZdCKU76hHgTjt80oVwvP4iau6ggHbw5xTtl50fqilDVnuZcEXtlM7OU
+q1dLlVHcChDcYSPBAciczvnSLqiVzLZHCQOIIgMYab4DcqXhn1qFaeLjYg3b7E3pZ95AhdI/Sux
+0HhgYf1K3qvlQ4DVURbPcHNA418SzMmNbjiQqQYLYIBXlkl+yZ8gbBuCBDbjltwYS3nYMhpAFdD
1XoN9hqZcWqOiqGN2VDZbzWTKQk73aT1WG1gmMAsMbN1uOBbOiiN7R/BsJQKX/bIDJYibAp68GAw
DzqUEAZoywqCJnZH5hISEJd0GskXQ0YmR/4AYikivG/EYI63xq9gRqoKeoQSie4zTpEs8MPZ4QdU
QfJlp22eVCQZhb7of6tmWg9MyytAZB36rN4hdr5mG8i2SXNsd54yCPokQ+rX9BIkVI1DcwDrsRva
kJ4sgO1WYzFh3WwV6Nv0zYw4pkZBpyB4sMiDS0trJ5UvAitW2j/G8iJB5WkSgLbSp8VUr0Efa7QG
yii8pEtIyIhle+q2CdfLhPO30xGDs1ZGYhZoYIhhCGCb7EcZeSqh8EtuKYQrO8ZrRoMoF296a7kS
y7Fa7dZkVbANHFFy2hszDC9J0vtSzQht6PaUvZvgLNB6phwryxsQwEJu4aTKGCm5Rtazmf9q4YM5
FdK8DdX5OLH/Zq6bVC9Wf6+qcU8+iNc1PmccfRUfQs+UcZEoEizQYPFPyLWtWsbDarcxa0RlcCNi
9hoWLE/l34Q7dybkiiNRN16QS2iOyb7E2FbscDCQNZS5/M8g3rR6F6vmMdT7Pbpu9QNnm6eXv8tf
MyzjUmwlDQL+/DLCBFLBIAYMcAngXkXMoQpkOfAOmx+uxNXQHtE3rnJszc33hOBJDhkeGz+ioNDr
MzYgL0HOA/JMnTtqjbk6gT6A8DjuFrSrmu5786eVrp3Y8m9qyQPyv9M/9cJX+3/YRWrlG39sGn8I
bHBpciEvV20Bfd2AM3EmemVFTh03XN7GJ8LKThGmCuyczc4JWUXW4pza4wOAEzKW6vQfR+fV3CgS
RtFfRBU0qXm1crAVLNnyvFCO5EyTfv0e9mGmdme9Y1kC+gv3nsvwmOli4BoH8pJR7SBRuOpaswVr
Tg372RQ/DeKkbO8yF7PVu1SnSU7/l91p+sk9bqnsMSKhNaxrFXUA1z0kXy6uhJWrFs50crglPXSe
DvIDJpAU0z0CijwalzqS/Xp8b9g/USuwLLoXM807/QOdzlLoXgKJQlhLqiyzcXpVJMsQFCCZUtwY
zELtagswhfGrgSjbfIF/l8BJE7MiSnlLhZQMdyeiym2XopQt3zwMdpH90FDtY3tm/Q6xhqOkRpOU
TMcQh8mEk19BcGuwXDehARqDiwZPAFwXvtReBqFczw8UYlZXJjqPSu83EnEJ81UFacDUT6HvMR1l
68cDLazxlPfuljacLKKafvToI1Lsen/fgWZXTLALLH4TNAUF3MdGEaqFI+UWSnNxpPOxdGfXVAwQ
GHc3gPDkMCx0Jk0KDd5UsPUJoFpWuK+QeY5im8KEcVDnWHy/nACtgn1HXyV7CQtNKoAX2GEDJqOg
shZFiBkHU7KvvVXIQgeW1BcH5ms00kDiouX5yBgMUFuynnSWoohyDQQUHmd1yJgQuS1yznUYAlOI
GAtiiiDaq4BnMILJ6nClODG63ASwXMl6ILhbCf5fHwp6EzFp87ZRw9Qg2TYNkVE9EScRCoLe+Bhl
+syJsaJp3OQYS3wrX4sDAzTWZDQj65JlzBRMS0DvxAiX8HGtF43cWpgVJr6bcYTWB6imD5Ndmpib
kh8hsdmNIV7i0LqQAvpMSlfFFsIPoZOl/XLWlEZlfIDWtLa9+c9mgiccrdLc9NimvN46zI5d0q/3
rYEZMSDKosjIDemhoOhkZyGPRVIME5OYWnZt8CQxtawmkNPGNkfjqoxuSc750kLbgD5iS3gKXuvq
iS+yR33VhhWMUW1JO7kBH3qFDLIOW/RFnPRhH+1gZc+r3th9a9RvmrAz6C7uLAXmGWo5/xpmzNz5
RXprsHTV2Yx/XjD/Q9Q/Lq0M/3v0p8Bk9pVaa/pvldB9ubeRsRFgwHX+XcPI4SZrSTOw84+uuoAy
/N95hDrGAXSpW/Th1KLEkCPPxyYD3xn/i5azi33EDOvQSbfNP40eK5xugXbRJ8S+nMAIlg4jhqEg
ueTyLWnPtvYT+EBMkcDYLvlkbyrj64CPaOzKW3Z7E25Tccmatyi69OFD1L9Ehqf1h9s+SvNtYmBr
snatNaKUondQkFL/KOjJOzRVAyuVDPl3r862ejaizUA95UVfIxpt4I2Wi4djow+nwD+DHcdA/hSh
h3ZQG4onQO/9K8IqMz3r6nUSjzT+dSyo4RnsPBilF0XnN9zCkHTZNUnFo3E3CJPtYZO4SE9LyA8G
G9tO/tK0Wdk2yAqscO3Ci7mCEMZG3W8b7HnKbS0S8Yhj4xR+xEb2Y1PtZziAW5ZGEt6H292iDorM
WK3NUSAAAICXZhufXI6RfcOIsCCbOPKwhoWgYNwE84hZPnvngVwXWwPo40GU5lIKCgcRcUIJ1i/u
ul8vsBCudY+VbcImkUkHnbTiY/AYMYrkYk1fs0IYYDgYB+4rYT/V0Vs3ProGoB1MloxuzsXCmXdM
utNbJmlkTxOzMOOOYU5qB69YO9Wq6v8i5x8D5a5hUTvXdy7TG4mwF9EMyGykmKjLER1OqkR3qhZZ
QfXR2Uhf7eVsto6Tlwl0US9WACLltE505u0UJxkhRBwZPpGq/TNQTV7MMQ9uQ/nFkas57yS4can/
SwMgEFcj+pnMVx1FvNX92iZkeOuVj9Ocbllz6Yq/coQofpJyl8plw/jFvw9dsE5szMQcvc2WHyQd
L6o+BnN8auiBmQHUz6xCexSs0Br9FodvxSqIX2X7mSGOAVDUY95s+wQkFNXF3nUtPqjn0tmWxpvN
4r4tLjk1SUoJ6qn3gnogNBeFNqJd+ZIssR2k2AQYPTn2hduxb85EfaKjAIkTvybASCb9rSgotVEw
4f4JetTc3rno//UGe+zs4NUnu7hMKNpkAP+DWXiTUXIKtrg4FMCGBMUsZeQuOScOq+oKoY3zYSMO
L7yOXFpkkvYXkfQLYBEt926aMo8Mb7L55AVhDHf8R65tvOyzQoVWm++D9xOBoihYiYTRNxOpZRuf
rfalnrvH4qjUWbmXwNp55ksYn/k9CddBsU+sE9r8QUOAowEKR1Zo0aVjuObiQRPvzrYoq2SxR9UY
I/WMhx1GIGZ806rRx52l/JNUtKJtv43Rmro9rslCe5lNflOzG9zsPv+rppLDFFbsuFFP0onSq2/7
sOapOz4DYQCSTvZEeO1LbtIJyyukJSMejyKSexGjzbCc/ZAcg4HYufGfI4xNBRKCYKy16mm1DJOY
UYPkROMI4hn4n044gQEGDEwLQHXbAKGYWBvpKzbFdDuFRJ4Zn6HmvwAK/w7QgPohk263vUaRcWHX
82ml9WaYLVn4YVXrrDlhy1TtImabOgMnqYC9ecUhemlqC/JSdHJ7UjjCBsXo8CFq44pUHxfE8K4H
gsyScQ3/d9sl98gUrCkhChUxA858Y/bxlajO/dhre3MOFw2GQ0JZlctulcyA9ro4juncrPG4mfNi
BvlRcKg5EaY7NR5dVZGrhF2jjx+NFdxIN7105Ff32MwaB52Y8DdkfG4zxlep+NYQsvWk8cJFmOdr
xmRvXb/HbeXsc4BZfpxtpsTe+ZQ4DsxJABno0d094HstlLu4bncmU0tXhNvAJ8UF7GBIySeIGikY
aoPIMVsclprF6qmftrH0X20HJ56Z3YUYtCdhdy7W513QsiDN+/4+VWwmA7b+pIhdOpNvKXJxd2Ye
bFgyuPO5AhAese9khzuLuXg4Dqt+MfYKqUiNzJbIJuoy46ckidMWc49SPZoeSpa4FGbbHeZc18xn
qpIG1aupWUdHtRsjqtjCaZBRzBde5C5GKVOwMlx0Ogz2qXi2svKz0bvtBDZ9dlxm88Jo5mv1Nu3w
6H0piHojUVJPQUNUsemcE2pdl4wHDoHpVJsUFj68RlpwoPpLkOlH7I2X3uhhU/11SfeSmKwZh1D/
66DUUfKWYDN1Lfs35VyklvzUKN20Hwecx0R+VAXoYxAkEc9WIgyO/fAlq0PylkntZiPO81Gv1XV5
wsv0mWEbKTLSu8m/YhXIWgCnhN0Y34MHqcvpeNFVxGKBWYQ/vNSG8WLx2uH6vPRuf24c/RyyJ+xi
6CLlq1DTV6XCM4aPz/LhRiO1KOv+fFZJgPR0/PYGdf848BwzM+iidNbsew6WHK8NlH3Xvvcy2vrt
bwItrJTae6PLs1WlV5s+EKXAynHSg+1hsXQ29sScvuguk2Oe4EoeHTM+jiz/GjiwjSIrVN9XTPnz
aDr69bQpuuwKlcchDDcj4FzXAoY1xvAaxeHDl6xNlcJkL5gZ5+DaM1o5Nxcr3CircqhXJrEXnrsx
YUyniGjSWD63aHkjLdgMpOkSOQxk3Cd6AiJ1X7AWxWXAgx3ExllviQIll15x8JCpBSy8fSr1PyNZ
e8w3cWhP5nfuA37KmUwpFgaF0W7jgELYvSlwI3XyFXXjbkKlE1tgOSNnZRbteu4NQ6Avcro7TFlt
trl8I3s0jnpYns3ceJfJtJjiu9Np+5jtuoRsNQaI8c2nZaJfTPczBhIGBpzcgAiXE/tQMJ0gKLZO
5p0QMbmvpWfhbGYATuA3xqOlHUEVsZguABhysufenPdxTwrmg2y4wPt/vjPuge2igzRWYau2U4OK
0DKYHn5a02lAP0ooEfLsEMZp4/UX248ucEJfwKpsibjUESN1k4+GFQF0GxEHGWLJyNRaapRRFBJD
94hTD2kImX9xioEGqKdJpRWDZkfwnGcMmeChOJAW6y2nttjmkEFDbvpSinPML9Nxzr4tz2mLeh/0
lkg0BOwskB+OG1wCSlzYk3ugdf9icu7aMtplbBiUsrZCK48jNAExo1+1fJeatGfuOO38yD0W1U+L
lLcpbewa6b7xPLwIWMl151kO5tF+hGcnKF8Ev0CyXUhLgN5uXmSIU6IUnxWq5gLc35Dab9NovEe6
9i8Y0nPQTCsQcu6jGJMXu0k2qUIBSSqX7TCgw1ieGcE+t+t3GkkrhFm0i5B70fR3EMHcmyhWdEP8
Kf8ASAVAGVkzuIQQLOXnyd1N8tPngZQHG6u9kgBciGe8J18FCYPVsem3Rr2PIoBpXI5Hq79NOQ/t
LQjTKJmrIp9HCmgC/xpU73H8HQJSs/nVZvM0PkI+hsJlPIb7ghbBs84i29VIXWlfs1XRXEFFTcT6
Wd8K+2N5M8y/sYyeovocx5/18MrodXgY+WnKPliBDBT31rV1t8ze6PnK7uF6m8zYKWOnyb3W7gpQ
PZW3cP1nffzX499kvermHw3jBtm+meJd1WAOKfDwibTaD5gmHmc/GK6Qvf4kRB7088sdidyxftPq
uy0Rn30IQE+F+JHW1eCyRYE+W8vWyNYr5BrZZYqBWd1q9UGVbUU30rpxl1Fc4S509V8kCKxLuyZd
TfPIAuVgghexTykryzd++C46QqLjNEOTtLe0g5tfHRf/5XNLYl5+TiqstZhuarqlwvOxOf3hlVhN
9Q6G/AuBcgsTSnjScOfyCzU2ZS8UvPZhQ4vU8pPQjjA2mulLNYe6+3D7fUDh1/CIYPCnscLuD6m/
H8YX0BkVQi42kclzixUWT6r4GxRv1fQq0ndQ0xNSwujots9F+2J4AdbY6MmUv5GU+xQ3E/WvD4LH
t2w2qzPLdUGGIet50nuQpVcwUYfwCull/ni5vAuxCwP0pKAjE7RYZQb9/kh9p2Nctb5tyb773ah3
vLLeO6j6UAKedkGTvAX5Tys/J8jEXf+uM8trcyLHHpZ2rBW7gTOS6PiX3gKWZjs8u/0289YaOfRk
ZqtdaF4D+UJBn2Lhtl1gD99u8c+g7QNnYTVfCYRh4+xXL9a0wrZZhiSb8AS/FSUj7/bXln+mupXZ
lUynsLgzsDf8n1S8tlTRrBe5BySTV9e/phpLJfGZ2c8BbXPtg/MbvwrreWhPzIZTG2bLAgZpbWPK
vHPTTDHujZuhnhsB5R5T78y+u/YjEve9P/0L7WMmDwiv8papKrk5J4exrXynewmMzxhLc80dNzBg
z1MEOicP9BVzLsY8J0t9juzmsyFZSUwFLUgi1iZPxpAsrOx37rfn5wQvHsgmQ4rx7BXPI896qO5R
Bx7/K2u+Ikgx8+H2ovH48988VMQkB6GWiVZd9pwO69D5GYZ3T/zG4s9xXxWX18DIXUjya7Bnl2Ru
RrTIX10PuKtcOjUir/Jd+EcN2oyzjNBh43jXZkU0VsbwLC3QLdvWP3XtTtUv6XRwm0trvEjnxanv
WXp2m/cYQZZnm08u1hPDuzXJGeC7Zp/8ZMM/pDwYDZwZ+Z8fgB2QDwl1JII+bDBKh+EE+Oc5dH6r
dE9Gu46EVD8n2nkUNyDPtAhsqweccXc+eh3DCfwDg49ElG+VuFnBc43N2kjXmLbGBl3Qs9MjPHoL
gz/PfGWA4mAcVOQY5V+CaZOFodJi5qazo2SqBDf3t2nOQ4D9oHjLGJRyCEjvdfReyvhfMz2bcGuM
97T6N99geEz12ftmAE81/pgo9hgsRueWMOwO8ieVvgbm3hLPVbWeuhc2bQMmc/EaYRqQ/tUr9lly
9kaEPctavRMFAh4cYdzBYNFpiYNL0W7sDP/E4sNnXqtwGQwv3QwuwETZKsTfw1SCQ4HWk/qFs0y0
wCHG2X4j0f4RSFTKCBnO44StbvQfIQ1BICI0l0QbzbnLtKmETjfuNdOce56HX1pSfY9pslIUO8bY
/LpUmkuveyS4/55KwQxDslxsyP2dCJBjSa+fB4fyeFDNW5f16O4DHeJIAGZcunJJiAg52hmhV55D
lnYZu6uMkM6qzZ4NUYKiMgC1GwEiWIDafCKVlrBAKOMl5HsLte6MXtP636QqERHB63bN0F4VVoMg
3cdGwZblD8oH27AwnVEH5MbjQHLQ5g/m1nAZ+SirYIxr4cGIrZhWLra1JTdftnHaYkeh7x9SJsjo
1Teaqs6OqZZxby7/X3gSt4EKsK5YfYbrKUOA67ZhyITD4UKb4OPhZoUsPql13en7lBgVRrvOWZcl
66gS6Mw00luVw6a15fgCx9XSIfbbMQPjdkSdn2ro19GO82bYS1+FYk1E83IoonbdKh6IIqKBKifv
NzNasU6gmhWCJW6s7eRoROBYmqWKMigQuoNl0gpH7uHr0JmHTA8JaEwb5tWadrQooliWZlSDdOnk
ZXIwsMlw6cPIV6tOfuhtZC7JKWlIspQMdbuqmsk+wYfC4t2O42eh4WepZzaunecD1UZxkAlaySLg
ETJ/3lD6d5JwboRLnBd9RdK49+MyLNdzAHI2aLkKAC7ve7TrY6BLWsOr7dlfL1xatqGFvOwOI+cD
9AoSTbSn0cAEw9b+EFXWuG1r66+WMify6cfK0pnSUWoL1enhbiL6fJ32JarvmhE7iW2Aa6NarJl0
5vqbZYDtnNAhKFscQqO4Vn1dXg0ucNbK4GJxd/V2+W3DtiHKpzmwJWn2XcERb9F0dkUC20AD3YuS
dRG2uCIqJ73lqIKa+jFhCApN29iQjchT0zCXIfrSxdgU1YZYo9WYu4R69fGaZaREcDJP/eZznYxo
5vBurq8bx/grBRMG5Vb4ERkL8J1lgy94xKgsOu3V1rwTGJYcwyK5a7mXv8isqkjI7DZ++d5OiCpd
CXI0yqx8p8jjGjupPUcwBXxd9Ps4ovQJcQBD9j82Jl6x1I0Rkocctak6GPX4nMzaB73z0ZuW9cbS
6OC9kpT3jJE33hd2MxDpiYKqQrHymxgezoApe4i4Yy2mO0WFZsKsgdzxF1MfhM5xzGR8Umr6kE2a
rycZbXTNMpctgEJ88Wa683LP2YSKYKpMBqS7oOV8Ggu+xGkGaqLJBLUMDM4aqdlFlp23EdGRq9LX
8UW7wWPI8EEBM3JR1cT6pWsmpPTTdWBqt0lLlsm20j6sxD9RePmHoeiBsLS4R7JIY43RGkz4wJz1
7ml0ARBMBWgt4bkudZW7d8nEogYJznDYEOY3xYGrWl9oUQKdP5m91Y51IV8Gb0CSPneZwy4jxkYQ
dlcjj5epxYrJdmKxjmpM6AlScmFhWil9C8OsTqxLQfvU+k/l0LfL3oCHgR53WXuMu3prUgtzcBAb
i+KzNvv0KS8IlbC0GvcMKn/I+cGCxBbERh1ZHDmjMElELnJTBrw6O+cs1bZxRZtkdx4UF7ZGSYyi
3lE1WLXKXwvGdUil+RisNGedwEZZlQ47srAbFg1hHMQgRqu6s3FReKdBIZFv5AgmH2kVIO1u1405
Otp4ekQhGV0amPQ1k5XXOHPuXGkbSrY/Js8AVyeL8WjXvwHfN7EgFCeAVw87blgfS0UlYPz4EGbs
Al8GGTw7tFWXxOczjuOx4QYKd6nQeqZEwV8lMHA1I1vJAQkC6Cm1sOh8ddVe0gwLcZz10OO8i5fB
dNN8LFjMLXi4I1BMyZReqcp9i9vw6Jvagbmb5vKU9ory0fXWDaTQVWGiaxJ/2QtDAM6vyBXlzXUU
+LxG975T2L4bS8X7wmTxpTGbQC0UnJqMU8QQ50h0+5HVJ2CLe8wze+FgAgocc1W0bATkGBxFHzJM
GtG2ECLPW1Zjb2SVlrbJDYo/aSTO9C1N/ZOUis/M+O4ZI8WjQ3Q9ZAdShuuVqIe/+T7tu7HiXyoo
zPK5cSJzF5kQBRQhLiVZdAvp2mc34FR3047w6BQ+vAPctoYEieODdQSPkyfTQhzcxKa+qaf8bYbO
Q1hG663rwyrRiOYIOrH0onk9hd5sCpmM2xObUiQarza0aW+wKXdt8RPBfUbgAyV9ZufFmfVIpzo9
t0gxB+uln9K9l4zfYaEEcS3M9zp/3qamHrkLWWCvoaby6MUslIwuSUR7qncqOS5FnlU+h/TdJOqs
tOZMKu74de1V+OvoFcvqN+uY0wZh6az75sAGFxV3I9nII310Kv8yCjfbImR3OSHJtsxWY+O2PAxZ
e3dpBb8vPzuVzhaS5FIvgikVO80pQtULm+u5tWzA83p781vYSCG0L+S26uixgmlNrCAzhxP0s9+z
fWweHdYTFu3MOp8RMJ1aOi7Xnehzub9MDpmestCrt35H504SnbnMM/CmE3LXMf6jIePsPPgT20/f
5N3UhPkauXp4NPpVi69duLiS3JZMsdLCm8ZSEpJkg1+uOlsD76NoW/PJHvw3bTIWncnDVIUEASoH
kXVR4PmzR86pEQ+1y33sm9aH1KdLoVmC3rg9jqJ4VOR/xEOHZiTEjatdpKeCNbB53jK2uiN7cKnc
78Dw1gX42V0Z6yl60Fvnp3u7xcrUh5nk5uFMQLXLp+PXcMPQu2iZQ1mKeSuI8adCvGHtLzEOEE2H
foq7K9desxx4gdXUP1UzQ3a6+pyNTr80KBtjzUFmBNWsIOsryexNKuue4Q302QHDfuo+IleAOsIO
g1z25k0xbl3GDD5z1mXjxbcok+RsReWjQTe+bP5Hi9S4iY2lXmTfIzauoI9Bp4dsYXpp/CrNu+le
shEFNadwKQ4sZxPz3AXoEn42Kr5aOpel56HvVvayFSrGPPXqa71cVO7di4GDkvPyO7pVsBtbMHKs
x2c+s48vKmE0arMF4U3S4pOTeHMKHqD5wSUcgD1IbNt4MLqUYFZPeOSwmMe8az67Vr2k8Z3Z7m8Y
dNtI63akv21tVDVSfzUqDDND27M8tit8x+rXjv+8xGTwpVgpFXi0k3lq4JEKqtz0kTnOHQkFVwaf
RWzidEyLgls1xi+eAJ8VGflZHbCtDg8PWAZ9rzSWtYluwvYe15gSADSzKurCcR9Q/jaKhrwSfBqm
rJ8HG7VKHLR3mzh4IggY3WCs27YUeRBlegPfCesAdpC7bk4hTqGpjCWUQlczmSZ73+78v+U9TcCU
0Nr31rIYHRsXDZZYicJsmaXJyfaZXMaZbvIfW22R2eJ5sjo0Ozohf1aCyqjkII9jmnzWvaTekKtr
jb9gp7BIBGZEuA0dJzIS36pqUlwCY0O1D17JNEme99iNmhC2qgYnh06OorCw1MvxzbKqa1puOPZX
et3/uilc7eClnQCxdA46zLZTW5HbB3siKbxK2uX/X1HMf81UxGc/Ht/cvqBraisObxPvfIbkYPDB
7YMYZ2ujP/rJ+wwE52zFVPyJOe3k5RwVFcbcsW92yF+4YO3uOQVcbJBeI0t0DrGPjVrTxGuTY6Mx
x5z666w0tHdBo5qFoZf3sKS0i0pBYmla3qoGTJCBO6dUhA86Wkw6j8ABpSXQM1xiP7MMU1nRxjeH
thUdzlc20m6Hf57t9uvaBHgY0k02ZDvNBixYNbmzd9xqgBKVyzU54LtGU8PeKkOs6x2q7tphlukh
w4j6I4RuLAZlf9MnLoWpdcDBTj3SdAsIiYN7rxg7oLv6tKb5nGgq+m+f8XwQolqqeBSEGnI/mMM5
zi8VXH2nk0xQ43Ujsxgte8JmOuoQwQLUcJ17m+hv3oDjJiejqXGzUz8H2/ipem94RvFjo3lRgg/S
Gt8RTVPhsBcFAHDudf3bCmYFe+McEz28xyGzwSGoEE4XmPkh/bDj7bW1Sff5NHaIcfzg1Uq0d83H
IR4FFoI4gy1xZbnfdkA1hQgDKVILWHPwYZ8wpFg0aRBvJAZMrbUPAfRHBhCoK2vpeU9jMjtyRL7V
mwl2WnkjZXmhm9Nn0dCMklnDTMfZy1xt5NADLUyUsVRQolGoozSVKG/QN+aQABINWxz075tREMPJ
LqLlLHoYMyKNeDEEyoLkBN+96FrMR5l42OODcB1DAkbt5XqrrhgPZaPyfVZWPIR5VgzNEUQlfAUR
4ccew+yAD4UA2HpncRGPMROIOgHPSjqVwkRhh9tuSn8Gk4o4cLAfjPk+SvvfnNjKhVcJ0qSTU1Km
r4aozWVivqG1+mij8tbesxNVyUyrgb0/hsiaXBKnGFauexdptekRIEiHd0WM9ZcMYYC/v763FYPb
1FqKxgU2HSczA5pTgJkyfLuv3M6fRO2ux9i+l+i3plj7cWvk07YqNrlAaTHpnPglkQNZxBO67D+M
gmkr4e9gI2qt3zatQ0yJQpClj1QWFsnrUiPzIqOa7uDTMurWWK+ZXrUKxIuTQ4PtDetoNUO72Md1
eKNdB38aROEhMK21W8YCbjA2gsBkKxKtMQpCzCI9jElGUZ07y8BJ09tyBX9t5O0hHcbM3jzFtFxC
ltAqgiyVDBC7dEsIrA/dKdTan4MSaxyGU0rNYaq7MsMjh7weIFXoXJaNVm21CGlBE6XjLFSzGc2o
XBLrAFd40Jtt1CFz8yDX15kvtkYawrFqSXzywQzP4ji8pBh72l3jIHDVoJi0dC19EeHUsdvrpDWn
ElmfZhJ6QOXGcCv7iWXHzLc6dir47Vv9KyNryWgdLAHwT+J0uhnSuAGPpWXIQyxFBpovu36pOlBn
ToQxPsVR1QywBTV7IjpWTBeVUlUTUcoyKvS2JtcJpbK20wjK1gdYwgn1XF5FXyoI3+nm+Bmilg6D
c7TVi11loY7RDAKSw4Szr59pLsU6MEg5GQO+V4+ijQUEFz0jP00Or2lbvcTadJ6FeE0w8BpoBmKV
hLtIO1UlmXl5bu/jQN1qj/u9kio7kpS9KKTJFtt1EcwMg/6Ul8hu0ySi0vCARNo5oobKGPgxyZiq
EnfLyfjukXXXatZlmuNdpQhfcRhiHeBYr8za4ZGQ42ETpCK4om2o7LmxKGtJJksRfLyKLIzQ9Ifn
aNYaYDVKRqNfuPN38vC2xR1pfr7Udr+klcFEytpu1XvXquUZ0VYWIQ76uxtwBNnmJ6lEuJ6rgxXE
h2xQXzxicKwlmDKYHWxxQ24R1H37fncsAjdYuE135rMIlfbuEQRuYxxmSQqJEfskoJtsHhxSwgfx
QJcUpCgzmlNQivU4x2pk5X3s8kvbYDCJdBPrqvHwQ53WS/Ji2qRcV9VwcwkzYq7N02XkYimL5h+G
z2pJBuY3ystb3cLuHXMsDpEg2mwSVDmxZLKd9u5K68pg2f6WRXE2NbmzXQ3xTkHsC7S+i0RrM7sD
moXuW6jnyMToU5dus6/frUhM+1ZgE857kAxgXaFC6BFj6P7SuunWLiuMhRUVucpmT+yAJZtQBxvF
9VIz/S/PYkDkDcFVM7djJG4oKf4IvpCrsYdX7zbkBFrosEOyTZ5sBidaQIvrewN0pvKu8OzfpuHb
lQE7O53RcDIHhwxsZrs2fMRWhLGpzCYGzIy6W2Mgv5k4MaAnCVOZLjhzVoG9yFzoHDryraoU4yJX
3kc4tlRiEczbVJfrYGWSFIx4kFKiJEbFHIGh9qCwmAiTuhFDF7Di7850rCfRGl99F9fIyWajIKP3
yrHfjCC4MNV6JjT4kEUW5zXPGIbMyxaM0mByLNmq+qs7sWD6/K+xMwIieMIbbLzTGlbX3EOi1kbp
8UkTwrDb2vc5YX0YcKInR3a7sUQm1DSsRwyHZzAV6jxDXAB4gDQpwU76KH4WuuZDHiQJiuA2vAV0
M2kan0LN6vd1OrNvusVkj19anD9s5kTSsndSIhec8L52qNEZmhpvIlJfie6+OVG4gB84oHniBpQV
UJ8ITTX5Dt38FgvAGfCjP3Vic/EWD0fkRktmqp8pMocGwVOLxVFYCbGzlUcpTeUyqSBf+pLHsF46
r702nWxCBGigQVI781lnbijkOpgmkbXO0eQ0NnEINbEDoPD3fhv/EzT+SFkNAqZ6tlOeI+RKEhbW
ZUhcMz/JSDmLfgeR3N3G+ZM+9yBde5Nj6M+Lu1ISqznVt+gAz6gWLkSVemRpzL+RZgK/Ip93onj/
2O5DGjUcDBy22Bhlmq280rzhh8WTgC4sn2Ae4N2KBUFOUW/uYz7p9eCAkwyxKMp4ZhWSrDhGmN9a
G57mrJEhze1vmHCaIX7wJtjsuo+srfT0Yk2u6Tx4lmIl9L8hU2+On11zkuVFJy6giOMXsyf2RHPh
uxYjSNSknq5m6DPvCebpO/zZcD+NHFGAZb1llfnv1pC9+zFC0tFnBDiD9rIggZIZ1o+KQKfUBf6B
25nHr+Y1+CqoMOMYycc0xJ8A301f/ZumtEbnzz6GZNiZQgaqxiTs+dRxU5Ix8h7Pn5snfTJdICOa
+6zJ27vJfsYuoIJ3bYGItST5p2KOtLLqZFx6JfuT3KLmKW2Y7rUq6vkFfo2j894Q6oHrK2Dzg9OC
mOt6k7ggtc1pYkOcfNgVQ0FXuueuKNFYaIFYhsa2U5A7M68IXqpGNk9U4WJbmOi1khg3fY4sGf0k
wmtyyaJtR8AYHyXXp29W5q7JGVGOKKxhb7KfdEYJ6NLCQo/8FQ4SicQjpaqWP+kJjKp0GE2krfsO
wS9DS7TLMVZFBqe8tfWyk6DCi054T37Z1mzMEk70aF0VbJe9zoNgJ9gJmxn/u2lBqSCNZNBhelRE
5KKN1401BskhTBX0qPGnRPCZF+OXmLO5eg203+S8cq/8dKOjo+RNxTJlTZoRHriNy/FWCNyXakCh
5qUw53LLZQJSMoHcVpK/wSrycIVGaKp/e6nvbYCrRsDyxHCBesdAa7RcjnsXkpIrknbtZ+3Dd7J0
lVosEHKNAPmJC7QOiw8YBY+i6MBUKeYEvCulFlLAqmD20p0lEQVM2LBGZTUol1rgfp7YNywyQn0D
W269zgRIKQEWKvtqNul/zJ3ZctxItmV/JU3PjbwOd8DhaLtVZk0ygmRwnkRKLzAmxcQ8z3jr7+nf
6P6vXmBWZZGUkupbT21VFimJUiAQmPycs/faeut4DEctoO8Zz9B9O8NfJ87HRtnbyhDBo1lh6qb5
jIifIJru1kpxMtTLES3kL5mnwYXhN/OmCh6czUjULr4FwbhTbmGxqGQiPiz9eUuJMKaUjp01kevn
gYDKYKpAysAMEh8QMlfvJ1aPgbKT62R5IJn7yun1fR3SA7MtwHbBrMkAtutdM0zHvQYFDN+1OJh+
z8PY20fUH7CgszFtMWK07qxq6c5aMrGxik6HrbKOaMxdWnPX7jf0ELHdkw9IZNm+YwHtVpjOuRLt
jfTGa89XULoC9MDebG9VvHQ7lSOdLBltbc0q2ih63CKLQ9/CTRpmeoYkc5DDHsKvFYCpshZeEyao
diBptPFL8i11LehwT9ZBw/j4xO5o7ZSoEup6184kZmbTsJa3XJ05uo84GVk/uDlh1SMkDJ+oqbwu
6UJAzVI2Q5TJO8+EwiTvkAEeRuI2L7hMKxaRmWcGLLLpVVMGzpXupj03JH9Upyil6YUSluOh+CW4
i0RSqhnmewW8JO3pTZWnxYFqgnQzZngWRkAulpLDpYvjfI4vx9mVR64kZdGlyUgvSYsjm5hi1ro+
qs3Ota4SuzoyUNBGrOq7aC4+210+HGe6PNUB4BlluST12IqoiklsCNAgbGRmrBXW1iOdvN/bHGqh
0dVvVuSDkaqDOwN0ho4AX3bakIXbcSrE0wyzVHqQ2uNvvQPeJRL6afAE4dfoOqsRIw0Sg9kLANb3
8bxxk+VopBAmrEmO+wUGhNgXKKjhjarV6JOBuUX0jeWDW/UBkmaLgLzMkQ9U5F+rZJnAdKJPX2qm
PPlItOxjO/GckA8OIjjituixUSCaaXlIXaB1kfs4JafTzGNSReMFHF/GA+FF3zowXH2Bg2wIAVsN
zDWXB3euPWKh6s8EMOt9VHnXpZNdjRZZMiKyv7a6uiK3ii4FXxiPbPqxzGgDOg6Qh4AF++k65A7W
r2epfovd+Tpqka53TnE9T86NOy8D7S9YNKO273o3O2YBz9x6wFFZoyxms0lwRmUOYR/dCAEpuLqW
q7r3b5rh3iLTUuvllGQSuUfrDqYFgLPe0N3tvGU4yhm2Ri4Rno3GflJBjJT2vKPTFDKlJzeY7iLV
KFk8vSZJJKQrthrqJgmEYpmQDFeHwwJPT+51TNtUMPDEJHKbrNx+mg9LAGkJ8m1ynzkgAGEaDBLZ
eNxyUS4gGe38S8TwKMieQ785LvrkvOZW3P6e+jy/vZ5ex8BsqrF2cug7Gm8ZXKmmPEgZlh+yamtZ
JqHYKK2NSN2rOM6/Bnl4zxQQ7sfAbNdH6xRsQwr6wSzMy+iSIQ8L2YQ+C4jQK/1L35LcP7HUKbnR
6DQb1qlTcbqUd1OFF1LAnG7Ku3bUDiplOKo+0SSK6OjAEFvCmLxT5dcM707JGsjtRvSK01kCcz9H
rmSjPArpw6QAWgvJfw044qTec/PHJr7M+oEGHWZWDDA9a3ZyWg9iLD9k6tG3fbI7dURkfcQFjgxo
6SFCx5G9L9cbU23oXaIA4v2Xcj6g2bInQPGvvUAF+bylqBspTRsq6zB29jGxqk1Mqzj3fVADDISr
+Kgg1hYmL61y3VNW0rZiBsXsGyYqSkJnhBTJutD5jYSY/YFRoKCAxux0UJf2voPWJU/33ZopUbVE
T51LG7jwD6dl6ffmjFYeOQ3DPmuayzHB9pWSWM4KENZkRIgsYoXMql3ym1wAZNbquT9sfJ+Htj6q
rYcKk2w7eFg84m1FKFkG2C7tKdCr9HxNZPcRyk6C4slkux6fHPe2UwqWjmMcnoXID4biUXi3Lt3R
bM1MNTnBRDHPOXTSAseI/RwWAt6xqe9N1yuWL6W/1arELgrPMxhs6usAlYwfpps1V3UN99O4fgXg
ltlCpAsPOKGBCTQgp7LPhhnXTHFK7xlndX1q3K8I0HLXaFJh0UaG3NoSgkhUix/eT4mmxs273rLx
OQB9QCY5tw921X2RAbfF1PUuZKceysSHmm9TGQE3qaQU+5GitZpVMbNuK7vrHbXVVnHQFd1NJ6hh
1AwW0AlW5fyhK0FNYiOsycf1D6qkdO8kYWiyaaMvTolJVPcgERjmWtdtjmxnyobldHFRCg9a96iW
nG6XkyEK7gUeD2nflJA+j+FBWY9h0g+3agA0047UONM9DxvRz3d6ScKrlxeU4fPJwEou8Ky7LJui
c+GN2GiQ9l+EBpzlkE+nTEnqk8WGxuQVQXFajsy6ZjOkl0yP/b3WC8WhsRqX2AEoHIuHe9kkn52q
Ga+tzqiDQc3ecTgMJHlO7nnsVgY1UlUR8MBRoBmT7aoK7Q8Xyg73z/zV96Th0Kpx54V9ebf+OWEV
o0KMq4PVLxyl34J5EadM+4djj5hPlZjywWmja6tVzlXZ5Vjc+Nsvf7ykWpN0UptNPPRMv7qqpvBM
oqPcRVDe0j64W1EpbZGTD6l6bxcKrhCll/RBOyV5S7V37jTWvGXeXd5HS3GtbM9cMu2q70Z4ni9/
TMeGPn+F66dovXpfych8eenrJ1NQHI0lBt3JY4HeTgjkMYX78FXX9dhcuBvqanhWgyW3Feqmm7KE
L94qr+PM30RT5HyTU0Wz1nTmOvYRmRQTHbaujcMLrwOoPvaq2RP+2Jx2C3KfhrC4u3hM3X2DE+PG
61Ac6Nb+OrZOck67jZACZ9bPkh5ddyl8V1yZtPEvkra5dCWINLZ838TArkVgutMOv1aTjRRqYTM/
xNXyVLlRfUn3b7iu8/nC54nreIynl/CwhQsCuWtWp4tlYI3Z/XVG/tWBsdyHqkbwmxdY45aqSQ+N
Qq+jUC9QCFntCXSZvRgExdGMqPzGIivRg0cW2VV53Mpu4tyBe1SmXXWY6PBmHXAceU7kn81R/8VT
XXtSY22FxzTtgLRFbshPOmmd99zJU5qLZ3OadcRbTru5zSSqqBiHUG59zZaR32meGbDBUM+E2UXj
w5dreqJYeuAJF2kOqLxl/UuyAsDvl5fcQyK0pLk5pPY904JTXgRyPNHJsGzDxYDG5wy6nBz5FAJr
e5yQ/AEJdM5VQnAhXVSGdF6gzmM8VhNXK/2odtjooMo4T6RzWlYVMhAttkYQVJg19ZcpIDNATlDR
FxigM8+qqATM28QTYQBCwi8Zly0gDHjG9vibtg+dgtXh3hJ724UR90Y4ujscBw7n5Png05LDaB4x
Q8XdoxP3XP4mnU8iDQMZPkqyv0B1E3u6atpjBefNW4ftES2sJSzPfRudOkttYDgWlICGWfnWdtbE
bslSlZ7RUeVHiIT6IfZQsqFzHYWNQGaRzYZ1+XU3FuHZpMFim4wlcN7MO54aeuelANgir5u/oPLD
L1fFkL9b6YMYWx5FJ5vbosKE1HYAf7XJaDkKuT/Sqz6dZ57j5djVJwpupMmDhWWhoFSRFgKxEmwF
z7PjepIUXLN94sFZwxt14fPrwUgEdjqFt0RyU1d6ZgdEorinOcYqIO2+9GDoEejSjwbqaTXR9dzD
fmp7r9xEzC0ZCYtuPxE25HJkvtWU2zdSIRwMOR+ehCwuMjc5sGbk0o5rjWcJtBXGsIi129maaGfV
iGgocra8bbKrna2qtD6lvMeEa0lvU3M4jjMnPu7M2D5IBXtDYLJwuUPAEHKzM7MCavRqbYddUHjU
0+HQsT5x4/qIpgoyEyWSQz0n5qieHKa1g2iq8zkCn2QDOQP30TDZfXnBTQERailQ3n1lXoOwn9n0
BRYoHqnZDGGsy5BsrS9tx0TdWlCWo3wxOzUDtCbE76zMkHTG/XDCzIw6skoagh0HceaI+KqvRuco
8fr0DNZntxfVTbl9+a1jpenZ3uJAhFJcJHsLwMlVp0nDoqM7WHiS2EKrvcVCWF8aF9ufbTL8Y5yt
l55jXxLVjX/J65qTbn0RdQYJSsijuM7dnTF2cIwEJfkGKQArV5PN1xLNweHYqm+dcJ/SJq9PfF93
GEl8QcpOkbImaY8jVrIHwIi6W0Lex0NZdR1DPijdTqnDM41SYa/Vln3hSwVvKiMMpfeT+TyfJJgL
s20n1zwXAaLRVM7WpvGhoIZdQHLVopat/IyaKaYJ/iQpI0er1Sda5uX52FPP+pNirT3i4gK44Z52
sDHjhmKnt9HJpVNBf8pvCSHW4s4fV2mghiJdUmjvGh33mzgqMe9YyBELCzGgBZyvb/yT0g2dzxV5
TkPBGVgEM3SYBJ/GEtDdiiTwqn7EGVs2yJrCVlz1waoZIexWWNtS53SY3MRGG0c6VGSnJx1OqJO0
9rd9EYzrbW2vEJ5mYu2kJ6E1pCdiyHjfnLJHIvf5PLnE7Cy5XR5xOv3WwYI5nyTdVd3mIPZTHnzG
KQmf9/vjtDT9jV/Z1WWgDYVgxDo+DXcUAdGJzhg0lYdh1YrzirLsJq8K/inhVagW5z0zevKkk8F0
YiyS5DqIXi8vjBBIVaFba2jHn4b0YisgGTtonACuSfmyH+TUBVddb5+4TjLcrNCjPlI9Ci8VHHXJ
Sc9N9qyiV8J8cChuTE2aSRGPl9xwTxbMk2e2U0vcdnRyyOXKfK1PlsACJ7W+sD/oVKJiPiBeWvEQ
SijluMnIg1gxfCtroU7z9aWLk7sZX9JhL6Kghy/Nn738NBlzgF1JcEWVV6wO11sabkD7oQGcv7y8
/PnLrzq5fJ17Vt/v/vzlt0qsIUSyJ2DbbwIGv3WdkPTI0j5PZ3PeQqDF3ZocldLeTMM4wBrmDlAW
FDQk70osKBIFRcDlY0x1uegQS/8SROdTYSFHX1I725hsTVBoRXRuwx08f/kVX4B/Yrct+B9uHglL
sJNG+WLHXNilnx6j6muYR20Hx4JiFw3nlqBl5rbr1fMCd1pfGCsvWxPikYiHoj/L6MfWIcuepm8g
qBaJf7GkvX9RuCimE9/jHinrWwcX21E43DfaHndWk447+uYC5FPmfhmEYRXY+wFMj8Q787LgQdt8
z2MlOnAT0RWqMZbC6xF8+VW3/vblV42klcO0BlQh+1mtdsiyD4+FrBZQ1bxkaYpveMGvF6O/CN20
5n06cfHyAjIUj23rnMxCHKswqI4wjrpA/sNuB2mwylx12qwvSd00h0Iy2nLd4nc/cabj1q0SkDny
dyepupN/vVS4XI9MYpPi3JhBrIxTpHbQBwg+4bZGGcMYuW/9J1+05FjwQMEm+vsUh/KzR4OMh8A6
X/RJq/Uxu0YV/o2oNT2SHB+PkF1bd/GC7TKOAB3nY3OzKmx6CtnJCvqTYRbu2csL45V44yw1VJUl
zH+DV6wJS+iZYksIhwVBujyXDlCVzJjJZrodyCTKRXe/Z9RcTYshSJug2HqoJnaoYMwpw9udyal/
ZVNeVM1wnmAm4JrmbppO+J7mcaZJ416gMobHZqGucLIouJlRce7Lju6AyliPC8vN1svH3KZ+wSiI
FETIHY81/dXrUIMiyp0WJFHPIw3YhlUSErLgaj2nX0Kol3AhnlrqYRlmc9JkmY8CnkoNhyX4s0CT
uuaF1X0iVMV1wzqngWCYI0HYMrbfdQa+/YQl3KLIOrALaL8eCK8DIoIoFZWxj8W58Evyep1U3I4p
Co+BRlMwf61Rw+zj64jPNYiMk7gR1/zD+2Qw87GcIekHDHJQpGwyL4f81NKWaiC1bgKYmZuiPWU2
Smh3RNOjglmZxxqQoidwXET2NZ2SA7vyviV+TU0z+OpySsltCtI2I3QjdAnjU3RbIuVfJSVRD/nU
UFYJdUbvkwyg9aSA7FMwAQ0xkQ4cssCWT05CQ2lkhpsMU3CkplqeFZm5SeKb+DlYHGvjF920BdMU
fxZ8jE2xCNK5yUvbVF3ic+dw0TEFu9L9Jnyzpuatprciug1T+TC4BdPtTN6WBvpURDTqblpjg7Us
d12PuSiX4sKLqdqcghwRVnXRYZJSMuQLBtyZkZpEwrIZ2hqghyEjMvGd5sz4CLLb2AjIWT3FcD7c
ComLXjTkJQKQLLCA0Q6JHG2fB3kmz2uJKG8Jgm2y3pIkTTsfRTiiVoxBeIhgL8niaxapCKeYbw4G
3U9naFFK1qToSZfoCHeA2IyRVR1PIICsWK2BCd38kFlia1m1fRMGw0qHKilUcCSfIyy8AomZH5V2
DxmmD+PbcfBQYtTx0RgY2t1D1m1H24vvlP1F6EHeFE2Z3IEBPqmhDu9VHSnXCDrn22h2kKKH4++L
gtqPak3umMQhsfHB93PkWeX1QX/o99F8oDLYZr5f0ruII3W7UE0DbGIsVI1C3uYRKtGiplXtlszX
rd/H6syJZHvRZRbeuWy9mbA6O4xjkVybsaRxGYkMmwiUGBTu0y6K++kQGVZCN8APP8sA9gOQ53Db
jt7FxHjjGtrFl8C2hicp1qKWet1d2wVLIO/9tqcdyjpw01mZux3Q4ICNJybVr6wS1/5AusswPRMg
OvzxbH15hFYWdrpxxHubGV1etEXakpAQWJuX3+ZzVl3k9zZIwE1INB4rP5uupXVJtkQBysENHwrS
hswS4AXt9WHr5O1xZbBx470ioIAVCAUGDEMZmuRcrC9oQuat3VDqYWEEuutA52iYPl4nueVel96V
QeZG73vCkeHUTEpkLY/8nIRCCJGIUFBDIihryyvRLJ+z0RpvuW89iwkMyOBG4VEhVHjjWXsLYdNc
+U7x7Fd3nsLXNTqd2qWTxcJvXXROK4fS31ss+F0Qpa3LoAxRSU64J73Ivs/LgIlu0V16NeyoshDW
kVWiTGmUQA+co+G0u8o+HIL5Kpl779SYhyhEuixnsn+8NiXjVE9EqFAQ0xckx0fNv9XJ+IgO0btZ
hnzrw3rd2p4TbLM2Su+5pZ+QZej+NjWEiXguYIqZaQk6lhrhF9LA+1J7OS5qAorDsZivQ6s9Rjpe
HMSUkIcNOYO3UYOSKxzHdoujmbvz0mK1Gifqs3jv0Qjgjw4M5nNavMxaY48QzijGkWQP4qjTLsa6
mOhXqKDoELDnGcinVjtiLwbZsO/1Yn4AUxTPqjktkqgFMYfgsk4SNCwxTFuguBKAifSfRNs5x6aZ
2o2XmXpjheBIVmD9mZ/j/8njr2SNHfoOMARsQNTosMVjJzlDOEsu9SSnA7f8XCLZgxtChEPdthCE
jBo3njX4R6Gm6lhm/FqTThuuc2hLDr+gGec8fGvHOn9CAFrRJopp9fvlpeAcOPbNaits9LWokCug
z2yPIiuSZ1MOdV+HkXOBZkQeuK6DUKVL7ih9LWBxTn1mlVztsnEJPGrL6HT0k6ciZ6A/VeBw6fyC
EWopSD2T3fAFl+ee09abT7/8x9//8z+epv8ePpeXFIm4ENq//ye/f+K7b+Iw6t799u+3Zc7/X/7N
n3/n7b/4+1n81JRt+Xv34d86fC7PH/Pn9v1fWj/Nn+/M1v/x6Q4eu8c3v9kUND/mq/65ma+f2z7r
Xj4F+7H+zf/XH/7y/PIut3P1/LdPTyQUdOu7hXFZfPrHj46//e2TtP2XL+qP72l9/3/8cN2Bv336
H+0vN//nf3373//z+3/0/Nh2f/ukzK+uYxtpbNd1bc/1zKdfxuf1J9L+FfOdI4yLosV3POl9+qUo
iUXhR/JXKbTxhS20FDZx3Z9+act+/ZH5VXs+rAaXFhtut/X9/rnzbw7ivw7qL0WfX+IC7Nq/fXI+
/VL9cajXffMU9Ak2JB3tOdTRUmp+/vR4TS+Nv2z/NxUXda4SYFfZHPifNVor6tDg8dU38o+Nvt7I
+iZvN+LZvL23vjqOEO82MgeZZRbasHt9M3YbPx003MEOWnhDZEiJB+Pbf3F7fJ2+ENydlPZcfJZv
d8r4Ef2gmge+74UMKryiRhFgkqe86HF34ad8+Hh7tni/g47maAkOoSONy4T77QYFOQVDA8J2j8Um
uUOLfTbYBG8YaCd1k7cHqaBlRBSnu/ExILHgh2jw8Udwf/AJPKM4w7TDaWHefQKrnu3WMZh0a4TR
QY24vlxlGK70lv2Pt8RJ+fZgOry97Snj+FRjrr2eUa/OGNmOE/37mthAje9uqVBHt5UkOs6+oP1B
9yIKdx9v8bvTx9F8p74Wjm074rtz1AR2kTWTD5DNkCjt9F8MM9X9WiP6lgnTsY+39t0VsW7NVYLz
FCc01+Xb/UtzifIA6eSeWQbc9ZanPysL1+5PNvODA+a6wnE9X/vcH95/jWomsjdoWXP5TN92yA1G
muQ20hEfXtTHe/SD70/bwsVpZtvauPb6UV4dsZKSzk8LhH8NXDPL1LskS5BfyvQW6EL/k/36wenx
ZmPvrr1CjdasaaJTsQpSpdv2SqdAfSOG+BHjhAW00k+2yP3z/QmpbVt6jofbw5XuenG+2j1VqYpR
Gr4nF0wYQ+hh5TZZd1PbnQeMo+DCRJswa37ypf7gNNG243F/pl0Jm/zdVgdEXDJMaKkj/yzOyqTV
t6EyufWTnfvZZtTbncs0fqzERmoYdJmLGxuIn9NK4qw+PkW+Pxs9V2vHc7HVCCP9d3sTLPU0LMRg
7I3VhM1CqKEz3LV8jb+T7KLx4OPN8QR9d8h4DvI/6fLocb67ogmWR1oHpWsPG0WPklz6hKQ5CDM2
9IuZkFf1FB7nFkvQKOzb32v48D/Z4Zfr680ziZ19/RHWj/jqrHGIcI+QozKQrWbM5nN/r4M0OcSb
zKqxBzJOafoox+ls8pNDBuK3vYZ1GTTOl7KfqNyWfP7JlyK/f4r4PJBt8mIc6diev57orz5SDb3J
GmQJwDNpYLHYUjy4RLcwMo67Q8CPzZbOSb9F5wlAVCTlpp/y9KwF3HCwhKLfs5bEIRPL7napBSAy
jRoFJyGucB3ZDMNSuEuFTx37k1P0+yt+/djgG3zl2cZV6yn86mPHMdM4t2O2sXZ/XPwPU4ABfYhS
2L+4eMspvv747Pn+ZOUb8hVPBO5nwn7/PRWqxkPkB+7e3DFIytK+AsVp5cT9ouv6dzbFnklhfHZR
vt23ucbzy4QSLRCqTIA7TnCTLiRM0KSIv3y8qe+vdJ96SrGKEIor4/1e0Z0qkyDmhETCRSQHk+Pj
JI309uOt/OhgeT5yCcwbigSJd+fYtHDy+hxFdD7WVZCqp0ojwFZRe4wgo0Gz7Z18vEHprLeo11ca
a0zPcbgzUUbyTH2/OCpcPxd2r27rwLh1RrhZjv4G8qfrq29TXK8EekUrzf7WK3wGx14YpMgySj8e
oOn4UP9g/MLpZFK7NE4ElMmpO+rHZaxZtrZ1ks73SlclEllcoDWCnoRbNi7WlHrJuuJhtaB6nXVh
qxZ/3awnhc07CtzzYuo8sgCjgdbsASzGbPZ2EcHhkE5pnc2IPiwzTwMSrToz1kHmdsTWJTOetZjr
n7oMelvgQYfsrWDynGsoIxg1Dhoa6kGBrimzl121ZBmxEUsLMh7MVDoKXL9lihfSHGIUD+BO9X1l
wPo0i0GAybMTUjVzXqa6NCnjciLncehq/SUfTEX4Q+FEdJnVHATmmXgk1ARMgiu/fhq1k5H1URif
jLVtOtZDcpWxUCOqrQSlsgJKh9Kdz7SuYNjEQUoTZS8hYiPBQcFk6G7s7Nb6zNy2dsjeWFLp7czE
FO7bzEFVWD5ECtsB1U/kwWBcso4RNpqMSH2TXHnE8NmxXefpXj2G4LsiRmkojBhSx/eI4orm3tVZ
4m67xYTMOXIzJO1xlgfl8q3sq9QCfJSrWjxMWdkTLC+muqbNZ0RVoNkNkrFxkfA1o3HPrMlSGSlE
wxDmAJ4c6GUW8lrC1aZ+cXgfL8MPD7gG1RTi5jFcOhLoYhCdD7ZTuIqInkDU8VNqVOU/WpkZiHmx
48n37ic39IrjGYd2eMvYYU0oKhKbLsAhxrqZ2KUytlKiFbyKXYKyvUTQ/kuHjiqiAuSg6M86Zcv6
hI8TdKBkJu72uDdVzIOENju12J5O5lGeaMen/RZMAlsz0jpvZjRGUJnYUH2lxb0lJcOyZCD70tpQ
Q4Lx7kvgdptgWXkGqxn7oVvzCROgCfPWtxl5H0WyaoudQDGzkBtcuw2M/r5oSfKMgxCdWTOPYXjb
DaJFxYdBC4p1kGvOlFW9NdbffPLGyFaeDJDuZ0OGIElreYNy59GP0LJ/CXWs+0cTK0PfIw2kzXCy
TS2CFKO4QSMV2RkksEUARD2exFwHp2OaeN6Ji9zCewwdOwQXgSHR7/ZlYidQhjILBtUAgeUs4X5A
UqKlyqahhAjweqGZdrT64kaRU4Ff9SxuOs6emXWFtp86LC6/Yr8umvy4HdAH0siZAjXjDoniKOa7
98aFhmeuO4sIygcLWUs+op9pxjYSN25FC0/4xwHPKY7k4FK+71LUt8iHOXJzWCPXymvQ93mjogbe
lRrEPZOa1r3MK9f1HjsBPdLsO86EzmNvqtPWXYmkSJWgCiw5ytR8JM8paO1tPzMSPim8VtWXUZwN
OZNlEHLYnFY6YBmVziXnmIfYrlmIHESt3xOoyXfsZeXqqNEzStfVStAwkLbKtgJwvoQNZiQ8L3M9
fJ2ipC8vuAv7FUni8BUIg+IyspNt1mfSINIcM0R8WFVS/IqxEjsOqGy2aQrsh5OotuTyLQ/cFBTL
YieNuXCzruq/WnYWdwjzps4kyEvqBg72AkNpzpCdFW7EMDK3I/pcTdTr6SH1eVeMakY010k359yL
mX3F07lT2yJ64PyWziH1o3n2paZixvcsxXw6ceyD5I/nzn+pXfWXvaj/D9tMtv3qufp9l6kJ12ZV
QePlj6bV2r1Z/8kfPSbLVb9qqkk6AFqxfKA99M8mk+WpX0Hw0xdQLutKmyrwzy6TRQeKZSb8Amnz
hPZIovyzzWS57q+C9YHUPsuFtfr2/yt9prc1KBtyqM8Un+LtAqoKOwa5pQPF1EV0TH/ECMbQKnMv
53Sm69lIhb3v1Vdz+cfS4nW7aW3QvVpx/Gtj68Lx1Uo0UbVVFUmot4k15c/e4CIvWwglH+oS5JkI
cDwP4VWSYPuI++V5qbIZupYkiqVsxsM8RqvKsJGebsstlmEyWP0KNy4uqwltou3/ZMH/dh3758cU
7xaVXmY3jbGMxplAfvUq4ztoupBwWOaoP1nuvV1U/nMT9N7efhNKOnETt4okiixIP0N4YpSm46S+
+fibflt6/+vt3+3BWOA7HhfQhjKT/XmTpoYhQEPEqb2gRfPb575S/pmXzvpnh/Yvtqjf7ZDVpp2V
DA4TJe2RB15hEK5mh6lyTJ4iJJcnBF5fSOllZWFH/GxVpqsuAFeYjyUzPejPhdOR9As/x+CoDXlM
4VCV2dG/9Y28LxRI3atzrxaaJClPXU0quQCRehe1DTEWY3VU4ZffV8K+/Xhr9vpF/2tt/ecBcN+d
6Yo57TBZ2t2uz8GrWPTDQThbDC5gngGVTH8zpcgOVI91JMLmselXkeCMxml/hsJx9/Gn+PF57Ki1
1nh1uWXE8hZpnycbTJvAhB1n6cfjaFrjUpMFtdf5x5t5W7r8ua/y3aEXXimSBI0wSQi4FhIRkZ9A
QNl2rNCRFok7HCGadX5yHP/iwpHrn7/ap36sZ2URjLRFATfuetdOzzwejv/eZfly43r17hm3POTg
K75dpNMlCKrgK5ABHIkff1N/cUBezpZXbx8kyqpyKpttGCT6EDiOPGpQvJyWCB8PP97Eu2bFn0dD
rBfoq21U+WSS3EtWluNYwJdtou1ATXngIzraF9HK4cEeCNWqYyXpquGkDS18lobiEnklzBNLwxLH
43cosG5u9GilR5Zfm+0YE+s+L011HJaD/5OP+xffiHh3OJfCdG7V29FGR8x4v9iWM2PVnMOoGD+H
ipRSd+/j7+XH5w1P4LdfS0jvNUot7oi5NxVEPrkB6Y1IOpx48/EGfrwnxEm+3YBG9dXZ3FABQTnz
bd748uucD9VKdpquP96E/eObLIXK223EqGAcS5TpsWGWYIPlsLzh29Lnkkgy48C32SPvBHx4Hznl
LQ7PtvncpghtIWCaLCHazTBCDw59vyLdxqKqxeqR2+28zculiy8WfG13Y4/SdMRYon7SaPiLL2Zd
+bw+Iel3Z647tXrroxQ/CRw/OKlD1gAoXeuDj7+YHy9ipH53zrt5baNPdMJjHeKexV4fNfuR8chF
0o1/j9k0ZN3GrPXNqPX1CubH+yLX5djrfSGmAdkl7PTVfNAfL1QMW8WQ67By1Hj88Sbezaz+eQHL
99MAFeXZGBPdcATtsbsfprTnVxiSLcomTIwjdqGq/prbuE3343mcwApDvP944z/eP4YRb/ePMAA8
76IcjxGfRDvQy+n9gIgD2xURV//OJljBvt3EPOlQ19QTxAV45i4YLKwiVRV8ZaxvTv+9Tby7qdDq
yMMZQdzWYoBT7UdeTsJWWHf6mjjtKv3Jjvz4pBPy3QUfKpHb2LjDo7CHcReN9C3ivGiuMC8gwCgR
bH68N39xQtBPffuNeT7UxBoGwtE8gxUoyyC5jNoF861PSlODCgXvS+jsROjFdJ9KfanKClzqx1tX
iq18t5KB5/lu8lBW7WL3zdweD2j8g0tgpYxVDizyzNqDxsYAjEO6i4Nh0+V9i4mqwKC2nLZgVLGv
69HO22WPhpUd3STp4hbbxiYCrNgfQApFa/pRLqmxc1w2xMdUky60OiNTLW4e0ActQ7xFom9T1XrR
mAB19ueGJsHBkGDkqhl9TGP22Sz+hI2nQI9EcxuVNs0jhxmuX6XwqtppjL2DODFzn59xnapD25H0
Ui/BSwRV8JOv6YePFyg0746RjSzXbUDBb4RTzcedM1s7oSs4ZR8fhR9el7z9u4smzVPmV+BpNoW9
NDgh82YEUBendXzijTnts48383KP+cHBfjkJXi0eGF8BSBonVokqJhpLTogpMTfGy30uneJWYUoQ
R1UHINmdSaXDpxdbRP80c1LDFvLm8/9L3Xk1x41sa/YX4QZcwrzMQ3lHU3Si9IIQRREJbxImgV9/
V/W5MdNiU2JMx7zMeVBEd5/uqkKhEpl7f3utxHV5CgmmP8XlAPXnt/Xxp6eX9+sPYEZHo2upjZ0/
519t226uMSQz9J135tc/v8KHv2VaJe+ur+llTACQ8tmXRR3dFIx7rX1qkLuSgRqo0aSl//w6H98m
9GJ+/SRoBFDmtrHYCaQG+wR4zA2/ZP3Jk9b969T+z+/vH6X8lAcSszlTvc8ML2tueneWJN0dkQ82
Bw0HM5WFcg+hLuO4URjcWoyaaww/I5AGjoihGYzeMWLOKF/V05BocIsRI4JM5JapJvfm1L5M7bXD
yGQDdmvww/nRJPtbv5F8r2zGJWGy5uxC5tB6qMfSdwjLMz6b9BvVM047ov0uCPDvS9i4KcCFaDQv
xoIZ3XQ4FyP2PzBiGNCpiIp8ZErcEEl92xAN8gDmzb0y4h3VtbjaRcoOyPGBvZN3WimrpfwMexuj
Z5sNjeNtOrMpR7AUJlAJiJ/Y8FogmEbfjc7WVGOro3OdMw8tvxlhexnayxzpJqxm9N47at0rWyfe
puzHxJuXpg7s6jqmAgdDEGVQp26p9fWCUQS6tlFzMjrqjzWyS39QV7CLWrQSrTuoXVf1puctPVwY
zpXrGfOCcKv7elEs4VdhH4EaMDLmU5iolfSnEWo+FRHVCcc/ModSExlOqAUN981U4nZZmSY8MQ03
pEmi8aoPBtepjyyGrLt32te+AzTMr7W46eiXjO22MyEFg92xa6wwixB5d1fuuq7PQ7Z9tY4d4N9M
HomzU4JbKlZGHseYYdHMGzh1ihIsyhX1wtID/e3Hbf8j7hjNBWDZN8y/Hkyyf7YBxMDyy+SYxEYF
/tNmH+Ge0K9hsAA4U6RfzaAvC0BUeT01Zzh69WQBVFSiTfcqd6XF9++1VChWXBFmJ5Z+kBTjT8cp
JhIr6IyYUVxSevXFk7RTCdA486sQqIPFZpC5kkuON2QiJHNyf2M2Qob1IhBDSdO1yOhqkc0bG7rH
9SCINd97beMU4hzmXoqnYy2KAcc7U2oz43jlcpYSDL+7mICpRmoPbFWHjCXxSM+qba6sIcyu7Jjt
S3GcW6N2CFlizyytLfSpuX2jSGRAh5MzNY3iNvXaJJc7mwz8ECwzCw9y8Tp0sCygobE7km/AH2XM
eA+IZUbki3FsL5qz2NaSXoNLCqRaJ3ElbbKmdPqN5RROPBqPTBQGxskoODe91kYvAbvVScDQ7X2p
htS9bUqY8tYmbVg37oYw7tofQDYKy6K7ZYYm2iU7a6ZTo2kCD6tQEc6mZxNIr0UbxM+uqndtl/vz
dCwYogIbkLFGjIxc+FHWbqysErSnAF7hxt6ZnaFAuMokLtibzHVpWqu6GOCdbWlvO6i1iLfVDqh8
L5QC1lzFKaPbGdEctjZyR02Lbc1R3oOMZHfku62vqRMbuXlIZsytry0tmSy6bYDax/66nbpA92tY
vX7EBAuVf7/aDqMPogmMu9PY2QWD0k73LaV/appQcfjSzw4ZpYyKfDoXNqYYJJJUy+9mGkYgzey+
zHtY4SwEl/lbVfseNXx7dkQYsFMtVX9lplnbWtfxaDISf8HEG7z3CK59PC4YDVbxE0AahRAvqGbw
nBudU82/bhsdOBREmJ8W+VtOsgxxpp+KSD64fu3AagiSefKGTW6L0rmxyQkZzG5jCeAIX4vOmU0I
c1ki0JTZEIEIN1c5Az5UQYe4jqyWQJmeKNE6KUOqD3lsM3W00PSAZn2J3tvItk3fUYEJUkSIiFzR
IJvgVBhpNyO+6qnP+Mu5r9yqOZpSdAS9p5SUHNP/vUMQGLoq0VgPyr6gZrVknLR9KfgdwZhjU4UZ
S+p8pEfmWzRU703pTIi2J7dxgBCndYowbGHbDkJadqm6rX7KtDZd4stj1UImoTxBe7kBoqRoruQK
HDW++PRSDkxiHfTfbB5CZbWC+wcak+WV3DE5YEk2BK60XUXdo19HtCzplDkcdenIFvQs6UL1vYtP
lsQdR6eIJlz3iB4YLBzoizg1dtmUFnzDmQI9emYUFyDXYjItRj0vo+M8Bxcuo73j0WHUdoTAYDSE
3qHO0o7NduAfFeCTMBMkqaMwjLmtxsZMnZ8xhIEbFqBI26vGqWhM2flQXqCCbiqsQ+MlFtv4GC5K
1qWC4dc56phdXVCbdEFniC7sOJSHM7OyqG2scBxfgTNM6oUAIZRKCCEk4yzeomcl313rkimFJ574
RYUgIxqqkRByJ0t/xfdYQwc27Y6VFwAV7fVXuwni/jplhpFyuV0b8xMMvNqHCJkp5i+QbJYNfKw5
TKv8NqlMVX/pSbVMA/YZeJOvKTB8wSRSE+XVIyNIkpebjJ4WwaLMvDF+HiNoxI/MEfJ7BnFlBt1X
xtPi6KEl6d5AULbLWQMpSqOGETMjt01I62MB7GTveVaYgqM0EKmAJoy6aX5Ugm4BnqZmaDNIoz4q
CDy/aB8LrqoZA5YzjKIQwHlokkGYQyXlPwUJtC8uIWEbhu5lVETPiv4cN4+WhY/mZCajcBHGhuDu
M43pq+C42KntMBO63vsK3wkC3Mg2EzAprdTjTSGtEnsA16gNLwuHVQEmDn2vSSXOgQDsgcyCwT8r
D2eEu3IHq+6DBf2ehCk91CdUtNoE0/GNy9mn26FiMafHHCdAvbfgUwQQiCYPY2GZV3l41kUadsyf
OqXHA3vwzIFZQyfPWibd87JprIeoD/3oFSZx6d0xduC1w5L7coY2yEt2+rYv3HBo1xN8kvA+zEw3
RwPHCDSMGw9IUcNtP9MclZc7uAZTk6k5Gu6DwLMH5h/MLrOua/JzQGipUzISIf0+JhoYNqgPXpta
AEK8rU22y7A1i1iqK7PSVsBEoSWi0uFJGU39bSHYVUGi6eoWFbeqRN9uQ7PUxg2U7QJ4W9fWIBqi
ibzuaRKJdoXC2uLNlgE9qIfdcm7SBrnAv9p5O5ezxd9ONjO7WcXVgRpmmfUj7Ak2g4pzY/jJzv43
JwjH/vW/H4RWm+kYhU4RtsHJ6V273qvQ0V/hQkTbtJB98sku/zenofd1h6buyRnUlcJ1izpdmAnL
nWqntyIcxNufL9bHH4YT/a8fxioMvvGKOjV2HXedhZG3hWse8SDBt2GQOfmktPHxRyF99OvrDHJm
b9GBcoON8eK4kGo9wwweWRE+LZn+mt37n2qaTYfz15dw53LyASh4myrwup+YBO8C7CeLOKnhHMbl
CfZpxBMnL5d0bq84s/u3/+oaOu/KQ209QoSa0S3w8xzXc+dXV4JRlM0I2g4jbPVZk+fjIyUBv18/
YBoBP+wtoHUtGdonAxv8HYDF6pP6/KV1/UH5x7fenYxLfH4Tc59cv9J2bsIYM4wLQnPdGNTU4K91
O8FoPayTESqlhH/l2daXyrHiH3++jB/fIl54uUX/9ru1kAWJsp4MNrIILdjGUDgOAmMLTT+/+vNL
/OYzeu8T5S4QZ6MIXOjktUAuAfcQ5ECGzSDovK3mxEQYD7Vh2qBdDFwX3mwdn5toVJ+9gcvv6p/H
di94VxZQuhltM22jTQly3eVRNSGY49RuL8kXqx3Y94nFavYRP3jjhuOPwQh6YvO27Hn8ZAH7zYW+
pBD+fqG1ydzTYKEUdB0IGG2Kcsol53oOksj/ly/xblmxe5NBvJRbNXFbRZOCDlQqRu8Ul4ys/bvv
8n25UteVGybwCSCj6Praca1yrVWDu9Ufvye0hVYxhMEFlL95lSjiqOAZ55WjDflZ+f7ynX3wXb7v
A0lavdWAUgQuShosY1cba7tAh9hAHoS6SVbSaEdj1fW0SSma5BykE2ellWVsNAS9bVSp9pPrffmN
fvBW3le1Ou0hamOUcaNae8hWU8YsGjyJ+eLZqHIIPaTbLrtzNGJ/vvq/uYfEZY3624+1K0Ozx1MW
bws76udD2vdUF6rAsEeGbMXwSRPm46cTIwW/vgrSlTHNRcZB3xrmRQux926sgAOWQEe2VYyU8M+f
5uO4iu29r4ZmppcE9MyZV4ZnDFuIuX4rGL5ncOgnQhTwyiViGYPj42RSok5cDxp4RkIXC9O85N9B
Vp+V8QrfGuaqImxWc6DLtWCx+R4ZUfjJEvmbr9l+t0QGBg0uO/DDTYtcZknUcz41I0PmQ047N84h
T5jJVHwy8/NxN8Impvzr1e9Bagfa02R4JOWKyIc6fzljbayE4xSzrxc6dcvRLzSyLYU1jNZcxk9e
/PIaH9zQ71tjpkHo0RADxk4SACc7d5hE0O2TsKd6E+ZgAStfBeSKkdz9+Rb4+OF6iVj9ckOneraZ
ykQWhtlntg5hMnXU79hSq0+2pb/5xZjv7mUa/944DWa4UU3EwHPvPqUMkuxSTc78zx/h8lY/uGbv
O+w8rBtQ5T3t11rfRzkKF8Ldfjt5OBwib2FdCmxmEBAAS4f2k8v28S+UGapfL1vmUmjI+OFuqgJq
NuCXDHRsOPMWVH/k4OB9cj/85hfqine3fiMGzQgCtA6hjItV23aW0oRWGjbGiNqxBSJuiP6QeMw2
2jSeg/KrTOYNc+AcOew7QFj1Igx1srDcHiqiOXB6qfpgjTy9/6QZ+fH1J8X367XwDErSFcfqzeg2
7kNdB+OpbUdvqalIb2SNCXXETkE9CVBhG0pj9+ev/eNFwX2/SHa0vQC8zSFqMkjoK5Ea6Vdn9MKv
1L1wgpaml0LMpAB5/vPr/ZVB+Od95l5mZf++9s+zkY6udkKMNqa3bagMrpSdQQiYYA2QCYv2fu1m
ezfJEzoqoXfjs7tgEIzRdyDf5WdbqY/3++77211VxoU4blM7o3Z6D6v1hRyyucbxmp1VUImlhDER
u7O3tA0H0FudV5/80D5eK5iD/PUCIOLxe1xZ4Ua3PFHXrgrqYjNBGxg+eYGP1wpGNX59gRJDoBFN
fDTaRjVIKnAllgigzzH/sP7zt/jxZ8At++tLdHFbsw45xiamLBhtR/AIMRY+IDefrAwf/xpodPz6
Ar1wwFUMl+NEavA0NSJqU8Atl3adYWKqqnbTtmXEkET8zbqQkv78sT5+bjjvh2pgfdqzywgLG0+v
QdtbY5cLw5PfMgaZNO2wSNtOkWpX3SfX8Tcv6F7+/t82Qj4iDVOkNKFs0N3PqnepMvUpK1SJ4c0T
sDqwb6b7MeuDT5bC31zYfzSgp7my5oTjJrM8Fh5hiK0UWB9Ci0Q505eXSWsAuvouipxy/6+u6vvc
XxvPRW4VHMiIFsWL2bIAIGuc1KNdiy2MGn/HVJBmRsXIPrl7Pv4FMLf062V1+1F3I4lhzLDAImyB
HlLHFFbs0fgsovfxuonZ9deXYCJJ5sLkm3MHLB990U0HQ/j5xjAZQmGMo9xooaqbP1/Bj1/Mfn/m
Gqpg6KzEjxgID+q7KbFq4DyVD2B3Nq5wMmvEV8CN/92Lvb94JvZjJng8OCxD9FCl4mUoqe6o0glW
rQ1SfQba8clS9fEGwBbv1sIOp7OlEzZql6r1Qhay2lO3bbZhB4tu6C39yWf6eL2y3xeQHAq6PFwx
FFRxWX+3TdGdTO2P3Scf4+P7zX5/h/vTbNlR2fvrhCbJSrQxA9OO9vcebcnNn7+V33yC97f0UANU
lkGdr5lvC99owNg3CZM0/7k+/2+GLf6O9PhfN/XP8r5rf/7srr7X/x/QPy7TjP87ufePsQywz3H1
95GMy//9PyMZFpwONwx4BJmW7TJ5z4/yP9gPy/ovK/RA6FnCgonx19DF/2A/nP/yTcf0w9AJ+J/g
3//bPMZ/MWfuANcCTx3Y/Kvi/2Yeww3+ehb+n51UYAZm6FvMUDkMfXumY1/uyr89RCzwLynMuI1h
J2DaLJN50MELF9aovB86fSQu3/70gNSgd3Xah3529CaZUGxyFn1GWmDekB1APVvBjo44hK8bPBBl
BhgvrK9p+gCdd651NhjXYzoG16gNpsy4DqkrLaOgcHYhQOL+tk6Hw8QgHurYqbkN3Rn1j/QZnjL1
G2NUiIES9y3SnjzmAYWL1iU6EuTdDjcN+SDp8U7cR9Unu7R0s5gow7hSabmRjdtuOEfV2zYLjeUQ
e/NRhUH22DgMlrca+LNnjivmmrd10KAA8ucVU2bOs+/Q3IkLF1Jt61cUT3IXBU+2B3rxSpqh3/dG
+VUNA5mywNyMos1OgW+1N16XQaNDqbS0In1vl7edbnMch/FD0pv5tRzdq8y6aETM8Tig2VuAxzbX
fRnOy8aGCWpXTbQF8ldtitLIV1alvnTAOxdZ39ZbTonICJGrrVtlbh2dXiBdyAQtD+BBg+6TWlP6
ohlQc4wOGhKpjRUK2l045RjsM2/lJa59Pwff5NRna3JxEkX8Q2ob1b4QtB1zPRvwxRNrYwEOt5iP
A0wb5hthbby4UEfm5NVa5sYTOf/uzQ4fDN3cGzUt+cRr502VpC/uJMUKlla+bEeU8r0XritrPNO+
Zkaj7stjePnDdwUQKtMbr5O+PBm577wUBemneMSc5aa+e8SRGULrW0XTOJ8J41S2gmJcqvnBHxDT
RC2seVFGSJyRyXCuBB3t6ccqkavY3fclU67EW4oDTHofa/s8b40ipkHHoyHOX9tyujfKc0PCZJ1U
7bemjL9piMWxx2BBC1Vh4bdUaI2u3sV1sQ8G9Kph1h/ILKD4TCnsoUk/GbKvFgZpHICspiLjhNfG
5IwnUBgxA6lounY6xIGFog1Hgos1eEE71QRrOkryNRPKFwWMPHllsS/BoZXd0lVcAAcHcTX+aGLj
B+jp1tfNObJJNZjDdeiVE/Z5Zl1AJsM/DleO4/2EyHnrlOMzSrwTPVGkEGZ+4zfTATnIvhHjPQRB
gr15dsadmcN2wCUx5uUal8c5m4bnacB5NnyVKr+Jc/cpEsld2aaPo5hPQnlPichXWffdNNOXydG3
1hDMq5zKHnTr4DLNejt50Q90jYyHqjMt8GKRHubce6qIASzq0EHN4vKysP3OFzMvKjfdfR0K81QI
d1uhW2LseLHzgOLTBl6mDCJ6PlTxmbvSb7cMGNerwMtumOO68UJE28mTkM4jJetXsrZnr3H0ykyw
2at7+tT9NnXsU+CV7casZHeXi+s8oumP5+XQ85qpWSJP7qqfAOy4ikqrA+pObG/ek5vj22CWPPIF
82BMm2wvNgunn719owim+ImGF2rekt55yrWGVwZGHczitWfYA+LBEeub1U4bfjKcOWx7V8p6XqPZ
itc1Cw89bFGRaB0RNUi9n+NULbDXXdxM3WOSYp4obCbVTAcypKxykI1bZpb9tU3eZxmR+d0nzKft
RxfyXVqqLwo2Pn05QOCjpW9pmbAIG/pL3BJDCsgtUKVKaNU6wfeRYZllLRkxz6ydYnnsy/XQJ2+1
SY027Ctawu64t6b5DFBhPqV1tlc9aZr8okmIre6HZpprFM5VL8ZnLwLRGydEcNErwMP33/JGvFUk
G9at5e9Ulz2kHgO64VDjjbbmhUD5sBznw4xynXTSS9HoW4/AxgIXMsmq2n6FZssiVsmX9jQGnj7Q
oK6XOldfXPVDEx18tDx91Y1qhK1o2ou5zFeirJzlYDcvmcDyUsc9KUH8kJAmh7XrNvf8DMSmtvP7
eZ4uMlY4xWrEFD9+C6rudnCLRz+mlCPjrEcmoXbMv6PmMvecR6tNH9QIa30bnYdHhz1OK3tJaG+V
NCBNuXD1kXwgqiqhqQNf7FmiNcCupmRmguZO+BedvJt8yyu33yB6gfsUWrcG3x20Ouwfk4bLnRHK
IKRJQqJGI9aDpFqM8/BGoBklF5OS+G5OJVqNt1xUz6UbuFgF83A711F/b2Xt12CE4FsJvYaaF/LY
rr9PtNwX1EIeHUhTyhMQrIHnb1XC6jXoQ90G2G2k+5MEYbfw3eL7nGp9QCgt74boIKk+ImB/HAYU
EynZ5953z0kovpW0DNaj6F7LDlC5wlR+qsIWj65RnH2/RVCt3PsZ9MGtSxieqmx/qHxJtLI0Ejip
iDlcxq8D+CVG0N2LkQ6XR0iAQKNHJyK5HX30rn7PU9Sw+rNurWaNgn5YCOJPWEQQl2siuXwt7gon
d86MunVAjDkiE1rGEsJgnKCuv/AePHQkSDzFenIgqNf1YcIupOHnQr90X1IOJQuTxv9KJRB3wWPe
Uq77AiJQgy+Q1xR8kbQ00bWtpuqlNBpkRyVykURQZAei/NaqXF/nKn7G+An1kfrpVf8CQ3a8Y9QQ
/5a71gAmgApe+Pc4X4KfffNsFl/BNeB5ycVMGF0dheTOVyZYxx55WC3r24lctYYmiIfMRy4V7Gob
PAZbx2807NSWlGl+QYHDF6CoGZtrf8AWGt2AOkD0LTEw0aj8HnuoSEDsm2snuGgKB7nt4J/vmL7e
U5PYIFSwEIAFWIFMBa6rqJ5geeYr146H3VwnPyFkZsRhh3Dv0nKYhwzOpZxelF1i+gl/JGEZHHDI
Tf2zHclxFTjOuJq7cGuUFuICwqmEAzzv1q18BLRzuKhLV631tnSUPM5O3e5jhXSeH+U09PVF/32w
k/IOi9E9+0P80laRUFOlhU1W4tlpEn/nj/bBozV68FCPMuaIVCnqDhq4xBbK2R6319E0IF0UPbnY
eBe0KDNsK6O+qqNnvy88wpszIqnc/QZlq16KcLhpkiRfjbAeltSHth2NnK6f62NDEos1LQ9WtRUz
t8+3cVVJ70DcZF7R5Ch2TVHd85mvRmyBS+nO7qqROEQG4HIN9PajHum3CTxAUw7U1yQBo29mmaP0
aCO9SgNUdWxIFLeJjFdNfgiIdN5K43AZ1ebQj65YkHiDkIvpTanG3yfhfJ+n39Icf0LWMP3POESz
yCySQWB1qB9n/AZh9iUsX9aFpesRsLF6JFXO1B7sqX9Ik+C7lF26CKPLgKwpeegHzt5vaaE30gEb
xCoDEfqo6ezv6HisJZLROpvz3ZQ62FWBE1zxa66hYQ6p57Pby9dp0bdrRky/tcJzoIbGN4HRdMhU
qmnhAOPdQjDbjwHVoHHtZp38Wk5lsRAq5eAwtZuGHr5yMnaZqRnuBOrxRU9Pci1JD2/K6EaxJeAO
bchKhLgtbD8l4GS6HZhcjIyz7ncdkp27HFXDcuxQtDgZBb3aErtYsfpVCitWU5TJKkQpfSVSHlDA
Rh5NmVaHnvK3W+GThNL4ZR4ul6OjXp8FWBCaAlEv/1Uigi0KtGjKtpihFxqB6yICdbcrRQ8HN0kR
to3iYXZQ2hAMC4bAI1xY37W2Z+yKC5QrHJ55pjTLOeapV03GzyRhASIrNx8DRioMZFxodkiAer25
wvWz9C9CHuK9ED5laa81xt61KamlJ3mU439NX0IaX2ss7M1KSuc8J2hyIHzQiNT2lhxqdwWrylzW
+ynzOSOoKtq4yiiOueWu28u3zhhcuWwC3137vsG6Yb9arAGrvLROA3Oi2xaXAE9pC96VbR7tPn5s
rU4ekMisU622KHXt+9pCKcrrgCFlvFiHNN2IX11Xl2AAbzZZjeWlDR3M15m0nKtYjuNd34LMV6bY
dWK4y4wp2mHJ+Q6xaWfzK1gnU+ku85QYZ5n4+L+GEVT7FO/TjryM34RiY4aGXICh6DlH2htj6O2D
C1pnOQWcOrqWaG4/btrKTjgdxj8mhQNmTKFnSJfMZ+uXb2YCOtmO6geBb5FdJYwbnXOQ1QDRdWvc
61lbN3MaIubjHdo1jF704/fcl09uKtOjV+lzrlOay3WZHAwzbvdVQ0QPITyWjDl9sI3Mv5atdTXP
ekudEpju5Y80+OGIZi+gTd4ZZLcxXplq2Qzzlwngyh5ZGMsNBpQTfgESjECKpqQhFCd5IFMQuK/Z
896wKKljRLFuydASQiebxLlv3sZAsdZB2WUreTm9SHMvSWihVQyr60hY9qK5pNGRjj6OKWIfn5El
4MPRYRg4Cg9ePW7wFyKdEuMNQq77iTmrq7lAdE0Jcoj8myEWyQ33f2dhTUvr4BHK63geg/haFPRV
KmYRxnp2dlmK16/W3QFvR72Qg9FsZVfqpdsZqD8Flznw3G5b1Za+mVoDJvg0bHlc8ciIGjQNNmzb
FHmAxAO8c103v5FJYywzVlOS+N7T4FgVar/wymGPxV3g5iyjGAszi8eWgxoJ/3o7bNWU3jd82sNf
fzi5AvM/uAeVJNdjLTmlDTyURyvdQ9Ww1gNkBaecvD0az7WqwJLJuEs47trzERN8MYTiaMhx3QHw
vCqd7m1WRnf2vHZDu05uusmOCHDxffYV88lBgrPazRV3MeWIIU6HVafc/vavP0Zd3NMRfRyr6mce
qgpgii3RhmGZ83Jvvv7rj7EoZmDeJG6dkg8TW326mOdxBM2PzBKXdLgAOTUc0ssfjsfjOxVEfiEe
JCerL/pV3RMLkJEZHPpkbjc5cUr4h2rhR/1ww5kcj1z6pfdIFFF/ra+D2ky+XPZibpo6mLen4t4+
xNRjWtQ2dyYMpVU7oAoze/YYYPGTp6QSB1OEO+KM3fexB0lm+gaqtqKn1iqinJpu2t4bUYfGvm0q
ji7mvAFtQ/jF8KJvpfDWFs5kJ4uyt7oS2y41iu8henLwPLrfMnoBmZHFYe+0E7Zxz86O1AXKZTLk
142h3HMneICU2FWXdl41h759ilADPwM9bt3Ee85NJpym9ikZRypBfhQ9Gp3ytgHDmP/5SxcyFN2K
Wa//+qdtVwPCz0bGYdibujJQj3ahki0fu1jLelCPGEeLXd1O7eqvv0ydpN9rsNm8pYLT9DDdWMw8
nBrmbGrX3WQExp7diB0vp71uGUdFsQyTNnyMPB7jkL70sjY6fCM9PHmfnSjb9mDYSEYZFiWlhauI
beuqzI1y13MdKAxYnEsdq3sIgkmubB8rSRP2eOb3Ac/DJeeW6axmmewM52cBA2hbGR6ueGXm8L+9
26LP3FM25dAvwSctTPQyUlC56mVqHSJHc/4fZbWdOFapgUOnBT+NQ27FTU/qd4nsl0JQFaR7uwd8
AtvcuDianrQUNPCNUu0rUYxLA3bbMYnc79qdbxKh40OzxvhRH8fcOV2UEjwosHH5AvSGEn6zRvjL
4WBCVKqi5J7oUvbN6YybqeQWmuegWYWucWVN0oVyT31siiceXK21TU1zeEwUpqeOyaFvXTGf69C6
Djo8l1PBV2tGPU8ENw8eZFNjmAInFuURi0JYj5yTi5emZavhJlTkNIAnMhDoidjjObN/45DTBEd1
QMh2RthJUTH76da3I9C0N3/unr23iwHw2mRAbWDq8pQZCiFi2KtFkXrWlUHEf4G37EG4QfkW+zT4
0MpvA0LWh84fXy1P1A9Trm8TY5o2rm5CHE1q2pJQM7e5TM9k75CoM0y+G+Jhy9dIZZMU/3U/ZdhH
DftktGRcIGATRzdKDraskpHprINYRgdbG/VV5s39IVLdDkWnuRrAiC+jKNxnfSSvcv5OlY/0XmCJ
LWBhpcdI9P52CsKTrGKe2SG6G7yPzPjbFGpQoOI/MVbaTllYslhdNe4Ij7NwxIqB310HHmxnN3e5
ZcmT4zKzpDF5DZY9HfPIPBRRXp/QMVe7jPDwUtQTfHq/wzRuZB41ykighivjRcZtefLYNj7EeRrc
C2HcUCfzTlDVV7NCzYkyId+QALXXMi4jPNtan5o4WJevZmVW54Exw3Vszf2675E1TLTiV1X7qq1+
uJNOuZ5QSu18NV2bpgIDQxHuBy68pQtjxyucp6nN5MFCp7BAz/vdZJ/2ktvsv51SfR+ifry6jNau
GGCDqm7x6K9nZmBEF1ylcNPhtSH1zkohVoHlImqx4yUFEWM7GO1rH0G5yAeqeDOFL0Z1kuOYRMmx
97LbNrL4wWY3KqJcQfnhjUwcVSXG06wOuLusNUWuRMo1+OaTzYPwRabuE8yOxGfqXpIYPQ9utfQY
kkhSVM2akBiCOMLfBoUuasgHLDrmYfbWdjvOe06uPfudld3l1xiYsKL7JOudvqai3nh7NokVyha2
UnEx3DOPcKi86kdQWuVtBDVmUVqUgGa/ZZinwWLnm3qnNSXZyMQIjbV+wfTEMWJa+xIclTuH4uOF
6Muc0ux/cVorWRphNJw7ZfcnhsmAU/jjagLLxNHKJn4asJZYxhQsK0uQ4eooiRWyBqGHYoCBGncV
zy4SrIKEX+bVqxjSwrLxFjozd41XR19Tfi1dZbJTj/MzMeThZLWQTlVa4N2LpbMYhzk/+eVwiodq
2dXyWA8BhoxTEsjnpJzHLQUGXU/piQfLzonZhjhWjzJb8ajCeLHo/LbdMdO2qIjTwG2bQBAS8L41
bYZUazqsC0c9WF3E+7YT+A8EYGK/nc9RF28yK9M3/Iq3TscEM12VL6IV5Xr8HiWjuwkbsu0JKDZr
ChnN0/65lPydvImveI8t50Xpb9w5TtBoJ1tkkvLWzZIcSdClY8cGNrIChLbyWxak5TbU2IH9rDiG
iGsKoxv3ADCXw4zauE/ZIvpzeZsrW278ALEvZpuJEjRnOy82X6OZddbpi4YSYHmWBcPUs4wLLBA+
ghwSS22cFKu5FOa1A3SgVKaCexi1O+ZKfnTKqrZpUh7NDOE2ZeV+eZGEumQDN5GON5IhwmNmFfvU
srd9ieMFACZmExj+K29wgmXoYZ0YIgEsJumogU5KAdyztpYjrgmoRgc9oE2X/ZvW6k38N0vnsdw2
soXhJ0IVgEbcEgRzUE4blCXLSI3YyE9/P0zdxajGnilbIonuc/6IXISuX1QcRLoPuxSdY9Zq16hi
MlhG/UVD2LSas0D7y73QojuECu4Ts8FxOMR/Ta0Ocj9HX20uWOpYYahIdne1bvS7JVEXjLvTfpqS
c6XS8vTfl6bKeIR9A5ZpkI86t/jeXjSqGzhu50LF2z5hNUosc59P7gYtBJ1pZkbzLBkJOOanB6qn
ZNDBk+355ol2rOOfhHzDoUqbvUlDBcEhgFnXqaU02EjZFY0GMNYktiLoR3MIwKvZeuTFPGH2nFEi
sueSPEmNcyHfQZSaA6tnSicuvazjowf3U+nUpv9nUHYid9fqqR6SXEgh6UiWYVd6G6uYOPOZZc2u
1r5y+a57lk04VPpa5Exujd982BXDFkFxNi3DecobV05hmS8P+oCSOu7dt5yyDR5dEEanwm8TLxE1
wh6tqdrURxtT+sk2S4pdOsLHO3PjBNXISj7NFOoUqKF29AdHN2L7QTFIZOMcaX/Q/cRAKuIXGGM2
Rjps6mjV51QXkklSKk5Yltz1HlHedtSZ8kgAQAor4zfINzLqCRXy66BNSkFplefRdkh3bl7UV5R3
rVbWPJnLNzbVq+eVI/2ghhuMnvtv5ro9TrL/qkrK0BsubydCKzTHxgN9PqFX2CilJ/pVEWc8kolQ
gLtk+sNo0rFoiXMh/B+6DL6T3JjPi0w+B2a+0Cyj1Qx3VYMyd6NrUWTsiHHDE+oEjT8zI8sCa1cP
kmMX7Wua6Ax8BIXCFv6JRP1HYXYLfB0vrjVjU3P1Tuw0oUrKMS360Zb+qrnx36GemhP2un/rP0tU
a0fD+yGIJOYFcDEWR4+eGZlXjShjKtCIKS5br91jP2v4JYZGRZRWWCyv5DfZW5+Y1M2EK1OrTIRq
y3DrICdfOvIeaUFe0CQHGSkgqZ0aK9Z68xYOYzNhJGLaZeu3jjiqN5j57esoZ+bVGHcxn59FcFHW
NEXLxHmUGQ5PHalgWPREw65t41yI67TQn/FwD8cK/z8WT/fqA9AkY9zsKtfXQ39YXv/7vjTZHLN1
B0wW7RIpAXncZjJIvWY55lNUhRNZpHPtq3uGw20x8CsavIwbxogXxjeKcNvnRhvepLEWPyf6yYsp
lMmJzFY5raB2H/KDLrsxGyDwMvOsdQDPSuNXbbqmZ/VvRF/rlOYm5cYWANqUlbcukNO8XhK9sc3s
7C2fsZOm1YuTyHsxaVd7oD2096Z3zMhZkF4tejmvtEw+YBCbgcCSgUON3q/F7QOp1sTiFqze3WOl
87eleRqEQ/u3n/6t5PKh+c6+Ioxz11v+Vy9x9BKXxRzbFDSlx/8qi2FZ1dFLTrwyl6UDjDjKLfdn
8lBYTTDRgwlmb/9iKX8efZvU2tZ80iv7zcF3y4DDtBy5x06mxqVymwdZ9EMAnKYw2XLh63337vnt
Dce2u5vU8NTrVrTxu1nuxoopxiJaR2gDMeqGK0kBaG+aqmFNZ+9Fjb0684bXhoeZt2Oo7RYzZLUr
4fqKozuABaEhbQKWgi2mznk3VXidjZibRmhvuFdX+ihyDmT2velt+mo+VDOVmnoz5TuyYAhaiXeu
1binah4hRNl6iaELuQGoEsWVvyW47R9GDOY9LgVbKNLQi51w8no76WlLQKy2HJO5Nvje9/1AGx7Q
T7NxhyVnvnDKc2d6RP2m466ATBzT4aM3/DZEJU7pmG6G8u616WcllmK3VNQX8w+ypEtsxyUtwnTT
l455IRbgoardcNKB/yc8ispAME+N2BJMBEHQkg1ow5bXpSSOmEUhD0K5X7FZU48lqiMq273leX8T
e/xIe2KMhUbFh+Z8M+OWe528t42n95fcyhoibCjEaMBZwWDOVkS/ykQKBk9+mp3lAJ1vNZ7E+5vs
48Z5bcg23/Tj7GLH9rIw3VdJhiiMsZ8lUfmt3DU+mYUs4RrH5ptn5HQJFkffTV4aw4guAKMM7PO0
w87JEzPywTIdPdlpi3YyVfrPQj8RSMKiTy2RiJdPKs/vDg6gtWuLQEYDnj03K8Zp10kOg1fWZ36I
L8jwl2IW904rvoaCJnmLvrLHfmCKZMsLWkW3oSuiH9SI/WaeZsqyia45WW5m7kTPJ52A7xprdRJ4
4Bx2Zv1NZSnonREPYPabyNZfdORimxhbY6gS7zj7+nx0Bv9NI4LiSDI1wZ9WdKsLCufreTzpkhk+
7e9Th7s1rdt026WAxxExBQeiMfai/cYdfSBbv6JE2T/K+k10owYyofEpHJSECTF0aEE2iixnc9LL
7KJp72wvj7nPQyhpqR+LHfEn6ZNdW86GKOiN1kwf/qA+sjn6yVIchBbUc0YkWB7F1J36vzM1Hg+y
mW5KtWdmyRhf7KKcKrAHHWhNb1jBuVdgZqHYHUsUoWc8Lz4Ejk/peDBswoL+eJ0eiZ6aUmbS6Gq2
iQjjCSF7TMUtDVh0ptF/tlHSaddmLM5zWyM/gz+DmNXQMnuSUSsyQkpzPpYEgQcNcQPBoOk62JUj
wzgt9S3c99Yr+HRmdNxSEd+FfQGCQLT0k1aJYdPQN7Gz2txgh5VN0M7pc0kX9db84ZSD3+vATUpU
tbfYcri6FvFtEMo9y/SPHjWfIyIeyoBncmSF8VU0vnboocKs3hNn20xXziEbAxkJG1lBPNJoQQcv
7uCCLI7FOIpsPk4ew6IknRY0KvY2Xk5AASpQMKXGngOc5CI0rcwJhMn9QrZnFspECzik0qBJ6zGM
h+WIDACiJSdNFuapPZHhvuNj1Z8Ibq6CmhaKS5Gx6pSG+QQaw3tAcDiBBglSEwasndnuM3vJKUjJ
wsI9SWwhb3h9ngzDNEhUKe7Z+mY4EcBRLXM/9GmZ3vfwYCdD9Xd/nb2IfDY2bkUqZruM6fm/L7Kb
lpMe7RwQXpQPCGJgkSitBKucMnCvYgWZ0AxoWXYq3Ir+S8gwe6opnS3g9mzycAMAhOhVpUMa1IJj
YWS7JLliDggMfkX5JR96ZR9N2EO4k/gv2wvHGsTXsfbTuyG1YUMjqZe9d3Fh38zodWjq17l35nvS
2Y8V+qOtvRA2o0gJYHryyreuZzjDYuUH//3S7M2JhJmRlNz1v3rGYm+sePpbys4g09RhTYunG9k3
3ysJwPWfi+NsWZS/mG0WOJUzbnHDfVgMccJcs/5d/2fS+/fZXP8go4yOWsJRoetvujEue+IuQAc8
JoBodNyrqZXDW9/nZ57g+ZEg+OFN0eOO/W8d/Mcwn1CCJnWePpRzEbodGgsevsGN9wmWCzCwNt3H
Sfs2QoMAUb3Uyvqp0+Qloe1w58zjdyeK0wLG01Qv6hVeYDeVtQ8Jt/wahvHg4W1RTn4eqownJ19h
Qz9/mEBdSUwKJ8FUOZawy42t7l2LcDixrKOm94HCIBBGFArgvB/yII6bMSgD35z/RM1JNNINysmA
zeT9Xdh7tJjS7pKbzwGzjSeK2Mn4QEXWfZAGdmmrjuvcXguX+pwt3SLpF6oVepapjX5FLz+olsOc
3ag8mP4YRLUX70auKbhrxpSs4rxYOCGJMViy9CCnHmMvhZBrOG3YUTzNdl/saWAtSI5pPsEnv7S8
oP3STDeLDhE/olimLSA/dFr1kmm/JfsMxLmfoKhon+KavpYxPjiZf5mrtc6ziz/TfI3Eb0IiQ8gU
Laz6hqmOxiMPeVr8TL19QdpP7gZElXxoxC3tOUapWvaXk2yzZ5UZ7IBqZWdirmfw06BsEmvTkf4f
SJRztbB+82UuNlYk89BJi01HcQVDchOMsUPGUUfjuGt2W7OpzpROfpud8U1URoK4xQjbWtAY0e8I
AXrhtOnDLiSAzw8jE+mhspjTi2mBcZX1LiudazaRWt+3/Vl56ree6cidGvc3znwR9GaabU2Pl9nv
l8espntMS2KEgAplSPlGGOcdmF0PpJA9KL0LJKuhnGg8djmf4kaKBj95YdhTFN2MPoE7aDKWK4ub
P0biVKVFFQr8PMFSCnlVxngnUl9Ao/UfAHJ/GBbQJtCUm3fn1CtDx+acoI5l5qkiZn5juM0hRvfW
DmwM9uxpOz9urDMAa7rJgDyYp2/CnsZdXTCyeXLVrOA/pgaHGA5D4CfA3mnRyr3TqZjZC0U4iEvW
BC89KkEzh2poO2NrxjOlrGDpTTOj4rQRcCyE3mxip/4iK+hrMpsSHkKjVSO5m05566aq2iaaICnE
bqJHp6ArVVTtIbeHB8JYVr43eSdz5aUS8Xgyy/xG+J7am2aJrUrjDDWFT0BHrv+2a/WqXvUfhJ/L
UOujoz44N3PgW6AEh7jUpfo7MGlkWvfENPHsa9F1IV6Y5Eh/fmkLseuT5Vi6sdjCKJdbNCTNieSw
J+K7qj1RNscav/YmU2JX1eZwA25INrPgo08D6Yf2n0U7MYKZOePNxxyvl5pDb3mxRQ8BUfs4F2gm
rXr4alkHyeJXf+JDbgGYoNF0tpiDSUjRNnnm3Ai/CsdMfCcompAKE9ITC7WVmv1ie3+JtdS2fUdM
Q2S7z3ZnXaTbZHuJyitwshs7/Ksp7Cf6FML/7M+wbSl/eveHFEdIYzk+Se+vQeNKrceXNi0Elahl
tzNr+lZm1GHst9ZmT/RvzG1JB4anMYaA7G/gymRAv/2TRsnrhi6MACrWuY1GwvOpQ0qL7tnwV8AY
WDeDz91kmscGyOg56s55NHjHEkd+cCb7gT+MXyyi7WSgYBlHlyHel1u/0j+iSPZENNkIFvL4m62M
B9UuT6WVXguq3VNn2xrijfSbPXGS8jXO2UTr59Q0UHTET1UVZONob53etsJ4PDSyKjdZAWgV50l6
GgcGKSogt7Vw1cXv0sOcFwkrUP8zzOiM0byAdZfGey71kdNLqm1dvhFKsKOJBl2GPiI0dZcHd35y
M+vF7cf8Ok8Fgo+6Pkygu6m7xHu0bBzy1kimXdygcqj+8VMw7WdVfWoq3l+hX8bINEHrSu79zvjo
Z30KMdPVm2UCJFATRae2A4Obv0rqXg907NDcztZmF/eh1fxQTemxmghXHyMm+CohHYR5fkMA2wfI
hQ9Pn90FeTq2J+JtIVOwAKuAcEXFaCtA8AZRTqz6Z2RYCAnRDpvN3u0ma09p9ofjoAgpUySxxhuY
zA/H/9Wq5nSf1eSeVtFrzSJtDQERWMckrp6if0SYmaTYpP9wn54XPrvbTmgfWuEXF3LFXqRwros/
nDNMg6vCbrv+LIaJqpdxScQII1m2ofoMsDcUlAxdu8Sz9F2FqMrkSNm0jRNfHBZA6X96bgraMDLd
Tj1crkIrqy0P+dCeQcosXNvNATitevTFa4F+fuOPiwsIcuEzLIMmBzV0xqe8W1ZgNjl1A4i5N8m7
bqpdXUPr83C/C3enKr3fE7cEMa+FF7OGnZAxqZGdSgMoG/EQURYC9x8nm5wuREqpYu2pjlyLJUw9
Z1rzIcri6PTmjxeThUhcYRQ2XHE6UNBgWPYhIRasHyg3UNpjb2a4qivBfTLr8VYN7lmsBbO93nYB
oV/mgeKVn3oqThYh+3uD6FUD6RFtTh+os7Kwmv1N3/k3Umjuuc9bY5hDgkC/5gRbv6AFxBKW6HUw
2qAtsxed2l71VPL6dN1a9ilBCLHFyY8EarDq039feAEmBG9pukFwyOiS2fFWjPU5IVB/FPQuNSTD
bthfq1NU88XBlCZR99TwjsnEII+BquODtXPM6DyrrjrppH4twX//mtk5aqBSXzYOSpyt0jXz1OV0
ZurkP27Jmbe2TPLPMDlPY9o3J7pT/v9lXn9ZLHxbtecxtdAvsXdjecsR1gSVOZKyMFP0CU9KfRDi
Boz4MfF76CbI5cPXbdCxVXrsY8TE/p382QyjZCWyS/bzsZ8vKWhmJ9hvy36X0VjtLE/x/IvYoAm7
dHyO/eQkcIbXBYjplKqHxdHvGTDLYlXHVJM7ZDJnG9VIm9MEDF5XGD9aaV+JLryiy77RPnXpHLBX
d66OdWS+xVZLDqV7qrn7KNsjxA7P5MUdPxPHucaTv/G69ruP0n+aA/VdcWFojty6aXUwl6QKtU/L
6j6QLfF5FhykuSfZNONdKqHMTCwWgZz8R6rsONNZe6voWPiy2xdstD4fUpIQPvhIo7nhO3byQ1ln
lwk2lQ/eGu2WvjZNvqDfit+QZ+0ts0KcT3s4Fc40MKVZRTC2aHZjlxDbhlYswkM6LVehD4yw7Mli
XFkjjMCk530iFdkRTU83VUp1MmF9vPEAftdSlmWYjfaPxyI9ySWw9JtLNTB/k/6gmu7cUW6wGRkd
N7FnHcTgo6niwBF5FSDchLcfn6XUH0Qn24BypaOMmKNwU3yJajyIGmqDqeuIloV1BtHaJF7ogy42
PeMqUNq7xZ2JF+bYlVZMK3ZPHH3Ed5wZbMmm5f3og75vrT2I9HlyAOP0OrmTrcWc3fIAGOYIuiDy
h2x56YrpQdW88KDmyFO1GvdI6+yJoclQg/hH0ye7zEzkER7mhx5QDk0Dva6eauv9Wt7QhX5Q08RI
BiBisjVZh1xK3jn3Ytr7pMCx0RbuoZlRl0Tj+pcnYN3WKH99j0hH0hqf4zr+5qN5n6LyELXRIwI2
+EvBQgroBWj20tXOb+sbb2RIn8qUZvUR3mTx6w9MMisN90pq69bM25MlopcRoHL9nwt7vhfC3fhp
fCpqB9/KipQqRWCp2ApzvLi24iL30FAdc1G9ynJ4Nnv3V7entyX3tuUEF8FGx0eyZw0wVP6wzP4l
syt3w+cefaNPDtvwrDjiZG3CO9aXeSCYk8Oa7nP5oOXdbum9n0Vyw7lAAskAL6FUjXKO0ikk3XWF
jCtfOxmT5pkcbe59yhcryqN0y/ojWu+nJNZjszgI+RMmUgUnUJjTxdWjF/agbT+lrz4SK64+FVhq
OgDmXgrK7NfcO5Dp7thmOF6dGtihsY/zKrzvke/VnfXrV/LL9LzHkt8rUvlNzOdGkIkWFBH/Pj/0
SGYFc/4I+zm3f1NNc6D/Un0TW+WJDhy07Oe69DhN2a80Z8QnrxAN4tR8SDrtzXkfZPmXYqlNQ2jc
rNUXB1CgascLyzMa0YCD8EYXeXypdbHLS84CTxlLOEYG57vTPXuyJaZ7+HZNcls5ThpTIljAGKO7
LKXwf1bK406h5bPPJ7Ao6ucm82CtzPQVrG8/T9Yb2FGaMtwx4rZrBQ9Z9Zu5nZ/jPo8Dd63tNLTH
bMhOUnAYEqp7mpzFZ8WDtp3T7KlQ4rVp7W9tJn8rMScICDTtkY4je0pXN5FHkOjsYJCli9fZLNGX
W0NWJoPB08go5FcjnzVk6jY8S9bJo2fxiJE4wLy/TZkEaxRDScoo7To+oLEX0B3SbLyxzUI8CCd0
magP5/rVUOzKufzIE5drmTvCHfgpEtQC9mTvPQ0LTFMvM0Lt7mbE1aP0UB43znW0zBwgquWqt4Cv
YqlfGqM9d5HLUJTNu0yVR3rNse95RNXo/Rqc2r1XxXSzJY30bVGdbEJk+LF/VWv8GxbwDWtENqmJ
R1D1Z7CMo4k3S5nzxh2Ht1Tm93JaLovS37R5uEDybnqOxX3P0LZBpEvZoEmF4xK9ZAtGEQK6wXsR
JcQRphGTcDrvBPn7Nc9/HLN7aOhys0mm3BEpd+AjB7RYbF1g5inPDqZbHop/OW+askgbd4jZCC17
HLjUOIzQlCFWs9TD0CAqHdobrD/LOWMtopTO0gLPVXHIwc1fwiVqN95v1Nbv7iAwhPOoproxhGPT
/6FN78Pym3zbN095An3Wun9mh79Gm8UJCo5LdzbgrlkZTIt9wFz/4inxHrV24J5tjmPPbyDkwuQR
Lb8dT6yGcL9zxu5oWJdWoUYQY/fsR6RUInO1Nb773l7Ckrds0+7jfsGrpvgg1dHjUBNhXUKfRsis
VkOAJvJ77FYwNEkGIEPIj0YXZNVwrHBD8AoU8VdpYIEDAke/6pFT6S/WVedEoqPqNfV1UrT+pH2L
bYT/RkoPkvr/jhw3/efmnDlTxkekav7M+QT5Dd+cWiNaMfdaOpxMndKDGHM7GAwfe/tgGO2T00Ba
LXJCUG0cyFzcRbZ2bkqkxr0/v2USfbZV+SdCPPcNElyzR6RuO865j9Ge9a75OcbRY29zRLh+9KaR
vnvTiuza+Egey6q/5QUtJssYwd63VxX1T5bGK6XZTRp2zWMe65dYAApiN3ruPOcn74svY7azQHmf
XcG6Eo/WZ6R/Vw6ggeWBq9e+RMzLJZnFMzpU9Pv4kDjO9AHVdhFv4748TYX/AV9JxJlONrGav6NY
144Un71CRdyJxE83WpTrzDjT75hot9TLWOwH0hxG7587G3pQGDqOK2kdyqh4nI2YPLpCfagIcdms
+59zL4E3qFqinZmO+/7qFaPBMqY+ZNfhGPjN6i/KsqzN4nt/2pT/MQIy92ZLhJDtfpCTy2rl+Dm7
QdPgu2sTl0u37F2PrcFC9Ap3g/KdoRb9s1ENAf1STJHuPZ3mR1cvngdDzWQytYSaS0YAVT9UA2+3
tMDv8tT8oGMTE6RxJlHpU1J+HGRiyI5JI/Y2kwsWgk8ydLqTlVk7oG8tJCejB4lyukB0hJ+PehT6
WXkYhYj/jbO1l/m2cUz1NdMsyZH2mi7Nrz6qD68rX/G6rWFk+rvDR3Y79/OD2xrnaXb0J2tQOz4c
BDpMj3QAkiWR5f9EstafTZZ/aKej1tBzOVdo0y3Dfi6D0W+w1wiGDgqT7M1EwHxo1yxWDlcaJy6D
/qS1nH4uapDMprMykX9dNLT7rjW3Ld4+LTfvSWXs7JGhr4hJxxlofB0bdXd61InaVEVhnQ5ni8rp
oLAQQmmpy6tGfeKUz2QSD9hffZKm+JnHjju8H7jqrVxD3DuHvd5ojwintv7UPiO6QC9uR5dlGM6T
xa0aFyg4FvrYHqDSXsGGHn2kj6Pta6cuQz3qICv25KuynzK7/4OIwrhnQ2cH1GTuIsNKz9HCu534
7nJM9SencvdlbBjvXX4i40Qn+Vt89ViXD3laXjFQJAG7B8o+mKSZQtqr7KK/yRIunB/btkH5A8JO
y2hNjKuzvLo5SwHerMsoe9bkEkGyhhutzf9FaaVdWleESvX2o+94D5QPUSXadh4u61+S6ks+uLgE
GzuovepG32fQsfftHGVd5Wo85NK/pih+xnROT60ug2T1OSj0txCHkpyrtHKOWRpYPcNmn/+j1fmf
tsqd+94/5RbllSrBl9YazbYc1QEw/lZx1JNx7JNfPz3rzMb1yCuIv7aT7+mi92duGx781eDcqmrY
LU7+Tkpxn9t7LdEhTE2HIg89J1ysA7f2HXqQO/u+THa0uia947Q6MZt8uAyUGGzNMia/joV4M6wl
mqX2LISGM4sBoEC0Doy+be3uW7jpT5XU6C35rpqccTuBtk8iBa2SLNsqQkHXRgXLajAlxt2F0RnN
kqfX8OZAFM5et4qbod95fWkZLtJkl6G4ES1mG79OAttwrolOOY8y0esb8sxzfbdSDgi7t4qDWWXc
Ew0zIzxZcRacFabOTKgG/xNl2U+EhweV/5NnGvJ5jC8+HiAUYWRkKLp1Af0j8Kk82SXKOZIPVe6p
Zv9NIutMLL7alq1RBPaSIe4yX31U5BsuEeYdb2KQiA4soE+xLMl2buSwzdXjoDEgGsOAWiHSD7QA
hMucyiOh6aBks6y3SVTV5wgQTd95UcPeVIo3lIvOI3XQSLeQ9/KYvvreiB5Jr+VFJzMae3v6h7qB
Xzvn7WWAOFV6PUN4MlJXS7XNJ6fCtUYzgF7z/Pex+kcAr/9kTGpVCP8ZzEhspYLHRGDCdjwwPwxI
uBzNSzlDydHTASwwBXHrZIsfWjgBn8RD1hOlSpHussES0e7AlF9zg/3AGJS710nhRzDgdIciS6ZL
NhEHrqNZClpsCEz85YDUwUvvHuIPIIJVZJ2wEu+8ge918sHvrCEztl31WI3FIyHMD2T8dqf/viyZ
+2K3hn4wflObU20N20Kqk6BLIgSPJlprL9Ajhbk3GUC5Kg8F9FCQC++fhP5ebEudnKXA2uLlK8Pe
8lG+eTCYJ6qWXwo7KrZY6Ln0iYbOYf/yCQfUID1EwWQuMB1G7Rbs4EbOOHMbJMxRWwd3NU9fwijJ
lpb6cRmxvQOwXSbZ+I9RaseHxeVZg+x6Ec38LkVhXmTybNiT4ODqkEaJEjAUhVsPL4nsA0zAePTb
wtkpK07DFMgsgWk7x+ituFL7gToFMW0q3aivmCZ1dvhpO1hICp1MN5G+5eZ5cLLvsYGy1VmHMGYP
fmAjFdnLKFnhMZ7c2kwpHS6WaIfCcfHVdR67QC/z9jyvX5xa0v2do28dleHdxqHxOcqSozep7vzf
b/mdtwiAhRSNEzaB7dDN4HOYYAATp1srztEqebWi+rPL092cxf2eC0vfpLJzw3zl0mcDN9ngL0wU
NpKu2ue8rYuq/w/i6JS77Nz+suZ9I05yw1kDtZvJE4jNHAJ/nq8pOQbHyJnU1coIh7W6Cqoj6wMc
WWdfDn9cxFCsN746eZW6KwPY0HPI9GiNhEVZprs2F++EwBDC0SHt1eLqbRi6AmQ8f0GXNmxVX/7B
JUnw/YMDILEdwXsP9jICc7te4PZqOmKOXW6+EO/TbN9z5c83qwDWqL0B3Z4Jiq2hmiGfvd6KCqFX
XCRvtu/kwE875Cifo6d0CObB3w3jxmlRVDVGKvdeqb9HpQ5Q1WZ7s3LsgD2zVrw0bYUCcRnwVPAZ
O5Eqhe6Huo9QCuqqp8Z0Ds2Q3Ouxa84tpePHycrDUk+3heghler6rTMiE983QkRkp9sGwRLVz9qD
X8evdj1gm6vAyfLSWq+PbMEW7+af2Is/a0erHxMX3IY2gU8kjjZD3J6uJWgj5tsxLSluJ2Ucfa/4
cUT51IKn+TVZ64kZh1XE2rc46S5tMmoPMjEjlWvlhImB31rmA/3zq0sfzXFBNwoPNa4nv64y/H/1
u9OOBRvF2hFTfFqt+53GhKv0c3k0zGW+inQJrYq+gdkQWKuiZkfTdr2pnPQWK70i/ShiEwfM1jkX
PrgxZi5WudBGo80fLkX2aRcooxNhu/Zat43+bDbG1andn7rRureyQcSA/uGOyoZl2wqa0mnDPKm6
Qy1b64pzmvVPa5o3dL3ynEwYsXN7qUPyq2wkPI0EUnXxQlD3fRUdJYijpx8FNRrkxvO86IW5rRo2
RV6CV1YmyM5E3xPfLw6yK+7WsoCKPyic9+Tz295dE6BLjUE9Pa1PONnTs9eO37419g/JBEevu4dW
WxZIs/RHMX5wlWOrzxIX7GvMz+5KKmbJjMSSNbjWxufcQMLB+oJLyp+uI90O3HAYgjLT2qVTHFL1
88ulp7+r6NnoeWapnle7kpKEDVUQBLhNeCb8QouJtCA/odV/kDK1jyxCWLFm/6wCE+nxyYLfvHZe
uWuWqnklNv/NL6Lm2SYFAttqumxN82ywqL4OCCdW7HQ5oMXWh6J50FQGSNOPaEPpUI81LWISRQXV
R9FBEaSphKWCqs6nndsiO6DU/jUlIsFzSCqdjCG9Keu3jYHtK888KOEEmleVKC7mSyNR3Y/whPhI
k2g3blcN6G5u21NDh1MoXepix+4/Hbo9fBYtNoElmjD6QsfFRIDz0E74lHBYaYiPd5CBcTgkvXnt
6W07GFS8aK00yUZQ3ZdNHROuknRv9EAYKku2BKEgpek4FL0lPuetHVBC34NnjKyr2JkW23isk6Fi
/TK+lLeXZuc/5iq79YO5vg2AD+Sq3FRKmVS9gPV4sz0y3S0vtNWRKsGlh/XkqJUmts0Ea6J8MubO
vCzrF9UhnPPMody72YthVsEEvLHV3LbYcbfT0gn7ZSUFrq8YmfDaYjD0FLz1DpCA1W6pgjOIKQKv
NjIc0sO0NxeXhX1NN80b8Xe03WkjCjh6mjxObeM5W98221Aq98mcQLfQOZ/TmeiAMjLm0CyQ7DVT
dYz08Y1884ui1pjQiXodRVtjU5n5Vas6KmNMJBkEdxhB0WHoKXtlHuOuPpmSQhXCLTWEkBthUQiT
zXO003VSChZ/2eCSo+fasFkGmmmfoW+8G55+G8nP5KjoowdyLPKD8DoybuhvcoBLtr7mWBtu7TGE
J7YDT1NFkDZVuu/m0gFjXX2KOkYW8jQQ02ef/ohrnJoPWNPif6ydV3LkTHa2t6KYe0zAmwiNLlje
0pPdvEE028B7j91oLf/G/gcJfiw21TOSInSDQGaezGKzWUDmOa9R8JtBiJmNEnC4DA/X3tKzfRLH
wRWe2YfCQE2mg7svtWPI8Q4MSZu7MGvG5mvXxso9AgS3fGp378JlX4LeICnGO3s50RY1lzwZlO1J
VQBKMewyFUuvRcoGMmpXihZSrG470Mt6cYBr+TXocItQhuhXWiJroaPqdNWndbui2L82tVIGHjPy
5AV2XBfNsZL0XdUNv+DuOAt9GCg+K+a+1nlCB4Wx0SWyvUpYkToiDwTq2dxV0aBDLzHTrVOPBz2i
/NmBJ9pY6DEsXdXfdXCJl7YjP+llqW0xYmlumwrHOlmVESjt2KHWUUaeL5PY5vrSD9PDdK+JSoTC
pdbeS9lEBvTd1ehFvzjA8G4wTOPYVUhR1F5wP7iJ8TWp710c8BaOFpFocPOfJgXRbWli7xN343cL
Ng9QQ+C6Y4cWUWNLPyxqS0vXZeMZuQm11zrYFw2wfZ1NzYH8f7sfa+Obr1khf9bg1KW+nTJRFWh7
SlFmttOS1FjX6J4uqzp4IF/Ac8n29uzk3IXd8dtzVH5pTYAmkOFkP5pofPEGjIE9BzUjYC/ykPu7
tqhv+YYCwEdHrPhaSaayQe+Yb1ijkOUvqnKPCw41AG8kxy/aZRHVMRym9L4abXsF74QtlJFATOXi
WTU1UEMGXYzp0Zkkkn/dyeUW1e52b7O92Nd1cmQvwMPOZRUp3vXDEcOndpmljks5iOM8BpsS9BCE
LR0A0KRrI41sDfAJeTVg/7RMgpDyrhG+AFsAiA9PJwLFSb0/WaT5qgHRdDCpiMeafqv1E641C7Zm
Qn1c7iN9zz7wUKbsjNQx/jHa0EfGvnhuSxB/pEw8/nclTqv2zww0Ow5fgGNHULI4VSw11/fXnrTv
QdEvQskoT503kXGcPl1CWo5hgqffMskNb3W5OJELPkLumP5Sk4YjJW8aH0nmsa0GJB9kNhSBUpHi
cPSnSFLXMQpISghg3cAlrcrJM+QlP0AbP+WOj1UYwkCqnSSHwkfBS238LTmDbgOOd0kCktrEYP9E
kmgfUaxQM107eDYJfDuIVlVDqjIAxr4YS8yn/dj62loN5DI5+VXm7k/Ir/XCxe2KVFb6WKelxTcx
l6lDDdA5VHejy7V3Kg1kP3BOh4tDwS7y2n0J0uSKvSjlcj9iE+aPzqnFIZJincQjoz5ZAMVXXSSP
+1qVhkWEufuIYsB6kGtK4Or4JEkKulw9iMQigWrYtmiujaqDcw7bD+gDDWCo21oD8jnAAwTl1VBu
08DM8MZEQVHeyQov0bEDsVLmj6ZdSXu7AgKto/4MCoUaZvBjGH7EkQcXx0F2Ko2CZRknxhoMzS4N
66s07dJNOm2BEVTPybw2w9owPVAOz03XOIfhDkKKfOOWin1ThPL3OCl9iL36ChHR8RCW+h6kefCA
lJsJIxPNmi4z/Yfe5xxQDdUZFhpC7P0xalNn6+Fg+BBZJTAsowVu7huU9Hmu3WOb5d8HyPtGgwoV
JPTMKw/PxWsza1dB1dsb9AcD6P0rHiAvhZzcRLF2jZYnkOEYhGGsHuROG+57Nm8+nM57FdL9AxDI
pdlVwbFQ05WjZ1gDGRi0jSE0QR8qE+ZaOLHyDAZ1y5tbD7D4xNtHc4YBpFbj4/QV72VQ31lXKvtK
LX96PCqXke7Xix6g59ijPEWeXVlrNonYGgAHJLFg09u9DKs/c6B+efm2Bql21SZBsnKMPHms2/BJ
9XzExWTLXg9FZT0hOIeAvv6N3EAJ5RVsRCtjxQ4xqEDiqK3z/Nn4FeB7SkGJLXmNdO+K87+8hxXZ
Fc74qqt2/90t4YS7PrxEm3zhWtGghKBvwHbZ4Y+YLPEaWSjE1hOgnQ3vu6VsbyNMNUAMmIs6xYsx
C8NnkHBU1CeDNRuxr4WWu2czMuRDOPjf9cH7VjRhfLJJ2C2jLod3TZK95HlQJQ+O7+l30Gykg28C
ve9lL3oYqi4DtglrKeLNVWFZ96jaHcznLMCoffhSmR5fvDzHAFHv1latdndmrW2R6e7XjaJxbipT
7cHNPWpmOqIrE/K/QS0HRSqyFqAoUYKJNjxww3NJyoMqhbscfYMHjskLv1XZhHj8knTjWfP0J1Pp
jS2ucTeFnz+YjRM9e2oybPtp++1qkJPlKN3yoKXIr1f3vpHc9eiSlKDlNoNuOgtNa9i7Ocku9tvr
pAvNXWxiuT3KtnRGHBJ9ACQb9OyXxumAcwxHKFxTtEXQ48dZxhx6dUHZ1SxIEdHwqKdNf+0GyAz4
anKtKYW05N0GlgPFwWXi9OsQSCvove6US9Kep2+6KEc0gUC/96eU44g2QGMwOIGsDK/50eX9uA17
34IUbKnYfgHi6tPCWKMu4oNhbbUvaFXuw9a57fTYOrUyBTpcSb/Izqtb1tK21yjvOE3ernKNs3Kp
GyhM5JpyUIavoORVclbooMVjwE9g7NwuzO6jhL9CtBUUEyi7roOqs3LSeFHGxkQZAs6XcXgNI61B
So9zO2AKgDvRId6il9KeWw/LUTvl7SLnJ7mFHmVZqNyoeae8aqF8y2YeN7TenSQ6/JVaNNUqcJzh
i29Wd1lDQV9panzSMgQ4pE72DlSCs3Vpyd2j7RpIP0rFqsF6bWVTyqbO0/7QeImC3OqvK0+D6ezE
5V04bBDXgJhN4fBu0DT+u9Bc26PWba7cslT5ytXaTeLqZCHsejx5IUJTUo6rXtD9tAvgfxpy0E9d
WSGrpPb5NbS7YYtSAOnoyoDQ7NbWdehBECMNkH0LUZRKwHn+dLv+JSMx+hRn8tJzyB33Sp9eZ7Xe
bobWMw96Nib7VkVOusmy9qjZx5jN0b5LVGcZjt3wAnNlj8Vs+VgDKb6y8844VJplbgwrgz7RdMXa
KExt0/iqznm46h/ACgSLntL6IXXhwZFqI+migzORQvxQjE41d7l535lJsQT2FmzysmanLTUIPnXW
qYoQRwO2p/H6aNqHKsEi2eJ99NWKqq/FGD9ZsuY9Fnr+tWK3fa/48Aqn75s6QllRS6/5FmGVlvn6
t7LPqE7w1ti7po45gyN9geLgPwjF2/8b7d9ple8ZRPKAYlX1H0Lw1/uZTUK6vzVWaY2awW3zsxzu
fsIFrv/j35n5Fvk/Hfy3n2KVhyH/+Y+/fafuXU+rAdpJP0r0akia/wtF32/ptx//7z8/T5g1fSVD
/bupOoYly7Klqbo6GUXMor6SomNp9Sbja2t/V3TZtnXNcXTuTPSpSVrV/j/+pit/Ny0ATjIV0Wng
fyXiC+r/dwVs3bIBQlOxw+wCNX2FH+p3Ed+E3zxnI9t7pnJCjdlYtyjgPKo8zbl8aPw1wtdNfaQR
aYr/iO2u9gjJeJ7TR1RnLNxu7SbOburEWFYqCPBFiZjA0tWxt0XB0b+vaxN1W0ZFy4Aldk898mME
rIM5QgyKMDYNcBJNNZjXEJ+QgQNOyBSYknXo28E+cCyMm7Ud5X/d+oW3CVCK2SWJ1fOitHsg+5In
Y8Pq6lsyqvgXhoB7FhlFjgUKLeW2Fm1Eh5Ehrm5jpysPmpFpS6uYKscIlTx3Oc+5wSjKlYbYz3PA
/gc6jxGjGcsoLqB3gxQoqzQkS4GNtH2PEzA6hihz7tBZte6RvYUG13BCFqOdFbh3eBiLMdHjZNJw
lWd+t+/02r7H4MrZTHrOnOOt+HoI8zWlHQRtvIwDDyU5jiairVh/uBVDpdKVe3E3BAYgKNGeb7tp
FUesIm7FqhGVFeQZB2fZdlKylQs2DxU79RukhvWbIZK7c46MJm8oihzTJYESlxe6tYrjLDvmQezs
DJ4UuywOMlK4ZMFqjaOGEikwdigrPmYOxW0+q3mBEsS7xnd+oryziGqQZfhweKR+2uvA9KpbCr/l
bVV51VEu+2vRKrOquk0ttRRd3nuU5uTVUWPip673ibpaa2zCB0AyaDys5KpIjplqh6dBV5xlNXbt
F6WJTmalmj8iU7oLgQQ9X0KLKRTgnrP0Cxe5Ni04pVZs/ShV5y5M7eisqeNN3ibVicxleVINSnMl
KHbRuvRXGSmFZS5ddRQF5lB5zDvUJKepIk6P+189RFTAvA4DrTGgroL0zbrNqBmbqe6czbwLTloO
26Mb1fa1LvKrKijrl8zka2gMZrNPExTvnJDcm2+k7Ss7oC9SmmYgm+Ee2lmDXERdO88IbW1EwGVt
1An5wdje/Ou14UUDJ4uDFP5qla1r3k6UxZL4urEjJMrw4Vx66Fy+mmw/FT1+TZySZFDYOQc7MZ3r
KCIN0MhucIbpgy06Oxcwsrm6j6aLuBN94tIOBfD6P8X0MEZ2Y9ld2wlAftlKjfvYH/xz0Rm3XeWZ
1HnpqmrlFspacJZC2biXFXKNdaBDJ56aBWIkZ8w2b/2IVpYjOtuZ7tmuAplKQso2dojVfSZ5DgAV
7OmPvcbR1QracR5OEk3dz00xrMQap+dpohgRffPwvEaXutSjA8l7hfSLdk2tvBgOR862VuqTg9P8
scT/dRk1Svc1Ry+jArP5Q3IpaRrkzO5xF3M3geyPW+xWmrvGTlARnkJ+X420PVUzTx6PXhS5oFhI
zFZOvomKtjsNmp9DwKi2Iwu9Qu4HpmAb7knm7mwaE6yp64PX0PYPLZIVT1BXJYTqUK4FWX80a0c5
VVpdHweN7XRSS96iRbfpFLkBOmog0EJbTm/rMaHSnMAlVcq3rlBLqxvqOmK8D2qeZ023DRNUDaCk
K8Yhx8zxIO7ERUpkOOieHy6H0TU+DIim4VjfVaTMN4FVWyeQPinKTZR6QE1bJ226IOXWUH+dbk+j
GlonESmGLkFiohtBiGuiwH6bIwKNND2A5n0eDIPyeJu/gv4kzxeb9rUf28auG4J0I3HkvwfFh2qA
mZo/YtjsItbLAH9cYgNTAboSFdeoNO/BK/cnceEB3EPSGtB/R07E20+jok+MIjPen3wxCsTa2w8d
IMVpLpZp8EWTzg1B7Uwjbp/PI0ZADkzu1I1RDcUeudFi71JNh+g33caSlCsrMSQucgRe5moOBX4x
x1+GP4TPkR68WvI0CB0nTV/ftXJc38lJiBSvEdd70YyyJrwJTJkkPYPiAog+3dgFB9imHIIFf31k
Xv3AvFYr3quxjZ9krEIs1q2oPpIkCh7auD71ShJ91YpNMgk18KQN9lqcVo+hlUOplMwXPbURH/C7
7DAqgXav1sW96FdC3slsebtj7bXhXV3I340pXs4lXHxsyTy5djfcZNAlOcT05kvXBYgljUl63UNm
v054wl7lvXWXpxkq7oV7NEgQ7ORBPYSa5x7dqQstDPd4aYo70Rdh3Owk1RwlZot4cblEFeZwB1YN
p59pMSejEGwm48qR9H6BJ2/wSkKX40mTPQcQXjcGrlEbUwZAZyHhhZfdhnzextSQxfgePrsF5mFN
aoY9bx1/RV5ZQbvYNNaeYzcvarbuEen6ppJTXIdQsXfs4pKnqCgpy2bJN9P276W6OFlR9z2tUn6Q
WtHvQEGSeunbry0Aybt6ungDFOshb/w1ePqlkSOueqVKvnSQkAqeL57v0CnaJOvgIxfYSgI5fBv+
HBiIcLMYyk2sF9/BQ6CFro5YmMsyEl5phApQYNnmlS8VyOcXqMLeQBZuTT+oKNUR3WTWX9GUe9UN
3FgL2U0/d6+0a+McIIxy5ocAIMeWZSmailVm5wqRPLYgcvdfRsZpWMSU7oD5eFhei7lWkscy+8/f
1kpzl4KDmJK37NFE5NzJYx+WX9c7O3TW1mZrxd9lcGFAdofxpi0VY49VgzbpLntfeSqu665I5giE
5JND5KIV2JcQ/1pqO3YoeTsF9NAdJjLSLYhmDYGleMFboaH8x4FRDP5pAuo/oJwVaL2SfOp7ZwtO
pT6mlVUf4cNX64L8GipNNMWAuBRu1MzNywAFqfqoxGbABgSj8ssqYuDS7Cgn1leizTn/oCiBs72s
d4kT02q1WXXtkJO0lW/s3O4OHJ74n7dc/o5R8NQQTJL7G9sajEmEWyazMrZo44fh1klK+xkjvy9+
5rc3aAsFD57dgXlzrOdEj+S9WVfmgjKu/cz5Hy83sDE7MRr49QGAh35Xjp56KznjjV5p8hNuZcnB
cA3jUCgc0sUlb+sfCqDodZOF5twl2y0vKxGXppLFL3CK5gc2Dp1e/PBJjazlwb1PEELc+KT4m52I
GNFgr9aOn72FiGU0zWy3YTEevGHIEe7RXvIg1cm+K+bRH/UUBQu1NI9jrHZLCGQN78KkwIfebl7D
gJe5GO21vimWXf4CvP5t7rzcPCpmNBkV8VwLwTT03V4JVG/XorcmWuKCY2+/F3dhYnbz3Z/6/GlU
hJDNhrpc8QxaKmrdXYnOjG99Mun8MzTfR5lFuag0t2FrjUcdZeqjrfhPpgpvXLQu/eo0+Kmv9CgN
aZQC15eBVm9wZHhfTtyJPnOgFGag5rH6HwQjH4osJszTpQj+9OFDDb0oKkn6uSGY0AZRbZms7cKg
enJKUGK86xTnsTD86AW9KtKseDDtE0/Vb3LoQLJlxTst1l+Viv0T29K3Zm6gFUHOsayuERSYQ/QC
+ueV7qvVtaGP/7wvGj2Y+tPUKAaeI3F0X5tWV60i3HLn78lQFgOnNH6LMtRRu3DJ+dWJNDF8ugdq
9Kh/TF8ncRFTS6pq81TR50q6fOzZhYhJWVEbm8hvx0XGoRTymVlvcpAHz6MOvijLdftsu03+1FRf
yqnblhLtGGhAXrCv154vk0QTX6JPk5inOoWyj7wxB4dSecXBVlI/oNSn/+hzkwqWgmDu20g/FAit
ESMujVEB+ndQqbF/H5iXmfrmyVKTFwe/5TJP1p18VSchEnaAPRd4PhrbrKuMB8pn2dqpwSv4oWE8
aIh573SNWo5oorugnSzP/ipilUpV7soY0Oc0cw4YDBDZQQccb1qsQ8nBRAHzKJr/Fx/VaLA0aoUj
ZyrNl8If3u7IG5wzSJS7D13vYRpV0WWr1ABh3vvEnQg2AOjsE9s7XAaNxkfZTLSDPJwXvoxepn5P
/ASR2jRpVmYKGfJKGxr97I3ZZF0Y8KQ2tHOTuMCUxC1qrT1FJwQLRNw8JYoQFZUc7GymuSJOXLww
0s/UqvpFlFTN6tNAW0LEev8MEesGTPj0OWLAq2v0kOrwrDkWZgO50QNLnv5Y1V+uHAVPUuGHeMQ4
SO9Pf7Ql4KeN7moWMl1ETQ5cf5jkFWG3Q23qZ9mzkw0qr31QEA45WXr/HJRG+9BbVfsAha3RynBu
lF312mCwfRJDbN6zZUgOZiOaKkmxrVhrHm2beS3REguyVhzq4YP4rCRqXxF9hEqnOht3zAtjr/Bj
yxqPZtuKkC0xwKuq0gNmHDwo/K7a5XUTPXYNmlmKNMabRPOjx1YvUdYzhhxNGiV8tDjjbduuQuli
asp20x4UEFAo99CUfCs/N2nzLKYWutreTha6omV7offYr0Wc+CCzCdY9am2nEnPl0eq8G71BEayW
lVv0C5Xb0JJMNr0RiEK6RL+L+9IeFTjEUd7DeBjIG1u3AX9NfWDTulM6ugh2ZfZytHxrlU87JHSs
qrsBWFSeJ85JdDV1lh8VL3wSY+IiJuG2aq1Ek7/x6s4v9UMQ2fZpaDrnFDSgthy0JTLqlajt7C0I
b4s8CMFaTU1+EvxwLk07CtCeUdVHN1TOH7LGN7ON2r+lTXKT4S1U/eNvqjplXi/2alNmFrQIlCFb
h6aga9anzGwZ1QbmVx0K1R4u1TrCo7z+my+IV/dbwI0oixfq8JJz9rc0q/niSma3NZSiXIcy8Am0
NK6a9/hL/+/xxbRO62XDS837+1O8WP/9c8X6jq69xU/rWzka8Zot9zt8lNMjchPxojW97EuO9OOy
g7iP1suYfumNfBP2dvyQmEF/XUIrvxL9rhJBQUvQixSzAMV9w7ujuGlhZt/7dQ8bj8UgCLtb7MFg
a01NCYLUFYU6h2Ni1jw75VZM9v2B7ZfXlzwv+Mh86Eskv7AwppRs79l4SSdxKfLMPERVvLx0SXLJ
4060uyF68buw2orWhwGV/4gV6oA4kETa21LAdxX0zTgTeLLMZhUo43ZsteTZQHAIXEATnEnGpc8c
djkBjT3OU5V50yr5nehG86naD6QrFlI0pM9JjG1CQC13I9Yg/dtNKFjAXNNoGUXUs39EABkO+pBx
cikoyJ3FRb/CkBECwChHsJ2xEaNhqUl2RsijoJYJBdGNzxYs1AnHyqxPE/KGbFRR6r/Sqq0laClG
RzlerqnhoT1+VWgcxzJXVykTBdYNhF6LjbrrndSy3omusLGJ86qB4niinOfm0CBT2pUyB+7BB0Ht
1NaNiBbr5y3S45e+y2eI5UWcR/n0FLTF7tIlJkyfE4ydcp5/vPlzOth0lx/PspphQXXnHJKEinOn
POKoXB4RRyqPjQ0/HzokbRiMDVYFlEC2kDtuLzGXKaJvDn5fpvGjYCvL+Tzhw3qXuNRIsGpp66Xm
452zUKsSSKZrsGFR8vzgyXoE0mD08oO4pHiPzndtmzDyoT3FzOFipgjXpzX6VAZc2erbT/0iYuQI
Mjt0zkWyPzyPFOEJ/NvzyLD4qhhsh20wY2i5/l4pCgy/xvKoR85LdkynxIg8fEV9y2JbTwVAVAZA
KUINwsl4eSkNOLni7Aepf7p0ibtc/enwFwRX6a8igtnCdppXNBxSWZAj+9K4D8eq2QBbTpdeLun3
SVPYN1SXEX3poM4HJmJsbmdDvjK0PwfXjk3legqOYQt8CE7Tnd4A6iOBSPmiG8pbcQkgm+x5Z771
kYktb0sdvhRlR0BqU/NTn2iKATFXxIml/tR3mSs+o8v8YoUrmb9sUtU8YLS1GKY8ZSYSl+GU1xRt
W7bRvaJAshLNcYj1ET+Vap7yITrWO4ARItxJ03JFNk1DcHJa6PdPEGvPEz99wryE6MSF/G0eyyzE
lNaVX1S3ofIv6RYCwdWxbn2y9ggGImjBRTZH/ZyNICgtB8yZ6IvVzMdoaBpu+mKeYQ7IAS31JvM2
oYm+HV/qwN5MCyZ5oe7xhGd9p/O9zWWdebGya85BhV5bWW2hj3Ao0xr/XlwyuTgaRV6eRUtEqBI6
pqIpMEwtiZVPEUlT3f/r9zcF+8/vb4PfsQlPTgdwh+vqJ6fm0e6CsMkr69F03J9GYtTtDrSMdUDJ
TfOX6Qg3PFdMVCkQATmUXWbhX8Fwg60V+YNLpGzBzR26g+74DSzFaWCYLnNbTBRLzG1SKBQ1yGAB
aJ4+RwwFsIna3eUz4kj/NdhNvh4LGW+Ry09QQpt5+4xLtOxT3YALgkUanihX7JEwzsjMzRC70bHU
5Ij/LmxMxd2nPhd78au6zMaVGBBxoLELkIVsAkh8yQf3/aK2lZSvRRs4BfvHKeYyLO50lLilhS/l
8oHdKoIdUozpAjuR6d7PipNvuC7KVVOn02njvLyIhy4d73XXRnIkgmHY54gVcgz8WiZJuVCyElvJ
UtYeajXY9WnafB2pDK0n5bONaIZptepU23ksAaIdUkwdSOrc9PKYHBIzu8lwwtg0Y5Ec6sFPDlJH
1fjKbDDhuxK9SMzqwK4rCG9zx4cxEVBNc41cRc3Gs6SlitVJuBZric+g4s1Sl/blo8SdiBGjovlh
xYoqlOGOIE2mD/incZdpnz5DDIi++Z8gVhCdALYo+FrVL9GaR8Xt/E/70DEHWG6yAHfoApdqwH3V
FiCbPF+2KA0e1ZH0n67GCJC0tvWNasU3NVfT+yFJi31lIt7A8TDBzcEvN1IfvZpNYu982U9vJOgH
N5KUIWSjAcwUfZeBJk5fQx99YtGVKFVKKtHLdrFs+ehyq8nNZWBa18kMVAbQGlrCe7Zuhyiwbvnn
7Lwc1QHRCsO8vikw8KwMow7x4OTVYwfOFxEfTpOQZek3XWrCHZymiwGUydlUUYJfXdZFGKKmBg5R
g9d+fa2gAq+h+nCy6yo+KXWjbQJlfFGmrks/KZzkQ7OQtUmeP09XlzgR3Fk2zAexVBhRzLcsgAzT
Upc4MZhhGbJqu4HH7LL8FQWYay1aVK1RcLSufbuy70BzedugJOGUiFGOIzepE3awRnT7bqgbBDyh
LpCSJFhc8Kf3kCtqyoNoutBjD2NbfxcTMsez71QN8TUr0NHimmY51GRO0MlPlzWq0VHZTgbKRrKI
CAakHKhbo37/16fo+J8sORaGa43lbj2ET3y1BgaG2V8V8MWFx/1XW9xdLv9NjBgW0fM6l/anJS5N
cfdP4xQt/qJAElj9KQz01ttPPUrBq4TK4jrD7ecoLpKSG8de9+L2SrR7qX5u/AGixO8hXllHZIVV
oqsRZcZJ1OQSclnqU5+M8jjMBRzlLgPiIy/Ny1y9+NKpnJfFp1y6548Wbb6/9sqHxDr/sJdAxBMr
ZFKzbJNKVQxFMQJzL5BE+vDWLPRGIVuAqHQSuvF12YzxtY5a9RGTq6Voif4Ccv/+X7+qFR3U1e9H
bQpniiWzQ5TBVlm2/PvWFmyNTqYzHx7TLLR3kh5dl4mhfoVRiSdGkma3bpG0Gzmphn2Dgu9J9/He
5kvTP9gU0684bGrffa1e5KGu/9JjHZXB70msJwcdawH0j/duABrej1qqOoNHnVjcik4R9qkptQgc
zDFi+DJbBEoh67By7qCWWzVei2o7EChxaUGi+ktLQKAkw59EQpVxXTT9Kygwttdi5BKei5hL56CP
t1mMdJQIwbvKW9RKSS0xK4HZ1sl+zj5PeWiRwp761VJNgGzQJS4ijf0ef+kSd+/9Yh2xxHv/ZZ1U
5MiHur4Pp88UESJWzJr6qX0n+yBs+4VqSmgzZ0V6EBcp/evuU18Y1E6GhI7EdUh8wnWNOuKowv4W
nZFkQtEf8vFtpT+351ixtlhFxNvO5H7KTufj8u8/kgiZP3Lqc5I8X7k9MqwI9WD0g/PSfGnSIUPY
amqHuffX7WU8ddJvddtF60sXSnX+4dMyYvRTXyMWDdR08d98cxxz2sX+diq0FDakgBoBEqoymMbf
vzpJqehIkAIoNROzGdyHYVQBtpkx7DzUCLNTjbfbqW3bx8Yd8q2E9ywOgVNfVHfdJisxw6iK4i3Y
jaDCs+XrH6W8zLdiAd/ybSo/4P3byjVIggI8RJREydelqrrnJKpQW5/uchg7SA66QP2znEDRKYYt
lMza0RlOovV5GRE3T3EMdIZqn3BF7yN0L53rsHO1k1vJ2kmRU28S3PkegZOG2fzeJULwxms3AaWe
K1ib+kn0XeaKPq9CKjDMeUReBuZFRTtJf2S2PxznrqwZQQH2pvm2KnvQHMeoBO0DTt8bW6Y64egV
jCVJz5d1gdEDDqA3Rd+5PxUgxaDxhm+pTL0KgUTOr1XgTmJ6w86Mg7dJUElHTHntm1pTvsPTiHba
VGoEvuAqcnb0GkqQoqcT5UVxa/vYDCSeRPl5ihUxneSbRwlhvPYKLid7vNTH8NfuezSI8gEryjCC
Xylu1akt7qSY6tqnPoBDk8FQuhODY21VB3E3ryXa/+X2U6hY0WqKcwXmfvNhyuWjisFD789ri00s
xzlARjMnZUUFAmY2b2i3zc9sQUfkQH0M7vREbteFrePMLsLFOP+26qpHymnTetYtDLByRwIKCaSU
hPFZ9ZBBJTej4c6Q9WCTbEneueB+5qYXxP65Qg5xSAbrIFrzZEgJQ1gkpzmB3zW6vQBSX6JAk/fZ
BspbilaYVxQe2vseivlti4J1PSUEygiBINH2ek78oYn4mBomHUbX7+0O82/+bGCuem3/EvZA6gMg
40eZUhakh3Z46eoKCfy+vGsx2TxGCv/JsuUNL+j4fIjndPIhXka0p/ckdJTJb1VbU0MOKDMswDx6
cBqs5u2SulnRXYl2J3UWEqQqNu7T8KfAS1O1aiQ2S0p0n+KiXMGuTwT2dTy5yefJau788DFiXO6R
pW7aGhvr9x/l8gmXPvKcwP/0R3eUE0zGyvLGk9SSXX6U7SD8o4MI3GTuE6NBHJ9dJ9BxaBsbB4eD
uEYjgVqYiJtcmR0gIbscPdjrOQT5L/7DB3VYiZVdl+VrGe8uyRpx7wytrZFKyipuctRwmnx4cSrt
CxLS8p2baC011chYeLo290uyjb5nSv8l3iLeh+g1x+M5Oi6AUxa5Xp3RdHafsmjrAPR4xleSv7AA
W8RiKm8lZpuv+atCPcEs9GfAp7yXMNZ6nySiTM98m5QasH5ySa23FNmvcN0LOcbrxnWuBfbXUZ7Y
5Yh23WI8bcIoLtGXwJP9wIlbXTehlNwVDnqutevaX92i3xlSDdwS2YZ7L/NeOp4eAK3oihNSIJTe
vZU1NTX8Bq8LmJJwGaWlWef2JpWz8oT2a3FqsaVfWwO6Ll0gQc0UnUaILwFKD8oW0/FXOGL2LhmQ
XkXgjMNfOB3+LgfF+bTI4U/EXQ6FIrboYWBcYsXodKjU3w+g83RNT3ciVpxHLxPeD6s8A/l86T2u
xQfGno+g74dUcT79tJ74RFjhzaLOk3QVWQmP6OniKWbM3a4curce3cx4Bo9RCBikcrHsw6kKQtf7
jDS3Gb+0/9kKYkXTJZHCb56tFkfd5LurdY9Ii/QHkdMU2c1Ll2LyLJqalqF1B98I35rdNOHSFPMl
/a/Rebnf5ypKF15pcR1Rh8syextYcXvqZCC3uhTeBYEc3kGMSze+7ygL0RQDQJFxVzapVIg+cQlj
e53Aoj3PXX8tdJn0Txfqc/BVdaj9pMIo7zMfr2aS2iTKnNB+Cbx+JaNM8MOp6l9p03mPGiCvdWCF
yhyKsdqHUCl059AKRbEPofHQWOcKVBfCgsOnVUWoCxp0LX4AnMDLLe+AbnE5KIwISOGZICsrcUSY
nCWthTgZfDg9fDhs/PlWrJdNZluXpeZjiTimiPWSy21VBdWVlvOgM1R+r242AtHsjXtxYV/+1IDM
Z2cXG/f434TrEZnklRhMUlM7G77yIX4MS3RPguoU7uydPlEpopKi8//n7LqWHMeV7BcxgiAImld5
r1KZafPC6J6epjegJ79+D5LVRY2m597dfUEA6UBVSSQBZJ7D9frJMJjzFpqfcBpcfLKQE3oBcDXY
EtTQqZJ0V9uAawEtXvGpBN7CSgBEAlRHY/4JIPhvCRiHn8A667yNyWfyGbv+PQQofpp9xbwSgOfG
FuDD5k+A1u2w1dh/Q/K3DwbexHxG5fywMdKa40C5dLAn3zcbPcu1Z61CffLY2OIb0MO37i93L4iG
R3fujGyTNS6qw7FjEfudd2BMglgtqxxU23sS6MtAPX2ahB82TeSkTyhnzp7IriobANOj1BDVdq7P
3zJ8ey+9zZA3g1Gq8xFs1eZnHujGpFOjyTKtJx2NuIHjcN8IrgmqzR+TIHvfSXEYZiwp6ZFyGWcT
A4W7JwfvAhJb+FM6JZmRBSl1HbV4NgeqpIuN8HJp13j4IPkAQH9IIjfZmhlfnL5FmhDeMy3he38l
5Z964EY/khzPoaJvy5eWmyBqr5Bt3phafk7cIVsjX+TOp6i/J0Cq+gG0FB3P9BxntLLRcXMCWvP4
VPoxynbNINsk6tvXWW16xu3/E/CrzBcSYQ8UOVG1C/B/fGND0AcjaSV/t6+9ZLIPkQO/6jzwjHEd
GcKajF879b3SwXZ+aGThgRcD3zoXaCAosrDDHWkFvnbgczC1M2mb7oeQmfH2EYKkAkv1A940gBSl
IjLwzK+DHsD2+Ga9tL2jASlUcCyYWn7OcBS06mIkRDe9i3UACUnN+sg8VyhoQAGLvSM5iUhJTco8
5yCRLvcgn21Do7NWNQoul/OM0zw0VtFRMGKDn2rQAfIxyFe9ckCwHhfBQvX8MgaNxN97YG16l+HQ
/b2no7b6FbXpX5HcUAGyBg3ONqqjndVYENB46pK0azVIqauhYFmgrnpPI2rmEL93ISNd06pjEoL4
RMoU3CFGV13xYaurRBHxNndjUNl6SXVtsbS4Um9WkB15zAowiL17zKGQIO1uSTEbP8wxG8+haPJ5
XsCgRQsjMqvjwNaG+vUmjR0BS/Ru0LZrA69bbzUAc5SG0U/ebKI3+IxqAPaUB43ySaN+UaJGYMQb
dw04SVeL80syivziWSnbDzWwnYs2v8xy6vWt+yOrinYfY40O0FO3YUdqeFtE/sr0TNS6FyD7wvHJ
u+bRZjL/u3poymczZ8wM/syBRA7A0Ho8RB/N0MfjQXTVARgKPXB7ujpdkJbsprERGu8uZD2rH8KQ
3e9DgG28SUH4hsnIiUxpGLfAjUXdIFDXhJ8uSxxCbRM71m4VcO7Ahxlf8kKPzjQKelY9AexsQQaZ
skIS/A8fBUvJt8gIL7hxgLJIfePA7ANKSdXLI6AAdmHPd6QgGWlnBZiokd5MQtsDli1Z912HTNFZ
WHgm39GQGooDOKgnYBDjplfKLUd65rio3cEGVyQaVNKngH0bkaaV22eSI/cB1TA0LnTAlOpFLLdk
fKeuXPD0KT+SFfVP4WTdV6YD/zQq3M8psp3Xrd5wlTVoPOllbC0odd2xAOBc2M6dhQir/2JBMXiS
g5O2x1tmaWKHpwDHReRmzgFwzg5Kq8V7b2y8PkN5wK8xqcnwQeZl3QB8VeVNjfHR83OlofHUJT0q
i8wlGJPT5d20ARgVF3fjj2nvZGRDIe6mvLvMu+nmq6EeXbEnW7kBY/KnSfQw42x3F1Ev11qNzNe4
aXIUBnaxPNdFWPTgY7Lag3TtDcm8wSqQpNzIM/YCbHCKZQCSAwzxWbgOOxciZ9BGS9km7pHkjVJ2
2BAAMHjnoQpJgGAjBv7cgoynrp86Yi0MoO08xKIhNWme48UdJxTrWUYRaGKeaUupa+ke6E0gVXKS
xjpQ04xDuwbiADiCA27hfw6MzSV1Z5sYmUNsR0KujO7GIF0B9I5TBB3+jyroFL8NsTYE0F2Z3OzS
Kg8V0F1vQKIub146nAQDrySJMlGV+LaPp6ZubDBTYkRyZQX0r0cROY4sQhGqMlVWs+NH+EmESqR9
myNNAWWZ+iX2wNCM1yMgN4w+u+iAnTEWKMxkF7DmmbpIwKOU6AbIqaF14h4J0OCnXPYkJBcK45Tp
sx8Ic0+uU5SRpd2eudUr+U5hyFjHwhsFcHG+uZsO9WDWGTmmk4hcKHzTtEAlEpm+lGxsTm3OxY5j
6/FQa+pdq24H8E0adlscgNQHKY25ol+5U9GYvMiSGuRKAIqRdQCsVf87m/7/JXKvFGLSaK5sIO1M
//uh9CGcVPdm932KQU1H1pOPjt/A9HWa9SS7m5LGvcuGFUfF/fIuGx7owiebFycS+VRuZFrNzUgd
vLZQIj047uJ1agh95VKNCht4CnCa4jSVrKAKIzm1CV7XdJQ3I6XW1p7SMvVvTayBRTEGbijJqDFB
BXFgMvpJo1yZabh5nhNsN5LTbGqYXzNbmtfZss78Zy5S4zhbSs0HTo+TFTsyIwU4P5B2pq6F4pNi
DFLtX6+lDFsNqXrlOF1HZSQ+qFjU58A1mMzvT17q8J0e1UBuBk2fdWhQj2wuTR90PMTJM1oeVNQF
OHJhLuukFYc7B1JN4wwlqEjPTD+RbKCgk+Yx1KQj6dzcTUXzT5dCV0VGd5PSRZRlCchaOwY6Y5Ct
WB/KL/WAyg4PN5urDzjeW1W7byRPZDsCm8vluwqIJ1+y7GcPegVA7pTWwfWzDChc8G6VtwAo/OTN
DO2NzDtFY2EEQBD0smVtaSEyU0TdHUvq6qDpw5YIxkWMzZG0raEflHDWuAnAhdNBB1aO8iZFHWrM
W842j95TIHB5/oUHdLIhNU0zKeaxNYQl7gVqxnnajxnvrlQOQbX2Gqb4sTnOHVQdxaCYdhVFz0Xg
kG5LskzVZMwmNJyb2aSQIFNfzOMHGxm5AOu1AKkzK1y9QfnH1NIMs2qOIyKQIoLmpNqWJfLmkdWD
QyRAhaNu1K0CDZm+o7fqOY9Wk54zFl3BZtTtHHgtggAb+CiewooR9BJgKC+hLfz4CixNEIwAw3M3
GnjjnZwT5Di7KOzbg0K0yHE8YOOkzkQl1VGmAsjCGsogJiEq9mCgYE2DTUHGk8vU6qJJg81kWQP7
6qjH3Q+eGg5YQbHTSc0UYbL5p9cUYZJThNZaxa3DDvfT3ztPFzFdEF1xjOXFatTiESVANe5wG3cU
/dMIDqpzOOKwIOzVF6CKv7SR14BQE0pqAJlprvuyjFaO0FCrB5qQTFU1bINhQFmm8rC7OsTfNEH1
51qPwbRh1VG69mOUDY+dWZ6ocbCrflKVnCdZOsjEpe6kUdYABEWRcRd2IDr/8KEeq4E/DBRc5a4s
gwqWvw+kbMhnCg7GvukqADnCwUfgt9pLmNfvmYnICjQvtmoozTDo7A1IIkwk5iGhkUTUGAaoH5su
CpazLSnIrgIWIFb+5hEVLH+5QEFF7S7ev4PQtc/UsyxgiBdOD2TjD4VB7+6GLLqDEQV77FXiPR0o
yfZ56pLPUOGHS0KpNL0iedHCTgMDURSdSxbtCJ1l1C12y/wARwo6f2v7iN0MGe4I08VDHd3NxIig
W/wII6Wb/T4sP/ycVBxR+bpOtQKYvkhuEwdqhNO898CNYd7JigDwXAsSkg2Qkdm6wiHV0rB50wNk
jpfnzEPNJNYPWJNhRKJyrN97swz3vE8Oc6Kd1gbVmSwezJpMGiskBfeoN4L/3RRjkX8uc9THsQWI
wZ7NKPDB81K6ryEDvBogSseDWQJJo+cAb6sTrn3lejFt7c62CcDacJLhDpNtxoATltrHNGyrJ1kD
Sb4tGn3tAbj6i9NxlI6N6Z+2MFxQKv0Hi9wB+R2QAf49xmwR1hZewquOy+8dKiywJNEM/OVCnOBg
V+qNhj7WqOAdb423Jin4o7bWsWU2G5dqOBuTdh5S5LIr+Julo6Jm9o1/AFHN2Mw/A/q2owoPWPF+
Ov08Hn5AIgwAGi1zECf8/RdUhQDZBXbZJXL66IKMS0vVK/hp9J3Hab3TqZRBDVO7rneB5aLIQgyA
y1DaFudiF4vKGZSJVOULDzJyE1Qn0aVtv7Ayrd4QqMKA3ckN90a2CBjqqg4NwKQ3OoDMFhMOQxKt
eqdyX7Af6azyPrZ2dAKG7KFX17ABLx1F/mskUPSrjs9KcPUd+Yg0IRr+m1MP5rk1NsJC3Ara7MXG
Bjpt5kgjyl4qf1BHJ6jxBl5ru2AC5LedZeGRZobaOR1M7yxjC0i0OevrHdO7LySjZjZJlHE/tJu4
FfFxcpjtROEiC1Sm4EtU8R589XQA8WxvnyY3IAMm+yp1gXQXBaewAI1lE9bBiYaTLMFBZm0CCBuP
0nsFaWfj3/kil+SWaxkoo//NlbzmySgcEsWdbc+bp9+GVJHI7HeuQLLFFjruPOtZO1+iVlvVytLz
ahvJylxxK7K2uspMM0UPLsvGEVOiGmlpyBTo1TykNLbZ+P/km2ShdUi15K+MA5ztr8wyjEPalw4w
kpMSmWOj2N3JiG8StKQWCCXGJueHtkV9ao1sG7gFIchvwbzhLAHBVI9fBuwTjGF09nzb6Fc1x2tU
ikz1Taa3+jmykLy26IZEP9PYiYEWZGLXhUR2Z4PfUNnREDQL2GMAz6Qyb1wglUxdGo+J3e15Dphu
pX3wpGEZDjVwsj3cCJwkXAa8BvuHqpW/K6On8vi5mUvwiwpUCpKB4KUNQRf7O5MpTADa8X0msetg
9ONZB+3KaCPVGIwiZXCN7P4ZSbnBIRtByLgg2RgDi8S1fDAkaCwAIwHsqMlbYW3BJQ26ltla4/iT
BC12EBOwRe5is332mzI4zG4UxalsAa6OtFhXWctWLTZSkOxsp6/FYL/gLCy80Ag14y0gpJDKTMPc
ys09fnT+suJN+gq+2fqWtu2KOSAXWgIl9tG1AMvglmzbxr93Rb1jQ66k/Jh5KLXg4oC76BX7YM3q
wV3Hw26amSv3skc1/8fMbiPtTaylX1snHo7UmGHz3qNhbtj98UFGQ9Ybf4rRLDb/6uoDUBRpXR+R
5/ClB3ac/5KrZpgqF+3vuWoWcLyAqamjMBXZag+5aoEFqGocKtV/sBb7bl0bO0fUqn9CtqW/DRJU
YXjgWu++D6y3tn4YPDmVIUDipZUgM9CDF+CMxRe7BfSOGvU8D17aOsmXHl6MdyQDW1d8Qb7GZMHA
SvJiuyjbAbz3sANja358r50aQOQeORdP2j8rgNB8qk2kVaQVbkA0xKtltdLMRu4BqYBDzbhDcg6I
FVjsiD8kSJSUFAR5zmUw2BQh1hnfAZXTXJGSIjhjKvdJgUrlCkf90wOu9fDOL6PUXk7PPxqnDJDw
hCrUGCgt7BofHA9IbVlUCpIkCpNjyrXuEw8l4PWCxt7zKLJvyOB7t0gZslu5Ed54pR8aBTdgDiPf
G4X8aRQgVlsXKUipfdRga56CcREDWKCFq+pAFF5Br5oiK/m+iOpHDyPtwK5IFWdj7cqtljHt2rrg
+dDjdF+WmnelhuRg/7EACKSBM14phkJqkxYIxnixzsEe/iEH81t4yLL6M7h7tGvTgojEidIUGbMy
2bYCpEeZYctnHsfyWY9FjVWeLvbYHJfPMhwAJJ+zywDg+Sekd9k4xYyaLVi4caCbyuwJp59AxbGC
E1nM8joGkaPPZbMls6TpOWCZhLWucR4HRHED5ct5kZyyWpEqJK71uezqfes60Y8BoDeLAdwQr8B7
G7e1qYq1w8i99RIstmQSg3gPxJPVN4pmpJV7towhOaFuDWRbKhoIT/YxoAB+8MpFfVsehK+J0IDA
lMofjFdfWy1Lrv04sj9CfEWAhay95BX3X0dmLvMmBa+lezJA9T0CzWY1hAO+gaoBRZdzyTqFWBMi
H41GADC9aEBdnyxiI45Q7NCAAYG0yA0C5L+PV6IixI4ZBSBNqAWv2L12FP4tfzKwtNd7YHLNZYIg
WgNla1xywEJZAF8HCg4ynEUCoo4wVmPwZJyG1DtNw48wbmXa50nmJaWzaCzBt3NY0NXhJdnStgaw
qm6+hzwlbDDr38I429iar/01BtEtayWwkLtIrmRb+9fa5eO+9mJX1a89OqV57wFaP7nVJkhYitJi
FtgUsp9Vwcs9YWf5LWroNSCR679gsnobGSx9hZtK2ODNe2njOwfyvQBA3gL0gFliXvEPMq9VliVH
zxwvqEs2r7Ky+CTvgbq2qQ1gNc8K0qJwHWhKiafdBSFFXQtwUqh9zI/gOFMQJ2zVbMhgDtRJwH9o
bW8sZlsyYbnJgAnU2+sHhcfqZwdwA/jp/bpM3Ln6i3C+PcTWA9y+ohDJu35RA8CJ1EHZ9CtUTqtk
xl/+9PFHsHWWvEz2D3IdrKDgfbvO4kIDNDir0j9mEUWQidWtfdtx7/5QpAC7FriWTGltZ4/pQzqg
gE86EGJ//KGAiWcc8whZqko0y3kJcrIMdJZ3wSkGCoNA555X4+N/YUz1o1Ok7DgHSV21Ls7L1fyX
ApBTtJGJE6MALjDOjud+08FkuwPQu4n6GyULOoZu+RmH5N2ZJF1QGefJQpRIqkZu9GeSYXfPOBt4
2RxWY6HnK0O04WryJ0fS/+tEcwjvjSYjwXQNdCGqoQlLbn+eA/YF2GliF9jT0i3iswzxKrrI2B+B
izpCEnGcNoeAVgYQTmHV5xgbB/UqCv34nLZB3+HwzivXTLju4k5Femps/M4X4DHX1zitBCzOrKFe
a/tHpOb0+2lmZiINHQk2iM5ZyvEUAwuoGiWeqxhM/gINdrKlmz49CMbeWTMsaK+Neg5kbZ4fTTDI
jvJQyOJLFGv1U+Tm740uxqfMKWrsBP2S9y2PkYxqo5SWzJQicTV+TYECpSQdyI+eBtV4BSBi3RBH
B7OCZspF+WWehBzUTI0/YqaPyX3XRamAmomikSIobcAZAWh4EaCs0XLz8TkJ3eEZpz79mnt+jr+r
/i7zg37v9qK7kEVmDeMBZaXpgobU9D5gs/W8kTvycgyvuxWod1MRqcEOur9F/aG/mmXYo/gEbqT8
RCKtRAZymsevNKILKkIAozhIgNnMTpGTgYwSxxAkaoUwdjgJxtGEmoq8OolMDTcLwPGrZLFng03c
6LZzjPkzzp8bLMr7MGnvP2OqIU9g9vKEni65y+SOvLRU9jfctOeJC2b4Wy0OgrvP2Ef63Wc0AtM4
yXYPTE1pN8cy/1PYL5aBTV5PweLhEEmUizJvvWlsOYkHIwzLuAeEe5q/Mm4FRyQ8AlhvsibHBvF2
Bq9EfBZsfK2wxTCUbfEUBE37UuN3hvwmnNTT0AWv/TXRwl2KhN8Xzw7AWm6CdohxURxo6Aa22Cc1
aHywzecWINuy1+AkLZ40H+F0oHQiOdkAxJHypXAOWIBISTNQuKZ9v6CqwyKK6nZ8C5kNdpCATFUC
uGoq7Qk/hN2ALPY188EdR0YTPFbcCLnIp/Qu1g6oQLp0jhlsM9v0z3bWuftar3dV0PoAQoKImpiF
wd2QzMBnt3uQJx8O5CWBwLLHe+WdGSA9QXVEbjRF3GDfFslJHfCNQCSVOU50IGSCPNLHHbg4wNmo
gArazGHP+PIRTAFJgDTBF57UowMwaQBOAA7WR/sweyZTakCsgboVFf939p7s2DPsTQV0MMUPAIFN
1+NYQXRyoui5iUzvIGTCxNIyC6SlIf0doPH3fewoewdqOmUci2ZYyBA00/dG/+xnQaBNbve6Odg0
UaDbmDSiFhAA3/EYRKKjbaGkRpfGUajkIKMKjKnRP3okIy3ZPQy5m8tFxEHJ/aCYh9T7z3Ogtv15
ACMQCO1wAZUYTAm6enT/F5dBdkWFkoSkMPbzx/jdjL+T0RS1joOeOjrMV/3wYecPMZuURYJfw/Sn
ifi4A6v8/l9nIDdqfB+EHnot96MCC2CqAccHCk7UQhf7uweQ/Q07EpHywYwUFcEBzL6h58gtShde
J+1HuDkK9WiK2WQO70WglsxKo1pPWgr/n50plqnjfE1Pr/OVPFztPAX1TOSurYaxcjYhC7aidlAd
pnCiULIhjwYrftyBQhktkuWBr7CZZbz2t7Gfab9zymWqLTUR2YvEKsDuoRpTaN05r4FExExA76oR
UtH7s9GBLGXFzWrXGeMbKsSip0jPoyeACxRpJ2+AgZG32M30pxCH6mpA4mLokhtoKT9MSFp3Szfn
7hPZ8WIEa0SLZ5PJG2vdBOa4SNWNjZpY9XxDZtXqd2qQX+L+Vqq7px3xaAPwPWCfWaGzcaq0/zQG
1Z7ZOfteRwPAA7GEu45DpB2rIBerusqK76DUIoNOB1IQSGtqIL7z8opzFBzxaEL/PljFNmcy/Vzg
eQkcB1Hv+9RLX5BK+pM8wzj9nhieeHGQ4r2nuTPN7Ghui/N/zJ31oVghAXmeG8gV73MDtK28Vg7e
tlldhVfbRlqHXwIsr5D8myYZzmvKur0mUsYHk2WoBaqy/NXqwJfux8jNZx2Y0pUtqlw4wIrCd1vN
BpVzq3vPtMPrtQDTGMPY3tEwQYXNChTjqNsZa+B/Ke08HKogvDOefXH61oIHVPOAYJrnIHrK/K+9
jkI9hxuAE7KSS8USBwd/kIO2SSyqTC8vjuO0IEZO/5RKjts5yBKAinfEuj99Q8kiNiUglyCaXbdR
IHYJUqi/pC2OCiE2AWS/jU3w9BQWkpZR8SqX0WiKi4s6p5WZY4nlhI24VKCX4qAqi8pzjs3iaUia
RFmbHNlxsaZr2NpUhqRpkNJ8zFx2oIBkN2k9EzAXHuNsC0jVwgHApO3ssLf0bYpVZoBvG6zyVdbG
uLd8LPv6gvnHArzj2HJpwPXxzOoQpKBV4S5oSA3qEr0FSOmNnatLc5VGoM+p3cDYVy14OukfkwO1
bN+oIe3Ez0P6P9Gw9tN7494DLOHsS9rZmEKRtlQT/S98Kx9MmG1g3oxclrtOONEWW0rV57b3wAZn
O99Q1xGvRNDrpzHIsX0EzCycFkKhieKT3VvuSy8Sc1+gqHVtJLn9NRxw3gh93nHQTSedf7TdLH2O
er7OQ/+CSubhqy5An6APFQdKhRHf7Ax8k7kqJANBbAZqi/BdAfbHd0Xt+2DDUx6Oj10ojnwvgDrz
ggdAltM5oLM9oFeqHjVGXfaros6r5axIdPkPu8k47n+GkrlTJDL7XczJ1j2Gbh+cyMqrcq3Bq9+v
WamH2klti+K1VzN0axyxgk7DxH6/jVzXDlhBHttlNU5QFnrcuNcwH9K16MpiVYbCvVIT44d+HTV+
68bCPszyCvSwx1ZvTyQid+olmY5vFwPzWYjdhLrscGOzpdQXWhDke8PKXEVvdZao/scuaJQ9Ix8e
lAEGSpemoZJZfsPBNA068FnW4S3Q7kAdKUCz9iyKNLwiw2czG/haiLKUSLGzJVLsG1H6S1PI/oir
93DCHRlfaisA2LoPAoUqN5onC4yKOFJn7EtYsHSFDb7oGDFW/JF5YPhUcn00o+0QFNkWlGrGlxIL
cM3Puj/SMNMOScsBr6DkthUESOQFGDJw70zU9+v5Io+QmMtL4DQmI1By8nTIr6zJXECr2v4a2zD8
qwAyvjGU6Z//PwumYvC/xaj7Wy2HesL6j0WJg58E6QoBnuhgAAC74xfHFmKjq5HuJD//yzmBZf/9
mMDRsabnNhg1QSJlARXi4ZigSE2OSmARvzQV36Q4mFkafdb/YWm+uQkSsKgLpvd/5FXRrzyAcO1I
C0p4e1EmDK+4Sut58nOOOugrKfPRWHmD373kY+e9WikIgFVEQMNi2R4VT+Qy4nF6yjRwopaF0z07
WPfgyBbsOLE0sdPcswMepsELNdKULejYRAzob8hcMzSQzj9OFuRk4wRpqeFOsxt8F7TnrACfxN9X
SA1Dql6fZsNmVtCCBxvlebWa1SW9MNByqRv9FOSiWNbobiyPoMyTx1Y1NCzcAji+7SCeTM6K7WxC
vdmO3EjWNVYITmvjMNs+mJUUk9TOwJ/wIHkPPNu9T6suw7TlxrEbewfEERx5zxPRNcc6mLVB6D5e
kYw5XgOGZ6FpBfnG0sMmWgda/hdg4iLcemEy2409qsHMcjgZiQcCwE731mCBKLEU1Fh6GnDYMDad
2EgUS56oMQPnGQufFyCN+WIZqlR2rJ2dg+YKfcvj7DjkjWYCgBgJ6thxSj1ALcKmo/x2kmYMB0GL
R4PBB+fRjqTk0GN3vWpT66XkVXiO9OhbhvyJV1OayasL3FZQ+xXPJMob/MS46YCpDNnQr750AE8M
GBHeOcETU01hBzW2jst62fV98ESN32XhkxY6t3wMPdQuscwBzUMbHGyz/PJghjNJDeB4zfU//xz5
I8KEo4MDy3Us19UNF6nljwxVY1gYIkTO4tsoA3c1DjbfB74HAMRfBBosZ+9UGiTzMxw9KYuJIWO2
owQP0iIB6DgxZ5CMTEJFtNHaku9Vhf3Y5h1S15oAB5SkvjMnSxfp0GtVIbycQ8xxSCbxTrrmETbz
HxRTrDnC4wdQV0IuZIL0xvcIv5uJTOZJyK2mwkUfGS9DbtzaevCQ5s7PbqQbN1s1HFl7ewbWk0XR
VK+htBQ6aIzibIESWySn5Da3rzTKmducQInxAq4kVNg2AWizK5Gkq9khwXQLEXFvRx6k+JcgZCBL
zdkhH6PbAgyi3fYVHvhC5VsaKi+TGuknzhE5M1v773Iy4wqHsEXp/GwfejK+ZoAaXoyRWe5mBTkA
zjpbBWZhg/Pw1zSkmOfnBZDgI7AmbkhBdjbDQlldRDvGYNiuKLc0RQpcoiYnu3mieXLgkoN8Osd9
dZpztqGeZY7tFjVGDTDrcDFADYkOI7Jct4YjKixV/MY4dHlup4sp80ONUZppHGjYMwGeeFRQGIfe
GbM9ADsXtW5YgJulloxmc4Zd22UwgH9pGKR3xJJWbEudPdEoRbYrqiOUIszwogFaXnSpAVom34Ht
an+niJBFO2nJJMoC70iymJy70DP2Azgbuo8oZJd4PrYtf+sSNZ15iJoQ6SSYeAozGaqpkg43mXfH
j6nLzrCP9t0cmZ8NWGoZfr8KqwEVBlT83g7YdOp55iNb7Ve5PI4zchfp5kO3H6JxH2jgd30BAUAD
OuvA37RxAq4FMqfydxReo5wC0Ma8t3hx6cGa5jiafxxBmr2xE6C74+hAqxaod8pOGkeV/Iq6k5Rp
7aVqrGJnlWOGw8gWS7a7LhYG9QZFO38LUqpIZESBqDfLAPl44UDq3t2J5rAm931kyX5cGzmnlnxy
RsvfuwGITFCGDMSaLNSxXSqOd6KQEG6wAD7jnDHdJH7BFlnvG8OKPKjpDCtZDDJJtp4yZFhPrv0a
9C522XCwOcT8FCHRaOqBcerZwzb6bhbFHmBVVkWW1SfpfHEcvta12EFRjrBv3YBKiJQl6YKG49g5
2BkBEuQwutmKZNS4ndUvPexwb2eZk1VfZRyUR+zPgsFvwNpGd4bqiSysBEQ/Bba1Z3vQkGLzbMQp
0iwTXW0gg7gwV/M1tWYRL8s48Hdk51tdfPJ88wQS4PqYjlqziyxnR6NciUTf82LBu7jBWSBeXUlD
DScNdQcrMgucbMKejJyco2oYlU5rcpwV8/AxBI2puZsW34p6p2r97uayiyz4bwk05gOiqcMMYbm6
7XDXcW1Lf8yfwWGQ1hSGNF4a0I+skYH61LaD9wN5kbtQ+qAjb0fUggAjOAQi19438EKy6JsLzqDy
cBHLbFV7rffTivR96pTGjyIzbqDN677zsv3OTKO4gPzhr7yrs4sOzhRk0Xox6shbf5t7AFF21JIJ
NY7YMPeKEfzuUu51Pc2fSdH02wC4ybdpgA2Qg4FDpMXsZDlIbAqLJN/EQC5aiKbgu7gxPED7ym+J
cIqj0QGzYInzVB/vHLdJZ1jVKdKGZ5A0X0A+F4JjDC6s1YFdlYMqvbBGO1ri7AT0z15tbGohvRvq
A7SbTPNvlp3IY1eW2UbvQJ0cKt9/xkfF0PM0N3bD3uNaxos0RvuJXObwNDvNoa4665wQZ6kWk9Em
8yKBdxdPqEIii4MqSTdb4C7bwVvemNWqCmtvG4Bd/s3wh2xTclTy0TBO+mbXOR6WV5KFb0gmAeOb
ZxnIj4Wx3yB1TB+1z5quRn3S3vSBbUhHjXOpde68Ut+TL7WZp4emL/Dy1fVbcEaZh1o1AlzsyMlL
kOQmSvwzmxT3ftLk5ejxJWqJoI+7ttR3pMP+GjJ2kDfkrMls6sZj+w3QSe56ijdZ/ppt9rub0tGN
EJy5ND2J7UYm/+2XYfCHJSMzkFnGLME4iF2RXvaI9VuWTHSj7F5s680OEztaeYZ6TgDIbVHETnii
Bls7oLd87FpIBTvh7Cg/Du6TSYMe6SGo4PmNH/eLlyEHzjvofqMp6m/tpqnMSGINidhLMqLgnYUa
m9WkNzScyWHLAvj8sdX/gW1wb9cxbPsQxovW6OWpFsOVwF4Ittr9JZowXWhYOd1VVEV1IzMSga/y
OsPE/D0OmTqunEKLMjdB/8HSKkT9snapY/yGgZ3gHJAj+Z1G1lgNtyjMkAg6aIA0LSNwi/QirrZu
WGM3ijzyPt+XFWD3q1g3+WJkAklqWvpimWCg3OY4dwOwRnfsKyDaoLQ98VcgU9WQDR14l0irBkAz
R3hEO75+DXipXyVH1loW+P4kmxW50afLgifthmRhOPT4Wg/qzQ3PiGRI75tZltfJN7/FG8Ysmm1n
GRhF4lPlK3gxEGITI0mzmQ3BVpEe//P6Cnuu//juuoYQFr60pjDNf9zVY5yA4k1BFi8F1Rjg5fIY
DJV5wtrBPFEPHID3Q1IA9/Vb04C2bRop2zAaQ2CQfvjmGui0sIt1J3oIF4E8DtSVzErXemchq0uF
0f0Wydh+buLlO/HOgcw+15UmXhvNcJ9F2C10MYhXvEKLVwBUbqywym8kck3sv4VM9icaAtLMXpbA
19rREMnH9QZw79260krrVc96c+9LbCVSpFbwcFN7eq+la9sIcXiNcq5DqBrqUYMtBfMAqDRxAE42
SlyoO2uoRzIynP0oDG6MSbaYQ8x+D2FAESfXqBYKp/hzLIMikB+rbZDUpH11dtV5fJIhY7zHu9Q0
Ghx9ZQWNsaFh3cXphcviSiOfsgPMOkKKedAfE5UPUOOWDmhGEG2S1i0kElstbMyrWnHW8m9Vmvu7
ftCQWuT4bTKs4k//w9h3LUeOK1H+0CKCHuRreSvTUk+bF0abaXoLOuDr9yCpFqtrZu7uCwNIx5JU
IoFE5jlWCSoWMqBLHZXWFYtxVCCZY3VwBPtMctm1cDLo6oxltUlAa75Z/GhEfjRCA8L/69n8j3Qe
nslIbFgOSEtd15mrgn98w0F5BNoV8/8AbBrchZ4tXqSr+MpLUXDX1XV4LcdcncsBOKqhgTrJdzmN
6GJMFnbIvlvuF9liF9RxvzcYTrYXLQVepjw2tqrI2/OdnO6okNnSR+547Oh7L4FpFFq9woGtNSsX
/+XD1qZbrDJP/o9PNwGw6uYnXnzpFvrTeTVQmpf7Lx9iSFS9YW7/9unIdfkUwONXZzWZGxJNDcPa
Biu+PA6+HdGNyb9xnItugdQDvlGPZy9DNXxXg/S/GXmBtJnH+JMdOsnFd8ARzJUYNh5vpy3nUTft
gO3qbIA/gAIvp6qSH4ECgSBDydZI78XAkslltmz0K7Kv420TRfzoGY6ZfyIZS8S4CmtfbPkYNMkP
mYDOhAO7cYWW6JY9o62s3Rqy9rCpcZuDiNrvEwNtiqhU8dDrC01ljA0gVkXPi4jk3RQUD6j75Cch
3AOJ0FsBoksaBnlQXsxwWNPsLqQQ2D9FYku6JexiFY2fYvSZg8UIQNBl2467SDjyGjS9vIb4Z7om
NQOh7dDku6ZSbb0nzRR1fxuTq/YhGwGhLJIC2enMko9+B2A6Msm7RAFbsi6nTd7LLRuBHYvq9Pq3
tYMzW4CPXFHu3YK0wSr59v/1qrkDi/VN/COiU4o7BvYPeN3cUYgoWQE5CGApLwBK7i+oZkcboi2O
AfYF2F5V48VDs1G/ojlPSwwrB7RqsQOwrMWIRvjLjJfZxtees7vtHfA0FUeaLfLFd74BRe1C7P3v
70phF3MavX/OekTze+QCjSf2/V+8CoPX3DDlrnAbdTJY4D/YqEDegPwo/CpysHoI8IinMHWMCV2H
jS932EK8mRqswiLEzsKvZtFux7DwfiIHlbiFoSsX+GbBEcyGMH0KtjMuoEa7p1Hpps5sSVOCDswH
lBi8WQ6EL7hYhSx4eCtjGkCKvGVlWoOHF00MdHGt+FqhYeCBZp6rBnQ9e9VsEeuGh4axy51FxcJq
ncq6qNb/oqU7oAQtqwAX94/o5Fs5GqfL8zPAYn50QBOWrSOQQp0CO8JOnsXRB2500YesiPg2bW21
igPgguFBcs4VkJDDpETKT099jXhdTZFq5/nNEMd6SbJpgdUPlsfqROYT0A3NZxrOl2QS6yBDzzJN
+9X//ubbFv/HKssNUAVpBdzCLtoEpxdWYTdvoTH3KwFs7vrFMSv/FLqVA9QcaW6yuCuRmc2sR7r0
ZqUuZeDtYrzOHmczs2bhvipUt7LTocq2E0/HzeAin0kuYdi/OaM3sQQyi+gPS0DS6hshM/aPG0UZ
aj7e3cmJbgaqom5F09b7nvbtcKG8MuWf8bitzhleTCSiy02i3SydkrRLrnqmtqb5u/bGw1YpeGxs
K127GkXCBu0w9mt6iPy5d6r0hUa+p/EkSFMYAPc1Yv9Gqwg+AmAc3qkjTApynKXkLgmZYomZqepj
lKLbD90u1ZUucgo0AZHT7UIjZumswYI/At9ccCCTnownjo0IzWsj+nt0KlAzs2E/Jm6O0zB0p3b6
Mvek6sZWrezSBNwgWm5VIaqCOmDPjSVwJngYqD21/dg5zpTGSYgrTQs/XaP0K3idAF3+bKNwCFxr
6BXCwcupGIFQSVYUg43CmGOkIruNoVS2zjo7eK052kNnoF57Akdqq3lb6ELMLHUet9vYLVE7rhUL
W4vXdBLEfZrqZWF5Md3QWYehACYt2vK2ssELY+o97FrIu36PfReMpuSS6lvdRQUGP25FNjeX1gHz
Nxpcag8oy/QT1zL8kgy5/Ri5zPoLj0r6taCV332IWgFiDt1RpQyUBRjCcTco0i8eWRcL1DL5XyM1
lF/cMEezXV13rwb4rlDUNGZPccrYzuCpuCBP6h5j08+OI8CtrjnORHcgaYie7aFqNrkqu49O3Vs4
F8rar5nJXztQA/8ddaDEylHZvpqCEDB2ffIrQKoMiYdLAnSRM3V8FGmEgtQWKaO5vwO8H84K/2Dp
kXpAXN74z30BdC00hJBDMgzigOKGFJVIv5tEADL9A5U4dgbWeF7th0rKDbEQxo6f4BBGyA1xFNZW
dzstrZbvrCAp9kM4itewBpw86rB+hKX/GUf8zqtbNeHenPzs8KfBWH8BRKN9bokx2+Bgx8biLLna
6fcbUayJtifgP6ycHslbN/0+RBESFdIo06uU30mfAgAcvxuQTtPzAJT3gQAW/PwU0cdeMTHd0/y3
cn5W3Jy/QQFw2zev5TlDTqhddoDFrYAglTG1S1Bhg/py0EOugJtYXlxAn1w8QKo0KCI+ZaTItA1p
S8OItqBI9rDYQCMGanSKCURNyBeRn+oG37jS0O9ASRkazo476A6MmWd8LPGrXRWVX/7aBp4ofg1T
naLRrVQf08FGLsEuimvu1j5IeVO2MwsHSUX8woGhbKPztBXNjhDVrRYpT3e4REpzPy8Y7C0eSJvW
bNy1OaGqczPU49YsAGaMkysDiCwaXHG5KA2ESFPUyalVAg6KTWNP6s3wX31u9DdDCuL17S9h8xGY
0fkvHB4qsEuBJeNs5AI8nzaL8zMLB7SdayFdSCbiruVrGjY0BI3QI3gEwF3fBwBFafpfRMknWZBY
uzJjQPrwQcl66co1q0RXYCmlZbNRLDAUUx0hAd+tcJyjNaSf/X0/YccCuwjpFeJyqwmqGtU5JYBb
NCtwSmTDOV3/ORbKR91ApOmCg9Y+MdNKwEXPkcZFrzDgKfO8qVekztNyL9JkOPkgOMe3uvILVFiY
2QaZcNRU6dMWdExxuaK50YP20Uhi1OqJqd2XlT2c86jf5GPvS5wFYlcwD+Oa2ygHwO5nnqdkgD05
DnBrVq5CzyxXKPqI17aMx8ceWa9HGhkuAOiVi/JmmgZ4NXnIN5S/Ih9pPbJD7z/YMkpXPg2yNU+z
CVnjUGIHEMMJbCu/45GcyScwBMmHRdwVeIU19Y/Es4abu1stNj1oXwNzyBStzC5rVlSinuZx/eAk
1RNVrVNpfB8XL2baete55n00vS2ICuSWphUHymwbN09kSk7v9iTKbe5tQ8knUKKiDp7sdXyPGP7s
vHoBrPRb7Ow9Ntmi8LjCStvxmu8WS621NOWwjgM2obgMJ990GaPhpFAFdZ1noKF48FochmoDOtpm
VentAVDaoIHpt9N/BWqqIriSF9L/cyAsZ72NjUKPbR9GB3OaXBzHiXZGktOisCvdK4HIEQSdFtVN
4FyZdH7iYYdPp4HnUoPtfW1JRhThz3i2bLa9jT3jvDGoM6xvcxSB0maBLo0wAOoeNrNogT3XYAhr
AeD/HRsU91dmFRbXDNzYFGnxz3XMRtvN0OoUDyWMu86zWbUF28/bLRc/MtGhKMq8Q6Ew9NHu7HQo
FUYfx8p5CNJ6OPOs3zZ9CWzKSoJzK7f8euUOVQBMKRw3nu00BDwvDWcpOdFce04TUC1nxY3TWxTT
Pxpojzm7moMdX0002oS5vx+dYYyx8fg9N6wR3SwCSfPHzMRaER2efD8LY7e/TIUDwrk6+5hbbn+S
uq246Az0J0uwto6+mpuPQbL81rKc+1jI4/+Zzd3KiyI120MkzOGyiHwXmFN2z7+12t2RKE5Aitjq
1gHzmx3dxioNbIlAVLbqDbxBOnSxXGjUe2LEhyvFzh+MbEUK1xqxvSb1PHQqPNicFGlQEop+BJC3
ZxxaHWaJRaM7mXQ6sQt16AQIZahdTEeglDiAOdnaOAs5+2VQPHFu4oMBZO9HMmbb/E8Lrwq7g5JN
fDGAEbiyrYL/rKOXMA3FDzuzS6AupzaeRDUOOaPCATaazz+0qTsCI9723k1xMlqilHfXBSieD1Zx
1/CNcHepFN33qeFiE3ZmdAXEd/IQ1JW/tiNZ/PjDACwMKCzxzMe37qN04BaeFpn6jBJ70Mi28c8K
lSS72maT/amOs59gYeI730Ut58bmttjICnlUMg5DByhV735kSLNCU8mCD/m3dliGOmKRc7kb061K
uQTeSaGeaFREPwFYWT/ShC4o2wXmB2/FPtJWs2kwZIcxTvEq0O6qn9ST9ALx5H5YQpG5mfQj+gCV
OCyWfsKzfYnMFjYeOaDODeBko5AB2B36Bk0/tKi/RiJpBWiE4Tgk04RDbzQgcE1JSxekVt5GKvDz
erVo7tSDMp/0Sn1/J6fpve8SdYlHsjBANtrKKnPNSn7F8wVHaViThSvHMo11PDZAUwRyXrgyJ8WB
8Ft6q3mOk5D4Ac1s2E1r84nb9pOI8djXIWhGlyXMHNbIxFuY3mYeIBsAjGJoKOYBKD6thvMhuPXu
j5mPkipPA/8QTDtStrMlzbQfH8TLJIbhEOtMHz4fsEb0CBjx8pq2gLMOBzTrkYJkpKUL0xnBDKd5
m65r+vUS4M6ujAoXRdN83Cy+S4DBr8GjWH7yMoFDmLC0DsKtig/uaBQf0Oe+RllA/kQiMDba57QH
hGzsrurU24JOxX9sUUT5ohtT9oVCVsuzQcba2kn8gvXu1nM6/5FEiwU5kOw9xmJRjt1bjHcLivFv
dyGL/3mXukd5mlWNNWrdjOqB9/EXBx2ZB5oNKO8HOphWoEpsVrQmB/B4b/m7SvXGGkzY5uZmWzJv
R0SXG+Axcc3NvDEB48Wq8pO0SB5Um/r7KO72sYXiI3C1O+kGpcrhlhVu9AX1/bsMxKcfAcOI12/p
MP1PFn8J48ZeT2U4nQfplZ+qFPDgWj5GaQ0+pCid3U2lcC7UjsEjQFO9Z+73HylsMebZzgW4/J68
3u/CLQeUj6UPFgJ998Hu7bX64y4kp7tg87y1guCIpoQvquizD+GQZMCZDdi2xxZ2Q9NZoWKUTRkT
aI20CSAmnpwxDi6d/wN8K+4TSac+s0DKVnyJ0TqJvN57nHk+RXm/ipvaOHpj521ZgA6RTMRPBePm
a9n1ycnzi36Lp2v5LTUnPEjC6IucjAEFtKHa96HtfEbl7IoMjG5stsAmLE951fevblA8u2lYfAM4
qVoXfV1fWWRO+I73AqWKUEgGvljlG85TEgA7zxmyrV0hy9AoUX7782OYSKhtSa4/hs5xX4pxHHeO
H53SfFSPHH+2FzcYu02JEsL9PB2N+JxkrljRFHxSIdalLzFP3Q8kaVMHtSZF0x1pKtAXeUCKZ1zT
tM4S5xk7xnlGIumCcMcwwBliuit3HLMHW19oxPqfMojCC02wvn0T48Awe2AT4Czl6BwXOZnRRQwG
wEe9EfQ/2vbOnwHCZ52IIdgsisWOFVizS5zxrpfIaNCf0CVhAm2fe9av5UaLCcP/40kKYDfQp4s9
acw/Dsub+CHZL5YJQKOuIpxRm0tZiiMQcsH1C6bIeL3MHecHeJ861ABXNcNqjeXc3A2sb7Hc0qiS
7jCBJMpsnQ0J6eKkwjd3AfbcWZVugQSEXncsW/9iUbgdo0p+DbmDjaSW8z/kkQ852Qsb6fpJIrOj
nQBCKL9yT044rBDT0S+7ORjJF6f3m5TYu51zVzb7RHfsO3Z9FK5nXgbd+U+iKRTNFjvGbpNokACS
jXHTPEwRnvOpAsQgyZJammjRsII5EhnzYsQqWSbZKvN9EzSHOqq+R5xN5mV200FFUjZb9JPhHvpT
0CVojeYB2KIoW4fIjZTC1wedfzFO6MEzMvyNskccQbhD8Nx73kvlJd7nOuZqZ9e83jMFq6LqAUTh
mOhyUGB8SbprkIGAhZ7foiimQz+V1dqUJs4NUAp5TTqePdCT/F4by/peO6BkZI3zFF0U/TtyI4KL
U1b5JRj7bmsq1N4OmkdFaoIVGiXlly6M4sc+md7EzYAjwcWUrKJcRttccb7ug84AyZhMwL0LbJJx
hWf9s4Nl1cHT7LxBV6hkP5lIRvgOcoLa7saYJ+pL15feLsd64UxEF1XEwYc3IK9wdCNz4xIFBpFW
3AwHlv4EE4i5Q0JpuIB7aLgYTWXuDK+PsNJFHp4Uk+zCbp77YdGVm8xz/kqLRu7JZUqAeRoda96D
Xb1wfqA+ewR0pms/2CBRfjC5FOcxz/G0sMCIKQL/gLXY+NTpy4Rv2D42PPB+6ikpcJRVYnG5WiQ0
CpDxXZlZbO0XBcKOh8DE28HDw3WP2hxAikz5xiw5KLfKJF3hv0mk4DbddIkfZyvAPJhK5JCgxxnt
M6irbZG/9Ksxj1ZZwfet11l/t1l9mYKg+pnXznMzMP97NZWfnRKkPVXL/3bGtvzqmWiY6AY7wLcR
IKNtJMU6ZFm4G4MuffVRa0tJUZopdDoJdGV+fNdR/nSZveu05f+fX5skK0+U4ozjJkB1qhh9IQIp
KRTbg9ZA8+vF2Gitm8KLrqq0Q5JnQ/AmRzF4/J9yHxj2SxzXYfdxKL4ZBWBgnNI9c5JHall0ZZ/i
XzV5pF5Irmd/6qIgeiQ8Q7LUs8UvM7NH6oO0pJs+aV0+jfbFRB3lWqGKfC2ZmX1qs7FcAd6s/Y7H
9TnLE0D49/EWZKZAq1IAUhuqwvxRBMA9clTzGW+9es2YO77giB6psRyszmPywTY7/3PWTsGaFXn9
ZDttCdh5KY9d7vcPI47WNmmXqr+qsPzbw3vnFwCSwnj45XbFL+zU+7+GMOAbq82Lh+gZX3csvibX
fjJQiLkuKsv7JDz5TT+sf4HCF925OCXIs/5Zub0NqGK3WXPgbH9QQzvsUicoLqATCrH+sG/juE7K
PwXl+B7HHCbEaZCNMTmKbVTSqUPcozkatJP8SzSOOTgiMUq1LALf/JdFu4z+t92d9j/jkR0aYwEk
Nnjt1nd8YF5WQY5+JCC5RqF5O120rUaQbVv3TUvTRcsaCaynzA/XiQKZ2hF5+/bUtKh0p90v2osB
65zha49j/z3xmtMFCf+P6BFm54Xq3Ouv0ZQxPJA1n7pn9VfeqfM80zXgBXCMjyJBqdCNT2Sa26hl
OOV+p1GvDJ6v6XaediPFMOQfexSY34RL+IVuR8FaLxrQoo9aJwfk7B1g6Y8mSihX9mQ6j8aXCN+z
R98Evj4JfC8fju3ofm/TAU3+JOtLfP9wmC83RSxYtk386pcEbvZx6tow277F4CpN+OrdfzZdXEeG
blBPdUf8RNmZLo5OnHuUTo/AX3em+aJWkYdEewicaFNV9oEUi13ZCf8k7BWJZ9M7iyUSjZboFORO
NoxOi/RINzx5cbOhBAy+1MkqbaPpNRm5uwuGtDlFjl8+4myFr3M1dd9i1mwoA1N0Lkq8uRpfqywB
wBO47KmWEcdjVYbO+N+1kU0Z4eTQab1ZTaWNpAWNfHahUU/lj8s8TsxTiSMOYLCZn8sG9UM0iuz6
bZTo0VhN5mcaLVqwr5qf7+yWKGVSn0A5+ZMD7HNdFJaF5TjDu5eyMwAoRULHiWK27kdmzQmdOcuD
wxM0xkY4cOUmCIJlB/i8qkDbkaunJHNqxwPr4EeSNOhum8VG06IAVIGzlBQjTuUb1xRX8glypDNj
n73FIa/JS7iOQ5NkKF9RCTC9smciURtznq+aEfyDScO87YAOhEuRduxsFGaMNg5HvtYljiyGwDT/
Zs+1ZgZefNop51vgEopTOYKKVdeB1O2gVjzx+JGmCi/hi/LxzJa6wAPw97daNC+g9Jbnj1QXbBfD
K97n5hmcwaB+7Dt8Z/SUSoLpUhrqRkROAlam4RjnpXpYWzXdcCv6MxYXGeqeYtNEDROAo1tA8ao8
ap4aZHNohgX3PCNIc79s55mrodD/tHyfke7dEic+/ia1quhBtPWTofrklXdue45DYFgGcaG+anlX
JclrUCZ/xX6c7yd0cjxUTLxdZI9DaWRjgQU7RsxYLRrP9QDECPa49SJbnJlIgHbopsWsJQWQLALs
qMCvustFFqwWazwT3u6HzstxJ4M/7lRlqTgC0vClQNnbQ2mZYp1Mqbudp90E5mytcJLRPYSR+HEn
p2mN93GMvNclcqMaCA3BdNBYp0+p02ENn7BuRVM8z+QTjfLkMRiANEWS2IVY2vg6CInM0GIqWT4d
0CSH3Kg2uVFghRpl+faNR7Du8o+pZtCambCQ+Xuo3DI4xVqmiB3Lhaz1wXd3w6D1LgMzhw9EUfOr
a6G+ErSdZ+654gNduiAAWuE4oCfwXWY71V9+XlZImuOo/U8nElmm/eYk8D04i9JDycKmwmH0uqxR
JYA/DuqX5yFPGXBWixJVgIsQbaxAKA6At4TVKQqm3y9MZc9WXooDGZs8eVPeTU1zYMeoDnYkJ/f5
bnfhlpsnVGFNljefg26A45/nALvAXV67E3pdI8P30UDuuhtme8HOQTLztQKX36nOBXjI9NQy3exD
Bg7LqSoBTdyI9nPPgv5qpmP5arvK3Uiubl1lCGAvcgVflXrKevFzcNBVILkYXn0urU025cWepr0x
oB7QERIpbWht4OU+dLH1TDO6GOW3kIXJC0qcoMe6FkCNv4OVjfMWLBXR8PpvwUwPdZMTY9jeKRTk
oEcAVQr4Zhh9jMqyRlcB0zx3cILp+qG5D5wGGeF3BY0qFrCdbPDQv3FW6AzB01EgXcKj4DxHJH1v
othm5F2xC3kbIcUDsi8pBQif3ARY3awsUMTnA1sMjaHAIPQrDB09dBLnQ2KBpESMqMFBoTBknYZM
xIvaObthA/QLzKLRtIeT16GhkMdWs6rRKX8l4zou2mTvGBZSumnUb+fbzHdAq4pmB+ydXTtV7UkV
mTWcWvQGHPvIPS73mu+NpVCxTXozXKUlsPbN1n20at0ODzSjfmUGhubSAnM9XUhjaDUvfvY44j4P
IDDvQTWnPfSFzJYpSjniVdRimwvSaBguoXoOmuuKVydgVBT7dKzZyok4co36kkZj/hT2/qU2PBeo
EL9FDPhp+xGNryuyWBxC0LCi7j04LaIqG4xDGvugaYmL4iYu96OvdZonpzD3bB9AKoDNHS35y9K3
iQota2Ufg2LOL49DOTr+KseS99QDTpjCUzz6AH4UtSt/Qj0lTUlRAFvgLH35rLIMoUjmdxx5HJxT
75cARSTYOUjdc9d5yVrJfNjTUW89tnjSohV5zoWFQDJ+BCD8Go8bPG5Jq6dkS8fF6FWZHWYLmsrA
mS3IjGIsId9juKN8zazQ+Gu0kTsdhBP/xYcMMGhObzyJcmI7pLujS1WK4ZQYQ3lwAdX6gOancjsK
n7/gLB65BIM5XzT9MajRx69ZkVUrzxfTzkxS52nURy9xnbh7M5I41KTzmL7CEbxb9tu2ie0O3SH1
lXNZXGat6YO7lCKgSRinN6yCd81AjmGG2HXZcrJ3OHgVjzcXC6t52efhLgoUjm/l9NnzmxGUZPGA
CiGkVvBZ+gtNaUSy1guuFRrmALoW+R3Ke2A3D8lw0s5DlcQHoyk/LG43JoWox3OF+hCBc1okilBf
ZgijejKyDhQUPY+/G637mqIr/LXPguKYtl2/G7pm+GJGMbjyqk3TJMHz0MTl69jHF+7j8NlB1/9r
UjgeUmBmdSBlIQEhLjsAH6VTBQwIGcdPdoGANNMO7+5kb3cKAPhNVh9ipN6RhEcRbpPysw+8hw84
IfCf0tT+y1Jm9jnuUnPf9inb0jSxUEuXlU35MFgT0F8He+VoswpVHGebI2tNy3WAiABmzIpxBxso
LhfueOcBT9qnoW0G1D1l/jVi4JYgWYXG5Cf02yITKZD1pykpJMPzCaDkXwttMbEmPrZ5+pXpQk8q
5ozqBNR/LpWNWkp6Jzz+W2dNlaBkFeUjmAMYcmGlqoUDUBS4knp2kqgFCbZzGIq4GNCILg0F/fe7
lNJG3iICzsZ1ouIm5uK/W1/SaErO4/s0HzjQya1ywKMJipQl6blJq6ZazdaJ93uYIeu8b6f6E/dT
/1CBQGeTacx3K/J68IUje57oKU5yvnVK9I91FUSfyr+YJ6pP0RADBc1M/yYPFhn8JkBZs34jdADS
SoPPASKna7chEDvXSuO6pOg68tdssvK9CvgzMBybs9AX0tLlTjZ7kAZfIGw7FstZqGO1KOhe5LML
z5wTMBP8fWyj6Wjt42FYrQI5xWfXRtZT1ZO5nYVNhXMzdMMN+ZvBrcc8Jr/Zwp8AmmqADGCPvtjz
m2wJTupb6RwdlZrxmaLMc64/yPJpRGcjJ6FtbvxJTXPSzI4kJO+Qbjr/CL1nCG9dIBEWp8h+Dhoq
v4+N6cmXlgc6tulhphIkWegCwxZ4zudZJiTgTxJgzW867Ua+/+U2lsI5kwXZToz7yMN6HEBsuBld
Ap95Z3SMPCwistV3JXfgvBhnUD7Pz0R69FEKmp58HYAgbYOhk1s/Ehc5KSlJTSNSuLWrdi5P4jll
vSjId5kuvimaC5EozPaqLIEYeXePJXyGJ9kR5c2oifr9FJ896L53bpnX+zgFRXJyCbB88DuZAzC9
c+8d7j5dKDx8nsWLbtHyBuwGOCGcXyZhPe0EyqkunT6CUFEyPfreYT5fQL0QEHSCsN+gCDgDCSjW
3EA2tke8zY9BX0FLZxaLCfnVTsrWrgBJLb28YoBHrQrQg+5pShd604VguVllQYaUvH77Vdzl56Fs
+Mr0xkcviBRQRLzicbn4LEWJRmyE+0VGI+mJCQVjoHFdFCOY4B9NlZbbKclCgC1gSlpS1D02eYEH
Xpk7jxxVKyinLj/eyZXhuBdVys0Sg414v6Nh7dlRUf1AYVVytusxf3Siur2OPNzkYR8+goc2fKRR
2Hdyi4NCtpbGqAqwlBkv+InVabGrRaPObRNcYvuTk3dq4qdGIAvoxR2IAkOg7V+Xi9m7gKo1c4ZT
eqzO9qQBCI5/iFAkERbum3FcuREOpcGjPTsDy//Njzx81f+oR/CKmCY670EIam/rGD1qAKCqLwMe
4+7R8YbqQnOv6Nga5YvmGvW91WVR9CaD8zIndSCs7uTYxrqOFNrzUBNVblyvRiPrECCHGAqJUx0U
Y517BfSeAw3pEiS2cUwFjgO1YcdCGNJwMaERCsx+h7CHrOHrRb+YOyODJgULGYqtnCOZzNY37iRV
eG8A4k5/InKfrcA2np1JKJXxJGMPbxoyXG7BUE4aHGg+/1QRljQm6uX2BcdChRnNiM3r5HlnujAj
9U+59YmUbdK3aAXCPyXA47SJsKLfw1mXG2G1i2zrF6ndQSpAeGtL5TvbscQfyE6z5uLqi96YzJce
S0Y/qcfTnbxBTfaN2eygZRPKaFeR5/e0u7ncxfT8/Nr3YXbweeGcBWAPwQBgYm8Xg3z0DFI07LSj
8UQKuix2NC1Qr9agIBF+d2onr9DMJNtmTQqKN4e+M1ycyWaZtvg+50iaAMHwj091E4U8SE9uBQoG
NsrML06EYushH+XnxALYQFJ20ynpE/nZaj4JVuWfUlA7XIK8zdEHATHSU29WHP+2FwUo2LXwsV52
WxF/AWvkCM4UIKeGBW9feIUzWS13eoC5At4SrGp6WhTVxeW1fMmisXnIkZRaRSBg+pLLvNpkGdj+
eNwbnzNrFgOGKjkNbjhtyArAXy0Yqpx6PYVDszYDV1ykHD+qsERnzZB2gHDHheR0yePudkoyI8SK
XO/HF7P/tPUa9F+2HSjU9K3oQnege/2bbCin9NCr9Pk/Q959pGoyzC2ShsNqUYDsqdwUOZa/6qUG
NNMJoATpmS7tEOJZ24/pmUZoLrcPHrhLSRn2v81o2odNV6EMHsI7N5L9m8tilzJHvDlPQA46uHUy
3+Qu3jJNJQpbGYhYjc4ITsPYBicaST2lUYunIjgC9Hwe3unJhzfBrbeBNNIqNRt7c6cgY8vGSh2d
679vSDZ30/lW/21+o+cTQHUNtMlvUd8P8CQcA68qTZw7UF8BmGywZga8TnMmaYxCgXk06/91XupI
XWMDeIfcM+ppiEzNmUsOFC8Ao9lp9A4548hgc3Q09wIQ5p5wgQ8Nbtzo2vkjdmrvmtmQNFYVAHDB
Al4W+ZCMLmCVhiIvw2wPCIx0lXbASIzwVl2h8zLx9yarjg1aj89dMNhoZnXCf6h5k3/o4hB1TJlE
b2Yrhl2it+bLmgbVBMlagiJy3rMvitIYozXabI1ZkXcCZdmJ44d40jb2rooqgaZ2cDKA8vMzGrzD
Z+S7UK+SF3ihN8xc05QUHEUsQNL0/J2bsWC2wxvga9io9kxmJBfTJeya5JkmaSadi9WEj1PL0Jml
ypTt81qB2kXfhUwMw+42Vhikc9hkqCtUdMsSIHPGYwgUXYB5oXsBf4RhO2aev200QQDASgDTawcv
rGLOC4ne7Stt4Ap2a48kNgAXJLjldLB3e56E7QPNyN6y8cfOx/kWFZ8suoXMaiC68mB8TF0pkGnt
Q3SUdP7GmTIbVVajMs90AeKndUYidlx3rPDWi+LGULR2Gm1IdSNdnAz0hZ/tIUD3UiJBB9LW4Hwy
0XR17drBvg6g21o5eVCjMcgFvNi7gqY45fUuYf1CE7JfrGgUxlO8w/cEhFJ2+EO1iu3o+HABTpkh
VZZjSEJc4eF0qgPmHJZTyNlu8as0xAOX/NBbHRoQGoYzOg/FRyiGmbLhfDOc7KnZxFnAVlieDWcj
kbl7IS+jVtMaif8MGVdgOmM5peHswMgZnpEAAMMHDc34iWcgWiOlk4O7cbPY0Qi9SyiwePeFQy3w
a+vKrNghwzpV+wZgWtfMqB+KshXA/S8Az46cEvozZbcdbRu0YpbXHVjV346SLulnWfQ+urOTf/qO
Zo8tRTl8a5QBkIjCDrECN5B5DHqgvBlj8Me89XTiKC9RtEf2yWCv0XFHaCT1/6Xsy5bjxplmn4gR
JAgS5G3vq7ol2ZKtG8Z4GW7gvvPp/0RRFnt6PP7OuUEAVQWgJVFsLFmZAkesJW4RqaUVPW65oiBZ
T01h4XRwhIQPGHuBGgl9oD0z2eyJpSSFwNChsf16MZGWKB4USAUdpIndgqdES0IN604ajiI6vZmG
I86TbOzBVSjw2ymqSNsDVPSlRFa3gHB45ELdp3SXiSz09aA4pXVVkKMv9A3yVmww3lvvpo/+FDDb
5zHIUY9YebzTirp90R7mdFqZ+iN4obLkJeisckvJr3e5sdQkx9yNbKrXoPvV9s5+k45LcULo5xYg
qx0N4orihZWKvUcl9k6xVJ1HYT6WRknV49D/JmFOSqawPf6eUuCouEmqo7Zzny03Zc7NPqqpgdK0
8PdTRt0UI1R+nkSq6STM/eckfPEvki6H6QwyiKCw05nlsrsU/EIWRgeUYPA0ER0BLzisfdf4Oy97
/qYqOPrkb5HJ/8aJrvUp1vthBaqhdI+9g/kU9DwBPTb0EOuyvPh90L+MtV1stK7cFkWeL2clmokv
GReC78o0dljaqzqQUJT7JwPznW7NHOeBuXVt4K29bF0BkcXadTZF7aQPnDSNqSo42Ja40b57AJtA
Xp6KESrlPCxBMRryHggDiI2SFGiM1+zJ7q3vgZIknaRHi9fSBa0SNViCdA7mF+JATWTQNBvA6+Q6
M0Dtm7XgAJJGlV6LXFSbekDuHJABOL/wdXBS5CBWYozXuC5zyvOf/3K2dU9RBUJvkPe4YAJ2XFyu
3NGrFaHIIlxyQywvY86p03AxA8HkfJNAW+w1TzQkBSGRx4wrKBo5DPR0emZDFUk4gANX4mkiK0vB
B3MEkvWpIYwCG33n2FrVYxAz/+oGgJ5TjZUjMjIolQp8mFdHFeSwgHvi4IV2W5zJLjyJeTpRpkty
2vUQ4zdRhK8WWE5wH6eakG3SDoXdPHpqENFUODoCl+wCQPX+Cr6QeivaVls4Fuh4F+BfFpeo3ZPT
U1fqvrod1zMLDFlAuu6mMOpWdfiDgDMCUppBWNkXoU3d5r5MdbPSot6JNsfoZZ25/4PUwtXdf/1Z
XJs7OtTPHeFa1v0/lIPjKw366v5zWkftLlQ7fNGUKCoO8cipqtqzx4rUPi/O9uSc7dTkLljcFnM3
SO2iDd0tlFN99k1TZAboDSJTB0DtY/LbXhRvqY/w+1FMx5XhhgJy4M63oVZOPwHSEvjegTx4MjLv
UuH+8zEO279iGRdfm65L1qwEmpqaAW6SPahCdqafHvROAzmWigJPZowM2EC7+CWXc++oYCA7U71L
AayO52J7jxt9YzEGvrslqbZJ0a320702OFhaKxz27IB2JU4KU+M02zOTAypeu9WKbFRo5QjhkAaX
9EYCBDjZpnlcgPPnOImr/H0yYiExi9SRN9WrvWO5+mm2F2qePAGb5KxS1zKvoHnAc4N56HP2uA5f
DGC7m+api2dwDRcPvoGTSMWv8lfIxLPKAvnkxHG1T3BWsdENJ3mrou/kry1koBne8NhYeK4U+Yyv
iqpM2JI5urUlW+wzeVERJLRLpkJF4JF9j9B0H6JBdbPrx3hcxJYD/ici7DSbn5hiuE50nTinO/vu
8MCJANSRg7ZFPg/SxRWPJ1Fu8sSHSlCqZZuJw1MRedYa+zsaNPNAEWT/NexkMfH+j8L+YR4GOML3
oWee0HnoeZx/Dk127M0jA0SRTtiOQFdTqXFAeiHdCm32OtzXYWicJtPkbmqun6jAOjE4dcWeGrkF
chfsBdlaOKE8dciMCkLIYmApHeN6UZlUzfqo3dk8HB8c3Qr8J7+i5gCy8aaFMjxVqRjKvD4koGoE
5ZS7q8ZOfytBYRJ6Q/mWN+24xEWFeZVFmOwqDVJBDtLkLz5kiFZIf5BfcNvyyRhyJNqmYPCDYK7c
dkiEAOuCbn8eq8zeIFdJXydOID4PGms2SJ3zJm9lQd6o1oZ8o3kIxkWftS5zrm+or6fh2n6wun5l
gW2GST85mzmT5zriHDmoqkrGsebOssLmcWUGRTLZyFuUMQIppnG8LTSn44OuhpnHmmqqWyfyemcm
1vPspOHqsTPfBwEUH2KD5bL5PoAJdV3jcOSiR5UH6ebUeM3GVMM1bWteqIgH1lxwkT4FUGwDQPx+
FPwvs2KuvaCwUXK5BltMurox1g2uRLWgincUg9HdszSRNBEnzipL/f4gRZp+NlvtQNkwyeA7K0A3
exDh6OnnBMcoJrZ0R6QvZSu3qsbVYCbuMQs8+1oBSrKouj785vfjF33MgQFodH2PpLtoM7ZN8ua2
QN+rAOo54qeeemoDvrOAIw2Bve2/gK/RmXoG2A9uQob3g+pJAdQzb6Jmw6Hq4lQAKS+SSkPCUZ7v
myEJrlSYOVDIAjIHZSWrdG0ilQOKR9C6nEOohr2JOmA0HvBixUhVFaTbAXThIBkeIcc0xWT6t3KU
bN8qeQQyyUJ2x9r2zmSaPoWMLGsJ9hABQOavOM8XMZYNvPTZzs4gilSOtqYt7drRj6UhDahW4Bhq
AckHZGPlykBW8tt5tI5Z1+xn0xR93556k5WGkKl8apTYHZlGEISvgWXBAkmAKcRURWHnznKA+PZy
tgHyXh2p+J1NV7QigNAcS194W+QNDfk0HvWYBx0FjlBn25/HI+8cTPPeNeNo/BLjW+mU5xHefqMt
DVAUOfoJK9nokCTumlpkN7tBn5xk01UY1Rojig+g4Fp7Vr8Ig40jIQWbYy9z7OM4mGpks5WDasz1
wmxx5/5dlzubQEZdtsgtp1iGg2EsyU0j0lij0CPs+sHQjUvO+kiFq2jDoQBmqCR8GKlNNOFzc47G
+XoMAEwUrygOmWPmIcci+g27n+9mEHTPlenhPwHpopDAK5Iv4DIHApPjSMvloO6WEqC0cLCfbMDA
t9EYS1Bpe+aVOwBuR1nXfu+1q2E09g8KrQEWuAkVIudTaCyD+1AWgwEoAqVzwky5wNlAiLe6EYCj
BBAkquXQqlxrfaYt7xzgLeV7uxCfKBZaOQlkF1Rf5r4ixdk7T6Yh7B5Abzoeegim3cxAofMMSYNb
tdlGNZpBDu6n2T5/LszCICp0Jp+wZMoXdz9DUgX+0kvBp70pcgj5glDqrPJtD0RuRMxIg6JHopon
xeScTXMYNDAmJ4XOdor957DkzCVoUaj24Zy4l+auH0POprmr6jUOnn9odSBocY+YnPClh0x9DZCb
TOmEdVxckNsWf6pEWCCrDWwJZAev0SXv6/6MOzp3CXRhcfQjBfCg6n2bBHdKV8kAkYvajif0NYfI
FBIRf0kFzco8ZJskfBy7iffcitZ+3DL9M/UrkVW/gPRtFO65GXwDuqWPw2Ud4nSCljM9gGgn39CW
Eujpw7T+oaXQ7BVVqDcLx3WnmGkJVX2sjmiE2Km1rdnmzoK3QbXpo9x8TUExAMLbsDiHIzNfRxy9
4vr7NXQq/C0AW1xQlBPm/vZ3nciLK5jfdfJUJ6ZmGjnW7Y3TdYBm/xJwrICsPNhetu5JipYcnqH0
HMljIfEmUicJMYg9/a3AiT9ooKD7V9lYaIVRc6AaFVWs4d9wblMtUoElr+Hxo3GbuZHYUr/JdlOl
8LshE9bXh/txp/ZUTqPMXavKYRLM3L/5JDR0HDg45w9Sd5XElfdQmuyq5QxSRZVnmQuyQaEIKTi5
mUwhZJscIKo49ll/mE19ddASCNsCX1B7y1Gw9pjlzMOZLVjukA0egXbX97tjQUby9ypI5l7lLcll
BKm1YkPQPphJt02DLPAXzMixydI8pI7l4xL/KaB648giZx4TIdDxVyfIkKJtQYk9NsEKnPu2t/dC
LzmMlnVb/M5WIRUXmRjGexw1527kuLO5WP0Ag4EjojsHdbubYw6Z5sjYydMsbQNdwvIQsag8mDiC
hMSJak/VKhDFIcMCQi4oYA6l5mwTWh3rS3LrgR69V6dBKOp+kJso1rrbLtMsYBWEfwVvY7bHOZm/
aGjtpGzkiM0I3wQFRBdKWtsph6PlyFMOjYVNa7ZaORLTAtNaDeo2GgDJ6Dip6cbx4AcgG/alBsQG
rpUvOLe6YGdvfLVKNgAQqCWPdd232zKR/UEfYnkGO+m4NsCs9ykSNt4daWp9h0govtSQ0Mf17pm1
/t8VwLs7pOQBTtoI3EAhCer7KNtoPzXJA37tv6J0KG5tEdSzSivt95Hbjbi4UvkMrlO9OmXGkVOG
8cgUYmd3qWX1ebRK7b0/2dy2ea7CITlQLBUQea4g8G0+lomoJ3tWpIc/n8Nx9i8CX5y+GUxYLofm
uWsz/Z8sppGddBY0GMsn0XKFNNLihx6r4IdKaNCaBdPVqlVNq89rtrKKVG5E7wsgWPgIcmTlIn9h
RflOa41vNAIvsoat3MTgh9EGnguJQ/o0dpdy3I8nLjga1l1n/eQqf1ln/CqqMjgw1dLCmONUFLU6
S/qtdIYCsDrPNxfkoZic2VeGg7zD5CCb19b91h7x/5uJBtjQj6Gb7AUJvG6UnI1yXHW2EX8d3Nxe
Z2U5HkpQfDxmMSgLRt30v/thdBBhyJAFm4CnmXvGHijX4sn3RTZFZIN/xbsleyltMwW3gYywGWM1
rgv5fhDYLxJPy1wQn4uWx8NZYyGQvL19JCfZwUwH+kSIU7Znd815CXZCslNEG7m4sBMbe9SqsxGa
vbvCWS+YKIeq2eDeCTw+WY7XqYhcbdu6PpjNlXF+bVLNDd+qVtpnapQfATRSmozN5i6+GKFnQqNN
U5Lb1r/Og0AJ9rNueJ+cIucPUnjmgwguRdc7Z1tZZjPIiwFSzMD9cmNT8RQ3VFMnGoEKpHPwhwFM
jKtIdSIbN+Mv9ZDKPTnJhI4QYHHO1Mj92jnEYXakFs3ol2CsofDG9DS2IE9p3s9Gn4lmw7XB+2wU
So5fHzEIvA7pVEkcA9Lj4wz0Q1YtTp1vSdNmWICDNc71m/wxMaYGWcDGBTqRHhxc1KQir5HUbBgj
Tmr+Y5wQ2RGXMsQmXFEvCCCqQ9k+WIbdPOBkpX0oSr3es1o8NxBpMRbkpcIo83Qdc8DoKQ5fwL/c
hu7ifRdYwXYeK6grnFA6jlxDa8g5xlM6ZO1G5crwwQJHrFYToRVlT1LbyJEKXlkSnHOKOmsiucoU
9dVUJSsVtkxvI28GMvQWZBq82s7BNAGN3TZIIQCCS4IJz3yjVRy2VGDCKadTL7LcLQVpUUi2Eu/r
j1AyzyvCDMTI2SpxF6b8GYyRgQVnn9X6SUjQxMj8HaNAaAXoEVonZIqAV5D11sLNy2bjmEmMbA04
wGywboscJHJDVSDTdNSPBOgs9DQ9ZLb4Qq0J+Gm67GsGfBS2IbwokeYJDOEnuaQ6U4YwC14NOThn
w/a6T14FRierksMuLeJdjh3nhRfASOpRcmVgRQR3DMR0IRQd842VdMZTFTnGE+4mTGgNPZJlgMDB
FpQg45KahQqQ3PjKWhmeyMSMtDqxJHgVwWhC94Q3fNmysdmSF8kHxtocIeeTOFqwNUH7M8EpXQWL
nLGRE9Cy1vHq1FJrdw+dJMDkPMLcjxxUTCNwXT4aoW/tUjf8y3Rw/xuDefNJdMmwMnLQBVIzVLbS
GpZdEufXPumHp6aF7Bc4SMwFOcmWFNBMr6Os34P5SgMTQR8sZCMhWKCKLmzea1bVZxKb5V/tOSb6
iJ67NAYkpqZx7txzzDyCYzn5Yewjth4EaPqdzANGftDrpY/z52AZFMiNu2lXZZVsG9nVyKBW/rmd
dUP5yJUIzzwGKBHKx8os4o0OMPNak2B0b+zxM5hEcVjQOiNYqXj6Fo7JE/RC6+dEGuWJJ4ogStnx
sf7WoHH/6Kdu9FC6SLMhe23jzFPi2OgCFnTtIooGAERkTb4N+DsAvu92Z13a0L9i/l886NLTn9cg
Bg7+766dGC6cIKbgOlDqNQW/p1I3bJX0bMvmqS8rnOcKoR1yVfSMexBloXaDnB2gdjeJO2gHMnHk
7KWL+/bUZ/JN9cGKwTD70Y1qsnXQd/LTVI3B+3n8uy7TaDQp9b5vk4f6/Ht2Gr0roK1j9/VGAzn6
xvdKf6E5jQFqSZARvleTNPfPZKWicTNt43L+EpYMR4kcdFJHA5Rz/pmqtZ2hZ5BE7nZMogfqIvPG
Lx+n3jnuQwa73UxIgLbYO4nZH+skwbXqrxYBB7CTf7OaMLm0IjHWyKLNdqZfDl/6pjzkZaY/g98l
u7QB/gnITmHlR9igVQcGYPUzlkO3YSaLl5AmwhkFvUVjDuC0W+Qnrl62kUKFBarQOjAnK7tWGNWO
AZqJDGs8+VkcJAcTaqyLmu52qQ2yW38x/aPMbQqn/wwDimJTH2qSg2y4+/cX9L80j01jUZMcRQIZ
8qH7ydjQQjFUBs9h2WSPUCdbtKaNZPmgq/WVBeqsDekzx8prJB2wQSG8kfJSX1/g2DcuICDICv/Z
NONwN/R1B70END3GfFyTVcestvGlrkz9EDQ70bF8SU6yiTZ8SCxTO5MJYGxrh28v0OnTkB1f9gBL
G4mRLnOR9q/ABLC13yCjy8+N/lXIFmdoMmoeuF2VT3h41tno701cgH9BJo7csKhPD24Zlo/gPBrx
V8Uj8f8WIX072A2Vpp9S3P7FkOf8EoE0bM3yFlj8yKlOQPiXa+TFta9hpj9yxfrpyGwKDY0qWKe9
vA3FO3sKzRXrpwptwHY5mM0rgHjGxrbLLliG6cCh+/TPdtBnyFkL8oOGxdkS9LrskQ2+vfWZGJFR
7cTIn0ySFTid4684ITvntuA/W3BcFqwp3tjA+TK3svAaaaa7ayqr2RmhIpjxnXZZITv1L+k4m7Ks
k50N0PTKLwFGDpgVQEYhNfK9LZMd2SwF+qeaqWrU1ClFgIxU2K3/zQSn9YZCyAQRSdDKWKCIhLYz
MgJAFLUngTUiUug9/ZeNHv+5TW4KJBuI5OJ97TvOORQNdr3r1tLB0tR56hGo5cWJC/MZ/Mp7pv6n
/UgUu0zLR9yZuf0X3G4Bjt6FN2FchXnQq7oJA+U6cDJDuPbxxbkbdLAghKYQnwXPrJ3NsDcf9cz5
HHa6+pX0/Qop5s7nWpPGFmtDb1UMhvNZryG/0ORZtaa+ehzrG6tq7TX1Tf0SeGAoYGzIm2RYhlRF
AgVu1deysbR1gRjbkhepJPZq6EDbSc0SonErWwcwQrptvjZzKDfWUY3zfx6q2zR1FcAM/Vc1h3wT
ss3UjUCmGatKetqOwilw6nPfndqRSvGIAO/GGTzog0kpV5KurSpC00w3OPgLJoFbcpgV0O03bTIC
IF4tSI2FODnMtNu0zDIu1IK8eLMtwKW+jPsefGjKW394e+U1oPt+o+GShe2m6CE2Mvc3VQQORPBe
+hhdmo7/XMXdbf9/zk+KMCEPrU2OJBYn07cA0DSvQZviNhmJ7zhEH+vXQp4t36tekmIcLkmv/UXW
moNzgkU2X1ETaWQRGIUiez/1Ccenvm2865hW9icOelQaOXbFMqj9Kov3CWSOCiUxkeble5FVEY6D
BUREZgf2gRCkoLbW1mChofCeZe+RiQji0xxOTQqZbX5hQaNHYkk0lPwrpSokDCTaUeKlW2o6TvOU
NYqdy+qsq4qitAcX5Jg3UYFdTVFD4FhX6DdMY1GUE+FgIHTd4ctH1MdYvUqhoBkpipr/jqLOqRNc
+qHb2gpXOj9opKf8O1ubABZmljEkRj6eSnpIp+eVjBU9urPfcUWz8hp8t9CwU2QoTQnwbWwvOiBl
nwFlfALA0jxngT4+I40V278gsVfkrEdhXdt0XAUNkrKQwNToIDHE9zB5uwCQE2y3/GUXqFtJMy4A
bpBQn1dDWeA+Xo0AtW4puIgt65TY3ddpKDVtlcf8bNnpf087OVVEg9PEm6lF6kA0atC06YegGdT0
bQauYyuPmwN1/d1naPPxK8ULNe7Hj+90efiQ+WzfKKBwX4nmSLVKNf9s6wJk2mOBiTw71e3/q+/v
5sgr/B/kcZKu7ya3Cc9MXQqnBwJIq5EoJSIsm0QdXnFOFjzhEOA54Y79ZdRTHefFY77tMwe8EUUa
Y2vrmtDMxitUx+b0iQoA4+Il42G0q8MIt5RVERxMMFCfcz4GT2UAlSyuhZtStciEUyDsCWOPgwgX
g8iw1ZB3kocr19+lkQ0aOastttB2FN/ztv6ZBXb9ZUiqDOe2zvCsufgcqUyLi1lb0AAG+vvYGcg3
6kdAnWtc4D44Nr44GlknT5WFPXOTlOIl6nXQxht+9G3s3VMJsnd/8b/my7xsfA6TMF7XYQE1X6sB
Rai6D/OqEa89qoLS/TuI4uTGtUV+pILsVDPT4Ffc7Kaa+IiexqrMsF/nSI5nkOxcGlkgrzYLrB2k
tY0dQCf5tUlNtmyKrHqDBNke33buz6wYT0XJ+6/Q0tOWASS8L/gJ470+dhD31QN/W3bpBjdK7oUK
Q6GaW0tja0gkCqyb/uEY4/ANDFUCGvC/7GXnead/juGpQ8jArfNVlwb9WSKV9TyomiOhapQ3/Aeu
cHi3IhuFBK4xbnUpfsjOi6AB9NGtgjz4waoUIhhdVQT5mrZA2Dy6C7APDUxzzfawH5DxNY+uPgmF
pMIADv7j81CPlOaeR/joFnsliF2w7R0AssNE6mO4Q5dbh48BpvFi3UmXJZYUS9+BlIxu89e8BsOd
HlneVbRdfvEB3KUW2fHUeldmdRvXgDoFCImEtsCOJQTYhLE9xVFh4722NHVw9ddVihhIexYbbBjE
co4Ju2Hc96MWgdgFs5GD9cjrcD13M7VofCbShRH19YUmp49RyODVikb/OIU51bDjOpQM4g66V4tW
ePIh5U8GcnPwjPi3hdan+8aBKOWd3YmRE5FHJtZXqkNqNTpSeAVkLbPWRcL6xyg0KOAG9qb0Q3sx
O8Ak1W3rxOPn0QB8b0x59CB13p2DLNaWUR2b33T+w+Wl91baRrYWpZcckdHOrk4cscXQGewbsGSn
qGqtF9mbydYDec+uydLsk262XwM1QqaVoBbtJbZVfdTtkfwJBue6lV9A4bzNh+JvbEqeTFB4XMMC
eQJRC7H5sWLjxldNsvW9MWzliIOQtrf4lYI1o2jPRRRvqWVaQJQZnQleRNl6B2Dz34vBNa1UIfy9
A3n4h5uarBz8bTjw6103INH+Y5QxROonUmYwy011GizVOZhQ/9mVPD11omrS+48R8F0bitPN7Kcz
yn7te0N7AH6+PQhVQIoNWwOqgucdVfJHVKUoapOfanP3KWZ2z9E3nmnMm5nmmann/UTzcFSzzfEn
BBptTzzKkNvrOTttSmjraskXVsaGyZOqVLebrLaYu/55jplS3cgYGDmS2/7bP09ENRrD/Jhn9hoj
6AQ5mL6XRQ00cD7g6WO8DPYyM6KtGenJCwQ4wWQUJd//GDFoo5wihrz8zPEVtCtiF1mtQ9W+GcJ9
Yk7bPkd+7R1dELWucGfZvplj9VJx3XnyC2y1hVVaS7LnsXwbqqh4gpyZc6psrV/SOKNd/cgsYT7G
HjiZU6hSTnYjs0DpmqTycTDGr8DeJwtQzZUHKsRH7Xc2kfIGz4+KieP8+/84CTTsfx0EctthHLlj
oCnFJ7uTE40Ai3e9oXEfsRqoT9BWj84Qw4jOVAPDynstAXhJQjpxR/b/DGPZdzmU4FtSQ0jdrKA1
nrAIxKUYKJNldagL3Deo1my/G81AFuA2q4y/pzCoxnULCpm7GXakr9IUxHB3jrlJNUM9vUkw6uub
zwL1lXQJtEa+cnqWb03kfq4mLuzMt9ZRr77QWd0/SQjMFYZ1pMLwtW6faPnagAzBZJJWmSLdWYXE
iZUgU/7DlYV+fQyNlQmpeZzs5v5wlHXa4UlRVSqCrAm2qaF9Gtv83UT2wuPbwDLCQ4l1CRgqTKs4
1xr0xDnQcNSioteQLrDKsapDslr5E9/yzVZCEOpM3qrRwZhGbRNKGFD7hNLNNGCfxeU2ipAh7g35
96FO8ksrk+x1Zwo/f43xdXeJPPa968bsldepv4c2+ABVFjgLkyGbqYWIPDVL8/nPDyMX/3oWhY7D
aJtbwkZGhH6XXJQV9ugPgM8+OpGQ40tbO9rBZkjEIRXIUsOyAtuwbDvb/MSF9gTEI989k1zkCDHK
uHHYucqYgYN18EbjsLNbWNwbL72eyMvvHBCkL3dRWebYNOHk13dxWkwFNTs6/bWU587NfOzgwZz3
ZbZD+81HTlwe7Dvc4jw0qshxlYIUgl7fUhN8zOXmz78/6z45i+nCtJiBjFXhckt37/6Xrbyzw46P
/NH23ccYz8S5BNnm0S4bXHKpTGWpXtdUNAZ+b2AgkcsyNsM1xFaNl040EHvwtZ8eViOO4XOoRoOX
KuB58KxVnrNhrW4fWivszyIB85bDkfd5g2Ob8GcEReMmSPoWhE+b4WoEZhMiqHdhau7u40bOfOCr
TWsZmFkP+BowAJ4fpUcnyPHuyDVoATMZvaRN+DOsufdTyz8HEa9+1CBtB6lePEAuJR83ToTNxZ9/
sdgQ3D+ZhikMVz2aLoQwHfsueUoGYdqXAME82sVLG0XxA5YHxSEMwNYf5jjyjcvBW4gyd74hwx5E
2PglSt97qYq8eXV6nPkJPQZiGaiDRdx7zomHOs65vRR087El38hGxU3MVC30r401PntIvMD9GrTB
kWOM7YRmvCBNI9hltl1tcZHkvDZtAmi4kgdHRvUSyxLvlIKs+eJAvmSRJubfEArKtnE8ZGwZWWI4
OP44HMysGLD6yVm7s1WbjFRg4+pAQbfGLYWZvncBRVyRAM2HwCbxSrwt1UCiQi780u18ucbjZy6c
pqmOaVk/FKatXQzkIQL+XZsh9g9puwbC1kvWZWLgisyzzwLnsGDakkApuV22AyiyWkwh3VBALNFH
IgmNQzFG4e3SWhsxfW2CmwL5q2fda9t1Hg3h0nBM40wFOaaYDHR5C1541WZ2zzFUKwsfn9zJjnd2
arp9nRzKzt7TmGSiQpYBkI267evrvOg1JM1h8rsYsmFRMy6QegMKahVStp2xr7v4hyN0DuWb2kKy
ROkfzRGy7bjEzz4Fvpctoj5qfoIURoRJ8wNksebC0oLymIGhX5PLUQd8EdeJer8APSRytrPOgfK7
Z7bQJgJ2xSvy+qzIF9fI/c2Wbj7WZz829WTr4jexAzvnZ6+ra3bQhtY8BcZhao1x9iMMg6+FG8bI
5GEdrj2j4VLloDb12j58DHWogbmmpiOVs4pxjmXln6Cz2C4llGVeuN1AMKx0x7NmtfZm0Lx626TM
PJWmMex6XOseIQJs77no3X0us+QY2ZHaZMifPmubBQRessNc4H4f7NJB0uvAbvzy4PGPst3cphoS
WHABT1XqdOeebRwU4VhMqdFS7kVyMbvuB7oJvane9Jqq993mAW8++VSdXTefd/6oN7PcVCP6eanr
zYQ3ATdVGmueJS7H8P1XNRtvpr7pefNj/fYDzSOD7NbZ//n1aoj73FSG2wCGr3wDBd6v95A4fCkm
TQhk8qMEVfSiqZraBtQ1jQ6Wzj/ncaRfJhtezcG2LzKwUIagll/XQayvRGQbq9QIu70TIzkbaS5c
DksLRNBXyP/alxBbrtQz8P/S4p9E03pAPpSTikwzw6vpdWASbUEo8GE3PbxpZIQdB9nGICyQ56Tj
EDAZwmI3B5Z5Yp4809x6iZrDRorvIosZKGxwhIdHNX3x/RC1zMleQMoeLRMwmL8EgQs4jOirF5y4
/HDNckUE39NNVJvkKwvvPcBh3PKRHL2yQSZSW2uEWgAYKF9xVkJVim6rujJ470PhRAY+2+7GQTKl
tqY4/Atay9ZOirWdJv25yIBOb4RXrAD26s43Rdb1U5NCcClXrLjqQSHUd+wA6VvUtfE+gitiu7sZ
hzp2auybjq2OY6lSDe5Vmr/UXCOpwm2Bw0UQmoCZBLc73qIzM3CkAQN80XBGiKJ3dxxIILJTQfYg
z7DKLvW9ZJrDF46XhifDcH8GBkfCk5ZHOx4zHXSbpf6Q4TT8wclC8+hF4+bOTk2P40cEkXy7og5U
1Kor1XxmYHmne0e9Q3Ip5HtCpNwGHgiQg0GDFmmGb06AeRepSNFURQLprVFpfGjnyUrVGxdu8SCu
HQJ8SMYuYsMi65DCqQFj/1QVEGYBw2N/AJbaeGqdFijQAbTAVTwmy7KGtkLlgqlhatuyWNbcb6/U
t+txaVhAa2FRFDHASZKV/wPTKv61iWQMBMG6iRWSYzPHult44h4ABDNpYl2tYehB4NxCrelEUrSu
V1crBig4bspBx5KVzIIKcBrhGAlULGRrub9JgX9GKoo5oHPUt3sDsJQ9aZmSpmptmiY4CvvvpHlK
dqohUx/slroXQL5wtE3cBELFBnTr4P0xQCa6KaLuG4D9v6h8JoYf4gZyFEsC1aiYWH/m9hyT4swb
DMZYPYRadB2VTGGoaQ8sLOKroVo+WuRjVm1+1uzgwkI9mnyqVXFubR0RjUsttl28o7QOmuolIJlJ
Ga1Lm/ef0lSwBd6A9V+ZVZzGBjelIMaGblTY/g2ClVczhSKPpwOzhCOQ5kkzvHgz9rl2MsIy2v35
ZczvE9IZY7bj2LardmC6EHd/SxDsICGx9trH1G4A41gEvYfcldZYe07UQANEin3iuyU0TdPyInNz
XBlWIl9cS5ML163yH4bTLFvICfkLE2zOWR8OfwVZZi9Y2dvPvoF7ZmPQvwkBeSzdiZAP4rommGyj
Bq+dobNP+PepilWcBngq/Oz/KLuy7kZxNv1f5no4hx1xMTcY73ZiZ6ksN5xU0sUmIcQq9OvnQa4u
p9P9Vc/ccJD0SnYcG9D7PsvO9XmNp+aA+YdLEDweBuiHou5ojOEbz90lLSl/SXsH2/yiS3ahbbQn
YKjwLGKgNl6XcogvJJBmlpNA/UUeRLb6xAtxgm+//xQd+++3NDdwHWxnoQ9pgsj5ZS8bpjJVTePm
57aAdForoDjcB/Iu4QyMAC/tbsOxl/uWqvfJ794933V+QHKcQzeDFe8dSYunOkHKPXHb8nYUZrjx
mZlsJGmLW5PUMvZhVfw0Yio+7jAKfOFsEpO8G57dv1hZCK2MLgu3ogns5yFc9T7vX+jIs204iH6p
o0oqH7vRpkh02HAHtrFBZtKXN6mboYbPTQVCTl7HVVhXDwzesjd13Z/bMWQPTiHZgyDmspNGetYt
n5oUBV6n3/ZzRIhL8jpARSfWEwzF4UDE27NeTE8IvJkbAPEwGPvguj1jlE2PNzcMrD7ISjgXDLHG
FFtZXcUjJ+YFn6xj9YABCbV5AsnX04TLne955RlPBuW5pGYscfeH0R+R6UKU5amgoC/oQdr35Zml
MGYxbdRmkJ5FiBEWSWSDzbku5mEd4wcDuK5JWK6cVk0pqhQKYIqEzMYZiNEvZxMoJZHQ6ReXdQhy
LZsk4xCMm2P0C05mk+wgwPN8eTeZ6upjyxqwYHt5+qmmX5Zk49YCMIeG40mktyF0b3nJTT23dNf1
8E99l7m/poGnmOx9QpO9k5vmivtGEBXUDh9zPizcuoaMoCTO1oQAWNxNgXzOJ4B5OWQcjjqsziBV
NfdnzHS28FDBV4LJ3RX6q4HBF4yvG2BjaRvjmx6FvnPnr4IkLyG9UD/x3P5Atsc5Vz0DHcDl/ULT
oed+B8j7f+pnXfqP/UkAWxFraOCawv4U/TWdHAYuaXl7EfiFDBjIl0M903LwRBZNZRNuVEY4aDlz
W+v5GgwYWxfWXJe+IMs4yuVNHoN3/QFXNOO5Gp0DDD/5H4ahbqA8Pj6zgkI/2usAgm9JhuSe162q
XJgPqbTLCJraSBTb9mufj8FjSHseNckQvo8kj2WbzRZXbQbTujx8S0Ps5RSbygeKIuSySbh97MwW
KsBDIjdhSPLbAiSUmCDjtGVB88wqEBjgDO/vi1laU5/pPpJyMMpH08Fm8c8Bn9k1KlHzlMupjtTt
T+tMAg5Qk1/jKvsrsBEgYgDDuih0MjOb85pNmyDFqU/1oavgTFlyHzRos6myuDXdJwgYd6tcKW8n
e+LtckH9nW6WHM6ByI/+2S4MC+1hDrpE/pqT6RHdeR3Wzc7rUH5rX1qrCjfWnIRMlPdeNqy61TnI
j5wm7ClHqew2DKFeM0fYo5PBB6uVsU5iOiWZYuyfjUuGk2A+JKrYz/mT71Yo5sn6NuElauNH14fZ
14C0Yw67nhSiC/rgmp6FzaJIf7bLmb5X1Ryderz+Enmd+WX4OqCX0M3rsoon0+L3dyIk/r7mrhwC
FPH8dAbdHtP+mhUMoWIP1FsxnLM8Fch0CB+SR5SK71DficXsaCSd6qFjQfikRDnFhfIMOHbaa9zA
UmhI4OAS8cohvrUNqP2zS/d7LSh+rT1W8ZcB2tfpDsWiuy/9BG5Qt/D7imUI7xa9RpebSyezNwC+
YpvHQVxLoDL0DGP6fjUC+7zWzTKQT6HVhifXKfq7KjBvsrARz0MGtKCiTC11U2RNFxHsem/sPh0e
celc6P4Wlle7qS8h2zl54llICESUde3v9ahXLGo82j51fdZD3zhbDwW+wFWcE3ku8qJYS3uCaxC0
Ncx9wYabApKQJxYWPw89nPYi3+rHjfA5DSNmjeEWus7fdcilLwvcV9LUOZSM5pAS3qkbMOu6iM5r
XRekXn8MBC83FjEf8sEHPDsz7nLfbY5dWVOgXmnwYuSo2NYBxFZQ457OZeG9OXZGXlKwCOMA1MXd
qHA5IpDYEUoFL1Bz81Yk6VaAnY6La/K8S6F2pTPmKUVaz7fUsNbN64AO1qMDECBrPfBlAaRGWcSK
HOVnJJG3ua1uupkWjM/YOvSznopuXs6G2gcrzeTLa58eaOc4faYPkkq5sWEl1C5LqF7fjYUSd3ja
49tkzveTfoLqrezHYdGYzF5f2h4bFqSCPaOOBtll2HB2gjQlzPbAx4EmdOAAS9pl1d5KG29zaQ6d
yw8NMgcQmJ6DdFufhQlFQpMI2MMFYtafnocvkZnVq42oMxWFjmUsk4yOz9IL1hrYWyrLxkZwyM5C
FMNOFWYTDSHUevBwgf9gYQQ38GKwUKlBmgBeTfl3Iuk6o6DAAe/UrFuAaDehrOg33qiDDlBDyqCC
AOPi68zcTIt7kC2x/0yxCRqc7IfVts/VQJPnhA4NRD89564JoIsJsOJwdDrSbE2S0i3qie7RZcpZ
dhCHuR8CSGp6oxAvOfIRYsCmwwkfRmVPa54VZAtyQuz1qnpuUgBdVd1Ma9B42+cSkCWPmP3bgBxm
bHKL7c2ssQB/Rp21Yf2b5MqJTBBFkPNIhwXuv3hOm9HaXVFndkxcWdyEDXSgwaPa5QMNqz3y6V2D
dIAey1uR2nHnylNAQGHyMmigwEvPCIFeyBnwK8atguP32wBnzMXo2P1Na0P9v2Vg2SDzbb8FxnSq
Ett4oGAubwfFq5VnhOZrUBwMr7XfCgLoZ9ItKtADII+F39XFTyIYinTZ2LSNMmjU9Cc9Qge4X7/6
SVPsy6xF/FBV/sZRFnLPuP0uRuw8RjjRrbF3VXPBNmh3U5cb7YeZQdLVgEzyorfKDrIwPfXv9Tg2
YgjtfXZqFUsjBkSUL3MAxgrPezAr9VFTQmFtR/0HAP7lok5Jub0MAuG1BLo0XMLtyH+wHMK2VduM
i3AO9nKDH5W0cKdDK3Cb8s6HzoWeqbuAC/39K5EQV3u9lvmfXkmvlkNy9z+90iWAAir862+C49iH
Bz4qdXxzZdcw0XXngwGKwuUsgS4sNHzntj5c2tcgBY7up3A+LfqpzT/16FmfoqBeu7hI2RWN9+CD
S7Hks880tjZgF5bpt04E6e6v/TR3jEeJJ7Z/6m8hirtz6qxaWk36jq+oEWW+gCUKSbBqYjzzDvu8
sM3loZj7IVkKK+w2f4FI2PRP/dk0yLsWSO9LfI/tiwWwFGD1ZuamC4Zn8ig3QSzp4YYM1Sk7pSvL
tZAP0m1r7PtDP1a4uenTVFvwdJKC1M3rle5zqpL+HKbKxyJek0MqPf887zKgw/WhcZJmKeCyBXkD
mProvkuM9ui5vCJT2Rus5Mv15b3oyAY5WLwYWKLrqk3uLhBh3JnaFHzjRgOKdZ8+0Bl+fG1+6qP5
Oh2NdsvgCgQR0teWFw32amH7TODTpbBJBB1WuDe48vFI97sdc5bEFsWGmU33HDYBdtTIlnVdO5yA
wHtDpbx75jbwlonlJis9SQzqmcrJhzmzXd9Zk39b920O3l9XrXhB1V4fSDFOmxE/Cd3KBCBcZc/A
2pJwBQedqEaH7oXkFtpkdH5O1J2VCCGENhhlfJmkO4nTwnBBr4e7eL32UAibxqgi9NVSVn3rtaOF
siFMu6BZ4aTLAfLHC2pWDE6mGL4esIULsVdra/g8tW66TPlgxUVXD9D2aL10OaJAueAQKo6TGY9U
gr2xFqQ6EOBT3WUI8+GdA0sgd6mHQUIHrdn42jvQOn3QAXoCkQHSPUx1y6QLvbUZtMPZDNwfsKmQ
r5SmzcKcjO6oxU/6quHxCERs7GekuZ1k8Cq83vgG5H6+Iy28XHSzgyzEEjBDcCDh4Pmtd6BnkXAX
EhNzsKfo7RBW7DypPHyEN7M3B+kFq9R71S29oGdW/kI3beD6LgvqplFDVRCm6ZFeVHfNi3IwZc9S
DuFj5d7oV/7ruxxDPLXpRb+8S92EL27x6V2aDgikoDtcFnRRARV1+vTXd5lnKlmUORtg34XteVF1
72NJ1Urv2PUeX/frs3/pk+Lr1Ot8XHNh4OR5qBiEfIKYCRhtvSXAcOglCLlT6u6pkCjs/xo16Di7
UbLCiBduNdQvY+C7W9EmQSzKRrwUff0DMFjcjfNpOhU1KvBQm36pexrGeDB0trq5waXx59QhKbA/
nadiO/DD66k8QRdt3EKDuN7gA7B214MC12hXi8Hzl7oTP0kYN+jTrDN5A6euP+MtC9DgpENa1Bxy
B8od7SI0IOgI62MgTKuII/W7J7PnUNniZ3DA1R8mAdDxT1cpBQ1VTGG1llXQ3LqgKm2gQovvRAYH
6wjovPa2FkxsRgqxlWzWlJCKYoRLr9uAJVf+7NSzdXQBsjouxkV0CdRLyDFQ0LTI4OY7IrlVl/aZ
VrV4GvsR7BegUXLf8peF6dItzIc+9RcKKGvANunWn/sV9rDY9E6vdO7X8b2fix0gsCTSMrgdeFG5
bThbLZR7VcadcLkD+m7Wt/kVooVynRKOCw7t8OQQga0LC4IYiurWuiCtH5PCIjGehbpTlzndCfIH
7XHWa0zC3A6BW8QA6eAAguK9uaFOC63K3KJNHLRwV81lfegYZ7hDzadD3UEoyUeNTve5U4VhgY81
/hSZJdMBtWm10cNc+WAlzpO/Rg+E9gskgqs4rQA9ifT4p1M9SU+3ONAOk/3dNToPOPNpWrhq6je6
qYKpRnnZMyPdrLiPCgR59QOvu/sSj6dp794cgp/xqEHnC5D8BKpTyu/TLQ0ndZuWrgGp7OyWO6G6
1V36QFyQawh4n9G1T4co2weYF+pwsR64TsPVMYnwtQ1X1z42Lyor67GHVu7uulInuXlrQ08F1vHp
zXWhJvfJIUdq/Nqlz9LAobCAdz6uS+t+z0deU1lNt9BNlQPhD6c5XI4n6U2XVfSIfkFnmCGLndtv
dJ9eS7/Desq3AdR/D9flicmMmwy7r18fi46kPlSzcnf69EnppQ2YPa1RiVRQiIFWg9mk4a5gFKBk
EAvffGVthzGHmyikzBZ9m6qPvDbyyDEAgbECeGcHAP6eMgIi4tgaUF1E7eHQ2p1YZTaKJZyMYsFF
rl7M3rkT7TSmqONGYP7mECHyAaMpav8ZygQTUBKWdx4Kbq/8MYAFdD3AtkzW3doAHPUkmzKPK2y1
rNqVazbAXMm1x8KK9Gkr2doPKd9/6ivnmAnq6GZduXsd1swSZLofae96ZcIoBLtKtQgJpLBRQJoi
VrfGi0W910R21rsq2h0PJpVGSEQg/yRcuImnPzpgOSCmNGS7BAL178lQvYbYuL12kHkE+y2zbxpo
DpizuEdgVDXQlHkfdVqaQ3eWOt1umTdGqcQuENAQ8eZDz03v32qD1tf0kwuGueta+BnZtvO3Qojv
Zalyg7I7E2E8asV/rejfzgr/+ozmaQH968lDOWGm+UDqZX+N+6e+69zQLZt9wkBb4x8NAK6PkjTJ
8VdrmFtGyT4EknqXsbnFmnaCQWyHl52LkjbQ9jHq/87qUrKszP4AdPq70u4O0KDY8N5ybl04qCw6
i5lLHyZz5JBOIli285v/BPO8AjwvnbmVmlAsr41lkfg9fHGM8piNgXdWLv+ABYd1hgtwGeFppz5M
yLEsO2fMHgcbt5+uxS02e+1Lw/yjZn0dFQJSSqbb5Ku2sJN9yhj5l2Sh/7finzvXq+A261leaPnk
S9UKukR5YbRDfW4hHxDiKa4yzft2sF6zQrH3gpgvqh+tBw9/x3qshmJjsWx8+F0A9g7FzWQ64lCN
YDIBBtbjh4kbq3al1rdLx+1AJy5Jt7r2CaCjtrXoT8wHK65iHKIveeE8VlAljxjUrEGst+1L8zoK
PTk/AtZoTsd1J8M4SNco7nLUY+8IsZMty7wa8hVo6oHEVX6MGqizvPYZI//udELsdVfSNSkYEguU
CJAIDysP1WuZ+1CWxFliKnT2v9rX4abt7rIqA5MQBkf73yd0XedvYEQPKETfh/S6G4Qwd//yT8o6
tygsJYZTaSJLa8+6TXUPfFvCBdRWe7MkQF3lm6xz8EMSPRwLr8MJVZkDnEFrHZC6iGE0C+n7th5j
WZjDfTb69G6yXpCzGu77pBruO3ySC68ph41uWpb09nYbQl1sHvXhBnIPoWkID2fhUc8qeU1WRWt+
Q6GpiHQXrxi7s71n3dCvM7Xy86oZbq0xtaBClFF8UXjXiS5qsbE6AIXaHPRZMY+ErLwrvDJZ69Yl
Tk/RbR0XjPUrz4YGV1ljWtUU0pw1MjcvtuMCAU3bJ1QT+13LzAl1L2K9pMb07lkNPTsiE7eTQnLC
HXvrpZCjs2jg/bKHLgd9LJ1qo9fRy5rgY62T4TGodqNdGmpVKLhxTIVbHQwDtbCGDtsWenfWUffp
Q4UNHu4Es/DHHHyZp0f05Io7RhvNs6sy7GGUPC9bF1WwUQEMnScqYWaLXOHEuz5Ces04GU3v7XmK
/6IeIOx7qkBls/M2WzmV52xDt3Du/2Fiazne3ps6ZP9rZ3wNx/cwDyNPqPxG89TEbMsB8F64GQOQ
q67cNT0A5Wro0lL8Wr8M/HURPeiHffJ1kcbxyj0n5auDjZoEZf2pV2Ar4mEaCa354XjuH+b+ce4n
f+m/xgNn+yneHl3zqVYo8hgBNZZ0CC/rXOP1+j5zM7xthrq659UsTt1qjWvCBME8XBVXWliJ/BrJ
3HHaatGkshsg9dw7SKWnBzcj9VMrs2klqWNvq6zO7ljqtFEuPfb+KyIMQNvVEQkSOXeVBXsSHQEd
wQOyir9ZgztFnEp6KJIw2OpLJLhr7a0+Y7L6BrZWsB0tY8iWc5POYXIcIZ30K+RTn76o/prGDQqV
PYKd+DLBcxT8dDwvK+OLiyYsoeu4AMlsmWqXTWoIdivcO62wpE01+1yyUzKHZXMY7aR3hOxeihWL
cAJ0t5tuJh52xr2o/HQDzYsQuytVGzvy14NLgiNQv+362u9WQLVCKDGFFg10JXa+oJC4bXdZA0WN
SEswazx+Muu4+FruWXfqtj4j/DhOg3+EyVviWOVNozznpsCzHpTswtSNA7spY92pD8AwYwROW97Q
lDdpARU83Y/aNUTx5gnUGTZDn+PVf5Xh9Z7cmhwPhVHgLJrocq67mWcwABfGYPn7PfxUQ7i3GSBm
kll0ZlxOTR8rx/RRus6FBylctIUxwMrXTowI1CKIlsMSBGIgg4wUMcjSLjlM+HRbDw3T1Bz1Ga6F
/Z6EcpHrUT0AVf6fo7oJPuhd4yeA1peAS+bzD38+VM4wM7qT0VyAD5jEutPxeX4z1CEORTTiMRHX
f49GeYFHrwWAwtCZRfZMO2VZyq2gQsC7tW6aQK3tbfwEowzuUneJc0wS2jUQC4SYyvWA5LyIq8Qr
F6nxa7ijHQRXhMJuU0fq9uVMufMaFXswhrRZhxAS3U0Ar1gcOfYA5k6pczCnzsbzRg6QpD5FMo/H
XFhqYcMFHpTS63jDHfsgwDmK6mQwl5/GAer+cz6n+V2QTdXm07Ce+KmNKmQ0QqV/Tz3NWp1fAhIr
9uXN6FeEy2O/S0MXVddfS1/e5QBJ7nUw+i9fZuhmrf8QFDTTpV016WJqgfRzHN+OYKFg3eqDY/bJ
sWjcqJO1fenS/WVgp1vBsNe5DjRziN+1fKk4ZCOIqVwfeDx0BlUIVsg0ALY9rwy2qIh+//QS/I3j
4xMzdBzXs33fNa2vfDNJ/dJugSQ6QdAIzGWY9946AHxtRo+M2Ej6MF2rVBiXblt8YyHAHRSsiT9S
WJWCxPZjGvonbDXSZ9tKaTz2uAKmTlYuaInSkDt19FjMKsPSgUVCG34zJeluehngRzl3e6NbgCI6
8ZVu6kn5Hz/VkNutmDcQUyD2XU6DUzNvGX619Fg2QLl9HuPEylZ4qALDC5WKW30IW/sFjwXDNne4
v0s6JvdIN8NnAdI8qNn0cD/xoaRaWl3xwfkf4DrW3y3phvDJqaebXIUTWMHOtAT+1njC9/kwhKT4
MNIGoEfDf+id6WHys0qeQdodt541Qcg4B9QuIcwCl0uZh7AKzcOXJvQ31b8gBO2vmwTXDwj2BsTx
gbdxbS1w+v52B7Jx+z//Zf13Ykl8xfFc8SAhbgFDAOuQjSPcWpxRrvpQgfAtc/Fids4yrUzr0e8n
eoBv3bgwBoQFMxSJAnN2nELTgV6TdfBqtQ0ks8V3M23wLCvBgw6kEw/uYD8y9wA17fYFGIcdyij1
YyjzcUcrHy57yiL/8v207K/7VeyAQPOBLRrU0azQMb/Is8Jp3k950qcPQd0snT5/6ImTQ3iq6u5T
09kgSRo89RCo29m9C8QQDHafUshrxx0MfHZ6NCf5Nm8mcS9bED5NCB7oqEZ1ajMlUDN86KFweGod
xQ6pV/WxmZvZdydQEWeu+xLwVKxAlWy3MgUbxMjFNx3ATaRIHFhGnuBEwuKOwrWjliU2MIzfOcSv
7lqapZuAm3xx7UNioVj45lBvdIgemIZiEboWPdk0a9ZZ0FowmgW5BJYg7zqA02qCkhC3ohDeSIeQ
iNxeAfAgV9CjzyJckMYugoTcEwTPAaqqiP8CNdIlHntRAjNhJBLYsJjzmol8801IH8391eCqJQm7
fiuZR3cik5Aikbty/mFOihf4OiCZopuB1VSrcKrpWst/i7SF0KoP/S5YDvrfwN3wcIN+msAu2tv4
YxNZfgchLq2XmQOsdzIrIOd+8j6GZYVtWHvKLWhbelDei+q6NB9aZZB44FNz24D5vDayINz1Klf7
FGmCdcBydrJKY5/awAGljSgO4xT3pjccer8dD/oMHNKfZ7oP6gVInbs2bApC1kF1A84Ov79uuhp3
O8ugwjro43/+y8Vej+AnN5N1TVw4/4bLbSXtJs5Z9gCYB9tX1LOPgdNvam0aqJtTAd3ULIFHYFIV
zpG13YZJ1p5LMKZu05QvwEQYTpwRueTcHU5pif+ZPtN9n0ZbH7afzUAWnc3Ce8q7pTsjq2BNMh3U
BPyaPTdbaHOtW0CQV3q0b6d6IQLIs+rRyez3jLnsDnReAAgmoKATZu3a3LZuGtfP7mk5lpua98PC
d/rsPmuq6eAL8j0RVUQHkz0mfeOfqZUeUEAxvpVmnR1Kwwsi3aRe269t6E8udbNBuQjUp1xtdTPL
xz9EZbjwOMDUeUW4DJHdhVc61sjnnmugR7stT2Zd1Lpf6jsC8K/lgniK7H39DRvbBcDq7HGc8uC2
a/w3HeXLFrvreZJndZGCo2W3bYPRLY8Ar9xXLpSX0wRy2LBkFTvso2CgaNn82cLP35kaKL+ZNkBO
yGbCpC2on7kCKMtMxnZlkgE0Yg97kz3oqt7eGnIkGFrFawh8QaQ8sUKWxddxXlnvdlEDTG+FQ7Pv
Um8N7zdQ0ef/epgHzTkoyZvFAnhw/epKpPcG8jser7XSW2XYl6aepMN+dU3SBZEBOZUSeiQESuH1
MG1rOMOCxIhX0MEqrSDzMTEIfM0vyIF2X/UQc4OdJodDDRk+QsMT0dSW6aMJtBOM8Ghz7NOs36GC
JtfwBKrOTZJNcHXNyUvZ0xvCausHpBkAwMqq95KBOBEwI4GRDdJoLvY5wBZJuq9wmV4pACfuvEAA
HoPv7xsV3rYs3OAp86sd/svuMeuod+zrAGdzU5pVEGEfHS51n58Cap7K0cIDM1n6yrGefVkI5MUL
Z1YWH+/kjzpBLR2+Vd4H1DkXyhn9t0Z4NrTsXHnrZCzf4c3B6h419gcdW2WFiERgQ4dwdJuDOR/q
hvRdNBg90hm4GDWFWax16xKigGoYq7SU54TA6hfSxvZKMqeP9S9F/z7sji3MRpATdG7EudPfN7h0
qZ9bNchvLBNFh+N1r2Y4YbOC0MG40Ls2Md0Uo+cse6AKnjIBo6b5y+iW2FvZocFhdFPLrdHWBHwN
m1drkopmdXkdz8vNbTCU8CxLIejSQb42TgVVdwy1PdcQD/pOTd2XmrBrA4pl4kE/OCFMj8BsuT34
jM0/mDwMXkPjDqpy8ABoMxgsSSV+uC422AoyRWFQffNY3795DYDaSVnQF5p86+2D0yl/EYqy3vgJ
BMska5KVJRAz9oX6xq28j7ln2bejmpCerJxyByPg/IhaAFnmQ9Ld9xykIjjI5W8tUuPzt6seaHmu
5/RiRhlkXf9sTWa54yw04QKlcHeYs5Y21DyXJEmzOJ+bzlwDvA4oQrMY9xNUDId5x36N1oF6CoWQ
QF4IuRxRBdzBShMi5vNZKoYmVrPes05DsFnk+arYfMlK9ObeL+EkrPsJtasF/kA3MkZc0od+TLdj
GpgvP0IyqhdpjvnWFmxcGlltvZRUnJXD8/uW5OYRStqQ6ZqDaZNmC2/i8ojEGL3HhQE+joiHiblc
ElqXUVCmHgDvKIFkdlYvlILIQyu/GV7lf2QtjKoskab3gGDb62GY+NbHXqviZrc3CpfCAioNjmkB
hJs+033j3JfPffpM9+UEJqHge5z/D7G/X9MYxedX1OsZhfGNsQxkkFk53M+n8TaHKe6lNeuCu5mw
N2UFT17dpw+QMcxia5bnuvYhb3xyZutqcCnAfKnyGtLgqL5I0HgSbBM3ABqnG7t01APrwpd2hNfp
vwZQAFahfRP5lV18IGO7zQRqUtCKBMbICsqDzVlyNFNRxVNRdG8GrL4HgxUfQYNapsJT1rniIwS/
RpAuJOP5Q8ggN9I6mXvbJaYXWU3nYeOBamXOKv5YZamDy6VbbnXTpNKPKVQN1yhW1I+MJgUu3jRd
6VGX+WrtwQk21qN+AnOwAUncRZVDEYszP0E1FbfCGs/U+M3JCQV5yb/DDiAaEuZ/wBMb1IGk9O85
sLprCT3irY4NS9hGBMDqfomtAUm/F3PsMMeGoQj+RSfB/7oHRfrc8eCk6FmE+KFnfmHz952Vm2HW
2/eXexuq2esadq0r0+uzBwG4QQQ7kvKPqXgHgax5h7sMPvDK5WdZAqIPsAgYXEKKcyG6YhH0QfdO
mtfLFFBe4EVaGvce6yCYIL125+DWceMSVcZ51xSvZGg3OtaYqtsJP9rvMoclG2lIc29Jy9tA6mBT
WhaceiCZbkJf/w3eUg+DZVUPSQ1OT4ht4lL32/Btplb1NvZThjthNWz7MDhAvT7bj4l0l5CMLU6G
2/w8Q9XKXY6pkZ+q0nWX03yWJi/cdgDH6OxiqdUY8d3towZaBigdeu6DzVr4NebTcz4iu6rDVGb2
//J4G/51T+lZIdhScNgysbV0TGzBvrDObJSR4VTEQYcBeB8le38HHo2/02fWr7NrX4e3kIIGsPmn
2GvYdf7/qw/gapQN4GOSzlTCi3dzODMGdVs7LPcFfZiqLll96dcRuu8yTbcv/sz69Dqul7l4Ns+L
DaWZwOnjzxeh2jD6Yubcp9+9sOg6qIdXZhpXKI7v6r8eSjwx7MaWAEQzD3St8rBn+hWjR6B0429l
93jt/jJLD+g+fQZUM+yar+3/OO8aQiDFEhWdnFY6kVqSsl0WkDxecJkiz+oL8AkD6JJUDfsXTfOZ
pfiXSrOHfRGc3/3AQW7Ctnzzq0iHK5VNuNsEp8pykM6VcTV47KOokhTP9KmAmjr1NnC2Ljcy8fid
7QOnDZkMXKNwcWOCfUxqgIi0e9QA0bQrsGtoevPEMHaTJ1kGHAGQo5BIAciIFj8HqAFDJD2Q1RjI
7GQ8oVSgWhRsWWluoSHYQt6QtSbKLTw4eVIFJ7etyCZroHVx7RNNZxzzSS2Bfu+NSMfBWXPl2tQ5
6pY+BLCLi+xJWKAbJMFJz6cQxFqqrCexDnHml3B6I7i8hO7TcUMwnNNZXF9Ra1UaFrlP08w4hU0G
iLR0nobSCjajAY0H3SyMTMGSWyY73fz7JLDbuqii5P0q6w0b2ikovROYmPTAg+EZhkGAN0PyEelZ
pH8Ens1i4QJDC5JC8FyKxQgW38sEDTjImsh8qZNHoN+/A3MUnnjCGAq5HFy9OamkZ89idRDUcNy4
CcV05J4BoGpVF48OHjgj5gNyPcLhEJph7g/ShGe/K4sXZRlQtGaWe4JlsLseBGO7nqQ/pyPv+XO6
Cpq7omTHrEKFBqp+Z8sM07PMA/pYlBac7dGdd8N0RP2piS4bXyf31kJB20SPNkHqwkEDLGs92iXd
2ZnXGP5cAyigKMnHEHxlz4cmkNOb8WANwEfOWkd4FgPFgYmA34yixpfGFWnsAV2xvhi6gysFSVf4
nMwG5PBuZA8SgMtITk53aJ0e7EyQL0GboNVKh1CkyvcMlyqYEyMYGmTdvY3NzdzQ8SLlyA6D275N
inQw7luXjKu+kOUljxcM0OkOW2CnBQ0OtlFVC/2vCLyULuCGaRxGNaoH/CVb/Q+GVEq6npUT1jor
OE93zcG9ybjcaf6Ippg0xVxpAoQivjJOsiSvYOj3pD8GHeD8L2lX1mQnzmR/ERHsiNe7r7XbZfcL
YXfbCMS+CMSvn6OkXFTfzz3TM/OiUC5KcLkKhDLznJrV809lbkQhtCdWuG9Lhwa4K/7UyqPhiRGg
IxhslxenesqPvd+/qUg/aFHwBD9vvwM0kYuzfbQ7TXv6QVhFLpEERFcJ/UiaxuCPLqBJSSIPNxof
TTZ2dyTR8jwJ1bw8l708NvicWIVMbicWnvK+lM8h2MrvRQ1Cs5o76ktloNIA1eDZwdMNmKCYPBcV
659LtKXc8zoCRZ8rpi85iCj/0S2uOSAp9PJGR8PnRqaiCL9J3InzXYmWwLPX1zVbp1EFPBtziCvw
fmN6K7duwqsVLZin2Fp8Er1y5iCzjlaKSoLjlKYfFpHsF8BO9AF7qjz/OvmgjQLCEdsFHXJwnh5o
ZlcgQ/K7kp1GS+wXPQggwHrbqbhb522UbskPOWvkYmgdukTGq6MTEog+Bgn05EKyC0SrTY+cDmoz
8Em4SQQvwdk1jvsoyv9auH7qBEdEwEgHKLre+pNh6M1iVbe2OJGOhnbcO3kmH2chitLzP8Xp47+6
KWpeA3vC37lhWmfBquZzCxQCFB/UX3WJ2UGEY77ztIhz5nu3M5JnYN0Ud0MBRLJBBdXXZTnDLvEZ
ZG37uC9+5CJQqPQHLXQVDyiNV7kAIbWN1Ooi04x89ApQgU478iO9sHx/BVx3tRlsZBeEEUXPNOuq
xphnzfus4oIfp8gHIG4sCqCftfUeOxTnFb84e+IX9kPbXqPrxbyO1cTu+mnKAFSM82qvdi9O3wrU
cbN8XgniCeeVi5dxBFCjvvubf8ciktVWfnIYgRaUTZV9Qqm6fQoTYPKuy6bAxiMTyBxOMkpwNgf7
rPQiFybytXTJ8Cy/LXgPw5wU6Mhj9xfhSBJoZYOs/cpOx3a3YEsSOuWN2PP0wQ3Ah22gQ2XsgSRH
Qwv0vHlGYm+35TFQ8nqjv/F1dV8RR2PjDp1WH9ezpnUPXi27h6FV5Vp4gwOyIBG9OG20p8do10f5
njV9tKOnbVjYqAn2+xeQUaXXHDyg81N4WZ4EQ/SCZqc9j74VzBqfqOYtwL7AqLJPrc5m/RKoUg6C
QJnZp19uqML6MlZsi9IRtPK77HMWqPzRQlXKE44BFHhwATZFIg2VoZo167JI53q7J9Jh0ejjeANl
1cjLDW60llWCk/+Ufy7NgT+jK0lcEtIHNo7KM6fbxNjFg1UC1TKXBiT2LZ6BI855o7jaxHZcrQ0t
mirR9WbsviIX0pGf22ZYssi5/RrhA/hMGgo6h9Phb3Tz1YDEiS5owEuvJvTIH5AnUWcaGjEBunGR
bYJyXGTDUm+eCqWcu8SffpBx0c8Rwqhc41j6G3KzoPMt+u5Jdkn3pNDZsQpTrzyR2JtB+eCi5Zgk
GkCQV+9vVjl++4fgqME3VwNe5CjVEInY+0iWbdWIL+66SIR3ZznDLjHG4WR0TadOyMBvgZdZPaZ+
wZ510wrSK86nd8mWvj1LYJvBv/ijtNj+d+vKvjaRdTIABmTayZcAXMXcka9dauXXjAPthNQtauu3
6B8AZ7328qbwCey1/SO+nOSTL7oreWHTyg6m1xlIwsALmJQJKgV4g0zMHNo1K/nqGtFbaLQzZs+2
ocaz8vPubtADGO8jYFqAyT6La9PCzly/ySVr70rQ6tVWXB41Ua29Dzukt5ogvZLH7BzFWX9WYbgr
JlSXb+a19RTgsN1KQG/MTRv1yyNIWSzDXmf9ZOECOjZdvwDo0Xzp+QrvFySXfGhQz1g7xh7bvn0c
xz4O6PLksebDswcYADQ9s/AQWpG3UVbrvg6ONNcVWP5OYJB1XisAktMisGMnj4W0AU//xcd3wcHq
gkPA0KaP/1HFzhIf3vOAv5gQmeZpQleqVsY09Wv7goKX8m3N4n4bY5aLiIdrNxlHoEchBsWkmZPl
KJNeli+W97uaL7i40GwOS9PZ3sigO5to2AyzuzByjf2CrppoaALCYb3RkeFG976+1ggK5EEDyr+f
YpYC4z5wnAc2VtUaQCrxnkQb1S0PZeyXSI6iNpV0NFipKq5hmByQ5QOGNeliZh9tO2eXMcAv4Sos
s7dQFKW20AGigGfhhaWz6zlw6mTM00dZ1wm6ywmqgKGK1LIAFaOHMPfdMyoFZg/SaxqvOzfDD1sv
ooH0SfJnPcXe/aKWiXFxh3C8LKrKBPczCgnRI6LDk0H1BUABU17tl+uaVe1tQApbbgFBUcdrR9+v
N6FmZolF94u/una16MSQeuc08R+Xf5YsA7TqdWifTLvXqBqyr3aP1jybO0hQatHvq7XJh+mzVZXu
uUN915ppfdV1bIWs0Hj18J3xUiEE6cXUiX0N6MIdLefVAL6AKnhGI1GADzHfXZEefbr+2o3d4VjJ
aGU443Bv4DjxHr3YzRqAXPkuGhh074YOSNIrS9bGngxMW2lWDc4nrwAp+eJL+sRHXgREgpcbPVhT
AUEY3i3qeEr6a+9qZlzcxnxdfS94pMTnsO7u7NHur7YD7B5AS4BzoP04kC5gyZuOOZu+GNzz71zL
36xkChUVPat3S9jFDZ3aVnt71QH5kH3Dp683l7gRFa2lqDlSYhuQCvuoRsW9j1PLThzNN6MLZBtU
9KarnpvjAw0E1zIBv6DNSnW36M0GLfxotJ3whwFfAmcRSPvers9dZHqAPFiA9MTyLxx1ZmiVUSLe
DVbWr2KlABFl241/ASbe2zDGeS1RM28dR2AzHMlAq2fvWZY1GsC64TsR8xhT6DzhnIIEDsTO57bx
mq2NjqEt6dqxcoGfNjuQpugnkG/ZhrklfxfP5KcareSa+6cygWKYxaJbld0IklgWiUMyAi/ONZsM
zzM0sdRWi90vSihA6ooh13711CCBPxjVjnStjxpGfKdhcawXg30QMk5TE/A02PjKX7WovnSjXJyX
wf67SIYwkuJct/6Xvo/b3aJaVllRiHYU7bboaPaP4WjF4kxreQcuy6BH3WhrFtjxSJAsAsVK7vsA
0Dz4akB9gjQANQGyhGJdeG3z2BZu8whU1zcdiWQgXdfsAKF1aJLgOplTdLL0UEYOSLFoSoMzChA1
JE4dnebpYppdiyD28dGn2FuAD15q6pu9Dk9r8BS3D73Z7nLPRbMa3qn4rfWcCwq9cPBG0ypJgJ1T
J8Yj9uEVcGkS1CgxAO6t5ql2jxUATnwkSk8pyLI8mcGa4htkZw84fqBePBo6zkDA27NDY/to2SMd
9e1RR9/fXUhPqgCsgXsr8Z9Cg+MjSE0Wsum1BTx5iDQrtUiz34n/Ypkz5lYOLJbhtY/KZ1k41qHD
x9odY4OxaSyz+oQqPzxHwJr4p+00eGsANG8l0xwQEWr8bjDUtSpPWi+DF5RbqwchRdjnFQg6W3ZQ
RgEARh0JzZjVJzDnAlgzK0FPL/FyAcOZe6m68W0AVIW9TdpArUhH1gDFbtWG5EI7dkC5WTUq83am
YeH/yU8DF/U6Nas2Y6/ZnAC/RhIZKMTYVgkc/x58Vhpm0BxQDVQ7JmorbHPTVbF54Xksz0b7syjQ
IbAiFQ1mV6Yg5OA7y8ADO4kq80L62U9oGRhiWMKRQQ+BC3cinQeu3OREngLHKBGsR7H23aY/JR3H
ty8a24cTPsaBIeIVXXdo43g4oTolckDNprSDtv2HlhT91AfWmRyWMIv/AOpxa02e4DsRa8WQ0e7d
ogV2S9jMgxzsu25CF+eNnsQMx1AF6MCviz/pPS/tLszt1zd6EsF6jhRV4jzNUgui5lK64MZaY4tf
XLkxdSNwllHJdTRKJc/ozLtH7eOwj9JKnpkeaOY06IPfoeii/yiTHexh922PhkLPTKoIAKxYQ44U
MEb6M1ovgcjiyzIE89CvhWEG6KEV+cxTWkmezAoA+hVk3fwGiDp8s6KN/45eBVPPm8PkDwBecUqU
M+n3h+ca59ZR+XqIvHYbxb0E5GUu9oaqaxSJcfmc8Wp6Uvj9zH2cF5ImwxYxcVtgwGgxSqL0gmr4
v0hC2QzcqhrpdmySZgk1vHNAEnH2P57RCPlFRiClRBkTB34AwFy9AnCtjh5IpGGIgT7CtMuINsJh
M1s0HCtZRoH9sCJc1yXEsnCJvViXCywRxlE/CubY+k7IR+lLLxGEaX0ZO8faE2oQGxNAHWKXtSAC
3QAEEXwQ+fIRQL3ad1HRKhJpRm4kvvuSnkIK/Nmd3o5Q/R6kNmXSvuDUB3WME+MoxInC8+hG1XMQ
VC8FAYe860tLVc/aP7A9IMOMHP2hPhLy/lSuu8rdNy0+YRCqA44aZu4gevxKG3a1WmSazUqyL2tI
nJRTA+XcBLbDezAy+OPovMWptIXMs3KRSUnuwhmtAzPs+Z4W/e3t0N3OYbwRfxVm6LhoA0yt2sIc
NF2E2k+4/iTSgDq6dWTW5nFR0ewDNQDJberU55kZYJGXNQtbgA7Y9oO/NswvBh7sn0MVbnOz8L4G
MnJ2tZFbexIT8Hjmpeu8tkYen7wOSASkV3b2ecI+9Kk10/gOPx+2In1RlABUAQnllQWW/cTL+MX2
Uv9rwFAg0ep3xWBZdwwoRnfVFFt3SWf+VXmFPMR4Dgaoty6skwNeb197zLredzt0DhcKX/++aYPc
81eEdG1FfHpzcwvb3E6+gTMzvRZHh8hh0bRDn0CTWuMpH3Aet6LrotpOgQS1/3PSkMO92QHxE3my
4CINLzknIEI5K2FXwCB6l0lZpCV2nzSlgcyzJ8n4oqjXaaJ0+ce/jbEEcmKcrDkmiueLDNAek6FW
AqdiWxS+lWtUh0QgFhnQ5eH79tehwJYtak3nKkToKEALcPOcgJCOPOqpdK80IxeaSZW/hSKRhqJ6
TOzP1InZyfau4iq7Uudm1dr8Hr1HW7LRUOPtdSgUoDwXXat6f91xzveL7u+BwCQzXK3C36PiDQhj
AqkrFDCfBxmKsy+Ru1nTtDciVa5oSnbWN+I8hSid81QeblTumTjIGz4O/ysdEhJva2lZd1Iqwrv/
PeK/CFaBNjFH2RlugqIBKv3kN4W8dkHX70qeoGVMRP5jF/X9KtHtvHUrgHflDa95WfQ7PzJtYHRZ
OP+yweUOnGl+StpYvogoKnYxKNO3SeNBLOMEvcf1uCKrCfihxzBMtyMwYF5oADvHEVmH9IH8TatB
qZmNb2kyetgmzNFaEXbHOI+APFd0AH0KAIxwngxwNdNsEVFA0IMzOUm2pLMDuz2beih6YGjWybVV
XnZHgw8KV+TQnyrWITdHqibNVvhq9S+zTormiFYX5xQ6FXZ3rEAjVmAlZ6JL+cCPMhp7jXlzIn2p
aa8WIy8YmBva0FongAeN+4B/b4UC13zcFvcsG+trgSa6NZ6XyXcgXW2LVmZf+qLAe9oXINpgOH7l
Qt2RQ5Dgg4hWRqjkTUKzvlYaJaCUYCpuh+wb9qLlHVe8vFN6FjilOr6lglH94xmrrgdoPvCvgeuk
/zcu2PoDgAncKP0lzFS4n1zxTJKRQNURatQHx0Gxah07k9x8MEXdWB/SMn0qdSKahjRGoebYev6e
ktOLgWbSan4w1ojDLGlowXmVmVV3Tht86wzRz8ZUqzxgkYPiGan71lcKL800PBVe0L5Izwk0lYW/
VbVsX1ByD0TnhKsVWTOQszziUbNWPJu6NWow71hlp/dRUXYvrl+Pa2cM2IF8TS+T+xo1xxskJXHm
UvNjjLLcejW13D4Tp/utzJsgO+LgH5jwIPpZ/CZge78xwpPFDSugRPiCX6LSFHivdrJ8sUWtO0YK
vtYtbddlyAFgM4s9DlvPwBadPRb9ra8Eqp0U7j538evwO7d/cS23Q0YSaEPgd5+8ceVOdbJdKIp+
S2+00B3dmGsdwdYRyGBU9GMEpBTqC0dwYCdm8yqQzgCyqB+El7aVYJ8pPGT823wL5hwXpO5TFl3m
KaByogvJwgLtqZGEp5Bh57yhxW/ubPoB5nqxn0WKOJv1YppZjDvrOq7LDQUMIqu6mMDuCe2hXKFz
R5w7fHaVwEHDw9ruvfRMSktbFDmRksyZN/2wShHojh88/n8b4kO0eUq+CbDuN+hnznagOf9MrS41
t0O0SNf5hXeF8VS17WehO5JlPv5W/xt/ilO+x8mcqTnWQOgExva40RmHT2g18pBLGjaESf8uESZ9
rqbZRpj0JP19HSonbqIs67Qt2xtNPC3XWK6orYuvvv4ivdvobgIUiki7AEI/r+qNI4x+lbZ1EKE1
r87PvR4sr0jTXadAUjWaU36mGeszD60D705BMSoAKUxXnwxBC+iM1eJuAtIIbbJjuWHd0F5LR/Y7
gZoCVHXn7ZV0NBtbv73SrFVxczYafAjqBb4eaBbUmRrnZWY9nR1w0B1n3RKFZk0MyNi8QAPljWG5
Bt1GkIdI2+vbWAy0gq75fhtNCMg4WfVoXZpM92S1Xm0eaOrQNOxDFxQEXfWmJZMvjQTVZl7jnoJs
RKkaTb3JbID3CeiE9ViycU1LWWN4oOTTUeaAJrPECh21HmBXePEgmcgPeaMAWa4qBpoprUTXL6D7
DCDgAIjrgVR4HL/5kUgDWXkDWAZm8/Oip5gh6xHTaot5PVm1b44s2zmacBVS4fvw1/W1bySngIFG
6M1vWe9XYXawPEuu6KqL4d130S8xBR7YW1tTwhorW9jNdqBOeeB34xegCKqtnBvpI30y8EFWOm0y
ZtEGZSNb/HPU2U16dabZLI4TqFUXi2EBlcuqWzyONMa1qDXwtR5I/J2OXAZXfZoxtN99b5aSSOsp
nIj9fg8MtbBPj6KKs5UBqDF8e/lXVjQcJTf84/BBN4TxkTts9nDTCUSE4MnFsxl/nZ7jPZd5aT4A
+XhL3ds0MLsUqyYp7POsGyQIE7FFQQcz6DsMIhtHX2bNjFz3rzdXJBZtUNCiNNzW3SXiGcW+0ffF
XlWgXH4Dl1GR4W4GXpT3BXiL9/7Y9Bdmp80xEU10ZNJwzlbauXtlAXRZAuF4W4bl8GhLG7UBRR68
8IQB3JMN8kvpigQoMWn/XUlx16nB/tmBiNwOxhF1h8Nn39Dk1Gacn6zBHP+sjfG7yYLhaxLjML0A
rgUgBYNwzXEPT7xS3Xa5LVT9aTigoJ5vCwj2QM50s7fbAkA6Q/GhjR4mYDUdc9H4T66le+kH+wKq
Rf+pSxz/qdYkk1aFjsYsx2PbS2P7MU9fyEZeKc5HtgKgdVtyIINbjxugxqYP5BGjU+pguGW7pouQ
jnvDJ7tFUwz5Yy/LTlOAWgaKQR49OuRW/gh6ZBK7HozqCU5Xl6t4BYs3UZmAc1PfrrIa+zG0n5EM
V2g3UMDGAGgwf7VVhO/w1HzkGuXC5MAdlhES7XjnA+LDaPP9u4fby2yNzrNwN7BMokYdbEU4Pkc/
C81KsCyjrKM21iQiP9/OhsWvR1ve/wBtZKGe/LY+OEDRP6qEHRdGEJzc1Jjjtw5wxfhAeGi89KBM
NJjbLBtWkmfZNzAmPkwKBaN+DUDlKWUcdYLTxg7z5EcUmF9knZlfkW1kqzrsnZegkdOmn9zmIQdS
EQrk0ZQmuEKuaYzKo83Wok75gQogUae6SqsseQ2SND9n3I83pG8aE/kC4bt3CrQkoGzPnqnSxyyj
YGu1NlgScZiU+7mPPudcfQ3RwNnhuPB7D1qvjYGCavy9q/J+TL1k3WhDbk9nlItNnwsgAuJbyTxZ
GcB+UEjiI5XaFfeB4dynRuG/sLHuXmS+zrRAGunyC45zo/uyDbyXMGmf+mFaDTUvXnwzzu6ysnom
qdcqW9kb5HabRzwL8pdBJKjI8Ll9bJyueJmyrNub6HPf0IJANGqXqiY5Z5NX3mWuM6Cm2Mu3Pjb/
ziY0RHkHIoNhnWmlk0/fSlb8bIXL836VA8BrJZU0VmbXmAebapO8Y41W2KdK1x25keMf0rpiK1NX
KtFA/l4xmYfO5Khlqs+VlZdP+YRDFYUUoJcHa3Qdpig1FjiW0wDENJAYCw1AjOoJfIs2NqaFVD/7
skfnoXactIGsN+v+UZxD0TKKh17on6H5o7c0mhwoyW2vDE5WaPgfhkWHnLkPvMf/zoXW/gu/f+HC
gNyyxwfs5V/4LpdtJ7y2V7P89zu9CVMPF6sbnVNgARULUMndmWY0CN8GZa4eaEa6SrnhLmvzT4vq
ZuliuFlKfnjd47B1iezFgHsJrL9kknINhovWDo0fx/VAs/+PrqnCjQNiiWMddP8RDgxJPuC602Fr
Beawbnoe/iEldj3lGP3ofQ6Okab8ytB7vpFjP967o5Uf8XitDpmZ+A+F6u/yob0IT+7A6AP4raRC
5XNtaHgmfggnwweWHcfve681sM1eILbbVTWQ4Z3MPwOPrAC7ifeUxVx+rz31TeGB90dYcJBY9JF4
wq5l3EVI0YON7dcQgLr2ykScXMevN9pFpFlvZMZ6wGNsw3jHxxWt5KA6Gldv6wGGBr0LxNu16FrL
R2Ji4P4WwJVoswPK3Yn6jGTx5OOD4RU4jvXFxFZ0TWryYi77iR2uP/eiWUHM1pGDTgqhG9fQrBxt
JP7H917bVZ+MESACws3DLbKW5ScrCKx9D7SJeW1b+m99bLQW8NnpGVyX4DrXa60Qp0qRG+C8Q68F
EEaCB6P/RzEV4Z+u5d2DSzx5FR7PdhOaKE847WJ4uroVsFlc9qeldiouxJ+9HN111UnvrmpNkDwD
vHWDs641XpwjXqtAkw1NvHdwcBo+ID+Y33HGt4sK7H8hgC35tilEfkdeZIzMXuiX73hcdEaPcsAw
wyYiA1nYA/nlNd7Kvu0Xa/KjcBor/xyW/suylKV+9cDTvScYiKdw4mnjuAWfLeN0laHrYsM3De0W
+yPQZGglDb1RDOOmqz0A8IK0ZKPqHM8oJgds+IOs3916Al/1hfuhdZgd0R6xadCTcyY/F3i5V7sy
3YP0PF8frXdDufH4hqNT+wsID/HLa3c9yBIa9SW3QRGcJb04k+jnm9Av+RfT4cFZlVWPassK/B+N
D5SRRIpTO6BBGO/zEv2ZkQBkEtpWXdx23CnnWwHc67Xvhf394ltX/ZsvQP+s15ZbxxlkAZwp6abN
BmBT6FZ3G9XwpxEFyOJqquoysuFbAv5ssLRjCIrubZCx8VEkK/mRy+9EMpCLbwjvmKAHd+wBOgAQ
uEhcpI8PZVZ8zjVyeoZDX2TO9bRxQIlGHlkxAnkdZcJjEALpaWWwMH3kUZBuwoHFVxp8Aay4jeWY
1c5lEvVnrerifVWL6Mhly1BRBWpIlE0KQAjanTyjIbCOAAeBKasNJEgX0yxXJbO3ZoB7JcusJP8P
Mpqze6RWJyTJLLuRaIsQwaXn6A9zcnR6fFCGbheApA1mQ9og3cERib9nQWQfLTt8pmpjfIJ0T3WA
zqcm6q1tT+96VOJfe3TfXsklDgd10Qsc2jgszmRVBnaoRWOdljrwQdQ46BUA2UqtMtouteE0Iz+7
BAQLCurKcVVL1JM2zF8jn1+eK918sQyks6kB43dm9Pe9eUdBDwanckJzso6wOCPbcR6wvd7f6G+D
5vrqH5YlZr7LhkE8FB0w9CU45SpMjAEUcy5gB/A/P084CBd/vvto0xD41msOXK2g3jHpstVcUSmb
n6lwgZq0MN6T4aak8qby8n1tbEbljiQq2vwQBcl9lN/hk8O6cyejPuFgYDzTUDliPGep8yaqEkVh
ouLbGz2JtIB8b8QlUgNOkHpFZpDAr0dpgG9LXww5iLdLkPg73eLiV2od2355avXfWtoDciwNUDJP
YqH/CJVMgDBH8jwda+unXXdyRzpztA+sTYYDl+gr/UBHSTLqZ+ozQC7eiCl/p7MH5KWCT7/zXBY2
TthvR9/r8NhA/8LSoiBAMrHtZBDcGshvcQYQz7ZNYwcnF39bb4gUL/BER6nRfjRHWdYiZdSAoTDv
wBbNhsxao5StvQTCai+qiuydE0U/SLUMgBlrL4tIM08vaCuDb9EugJp2HWQxLOLN2gnVGgDsjNEs
pwPQZRdn0pG4GGJ8Sa0AT9dvi6I2Nmk/BacGfaVHaxByZ/NaYhPSnD0ZZH82Ob5GgK7IHvsCDNYR
C/sdPgTlqx1U51Z3+ZMHCuuHw9sfkFWAV+e9YJhKheeq4X8sGJZUQHxTd0xVxFSG3ArebAF3ys6R
jMNziPOwM4kBSJGARvhuiXD+dxyA1rS40AoaUNBc7MsQPO04rvXXtgUOjS4Nse9WoOZET473in/K
1XHt5K82HL93oMl44WhO2btOMRzBgZw9Zm6GOl3t4Ro/ehQhfsfRQ7T2OxzUJEMbnexYyk1Z8PyT
qgLjYIeWuyYxBSzjuU09G3DeZvbJFsl4VVX8FxlB/5k9tAwZLL0yjLvkuXd8QDd2+SdSlUBzzhyg
CBjAUBd+9OLhvPKa6FZGtxqxCxmyfN/pJkiWh8aRWwII9do65IAS8ie5xmsQzE26MhGc5vFOIk29
mWsUB9m/yVR6CASYFsln9scbSmbIUPxF3WNIJo4HhWwgjgJ+dZQZLVodjCAKdqSjwR/de5SORBeS
Ep7X9yUzPrSh3QQiN5DmRR8CDdj9eTMxCFBoChSXF9MqsUXxAJKAEB+9fnQ/yLQ5zyJOkSLUWdZv
Po0tcZyrfbwwB4x/RXifjZSvKhvUlwF9/6gzzV7KxvTuJjGiCkrr29Jst4ZqJ9AgQFS/3HhQeXe8
H//AabY8V72JbZaoy7vEjfBdn6fOKRu9I+ldLhIQx4jwtQX/6bn3C9C1WiUYWXX/bOoF9i6XspuB
o0xNoiEAHz4DRzWpOFYAaXsKR1E/F1a+pz5aiRZBgE+14dx0SzF4Yne7cZjKVycU6ToNXX6y0HyG
XW6ZbxYIFd9qh33R9J+jyMWBFMGnzJCvNLUq4Nko1NfzDNQvYBgcH2gYixIQ/ACSdoV64B4GUoMa
GiQHHU4TPriim3KPBp4EJ1u//GzkoO9dd15Eas8D9m0TDndBNfWXFsRkRqK6E/Dv+gup8F+C336G
P4GUhXiAk4wTiWlvdsVnkm78Fh0ZKJQwZLIuOg+nqzqeG49IDZN5ni5rwl7Mt/AfPstl6PJGmn2m
2PN90S0uYXjwUqRhzSPUOleFCa7k4iExa3EFBWv31KWKX5XnPkgzQ/uTHqJ4qLdl0rRbEn3fa59y
Xj14bvy2yEa925X79ryoSYEQ7YcyXA36JJ4GTx/H06zCOS8In4M7Z0AqlvSx4aSgJyOX0SnreR0H
esnfpu+LlogRazWPdITdnw77YQn5LI4DxaVLCOGjyih39h9085Tc0aCLm1lW9kikI+MfIWkvuiM+
59GN5QhnbeHjcxbB5uOAOQpWR+f6SFys5Px/XAtIogC9buXBRqnOdqRcSKqhjNDaAHhUrZwhgglK
OGtb9H+gdW27IBAvBvLmejHp/tFQ6U6KdgIoWoJUXYMOtAGFmFtqI82vNppdANzlt9vGEObJ6wv5
5ODoEE2sSfI9Zka6QrUzjidavJ+9hr8vHDMr+JaUcTcvLNEs/uC07MU09mnZgqu6RAvGkAbxsCFZ
Kr5XXa5OkxkjnY1W3B4V5Xpqt/yvxI9N9BhqXRYacsN1CBAdoxcykcV2dpyV78GtCSi5sg2aNV1r
ueriV6CaFZ37+OeUk4lL6TOevT+EP3owup1pcMII1f6pkNVWpMgYNr4wkVgCxcjZIxNNbQ7snV0H
gPCkAzT3LNJ6NBxNxnqJ5w8mvvrMsqq2PspxV2SZlYuTRA3t+UOQMEmwCGdS+xKHQQdy/HBdciel
WadyN4zTHyNHdtDWNWE06xMkABedjRKUKbDFkVSLfhGlXr+Iv3Mh3b/wo7vQVwSB8X9cMa/iEglj
fTUP5Anr3uPpFn2k5tXPvzbopphBnx2No0+iBbQUMI2E4ADU1sVAi0L3y6LxC9OwwR7UrsHQhl5O
3gHJIXWPBN9HA6H1Be+QfovuxoVEtLhs7Cpw5vU9yspnIMDFV1Rev8lcGR7Q8Q2GUGt6apAwuJom
XoyZY9hfwSTH10CLVJro3Hhq++SJ9FPu1VsxNM1R5bEBMP49qVk9yEPQAe4pR43LV4CwnRN8MbyI
OJAX/CbiXJ6iNv2wwolafM9wRvQ4pQ4qm3A1HK6iM8cPBnRiN8krmp5mfzZG3b4F19qu1GFN4NQh
+5V+FlOUoV++zTZTiT9nw6sA/yiafKeqxNgwFRTPkdugQtydhdEqyme348OmMWp3Rw4cW8R7tKgd
Wncqn0klbHBLFL3BDiRaqRgugeN/JYmGQtN9MLTrnCnkNDnsWHpAHCVrOQ71Q1ViB5mFXwsGSOmJ
QFh4CzB6sLFUu1kOEjSi5XYDhFW7QFaiq7BrwdHTI2GsdMBfFmPA7wlsJdYgxABZXWBadHDfVNOJ
7KQXAoQ7upB4R7oZ4UVfxEbVz3rR0YXweNxkOCz1KnQ0iGiKzoALis4kdtakucNpJNNs90OxNRpz
AmbErzU3C0m0nU7tTS9+kZ1CNlEP4J/zcFiDMhbAabRbH4DFb7rYTYGhPdsdXbTdG90rLTR56KId
i+zgP1Gr0OjDTZsP7onhzTIPE7r7Tzm+RQpgl2FKFvIJS8BmzsoP9g/TBPw0znoJxUDWhT4A/5Wb
Ltv4HGWpTX7vNmOGms4gu056oNkigrjaBeAdapfIr5K+M6xoyoF0xswoP80GIzrIGqQhS7glCM1Q
6Ae+gV7cm2kGanN9rYQ923FYXG48b65J/ktYmqVA2B0L8MTbzO+mVRuqAFUjg3tA3vcTSZ5bBtfB
M11kHvPxZ+RjrxNksn9zJjMD/iatmJ0boa7YBQKmoXtCKUm1ouRtZnrXvs7Y54J77s7kfX8kjyoG
yQx9y757uIVyd0Fpf/Sg72FsB65p6ga3MUwD+VNv3NOZfRbY/iZozPZIInjQNv9F2pctuY0r234R
I0hwfiU1SzXbrm6/MLq9uzmCM8Hh689CUi7I6up97on7YASQmQAplUxiWLmWYS3d1ybO7AdHUnaT
HfpPDnLwPRAey/WGDqH1uzAh7b6Fjf9/C7PkaNSdRvv1ouMU9+tFwQ14vai6NxpcXpTCWg2HCqYH
XYS8K6YgMqr5JZuNBESuNf6T2o377tr+sU9zjt1ybAJOhQ+Z6I8IpwB3U8Njb0NA5ZaVYKJwsLmn
EMgTwy455LTBAymlaKiIwHSul+byTL3mCTIro579pgI4vqr/ZaCJFcgN70H9ZzNvOXJdl9x80EFz
ZDHkYSLc7o0sYuJlqGlgiCQVNBVPwmcUYlRrvOiNcxIXyyFfhl7Km5ibDp/gD1H9Qb8VB0iSMIWg
7+O/BGhcm8PEaq8BDhbcFXhg/GYEcABHAq+mDeKcHvSsPypvOTldq7178aJtc7syTnpZtc8LhxAq
RUB6IJyHPHqFcvFzYWbZpTbBfkR3TB9Fy6q9wAT5mUxA4ELQHAifXRJBUinG+f/WzZFJG7ncOicD
6NUD1SYjFaY9RmBAHoxA2aim9bILVT/rB1kQG7NJCEuCUADanUCgsL/9qWsPJLm16m5JWS6fa9mR
O+NvZALeVx7Uu5H56Br231gptAcS6lo1u+K6zCmYFZCCwRQn3tFTG/IVeOarJ/tNu2ohc52lj/SC
WB/xHXf/+YIYGeSy7NE/1YYZgnk8eVSwLmfOEyShuiZIHLSfuDAZB46sGFkJ0tZWUDLEkVuDt384
4E2pP3YRdC0yZ0x3RpvUoNB2h/yh9KddPIrutNqyHpn3HRQZxxxcC6sNeOxip2EpDMiY+fzf6bNx
BvoPdjjf9AxdN13fZbru3/O6W0kPAqupj5+EADCxdDUR5BUwYZw5fNvLfX9uxpq2c8BmiheHz0JX
m+uNCbk/bPdPTLusVfLblgUYZGKLcDX6DNP2SfPKitKS9wQTIEiAwgr8K3RgGO10g7PcPFQ97gZY
oQh3Y/kt5HEtL3mIkbuPN/XCf7+rWaYof086bH2XkA6493ZN+TalZbFjWqKdtcWKAB+pW7FrpNgJ
GWutBvwgjwPyKjs1qbCM6alrOHtmMxQq8+X72PjJ3uodc29rvve7a22x+2MHc9JhGWbVyGWW0DHC
jyXlK0hdjFeymA6mgiAFxvacDOAeVA/zhJsBYdNGKTxiDcNf9hynoM0satDeTrobajgA3pKx4W36
BM7P9AnHh8Y+AWQWD2LY1uiiLdIHvRtCsk2+j82oIgcdEFA0j1Qgp9oKF9D4bwGPqVmA7f6rB4mX
2DJ1h/NCDorW/W4+5lX7ttrwp5sfqQf20KIQiWDu5n4YD7QIRZ4DCZM0UBLV6u4AOuX4Ufj1tWix
sIuGDgevsKQxlqQ4gUZVrksDubG3qevkmOTAymNi/DXrm/EENgxvg7Pw+bs1uSe906uv4DUbT+kI
PkBSQpJ24WOG3OH4f08id56FZGPsoOonnIVCKVOvwIo4gtCKvHXcRi8VGwPdjrRXhoQNvRzZMerd
eePGeho6NbIQdlkKwhAHEyA6HUuMGgdjZtmaIMzokZwrkyZ6b8SF6jSCAnqsdYdiGXioFdw+JlLj
fBrSEbwQXb+j5mzEy4G5+LNWY2d/Yfo8XpALDESWbIJOsXyZNH2N1VL0L+Yh6HCu+0oBI8t+E7Ue
PdBgdCle99D90t0HUo+jYvbjJdsMOPB17E2O/NuwA4PBE5AK/ZPHcOIEjpUTmXQ2QitJA0vgGQJ8
q81OGGifZVFBj++Mo4YTmcoBT7ipT/kh8vWQ5PJ4DoiVPhfGUx0bMzIBl3ILBlkHYrCQbnBcSw+M
sUDuFGB175Ewl4sjifDdEiTmSwkWeQPIxyr0zOnGa0sv9dUn6E2CO396x9e9XIgpXPX1RjbirWux
QDPKIt8jyxbEY8J3t3bEcIrTS0IrKrDdWz1U1VwBeYzdM/LGtZXuU8cGbUaWLHu3TEFLpWX6t4jb
J1fmtehI5gsT1oyPejQhxy5tp5AyYebOODjTXL4PPedAwYtlt65NUrlgoVcRFVahAcfWQfZla/by
8UlLF9OcH13IWB9sHKQdATN8UIk5s8NwZk1pODrEmo4AIq5elZ5Tj3kOgTXLjx8aeUK7JPjxDAOI
GDqkhT+Z8uFBtbpJcZQei51rF6W1eskxIAM58oD0UrFkj4wWRDAO8o6pqYqkKi0QtuESctf5mFTg
8YsW0bMq1BjIyzqSipDFWOk78BY5R4GklosgRQlpr412LEHwgSp3udjaXFsCFeOTuIRqA/cGwVym
9WGJDbDNBEm+N9NOsdXMdHBdoEWFZfd/dp23XIAUxhQwspddmbb/SQb+1U0F3rJOl+pY4FFJubCw
aSbO4/QuB8fbUEYXT8MvIDPL6auBNC7sKujTV5wrXWuLtPUArZ76nHk7lRin8uSKeFpAhyFT6pRb
mAM4qScNf0vpuMmtsyOwoV3DVU8ku+OnYLHtYqRQyskgMbakidhmJeRviqVrGPLZpFG6myX/Di5M
50Cm3DLxIEc2dXFJImujwqgWIUvAyHBB+XuhouPtWz1W7SGTpoEeXuRQv8KPkPW3pn57FDci36Ud
BFicS5edINnBTlzWhkFzOFSrUO1Ulfx9kps4d+w/8S8paRfJUW6q61g3w6phKl4+xamj7e6vdNOd
osHtfRIY6BD9Kh9EGkKQgdIvgzt/BfTf2SsT1aggvSHqunrn8T42mUEDYiccIoYaqIg10NY9dlOJ
w5/8eweCoK9sHIdnfGdfyIoDVR96nzwGvZZTvTeLVWxTrykO5NVdiIGPSFDHbi6g5b7/yqBGFySY
LmB9i2UxLZDXxTCYy58nN4PCgFxCk1fFMXvBygNJKVDRLfNtkrV4BHHam42eSuIqaX5tQo5O7txG
TyxDRmQog3vXKQKop9r5Q50BJe1EaeUdIeRi4WTJKbZXBUHIXCSLZGgLxxlSy8TbQaQeRONBGt6J
lXRbllV4rJH7ygECRkWMBBcZqVDUH8qm26MXjEbZbVe5bzX42kbK8e04q5EGwjwXKW42Tr5nO4+B
uJi1U+u6GgAYqJGtzdJ3rbZ64A1hx3ncNWJiVlSC2OOf3ay50UoADxF5U1VjqzFE3yb4X05y2ngv
IXNKTjgBottmxjwey7LXgXCW81FVrEaWO696nLd7Mxm6wEzmeqso+e7495RDcfJ9FjJ2gFbl2FtM
BxAWdpr9RTNEeZnymUODF02eJf5znbr7GipQIizEX0DQ12+6PQMpbcXf0hb8/RTZzVaKc24Nyuey
I4R3mi3Iihe8M1rni5nl3cG2snhTZMv8lDvJMZ1mcCMAsjc+pHoO0GSa1ru5BO/pKAugt7IZBxWo
tjleZ+SmaCqcTmRIGze+xpC5Pbs6tlFBrmd8jVzzD7dj4Iywx7022dl3lnX1BkD7+tGvsBHQeP17
A8VsmQTrIHsDNVXc2MzZD8fcjkM7tuz74Ju4jwHAJ3s71GfXmJ0I//3U5T6LUUNDE+/HNV2krZCv
i+8DWthynYET/jrMxmF84F7PX9LTqq1Tx6AAWJLv0cDq7QSGl7OoevvJMiDebJotMiK1vA77AQSr
heRWRaoKO8wdh5KqpFuVBdWoWLxs7gLVpm7MsAFj/Nnjs253tjqLn3PwTT3FfCzPDQQIQ+Y01jt4
juJt5Jb6QYPIxHs782/mmBvY1tCqL1BYw+13ydMA+YB9LgksvcIFM6asUdGBWWkzmUysHJkrFSbR
XSqmS9VvdQ/ank0uMHwfQ90wauqFk2JPBHkyyTg/e+l5AGT0pR7n9uWnhRp2V3cvPc5hZQxZRhk4
X3tRg8w+d1XML+P4mffVF1YbM7nqwJs9H/wnkowdxVKfZ3d+NKRJ2SHAyzZRWVubAatsZA/E/kPF
4h6yOYsDpnvLPPqYLQNCDkJFOjSlpo8MB6wge/NrP+vl6qUDV/I6BcSlyZshz6v2QVsjVaWzqS6O
jpF44bpgAMLl2HQzSOoyt1i+aSDw3oAQwn5ik2GthcWSF2QaQ7bgw+5DffDBqpOQopR96kt/n885
GMtkd+XIhsQO57Qzt51XOgdWab/1kcmSnRu12dnjlc2/Tg5rQ1Ap4l6oXRdFGc5uVOb5AeIADZJd
9eE0eZZbBEYKUsOxiKrtFDuAjdlRHIB+C6TFk5Yco9YG4NgGpViUT8n72ENs14xNsfFkk+FRs61K
hpQjN0vesxr0RV6V8AdqahMe1YB7vZnQjn4bIYXbQsIiNb4kBnL+QQMn2KbKAOtsOdKPhXCT0Jf7
/+1k+Muhl+cBckscM5A287ZUxY055hpF/jWUXBnt+lPVil0eeJaVbmfZf8BemLelocmdgK0GiK46
20bOiIldU87xOYGqjBPeVz0K8As3Pq/VBsCuo4uz/88jmaW9+3PqVuarFk8leB8SQJfKGJufiy60
EFPxKt/0LjNDpGqa51p/nbsEjFiL6Tw5UPL6PmJKjb3LZsGmh97soMfSXxiUSk7IHV72EdajzzqH
pCCPl/Fdy8UPHQCvvzCOwxtAXN1Nn0K6KoWcoCERA7I1AjypWjPLkf4GihJdpsKkOLU54B5BFCyb
lC0DpRErQC5aeiSbBfTUiwexza42nhbsPxWYEeJ0PMF7vOpM7UTF2ibXTXuwgEAPVp/FHBaKHL82
iuqxg3ZW8cpG3ZWjgvzy0csT0BXsygisl4Vu7DqpFci8bNiaCdSVF80W3z6xj5GIntw4b/Y5gVIT
yQk6L5F9BjucfabmjYfaS7nrOShoKCyNyrfZipGp9BFP9k97/uw+YGPk5gK2Mb52EDF2XKhAJ3oA
5m/nEpsV/QeGrJSv2zV4KWC07WUP1Rz/yKbMgjJZ7sQnQyt3lAVd12LYz4356BjeNTEaRHf8TEW1
1E4VUBy5yUhNqpEtmSChir8F+lBeNNWo8ISdhO7UlMmmnUowBwd+O2ebbMrSMxXN2F1rd7ZocpIz
pONwdN5UNcq7cPIXTAf63I5Ari7HuQlce/pt9luFjFgpPjB7PjQcOGb0SI+7kw438qnYJd40rg71
6B/r7O80m6DnCHzRE/I0/SfOF+NBjsG14dRnLWZAkm0Bu+3tQ9dF7YQdXbRBhLexOrzQbmwUQ15z
9KpwSaGo21cQow/6sUFH8gvNKw6uWbxT4MygMYyDgD8UvHZy4roOlqGcQA7yHBtDhXM1iedVIYTP
9bD3fqaaKsi2dsH/l13f8/QIbuI7fBIZVuBRW0feafLvEU+EJWKR+yfIdX4g5dU7U1E4/bV2b0s1
G9QNyBhXceWvwf/el4bXxQlPcCTQydZdrD37xTaOqmF9atD/8PXJsD4l6P89lw8Ug54tFNDuRk34
J/U4oAAKvX22rPW7R4obQ4+qLXBOCgZY7H1TEvZadSyGXMTSOpLNz3mGDAdK3KZv1ROA45QO+wFt
0HnvcahPKnGvTNeb0MCmx95ZoAlGjqRwDib08B7JlCyO/1BG7Qm7DiIPaRCIpYa1CS02U4piIgEa
6um5F+1HiUsE47w8dTWcB/KC+wzSMb346mmD9cxN7TWWgEjDghbBnHvIS/SabFtlZhwPT5oNYRDa
iBTJ+KNpsOVFG48+JFlssO/0NzYKo41Iae87bJ4pE9U+7BRFJirk2CpedSoZNsjS9mQ6wt7Refbd
oTYdW1ezu1x8d3930k4+dczdOH2yw9oOBPK/HsurOHL4yHEO6IKxkaZHq3O/4Z/xJcsra4upRLpz
ZDNG6jYoYsc6JG+XWN2jMYMv2B2MLwKyhV9mSLPISLJMjvMMMVf/kTrzYU7DGbKcx8Tr9efOgIZU
k+ANNOjjlhJYM8CDL14WQ1IQa9Yu7DvwLUb6G6WzdkOGU7SmgV6jzITF5li2s3l7ypxa366Y0lW/
zwEvfMATewahIZLbcX/2g0KkJta4OgiA6jd2fSx0U57nRxBpSxpt2xcj0nK8PtqQMdFd8JdSdcis
CKQPiGwgDLfWFhwZalvluRmIjGCHn45j6626DEqcQelG3Nkqx283tQdKenKUcmFENSp0WhipNik7
AIRx24W87lA4Gw+EDhs3a0vvaEUDoG4xA9++lMUsJbi/Thm3H3BKW+8wGciDhrQyye/YDrZWBB6x
q0sHwRmYBmTXsZp9Y0e9Km3Og7XtSL1iK8Zxw5wD1It1Tnx2aaoHijZM9VSb+di2CVYfmSlggujf
Wf8O2J1zimniqPo5svPajTpA0u0vgDDSXRxBjnJHDxxBT5k0ezG4bZ18An7eOCw9qsO2dvku801x
TvoYdMDT0L5R4efp18IW/IFa3ex5+66NzJCaTIYJ7EYZ5uK+kAkCyMm2a5CFqPUpDqKg8PwEAYYd
ORfDwV4msIXBkLD6SDa6qI5tYibmXYwdR+z4JtZ0mSPfsXa2cJBvamFXrs89C1vV8JRJqZWbuM8g
86CD1kvabhzNMCBZ2EjmS1lHA4Q7knZDtraIcVqWeYEL2Ppv0Kh99pE39dpPrXjhlnhD7kv1G94n
zr7XwPeU86XETMHEf61INI/a1Otfq2TE1AW9q8afId0Lsg1qYoWHhUKyJOe1mbRBmnr1t7yY7Ydo
Qu4WjRZbM87647g8UFPeApDy0Mp152UXWw6yDGVR1iOSjwRS7aH55qwODZsHODcpkAjdOTjLkyGZ
Y5ksWKPNrN5UVTRhKZrBqMZZOiOw9Sl5cHnB1qHJyeNS7CBD5QZD72buBknrxuOg8bd5GQ08H2SL
hrK7rjwuVfpOFyIHDcWguzmz4amyhm0TpdmDWeNvbcgiQsrpaSq0FzKNkBaHhqUHiGOPd8lGxVHN
Gqo/RWvMxxRMq08D9pCfQOMtHhkwFBSg7FrvL/sx6YCXkbFqoAzCnaEXJcZOBZP34+aSaHqckAl8
MCPWnkG/eC2why8RRh9tqqkYY8LmnwdhAWVSsWTD4dTteHdx5L2z0QBx4+FPhxRAaCf/HOCzOMu2
xbFqoa4okz+0zra3uZCQTNr6Ve11oxgEiDYUx3OI9Er+auoDnax/2Ciux2xro2Wie6FgGkv1nT+u
p2z/fbwMmMgQJ5hI84I2tMNuZLRIUMuxzfocT9GOhLOIsG0VFiNHZmm7NUwqjikFLgHNX9VLdaXa
r04a0vDiw9T69UmdJlblCOGwUsc2+a8njJgxNQP4yKDHVhvsoLzriSO1kRB+25nVAmlH5JH9gD9i
BxzrtcOGbE7s/g1F264BWWHmP4yp20CgTETg8ZEEA5kkE6BaWuvQHsRDCqTft3ZyUsG9DEwBd92U
m4aizmSLkMAURFEPaNHHNVSwIy+umiaREFD7Xy+PNCVtxFGYirrppYa6u43PLt57k4/MaQag+a+3
oYLdZTKgTfjrnd811Z0afv685NWwV+NRrPo2yEG2ir7Ff3Xn8s9g4c9APRYwYGDp1gWWAP1iL9eP
ZjqBvpTaGustUHdKKxU3bYOi1litHfSQz2YXMguHfkhQj64d1rYjx44yDVSpazcyuJNTJzuqqotj
WtdMUnJUdllHX7vMVoN16Ty524jjx+uWy2OTLeKLaXhzCKJBF79JNOcciWmMNVA3lM28YN0FGi0p
yKo08cVK/ewNG/Hko0IO1ooeYlagbgLH7jhL2oahMl+oWJzoXQfo+KxMmVTdtuPsSZs182V0muY5
Y38rv4t5EOatxbMytb3WHpfeBzNkrF9HZuCe3WHZhYQ1OQ4FgwtMbPjo+Ti8xB2Qw/I8JwD1gDiQ
DeIHDaQdaafRhyLpjBSZBnt+KbTmPLyq1/ZQptbZjCxsgIFhrQlUm4wpE+bZTyYNnmJTV3V3vjFR
CBWGHIFqazAFLXNs7a/7RYbvm0FcfbPbxccEr8K8A3gKaLBM9gRwZTUagQNtti2W797Fyp2qPnng
xdiBUiNGVhUz+FthrL31BfyXGoQuNqCrA6n8DJGfS4K36sXrmbflg+Q00LSrTXnLkWcioMA4XsDl
4JqAxAA2JQIKyoBtqDeWL6oLkOs0wuptkRYfmNbkbAeawwoPn0WPBYTF5eyVZrcgQGgkRtYxAyQq
8q3RI11unTOTP+rT5IiZxmNdVNGz0ePUsa352rKGJXqeOzyCG50hIU9GUGEaQNYYPubZypb7DHmi
jWWE1M1zPf/Z1ab8xMbsLzJRrCXws7eZFq4teQWqxX2+dQRnP3/F0F3yAvWe4xP4eIceE1l67dF7
zp2MODQ0PAvUe9P+sKUzBBdE7ts4VrVtCFd2DgS50rINqG2mBqqTrV38Uk4wqEkeIbMltJaZgQ8M
4c4p5vJZQLkVaVS9u8MRLtCKVi1A478rM2b8bptjEzqp0b06o9HtlrnqLr49mKe6rvW93nb6EQjc
OXQmfU+4nBWc03A7XLipIxsWWB0oTnZPRrXcRKTYAQ8nGUEdPiLizsnDfgGTtYJyOGyMgeuSyA+C
g/h6lAL1k487irkiPyRQ5CYyMyMQw1rzoxoHq5gJ0tqUeQ3iCBYakKY6e+NyLewpB32pas8uG84A
alOY+RF708vEabuWkkbpBLTudugtqBqkqXHpbYhr6nw6kYkKCBkALyALzXKByKK4GoKCx9oQpxvb
WgWXJ9+PNQC/L1i0/UErYF5B7IzH89HF79h+INuvjriI0/51kmxhMhisHtC4HPA363Qkp9ljsoWI
AARa3bY/Us91MW4AvSl8KIbc5HsCnINVZNoDAepCD2TNFh186H2W3J+Qb7xoSBJ1dXHxkeN4Ho3k
F1tcjRfyRn0k8JBAQbUFEpXILrLGDTUh94g/rgpskq9z1VaXenLrYeNjdhRkKXR4NUm2U2AxCYmj
EUJkRqw/RKUtJ0u1vgOrmgMpaiN9ZK7p4l3nFT/qdo//G+2fSIPuoYE52/uK9SkGAt12jenmDDmk
BszbRr3PgKUCEhCs3OSNKxBZBzNSgg/QmXpNqYlv8OqmGORlG2Doiq0NOXwIYByuQAYsWQA3ljRY
LiAWR6qO3oQtLmxMTUHCwIW9tsmVA7TJsXDvIQDXDbtYlBkUtFFE+MmDetrqqoDaw9BEDs5GuH4c
dCcgdxQVOPpq5Qt9raqe81Nkgx6EAIZl446XItpegYYSc+h0dglAhXTMOR68Lu9uwYg/HdR9pfSY
oqIDf2Fj7hMgVByviM4GCFR2LOZZkCQ+UNZkbCVO4b4dLQAqkCePsRlEfaipHKrznW0dazSteZPY
rK2XN6RcSRWZtnrzE7az3Zyf0nT2L7bRNy2SCFA1VopdKTVQM7a98UCkhYlgMJxlq+s9g5aimTZr
/9jEdGvokD0oh6CCYyM6cN2h2tJm/rp7v27c02b/Wv2HTzOiaI9v5/SPIDlbM4ppxmmbrC6teZJ4
4oNCcfjyu1JNLEUtEKxjy5YcmOTjmybgsV03qFIktVeEiOxdpY4F1bmFhXcOFcxdMCPYV4AbaT2A
DPJPK8fiQmMGQG+3ADjy53r6Y8rBNnzrJ08JWV/sJeHYkZ7QrosjI3M2flsfyOtT+w6gR8/zxu7e
sYIe9+oprZ7zdzY/N8LRFTgMK3CC3LER3AyNUW/GNm7LgIxU/F/bumSVU93/tzEMyTVHQXQL+Vgf
sP+HpUmkDWelgnKnqULe/wfbwLs5rPPMWEVZSGBFdaPa/8mG9/d1vFWbRSq98IJj37e3j7T9qTZL
5wh0lbVn91vlALPVzw3VTzdPaW/13mNNDWSn2mHeeaUojn5ee2dXFo2juTfFZ7Y0BTYQWXjgDfq3
4P8+nvDSnWjdDkTQPy82QZhk4qz5cyzz10YKIVWyoJrLwPNJtdpnEBe3mBsqG1LKoX50F6gXQH+K
KD6SnQoazyBNJWpD5qQ5QsXwpIaiWgEu+l07FAMSzEHV3rFNKo9kS7vFfO2GGcjD+2ds82xbkIeC
1iqRA+Ucm+m38XKQ9KOTGuhm4LUPIPLIvkyA5XLSpcBrETzsHehMflEFS6VAWF34y1U7jNokCiaq
93LioI+Q6mJrv5vqp/3IT53tpZztUImLgSNqOEFhCQns8yb1geIn0nGiG1+pw1tfMpOTgYqRGMcB
WRSQmaA6makbKNu07Tg5P8hEpONkX6NV3Doy0geTdKes/xjTKbJHr8KRs7onGlN1meRL91mTJ8BY
ouHsl6pxY5bXKrWpAL4AgiTkicBee6Z2POnatpzSH3dxZcXAOKOMHFyj+ysriWFazy4YQp6GPvUe
O6ifykZj+SDWo5rHo90osHQgh+E7uhtkBQ7/3ALCS2TkEbSAjH6xO/w/cawarO8VeH3iWmzo5rLa
jZPd+pH8Fij8gG5X3ZD6SFS7+cTrR6TwnE8M8FEMSkEcsMXr1Nvl2EDWRH4W0FiAFHzaIWvZyvFO
RBb26tGnbuovZKVIS0uK85yCdTUkIwRrACSHutzSIuEZ8sjjmVvRDNVkTOH8pMX/HpqkOXE07KsC
wu+rUU3xaOrX8MkB/V3mb+87Urvx/ui7arloVdGEC1IcNynyvM6TPNvNPVtgR/2jTTUqzKGF9o4P
ImTpVAV1W2TfO5tqls5UbiEQinTJjzhoceOEy+0B7XV0IbZFpjscMN8GoFO38N5BGFGKZ5oAIpGo
Bw6hliI9WJdTWn7WWBYE4aCtjTkbeD3J6KVRfs4zBgKZwcY+e5qDXhcHF2tgRoFkxLYhmFhm8xo4
QFZ7G80QKPRAEHuAgvLzTfrKKLPDFEncryHKTj10oodDDnC3z/LN0vT896UUp6oynf8Am/mNlcb4
TRi5vRWWw84gMdcfEjHrEMIDwTVySct1rVXhDLlCwtSMPbKWH9X6a7IG/WJga0UvyvaSxIxtLGTN
fSuS4m8GAMnfdQNuejC74Xv83mmjeOdD2W7yoRdP/VQamPiDW7RdeAKho2oTTwKqe5+Ig4GQenxo
cH4disSQwnxYDCO756eAGHVpmDOu7nvHh9BXzbUxpIvQgJ9eSV5E3cd64Y8BqEmj0H1QcxUlW29B
BpbyIsq9jiB1zNRY6j7oVlVfCiGbClHeu89FF0rlV6Yc91f7+E7UyGq8NfjjA1NTeWnQCHkVx8XB
QvHjU6mLrX+Ghj7bx4Vu/jZqLHWrN9+WGkh9WDBDQ8aolWSnH4wcMbAlyEQDglaacsWgsZJpEN/G
Wl19a12Aj/rKtEH97shBwNSCEz0HCDnQpjwsApKmQH8j6VCSGDSCNWJHbZsyg36N+YebImPfezDk
OGsXsiH/EymMNOavMUDTRWcXgkaQMPHX9JA1H2REzlExv04MC2+VIbJIcxfVbM+dgQf3eSZFy0GA
l7vYOaL+JnSidX0Gh4XZ+BNIA+oCUxxwaK/3c/PBqEoFBTUcMBa6tzjLkBFFVXIPPH/VoV+ziwwk
8NmSWpnJGT3V7mxaZvcAJcoYEMsO+97uATpDS8VRE0Cx61DU/P+xWZDk3LTYecIyc7pikkFNq52S
+U+yrJBjTTpVRAsSle6mR1wAOZN3kBSI45YDiP+Bb8YZe3K5GcPMoFAx1vheTSn+1KZts/en5MUT
kZRVkepRa5XcN9ZRIJEX78lI2/qgKg5SsbUA+35KalB1xDHnVuBW9e818s2PZCMvFVHEqo2DZNPN
nSNb+unAsScVqGCqaabMUbpewQC9ceY5TZ28TDxdtsSHqsWQcwuKyv+hYzdrR7apc4fzINlWqXZn
A9Ezeqz9vBpSyNNs4UjCn7H/3o5AGs2Agm+p7dpmtF86MSTbpYDU0b3/vi26odwtHYu/RksXbV1j
aA7WWDe/g0EYEiIzSCIqvT6XSAwLS2E2v0MhZEQek6k/thCZfgVN6isOFr1H12umcd5pYwWENHYB
3X1ZWPyc2f5Gx0b5kVoluIOAtJGOmSNBfbSZWwWrSxpHaSQP2XDYEWFe5OjTYYiH/dokj1Y25Vlj
+c/e1PFmdA1UsS7y4zDmYtXQNW9cED7djV5o2OKhq60jkz+la66hdHdLhcfj0sV8u15Ejnkz/NpV
3TMFrXe2fkR5UfUJ5feRYXp9XIdIzBTn6x0mKJrogR9eSUSJ7LeQfKJ+7qeAdCfVjjxUkAPCdljp
cDcBr54kI1XujjtpUEMPa7fGkKfNot+a1nR3ag+YarTjC5A5HlNRh2fXx46x2gq+2Tuu0hk/KeWi
cNX7zqEu8NmwEfTKglqPp43uQ1dSiT+C2/+vxjS1LdnvNSRVHLnv+qom1Uiskmpy0EU+AO7sSslS
xZINh9oAeSq36kc2X8/e2rGKL15uW29QOGgALWjr/Ujpl9w2ziYvQYXc5kUrsSpb/Df1TyIyXgyg
xR/0pNkiQ16rtt0AhiU/TrBiIT4FZ2lWdyJFeKjgUhRHxWkCaKoAWGUBSbE2NOZkMdo/cvBP+iDp
Oq3Pgsxb3m6aEJJ6g0YFDrO09JmYgoUFwsJAkQavnMIQJIb1nl94bUNf6OiVfnlQFMdUs3j1XSDD
DXl5yEcdkGHwc8kGmrRok3rZuLlby9mW/lywRTspO9hAzHOUYB4guzdp0+6YAJom5jgiNGi32ZQb
z4yP06nN3siuk6ACUtedDHSnQFfzGJoWYyRzpliubQqo8YSUKZVU7fRAtTWlKmkl4at0U7LVTZ7V
mnz1a29KwKLe5E3cgofXZavWinqnmdAXbZbpEQQF/bMjC6ZV9UbU87A1LCQ9BDGD9B6IroCUyPpn
Kig4SsEF2BmiOypH7goLsPTCkoeE6EuBceqB4kEH84yDDRHaFZHFZFlgQ8/A0kc2bZo7rIDNP/3U
aE4eGKQPSQOsNEBJMwBqPfRJa74E2P8AxaXTV88p5FkksaVna2UEEpZMDwRosSApgIgiEqC8HCa2
TzPwsJJtio14a+oAkZsAbj2kbu8+eNAh2LqSW2EGL+oC3Q8brEQt/nxdltWXOinQ1HunCkfwhDxo
WR7MYAFPAyTiX2vSNkIr7Bl/6wyLRNAc96S5GY+8wMIUbVX4k9O6IHGGkdwLklwCFnt8o2yfRnsp
HqeglG1Pc8GgPT5r456Bs/crNTF7G/eGcMC3KL1IW51umuQ156X9Wv9Qg+cyg5lugrsRD5eu9NYb
S/BVYi4s75Fi7u6MU3ozdfz0c449hFUhfTGtSy41racVw+jhjQqC5+fP1g9kKyOoQ0H9/Plz9eWf
/deVgwseoGX0jwPv3Udhmu6jRRx5kFYIe9kkG3l9L2sfgLcIyK46UNMH05jcddd25IjtTpigq+HG
wbbT/9wF05hjjEOJfARDrLz0XGHrxwfX917MaYPnEITfLA6IJLarkkec7RZ6EMmq7iM7u66+JWmR
PNqmb40AIAMdWS/5kWw+8h6uHTAvtkKrme0NGV1/6Y2NGppjehZidlOG9B3TAmn9Vsa4BruF8N/v
vvx1OUVeD176utW6SgUbXVKBDltbIyislqTBSc0uUAlyz9DIgVSbDsrkBBC8WBZUE0av70qW4j+r
9Bp9PT6qOB2MOWHR1z4wAXBQD+X1k+pkYsp5IrsaeMi7ZWdkXPwPZde1JDeuZL+IEfTmtbzvarWk
bs0Lo0fS0DvQAl+/B8lWoVSruXv3BYF0YElVTYLIzHPQHmWhuRhkiJ1M2BI59pwikeKMCUDyze9O
dzedo3+tRcukokI3BgW3zcdFqmxEhorzqTWXXellO1ZrwOdN/eLayYFmgOf6FkZpfiAJnd3l1UbF
9c5sEpDc39zIME7NN43jQdcnU3ElVR0kgJiWvsKoP4fcjfbzXVy10E4MtZdt5Vlr9SSgGzoNdH8n
F6OLbcmgMc4PCzKU8wNljNB9JcoP84dSXoHc1QVIpKvgqf4kav8p0zRssEwfIPzhGFSLWY5Bh3HO
assUi0oDJ1RducdUZ/BEWyogTKTZN5sYMHVWtyKRDHOI1Y/Z0Sm7zf1idJ3EQrqax0xs71bj3oC+
heCfpP6LdjJ326qadjq0/bEtC70sd/sf8iU58kL8sIbvdy5OikOoBnWg6E/KOx0nuVPtLjIfZ78V
3fFT+WyI5TBO4MBIu2oLUj3gxt30NCOdbkVPOtLlOopD/VOQduYykcCykRz6ATgzmc0KQF9DtJCt
vTMwD6/npKNhANXSE/PGaqcMtArFKkOpoV54jntYn7wByfg2hhkIZAELH626kdmoRMMAbnobuKxW
eWz1/2XsAc93bOVAvnh7RHUyyWTRkQtYAO0m25BZOSrRqzyEKJlmNGge69fCjtp5QWVQznNwFPAf
4MJx1qMXigMN+L8fcbQqZQB+DwUgcUA4PXomplZiCvnl/HL4MMHV1pt2MTA0c96Z56B+XlrG06oq
iJZT4t3lyTKHP17+wb+nD0ahNHjhBmjn9SGUHJbezHyJQpxDIPky72THzKct6PuOs85/cKdwiqEZ
mWmmDHYGkjRko7EuNjXAmKDprFVBqHNHp6JtflZFbWkVRMuyQjUwp8K4fy9jm+1UGDcKhx3KZsTv
GnVxFKIK5v5YQDfS4pXj9QAXzY8AnnjlNR6YqFEZTrpkfyamZxqI7plmZAgBK3NgDV8+6P/kS8sN
semvQIGjLf51zYfY28cBKUR5Qhdpp/VA6Mv85IST7XHa0NSe8vTUFtYJrEndzk3KMZG9rslSbwVf
CRRDgjVVxnBjbJHOk+4ecgnpajSiHIBdQQpgKktoz2o5J8DvGTwii6QwGmNvj5axQJlrCGyXEedr
KOKzVl6NxoFZfrgFxcbn3LS80919i+5KFIY2NWupblw0A8Ged55n8Ze7UOVGoa1eWChTgO98WboZ
ztf+uKL6ILMHMo84qMCDQ8PNdNnEXDuXXnk/jGNqH1zBdkrv9HEoFiQzZ3zGW0K9/1Mo6zRjxRLh
orzntzXJGYgmllo4v3nwBHUMC8vTnzW06OxV6HzZTi6aNP39oieG/gccRJrAtMld0zyg4848TAYa
BdE7iOlsKqIeGDmO1XprjleNndcUa9N3WgvwaXAiM83uYvyp14OjMs3+6KBdRE0bBw0YqA0LfRYR
CMgjvDAdG2dYAz6mQvUihqbzywuJNyO5Kj3NyAhEr/WDntYgIx4ks/EhXAOb2WLye4YqU2+RWUFy
jTs/+lSCkf7kOvxJT6r406wSVbflWgveAelBg5ZMAi8QQFREUvDDL3GNK48NC2zScGuzrL4GxrhQ
QZnBw/2YZniht1iWLYHTVq/NlhcAhvm1iNnjaY02H2dPcWQwYm/hmVV6HYZBx70kK8cBtN2y6BEl
lKdBkgdoOMvalXr5TBJv89rakNUiVoHGbtvlGKctzq1/hTjaMPhny582FhoV97PjHNP5SbnizGk2
bRiBpaJwvKuBHv5r1aGdBhRa7Zp0s6EZi53mYB+sdJVtpgBVSPdKNQWdB3wNB42ck7iQnlQmIFpB
PWexfSQv4wHxyhiBsyd/Gfo45bgpdNM2KkCeslCtDqa0IFk2bcnxzuxw/bcYXRMR2n1u2k4u/NBV
QVa1Gl1mXpIsRoFXzLv2C7kC+ahVf3lX+JT0qR1Dn8Dq9nvfhgy8X7HuFr4WtahUugGe4YgGpN64
JxN0mTIA+do6lyZOIX5HSCMRTdUvaDwK9yRVYsRZOSDsUIcIBP81KTOtFLt2rmE3894BDGyEfa9d
XYLO9Q+2hMpDBf0IsmnRzLrSAVHIAvVss5/dpMGBomj4g55Ut3XJn1RqXdLNIl0RcIlAUTridKw6
gndRf6IhQDX5U7+huRF2H1oLHFhHP5guypGM5hD3W+Bt4xjjtoKQUe7YCzxNDHP1YGjRqYb7UMq3
anWK0HDoVwN49IgMd3Nmnb/iVhW/CK1GvVvVjwcSWx2wv8Uw/ohtPX4hFdAoUQanmfceeSF+kBGE
P9FLa6JghtagqJhVzvHmQW6siq8dukVrgIAMwIDbOznuRTQ0ofkxU7pkYDEwO1CiQ7r25vLgXDVh
uamTCgi0t/XUoqKzJVF3AkRrD7WdFKuWUn4qFqnyu48npun1o9Y/T6J+D6B5PCvogSGHVA5ghAC0
GCnBg41nTVijyBG88rNEBgdlbHjq3wLVOpV8RpGBdHeLtWpd5BEba/ngSkF3TvOFCu8pYaCUAzWv
ddDRRnGI618zpTMAMbJiRg9eHumiDMztg2JWkuXB/P/SqVUpLBui8L9a2gCTwKjFKCKuAcKRoB46
TsKvduF2+2rQ9XXhtJeubuoTeFNOhI3j+eN0vUkAc5wlgtGJI9yn8wJ1cmYyVtV+7oMFbtDRHcxk
H4BkjlR37bN1a71noIhssmOCN2MUmeE+F+kAn6q1ak+SeiLTw9iwBwel6A1K1n492dWD/mYk1UP4
vy6rh2KPv1Ot24dR0G5twdEVJAdjQH+QkAOJaTT9nOLcWJOk44hh1pNIbhRA4n+hi+y8AaKKXP7j
QhZkClTrqKubDrYnAshAIHiaULsDypAgz0Pg+thGvOJS1+kW+JGQp/CONHC3r7ZBW3xRKtQzmvFq
XoGmypSVaEgSUc9XSnfnPjJudBu6DsrWV43l42xaB8R7lqAwZ4YtIQwShV1yh1PyAHWifFQIzYYg
3JWWV+3Ig1QPoaQj2JPmASpFhfzR57Y0WR8+AetddOxa9jvBt3jWgI0lTWkogT3l8eREQlX79YDu
Wdc9zdPeYmw1legOUxE0e1wmAU1lhfcc5fboYUzgKfjTUnS5xhEvlSTda4M6O/N+QNJVRN9qNOsk
W8sWGeAPMZgxj1fmoEerCgc65yA3JiD7+hUfQTOAwMKbvjETpXjkreLIqHRvSYm9Fynv1iE5FD0H
gxd2EsvKs5vDyBLNfc1Bp1tlgTglMe4d3On6L8JCchKJ4vAnUP/wJpL/zBO/XThxkH+uhV9tWgA4
o8Je77bRlAhgJ2o5WngADrUGT08OpOvCBOxRB65xYOC+u5UNKDCUy4PRIWLeepald+ikqNO1q3RV
ZG14QZ18eKFZoqVotkIB24Z0bVU7YN+ssQ8rK0AKKsfZ0gPoqmD9hckFZhWtoCEfs5llWpaP2DHS
CrNSrZPwNZj1wN8sPwddKOEAS1/VLNi6epucQJXWgsIczWoGEEdOU/L6+BpKb5AZWguRdZpsIOCO
eKVVr6C9yUu8M8Z84bEIbRRyZ0F7gb5qtxk2MU+kwmGW2Ga65yzV9iIGuk1etqC/lVsJ8lBrUJRc
I5UeJDG/BBqwvIphSX5BgQzaQwFc2ifGwQSKCempdI4K42hQvr+7KQ+8MWcAQ0IDRx8MwNYCq/MG
pRs9up0TR6Czd/I3umY1AKtypnGXAzdkW9bOzuXCONDQTiKYZlm3alQXdq1vAIA1SYCkcPNS/mS+
85ynZCeT8qRZYI21f1RKq8FzBRhJkbeNTHdHIZaw3YXbANVX5X58XvLupGSV2AKgEco/yTJnjVpe
Z+vcQHnHnCYaCvBcDyxcAUQQJxpeEV7UUCOVcE75G2l4WaL/l0+ogze7RtuSsnVBY7ToU1BWAj0u
XIRRcenD8uBKUEcakMh178QHXZfjEfufXSiCpx2QHdWqD8uQaN+uOYQ522u1Nwf86/J5hMYiNlVg
GZInfuCTsQ9MfiASTezMyoWy0IzM5EgiDYkMViJZUdSCYOX4EKcPOMkeHP0v5fGwFOM6TgjVp3Ha
d8fCERxV6KquKtcwFzlHNcfcfTU3XbVT425Nr/lB9bqzbra3DEXOTPRgTKJerg6wCaAIQj65JmCU
QesZjvqqGDBDFY4YRjR+rkhpp/ilb5CfAou4pE5NtdwzNp5sKp29KAo4dd7izn9er2/4JjOxnR5r
4D4AkbpAmxiyT3nVDJdY5qZINEwd1NnYI65JR1blZ+ndp6Q1BVhCf4XSjBcANemNaF5SGWkNdcGe
uREqEatiCyZQ9zRkeRlsWOr5YGTlW5GlfbNCJ457mqdunYlFwxNrbUyuVV9GCbCmg/w6jPmE+gzc
qxZGB1pqiqElWdKhBZ0Pn+6+uj4Vhr9WX/Ldb+rO5ATJN1cIVC81eK4t6UufF3n4UdzFzD+wygEE
tRHxYMUkWoqdl4BdcTn76fiut5lFsrhuNp1oFkqYFRLzqMDDrMpBRHLTkQsr8Po1rxglgJJpkr/I
wwCebo8+clxJRTQd+qy6UJ+0Ao8zvdzrEkEnxl2nS7XuMP9O6HcAOGy0RqawtChCO9z9TLgMITnD
x1nHINoOwduIRka9i5aohUm2nIftEjlgyBrSCXtgHoF9nGQzYYbM4H8ajaCNloMx9pcydFaRZaXP
FmvT5zGK02eW4p9UG9cxYX0ENEh9CzB0/Uw2ctX98S2c9PAwe/SDzvHM1vmO1qABRe1I+AbttJmv
xfAOsWYolpgvpuGbuIRxsDBrEwxR6HXAyanHUC4XgYtQ6ryuhUGKNCNd3eDgg1v8+OBGRl1Gdbk9
bcdM//tf1yBDNopwkej6xUmLHv8PGir3rCmpVlo2gUvwQeZ59sNPenGa3Ka/tqI+mxLLVEhpYgxb
O7BDtqEx21wW66cM/6OgrjT6bZbjz7kP8IPder5gwVPeGihli0AWoHEh23ntEwrG/R32ucB+DyXq
Nw0o89FPIkzzTTiCJxiUEGxhNbW1C6hKBNDQ+dYCnM1SIxmw3d1TYb16yQTMatfF2ecQ25+Lymdr
RYc7NRN6kKbhiVSOmbinHAebJBGvbmlO9sbqO7xLSF5dGlzH8XBHcFFBYBrYdPC83vSoq7t2smQq
GfUOe2yIpENhVHQtBu+liEc88KWeVL0NzsfINT6T66ySxgr1CktLG/BYbIPMXwjfCZ+yJTkM0xRf
NS3Jz2nC1p1lVgevr896jd+tFeT3Q5hGbDMAFHbxYDCknxEAoDcBltdaWclAIuhvXi3LDHe0sD95
3d3qnX1mjq6fH9Xyw4D65Wy5oHDM0XzOs8QDJ3PnPQMlaTOg9/dCkl4I8RSC1xaoNF26TMIIWdhe
+0H+LnO8594Yoi1e9GReBOFk6DqQwtbZ2G9KHP2n+NMGcxLP9fRAIeBLwHuD6znrMB3w/LStxjnQ
MPkxsF+FcIA/ixnpWO3/gyqvaW0qN/QpAbtd+qkwmj3EPojkopZRsf+6lK/nPt7hiwzguEEDqEVq
sVHDOA5LkCb0+ySr0D9NhqB07GBHbTkuTjarBWltmlYtirHNvvwajahXLtsEzUyyeXvu1qYpDQxH
jGmI/BZ1cZMKr4jVGS/4zapHF8qiQfNRwLdWhMZlPL2S5pvXT0CC0oFD3Aq9/hYU9U8gwhhXgTvl
dSzCf0ht6I67ivrR3TuVlX8b1oGvF3tUs6B2AqQyq4qVkqbFtl4BTH92BpF9ChpufLK66tiFjfWa
ZSwBxSpgZh2var4EIEUUbm6ceO7rJ3RU6vOMdF5mjkc9+K5sZsiadRAYBiia2vJq1q8oiwbfjqxV
DAUG03La9SRwOyMdDXi/+WmJ0dnWAOPax3wAy4Ud4a0TAxpIQA+j5KkcZxfwEsGQ3Rz/4KJUNEuN
JD6zePhYmVYa0WYuaoCYAGChk0MvsRQcQl0geZ66I/uHMUkvSZ28vaTnIE8VQ7oSuUrJ+XydYyMA
T6OkpFpbJgPuq7CxW2kDtDeY+IsBxjt360sWAK8ACMzkYkg/F/mXNd4UzbUmaxYBllEYL2XT6cO6
qA60YQcszIRDVVFsi2663+vHIBrcilGfFvNG/257T1NyH+pyoQfTswaECnBTAvtX8wLwE5vjlkCA
SZWga3xTp6JdkUiGNs++9zj4WvOWx+vBqtpNn5XGKzDuDiZnxfd8HJBeE571XMRpuP+/PQAyUy1t
3RBbO7ONIw2ijc159p91vUhekPRv7kKNUPtua74OONzko2vq9wYrvMZ/NYdh+sqH0F6DS9o6Rr7x
c26RDUInOYyN7EI2AVSIdyn3pAa0feE75BxHORO6Ck6iBdU5VA8eQM6+11ljgnqdqC23faxPwBvR
pisHHMq2jRx30UmRDKDbKK9ApyAh0poqRAUGsqplHKQ7oI1/RlbwxbyhiQ9O5aLUQ0OP+01Hs3i0
kfgzNQcw7r+gx2nWl92yApXTGdxZAIb2mgA4knlyHUgUYbywGArXExFXpwkQxKfS6SpkBOJVJlWk
RxlSma/upnjN8hY6SClXQRfARK5pnWkAbXINBraGAYWAMYAOewnpPc/krf9OlIYmD+OV19r+7Fwx
AVBD8naaKkWVwO9LMCmSztdNQNb2csnBtQMQ0cnpnbahpVSAXgBV4wOkyA2B3Ulne/O547/CJ6tz
woejRXUmqFXYQGda2Cz/5Dwyc+n3efPWpshMBK3xGuS2O66qJIk3RRSOQBaq+fGBhoJlAt2rJSiL
0TPkBItZJk/RoBN8g9yPALeuzg+mm/8ICh6+oAC/2+ncNratHxdfhrD6mkZp8R199T+SKfx3B7QY
AG04d7ZlOGwHp0cPjm2k8akdTDTZyFkU+RlKi24yKXUGPtfMs/r1g2FKuhjwsBjIb6IVSR4yvF+g
cng7tG2/G2L/4I86zuYaMCXPKf1ZpsT+nL2nbL7W6J21pCmSBcBboOlcHTBPZQao02VNwRw2dKjv
GA09xBblFjBPe6Mzdn0RYvsT9cML8BCBywFSepDKA3uyFQNIzjN7TUZ3aqynwHK2ZIxi+JeZDe5a
/OYPpCsDw9tXrW/h6ARWF1sus47Xd+/UYYo3ceGi4uSEG64B4hs//hIPG+IWIKGvNsQ78MuiSwz3
XwJZXAGshTIB56JXdmhYQnUfxtozLMCEIwsTBQBToTYnanDKcXSc7oehzdaVsMKFgR4gEMGBxBfg
1N7LIJAHc9A2s3AkPjeJXCKE9zxGnk1aaehuM2Ugv6DPASr+n0No/cSO96ysBlR4Rvwt9TMcyLLq
kiD1eml9FC4ApqS0j9IAkFCkzBvQXc7mES+VxxyGDMwO2zqIsoUHpNmjlf+kNlfV9TojBym0oV9u
d+BCZKQwwh8iEYcDg1zN8pY1tk7nx2KNXvCzxvd/Sg9p0tZ4d0knFRwhP3b20gPlnEAO+F10KQBT
JU6GgrQo027t6FaxVyqFchHkpmzpqvgA3pvfwkjHAkdf6oFlAxiuGadYIiqwZyFhIq2+fh97VPh6
OOeOl27U3oup6N8NLlywTuH3sLw5NyUgKkE4wlR8bWbJc5ijyysx90MAcGXe9dVfpvUz7r34by7A
Nm0mjXfsUfBy7XXUDldWG/89htG3GJgLLzbO6vfBc8OGHpVZ4B0rujS9mjgwznGneSGVJox/nKoF
2YpUdWjL2oxIFqCgEKIGMGXlTx5Jb9/5t5oebpwQVWE+eJSOY8PbtTdFr+PgsVObGfon4bXlKSmy
t8oJeLHsrdpZhihK2RpRbHyKgb/wCTkJso12Atgo2WlPkTQAEv3VcoNpWfnNzpPdTyCSNo40U6LO
I3QN2oazfjAoUTmPSV4dYjA4USU4zkE4MqWfU9MDMcYviZX1VKH0RP5ZRPWSsDSppEPVdaSRvXAt
gGurihLlFjFrMbS5LskGOEgegOAtRPA0yMEEkAKgj7WDK2ETSD/h/PcYmtqRVErfRHoIDrZ+XJEu
4K6+FSAKnZ4zPTAP6Bfz1omR6wcfeGzXyQztRSfc4nvoxlumV+3Z73HLnmkWwHPcrUIXLLBElkBc
Cn+iViCrcuGlIZZdhuoxhQoUEQwQyZ2NbxqH6xJ2ydS8Vd+a4Ne90ZUqVCClm5GDlOyn7kecAgii
GTByZR3hoO8d5qTXKOg2ItWHFxyNDy8CcEwSmTncT1Ln+qg4dzJXLGar1CVTt7VBJPtEqsJEoTv2
Q9OaxLxjDm7DrN51MQ6o21D/RMMQsG4Dzrhx1cWVXixLo7nU6HA8D1VjfOptCwjTNkvuIprALJYG
EK12tABepOJnuSZ3hLFsff1b5I/myost7ZiEY3Z1psJdjGiT+FsLY6Tr7ParVqTYMIg62QGS3viS
Vt2VHEADKBax3tjX0g76Y5uLaF3qfvx3i0ZbuQItzackWE1tL/D/9LeWJ8l1vrdEwfu/Sknw3uRd
cuV9jHsU4gyr+9sHWsOmrcGmCQjXCidRclNEMg0uDyf/BFCViygca0u6pu+ohJOt29AuX/PxM3F8
R1YsDrFrJQBXCfib53n5si+99jSBUf7V9u+8EseHV5/wNzNGd5jy6uovpEbVLT/UdpzOXqLMPryK
AOxFnl5sJkMMoEBO0K7eTPFLaFrmpe75QfeiPF41Etker570Ejq/tg56wbd6n7+rV9THF11yEVF1
50LvriDTxv5Oi06xJLxAfgZnGPkTCbVkvzBqELUixQp8OumgDHrdossMZx3bzMsNbxGmzSJF2yOv
UDpjDGtVG/xQ/ivQx4sW9+nbQwkxBWTo0sSlUjSvkewVRQBAyikCujQQjRcPa925ayJe4pDNPVCc
WhuJmHKFZjhsR/N6XDhRn1wBJuYjfd03S+7a6Tvojl5bUdQvYQGWrdJwDZQzQJ/xapsOvvPVR6nF
zgQmzyYHM/a76Je+GPS/gLznbDrdq3egIbJecUqyIjsYAZO1hkPiw1Cy7PPod59oPTsqAB47FMW5
ZLZ71UYN+x15IVNv0eMcOckVzbOHshgA8iSQuHbqmr8VXeuugTia7AI7E29eox9NEdYvTWdPT+iL
Rn47tj7cOBuTHYm/u+m582yzYoU9wAaHks7nforrCw4M+pnDPgmRP43GMtrTT9SGG2hFDRThDtXK
TiztxS3Z17gUznvtgVw5sHPraWzH4swD3ErJ4MT5rmNd+uo3ItgWwDTfcgDNvkaTvSaHtE4y9EDW
4gRglfZqV0ggc54576jyfU/QYP1iWml7aF2k00nvohURxTnvUaG569qpvX1nN9qLM3VfQyTa4xJP
8wlMdJ86W0zL2kdZenIjuOdZdtRHcCCQqivj/lLjhpSmJng0SoZk+IDvd5mB/jhD4h4LFCAwvlsA
p2T/zQK0fNh17SWx800rMaiTDvvqwudHVKVX516qSE8iDWmDdtDOm6ql0tFM+XGRs9Okg7uXrfww
HA9qkwmqda9a0X6ThpuLR9yqLrGtqt3pzQfneNOhsuN/oszFse1tI05b8oQ4fWhPTntwMiuRZrOP
2sFHeZgsB2+KV8qR4mw3BO3WnP8xNUAaeCX6hSO/bdax7KixZUdNKmeONHgaGKfIQDqyKsMoG2xI
pwwo4viIiBJPlnqmGd7KWrtC4R81CJlW5i1T0B0eMo35V9Zm6G6VZ0rmhBOeUTPesioO1n/yiF22
rdEI+2ZpLjqYE42twtA2t+CA2Y9tJkAyPITaKvNjbx0DR7PAnrheFZ4fX1mTGZ+Gqkz2vG1QN0Le
KIVsUMvTV4eot/VPkZZOF7lWxEvkseqy3fjysFYd585nuqlpbYwJJ9fhzerFHRCNlCN3yovbo96N
VL49pstywoGoayNFn0iyUprZ+PF0yBgpNYgbUNHRFgVf9dhtLyd0EAlkS36FIQIddMgxSUpTUCqj
nZaMw8Q+Ipi0kJkMbiHePl4fsG83Vvg+7AshJKHmxlrFjpat8Hr8CzaJIJGQfWEJMITJbcZUyqSz
72T5ipR3EXDmTpjPzsaYpJePhuii2Xet2W/xBo6NWyqufmEH/3Tju+dHjiwyHtbotp5+AO3p3fEN
7Y2h8XlZdGP0OcI2D/Tirnhy8gQvEX3toN87aw86qBx2wqzRBlEwfz1k1bBxmgLJ08wAfYjkEAGQ
lb+vtXCtVKSnYbK9qVvcyd0g8BAtzkpFyMsUG+toC0PF24SWclTZR7meXPDJ8y+9loEtyhnfJi1t
957N3FU/sfFNB9ozYKBTcdbBO/TFn5BqlW6F54CFKPVBE6EV01vlB2hB1GyG8zt0uu1DtwqXFVAX
zmmFIlk9wc2ubw2gUqH218/LbB/qDG0d5EKDlkY4/G8ya9m6rT1sKQ74mvLm7uqreDQvlR18bWLc
7/0eT01T9jLnAvdWEg3Z6axEslbSOZTOunR+iCVrnGUrYLYgk1t7gH+YxxhVL7/mo1vd5gXYO1zd
RC1M0BtHGix59KtEpbuPI+0teL7G/7KTU8rwysPj7BiXkXU2pgHnh3oUbwMDACjYFUFJgy8hcHMU
R3bGrFBaKrnIapCa5Ejeg8r3D5Hd6OHsE53meFj+WpJKOgq8fHNU14O23QHkGV1GuaCbOFlHNtp+
Rieslh7Q85BVAHNHXsfDUyqHsUc2P4iAYUwGGtDxMzyVGVDE49rvdw8RCU/fUjz29w8BEVLjfokX
Y7UGzbSRbcKEjyeS2hSJzUXiZQsXRwIX5VuaBiqEUIHTJRI1Xw44IwNEL/azs0i6MC8kTq9UkvnO
Gxu4zgMd/Y0tK9KDEgSSyB0SeRYZejN46YeYnUiF7ut0FSQR8GmY660tG8kkgPJUZ+RFcDOlqRqM
Xt8auVYdlIpmnrwHz7pUv1+FDIG0ZuUuwRnOpyAc8LevMWSE5Ysd3l+GfVFgLwM6TZDxBMGwMtDO
eaV3Px2H92s39sAOABLXF9uIyqdCBPt46ME2+7CUXjfDfqjMYNFN+PMoMtPdFm24Qw1Q/AKSxfjF
7lwc44CvZ9vYLsr92yJ5yjV/9uDRN3TCuTmwp8IQQH41OMNAfhMCt0l3UTpf6eGJ5DLH99cH0bAm
0QRDqrYhM8cmeIWj3WZJol/GCPRkoIr2qum7bWtsp0oSqZgxME18e1lVbfEwRXFK0enpdvTQlcOr
WJvLFdsIrFnVmL8lXY5nxZBb9gXvfPbFCYp/UFDW7khS+mKYkj3+Gr7pRmtfTDmE4IU9R41XfK28
/muGpBfKgBYTcWNWvvWFYWfwFnaaWJpmwp8BnBHgHxeKY586I7gCSm3DEPmMNmO87/LKeiun9usU
x41cZ2CT+01o5gsdKaAe4bWxx3BDkhoUsyPp6qB0Z4rIB5emCx7jXVSn9oBUpVc5F4mncTG/7rFU
W5QMpSVkUa+AOKTzliGIYCQNR/tk2iiHdHAuppjV0JxqnEBNvC1MQFZorPC3My0ER398BJbWFSDW
h88uz4xzWvA3vUrCboknSO6Wn4lNAtUdQHyp6jPFBcL68zKDL7mkWJDvvawdd4kRiy1yT+yL2TPw
h2bIG2jpTyOz3ZfZwR3wGHFxxKdb6dYI2HfiefeoPIRI4YntnQay3PxI1aI4bCUK5uBp0FRNDMqN
1L5acigN/tMGAM9+9CzrSvqwr/xVnQhtpXS8wiMzsPDN4vBACxd6EepXH33MCBo9Gxq7M+4W8h3g
bE7YQYAZ2hTeuhNJcBhNxz/QjP1BVC7kBwjKjwgVVqXtgsWWvle+3shekbdtNngd11Fs+/sllB9d
UYk0e/gUFPvgN4EAbmENrFq6EmCxa5HFKkrf3dhSBG/aOA9kJZ1ywXcGvBsmEQGVY8KBl0krUEjb
iXaPLxZkJJMvdlyr+V5nDupLgm5Yt4EOIjsbuxjLyuO/vdTc9V4E6lo7QL2dbzjfQZ0M3qbJs740
+KSrIA+0C60E6FC+z4cUVBVBOaxNFL9dgjgvdnTnd8MgRfG3+EJ3fhoqm9cbpwrZamZQ9GQpM2jK
UZLmxGO2nGJrYWlJdSVvqy0ztYCRAm5NA86wowHgyu1Af4d/dFzy8bwieA0a7gBPotr7y+xz75Jp
kfEJ1O19Y8UvNNR4DVw7qW2uU5QzvWAP2j7V5XtV5i52o9j3rLoQqPKzzB2Ask+AazqANxR2YCcu
eOaGT36SaM/cw6fwO4G+/yZ8TnszfPYrcO+WFrIyJJIhEIVY5a0TrCnKZl76hB5JHSV5yLvGpzDw
8iNeh09W5bRP7dR/DJXv5OugyDZRXxknr/H5aghS/30an9uxKb4HAHrHJy77S2CHoGEw8dmLGLWB
hpc3m8nzcZt3A7yghh5zl6p8DfBiyCVTTRoNJQozAsHZvhGj9WEAt20xV8KZIzc2+Dq+6o2JfYTp
HdHvIQu98s47uvhQw750gUpNsg3ukRXvjXZZtahEHga0dXrhX7WV4cxDyDpCoumjGQPN6h44Zuco
T3+AWJl9aYaQbTTBfRyX18DSG5t85XrR+FeZDxstDd0f0tWx3WZ2TYZKoEYsdQ7IbA2XMQUmgQvg
19d60rNtkPFykwvTehUBTlCEqNIzWfFtFmXgflVBme5UVyHqGI3IEnAPuHNBvejNbjjiHOhUAFET
Ffs3XSfh+mb53n+eT0AwOMYFOPEsnzmnEX9jyyQVxfcm++Jx33w3BbbsVVJOpzE1pksOTKxlA5j6
jZ7FgCuWOaFAQpo7Q4UPQXIos0U0A70oCMAnY1oqg08ZJSXT7HGJuon4xhDNd/yvxGhKB4yOGkgX
SBDcqM39FZ7BH1YypHryHA9dvDP8lCPt3ztI6gCR5NTzGpRTDaoOSId904eBZoK8aVpxPFUKJwPj
+JAAKKwpkb+UzPHIkbBnWYk662zJL6902Bqn+85wkc5SPmSu/EK7OGWEqqZwegFmE9/UY4jEZpal
Z63xGzA2acnX1E1/MtlzopmfB1trf9ToQVugFou/gJCHb8ypLI9Zhrwyavu/mNrYnjkSf+qj5XE5
q9QnI1X9P5x92ZLcOLLlr7T189CGILhemzsPwdjXXJUpvdCkUjW47+D29XPgzEpmZVWrr80LBQcc
iFBGBAm4Hz/Hdg8etm3Xf/7jf//f//Pb8F/i9+KuSEdR5P/IZXaHj7dt/vufTHf/+Y9y7j/8/O9/
AsoIXR7Tc1z8yyEBbqrx374/RLlQ7v8rTOs6z9uCXzMgX3dEtUO0OoynW52hxnHpIuadxZzZdyLo
tOBevnWSNpoJecjjE9lP53kgeGWmAXRfkJwtGzwHETKLPh6nyRkxZnzM1ISIQwJcGHzIpAukLhJf
Jvp9NJqmXyBf+R0a5T7+/PbPEfpBq6zUyicNOait3ljp0cjG9sbNBPcEA/RvJP2jWYju46wn9rOi
Htk4WYp9StnLxZ4V+LCTCVbCjsI9ieONwWby1vPzLxZJvC01XYdmRAlAItm1skc7s/o1wNLaOcHN
DUWX97nrGvdRCCn0enRuZPEsGm5dK31HIGHgd6B0O6Fs/Gnx531i7aGziJJvcsmaMNtmdlCsaQG6
QGMoXhvD0Gyb99fRIWi+MkJHHOalo9x8AMlZeqaldWZG196LwFDlhY+UX+iq4ppiJ3shKy51BrUf
pC6coC/8X3/THP0vXzSgS13gBWzPdJjB7T9/0erUEmMivOmqO4Y4kY6SXQ9lOIsvzepKBar7ogjh
lXkYyjMnMOnmcrbDjhXh+s8++lQGzRY1mbi7EYWhjsfroR1bsQpGI7sjRkMaSNrhN1CH8QPSBZBr
GiO2GfGl2mpilcWj8yNXDzKjNctLCOn6i8c43guAl4A3WtuZ49sKZXS1q0MxoCRrJziY6UTjmusW
7OFbDl4jVHtVseZTtgmsoICkU2qpNlMoio7ZzU6RZpkt8AlPu1qk1RnCodW1NQAWpMOcOr0VPK98
iIy28/Ht3UMfWVb4adhg1IzeRoX17dcfFX76nz8rCPzgZsAB+PDAPOqo8Q83ha7ThiIz3eEKWGbg
D5N7djxDezSqxj1Prln6ZSfYVxxC+Qqlu+VV8qR8sA3tmfqDUIs3U8GnA6KExmuoHc1esq8o6ev3
Y2QEG/Kycfy0q9TZCNm0ezMtm1sO3MlGJVp9MmNvam6husiEfxwoUZl3kRMyyDWL/Vg9cQMo321y
UYr9GJf8pY/AS+gBbJM3dvmsS3A1Kq+xHjRoxWBSIKdXJpoWpcEJ4FM67jtrjdeeT1vewnMRgQ29
bN0w9xwwvf8qpRb4jdPzW+TW4QGKc/jz4zR7x1iF2rFqmr4VYXQo1c2/yK2zOeabWAsx3rvNg2eH
yapwW3Ykk3mjeRuyDoFR4NH92s3EDsUsASSdSu2gxQ4i5pHxOpZB/EM1wMeb/IjQ6FWPalDP+1Cu
T4sPhnYsT6sTnRaXC50bEYlw1lDuKXwa4LjVbH/97TEd8/O3h9s2EAqQUeAGnir0yPnw7RmNxElE
aMVXDYg7v7Jd82IZI35SHrSXW85+DqogibpokPrJzGM9O/FQ33zqJ5MuYd+1a0cW2rzu3/m1LDkM
OipKCvXKy1R6hXGASJCTsJdP/fQenNztjnEpdpaM3SNXFz1DbgyVP7ZzHLQBTRqam9RLNrXAMeEe
l77PPrTcMkwtFBvuBap792kfPuLnZGzfXu/fLvXhTSxrfVr68yuTI727eXVyX953BoLZTL320v/B
b3mVZZmlb9CiZ7trm22Aj+7oJQkE4ahJlxjaSUcc7/Tj0ketT33Irg9gVFBL0OWDTUvMtlNFYGhq
EYb6uzX+ro9eBmBA7NI/DYcgqVtVWp1vmQd8AyuC34G5QzrSm760aQ0+CrPsL/YwOUfAMaHp52jR
I9IA4EkEYuA3JZ2StmbwOyvZd/CmTl9st/9jktqkVOXQbdvSuWAPn4KLlKW57+TNhPoXBOy0XAuv
SW9dGN3PRzVayORtNOvKiEaRKQ4facIkw4/zySPCfB0JuW3vJtF2AKzi7Bg89YsO1Nl1hKf4YCSQ
32LSeJKSA3JUVl+xP4x2CUfNdj865Vcjt/f2wNgTTR9dYBss5bZM9/B/punIYoUQWca5bgbaMU33
1hAVx//1HWM3Y+5oxGXGtnJyue7MIn3Vm+7qNIb9E4nWe6Yl/YsJYp5Nn5stOKVz95xxHm6yxkhf
vaFdXKsYkhVt6D67VWlevcYBIU8L3k9lpU7AQbQ0IVhoj0z3AYqvNuRHI3RB+Rhq0jHjU/8ErXFf
H+tpY/TA4mujaOcs15I5WxJcvW1hR5phU6KSZHP+jPw6DiSeDOK3uTTjU3JMzcUTBgIcWrgjqcAk
01A4Sc0O6bV2xSyxadooPlJfUXoofaOB0pm0A54bNrRZJq8E8EZVFFdWxY7UspRJrWVAqvrjjuqP
qUneJpUNkxNKqVFBvMyUVVquRq8BwNqbuq2Ttb9ZatdVsf7tMnURVJXI1hHjq1dSiV8u40ORAtmQ
AR+TqwoKujSqNKKmeguyB0DWVkag25tEwVcWR1QQageBwPv8P6b/fORic2PjxjFrJWbqDzL/0Vj8
NkJ/KeBRmB+3ChXWyeKUt+nbpQo8MEsvNg2PhgKrUifZEHcxNtgIRqt55P9njXk1u6m3sabz5OJm
ZYqwMYhoNc/z7hAr7Y8M+9PNyADmAFJjRwBq8qjwW7kzXNDxkIcOAs1VWefZGsgA6wzK1UPvdfJA
Fl081b+YKCaUx0rUwLmiUrA0RYH6EH3YjFxW1Yq4TuxIjqfZpmZYWXm5pSZdMuS59argW5DHyuJA
fbQataKgVJBxtboFcl+EWe32nDc4lMcNsDL3NLK8Ds1BmLoGwK/XYr/uWXEgmOUICoFD5UBDnFCa
1NdvGyvQH6lt6TjdkburCM5RA/XRXTRd49tBWvqgjfZsYyW77ufEOF4J+/UdlShGE+jHyGQK6cwb
M9u0anRSJo0acVrsqIJxzIIM3OTGL+YuzjTXtYxjIVJ3VaPM95So75mJiDzUo5HFR8WP6tXLKUdq
DHWIPtkpqitRz6WG6BIbWbfphYUkofKkvj6PRLIlmxZdvOcpQd+tf701Yzr7vDUzXVQBGoYN3Ubm
cVtt3T5szRw91GyEJYwL4Ftxe3C/6vErdyp/QZd+AqUuYNN/64LcsHZQi4QGfrVtAO3goLshtlRc
Oj1tUf/seufE6+8zObQP1CWNsthYspEbMmngbyblwXhPDnRp1CRHTVoWep/Um121woY9nY99pQn2
uSJ1f9D5L4OSBGjTpzBc4T5cHaiTGbjpx0PXoTguczWx+YuMB542Hu6Xx55EPQgOnxMSnpoGdNW2
jhmXeKDlyNcl7k+zdLAjKMaXQoBGwQAnyD0Hyfc2EVKcG3ASQh+zNXfxxK1bh7M7QKzMfhbDWCMF
17s/pA1yaQSRBRD27srrdx5OGCeUCUKgdclFpnHirc0GJ8SwsMSwWhKUs90ayPmqiRHEt3/9BfL+
cjA0Xdu0Xd3WmYPaF+NTtCgOirbCT7e7CA+kP4KjwndVTRVqXovU51zA1KoMKtSOm4P2CxUnYPou
IaSWZuaaOumi4ZepI7w0BWsItzZ+UDC+cSw+YZMEHr8VJbBiCQ5lmU+TTyZkX4EZUhfyXgbwR2hv
5LIMkB/NWJYKlXSXXlr5t6ApkPREJcpjH2mQV3YjCI3ZNgqoUJTlB7qF+rPsFYwI5d5C2s5vVPhV
vkumUIv6UGeS7GyteCQplaX/73w/uKSBse36blrF4xj5Y5Pp59I23S8N/91WuL8U2qTH3EHGrh2d
4ZW86rDXzyjE8b5Y+e+m8qpGQOaEhYQceeEopmhNsRZ5YS3qXrxoEq3FwLV1/vU3g5nW51sLUsU2
48wxHRd69OxTzMAAYaQMPVNezKlx/Ukxa9MljBkkBW1w5Cx91MrGwQcFS3wNhwAyE+TH8JT74IcT
WHbn1CMCUk18lW4kDr00m1VRptkjfuuUZqf0uYuTtB8Zsb2jPmDz9bPTxd/mzPtk1y9azbUz+bYM
FDwpPv41+dZ5VT3m59mzD4Xny7rm8zoSW7xzE7df3QQASn+MslfXAWs0raNLY9pVRquB5cap18Vo
NocGdOkANjPvMDpa8gVxll1RGeO3XoYf+0uUR1G/V+Yf+5V/rCfTtyAdv2pW89ha5hWl5+0DzqHB
ncuKlwjhole7cYqdYh/cpqytXrkwL2+gqJibgI2JnwVIGy6Eu1HWJERwIVDO+5g1tcbzu0WQnHfr
fR4oBD+sQmu+zwPbQnAhKxfx/ApZAmCnEACxqqX+3eQU7r96e/Rm398Ceb6/vclt/CGXKAhLHUvJ
zhulA8FYV7tpXZ9BidkqHwVOVQjdteVjrttvfcvo0iI/rWv4f/gteJ9DnSqo7lqOw3CrRPjD+vRT
kD3A+SLr00vpoGKMtR22+ZSBmtNSoC7bGWY7QQjhj/wU9ypkya3hrE01MhCoPvFBmmU/aZpILvhl
/S5iy3oyRze4b+1h7bDUfvLUBWXd0OQYswdy8Jzqt1i3q8tsDSg672RbHMgVqU9gGkMmtmQyIxk3
htl/BU9JugKbIb+XueT3ddNkuyHUAKtVfXRpw8pbJ7UjN0ufJoPEH0PH2VmW9eYHiO9PQ3rWUXIH
gWZAWndpIMorzcqaPLsvsA1Sr0I9iMRVF4A2T8sKvEvFcXlHiWWFgCiI/DjpKAUtmsa6Q6ldr2Kl
MaLh+fR9lMDvNUH64sVRtK+7qNhVpW68poHukwNUso31YKHqYECo5YG7+NrQAC3puL6mhQhEr/Ig
dQ7/4a7IP98VDWbYum6Y3DRN1Abo6qvyYcNVdZEYIMKknUMLbOpLEYmFLJ+FXM8sWL30L8Ukn/og
z92uXVeghAVVbKswE9MHOtelmCcsIE6ge+Y4jy4DxBlrZJBEoLnLAAcIh61oxIrSFmWgzV1LyOVC
B/IpiYGValTTBLp165liXNGwhiBjsqMm5KYPgSHEEe+tO+oe9gNZoZWvJTig/CKy8m0hu2uBW/dP
YdWfGmpoiMvm5zS1n4YG9Exq6E8+yImkK24N1b7e2F5V3oiu1aWdQ7Wmntmg/nrDsE2//akHiLV4
1egKuFB4rZ+r0vdMcV3RJZ9sdo7BdNQSmxXismAmSRzjR1Vozv6Dn5rmAOS86Vgo/ckFGpnVNdv0
EYqg+HhYeGyispTtiuiRiNdmuajqzqkvt53CCwRlHT5aPfT0sL0DzFVZUKzYB4jz4JcsbZSjQpk5
TSFl2APDX6+oSZdcdVLLdSeQXsTS3nwe6MbHX3/Bbf7pqW8wBzc4y0blGuPc+pwpsJsJbH4OwAC5
KBAhQkH7c1+Yr2Vs2I3/ABWq9CkCJ9KTzBlqaa3YOrVcZk9JXALtGFcW+E5g6hoUKYDBzAB4slFY
IT3FiNkiqBCnugc4SFLtKIlDF8iyJ+ewik+0j6c0D/XrZXFAIUMy3OtpHOysSGptqah0NqH2c2hx
W8Ld77uwYqR3gT5G4eK7SaM4sH9v35PEyR8ecz6YPMBCfB/hzDfnYcALxIDOREqJMjcuz9m599KX
gWJ+HZcMqmPd22jcDuwsMVp5KLn59aeAyPpfPgYPv2nPYMxj4D/+S3LN5paLLT8iJV1iTihDBDP5
5Iuka0LwIuoVKnSENfxWjXp8rXGkfjTSbAOuVsj6AIL0qJUhx1FMdsi+VNi6RGzaFJ5wH+IcNfND
7nBIFDTuQ1Jq3TnBZgr0l13uT14VQw3RM/bknOugHQTTz75LqiH3627M1mUugu0U6M5DmXJrC6i2
o3+foly/N6eu3YIAT+6nKMBuFuQZDfKX38KwbBGKHhAZr/vxFbVkqxRntLl/8U8R41n6/+xP6+Qy
+dm7ENCgelYdWsM7E5Eh36Ja1sWm4TwDY5/VGQF0fIfyLGJcrDGHoNRk4xJr/aEo0h110eDiZqS4
aQLxDT8jQvG2K93kVPSWDjQjLhzFNFdZ6E9lXXSHPo3LnZVzHFOFmNqVl+rN2aXm0KbxTo7199mE
xtN9MVViO6ag9l9piCgc88nTjzguoGV66CT7Q/OD69z84DBPUwssS81TaSRsJAReKqAmy4qdokh+
7caQb9u4BY+TMWq40gjAkOz0wZ7d1Rxq1Rw0DT1uXJvZpOnzIhAoBS1Xufr1V9/+/IAFo51puUhP
ONhymbrx6QELaEPHrBT1DvWQhxMQk6jBg2paCZVfZj7H761iDN/6lta/9StME59NFHT3efCEc0P6
dcpQk+dFnbFNpn785lbPhT2kX5nqjpDu3mohry5dkoPRvRABdNZcnDZKs/1idjqgWSgKDLowOjIc
EtaxqiQ0aveHG1lGckn1arxZE26fvgggeeloor6IDALVHpP8LgAH/bUDpwAynXhpryhBRA1y+juJ
Qq0PAzQDWlxvM0YTlKY0A6jqbCU6DExg/ZlnBNC5/5bGMZZCeuPXn4nnqVz+R1CJbXDm6a6DOIHF
bNf+FCZoLb3ruV2MlzEFuseAEDfiZJFbnOgyJmkJRSpc0haooRU1RyY3Qw49JXLRMlmebGg8vc37
YM/eajZ5LmYTBO3WDLRwlSn+zQh53U3hVMUtHlhxo1brQKqvCIN0/WlgAvfdNixxgqaBRO0YqAUC
QwBlcRRHePWPpVK1XjgG0THmw+OyOnl40Lk953zaflhDzbRxeL7KbLe40zI0p+5zPwN1OhSyE3aK
82G4VmUWIetU4EllZ8Bsqb7UaFJjhVNLBQA3IGkZQxqqyEb+c7CiVR2bJkSX8ke97+zX0gJCBvIk
w93Qo+yigRTghonghHxvw9d1XXyL+x713DbuQLu/MZFhGfdQW8XOEMATXxuhPhVmJdsNnqFjf2nr
YNNUVd9224O0HhKLO8kNEPrgmwbQ2W32AHMI28ly0lfZEMCXJrzPmlw57VrQkV2nmX6A898cqmCD
YANCQSPL1wQmAv80omiENyJ7GZ6hSimX9lbDqUyuwIk5gcAUdKigmPGKtUt1cfMs16lOJZKjX5us
83wDGN+LYwC+hQxUve6iafghjTVhlaVy0JUDFHuDA4uFeyLEJ2QmnS0qNfBQHBSya8GCzgDRCbqn
ALIjY6yAtHT54Bi+Dy8ibuDJxDqxmaI8HqJpfq7yHUKEL1o4QRKALHNCl7pISgzNLijG3BsivXkD
dx7SOo8gUYOihjHHg3kY02ozVP20GfvYfSAXY3rheHyvIsvcc4tbj4FrauumQAFFBSafxxDJznNf
Nt9AoAUl0bxD6jOP5DqubBuRFRTsRSnI90DJMB0Hu7ujrtCDrtCqzJz2aHrsHre+CXk8B6xxsfQe
llnUGqUbgzssefrULxtoiqD87/nDkiAbQLFH636hFy1JQKvGDecg0/yV+uZF1PuCUFF30BPzqxUK
sEk1DSA6Jqu+d6p6cHEDkjg9uGbww6s8sUshXLCyVEavUfVsUFNA3ZwWAHCk2f6nfvKgviQac7/z
wOHoUGkcdYaq3K5jkMhUc8n5w+g82W7f5pEzTQNUyvFBsJejVjgChUKT/+DCgphEJvXnNuyGNdI6
2q0f5LAbuhg6xgXOsKAWq3YxMqB3gxiatdkG4kvl9pD+ykv2I7WNPUiAonAlq3iVpL32u5fz16SP
vNcxH2rfTrLqikJI0DaCZboIjPogR/5CjNF0WUo3Ri/b6kgTnKm/awIw+9YgHfO1vK03S+XGPGzK
+uAE1svst6ynVsll97aKlWzLakc5bR1PIFSQOsFsOpbrXSdge2nQpDR5ZX/0sOs8uIpEHpa8uPbu
QX1/XqNWZTGlUf60oCSC2EVyAv4XYXignfWEo/Iuc9K5j2DQTjdALR4CLyuzG12QZCreyp4bG1TM
pEfNzdjZa1OQV87DgSKuVMPZAO6sFAzhupNdWKPksJPMiE48RvyH1EeyGvqfcWOfqZy1CKBk2GtR
jO0oSmHpQgOxARLzUCBBP/U9guBvVbF/dBb0GzBycOQrItWZPXU5R/Z68MKbEfWrC3PvHyS9iDJ5
ufsSDVa9+zBv5mIdMZGpibM3oL3ZCsJzoHvpovChTcDKWIX5k1QXp2IvYWwMF47t51NrIqiv6T2q
ZnibP9UszY46a0EJoXzbVIYPVRsB4olBmvDn6VqEUopIAJ5v9OkmAOnQXrrD+Aq2pG0qB/0pkHpz
xVOgBS0X+plyc5Vbr8ymtraRl+hPqKj2M572Z3BvgkBA18ZXxABSxSrn7cM0mVeM1YqlHbytSP30
wuSmZUBbpeCARXise4qjUJWYly9Ms8QlQbRgZTqifDFEUO8c2dkbMp2Kd34QAyNCppt4F7DmGPe0
RpGJNXWPVgzGBrWG8b5GVOD4W2v2ukoLDfU+iDxQDEIWYOzAQ3/uWvoRiOM+C1AqTX1zXGLIAF+z
rPRlNicIwFd2D/5lRB5vJT9kgdVd89rRIT8shqubTMZR6BLxYc2209vY4ruM4s5hZzRAGqzToo9R
rN2JDfYVUGUJJTj5Okfc6GKgxnlfNlq6qrKwCNZuNuIvaew7t3/z8JoMhdZ5Yn8H+5s4zCbNhbQa
WwMbhIes8u6iLJwXjTXZHzrc5Mlt6Sdzav+VmLEJjAx0LGvUbuwgvITtiIAQ+QG1rE8dSu+ugZYU
13nAi7vS7wwXSWtgiD9Il1sAqQSyBOMhgYs/yZnP0uU0RBPfvckymupUu4F79DYcjLAfytfp5/nW
i4dXcxvoV+uBQrkvb3NtOv2u7TVU58DtGlnPoim0dd3aALsDuj6Gq6gxJQA0A9+7LJKXMVcZUQ3J
Sgpo8Fh2vo3S721CGcycNbPPEvgA8eC0QwAGcgIKQ58omP0nIvzC7U8gQ6oPC/M9tVpAllS9xhF0
ufeoIhufCtQfPsQygXgXrE5a41NvxZcgTfobddmtIXx9qAUwJhgMgA7dYKtmb2h0imvkKdv8Z2kl
Behuku5r043Ya1u6OBWF9L50VuG31th9jQvN27XIHG/JLXbFGfdk8ZTYMr0gMZ7MbprXRP7QdiVO
d4H9mOTgtMzxBS51xzkmaSwfRMWeu1EHRRNqsx50BKguju6cU9x0HnJ10apK3xSdFW2WPsNoHgxh
WWfySF1Uj+TQPwb289QbuvU8OHr75LKvZHSgFHwMUTBAloXP5BGYUrCmh/ZzFLLgAbiu9ezpNt0D
7kj4ZQf2E06BVQJujwg1CKUW4WjqFjlIzg1UetMZMtGRqBW4hd1aR5tuYwaRjKDg7jNOFc8LxUMh
EjyNiGysd8DaHeyJDgKKBC02vaziOwAjphVYKO+Qc8+/xAWLkV4ARhVCxNqD1bbJinAnSWDfcQAs
vwiwuc0e5ZiKx6qt/sce6lUCC6p4RqKXmxGlayswP+sQ7W4gM9S1oAEKh35rJYNAtSIe4mskkMZN
Fw7xnRlmKE0M3fhOHoam1W7US5ci9/hGN7DpfltI+Y8xFFGjCuTsypr94sDaaeAiXkn8eorNGNtf
U5mGR1p29rPj4tgz+2X2KKOUr7Jeg5QEqnHf3mJfd6AbVQuAWuTtLc62dixkpN2W5YBb4Jt60JEU
pAma3e4K9aaMdBBr0TnVTiu6bw7Do6qEdPmzsvSq+mAlodZcm8wwnk1rmMeaoOPPhdn83bz3MbA2
Faso1g7ScvCda/sfsdfhDKAsCNaLvRug9pvMwSq+ZC5SRfW4yQME6kbFGtU1BfjVg7rcdaocebRG
/I487cmjXGYdTj+SJqvPrRqMRfq24Dzam5vIM7FQqfd+DlLInV3iPpLY48wyuvCNuk2MjXMZnYmR
lPorDi4HvdDDDZGQUt/UpcNJs/s7clv636engYYixKzst+7QJ1Cin7Sv/WS8tZa+T61yCsW3CQxy
8wy3bm5O1pzaqTShBTwaX1CrA20KbXhATSuiNsOLU6fGF/XovytD/VEqHxAM8VMKzo+Vbcf5JQ1Z
swG2u34ojOEMCm3zBXJ0zmEMBU6kittYm9x0zQLAtMiEdbbjQT5kdYcyXPBzm3pUBj7VRA34nwfP
omsBLQjdwJ+rp2qeJ/vRAakmQlSoDtHbi63eWK97gGLZ4YNtltpzLHfUG4e1BSYT7UZWA47vc8hR
209mqnf6vsQNeU1mKzK2wR+/mKfmVokMR1TqR8eq3b1m45AJLh2Dr1DAgA1FA5KHAUTeHqq7pwEE
PRBHJLPmg3cNDe/3KPGGPe55qL2CqMmx80Cr1ddNf+Oot77FKN/clTokq6XqWwZGfIQQHQeb6dJH
rbTqmzUDCej604Cr97U/um26pYFllJudYmhGMIFekgbo1ZC5++ElsjpQf2Q708X1pmljjV8DALXw
3XbyM7UaKLy1K2oKiZHQQ2JlZQZZ4rPJG8F0jU4apktMw9TsMguBubzT1lwvACcFSXbjVtaeLNGP
CTid1L2bbD443klMYhWpARpNwZ72H4BchuN9jrBxD6ddV7csz/JQN/Upwua4Xmj25Rhd9LoYVjOK
qoeuJTZ4+XbBTLUFKPcrvb8SZGpEuaVS6vq2OGT/ZhKgRPa2RXIcAgIiWwcpincXnm3ESpD5Cn9b
eqi1uAZgtndX5OaFvzlN6ccWOKhGI7yJ1hFPpQsq2mkAIwDUrcMn5Kp00OaPAA+o0cn0gkeAPtQQ
dYD8FaENrTGP5K67TYp7Woz/rnKH0oZ3rVr7QhbNghbwpfOmFCgOzla9iAWEDPCVt/o8ONZgon9u
oGG6xgE52rfKhBQpKq5NEOuRM4Ou/Z7no+WTOehAGUT2gFpE5Vw2RnWb8vhu9m2AH4FI5Qo3ENH7
MsVTDDnUB3qZiWXPlhb0V3LtGH6zeOwnJ1rHDu1VA8YWwHYmSNArzhQ8UsV6/LNJo8CRGfOoVjsf
nVGS/tH8u7lVAfaCpINMeaBjaw/5n0fRV9bJi5z6HgGx5l51WVlonRKcKu6pv9SNuctrm3VeJqhl
MhywvYG2w7v1AqLprtqdJ9K7TeoSRgVkOAb3X+Sw9OOs1oGmPMi2NDAv8j5/cQ4bsGsMky7XMyzU
Bcwm6eNvRN9JXagsO2pNXdwIKJo0I4DTqdVuF3/AJb6RVdUxu+ctigpVHM6munWq7KEa9aADXjwF
XSwqhFX0jZzylnnbDmcfXxZhdrNkqb44xfitAdch/nxyvIFRMbu1acRWucL0tAiKzgM0IwK5/YcZ
0G4fAVXLbMTgQn1HvLsIb2Cz5T2hxMV4bvMPxh8j5FZpe3L7Y87QRA/AGHjQ1wEUfLR6/sLisThW
CQJAJMSDA0GxN3hjJZd40l/p8U87A1QDbzVbD25k5Sg32tCFTBpQHrQFoE0CKhMYojx6eCSTWiiw
B6KQNg3vy9ErgEbwbTlyjvBFv7kB7hsWfsl22OFXGTL3IFs79fHkcJ+cuJouGR++k8W7DBySpj6B
tdcJDpE2Rk+d1unYYCkAjzLNJCtvITYXeSmBE0ym6JJyyABw5GOeNGGU6zHL+l1XadHTVEM3IkZx
7Yqm8iTLz+M4rEFFV5xECMhQVfZQQNHikswxMBBl0fI82/06/8Eo6/2n/IdjO8xDVhyUMgbwtp+S
UryMS4boBR7SQiuP3MDRxS21n16gbbW+AwELOFMHCdyhqmNGQbkJtoGJo2ILB+LfcHv4bmqe+Gaa
+H4ht2V9afQYkYZcsx7HTpvWOXBW92XViW3pNvIaD8EE+n47xsO7kgdRTeLIPLM7QRki3neDbuL0
mcvtqGnFHQCwYsPrsPUBSQayANtN36mH7sUFfBm4GKP8YaXiAl7UUawK+aC3ZQSewV5sKi+DuoKN
2g2utlwsUMV/TvOMlHexToKxuB/bLt9GVTldtEJj+3BgDdKVPfhVpoHtTBFroARCIsJIsOtOWy4O
tmUZJ9R4eysW1MYXc3CivcNbDXsrmIMOYHciBwsatzAheY9yWQTNTmR6Hv9ilpVxIyt25Qpso+aT
XXfJYx3GW+oWvC6vE2pP5xfoC3aExqhZ/bAsE/Qnq9YApyFSzsgzyQQ0DQoUJ73YWhX2VJ0IhNa8
m32IsCuCjI9BkN3LIRte0qFHGYucUMbiRO7ZgDTRBojM5BXJgStj0v6JANc9YA/9S4BTwaYD9esZ
HBbO2Y5StuYK/tnX/c7IqvxuTPTsjqMcBuUVIySxbcQBUAWc3WkeeFY5dFJ2ZJLzu1/MK7nTtSCC
8Fc8bLQc+TzDgnIPmSaoNFDjBBz8MkqweFevwd+jRcmZnjuhqflclOEjWRLb1MWyJ7EuoaJzchPd
BDozmal5ExNPOxyAXVBv9/l5aLi9HoYs/66z/7FHXLodCmNL7+/WiPXJ/A9ICc4+Y/NsD3gEpIy5
zVCE4ToqdfkBkKUHKJLWKixc8x6skguxApEvRAlLNrEby5mLoTFAyDCzLNDwTMFAkxjjeg7OC3Av
kE0zccKXYGh6J2tAEXnkt8CHrwMu9JOrLjhQTicygQEDaJ2a1EnDCfAEazu3wfmlHG3uwYeay8RP
6yyTPVOrwGmSCpSqI5wzoUh8RVhbGXFgzKOk25MJbsH8bkhGflR+FfnZ6ZjfkV+PCPJ+7iQfcO08
zRjdCPBw3+3VESEY/0VA1YE3tW8w0V7AHgvkTdLP/WOEbAP1T8zq75U/AV5Zyz72K38gaL+F2Ijv
7TJnF60e2IVaigboEsqNN4zZh24o1E4IpkZedwiz+kquQgsgeMidO8DL7gc7GhxgBVv3liFbunbA
gLAmky6lbLK90MYT9N3zJ6SypjWCUyki4z1MA/m+2Au8VVjx7InjsAe6CMu3lS9NAMbvGSFQ+7JM
Tyo33ZH/mIbaAZylb9NZiOCHi7Kpg6w7CGZIqGb8P8rOa7lxHErDT8Qq5nCrZMmybEtyaPcNqyNz
znz6/QB5Wt2e2ZndG5ZwAFC2JJLAOX9A7G2VpV2zV2EETBTHWUVFtdUi4mK+ymH96CnTQkk0f1oY
7EJZCKO8LyfLw2+DWKZeTiZj8lzXcfKsbqW/yrimOs1OCcw7tS+0EmVrpdlfD0Zctr81LdlUx4qk
ob66DpOv5NjLCHGSD1PlkI/vIceETeCurTwJF32uq+XiOrGV7UaJicoTy64pClnUYKXA7rU7JYlr
QOlQ+0Xlqt2pEQfsi4ql6szJVjZlR9HhntGGJzlJuDlsS8PyF7Me9JcYDiUmqIc52cnxioXSvdVc
+twKZHjsGPcGq1H8Z5rmS6Ibt75l1sHCVdkr5l73PVBBYHbYZ7wEujVCp476h6jyiu3MIviGP3sb
2GxJwGkJaHihfFYhg8/iaVCU/k9P992nrM7mTc4alm0PQwfDVZZ2ZfufUY1ZyweHix1JS8G0Hkrj
GYWL6V6t3U+92evPdoJyNeuIT9e+0bM+VaqrPyt6icTCXyP/YZ4YyeMZfloT3gSOSTHHiaZDjEQq
ZEZk9mTs2mGJXtl0kXjG4NBHLAs2Gns1MbkLFHdd1XW9VrTM3YCJc26rvBqgXUKjVVF2eWla7Uvb
lP6PLioXYWKa3zwUBiGKFNHZN+yHvB+eQxe10MWkdKwYxCHUjOY2GilkLz6+lP0Q7prbRPZfJlVB
e5l5nf7bGPkyQgLk31d61seniaOapq1DifFszYH1/oFP1U+2hbiS29y12MMZuhve5loXLS4aI7Jd
zONf7SpjWV2K/ok60VEKixhpNG6hxi5q3Qgu7GBXmZz7vnZwokzhDpv4XiPb71VLJRo81o4KNNhl
a1qb684IoZtwkSSKwiMaDl3mxxE6b8lw2UoBHSge0Qplo2QfjLimeiKcxD4oIWJ2MG2mzCgvhCL3
qpF4JRj52PjhVNfsmthU9//+Wf4tpeGQnQd4YGi2o+Jyon14Muuo5GgI8WV377puWoL+0+UZ5gZc
ermX+RvUFjx3Mc2ozrj99P6Uko8u6iu39uAgr/EgRZd8N/TvEh5oCyn9EOhJspnKhqyYEGxqPAPd
GLaA95PXzy9/n5QhzrMcwrHYDgIS6uuQzwclKHalUBCSMatR6kvMapARkh2B8ce4Tsy9xtpSr5EC
C/FOgxjtthvHIR/pBdkJbGdwn1ejuwj4fN6yPAFDZrgulda2Og3V/CLjXZZaK7KT+a3VZMWr15XL
ofPtN60R/xg5zRvZVNWZXawVvXqhWt1GYMJWcrp4OzXT0lOfhOHl7eT4OsUlSr5d5oO//fcvlgfJ
h2SVo9rIWnquZhkQWP6mMZT0lW06EMvvvHpYzJ65fNfcifXoYaQpFXrk5eD9LyF+eMuLMI8cIc4h
ryE5kysnfhAjZGuowIXzPe9ZThe3aJEnGx3E1yfk3Lc2+6Bvhoq3gu0G1TEea0YUjdD0yj/ZoXqc
w6o5DmWE5YIebuUPB+a1ylU7845xidQ7NhIYaJrJTjZRUfttkhbE28JQlAVs+XYT+wKR/eeh0eAi
LWQQ8+hsa7XD4Z/GXWOVmh8AZ5r2Z4pQwyISXjexbRrbKp8/ydaVgK85uOGEopM11yc8IYp7GboO
kzNnOi9x3ziOgEQWbncv7TbcuRM4WKW+p7pm3KmlMa4qFDG+zsllQAPceRnaVX0fOhBn/m2A7Vfl
bva8VQQ1Qs22//6r+hvG0DE05IQsqTNimob14XaRk79pJ1cL9xjvUE9bDFF/m3WJ9tKazsKN1e7J
SYr57Mf6KiwN9WWYMGPVq/yrH1fqS1uPHmCFHB0UMcfLYIG6TlJjNsvYqcr8Fe8Qby9ntGA2q9Y8
YrnDXLHxVH1fffj1dqrvrIwRs9MrSD0qxnnloaO8vsZST7cfUGeTkStuPVX134fKDjm0GZay0tsP
iDRaJjRULp8Sa5TcxN2xL9UG3i24BLsy39qee1g88L9QmJNRVCbM+6AnFz3gxfEKlFvbzhq6zrI3
/fMUpaNdTtFpozyFJk4cmer7KeQctXHUyykCgY64/hWJW/+cVT/YXfFQ0OUeddcGFCSBUlcIVejp
KQ8nEyNzgbm6duhh8h+JGFf8Bn7Pwzg8l13Q8Ian2boKVPjPzZ5dhaY9l3NzS74JHohIoXZiw4++
D5t7kW9t/myCR33vtXLV+G1wU5tfPRUxoLg083Wrqukm8D3r7Ck+Ev9m8gqF2zojk2edUVY5OFaL
FKQIYbP5Pl52JsB3D3EbvcrWr/E5y4z7ywmresAiaEKvu7A7DX8CP9pKIoueKoC1RuNzi5bLQy0O
Mm7UeSPjsjVYaXnv9dHSaN184wx6cq5mtjNJrMOVArEBKNn/mU3ohqjYrvi9MJ/JEuesK4m7Tuye
1ETnqLcUaLubDCcEcTtE1MWe4jcjm045hoI/m/RzWMTZj5Gb8MIymvglhT+7Sj3kvbB2C3ah7SiP
WF18akvFQWXAjzdqpDo3RT86n1IYaUo+Jk9BbCv/8ZUbHwkprgYD1XRMS7d17+948GQcTG3OqVC5
vUsaaFIOnQZLIQ1bdT3lroJvJ7Hrwe+ExpsZfb+G5CuFlP9KhzixGorpZcDX6Efv+fjuUvhfeGWz
amPb/z7V2mc/aMM3fWSFAn7ZPM8RJmNN1yQPteJaN303pvuwLeP9FBoZyX8gk8V/3AtJK374oUO3
NVSHH6AB/ZbF04cfemIZPSnRot6bsAbvoGo42w5U664NiuB+dC2xOtfaJ8Ujk4tGT/xVxbSuqsqO
vFgZr6iZKd/yDNqQ3oAn1A1FXaldUz3kdllvp8l1MeRxqgOcOhN0QzefR+6YiyjTSVXO5KvkmcKO
zQPu3D/mIgtR6rHclymwypXBR/yo6oNzo/dxf0syTof7FmUbu+msk59gDOYDiP3sOtqDlVlIt+nK
Y+/64U8vzb6GoWq9YjPmL+UpInT56weuxB57h3G6KWA7L6+WY4pe/UusEa5kcrAcV0YZgFsLuzNo
/u6yqkMQFeNQn8AoWnOtH30zqU82t/JdouKTKvvCcXLv05EsGF9l+RJS6QAiPfVf+Aweqh7c10Lz
nn0tcvidTJTRG7f/jtrwF7/id8J2Olq61Inu0cqPl2EWfb4uHoumB4CgJ5/lUlKuHf8M5QnYswI5
/5sgrJdFpfJb/PNVbCTQG8eigvyj8eq33jX7NrAwej00J7mNFC0Ev39ryT65qcyLeW2KkXJT+Wte
I7aYok/Ok30lrf/bvF9n+TVPngUqg7fzOmNc19E07R1NGfdlrqaLuSv1SyyADIu96l8HOe7alK9k
rE8R9Cavux0w2KmgHHC+Ih1TpDp6fX0ZN1XfXdWZdqoz5icH4tlNFIYNWQSa/ezlpwSVwWXozu1W
xloR4xJYeHpWPsoQ+aFyH5nNN9nqghgmgKqpNyjckQ4JsNMQmSt50GWySr5sKDHedOSJ2WCJPFc6
qwdVdst2p4XA1acmwktBJLiu55CvggR2HAJN0Y0J7WxHap10Iljggw3JaY/GuXVr1eGFD1j0STDt
2q5UN+WEfkHiGbg0OW25m4wCobHATQ9dXp5DE/+H1HCD83WEjGViBIDisxwvD9x3/vEcsVPck/V6
7qwo+moYzcqJR/MT9t/WZnBNa1vWWvJc+vlRDghxSFuMGkn7PHbQElTaaIXBbvi10toVNDXzUxbp
Nnsa1GNYfMCIDDp/Q8qtYBVJUzOD6JyBvXDrDAi6CHFXfB8hO2XszxHyHJNpFSvA5/V9rdpnMKOo
a2gRKcS4rR9j8DRLczTcr7hzkaJA+Ndt4BvD0ykxXxvfx5ZTaN2NbbaN0npcTg5rcjNtt0oRKD9K
0wQp6ldvrdeGqzG3pocGbsqOKmC11b0SpzwxaRCTWsht+EC2JxvAM19MkjwVSrZTc9v61Nupf5NY
Y7ipSTIinjh/nmbFQdvcLo+uYr7KMNQ4BUwj1g8YSz146bBMjco56rFiH9vCcm7LwvpeozwYI15R
g9dHS9R3Y3cXwkB7S3BK0VH/ysx5p2mgk1PMKd7UWv9epKXxqJR9Q76gJ+MlhiG/bq0MpB93MAsj
Judz0r/++2peMz9mUlxEaSyuTc+xdKRpPooG+paPT6GuxfvW6w2kHbRBOFGE6RpzMwRRKFut3XB0
v9mJnyxqs9Ff1BbCf6Al46PhhbDqDLPZ+3PPgSTGjTDifmzNFNuAmTKbnjXPZkeBEOX4fAnJpHl2
+rnfU39WF4loVg5Q3Noa4oWXB+1zq3bjPevuVznVzdv8sXCDg5ypmJZy9FsPBiUTOzV0z/nwvaWa
s2rC0FmVo1HANOHQzUG576OBxNe1rWcRvKZrW7HaO9VOhhpBi7DXlr1QveiiMXtsbT27gQmgLGTs
etCT+tZo45JaEmPl4bexmK7fV6nyhnuWt4jrCIpP1urhJkxif0HVUp1YVk7K6mIhhzC4sa+430pX
OCkLebUYkE15mKms7BXI5deQnPBhrBxm4a66ssZUVRZ+rbmPk2YcmkIr7lzWDgpmcTgkQUdw0U4R
bRuIwZr7xvQ+x/E7ZVspCf41HX/nIihK7UBOfiNPdpnD5nAZOMZ076mB9yg7UHmOFmqUG4CyTmYL
n0CV6ISBDG5rD6eLW52M5bBpVlaGZt9vwW4YoATbCpkDgWcQOAeg+5e515CMV76w9Y4d/T9UcuWO
5Pcdi8s6jgUsqsA6JeS/CTQNMOICo53ivZNlcKArksmkkDP2qWGFFmoenTpBFC8UYfecIx0XevPq
QnrGTp0Z/35dmh93UDArNfRfVY+KtooH7IeFZRxZVkmCDOUiR03vJiAO/FQ5yFfXZlZUwuiqJMUm
ernTdBvPLWvK6xN+CpDI72sssmXrenDt7phFIXbVYpQ8xFBWl3VM+TbKDDLNg2KX2xzO0SLqcU5J
Ko8Cbip06Op21LdeAlGzhKi5kVwr6YMqX10JVqap/jVEaPjL3t8OIjaExunfPzfx4XxYknsOCkk2
GU3NtViOfvzkmsYf4Rm11W1us/61uJdaa99Wh0MjYKLsToKFbLYZyFCjRobYsEmbtwIammOtvEjg
gq5qGPYLxNPCQxG3FOqNbO/mdXiQIQpwILhl286Uk5qM7jEsfe9m0vt8XVud8qKrE4oOWMnvZFNx
1GSRmBMscNGb4nNSem79VDXlfEJPe2uHrkI2VIXbUnBnlE03+qZi5bc1wzpdxg0ECRup6IcCWMbk
NNAlaqt/4iJbRmGnHOWAoC8bzF2qfi87oQGjhpu240b2zlqiwdDK0JXIlQUExeIVXp6/qSnubyRp
wvHtfNnF3MxlL3uH26hM61OQ5ObZzJ215FJwO8MsUiREcAM29iEEySV6FYr5jcLn93gocbrwMEWb
JCG/fo3T2j5JfpGBiMi69xH5rTpjZbdpKHDEL4Ft6GCh8vAxLAYWU5MRvBU5XJIJENwOYGL4pkD/
1/ssfm36SNuXta4t5XQyB+GyyOqIBVmXPoNB3eB3KDaGSrDtB5/LdQCQYg44IcxK5m+7aEhREEeL
+iJPpjXJmzuV2e0F64/kZ7SIbTde1IpX3kBOmQAVmEcVy9aTOgX6o9KOn2UYy7J+Y0YpvDDBM+4z
+2hEQcSilVFhN34exGQnM/uNPFcXTjc+SWf2WIJ91aTmUhFm46HwI9fblWnyY5INVLLTlTn09Y1s
Ks2UH4C5PieqjUfR2ClfhsFo73xhdd5p6tqyUdWep5jdsZB1qMqouLdj7YTQIVe/7yqrnnLtMRGK
EKpXyP3PvPOGHLpQU/Y304DjSeRO94ql5Oi1R6OJiu/w4s/W+CgPCraQj0Vib/FVcu8uw7LIACDf
htM6HfE/KozIigIW/9WLw353k/sYRWGva78NdfSj8OLkiLEKriJwXxbm2DhvpoqyZGDC2G6NtD27
UfOIk6DzFvka4ky13+2yMeqRY36Wp4niwrtRDHvcyGZg8Ol7mvvcAibbJ46JH8YEcy3kRrkgeeBp
ZIIrbzN4+bdLM2jLEM9JpGOKRRu02k7rQhh5aTjxiNa0J6PrvW3k+/MST1XtyW1C9aAX3ptsmaPX
nsPyWYkZKSNcdnc4YugPcrJlptYizav59jI8s2os9fqlSZF1rWIZfyoFVUKDhFKjWn+QIdUOxrtc
LZ5Ih6kIUidasJYTPLvCbtIxX4LJ6hdkDXiXII8eSn2mZpWi1yA7nCIwHibovg9qY/zeoYsZioIZ
1YcZ145anCoREg9NXK51rw67HUZQN2HiuJugjIv7olD/9ir+1Tvaac+HXdjJYQJ2vWQJT47fb15g
HuCwVenIISV1sCdnTwmMtCZfcKKxUyrD747yAzK3/yOkLtD3yfsco4CAT2UuYBFXm/ihNsyxXBXL
MPM6J2mTb/3U+LeDT3q4dSnnwKp3dopb23DAMFhthGlK64YIJtjj63WEWQb2UY38jyNqa+7X4ON/
1iO+RKE+YOJhmU676RqSIo42nUHsaQ8JpJdDZ9c4w3SW+tYEDXeerhwOE7uis+HPj0qfo7fu59Pa
xktmGw40vRXOOuObrhjxztWA88rJbL6O6KQH50EZHweQGJu0MTr4Rp59DjS+8sqxjO92epAfU9oA
VGOtYD1nXohH2DCyhwvVdk8xajWN07bm18P+jixoLw4NFmcYt1qPMuR1VbEChtvcyEwnILRpPzlo
YViD9s3xnHhtgh5cXPjHhbEdbWFuNsJNVjXSHQ65ye2Fquyjs4HEwNbyUAMEqI8y1C8rkEu7C0aB
1hXOIbhZwmgyhnTTtnPD3zPE8wtcS+APAial+CcNk9UnqQ6aG2e9m94bUX32h1o4o6l69bVsBqPC
schJ55eoK8qXPIO/Y3VGeIBZZ7zWBRJygfnS59Z4b/dIfcqwg9IKIlhJthmMYeSvDvEWMbjF2eU0
3We5pq+gucUr2TRFTL6Sh9acHofE83ZqGgkvHNEbupl/WwfR7SVWQ2nbWXCEt5pvaax+2UtHof7U
Uit46pQho0LgdRu1jSFd2QgEigENVuArB3b0XQFb5rGH0zuOMU9jperOQzZ0a3hqbJQ7f9xquhMJ
dcfhDvKJilddWxyrRsHOAF+kF+SDM57zGLXPgqAXNznmcsC/XDOLfwap8qIg2v1mpnG6zNKC1dc0
+oCmWDRESTmwHlSULTCV/klt4L0OSmKtZC96kTmO81GykL2JUnmnoCexJab24hA6xmMfUOFAI2rA
X5Ysbsdt65Ck1j7t6+Q0CXtgU4HYWjWoCcjmpcPF5VxOkDF50Gf0sqgB3cvWmOJC6GpDtKBuiZou
AAaS+UH1lGomOkQQTP1y1rdOXuBEKwimptb+KKxXLbT8s5vb3jpDIeiORJR/y8YBn+xas47gLeul
WRTN5zjv7vB/MX9q8GS6Ogu/DYD0F4oZmLdaZH+zlNY6O18Llrhn+doLhnQJ5D/bOaKrj8ZhF7UF
upqiWQ5qt1Q7ZURZBg+vwdH7ZVmyD70uguWC16w7nNlclGyDHH5zUEITx3v5/VVEbAByCsAgBlYr
X13H/dkbmbW5MMO+uXGqxty2qfJw9faRr6SPj7T1Qc3Q2NWOtQ0ybNOiugbDOdZwxhIj+6Pd+42z
bgze28NudfYOLlTTgzew64auHRzsZC6aVYQCza62nQNeIt80P65fR2t+Mlq1OBd83vuEhdvqIgzE
r0QduN3PrUYdNtPCFZaw8W4AhrAE1BJ4/AyK8LPZQZh9Hiv9y+z4bXtGKBtXJ6/LELKhem8EU7ud
S9dYYGkAer4zwGrhRGOgPkn3JVV7jUnzIDlHjpGncCNM0AJhRF7FNlB8gSr3KqrQhgWRwHCtcGvj
Qreq/czcZ+0qE15HpbijdeIG9qEpO66xcgTGmmv9rsHLHT3wQXn2AINLDSSrQey4j4zgdgBTdo37
ExLJ17gb5lv5kV3HexZSKA23ZjQmH6SQauAjnOFWw06GpKzqr/hIAXYnQzpiSBtV5JRQDotJPrQB
Bjx6ctQs/UsfT9Ubpn3puk6DepfIrFOzGVLsK1gTZ7euos6rUYxikxwvRlg/dY3uvlVrJeluLXns
0vgLmTCEXGs2F6oEto6tsdCysN9LvLzslU2+FOSfxeBrbyoGT2KuITD4sjn4dbv0+T6WcmEaNw1i
tElINUysU2fqLXu5MJXNQgV5bu8uAmcIx6aLIs+8fRqQjKsLBFCiCiEIlG2t/SwOsikPZV6Vi3by
5nUK3KBeXHvkQDklDXjkxllhsjI0SrVmz4Xh7KsF8uegeMrCAQ26sjOWjBKbAMPzYEZxDA02ME62
TTFcYBT6qIlvBQhoJUehnlKtyrh6xG0nG4+XpVKiusKea84PJWnyNdxF/QkAV7tQld771oXp0uZp
9tMAn6WW5vjWdthmjo0VHym7jzfQVjqMoosveCVbJMrxPABAhkXcdGerU/S1iqZhRbVCaJZHJZ4/
fw1oyrsoHuKvs9n8MUBPTuNsc1fxvByRiyJ/CpP+Qf4qVQMfgX+Iaz3yJPxuin2j80WJ8fJXrylN
twpdnjSF786NDqXMje4GZdiTfUZ+XhR8ZCVIhIy0gJ4vPaB+NWcBz0qsxru/KNF1WZcfRj9jC0Mt
9Suy3wtVoPkgJregArvi3CnKcAOTvNt5ZZBvpyCzYc9btY3lXquZ1m3p5r8/2fV02OSNqu+vD3v5
7E/YACFPXbzIuBEYfz32odLqSx7l6VqeKXfSihuwOS3k/cede5Z3OJaur5WjDzF5I7J/jZNNOfhj
jCUmujLwnQvAT7u5Ur6wEG0eLpoUmYhNhvuPsUHorVxFLeKqUG9849zn/HJ614u/tixUwbrZ361p
RCJnnL1zYLfJjZkIIqWtmw94BMxLyy13Vm8Zjxk4nlU+Ve0jHGieonaCxApat7dAeBS2pFPyoKQw
Ewq4IU+IADkoj0/t57bQj3UkltCa9b4myZtg35l9/LWb+M/CcHCexzl9GX0Tca4x7W4kRD5scaFo
cPa5kStD2ZS9cm14bUoAfRN774P/X3OvZ5ZvdJ0b/vlnyPflI3TvLwvPhqQh4L8GtR4BmwBagZul
qY/5AerYByTFBXIxktlZgsIeVxKV4YF92U9mu20axXqaNVJmVVceZ2uynhobtZjc9ca7TnTGM5I/
fTurW9lEy5ub9FiOaznY6wNzZ/ol+n9irjZk3iFtuYOLVhvn7in1x4WcKd9KWDQP8HPfvYdt58kT
2/nAYicvX7mp/aXszfTW6Ut2/ZZaK+ukUrylL7MAtpFMB8z1Nk2vWrfglqxlZjVw/8TKK3MMG9Ju
XhwUu4leBv6q3kUdhJScvUsTe3X59HjYH5tpsOEABdwMDcexb0Ofd0j0OT7nRRssB9eJ1kXplj2J
TEam3sG0kVUog/EGu4vkEfOTZoV1aP5Cla4QShfVN9SeNwMgFIgkXbRyAKF+L7wRzcVQT17jSglW
Fn61j6PThzeiaLEfNCPay3O6Pb7ejeI5d7mfwLG2yTqNbqfvtIpMDpX2+QwZoUKigwtGwyYz1Ivh
mHmzv7Rabe8g1XFvVji56XpZokFH7ku6uMmDZmKwKthgSlhWz15i7+o+yI+ShT6oiBTCsDpKpvmg
mZc+BLSrTdTC6UCpMlintpXt58DUj7Zt5AtZpKs99zv8Jf9kNEF56zgD1WS3Lb8oGn4OlP/UBoIO
qjpHo2i1yyWFogTrUNGUP3zZnCaVpnj8XpvykkIB0V2pYVttihjTbAG0lM6IVWQffQPZzKtPIs8m
GDhTeHdxZxRDRUiDWQTp13ufKEJyIinD8qHWoudOgeBn2/UQLvWmiG/Yk/3RjrhLLJSe6pkS3+TN
RP4tn95f/Ir8/kIpVC9myYwMgDkfSMHiRKODBFPU4F7+ufKvkSHywPeBXEP6GiNE8/o/ouVHwssN
POp+qJDNFfrAZDKdFQaW9roNEKafBw3bOT2dV6RkrOEy2RTQ0yau13PQD5d3lCcVoRpO+mXUr5Cc
eP2Awqhay1AovqZKUUG7VuOS7ZbxyiMCy0Oyg1vZRKTqmSye/ejj9AiBN93IMHYT0X6VQpl5aG1N
/LXJaQYYd5q4t24BA7nCgjM5yUOKsOuyg52zucaA3D9GYe4A+2VWHsbFgzaSBuEyAPwc6spypJBw
k1VjePawx31AP1WkyaBYyJxPV6RHGNb84Oey2WaCvypJrJ0zvseuNFcjrklOjVIosmGpYyiY/8wk
aClx1G9t/CjTUPWYWZdwNqb1G3xvGZajSea5MgWgQmeONO17I3jOXYmFsVo3eyVQsi/QZzxSZdOI
xFrDd8cu/FB6XnjrFVG2NSN7fqgctV+ZqMO+NAJC1SuWfa+ryU/4WOb9hCgfCTHfuZHNPvMxLggU
Rd3pg3s2J6p7skMeZt9MV2miPrmFNx+9OlmiYJ+w0UQvGjZq5d1edpDa4N30luVetozITgarSyaE
/cxGAme1xPG2Npa8C9mUBzud32NXyHqY1+8xCdkl543GfdKF21o1LfCJFP0rz4pP8uCr8QpxQPXh
0lIQzWpC8yhbWN8lp3YgRTsOqHZeY0aOfkzFZZBSFd1EcYs1rzhAX39/1UO6DyLrEJkgdxDJoFOH
NHfjehjhXMemXkR3X1IIyMWpLDMel+mQipWskDPL83S8i6EIlUINbWqMAXP6pvwSm1WwkxpmTVEy
Lgtzde1EIPNkMEkme9Nblbb1nCjemiWLFm1W67PbF/V5xLfdKNHUSdkunY2ILZhPsm4tOyvHR9lE
VdayU04CgBwtrcaIdnIEoo0GWshi9fLrlJnrv+gjeHZbvIEi3pSv566ocjjBeqQuHMQCVlXY1s6y
IkW+d5qga+8MJUz3bo7/K9VUovIgg3KSUZSQ7xw/T5ItSBJ1l6IXn8GCTKNNHWXtOjIxUp1Nao+J
5f8oM+vVMlWQpNZor5QyDu7bQEWJrHfIcLlKf3KzEKBhSz7DHsplJygf5uS86m1evFYV9EA5KTe3
NsnRyYCV1eCM9hiP1CLkQe247goVxU4iss9kV7nOUhRwXJIGvw3VkJL1i1q7v54iTANvHToDFDUx
1g8sQNJahmcQYOZz0SOIKRCgYzr+1vrVJ+Ggk25+ZxnEqr7j8mmSXn+CyzwjMz7FhxG7w9tZKZBK
M5XhaBVRt9SyOv+cafpdoQbaTxWUAsRM66sKG2wB7xigXJSmm7mKC+wo+m4fdIOxiTuAlGPthkvP
1IcvjVVufceen3GkeXV6t1sWNWsvcs/W2Szi+BbVXqT3RFMe2uToeop+ko3r+KBUzLMuxkca2QnZ
OxveudHV7ACaej03if9gCmU9qwAwoaUh5quiKcXzKuo3A4bYDzLkp4DMmjgLqWUIz9F/6K1E78Xf
Tpy9mXsq+UXzJSVtu6kTQKFZPX3ysln/jtfObUk2+60A2LJwgdAsDMqe29rp0R7M6+ck843HQKmS
pzrAH1SEG+zP94rfD0u7joxXN7T9Fbk+i8cBXGdqTRVLFSDIrxALyCpo9cCdNne30tjOSj8V5eC8
1kqu3XIxgeIUfnfVgLl81rrNA3dL8wgG+tW2yk94sL96ZjJ/KmwICfiNnDofWAW07O8Vtl2fvNHJ
8ImFZd0XYbNIM6PdzP19pof2Sd5dKfaisWLW+lY2MycIMSyYzcVghNa5KGzrzPh82FDTrg6Jzhr2
tunTbJU0TbzQUzC48p9US9gKCkCwG/kRlCREF1WXq/eWNagv0Xwvw1QxffSHmASFZ+PwAB2mjTff
saN+rPQezifCdPmjaVbTwmEbtE1h3kCacSG+izGCE7HEUMW6CKhHSmxDxlKHmysknQ/D3XfhO6A9
0MdydynM1HbNLwKcBYpa0dc5ViAzBUpxKj1KdZlJGUtmmIOF4ufB11Th6kV/XL8llVmf5MRAp97o
5Hm0a2q3Pp3I6FONEnUpgDTGFno+KFtZhTKrwVu0rKu2tjVbRyvcWJJnY5Yk0/z+cMnHlTQLcxoO
cjc72525Kud5gvWZFfgDcpCv2Cwny8iIjPU1VgGR/q3XcgoSP2LGtUMOlnMd0Ss75IECw/u4a+/1
zKod7oyeJEpUDJ9cveMK8mNM8AITGFVcx9G58avhLinNpVlr3ULJzPoCSM9m01wgtkh1QuDTndpF
r0/0ynuXbF575eD/w1zkN8GXXauoITf3LgWx5sodV4hyyXIAJr2R5VU5rnNdZTfgmSxbuCYluMw1
xzgXLkplnqHWPLvj8mKF7KqoiiTYfNWzZdznBWWftFNwhGoy5y+2iyS+jB0lPreg8q+Mlj/uxsKp
oe0UPVmaMU5eJJKpyeYW83Ywi7LpdQW/3rJ19xr6shfEU6NnGP+m7bTVtRrd7bZ8K/Ucbxj8jRa2
q5UnWVRGYt5YgNWBKihSeejh2xtvYKkre7lsdlFDKUVKfTqG3q1ybGOWUutTxnwh8ikPrngV2Wa8
bRzjOE2VT+rGQ0+5tB86P/PYsEH2ucarXq/6jQz66lhsEl9L5pdRLx66vPKRYsagwAi4P5a+dqez
FTi7NZ7A2LahumCalBQCxYLT4kcHyRaB1ZndOAIsJRkhVwZJ2VS34vq8s5wq35puHy0+JIhlDlnG
Ctf9RHUrvrnmlq9jx9YCUkjycgW2u38YQuc94e2zHH+o+TYu15vDEsna2HHnkBNA3N8q8aKqS/V5
Ssru2Nbq/zD2XstxI0207hMhAt7ctndsGlESpRuENJqB9x5Pfz5ka9gcnX/v2DcIVFYWSErdqMrM
lWuVz83QfhFzSUJ7Qy/EIe4m6PLU1sg+NW7QP3lFurOFZzgO4a4uJsdeaq3sd7wV97UdtRutI0qE
JNaxnONbBkHQ57qIOePwPo4yb0QlOTPg8mbYZrwKRzrMHzTKHjDbwueXFFX0UKrFutRG2n3VMgse
Pd1RrqU/fXaB8xzvJogQg0ffcfoNX9RhI24yKxPGMHPw1obPJpAdkCaLs7gMsBrJjxFfkBsBmVIu
BA3WqrNTi3ZDhrdlzTIulpkPxvdfUh6a89HrINixk9I9l7binOe0dc7Pcns3yvB/2f5wMS1b50sJ
u9d9wn1/9N32x/M4oY8HovpL1Dv+CmZh8zfV8S3jlKpmBiOCt5Wc0s12SzeJfxgZ5m3qZpTuHllD
vX4bLkTJtzX3jNX955DqnnYQeKurph81TjFDsKfhwH7hFUlXTll3f4FWI7PEudKGgkStZjTTfLhL
2yI3HqJGy8BOci6sqzL4SmvYQdFmC9hfmb5merwRyNOcpf6DyStoJcN6MrxDnJGLluFYtcm26j2C
mQUflffZRKInti9JHTqnAD3jbQA52lkurgqheOBkCeT6TAx2AI2IGG+3N6c0Je0vt844VWfIDH4v
v027nbbTxyLYsPmatET9Gzg5bZdsaBSadxImyUSnNy8NvdcXMYVJYAL9tdf3Re3AAUgeNJvhcwQU
5SK7YhCTxIA1LVsr5lLDuo87qVfJuEwLCmKI3VwJXjaSIA7rbtqL/Z4vFl/YJ7O1PPqP50tNzK1j
cuCU6/dkZjWih6rehbR7k+BILO04K94/Y11NTzdb40ClFyop7PhgEOQyWfM1XCR347qECiGVq2WN
yTrJvHY7LDwKNyMvNygVloueteuQFPRZRreFN0cd0dJec3/IKIgAhRhZH6zbnPTIQ4O07qoOXGub
2U4UbqPeHm1rY6owEv8XWCBggpwd/DSoNfRR1Og+uOS6UhwKS/sHmPO0R5bM39e8tL/AQnIKOif8
qULUsg71ariq/hhcjakf115SRT+pix9o/8+/FlkRk7PxnmzNDzkDQRSFjIv3ZCgRFZbBexXT1B/a
wktexeIk2RWAwPQoU4DBu1U/ZOpZJi2VqDpLUDGU2cay6x1CB/NWZrUGuZwKHsS1zFa8oC5IXYer
24ONI5CJ0nee53FUtqOdNRe6XBAxCsynsi/HM6Qt8BuBo72M7qJjLOO+4nH1UrhkO9wnSgJsBVVc
dS9jVyWqtQqjNKADJndnwPSzqkntHye3s77kcJOvFD7kAFkYxn13yAN1fFH4j/nMfxYnWMx1FE+P
zli8kSy0viRe4526GDSaTIZhlu7LqrW2Moy6rtwEkZoc3RAquSSOCRfVZJegHrMVTEoLN8gVPm3w
LeBVgqWlzw+nL3XbLRIcVXc2owa9SPrlP3TBL0OixDVAyvp8t9uh0NQts1UWJtsZ5DXn7H/XZr1V
Hg11PPcgw6neRN30+7Z3k4lC4dgegJEdZdTSqVwcbz6cUs+3NLYxd+MusIPm2XeTeN+WPQF8E5DM
vI9BRxhX3zPWylI5l/K5XDIjjU8Ire/vZXWxd6nlr8s+8DczCYfHFkyzORB7rSNUS0+BidZB0un+
s1xc3Te2RVOam+jdFqak4PumVg/iIhNtFZ7ifqZKv7jFcWEfuqz9G86qbdCZ6otclIDIGqHeDBCF
O2frSfH3I2W7q8z6leUdHS3pV/cVbQq4DP4DuIyrRHsZJppwh6LbxoEen6NY+yxnsnvL9YduazHy
Xro4Wdwc/vCzOsvdgveoVmrhkb7R3bHa1Eqqr++sygDwmOl05+0GtC4QOz1Wpuc+OouiRR2FxPmz
OaytZSg2mXXd8B9aBIvj3U7ijv6f2FuLA5st5Q11vMJkphGn5uU1V5r0NNRqSwjeJi92Au3yWHbz
T3UKN3kx+n972fTZ03LrcegnYy2BmxwMdaBlm9jsYQlQgZbeJ44h5dmnqfIuGoATElSedTDbwbyi
uuZtJjfvP6cUnFcjvG1/afCkAdyF8wT+xD1V9uZnp+hoeHfZ+Kp0EbLTNY2FZmw1iBWGMxyKHLti
mAsFaWuV/GvCh3VLJcBnAeU/tG1rEDwjFQJQ5sNR90s1P7mq0a1djaNXBxdzfkLCir12oIKujm8y
CNmhLkMTOasqI5UDe6XeAjJHfTYv+5bgIve7ddbGAJIW41jRYblR77f1UDhnuYiRPouDX0XKQUy3
p8ntbeHtNiAhpkfzgw3RZL368DArQ560G8N6oy9ZWAjc+nXATraVVKzY5C7KkA3Vx3HdSu72lrKt
07/0WIcr2uqGrTM20ze3C2DIDfO/2B+CdZm66RPov+T8PzxGJw3WejKmT0vT5dnXZ3utV21+HSFc
eKrrVGFTMwLQUwzloo5wDGmJ8aJHsXkziX3u/ZWueeSb3+0k3ccVHRLdQTyqIrnqySKXthDTj8mD
pQ7JjaBeLHJx09leVUqt7Ww+i94GAlljT+mmXM15PnqbNhu/34KeGJJwumJKTlgmd1IAUYL/Mbb7
yd/eDiQdIdwmaf3PE9vBbWtBlr7MNrddJvNgNh67X6GKGHcP4cFKUzlfAjU68tU1TpyPamMjcTrv
tKO62DRlDrTVPSug48ybyzjdg/1ZXJYV8pTIyCrjlkd4f/I97P/vk24/wlDoItX50UWZoWvPrq+D
zIFpL0yvxoDyIfRFzW3Xp8fppFa99SVEX2Wv9p2+9/o0+to7ybGbXNih9OrZ8G39GiXZ2y052Q/6
NTbiD6OcfXCiqncwvKCnx7eCizw2w2arIva5qnWb/oCkNKrLlD/ecA+jY639aOZYKTpoKe+L2xj5
KQSouvf5GybCsvTf/oKYoOGpePL1q2uYM+oBcpX4WMJlM8y9PVTer2LqunreUh7J+SeBejUCdApn
BQ248ovcbTIUyIXY0I2AC+sdo2G1trESm/wC97VO08G1JkqBMwpXpxYFuX2SRsNOYkSQ8d+z2QUA
zx/2EpTeczalYJRvyIxCJ8yugR5IP0JF2vNAI+DS0wdoTJs1/Qqq+HlYRmKalF+B6ysvMuAlDzZp
Lspb+0MaJuYmrLNkryy8LLXWX9w5Jn0Pb+aHDQKSReshRvNY9oH7xhF48MjZA2+xPyba5iWGUnVg
33kpzNR+Hl3zKXT66I0R6nj+RCql9aI3u7DYgPPGvSxMuF8zpOqi6K1SGu0StTp1smVNH7W0MUSB
epBZSvrsnDzZL19vdbTWGczkwWnekJRV9igva6+W0X8Dypb9xdfk+wBQ5HWmxfWAkNmM4kb3I19O
YJqfFquxJfqWA1lHFSZxNPMFEJjz2k0k+pdTm+XTtZ1E7jdZAz+bcRqcubmd2vQqDPdG67m3UxuZ
Neg/S7088voNOP519FrB/suHGoRBN3AuGANSmO2CVciiPLnC3/2lX0Z+CvmjnqRwUyn5cjaq9pFZ
hM8ymUINuyqKur7IMCEdvh6QWT3IgwxHGRb5MDrR8gL53RRUiLwOdY7bq2B00L56f7nSvKbuFJdq
0v0talRhfYn43weRZT7d7U7hUmNtrAcxyVu66Q1nwx5fPIRz9SOLc2MP7qB44BiUJMS8aG2MuvlV
PPxlwhcN+JFAccOpylmHffrDJzjY3ybEUS59QtgbxM5XqGJhD709QRYHYfEjdNKGlHAGnDnIaPbX
zSk/Vj5gdfCuS9Dmm/nzQJskcrVLnDia6XMNcofjPCV116Mo7VXuGZZzdOebRSP2dgtgoNwq48iK
LijguePSiYTs3WfSkWJ2IvYut0/PtavOj+jEeHsvy7JD0aT1q+dMP6C7y/4KjfmtnlrUjUHdL8CB
Dw5CU1OV45ufpvnL4GXJNndMBDWWi9xN9HTy1tOi8IGOwnjK+gvNVQHqA7+oH5CJzsc3LVeqreuD
FzU1Pj+FUyYbRUv1Hx6dAWWpxb9QZgfh6ZXaM8mB5GgXKlTsuVKSSVD+0b3Of4p8kIWeE3wJYDL9
BOQ4vVgtpO9qrMNCTNSaIIfZQJnJ+2uwxhOFwKvYoJ1Cafb94nTDJeoq5EjfTeLWekqz8QpIvWXC
gKaHZoq9bXYVIlN58lca/ehRmvilVcu3bPTjT4pGjSJAVuOoUf54QnUC1jAXnHVl9w+obJWf6Lg/
estLI0fg5ajDILCRIWn3GmZHXz/LsOp/xHE/fcnhOHjwuaUHjUU0GaB4gljOXryggvtqG732FCY2
Bwhn/urHZU/RRulgyuGOikN/u4P44eugusZO7Jaw499dPFSHypVSTP05C4fk3EVoHwZZeaiEsBr2
NmtFh/h/xjlphU3UAz3uBpM2/97TVoLpDI1wPlvWgoZf4KH3ocBDxVlmqywwOOdEn6W/PUYYIea4
RkhLU3kyTP3RL8i9y6Rcwn89ZGTCxna0DfW3R5i23SEZY+BHwfzTTarh7NhW86KEvXlVI2vfqWn7
IiagAPWuKu12c7cti8rO3vTNV32RG+jN7hspnPSJxn77NWtypOqRHUiVHAJRBHHWSmsaX00657Z6
ONIhGWrOPi7GZsc3s4BJpg13mgrf3U3CL6BdA62RxbpkJkAg4ySC0HIX02dgIwWyr2PU3EYIS79A
/zPvUfQdtjIslldylVntUYZ2Bd4BFrfpenN2p1VINvyVrofoZeqUk+b3wdeaCOTC68taef580Kr+
L99IFDQ96H/sJk/dKIXn76XhsVciWLVkuLRDynCcNWM16ypKcOeySl/uBy65g9Ac1ZPBmndygDNF
q/A+E5E6oDZOMSetw3zXFbl2rrLNPAfDD9v3xy1vlfZUxDCQeGn0jxzWTAMKZDUK3GfEaqMzYmDx
Nu85qNcojrhkHdRY/dJZmXZVEHmlZuYZX21K8vvBzanbCWimTCCcmwb/IkMW2X3p7iK/oVVgiciU
UDGuMexHMroHaf6idlxYHJlutqWwFmsjXSNUEH3olI92YLGXC7hjSDYm4g235gDbU/K1bgfhsat+
lPDF7UvkkR4UtfZnVIG4JV/ervu6T7ddYigPYtMLA9WYkrrfAY6Br7+Hi/fdR3GSrZ11wxnJzGDn
OkFPu1qHIJJXkumUW5UUFjBsLv0y879sQ0fFITWnlz98S3mKGP3sUla1CzQfvXCEJiiLTCrZ9SxO
LraOcmGsn5AopgPSqlBc6x3rEutJ/lTmw6rKh+kqo1RMSqFvbasMNmJrvWnJIvVshR1526IJqvMo
idr7WIxJMPM3ye3NKaqNNW+XFhg8awKNlp8VyMLfzxBjleyqbBofy85RVmXRZB8qqLqeVBdKMicJ
yyUOJ5E2QMbueCvZ7BH9zNGKvNw3bzHfh13Q5ZsArqr1feK234cQL/0LbvbMPNp2lTr+CSiPFiD6
/XIDnd9Q5oI/T+qSD8SyEKyvmVM368N4mxJgO8XKGawJqr4k2n48sMqptU/AQdapG21leL84cJAo
Tu+fVRgHnFWW5NZJLeOXOUzqBwSJiHXVcYlwxydPa39pk+Me7zoyrYLuR+rAtStuYPSnp6QxHWRR
fq+cB7s/msC8vL1WuMm3wC5IGM5RsU0CjjGOH37NM1fbAyGw9/7gmF8UPz0JcjHjALYG9IAQjz0m
12lEWEsISdQkOXLwnbdKGCd7N+7bc2fM6rqdnPEtbDjo0pQ3nAdF798Qa7CU4hVNjn2pR8OTN9L/
urTWJgqZ1XwANyz9uLOnPQ1FXrwsulxs1enM+xDS1y+K1/6EkKzdw3pQ70Vc4GLa3fDdXox61dR7
ERb4JsZsRHqn8umv1QarfaAjWqFTDqwD1EgNh18APuHY1p/tVt3dQA+Qwe8HNTJuwyovzk5Xx5/o
v7nVEDKiHji3zJNUDGK78p+d6728MDZmf+KIEYObZhde03mAnmvh1lvxbwxzRJNepKwiKkCIWdin
mYTvvUAqd/d4UAqpMqyWFE8Ip6lgxO4/UucjtwFcpIJqpvIhEws+zF+AYmIiza89WkG4uS8SiJk8
qEdZYaML0DVxiYmqcGiSL0hrBy+0fNz27nCedjF4wUfZtuvK6PZOEHjr256+bPbx/8FDTgLVWKQX
Dg2XG9w4R5+79KanbtLTlynJnsVsU0Hat4jU7YYCzoule30jBB7TQrRNq4vRIY3Tx4BKxDIvxCZK
g9aF2DI279zV1IckGL8ES7Om60fRNq8y/agC3Xzr+oe5o9WzVsLuUMJFvJNhYfWXKsmjV31CzMzL
LLqYl9UdaGB6XtT62nGKelmeWobf8rrNkETnFb0rlbo8tIHD+ZJuv73oNXZOr0JuCj2VDM2xKJ/1
Fo2e0qF3G5jRi4uIx1XUHFurPQ/STAJfqIGkCxomtueOxyImSLR0tt5Un9JttQzh55jOehfXK5nV
KjV+KQnOZFIudQytDpH7o4z4IICnhThLnw3t0rXpdE4d37i6VUnKLazovirif8Rk6TNoBFsmrOwb
6qfhcULXB30H5TUIoqL6TB93tfb3ZVdO3wFfV/uhM7u9kRjdd38fsIt+p5ZV7WcVujuxktAK+r9n
iK3t0vGaXdFGzjPdvJDB+nXwFKdFebCiAlihyj9/R6xxgdmJI/yYBLumUekXXCZ6uxkucgfggJ4D
Gd9uK7s+pY4eH219CGCaX1bf18BqYWSLQsEQxs6z2hm/BFHjJH6+ct0AUjK3zs+8Z4OtYHAsd2e4
Q/ED8LS2jS2jODUASE+9Bc82vOHQ+S4AcihgV21U1T/HVh9pVEr9x8kczaOP9Meerhnjk/iW3dXv
0JD0VQs1gyRzL1pmI9GZDWukO8aLBW/FxVgu9gy3865x/XYFtA9oTmuFzTX1UH/TQo43vdWPPRwW
NKapHpp1ypzqF87sNpQLCkgApzlzwEeoSyaMcmrO1nLxa+MUkZ/cRz7Zr7Xr1/G5UGbNRe6MW8sP
W7gw66Q+ND0MreionslRQ24jt5aXdmxec90eKYV+yN4bmtOdJ01f3dL4yaKTGGolGX25fZ++ayRS
kyeMlHFKz2IWzFCQeWZ4AA7xlhlWhZDJvxei3GZcyXjyKNumPRUbq//ogrhzfVtRtVO2dmPOlh+W
3Z9FD1a2y6gjdE4Kf1sMIBgSOIDgRoUgqZkURwHZdJJZTr0sP4ijGP0FPnyD6CzequrmR2PJVMus
XIahyw819DErmdBD61gD9D5Nqtpfh+XiBkZMRr30tikEHtf7hNz5YXFKGqJVmQxDBUnDxa1VFfts
KXAwLCOxi78MO409ag4goZKhTLhVyNcypM2vBvH2SI//F/QlYNpr6vBRLmLPLZqjS/SDwMr9d0JV
i4OVlMgcLxPiLHdGXGZXK7/maLaZt0mxO1N+oN8TccLUOPyRx5UQIu3Ut5SKxEFGcrnHHF0wvSGD
5+7HkgzCq+lF2fqWSUEf9tltnGQTzFZ0VZIyuCSuX25Jic1vfM1PbuNHv7SOkAmwaPFKERVhw7iJ
EQWY9OfOG/WVuEACShZGm3/I00jE1ut29ot9ETjaBvYl5bM2xyiPN138qwqtNa3RVGhaYFTo3Ro/
zAwQfGUbyic4J5AdKOqJhIhqHJXRY2ssjewxVYt5gS8eg5DzXpxr7llaQtpJoILRx2Hn1sBQllhN
nGnj+zica21cVanVn6DG0taBRZ8YsnFr6VYBeEh8Y3Xhq+0H0T4ABnPi9RCd9IDq4jRmlIO67mzZ
CNQay0XuXK3PzulMkJ8nw7Xq+t92maw7I93VKrULGd5nZX2gwRvQUIve3WfvT3n/gTXhZse5/JNt
IzHTOG13RAMj+FbXsFgkw9eMbfzsd429FrPFu4IzhFc/0BFsvQI32VsLBYw3okgDEBxU17LaTaNX
pVXDl6aC68J00E91FjergCzBncJHyYdIcuOeGfl/sIlLrs/K0SltGI1JpdzyJEP3HM6xRiWNNhKr
4QNdjCcqOpy57ZgzI2eAdPdHMlkv3HWSdtrD3Z6nkOwt1Uk5wQeWsqN4V53mJO6qjZvUzqEI3Yc+
SQGZ049KX1S99EXlHXyKVlqOu5unbtlw2I1QYMCWOT1VdvtMMqc9S2uXXPI8T7Y62r2be88XNeTs
YiLaIYtujV4FS81lqdjuSzXEHTZxwjuA+Oz3Mpm9+y0/tVXLQwnlzFl66ko/hJo2TsoHGdbvQ2k8
Srzk96wMP8wuPcOipnNfK85qZhcP0qV0d060stvO6sRft2gDuxyJlT7ceosAsLX5MAj36DYhDO7G
lOhIPBC+J6Z2vl/mJtQ/DvktQAi8+2QFKSPk3/+aZUKd+2iTN5VDQ6BKjeI51Ef/ZNLBvIEHZPoe
B8OD2kE03cR1vZdQ9Y/IVYLfcEEyyaxc7CZLt23rwbr2PtFLqHwfi6MsbmsDihjQthBVQjpQLzpr
yNb5B4KIZxmJXUTXZHj36I32eRrBPKzuE+KnzLp/6K3x+YNgm7hUE4KtYeocyQa9ClrdXnDrbHd8
MZqkJRHHkIwt8rNO9SojuUDNSGlkRihbVrVFGz4sz7h7yDPgBfn9DPFYnnH/Kfdn3H/K8gyaU5zz
VJp/q7kWvHqp+9kGBPGAKlz4GlU02E/9XO1kMgIre0YmBF2kZVZsCkjNgtrGi5g8otz1nEbzsV88
atjvyJgBy5XZKiyap2oRPXxfTm/IvrFoD1y6tNNq61t5+A80EdSdkDD/osaaSZG6Va+FMpWEXd4E
yKicH/kyUon1Mu1rPM/fPFKGJxMqkOpnE9BkmFLtNpyvbmGS3nL96XtlUMWfpwSVdThP2zmGTWwe
oOrB7ig+9rQpzyq0IHyk4QzQDD/fCSYsjen7NDQN5VzBmJEH+89Y5l178NaCLTPz4CU0nXgDmmW0
Vn6VjaepDJ5Nv+CL00c9r7jSf+JvUD8PTkqkXNvGOm3q6KftWbz3e/urgpTqPh264pDFVviFSPZB
HFrA/WsiYeTHkNxBuCc4Oi0dKi7/TQ9diEAZ5FjONnW9+osbz1+HqXV+dYZ9jM2i+eYo3bTxF1fN
zubz1PkfXIUr9L+ubJnRqSP3UfChvLhFW25Vv9TeBpogEq2Nf7mOEdB13OWvkM8Ne9efoyNdRuYz
CB2YkBaXMnFXaeiMP/LZSjn+DOGVg2BIruitMfN8TR0HsJ7VF9+VJvTOkHWPL5nqlg9hpTxa7Pwv
YlKQY9iUjh3t/l2Qb4HgqY8yC3IRapkC+HnRqzkR3GgpK6qvxkGmTcPOiT9+3JYqnhaCrEKmRiaD
Fk6Vhhr1Dpb96NDNegaqQIsfm7rnnZCkvXppGxi0FxviD715m1Y9dCArL0fGuIkU3oV8hEOjN/c9
pKK/faJMVTntVXyk7gvlxyg91BwKQjshxHQXV1VpFybDdLSnBNryQSMuX7JLSWuWmyq3h63iL6jD
XOW86gIv96sgf/RLBARjr2ifYHwK+bp4HYpPDCe6mZ4gydH3sLoCvpbh+0SC1rVCLw1KnovbYg/U
CF7ajM6T2HVpSFT5AF1yxzrJk25+fQO6scldwPV956W7anL9k6bO/qmDFYou+GUMb/rDkNYNp5N3
W2RUvx3FW/w+TFdUDpWtTN0vhW+o1tprknz5AqX05ESc7MvEUVG+1i33ZAd6n1xCOsl8PuR7XvZI
z5PCIBHBRr+e9BiArmI4D3IXabYPC9P86W5PzYG+85A3xkOLSvEqS7Nxbye5MW/ixahp022JjD5M
DIobrizPH/YyI08cOiIhu6COTfIshhhlnRVjh/57OD7cLGluDLcxEI/c6R6mZS4Vb5mTSw+EkTlZ
d7e6c1cSL3rb1k0hPFUsiqxIxb+0ShVADLQzCjqSAM5BH+wHSkSX8jJW1P5TWY/2Ii+jvqgwDJ2L
0fnRhBB/rAk0JnCjTbuPh41kciR/g16ouzdQZVpJ0qcUPTUYQR6ntmvP4tIuuR+ra919lofqBzpX
ecri25bpb1+a2M/8Ld7D2CYNCmB2cpJfRrcG7Uol5xg3vvoipsGi44xdx6S7kF93gCPlxUSSKrFL
pDgXU+AAKHGBtK7uqyjD/tWYv/J2poCjp/5z3YRvXjup30hu+BtrsGExm7riLYs/F32gfesbjXdq
Q3MSopPaN5IckC2m1Ws+lvNFi4x2Lat9o6BOQq/cNU+7x9GFjWFY3dBy5Gr5YAaOeyKEVlba0ttC
G+Xvoegs3ocye3cWUUYnQgMxrWeaMcvZ2Gdpq1Ka7kB80zv2QzGbLTuh/7cST5Cbz/lbGQSQhgwp
1bekt44jLCnrYgYoMROrnPrRqh+ihD7joLecVzstmlWie/EvKANWjlmY/8Sx9uQMSvUt1zxtXSFz
RUOVo+4dD258x2rox3eC7sTOpxyD1Gz/vEvA6536OlCO/3c/jkvFboBmCrVurX6GBZnuvp+jgDpb
P10GYVmOD5z3DU78QWMZkFfBVAzm63Qret2uTeteOiSPP+CZrPfuJy3xL+Wy4h7Q3vBQy0TKjrPz
Um/53/LL8DN9i7tQD6x/0hBBVSrcPyy4ide91VUvbRHZOzW0mjPNsvklr5Rsp5Hb+jT7rrVSTTJM
y3IH7POWilO+U22aPn6hqv5io0dRzJ51tHN/oqGPYQrB5SqlEHDldFdDq73gi5cq2f2iDd2noHUA
3y/2MjX9XeaZ7toJQHlYQPluh/L7UI77MqySMHoQ2oH78MMsRegHOf3LbF+o//zuhW0chXq3k3n+
NndN7+SktLEc5DZdxsM0wkEht34Wu7+9AnhzTklJsBQb8/OAGElO0za2wQr9E6ANe1cMwydnmCFv
WC7mmHDIl1vVdH8b79NiGxTjm162OkIe/y5r7YgufTNAbLHmVHKCBwTdUm9uz2PS2o+VktICPlrZ
X5FDkKBW5tVz9J/AcLVH11SggHRpOrNpTrQBs2IcBkK3ILHdXT2W+qPY5GLNwdW1icmtquR7U4+K
frXtZ/Fq311hIqZx2Jy/31fLZGs5lBcr+6XoahKk/8K+khYNlTxpLze4mQwXjwxZ57aA/IY+LRCg
y0WizVvg6ac5hbQ+3ont7pKXVMZW9zHU0PR70cmzFccKEmxKxJMHJZgPLtJNC/Okq3QaunmRbYfE
r6GVT+LtXa0a7Ij32M/zKS9z5QyvEA05MYp9B1MLTNosef3+naHgNAiGO/TLsloNC3xbLh/GH25l
yin04jQutE8jsB1vGDaF6cc/Fx2JXgGaYrngKZE+qOhKTZojgsj5ftR07dXs+1/i4Th0BEEW/5aD
SNnmZaGT+cy7q6NpylrTOeorlgIwzUnzNT1u5YXm9vqrnSwKT3RoGYN2ijP+JWT4//eKaCN4gyr1
t1e0UMmKF3W56gLmWJ4lZn+wtBNqIyGE+jz67lV1TyltbMckGuIXBYAVUgda+NPNAeDYVNc5o0bz
CQaRdtsnrfWj/qwGSfTTMBLogXXDPZnzpo6I9mm/pS3OiTv69ZbOO7lESktjdqp427uNHBsdeou3
2KDoBZcojnGf+lu/SJz9WPif/4/c5nmvAvX26T+885rLHUSuwcONIT2q4IwRn3hBFXVDUJ8NaNMh
d0qNAZgQ+elw5yz5aWDm5KdNyVKLIZQ0dlSCY0do0tkgQAvHvWSskyV5fVvg6BottbGuA6Oucv0C
ieBe6Tv1oNX6BKR2SZdDEEWOvAN1BldSDUdjbdkHuss434zTGxtRfJxhl9wGKgSFXpWgFdbm6RU+
2PE6Nh45CqPfhwP098IZIpQgd9udq6S1/N9+4iLOdz+xibPYJoIEsn8LWOzuc3/+/VnxgIxhmbU6
xUT4i6QxTHrI5kSLN21Oi7YMZeLWPFbpqvoQ/by7mpWfrUYryHbdRLhL21dsn12EOFa+YrVbG4jw
WWxyJxcVvaxmJ7dGpPH1u7sHel7UK5nSvDDtFkq1vzmmVLtwqZzLJZFKudxCQsfyaeF0A/H5yqZR
ofmK4wefuvHxuS+XO1kid+/rbksIAn7/GCcb/ypGtg6iQD6/8lGGFMs5LfgD+YiL6Tbr3FC3ywef
DgrnlNH4dPvc3+b5YjVk4dGrcYy2Ofc9CYCPt6NtPJeRl+91OIPO4mOEWaFf5FYL7ewUjNHMYWNy
ao9/lTBrVnWvh5chamHXeb9zOQcrtNId/7DHsuLud18be3xuq2FJJb4/5e6nBOQcoWP5D1lFPkMF
spBXqGnTRbtYcbyd3igvxTuhxQeuC/iicCcQHNe97JAh34jNnx06HQJRZ3Lft94cadBJBHjZaehl
DABet2J0kaPY/mZvp3W9XDcKbQZt0OcHKVTCVmjtQwNtEhkOxZQ+kIj8ac1Z/xqUfvxKTChTclEq
7as3zOaDjORZka+8qq5mbLs+Vr7aVbGOQZp/p2s63o2ThX4neEyEKPQ9zabWKlqCzjCewfTGRKO8
tNSr2PolJFVAQmxQRB62kUSj8xKNZkSjCYS9qJQvwW7ZaR3gWbxl3fT+aI8dHEkC66iPmvkoF/4A
e1X2PR+UxeZolfk4t4H16Pnm1vQqOAjefVNoNs6tOZ7vJrkzUlJgTt8h+bz4ApEpEc6y+g1deEAk
QXzpa3jgpg2cPOODXNo4sC55qfVExHq0Ejp4qtT9wQCYTEYAWbo+07JNbI/TUYax6X0duyx4ipy4
+aIUp3BRp6vdrAN551TRd9uNyDVmcDNPCcXc3ujBtHsdJzWzddhvuUx1/M8QpcZJRmIvJ2+d5C5R
3LIINkDnSsZh21hWi56YTvdKqBXQmi3LZQE143EX6dAuygq37SlaJqFF6J/2YXWsc/jBVug9I5a+
XG5jg35yS6GDHEhlnm5k5nabzGHBCbsyd1YV/koQliRIWWwRTjuzzHV2LbglAAEs2Vdhew10q9o0
MeRpd9td7UD4YcWlWlxmO+Mz5o4vIdmzU+zShSqU3uASP4NTST8FxRxeMkQMoXKEn/vdnjrQbP0P
Oyxb4SVsk+v/R9l5LMmtLGn6VdruemADLcamZ5E6SytWkdzAyCIPtNZ4+vngqMPkYfdcs9mACI8I
MKsKCUS4/6IcA1TVHMi6navvRQz2IhDbSGVV2qbna7ip8d5TQMAHx8tIme2zCN9BHnDJBanspYWT
6YGb1NutmfO9YSYYW9HogW1AxSI1v0tMdHp6EfmpfbC95qTf2HWl7+JyMq+wEXgvAq/8FlrlehL/
ffKraznBC6z6JhHdyr9aztfSH27bBaGY1nX7sLQEzZj/o/WrL4OeufX5PZ1XoIKRj38pqOPjQ7oo
exUxarRTbH4WLEPk2nhs5idRW4x1JBeB1nT1wiD3U8D6v8QV/w7LGBktA0j3y+hxGMif/tcLyMhm
BJ/gFPlfdTKzcjWhILpmmZ7UvsSFQ5umazkzjYDedQxuE6mylXCTJ+apGBToKgzXmUymJMVtFbu9
jwv+NlEGXQ6Xq0sMgh1ipNnnyW/rqwg10J0U09pIB2RYIaHd4dH4rKvlrcTDMVPACCUhtwg1N9Nw
bhofIXx2//1dbY/U8Zd4EvT1zpir9gqhZOXzDwkaIZ+YIvcRZfgY4iILW9bSWFlY7EMWUMtboX+S
cD5BCUmgP68/r3zQ9QeT0/XXcvlB1l+NhnD/1jH4gWRQjzLTXquafJMN0dBu5sGsb4y4cbWD4VWf
lKlWj24YNTdpye7ERjmfdf4BFRTrGXdktM4Nz9mAnrHOuHSbz1MNQT137HIrvW0EwaEr9yT0ba/e
IkiFAPjNhMD4jWb55tb3G2tbGyqqwb86Ls00D+Zmg7PKfHIC7SrAz9jelvkUXP+7UxfRfNDMQ1xs
wPnPV3O3l5C9xOVMLiFnlY7wKRqdSAPNaHJ/8F+a6ACCTrmRSqNUICOjt89oiX81zYEtlnT0hovs
ZFAa+zVYJPGDWbYY2oLGrXYo9G7yeJdn+DTNSGGYmxDh5vt4Hr/zowfnZkzT+2o5WHyV7jW1Rk/B
Wiznl6bTWmC1C3xM9glgPgoVDjXgKTZwBTb99z8mU1awweSg95gA4N9Ir1ymGr2tfAIJkbI5o2eh
3hieHl4bhb3YWGgP/Vho/sb1zV2n+OFdK800n9NtmZTpsch89cFEBPEBCSkLLCM7v36ZJ5PT3PXv
kNP5CMncsmy/pc5QXskwObjkP/bwSLTdJUY9df0UoGQWzpT3OjY1Wr2ekR/jpWpTo5uQll8liuHK
r6hh68XXREXXV6JdGS1jZ71XHrEyrzdNgcBLMw7617Kvb1snAMtQINyPm2z2s49AIYBC9V/zTi93
cewq95Hde3jddfVVWKvOjaPX4C5wHniWK5kNK8q0T6smAjELkjpcSiYJNjUHU3HTF7Y36WINY/1o
i3mbd7P1bVBYKXhZPN43i+huFPff25GNYm3rKKKaNig+Iyof06JD/ChC4WopCOK6grTbMkKav0ZI
SyYNiaHumjx6aDBFWR8NpeK/mu2cPfL1Gx6jJFwfDXqLN0IdqdZBNspjab+aWZU/RsBD/xiFcpWF
+xHuC1mcshpbnuVhFjxpSd6g1UJLQsbyWKd48tT1fv1bPOtRwGoGzAaGxVRwmgJ72A12N96iLzze
ehkarnlkk/BEcXKPy9AYYrDnPHaBUaz7k8sG5LcNSZxZuCbJZmQ9zZLFrIWy9sbDOX4zwX1/qF3y
dioEur3IiJpJTwaZd+2iM2rWXYJIQjgfcVAd97mhWadh0eqOx2/aOBpvkTsbV3avFQCg8JMLbd4h
btKWFBA15zEyAfgsfnJtYoESGJQXwwZfYZAnekz0RcnHJQWoZYH/qPIjr7qnKQpF/vwD0YWPkbGX
foxEWQj4qknWUTAnOFS4rfqjmXc66YbblfewUhy018Fu8lu81GBGCBNi5T9or6Ef5big4JCH6N6t
YApU82tcONW9y17C35RuxXuC9dZxhSgoXWCBt1rydqtWbRwrR+Q+QWF4dnoj7CXw+LhTkbx4isxU
O2f2MB9glGVvJGtu7NJizylOXagakBcsircMQvENhA71iRuhuOkL5y0QQjxmLNYWeYTmKL22pc5P
P+RUDiRsKxBUibPtm4TSRaJWb6RpYELWyk1sArjYJMOcb3HtmfeekhR3vdc520HtF2ENar05iZwH
2I7hnWaY0VbWfkk7f3ToVDvuBtbOW7M2I0xhFz3ZokJ9P/e1Zyo15QYZaudHO5D0L9L2uwKDbttH
GRXIIDTPhTYXx4i13g5W5rzT8mG4NtWx3MnjxUyqRz0wnGeJt+xvSPpQcP4VB2N5i7JY/e6aaf5W
Fr2Sn1uHIpWjtvktYGmE0xY5PzJx+e1YgwOTskE/bSyEY+4AivjXCstbwXH9CfdaOgMX1vlChLkg
vaLBK69QlMhQuNoPC7dKbSjJGrlXYoSax6exTO1TYzTwgpGeQ0OGWs9z7ZfIew2jdue4tn1bGpRG
lRbyL0aMR6srujfsLPpjjQbScu80r44BpLWY8wdwB8Omn9JiB7fdBKpua29a9d7MKlp1XmOdsmCc
qOLRNNBUImHsPhaLiFTt99VGGyPA4MvsJkKYyIIK80HajSChQFHpTmuWVbXyj/ZK+uXx/dH+bbxu
qN1JzwZjO7blhCBkDBYDSPqu19Gec7oiOCRObR8mDDdfjVijDMGb+Cy95BgSlNtz61Z6ndg8GX1S
PmWDYyO0fZJBkK6cB62q7qVl2NEEpjqk6rdcP+trcqwp2rs5vIjOcjpsG7zsWX0HoNo/98vBzJG3
1NGpOkqzr90ZZHbxVVoyxW2iN8dUA1zUGA+EqT/GyCzuosIzTrh/UQVd6nCVUUCfSMJqK/U6iUkd
bvBsIAtoxF/iihJqhyUFutoyyljpzROAt8tYCeWpD+a2mtj88zvfgpz/VOXjhDEreAY8huO1aUd4
QlE5GEHk5/6dVTavUoKgQunfuUr5KuUKN/Q86ZNqhbWMdBgp6KP/Zt5yFRnpFxBXLepjh0jNjrJ8
lEWjr6BY79hhfCPLzNAPg6OXj+NOelmVpg+z8TboWAovQspyKJG1vvW14XhJ+Nno8UlozffhBeFh
Zd4f/dpDwSYp0lOqF2/+wkxLQ3M49e0Yg4KEt2aFQMibUKvJfNKEILs3m6h/yc2of7CwlKiiLyx+
/J/u8DMBuvEjU3BbCmerfMYOzzhE4Niv2QCh9BZYi3NF2rz6dvnuxdO8cwO72SILXgBfxb011jX7
6IjoDPjxf7SlP136u1TnK1xBF/mb/jrXfbERQl4Vds0THio8fcrpVkK1UiCvGOvPQuCTQ7BUXklD
ogu78PzWw//npDKk2DgKG1cN771i5uNksbOPm849u6J3oHduu/tg6PaAuA9O7LG7K9oK4MqkfLLg
UEv+13Zt84yqzrRrJtYsmDFE82sdgg5MSQztRP5E5OlW4b1+2lGjxW3ZNqwjTPpn2yyc22gR6JIz
eFPObVvx8A/Ldtr/0SFDBuos+Dc5O2nlGS516YhISDqZ9j5Enm0vBArxF/bMA4IjDQgf+BZaqZ0a
yoVXGoZp0+YCERtz/+wFZXQloK9ZeuVUoGSkAQD3j//oXa+w9Mg8udTgxOrexPaV1b7DS0pVwPI7
VZ/pN0b/PvJyR0SezCcrCxbzhpwuidJWK5ACZJPRANrUNk0APTzrJ3233kzSHj1D3xUAuNXjpX+9
mYakv1sFL7LRg3uiIeQR9K1yHc+aeugSM3hS8R6Fi2s0XwbDfYpFNZrfX1JY6l++039RkSb+nIY5
/O46Ch5T7POO4+AMp9HS3+exe24FSdXYDeYiNNfvoRXr1nWnD89RqWznVl91BFY86Mjva8Pfkmer
7LNcJY7ucK5dN1xrLE2wbGG1UyMwbgC+DJqXYRzVt27H89N4o1in45mRd0BKPOMNE1z1EBmNcZDe
2sVmywwtYCNWB0bbLNFU6LwI5TgTu4HFbtrUpvDabnGOlb++xPo6jjeGDUxemobqfAyRphzkKkeg
xMNJm9VEPdah/XX2xuID9cpPopH/SrZVko27KkXICo3qNjgKCVwOl55LTM4GoYjLqdZhkIDYMTSm
SLvSB+cch3CxHNf4qSvqTVLZwY88AQIDgxOkWfK9TxX9q13laAz0efKlDqDCzy2oMa0BagRjLH4N
fKT8RhLbL0Ope1u7S6Fq6iw30pQd1RzyWMzK8U7zrOyOAhjl1zowv6W9e0yzBc0HET/qavVb77Eu
17PGfgK4NB4qPvB1MfGMt2tKwmJ51ipdclb08SR6ZBKSQ7a4B11M0daxi5mQjBtMIzv3aXISTTMJ
Vcr0Gg5uD3Wm658nqLJdgu20t1g7QnhK9n7ogxJYmjDK4/s07K98yggIb4GappSskDvN7P4ZPb/6
7GtLUXm5UkkWhH2isbh8AHnVfgFdL5DXoHL0ahODwTuYbv7lAnuVs9/GJdxXLeIb8ysZE2PZ4Xmh
A4hUCR9lS5f0yOXBV+N2WHaEEtMRrtTdOXyUEDcqEoMZrz7pnBBUv4Fg+4qkav4SOflM2gnefB/x
vnJ13Gwn1izCh8pxZtmCkajOhqdmLxH41+M4G9lOUQfloFd2sS2UwCvgfUXaDRK7B38Ogqs15qf1
c94Pxr2zKQ2zQPgns7DQsCkHLms429D+yqtiAN1ozA+DZf2UMNUyj6e0o5+NvAhf+qo6/mFDbEUa
TJtghsO71K3lgBxOfzeGCba41kdI4lkZ6IeuNtItf/weiNpiUeOQM7oRGbDVXctVaxxmSLNtRSUs
sCKe4naebzrEHaifw6wvi/q2m53ggadg+FAvB7OIvK1pAS6QDolJbwS2Xl3QHct4uYQdqDwgDHD8
f1wjKdTvY+FpZ5konYY+fEKSzzhpPUycwsXBT+oy6yGzkMVYJDTkkNiNA7DEOV9Ccnap/UhzsPS/
av8JynB+Wnd4WpjMxzwY3c2KMNfGKXrIzZ2N0VizRyMGAchldO80xw/LToMNDLjr3HoemsB+jsLP
beMPTxJJ82EEXdEMJ+kLyim/UkqXRHgAwnLdQ4F9ng8XyEceTdz+l7ZAPX4Dh7RN/krRKThehugj
dstY36RnMcRDB9ICiv6MmC16NUERYMkXqjfSl/vOuJvKuTlKb+SiWh+FE3K7AMdfFEut7qZIW6fW
k1ZvsmbBQo+BuUVHIqd4s3iy2OQ0zpmb/AzRxWj2pHIA5MfK7fo7xDhzn85om9aFZlN/BqiTgnl8
KIOyvothrV/gPBJX+UngoDHWQxXkt7FkQn4b6y/muJexUzn+BcQb+DESU0ZxBxd7PCqTUrA8JKWr
+dl7E4zVQ23G3RM4ynsJR3X8MUpwD/pc/j7K0O8lHFKl8BG924VVYyDrM3pXuo8HKctbA/xE2WzJ
eJdfg8a8yRKM+9p+2Bm6Er+HhTvz5YjClyzp3D1ehMW2nlCXRM22fbJRbTyHndcsVhPNkxxGXq6s
Onr1CGcEr9XYhRiJ8vVDvKDZO9s213qbHbMRj815PknRTepnUoPrAK6O6HddwrPpB/gj928y6BIv
Iifda5hX7S4dPVbbfxc1q8aHEFcW7s4HVbFFAQkDxAGPhfVMi6Y7HGKfUgu53EtcOnX2Idc+t3lo
Lg4MEpND7MIZ7Rz9L/a23X3ugFQsbVhd5JneRrWfr0nPJFs8OMq3akQX1FYizDbspniDIedunNTM
bqQ3mM2Dp03xY5eiyWnt0sJP9pKimYfwhxVW/ln4H8IpmWFfHizHs7brHekGin0Lb2OdIEPSEedl
BdlizI4xk8pt37mVs0gp3Nsh0NBvimf3dlrOSDy4v/fG5iv5pmCLSb35GSWSnfjd+KxVd0E9ujej
Vun3rk/mXujmo4IxYK0lnwYXNwy/aa1DAER7a/etcwZHZ24DpfGPfsALktdCezNgpSzvVnlnRtH8
CSW6/FZaxuK/rI3wCuX9aizuzHwC6ZODi+EV8CxxNRkS0u+1FR77vDMe2+Vgu16OQbZqn4OZN+i2
ycybBrjv7dr0lDNlQP9BxloFLw/fGg4yvQDa+TiXYXBtaeP3j+HR4mdN2nKrdS3bA3JS016rkY32
p+XqqeKrW/kEMtuu+rfJ0DGgWEqUGQmyrdOWwf5SnZSa5KV5GeI6CYlP6QFqQyVA6p2u1mi7aa70
JcnWG9VbmA6PrBHISNfTFSba5V+z1n5ryxENpMr0keVPTETAygWrgB9nZFcZ5VcIJXlulE9QfKtt
2TmgpLziRpuHGqdB0rw2iyrrOE/OnxXtaSiiXRLwEJTv1OUAd+WFbWJ1JSH5pjoBv03D/yERCjyI
GAY1pn767BUbCdaOshs8HzEsY4R1lc++d+rT+tZYdBCRc636zXq6dhuYUvbcD6iCLMNhkFOli1HM
DkonvDfmsN4oSqkfDQQc7wd0+szNPKFoFRsK7nFLcB24nBlUf68UPX/8bbCcNhZCj3PS3l7GOq5i
nRrX+SSQJoEwxVngbgdqzttcIE8IfMXX0i2HFdYkCKfLnN9gUZfha1CuKcOzBvlufrBvOAj/sGUf
H5H1RcF3/KEuu/wYjUtEmsg13I3Yh0jHOi75e5xbzdHJUMcfwy954Jab5VajcH6rRMYPE0jjUTpj
0RaW0ynS05u2VTeXsX/Md0Isr6wyxy3s14WnODxr6OzdNE6v3ONgIs+oCz+tC6txU1p+ebp0NKwu
jiW4hY3EOseb76vkVu71AjYJdl7Tk0+F1royaoWm1j3VuDcXRzvMtZt//cf//D//+338X8HP4qFI
eeHn/5F32UOBeH3zn/+yrX/9R7mGzz/+81+W7rlsZxxL11HTck1TV+l///aEQg6jtf8BKHosoiBP
r8B2Z3srSqDQuXzJl9yoZNAlc27A0CVdrT+POL00ejq+6Ly9z7iGuXts1udvcqBc6e5JUWjnOK+n
F8+qkddZKK2alqLwX053mg8+vB5GpHHNWP2G+unTOHb6SU9mGz7bAK3hCv088wpBu+vSIa+Hffni
KoBP+AZrev9g56qiY/WXBzeoQx4oaVNGwh13zdAFo49dQAUDXMujHqzE0oxS5JZUnCKcwoq3pCJi
HCs4JBP66MDK0iNwh2SNRVN0ayvc/zKiqGb7bsT5+DIJBGl2kgulKc7z//6v4er//GsYquohzU62
xnItQ+Pv8c+/RpoYpF3AXVylCTifyQrqh9StawqGWrPDbbfcS0wO+Edot2UTryF05GBtdcCvdbOJ
d1Rc0XdJq+EePk2/HjDkyMGKFrx3AVYj7pKGAyjlTjtO0dBE+7apfqDbu/uQ+Sjdxr1T2jHYhirZ
ZUSxoDde2hQaqGDNQXNfL2fSoVfkByTm5g5AhK7FW0+C6+zSanUUA46pZfhQkdkwrlvMHMWMufjY
cCot7/pUMz42nMgFxqCO6isZKpMms2HTGXbGlbwC4VQ058sl1xiXTGvPfpCWXLIrxvggTfT84nsU
i9Y9q1xXLglW2lj/G7mkpys+Gm9senW+QKd//6c2VOOPv7XmOQ5fOdLEhgVyXP3jm6coroHZWB6e
olLVrsbUJW/f4A6hp2gA42Dg7tpwAs/jF6TrpD11qQ035lmfYuuuM0sM8xr8c7dIWtX7te1FSnPj
IezmRN3fY+qGv8IYo5dr5KVzF4L+PtVaNpBJT7yXyUu+YpM3vxtz9oKJkvdpQqTsYChdf56rwH7k
Wc8zzO3U96Bt4QaEzRc/pFI4k5G8xkrHR/ihwbhzHuZ35ObaYYrebd/2tlnd5Xe6P+I0zv0Oxcaq
oRRC8jP535KgsTeeNSgPc5KniNIj7WF66TPSqMGVARnuXg5qTbohzJMGcdLZhUMLfUti0jvqUXfo
OiPY1n3fLraHzAsLshH42t2usXxcmJe9rp+DYex3yZBEvP1TNK59vSUPxa0PPx01HDno5BQam22t
tGZnGG9ta7y+CF5bSOfhr8zTe73I6FJmblhE7C8XsQo0MIAgxOuF06qqzuTAMtwEY43kIE4HPN41
ykixVt5lKb5EQ6KX2J5U5V25xFrY6LzmXPtn2EbxaR0tPWYbv/lOByxE5i4zZJo0YeTeKwNAPgmt
F5FTrXDOWt8aEFUMLiwxuYqnG6+FHR2tPo6v+xnAwvjroNsFkgYoyoMlpoz+R4c0w6CFRVMBK5am
zLiMM23FOGfo1v4RvzQ7lM4cDzez/276YE+wxjIAkDLB6fR5F4ZI1l5oXmrt7FwlzK4D5GgplAtB
bKGNLR3+0nEJraQy6zZz2UKqX5UiG791UWVtmqYc7zUzNW/ryu230jFn8x3i9Pknx5qrc9ymCXpy
ZfYN4UzpxyC+22ilcVIRHbkjCdneOaPDAfD73gSVv7WWpgsgwkSEnpK2CnDiYAUgy3cyR63yewOv
7LPpurq2keFWxI4clNNyOQmsfX5V22fTbh/WQXINvAjyA2xOdyOje/jbJzbGZP/J6MbPZX9ydIz3
yk6/acgxo+Tvmo+JgYCQFq2NmKz9rdGlZ+nqlkF2z5ePQl+G+xlNiZnsvygtwkaWpnSYi6IzXhop
qW3GSUwn+4GL/ZCv15OLllrAMm2B7Cz/u4wdYpBqQftYG7MFEtmYb8sA4SkbCMhE1jJUdNQcOqh2
+M3OWNjGlXHf+6pxL2dVZs4bW3enY4QsnQ0UhG5PLQ7N5Jg3a8xR4vYmZQEvnWtsaChQQLoFNiT/
gXQ11qhDIsb9QZq//S8pyZExqa/G5T+WeDYP8Eb7xZfNA7CzxMtiIh/Yhz/WGPDO23//itBd749X
hK66rodfm2N5nJrWslz4bXHG8153SGIZR4w/FsRXamvpYWzMrvzsn+OxGq6Q4fIfTAUx0naosndT
VY8V1kafa5NXSVXMv48g1TN+LjNMzPJa83geUECv+hENdreBC7yw8uaw7bbSK6LT0jt3MIWtXDV+
G+w5KPry1XpwZ6U9NNEQ8SZyoYAnU7k8Y130Y6pRf4yXw2gAiIrx6j5JLIzq12io9evRtb8n0Dmv
kDTWH9eDqhxxYI/vpCXD5UyuoyUtHYxAcMd+YJVbXmuL1rvhhV29mWO0oitFW96JqL43k0pwPV3a
QQqD5r/tQaXRm/XfByzj5crzcnmZJE05k5g0O9aee98PsKz59T+glMF79rf/7P91LUsfHikhqMfL
9dZPt0z4/cNffo4izJtTa2jXl4+1TrkMkc+VZvFZz4D4xZ7t37JNMjaj5mRfXLzotrBthmsQic7r
5IEkZ2GPusw0HrSFmiIqS79pL62qSzzhUAhetniXA7J+xnay3Io9P0QW6bhcYvRQpzj80WP1Df6b
XeBsO/j9D3ZvvKNq4Z8nvcT1DRJMjVGWrm4dZXGBm82UfFTWbpD964vW/UxOpDxNsToeUKxCuKv/
mXSKs4bdIcl3dmX7x0wbjH4zZwlOvuGoeDfRUBWHfiF/SDNeYnK2jrTL0r9pNeqFnV2b1/JmaZwK
cflQO67vGeEbW50OjDzS9Z/+pI4fPcuLRsZEltFs685Cso9119FoHfxWjTh9s13n2E2F+c32HHeL
7WFwi5Vu8FDFZIVLXEi/+bBMB9RvnltrxBIBq7y9xPmWBt1Qf7MwwdqHVW6dU8NMXhIlwy9xDvZz
TXmIbfBCTE+wylODrgGjgVTaGnT5Zl33aN5IDGd18641fLZOU6R6Gx6FDexMgtJdxR4YEw9Y/sZc
/xmjLjmWteJfu0YTXyVVQW6iV2sqfXl9AGKaPPLAL3fgPppPRZcZ2EPoyVc7q17BLGH2MaY7bP7G
6zHEH7VTFO3OznXq5WPBUs5T9bs1lrEl3URDf455+l+3XfXRUS9nZo6JPORG7j4ZJ0GZRyXpPYhw
Ham6MLiL4xtxqA1QEld9K7zTY7huYGaVgzSBMUJRqovoOPO8vhPn2pA39dmPg155XhPzmme2QHqa
BwFLjolS75I4b64NprwscUEuSTxuiod//6jXXG/Z2v22EScNptmqA6hPs9gMWPYfWz91KFI26b1+
GDsKxT5wv7PWNgEVIRBFNkXrbwhZ7Zo+Tn/aVvwzMdvuU2yGsLKrDEG+ItVuXdDyO8Wdhs9zmt/x
RvwxzyxH0BNsdxPlnDd8OaI96qrZSZqmwz4qpLhB3pNeIzR3Oc5/z6U2aE8miHoJh41Z3ZiDbSJj
x1+1HLP53ExfA62zP2nu2D90kYFYt1q+Ybzqn40BmYh4yfiGSonbUqomJ+kt++hNV547BOOexQVR
U+7bcQifJNJWJarFI3c2AnJ5QRll7VTHKjuFARhvT08TwKR/H8ZyfKv4Yh/dBFWDoHTjtdNAu43v
zq+2dMs0XEcQrjUCZ19ZhbUxNW++y73G3DZuWHwapizbZrPlvpJT0NFOTmdMSMCFlFjufFXa4V0F
SPi9yNTnDjPVHzw4rkPVj/4CvXbQ1TFGD8EBDMe6LN7EAPJGNXtt1bTe4NcxvLlI0EFJ7eDkF8oT
glZnCWOpEAJeVl5Vq7np+34ojpY9o3LgZ9p5ieVzTyJURwBqYyVFwm7nqJSa/45+OfnXdI4fIZZ5
pxgF55PqkipyK0NF16JDGlxDDjz7L0PdMYs3tmaCc1/Gw074Y7wTQpeXS+uQiU562H5c+h9DUTOy
XoLOfY/mWr0Js27aqwDcPim58VfhVfZPa3jF8SL/UXRk7OJUTZ+hTPWbco4+jaFB9svRvTNLweSl
sFBljGYDuJmZpi89XjR3IMbvVRMTLuxCw1OjBOVDCZxuq4O8OzZjBylCGW6W1NW1tBwtnKxNWfY3
dtYaR2qbX9JUUV8Bp36zcOb+aWP15dah+Z7XBRvtuouezbhyD52aOVdhgRuYZQNNypdJ2F59c5ZJ
QAs35Th8TBqC3t6lLXrCAlJIkMVEBj6/XVuw6s5eOOO1ugAf/jlCTzC2ipTqYTIUjcVpf7uC7341
V2xe2JYwVcD5qgh7gz8vdaW/KyKtfDQpRmnHTukz+ECVw3dDte99pGOveye7kVBq9DUliLSZ9mBE
vG3UKTZZDg4yOHe4Q9MsRSRzSBtnMyh1cKV3MKghfD/KBndwiyvVCiieLCFFgSAe8vC5bH7NAB23
xqUkfJmkTZ65r4PO2ElMbdNdMhpIuDfdrWr61r2+HOSs0lub715jbMlTaadRgyEhT4KoDdhEjw4O
0GUdPrt6WD0aEeqYy7NCDqmdajvPI8MqEwK3Kh99xGsuI+QaWVFY+z6DzeZpLy7adVfVaGN5I822
ze77sblvuEW7rRfuu8pKXqTPtJNPHdoyd9JyaqTzcQI7t75WPXRx6e/VoNJ2+dCijIvOEC8KMu3n
td3mX6w5cR8mU4nB9ZjzddxbX9a+y1zpTTEKeLrMlxgArekefZ+NColnmlgTDwUfOYZn/NQmUXVs
MXG7mmdjceGhNp1jVfo2V9ar3KAoqW/VX5MyQ62e/BT0PZpg95WeZXd2qaDO7ZtPcsjcuNjNSs7y
3OrqO61Lk9fQZUuGBcFzM1bhK9jrbkpes1BRnwet3bJBTF7zYGofZ8zvZIIKTuDe5j0BgQ+BYUS0
8LovkRScETmSZkmu+boukx/SGpcRg1VkqJBUwXVsUTfDS/nQuqBMR1TjH8k6xlsMFZ13Kz7Ls2vM
UV03aqt/ymddOcpQu7PDdWhRlO67N5+6Fga96TvPzSJVCGs/hBrvdkdhaeVAjwDha90qOi+9l2aG
dtLvg5e56EvdpuzVr+ueDXtG3eSLYfjJlkcwnm9RWT+zZ36QuKKNw752c+jYYHW/YNyKXmq8V4sC
SU7UprbVFNbfxkI5Ycyt/1VhC4gbhPWtSSplk4+V8zR69XSwxli/dhagWDfi/xcF6SnyrfQk2y3T
9fsd1ZrsJJsxCEbDbqynj96UWvQupyQAq1xPdlOObyPsWuPTmGfJSRn735ve0qxVV/9UWO1H76Up
c0t8ZZ6LkpfjELqsejIqJnYIQxBjii9RXx2Daph+gE//Ofmp8+J7oX2IioLCQV2DbemocGaIJXyP
h58yUk+RlZwL6gU5ykRHr2H1X5tldUXSDkvxLmq35dKUWAAedz3797GSsvgcsGVllWHjvw4CV0Uv
NjjOy6lr2dV2yEes5ZsxpICaRrdyJocM2M7emVp9pw6LDISOooWaF5+HCpNEvEL7fVtqxWcHrMkm
rigBZ1kdvRoGGsPLsABdtKu06d1tPyVf2Lm0yvNQldrBQlue7Ys1fm0jqg0KmKA7vVQLFH/oEKFv
FRwkWnXKRwcUgGojYt/ScZkhHZ5FTmc2s8eQBPwTBNIzizP3Tlo+XKOTH/TxVppyUJr2laXj68Rj
flOH2V8iicwD0rwTbqEcBjcEVN5F50u8iZKHwgFBoSqmsldUR39BqarYpKpN2nE3aYX/07L8bBP1
pvuiKv24N6KDmRX2g9d7JlJIofIZP54nrRucv7zxR4W12g/bdtNNze/qkzI6OJy55IALwxrPOjZ2
0A27KyvLs9soCF3WpNn8GW7czYq2H0rQZUXyhkNVtdUi+8oIS0QkijJ/n/vi1E6gcniD3ZbmAMrF
TIaHqUz9r72mqRsfO91PBQ7Iu4n1yEM2wnDQW/2tQc/nQQ51X+EJkVb19hKTsxlDhTkDznyJj1an
7XPgqrvq13zpNaNrHGaGe0yuY28De8JbeOQbVvv6VlNKFIk8L/2eqYNxjRbo/ORH0MIVk4ybYc9P
ElJHlL8tPegP0pSOKtI3HV5+D9oyrI4b+2SZJE0aI+yRC+Y5lHVADstYfVDZn117PnDLGMja9/Al
tPL+ezRG1k4xXOc6HKvyYTBRkx2gcH1XB/t29G31qk6b6mDGPh41oi26nsJvi0/1hFTWH6YsYs9y
USxdu0XGdJUhNdIgOQVKft0hA7nPgeLdKmHlbKcULYY5KZdS0a826FNgQw6Y/wqIxybzqFF0hR2/
oa2MPWnqPeXepD432Dvw7ovf/i9lZ9bcptLt/U9EFfNwK6HZli07duzcUNnZCTTQzPOnPz/aeeK9
n/fUqXpvKHoAybJE91rrP6CWGd97AxZGqullBvXaNm93xVxkX/EVpwgPnRd3LCablvUNw8zhQQ16
DjXySWN3kya3AobXRscI9aVo9QkesFY+ZmzODvNk4t9aGPkZMQ79mA8Vzhep6+wMfe6e5JLouDPK
6eugg1TV57b6odnFMZ08EtJ5TomoGlepRflgzkb13ZX5tJkSYb+IVivDsRy8x8UJYA6Mo363LKjw
jrGfnPjP9fdpySYeKrx7SxPX205WcKr7ukUePWnvYqlTLFnPPg9e5NV7NBvrTRsMuMth8NZR3UmL
cCDe0g8D+92PdtXrJRDGdZLqrPOyCJu1k4ihu2ub/EusV3w2ke496UngPg2Imwk5EshQ7n9aPGu4
ZE72S7XUoWsbB5YWwEc1Py1Ed42s/GO+ppXe04ixKjS7SRwgbaNF4VfTuU3rOdRrvTwXuj28Oe0x
WzlhrWOWp2Dqit2gmGOl+I4EZXHzUlluu8mZ9xF+TBtih/LdmNjv9S7MwAnW5ZvAuWrtXhDCxy8W
nbKPpt79iodoeBwWzeKp1PxNjqt6d3tJdbNNh1PcteX74OwAZetvhdUgXw0LKVTdTdTJjT14BnV7
fb6V2fiW9Tru4ZM/3vkIZO+WZDCOklD8LYrwwqEI/8LPC8POjBywWy/O2+j5MjQ9JHgRWHDfZkQb
/Lh8qwe9vPgQ2RAoo7uNYC71NowVkUEvmgot30WYbLxOLPavFfpiN3epcSGni9R6emcSW21U01+i
9FgkZfxxgWgFyu8s/Uc1qua5VIcO5Kw6MNrLm0iS6ZJOJt+v9ZDVxaaI+/KRspd3c3tMIxP01T8n
VA2oJK+CPfjZF5HD3M/+IMM8o4q1NeAeIeQJClHdRU2E3f6rRPnxrFqqP7GbsDDxa+tsOw+txB2L
MIrLEd6bi9Q9XGZjN+f5uLFdcyqwnoqGO6Mg67BHRfloOMuEOxV9ixHN2sepuiZKIUqpEXU3dTYC
Ok0lEYzwp/4xltCTZy0Zv1mOJAldF8k1Ho3osTBsnIPXAU/wJfMMDVJHmww3skq/LCS5vvmy6rdm
pGX3jV9pt0aYf33caJXQ1eUzLp154i/XoYDY4KV4HchlojYE4s7cqNO06l5XgPDpH32xJp2z6ceo
xXAtejWTG+IBnYSOZ9qhuiy2Bn8fNHAblQSqgbGb0crkQemn/unSHS9+cNqqval+neypmqW6Fqc1
KK9DdEL8pmQ73hobs13gQ/h59dzoTn6xTASbfc9IATY55auhOag/qskeyWRY/N3WS/qsQmrWRKpS
Do9qVFZejEZine0SqyufZZLmT7b99DEVvPxfYh6/ok1YfbyytJr+agtsKNYXVndoyur3m/m4oSHk
x5tRTXUo0+Yfb6jJ4/YIIQMj7/Ul1Z3+/aZ6r7+Lu/h+SYLsESn6/DHVbTYPpLPAfkNj+tPftwaF
aBlV+88Bn2L6VZQU/9Zpqj/P9RS+vL/iSXgk1qaJVQMcZIIYmqBz5D1Z76cSthLAiYZtJ/kgcVSj
MM2iB6xnoat3l7IYmzN1XCyr8CLdOWiL2SdZN9MuSRMywGBZw6hMxF5poanDRPUsrLHD+EdfHhj4
B+AXui8TF0ghJhqNPTX7zmraV7czn2svFn/bwgDnKwqyK7h5SLY758BPxSNgafbV64yRP6gq9R9G
S0baMbv+ITBJclDOFXvhmtprmVqPTToiTO/4Xx2yki8D1j97VzbN3hTWY41UMiTYCv9s/HjeCuE8
okIb/WysZq8V3fR9dOHPmWwpbkZeR4c5l/NJXZRGmG7n5rK85Vyk3IqHrtrD3pr/cZG0RHQY14sK
NLUeRqFDHV8v+vNK3oxqQNjNdv6OBJSxM7UMLT6T33oNfQY3i0z+GGPkPf/PGTMzkCT73+8BPzz/
gYTvxz3gn4eLG+f3Uf0+5Zp8VAcTlvdjDVE4LKEp76SR+T5rRp88MC1devb7ap5MZLD1EJjKUiq3
/eSHdtnlr1ouxabQDONnmp9lYVu/HMP/2jll9NVZdPRebJDKBiC9o6HVw0ld7f25Oliv1vXc/HN1
4EOnm0l78PjDd7l3vY3izRaVALu9WPmjETvLVQ2oNHY16XxncTVRUDqtT51d4lGC7RQFznxqBYqa
mblPnDY76kaXvfv+iwpZmokNTFmsNJHZy97df3b/a7aKY9TsdDTczdjW733cOfaJ52lx160Hu1yF
SgOPPWlbrjTvgIAp5vHB/i7Ln4y0tQ5UP5xDvUaoi1H+8HSe4IM9mC+ISv6jZdLK4AOCISPSXWeq
VtL0049Cew4IRcCNGNVLgOrQQgzxNY4zEzO3ufxo9mOe7SgWTEc1io4U9fIR5BGazc9mXxwGM3C/
CsuYz4ixUfPOU/KWk2tsx/X9KgK/4u6rg96J7tgZFjJ+xir+XlkuFbq1/cn0N6uiRaOH3asT9ynp
w9whwRWkEN1LlPYd+1l1ufNcbppSVhfABs6zLgcMB/59AezHcFRO9U7SIJnXZmFdIvtuJ/pyF0fJ
AJMbuVL1ve7k82jlznfAs0vYYY+LllA7XPkCsGIk8h2HrxW+DSGPtAW0QSuY9iplaaKzcMOFaZPO
FSvm56ivm2LnQv46GJR/iKT66dB3VvVW9+MXYG3NbZK6dvO96HGyq+oNzDFFME1zdmqWSXi0GWDd
XVs7gyeIlsRlnK1QDbqFo510zwfttN4xyzUKABR6LmrUuwXc7Fwb63SyhOeKGunHoWbzVGw+20bp
/h5pYI5v4HnKHcG/d/68rmgTn4zQdDULBEdRVnZPKIQ3TwMR0C2QTxG6P0+qJ4dNdCy8Mt2qphpY
khhhgEKYR9WnDkW5h4yPMU0G/1z6/bwdZV3G2wWV0xOGKNUGVLm4qcPoI9YyFvVD6sdVTJaoHR9M
k82XaqJGXe6B/pVb3W6d0BIOWiWmsKdNWgXdvTrUZdHfL2sREqzW36orqpbu/h/zvCgVl7IGaL3O
VVNycjmnFHJ0Whr+mUhxQSU6i/yzOvh/zv57RE1P3DnfojKKcNY6UfWps4/Zs+itQ4y6rxWX4gIl
TlzU2f/W/P/qC9IBaQrPScPP+8EQh2oKsUCT83ivDqQkxvtyhZhXYCp5zvq7z8HgzzTVN+vYjOaA
WdR8dSXsGuSn1ak+1umdRBhQzVWXjk78B19PTd3aTVZjABS29bvYWqIQqArG2QLal9sKvd94YkDE
TzMNztUE8oPxxwS7pjT9W9CqiLp7Ahv5JHQtu9ntU4yKeIaUny5Pke7qG9NG1Txl3a8wATyIubV2
fu8lb4hVU6tuApSxSaR+xcS25Yf51sRGeleaa7IyqcTbUIIN1AFonFQz6qe7XENjogcSehsz49mR
nXxtbZB/ExDRgrqM2wC0Uk0HC1x3E/XaG2qcxkn1eaM/PsAVY7JVnTTKHBfVUv0QzuTVwgdU2V4K
USeXZUIsWzX7xvfDSvedIxtVixKk/iUAkvxY4nFQenpozLl/7YcSKU2MjyIEJtqnBscS0kNQa0KB
+Ku5KuT+gxQlXUu/3LJm+NoPmgOLdIyfFj2CCtABi/fjp0Lk8RP2ngkS4PJvNT6uk+o+y/eDD6ta
zVADSXoNjFuVei9kLKtH3xzj13J6VpwVE6vda6uXOdldCpqz3pXHGVucnWoGayICHITzQXBZb+G5
OtwCiD87vBfL0O5t403Lpo/dE3oPwCrn4fvUWvXWEUt5i6ZYo8zeTSdhWuIh+3MRXtYfF5VgM9RF
Fmmdgp3XugCoFUOibmgGibyplpWDwekgqVEPZU1xfOi1up2DLFwvUH1FI/5xwQy2uMP9MLvvbfnS
xekPucoPNlk0bF2Qkfex3Ts3Ull/V7U5f0P6GhtRDfWNobX1W59YP9V8szOabWxR3lpw2rzVPubn
aiDRMfGspna6N0RVrSZqCfyYyL5PCj/YG8pebD0UU4xIcU+dcXUW++xXzdYpxwGRjKIL8SLDcPvf
cwQIXbShRljdrvRR8uV+EofK02+q2OQbf81L96pPtnzrR3fNG7FTrg0Uzf1h1E9SaPIaewlBnpFG
L7KHOukvfvuz09kg2/avf1/tNXbycXXi2v+8eujiZkPUMYcqCYPNUHkVuFdcYdWZWw2zyHDoB4jl
Kh1Td4m7A8jzo0OHcDvXkfeAfA40bQndmw0TJXUrYZ022+pLMDnXGXM9UF2kY5fmLk8C471ZL1y6
hUKg5/2+MOnn4TFICVsnPygvJT7S20ax2ZM54Z0gtTOSgj597P0Um2Lt69e+j/0hn/BHUw3iNxyc
Yjsdd26xA47sPbpuA6wixfvzs9X7IbBy/zGbZHtD06290TNb/dd2FNUDUNz0gdhCbqy4md9IzaFo
4o4EemuzjzAdJPP+rKZFJVXD0rYRIsZNZBsjiKkgao7ks02sebxTZRDr3001ij/SeDdlRbwzrZ4V
QNqvs15lL9R72VmCFj9mRZp8qQrrh7IQl9PyatXm7wmm5kLeE9ZOc+L2VlPLepy7Z7dBkf2zZ0ie
P+Q81DgtNdQafXSwxlnb+MJjuktiSAxJcczXT8LRh999laiKo2pGf+apPlPoZK/qK0Lc/pPo8/NY
UfxWLUxytGMzCZbADrn1rTP670sk5Z0aNb22QibLJJ3rDjOcGXbOgz4bJ9VUG2nVTDxGP5tqtHD3
H5gXyzIfncQEx8/LXLwGZPOK5Vdd6iwJGu0i4+5IprZb5VlqHtVpcqxYZI7CjaYvgVF+65MEScXc
fy+6YPmiJuhjIlCQgQVCmPcxITei99off09Qd0hGM9usLoR3/++sSauTI1Hn79t4vI6FOuuPP7f5
nKDeSCubb6Ylq2ciK3fftJrTkKtdogveDERmpgNew2X7dVGd2WTuq8KpT//VrwZV38dlqh355mEp
UEg99NIwboYEXA7RWttYU+u9VwHULmniLBsMGIGxtXwbScn/3wAhUw/8/6Lq2F4QGB4MHcuBJKK7
pv9vNCi4rcJ1jco5sdYtxwRzhmUbGLI4t0Qf88dpzr+BmsnaS+J0OFWwagyzj/c25g47Y6qDL20S
rbWRBYSA7tok9+hLuqK8a6eq2FCRCr5I3BHJGDrn3sMSYys3YLv8L2qmWMTFMzA2NdeJbecXKG1A
21SDiOs5VKZ8+6ia1E60HUkpbacmiwlrFz/23z00fbfQGtwvjjsTunRk2VXTcih7wXna10NDiXGd
YfBmuzLJscGmJYrsFY+o8qpa2KMnW2Ha6bnvZziJpMrPdhxMp4nEVpggp3vsR1BKQVrWIR8RWhod
mkSyYd0ulzT4GDXjwIX111cnNXmprK3hY7pWold26rulexkQXQ9dUUkKzjQDHWts3lcOiVd2L+Az
4n0y9ghTr6Nm3kf7Uo41cQ9NzdKiwxRnU5gauoCRh2YmWb/03lsP7JXT+8XVg/Mc9KFqIZP2u19N
++wjOATmlxFO+F75sy/18l4dXFFWH2effYZhPk7C846fXSSc8DBbD6oPqUg4PTyDSGD8a0CNanMk
ULYQzZk0hnP66IsQHw1i4K2Lkz0LON73RR5HgL5hEu+tFGi86vzHyGd7hCgfeG4Mm43rPg8fd7Dk
Kv5s94/GZP4eXUofOaMY1xFzkfrTjI5SbZdPqpHxsDvMiT1vVVNfJ+Ru/cPA/OOiulTdrXSym7Pa
oKiuAqWKEJIkRfe1r+uS5LEcqrDiC0a288GFLnEXJ+P4RDoKULyET6Ka6pDZJuiixhMn1EPHJ9cl
oJMSR+X1AnVAVgvZJdZy9J/og/wzPglR/XSmBQfxtcvEFvpa45qoWuo+E8IPO89Ly53qQ1yGFHHl
BHtZLvceAkf3UlT9U9I4zR3iES+qVfk6MC/sseHHIsyl+tQBsajTgAzAVbU6yLmXIGv+UvNVF3Ym
4PYb79XKRopGut9+G+y/tbG33iYtXvD8A3ArYVfzbTfhOde+/pJ7kxVOhpmEvS+/OU2pnfGSLQ5e
mU3bQvYVAnRJvzUW41GM7BQ0ayFb1jX6+2CIe8OXwbPA8wp3n+U7GPD20MCA40XGZYeSyXCcpjZB
uKHA/nHqzuQQcL6Z0qNexO597ETpYWJTjcfS4F2bwHopG7QY/I4QI+BNBEabn1q8q3bBCGNwbOSh
du32TivucS2Ra7gVDJgeGLyj0T0aebrPrCo7prWTAiPPUeOI5001L9BQisS96RGu15auTeciEVQk
feO19qbuOxLNPF8qW79WWu0AqonZB/lVfLC9xth1U24/gMrdVrMZP6kDIgn6aQHkwM3/0wfSMts1
ldMAwfxP3xjgLJ9oeXTCyT35uDZuLVIMef6opulA2e6obj98XqTX2sizJ+rRQf7PRRnky61heOlB
9c2ojt1FSXAZbDAaG6ud6zMlUcxvVLtckReqrQ6uBlQ2nnHdRlEu33wcTczizgYSEOdMGwx9p9rm
YFdndQblnKnLOt6qq1Tv70v1atpEkvqPWonUIhWnEdry60H1fTY/+/5rXqrWMjX8cfo5/nkLfqze
7wXv41TKAWE6CDW4p56ntvt9EDEWHNl6SD0nyTeqrYZVpzr77PscyESDeNHn8H/f4vPq3zPROz/U
MPu2US02Y+z4Nw350GeRDydUIv4GPrg86AP+MPYQm2ELyAd4uoyel1xWG40szk/H/lnFE6CHEZtZ
nuLJjeegfayCtoIJlti3YZS4YYou+7vwj6llpD9rOQ1oXUXyWeuq9lAauX2ytNyEoIlWnw/Q93s6
e+GiY5/mBEDUYwQNQgdtyIu1VPkL7kInB3eJ9yQfxN6PG1B/IxZqXEC9OE7jF6Pnl9m36V8ddcAX
c5A7z5YW5c68e8+WbDf1tvYytkt9FJqz6SZvvLj4sFwQ4c8vjb0zZTefgrxYS65kPEhUFqHlNsHR
MYuTWFLr1McIPYAhqy+Va72toAf1YE/XvKNPIBhGL6ye80G6HcppmiHe04aCHR/oUyqqY4Ly2JW0
KSYodo4j0zIfimpMD75cwlnr2l0t18J41SFuBLjsYMWxTgEMxDTfm+w0awjyeNBiETXwc7zQ0yet
MfqjPbPDiVIS/WCw3b8Q2z+mJcX4ZErGuz4Dism6spUalmDG7P1c4vRmB5pNDSHd2mP2kiNY8Z0Q
a5fGfrshLZ1fyyoerxGyklu087Tvpa9dItEXry7awscCHb/D4hHCDwDZgoa6ui/6HxWYhM3kN8MN
qqZ/yud02qeRob2COLiC/6/vIGUXoYwKe4tjSXMBAJ+/6fOOp6CxXSRfGHTjgtBJIPjWZnlo66m4
5D7FbK8uH4gVsWLu4nzbmpYdGpSSHgbDDsIJDdLArcKxda1DL+zg6pr6G7g/NCg6JBVrzEpOKeWy
bRKbf3vulJ0RGIOCZj/7PMa8rCzOQwqeWqv0FVMXV6fSsny0QEVNiqnSj64mz/ZYG9vWrTaByLsw
MIs6LJFMvnquyM8uGzpoHxutqzeB7oIbm/zoa18j+tnJwHtOT4J9JTJh5PmbgM2JI0n3CqCfum8d
5nR+sfq6eC5OzihuQ+disI2sDd4C4HMS8k57N2vYyi+av2sku7DZfMCgWDtHVkt1R05A+1bin0Q8
KQ1S0p96c9en0810U5jUNw1XrM0sZ8HjPuvvILDEUXqKfvbpbOxb3ETP6lAHTR7O2OfNpZ9uEMfp
znWFxnstA+S7iuzoaPa+sXPT3blZ3W+rwX3XmeCZWAGNyTM7oW5fm1N5VgczENXHmWpqlVueg/Wg
mjEOtzzG/8z+r+GcDB01/3FjEVOem9UnkNBuLj7abVH+lTh/ebXD9yDxtvjTmedS5uZ5sROHEJ39
bQ7NsKuiDYDlb7hJYfXOUwRQMBbCkImCZatOQT2/uGZS7ZNqss5j6lpnb4amCWlkAv92ijIRbMpk
IEMyYgCWSu0gHErsm8DnDmVTbdO0Z9VvwBDXPkLUOHDMHrI5AbLQW57xAI14vFspZepJ3txR5/ut
b3Rzzk5N4xbGdsrlqyc9LM3WdwArzQ306jR3L3VVTOcgHqezth4CPczrBN3FcijO0XpQa406QwUn
gcRDCnPjxpoRjiPqZ3o69meSQJjArWeDM/yomvILDhzuptYzPoF6XWLJyjmHmRUB47iGr/kY7ReR
XZEu187Nav6oDpFAVkTLbdL+Gep+7XxyBH+Y+v8Zdv3qgObddaRZzuO8FGc2QL2WD+fWLOyT7QDw
cA1JjOZRzRusvtjZeo8aCrKi5zKQ36yydXaFns4UM8oOF5W6eI2NoDnzK4VnxwdrT9rFTTHy7Gfo
QoF3UH9YgjLZtqgk+A9hLmdRd8vZ6VCMIn2OdphfnclX1Gf28v7BSwUbkkI/Z6uPnGyq/uNj+n0j
PiZ1lhf18HGWofd86izivggZD+D4ptzGpQ+GVG+Wfes6N6uUaObFASL6WtKe1cHX6/bcZ1CzsOwA
WwlJY1OV5QZienuWIvqG29OtqcEDVnHdbVPTCEGhXfym3+iRfzGc6RwL+ZTWoNAscCCnIW7OdUFa
3vCc98bVovt0GpZtlxa3MpUTribGX6jGI3bejhdJuRY1+BhZTLfwYXsgLusCScj07qnO2jh0XXZE
TZW3e4Gs9BaeLpXX2kZMC9wk4MXX2YzkHomXNEQcoNnFDp4UmhhjIj9YwlrFD87O90Xkf880EuCO
2z3PZTWFUxX7XBJE28Y0k427dPk+IbKHwDU+Jx7V1WkeQKGvCbC1uJo5LobpHuJS4OrwQfVW3n7q
beZVH6JzzJ2BdcIeuRzQVoRVIT8quIB+4xzBIuv7NujYHDh+s0uChEVC3gB94pGpj7Cj48k5QkB6
COJQa6oYdgu/CSMqpgN6QxYvPZmoxvH3pMlCvnMyNjFPfIyDTf7Knr0MWSYZPeZZjDxrHmiHWOSP
U+p0R9/t7txIcy9ZUp1S1qyziMShl2nHRzl4yBxgoZpjJbbBjkvumqVcdtBE8DrT4msmZLXNmkbf
8Wx1d9hSA/Py8ld8IfWdm0IuSrUaV6MJRQOR5LsxMDGsR3Jxl/nxq7Rhz40UfmKvm64sdg/8hppL
kWA97Q1367K6gXT/rqOEFwpKOtvCt8COsOsOfd2jWmkY3wYfqnzXNckZ4PbWadwZW+QWjZpBZDuv
7/owiOtrk4hTkVggBAL7AYNYyEJlYMOyyc2t3wIl7/P2wO8TfeK2vJllBUOhaXf8s5aj60vnkLvD
bhrNFhaM3WwoIvGllu7FSQT/Vy1NnxaLr5xpnRaSh3uCieu6+79rBdpp+TyVJ8MaCA0GnVolu/Fs
mYHu9yz0VDa2Y4W0oYNa1iXXxa907iVY/VU5aUChmrwspoI2zmo68kFAdfE8zVj8gvEhzmZv42gL
ShGg3+/y/rFdsPbSK/7+bs7+dqq62Bm+Zt1rDq6/ZGB+BXaKdlbevBBMXZbWRLvbgbQ8+vpDmiKW
UAXLwdSCeztPym1mdMHZMYC8VwY6Mlnq7zNUza9dcD/FRoyOdCKevWKKCH9y5+hrgxeSQ3Kg/HSP
qe2j6Ud8ZrpBcDYEaufJmsgOougeSjVGHKTIrnXdaA+Lg18W0F6zrOezlvfLAXL1t7I0zI3Ptvhx
HF/KPMfLYcRtmg2fsWMfNW6bxrlz88Q5ImiPyqvR/JhmtiuIcUQXVqNrmjv1cZ4ekM1zNg5U7UPj
eOnFzXXK48m9FwxtWFAZbobKf0gmXCespksP3QgiySIHv0mjzLuvF52n/tK7MKxtA5svdlTjIP0w
DqS57Xqr2hgA4PZTFWzQSPOeYBwZoOTLcAikty7cDiR+r97WA/5LcY2RJaktJG7B7EG8Qm60d9Y3
lV6ToXik4ILOYBy1SJKg+JoFfE+kS2lSy0RMqc9zd/1yRiuNPx9i8VL7yVZb4OcjFFlsTJ+0nGEP
4VIFr3NmskQjAHeIl2qPPeY3E7pXGC2Ua4UBKrSsRP5QTmANwUNvY33qeL0CmH/hVNsxAY6A9Ge2
HUndbOfRm86jNB7NuG/2kuX5QQYFrAoHxhCLQPIYx+ULppZ3yN1de9LLV5RjZ8zFKPRV4z7yh+Bm
O8Mhn1l/allbO1fXkRKthXyYtdnaBFO//j1sRYvanfeNXj4D/G93vlX3Yan137NCdnvXr3B8kiAu
rBhvvyxBIs6yJ1CBRE78Iwj2o0UfwSqVaN5VYoQmDtcw81+W0ta+BKn2CE76YqIqf0/qY9ibekoA
5Lbj1Ui6vZ9VxiVZW30nxqsrrfGqa7FzdnFhge/MDJGAduYJsc1hfC5Sg6AUmFeRLOZVwl4LW+SG
tqrJQ/s8zWmL6Ug7gVtf6rfYBl/dVXX7VlXjuOmtvn+bYPJvAtca3sjpDgAn4+ktZs3ewGOEDUlE
shEIwbwZxdwDd6C4GSxZD6B1sN7a3oWszRf6zcaUDsmQxnsDLtVuEBD039h+EP3AbA6nzkAA3SY3
U4H2fyPe4RvVdMbXtF0AvVp28nW1EdhYkRxeqyRB8x89gZdGaAA7MT9t+vrFhVm87fTO+ZL0hYXU
Rlx9EZKn8uxSN/OCqDhObYsCEFooT1DgiABtOwaBcQ8zWKBYB0LbMYCVLY1nPgTuWO9jEzYobEQM
eUQz3wepsA9p3s13pdeMRxt76AtZ9vrUea1x7oHlo+yJtbAPeAB+lR8dtTnHH89N8+M81ta5A0y5
k9Ld1qnjneAReiE+C7wl2MfolLT5rhM6Yazob/msH8q4lY8gtJtjhyTcyv9w0F4qvjQZpo7pUn0t
oTuHgIT0bWnjO1bYF1fYdziLGURBxo+htV5B7f4qXI3EC5t/3axPGfsHQMAynGrYFBOBeJ/wA1+S
8fdhyLRzwXvZWLMfhFRO75wgmQ6NN7+iWDiGTuSuz73J3osRoZcql/WF6GSTFtArDM+YjgUCY9sJ
HcCNb5nTdsb2d+utoUTqWOPJHuWTHbz7nm6+FNr8MxmIzG2+r4l27LU4fWjygmAi8N4i6ImbynH6
Fz+G+QUrHvBQU+/TmJSu1pjAzjWLYLztroMY/X0cFObGc2dsU8nfDuYd1Ho0iFYxhtTP3gzw42Ed
yJMTkFu3Bh6oQibJXiIdiiSneJopt2+MPHmtvBbiwcYaF/A2/bkSmnFMNHFj4QpHO522xoxKkKk3
v5BeNtymBBvS/SIhO7Kad6DcdCE2Tmw7Z7kYw24p+gIP9uaSmF52KCPjjd5HWOMt0lnds6Npd7mX
750K/KTGJvCjajOuUWNevpAAIKREEpKEoE8KtNg3Qy4Opv1ultLa83z8Ug9FsTVlOt73fOEpO1px
iFD5weub7CItgKpjNcKSdMeXKa/dQxxFHdY1wze9LUkp2HK3uAnPvika7gWpATdqUdyD9bqjSv8u
nQ4+kNW/xNEsQHhs8gWeX9+g0qAJViatqnZlZ3i73GPhr3s0GBJ8YSDs7CB0JF9af1/nmEeW+hBg
b4OwU2Bfl6qnrovCS5oEy2PJTtpNhx+aiQSZ4WcoU0ZI6bjeszT/mjySZtTC2XFO/fvNS3L/7wBO
WoqJAUhWiBNFfI5aI4PoNOHpPS7BDU1H99yZ889mLqxDNq4fiPCbh9lD7W/bCpKe6Po+xIEw92Ox
tOcWr0JAc8jdjmuuQNbtSKqIFIVstl3mTs2Dbup8wUVA3FHNhBxFhSs4gOr+xEZ4OMxqWI00kJ7w
bW1T5quOjxv8Y0zdxZT62RZyPrjer6yOmtPQa9RNGn+rQ0M5Wzjb484DNc2odPeIQc62gp2+rZB2
NZLUPVjzLqOI9YTmzTVHQ3Qruh4YV4E27UT58QXqKh45A5ylItuNHdRwLSt4WIIWIn9z0ArX+xGn
1P6xKGUhKJfQXUpy+BFOGwKZZ50k1CZrLeL8arxUSRf2Q/9Iea3aYGoJB9UAYOpa/a1fpAU8pLIh
knW7JD4lMTo5Vo5r7JzZNTIUqz+kzORuBhOEjFryVOasV2iaaXgDz4HbIUHkWOjxNVEYRcmXXqI+
a3rnbhiMlz7/ooPKQXkhbq59Of60qfkehqVOj7WeUD4zWN8WoE34m+2galrbcgLmoGnzNQqQ+Kma
9kVEDZW56Fc0FsUXPRq+E9/1CJC3+zmOVkVrfotVlV1drFxOmOTG28B1d0j6vBOHo30t+2XXexHB
but/wy00Py4a3jZWOlA6sqJlI2sv/h/OzmvLbSRb00+EteDNLb0n0ygzpRssqUqC9x5PP18Es8Wq
6j5neuaiUIgdEUiSIoGIvX+zwHqH71X9lph2wP6p+VkP2E858fxqlckmyT+qIjS/+1V7tusKOwt0
b7PpPciyYoHmONaWU/GMY1a3cSLn2RjT9yLHBT5qviaj9sXv2p95yjq1C76r0fTLjeqcFYXXUTkI
AupykXp0NZSPrGjfVN1Wtbv5exWhy+Zj8KunPQ6o1aJoSaUouVZttMpo17GVw8OP/mxxWaNwVbTn
oUedMlPTGLBghZanN6y1qGlWin6gjpAlODVnlv+rEdgsy4FIgOyzeus7Mm98cyMHM+QUDCqqv3CQ
WX30QDa82XHYW/vf1HYwVqU1uYsum7+lfDDYzbMf6W5FZXibMSvDmz+aFoi5S+HZq4iN84fTjHvL
HvyFCXFui/7xF8XNoqugkW5jX+ER1Xo70tHelgfvdwVRm0I1gn3u+8VzUCd/oPc4LlwNr3vdUI4/
HG4QLB+c4hBQ6lsgzY+dstenS3fkBr9j1Z3sk8S8DC4rr4KU2rLAspKUQg44VjX4SWASURllvorQ
QeP2z4YqAn+zmUm5rFTdRMKtMMeLPDNa0q0OjDR1KOCV+HUPhaeOnvAv3wdN6exs21aWRVwqF6Pg
rTr4zVjY0vAVTo1LFU3WmbJUvmCBpLx5E4A5K01msV5S3oxZha4e2OlOt5rwpsRFDNE0tJEp9lLt
Ciy6Ia/ikdYO4rle21PLX8KqvH0BSYCWd9qd2sCnxpPMLdIWBUikTxusLAHa3odntecubM5penJj
GwoPVNZl4cz+Gc7+qrVDNG+rIf6pQhRjtR6S+9OQHsXpLDIhFFa4H4QTBSnyFwqeE7G1kGCdOsjq
45TAZpKM5sJzq2OHs9VCInvUmET1Y7DslU0WlEsrxv4tJZErCsM91kNBna0iNRw22eh7V1srPg+D
j94BqJVHWDc0TB9nkGPtPEtH98+htYLxfTxBW0ExHV3uTqdUSKaQGyR8dPgO00eDHD+lNfc61fAS
6wlZCBGWo2yXJQT+aPdRLtus69xY7rNu9WcZRkjq4nhU/hI4clhB1k9Sa6Yb0HdNk+TI6pN9p1Or
eGmBkpWdUrlGhsQI0kU4CMmmuIaR6Hso+yGPasu5yYOe/awwJbuiOM4zROXfBMRAdHgMyBw0Fme2
XWuWXIBUzNQdt+GoBQg5iCkUVvEZQ2RCTsnLuVzZcUIhyY4/WFVNL2U71QeVtMtd2lXzzzWq5t+c
cGo2FTrDe80KJjxi+zPfvfl7OKkDaSHVPOda016ddnAWsgMSyYdbNuduBNAxebhKpE1CfRKA81bx
4ve+98LtHKsUiUYQk34e5m9GVH9I8784AsU3m/3XQmepBYO4O6X+Ozc++DioCixtu4ORGet9Qjmg
3aSp6Vxkb1B09dlKm3Oi+10CmchPtpqn4mwl9BlMJP8voHhee9VeKcAznyuBnCqQsJYtySsQralO
9GfJQPg98hNjZa9MN5lWcWtcUZdGjUu4WtxtLGarxR0uQ6Jr0rV89xkU/f+wvohHO9oLP0HpQA5a
1z7eHcrxM2u2pNBfZAf8w4IcI2yp492wvJgj6OB3g+5qcJ3TXSdbc/Jl2NTG8VM2+F9N9Krx2LGd
TVPvHMf1bj4OBRtDn7WlJ5ryAE0tOUxF9vMRCiJkeuGNL1HiMBWUWhiLs+/aqcsMsOa/Zo6NGi7c
vLP2VNL9m0rm/za7ZOrwly43cpzsQNnPZS9MGuZ7bEACKcNsfEqySD8Pc9+uMjKoKz2s46umafFV
no2RgRS+O1WLf3RM9pyfEivdyPgwJ715H9KwB69y4ETyIm3dd+bC72dEN9UgIr3G5R8HxVbbVQl/
ZNF140+pQJ+Ps7Uu3b5BflHI1U/6uKhg4JxlbxX6S9tR+tdibtQnt4svkRiVkO8/BH0NMAbELrs4
b1oX8PM31YC8vTQ3a3NSp5GlsOYTXmcYReBYb1rRWTb5fE56p3ZPsjXxeLSHNy3ttacK2IgMNm1d
nOMGLQHpr8aGaNgbTRisujFW38Ip70nyUWEzXfsP3cOeJGv6in9Q8CsITWWvSThl4GdQA9dLzLKG
0PgoCvC6cqzqzmSTusjdyLGWkX1O7YUpipzK1vJzat9b96nxWGSvTmvZlJAdZ3MfS9YEInxNEVIU
jSun016xJkiunjteC9Hyykh7nbM1ivPRvZHl6hduUelFdnFolgjo1Xs5We+AVE1Dq65lb5SHyQFO
o7IIO5h4ASnCq2M0l6Ea0o8s00Lgv63LDyJoT8AZ6/U0j/17yTfNRdLjz78PtV39c2ivutU/hg5T
d0GDtUp2UVgCn+uC6gaOzgYuVPypCs8Wa56CNXvgaT90EMG6X4jJBV/LHvmrnDXNSg6Sk31MpG9w
XO2bZaZ/mQzPdNrLYTX7UAuvlMdseU0dBvhCzrZqMnZ9lShLfwSk1qBqutMi37u5odItB5/6cjXr
W5tM989RNy7eXERfa9QdBLemuaqY7S3wjqeOIlxL1H4gOTIP+lI2p0yJni1sQGWL+4j10ifDiAHW
DI87UCjhxk46vyXpFcpZg1SiUe3MQE1hreooPMsgNBNYXVhmLAzcMu4Dp9rEum1oeYZDclwEXR6d
6sHLXpUhVddt3Cpr2cwbDb5yAApGj8fsFTEa98WF/iAacoBZkqWj3nea8qY5WCpOPLBu5o82YOHd
1KZ+kA9oG4pz07bvPEkqgHitflPZ3efarFwA7Btf4j5+42mlwNylJfowrVUuEb6W+wrD8FWQWAv+
839W8/xVHzWfpb3hk93vTZ5gqXqYmjnc4k1nPlsTZh2p0jV/GNxktLy5lY20bI3Hm+msAu66ySLX
V+FAaZJCM+na7H6ioAqIOQ+lkH8bo2JdtilbD0cnZ1B3fUPqvREsN8wh1Z1aldlq8vLyeP9Tpi10
EfGzMUgSSY+i2Qx+wJoLzjKUo4q7Jl0Cxk/8kHVbSkzbMyxsJggC0zNqPZiRhkI0vP0WaYIWnzX5
yUva4IaaLM5JRdj8GDsXIZUwfSuszt1SYLe2duuVb3mWn8lpNj8aBxhAbirutUnr6tSyQV5Vptcd
8x4qgCTKYKHV7xotfe67jAy5U/4arHxX6HX1SyVf9vcTMUZGRk4GB7q4EiCD5+BQu8oQEN8jeTih
OzKtqhIJvFalppAAEVvIr8HUx/YqHsJuL5t/Hwb97HPY2Hzokfc+tNYQrtUxwaBKmVEFGwdyJQo7
YKGaIFH88sxpA2dlaiqSM0g6rKge1HuE4z3MTXP96R9nvLzPmJEP5dH1wvQWKMFmZt/13GS6/kW0
GkMtnqGW6NDLdbxVOwA2IescBbNm03ll0WMhTw7CphDsi7CeTlkI7sbg+3puXV/ZSTMdTcfnOkIA
csOjDoxKB9n2TEpoI013IhVF3URRjeScqyFWOQg8TosWftm2mbjvoPwA8ykv2wiQBZg+4BqtulOG
ka1O6FJiR5U5OyEcFS8oS9vlNKEh6U7A3ziTB/Y148YuURsxf8cevWMDp1FlS7aVsRJX5PsFjLG3
z0Z0wsJaR5lkQBUiCqLnbC6nY2vvzKolW1wPFKvBO/cLfp64Yuu6jyNBbh2A18DyICQPfYOMJvCS
+FKb83R4jJVn6jyPq0k87WUTKJO365wCq4HC9Z9yo9loAxvATrQiKt4XLBcpBNKSBwgr5d6wSYQ9
YmCrcmQNOchZssMlZbNQ86xCk4S5SD+kV6fP1+5QkOPqjSsvV32ekdnat+j5kr0q1GzZdB17rnpQ
UDittOfUROYHQZ5dK3tDGOLrTFfwM2Qbmy3F9RI97K8J8O1UcZDC6pwTmNqrMs4OvIXceUo1BV5w
EgFCEE3ZMWJRy0Q/Xltp18ZLJfQ9XPtg2wfYhFPENH3kSszxJEd74lr2U8oG937JKI+MJayJZANF
VCla5zKYPb8aK/mfW6x9AC+QS5HPjkiZolNR4N63TRQnXDUFohkNa8KVM6LUsHIQqaGuiLVYpvvV
/TBm7ZKnbH98xAcqAP2qLIUtpWcUfDQMbouJgsZjnm/WzrbM9G+PkDy7XyZe2+YmrOvg1uo/H/sz
GcHM/L4965oguGXZr1Sqhs45dhaWHWDyDHpDade6htaPFQ7KSjpjoJ64J+fo7zD1m8nb6zicJm21
acwJIW/RTCIfC55Iqy6lpgfvk7vBCsN4N2DNnBD0rrdTi6iHlO7igf16vxHcbaUDa2zRh3e/ZIVu
n+6+dpY17ft0ROtYWJ2DOOC3T7ZqpZlB9DKTul7FwZBtI8HtjWozuuHksY4kmdcWWi2wkj57jSqO
bz7fUDk2TVG96T2j+wvDEbhVv9ECSBqS4dgImqM8kwd5b6+zr1kwOWuFXPdh1Az93KauAs8KIc0s
C79J3lILVod1Wv9HMvRkBiLffo7Jm22RiDu2TeyvAu7uLyZCkfsxAKqWCAr0KIhrrbHMgQm+yAh5
/Hxps/vdo4B7iIrAeCOhNwTT+CM2RsRReX/nJkfMp6ZYT1lO0EVYFzrB9JcBfTsrZzOgWqTWU/vc
oDuxzC2TvGkQ9Mk+u3TQka+za7J5BIXwR0JCGe5H+A1VxXJNzqk/QqYIV8qIUa+PWBCrE61+CVnU
77zZprQ7afaXqbOey3lMTm7LHjzWh+aqO10vlMXUrSnc3+XhP3XIWGahskiF3N64uYe+pqG2i1Cd
xDaZpozJM3lQplk9pYGpAjTPudtTzHqLBR7dsf9lT5uo2lIpo+gmPW3HvmsPkQOaS46QMQezh6Ul
YOWK438NTGP65vfppW7C4VUJsugIa21cQTicv6FHfI+7AiCSNMpn3GV8K8bbIp6JeIx66j5zWqQs
vCBeAAJzLiXium9m+g5pxngPh8hCIQBBVidV4IfqPV7TqPNtLdFUR+9JLYN8fiPnYa+w54aOJs0f
9Sp4wSrRS9EOqsmctx0MxT1oGg9gjDK2AVVd1z5BipvJ6pUI1lr69wIP8ee6yZy/xNtMvccjlflD
Dy7dzm0MTTxviTeU+tVVsG4Xq2t9aME6BsO3zKgQh9GL4WZ2ar+b7FrZYWiP6Zhj8dcNVGISO26u
ILzsQ+ZaF1SOBxzyRmRLDYQPZIzCGwtooylRulATLBjMUvnT4JvVvjpGaz3rA4u0rmvv7FKAGepx
UpV4KbenaebXm3ruTD4r9qGU/lCey9PsJJtO5m40q/bOWMW/aPwWT03pxSvpS46kAysnSrJ5QkkJ
AUUKTcUQfFEL58lNquiHqo/CrWC0rlpaRJ9MMRhe0y7QW2PNJghTHgcPsaWamuUCTRhlr6lu/CwP
tXeyVAP4VF0kz53nl0db63/ILhmynFaUOqCcSOvsUEc4B6fTkDvMmN1kTLpxQ6r5oWmVC/cEyRUv
QYg3GieyGaisDGeXUkSp4mx7j80FXIEwig6FCu85SDTr6XE2Z6W7CsfSegpYwq6wFZgP8ZRdIs3K
EE3xENzWnXgFOTu/xXryefCgBJRKYF9kXEjSLnWv9hHsYkUaxYn2NPWIFoSpUW180zPePQGMF3ec
x4g0GD9HGEVtvidFcR+hU2RZFI167LMctLVkjNt/ObKTHjaalyVAmTv1hOlP46hkrXyc22djCvZB
13+tZ8u4oKxpXuK8pAOn559Ix3S7KmqxeXD7n+jD9OcGe8bWNpRinSpKv3TZRaFWoCNjKUwaWw1D
Ei1D+zCuYYw5hnHDn9u86eIw+ZgnxiWP5TbCCQe9IoAznV7DyGCcPERt5W9y10QMRsyQMV8ZTZjr
+SE1fWCQyFGwvfRJ9W5doUlI9olXqzjKIptU/yRjUqJQyhaWzdiuSU1PSxnT8VkxM9usfiR9+92N
cNVTIj6PFIuDAO0wBL4yfyWbChVrklEm93YrRKB2VopDo2N2XiMMt4TggJNlg13ONfLxQ5cGnxQs
KApUvbu7d9cjEu9I8WXws+FS695arhGUuG+eHrFH1rYQ45pewEpl2haXi8/2Y20h5/VljZuPqrk3
ee/SPOViTbNzNsWdrPAGEy5lye9J3s0mK7zKXjk2DEtz1/oturPAFMCnUIAtvfoUmnCB5SETzQQE
3hIhzGH16BjtrLkP0fpxXvcd6gCDPnRIY03rzvfqpzBRKCHcb5lhFVE7blhLG5g6HYCn569zYdgb
OJTOyhD7ccoK1Xmqm6+d2Mg34pBV88JqmhIFP8aHGl4DoJK2sd4psHfA/YcIE9zmOf08k7FYxEYR
iwer2IxAEP+oGjDBjTeGB6vywhdsRKsTAPSvWTWGL47VXgZLxeF6GLhn4kg8nVUKDf2gBHzVfBCg
sIo3ldjaa45rI7US4hPw96YUhYXi76ynkbqm18K36JVkQXWif+qE0jC7KcSWENlZyWYMV/wFyQAq
HSkCa4Iq/+msboK68Np07nD05UdlgXlbUajC+lc8iOUjGT8auqn7/2Tp6SzIs32PtNm9VkqYfAHg
dBdHsOwSk8EJezRP+Gt3FP7WlqJR7RRaCfhf3Ce1Wvf/NGkKcu3Y1+INVgi+yLVlAJRoL5tS+BV/
k8+m7A2nvzUTjHDugxNdARkVxG9ZbVar0kUzES3+6cMumkUa1fObqlgO/CRwJ8oYZRtTm4N9prC7
9Eqjfi5GEjSah/KqiSPyj4ItJo8Y/DdLOKGKiWyeVTx7EysDT3R4kFcVPHHkS5zRe77gw/AhX2HR
z+rFmSGRQ1H4gh74P/smRob1iB9i5FDMtBqqLyWkRLPMoerLxfwQBoDc517dSw0uOabHcfs/xlxR
yJFDwt5ut/0AzjFczZGGGnNWXclxuFdLVKHkWRKRxM5jsHn/6MBh/dwhTnJ8xAuQZkdzincZmhky
lyozqJbRHFDcpawg0rZxArIMle9hJxO1se52O3A8xlJOmJROu2aTcZjzpDyg6D0stTRBHt0Owr2l
tNZL7uvann0L+nIUnF+KwrZeUDot1axCGogIz+0fMcC9AF2CH5GNcRcGMuGAQKga5d6ZAnd6TuOh
Wjk5dZRWfv9bnc9YrGXtsorOVDaR7aIll7Iy3ibqPS5Do/y5/j0mh8lZv68hxw4gq+4XQkZnDQ7n
BroW5G6U/zGwDV+MVltT+ByCI9/NeZ2ZGGeIEb1rXO85sVpr17DSxrM8REU9ngNxkE1y39vYAn4+
ggFdmIDIEUE8lE0GImWY6qde3A99UHLhMN1MIbgnw0TczJlurej+V8So3C3iDKSJoTmxQsLQaHnP
v6hlaewcaJkLmZ6RWRh5GC0fqk7cHfzJe9eGKTyWJgm9PPLudhSyCqg76cqnOH6Rjw95iKBJpVbz
GZKPnt8T79tV0Wz05tDqNcC0TBlvY11NN70poAeCqdjImD1o0w3aAfSbpGU7J8bdy7YOyBoDCbiL
Xv8YJ7wjopAFe6Vq+IxExYF9VbSWOSgR17r8M544abSGYT1/+/t4Gc9Y5d/AyMWLJFRPbRqaL2PQ
a2dlAjcvs962YqLQ5znpCQE4/YvKwvKeNK+pYSN2M25kFnyuyHspWNy1OXDKtkLxbNU3B8Ba4eXe
slqRF7TRFFfEWsit0uf7rbpR2y+oHqtPSGbis/o4IxOOsHm1HnGlJCM5Dct51NSPKM2/arEe/7L7
r2qXCogHMLk8jY3vgw6CIx0t+7XpCmVVYKtyURSweuPsxQJpYFBPDSqw6T1AEhem6y/eTMJ+rbCT
czPPQNV6zXoLvdjfYGMBKV42cVFZeZ3b7GWvOThoLWeufq7KwnoT2Pcyq73n3g311x7jRDkJpGp2
zQLrm5wD/2k+qGXfLS14GxcvRKvRyfwLW9lq1Q+45Ta6D2BeBtUWBfc4qa+yJQ9o+ZFGEzNcYzxW
ca8cHnFzzHQK0uAkarDyFrDxTSSc5qvI8q7yLMB9JprY9D3iVms4O7xB44WMAQ/1rpo4yItUbk0t
I4hupKenimWgwJ4oabp7SA1n6jGZXPU4ulq1Rc//o65dhLqmwaxPsZJCqeiVrj51gXfvTgaKkisZ
M2MIu5sANMdqmvoS+ZDVoKvmoVN8EpFxrybH+2kqTofeS47yTB6sAUjz8t4OxplfsBh0j+JOoDm1
efBnm5c7e8dK1PblMwQYHGZK0dO/R+6PnPJXH03x04RdZbhksGzJp8r/ZbpCsX4XJS0GDU0dXr0U
Qdp4pnIrm7WihSQV6YBEUx5iE1yOOVvBjrLIYs4Qss/nAQfg+9wiaQAN6fP2MU12pCq6lHaYLbFT
HQGiq+NNHoyQ7POAQlQr7hOPuNUFe4ofzilQBOIjCFCIfEyVg+VUJ07e5KxJ3Irk2e+pDhUcJNQS
dCLlVLfVpn3BL45lnWeQElccqgZxvL83Fa24+jj3yJbVauYzrxxBKU8NKLKW5nMhDrgmdCWrdDnK
BTqHA0KoL2WfHAWC7wWKgHuSLRUN+qOqd0AYxWw5K7GmXxkMSVIP5n6QMnu1AzevRcZIyieRkkxf
0I+SfTKCWQU0oP+f8Wk/+DBso3HnANhZ28NgbXThx2b77gSppfxr89ErB8teVQx2xeBH72OuJrzc
FFcHj1QZ1saaW/3LP+Y+mo+/GwYgpSvd2cYiW12lKnvAVls0Mh3tTE6+aVuolsVgThnQfP/UeI17
doWcghlb1gFrsWRhyGR16VXxEvmdaTegvvtkOj8MI893mktFSipGatM3NI6Ujy4J/hqOwu8dZoMf
j9FSjTIIv/9jtAyP/XeYF/59tBm6xhoNQ77RQuc5dot3ODrPVekJdaKo+hLAD5Bhu0v0M7Kv1aLt
yvIdbLiznXyvwXqoK96VLLSX92tk35wah2cTUasYKQ2+7a0J08JqzfiCXQeOEYNmfTFnVq2I3Rc/
rfRFqnzmmv6lD8L6o4oS8t3lkNwUMrC7moTw3vk9W/s92y7H/Kc7vuRpYf4Ss2PEyD7igDTjXDrJ
LYO2tht653N2oEFz9NvyRbMG/HL8EAyj449fHQ0TJlNXfzaw9rjVopc/Yho1a7X3J3eybwq6oR/t
iNHRoAL0GSyKGA2Jrotm5soWFXTv0JpgspzYmLehabRXlW3WqmmT9DWZ3j1gZotYa+M/URFYAHpV
vjuREqxE1vOS97p5xMSwWydlWHyYbnt0Gx+4IWZVaFSNr0jalNsKL2zYy9iJxKAJgEIm8d4GZk3N
rgyPcYIdiUA6pVrk3MAE67fxEOE/hwaS1xLWy9fQmYvjPYYsb7+cG34ssvc+00TXpBgQD0nkvGqE
XWQH6FkqZ1eJzG+Bp/2SJ/ip3U/ApPzSVNX4Jk7+6zFi+ixm/e06/z799xh1yta9EQbPlu/0qKuF
H1o8sGdGo/K1YZeFhHf8LFt2Aksoduz8YOpx/koGmWUDdLGV64/9GcB5sjISLJqEJ2Ph9t2L70DS
FHeEmLLdy+8+is33PonFk30a82Tr9zzkN8CnjFFxtLIq2eY+KSTQFOYXe24uclM2l364LHGWuCaU
V84FMmXLAC3CHyrqI+RmmjckyxazYB+mxQjeoiD5Gosz0LOfZzIme+U4ZA/+l97HVUjqQF4Kp3Y/
QRpHk0P72nsOCVM9qndmNGhfG+OpitX2IwwVc+9P/GU5qpq6d7zaI/ISen8JUmiIMk7hpkHFstZP
Oo7Zry38rMHzIpSiau3ZGzDdtouuuVl6rSA7mKtYG6jl16DUUAXB36kpemWNTO+89rqy3skaM/WO
/VCTaO1xFbhWfZXdS9Eh0Lr7MFmxFsNYZhsvs419To3gyX3Y7CEOnbjZUlVCQ8Awi22B1vP/fPa/
j3NTTT2avr90GqPYksv476/UqNi3h4gUIRvYXBt8RZYNamubom2w1kphKC6aCT8LCbEIwqzfyvev
h+1N6ZXqOR3S7oa44g9Xc9uTUVHnNNRGO8HV/SELPLKIE6j2PtQMKIOi5lMKZqsBwmQjyz2IN3aL
ELDVFqoCUE1TzTeyzCbRqvIM9HVxgeZj44fR/bVXutXLcVpjrqcedWFhpeVpFlljxUrGs2w7CjkA
FZ7YJnUKEqL4V+2wcw7O8lD4c3AmVbJUAw9Fmt/xgQT3TjNqKhtRc5rFYrSS69Ii3vWKZh9lSB60
tu9brM/VYOUU2Dk6DlBTTNrqF1PjMyONgd5epZc3rQtb6CW180OB/NIrvv1nP73ouf4sP1fYw+TG
vHi6f8yRpV3ZznXPRQ+kCLLAH5Wuz4vc7gQNDLy0t3nU4JtYFz5E2i9ZeJdFexXWv77w1TpZVnYB
Zrb8VxH/MQZTYTyqC+8kS/UY+TUrX03sreX3X/TOMd7mutbXYBzxUy25FQ1RY1BY15UPYGhHnC2z
75qLdGgJcweZx2xpFVZzdYfImV7bV6saUEUJfRbCpq0G2wbJ0aWUDJTigTKWVvm47KdwA82/O6nT
XFjnpK8gkcryDqoIUN7YEeyMOatZ0nvGTR4Gv+6us/lHNsLRv8fRRX3L9dGFR1+Y91GqWHUaBZCy
R6xpY3dXUOwuql9S807VB77uRmKFuzBsSpiUCOQZ4iC7ZUck4OQqHKtliVTmVvp6NZ2u7XQD+Psk
kKYyVno9j8dIo0wjoargj2+Z41knOSTCsu06OEiHiAk4CgE9l0Ai1Ona6317P801kA1ziOe3KtrX
beI1G3xjp/3c5GtchnokG2c2Kq12yiBFnGrEmU9TCpdU67xXHLOGLWzGsVnImBxiS3hFVvvRbuyc
l0kmaXTF0Q+uMSH7IZSsPSsxDpY9XHuRlql0rHBiLUEmZjk6XriUn4T4xHyEZu+igTIkPysR9yrE
xx6h3+P/GY9AL9qkg5d4YvCp+30zXxJfUO14Eb9b4jWMoxIv8AEaUIMCiqPdZMYmjqjPjti1azYW
n/9qUQVo1lEhsvMsWa62jR6B0mX4QolmlqXtEWDJ8f7OVX+CcBH6e6nZjTna7Q5byPT+LHMwnQYn
ICQVtrsbiXo+nqVZ6/S7T8CA6G81ME4yP8M/FVL6fR0Ka6DibIctREt5OsZzsnKNHiSf6HHKvjjL
s8dBxgAeqx5pNDFIhfO8+fyRN6H3VQbv10RRBXVrFw8DGfzH5WTTE39C7cxlSML0+Bg2dVW9j6A/
RFtNeMLGmnoYbH3U98KgYp0XOpXuW472FfnY3/8feBCI9vT5/9/9LvpviOPwevQdqWr3jlTvM1CS
UZZ7qzsQnaSAs+sDrSHLwRpPDkR23zt7rbm+w9kD0REAwZkoe5xjuYLzZlNIKWsYX6Guu8QF014B
qdGH77aefot0Z9h0etsf2zHpj7A1Kx+puKyEHlTiGjPMGjq46AfLs8dB8Sms2s60e4T+0zAZAwDU
gwub4jsSSSKJ9MLn1g5Adimbj0OeTy3Phmj9CEnoEsoN/iVtCqgwdYwUFPilLjDtPZIWoBx8/hVi
07OWZgWhzp58y1npLfW71vt1N/QN5zpcu5mirrJuxKQI6TrVGO1rr6bt82wU6kHN52QhO2XMS0zI
K64bbmWzmtQPPKxc6tOz1w13jKoe+GvLh2ZjGWqO6RC6BTIN14WAyTJUws+5gTNg4JancBgqEmMK
GGUDNzs/mPyFZTvWVj6QAxShd9WcvD8e1I/n8d87H/FqqDc+ha9DDznzzhAxEG0763hlfPJHSKmd
Za+0JyfN/dfeTjQfc2UvGkYvc1C233UsMqBPwjmXyy9W36TNgul5VBCvDKL4z3jCqLbuh/EYjGwd
Tv0QJxcLN8ElK8W9V2D/qTY+xNJo/NoJ+K2rOwa+hxAggsZvd2rczjfMt2bSp6H6TUzyh/6oaWSg
ZX518J35PIYKLGORBfmdmg3d9Mfoo5QkQ/IQxGIpnc2Y2hjlcEm8YRWV+KtSofykpQyUVSwLvxG5
Nhh1BROIxi0uhtPch8l3GQxxgFTw/G/DlHLULpUAXProUjrjk3zkxGMiDM38P2VLHhJSruuuFIrI
wqxSxmpcVheOqmeHT8dLc12a2Mf4UNTvqWT5JuIwf8/iTD+EMjuUIbC0nl0S2I/3GUeGcipMVP/E
R2LWk7fyFcddyWc4DLgrEAnMB/nJ3x/YuQe9yCX/upEj5FO7MKNwBwrHuD/mZWzQWBTWCDw+VgR6
65ZoI2o61edaS+Ztj1zJBXwG9SxhIO7HwLKSqfe2aeX+lA+Grp92NWX2o2zd1wFtPP4lJpcBsD/r
5WCyqXiqIRZCgFgYZu3iKTTY+8nmicaztn93C8yjBSDgP43Aw65/h7jylxFNI3RErRalLrGsiWLF
PRWaujeihCWNfJv5HO+aFA3ux9ssM3BKXgek8xGDGxNuLcfHDkYsfRKedfvZjeENK+2PYcjrL/pE
hh2mOeWQrqmv1G7B+GH9QBZtWsDPGv+cGpdvmN3CbsLAlfSba+/4SMenln+w+xDhmKnm3h/y0oOu
i6KDCzfBsINFkUQfmY6gI1527aHmB3mwq6DZODiIIs2X9a992I/HDE+uRRXP/WuN9vbzHGCBWkR+
u/TT9tRo7XRtrMSDnK9OK9vk2xbEZvpUw3E7dBrglDxWK5iW7U7WiZCh/xzRihHNfzci6bIKHYPu
L9fw5rJdqzjFLcFcJFtXi9NlbsNxASzr11cl/tpNDoy4ZIIW64exubv3drCpV2aVbDK9II3Xmsa7
glLoMg7s6KR7qfluUnzKpqL7MgFNv5JN+0OOKoLS21pGxyTeAm9tOuKQyJKuCPARkKd2r/C1x+YJ
jovwFkA7Y9NHgpsuxMbVQvFWXVAi/CKaD/yyVCFPNctD4Coxl4+OugPibJE0W/mOl628AYZwmhp7
xxo8AN2gSCA75wHrRsxwICkLQRDMcLBcRHIwN78YWtfv0chA5d4JyvchB3lTTOm0C/OufFdjcHFa
ZKgX2Rta0Dfn4Q3eonvtTfujcyN8ajA/WKgVPqG2EnrfLV8/mFaGl2o2fJ28/8PaeS03rmxb9osQ
AW9e6SkaGcruF0SpDLz3+PoeSKhEVZ19+/SN6BcE0oEURQKZueYaM45/Vcr4ismc8TrWQcPMU68f
fBYwG4S0/slOFXNvp7K8C9quI4VEi1cyWQYhPpcb4ZYlTLLUOOWuOtXBPmCOmHrVR7mbYnqio6gz
sZuYx4k61+zgSahqsxFSiTpGk6LWBhNpy3aPYzC6x6FQvRXptNISUITZstpNpKNoTlRo4qBHl4Ns
/wMJzrq9HkqjjFZmh4WLqLMbVlboF/wjxvDK4doPivl4SMMa2Bzj49j0F5lrj5W6dEOoJJ7chqfG
zNcFuzK3QI+MW3HWdWW0ZRVrT5C5jzonV9ubMjR+DIGxVEFIP7GbgYvIGOjwqpz+tRlApOqtIe/1
CczuQBEE/HX5EO9MkWIRPxaBZS1Ut/wUvDtRMpRAXuEV42xEULnsUYwnUvhLhKSxcPxGdMw6KdNB
nMm1/OomTr3z2f+rt6zQ/Z1cOe+BVX/0qOVi2IDqYu3pVN0uYgnJhLEjycLMBqLZnbIN0GSe5iJs
efZts6xciT5pblV3ZlnjrJNgnZ26Fk9gAHW9byZv6ZAYAA/G/lBGnfmc91A0oyp5I4l22I0dMB9d
xVCD8FO/IF2n2o0aQ4fKI2kTDGk5l9mp5GvkqtpFd5W3QTfU5z4dn6xKxXK9DQ/8AL23KHLVVYQ4
5GT0sXUY3VQlegNlS3Y03cGD1CwktGR9U6x6H0vmrNZumrTUEGGR1nvkNhGtvUYj7C366GppHsmc
6bbcCkfSBGRwSKoekOidPTJv/Ni9uO5XsOUcwfdDLH105cfBgBxmhWsIW+3ejPkdbUdLDlBKRNjW
6Jl1mitJh8BUnD6biBShRY61z0mYeHT8RHWtfEF2EJyjhp1zUZ3LJI4prdVuRFEM8pWqXBptby/F
4im1Csl2Fj3/kw27bc1+jJVLzC3+Epd8MJkODmUS6P5jFtplwB3yS301Paf/7D+yEl7FrTPXD9CK
wnSrRi7J/WKVG09r4PTzAP17WvqKI5kbJLxgtrEhPw3crtk+NaSs3Lgwx1bipZTa3XfW2D1BqCy+
1E/9fWIik3a6OqUli3bN1e8Ny/YvuT7sxZ291h1S5xoL0Sgx/Bf40S1rTlYZZh5H9x8iK1jxqIgU
IyY3CweZOkBQLekWNJ24IqDVIZadNX+iWRzMODUQyidq8e7mlrsvYB+srCTpts4EOBh9fMqH0kAX
GlnkT+V2fB/hL1lrDal/U1WsFATJmPuI/jKsZrXMb2I2Co5/P2NEGTCbwgZQCW3TlcKNrFbSsgtK
9Qw/FOSiErItbWgITKSm25FOi61zXxqX2Kj7B9fmV0VhJHH+JpLV76mle6egyarlUOIwKIrXQ0Tw
/ySK+NvC9EDbuIXs1JEoYPNJGCzNNwWRpD0xmRerD2J+KEW4NSfZXCr56Z3sWCxkJg1wJqnvjdnI
cPGRfAiR6PVQxjWKjdL6dq0SZxjk9CfYG/3J1GIohro+94AEcvF1Ez+3PNnXSjW89WTFrZAW26eq
aVlmKtD0g1ROnl1dfsVEzvxBxIrAhn9UpepF0aTqoejLmtCi9yvzwvggqjIs3W7rPt2MUwdRZRqu
vAkjKVmlfqOBrOuqtdfnEa4ShrcUeth8lHGdCwdzj0dVdQyAHNgLLf0hAQtXSsW6Z+lh7YvAajZj
X+HLGOcHoVxHTtYszCk4AMKNO6znn6O0IknU055KWQWaR0kjYj+XwDt913xQPb07ANwSgp+K1eyi
l8OD76vqwxAg87VTddIVo1aDhrkvAWghLKYY9E2wUmI7uBE/gGmQMRjQKnQb3nDnI9wbHTM7sKA6
zg7B7HrxTn3/CJYnuW3EDl+nbEBFTlw7Pj3xCamWOyw1R+q314/VyHskyvZ4J6qA/Xg3XgTucKjC
gq1bVDspziMop41i3Q1W/iZV45sjafW9XyrqrcWTYCHqYSfCB3f9+qYOzfS1ak9Wlxdvlv3Yqnhc
+3E0vMYab10iSeREuq/7BB5rrjeiQt8TY4DREFqrPpPLc9qjj30WtxUPOIVQP0hBZrFMA3+BCkLU
CGVEqCjOZhxCf/lXQ5pDWGpLudyJBtVxvZ1ruPqNCl+t94onEb8x4qU/UBDrYlrgXRZPICnHs6Ig
d5l2vk39XvFsfKr46WXbTsOlpFIK5a4qinii6SY/S6weEk//JUvdk8k377WHtwJ2Uo3vHFhNu1rT
tT0eAeG5i7F9waRDuu1TmFQGZIwTgdXqmHfFE8tDoKyS7rursSqNdYst3oM4KOwqmFFonpK0AZJp
u/7ODgw1OqHkULZ6Yt+TriHfim9kGJv3fP1k9lr5Dk5tooTkzXkYlXHtdcmmNLjzD5aE5XDP3FKJ
UvMmhQ61UXU/fSJp6UfnJuaPqWunV8ky8yOzeMfgJ9q3bIWdMyV8Norcm0u4vmZnUd9PjUbpP7vE
C/eiPkJGrCzM6Eep6S+lM1hsxXDQeIaSRTmddogWB0/mc+YBKhrtuG1GBE5ysVLxTF1lsGo2sxxp
TsOzovIZN/ViFThMgcQ/0qqHr8VrqwjoadjxLdveO6ppxJ/7xzcISre2QrwLNejPhlTNz63jlYdr
fZXa5WG6hjOU2aYYMbVrG0M79dMhKXMJsmlIwCImh+RL3dynspKdN0hvokEcIjFCnIKFSJdpaOXr
pmw/LhhsMSdHFeRrxvhuNYa+cyfCkd9WECann2PgW5hDOTJZK5XtP8n+sBX1bN8TtMLDayOKkLpu
wjQqH/EgiE9ieGl5zzNAwMm9k9ypvvU2+M7FQaKU4718iNw8O7BE90AX2TJC37ZBisBMPUC9SnvN
9kG+EKdfyvOAL22OLasLTcuzHUhN+9aS6jvxvYz8xr5F8nanYMJ47MMuAd4HzC5J8vxU9SkrobJc
2oVhPOKsWd3n1gghnBSNofDkG5MttaVmy/mLCxF4XWPxsBWDml9qg7hgPAgNc6g6xl0RkQzptoR4
m8G4+2zz3MycS1yBFYnin7uc1NG6lKIb8OkaGw/KDSpwA85t7z2ESXKORR5aYY17zUWq7DRjdWcX
kB30EU+7VwnmaQVR8OyORn8XmknLLdx/k/RouBNVc33UbCuWhCefgNpcz58arrjbsx8EAOQ0x2j8
Lr1RWneHsZf0aoxRvA7TMDs6AFFPEOrzlU6w+ZuhA8j1E6QENXlzjsY7ZTVi73gcKlvNkHCNSGzI
aroa/LBtacfsyt3P06Da0pw1kzn3pk79Sz1A/1urLfQlTa/z3ZelasDebK8fxpqF0U3eq2SCGqlx
1EJg1IocnsUtihhdeJSz4UXcokRVJiskQbHXOt/JFDMsTl1THctQ3bHBpr3VY9CwcVV5ZztzygOj
Mdgh4fEZ88M3sRD47FqgnoWiHnx0rVzX2/Ra5D/Dmr92ddrCOo5a9FPMiDCo9uZpkaVLZ7Lwrd11
piSmS4OpkJ4yRGTXf2as5NJj4bnRrchhEVkrpaWVa2twMlS65LXkqXKWpNrela6KZM7yClDNGDKt
/cpCN5d3UnsD+uifoeO/6vtNexlcNbzYyAcTs0Vk4LeX6dm6jMfA3oqiE8k4Cw7eN1ESY6qseh7C
ITyJQU7i1sDmknBFOFPGPmaU1+xLe6d6JMeFXQvcO6eQqziIBnHGtp1/NJOEjK7BGRauEao/2rU3
zbP0sAD612r2fa6Tw2o7iKhGGUu6OGZapHdpvI5KVOq4Cj2SIeR9/+MEMw9f1LDSmE/svLBejDjZ
5g3e7NxtjPvIrpEH4rW+7tzafy/J421qHBQM4v4GU4ob1QCu2uj9T9EuBprwsZZ5pca3gHr3FnPD
B8vrmosyoVPF73/kWZhjC7OQzCp7acZJ8tUAKxCtWQze1KwTbgB9EDxlsr6uU/RIJOGReeZvyxaP
XK2rnTfVn6tlMKxbOYo/quk9Si5Gba7SgUF7qqY7B2uF5pGCICCIQqBD0iRLog1V0SLy0X8XPLcE
TYlX0f2cZ240GUI6k4QcbFL/sWOACxErnLOlcitDAIhIF9bmo13VvwAkD98MxWUHpn+pMFPajUQP
T1mHWn07UNfwOIrYPH8c0CaRMelnJ6FSE0W4zdlJqNTGEriYaGVtqm6aMEpWuoF9U6fKzcHCU/aS
hNJdwWtKj0HZzEUlsvp/RLfMeZdHNDBjDmN22nzlX/VGhFd5DIIWq0W1CXd+KQNvdOt+Z+pKf9+R
DyRWFOIQO5GxUgsj35RTfi3g6IFd3o8epW6y8Jh6pOaQQ2pkHeJbxSO85/Re02GTVFpQnZhvhY+m
DWp4goXgsKJvqiaut9WIlsQ3jY3NrIdElbY5hkkJvq41K1hD04ZypipnNGz+JdJZA7gueK7ZiHeo
pJVXYgojWoOp1ZNoFR6+sWZ7l7Hy1mNhRneDWaX7yGXP+5lIfbTzY2AxmoxbwSxJzYD9EbOgbIm0
JVEGn/q7PLb6qhmhNJMLbiOAJBfXyyVYpwlkJ1EUEkgDuyN8Bi6iJnFygJZT/3DqbyjYQlz7iy52
/a/9tSSNFoGPHWg5Wbi2lqaupLQa2bBwhnYza6izqAvYFp1ivEogHcc4HY64BYr1bSo78S4nsrUM
puWuVlspeRnWUayAxZrXSkdcSYr4TvQ3MAtkwqKbOxO07YGA8huApUlDLBePYYGXrZOhoAXRWOHB
OETlOpWVcWlWzOXmt6Am5kgaBrMUscMIx4mMOQAA3PFWHkv4e0yBynsbCMm5ja1J2sb7ltxgLopG
0U30kBJjVZIpvS21ktz9aWLZlxhSOImurYPAYW/mc34pzvgVpQfX0cllZ945TznnYUO1V6PRJMJX
BeDH+DTrwSNteKz6jQ4RnXA2dV8OWQcFLHWqucu1YeghXC34/mtHPdbf3YRYt4iJZIZXzzKIJlCA
908NIuZvpSSMksNJpeUG3dxbREtEszMFT0WDo2Cy9TOz4wKnYyxvbiGA6NvOIPVB/MNq7HXPYRbc
ke9iQbe08g0kQWP+10koO5eJP+T7Luq9u8HHRKQbhh++LIFZn+bwAUR/baWmCbDmlyBEK/WOJnEg
04JFvs8XZBXKBJH/2geYs0hFc0VMcW6+bg6I3kUyyksbzNi8PBh8qTy0PDbFy35ZMeDKwowgAH4j
3oqtL7BOCbGVBwpsp4W00U3AcnBVpyW21X9H98RiF3NPxSBH2SvMZ4gz3rqPq3DfASFchxN3R0iy
4tj2TmhuV12RQ2AQRUkqV6JHjNjftpOJHRvoZ3HoivZXyvbF7lolo406e4Mf7kmtfBX1aaKQQ2CW
k6Gvd7KLxD+JM+Be41pPAEdd60SDrhrBMs/zYROnXnJQg/b1+p2uErB1gOBeg+mHEMApJ0lV5GST
MMOvV2rtA2TLiHh6RhDIhb3bs5r/aQIXz3r3Z2CQkid3dvTUaamxVjOtOsoKUtFKd0Zs1mECKNoA
0MI2w1kz5oCNOo1h+SwEZUJG5uKelqTQPEiU7Rdxk5ub9AIA30frmzW3SRe863owTdX9eA8po12J
Yo1SZ5V6ub0TRcuVflj2ENyKUnoZHQMvQrEtMraAoWoTME+iqZifTdykMcs0+HJ3mtZF5bKY2EmJ
0gY3gqxEGDFdNr66kSfpmMhWEBkN4mw+FAYu2lLwKOqv3STVLddaWpQkeGXVGU/79RzI+KsYe+Wu
051k2SaVd+GGEi4JGQz/gM47DZVfkfTa+QsL2dTPUet/xfw0XjBOz0h0lQICPLW1BW5a32iRo+Of
hlOamkvJxuzKn3GTOvHeTNg6jYzyW6sOffdtRBgPIYrsyEldwTTy43AtZsHARrEop+6AqwgrjH/r
J+rUZg1BwTuJ+5Q53axIOVe5Aeb2QtyYrjcw0SqKnuOpa8wgPrpcGyoDeoii33rFkK1dUmVXkGjT
OedZnIXBrRRY+e21mtvQ167SSP/fXRsjLr50rePgDg3oGVPU4T5qJXnT2UZ6lMZuuPHl2uW5jSVC
U2fqihBv+9S2XbMYmZG919zi5+Qi11AWmpnmEG777zb+ci9lV+jLprRxC2BTEE+Hwlz66AveJcAc
cccmZIn4cOMGrbtXM1V/YFHMmnrqQT7Tdyj53SVy8mbvuCMAaLXRXhud2MjUYQjJOMWjIz/DwVNP
lsm9DDm5dLS5aZ6kSWh0PTT1W1MNyfFaI86+dCWra4XvWL+81rFLtbKICd4FZZVvGgeximGm46XF
2/HOgdGJnHm8dLI1XPLKaFl5Kv2NKJq55O9V5jaoAv26WGrts6J25YNo1Ke1SB+z2y2KzNq4wY3G
+9zVreF0SuQficbSYk5WJ94BQS/mlWx4nUF4AXYOwho+MP7V5Kay6T2VRiXgMHUJx67ZjVH0Q9TP
BzEKw5xsOY6RzqxKTm8yNFMLM2MJaKtOc9vwi1yRYdO+ALNGheQZv+JoaUhy+gsKOfAYd3x2HF1l
I6jUz8j08HUP5XY9b3+NbEem7iqanKycrrABs6O2DR1neCUgDzQeZ85D2ATDqx2uk6nXYGG5Pvea
qnV2Sv7sJQWF9PVan73GFpS3uNbvVywDf+Um5DlKw8pOQOeOfag/NFkYbuElk3IwFUfEQg8tmeo4
wo6noG0pWQPGaoqZL/CsIVtcwsMcD1xV3XtTs+917Vlp6xsxfh6RVZj4kGO3iSFZMmJYdS0eOHMe
dZ+heslbTHOivmcPP2S/Z0K/Z1i6iykw0n34NJC4RXM8Nfuu/9HMjg9ZlNNoe8DoJlSL+xYrVwXQ
XU1aZUdI8q9YAHrfg2nWxv6vR/s1FoDNyCFPVWMv5guiWxFK3U0PUeffwhaRot2NrSnvStzAuoXo
guwFFwWxYP9sFg1qmGXYfEwREdEKqHIePLAh/HsEvquQ2FmZw6qNDqMHp3s+FeV8qhRnzRuuk9KN
ONclP55rTSml/7WXaP6rjyh6UktyWxy9JYlTzn9a16Y/tRAqOPHBj+2Hf/uTp10KOW7TeZD4Q677
FWJAl6RwoK0BEmTuTe5Mso0qwcv2TaD6BwRRHwfsOWgF++D5m2ttaRcKvrVT17mDaJqIMYmF4aeW
G9tqEkItmzF9lvXMRKVdW/dDFHBwoY0zWZwLAd/b0DZu5u5u76V7MNUw7af+4XSQK42tqzpQV2KE
aPA8KV1a08u0hdTu3FyajHPQLUyOB2p1sNIaixi7dUFD21qNxmeqTczIw6lFctZ/txiiP0kWxIC6
lRtV+W0daQWakDD5XhL6T8Nc/adDcrUew8QmHYHQqYO0eJ9p6qKQnfAeS1MNkRH2UpuP+b3UfQNf
EL24UZvv28nCRCBuZHzmLa9PFgVhjk3aWS6amjKxduoQ34x5SyxUsY31EES4z/XYmuUl9naZafKF
tcTEr274JnY22Ace6NpiMhGZNhKYuEaYRJKWzd5B6KrMzoq12DsQLRSuLb+7/R5DDiBbIFGqEb5q
p9zQul8I7a5Ipy4G8kW7ABC5q0/yjP6zj2gWmdimmv7HOBAkWIdr1cVlS+/R9KxXdSiT786QwXsv
qsekJX6BhsrZZlXmLYwMxR5xr+AGjR52cPVgvwypwXOHPYIUPsbCNo3u/r/3aIzkqSrDGovLprqd
GT49+UttiyrEVnxEzAL9M9UB1ZWOf/WTp7oUo/atL1cs7lHvb1Il946+1GdHJtXWuo1K6VHTyCPB
/tz9aeDkrWg/td6G0qkU8mM8jRn80TvC4smObqdbSKVd95FsiY8xzfGvMeJ1nA7PydAOnhVu8Cc0
qsoafgcGn1MQoOkdggBwczX2OimPXfrT7yPWZlPJBTAyLMQ4FvPpccgwj/nsK+rnLrrbnaGA7h27
3SlKY/6IVOMtAwQEc1PxN1UhF4dG63y8AVBpEKvV36auRTqOCzdOfhGZcyqcl6223kJ2HdY8rbGb
UCDpcFcsL2FpfEsV23/PcZdfdL2S32O12x086IwrsR0XKHeEBox/wkp7C8JWR7ekDDvZBSwTTA9F
XM9ytjFwUgDRFD6mDvuHUljtPdnSSUkl/MYTCxR8pVjFyvQLpqLmoD/XDVpolN+QCTMPrmI8JMAV
0R1Gq0hl13wMJPi/NNSNER0nx7blaOfGwVf0S6W5wUNHut8t2/i4t0Dxf+t8DHsKd2j2omjmb67K
PplXpDDRY1CT3FH8N79jU9M2tOoUhLb2iE/OVtTDqOM+GDksoqeLTS9io4JaAE03d2XWugdxMO3Y
BQqtfxSLISTDp1Ex1/rsUqLaCFZ23y863vl6yN3mUnHruKl7nOREUR3VlokcXjFeJJ3RrLQXJcsT
LOgw0xGN2AWxKWeYS9EoBkWt6mEpJmV7V29YwehFz1dpxCDPaq0HqeiiPekV/tYvourZLFmCFGn1
1Npqd1NN7nUTvzCfDrbpBjfcMGIeFbZ5LxpSWUIj7sCzUFy1Cpf+BCkE+uJv53JiKz+irLFuXIEz
nMYBb17qdSjfiqtAPFPPXZhtOqnJNi1psje4Sf2ogyj5juPAs+9m6ZPeFsq2NrlzhOHoXkot+7cO
RZ80u7RlZ1Kxok2sYwtLmt/PwHXRTzpoIfXWJZM/1t6DDu174wXqU1dhw+olfCFCnlvbvE5V0B99
eASvTq6I1lX3I8nmiNVU9QVOyg9gBd05nyI+4n7st81aC51m5okaQwc9oWvuw/4Jpn6A1Y+aoayO
7ZfWNPfijyIThZVwDA65TXEWYXaWHuVJhWCTnZTJvnYnSmlhOHs7MIHjT42IOeoHAA39ss99eXut
wyzw71GGplYLMUB0M3oTPyDmL//jqDYlpENCcDXJSQkgX0fM5ek1yqE5cLdwj4gj/UuXOePGcMiY
kbuYCSOeV/yYLL56rAdQhITyxmcvhQnsJAnpaWUnz7uvlHXHhuSL0bLu8OUOp6TGOfo2UKt2IkmN
sUxQTIsjHC25QWh002K//9JN1ItuTQLygejt8FogkBXdPCX6uFr/eTVrupooTt1y9OaLEXnxydVZ
w8ciAskD48UkYLTpLSBa6PFYCkj+ZMNre7cK9gVPrhovRb0RtdVhACi0jHxm+XU9KCt1yLO9aO35
YwpolQ/m0Ov3ptsji+FiakjclaQvby2K+Ug8XLJL9yCKXvsLz9oC/QpvyPWMFRA0c1GG0JhHLwlf
oamBdtDL5wGw2hkodw0qsAheyx54bdpmwxacRPCq2tGbIuntnZXaxIvyaC+qa6UY9kmPk4sYVHg9
uYS52x9E65/XlsOMKfv0mlVifL02mP23xqrbu6jOun+7tjq9g3ac8hQ/r92kr3LHHpumHUdL8yG0
cJDl+uNMy7mPWJokIGb+OelTPBtFRyAY7irWIsB+U28Aq7SI0b0dV/ugae7JvA3OulI3ykoMISdo
IXW+fuz0wtgBcn0OoH6C+ZRiwofgklq5NPAWqvN0J2U5q3+3Vlaij+EY9kk9NhixJwdNsd/wzAL3
MA0Xh+jzTB/NeMXOS5ro/Sad0Eu+zdyltfx7S++Uez2WLqye4SL5FZiEHJckIekktvZXLzFY9JKh
28NBtfRlzD3rxi7KH2lnhN+mk/z3ic5WgagRJ6Pf/BAnyu+TqfP/qs9/ewlxQdSlJz5TpogSLCyp
y4cdE4D+NUv7XZzWwWOTTBEoJcgXol50czVAAyaTp1ceLjvfjcNHdGr/0c2Zria6yW3zpVvRSiya
fLDS16t9vugwQKvv/7ya7cj1WryoQZhrlUvYF/sBRmTRQH6DCGSJoqHX0lGEuWJuL3OrwC1cWwXI
YZDM/69jxdsQLySuTFxcOl5f9/omr68rWrvPtzEEdbslr9BaRoaNZsJxTkbY6beyZOq34iys8EJx
I73HqGVqaJvAWhSOKi/Sse63oqMqKquyWMVmWZ2ug/9fLzq9mpfF+u31wnUaYWQrXvPzwnPd/+ai
YnyMsG5+t18uqqAkli3/67v1NYgDnibNH8Hc9+8///NzERe1Tbnfijd+/Zv/bxf+8vqpayZrrVkJ
AH7rRy9NHsrYFoLfk2w8dNnt9LeiSDIcgo+kxLmym3B8ee3e5wHxkYnEJ3pkqv9lOHaf/zHcLtKv
wyszW4qLfQ7HgWRc5GEln7yGTUxzEjlH2rdkHILvRElZxkKkhhlpk06IgeM2d9vo4hF2/peukVl9
dO1N8nFE10EpfkZdt9StIH7SMl1fxyOpH3ix2geEf8hPcat7HKe9t7IcOlYki5qb/c8MHhQ1SbKt
mR4tlCmsMU4HLW/dpdrpmItNcRCjbGEUQQPUcXq9iG6i3vIMbHYklZBpi11LA5X1IM6uBw0PBGKO
9keXa8NfnUXRtbV8mVhoAYkCd6fILcl48Jx3CMMVYJTfxRA5d4Z+1cLvr5XGdUZEAYZIjGIoSIfJ
DrK7YfJoXFxIYkjlcODWJ5gbAMn4gU15kpF/wUgMH0kBrh9L6Vksu0Uhl57FgjyDUvtnSzR86fb3
GKEG4Pv3n2PERFPXtepRrl7Epc3UszeOZMG9H57/NwP/9T3hD6Yu/R4nT1lusqV4OmFYIC3B+us3
4hkGzJMJWfuCDC05OvbAt3PKVvBz/WsvRTmRU9u+sHz56CWP5XtcjykqODkAYNkre0d2jUvYua8E
lPz3RkayNWqdDemUZPZhBN4n4Ldh9rOX7eyffhpIPqayr4AfXGzffhXtKFm+Dgy9Ah7OdMU2/SUG
dqhgN4H2XI1Ge1NFLmbmsJXQzSgkVhk8Mnv3WXyDpcD5Uede9EyIoFirdhedWC1h0fkvY4r+WVhT
fI5ppzG1n0anvsiSg1Vr40bNdpUuqRsmHQVuQrZxaJNWn/AJ4NxLfmM+UbW3WAblQgqKt3DKRZ5n
7vR9es3hCbxiM68vW7lJ7rUxjLZjhA+ylkzwVbS8/gWTT2c96pMvZN9Ht5XVKwTBu/B7ru+FkksK
4nAZhP1wx7Tf2TdwZTcJ9k5PZu68ih6Kod5mGkrNvPkmpYN2F02ZbmOOIRtWAARvKYn6zM8wJhh5
rOZyzTRdwmdyo8eKuxTN4mDKGtH7RLovRZcwfOlNjL0RRYQnrcrMfdF68o5Qx3A2HD1e21ZYPVYD
tjg+qr1vgIdOWTmtzyLW8bou/8qz4dlqo/BtGJRyGaPsf/A0/pt1YmNW0rTlRvy2xSE18x7QLD91
K3s3grQ+5hDY9jITiIXHpkR9GQao/86t1LKV9w6eNINST47mQnBtw7DZBoo9HiyR6QsNL99YTSjh
gznqZ8LKCqTWwDuEJeLIoamfSg+JZGSp/S6EaHbRbOUngIzszouiYZmp7ZLUVsJ7f55l+gAByIsa
PGOnsz9bmS5SxyLyo/XPfplccXuy8UudRv3d12dUKMb/ec2/X/F/6uflx8Ty5OIdgXVMoosuP/A0
B7JXdT10Y4qmkTS3fYbPfYwd6NItxnYdMKded1VEGa+0bcUi8FZ07goPZpfMxmJZRMoDoK5kqwFa
XefEWAAjfmNzz1lnkdbu/cTPn9TROJFhU30z7AjAPNiqk0k+4h1+T81CNMQJN9uhN5v7FF/UY25i
fS6uJFn5HhV4BY88N3Z1obebKra0f3R9VReI+GDGFNve5JlDEt8TO7AgFOLih5DEp75ibbPEGNci
Y8SsPH9a38VHoZ+fBlUopjKfqB7YqJHZ2Hzm5SX50SF1vajz0LJ+aY2siriNraCzU/u1XNoVkh90
6zgS7MfRNS+GQRCbbGSIM5VbXPAmwxin+Jmakfld8aRTUVTc4Qudn1iroVIYkLiGscNUwpPxlAoP
vZajAnFNZ4kfZHk2Rg/NPhtY68bUirdc97dpElrfR1UiZcLKxwdrhFrMOkrZhkpZPOLl/dMYQ/fO
8hMwxyFZHapqvFdeyb6zU9qPrqfG666o8rMqe/FetSVv35l9w8rUDNZGqgZPRq5hI8tH8l0aXew6
OyLa05WqOB0/4O8BBhxQ1apoqWqtyUZV758zf4CDqffmN4Olr80t85koebMzxh47RK+yXn3CUfrO
SU5Cetv1ufbomCdBCxYFZGyiZQSoNrV86ZachEC3/2j5Y4xKMiYZYtwRox42Sm40a0It6hvb6iuR
ndGVhb8ssPC8++89xiBLDyjrS78GHLXAHxazkBTDaA+rzI7PBCDGxubSrwO5EJuoI69JSfUaKWPS
zz3iojvIhZ+/FJjZb9hia5ix9cqDpEnxR4/MvK/T3H7CfrzZRjW7pkqpuxfbS7/PL9KMb7U/do8K
wdxdhUhxCxjdWhpT9iAiv7tEs/wHz4qr+1rrHond5q+yAkqMzQmeplNRIV9v0aWRc05s33gs2eAV
9ZlaWPtOUmoySIz8FWoBISTmaEfR6rxm8PxeGwUxSCHjEu/bTvbaGAJXV/d7MYZ0so3aScUjy8T8
VrJhCmNrnTxlSq+TNJmBzb7nKbrO8LDE/5SzUe0481PzS10YVdix56DiroE6fK/zVZIN3Co+Q2Mi
8CWKZp/5x6Z5VEhNOhbqyCZemjw2fU7CylSFmLkm7jKdXrtci+LMlnCybshrW/3VEMtZB1sdk22M
bskLSYu8PwCx7g9V5PUHwybbcK4MymRZKKq9Fw3XLmLE3E+0WGLItf3aHeWoDdLB61Zfri1OnThy
FhAXh1VQKMaBm4pxEGfXw7Uu8sMnNm6JIxplWi7+rcu1rqrc331qw5vHDX3/oyZ/87XEkqvA1/Cf
LE7k21y/D6UefU2u6fsUFOYs0xqbBAP6KMEfDInXNZQrzkTd1MNEdXUU8VxRLw4f3gG/W68Nf4eN
nbuPrE3D1eI9e0LaTLrH5RJLntqWV9e6hvwhkt6lb+onEF80VsrG6aVoJuuLGvKFIm7IVb0f2wkg
zM7tprKhWJMm1cZbQlrFYi4Hg5+dFavMzv1ni6gjG91TcClUs7MYE+rYT86VPlm+67CBsY67zK1b
Nf6rbXXhWq5BXfT/h7HzWnIbWdrtEyEC3tzSs0m2N5JuEJqRBt57PP1ZSGqLGm2dHf8NAlWVBVJq
EKjK/EzXDbixJZCHwTB9WL71KKh1+L4PCCj9CG2TAWeOkIS2A0f0D6G1pthr9rrwZhdDk1gfmgcr
tKy1E+MWfxN6vuo7k/IiV8DALfi3AblAWsTzuumnBPF90IqC8xmAhq3nAdwt3ECQidJ5gytaejOu
7aACSPkHgKP03a5wu6rAhQZnGk/sETdmmXb7fAR4qrl2/gzPJ39OoN3i36bYvMuy4tlN+vy5nv9q
7MB7lEY1eNZdlWFp4Vg68vo6xXWg86G7HcpOSdZU8l/szBjOcrkIcOc9dLidtOQCt09Ngbtvqx7S
+U3BX6T9b02vWDB+nhmvb9L+MtqgQpllfncXerUH21YY63Vv/Y33RnpsA8NeeXmq7UTbt8Pe5ar5
awWNuUdWqVzdRH/l7BrXXSx1SK6ht24TbOuK8pS87EZAqutk0jDSXozNpOnVbXOUl6Q5zD9Gb81o
CW5y1To6+rL082ssUMLxO7inv1KjTT5FmaOtpzkznzytXXCrpAP82m3vdB8v4BCrQTSpbBNftK58
w+VwWM3TWPw11RhsajCJV2VN2SCN8PMRKHsPLMBp+td0Lrut3mVIiTRBD2id4gM0fWpUy6gGD+6x
U2p+ugxeJ5AU7/xmuk7XqmCgQAmTMwvD7FFX4NJUeYWSsz1C4ytwtqxz/wAuZ15LE3icdtEt7bO0
Oqy+X1qXTAaRQaJpr4XRo2es6g/X6AT4bO730120DOpdWG3rZjS3ERUBkVCwcElYl05b30kTS4gn
Q/WCJ4yCsrfYmXmPobtQ9fF86QoqJ+MwFx85jtJ7bw77bc/742wM9T95CIRKDkbhtscxY9vYozJw
609/RkifjCJciq2m6vvbeq54Lv2cIQO/NW/TANGRnIfRv/ktTkJuH+TYIG9W2ah99qEC7G/f5fbh
t4vKpa7NBnRJ3iDTvXzl//0R1vKv7WCyIWna4WcHGqRRavs1m3J73RmTdugbxSKxotY7HfubrQp7
9TWIFP2Y8yxYSxOuvntRdPuTtHBntJ+TXl3JzHaZrgag6AO3epIAxfdBLJn2dI5mC/3Akv+NSpnq
C5D1LYZ9GC1OWfjYLYcEwNVmNkNtI00ZkBB97nemC1bvNiHUoF5TaoXctlzkehiRQavbvMUEJc4P
0idXKv7zgboTbvuri8GYtGdEpqL1tVzquZixUVUat9d26fEWYl3tHW7100bVziDCETRbqqlkFrIn
ZASu8bmC3lwV6y9SnJWAoEE/jzQ9MqWWrtxDMVqzN67PAmxFN3mR9Cb7cddW7lW8W0b1tkc7UU6v
MXL6M1CgsbVMvg4sYNogwV/DmQNz049mXO5AHaDc0AZ3hhFgmtuUwXTqzDkqd3IKdHc6hYoGiR7x
MRJqCJLuoHruC9eF3jUpPBNQXLFsLOYLhEyqeFVAq40QKgHC3rfoY976RoQbb6O3s/9LXP+Hucv1
hgAEhlgkB4mO2irbtqAstM+/nRVNon8eVTNbzZX+X6Pj0jcvo/87TkZJWPyI++0zbp/7e1yEBluB
EP+SqxQdkNFqN9gaRNTZyVfivZ5sYHWjXbk0m7yB/dM5mNuHXVavl2An18MnURW5BcvloCj/CJZR
vf3Cgqt7LDXzqOPr/R7Xw3gPc+Pv0p2a9wjvu5NqT2gSLYMRLnhHVXNTyJ6MpnbiUJLXnK2M5p6F
bV9mIwawBHfjvGACwvKOJWX9nscKCE91DHhsL6Nx+2yiyfsoraHJoXhb40voOe0beB3pLfLWfvJR
zekm14NHi5SNYtTRTsmj7kyBNjthbIZDEoXKZzUq2NMYrfEFnZ2TYwzmP0bXb3O0af+CRI+1E3mn
F9Pqom0TPC9ieViYB/k519AgWVq6gogK+AL4x9KOJ72lojvF22tzUVCRs2FUnLsmMvbX7FKgDNOm
nQYE4wYN5h7a0XjqdfdmNCPTOaPrGK3d0HjxnMQGoaZV4Y70ActQWWv5yvxPpmreHWuddsU+MzmJ
A4mlFsWuHuZ6K82gVXqsQod/Zpw2oDRZJy3zyxfxLpmnBxuC9lfbY+kQVaX9FmfGuGk8w3oIy9aE
76lZd0rRBWcrBKvf6mYBLaty123hjB9V6n8fkM/91gTF2vUWawbNGfZ+2dqvw8CS2nUneDdTcZQ8
ipfqjwjYjk8ol5Yvc64fwg55gtl1B2gOwGYlFyOTcpyJkxrYbb0OqxTn9rKB4d3qzqWbAvdyaxZu
tfITuz3PlWLO4BqJq+Ig2CaWMazrMB+2SaG6KwzL6rMfqN+MKMC5b5wxvffZD59tOZ1svcQ4Oa22
qcP3qEfnAsCHT1vOijro5+U/mHeNFzTQqem01ZQXTthAK/e4cRFPcNa+a3+x22q8C5vZfyqonNwP
jQnaqlKepCvsPecwQ51YmYHiP8mAk3beRg8a9ttLnxzKyq5WiQ8MbqSuEy+GiZusiuuHAOntdaZy
l9cTicyg/N7gUbvq7N5+0xKstquqTe4NtCKPcWOxgQvJz25Cd64+uaXzZrlu/k9fA34/KjGUTVQG
Z/Qr1JF8KlpipYVdnmbF4VPjx1hSkU1AegpgMWixW6iTBgo/01g5ZEkf4kX6n1Cuaihu+hqZ87RK
Cn/YRQV+TP1YZyoUu2iNEsmLjUUbBiZqvdUrbbq01FiQOuusPaBZg7duYq19n1QvpNcneFTmPwrC
w36ktN/ShZKS5GW1byqt2+BPVrGPx5XWqd0aEiyW95K+yTT7WXX4194iAmRWfomwTPe55Y/1lg86
Szd8Qfa/8ISoCsD3YJeI7iO+DaSFP3LNMZAgqpRNG6Z4Qo2Z9dr1Eb+rReMRmVTjwu1xzhb9R+lq
DEXbIKG+DjUv2EKJHJ+Nop6eQ0Uh7eBYF+kCXdmdXKP9xo1YZGhaoe5ku16zl1gJQYVda3mtSyOI
p+pg6Gj8S1MOCrhVFBoxlpdJXl/HDw62DLeIvIazalZxeP0eeud+xAtAAlhpDxrYTu8tTanuG9iJ
696Kor8CXzmqaEO8Q4Ow90Vv6XtefcFH6gJpXQJk5uADDm7VceXxi/+fqqnoFlnr2farjcTJ4Rfx
VdKqxlkv935rKztwmzgT59EvTqMlXjYIBRbdnchUNwh0HSBAqmthFDX46TzH8C2ygAJQD4wPJSdk
VJB2AaCPM/leX5ol7qRbn+cJjzRkVW6joh0go6jYkK79GSzNJGuKPclQLHnd4uKqs/5tOclB28pJ
EGTBS57Y5N5WERsO29oU3ey+G6ZNbR2zh8vsRvUZlE687aMm/tyAhxgU2PVjjHu6o1H7bHXf2INC
sQ9lnSfPdo/ZnYSwK8WjfXZec521jWHo7iai9vBheI6xmQJrOkhzaiHzdBAxL9L0zHbLc1d9KXS9
evHMhr+SprzPeD9eYnzfV9L0zb45yCVrg//eHzq2keEOZxvCAlhAtXuy06w9ZYOLc2OHqryig4XV
lS8WMiPbeFAiMplV/mIa3l8lggyfUvwa0LbuPsW42lNqUtvHYTl0Vo0Eo1uebv1mXuesnWMdagWx
cujHyH1Iit2tR87GNEYusYLjeRtIKYnc6XP5Ke/0acN/drvWA82Z81Vaa9if1AFwfjzasfIIzWhf
IOU9TDtwqdZKlIARSplOgVO8SWvS4ubp3131YiOjDPM1Slr/nqjHpNnXPycpixPhVI7qfRb/cLRG
Vu85n3T/KCKzN81Z15v9TZUhESQDTVHi7JfawOlSJ/w9uMxs/T6bv8YhCXdDPV0FAeRlBkCuzjYs
SROkanaJO/yDp5p90l3POtXLWVODWF39cipD0TDYJ5/q4KEwm4t0BQqQUWtgNRMmKva+UZcdUQdA
OCamGdi8atR3svr2i3TMbRegSYkt3TBmLDzwbhvDjVmXxcrEZvWUsHlHFeJfZ1hb/+gDYPNfo7cZ
gZ8i2ahOoHP/EDeUj31tRpQeCfjfofKBt7jfvo58YGBYnxA2GO8Kv1Eucqg85Is0pZ2wXwVWchu4
NsORFWNSALD8OeO3OF6neFzql1s3RuPOusbpjCdEVccK8IKyolA7VSc5i4O5xPNwaV9Pb+OYIbRr
I7aM6xwZcFMSxCs5lcOkR+4hKrRDO8/eQ9mb9T1MhlUIRzPbprge7qZowJt5scOTEDkLR8Q+kWA1
DreBJumuc/vlSrd+uUjp1Pn6t4Gsr8FGLReRAbl61adkLVC0dmb1c+VglRhnTXlI6rDcipHinCjF
uokj9STCdJ6VbUIltV8NEwb9HyZJlO8Af+HX+/+dFFi1+VTa7nfqKNgUuB7qJVRzRizIv8SwKzae
7VQXXR2Nc42uDb+8UPtsjN5Onbv4W1jz4OgjfAA0xMEPieogKA6f47k0EpCkmtOgE5LNx27AsmVY
HpF1k5kPOTruq1GfFxmj/tIFdvqu6qUPDNzT91bbT++WZ58koA2ycJ1mUfdQhZN9VvUiY5GdVH8h
V7TK+dAvlNmV7QTF5agNY/DC4/K7zLQWKqFVzepz2xc4t46thX510n8xke2RCJJdNVqXDML0Rieo
CF/j0bo6YORaNB40HeuXagHRzTpuW7oLB8se1PC1S8yD9EvYZOBjZS1QPdXVQN11uM/4thPI1X4L
E0ljbbnav8P0NPvE4hRTaHYvD8mEsJxajf0GJzHoF5JUvnVKUlly0bcBA0A7Yn7krG9Jai/GRDqr
IMObKqq3/FSmfWHVxr5KQ/sj6owt6f75q+Kj3tRB2DqrilI+WWFWrMJmUr9SBUKQoEAht9NNNIxB
xG1kxtTh7s5v8hPFyQp1m7vIsXwUTGz9DVKFd22KjNeteVWGMth1eZbnX7WwxyZu7vrhpcHda9XF
bvZop1P+OCfoWYPpfkvSerq79Ru4JB4klj8r+nHjv+KufZ1u/IgZsmqCQmZEW3+0wN2rUHEK3j3n
WzPGdE+aXuTwpl0OyZg1T9zcazOtsweI1M4TC3brWE5QpKy0g6WVkjneWV5ebYI27eL1XAAZxPmh
3F/bSqV/VQb8MBGPcJ5YcDlPGRa8YxWGj3JB2ObVPbJJexnTeBJti6Dy94XW7tWinP9ZTsbUup70
/zn57yHpUXtjO49D9Iv7ehaOxZF93Ve5IWZxQ/jZJ3cPhqK4d/MZv8RJ8NA63EJe8X/oB5oC5MNz
6mvxQmoPke4vr2LtUWoS1+23lDZSiBVHX58f7Z4S96pedBpmZRx2QV9o637IppXqYGiUWmH6FsYl
ymzA2MUQuUYu5mqIbOvqdgz9O/tO9isVVpWb3nbUi99p7QVDEramURf+XR+Rv2tXP14eBSyEQwyA
p1h5UZadgP4slcmoRYdk6QySPjvJAUvnH2fS/GX4l+m3cFsL553ZAIkLJ+WCQjUvMewglcvskXYJ
8lLZyYhrY2mwcRYR2CCDsyAx13AZL3xDu1A5l8a1x3BXAYIojz4KVUjqOPdCQAgBop5sq/v7xkmo
UW/e8H/V7SRiDsbyzu2ye71EIwm9fHQrljIGKmj/aS7ktyyafzQFbXdrCkLul+Cfc/PFcErNzRy1
0ygl0wl1KK1gNJbFPKUbLfILLAL4De7wwtNXSUXppwWTZh/NKS/PFIITIPFz4O2QsPjr2tSXEfSd
UvuI7huaA36+d9zK2UVBZL05s08FCAxGpndvfe06b7EX2jvQRMYR7nf6FPHXW8ULniOH3+iBIvga
tA06OK2WXTToiygyjeMmQNf4Szs2a3rsv8upxbXe1/Knasj0o2uMzm4urfE4tFBCqi7/YpM4+Ga3
xWGwfftzrSBO4UB2QmtULU9NRyoM4Uzv7WcoQKdraGeafw41/PJ61dD6Edosod2g/rhqaY+/XDUl
VcUeBKRDMY9nBzGfAyuAZ0RVvXwTLX0yIIdRLcczqq3jObONrdaMMGWWLj1IoFf+fjoli+tllI0b
mfyna10nuuxaD9jhrFG3w3a+X01ukC5Gg8Zbir8JW8YuOfeLa/FtVAyOZbTsjOTMJuJH8OiX8aZ3
ULtbfmgKyEeAY6mZnfzl1yiduTmMK6dkE3jrS+THKcNykJHf5v0SA16+X+FnH3ZHt9SNfbnAphII
NHs3q1k8dqb6fD2YgPXsdj5LCy8I5dQYyZcrKGvqgQB2ujbtZRTl/OIZkUm5mPSkeYaQaZUpa8Q7
1AwEYvpW//tqFVe7QrpuV5MLlN0EMT1ex4L/KthY71r3yU2Gel8XVfuY1mhXRJE7vk8G3FwvrIy/
46rdtlIEtEN7Y1tV8E3zMWKtS916V8MiRZxdVR/z3Mn2VqL2p9LwyhNlgnrfOjbMj7HAwJCtxoMc
qnRycJ7t8+2tLyid8KHwFHdvx4gn/zbA3aTzfGUb/fMiMkGampe+hLbtH6Ul/e0UHgogNXdZYj+F
0FKadVcFBz0C3DNWiIHMbWqyC/KqA2zk6NXTlfg4O3a5ltHOd6onfW7ZsNfxa6RM0as/KZ+yyC4A
hhIfT3x5jM7qnQx2ljue9JLvnXRmgxFaCECz61+ug6CX4fj4KnxTpnamHux1m4qzNJ0eBWEU+p6k
VYfR52QRbo+oWO38NJ2fJvIOG8Rx0RYnZbyyEUn4wlr5FQ2e+bujeWtgSnCKsjBaaeng/5N29UNZ
ZvrXuTKrVYEgzjuOaTr4c396Zu05bj21Nu6x4LCRM0dlr3bn+W5gnX0YPN+5BMsnxwYcpz4J2R8q
FDmNvnTukUw395VhdhjakfI1e0CTZmuZl6ww4x227/1TH8bpxm067a1NEvT23a764hTzW9DM3Xe/
zJHhDfiu7fgt8ZQoWCmqeT9ppf0VfVQWNnoSfsTgHtZlrOnP8slFBuJV0TJ905EbMzYlK3MkPHhB
qk13qlsvfLR6isfKkPgUzI3gsxkVNpkZOOp52fbA9+eDhVPy50wpVHRgCrRWlrAcaTBVtarnvs67
B+jBLDKXfjBazibTY/XoLLNGi7tasz/ahdRmaCF4pbQz1sJbmwoEryZt0E9FaOefbFyGF5qb4/XF
SetLYy0kOInqISJCR8qLTxYGvj+jqJkZa2Gz3aLkWm52ZdCBLSzAzxOFHqW6D7sx5Z4EDpJXqrUu
You/zbLclkO/rJrsiWzdbUCCg2XGbWCSpZh0ln+4TAw7+ASf/1F2E7aVOKvBwRsDKGHyXiAnIv1+
ZzvHxvYHVMOxDEHUscWwN+hfTY/9qmdkzzCK+9chCyG7qqp2kkFHBzwauJa2EygASm39Ea1LJCqW
qbWZtQ+mnV9kMCgU5YBCjrZmeedc81656Xd7v3bmraTBxpSHeupr01GataJ/r/rEupeWkRYrpQkz
FnKq8zRD2JUE21B14bkMTSTXCpvqfuVYLL/yNqzetPjNp/oWrIZwemhRrPui4R29bptae9YgDuwa
sxzOGlKAdyjzqnv+ge2j0c7xpmZ58GH0wTcny/JPDuktHHLIJKHhviaZMzf9ytXVdtPHMKLsYIpW
SuF1qOBF2Y7yUnF2EAA6kbB1djVeFM8z7jtU0EoFUd7yztNN8x9Hj5E0dNu/uKi18rpS2TqzrcKN
Lt1dVpLWlh0LRQlsJsYiO1RNbJ5ldyIDEueguHONK2TzMs35IdQtOH3LLkb2PfWI8Xceuse2x5BE
VMYcESGreSns/tjZ1bG7ugZJ/C1yqLlBPCVv73IIgQ8dmoX/tr3QC8QbEE8lu7tYYRhIyt3F8fA5
wj714PZs7brKQC6wjqOXeZ7OfeSV99JVa8aPiNBchDGiSj035vRj1Ai94NDrtnlywsjCvSnR3rOu
6A+1ZZDaLw31PZ8qdRvhVrOX0S4kn+4YZn8no1lU/oM6RHsvgyWeN0FsBC9GgqxupHy/XqFoMvYY
xcu1pfESR0uCT1Opxzk1Fu3IgfR3ipela0lj35qSxnY0Pk1GJY39S1OS3H+Ym8X8/iTJ/UtwqLK0
Xi6VLKPyQTk23vuQr+JkoX3KFcoTUp3LcBHYgt9NDlLS0+Lsa9I43oOqVtGbU7PqWDT2Xa9k6xfG
wQ5QkfnRx84JQOxA0WUsn9Vx8W4ajQ8/KnHZCtx8Y1H7+XBcJ0GY3/SPbR3dYWsK1VA1jo5tNc+w
wtvnNA/jnT8nGtxV+uRgm8FnNVK9k7RUy0ZgmUlpzo8wL7pHxfWnL6+tno5fQmVA6NAw6v2UpafZ
LvBPxzEEdavWerXxAlpV1uh9522E2tmUDvnKKgPnNYJjt03yOT2jbp2cFzVDd5ofptTptlkJRGUQ
SzxplyESQddNaRn76T5Jw3Jt2/kTTuTdvYgcDgVGyFPLs1iaVuy1x9xT0rWI7OXYej75tr4tY97w
KC2WT4m3UI9NTDfdnw6XN6/LeQFaaALOCGZD27qWg6LVrVNOyWORKpbTnJXhNeh2DUfFR8DEQBvx
zmI7xqXxofNgXPuFOp+kGaXFBkkh63UoUSBX+/KzFSXmh6sa5cELvMM0uS9UJe/ihSci1kZyFs3T
Poy7+nLrz1SAJ55R17+4IpWm6u/8WoGztsyXA4wK89zHxZ2bYcUWxksKZ9GvpKJjbpzQNnYiKmd2
SHU2k/d35rpwtdCewwoEWqKUhm6xMlWdKdgtsTIoXSGKcoFrGw+eUU2PV2xHMrXeWZIIZubZ+3lu
mtX1Txza2o+2DHcGED5Umb6Jajw0s3RLdaa6an6nDgTeVW3HLzWv/7tGd2iGWRqdNWzVZEYVWd5D
XdQQ7hqzPvSfai9XYPgM/hMFFu3Em+fTULj+E6gx/6lHXnMH99VaS5/EAg5CjbOw8730yQG9vbfA
a0MEC7jQFKrGk/8lDBDfvUquoymTrMOu4o9SawMLAs6KyR328XKGOs2PM+m7jYLliRGjTJyT37Lx
aua63ZLxdx5rbAweHVwiqGv3Ogt6+qipM1Cp0SWoiqN0IQLSKry48OjudPX+GrHEGiVMO9eam+Ot
rzTrEbNwnsYY++GsChk6ri+ZYVWYPKg1cglLm+KZftezkf2lT2IqiamC+NXVUbyUvroqmnF1jQwK
19zcrmsZuG5XSCGpHVtjU0mVB29kx9gOVfa3jyFf0qnW5zLPcJ76Q4QyYCcyRPY1olG5A0IWnU9d
F3/2Il15r2w827w4R4YbVtPdpAfA4fWueKkMaK5egWGEh7xINjnfq0pnnzYcV1ppuldLAlGKN2qW
nkrtwsOR+0o6PTXWVpZlzRDCkJ+Xe0oGrrOvt9xtpoxL5G12o7s9wkN+/a4H2aZCVukj1dzo2PgY
DndevMhDiWwp25gSul6IqE0LYHUzxWZ+Bl9NxhiNyFWTV8iZSucv4xKP3RQplSrYm7Y+HCXkGt1Y
QOITKwRN6bQnOZgjfJbVbMdmuZKOTEVU2TYWE2vptCXgGnY9D4qpPZlD0p1+HZPJEduQstCD46/x
UdGhcgZKpD0NNRvfReVoI5DtBFgOCulIeznguQXULf0C4m56dZ8BaTn91i8Rmolm0DJTBm/T2xFr
DMXyvgVep52MBBMpOftTU/qU0qGUK6dl4nmbOOQGkXlKOuAwNPmPvHn708jb5NQCybueSV+zDNxG
/9Sn6Q5WG8W4+y1WRedEJ4c1VjYZYrU9JDOoataW+UNnDsZBZ9V4ttzePaNOWPi7sgWxlOHytbZa
K0T50h6mI46bFpmAfIq+Z64aI76nfxI6Je+6NVZ22d/WvGDB+DE9A+iGxWjOw11dz+4FLpq7wdYi
53dk5pvSs+LnucV+yJ8rdTc3rMjXZRE8K40x8xVSzA8xOHmoSrimS6wctGCwD+CVrZU0cWB2N2EP
uB+FS57BY/0AEsN4q6zhhc15/aAvi55lTFoyBsPyl9bPMYlc5pmVc+n7MQWAaQyXG2fhxm9AFOZ7
MKsjvBoi5HDTq5PmEtHW8PBJKvq7RHeDY+o09zx+9LdaVTHOCer7ekk6RXOZP/4cKxMnPmMPAO2C
JK2l40jcqU5Bda9FfVU6cydXLnqdlPuRvCUsGZq3AUvyuioubFaTo2HP4LVLTpsoYEd9FP2mQd+U
kdV+7eZx2oa2U995WHc8K4P6Xca9bBF4DnL7KYC5ecKTMNqWA2QfXCzMtYMK4Wl0XTTF4+ZBDlhH
Ng/Sz/bkdFXmkoGffRJxm1ApcLKQOMEgBcHWHOPTT5WGLo9X2S03KE3HsY9JpAJjCzLtsUR3Ywgx
NmzVQN878eihDE0Uat/LtqnjFtNjiNHqFzJpCJPkrX6SS9vIcx+6sZs31lIgLXrjBAjEPFWmh7PE
0uWh33Xn6j5CNnTJoVvqo3Wg9ngeKZTyf8aSQVbXJtvsFSjWYhsHChDMKFosyVrr85wZr1lqTf/U
1TsbOsp31WwdWKdafw1hRk23ndr3cQiWVJjrPhomr4mh6LNz0YT1XekA/aEIq93Ltcs+itaTHebj
0+iE7QMym/4hwGBmO/BE/ELGfE1VVfvgHvEPpeKw1dOt8YtCf1zUyQVptk9di9FVsxzkTA5Or6y6
1FXuxABLukazU1EcpTI21Wq6k399iBC5xyruIv94+b8r/Wo4RtHwt3ThJ6SiOmGl2rpMImUrnXIw
rWlc2VH2ZgAFfKibYOM6aXqJFi1l6cIqASDa5B9QqDSdTW8NjxA/2RCw9XSABkfDXtFA/ZGyrXFX
3EXjYGFSrJKlydrhs0etCn/JT+iCRHeN6aM5nSn958YIv2njoDyqao1qRd2xul/CUcpMN84URCcU
2c13257WaGcPn8nfmPsZ/aadTC/C5k6v1e7VrBTjDImqWst0ZGx5pmH/dSk6JXrRfYxnl8vKl1Jy
d0Y73da5xbAGW7SW17ii4c21KDjJAWbpjH3ks5gqjXGuHJIowUXhZ8CfJs3OdZJE+bGCo4eb/5gk
F3KcmXJzz4pe9+IPBUfHUxP31TOLuO9pkTVfu87B0bzT1AccO9yLx02/btgZfY2T/jlVm+oVjnhy
V1ZRv5UJ1vy34gNcBgIW7KNeyw6A55uPvEt3Ms8Ko3GjojNxClu45jMajgdxpUTD2qZEEFuUvv5l
V1mtHHRZHqe4qc7XkjF+nPg6Li9fdTnEjn/yAMLeSStQXefcoIgV5jFrHS93ttMQ4AO1NGtZXWep
/bXzVO0ofTzCvAdX19OLmbZb6ZqWZRLbWTbZs4Gjl4IAlHxJOUj6wO6mZydRlDv5ttd/QRAUhwTR
QAOhgDQ034QyUwR+8PCzVc9F+BBV9puQbaSFt8C1NWRzKJEz6A/84qocjVe9Uaj8FvqEnkhhfpJ0
VVdXINgpMJ0ll+XHnrbxTGQ/ZdSihntosTC/ZrpKbB3u7RI48kKSkQO5xzZzkpesm4OTXYT9qgUV
ROpNYRfVFyj0laSVZECaACGql8TpLqYx8RKf1frFHuuQWiisEBmUsGRfIpSNiB1XsIOi3cwe/lgS
7hTxdO814/l2PfnIIqZ8p6A3O0Rh9mgkZLmH3JwRy068Vy2x8mMc404nzUWO+4yONZn5ZdQcK/ex
0cuDtOTgmXvHwjNPGtRK75Glnh+kZdlOi2FWzepqmWzpU7Tx2w6Q5NKUD57GvWV+6t0cme5ZTdR9
X+CbseDeAVHWsbp3oJZvzTGu11j/miy3ChtBnEa546dN9QJiUoEAWobjTdcg39DCElOqBmZqX2UY
g3jFaVjwdbzAH33VcR8drc3fazjfaaG8F5MFP3K0Pkmrz+bizrB6fS3NrgsXx1Syb9fY5YLRWJ+R
1evv+3Au73MFW0zEvZpta8dAHOMcS8HQGBHY5+CVYbezsLJCbi2aHq02mi46RT7qR6x0IACQ2wC8
wkOAJvS/H01JFXW18l9NM9J+BP82V4JltM9jC0M3s96ytc0u6Omml8a30otb1+Z5UjfSLT23sW4J
kD7u+2SnYdq+ktHfrnGLA+CWoTfc67vf4ga1AY2vDPssVJyetbIdz1D4pmbfahRJpOx/zb/cOn8B
n+ih3eyp8M/LA7QL2RIjWyCMjrJzfLxDtoPlh5dhzlqM6n608lGtpVWpXoKwxrgtkW69QOhyN45j
zZ+GfD5bS7k1zbWXrmqij9z1hq1ba/G5ULJp07jm936xXnN1c9hibw7HaGmKsVEc189N7lhn6TKg
ul2C0LiXMc8NsQMSt52m6D4aBaxrhw/a7HjqewGV/0LBOV11+qC+l1VG5kzRzLWMdo1hLfdVuLOD
WnuvVAND08ZRDjJahjNv4dmdz+NyqVlLHgIv8x5lMEsOXtq7bz8/rodVyCP9LnO9AF3Eofzovnv6
oLynk98/kFH6ai6i/bOFKWOstt1GmspkarCmSxDvrVZ8ON3w3bEU50g5W9mWY2pvnGKg9DibOYLQ
nWaz3JvKfhUib8umEz9CnBXJxgaBvdG7o0FeD6h/BpFowATjZEUddKEgHtmbLKeO12K60pJJ8zyN
Almpf4g569W8FUxrvYXtbpPEWD5Phkak3FkgKiX+q/aijt1Z573kFtwJt0e7SIP1L9kDOZXDRPbg
xMp7JS1DRe9iL6eJUv01gS68XkW6fslOUNwCxnPVLbZ5+GxaPHSf1NE1n7oMM+RMV/VdmTbgxu0m
J8/vJc7x2s6c9K5rZ+0i0X1XNjAK1kENynntlBNiZoVzuYbmLXCYsqWOLLFyQPKq2HlWXmDKyafZ
mfsX6iVfR68lURPii45yzyX20o7lX8hrUQ0y/aB1ifsoIYFrBNuIr4iXr+U8BsthIbQchtrEF3W5
igx07uwvFpTbW5f0ayEL063//yg7r924lW1dPxEB5nDbSd1qtaKn7OkbwjMx58yn3x8HNU0tY22c
fWCAYFWNYksWm6wa4w9Upr62U1yd4AyE/DrV/IJD57DTArR+wzy9l4gsrqoT38fgHoDD/JKoGLiQ
W8//fyLCDHZClLHhtlyNe1d1DqmjAWxZj5MZRRdL0d4+oV3WU74Jd0VuBNcV7SIwltTukZAy4ZMp
xYnHfvrFNkCjWUg//d1GpLgL/++2sFBIb/LuN9amwHt8cveIlWnXuraKU1DE2Ree2R+TbMRhW9P/
26thr5WZiuk4u6tjUJnzw1BqH5N0xcquFkySlamPnFZ5ykhQbxz9X3n82kL/F74//ppZvUuQ5+cb
qDzwVKsPflha710PJdo0lOBvHalk/pPJkwOgeKjK2v3ueoqym7ygfMt73haAcFCnS30k9t0hOGOD
6jzJleAD4T0StOp9DED5vgy1H+Uw1S/Cbk6XLgRV1i6x8paopUtaEipdeoc1VcOtLF1Tlv+Rj7hP
whA5SaIql2RXbyn6Mef+pu7EAm7tnJPoe5y2zmXLfQ0lv2mbp6fAq+8L29cHAIB2BORz1ebAWy05
Y2Z8p6X9/IP3boTzej8/RJmpPzsDNFcZiJIohOjvJ69uE5FbqlUD6QtmpD5O5xBLv2UD6mY5ROZz
PdnR15adgoYG1a5tihjzc6N/ruf+IqzTfqGeFjjzkMZ+kx67qt5SSnmPwkOdEnRCoFPX9zJYDQgB
VJnpnGRi1DnRGb91wKILIZanr3s1MxTXZC5yHPnR8WJs1WL3zyZSosuatv5J+U9b61P/+h5sDH3t
W/F0ArPkifFnO81fcgUik9OG4U0OUaR8q6rCutu6WEaFtynREDzJC5Az6AGAqVALD53yzS6uMJST
1bXZfbIYykl/7xR/2z6Ps2F21eNcaN4BhZX4VQ5Zy8MuSeL43lmyO9KXGmerCdoXaUyBll7Dwfpz
mzOZw28O9I7wnwSVhN0gJl1KqX3VIBq+RXpKhQB6DYJoJQs40yoBPHY8pkw1fIOHamBmm3Rk/pbR
dKogkxg2ahKUPVuxu2UtlwG5LFxUVkbUaZ3e+is1HqrFEGis+mDXWp35m+pEwxGUgPOgunB59CLo
TlnYAraM/Ec04/RDGtfTSR87+EddnTzZM1CypSWHIk2MXddR4ZCmY8TePQzHcidNmaXZ+rPSJM5N
unor7O7cygVvv1xEaaMa27XL5Hfz66zZ9ZurVqRvSv3YBfp0J66TuWs9+5kyvKRzUlFpnM/iOum3
yXivtRSspFmlcPXqRbr2/znJTeHqTUuZaJuUU3XmVaVr+wqdfVxywT+I+zQKaNFl0NMcEHyNN7XX
NG+Qtu0ZJZxfY4emjy4zKon7AKeEty60JDaOTdJAns2TEPFW5aCC2qvyZyCK7jFGf/EEm6Ln4YtX
SuJiGHLnLN4pqYGXeFrbl1/5RtKm/pidFGieOztsqTT+GsRPfV805EP9zPr3sttnqTVmnYY7qkp2
rBVgAg779POKdzey3/o5tJ/LAXlS30hO0m25RXzN/HDcCww+nWL/YDeQHX5OUmsdM9Ecgzptjn+d
JFFuimqWTIrMStunaj9eQwcAvTYi+IrtCan8MnmrF35elmfG2aDU+tLDOGZNRQiyCzuNwuYfnjoY
+wYz4adCj3h+60V+MmBYvfe999ugBM1fvJvJ3XXTV2/E4DepG/1aRgYmteCfDjF+RT+WD6Yq152d
khe6kyVwmLwyO1qaOr5PfYLxQAVQWx9zJPJsLF6yRu3vZXTuUQAyo8C/yWilBveNp7svMmjfldPY
IvNdJ6+sxS8SYlZN8hjGaG05y+XnrNHuc58tm0yRDw87Vd9XZn423dT4XvrIqS+mlK7V/Z1QWP6t
cHNUXHzHuO8U/KdiCLeHn6HD1Dp/+YQ6ZE3+a6iTq5+u+jM0HrqPqyr9sOjk2Z+umqP9q+tJ+YqR
RXHS21y5IyuJhzWoVT2MynewVMYVW3UDo8Gh+j1LOrK6YZg+oomTvXETP0n8Nj0cCEON/r9Or+3x
Y7phWqlMl8v6ngPXKoES3hSHvB0/NEZEOMQzOhcjz/RNWo3umwZIFkKiyoC10Q1XGWjtGZLSWLR4
UE98A3tpfwTiyIdqwtunyTLn5xV++UgdV9JDABpu/VnMDOrfTMV/F48z1fTIbFHX+/U0GYthhxWt
eZDxTFOCq5zNuv5xtvV9mi3DnoumwMf7CtzsoXLz6THxAw8bZu0ore1gAZF/hI1bHlPbmHhCEQtW
mO+QnDoV7ElrCi/cT9Pjp2mxj7CHO5BpBiol72F/RKPGQ2niJE0ZENQ6hvSfB9b3ct6wN/FSGEaf
9qvS6Uamf9ouK5dwl2v/HwYkOOIpN3qZcs10v7opKSukMtTvpSWHXC0ory6DcmimoMcmTTUPvwzk
plrdpC/hwmckld+QiaIe2xYwbXYyuS+wWpncGLXFpeq1Hbb612AXlLm29hYD8xRp6TCu18lKXTUn
mNpIxyxWtLKaQD5pMfFZFhZZzl+pNkISHrIAkc5ccTL4OnWD7bWW+uvM3i+Se3PoT5BtG8p0+MKI
OcxqAeNDzQrVLLx3qj7TH2R4NZNZx+syeuygWOMeluohUP88ZuMZYZphkNm8AtTy7L3f0StDFRIl
ZYzbQ9dVPnCQJVwCdXKVl2Ksd9Y4tPZJsuum0qD2idTBSTLuoKOnbuc0kQrseUm8b0FpbxMU5k6B
Y2/9I62UBJkaA7Oy2GM3PLf6b1tTpK2lmXmQGPWF07KNirT11lz9XaMQ1HpOHgVJzSJ3X6G2pu/u
q20PzbuWOd1r3FZ3pRk37+ThY6yzvW/rmGovP4ip8mswOKOfcEmpiZC4YmYTGKATxpFV0jJajmRc
FH3o72S0TFyefc7E0mEZzQ1MgMLQ7x5kFDbJO/KJPQJjDC4S9PKDxUbhXeZaGT5EuaQGG3UNcpuR
nxzX5iLM9aHRtYw4pfkxUkYaKFB+04/OX4W8thEp/MrV/uuFZGQmy7lfPbOUGOY9rtam/sNT3ZfJ
toHC1G55MCZ0JaUJJ8l8zhrLPcco0eyMpSkDaqp2cPv/lMYWihXqO/BV5166xtnCPNHGY8Yiw3cG
2utf7cH1r7pVIqBoxAPwCJJgENNHjJCXPlQ/L6pV/oX6y16APKqSK1c2d4i/LACedEa80+nZ3CHR
Y3zN7fGP0tKMp1Zty9+WSUPVNnt7bMs3q1QPvjsWPyqwynsNYbdl8QAsjwrxSWdP+kWN3XCHbY+7
KHAQMtkdOVPcXPD/bV5h6rCrRJQygll+LKqhP/cThvMNAkldWKZf616Jr3Fshwfpl+kJDJrciXXE
m5tFcTkcA2SoLeTWsL1FzMxJ53ffs+3HvtLvY7XQOAHs5w9actaiBHq7pG9/jvqgyt7Q6k3O8zIq
wYE1Niw9Rlq8kMM4huL0rtQD/H9O1h6Gwmbp+RwzAJQ+9qmCE0mmjM8ka1JKIL4GPBryCPt6WF/J
HH/rQnV8dis/83c16PTY0OOb9FkVpQvgL9eevNzR8Q2VBcy/Vca1WGai8sni9rL1xzwxbhAlMQKm
DLn1O353mMASzViyBx1yXVliJqc2YPee5mOF+os675oF0vJfIhYbxRcfH4stQjNRAtfTUEPYN6tu
fY32wU9iqBA+E7/wj2gb6Su7dGOHWnHwpxq100VIpNJP5X4CFpOHj7FZ/BX1+vyDjSsEqrIqno2g
Vx6CWHH21LHmH/4wXMakHNFfxuDFMFLvVFtO/burjzsJUELsrMuoDq+kWtRXLYifOtmzgbQBoV1V
3ZvmVz9EqgAye8MSX8leypgymG+iRdcuGgaD8po4of5dNwPvWPajd0HK/G71sU8N6ueUnYY9khPp
71kHhF+UmckWmqXp/WPV2bc+M5tvTYuAREZ25wWJjQRMmwXLXe/sa6xiF9N5nr0qPJdjgsZrMaO9
SMn5LR/1+qBYiX0Kl/2oibTYc6WKanN1S+OhPXaWdYbD3IV7b/Tnm4OMCBRFuH/Qbf5r023108Br
5rcEsCiCxP58BwAm+Z4jJZVgwk16NGVpjeandHMzhtR9vv8SvdyjVFjfFAio+yGrn1QrxP989DsP
aAcP9bVtmuzFMMPqzxsAIw6Ko44T3JN0NaMV3JYLZGqs7BJFV++8Sc+eg8XtE8jaF7fjK5tqTb52
JXrfn90BhTh/zKlI8u1MgE6gqrO86GNSgDjRKEdpbgPSjFCAQyPL005D2YRPMYubHbZFUI91CgVG
BpRJmm6FS7aS6NMDXhTG18z8aybb8O7l2tG2A6tBDCjSkHuHPjlOCZAT7HXupGmp/UdfvvT5S0jU
qEedXN9hWJxv20Hx4V6hL+AmlvkmfciK1krjvkpPPbg8SAt2iVYRPmt9Hz7ABavvbeBmSEaU03fL
ju/beAjvGpMq33szoCChq/i+AmKY7hCyjdCA1dX9bMT972GdPKdZYP4zxtFeDz3/T3/s0OdqQvNL
pZTj0bdhmhiOGe3zpsWj0ywfY9XGZYzSRLILfKO5ek7YvwWtaZ2HSi32fgkyej8AHx1A27+kmd2/
Qf00Dp7lwPgLYaMMITohy6V8vMR3gw8XciMPRHbgHnGjGfZCDJCBlWkw2c4xcEa+TbzDb5k37lFS
57XVZJAuIb7710/tWvUpK9jJnfTJwSo9vLISbhC99J+82eJx2lnlfWjN3wMrmZ6dvuSB6w7aKSTt
dJOINaxmxxKnuYvVLHGDHel3saniWawH/dXpUale7ke5DeX2jE3WMYmeOCTw/701wZx116zJnyRi
63djTd3FIHvXO1sGBtNKrpN+9iLtnrx6cKv0xX4yW9RpRxB4lGP1briQ57+XPjkky+h/CxmoFT6A
SGepGFOuV4vHlcOiIR/1AE5v13fhHxB0tFMZ6eWiiBP8huy8h78RCdoYseYv/bSwg3L7PVxaVCPT
VxdakoxJvD7+aaKF/daEg/LFmdKnHF3/JxlyGqQOch11ZglXTert9pB7AP65lqpBY7UXUT4Znews
PLuZUx6UkUzkh6DIPNUhykk5hg0KXiyHWO2DQwXV+Ibiv7EeEEzB305xs0d8KKaLDPiNaty2ODcE
NGtU6v0au80N2uKuza2rFFDVUiUN5Pg8eJaKrDPGd3XWgspQHYdHrgnsmu4xavXb3PfFTpoz2szn
qMNmQJrpCFhTGfMckEamPVo22Bq/aoudrO9Z5iJPk5IHnGyIz2tzW+B/an/aH6yncINwDdatK5ZR
yYMczDSamp07VhSC2hbBM2nL0MwbiUpn75rHKnbMO09LIcvh+ncVu60wgrEE2ifeSXNw4AEiWu5c
+nt3HmeMvRPzMc7LwNgVOKoAVOJ9I51BzEjNbv4RaEVxW02zR1I77IFK38HEzXkJFynhaaklyFks
tQRpr6fSW4s+MLj98W6Zo1OqO3wwleMwBGHB8y7H5PO9RjnkzvFL75guTVyY04M/ZdVl4kv8jkF8
vtSp5ps0+wYvOtBSr6WLKITX4Am6TJrsunoKovC7BEGzRwt9+YAQUbhLAdL55AEHwnakym96g3Ls
PmpqCyZA91WQdcpglYc+8rtzD+sM1Rf/o7mNFrXenQGHBvs8qXgZTF5tn2VhF+kPaKroT+uybhi0
YM8XsL6TNdzHQs7pz1bddTuZ0C/LQRlgamwlBl+nZfUHDiDYl3NSwyKrCmRqWH2ffRK5O0dWjC5P
padpuuZ2zYOsb6jG4l6OU2B3sLIpuRMzc1MfXPIj4BEMsTOn/oH/QhEcHTUNmNpH54W/jEHo8hHy
U+T/1FBon9cPMQqy5Y6Fpbn8mPIDb7PWHxRjUB6Wf/K9LNffQ6KC3rYowIbm+pvLdEpj0dmzmpfU
7C4xRCRe2IsMnijiieQdfgy7BMrbQwHP/l99vCWQzb1yiBR32BtgWc6R0xlkU0sFUbAoDaCgGUp5
aRZc5NaUP1feOeY6KjjJrSmjW7DNK/Sr67vfO69y0OhoTr5lYq9hWMmpHGb/D3CMrOeAEUEkhz9U
22bziDJtdNErN74U3VA96qGLV0Fsel+C1gEqjXvdRfdTsNA2zHEzceObQEd9W014wqXJTdCiMirN
ecFeBA6jW7AVqC8QJ7H9bqwnBNvrF7aJ32XX05KpALQRZBd7KKvfB/ueOh7vNhRAh4N0lXhv7gw7
ti+6krpHrXP64g5+Fya4GWVvNu0Tc3y4g1ONb43cWHIXpMMBydr44zbA2cal8JTPn25jBRQwmzKm
aXVwDNUC7jno+yw8WJWTnJMJLDyvcR1ZLdYvSIfNAw/NSgdNg1oSgnjdQ23qN9AO7SkCob/uZtQo
BQpILh2KqV/557Ud5130CFachC4oy7VPJsJNukbTj2wRsBApi8novk4doFJpAaluXrKg+pqPcXVd
5TCcGiTa0vQVLb0gDqcC2EFoBnB36x4ypVR3ghj4FTwA8gg9Hrcz5qM7oEIa1dW5DQtQ4X6NLUmm
K+qxR8HuNWl89dWBsKu5Pd4hS2soeYIpho6SXwFcZN+GdbfjSa1cAoogr1FuOo/L9XKs6A/OMODo
ccA7AYBb4qjPbA7gjGn9FzlAgT31seo9S8sxLX2nxK56L81gUq2j2Vb+UZp5XXX3szHzHfbC4Yve
NM0pHhrzXscU7on1b7AfQzLdQMMSMM70yQHAon4sInXYa5oWPzWxjdsKy8zh0kfdV+nbggNF6R6z
mre5ZfNOH5InYNXj/TqJ/ID2kGB7J6iifhzN+8JSgpU1JvAgaa4go8b+PNr8Z7NbmiWayfvccMqH
xNeS+Z16pnZE4Y53veKTW0F3Z1Ez8p1TuWgubYduEWhKwNicAJT1vLsYVdSaEr+cmoNq36zHTz3S
LbPkmuoEX0cbKG5AZgYPlCX+LQpt74ZFlY6DSUVdXEakM1UUguoEKQxIYVejnFuVrxPhbRQOByBE
CrCb3rtt15FRU2XpyhsZHTJiP11KTiu/rXahQ4ZYmjJ3KpuzrRjNnTl5MOqcBllI6gi22WaXxrL9
Q70YLfkD+J0BhYV73WzZs01jtD7r1wd42nZ7/lDdo3zz5aAm3sDXohxP63ss8oKOxyvV2yjMv37I
6LMNsm6lqWV7MLn5uVtASnKAVEnyZ35J8659TSqnQGxfh5+9BCRU7B6qrncpic7hpZos5dVq22TJ
BWV/Bor+PIPve7eKPL4rEM5Oc8+9U6K2ucXsg49TapvgMCx7UU7pf9hNd78+p/UYT+QsbP5qcGKB
vcs1wlZdfOqN5qlL+XINiUrtwVawvXdQxaqSGKtiFevg1OvAh1ouFLI6de8zChJ33eCrL3DxWrxb
vez7YEQ32UG1aFgUJnkRSwcXBmbwd3Vom6OSBPxuTjbdXN0bzoE51w8z8Jy5q09TmxmsiUGLLwWT
9UyaMvBLX+nbCtpX/IG2gUqpff7yyxVkHkVl2ttlt2sPJR/rm+l5G5TLaOqg3jvNP2WAsXG2OB53
i7vx3HvtXTYN6OD+R38fjKwnJaTws0VuMPvixEF0M/u0v8xkqFkSUmKRPjkU7AdvcpbGnoHl4PC7
tD7FbSHKQDU1USu0UX65zHYtK/Ccg633BXk7Pngb+KWpTa2x7xylPGwDajBEezPJzANVCR8kQISO
Oj5CaF7oqBbonnkvA3JQYSkghC9H6bCWQDnjCVNcK+Sy3cnew9Pu95bKBrrAfhygwKKis2l0yNn/
LtQhw8j+fUh/bPO2KaS+o30Zgkm1q3JvFtzrQYNm6ELnC0j+vpjOJVYSNF9nqHqRZeZXLfZ/SEv6
Q11VTzryfgfpk8Ocpe0emMgEkJXrSF8Gb1AujSVfsHNcQArTybJ89x4WQX31S0rB+sxmgG2d+Sg+
Vx5gHixFkuFkyQhp++hh1lUAq9fOwu6kih/NkhTAii/O1X/GsWM1u7DsU10fYED77YpM1nxnPmc6
JiwySim3eNQ9ZZ0ZLxz+qL9pkWUc+rJwD/h19Y+2bfWPqF0Oj2Zs/u24Vn6WLnPpXweXsLQ8lrYW
rJHbxJ4Fzlkdy29yBc3n304m+ZT+DnY2J4ftGkr3jnUKK/plD7WflBKBEAPL4txCLyRv/LM2aWBA
CrUh/Wq4e8N4kYVkX5h7NsDJm2wZfG5Kafm94u5MLTD5Lx71ttoHaA5DdhlGbz2ljo/GlvSup02s
60fVq1E03qIoMzZXlp7T2eiNYr/B0Ltc7085tgp7IwPksA3oOeZKYVnd2rB76zX4dlJWHFoHms0E
Z1UN9VU6bevXKsN7UCJt7ZdioBQSf/ZLV1uPKLyWQNq2Um3PuteBqoMbWOY/bv1TTzUFqM543Pok
REejBnCP8vvW77kkiHAu0fheLfhYdOZ1ZNPy5Hfbwyc5q93xVmqOeTVnxTj66TijUpq+m2QR/1pC
F7DPp9DBT6wrEM2PUDTI3svCsCU0AFl94ptR9u8Y7sWVVjwI1kwQafBp7kansm//2WUqLBEEeSb9
luqtUVvXz4kbSG3pkolzip1KWPflcRqBo+4mZawuo6o+bhYoAI3HmyiISZ+X2NWlsybuZurE6yw5
lUNVRfVl9IfHetEU2/oT7DGu8AAPSq2n6s4v+vBxZtd1aI2y+9zpLiOuYobnqE//WqMR2llclBdh
Lr+Fz02EB4ToMYxSBEVlwnJovfSbxjL4vPXHftafyiUrMHZBcZvbEnSTUuynhvT6Qfq8JF5MP4Eq
7BurilAFIHDtzGpeOLtiQtRUZVKg52lyJ+NyGAKQ7hBv0FOHl3vbBj5mm5V3zgcf6k2wT6IguZFv
Tm5lH45Ufn+2YxeTMQgSxa71yuQmA6MVwlCQ077LFzktGFrrxHoJmvIkbw/68i1CuuDip3CC1ku6
cqo0y+/5Hx+L7kOdFfV9TyH6Oqlzdu2mMLtKU86kjyUKelD/LQbvDPLnRgvumQtEo0GcnG5X0F3N
Rd7dzCl22QiWz4N2VfumeyxSOI5DliZ/NMBL3caP/rJyz0bDRy1fqJM0FxK5+Z2tF/qXyEn/kgg7
96+lniXfkCJHiYY1kOQ8xkWvClkcfLrYU+v/2VSXJiiMj1HPcD+CDbvuLyiF6nyHI1ePjxqo83sX
May7Mi8H4HkpVbbICL6rg3OzLFLSUavsbfTG/mwTbcQ/PC+/VBiWH6cu9R70qQIosF6vMepy36sA
Vd102U3FaOiK1K70saGq0HFYdprjEqNUtFdd3iWwqUEJSF8uMTKH9BFW6avYqkV5cp96TagcqEnq
OxCByklfdj+RX7E3Ws4m9A+PiR+5H4EGcqNnVZ/+ZJH/ESJxatHot6jPgAFavbmTPjnE7Fazts+v
0opmHfppk9rHtoVWN4KpeuiiiPVG0V6wg8HU5WeXRMggxiQZZfHXjDXPKfMs8zCP5Bn2Zofyp6mN
L+XCuhmbbjFMAFMJdfw79CN9HzlB9Vy1eGkOKsIHftdgWxJFzj5II/d3UqiI7AX+36D1DkEyPeSz
UuPUDTE1LOrx1vUVCobCYo3R6orKvFm+dP/2SaAclEF/l7kb43Wdu14mQwhlubI6l9xtsMv2gsMQ
xMaQVB/4T+ljx+Cweoc/B5pjg3RsTTlTP0d9QnZsYWjfbdeRz4gSZFKjQZ+PnhTNRvD8F3YsNrsN
fuFODfcJScCrtLbfA5TtfA+n+c/IfIh0vXhvqj56NvPmaxa7xdeEfPklADBzAGFbfLWbUQGJm0OQ
Xpqd1cQ7nX3JozSd8MbiKKa85ig7NFmRwrMi6060mrTJwjKitl95hitPfpn9I909bMbT+DMKWaJP
UdoQf4qyW7LAkedN33gB3sAkf1yrM4J/RP9pvZY+qqfS8DErqozsS4Ex68HMwviu9aoMBTI/vI+y
wgVQzmjfVc6LhwmjDAZLV+q2765DDqes/m6BWdwVST7cdTDBvzTmHOz6Rbl8GkM0Z2LtG2T18jjP
VfhQaEEEZKzlP8oepx/QFtZQpAJQDE1y82XqTWCgXeOzUFsWY27cp7tqqXvB1gRMHSKeO6X4tLo5
SsHFPwE6izir9i9FEobHcfA+zuafZ9vodoZE0fAygmo//h/iigkUBK/hOz8zS/2rO8Z7qkITWEaw
3yoSEPsYPaPfey17XXHyXnU3O2P/Tz4032sFMzY99F1wFYH7XKL3jm82NFKsASJ0C7lOoajVzswW
m94Wc45d3QPjferst7XI3LNDtsyuRTU0aR46r2t+Q17oxMoe487B7O56s9ZPLvC43xfQUlt5wZcI
beqbXfsUu5Z+NZ15q09VBZy2GC4Gtikv85Q/6EVlvRtupD6gyL4IDBvk3adiOKNrCjp4aWLzCetF
KYw7CZ6qgSqtjWOLjAbl+Jr3Yfcsg6Z+6vjDvzd9gV2VG35BVlp9MPvJLVgJ9Jexd3gR5Z76YBvm
3FEiB+0717VStYcC8tL0V5CM9TFQ1XNR5/qpNWDzpR6WWhDAtF2UONkXW7PG1yrPdjIo0jjQYH5Y
ARlW6dI8cIf1HLADN4NTXzbVt4ytm1v303dwuCwlfN26khtpnppxYrvl+sHJgGhyXAk4Y0qSmWTq
26YlIvSc0uopuf/UFyExdsoRQrz/LBgigVafDfukTw3scyyQcstB5vmpzxqGwqrFLh0b00MxNNYX
w9aU62ClJaYUlvUlr5v5GbnAs7SUiC7Mp4uom9+kR83iLypOoIDGGdI1xFIcOyzu5VpaTzqyxjfw
JE35pDaMoDthZUdFMc5t9ThRLt5MmhI8PTM2XGDniiydT9Dd6gdgVC7CaYs6EN65S714GR/dGpXw
pVOCYgWOzEld2tKpd/FHzDpni8xTm0TPnNzhrZdc017vWyrenM4B9yOgQO2i92V8NpWcpozIwcst
0ztrpu6cVYrzYdXNVzgeGIzLKZRkmH1aj492nNWXX4c/Ra6nQ+QovB6nabe2/cGYr2g1TMpeTv0K
+wtMvC659dP20hjyIjwUaQ3YrdFR1FtKXlRZy3A10pS2HNZIOa17iGtmM8c7IdpIH5qnbnNCuuBf
QkQAi3vFoHVKPJ/dKfkuSLFfhEP0Rp1kcMWWbaM/Bzb42TYYZu50TuP8+2olKReWOE/RMXXJWu4D
1KzAB7HsVzv0P8mfKcnRbVK+O013M0bNfFLbwHqCqZaTfCof1wjdSYITlu/Tfgtxtcp82i6F2sEe
mMXBmjO29KMe3ZvkGHbepPRfnMFJn+NivsigdHVjcXQ9u3mp4rn/4gU2MjEexCoZnIZsPBboF5y6
UR0eex3imWkv8mFeEh6l1I1/avEI9JVkwnJmpQ/BGEH72Qdj7jyJy0rvAYsZyslDKAx9MLFfCbwS
nUXd089riAzsvKwb7j9sICYn1C49ZsaiOhYnJNSLIHH30jTsZDzERVCvo2qfPvv2oL0UkaK/mOXC
vXH+1Xf2Q0QeFilGsw+ROVr0naXZz+2EER/E0AGyPzrbSEGH+VGkoNfQCfoLQPzpmxsi1Wlolk8u
krBfrriE4YE0fduEpUsNESAjtvm+obKeDUp1My3DesPWK4FkTfVIaBZ9hzAmKjHrYLCwKWx3eC+7
sr5JgMSDAQRAu9AykDAwH715uCHJbL1JlzaROPG0cNcUXDpccBZ8t6dnqIQmmnqo6PgLEkMOpqo5
ly6J/t665Ay9o0Njdv5NWnKNkk/aW87CvliuJgO47zkXq1H+ki4J+zndmEjMrx+MKHKhlfUKY0b4
yUa/EE6oAJJXHPKGZlbLpHqY9K+fkMkbwDlZoM4I2qCg79fZ3Tp3wzonGQXYkhsDiBRZ3yR/iLRZ
uxalhyJJuqSFNe+aLF0yLl6gXjGDg5c2g6pbnaz6D14Z2nUtlvlu/eWXZmdAIl1HqyH/0hlOcklH
Q39pOlg45QKGl9piWXF3NU70H80a3o6UGiVYRqXUWC/BMhc1Qv9V1bBABtwGwIKCGqoNUfR9SaHA
vIjNm9qM2nSY7DZndRxU7OAZURC7n3brnKzx96jgapJ2WedkrKz2YVYjAnwpo+JNMkhJ30HQSZP4
tPKqt7bkoiRGznJ7qvfsuqKPQGnLRBneMlfQqAG8SerITsnOli7FoFV+SOSIfNVyH3zNze8Rizol
Ilg0eOrrQuk9GyJLZFq4q63z0GK7ANy7l9SOJHPSpjXgR5bdeUv3VPH40RdaMdtOzV7uri7szoq5
tJuf451m096u8Wt75TlmiIjZoWecSosFUtm6736Hz6wcQrLhj4riOo+THj41plbfY02HDmoG/O1x
wmjl6GrkpyVY+uSsKUiuRuPdNl3O1us2iLewVaxPSUVSEcQKHyYfjTrZe+91T9mgmkN4aMrSwKjO
CkoSfmlx5a9VXOVsO1S+F34M/xJT2zUjQa8l9/0isrhcYQsxIkzS9CZ9kHfT9oLqWudNVYPi8skZ
WUaXAYMkzuUDZL0At38O4Az374ztUgqgCJkh70V0B4pzrQMcHArNx5U8ifBd7tLf5gqNKPJoj06H
Fv+cqvorVnR7rQ81jOHyy5Kh/SKRVUN+MJmzF2mBxPmajWW9zsNQBJ1wZGSuMogB1ICyDpqNctXO
Cp2D2yMqIKNKhYC9t+CipKmbqEMnJoq7hfxAUYXglV6zO1ya8uPWM6rLoTuj+RTlD/CdQBohxxZf
O9+AapD5878dbjP+4UMrPH0K0nw1vq7tNdLzeePusUKLyXGp1d7Rc/OhakfzwUwx5oso4hRLS1M0
fi3w0/+eSowO/h7d6DY6SnObPDVl1O+2Ti+u9oANgqt0raNbtKIC9VM8jdv/zplIUnrYrz2Ejtoj
Huf369nWZzY1fCYnxSg6zvF6+18DZbLZXynw4WC0XGlAaOQyKc2EWn+HsJRlXUKS/BOyEAm+DJY9
rIefo77Ga4waFQOxBIIEvcJIf+ABYTQnxEIbWC1F+Obaf+hFrL0IPLfUuvykwtw8yJgcvPJPdQmQ
BtqwHwESH2j9b3ZItrc9LBzx3fZbt3ixHMwuwxdu+e8AZYvo8fZfIYHu8pvJ2ay7Ox19g/utf52x
tbUhONRBlrwOtqtNZ2/qq0ubzy+9snDfjOYxnersW5r9D2nntSQnsrXtKyICb07LV3W59mqdEC2H
956r/x6yNIOmt7Rj/n+fEGTmIikL5FqvwRkwUDznaFlefbTrrFxnI16WOUJkLdo4Sw3f8VNuG8ZD
O5iPCDhbb5RaPTAxo73v4Pu/YlC1qMbRekuypt8mVErAHRBmgqtzUsxumkRRDnCkMamfwoJM+ZwZ
qE+id0siU0XpSMRD5QxRWoy6E/Y5q8EAA966wd2NWvPLbtM7/jKXEMsRnTdoHfjm8NfQWy8PQP06
6mRpp+kYCXbwEDbaVDSX5PqHLavuRfFL64Ec0cl2mvK+slA7PXl24MKkSczjmIBuAO4FQ37ow8cq
SO2F5sjZGmPEMT3IeAtvbuiE1h2ofvXaq6wuBoiVr6EVhSgV4WZLwlV71erC3jQgVUld0/Q6rVuY
Cu5AXWhQUuPmvh5CbeLdk9L1GxvrqRAhMOzlbIzcvUWU83kNDukFBL0WVVGWnE731m2jhRfHir1d
SOnmoPi2cQd+L9q6YMUnlkm5QnzTekago0Zx2ZTghqXGCmK0wbNIS/a0UMh+IeGCI5jYFZuwUgvW
SG6wmvvEMYHlaIuisJuli1H0tYsU9dxyJZrRsmKvk11/1eEhydr+LxhtqxTquUOkWnTNkFlpCINf
YtEG1vcF+IOd0J/zMhyTHX84zoJ1QzAp2+kNLjsDUvO41remvBLjQeECifStHx807kQzHsNknQwl
DqwzHESAPxwU9ZZgvJu1aIrNLWZo/GyCBr7XZqW3JHIAk/imunQn+EZcAJYOWUMLgVKxSV/j1JWv
c4cBdGUoWomMBnKoQvEUgYdx6bvycDtOnzRRATqaG9VvGzg1NEVfosfFXWRJj6JLHArf8HOih8gS
JR6ocd+WXjpk6Dfj0FQb0WxUcNZFiwKDaNqV8qwlbnAVLecBwWX9JXKL5poozWNpNNJLWPXOQcyH
WApqZT6i+lF3P1at/HXayTLvttP/R89/ifG6qv4UkEMbbQ8N/rB4MQEArjXo8sfY6NKjHQXgwwBj
PVe2/7VzkPHX4C6jBF58aVLK4qPmetgatdAJvVHduVWDAnAmVUsdbeb3nF+2X0TN96B0P5d22py1
BtT1YLMID201eXdhfGPupBkXyWQVJQcWoBGMAN9lz3x2wc+jcNWiR2FP5jtlnL4Pgb7qgZK9mlQX
dwYY2W2B2sObblzFhKUkW2t9TLs9at39c+hDbptOlMuah/pJ2eCBWPT3pgMk20Ei6iny+n1taubO
981qMcQ9S9mqAe3TSPpafJ3iNyG+XRbdmzRs9NPtu55+K0bQNQjl9epu7iv9yFvrA1V4WUxX/j29
MY4Uetxgf/MfmmuNYQfLyx6Vragczv23MuM02g0kWsWo1+gXYFfZqvLk/DTEfr8O40x/sjLs/GQ1
9L4lZBi5IOk/xiq+ernTvGmqLi9THp7uqVWAfOYvcmhMPVpGmqJedMNNFn6r208e6J516IzJMSmS
4IjYjbS2ZUt9yuyCKnBRWN+9FTJGyTNqJ2dnShq6UzZxrNGtCkguru06Jofo2olyG0FRnbYlIptJ
DGUKmg8kT9TCpSz07STrM5fmBseM9nUvw1qi7DbX2vIxp5Q1x4mROUY0MYD9q5g3V/jESEpBbgHg
4a3ra28pwBcChpHwF1oNdurzHzVg16VZjl84ynMHESPQHEUkg9E0o6vo6oOqOg0k5XDMszBT4X6z
4/bj4QeRR1tJV4pzmslp+00KJfWzlqjtGktFHzbWoF3FJoe3eVKTdFsiIXfrEv2xNRwKnvCOwaSm
LbpMHSNlvCeQLpsOFwOFE9VbMSWXMsxD4KF5vWvZi9zu1mTE6xMCV8l1mHT9u8GtNi251mUT9Ml1
HvhnrBiUNcCBLuYsSxGmtCl0RSkaj4gsTpwR81s2qed0kp4jKie129Rv271W9cU1skm6xygPPsiW
8th2pXMonUpNF1bhQGqoestdy7X8164IuPWKgFtsTTKUAmnYrkSnCCpctzSWWIFn+xjZl9qPgO8p
heEec/sRXpVzwh3NOfUeXrkrbRJXHRRu+qmV4xZR9kW3G7Xikwh0KE4DwZgm6Ev7zivrAOO9KS4e
umBtaHxIImaESMn9K+0PkpHKmxJK6/SQ0r2lbYA2aJh87ZHDQhM8Ta4WehD4kXriMeYWIcBzpqX8
GpGDCV5owOB9qw0+BZbeTIrazgnr3u7FdtBkoJsbPdrhCvp2du0En9zWGFaF0zd7MWqo2p7fVvHY
xI18bfTwU5YFwSdcupRtbtlQtw2MGH8KMirBXWdV3qUs1Ohol7290lkJv7dg7YQgkwTVjVWxD8+T
68daeOOVTQBcN7TOvGl8lULvtenAwioTA1k2og9jtVRb5/92HN4c3UbhWRwHQCs7+7p3qb3AJn/X
Z2dTTbKz6Bd7/xz0EscHFjSFTAPI5tj7ejpqPrSrEmXX9/GblaJE0yk5cu6gI5wJE+FrIbZW0x6i
qTDzKt9ZfRgQwUGXNVuskKLFfMQ8y/T+jlHyfe7hB9EqJJnjh7Gs8z0KatkqL91sj3MjIplRNF78
KlW3Y5WHd/nQ1neRnDfbHl9wNA8RwZV5J89yiMW2PbTdex6mJ2xIJjnZlwJzDW9RGtElT2XvHWM6
dWGCgH9qdfgtYJNZE5eLVnWVy21TyeoFX7lhJamNvvowEIEAh1JBPiWQHM2EXDZF2+Fa68Dv3fq8
1tWONiqsKJyqF0sesSmIpDLYiTOJzkFLvoLHyZeAp4GgSUHUnF1eV53q51tX7NoIclRxvgoDb8SO
hSaC8ANi0ejA8XgcD8DDJjCNorpfgYKrXOunVpexmptveFhJfNUisEyiSxww3whDPX61vajYirS9
r6k/AgWzYdEiAchzsdidNx/FtcK0+lm5s+qHcpIBMrCezOLAfE9MmayHZHT3um0b2wF11b05NtYZ
AGzFGtAuP3W1dI87lItVtqvvPcBQadW1XyW0s6cFUPGkOhggtphQHWWnVQ/YS8Ewid36niQ7agyI
Jr55SYosoK79CHEBQHz7IS579dQJ+4k2UBYfmlXhp1tHVhMyCgiqh6Tnd/V0SRfX5XAypawU/Vlc
4OfL+hwrBuZY1J6eRWvuF7FRgI+kHeC9dFJc5JNQB8CXJvHHpVVAoxJNSxmDY2V530VrgAX2CHv9
oQ7l4dS6afuoGUm4taCHoyzPYGum/UPo3cZsuFDLEcjnVoo184Ix2GrWx3UrA8bkYDpLavxyDC9k
cvQrI/lQ9GX9MLYvg+HX52j0EBvW3WBH2hafYl8FNDf1zQMmDzyLsih/9tXTXpFqwc7H8XsxB3Oz
sN2oPwroUpMZJi4+3ucb4ukDnEkAm6rR45vz3Rv+aRD4KRIQa54n04WouktmJMHGHKPFkKUWSrxP
OcCER4O63pPXYWPqjKF8J0J7PXIgK0jKRPdR11jFGmvxpZhy+2KZY3sQLbEBAKPsXJN3NX/Fg7Rx
qsFDQcDg7rH/BZAIDhUWrQKY64Za9COUsxbaBFMUWEbF6q1wT4bSwoijGw+FnshLGzHILboQeAdZ
KAonStlfYXTXD3KuB4fa8vhXRTJNZ9AvuYsaRlADuJqBceKfOor/sVFXxYbqRod9yd//69vjqxgS
RxoKktWRAVVwKhrLY/OjN+ruKCrEyNaW69DWs1uBuYyy6A56LaSsqd5cZohfKe5dFpvRPSWgVYMb
GqggK3ZXSeoDWfobGzujZOPhoc9U4yQgsySW/G0rdMZ4lNUUyFzxZEkiyL7JUXXr8VF0SLEcLRu7
QuZ2GneDgOebKVxF3QnK+1SInm5L1rQpajtF43IdR71x0oeMe5boEpsYD+epXzQ8fJxv0IHS4d+U
e8PdvBnbHOJYqPV3WdlkBdRB2mZXItqdZwcRJ7rmI8Se08tUkvJzV2nBXWP5BThQxMcbEFNYwqT+
Jz9NPgMO6/icf9KndKt86PWke/PtiYHnetFDXw7DplV8xOXrJrirnXZXF7q+wOQcsaFpE0OaOUut
5W7KIFduA6JPjGaGPZwbnIcCPJlXoqt2DDJjVOK3me6kO6hBWGwZVXmfuTpOxx1161vpRLSjMv+r
HZZdehBtqwBBtUymeNGuJpZSobc4jVResRlkSii60bpvlZ0j5okeYxi3B4cKwue+mnRJkMu+9tmo
4GOHobKkj8H1nwf1k/LjdFBCTu/zOB3k/OagHnVurBLCGmVSMuClKqlnMnXLIsf/RFZT0vYhi0hE
GLwTxCXWhNOmcWIA26YX7eY+D3gigkVltxJ9YgIDita+NWB1F9N6UvQp6WQxalFEqLBQgEjLRuyJ
jZdoWDaaBXcMRf45oPSeDJzhryY5xUl5uJucXjhWDIiQeZbcSOJFrQPsnPs+zJJXHcIieQ3P/6+J
50ksr7Oh0R7nHjHP/FqLUor2gTZeP/RHHYv/MQ/DfTF9o7o5gVLguty+b9vtf21qLGa6rmzOIrZR
vw9aF98DSmwPOQTYxc0v0zXRrAv01oI7id+mqfblVZP65c3/soNTuOn0ylrNBppQuQ4IJeZnFtPy
A2uZvZbFxv4GkRDgiRsCo1hlSBHdkBVlV5IqcJTdqARoTCWOsgiVWsVKth7O82bstOGcWevCyYKz
CBVjonsEK7QNC8gic3yA9aEK4JzpAicBHzMdPw+LGXp/I6abu8VeppS/TvfhZPOUoPKv/CfCw62y
FNqOtZcC7eFDdUrUogCDPsQiYKpuzeWpJtKltec7yXIuZ82jt2rV3BalsWCK1hpXWosTiVGrXCL6
7V4l0/1ixp1yuNXaJvlRSuBfRZco6YnN1FVXGDDdKnQIaNyaM6Ab2rBkKdfES73LKFn+s96xOqXS
b90FShY8RyXGzhoMmb0YtcKxWHthqW9EE2d2aj+9YqxEsDJSyJasMluK0Q4CGRAsfq7eNFVbdhK4
C4NyMq3Cj5XH3Pgshm6T4ajijNxzRKvQqwfxqmIFNDsJyteeXxcknsL/pmudDFpjauJhGxxvu9gz
sYty4VHsoUUZHBEDqcljA5jMjC+Kr5kH6MQ/N9rUNMamSAHg0ik7konUq53/bHelV/7nrgi9HSUm
+G17PpOIUYCmLJF9bklC/PUSLHFi0basQcYKslzUkusdo4qataP3/nFuBlNfPg4RZEC1v7ZKZ28/
hFB0jKvFLUZMIY6xei3EjQVrkGlqcYgY/DC16JsHRByZoi+RZmubuT8nWVvdXmWetOPGVhI0REHS
HEKMEA9i73fN/6Xvw8z/fSr/Ty8jrnw3Wswv8L9PEyUd95Pfxfzx1ThqDut0GK7iqNvpbtNAA/jH
qX8d+910H1/qr/G/jIlDb2f4pVec/XZGXMRg9oqO/3hN//68v55dTCMOraIGP4N57nlk7vv4qn6d
6X84fxIDevj4Bf3S/uW0v+yKl/X7dqmOXK8st2BJGqSHfNqIvc4wko/N34WIuAlPdhB7fzx2Dpnj
Ppztj1P9i2M/TDW/0vlsf5z+w7H/4mz/71P98XNpJOkegW5Ez6eP/o+vdh74n1+thJtKBFPhH9/0
v3jTf/xMcfcjA/ZvP5N5mvkz+d2x/5+fxx+n+uPZfvt5zK9y/uT/OPUfQ+aBDx/3PJWJJlkQeYi6
NNje2YuBB4jzwOp5aXQV3qPgyhVgh3T6EzqmbaDbR1nirEWg6JtHuzaE6zCNzgO3GUCyMqIZIG6n
aRBr/jmhaHoo9SyR2sNNYsxxrKjKVaH18kny0v4YZZ6E/IQ1vNkUuOs0UJ8dDIaBz8napZ02TmDa
xzC2UL6nJTYBNHYW/cmwTb1wUlWqJPN2hDcAZov0RrlFi0BxCDkIqpJZfpgnMKXOuyDl/GFeRxtR
UIvxAXV7x3upKsVcpN3Y3BWd5r9QAi6oJ6fmMewL/8W0h6+oNeMpNLXSEDEHaIcX0QIHj3IghCLR
yrWRDBSaQWJWL36UOydYZOgTbPKymIymEMM6/LKru16pLnvgQz9723lXxJL+qBCTCxGMCcAVAg43
0GlGZWJlm660dT95dqO9JJg5UxfKH1s58l772rYPvh/iA19qCBm5LK+1Pqk3YrTK+3YZRJJyEKNq
Hzz3FNSupmuCv6CoqUzl0AyJ10UCuv0dYttXxJeUB18OUVH3g8kLIe3erbRfUpoItkmJB5ar9d3F
QsH2ggnDIWhT/c6RczVYaxLSAkjNnOeIHGGYc6W8ix6TABM559a5q2sMUad58nbSESbVvcPSwzmR
mHxxgUHgKiV3Ty7CQFIWPFlkHjC5O5JssDY6pucX09HB7tXo6I0kZCw/M58xOlMRa+wSDAJpmibp
aGSiABVNzcK33S2wc3WFtLzxbBrYZGLQ4v4cRVdyO3pRCimIYK1HRzcBhbsWwekAVwYJJePn6DAW
m7Dtg40ITkfoAwoKLRsRrOu6tkbFQL2NAkNt1orTekjCyswsK/E6RgJkK4KzrHBW+iArW/EWNJJa
+ClJ3k7MHKtOtWLZXO3EsboGNjtrDW1nSrh2GYVPxp+Xi29Tmx5z8gmvjolri80yc0wj6dGRDCwS
p25fz0+h3lOzHcfwVeuqYGdERbwWo76M1byE+vxejCKh9w22jXvWs7w7ObV7lts+XFm24mIALpVP
DWTNna11CO9MzUyrlXOa2FepH8onrSmrp3ZIll6YRQ9hKb3oQM3uoKmNWz2LsmVb6z1OdB225G3a
HSLHTLEcS76iBRg91MDEt8kEno/VHNZeMHThBow/OiuOoby2EdpIo5qUR9FsNB3bBm6J+uSh4w7Z
UwaXNLcAeOeVlD0ZcoRiKCIIhziCmcX/xd0UWW8C/dPOQ1zqaBGp+r0GxnffmogriT4fivG9JXvt
pvDQ6BZ9YpMl6FHVkUNCaDpWxKkFWXmK4zFCtkwlBtTSuVRtKx8DJ/Qnh7OHUeuQtlBgXUTWQW0C
fs6u2ZNcdjK2Fmr/d2IjhgL+urdmLSfvQ4UtmQ8wKRgxTzTCwn8Eos3qz6qal7jPKH1gevk5a7I3
ZJYQ6hkMHHiqrF7Xnj5sqCwUsGYO80aNqgr/6qmzdqufIy556kXUoB/Xa1l59tpvjd9GJ1zd3/rS
SbZmiXLaGLg6CFB15SPDo9jqEcPH8Roa/SpozHgXD1W5tbLau2fpbyxVKdevWSyfU3inKx9c9raN
zUOpV9BswUkstagad42dHWK9tu7N0rDupQg4szqS9xV9SqYjhcklZ1H5Q3ivKNY2RGfwlPAB913s
7tGQlJDDY1PqXrGVLC9ZoKIgnSzDbDd92FQLUFd1jd42HJXbbpZRZc7bNlrXKIMcm4ntIvZEjE2O
eF3LabRsffJJCqCHtNMvSRrIV9FDimEyNPEt0HAEiIHSkXtECFGXFn26pUSU51LMK6aKeK9/TbGF
PM+292aNr1gA5mUl+sQmTZ30qlnP+KpHF5sy1jXVlikm4U92pD+FyCGci7gun7sJBmpASDtJlVc+
o6UH0xsOEJJBLM7dzMvuHaXM7ll2bIdQMk82kgZgAZBT5E/3MAlAPuTWqK6sXJZW/lQNHPM+3Uce
GAzdD5pJ7ncBlLBcu6VtLm3P6+7sOjzERW/fN7bTw5bw1bVbBfFbK0Wf6kLq7v2h5KNEuJQqaJks
FEmiYpRqA4qUw7veuc3WACzzQA3Y1+VV643md1syr9j3IL+RTBXDUkPGXtX7fWyTgtDrMH0UfWC7
Tq1aoIaYcw+MoyzdaUExHuVB0reURULHB8uRGNq1KbNshTZi8GJVXbXAqa4CuVOdWqvTFqWtdhRC
BusoNnKFR+DcFHt6ZiU7stKPadEggy76WmMq/Jlav4o1w9oMuJItIVQPx8HG69tzVBwhLSX+hCfT
0omkdImgrbWLClN5xnssXHUaghqeLhn3biwtMYkaD605fUIlbnDrQoqThdSEz4M/Zakp76pl3/8w
hvpdMxv1NfMc8HZ1HOyQbUk3JoBhs79ghdpffJ6/9npd9xiq+8oqyyNtaaJef9KS0j0MFYL1o3pE
yBcxFDt/DGR93UoVuIXB/Ky3Wnw0RjKVroftkJXl6amHpLju2m58lWrsHJQtdxJVWqSp5lytVWT0
5lXsw4p1roWhXDOpN8HR0vLckphQdxYgivXt3DeUVr72lEpZiaPEgBKO8q5XULec+1DIy1fQHt9y
mZVyDjDr2Y3j73HQKN8Np1yMWVNR/uycBVSU9KEJEDntHRmvd5VMXNZKUPgiByfVNH1LMe/MnVC/
tlRDrnZsfR9sJX2rG8Vbq3rb7fWypXqQ11zO3AxCb5s+1JahP5WNDbYK9JvV2vW55rEC0W3QdEYX
wDeP6mwlRlMXN3N/LNSt1NXxSS16Y9EC3ax0JDbN9qAodXWNERB6GjNYm2Zg9GCTLHvnd4W3tkGE
rHq5Ni89OpJbeQwzXIodE5c2SEZ1X+2Ursq2VpEl9z7UQsTcUu9r4pmHIm2b1yguyeUlereX02R4
sDsujyJCDoZ7w+ucZ9mvMX2BVLQLlNx7Qhr4S+wgq2cl7XDGcj5cx1UT3ilGZd7XtsXTJiJ2X5Kq
++7onfXQ4gnD0yQi5KVsFu9pvrFwSFsoOBk+ad1w8pxO+aQYqbIaRs048avP7pBOSjd2GgCc95HM
8zKsrvKsXyaVFX1JofRMygrV1Q5R47D68i6P64xkfths8lapHkxfyxGbqq23wTevY+VDFEjMk2Im
4Y/RqL7A/FJfR8v2Vh2ln2uo4j9vVZK8RbENAY0AnUaf4ovURJDZNQX4mVaeUS3Pf7TaJE8vI6E2
GKhU5cmjIpfmdyMy1palKe+Z0xVLHKOSe9kMw51sWMU+z9R43eRNtKxdfqhqY+i7iYF0DcpGW9ZK
WmEl1QOOAJzGIx8KtXH5xncZrALPqfHALst90zIbWENIAqVR8Ke/j5AYe4L9aCF/ECAIV9TZWkEL
4qJmg4uaf2YfvRSeY8I3d0ghxnPBLUCZdt4V7Wrg6gqrpRB360sRGcPGCZCP91yz3BZu6Z0sNU92
GLw7d04WhXvT9+1DkQc/TBPZGLmXjhPWFTUFFeH3vNiLlugXm26KmMMa33yPIq3dzl1zmO+1zdqJ
em6ylWU8JWq6LMake0inFt6T75qvDqfOaDCy8tVyqQED24umPch3lPO+jKqenPF2y694oHjLJquS
rWjGUpNfYxV8q6mTYp8iRJcYpKIPZlBqXEAJcQHGGEGiNPDaVTF09SKqNPvYBW333OqPfRNWPyDg
LbkhASYJ3pTMFipcyEdQwbuOYf0l7RSwUY72rUE920pqtK5D45JUwzXrfOfgdWcDYv5SDs2HzPYw
F6QuaC9bzOUn2Bt45WTqve1yqxiWiTfmG7xOm72hAS/Iert4US0H3QsNZK5oOn3arvuKNbOvWv3C
4qniXoVkcW9DrFu0ijHs575sjL40vWUdxsHt7kV/pPv3hllmsDO4SS+73trFKAyexCDeu9+Q602A
1qYIz3dV+xIjDHLoUTpc4nBcsYIPn7s2xqXdHZ5dK0tXtl99FtBIFM4UxJokbCREW2wAqNGZ+942
9zVM6QkR/QJriW2jvVec5lTIjX+nSaC1JZdrL081/cJQ2+5s5an04A7mhf908pY1KP9idwPcZWo6
jbN2eSrN9KNkJgFPU2E/7MfAe8DKIj36zvcsCcO7NtTTY2+UVyXMq1PqKRYepwpcdUV+lksnvjRZ
+ZSbSIZ0dn4du/xTaw3KKTMy5QT51ViHklQuG88P791Ie8gLWbnrppbYhEPM+7Pbg4Bb2diZYcU9
4bjyuDkYioohrZHBW4gtvk8siS2Df3wdddcS2/ovSm4HCw/jj0vqNp+aQDM3Q9r0/AZi/XWIK/wU
B+fONYJ0XRTuQdejfhexcrjLDMPaVjUGcn1ELsCifpQntrXy2mTn1M59mGXODyA+rWxAOfQ6OBeQ
K7/2tsbKGhjQqwkTcNlSY9qanAdkCJq4iqs3X/TUfJVKJLqQ2l+keYZUrodfiKo047vlypeKC+SD
7bhISxncYReo+wLxHApv2WYj3N2MpOKkNLGWbLMCojHgRKfJ5Z2XuZRFg8L5NGo44qqbNAvaH1Lb
rVPWn95Cyt71+AJP27gTm64PzDt8qrkQhcV93yFhPtadv1Rhl3yNEm0VuYP65pn5yURnnrUXQvdw
/t3tGNvmKzAYCNht+W7mFit1Bcvcohm0h6Eov0AcdXc8yyk7P6sWsdsG33C46BZtkHubQA34PJui
fez78nMclIBIQVo+uqMqoT+F9S/Xmj2cGHeH11R2xog1X4OLQUKsCq+aXKAPoPrDq5YAUXS0ynlr
ivJbDe7nSxK298FowWMqEvUsB9jXOEUgnVuzTpBii79lUW28aUFQsth2nUOEj8DV8v0nG01iHPqU
l9I3lQvwvhfRKrqi4uEjrhe5mk0VxfIyY4kCGTHUoErDzZDw1CwPuFMlvvyU6729kAOnvmsw71jV
qWvgUpO5m7SCwpFhZLdC8avfTGXafTaVOJ1vPdbJ96heuoZmnTPPdBYRuayNk1o8tHCpri5zpzE1
Xb8xV5RF84WJpB/2Y6joQZzCfbpBurcFviYX3WeQo+Y7mIvbztTz91BmjcY/Y+SoN98tgtGj6Zd4
NqTnXu39Bf+3DOyIaV2TQv/aNW7xJsuhv/bUqt8LKytI+maJktlCb319xVsgw6OBjsLounX3PtYE
l7KHIIR4n//FZ1WYDYXzbDpmAe1dT7ZFYDuviQPjviqDLyTQ9CW+Wu2phLlRliuhOCxkiMWeUCGW
tM48ptnLh+45lIenJRppSNy3wcLxJz8P1SNF0w7Vup9My+3ECvhpxvF+iOTkqiZFeo0CA7fdqHgX
EaxwJ+q7b4NWhJ6YbjzNg5+BcdDVLVSF5OVYbP3UGR7dosS6fpIt63EVVJMh+8KDJiRRsufdmL0O
DgkuxwrIu1le/hqpSbhyvVzfi1Fdbl6kqmb5GcThS9zdi15XLYpzZKMx7DYZuA8kN+q9U4Nag0Wb
rtpEg5wyaWhCw9C/gurkQZCvdJC4cUmuFG95odmD2JSavh3aUDmLVqoG1QYL6V3sYwfmGCY/Rcz3
PqveTpL8+n00VOBnmqLsDd91nvKovSB2Xr+DXuuXkFu6kz141nEckmDl2XX0ZmXeRgCbVQWOlQJQ
CBc/zeLfhTztPyNGg59oF2TGAfLhsyoF6h3cSW2VaZX/JZZeIQR0nzU9kNYQUM098o7pugwaY1FC
n2SxlhrLFhvrxwwZxPsBWVhdqo3Hxqp5pNeqdy0zAASqZbFOpBSSM+9yMWgQffJYznkWsNHrEiTf
Kqo2ReUfFBQSzqPjVC+56d8BSenvWarXL4l+Sb20eLZIcj7yD4NUQa+pRu5ldIfHPOVT8My4Xale
X2A6Lyf5olakbNvahXGHN3MK/xMLKNgoD2KjOEhVVCEyWTwbttHShqq58oo+3pgj5pgipuhscI0y
Ol/TYd2gNNdpEr/Fvh0PSywY/uZjGTKAyNFuPD4iOFpiA6ouPLiR83az5GjMi5SFGXRkn49cMoLX
IHKxykCw9VX0pSqe1h/2xGiamb/GSRk8n8xOF+ogfQqEa6NW6neS04UX4JgGucsoXPswKTbaJFow
dqF/mmJBaITLXO2ijSHYHvMziyCHWDEPYEGl20sxIMkqqQIe5aR+BTqvfRB7Fpnd257z997vRlFM
PlniL9J6Mo+O1sJEm/BbkpK0k93IfES3O9kOOQu43NRxvB0RxbDGIPsyxcI411kXTg4dEhQYrdHB
mGsaiOvGHC/ID3dcV1E16gxkrPRpoPzngDhCDeRL2IYvvlUDKgpC7TlAO2wrmlWiqs+sd9RtkVFN
hy+4GnGvPkhgaK9S7efLLFfCb/F3I9f0rwbsCdzkWXbUY6AeApB5G9vS5Bc3Gh8kD7kmze2e05HL
RVXrLbouTbV2E/s5KGQrhyHpY2kuyVp0StPQP2txXl34bpq9VHqfW9mlJbqmjcdSYR/YwWfRlfhF
vvN13AX4XfLH9PKv2BUEp0gJ9Ds1zRpyldfObPpTIKi2UNL6E543tEGPHBDyNRP+bFsf4yyE3Mil
lzBql0rNAnHDxWM8DKAl24kwEqiIQOu5UzxaStBuVQ+HoATy/jWcQHX2AL2ok4YU0QIu3tAE1edc
ba1Vl+rKVjihDUgWr2QLX27hdSZG+ylYnoLLKbiqgMirUR9cnMytrpWn7nqrQuhkUjxNehcv2Di+
D0rkTPnFTp5VhXUQg6CegeNWVA7EaN056WGsclS2pkOdlioOCrXLym2156SV4k0dVzGOHXzrCC8m
m9Er83VmxAtcMrleOY1xB9cSh8ypKa5hsuRt0OLurqIr8dpqFfk2P1Jr0p7JoAbJSljdy62+4man
nmclvanL82LtnFtOd428aCmbMEtJ1aRPPc9q96GG9a1AHWux+yLVtnzSJ9yxzg9wlVeavxXN3gyi
gzhU6lGeS2HXLnwYRGSLx+goazrqwnM70epxBR4H+YNpeB4ItOT/GDuvJkl1YFv/IiLw5rWgbFdX
+5m954UYi/eeX38/xOyhb585N+4LgYSgKBBSKjPXWiWAEWi0ZQutjiaOpzsDB9qboTAIw4mM70LL
EEAl4FlaZfhjDn4pViH9TAEParmERFzbkhOrBfW9NkXBXWqRiWU0YfmSFQlB0tkMfjTDr7Yp4b37
7xw9m7M9mt71vVwX2jlKnnrfqZ9Y1pUuujDNcR3pRVlxyIhrl8OObo2YJfPoac2UebJuRgeRgSo2
BO2gV2rk33Uit1S0G8i6OszL6xDt/IKlpao1Bh8YsVNXksgFzf22eA108k/FXvRnbzsqDUQl9FjG
tQqWrh06+6E0CgfrKei/pbqFM6FRP8Ut+Km5iwpMaLN+62oflzsNRgshPTgCg6cxGQo8Q+jiTUak
Me0dRAPdVyeY4XLpoluv0yKrDQqcAId2RsswWwuimthEfNIKnSDT0mpr2uq6vYujMj2KA/Dko9qX
ootZahbiIdKzsFfFg+Z12ndaDyx1ea6iXlRFjfW8PnpRNGghDuqLJLjjt9adD6oh0ayrsIUiRw8v
vqM4riiqVlPsG4gMTsII0kY0pPUJDKg4ane/Mj1Q3pTKmR+nznjJUqk/504E8jsdYB0DVVDgbUcz
2P+zl7UygZdauxP1YrM1E8UsTiBAavLK3Q5ACZketWhOd4IIN+j8/p4A524VRBV1ghOXuTIi/g3V
sajbDtghzjaTjHl3q8NpK5+HOP5awOupODu5tR/0Fu+KSEUXGeoiYT0CqHdBL/ImqsRBUS/2BqAV
0PcAA3lH//znDNEkU4tQ222tq6W1uJbW54d6ga8J3sXRT6uLBl30Ruko6hOhzwX3GvnfoNnI+yRR
FufuD/gF5uOIRuux04Pxs97Nx9UtScq5G0SJcZ93tX6ztI6s9lJBx8gKrjNZZJ/kcI5PzgwwUO+d
AwaSfBd1hX3Kp0G+k/rgf+yxhLZPf2sXGMG1FXP1BNXU+ITxDWdPcZUK+JCEQWItcQnfmPyzMEjM
qNRPga80rjg6SBbsc874gPiWDZcZcwXmJKD4pSimDiCEHWtMimJiGfO4d5sGmQUtDaMFgkL6v4Ts
Mlxu8VX8hBHJ0iF1GFvEUc2p0sdIzo56GegPBsGwlQF10u/DtlGuvwlQKUrkOFzFQTWFAnyCY+2I
p6B57pwWcFXqhLCpUYTBqX0ukicCe/WTqEnadpnPYbcXx6Qsg6jWMaGaS1EFTvV/G2L4xb5Xl0WI
nQVnAfrPzVk6KFHegUglQGIlPkzira59LqIQFrSof61kDYC50X9u/Ur7bA0LwWCqxfugo1Vdtx0e
xUGrvq1TOq51GYqDqPOf1upc0x6ySp2+VCxTPT9zqru5Q/46rOJHuTDuqt88runCX2DMTn5T/E46
VtZkHmKCwF9sdCAHNKbNsdQO2XRd1Q3jHnWYDmKzuM6MqwNC1Svi2HkrdFiPOm4AhfBXQayEUhSx
ED1eS8sxUVKNVnv701KQLG2l/46piqEjEQOJkFBg0iZzdMcMIc1KNxGg7Arr1tWQWi1M42IzYK3+
bgGCE4lK+H+6Rl9biJO2a4gTLAn6nj/XmBJdexxVoocKcAEAQ8lFihXltY6aee9LY37AAaLAFjFV
Z1JDGlccNcsxufW9/xYmtJXRR3xVrL04JJq3dfkg91b6sLZW4KbR4Gq+yL4bhAsvEXqLu9Ya05Ml
/AuVATRW6eTmYCwAPG3ZVAub9RDa4x0GlStK1UJhve4tB0Uz/HjjHSD63y2W+qSKul2UI4U7RaXt
VmEFG72M1F5vkTAw2fVXaOXmeyPI5dM0OK/dlMr3osoCrTB6Rhg7UO3FBuPNBHSl6heHQfmEOswE
VLGU5exefADzVEhXLKwn0f9FFYxvcJeqxH22j+YvJxEWWb8h0cpB8nLvy2O7V3Ncs+7/64TQn5vn
7Ve2X/5zkpUU/ampGID6LC8vOkjQS2P25UUUNVlFcjqPGpdwgo5Y84iB2Ez53qTneQbqafsyhEkE
R61bAK/M9gNf4M5qtP6kjqNq4YyM5pvk/FxLmj5lV3vozzJOuEOgZtz+MqOL2VtM/kakZLsqq3nY
fw6Mw9DdegYM0UJPIVCKTCc+dMS2HsdxDA50NsWdZaIa9ZSFj+LApBmPqLRGd8rkRLciI+7eT9Gj
3cTS2ZEhRIw0zONxqWuI5itO5rg9DDxupTaFfYFbgdhbVrSHQIZP1os1X77PFghJVMR3FkYEVA5a
vjMC1upeKlfatZGh/QWt5veI8Q3/FgxNVx3wsWcGKfHjEgIfYggWHtykuomNhADlute26tEKwBiq
kz26ILHr25QbeFRCH4hMVEIUabGc8wBv1bc2QDMHMBIk1r00e+FYVy9qUyHz7Mvlm6RqsRvoev25
MFgJYui290kahW7YIswQk/ZG6kdHR9YnJN9t6D1xHBFM8r9MCAZ5g66Un6QSNYWq+e4b/vyotbp8
tCHKOJDSZu/sWe/uE8d6SUwAxM1YlsccF5GXN4kbBsUEZpJNkinjQY4QPRd1CE+Nz5k/vqZFLBOT
Qma1AogbSTG5hnJbNw/Y9mUQW/ke+YduH9lS4lWSxmrTj+J1E9bOYbR6/zr5aJ8bDvpcMizqF7FJ
SSCGrzMr7gNwf57cZSNMPIbzqcIVslOSOrtXg9z/FCvZEaLVAGQjQ7DvhJ5oFeh4VnrQjjutQPwx
UMbi3BdTsR7VAeygwhSPmA9co04Ue2cNY7XL1FR1LSXLLwFk9Rf4pn7vbXXiQFws4Gxx2FJJpSOH
ieZiI1puJ251WxOxB7V+TkqiNe07tf8yaaOJqy3iKkVl/t+7RKG4FTsiu3ZesqdFWTQVe6JOmlqA
vm9Ajtuj6kTlxanG/my25avmO+phu/0oCUe3nuClaguSEEfpTlcXiS/SFy7DkuivLang5mz8KBSz
JHkjNHaOEUgug0W7jBjtpWpsnHxbOW5MKCnyPDsPpDrg5kVBsJaJYQt4gLjoMKtx84+yXJpIHFHj
lhyUS6lMt4aIPuml1b7Www7StS4+WTF2XVyQ++Eacw5mwAxKkL9IC+TrGxGPTjxisVkb+a3KK1n3
RbVovzVlXWieRgnVsKTPs1Oz5ClPipFlJ/EAC4bWFlglL2DoCPoiaro8djgiclStcq16nLT7IeqI
ESz12+MXL1PUra9oO7wd2erE3rYR72UrfmjXRTLvvA1N/6RDy4CGBeF8XvDWTBK9QpQ7soqm9aZT
Mj8nl8hOBStN2pPDyh1vm+3eRV3QdfbvE0VZPJmttdj7cMqH4rs/vp2n9DU3jxwhK9dkfI11zZ73
oge0lprObg+u34NWAy9Ua4zpXrwunN35ZXvRW1HUbW90K0pSSULa9sLFkY/nObbj5SWQqShQC/Jq
5FImxNoW0H+wqYnR0Z8zqZldUcFI1P7e1TNSm1FmeZ163IJjcTEYuy814Xs657IrNijPVu/LWQQl
dNdCRyrez/a43n3m6+76dPPa3PeOv7fU75ONsd8HzNrLJl6eh7b8zt+Kf6sTZ4gD4rStKOrwiP2+
lDwQHJal4VefONf1SxXfpNh0y0Ag9iwB2hFl8SH/rc3f6qCS4LVsRz7+gjgiLrv+wpSRG1hXsUum
HV6g5W9v71R8xOLFfqjbimLvw2l/q/tfL7Vd/sNpoWNVuGyCfhctY2Qkozn5e3cp90sPEmPmuyMl
i+oUbgsOTVnGrjhVlNeLiCv9OX0i3QI1tz+VYk/tq/nYdOlJXLyCMdSbtb0E3eX6PYvPVAxd26Tw
oW77krd2f6srlAW5IbqiaLhdRtRtxe0yoktvRbG3fvFb5Yef2i7zt1/qFRXGwOAt1VrYmJfZdB39
Pu6Kc99VrjPxx1rR4F0rsbs1CqOqn9eBfBBj7LvfEq0+XhXLKz/3/vdt0DCWpLCtmCwDixhdRJ0o
ir3/33biXHFaoqfeHKvNaR1Wt1tfh3Vxf/9jV7yPSIzkYjcg1YkEnq/bgxBTjejbnYLyj9YDfpeD
gM4shrCUgFp7JwYJUc5IW1wSKP8McRVKI137tg2t4lp/HW6XiXr70ESTD+22b0wciANHIr49yesk
/+E7/nCun0l4seTLevNm/n0q5eK8GO+zC3kIjHYDgQt1Tg86jhb2UbH/z1h7Zx6EwsAQN7JtxF1b
QYyquLY3CW4cxMPYRn5R/FCniqdI9powzpowlPfim83Frk169EnH+3WURv3LRGL77AprCxUhCbjf
8tWL5r7TvQ4hrKpRY7+zQde7F++x6RXpt6mZCgN0fafCABW7a2fe3nSDLK/kd+ZJdBrI+lJPmvMJ
8tA/T0T84/VVisp35T+vkXw+rZ7H89aZ1j72x+YVlxc/u/VWsSfqxNG/FUXd3y6Vqo0ObYqnL2t7
cXOiaZsU/wRkw7JmqLx1uNUqVngQCzhk8bKES/ppB33Kz26x7sRIJPZQjXhfLMIs25uZ8ivQ1OqS
dHghycyrLj6Mmic/wtNw31c27DshMRhFmuFM6KvTuykNq5jZbZslxdQ4FnEyu0NRAHIljrAj++D7
9mDEntg0Btn/Wt4eGvWhi0Hvb3O0RCLzgUzFm2gojYbiodvLOgg4NZdeZuWUrMJTA9QJRi5yjRFK
iCLzuWocoORjdRRjzlynmDIFCPJ9zyMTvVd82Y7RMRnNpsk6vwv+lWCtQ4KzzHZd0xieaKI0cPtD
g8gEvG70mt9vR8UTT1JssIXgzrDO4i7Fm1mHqgmBXFjz7BdRV8WRs8PF8mga048QVM2Z8z68mHSQ
MmLiP8QnnhbhXon7lhtxXHlUL+IzqZ3ulHS4iOZ5vMNQyvDKqahvFt+YMZI97kbY5JfXvd2fRN7z
HpKLr+ghvZHcIe0bJCNmt0WG4hzLuOvQBEt3UNn+OzqOtjeaqbpg6Ol7OsA/4ubfrepWw/pd7fqp
CXN7699DY1dLqgSehT822/YUFSshMtK2J/F5rY9sWVuKvi0u8mEMWr9vUfnhlFIibBuW0COyFp8Q
e0LyRhimfn4odNihUccidoi4FIM86K9dNtjdYRrLJ73X8QORJQps/2QM2ROBs50Cl00W+FczTtxs
bp/M7LGIHGsvfjWB0nOJOO6gSz8EJetuehCdZfm4oJXaGUaJcJ96koqG5Umqn/Ww1tZF6rqKXS0L
8SGK73wzDj7UaWK1INqsux+Oi+L/bmCs54huQPj2ICeFf2yi4QCKzFqXS/+r9WFqNbzbeXNcB1qN
x5j+U7ehcdz6am7qLjlDw0lUEVFnPhFjyrorakVZ7ImNGUg0ClCwwH4cDro6Q76Bno/eGPtt4FjN
YNF7/5jcamHW56QeC/Rp8X788UOIbjLGZrDrkPYGNZO++wC3UVR8lKs948xyfGJMwb1ouE4WjifR
I0mAmYAaqC5EE/5RUdKD+PzEGyfStlP7yD6JrtfO/dpA/HaK083Li3peTUVxZx9+9291Yecsodno
2vbMzG45mvKBLK6HdTirh/4Ad+WjuG1xNbMJimPW/naniCtaYyPjQgq/qGGuzHtLmonmp8cZnmRx
/N0ML+57nSjXr0fMauvnJP6hoTTRZX4xa91ra6k4bZ6PrNdUr5uVfPfOIJZVFDBLXc/Xbv2uC77b
FTevJ3nhBa3WmbsGFrhTkVlMEuQcHNKYXijmeLH+bVR8ahLR7KCMDuAu23Pcv1RzZB7TRj9ouYVt
KnqT1aQhwJsW6vT2m18vGiRVpcI2v6ysxRchfhiZypnAD8l4W/cTHetjF22G7jkrfA952tNchwvy
7j+v1bsnuD7RZfIXe+IpyiR675qxRT/3z7Cld8XkFVXEsPfHUiAb6dLr2WdGenxBMKwtJpGRm9Fp
JKEA/UhGYbEGXXeFoTfqoUm4YbnGu93ZL3ESVH6EkF900mG09ERr0YPDoOLRinILifyCeltNHPF7
7wad7auvMfe8bAzU9SGJR9OEUeuVuQq9tVjVGzgSpio596DlZleP1fGgEsAWn6uWtS+GHpMIs879
Ay4EtCm+vDO5JtLX9kkH+xc+58l0HQLBuHrVhodhogi2/MPfj6r72s41DLnCBhXdUjxm7uoSwr2/
KAo43XF7/o5CICle5rutbrVl2+V/QY6orj6QXKl+GPB571P8bOc8exBdQvQGyZlmPuvBHWZAQif0
W8gGYkQSv2yOVrQPLZge3301YnfdFMYuVSvrlC09Bo+cs69QvzmX0BcvBqxUy0dNAQw0TrjdkZ3X
17W/YWWgKUMZq2wZ5MTrEHtqDSsjhPV/RtL1psSxtdMoiTzvxa6oFBvx1sSeRizb9X/abWY9lV3h
EQH/F5UkdV3U2ZGek64mlQNJobqP+tbwn8/O6lrp2Fhlp7oDVJTiyayWnRiP9IrE9ZPYXR2V4uWv
u6PdBBdD/9b66XDe1nooHmCI6Wa1+7AInFofUtY5hUVTmV/Af2b7IJ12qZmRdodLKZR/6eHrSMDz
NB2N5T1C7UMSgegnYthaX7FFHu4uuev0xf0gbMDFj5oum3zZzJDg7aMg/SSqxEav7nrUAM6ieR4+
Og63nC5W8Lh8kWZbIzaRvcnz1z68jvWDCgTUi/NDX+oPfauR2SIRVrUsciMaZXQVE5gLxkKQVied
fHBoN8OdXtN5TAJ9exZb3U6qFbQzySZ80GwzeehmTTvDs/oYLEpcUZzPR1+KfpDMZnq51EueU8EG
HJCYhDPfagi1B8Ur3KmG2+r172JZEsyCi0hzo8DwwOWnl7izw5OmadLR9KMMeC2BimK2taeurEvm
y4gA6lJEaedzpBr1QZ2jHSKh/uM8vc4aWnk5eX+PWUq6k+xkFmo8hN96aeKCJOY5hwjI4ksy/WrI
m34s+9J8NFr6ipTWHdDtCKZmO3I+NUBYPbJuZUY4abfqgVaBT5eawKFKAVDMdrqiU32Xs3hoZMhV
VFgAIknWyVMwbnY8O9yoFzljuJ877SQFdfyl1D/PWigfkf01vWSQnpUkgCNOAjejNV6el9pnM/y3
BznULPYwCkpIBSxBTWRtCfz/aobsCP0lWO++/qUhKye5sYJpS6alR8Ln7EFpFrhVGlfePB2URJ0v
sh1/iroRUFOGJBJ87vKujovhYOp6fO0VlKsXTZ9cMvlWC/OWB8GunBgcO9OGzN+I26OCNKKXxqWG
cHGQn/NZeeV+tMtIWsHF8Qk98v0Vfg8CMxNbUuEkcEGGg8Baze8JMKLYDCmJydWs9q65XEFcxhKt
7fbHnINUQLI9fXOKr2MJMGdyBustaqpPhtqCH23j7KEdRjIkw9m+mcOUu3pkNPttgl+XUZDgJ94M
+sHtIFe1ujK/weXmDgEPAeXfO3V5pdpCWBFYYeqJebvTfcfNTG1yzc4Zb2mo+K4PXaRnL0VZkx9B
J5Sk+KhnKUMLHtVDwl2ROu0R+VHdJgGWBXShI5u4VA5qDofkjGxDdcyddJfanYJeZtKdsrKHgj4a
Ey/oEtOz5hqYqRztUPANbtumA3t1cfKMJDXebqUTM2N9umDO7iffUJDhgcutl+onhCDA8dWjhkyZ
C3t35KqOEe5a23xyujy+I7ri70jLJZNa6sEjWE2Cb/vJb5UYdMcYQ4d4aweybdfNpJuoxRaPcaoa
KG1Fn9o+RTi7LY1dZWfnxEoQAQgsdFFRKCGtXgpvdhm0T7Net09NXO/7HlI6UdLyUblmg3bOyjq5
JssmtaDFr6fHuQDOozsjubjBT3JD8qd5Tk51YY2XMVH2Pw04RUkos8+x2mt3EOJXJ8j2d+NYFS6Q
4BABZoM5iMjNYbLpUDbkGJ7ul+NOqmbjZtT90bSy5lwPBUllTHx3Ym/blH4EUkhL9maHduowjjsb
sspHn1Lry7pXW0YBH6/9WiAWRCZDenOMonZrG3ZdY06ck1LJjQcFIdBGIwsuoda7QWlL35PCudgo
j05QdrRy63+H4D4hBaEGM1NMrX6M4/ioFQUoXaOz/4mT6EUp0NCU5qBHta4hqGfBNTAgYQHBcinv
2iqESnwhwZfy0jihwUeoCiY/ty3ygGDdBAFhVKJWaUrBJe0CN8/nL3Wr+Ls0BVwQDlCXVvqLbtTl
K3hYQOkOINSS15h1ZrC3fF/blV33pfcL1IzS5ItUx3vZHCsoOCLcAkkX8bedaxl3X/WoiGDM8FGW
8elLpknMPcrN81hBLEwXLc5JpjbIFDnPYdY+TN3UnjpAfu6AxMEVlNtz1ROEliRnFxPnv5mKLO2y
jqxYUL0LLQDjNF4T2TUQgm0TyXITk+pII/BZg8htf7ZK5ios+ECnkS4W+/axXeyABiphQgsLRIIk
iJNdAYFzyHeBFQ8xT71FEjKRNa8Mwp0TQ/mpdBagoaUzkgfa7VRIe11S753dXAXPldpNRydr651Z
kMuiooWb5JZBUJzHp+TZGzn1GdTyKN8ZXpslLapQ4xOu1lG3zPtG92EqbAD0wKkd7VTVGF1DJ/ms
ye4tLS4/hVL7XQHOdudT1t8wf7lXNPgq/m7lM5jVrQT3bCMNZImDlQrUwN8n+Y6wwC6XdGMvtKBn
7T+N6B6kYqeOMCjUjdsnOqvApPS6ocdhmhUM2UlhuZ0E7FsCENCnlbrTZcV4VALzs+PoxkVqKuMR
tfFfvRw3B8vU0TVMXK2K9FOd4U2Iox8DjMzIY2SfzWqoT8b0mOm2ctBRIHEJf/GZkvG8A3GkXUp1
Vt1WfkzLsnUZDu1r2infon6CDaKLSV7zm3Rf1EX8Zs4+6w3C//gxFAJiilZeFRP96lSxz6Sx4rPQ
puBigca6yopUISEP07HSA1eagbVkuIVU5Xla6Gy6rr6NRaU852NQX0jN/ZVAEFEY7gj86tiZ0k3J
vla1Kb9BrDudw6yoPFORhmOi4Hw02t68t5ZNrndPdVfdFX6onps6BNWRqBM5ffK3sgwsYDyKtu9y
gu2Qdu7kOiFQTpLcndFAA2FIMambdeRWaN67qQZRq1bkjsu3DCLXML+Ghvmt8IP0kDi5sncUezho
cXuazbJwjV4PweINI8kebeXZ2eics7o8NjVWWQ2Ij5XYSYLW/Yqx6ruxOj2m5tiiiJ106IUrzl6O
YUgBZt1eLb7EUyWZb21fVU9mKOEWGlUvBWazlwbUveZW/Zwg3srMNpE7qZPpptVJs6cf1JehNZNT
kGt7Fc+oFBjq3knVl2Ls5zsVUahdaozyUxoQZ/UL9ZrXCDwYszTQwxC9S8shvFjqD+iIpVtrpD7r
RhnujUQemQX6z8BmwfRG9oXUcjQQ/mxiu5xrTE8qJwfOJK4DqHx+zaNP/jD1O62J5UPmB9rVmFBl
baYhc+3kXg4b53Hun0qdnNwGmAPJtXhtEJ3w+oo3NI9ad8CkSPOphdBeQyMNbeED0CtidgaqU31o
v9jYroWEQzRqoJdRtbe0R7C96wf7vMheeuQTSHTi9Fxo8k2qrdpLK6ncGSjl8HaCUyS7Y81nNyOA
5imldmfIobEnrccF34/sZ21Fx4KoV9cUI9AE5dfgDPoh7TrpgjjU5CmRDZVoswyzsZrtMucLCRJu
o+dEStC797Ie/WC5YkQci/qMVgjoJjS6sI5OCUpibmoUL0oTT16GZ9Zyqm+xokMjBEhl55T9vYRe
WK35YIXN6nOqywSh8/Ral419j+SdjbJV0h7CBm4cdLtIp5SHkrynfRWQ5jYF2b091gCsa30oL9Og
vRl12HMn+gjU3yxvMznG53CySKE3suZFUcz6JcHulTM1fhBVPfYa9NzIH4uDfZkMz74ByU/Yw9Tg
xJIbNPaIi4ozjWya7yWlftbHrn4h90nbO1OAReUA0giUPDkUpYSmCTIU1dj5Z0Y0fphM+SUfX7rr
hlG+NbFPUr9dQU/F6/NEY1GnKZ45ag7JoKDQIEp+0lqpPttGSdS3TXnkRtNCwFHFodcG9bfRzOHX
Hp3sZla9Je9GOUAKo4if39WJXStN54sWFhdREqfxkaPRZE5XZLUIXfRDfwToID+bcjs+W57YFxsj
aODRHXDdbXWVYv7TBX58dcjheq4ieYR+dHjbGgx9G3hpDQHXVmd2hx9IpZM83pMDb8uyf1Gd5CdE
DMEziVDBc4cq9iEBj+1tdVpdAV5rSNzL1TQiE6y2j4NvNzdxxlxo8w1b6yhKYtM2A17lSdXpr3bw
bNq2p1p59NjX0HGoppacVTAuz4WfavedOT2Iktg0Bty2FaiDkyjKeTzdxpmbXNqrahW8tB2gBRSY
raOoA03QPQBhOGLFLy1oNlUoKYHBLdYWlZLVj42Ogtl6DVqQgN15+oDWt6hLc6ny8kzy91X3q5Q6
6xlAqPXsdP24t7OoQewdvRky8kf0daTwSTSJMph5cyZsV25VcszJv702OWauSabbs9oMBHPQP9uJ
xutmGBYS8dw/lQGY66LTXgYVvWWMgN61luJoZdFLGR/lwdReEuyZF3muAxcpjO4sGgwsos7xLCHe
vbQXTWBPSXyHBW8w6ufMVKNnqXTyizJBf5AmdfQcL5tySS2t9azAU0VRbOyQFWpFWuUFj1iZICsD
lQaA+17WC5eEQv21RLzFzTQVi7HOtVeMuWFvKCiAiqM8IOe0QOvdwpm11yAxi/tiLL+Ltkgcjc9+
Fa7HkuGHzGOZ5rBC0ttMrnkb/0pgbAAgXYeX2reaB0Jc6ssYh9k+BMiaInzixlPZvTTGkDxIFgv+
pSQ2TrGoZvrlsNb5ga4BYGXt4avokdnLplWLA9jv+HE9C3GkPQP0tBcHZWR5Hyt03rdLdk5u7sgn
Vc6iDlWv6RIu7P7iBFHn9wD8QxBcawub8ECOTOVeFEc9Kp9GH7Tbcpc50pkPmRSd1M6JXRP6vHOn
6PJL2ZISL2sszGo7UV5weSkvo0Pf6rX2SVSZkYnQ+mxmR3GCP5r9tdfGbxhFyouoSmPnXi/5METJ
Vi2TBCap34tiZPKw5KrfV0V8qtRauXf0ZnjWhxGmj1L9l8lxeBab2Y5RhjFaZZkwf9eVju3OhRI9
ri2mwiauQJ69RizgGFsQ0IUdEtWK4oc/tf5eMKYUk/wNYLb2iQdge5KeJze9MqD4CxXlCAy7fZJa
VOaKVnW+TFV41ue5/IVy9WXMpeh+cOLv/sLF7GBmX61lY1aWv6tAFT9oGnGTqiqal66M/51KiccW
aDO9PIeKozI9yYlCLweafEt2wkUQ1rB4jEpWHWRJr3e6kUknu3bzUb1VvQKZXB05J+ul67K9I30h
T1F/QG6xJkAL0Hw0leJToztnvs3gYPlStbMgduhz5dmyIahovzcpkk4DLF2QQ1u4P0L7Ke8hf9Ed
rYQaOnBO8ue8IXE4kL0J0eQX/vqhVszosWB8nBP1mQTPyQN867B0dMZ7Y66UfTIZMIXMsWuHWvKl
TwbzMNQx7oYiJ/xqWHtUlRVEHPG5tmOo32lgRbU6+jl0qnwJSuu73SR3c+FEe3WeQdCoVfo5MI+y
rWLbIZZV4AV2nbiSP8mpJR3COLKI+WbJQxtJP0A8wiZTRTD9WeRYht/5NtRPhT8+6l31pivZ9Fo0
qYSWYvWtHDP5nCwiEKwnUdlERfKsWC2UZVCjYYx26i5OkvgxBzJGzrbsf3WGi2+aUD30abZuFISD
K2mEVywq550wp1OtzpHHIFwYjfProMNraCH+mox5fENzJ8ZCNPO90irN4QTJaPTDgtzDlcvIfMgh
yVgCwCZmW/lDm8LxUzNZz4lhBD+ULP6UGzbyUhn8X0BLiDzoVXinVKN/sfo6PdX6WN6gai+IoEDD
iR0avCiZkbsRCcD/Opb0ZvXl/EuBeMZalI9yPyXsDDcB6u7TbojL9M2uJt2bo7A5wSSg7AyWBgiy
Vk19gXoQ0yyQESVJSjQFQ79/7PqufW19s32dFoiYmfXPopSqOUvSUJ7vRHFUlXJfqmV3EMUB8bBz
CkJg17V595qYy4QGfnS7WpVLh0S1jEfRXoksE4lao4Srj58y9CQ7hEM87kXRAT96h74Ga8flaFgz
9RvGBHcRJbFBZ+xm6wMutKWK9i0YAQjqRdFsByB55LR7oogUznwN8OD/vpqV6csMJo6J+zNK6/Ns
5uq9uHd/MGOvJ/i+tpiymlW4M+GlWH6qYL64pUb+JkptPwVeqCfpLpj88KFHWe2BpIVkl8VtjteB
OrGJe1/xlCkg5aM2JW8CTY+uoRw8IA4M5z4Mqg+SLOUXq9IfP9SLYggS1ejn6dq3OAl2oi7oWywV
EtsP4vyB2A859k687/rKuU1jJR/rEb9jo1l0aFEpNmjL7XqZD3urwkHo3AoS6t12jK31AuKoOKAB
jD+naf8PqvQ3uS57FlZqoRFBD81bG06vky3P53d1ExilAytaCAeWJrlamzelCTnFIrnBwu6+rkVW
JygVZUN4WqYfgkCN4ZLWUbH6Ws7RmqK/4c8XBbGB/IeDUJIgMDe1BFxEWRxSpym7i0AkqZlq3vRl
s16K5OJsN6iKdRSVHfx84NOb/hBX6XyD6Va9gFZD4pSSqFJr9RT0xvw4htMZiGUFz86gvwHZxw7q
5LWEnN8Rq89/akNHf0uM+FDNZvEsWtZKtp/TcV5L0VR5TTQ7a6kkExe1quJFtEQJfFfP9fQS+aXx
1qksHPXOWY+l9Q/VZ3E6O4Z9Bx1Q+VZmysEKR+UpHeziTQKL3SVx8yCOQUEKRxna2fd1WmYHPSHc
oNv1c4HWb2/sIpU8Rc20ye2UkoYwAAHqNLC8qC9f4hlVuyactWdy2lkxxPLi+pzqE1QVuQvfP/2f
rvd/2Duz3cixLMv+SiCek1Hk5dyoKKBJ2mwmk0yzXgi5Bs7zdMlP6t/oH+tlHlGJjKxEo/q9EwlH
yGUu2UDee+45e6+dc7jbipG+yjxqkac7BB3pddXs3GFmC9RV6xYHknY0ZXfSr/7pbHai/SRhd/78
UqsqAVbGolgzkXmkhAtKQDU+ZEUniJGObjIwZhtlfmvTNvmIqP98OGXdrQtZ0MPPnwEhtOsNN9CT
08EUrJS0XNXaMvhlcTW3lOWhxi8ObQk2SHrfaIP5wfWx41BlPo4GPYUIf2ycZ8ozAn98fmSVLnIo
E3rKs5feOMIxIm8kIbJ1hPqVKcrJDfX2o3DTl+YnhmwmN6sriOujsapvCcb6ILzkYkYigTrcZGgE
tOwc6aF+cmsu7Otfpdc/fv6Xo6b6BiNI6oU4vaAqhfc4uDxFdu6GNOvlQVb97eg21XvKLBFHTKF5
OnAl386VHpqe1h+FaO1g0W2gxXYzoxpUErrz7bNtueci3FhF1qKI4Y+EUCm8SUFVKgqhW3rpx2Nx
n8+YXaqa+PHcGNaD5tSrgrXPj8Zp2qplZPu1lQrAIVW7biWhtVMZxo/lmGlbS2Dft+YxIyyj2eTF
kKwsfVfXU/sAWIo9ZgBaCWL17udXvRs+DYrsbyzbyh/nBCwUbiQM29cvMyUefEOT807OdCD7iNVz
ytXnMBv1TbkUw6MA5rHqdMtEGzlZ9xlIXZod1xNzi0Z9vCsSkT8IGSWbyB7zlZV3619/+bf/+PcP
+T+irwo26xxV5S/lcNUGlX33+6+68esv9R9/vfv8/VeTKt7AiWrrhEvammqL6/c/3i9JGfFo7W/M
mfFapHGyHez5OVet/U+UabOoDu+gkKHH5lIRmnv9WkZxebw+RiTVa2Qu7Gt1o91FLPxBVSzqH//1
8+8qowiRUfDdmLw9PklSR38+DlghTGC8zn/QduYrY6eGf8vRzCy2P/k6P/+geKDoKLrLz0d0juX9
fOH/9pdX3v18Jz6qembPw0H71y//46Eq+P+/X//N3x/zTw85JR9t1VXf/f/1UZuv6ua9+Or++UF/
+cn89j+fXfDev//lC/BVST/fDV/tfPni/u//8xO8PvK/+81fvn7+lIe5/vr91w9a7/31p0VJVf76
57eun7j9D9fH9af/+a3r0//91//ZFv/7f5XJ+z/9g6/3rv/9V8P6zdJVVdi2rbquxcjt11+mr5/f
0X9Dv2bbFFGq4TqqwS9BbtTH/CPtN13VoPq4QtMMYdrOr790OGX5lu785uiqKVRLuA4rjiZ+/c+X
/eeF+8fn9a8vZMEP+ocL2eaUxojMtoSuGibPQah/vZAdaXWDHhvFKmu0LReOBzS0elKr5bMmwHU9
xV3NCm/B4Is3ZW4mh2hhDqEWbNOOMe4XTihBbfV3ZtUhp7Pd1aTF3jCo6Tocszlo1YrGsw132Cym
088/8m5aOLEbuR+iGP2H9/1f3JdCONY/vyCD/9mEPauEETqGY/71BcWT7CzI4+kKLNILjP8Xq4YZ
F/ZDvGpfBsh+Xqe0LpVPXntT1Wz1DESpUPN9Jdq1JHyI+GKEdoNLj7joDtg35YqG3SoxkvsZPLQq
XZ8RCqdEORi+ReWEaby7l3E9eUOhaAHc0FMmhoE85ezNneevjPN2wMuPAyVS9INg4thn0amrmAli
2w2x8qRvsbAOQuvvkJsW22rK8DnmKAs4U/uxk0sfS6HizT2HzerqlOy/zFYWQZdDCXKRjvQtZ4Ux
eW4jtfU60x0YtjaPTs9Rh/jzRd4lU3eL9PURvfRbEn8rXXGTMjmFEcmswcmDrgHkW6v2borRdwzp
k9lqoBZUhFXRGfvbWS7Q4qrOj7S3Eq3BkOM5bj8ER2ORTC96nezqqffZOFZ9mtx1j2kBYcoC4A7W
SY3SQ6kbFz2rvpPe3A9USouq6wRy6dKbx/iNyVkwVOm9oXFKpL66qNWAUCm+6Oq0U3L4zhlT2HnZ
TINxmNv5FFeSEFD3pt4qc32ss/Zc6S2uPmVca625sQ3qrfjUlUQvluGBidgFyfEJsdMDorgs3gk9
2rhKfSA24iz17BWy5U3cabsiH3ZAqPdAMB4scZ9Dn67T5k5d4B3H5tatY9bsfKuSJiaW90HnDNfp
oCMIe+3di5X2z82Sn80QeUuyK4bqkKX0MZoWAuQpqusdJzuE9VRtakaiIC9G2MquipCw2HvbzTcM
Tbazohxrp7pzOoc8p/okWwkRkPa8aJqdoxavLSJfWRORAE2YLg32bHtd0jJJWh/+xQfMglfTXF7D
YrwfKKpbcoenct71RroiTZqey3joLeNUp9S4+Fgj7NAjg5h4OSE5yr260d8jU3uxexIGMLN9hjoi
8ErN1m19lznKoYn1U7Yoe1MkzxSXmJYzxR+lc4zpdeQR138WHjvdvRWZ8iPT5bEp4lUV2+8igYAn
evQSS5gGSRK+Mgl80+NtURSnIsm3Cr2OupaHSJ+3AC+OJgtJXii7njjlPnN2Mhpvx8FXi/lRCe33
lPaLP5WMHiaOrGPX/igd9QHq4tGR/UfmwFBOFkdwnAG0XbiR3yXuXTVOR9DP95p4Ykx3gwI96NrH
lPgEId2VC7dXItGrzPjVcOyPME9v4ipaxYMIwGHfJEX3hGU39sxe/5aL0Xhg0U5EHsg/rqfePF0f
4tDn9WRbXNwxC9pMPamRdhH28AJw6S4NdVQf26Yw35o5o7mjBla8vHfkRseueQ9ftBMPxjhunXC8
r8F6uq17swzlaZHxLnHh/kTtUWvK3CuL5hGjZ+7p6XJWC3cLmfIw2fW2jBgd6dUFimXm6cX0Vc/1
oV6mYwNElneLs7IxSk598mtk1Seh4wd2m5caIQYp8UP36ajyI2Jw4Q+uujDflbdwgdRgCM1vk2FI
rOKenblY+kJjUqkV2qYxn6OoeRlc8Qye25NpdkZW/zU06m0Hw3GqxEPu5mYAU/PFqdFtOOWPOZ8P
2tBuc4mCryJUsk4fcoCeMH/uIb6sQlPAd7dOM3cLsqdTImuO3nJjGs2dJsUt1OK72k0eBF7+UCMH
Mk8EykKOqBqscc5nx6Fw72IFpSBvYVgXb2J5g5AdUW8Wq5CI421tQhJ1AHt5ybvb9/e6bh7FMu4a
nVFHFJ8U8BBWWtz1Srma9LPVOk9N7zzEofMSKfMFdQWql3JjL/N9Fw1nxi2Ij1xSJrJ7wT9nDXju
lAs4DwXexENupueYAes2vPI7lQ5F0wTvtKVzl81+ahg7e+IARfEeuvqmcMVJ7ewHwIoMnWpUSxUc
Uyt9jjvlnNNxhIa+jay1UyUgy3N56Ir8FDEeYgB5KMd0W1WsPkNxkG3OpwS+/bqAQUraONNuVuEt
Je63IXNmaHAQ2gbZXr5WI/fk9uXZbEi21MVNaSK/cVgnnVChHbsexuwypMaLYi7PozP/ANvid30f
+2ShDEEM55KoUySoLm9ypdzljbNPs51FcKfjCsJCDVbn6Ik4gftqUbYlQdhcFmDFaGjJdC+1hy5J
jtoNiWh72N+vSmXd4Ws+hOFTMi735jDc6lryiGJnnO95aqfW6g1f122Ec49JqG7dCBtAqD8ppnYn
mKBCU1jXk33TauEL3FHHst8rKA/VS6iEzDeI+QSJX4zjdUM09fyxzdqVyJm4Dg95V0HZIRo5d3fS
nrYTpzIvlGDY9PjOivqXzmqenJRVr2MSDZJ83lD4N+uiam2/X9GBq4LJYV5Zx9rdhESF+XjqF6RB
+0JOzxYzZjElvTcRjulNYfOE3pqEvLVo2xu9zF7DNPlSrfjHqA4XI7Ex9JvjueSzhYOx1SMWtWyA
oRpf0q54M+36uSFhqC7zb3eMH0xZbWL9bYrVYKInKytCakwQ6jQCjipm2cyAdZ+eikqeRwMEem48
4cI6LJqKg3l13e8jbd5H2fwR1hVQpWE62Hrv6bxFs8KNxo9zqvJHEY8cQ0ybakLtUScBUmlQCDlh
vBLKchuXdFdsOdJgHO4WMTyOpf3l2i2Kk6V8arCua0hq8/loaOIWDMTFZbZKxu+lFTlgr+b5K2WN
G/948llAf359vZ31kTwoNdpn6kzCIAJ7forJBg1Yb8WnsBTZZnDKTWVqD9ZQah5oiJMso4O0hotl
KK9Kvjy2omPvMbcPutq9JdQqxBVsqk2YOpJRtn7f9sktTiLaHMlbCpuij6JzaVIw6eq2KNW3IU9K
T9oVwhBB/UG+Bpgkm+HylfShKlZ1NpJDZuUAuYb51JtNeFdqpsJyYX1Vdow92lZuIoe+cB0pi29l
4z52p3sFRaOXtnuqvHZX9NPdrNUx0aJleAJu7Se6sc9AYWxi1tcs7P2+BC462wjXOloySnRrKKg2
VGN60jMEELYT+sLKeu5ASlcVXMXGVKz0XI6fE8kf28Yub3utHw56xdxITQAW0PH31Fg+ZlrWQ9hU
1qZ0CNoyu8qPzZrz9vzIcYdqD9EBUrSUEjJ7zyCNbGZX3+aOsoA8id+63n1W6GluIi38IJS1WZcG
u5A9Zy+kFDPtgFdEsTchJ0BJRUWHOqsiiYiPQz+QAhz7Q2Kt8OyoQTPmaKKq5MYda/xB4qkNwT04
KoZALTaRI8UXY9GqFXkFVybWKi65J0MO/l6bmBeVPrDrLttljD6SujkiSwxo4Csn6eTZSg7LN8XJ
w9JZ+yoRBQ0nnldKT8ko8L3p/fwStydLXpldjTGsltl+R9wUr9zEYVhXL9ipiyfHZasYev16Na66
HMxMlBRiVXQJI/ekCyzFuoZb33dyMINRaAH+h+tQJ/xOiIop4uybaKNqNRVseLGpe6osf1C+6mte
+nEhgtqrlJLMaIE8qrEj10PaK2fPoCrC8JQ91UqHYisReG2VcJsvPSsd0AdOYT5Q8fupJKKAZiB5
E+XidVLq7ya6fHw5MlCnPYVGwiqU3BouFqgmWoDqQUJakx/9OrocXFoDdPvsZW1oeKHujEFoXEl0
9Hp6B1EZYnD87snRitVulcWtifDGTs+61NZdzHgjnq/EbLaysyN1+xw6M9t/5vzoGoQkYiDlBA9Q
i5LQuMr2tXLFrAXRVZz7Q9g1J33qUAxxSnXJUFgNVhn5aQu+KmM99cOyQNEWZuU2HlRqw4bBytLq
3/gmyJQKMeQ5yHWQCm7HKmbwZuJABLyD4gdFqKEt0+MENZUCub2tyUL3FFP97Or4RJ8zAsChA8h2
QJZxH8fFmyZyy6/t1FoJddwM9RVyMAAxe8ycUNzR+Qpr+yaf7Z1i6FjX1BLYNeElfmJL7FMzvoIh
rWyvmcdyVS3WgzDDfZwzb7PhE48mh0iHJjqhQ62Hern0XFZ39DcQefHtXbTiig9J8junj7RnCDnr
pr4pa0s94xmNfbnIE3EtVFPde26b4yGHQZPq2oepLBcC0y5R11uHnl+dI79aJx3yXHBHOPCpFWDL
muqxFWG90gEhrQuOwWab6M9q5d5ZzdJutCQpfHUM0wfE7phuL/PU0mKTVhWgKEMDLcaQ7Y7dYMKW
MS4CjVRpb2xz2qLeDSaIWznxZ94kK6Zb8lkUoKkboz9ACGd8DOM7kBoCIeOWNnG/FhYflAP6qTV7
NPKcbWRsbcF33zlDvIWsw8HZblaVWxFBw2TGy5viJmm4NqrqPW7qq5KIQ20rv2rkoYxB49abWod1
3MnvQidfyf67XFw0H9nGiUxzP3ZqAd6/BEZGLzysb4EYvinW+MOAcj6O2tGKLJ+90PD7xEGt3FyB
6Dobdjkd6wmarxCqN8uyxB5WcsWFmeoNuaOzqrrFBemgKCcRKDOmCInKtgLCohGhhvGHPA7ZhcTN
4HchEyFD56pwzDHReRIINb2k0alWJofKbWESF/OeRNWbzJq9O1ebBXbebITPWYnRoD4QHz35iqYj
xG6U95nDxAQ0r5UvVvMYL4l6bOSM4wFtVxrS0HVhCsVXOp6h4oRzWtCNpXVOSTP0xp7SvgT8EVzB
Q4NlDQfT3A6DfLLmFxPntwcYQqxbxKdCGJYnTOctb/tboJfUpxh5G4OGwMQTga+ZWDWsmcI0vIx0
sGBR80OlfafxlYINdy1yl4srnUOJmJbEb60icsh46HG94kwkSKep58nTdJ6VIY37KBz0B2R8zwUY
4pQTTpElJ7lAf4qRqfhoLl+ndL7olf2pAQnulJKTYOgMgcWtdLTQWgQKUZKrnE2hjafAXdJwJbPu
yxjqZwVNTWUtX3o8PSWdgIVtvuXF+OlI5Xuqr1WTYZJeoDjfuanrflFRLpgURommiLeinUqgvs06
bCS0LKP57OzhtmMmh2jeuEGzsQUxfSPBvNAGRgvP20LEk14PHJjz/Yh9Zlva1S1iLJvEaaIAJqTa
rXlrDEa3dmC2Mklnw2shLq+KhnZWY6VPumPsiGz7kni/ZNR3XkIxsa4KXns5fUMKyla0Jj/KBPNz
XA56UFBig+o6kSWS+jajsnU4G9+Tpr62Luh8WO2eSxKV5xJEaF83VzXEKYKsLI8oy3okj95oFys7
4WhgI7hdN+mU+CkbdJxfEWLVCa7mnnsl8bHRziqqi4E8giHOboc0vSgNaLK0aM8x2SRoz5H+lrXT
U0D3TPkN/TESwzFKzaNm9Mtam1qfHLQgqUh5q45y4ohXt+Kk2Ii21Zcu005ocpESsF7Uatf4SSsk
qr5+DEzmyF5lc+dEgNvqprd968qaNEN7ChytuRiuuW+0K1i4plJkUOOrea55kXNOSS6hqeH2qxSL
xQat2IMm5jMDJoXmoTemz2T5oNbRko74PAlJveqPc3vOaIxz4icCQeQqSzf8l55jHAQplJrADPGt
7hZ3Alw3ZxclW55GhlhcPNflu0R5nI7PkZCfhlKCBl1zx0ZezvLmLYPyKS2Z+ARj2NuqhSltjRXn
CNS0vRrf1BWGl7g4MNKQfs/diIo3GBy856ZtripDOUcWZttZJXDUJn4lX3b5FTywxDcEycVeZYk7
Q0W2zBL5wIF0U6n5ZxZapN6V9NCzx7RCSirj0qsRSIKQIjQchdGH9sacMGVCc8W5uoXu210hV8jI
EG/26rYOq82Q0S9ZtGvlMnKZGAY5d0ulFFhK2Lr1zvIUIuUe8mlY4/ynnFaQiC2SIY8zDN8NT8yF
9SxRjxcmunQ3Nq/0XjSa2Y599SvTikeCJvkVblBJ1z61gvTCST6TfOmCvg7Rf4/aus3YSmMnerRr
nbxFPGahedLsMg2Gwgi9yiVCJnscVM4uJMJxbNraTn7oSuIBGtjhOSyGss5+uDXXfDmXZJcgeZli
5TCZzRNnhW2aMSke3RvdMS8SNt/a1Aq2Ao4x4ZDcV+gGK62/N/SvoQhdLxKUF8PPYyMZHCERN96k
FtmKLVNcmXeXXqUfSLw8ST24VZNMIJ22Q/iYRHn0C8VYYce7dAIy5EhH9bNO3R9LNtqVrulyrYh6
Duj+vLIjYg4wbSS6SrXGskpZLW6Wzmj8JkG4jmgV+AhlYgqSMEghG3gm1YHnMIsPIFEcySgwvJoa
ypdkdKyjkKM+3oQ9ZVr1ZOrqTo6TWBl1RsbdpScMFEcGgRsi3qDNK4iNMOHoi51TmliFEMNz6KAl
Bv0cAlV+LIfQ3XTEYUR5XDEIJgREU6mcOl5gohcsP4q7KueaHk3lKptJ8DFbpsqOHxtekna0Zck3
hd/Np4Z2vJoacigSpd0jPOI0SOHkYisJdEvbS2VYEBTHqg8W7b13C3NVk3EfJMLe1MvwFS3liGZQ
f06HJ+wse/LDbpe2PmmZQvtBcXuvHZMg05Z8xYmCah7bQmq6L22uCipKl3jHqfaXybqRhBFGI5tV
69KL8htlKIJoyb/mgvUNjSMgpH6v1cuL1Q9tMC4chnD03Np59xGxCgSuHOD9Ex6U5ePnYlQgvwdK
bsfmvimpx11d/OCAxnUYRy9EB1xIDm28SAUBn7Tjp9EOXcA8psV0txc2yzaHalTzzS2ZjybKUzJf
QaL362nIqD6x5BCIyX7fVOBoS3luBYtlKeg3zFH21ugt/gTp+JXd9P7ULbdGbyMEJzvejxYjZh1S
D8WkrlDhNhRr+BOidG/HOFfmhieyKAIIYdE/NLZFIkFt6H4d+X1XFDdMyEm70/In2+ZcIbDwbRCO
BIZLBotVf1mKfc4FIkgCb7Jk9isdLGA0mc9K/lRm4z2Zel8cf7SuOqC233Wx9hDiCCqbnE6N+KwT
IT3M+J9I8vd4z7ngqjebmEAPWfqPTJT1ypbI01RXq6BUCqYHztuQxV92F37KvjE2/axZBF3IoK8/
Gy3mZfQALYkJsT19LI7tlF/M2N1EFhVDDjZ5UfA70U2ViLzbkOQttOwBllncjTZubC03MSTrKTMP
iyQKg+g81OxH8qny9aTNaJAIRLDns2ntBz3c50WO2HJQPbvNilU7N9+Quu9CfIidCkAdr+nKxZjp
J0NXbwmchhMbwtrVqpNeE/wzG2W4piY5oRvYy8qvrOSGOJPbJUrWhao4mAYZH8XKR2GxywsuX7AY
cyAN3sGNm2qNz0ywXCV9cdJMFJPlVKy1kc+pcPSDNdJoUlI/X1hYcB70nRoo4xJh61Qp4PT5EE8L
RgTju9SUDgbD6HqGxaHZfhJiktSdvLMT4YyxItYOpVit9cmzqnAF6UNRoDxM+k0+nVqt4meG7mVG
veVXht17UXeweu3dNF4tu39xKvVZTu2rlenfcza9ZZ3geTuHxhynLV0bJFDo1tLxNLibvKp3afRi
RejtMLcco5oZ1Dyoz8TweFUrONO0r4gJErX0F9Cj3tUQSvzEWokPZsM+LuggDpq9UxWxSq7NzmLc
FaCeu9a6LnlK6/mt7fwoSCmnh2etlypPV3gk2BnzxtjVWWCpmotTF1hwTaxKMT2p3I2kmcsbBRvB
qdSq+Lpt2muq1c0QJ+/laH/bqP+CWtqwgPiA1KrxVEvLNmWCF1igz9C78Ia4Jbo7V+TrNSBCwtfR
AIjjN0qxgtIQdeRnFsMFnRsczl02foo53pg5m5SaFEGs4TsOl3GNzuCcGTUBOXUSEHowryLF2sjR
/bKtUF3rTrxSM3c/OgqzMG2vkW4TFFHzOKTZe2RQOFA17u3rfm+T56UnQyDIz6CHj7/IoAvYynr0
Q/1Fqxh4ibuiazQ/HmjeGrb6PpDvFVgX3JxNrHJWA2TQUIx1I/aluJseYqFAsl6QbU4okYJOqzmt
RAQcY+jlPpvI2cB82vkGvknPcSv2nKJcFS1SZadH6Jy6HJxm9SZ2QUlagHYEhm69lJ2vD9g6rOmr
72cVz8JsbTJ3vBeVQ7ZbcRcV0ZpmwVqhbelHvbUTOJB4xriWp24YPEtL0aXR5Y/7yfLbJQ79pHbP
aZSkAe5DcvMkC9YGk8fWmZat5TZba0lSXyTYAS3zrkOjdAwTTrqO3rxqibpTM9tggLzQoYjR9vrG
2OydEuebO2g5Imj1W0UMgnAd7s8ArwBFqMNEbWyMF6IvTZQ4NpLrrPwgY6PGZcfNrSQqgxD0PwKP
nEv7sWis8WHuNFJj2tTrjci3xqHYmOW8zdS82jhjvAR1X2lYFEEIz8YLXiR237rOVlPHTxXp0zwv
jBqd3YB7JoF3vh+X/hya4DCL+4Uugo96fdVw3sZkSbnosMiiL4P6QNOZIfhLeY0bbVOXzpLJpjAB
+anUBxHbT5I1Nkzjp25p27XT0390hXvsCGKGi0BuCH0dbJ7nicGt38aJu6oUn1bkmfcBLb+jr9qE
j3I0CA8ZOY36rvskY7v0ujolNqzLVkoycbakvj/FXQPhdSmPC+UljSXNoAYRBqGCxW1WKNbBmrM7
jR7Xmtc/7gm9qpHipgB1eHEAaKOgM4WD0GoiDROxbRB2xIlRYV3ScZKvzYTf3gjnEzlr/Gr3ptOj
eWWSkushSdyoLqU8BXyzYoAzA6dWF8Y2YKszFCDruu5KJtmWuVEaHBM/P6U61e8mlnfrzPqyAPox
iYFTtXdXN/MNrz/z6qyc9tdOYctFunWM8Bu7Oxm9BRJ4fm2WMJTMM50u86xtDVN5YuP5xFNKhhTB
3+BWN3HuNoEyKFYgHBUrSl48Te6IRwY0SUyyWkwUfe80Kq+HnBfyFj8wDYVUD7QURuu7cCk6BhIJ
AqO7QWwTCD1XD/R7qf5LHbjGYsz7tuC4WdohpgYCNbX4E/3sFj1gfy8IEaATHhOk3qbI0KVR7fq4
WxH8mmycTqdHmNylXf+CljZ9bsz5YITWtMqugWljrNDEsYZbQhwwWEiFkombjn15JuLMubQA0Qj3
u+2UOdwmVElubeK4olpbUxzVB1maG5r2dC2iArRENGyMWnkJOQHvkxSIfjLGJX1V0Mu9mI6jqtx3
qmhX2rJ0LEG71goflWR0qPdCghtP3AUQyI0JHpkd0+5SAiyL+LyvmyBJoIVfCosGasj8RF3CleWS
5dzpC54/bHqabn+P9PXJdRQH1xXjUTiEguXtE73a/D6TyjZObdsfuwgVrFK/8Qln21GnsDK/a1Vl
NEnUylEnIh53czlvMCGzouicW6yCfE9uzHgilATtaEYeJAW+6e4i8K+e1iTaQWoHCobMs1WHPMSp
JWFnMWmpjPFtQ962p0vlQXcGc58ZzQ+zaJmSE5izHlvC6sxEPKAV9qnPULUdbLuF/QRURIpTrRrw
aUdlm8VHvZnXMUO7hgbKLLp7wAnI7hfnTFjITU0ticJ1VRID1zVi66ozPmH9QfbzxcnhDKF/N0gy
wKdby/DGyZI7TcnPjpO8TJiaokEhkuHDWMhLrYrbMhmRA3Tyu9CjJ92O11aFHz7X3q2WOVyb0xmc
MpPdRqKIqIVvFZOn1OaEJT57wBM9MdAei+gNZNOLSIrnhuBmrgUmGw9xplAxUUnWDDil++mE4Xc6
arfNqyLmxzKiGYfaj/17UAjf7rZFli07rYhPnZLjwSw/x0gHbJAyBXHDx6kEc8WltqGrhfKjuCuT
/kdrxA2lDDCCVJafRFKdr4WIXJhoSrZm3p+z4QoCdCvlds60AUqTCVt/yo6w8J3gb0uZK1mLL2YV
Lmzm+vCKccB30eOKOPwocjpJsiieNAOzkkNyoWLd5IXwFDwj2WS+/i1V8752M8Yz0sqfs0TZRCpq
4dTs7+w2NYJaFbTXCHBdWdyDFupvuuYYa51n4BGfKFNyCTIjoS6dwqu/cx4dEkCNGkuk5S06vdnI
Dn8oQIGuDchvQkLQy1y7t7hs8YHBm7DczdWmPZgDzA8muHZxV3XNaxpGL3+bh1baosNgrUcS7YGF
1Tunc6KRn8CZXElvR8RBszOsBtOKoeU7W6vuxtVitxdbTya/1I9MhvaRktU+xmG0AXOSB3KKrICA
0HonmNtH3XRArxVyWrZ6v6kyxLmOY68jxi74tKfbwrHWmZOOwf8XXf53RJcmUsm/q3L/i+rSR1H4
/ssl+fiL7vL6b/4QXiqO+M20VFN1bLYoTrnG35WXimP/prrCMrWrgNex0Qj+KbzUtN+EZjmai4IQ
/aV5VWv+Kbw0f0OkqRPOIzgPWrbh/D/pLv8qUzRNyxak99EfNlVbNTUT7ec/CoiVYhkYesNCUNAB
HpVsbY2FdiBA66i3DAuFPq/q3Jk40jnxMdFN/Pat9RArXXQc5+mEBgEjg93cCkWZwdoOzzNiY99y
sK9lxZ0kMZwsBngs1zygUnXO0WIpL/bnP7zh/0Juidb5v7wO13VMwvtM3mXeHtX96+uwqibv4qYX
q5oGACgTwtM6jN4NiKItjdpb4jGNfRRpFL+hc+q541eNJlMKyPwlVUdz07Mo5+gL9mbh7nXThgcn
OSJ15Af4QuTfmVCaQx5ijkJF5WNSIpLYwAfoJi/EemiMM20mstF4KuLlmFLYbdGFH1RMUAnjALfC
8pRaRXlOrp2PZlR9h9O0lzKXAfqD0a7qyaN3xtIr3fFHkrXf5Ld8xDpgITOPPsEbvgwWlPwYno5X
yay+zPF8dnLt/zB3XkmyG+mSXhGuAQjIx0mk1lm66gVW4hQ0ENBiO3cps7H5UDS7TbLZpM3L2Lx0
s0+TTAUEIvx3//xmiwCzqNlxgnSKD6Mw6hfF6R7NF5dR77uCtSXSOODHARCTQFc4bBg9XhynPDqs
epX1IRJLrMMI5MapNDR1bQajtWio+Tr2VkL3oHgqeK6sQnAANAjE68DC+kixxwpLkYaQyZ42YRhr
Y+Cv3XFF13rvhb29oWp9U+Rmsi1LMgPMSpdGzizdwU+WUPJm1fhO2wDICkA3DqS2SoCf3iOnGKN1
F1NEQh/Pc+NM0VJmbEM1smIVgwoBIIRDKM9TpbO3bPnpERh4O7TNONqq7BtMSTRxuqja4qg3ZD99
RDugVTBtICxhTLgI17/6g8nuQo5MvNyxWgZxkC57UvSFlJzSKHFcEDctiSXKCxWIDXJITz1WWC3d
ihGJnzzCPzkmAPZsdkNWr0AF7Z+nHowIxlrGAZmBQDEKDl70C2H6k8y150hUikcK5TqMoVGw5/AF
cfpa4yMYTQAOC5nc97UUNVTc/Kl4TQhcLEzppCcrNrZKkl9DraVVTakZmaKueJBJl1rWtrso8/Ul
ohTacqdCBzSRMMjheonPkyc2pqPGQ3ZRaVl3icYKyGiGlEIODFNctgZOW62iUDabouPoZzXq2taJ
l5k500ARdmKpZ9U6TLIcqiTA/9gqfvV6RkaiKJ+ab5OyZXKbGHM1b/Rx47VZEK8j5jMLfaTD1gao
hs9iboHAogdaLZxB4epMZCM+qm4RYBHKXbiHBZkFsxncyavSvl6JyvyOSMgeKA/fmLbG05bx46jt
R9cxTrUU9bmqoITk7Mmz8uL3UbIZR3EspugVJMOp1CxmZ9qjL5q3uWwxA93VZcw3xYNVpSdogrYY
d3134LAcAa5iCxzGOFL1qVw0g0kH3Oiu7bZ6Qu16l4b6WEs2PeqsmMtbHXfbqNFedF1e67Z+DBoG
LTIl3p76uzTPNS9WaybFKS9s820z4XvsS9xb7cRt4HYAPDIHr4F97H0gMRXXgHtTERqqyGLlQi0w
EjppMus2RDhoeBxsbD3aNcV4pJWWsz1ULSa6KSuV/oy9Hii1qO9qirk8Lc8/7QClqPC6Mn+qMuXW
D28laveiMMXaTep9YWvLjCbHVmTE2ISOkkqs3GPkeQeKHx8hJ7KAu3DIfW1XMDhTx5YmmRChzc9e
AsGNG+rOZ5C9YTnfoDKyI9RfI3/uPR/7lYY2wS+ZbyfXvlqkjD29opizLUmJaIeMpsI6Md66Xl6y
yiJWJZsVZcAbhdPg5BPuh53QbG2rfoAF0i3wwg72hh77wmP4bSyssUexH9aSFQPJU35UFiZEndnF
MNofPdnxBY8nr5c52SzH+CBe+2bb1ifF9gd79iDWha5BOkqCFRYHxVNV/WSFJgU67VlEuVwXpS3R
/etXqlcJ9jMpWQUh56KYVagYsc8HSVduq7pxlla8mWiEe9Dr/E7JHHfFSIlQwfxkRJYSu9SgcLMA
3reOJWIiXl1vMpphn0YFtZRYthZs44ZtKNAUi7l3MkjoEC0kg+mC6GA89N29XfAQscfaPQKyqRfB
EPJMDX6s6CutY0QbFS1BZCmzXRCO6oJTGVTX3nhpQHvcFwl2QfbEqAvK9JXEkFm0Kgnvo8En2pz3
ynayjeKmI9MvitIXa1ixwc5otX0Wp8kt0dNdUMsBzzcqhs2nSTMZXohAXQvqiZejjIKt5opHfrIH
6WhXbiZxTPxpN5mjuGYBvupSajfpMGRoWdnBanViH1SmslJ8QR2dFRzLaor2QtQlQqdxDH2leU99
5LN5d/KAUGZzkkMt6Co3WtaJ7C8GkvQicYrkDcZf6inQN0mKSrEETkVFVRB1qyCXiNiIq2uu4e5E
NBS9s4kmrL6O7VEPGaNH+sldQNkqqynFhg2h5oVRqN2dpKd3n6k1Qr+NqWhKmDpGvn5unay6y2mq
5U5VHia33kG0oLPbn1JvSlXnPBhI2nVQAhJKr4pZNdeoF2DXDdPaalZcnqwsujQc869xBJDez7Q7
W2OVHfpJWfnx14SSTN19SfYA6pgLGWxQQn9pzK2+WTkCb23DadWXYbivnOhOD9B9hRr1SxtS5M2e
d16SOBzTupuRTsYhnxLJdeUUF6pVUfBQPbrKqJ5UIKPU1u2QAQzEdkq0qz7EVOjHFsZljlxJTX4z
Ag9bHaryMZc9QYKS27vOxUzTq51VM/TrAsMRT1esIhNDQ93uHigP5EKTZy5UZ6Wk2XHyOdJOhc1T
sQPlHjdU6jYOahQJP6z9SF0NJ2TVkKscDCXjcP++GnFRTe6W9AaEJXKFCxsmTI3zBfQEsCSkWv5l
2FdHA9XYcU6aEzEgn9h2jMWr6pL6t5wV8q22NiGL8ZmYKAloBOHAdBZnQBOYV3OId6WNNc8tiGbq
2NDHPq14/tofNXP/WE6nQNc+YO3B85BfeQ6BA0Z+uiR4uNdm1AGnznWupuyuOlisEF04OLdfjUGy
qAtxOPuOlS5CZJhFkoSlZzFnRsRYqY4JyKLRT42RPrXYVkkh3KOLQDXT2Yq0Te8lMTqo60/Goq3t
VRAFs5P8rEnjWJWM2LoOPFYpvo2kJCfB1IoJR7rjGn0ow46tI3ipaugeGlyUM6uc5AZzBRI11Blu
nLj2csqdF6MSzqA8XDxMYbYBuRFy/feZjEEPDFHgSQWUcS/2HJ6xkeWZR77sy+/qr4TiQW/Cm7Mw
8vg0ava7tCB4KnojQUQl2qGs3ya0him+DPmvzJ8JX5jGK9t+zAQn5jjZFgHRJSKF69aEljJY8add
zqM/Df+jzl63GDVvaKpVK4unFLzbIlPj50Exb1rdbxlBPY81fP3QNzmUB+/2XanheqWzjbN54zOs
GO4HtdmV1ZMu488o5c0k7vDAcedSF+OFu7aJgk2cGCezbq9xzyMwCeinjibG5FbEAhFs3QRbvDsg
zw9DR3ZDPqs4wlfEw3Gl+jEs1AtztafJdjdtytvNMYvBBdRJw8bTVlOQGCJStN5EHJWCX9aVtNlw
SmTrlbBZTmL1JuuAI3+YPclZkqq6ESEfTckyzFs88ibpVC0rc20q2JTZke8FsEJ2eFgVNcfgquGd
aJYFAc51V6adfPt+bXi6nxwNLO5ehocfEIQ+Ze/YltVFXqI7McLesQBqurUe5svJcPiDyA4/xzK1
dzJgrq05D4LOgSuScrXJFA4nVQdgmhniiZ0jj7ZWU9ZDfVTtMr31QK+IOjnWsgZriKmPR7SfVc5z
I7pghTIdLY1CbCfgcZoNdY1W+PKYqGp704r0FKr8ar40XtKgsHYM/qdlW7fiJVGmTZblz1FK7qjP
u+YqTfFcHOlh9J/TRAtOpoq28/M//d7XoHXEazsLd+GsijZ5A+gqG9rlaBvDOQMKU82uZz/3272b
MYunlNO9uRPzxnaWIxkGY5az1HJZcQa4BU7Of7Ad5uwPw6fXx1+WRV2hCbotwGd5UnrjjI62dMa+
vK+6X2nr1DsY0BkzpGtvB/W96k/5g3sHpexLpaXgPCYuBAynfNDtotnIxHkOSloiMAjxH1n8K09h
GfV9FN8FDOz4aQtja2ZtfPfzZ10olhhlFkMqaOE0CJWJqFGXrm9s3VjIMyFhFpRiOooUd+noPlsF
XkUEVFhihXOxp/rWGe5njRFrUWb9q8xVHpGTtUEcrjgSTSpzSwc7YBC3Z50tbzX2Bf5furNAT3FA
jfKjtGrQSoOW7sqpg15XrzOlesHnYJ36GXqu98pzmbTtKmb0cNSEu23hZ1pYOWlUZmBryyWDWvon
592RZjES54FhHBI95ulsDueRJOYYtkjFfn2ncBkt0B5Znxpb3LPjtawe+JZmE+aGt5kZ3TxmN1Zx
Hj7EVLIjUa6bIDvbaTNcR9zGi7QFyV6Oc+f9/I+C+c2Xcfutl2HAc+yuqLNoo9qK2Kl6fpKhC4d4
3q1FRtvt+NFtX//kvouYM6XWum7Dbh0k+cmJsVYmeX4ddaJmWjLcWDtzr5wS0jIp2YGFPdG5FSd2
9iCipyQYNl0eZyd/zsfhNINvWzj1V8mAAqDXSGegEdaAhbV5rM3nUm98GYQ6a6QMEQ7JOrEYM7ad
nm06BW8BiDxzIQJNnCtDvaiafnHnjWZDrcFyxPWVcfWdtDbNwP4IbAy1AUVCRjLftn4xcrAVNjn0
HtRrrL2Q6+XvAHvhdbHjUiUdikU/Zh+5rL6K0jyECrfifF7NbKf2sBRN54ZvcZARsboouBAM1h60
LONVqBmlFWM/tkGHhe+aBu61Y9h+8A0f7gcgybCpNj8/PQBhOo1NXEFOWX3lUyTXuM7dzYB9ahk1
IVtJHzsvI0m21dQH01GSLBLJZ//tdxRsBrLBTg6xSZQVipwX6TV7nnGizBgoYuB00Tqo7OvPHzuW
UXtkBG+aO4DpFFxf0Pe6pdYlGSxTST0aHuSNHH0uSkDbQ0Z/Q2zHa0vk32M3pF4+WaRNB4XATTac
6T9yj1lefmKl7Jeq8lCZDyY7cC8oXY4lxOtRfvH5/LzXmljwDpQ6tkzD9wqVbgI2h+lKts6wsuTE
lCllsspWAe2pHMJ7fMw8WEd0KdIsTwrq/6kp0xcj09kNElmLYoOYbhI1h3gkHyi00qZSZ4ZrYYBv
RdNQbd35V3s+GgxZ/okcqR1JeFIqztZZ9euLSxkpdgLqnPi9dnaHn22C0rEsXfFEe6q977V027FJ
pyRV3+dJ4LyMabWtGwIso1v0s2EXcxPpEZ8M0IJ+YXG2f25Nu8D+Gqr+IkOG3/0sCVmox4fKL5lV
N+m9lX2Xvuscf25yzTRBJGbJMUYYA1RXX0vDfYZXvBUKzK+Q7iksPGGC8J6ZP/NOfLWDypGMAZVr
NJLVQbN2ipL/+nn/Jhy6GxYvvAwvNPRU95FNYfE8RbBDVzkyQISJPLGWYTstENBcwxv8kPdJjkYp
NI7OyqAcpC9rBM6EKll3emDmoIBzw7ygC/UUC3UdKU18HKz7gJRqJ8Suap1pEVYUyOHjdJaZ6n6k
9bBPhthc6mblXljCM7YD5GsL5R7qOPBfte72Jcjqzjbqbe+knLblTfhhe1D98asBQHiUwYqDh+PJ
NHHOAOTkpsFr6el1cNeUDNPMybq3VAPgwrzwOtMyU1JtV/vy8+e75zp7rkdd3NKpnE9nEEEnsFl6
2XP4dJcM4ZxlOgzRpsvGc+Bq36HhFGt1vgyMNhNbAD8gK+3a3s0hcAfSxylVABWxib6JiYK3HKsM
D9oV5Jwc7wbBNH9IHvQCt1YRjRgiJHDkqKRBtq1zTwmaYDNpjEPMSmcinybHMG7cKwdoTiLF1m4j
5IZ53TbC4uA4Icc1E9zigD3ai9y2gljtE+RgLgMLUAVXMvkHodfNMs78XeKwF236MvuUxs4RZxHO
GEe1AtctmWPJlBVelGbJXY1IVqYfcF7lpRjTzZgGw0IO/XgAmR8i/pIWywsThW9eJdhgydekMw7m
aOY7noDuMZ2+00qox8QMXsq06becveKD7Biy2mNReGoBuyZkjEZdKMC9vkl8TsviXfhpfQmYqTeV
HhzFqG4b9Mob7mFHkmf9WdfTxl5VKlN0HjKSvH3UbSJBkP3nB/25YxT21XGf3KkVRsWxi9ONUONH
oaJPBlV+CLBzXzWeQ0s532Rm6x4D18BvnbEhRXc1dlM0XMyk5jro2hstxJlXxvrWZBa+AaxlgrJX
ciSwxAZIiXdKMK3aZXnA8DESFUSysF2ZKX4xK4zqY4/pK8QtIBEvBSffSHXwV1Di/HM3Zm3HE9ca
xiXoG2qMSri8cc5IQMs+nHFIKCxtSywLvXzW7b2vMvc0mpp00IcwRAju1w4ffPGuNaZDflerd71l
vNq9rKFwEaIjT7v10btY2LnAo0GwfrV2tekC+ZFMnXZy5u1xlyLFuugv83pET5AJDCWafvtGlbZn
LkAAlRJSthRK3PabYHTAnTsh88DBrPc/H8RJ03DDzXnRrK5+DZsBPdVlys6TKVj2aaHtQQAhvDA0
OOCupHHbUMP7kuufy6+QewZ3+U7hm1yodlWcGwWnW+zzpFCEshviyTlkdqrZTNIty8O6npHc079/
Ctt/OtlxH6TrKSOD0cGI3iYBpQ1IZJu0spOLMsNKFVmdiGt4VJz1R9I3s0enMnCPqPqWy4jfJ6pB
1tTDg7vz5zUrMJgHF9gTHP+MfWFjIshcsJ7a+zGYQCMgU82bl8GwXjmotwc0f7FUZditin6sbiwJ
Oz/Q22vYP+BbU5/mIjxudO4gM6UXJK3j8TPpf01VoS+jUqrXHE+aErjKU0JZ2MIbA7W4C0eB+m62
JMRU+cZ0mA6HbrjqccnJ2UJgrrNpAnbOxk0ryk2sReEp+hDQ9XEMg4kY7TkgZZT076qoMy5MwxlH
S8cUUvzeFewMHEBAPmvdmxyg+poS3qKP/m9pY7rWIpK+U9nn56xaJRrDZ9PMv1LXxlFiJ0hIpKrB
gc95c54bwpbRhs4CCAADv1Qt+NErC5fSVCyNKnyqgJ4lyokol7w1inzI7BjHbQLQTx2ljQlG40V6
Ew8yOZUCrR1xOSrCQ25E1bap28vPxnOM3frAAIWdwMQ+z1LILebnAk15+XOZY7F1j+68eVRARO2U
AH3VUeRTDPNqleCG3kUJ8/phLD9j2sMXtq4f0fj9R/rmzyxw2Z1ScHgTir0kaeS/IL6j6JPsEB0I
M6XubzmaVIa8f8Dv9Rn2rrKLcAjyjRXuhVWV/UagI9USUzjw3K0W5ZSF29qEDdk51sTOubFvMb6P
aa60wL7cufQT+EXyFfSMZ2otRlKYtxiaG4hHs+TFEACuPxpqo+Q7N3K7jQJFgfMxELQ2oxUpmdCN
VdHBzM/vMrc/KvSsrLN2uGgd52i/DJ5/lma4DGgm2FiOAcIfMeA64Jdclbpdn3Cgm2hIKedreKNG
aQx4I7J+Uyq4CrPYXuAJMk7MEzp0cVw+MfQsr5Tx/uedSTMwnty+vg8I0waImpSumJz8kpXR9oH3
s1VKXGeTGm5watbGfK0Yb8zejkM9uQeY7EyZwvGQwFnFfSvlNQNORelKdu0T5l5NSA9FaUDcMMbh
2kSEBmuTyUtWluYm09WIB6ncICufqJH7SqzJXvzst/rCWtlKGZ3zTPReEXF0rfMDJz2xJgGxNLra
32SihR4GAwSa19o0UPfNHohCALyXwKFLPDENJVbAJ0uVM7rM1Um51sW6T11zW9vQvHFuBuMmLbXq
+LN5xzltrgdnFdt9sDHNcVrqfnao6lBwKqy/RTGBUjTsu8ioyl2ZRyOBfrMjQBJhVar8g62rK9q+
nTWBM8drRP1YE4BasnwwBp3vNQXjKVZNnItqaQWbnz08QzwVBUW203HEqL6rZhyEqQDU6jTzCau+
tRyoDti25htqjvlIoI3NY4Kupnd2uSPC6W9SLUgBT1de6wTDDlx/ezJUcmHmfBNgQ73ntC92WtlT
KjDelNSVr73JMb6jyLUvbX0bxVGx4lkfbimXlETDXn62uCGN1mU3noXsSq/QTW6XedEq+tg/ADKu
74VVNr/Br+BY/QdY0gxD+j31y9ZMzYaTZBhC19V/YwvBRrWMpHNszF7mdhg0mBiMDUwruoXWaC5/
9qKBcC+JatvLrDfYAMwP5G7exPy8R3U+pulKFWwG5leokQI4z2GUTXbXM5b6f2sb+f8Qw4VR4z8b
Qv7X9Kv6eI/i//3fxe9JXPwzvxlCTPW/LF3DwcbWAmIbKK7/IXEZ/2VbmqaqcPBUQ3ct/p9/kbhc
DdsB8RYMJMxeMUD8i8QlXHYyjqpZ/B2G/n9F4poNH/+6tnCDYBHVVEfjAsOdyMHmj0aKKYVGEdGa
twJ/bb9xRtIXVqw0z5MdmIRWiurip26z+90X9BcGjj+9KPQv1XFNyzV4aYwtuvbHF7WzfnCmOiSm
zgxYL913au2PTN3XelmuWzkc//7lMM/8/jPOL+fqfGOmoVoOdsXZTPJ7ah4fTbHMVGcbmhwDtdoa
boe7539+8r/4RH/0o9jC5KnkIp8YKi+iY0z540tI3zCyQNR00ZE1Zxa4BiC8h1c+p4Pz4R8WhL98
MRduGguCOV9Af3yxorKGNJzKYRUpvknDUMKUsCbYwZCILUIa/HZD/8f159++vnnNYcit6kIThq79
CW3Gk86pinJoVgwYmQUO7Z0pyu3ff3/g4/70G/3pRf70G6moZvrEM2qV1Hdd9xJ0/iJWYXU2ziHx
ffBfPrZT59iiqEWJ3NZMVf/+HfzFl/qHT/knZ5RWDaYssZOs9DbYUXF00V0b38lI8DHEAvn3L/Zv
N8D8abE1OQj3Os/Q+Sv/3RXpJxnjh97vORN9BybqVwr5xCG5wyla8UIZP/796/3lh/vd6/3pJ5wY
B7INL3uEU4CyMcYIrK+qu4ew9Q8oPO2vrhZXF5Zrw+81DXMm//3uo00MbHoFOBxeDpyndgWPjDIi
6Go63kW7fQV6AD4G8G9C9CPHSeTQ+xcCM8mYW4bQ6//+k/9cnb9b4OY7kztf0xwTkZn7808XlqJa
eqXVfr2SlC8HeMqBiqwyULJMauEdnfKyhFVAOV86LRX/2sXWMjMoMKkqsuPFP1xkP1zDv3s3f7rK
KC/OsZAp9WqkeylcxLFZ3I1p3LN3GYXyohaWeQ/TE26Rkod45kl1K6LTDi2TmhYCSQP0YMjr8Z6B
MeRuGQRTRRcQbVlCNaKP1JpA28YJYygwHfHTP3yXf9yI/KxyJlA31TGwN2pITn/8bRV2RjRpQRH2
qzz+DPzcvWO0TBkfsCTfGxUTp0UHiG2dj4Ny7tO82gKD6/7h6aFruvj31cJUXYe8IW9H1/+8okOw
UDHW20yQrUn/SLM62ZlJZb6NSdUDbAlGbeGmtbyMk2YdzWIaniINRwaD0ZhdWtTYza1rmXJd7LgP
ZuhMClVIzzL7Bfm2vtoon1cniI2jijPoqDVTs2mMSnCSBGP2CZCMkfg0TEwOUqfZRkKdBiZ5WnJV
g0pf+z0pbUCK7qWUUUgI1KY3TliQi5b2IC1oY1jyENPrA/XGcsO0R78pnO2bye4Q2QLtSdqEbc0G
mlMlya3Q7RJ4EJi1laxp58Jnpq3bAiDCkGlkZwMl2hPRnl6r0Adc08OSr0L3NVZ7xFPpiIyOMaS7
HGQc+bpdC8Sy91JTxWiezDDzoeGE07kBPrNUqa+QbzHhZb2M9m6vjNBwhmZr5DigcpjwJ9g19aqX
PN0X3FgmIlGYPeo5DZjUWQ77Vp2yaRsx7sYEUIcXXO8kWDtTA6SgSrGVDGTaRaWC+loQWINv5BJk
3ZVw/iDtVIZEohoQUFzGPafAgq2BoJA9+Komtpj2GOHV/oxncGHHnfGPkWge2stkIZd3WY80FUb9
luq4bIH6wnOj3rp2idXSZaUNhVjWrAhI//HD2MgHLGa2N7CSoeKzl1cd6q/MLn6rgiFdwc5kSOKU
+QnrEsV0Vm5edcsfcKALzpwj0kzpM/MUVAiqQfLLBShoDD7EB57Kk2w+UqqiOcBhsjPV4DROCpEC
vdl3UXDvZ/34wrM6+RYzYQiozGp0RHTLK1oPAm0igdOL5uyYZCIUU34OBB03VjgCyAcNuqjxhbR9
SL9o9c4xuV0raunV+VCtuB8e27ZEmMNTTlMKOoE9pQglaHK6tC60BGMRVDyZDN89icxEz3Yije+k
Nq4oT0TgsM56nX5RqfRSu1x73A/62ujFp4Y1feP4UETqmJmcGfnfowLjDGaeJ8J8qdBxsWoURgHK
mtuCzHW4HkiVSIZFeZ4vC8z4zo99ixl1nK4L1VqmrboeJXg/brBpzNZIxyiK4ws0gpJsNL55Ncg+
yL/9ckxXXTbSTlbOROTUiB5CDf+V6ty3bXXSpng7goqIY362aY5+tasG7dIWoReAxooDUKg+tWDU
RokeFyuzZqdH6fdJEtk4Q+cwIuLNuXKNY5c+l729lYW5JuJLfTgW48npD6BWAhq2U5VcONB2S/eE
5Pfoc2wR2bXJ3jVsaIwcq1gu3PLXaI5oVM1TNr3Qg7YasI3oRXEOrHaJtE40Xr/y5+C37hvmnjHk
hw5Pg9LiLqV2Nrsv8h3W0H3vW0s1m+4oqdxzsF9F1cqobHjs08qKdgPEQ7t8o7bLo8jLMZDLKbuO
aP2J4EB3d0XzFjB/s/IPd3qCJOqVzXds3By5CUH6DA58JXwvy6k/BwoeErrcKO9YZ9VTbgxvMYCI
jsGwGf5qmNRM+WPSWe/G8BG3z63iP4VauGmwmiGnXs0aFqHzrebOWkhwlg10NThCbYvrEaxbTulu
NUbUksgD83wvc6m7jbwRoWBgNAyzyR3KZaYxBaeid87LEaNshPFGL+QeZNULT2gcOOEim25FiYlA
vFRV9Ejh/DJRo2eD5yJ+lPe0czz0+3mefmgn+9l0arlHmjzE4UqLrb1apjNPjCzrmTEZUaroWXeD
925MnrSmf6OeJMMU5K9N6yumh0XSsliPycmvn+j0W2cpLjLFWZkNHPX4CoJLrCkmWOr2dNTF8JTY
zdox+PXjCY5eRvlsgfEZ2x9RaiiMqt3CXmSjLiGxgFyYiTvTIknJ1LXpCpYZXJMvamGJmxUr1X/F
Ib6ilY2lCap9HdA+tDL4r8R+o2fsBF3YGesTRlk8RmCtwP5eiHN5EC08HSNHQczM0vKlniyL2QrO
czEEHGbULqNnHXJNjdS+DlLcIBh4EetODq6Tuj4G0K+sGd/C4IvuF6G+TIgiygikgMQNtFpM2frg
PFeIdrVOlic5Rr36ojnfnT5OC5eC4zA9OyEafAkXAGSVqmFZo+pFVbBCRL8i9bGhYI++VMA8tSdr
kIjdkyPqW1Eo79T4ET8Qzi86gjytf0yIwjh0ovTwvnwXDoW544qBAQfrEe4TzelHP70Xw3c0JzLH
+yx+rHCBainX3Hctf7X+wIfXH/wIbDIPa1d7LU3i1OfSf4+6dzGzBwDbFNRAKeEnrJzafyzldVS1
dWwmuNr3WFAS2a1cszxp2jNoXzV9b5THCun/4KJW69IBeIi3KtA0KhpVSHo6mc55Wop1oSvXtLV4
pvPes3A7/b0tMu6o/Vjt8LpE1llVgmBVKte+vysA7ZbZk93f8bjeRmkSLYrw26A4eQA9wTR10Xe3
ku6XJP3KumM/kFXP5iQuJXHHXj5aWnnO8554FbcxO5qEyzmCDV3Lx1GDZDHTbA2i+jZq3zaUS/4C
bKg1YouZehbqn65Nr023g5PQFrlLHblkp7XSTRAEgPcirA8O4Tc32UQqvbsrZVzDLSG4aib0L29o
suHPQyh3mRflS2liIQOHWl+Fdl9ieK6iqxvQ/OFfGrlx9J2M7kT3gvUoV14NpqeYxMPaPeui/aXM
aWucrZFSvmntjobqqx6gCuqPCRdZn+i4Qp3rlI/HEBOGg7jZKTc9hyRLH7oOmflaiIMNbKztvKpv
l1I7crZDMgYMB81a3U/F0UTxT62rZoErvgd6GDpz3OBt4pdxe4zTOE1ehU02lqBfD6QQT7tIv6LQ
65NfgbEOu7dCfyvD8hKov2h2D9VfWvuTKET/RsYGkFd8Yj9a5CqonO6+wwMSYvo1+4oKJi/B9BvT
SHMRhLrVYMUfoarn4T4Vn92IDm4+Ov1HXjEfMxMPV59U71kYo+lBWtnWgl8IfUcLri25de2BdEKX
Lw391LE3aoNjD06XeHsM/KVplta0JdtMixINI1uMCQu0ih2474+s7J41A/dAubXHfWnfMRyK81Oo
XSPMVUO4ZAy4AFxAHPyVO3FVsPPM3HTtkuBvq+LebHwi66/kBhYd/5rM2leh+aVOBotieAv8Ywr8
UkbRjnD6uQ3R8kWzUfTnIkg3YZdvjN5f1aV6R5Jz6YfWauKvRV9j7wUOApPZtHg26J7BQ9YptiHH
t5o5oMOQLeAtxsqy5sIto4G7x9gQdrgM2C+QZBeGmrG5tzCJ59uRpL2lTQA0Yd2AR4iwqWEwJDdp
uR+tqV+wYHjNuBms3huYe+TZ+FGZoOTST1/h57cBKVSoqkqubDJ1Q/7cb8eFaOoNqt4ToUCwx8FC
L+OFTjd0hTtTZ7Fyx+dSfW2cb0pXi+ye1NFaHUHCmhUeIp6KQK7j/ibNh4nHsqINz5kTPswLYoXh
mCpOE6CAfceekJV3YWrBmW2ndp2MbjF0xI6saE9eZ5Go5jez2nWTVIuJEOM4iZOTp4kXjBC2x28V
Ggzx9z2+sY8a3C+FX4sig+vpGKtkBB+uBQdLf+w4q0+JSjAZ90BQYL/3uRdGyEnJFc6NVTzkQbKh
aOtSNu0qRJraADBoF2n8S63fS1RxDqVMtEn1d1+dxc3QJl4R4N12B3jkgLdhn0nRAF20wUDeUWB5
cXSpH8OauEwlFLj9T7GRbJTOwkWYbpjDnLLAOaOUbGLjU4/cfQVuPMFgYOeYKcd9Zw0HYBsrzEgA
jMNjmTCdYG2Ih9L7P5yd2Y7kyLVlf+VCz02BNONkwJUefHYPj3nIiHwhImPgPBvHr+/F6upWZVSh
snEBoaCUKp0+kGbHztl7bYtF3+UbaTsPU4C3T/rHqfnWlRCZ5K5HATvnoJqyYh/7+JZbuSl0se87
0uDkZ2iTvWy6e+xn3xlqAg140Ma1yToUjSB1Wx8XiR80LCkKeKWRtXQSUOO1+xwFqFDxgUhRvcxb
rgYGFU1/tpt+o/Vj078awrpF+A6c6phyGACncqRgNqybVM5nszA2A8ErKegvxgm8KsBtPz35iDEI
2RqesnGLRodzF8aliyG7HyEotsWN76BlXFKCTZLGwiez/5GErbmuAt7IXRrtOvsEV7wSR3bgNrvq
sExzTp2Jo3sIuYNxorf+96h4kMVDDqG+NK6r6VvEnhrXHiF/C7xuZxLxBvt6J8M308m2qc+xT+w8
iThmBHhb7WYfYPGAmWYMICPJVUwYlUmeI2FEzDOwyXi++9RZaYIIwd/RvWMCnBVbr3Vu7WR4zYb5
BQ47dSlyUkim7qFvhuEKBdaqYnfmJxfuMevs9LGeuYcSYzxkFmPvTLK0w2fDBURUJRCfvnwo9Vjt
8De9e4EiRC5vH7SOXsPcezGDJaksGc3PtvC3Te8/VtJLIZxFjJ1HAmMVHaK86vbDUrSEaEpFjiU3
N8Zj6rAJ95lS0F3JkFbpg0qccdsoJlWugocPaOiiF/E3NET7ij0OMOOrkfcn1JBrSEn5OvHoO9fh
c2wgTtZ+Nuyg6IWrGC70Ou2Sx1JMdyGbUCxTRKrlh8ep0g76a9nGV1lFrEDv3TcmuU4Nwge0OmA5
zgCA0FC34jIDNzChGUys7A5h4dWMVJ64iReZAsk2TbhnE2PujvDdGZ4c5871wAOP8eHJaLuzYfm7
IUShOwfnyZnvRGYDxmBPnBMcadR2Sb1kqPY5By8m9hWbVLD8fojT+l4AvNbzKk9ahC/B0QFDlRuE
0Hij/T5lvbw1a/DwkeIkwaJkxUezRARc4cUoCOuJrHevq1/n6EdQA/rCwLCSFemoIjo4HGmlxnSd
8PdN2hRSRzsvlHtC7fd+AZAQ4bglYRfESNj6ejt1i02/vEbUj2V/OJANuBU1ueZJvSHGeIeCnOpq
ojQJxQtmjF3kwxsz3VajUmZKWBu8MT+Vl7mHLEyXw95FPmOm1r6scAdFJYnECjToaDHgZOAMpXhX
+Fm1dsS0TyVRtoaLoDvRzwplMRiko+tHbDRF9GaHyX6UY75NgCZtzKHgJiZVauPYk9pOlvXOd2Hh
E4Ce2HVJvbbpENJof7Sd5QxKWOPMGjC5ZAVUTXxClo7j0SAaIkThNtbTrZnoa7fqccN7AF1KlIpj
QgsFjlUMAKvTGIYMtSM56DZdiF4EmgbXEq+CSj4j+vl0IB/K3kYiXuUk6Mp3fBhrmJ+cV4YOYz7K
32PKChlEn26Tu9cG3oydJtQGmbzWJ8gEKz/vZnAH02lkhB1UrOaorHAhkNB5gYDIXYcxNz+UL6Ks
jIj5dFcDBQ7S6YcVhXtpAKMkYgk8Q/JSTMmpQlxyFQZ4dFhJWWkgoUlAM56HmS3j3lDtifuv2LQt
DYRJ7lp3QmxAueuSdHE1wtbgpydvVnnm9KiN0frhdVMFa0gQQwiO5MO04mzXQtRfk7P70efEsfuN
l6N8WdqEMgVukY5rLyQ6PXuvRH8tjOqH04TTXe8Z46ZClXLph1Jepk1rvoxIHMh07sgw27cpaW/b
2XHxreHknLq17bBgHOVcObdGMDQKthEPxG2P9Juec8jWfT8ZFh+17jXBrqvaqIB4lzaQBQP9tFMv
6suOhBGiMk8UpPOzdGIEgA4tkw+JDg/2dzT0kOkrB9KF5UTfqw5dxK7hvnMvCFAInvswqu+YsIR3
vld5dyWT7as+n427fjbwazj2uJew9N4MhIRU3VVVnmQFWxurYAuRPR6qO/Ay0HotL7qWft1dxKnX
IgCcJ3IdzEKRZOE530NyBXbzyBhPul553YiFPeRnfCulT3yAG/gPhe6cM4QJgwKyd1+qvOU5yGR9
j9FhuLe8qebMV3HoSzz3wsmtRR8SveM+7a5FOHPjRATE0ichpRjui69vrHYyIGOo7CZthMSFOwtC
k+0QYAKr0j0sDVKlEzXgx0u8N1lE5SVRiDPABWFyAvDnsaVqoweMka0mAg67n74mgwJPVEY797aO
ks/YUQSa8PPunILNh2ED4AqvKO2XMRBEps9lvAkKWDcGtpI9C4u9LpzM+Z7nCbgb7cxv6MzzjdtB
Q0dTNOQPbl21R6cHR6hjqFm566GQSMda7poiyy+TRnvXQOFIxoE2cQYI5+1HvuFnLZDhUdwE/YXu
KmGsLFfL73MWAz/X0qXSSOJ75iEkmOk6vKCD29erVLSAKEe7X/e+2dyLEUtZEdvWya4zF2NBM5is
LLm/z8NqoWT0c4StMWQrEhBX6H/OuCvNrErvQ8Pjd3AT90PnRvqkIyGuKrv1zskIjcPLO3kdh9D+
raIfkKS3zuVMKvxeFPbwIHgE32rREYEUEC3xqdTUniUSoQtH8GV4XUFNHjt+vRvREqmVAv3zDVHw
gNY5xaSeKNxlUYE9h6O/U51tO1KXw6DkQ84js67LynkBsTC8TGHobRHAkJeadTktJU0PdkaEW7pk
2piMW9aE/GDF6VrI1007Y0IdUPp3rct+Y47uYWZx2ZViUBsZamDITlsjApyLHSQE8aOXmhY7xONV
3Qa09sUoD51RXyde/YRZeN5EFTuBcAzC3u1Yb6IeV7ev6/E2CPx4V9fWW4lPdoPegzAif8IFUIPZ
xUIMZV6Cy6+wswHqK0qy9FwcCG5hXjRk8wAmc4CkDXCKhaxrEn7abu9ZrPyh6tQNks5kXXheCk2r
sLaeCNxdA9p06yjFnMBnf3PikDIxINAyFd11p8bgCFwPXWSa9+tx0vmmCTh0jSJqIWlhTpZTIo54
NOutBk+ENo2WbjYRH+WAK01WBpk0fEfgS/qeOa2M5COOSec6jTtA+Wls7VhQcTqACoZHVs39yvaG
AA25R2PLBcIQ40PaiNhDO9oZCV8VsjiPKB1sOBVtMNmwJke0CKu6cD4DHvW7thxG/AIgabmSt7c0
+Fp0PdjMlTevlW7LY9u7zVYltDBK7Tdgrib4nk2c3NqxQt1IjwyzvGFYezkokG1QvI+VDudVMc4p
CfTsOJPnhBuTqn8Pdqs/EmDRnYcZZ9eU5ON93zpqNSPZ2nA4y3cucFYO/GrcdRMUXKsK0m9GIQE+
VKYyvvEzEBMkyR165oAIoQJ/7vAtbCMY1UqE7ksQGljdh0q/IYdlAg37GqC2E+b3fV+1T4Np4Pnp
WIx7004gaHUhBoKS8CPoiw25HrTA3PBQxO3Ohh4Dta9eqyhjnkEUi90igI8j5LC1y1om4pewxkwe
+ZKfxUJvtAe9XlLEqu5MoTC0xwgYe7qOMwE/oPSgTGwjbLhil3qQ9ra6xoOxZRX0DrCm6+1Qas5k
AXErT3XqRMGqowELTs8cjO1UwvO1UXIffFeGydrIR7R99Brbx6yIq2vLi623XAzL9CydOkp5K3Mf
mj5rH10ZYUl0qXv8FcI753qsnGTThtaYcsYf5t2EcRYwdUZncK7jrcfI4NQyN+OUPrrXeTL2DAeN
3IE0Aayc7rYEjWUgjwxN2OGzTC/q2fvoLDPZRwNASKmnx3LufIZtkzgxDdP0eZN5k4kpf5M2yF8s
ZGQKvHc9LaVSV+lKO3mP0rOrCGMKzewblhv5NCsR9GglvSUDzYt3SeaDee6pDTa6qOarGOPLJsSv
d4eVr72LavJ3LGIB7/PeTI9ZhN0l8vtql1g0Jch1rwidnmEEJIN76cvRfooX8wqu1twmpIBzrm0E
fCC/D2GN2uUh7j0WXiHjndl53l3IJr0rDGmtq661d67Z6H0Cf+GiSXWLS6FeThDS4JQSMGq87qKQ
DrgMhqM99Zq2JDrRNCa4lRJY9yutVPMaBMZw5Yz9Qo+FLgvXrSEjYm1KgvvyAgOzNPrsIjJrGOuy
X6Js/IjypzWAEkRtT/jlOO8ZsbaXXswxbdLB2K5qbYvPtixakMS4R2ghe+2rYJ09kguE9aokiZcD
iwH/r3NzRiCMGoOMNDXtO9NBqcJ+LPKkOCZ2924OLT6fXDEnMCTWIOgc6XSyW7e+8zoGBRGffR9M
7N4rVzv952xMxlUaIgbAG+bcgPU0ibmaSwqEolZb3x+YMiDqfI974H3rXrHJ5YMVPFWhLh/aGl5h
0VlyY9RldOOZmLlXLG3GgZ2p/s2UwpeTi/6t6lGf4lASB/QHkdwajiyvoOmArHaCggYsp9kfhIFZ
N1YRYUgemI7YbU/4ygim/xFQykAqOHs8WTgZC2nWN6ehsRxAndZw5UXwCcthmF9VOjENBfni/vBn
yzknflLt6DKW58Bkm4JzFlXbwe1Ux1zCgbUiTLe/EoQVPqi8mGHdG3ZLMQWoq2BOeSnAMm7dIeow
A+Cc5O52/e51mgPD5qDh6zeAmOEjxG2Y49ZS7KyNSGXEMBHUO9JS6vHWFPNwWcJ8hqgWGC3sDCkv
YmkhrZzzdthOfW8daiwEj1aAfTPuS+ZIYapJfi6KkmcjqZ9qOTRHFKmk40zFQEKyap6jsnPpKRiB
jndDH1vnmJkqfHA/Jmsi988jX+ROAGa/mQ3YZU4PMquOiugpCoL+phhQvhdMHvZzOlgnNWqwZlXZ
leBvLNv4pmJHArmMunZVoPo+l8qjra+SiA8H+47tNJDM6P056C8LOnP72MnVnjrE4izLfPlHQBzG
ZdMK6igZkt4TQ03NksQ6FTOjjcazm2Nr9DGBagBAUcIQGCJmgtL0ZDDfaBpEprqT+V0YsReOuTsB
JvDdU1XbOFMNv+YJlJ5Nxi6T602A5+LoFUH80YMKYQoVR/EZcTZn16yoiCdAsHPuwQlwtg+oXmeS
12MRuY9ECZRnqwv0W4wLaG+65bQvbFIAUzTI60FyNLXBrhPtDnm8slIOnSj37V0c+90N0bHG2wSY
jZ9TBLwqieng1ecbYvDidYyXZNfAXCiBuN1h5GXAMSr3JVJDdWiU9phlD74LBzTx9Q+jGllUukZN
t4KghzuCSu3LaXEwGFacPDrZVF4qVnEUG/U8f49l5YNUGDmZ6jBRLvLlDrqvVuUeSHHE/A1azjpA
EXiuTDe9bowqYS8cRXmcvaXQptK+aZFsXFPZ5ZdGrttHTtCkcPQW3JNdHgz2Vs9G8R7PIFqgPTFs
Edia9xUr+TExEmxlc1DjXSO6nhKw9YHa+xq6EUrLrS5w6dbQvvS2yixoPa6AU49J3LHlNkTfCcA/
smh/IhEbP1SZkhuWucV1QFhSuR8KXiLqR3maAqnGVd+MqEiKUAzrfE5ayTCm6a8mQhRZ1AlS2Yxj
NKTYkwjB28RwRUG6ROUNdmd8kMag+B09F/BfKLjDK/86VdxxQ4itKYlIKSVKxTEFTczeGQuI1PCl
GMXQ3OAkacJbnspg28Utcq2wTS8CkYxsuUrsE5zWOzNS3iuLWctkfSqsq5SQQjoDeX2COTocKplE
13XTSbViAN9jtS+grNa59gviUTp56+bwNftGOHQ/3bk7ph2nGbNpUfsjkA0ZzgX0sRInxJpCrBoT
dAdcIg73xmdW68VwCNEaGd+hxcc76iQTqUkyVafG5bHJ6qp0N2GH4bowgFqYcszgMnXAG+LGVw9x
VGNtE3WxGLI4oxERkl76caTvShFCjBSEL4PEDKPhqqJWfQxKx4B+YWiYx6oy8nfLTsk+Jm0uwb8f
wTdCXpeMOxcN1JkjFNGEYW88JIL2cKfi5hT7dOjyrIyP0RRMn/WUed/MPACmEE1jeGi4VTcqIi+I
RFVySoc0hYINg8Hg90qD62S0BTO1ITv+L1RaHvIK9kOvSjmMyKnfTClc0NXkdEvX2KKdMrVobTir
9tUDidLWU50zIUYAkX//H6jDFrKd8CCh2fzzZ3XYSHAF8Qt0dUuVh+D7TWPl4BS4iR1i5HD+seRM
sTxw5nU2BkvbAfmqf/r7N/EXQkcHjbXr+WqpXZ0v0ti+bEy/d6tx26dTOiE4comtjTm80klTt61Z
J7/QO/7VBZWDVcKxUeGT9/jzh241QFICinCWEAd+Z6cT4hOhh72PaGkL9bP+xQf8U3AyH+qP1/si
r8xHMv5swfU4v3JXzNEthPcz4Ruka7XBSzJaN7rBhPL3X+tfiDodPp6nPFKOwal80Y8mvs2jZoVi
m7n1jfT1LayM3d9fYnmJL8pIR3lItR1Aea65CN7/qBv16JeWUYsT1YsLcxXW1WMeNbDD4dv8/YX+
SmrMlXzHtqRcPBVfvkJFCBiccs7HLf2/Y9vQ8wymmam9v8UPtA3blkI3Tijq7WLftMFbWJKs0Qzt
7d+/kb/4UqE9gns0Fyk/b+bnTww+1kS6Fplbu4+aAxAf83Wo2/nqf3AVBWIGuiTMRPXlBu3q0sps
VyMdFKo60UwRW184L39/kS88xt+Uoa4NOsa0bGKThPfls5DVI8y578dtVtQ7Nyi3jhVhh+ufpnCh
xeoTw759wDFex86RNBfqNAptTLRjjNfUSAEel/kvxLZ/8Wi6Ltu14NmGdOl/cRkImau4MjUyectH
DRDdDGZzi0n2sknK/S8+P06Nr3cvJg4XM4XgShRdP/+WirKsqrsYQxWEjQhPvxe+DYjY10FIVqBu
qxqFb8CNndde/cN32fUL4USvDC0XEatvMAPV2Cm9PHBvGOvQ2Z6Aklc2MxKUnRGcS6Atv3iqLfUn
1T2Ps+0J4t4lThDX//Io+LExWUaCxsgusGFQsKvweiTO49BVZvMNnHjJtJvQ8NJUFfFABcet2ko+
rU6MkIqGhpOu7dji1ood94l5qPjMq5xNEEKzu2rpgoHV6y35QstAvIV0sG5UYVCASoXDzAMYReXr
EwiSqEWOhl/TdZE6ufoxsHta02XlPmi7k9vBDp2XltfeR9HQbNqonz9Cq/LvPdXPl4sWdQB4FtQM
mmZG0b0Y9l7JyDzwyZ6pAw3xsDHTjUxaA1pSWdx4oV9fyNZiXmxwO96AvpnOg8rkB3JEcmhp6qLx
mhhsWaKyflBCAqOpTEY6CNwffV22M4UlAU0rm9PWve79kZcz1EMxJuUzFHznUI9d3wJec6M78voI
NiylvwtDTS0nFMF+/YzHEUTI9BxU2LhV6RqbjNHOfaiZDqxtC2/nRncaQSiJze7O9Mb6pYD0c9PI
3oYRpSEIzqxvW8or9WgIDvoQFpILF3vs0Qu7SJ+hT6BEadp4G3LC2QVt7RykSGGLOwUkaIK8AY0N
WLZVpy/5ton/lSo/NH4EiajqCKTXhn0fFPV4k7DPAagumP469YI8rN1TMCc9t2yI8HLOwIdFIsuB
X5j6BfpXsQeA3O4q20s+PCJenkOl8r3PO4QpmQh80QhtXL7pg45L8M1T29/naU6bzWXMjeYamUqj
LisrbO8rzJLXxCcDgLExtFqz91IXsqPZlwWUSYbtksSi/LX0TXsnEKXcOkViXAJWIuIqK8Re+lV/
6XPIOxC1G10gSySvzx0aRJksawgwKNtgdihHt7cQDvLzVDqed4VnoHuyrQgWD3H31kVFiUgk7Zj0
eyuubGZQGbP+tMrxrbYegk+iuxcPZg+rMDVE9C4GyfpTxgoFkJMHV4MnwtuSEhtYZM0t1+vavTVK
CH0kwkAwW9oAA/fw0dJAneVQOzfaSP2TO5I4HojWkwhVevcYlmX3fTIogahMi+h9wpAPnY+BzyoR
UX5H/7n5kWvxBgzW/1U18KeF1eZ+tyybUmTxjKkvRVanR1qGUyO2dCVKKuk023pgIrVXEv9jF8Mv
lqk/7ZPL5bCTWMp3HcqsL5dD9UnuSSvpZ6f9DYPjM+Eyv3CI/an4cEwTo4gjuAA7mPqyDja86YC5
nrVFHXBQJQua7lDYi+e/3yaWl/mpxlkuw3b/m6WP5LtlOf6DN8bMpyijiyrQcZQr4eIvGoZDUL4U
zPnMAECasG7+/op/9cFcZkNS+pbvw6P++YpTmTPSQLPNPNKk8Yt13gfOmzBr/Pvr/OmWcPjyfDZA
f7H+SPPLb+S1fgFMiuBZDU02oePQECsiKk7qQefufrvW4vv8jyG2/fd/8+e3kvsoDiP95Y//fihz
/vPfP3lFf/4b/95/lFev+Uf79V/66e/wur9fdwF9//SH7W+s8Nvuo5nuPtou07+9Pu9w+Tf/f//P
/yKiLtbTw1R9/Osfb0zE9fJqJE8Uf/SKsv3+4eteXv/3v7d8gH/94z7+aJrX/zp/lMXHn/7a79Rx
y/wnYFMhIYj7ilJP8hQNH63+1z/I3Pwn5h+KTNNUtmtye/8/m+liHfzdVur+E4+kSY3o+JxkTEVZ
/H8/8O/+x//zG/znJ/qvooP4GRe6/dc/vhSEDidArofzkvejIO+CLf/pVq8DhzGC5R8F2Xz3PUTS
lRyLBzeYEIqiaA8SDQcq4DxPO5DzPmwb/cPLaqJTWsvcI3xrAO2fDn/42n5/lz+9q6UM/c8D+Nu7
IqvA5L9gqeVBXx6XPzyAjEVbvPHDEagptgda3yKOsq1vaFLtYzJ8TToHMQKPjcbsQKuH53IKYY6k
wfQMurP+RYX6m9H1j++Hp8ZzMFQJmOx4OZ3lsfrD+7F8g8kgEmxAVhzZw+YmNFuAsE5x7+IhxS3G
/H8wjgTTLIHYVrBj5QOQprYM9kf6qfYdVIIUyXsNv7xuYYLbxWeq5msofeMjbMJfveHlOf75Dbu2
xOGKId2xBL/uz284sJid+bNNUo8BrMZ1LuOF7BLoetpYWXhZeyShJNn4ih4/Qz1FMh67xa6N8Xno
BldLasvTUrLRnUdOnJYV4uj0LS4cAgE94xeL389FOd+syZnEwfmHVwzz9dfFT5cQMOC6HfwUwVNi
EAELuWGN4+gkyVNGkRIGdM1+scZ/OV7+flUc3640LUpq88s9RrAzj6djHfzOcy5CAo3qGiRWiegE
hXBMGnOtXyszGBGUA8tJBnh9FENmpn51zv3tAPnzj7X8SIrBI15hDyvTzz/WPNEzIl/oQNeKdJR4
Ho6FCgMGtbjl6NDvRevcFAzJzr/9g0jUjQnjelUktAPpbvd7KvgrXnibAh2gt43uKjKhhXrKP5JK
C8EGXL2/9HVcF7CwlQKFZD6OagITa2kDGvK1ezVMY3lFj59iDtnuZA04GpHOcXoQ+9kwiGQW57ad
/CdlyKfWsp5KJlh7OyKIpTFuctW565y50E4Bz/bJfxQZbW3Tj957wSGC2RTZSriF854epz+76X4Y
/O+BI5tD2YVXg910p04Uet/6/ndfelRuKsGN4eudqeudxbW83nzr077cY746ZuYYLQQ5sZ7MCyVm
8xzGeDLMBW3FSJpmpCn2k5cUWyhvYm2CK2cC6/ik3RBV6bv9eEuhH52go76n3hs91OHOzelLWsK9
4dKfSVNfS6u6M2J8egwbesBAaxVbKKDC4S5IS7ny7RAgm47SjSHFM7as6SCtIbr24yX4NyCRqGT1
vQRwv2SwB9dZ0PEPDdCuJLKIiJGZ3qblYcOrO5tYFkRzk/DRo09+c2M5WDaC8m7gDLczZoLQR8Ba
G7dGIod4fL5dXEaVhMNVAV05iYbAVOFgLV+gzufK6pJVNozXvYvvy9aMz1G0ql90uSze7teVBi4C
z5DH5uFRUnxtORGsxNFVEywFvWZtBMWFg/XyAvyIXnOgZeqd6Zt64S2GOBusgPQTLd6NhoUU+I+N
en+Sh0iqi6Tp7wID6mAQ1TgW/eqenLDLAWWqMzdkkRbJO3NT4qxc44LY0XXZvwYtuQxMOIJ9Tegp
qYKbLou70xjhXvQQbGQXLOscftphB9P+HgPVpxdthsFCLzeWiO3FEy3b4iA6vnM2HCJfq+F5QGkK
TegKlxc3v3kWRpFtGO8/F4XiJNOOWDcCJLRjdA3pGsVhuqZ7cVHQTMZgBhCe9s7HZeKqcOsjxLQG
Bx2yzIlGd+wV9Ng3YU4BEQAMixc6b2bHpJID1kdvQ896iVs07zv5Xcf197h5GNmXwR3F10gRDgZW
ZGnpC5PR8mrI7D0Qk36ddGO3zx54Iw5yVlISivTRaat2NaATXs2me4/Q85LHF1DpwEE6H40PqdQ6
99R7aQPg8R1NqgNnM+JXiX+KcVxMQ7c34by5jCnp09/7Zn2wfdiGBrOJATx9YGCCA0HHmJXgxdEq
DyIdniOzf6xrE6klgZz7noxIW9BGmCfGwUbJ8aMc7miYH2PtJmQG6IzpiDqC+hEo6Sddmgena05W
c9k0yzlqsp4Ruw+YJY8OGKatn7JtjXF0SGaxHxjrbCPOszu/sn84s7VpSKDwdPRCJCWY7CK4lDMe
nsADj2ngpC1wNzW9h9VgIKLPabdGmzzUdfa9Z9q8VuX0nFpBsZVe8Qkgmhmts2TwzaaHeL861V15
oKWUbHGQgL6890Cwb604fIdR9qALsWCemCdDwASvBYy67kOAVS5RgV3/Gg0sAVMK9mWiQ4LpgVtw
RifShv6T1OsiDcBlThYqBMsfkNAkiICWgGTB71xOLA9TSH6C8dHO5r2M6IWUJms27TFOMU8Oyj8m
/tV0ldkdjdCaQDgQ9AGB7pRwzEWbFzpEoKhR9e583422+swRhIsLVHoc6k+Z/8OZyLgcPFzRNA3j
VVMwIyxN5Mohq+6Rbr29sqR5QuiwgTnJz9Y/y4EBxWjjLhiW+2ZwvHGvTEH4XgboJ6Orkl23NoZC
1Ug+a40DPrYL7xh0BdHObpDuG9vYWbb13vZI5Os6unEMvwcVabNStxPTu8J5biGNN7XtPmF7IxsF
g2gep0ivuwao92QT1THX3BhZSKhL458zdRnJ8lOagXmew0MEWzNhzrEnCd7Yi3R6wgE/bDqLlSNH
Z812tNMCxWOZL5orZAvRML5aJkXPIt6yM4rcrjORO9YvQTyN91FQMGsjDSobxF5Z/iF2mKQ0Vvx9
nt6XCvvg0uagS6DIDZ4Rf7boh1dsjeRKbNV8P7oumY7JdC3tLL4wE8QyVTqQJzKIYxJ0/XacG4je
czmeW8Qw58yLMYLakBod75gjx9qnxnBNbyS+HCXvH8z7U+b0PHkkHGhvPHrpwCoXgxuaHByHPcMd
5ZGAXDhg+T2LCXkhL90G2nlkVvtmpOHZlFa/sa3e3IyzewlYbvE++ReoKOUakAdSm7n7ZoaQXzMp
ETxb0RWavVtrKJFl20a3L/DhroeuuMBRcT94/C/MaKmPC9GtZzvEDhJ4xPbilUxmtMNOEX9HHjCs
RYgbz41x/YTUxVP6Q8GATmgfrGU5wp52zL1hxpdhbPOjwxy0EqLkZwQsp4wslqxGvxaz/47f2qzE
j+Ml0KVzoloaYzFreny+oTVAnYl7UuWDdQvkmiXaATMvL7OCL0yV+R0jeBiyHqsjmrlVmAvvbGAQ
NshBu5G6POMMK1aM4+0F3fbud9jBsqnAg0uSr2oje1/743VVV6zMzO9wpDPyBcKOzBkB6fQMtHMt
4FFitf6ELoYILT45Bf4jO/qU3EsZiGAUgBLSee3DaTezK2hAm6Zepjhtc1Ju9kOY5X4MOlRw3dm2
pscWQ2VfE9ERkqxaWzcMXKH2O6+uyVw9G2W092wXkPPgI5kX/ZNr6R9T4zxXbX5g9PaIf3c4hXZf
rbr5uwlNoEZt4WZ3XtnInb0du/jTcAT9bZQ5wZKF0mPCtfppKSR8Ns9ovgkSLK4xNN5lG6cXHG2a
ST1mtphWfTirfV6/jaagw+4g6FJjiRLYQlGLuSJvqh8yqD8SWH2LflXikITofPDNMDtnxF5QJzo7
v6GJKgGthHwptjUkRzj/6IgpcqZK5Wt7oioLO3qBUftN9MSkDF2dbRwBeRcnCqrHmp+R0BOnx5bh
6I01AuLxprHCXinGQ1+gSaJTjdjNNOZ1iojc5sFLkxkQG4zxldsVRyyMz82Me0jh8VxVo7gPQlQC
ooGCKuTzkr2wd6cJZH+UCFoRDV5WVW3rjtG804BA1uRdbEQ+odoHCVAuEo9al49EME37Pi7vrNBc
OVGIkrfuii1ENPI3IzJbx+miAjnI57vHxXdnaLfbVs21V0U/ppilC3TwtBmUs0flc8JGZ90RjISy
10If7W8UfLF1mYhNh9d+Iykudo1X3ZISUm114+Mjm5BreC6WmCnpd3lOrYCGvyWodsI0aefPKX6J
i7waltsR9SJ6kFURp/h8vf6FAGd338ibsBqR/qcpacGs0DbPkB6JYvfEc2nCdRUJ7r5+yF7ikLh5
7XWnvt2ODUz4vBxv66F7sDmt72Thbl0z9A/FWKOfQiBQ9eUhqCSrZGy3Z3b6W5RJn3ECzjX35xqV
ykaFLWsROfE8wNCOOxcHBAvVpTHslMyRuLqJv59Gz0LJKJ6xKIVbIob6TT/qk2NBNUU+dwrNiWwq
k62oQaduGcjvZpR8XXyZ6PCzMGOEgOAk8MYYq66AgkN3ZNMO3o2CiN5Bh1xCN8Io/azBA2x68pgn
jCte0bzbHTUCQxSqvHB4dQcbm1n4oXoH1V+TfDYkmNDdCdYOcSVs3JLjxZy/65CVNmRRQdh/z6o7
nGr9Xujo4Pfc6iLy7Z3Pm8wZD65Hrldcu9p+1mzbTlTnpCGaO9sJ66twDPeCqTtqjDk6Sqt+gunA
RJzCwd5ZHBzWje7m/03deS3JjWRb9l/mHW3Q4jW0TBGpmHyBURUAh3SHxtffBfD2DJnVVrR+HGtr
WrHIIhEIwP34OXuvfS29YNdqCplBHG/HqzCgbQ4S41QS+t0GIXyRD1c1uLj8J1hjaE4YEfXYfrD+
qJx4tEwRqDLq6RWEOP2MEsFV1Mo9KwAVjJ7Vh7ROd7S6PWSN03OHJ2o11lZ148oJ1EFw12nV98Hr
uiebhAAMiEl1DKBcQvO3YRB4ycnVSMSmZIxXiKGr56lv7p4nn6yYybNvyaTJqyrSb1mdnrTaoDvV
kKaONf1s49lZo9jhBCJaJK1xghxtJKnRxI/jOlqJ8hF1tElJM43aVpDOgLjWweVUGE/hjvyN+tRJ
R50Y/XKI1quj3sfjCapjAHa5WYuYrsnKrhRYCWVX8uQ6fXV06h9NZXUn8pjIOSY5I8NikU1RtGn1
Qj/V8w+hpr8RpNata10953340AaxtvMassL52CzCdCBPae0WK+qqYNO4Ro84hh+I0Qs2Qao4QQDF
rlUrT0zocdnLhNLCahhdJsVJd5wcSSyWB7M1SeKef5rJXBztpD2X5IHjNHUCkiii6WqrhODzzsIX
70175jNgUoZy2yWcN8jY+cJIjn/wq+EgHWGwFxCtXJPqW88/y3tfUub6Nv0HxG2a4aAf7HFV5PIv
25fwcwL7Ieig8Zil/cAiMu3MrP+ec7c1rQdvJQgg9PG1rKxiDrQNwAAMAptKbbT92SlQagpgMhrs
uRV/Lrtuv1WWnqzTLroD+s+9cGr/bvkhmoOIHFzsJLBriKr2g1bmd8sPk5k8dVnM5JrNZRWJF8La
PJLeEXlDjyJg60yMxnjoZhqoZvFs16FBE+zm2SxZaaa+t4ax4lA6nMCnQmMBV69WqZFf48F/71A5
Npr1QN71zRL2A2v61fcQ4iFThZ/PbmrDLEhkQn0/uUBvnHo3eTFMbhy/g99WG/yKobDW1RTFW+CZ
d5qT37scdDBzZ5twSokYrLlUgDoJka0rokvVXjnVptO3KiouBg2KjOwli8elGerPRo+Fu/IAAY3d
rkqzcTe5wYEdC4TDmDGz0jMc2coEypLtXb3b1rkkNdA72pQhpJi9RSCb1wTJbDxC1JmI0v8oWMRc
ymoPpzllItYl4zGVc4otAd6+f28rdjDXkl+rMf4c6zh0m+abrpUYNxDjVjkB5kbmQzOnTxMM3qHR
sEkwSV4rXwn6Raa3m0bKececg2/y6EqwLDGQ1SW32h3zdoJq5DPiwLaKaYuo/mtG/vKWZuYmbMuL
NPQXT+pQEZo7d/ADqAAtb0eL64Lt2WomnhOWVpyndn3fjO5LYH7yPbDhSU/OLNpPlHYqcKO1MXG8
jdh48RRx7KrksQ01zHhyeLLs4FMQ9590YbwafsmRW538qdv1FWEBASnNjk4Cl8bv9kjyA7VvHeyR
nYKOyxN9z56XydhxJCcJEODwSjh6v4mj6l1ZZPO5ImCiWZJII4zvoS6/xpb2A8TUJyPAs1fg5oC0
TjMHXHE21I+25O1VI/YlA4LM7IZnip44ZP1Mub9yJHJofyBLeBAAARL/GE8GMOLSuGJPuPkp6UNk
OHyu3E+lhs/EarzbME7BtgP+gp1oP/rVuHYC/PF0ja++tkMTgK7SEMeWmHOO1+GtDr3H0h92Ovwn
nxjjM+xpXsNkWiUppb1Ra8PWTLpLSA9o9MryMRFMFOxUO6DMohEQm/klVFg2idj7Yiqe0yFqNrZI
1bruDZu9L95qAjOVW3TnyKO1kBujvaGqQsnL0Wzl961/zRtnxYkJSoJUX2kCQaqzGeqWk/250xQP
WCgU9WByyvPpM64xg/yZCi1nAzQ9tB/hS6ld0ETo/OIS0FwJAx+N9OepSFkHptJ+KeWLITP95PVA
xUOSQUO7tNY2ana6aNG3oPTsl7oNdl5qr3U3dvH1obGOGg8csXnX1C1mI87FbfEuMmxshqm9NCkL
q6bIwAQvnqI3QQuYGJQt+LrkVNwyFTnoCubSn127V9U2wBwpCxQKiJcVYdic9DPKvrrSgm2u7JIV
CkcDLaf1vEKv4SOVmyngPdHViOEPFb3ySDZGzf4yFTw8lsZTQVcWC4XZX/IzwvsZM64olsGhrybL
o3dVFPWhbp0fSq+LY50SNuIRyBJERH+IKGfoWtsJmTKYhJxwjA5WVZxihYmB9iNG5WLqDmWhHufM
oRWm4HuZYKMso/R7Xd/Vs3kanpLEWoIIBEdKO2w86VY7M5S3UFR7Pr61d7lT+1gQvQJtcOSFIgUM
oHm+ZURF3BJ4uCP9pOFhWgJr7NSDFR+tGoA8mFkws8WDQ8YigdmdZkabSJNAtTg6WDaYoyGZvgWk
gwqjzk7B1JWbLdj4eit6Guepng47qyNapG/vRTPcMgQGu0FVl0h2HAaACphKgGKo3S1yDzIR+oeW
avVO47gw9Jq85Jumb8lDDGyoZj35bWkGO9Lv8EkIDpcoXMLhgCiiIl/dO4imLOGPCfvQKbw/FqjJ
ayDKH2lgbC2nxHrcs3QoDypDJdNb0HBW6PtuLxVwQQ+gsFVaj/0UjSCv27fC68hDCQM2MDfcREPn
bJwG1w2a9+fI8PNtUJuf8qxzrkHWXHNZf6saPiuA8gpDW/KZ1gz99CItNsiMkbU0BKWiJ3HgUIcH
rTJu6FOzpybMv6YdCKRhHCU25jE9TWaGLdYfTqoe3uIuUStawdmBTIW9IcZjOqTn0WYaMeUGsCfX
/2yST2/25NP6hT1sU+WN28QOKyzB+rjzuuGt6ctxq/sYhUzOT6sWyUSsl4JhX/YepWiuAWzDMWFz
xuZXcfnSxgNS+mg9LOvUm+VjZDrjqubF3o4Znn6tTb9oFjA4MPrewdLM7lhCC0GSkYNz89o7xy5e
MVMVjwQc0jVUmLxAODv9CXtWdxfh5dOdE2Jp68R2QzgatTN08uDsOhFnaFQ4V5oi9XksgjuVTu8d
aNzZAIasbd+7TnlvKXSf1Gs0EqyhPJomAzWLXR7fFsW1JcCf2UKefBdcdqZjzlItwBKbLDZSc8ZV
Tyb5OPC3F44ZXYO/Onk3JD4/9eR0EunWaeenRYNWxh9f7DoNR1hnY2UfjUNe2fKBrrOGV5rIwube
j+gK1G7n7zpd4RxxvFeNGpuAeuxKVmGaB9fmxZSN6vYpFBbEj8EJwX9zk5hSVwq03y52cT2k+TxM
DNinaLCL2CS31kfuVbfhnoDHBuIaR1DBgWM/VLNFPSJ9gdE2no2cMeLgYSINEHXvQJy4j7HBQVML
q0clOrWZyJCDx3tvNJhcdGvaebGPI0FY5tr14u+pbUafJ5GBHxs6kv4EYDhSSnce0K5RtOaJnmJL
wOr5RyjJIPLayCXLSaMZ1RKZoXLjwZbkFtlhgPkKj7/PpMZS7E8+EXGYWjs6laJM93n6PhKEeCwA
rOCI89iMtZyhQJvsiS/qA1fjrvUuuH6LBQDyRNnBV5+JDMmIE9RRpaTt6d91Y8IGPg9/kuauEKSH
poRT7gyfc0oX4cYZxGAdD7kN2kZVuwFz2ZqEMwZ3Q8bBLoRHELfVrorwHzvFCXYFPyTWHU7G/OA1
6fyiNi+29jBmpb2mfxbfdFUmO/KYQHPhkiFPq143fgVwwdaushk5b33B02xdWtmdLTTK93V9S/rw
JkXx2XcTa6MaavuSbXmG0FgtAkKbTb5OmZP66JpyOWzMznAPQ9S/W21JRnCsW3t9pLIKtG0aGunB
LXAmCYOUDL2wjU0YRcMTLIJpXcX5yZe6f6ur7EfE6nDUKRq2srSanVsnwybQYvfQEhwONU7nINHC
4Kn+Ev3U3CjnSXHQIKe4uJmOGQQGYpvGk++DAqyHY8wp5ow7ZLhrMvhXLHblBsbnFwLUo4eY1ABo
KniLoYqsydFgJc5wdxKFHZ3zQq9W+sQXkA2XwImno2eN33p31h42DIJkp5GGrMnj4FZ0mhqsNBrO
43mH0u7ibqStWAdfcivRn7oXPnQMc2LV5BaVWuAZ4FcogfP6wa6S+r3hr/KZNtClJVfG7SvonhL/
ZasFzVOaR2e8C/vB9+p7ux4us3Vm20EngKExkYBBl4qX8YXDUdntv+iShl9kE72rd/LqGPoGNFu8
aTv3e2j6wGmcVm5K0fewVwfGqrZc6Uw76KI01qU2t1oJjyh1veyejfqSZQH+C0lyAnZjTi55dJd3
P2ozxwxGCI9J9OxlkpMDAIMAslL77ttTci2H6aT34IIH10nu3D1ypvBi6MhnjUzJxzawvw+KrOXW
6KGRTeAhg6Hv1hkCQyyTunjWvDmQ7Ubdo61qiyBVM5JsBtYTwu5jUw8jVBdFTaFHzaHL36LAOvN8
EPJLOHFfkEwyhKNGcDZhrYVenBpgN1saZNqRZiWLZ9t5J5m7zSbk8OcColkhH2cHDzm9toVlnsWh
mDw+qenvBzWOmyJP6W7wp5JlIsK02Xg6kbO6DqKwJMisZDqFE3Y9YiO6ADDJzjVf94NUXnQaxXDO
CMnd2xQge9C2+KymZm9GxZvF8W5VNUXKyBw9eRKyb4UwLCypf67DznpR9A4po+RfSUriGQq1dGPS
hpuGhg2vqJh+dSqk4qq/4fEBQhLiMQkmbW+HenCM/bTata5h7rUBBBaB8trGg0pHskTnrumiJeRg
kg7cxIW5norWvGoRs1ZKTHlxmv6rCI3vieORmJda7aqezXOqYRchHnmVjNZRa6v71CRpri6dcGPF
DH1kqkv0uDC75uScJHf2lcjdG5TY1zmf9T4NTy3BNDHBZJYqb9lkNhcTfJwYw/Liql7ej/3kb2rD
xBeXReA2ddvfp07qPOCbtkCcYqOqaAcYtSp2fhl2t0HI/gb8cVsFvbqvlNVvi47JvxNrMJVtb24u
pcZNzj9o6WCttDxh75h/ypDMvOeR2TrBpOfU4ITT1THLa0y1c42hQSZ13j/Vh6mt6cH5qfFkzLOg
INGnn/+uNeHMjSNYJOb/XK1rDc9pmhQPej8ebamGZ9sR2jFEjbwONhmurzfQ8N1d5w08clPVvRkY
OMj74qqXX81nSQ3cdoqkxMU/GybmAQHuU6ih3645x9VSf7N77Irm3ByVZf6Y6ytMU+2TGmm8j5n9
iHaCk4MtWNnKg0Wm6JOoJSutPp3/e0XfW4KP+Mf35Mv/B3o9DzXb/00H+Jtcb0c2yK8yvfl3/1ul
5/n/sgLXnQUNyCVhj/9bpWd43r/Q5/lwwQw/sB0Lt8L/ZkFohvkvG1/rbKqysBcCufk//1btaUbw
L2obB3+Hh4Js/g//G9ke2RG/67sgxFqzlBPFrc41Wh/ES74wjUoSNPU6K64fJjfaKeISO7TPn8sa
3GGCiCnQwosluq8lUxngZvbZy5rhQYv8TVJBm9Nsx9ybliGYLFgRwzG3xWy9kUbwxjtsvBbML365
vf9J1jcLmX4VOnHVDGDs2Xth0YJ2Plx1FQHPISHAe629kYS6PiC30Ozel2AUVlVIEPOBv4JiSWTZ
yDyk39Q4CzecpJxeBJcpXrtZW9/G5KVKQOb+8+XNX92HyyNeA82v4zroL1FY8uu/qPxmHQUCIDN8
7XtqMtmlao/dBfZkLzLotB3pTo33PSDOkZyQH1oYkM7nQhMpJoy/cbDtx9reTGy2Q1vN/SWCoXIn
+6tuQX0OwNBg7TSIvCgoswoBQBDoUC4JFNwQ2k2cVY6oUStaUAPrfhjN17FH/f8nsdnvAuDZ82KY
c34Cj7XL/5wPZhvSfxMTQFj42vnysePz3FGOlhvwN3edKhRTvlhHSzlCoDXry9BAsIPhxaSdXgGu
++CCV8IpobSM4g/a7r/J4OZLm1XdYOJ1D/31h0sLyRQXuIPC12YOU8T23l/MfFOkW60nLp12+5Mw
Km1rpDYUMwR6oZcReCdCzmnjs8gRtCEYIIc8mr4iPCLWNBfG1tVagJAOIXfs6gfBX/IzVNQqHcKu
sbEUSYy+TXQtQOFk31SIM3+G+0XhY0kC2kXAf/iDCpuX/cOT5vFRfR8zz/zykivz+5PW6pWTUc3H
bzURMo90ZmlgWFP0xR5GyHU93ZuYh6dCPzO4qEmlM6iD6rtpbTnoFDpD3JbIzlI1yT6duxy2iA/L
bROjcyeVJZ8gCrjMcu6WWElHtcUhd6enck4cjKWvjlg5pmz+hKhx0H+uaZuAYG/TJy1L7Dsq6u+0
GAjnzGBxGoPzlNF1UjFlMN1qOMeNH19j1M0bvN8HP4moNUX8jrtG6Xn5XfVgBrpPfe1m60ZkxtXx
k2p4/Of39W8KTt8jgc3xmWbiZsXS9uGBiRrNUyPQkbflCyOogsDdBg4lzzOY+d0Uc04zrI6Td9Su
olRglC9KdxeRB/mHL9SYl4bfVjZUm4HpEV6nWz42JraS35cOLab7pwWvCHKtox/m0arFJb8Rjjyr
+RUXTsGzZmMeoCMKvo72wpyRnHoiOyyJVXrA2Itl4Q8v/LxTfbwytP4eRk2X5Vd3P1wZApDe7CoR
oDPaVxBvgHMx1EqH8TBJF6lQ977kTwXzl100FbHgsUJ86xnjiVhQaDSRUieQsrsJFdp6STZNIsAx
kzIm2FPaNvIqrF3zqlZHdN/1wh1P1fxg1kzNNm0BWqapn4h/L997vwWGkprGaonWc4xyVSCGO1hA
/qI5aHAwXVTSlv/cTcre2nRI91HYdcj5FOilYH65IU8gUz6JgqjefBweDQe8Ugc3T7c+65xrG7I0
V7rRZT8DN/EAwRUZC7GZRS6aSPpTMdItCYz2KWopu4RDtPwfHsz/8DSAC2CPc1D5m4H9QdDrN0Yf
Jk2rEcKYmc+kHqa7PpHIHeYAX1DIGmLetSuJPRznJubyBaD+Sp4TNeET9l4xiJI2kEH+++cr+5uQ
3cc5biJjRxOOKcj9uPzHtRITQSXJGy1DtIQy8HfCDrJjbZ2WxSRHf2mR3CitiKmBSzBZAYpdjUV2
punAaV7CUzQo/Jc008yZD9edf/fzqbfJj1NZ+ieNKY6ID0+wiSqcfYEbiS7Rm5/wX7ZlyO2mPlhN
+ArpHDGwibAGz1Z2hs8RrCrYwoVf5hfwaZclkBETNPxtx6AcAgvJIlyeUNn/QbI+Gz8+XpRjcDX4
dUyGsv4si/3lovzKwLnsyuRtyefNCgaFmrBsiLOk+Laj1F/7Dibxsm92SB8PnZ8+qy5Cdezn46qA
qPaHr/Y/3CZkuBZVG7pa7FcfVkMJ1QXfZJm8LaHQCq/aOhnaL/m8kwSSFnlOV81PBoC6Jdfoj/R7
W0s72E52QsRiX6apia9L/nrgWGLjDml6iLNSBwRlPEAN69ZLARDoij7jnJSL1un4zx/CmFej39dR
KmjDxqFProprux/enGgAZ+QndfbWT0O0pu385uXUUmOg6zsVp+V2kXBDi0FYS3ITE+mk3UL+0LcN
SNWlmCJ2ID6ZwXhDhPXgLVGlJBv+YVk1//6K254XuPhn3NmM432422EkHCrToXtbwjJTUzOeQUN8
Sx2CfZYvwJqlwI4b0YGfE5wbXXOOGK1qxBPQpnRhjXsUZjAY4m+WEZLzgLh/jy7xUrX5TU8n4xnp
yzqqw2jdF1hEjckqnurOBhf/X99zbNc2LwJxODy15ocdAmOXydTQKt90f/zmaF1+zULCSDi3250Y
HwInSvZaMPY7U/dygB2ehxQ4vzOl694hToA7Pt/kOkiDS8LOhzg1RvtnKvO/XwiozLE9cYmsf0jO
f3/nHOy5MswL8RbFzncjSPJ92jvaSg7J2WaM8GSSBOFxrk61z+wj7nopP5bN1Q0mpsuG+wfPvvnR
ueJ7rokh2zIpP1DlLe6qX1YBM2uYAhuElLSOIfZtQmgLRg8knfP+F/GEsOu0DK1yxzxkwrlCrGx2
dNZJEjOhQ8KZ/tZPJupTUnUh/6NOMbJsb9U0Vwc99naEL8OOzq1TNUGBKQzGRDhokCNkfQ2o7ttE
Y/foEdyLBqv6edj/zb33qwnrP302jGG4IzzUgr75YYUrGFyCOR3zt+WIuaxrZZtcSr+afp5a0oGU
GK8keT2kqPzDQ/n398s17bmosviqA6h2v3/XSWhYmE7S/G05HNIlMZEq7JYyA/a2AJUM3ZiVTTpY
1kq4cF4zvtdQA3/GAuv6aOwwPPzhnli/V1M8dpAKKKNwhpou8YH6x/WJbyqtbA3ju2zRskx2eE7M
disBdp1gmLwvt2mQzGQG1Hj4EYpNSy763pb28BBzwNlCcOewPZeE9gCUmolltAlGROE0btotYpO/
GHxYR3jv7LFTdGUJ+rnupowulsjypJsQGwLvY35F5HQVqIsIyG/4529g8dj9v6V4ecMCh80EWwIP
OQrU37+BqkV1UMde+6plJcHu0zSxLjDOGPhIqkmxSCP/dci7jmEX76EoagizhqsEEwt0j/2vBYvG
MG7rpFH87o7y3mTgciMIBMFIAy7ByL+1SnuwbL8/dDrn7LFBORxNk7VPy+SUSnq24K+j3STNm5Cp
f6ALnx49gQC+sJwfXjs5Wzcr9IsKxTp19O6g5vK/bjjICNXDyNZPxnxm1auGdiEso3++RR8y9OZb
ZFvYOF0eU/7PD7/fIoOYrVhKW3+1mV5EiJVQ3/PFLnuoPwZzlZp7q7B29F0UF1QD0n1ZMt/pYUIx
7UcgV8xp/3BVf3tG6THZ7mzLoYfB4/Hhxc11kI1BOXCOnl8HtBcE0or4ySlq85nucHrVW5/5Dv0G
opnpyXfCvLco8zc2GsI/lcK/t3zmWzQ3vMikpOrihKR/eIpEXmA+d6wQ3uJAdm84EmAhI2S9AN6Z
onr4acCBGdWBY7a9VijwDnlJ8R6kzfuUBWvYHJynOnj2xNrv/cTb/fPdsua78etjzo3ixDZb17lW
kChzWfXLEs53OHZ2lvavy9piGgVzF0RZqslmzjOi08xWM80e7Dddv3XkRhVxXTnpFIp+euxZkupE
2ltHG/JVjqhI8pWiO/+ZDl5jUPJja98r+1UboQuY5APv/Aaorar7cfezYnUe5KCcJzq3h3/+dMsi
/funw2mMXA3bKp55RFy/f7oi5xCGq5CX2CGKpc+gCrph9RaAN2HlcK11apQYfbwWpeZAj8TALdhG
sdp1xQynTdNjTtJVGtroSxD//+ykLInQZeNAStNBmP7zJdvzE/H7JfO4+HgyPTJnabR+eGICMwbk
kFfdK3Fo1sZNzfuKrtHV9yEM+YnhHHpUPxSgUQYsqi/OBe5aFXUgrzPIDHrYENKdOvY+pIOKNJgj
TOa1A/RdhFfg/G+OAZAVUBJp0PMu3eqesdJTQTgiuLaLcnaadtDsgRlh2vfoc8xtZeIei0riTmof
/0QfxOfKYupquBDqjHRm2bnOezkw6WtRtdFgpHuYgTZMLb3+wzdqfHyhqI49nf4YLkXav5wxf/9G
fVG5heyG6XW00RI1sRdu4lQ1nIbaR0PM6j9glrvlfL20FTPkxvuuMt/tImP0joI0m3BKLzUbya0C
/tug/2EJol7/25cI3guaEY1uLIGgsH6/SlHqZF0iEHztXaylrdc/LkdESC/p+A6aqDoth3uYNqCa
jxo5QRghBr6SSnFps1U16Oy9V48X9HnyhUS9Gqguva/aDbqHGjNgpLoY9j7/DRZd02zbC1szRqAJ
+xiiJCdh9tw1GiqHOb/cmsYf0rNz7g7u2NkIFRusJymvtWN3A+Kprie0gAg2PRDjbikal17H8oLm
yejeiyw8+014AUMJCnA+5mlOq2+U/U1z/G2iI9OAZM8jiltZS00Xp6aEqgzbbb/cbGM+hfDsoXeX
5Ro8MX1WTgAHWPevVgrPYrmGoWIwj6zsZIOO34XOSQL93vCgPTXZGKy1HjYl0heTpkdlOQz1UsRp
pV9/t9C6nURFCzcgHyb2hvBC+X7CuNcfM0pGWqZs14xKTwSELUXVAFV7FYMIfTLd9gdD4L+suUoJ
TZthq+/tezpBn4q0MUE7Irjsfadb2xG+YDpx+TkZCpu4jbw9R5Di6TT2r5o5jMegTB5+Vr7z25VY
pArazuCul+5kQ3ijVGl2lqFovi9bwtwhj+VwSHsqaOiF+t4si3ZTNhgmvCTMjkvD3I2GZDVk0t3V
wnRX/kzeKSQV2NzZrQPudpwz1oeuAqmoJVTd6Rl5xpiTD1Was6YR17GpE5J79aF6EFJg3neJLE4+
4ZXK1xJp7XmavMc2o+XktwAhzbTQNwYzxitHCaJvuglOn8Z36yX1tMH0mlGcIIswNRJYkBu2olA3
8G6XgLkA60AbAmW1aaDC1UqC4qLIhKpGme74PUy/c44toAGr0TO2nHgYAerkppnWUzhENv+Feo4i
NDTL56uC4hbTUtqGZHhuzACy689O0vxBlxUOOCbC/d4s1oNepqtM8wKklKCalpFPmToVOUMRQNHK
3A3zXGI5oMzDDpIhhoAsobggoyhmCk/jaFOJUNyL1Lr33TE/jqHEqTgXNtX8gWKjQoWVO6vSDm6A
HO1jW81CJbEKBeGVsp/Y+8z862AMNbNjBFx53ZDpmcfr0MiSfRbC5DYUw/wEtk+EmTOVJVJVeU93
jsRBR2HpLhoTHFj4HFWmfynNEO0BQYp+gvtKRCZ00/nhUlZpH8sawW08GM+MY2tbx6U9eWSW5PoF
QwGO6PmtA5LTbGsBmh41xbx/SORN7V+BjiB4/KbQKTCWwQRS6qrfpi05e82Y35beDaibl35udvxk
AjgivfSlc8kmJAq9c+0TZd4lHR66PnuyS5xrPXjq+eKaITulU9MfR+USP9TQziCFprlqxfhqjPhM
0QtxBogMbzNgbt6H9rRJqePxVQj76ERhvGcyaSMGwIfhlVJspyHDSpYbb6nWepea6LEgx8a7LPVp
CdRcCwQBTkFmHxH9F3vinL8t90mvR+5zQgouhiwsYkheIxP7uT1bTAuiNsucZD3LLMhFhXK58dHZ
2SGlSz1JDyGQw80V3Y+J6INL9qrPs5W40j5PoUniUqydSpfcv6Toho2WG90JsGe5tYOv4NAfOzn6
b2aNyiJAOFWuETuNl7Qsm4PDgpuzVy9/vJkFBD4Kqz/UyMlJTSVVib81hmVFqzynadL5aBVN/gol
kV3gUzG2RGfwWPD1hqlA413U0UEo1gVnyEbS1Hp0wLU7bQZLPVUlWvtKE/FqubHLw+wm1ecShjmU
3YYQswSpdONq/l527SaQmn9RrvfcNeTCpYnp0S/zo7u0Js3DXZWQlPAHWXsY5OT/mSXRAjpTPS2a
xbP9Knpgc7SOyKNCUPX1WXmef+Ewu22C7ALVG2e4n/dbs6IMn39p8MSXvp7u8zblbJ1aALZzE9gI
G5df0AXquukJHOipd0b/wkSSTcetgMUT1adbWn1Li6OhvPraG87XIsCQTj6ucRxHVivX06r3KgWh
LZDpbfWGjNkCIPXq5+A40NTaSnUUHcOwN7u+Y/rEwdaKsHozJaIImptXhtuh/ph72Wk1qXNOozfv
wdXOS9UyiAq95z7Iu/tlrx2ZRLNuzcFbXOXyr1KJQNnztWozaBN4iMK6ZX1vH6teP5h2haOaGnWb
R6Q8ydaLn+rKf3EjgWE9c1W9j51vlky7g6sZJ0OmsPLFWeXDeEHO9QlTJyZ96w/DYDr1fy9haOu6
dMz5NYgyH+rQjunE2PW582pORbej4Sn3WVOAmiB7gcb6/XJecGsfjoZOsFhdht9187kz0TzpNHDw
yASfIF33j2Ke7uqoeJljTWep4axzLXkEbb/WvcJ5kp6+KUZ5FLTsL14d1CvNn9CbIEPEWQ2dlaw1
/sz5i5CB9RrqBqgytNcB7p2HMgiGB6jczz1arLuRnIvVmAXNgUL+cWAJfvCwH1Po37NiV9sqJPq0
pY8KZ7b3gExrh/+tZNhGO5Hfjb0gY6JFTgOx5aKxD2BVcZColvn7KBr/aE8O+JEpMY8EHuIh+7o0
O+1KkN9UxmTftNlTkDCuKSt01m07fVuGc1Ob0Y9ThJxC8Eu3rccCqECx60PGZWyypjZcbMTlEVSz
c+nKqfmKU+Jes+fXuzbwWQFovpu0J8BuN1mL6H2Gu62bMEpvMsjbHVIvaBizGMLQ05aRgM7z/Lg8
nFZd3IykI8BwnF39TV1tl5sZYyfe0+EHzt1A6vXH8ewORoWeD+JNkbJR0kNcGsii1sNdD594HfbV
eCg7HNKYY+UpMKvP8xTgKIp7OOLtHupgQRyV/943TXOXDNkzlkPfI/LdrbKrylN1yob0c9ESmzv1
T4XvfkXpNj5YTU4zaJwnlssLkxkVRkB3yHYxGd+esJu13hCBABwek+y8Q4AdOQW54tGf105tZEug
h3ROo/HbBD2eMR55Hf3WtpoKtHD61zIeHZvxjTaquydvjJNtWL2ODhgLvzBOJtrj3VKk0SZmge+6
r5bo6TbHrtnehip7WmqO5RYvj35pc/Axu8baowB015IMiIOdOV9KlJZAjnxF2AUGCUmk6yMHiO+j
ou0JTcYgC1arrj//tHmnzFSA5MtGyA0277OsqgzlIFNuHx89gyz/KkBAw19lPIgwYOeKilJQsLTW
7BRsVPd1qG5xYjovg5KHIek/u62rgy4aMdTl+rgeU1c7VkPjYJvBftSP8U5X9XhFvJyR6eDZ296y
i61mMjnsEIzuONmMp0kcwfZitRrs/NBHk0soeH0XeEznlxLKkOopbn1ko3jA/QZbBLvlsc6U97Xg
Cvtu2IvGYBegx7n3wnS77MVo1rjLqr4fCUE/t2XWnSJNvE/GxG8nfIfUkMa4FGb/Nq8xQ4vEVWuK
a5uU7nVs5jtO743cpyZ5Ht3s3GEqCzEWPcObJEDdydCe6O3ZKsuf3yVzhEOLPvTJaU+hSjCVlLJ6
oJ5bnuv0juEPGyBP1pFHESY3jQ58Ntq2aVB+88dRj6U6Ng/RG+esd0hESV9MVVgvYb5v/NLe4uDu
X2O3IQY7xX3iGw96FBs3fCSIPnPCCI3gnhgU1qjaeyGYadXXkfvk54j5mjhAdjgdG3POTcNLRj7o
+n+oO4/1uLE1yz4R8jvAgZ1GIHzQe07wkRQF7z2evhegrO4k65bUOazZ1c1MhQMOfrP32jylphX+
1Okisgn0shg8xF07Xhk1Lh8d9k/WzrOINgWdmaB+RoX75Pta7foQ2h8SWtycgWWaHmNV8TBQYs4i
FT5ye9JiLhwu9KuBCJ2DZyYvU8+HLeqpP9lYgllBUtvOaAl7SJPd0nUUUZVQkeAwC5CRrgGCYLop
a2dbjyyllspbh8WyMprPyvTCmd0wMpuG01kCKfa0Lt/Y1TTN+k8y1CQdbdqWB9/Aq92Hr34MBnwR
KUjl2ciktbcy/V1jXnTEwdWsgygGv+E08lGp8nVRt/c5hhRoq87JSoWDYoSAV99k6bjMvZdtbdHn
9KWU4Ouwtd4U02i3Y3GTKBiFSs6c7VKq57j0Wr07Y2o+DPadM4WlO4XJZ6HAwaERIBmHmfChsuhQ
B4tITVguNYwSV9hZQdlVvRip/5NM+PiQE1oFw95e9XrrXJoBWJOlYMCwvyr1sDosFz39or7vAby7
GqbunSWC69zyohs4iG9B7lwJzG1bD1yDM5hiT8fq8nW6S+9ilh4Kf5LpNuR3RG6nOdfIiMwT0IxL
koZQvcTJnPKNpoG47CtL7c+/tErzBq1MDAzQWXTUxfjKEpixelNeZPCNt8qo/8jU7m7UlJSql753
5lBkRl3daCkDgaVEXJ6NkUzmcQmKV2vGOmRmo60z8V81otERzt1117bk6E6IlzlECM+p963gneXY
lTDxfmJPxRs7t6qRpjTEvkPmCFq4RXIgENqqSNqUxuSmTNM3aoshtUKmtEyRl0FEPQxH36jjgxo5
ZHHnlc3IlJazToJyN6TMxaJKIXbWQrejedXabh2N0W6NsWgef8X0N6soKklTDTpUqEbsXGX22gxx
2Joh6oflKA70APt5z7+a4+xfG6lVsRa2fsx6eFYM/hUkF0bZxFglubNOaAy3SZeHu+UgwaGpt6k2
2wvDHUNQtzXfA2qRSxgwdPFFefar/dLLpbJENK0lR0Nrwd9jIlqWyuQj8NUiTFujZTkUFoq/fH6Y
K2B0dp4XHYqocAjSBjOSKyl+UvVnnXrPxBHXGw1m/RrnO1EqZYIpST75rpKHlOwe4orleuyBvqNH
Ud+cMb6mN2/cRrXJuFq+XoWoKcDi4jyW5hURat0p1J1rr5NUbeaFqvAkzojh25ulOTuJSwqkisj3
cTojJyR7DnXmqSgA5k2af91b7UsdNKPbmUN1RY7f2meDEbIhpaEGtcQBcGo19Fa/n5p+XdaxKgdh
ZwkpEYZoAgXdt72UnrYD7GHdeawlnp5R54mjpuRJt56280KRAT8C4+M0mdwQWTD9YSi5rBS+zmxZ
hSBj0zkY2Bd+5yOmfoUQy2qDJ9mJ5BhBpUJkH1yHWJy2VTgaaxC3xaECSeMmZaMfPE0J+wfoTPEj
KAd+uC4kk0xzuO5qe7qzMOGG7cR0CuLTXtj+hyLqcIf77toZx2AvjbjcwH+IXMUqebA23XTEGYFy
PqSRzcahpYuG6sfY+nJkqsP8pTo1y+5cdQhrB2QQrJe/0o+r/YC5iNQ3UpB+/5v8p28FORhaBr4R
gz3Dt0XMKMkVSAnWfko1HnN6yoalyq2bHh+uWVrZdlJ/GkIncpOu31AkewUiaNamQsZ2xbNhk9g4
Ygv+6XE5iFJHRYpO7tzHcjQQn4XvFYvkLjOJqq1Fq9KKMsuZ2rfl6UVwzuBP1RW+2sMygdTgf7T6
GF8yKf2IMDlEPKrPQkuv5ay08lCqn8oiHDbsu//wXXzT1s4X6KyotTE42CxyeIh9HQgPnmonUdZ5
j0u/0PewKPxUEGg/q/Z8GCuEtmaGeRNhd+cZUmhrWJpy1YdkqRrAZ5HaExLeKseuMtRTXooHgXOS
FX/oY1+EhuhDIIlrqzpLk2XqctdPYYghLmCxQrKXEoxk9iSIiLmeXE0rPggADP8w+P6my14+psrA
hbWFKcGsfAe1C0aaSqSjYbVCCIZ25Q2uHw/VJidUlcNbkvPCHDArsPOTm2nxBBzgZQVNum5yzwIs
zIAMl91PVOYmdp45NDDRZtvwDaV4doockpYzr3juy7HZ/P5y/SZp+vXeZ3kF6iFgnMzEvv5EOgI8
tZWzag0S8YHaeF84auB6Surteua1v4Zuy1QiExhgstp5Xib3ip5rF702/ekN/fclAotngVqeTTs/
+/f1Ks9iqzcyEaDvVIwNc787Ndfe6RhD1tBTeCzt5AxCAE9PaLuLHXi5jplwkb5cStZ34Z82G8vW
++tJZ6JQEojwVNOyYDV//ZIm1ZuHAmb01Dcd+9OaePCE0DYylA6qYKbjB9rjcrcS3g6MvJqfGpJE
0DiBbzc/SZR+2JGdQ59DVfX/Hk59Ut1iTFPWmT6Vu9Gw7305/Gkbu8SqfHv3eBoMbmSH/p2v9uu7
bxmvq4NeJE8148BbYpcOzNrwpSy3n0HoUWETWWKQnAkt+VYGCBCZcY/bonHslVISQbZ0iD7SsJvA
T0iuj7mcF1GxiF5Day7MjPI5nvz6yhmGdWAIWjWcsT17vsPyabuOhchkVL9Wn0YYv9emXu8SLdB4
pMK2zIDI1I1TryEXMunqlZg1T/i+tOygG6dz0ZP/bfjHpQ1mWGcB3SMz/jDQ5YrWUG4g2mh/WPV/
U/osNweGD3bEKOvYDHyfBqUxTCiJLP6xTmiCwIR4pb7XfKffNVivVmWGErop1F8qysYOHVdJGnnw
EIJusxz4/KDGxcYv4MYzDZ1u60C56+tBArb1i3PQvBaTqA5VNfnQEKhM6Df0g8XGHrUq5va6Ig5Z
rhaR1e9v+2+S0PmTIaM2UXk484lFA/z1mrCLboqsSHiPpoyZ5QfZFrO1SzBA4C6bQoSFrFNm8UBp
BNZm9IH1LKW5noZQ2wp7W+Xp69LqLj/wUjkva7Nf08AcGEEQMsH6/fv+D4t73ixb7Vl4PXOZZwXR
Pxb3VuPXzYAb8WkZt6vC0g7EY9bnuEmMO9qMPcOUaxLorS3j5icc9N6hrcMfOgFx5BGQEtyyFV5u
VUyAP33+ugNe0KscUNzSCxIv6Ma1qjG2CtI1sZa4M+oQi5YVfKja2Nwl2nwIQtH8w7MSRDNv/ett
Si6SkEjLdIuH5vLP//HRCty+Isii+Gn5BgFDIBYYUOAS3XQICrD0BLqGdrEf5rI2CAXGZpUY3Pxt
1LCq0/2R+SZsZn/lr0kX4ikjKOQOLuZ6mUbGo02xpEU5E/M5sNcqLzoxwXRSjJoSjPD03vXL6d1H
3sCIehJrkjATNuzIzfAaAyKgkdvrehuhBYpWKHEO3bwEUqWVuKHEWh9o/uWy8TQGlCXT4Fwss7jl
CkEO2xyYD4doeZfUC9JlWMfzda4aQGonlJPWKldUHps5WKJMid0+h5NSH2XrmXe90mjbsh7T43Im
KLO8RinM03K1Kgbcjakx75bLNiwqw23keFi2fMJGh5s3w9qbq8mlMyVZziFZhI6Nk0OwvzCqtcCD
oTSjdw9qZB0R8bmoO2Oz1C4rCeRiHhS08fAiC6oU0xlVt68yi3BZlimqer8UZ7EtClfPiY8YxINi
p+o5CvSXxvCTnS+CzwB8JGEq8Wc39hfLzaS0473PJruMSpBHGq51qI2oCU17IKHEe2mbcbpw5kWv
6bc/ZT+K83wRRCdVfehkWZyW264eJezGzHQulz8CojE3y4Ri+WPh9/ZZRGeCQYhmRz9A5n3skX+X
kspSQiy2DA9yFS2j0+jkC/fiWI5TuQ6c50E1R1a0ClgoSLtJFV+Oc9/Zh5GDPhHgVD4qx77yT6ET
69t+hOxVA2VYir10CC+laVbbXrdQIHieuYnmzlFR/M9Oozep7LC/Yn9u2PF5WboLdrabyJp+iVLs
2ZqgK86xga5xjqLU3ypcgr8/TvS5uvl6z9m2yoMRUwlwKmD4X4+TAL5m0ulO/UvQHbds0Za+OK4U
jRU32CU16N2wmslf2EmBwLlePs49cLNehFbW2N8beDP1mkXAIvm1g0c7wIi7iPyXrfTy5Q7Cfqo8
qe+WH2X0bz2fATZrcRQlg+JcIf17n0xWY6ZfQQ+ca9YMoRV0BbVa+Xmxy8fJuOU7W+kWQfA6LqFi
Fir9/gtZtKtfvxAHcZuK/M6hpwQn//UL6cpk0M3M7J4aszdOcc+kp1aQ/I2mKH55jYaBXYYDvdv1
fZ/BAgDcwzIatef/ryHU4hR1ZedKAhuPS2m2vMW/gx6uf72Zb4kS3/74/xMwcRF+VHmd/2y+O1b/
GVzxvyqGQlAp/8++1tv+Lfvx9k9nK0X0f1lbpfgLwSKtmCAFDKn97Kb4lT+h2X8hb6VlYV6hGdQC
LMT+r7P1L0FTg87dRisnbTn/szpvm4DYCu0vWgZcy6S+UBqhhLf+jbNVFea3p9+sWuTZh2xtzsiY
38rXC89ofGKndOvOiyvIDJpDQK0XXLJqamj91n04ZZt6YuOASH7XGX3vsgO7cBzvzm7lOcKSQlbc
qK/K/MlzimpdCT3dkO4E14Noa4ewuG1jV9cBKJC176fVHmgvnsZWO7NuJ0Y1jF5qBfNple7tgY1A
7LA46DHrQPBoauJ34fgG8clSug+jnJStZ7Y/YjRZu8z261XtkWKayXprKf1JL2x9jV1GrJ0CEuYM
K9W8YyEAnmpAFgOJ/79BO+tnktXE4LNhIDUpGCzXECDI9J6HeR3cDxbCwaFLiPau8wcDQkRTNHdq
JU9F2d+TrNvvDbv+FNqDohRy1Upvk6n1R69ClWBHC4QikiuglvV6tACGiQorkuV7p1zUG1VndxIE
INi7bjM5ynttAWTEfc6xjrggGRus88YNDCO4vYlYETDqX8rQauBw9y0ThBJ3Rh0mN8WgB27QQz4T
MCz9lOzBkbHdKD/tLgDug9JhVQmC5yaF+Tb+JAhlyHAoye66cChPmVzxZKjWagrNooKBCSkqIGos
quEoYELJLOJEiX5XnWKnh2zyM3JWVwlY9cB5QbBCmDYo6RWP9lOQx69A6adtlEGbIfNNp21hsjgN
qTsELVrhoWx2QE1RJYzttRGnb31lpJta5ocyH5muo61u7YgZqaE9xHDGCI0zD/nAlqRJg5UTKCNV
IbQnf2a/GhXG4Axwmf9OUJU4+VoUrlUuw6WdQZG89UgEvkiSZmUqwoLxQnUl9ApRqB3ftS099riH
aJNcJ+HwmAQeM4x+N6rRXWKXW0jq4EH1B6NSiFZFlH3tpeEKJhngioGkMrMlZ631FeoFOfPAVVdR
jN5lnum5DAU39NBcIsHOVMGF13nylDEiCri8GL5fiNK7qVp8Smzkk3M24ZUF3i02NqmkLAHiE+MC
EzAHG49Q9kf0xPuw8+udalvPXpRPFyrEPzP+tGQ6rZP22QOgsRMFHV5bmu06SqwOEUb805IQXqMg
3CbBBLCeyMZMZ8yjI8gx1J8qitPV1CU/2AA9B/b0jFTR9U0GCl2tPOpsT5npdWs0kVesYFkSwuOX
sMUHXXE98YBAxHSH2L/XRo3g5U5sBciqGgMDYr4gW0PF2A0DlCxwzKteEJROMPSq7tKd2nYwQPXx
siwR5adWbYILAaeUvDnmpgm6y1YA24W6U8R6vDMLBO0Tm61jDSY58cHCpUo9E8qKjVkgxyk16bti
3q7r4FCMIX+tvFS6BqoOt3agxaQKPXAH1shJw3Ui7M9Sq48TbdTJmvJ7zWpq1+yAyA5leld2n3kk
f7aaom3go5LU1OrPQ1A/dl2LPsn039Mqg0sehG5TNT/lZIxupejEFYybyIifDSppJJN2cKhq49Am
fnmndmQ9TfkDI6rXzOch7rPgybRipdKuVlV95zUvZACjru/Ti1QDukNnTbBuYF5kZF0byaNB+uNm
ajnn9DokB9dp/XWezgpi5CAVFPhNU+euXuvXEFaf2Z7l/Mjpg4UiWpXezpZod0AFQ3W1fpR5ryDt
QoLko1APmT2tmIaBVSGbLqusU+ORFx069lOo2+gLg1E9AGlFBBRcAw44Z2JI15HXwasgRzeJTfLr
LSdaqzk1LuF3IbjpoXoipK25KvS3PqxbRp3IWgybOJGoioddFo4CaniYHtPY0h4BLweERjxGYfUK
JaFYsSjcxhyOK70ggihndWTH6B4A5qXY9KWpPkHqYq+Cdkph41LPgCtDpX7XZX92PhIQUm4Q0EEO
tnjIiJwufC5fjWXrqzo06ioeCamwlKNXKgz9mHs2iBTMaXiPpPFRl/VxrHpgZwMJfYq3DRVANnUc
2rAETG8zSRwi7GvXJB80iEEJVdGYpyZpeSg0JV6HQp8PwrtGSRhW+P1NExXGBULaD30EfaIPRPog
Kxp7a4ZKxc5Gs9pDRBqgZolrEZS3c2bAtk8fS7P+McJTurZ8WV4w0RxBbkNULuUc9qHDsQsd7Wn0
KlJKei7epG6mPU3SxEizRL87yYhD2wBWU6IqKTgOEa76RCL6e8FY4ar3jEMaQFzPHLs5JbHx5PUA
ugP6vVVlNoLsp0vLA4KD953a29TLDf8iVilCGPeRrOpDFGXFNgKYnOeIKHMbRV5uvbQV0KXG6E23
TY3bwLNfBgg9yWR0O0Ui0irM7jDqU86NXp1YSaaryB8Y1bMcz/SKo0ol1gVMnzo50AdgGcu0YswE
yG0gIPQ0AVOCh33EkK9smFKvayX7bIOhZtKDCS4xGPTHIZpAw9rqw00B+QgsspPsiuAqQfe8Cpzs
2ZonfknbYKfGSrZCaDRBK6sgiCaHHPTbWjPz+ymZbqfuUi2ieBXh9GaTbJwU3AdrYwtQfVoR15yu
8yxSt0IFH9QHJGqrTrBNs/MUXvm5hAfjrIuyuGQThL4FSqmX3PnUUQEPOZ6z4nkMx8+wSJByJFeh
nbH9CtEFjGITCL/e4uKxKO/fIYvda0QbIOZFVCmARvYNymOmxER0V2gTPOTHaV/d0NEwjW/NJx+b
MaZx1FBG/xEmyguy/do1yLF0BQ6vddI54QqG0AEVF85B9vsGgdSbgfiHVRRyiBpc9PgOw8uWEgrb
+HQu21RHYWV/hlRZuZc/xyg0B2Wbls64ZoTHgn0wqg09KvtOrnLM/8Ym5Ual1VWQYj2njncN8hkp
kBfhd0Xi5FvlOzxNQnkYFk3dbYmied3ONvggvY0nu1mVgGwNKg02hsp1UI63RQFuim3OPAFqP0rw
0pBDLdj1oGRX1Ri9E5r73ncgxIofPVUdYCP6d5vKa6ZKgqdXHmSZf1DhelXL6ELr1qrQflYYsAEB
JBvZvGEgZhkLQJkHEmxlLY7uDS++GcF8QjDdY817412QxVFlD1F29FTjPik5KqPYlMiS7cPY+oDx
hNxT1b87SNjTWp6cOH+x9GyPSP4uVMxTqoXGY1llT6S1wJLWzQ8tVUIEgXa+tcY22HR99Ikg7UwJ
RQ5oCN8N9dYsiiRgSO/9gCPHALtd4sBVwuuE4B01Y3isk1+ICHoj9BZKePgSA3Y6Zoo44rUoWOaL
aBW14W1PjAlZLeKl08ZjBx72AQY9AjtCHU+DbI5qNm07OX32crjoxztFQTtWJ5djRR0WdEzfGS+Z
SMH75671H3KqWVPrbomh9NbKvBVLZx5lZ6U7YuwBWDQrhiPx0UHtvooSM2A/pFUuSVtvAUpMt5pi
Kvuimba9Nbhjo8Pg7otjEzIV7azkJ2lcyYn9t8WPzRPPK+112pXbcAxgA3os72rfnRobxLZuGJv5
qEfmQpSOU7TURS1zXVu5Miq+o0DjdRm0saY1do4eUVOYwX5i+7bWsTesvSEMr8yQhgdKX+W2ulat
HSYURzkCdxQ6RDJbcbgBSvyPA/P09dA3hpvJcYtn+GdUFwcAVZCoLPEYxqN3M2TFgVPH04PmKStD
jk5Mc6YVlVtd69ncF0R4pKJJV61aINO02NcWnnICRtK4suViBzdUn8lNeql6gzH3ZKyLrP0RTS8s
TrMxea1S9RYZ+ckOoBXXU+uscKuOc6oI/vxh5SNUhbaoW/jeBkDUHfMLJwCNmxJZwVG+QyftkH4m
EOuPyngxxEF/WWgtmRMhm+DKSvqL1Oz8rdFWKoyI7ATlIN6z746oHaV6YljiubnmhGunK7RToKAb
CUW+qcr+YhTypyrs6NYm+B6aNkO/ytM/CQTRDh5X8rWIyw8yV/xDoXNFB3GguqKDB807a9xMUXZK
KfUDgKeCLqXujk2CVJ3JY4pMy5abuMYC2UHyVVBsPeXtkY6mBKlUZ7C8ZbhmWZgeFBVxs2BYtiGd
5lYqA4kyxuBytiZM2rPiHFIcgDQgyJGTrkFLkxbEj6ikKafXXY/0o9atj47AKAjVZJL47djiXOJ/
OQFfia+UHAxYLQ4MYk1vpl5rd2alvmsJphojSoO9Pw5POKFxXt1Y/oyNbCERSxvUqNdtWs8xj/QI
apYN9zNU0pHRzur4PZj5NWuP6JIK+wjiLDsDvdEjikABAbHmXHghZ674iEhMlkO0qgmNXDF7jNdB
5o4RS2yNwmtT9Hq9RcKAGt7pVjDsUGFlV3i1op0yr+BjdvF2P1S3HUyXNQKUtWxeedJoyOQoJDwW
YmeZnGQEnRLST78mcOIk+auqQlx3NklvUZD3e9NPb6QHjNoWobnhgn3izUIZ1BTWyRjG17bCD5bc
eKO86Hp7P+KUGbgcV5aHRleDDjcY2YVjDuOtKOljMmeD8du5utPntLdgiB6DpicTCkbooDXoPMDy
EIB2SYpEuDIK2TN+poNChbDm4tlMBoEqoTVQPxaXGDhAAQ+sp3rCPwrakMprjnWp+VunpeZxZLhJ
uQg2Hqs17rChs3RXkGSFL/iqisqdh/17NU7xQ98VwTrXcFHY6U+PtPh1YN5WmBFrIry3MoLo2Fk2
l24K9NtS9uwp0pWedqdBABTi04oymH3UuNNBSt5Ps4dH9Bq8RtNDp0CcklHXKWc75tEGSLZQabVl
BeO107TrTlinaTDkyVOnN/gynwMQbI46wDq4in44bY2RpIKCPJnZ9UR1ojBfZHbZ3RvapcUJQ5RH
+Qbp807O2jF280Aceag0WokCJ6hWnCEDuSMnbSLQTvcakNE2sVCSBwvI+2Gjlv5rG5cnnqxXcCTT
QyHz9iLFJAIrkYQe+WaG/hUwKR68KuQbRY0JdEteY8oyqy4nt+F4AB3DuTKSwUMcx070w3OFyE11
9I9/P6f834TNm1UN//N4cfUWvKVv9Zf5Iv/B3+Q8S/vLwkSrQ8Fj44bnlEnhr/miYgvweKwZdWmz
QjdMjcHf3wNGzfpLszTcnganzZyAy1r97/miJv7iF8JBqJFAB3SPwf2/yLuV8/DwH1Ntxj4MQxmA
6jQKEELmjN1/bg1zTqIhaSnvidHhLu1t8wkPUHNOvQoxJrIbciTSdUgWjVEixPUKOqzKLKtru5TJ
DbF1zkXW19GxspgQkPYRA3IxES+pIgoee9+BFBwOlJJmG+w9NX1hSCneYj1IH4YpKxFLKkBtDTML
TqC+sZR5SSi5qyuSCipsKwSUb//x4/w9I/8nxoHv+/sHBpxDvYGlVgJ9+7YmLfLJK0MH35kg3eWk
2dJbKQMGWmTE1PRqsPn9y6nLJvzbN4wCkyEuejQSpu1v33Ck5E5ONlbMsFIXayACQA4ot912yv1z
mhEuO2Tpi7QVE9MNpUJgBG/MiIZLc7J2pUpjkTVbg+QDXWYP2hjvjUh/yQsCQtqE7gMcUapCzyxF
0z1ieL4f2/re1hi4VvM2kRxSlzTIY9rKY9WLd4+i3IWicTT0SCFYM1E5o9GNMufST7GFHhKtUv1o
1EX6KTwCwLSxzjfgO20YZwGJllWPQ143H/B/nLvUhEzPHt5i/ZYYlLBqYKN3RLCeWx9eNPNgu5F9
Iv9enHbxnXCK5F5J0U3onurcmrnTXw1pfTPFrEjFwFiXWhNUoCKKTYXD6I1pBRxkBYUL2aQ5sQI5
6mGiIM+KQ6SZ1EKfQY0xXJkE4W0sKoVjN1RMZyhSK422RE8VlRQ3vXzLDSN61XKVAMTY9NaRDwRr
haRKu0iVPtxUIxrUuKm9neqFIO/hqlPF4HoSCLq3hpwIaUFqzvDXju/tVqUQHkHh5oOi2mtH7S4p
PDnXf3/xzOKZ75cO8CIEYiA2EIl9u1aNEq0gNSiqZnGVhYyWOKBpnLFt5w96yhsm0fLwL1/SUtkl
oEsjfHeme3x7SacaIqIfRLCVTEHZDv4MKQnr6edUMVFlSR6lzsXvX/GXRujLx+SEtAgcnhU4msVO
/OsZNJVElUDSC2flvv3AGrnfUjQfgqx+qAxqbr+KvG1t95lrWKF+7BKGaUD/9E+6eygwtOXbrBZY
A+vJIzerN65QgRN+hTky7IPOJUj2op4amoNZ/20YOKH9riACePTOWubFCMoEO2yLSGCSPusnorde
JKkNEXRLdq3lyh+Tx6CeNgHQi603UEv1ve3tGZzdAGiClu/4FN3tYEMXFyX5H9Zd3Q7vZUzEglbm
3NiK3gFbR0fNyR7xciGi57HdsP9Wy1Xct/HKTH3CbqwXGfgEPnvE702jw0jL7O34mngc45B7zM6x
p/cfSDqqLfNM+26wJnn0JE6nuETTX0mozrF256RyvAuHQEZs76P8QveTEX2aLc4iNutnrQe0PiWp
cBkGfORUz67nEc5IbvZLq5Z3olT3Zm8d7bokkcwc83toEe6CtOf6Jzs7YH/Sitc2KKLtGDTDJqvk
o4lQHBudd84DGhS/bU6WQZinmgawfs2BmS/ylBWSInWXS2YWvZWhAo2i+qoWM55O51bFjYFE2dDm
FW6GSZtIpX1mhfGuG53kCJhRWTuSZPHUqa60xAsvsNC+xD7Rr8Jnf9UyaLlNYp0M8iL0T1UtEXXS
Fu3aDAW1Dc7vzutiZdeY6aF1wF/LqaF/Lyx/F01zkE5tGitPRWLkh9njYCJThwUVvwRU54gLJu2c
N756SfQRI3hZjbs6yA/YIWcgfdhvc4JyYi9+H8nxoR1NdRfCIOdPZ78wK9mx7EK4gk0rbqNnaNC+
O5+/SKhBN6B7RN9UZS0nkX1nWzag6ygiJbCwvNupCoDJMEjaOGr9HnoVM6CWE6loIotoScAPznho
WAitc9mpV1Ej6peE3RPbN/HBic9+zUuGyy6aEjwpDJUb4lJelRIhI2zt4tB0Sv8H/YD6jSOik1Sv
cYqwVp0ffeyvvt7UDM0CKack2hZhdSMNBiRmxixvPJTpeJHL66yNL6iNkYCpf9jU/7cnPGweR1pg
/XhxlGlzyfMPtVA9iHRk15tsdbyCpkLmYnM7ovP25R8+43wWfj23qB8ko9sZXMq25duTHScqZbzi
p5TXyEPI0gzFJcyrPxQs3xhwNt+k1EzHdqQhZ4XX989TytEq0TEVWwW7TTCdEoqn1qzdCQ5ZkW5L
5741xi2pzIeuJE2HpEKh5lcqsy5NTJvSojdrjKd+yP/AH1tE9F8/v0STRW1Dkzo/Mr59fsUZplmF
O/NfBGJ/ZqLIYIm5A2aj5eWnNsczVONDU7JxnYkHyIcSlkGFE1CXnGEvui0iIVxBV1Vf3I6kGpeC
bMCittYJYEDSc6ZVGYldFxEqWuMI/5M8WaUu//YLSuSfiFcZmRoqftKvl0rSpVjoazRiTh6B9OvA
zsI3aWWKOZenQnJT1jxyp5FaQyuzgxaSY6Tk//p65U3Mcnibkd/MdPz6JqK2K3mWE/tDWbVyep/X
O2j6Yz3++P2D9hspZb6OvrwOGoh/3hd+Dbqp6ecPWz73RE3XyYnICFctr+dMmH//Wrycyu0BN1oT
3+5+Cn+PSC4ujdoILidSlBU2Y3YYfDZqzG7rT8w+1Bj/4Ze06KNA9gmLTuvbCw5D3BQagv4twwCW
0A3e8wvkqWRXlPN9kV92TQUwq6KO1c2yJukQY6rSw/GwUvtiCkwXd1+CT+bBaYvo5Ed1ewJkH+xY
ebynLcOnvGXfigrRg5tBTgZ5gBiJ7eioNU3pMqWndx7IjAVoYj9knZ+RROZ0g7PCsDo+DCZmrziM
u7PSUBHrdu3IldNFlzZeu7UsmHyyoLKOlF+pG/hathWx3e0TzKPubLVGbCXlA4HvIEVLLBIJz4Ji
5AS1uhtFNPZq4ncVSXzDYoancFyiAIlz9hBRrWU8zRi36rPtqWD0JfTiDtvu9ZCLLbbcgy7rV9St
IcPh/sYKm5sSL1w6D2ij7IaO4KlHL4ndRezziZBwTXluO28bFB4lRLRJp/AQSOPBlsn1qOWPQ1td
cZndepbh+lmB0zDPL6Aqb/WJn92M8c6SeuhjjM0QiJNupe1jw1jXMj2hXbkMG8t1dP9SIbs4MBlq
1QV6A6XTT0U3vFuK9lxFUE/birALPHumq0MIXI0hGes4IhtSu3h4KxWp20WQi3NP9EsjIw6UqAck
6BG16dXTM5Q+wK5l+QKv4ER6BxNzoo9XoQR60Y7OZ9mAdc26936C9R1ruduVzRG72zlp1WMzBwWH
Gd60EZAI5gXlmREM78TMaKYm/X5Cq0YYz04b+w1SZddJDPQzOeDdIpnQRg+MQdm3XDaszr16MFeQ
I6dVZ0kE9OkoiXYJFC6t8mz14lT0dMUUcc9NoPyoEnNWhZfPKs6hoomPtOq7bJwhL1UTrGcjYWsh
IGHxmSYIRyk8SmQystJ2HA1z8Pid1oabHHUsU6WTWjBtkrKvATYp14Yjb6safGyo3dRUu3pqPfgF
MSpkpYQrexjusnE6Md67jH3nAaT4PmBCSdj2/cQoasSWyzYop+RRDpVabrSM7XemTgz68o0Y8/2E
7ntt2xmUO7FKiXEeStLNhviUlAGEnTzGVpvmbjnQWJb1dR7oP/NCPvNtX9nk1g85JgxC5zttusQW
AsKjFzsnUNNtJLQXr1dn+hZ5R8gkp7S4iVUDXEBFRR/qBJHbs4iZKKKefbW5H8MAl3vZnkOn3kct
HjxfCbc6FHW3U7JHP+n3gFSPSloDUw0x8Ces/ovXTqfL7IgHIgXaO/qj1uxDlhuOMuz/D2nntdy4
tmTbL0IEvHklCNBIlK+SVC+IsvDe4+vvQHXf3hTEIHqffjgvu04oiYWFZTJnjikEVFfHeuw2ie4f
VCDO8sSJUDHTfTBUb0YVn4wOuMagmk9oZJ1RzY7ZgNlqK77gXEDWG+Qp9zva/0IynMlDZIDGVAXM
fRCp/C7D7kYVSwdwJt6bFNejQpLdBJO3fQVzZa7iUDaq5NouI/2xqzFa0rFCI6GhHfQGz/dYHw5l
bSDvEBLNiSdQXqEcDxuji75m2vDFsIBP6036VLYx7in6zwyUFOslX6AQxzVrQtRtaR9mdmLT9h52
eva1omHIbTvpT9foyKGsVNiMs8AiLNsdZ7B2U6CuuBkrKi5DQBochOmmrKSY+pFZnHC7i50sGl9I
nGBnpMm3lFJvas0CrNCntAhG+Bphj6Kn8i/AJ5mN15CB6WeDhWv0Gx8hMEUgyEJAaJtp8LTZsjk/
CTOphN8JzT4k4V7RlbFTy/FP0pQY/Im3Om7vZWm8tF37JdHiHoFCO5sz93SKh2lpRwMVqzrYxwU9
60KiuHqJ70OS6re4zd7xlw5iZ3ypIPDnvfosS5MdJPJ40lgUMPcjA6CNFuZYef9d7fVnP6hn9yQW
hwTiAt5KgfCjy6pvZZggps87jK4H/Ws/mhB8AO899VZxKkeVAnncrRxWP+US2I7paFComKAlxOfo
4+5PjQ4xd8mGaDTtEcIOv/ttQA7Yez+SFFUgefTrR4BL51YFASRHcYNcJkebjxFHGVVcYnmFm37F
TUC4VV56m0T7sI1vqudBsn+Wb/V0N97Km9g1nevB57PM8mhqkVLQUJ0g67QWKQUoqnXslVgmUQtx
fO1HHawJpD8f/ufu0n8iLBqfqPPkfjfOEWYXzhA3x++0Hf4HxyjUn3M7KxcaMpYfhzDwIrFu6Wp2
pQGkTUnzGZ7F8qjcDyW9fiAJr4/a35a2T8N2Fm8+L59dndB8W16rEq8N9I1fPcQkWlL/LRzeta7Z
RkJ0zxX6lFQU1YsVwMyl2JwhJEpH5GZxkV6cxS380a0UHzUXl0Ba/YobEoNuPGc8cnwCw9xCOhPO
JTeEjYW/L5r36w//ecoQVlb4CbKkfs58TQ16yVTUyRLRpNWo35Tu6XqAZa8cB3AdPIdOxzYuF6Zk
LQ76Pqa4+E1KjSvsR5urt51sS3VDLZgjJR0HD+ghN9mdvEHi4wpH1CiO58jfGmnlQvl55vIzLM7J
FnlFldXg40vuC+rH6O0bNzMOiveee6dkeLz+qBe+fR2lPLdVS54bsJdlBewyJl9uIrJtz8N2flAE
qsoWR/EtG+QGOeahvpW3xandlytIYuTVy0//Q2ht0b+VC9GoJimhp3vvpL0FbHRO89oQNrsTXf7z
n8ZO70l0rax3n+fPx7iLb1VG3RrJc9xOfuqqGw3zt5VBvfTizgZVW3ydGsRRfPni1h1c8kvt92zr
O4I92PFLdxQe28OwK3bRypLwl/f6cUmgysQ1H8YmZjOs5R9nyxR7RkCZp3WDA1Lsg+RCY3Ett9xp
+xA3jFP8BXPUZzQt2+gmORZfGgRfX0JOSM7K08/T8toPWSy4sSZ3qpbPT19AyGyqFkCpuo9qVaZK
pP4uR+MGiyVnlJN7JZS+NWhCsNLTfxdm+rMzIsq5nng30mzDLfgR8tuWYvev67/x0guitoSrFYBu
Hd7+x7FqjESmepK3buy/9dW4HTE8FJO360EuzbPzIItZ0I31VMd+0dJqY90ouKHWfrYy1trFGJBK
aaPhf5wZPj6IGWk5rc9wU8NGepJoXuSoxflwmqvWXZH8bIXhRZCl27GQC3K/ouV0cituSBXdFWKV
bXRRam5IqP5UjLbf5QFMlnZUkCzHcx7cUsn/xLR6zibGLTNLr7+WXf5dF7ODJ9K3DgixoIHfc9QS
eG0T/i4gAlRd87v3zO+zwqGt5ZHXb3K5GL2dOHbVBtgQXvTB9B0C7KmiZSAKJDeQjXshMGU3iDuA
Cor65vfR0ejQ/gblLU0X3/sRXDlu8Wt1v4tTgQMtvmTzGC4PIHS3xXqqjczW2oQFqLmmhbdhu7Jn
XUhg8XWehVl8FF2ho9SPRRYd19/jx1naAof+XedoHNsdBJJrB6tle+zfTew84mL3ULpikmvI+y6E
ZgiTinLyJ9T/hbrrlGGnRgiYMz3AhmlsBKdEcZVW5f3g1+nG7+rXqaZ9f2jE50nMhU2QDg9qLZ4i
GbOqvvGfs0T+ev1rubQdkAlWOfICLjZom/84lfsayIdO+dm1RvEF0QsSEG1Lx1twwK/d7Tv1mOJf
qXjlS5wn91Mg7HzDfOrEADWYpeTbuFQTO6+F53EMn67/tgs7FbnT2bUJLDlwhHkOnZ22gBeKOJ1b
LSUlMTyabf01NlSsZNLZbzdVcuxAO2FlE7kUU4HTbzA1FdrYFjFbs6uHIiem1d2USuqIGeQQC7LI
RDY20laiXRz983Bzrv7sEUVVEGPKra2rx80Xy6j2fRG8kok7FaNJNysk0Cqon6KgOpR+vUUy8SUz
hDsNFdvGmOhzhdR2GGcjkDFeWasXFlVzWp2TGL4FULUlg9b/xcRQpHCSy8Dv3Om52Upue4dTZvEj
cGfDJRtTWbvZzdYw23//zs+jzivv2YCMghaWQie0roD9EkDFXVifUJxujKDaGt7v68Hm0V1smR8e
cfGy+7LO6DXkEROR3tbiYRh7AH4NPs5rl735L32KRAbRlHR4EJzhPz5WK8UDGrOwc0fPQQBIGh0X
l2JlNs2L2ZUgxuJk5yVmSod41LmKRev2WyR7zkAWwIRrJ2AoLUf6yvVLunDmkNnGIRygtxEp8nx8
LPDhtdTrRKwdpFwmaFplG7n6g2GXB0HdkGoc7HGLsdA2fkD/uVs79FzYhz/EXyzvYMWktmgZ1jI7
js07DR0rQ3rpvZ0/4OK9FamnBNJAgKwHtYGOtT4V/r9tnf37qZ1FWSIVygnklQ8M2E0O4ZNqx05w
T84R17Mby6k5OQpwVWkb2hiH6/N/5fXpi2OMSioGC0teH3hZ1wuanVe0rxm7sFhYd/mQnmq9woQq
frkeduWt/bWgO/vGjUQIzdwnrMbWkaikEdfMSC5UV/XziaEvFi/NqlFjebw3baPv/H29a26UXXto
dqt8/bWHmf/97GH0nj5Lk/SjGx3yO1Id/mP2bNwByLN927vpvmW7tF757NZe22LZApWflipAFlc8
aq60b/aQ3hxxv/po8oX15HxaLjanoZVlK4n+DuLkVg/S3j9ZJ8lGCe/4z2sHp0sbL6ZSMzIFcg9Z
sY/jmMKb76i6deiyaM0M3nq9hyWj7U3tkME7vz4D5Usr/3m0xVuLOwGpuJZ2tCDpr2mW74Wq/KoO
HQ1ZUQoTUuqgdibJb6WmehOXGVXAKXBIYu/hn2CBZlBhaL7nxvQ113R63PFGS5PhWQjFW3TVL6of
vZFxBhMtWaMrR+lD2emP15/h4tIEykSn5ZHS9/LjJR8DgbPlEcYOtYwRPdaGBNhPXckXXJrfGmmZ
2T9CB0u2XAFbeaRYVxAmeW6VGxWp2fXnuHRGJwmi88HKmmSJf0kLZ1/QKA1l13h95+Lu6ybkwXfx
7m8O5NZ0k8fVWX1plzwPN8/6s3CAVDyZ3qA53LCl/GiXO/0g/aBPcZPUNhWyvzsWbgCo4OQVA7BL
X+557MUkVzI5UegjY5J3iq0jsCslR2aiB9XXoSnox+y3cVK71wf44hs8G9/FXJdhl+aYB7Bc0IFj
ygP+xC//twiLBSkKRr9I5jcYx8IXgSKRPnW/roe4lGf5MEsWi5EstIGM6qFz1UfrFvbzg+VCeNVu
9W/mTtqCsjsNrwqXqG8W6m56JL0th7jGsmN3NeXzuZaOFvlsQBennnwMvcyUeVzudLc4dCY/5z5z
pKB2+Zjvwl3vVkyijjYL23zr7+Mt/X1ry+XFl0p+EsYCwuRP2ppRSWl46RiOqI7sTHmfaU/XR/zS
+gIC8v9H+KsoOPtOysjTjV6fIxi/teGXJp1EM1xZh6WVx1hSVBQV45E+GDmBDJtmS2uPtOX048a7
n0rlDk6+DRxje/25lty6v6et8wdbLABTZ1WlpRCzt3unOtCrbk97inobaDrv1WqGcAlG+e94XF8p
EHNxXh6SM2uQgZiJxHukqdURHSXYkLYv3uNHhHc/cQIT3caWX2l/uP6kF98g0jILGfxs1Lj4LAHg
mmHZ8aCT5v/WIssN6K/L4u739TAXD1vw7f4nzuLT1HK44xDoaZCAFUo/hfgFXiE5LBm5VSeCDcrr
5kYOC0SKwzvqlGZ3/QdcOjpoBoI6YCRwMz8fHQASp6LcuUMz/E4NdNC9OODGJQn3yhBDrNdXAl68
tiP/ZUs0yZpQL/y4h/TzKl516nwCC/fCtLVSu3tItshJ+epRWrwJu9TVhmPMQrWLVj6ai497Fnxx
6QEBrOI6rnRuoA63aPXx3bAQc8oSQKAcftAWCy7JuT7ElzdpEwERE4nCyKe8SFbQK5pZ/7VJk63c
AcPQHEBaR3mT7ayV1f7yunAWbjGl5EBpxXEkXOl00II22XaW1ReO8NWnf+tuTj0kuTv1K0O7+piL
F6shLk4avKT+5gu9r3P9QOVEEL+TcVrdSFafcvEmm1LNoxSyi1uRYMGxSoWo7Bg2q6CNwrrc5NlG
2K6dfS8UEtm+zsZ2caLj1mdFk0ZU8Ui/8Q1Td6Psqjtxw1p7+L9Nm2VKQm9bww8iYoFCeZG2yTZ4
xq3Iluz2ofqytideXO/+eTBjcZ1NqmEa9ZqXl1mT06gpvcpYfnni/f/xoRYbSK0bVipN//1QdOvt
qfBszDffLmxh+5997f/z4S3Vj6Ct8wiMHDtHT+9e8aUKo20DkL4tN0YcrjzaxfPp2QjO2/XZnt+n
Il20GU/mmW91eaCdYOuZD5EEJE7inDP69oDz2vXhvLyc/fOAi13KiqIeHxfeWlEogFPeZShEml7Y
oXpP7nNlS/w8+U1dV9A/a+wVEKM05eMT+v00ifIwpTtmyYux9w7giNzoSd4gp1tr3FjOR3YGKtng
cU3Ez5B0FrGEsSgsWJmZW5nTfV3L8Ph6hB7jiPDKV6sfeQJZX6pLna6VyTgGome9x2M7N++E6oOA
Zg4RCpnfdu1G8Gn/mvcsEW0GRUsa5Myl9CQasdVpihK5dJu/kUgpNnEX07HThq7Q4Fyh5/7XRsYN
awr36eCV0OGDP6oxCnZZT1wirBAlbqclji6Xk1NAVFx5T8tLGl0uInpfGu80LoV0l3x8TWntGa2n
oh4x8vusn74GLT5edMOFdzQyuSUUweuTcN5PzlOnczxO0apqKtLc+bZY9ztPi8opQlxRaSMpo4C2
jGJMHa0UIUvSN7Iy5z/tM3M8VZFgJ3NigaG6WIMHIZjwfasRkhz1nXeMj4JjAAo5mhvJqXbV6r42
j9fy+c7i/T3CnX3YNaYvQHYB2XD1VGyD8rTyNN4bj/6D7kaPnq29XB/PJb+bcwKdOvP5SKOYggB+
MaCmXIViYMI6GKTGtxur+xlHzY05KYOb+X60U5LAetTLLt5PYgHdZfASF5VaAflMV7eD3M5oHQk3
oSFH8NFIdoGSc0IEswdGAXEoivRnwAL1Y51gtNTn2AX5sxl6E7tJDBxUhNsOqV3yXwxPxc2FdvRN
3Sr9ymViXhCX43r+mIsdPIvrGo1VW7pgH+jLU2RUouP++lhemJtA8vlWVZEMDBqZj9+CMWCBrEXo
xMS6YQd4GpoHmhE3Yfp2Pc7n5UqBna1rKlJXOjKX1fkQ4FssSwbC36DZK5Wx0xOTlnbj9/Uwy/We
mcGVSCZnJXJc/ySYiHG8aaSKx9HylzY5tKbsVIjfRHEDH+Lff9YfYi1eT0UVLQBWVbiT+qtBO0sr
EeZ/o11La60SFyYCKh5LR78AX/iTIgAELSjbHmWY7j+GHRXb/+DlnP99+eMkaMfIAjPH30+0r5St
NgbuwRbYpuvv5tK6hCiJjmdO+cyE5brk630yhdCT3JZulULKt1F0SPt7YDwBhqNVsUHuzCFrl7CH
Bf6fleh/Cx2Lz4mWb/RQMCdRYC0rvnrtZanQFaUrYOM4ipSQFHksnDCB5ETbwXDvJYWw6U1Bu6Uf
9BRI2a6wvPKgIFWp6WbY1Gh07DIoqNgymxsYDeI441a0vTDIGjX0qkHuCDTDZ26PkY+JiNa9wTC8
bQbvBgDLQRY7GjEULJ+0/j2mCzJKhq9U9R+N0XvDN/Z2oGCP4U45womJ7jw56Gw5kLFQGH+FlQIs
rn5A3nEsheEoi/13GYbrJuZmuoko2zrRoHe0kdOCWUjAfJIkDukXx4RQrByxxulzyIXCzfl/7OFZ
flGmAafbTkOphbbkIaenwbG4SoNmqISbPB5uBKt0QNzCLWyqxAlU/4B4HxiSYpX33eSbe4zviqNR
4iuqWcJ3WcSrmbrqbYxRCzYPaQutrNpibnErR8L4gHeovB80KdkNwJBpTqMUO1WVRCeFOEOnxFMj
YQ44IrD8PlS4epoRjodTV2E4lpf3Wmr5d6YUPgcQqeom3Wks2Rv8hmD/VB5uktBvpYB+DWHKmGC1
9RQk/W0/Gfs8B/pkTi/ZVN8g5XetfviZNgadkX316FvZlyxJ38REDOxeSLemXuHNo4EWS8FIqsC9
Nxp4xF1ZGQIdDArS6Ch18kB78OFRDQJq9Miot2XAvUPRuq1WlbApxWiPWX2wEXrVd2Iz3flKeDLM
EqglGAsleB0k+jdl/a2q6JVNPc9Vmkbb4SaDu1qGWVmQvQOyKLejPjgxNMGNqLdvMYhdONA6BnYg
8DcYSmDeoHNNv/61XNoWUJ3DlictTyfhYlsYWt/CjTIp3TIVfvtS9GqMzam2dDpjtGEl1qXVDU0V
3Xx8nPCOF8cxfIcbFVO50pVFWsMLACaFsLb0XDii0OFMdZyjOTr55cm8yJsp1sSJI5jhvzeldhKq
7CHugmyTcho2veFbDCwy1iynN+QfVT8ejRzbY6Nfadu7sA3yOzAEhbMOS32p7RJ7unz9SYJzFP1O
i5cyuK3Dl3/96j6EWCzmErIVKwsJIVvxH7UEXRJ36d0AsIbZIuyuB7v4PDqgXgUNjfYp/Wj5htYG
gFJcAJU7LR0fE1Krse+9Xg8zb6WLpRuZzj9hFlttXJq+4ZVKiVoNcueT4tV0esDHSXBNkn7g3nw9
3IUrjPIh3uIE7ZllIGMmyHQhd1I/+ZgG2KHjmw7WKJscozE734bb/ofn2WsZ5AtfHvPDYDg5x+Bi
tAitVL7cRtzT3KSu72P6t1AHTcZGq1hKgrJZEwldfIH/hFvmUFINvGAScleo5ZcWCwG9B7HdrXx+
F55JF+mi1eW/JcVlRlPNPDhJhV8BbhVvYyOkkZtkDe6+m1z8twJrToAfYi2mijEfyfqQWGo5nYZk
2tOxBRZ5Wlm01h5p8Zo8P/AwGxBoDtCfpIEF2vs94BPpF+rt9bl44QXpUCG46Wgk2T8dnEn8+3qr
szoK1THMjj2ZOz1eE/dcmvA6F0ZR4kNGb7zM5guNIjZtzuMI+/Ir/ZqH2AG+tRds6Sn5g9vKzn8b
X42Hcn/94S4dCT/EnYf57Oqog9wHSELc2hm2cwovPmnOYAMJ2LX7fC3ahV3gQ7TFvbFVRbmQA6LJ
j/EdyQcnP9UIDr5LtoLEob1Zq8hemiTno7qYi5PFWqzNo+pbzzGN2cIgcMfaJ97TfzSMrL+z4Rks
j/nBz4YxkAKOADKBsAm9+6+kIUCEg29D7tqu2btd2K8ZxX+Czf9+FixS0jBXOX1g5mhBX6Wavjof
P0ko5q+Ye72JABoF2KcWZu5dIZ1dBg/EoYsj6PRHTDzLUfUuerCUehfSLXOHyj+y5SYwH6URip9V
xf0BEMgp9yUOqqCZb2jleqhK9U7x9eEG8zx6jxtfx3RCF7oXjGL9XRJq/akMe3bJfJRuSg/VUBhp
K/vXpYlA7UiXTIOW90/XUixJ5MqSjcrNk6OcQnmtBHs+o5aW6V6fCp9fjkZqBKqVRTePqC5LKSnZ
96zWmx4kdLczxnxXiW/XI3wqcSKZJQQlPxVnMQTqi8mW1JOa5BmO6aBY9B2sN1v5MVcyktJWbEoZ
qxPuU171b0Sw/vNsEOkSmtfIsxmHnoGuJ27AbMei3by0O/MQ3/a33Wm9/nVx/M5CLRakKprwWozS
3pX98iXlY40lZW0A5xPYx9MMA3gWY7EMmUocqKbO44zH3ukO2RZSdLFHlboDK/pDef9P3tdZuMUq
lIU4n3sVj4TStrVlR9p3CAqcwukc3S1OYPaGlZCf96yPD7jYHAXSru0M+3MnQNh0Ih50QXqu9fFw
/ck+yTYW82KZeFQmHQur+cnUXX4XhZvikFLjyr81z+136SUkk+emO8MOvqZApjkxbknuiS/Jsb1Z
WxPnV3bllf6dwWczFGZ8DZqfXwI4YFNZj1kwbMSodLzUojfX215/8Muf4D+v9O+2ehYuDUywrQoz
KLsdtvi4bcsdPlg256lDfxD36oqy6JNceznQi08+BhYv4l86z1jAdPSQKjhX/w62od1uGViyn9km
+bJ2FL44jUjU4LxB0vxTvmjI2naAvQsBzPgiljdRfUc7+MpIfl6Zmar/xFhOoSIsFb8Ms96F8Szb
xUP5rSSZshXs1q2+GuMGJdW+OmEY9m9Lb/OQGmReLZr0TOkToieHtj2R62NNyx4V9ZtY//bl59oL
bTWfVqbLpWc0SCDOPRhzEnGxfDYyhhQWzGs2U2kDvzttZ/Iw7mmJsbs+nJfeGCwXal9Up2T2u48L
tSx7rZeXJvMS47JKP8jlnoSB/X8Lsrjgqp7viegTWV2k32pvbkoDR/a1s+LFMdPmVVpiI6UZ6eOT
YC1rjJUv9K5e/fAqbOWh9BkiaPa1YtSFIzAT4Z9If63lzr7lROqCHM1Qj2Ko28JMguS6mbdTa5c5
OGWvfVQXF83zeMt3hLZXTWJvXjSnbWCrx/YOzuup2M+zvjuqDwDgNvJGf012wdwevq1vxP1aNX0e
vuV6ef4jFu+wCJSpkmp+hHj09/FxlrXp7v9CHnVpXT6Ps1i4SGYLmob+k4OxzuNCaLC7m9r2HXNL
Wwz3Gt2Nt8VOXlNHrT3ffMw4e6mtoY6moTJ95F3FpuQdwoPs0jC58r1dnKWUBHQswjDnWx6Mql4U
ZauhaCmb/qOWshjDd8IjY2fWK1sAS+7nVwYnCYsVulrwZVpWTT3fwtevoIE6HkI31gGRiOaNWZVO
3I/72jPdTBPfjRhgaUOO9EQ+bStLYGsi9ZdneXgpyHeJb2Z730OONxpxto29yYQeo+HiLjxHtNpt
2gyb6JngLwjiD71RnWDIoK6XN9rQ3EkeUgGx8apN14aPXhEdvBwDCg76B3LOj5E0bkO1LrZC1yc2
OwfIH3SLWKZNr3D/nNA0jr6X6XaFqXmKfH8nG9GfujYxCezzG6HpAygZ+kunDeWmjYH/66Gt1F8t
CW8Dg//WGbSwNnF0nDAcQshzkKZ2dKz8ZxGB/7PiXZ34T3rRwTZJt3mNuceg3lhy6Wi1f8yMIrM1
vd33QvYKpeUJJvcELjnehFK9NSiIJb6wl4eXxGPNVNRi09WQ3Q3gmX3zBvbiZsRfEV4XgnIL5LqO
R+CI00YZb4bSPyRJehIpZub0iMbUzyVLABQTnOhXdcVIOJgd5EN/gm+lYEjrl9kPrNodFdaMkZ3M
Amsr6Y8J5h5cJ9chtb3RAUZA44fH3CsHpYI9WryNZfbeiS9WRD7M1BvzNevz0sYaHXMfvd4repm9
4G4cHLy6+ibl+UEqBGcyS0ArWXcvYnJ169fmqSMPrkSN22jTPigEnBbC/o5eVS4PUnkCTCLiCynd
YaFtm7UCcR+t4RPggOEImNXfdFl/E+U197lSBuTeNyfFip1uGu5oJ72D4dPdBhpdrr4ZOBr2Rr+b
SpweqixU73w/aw5RoX5LcxyWum6cHO6ZAFP9RqR8J/yRtUoZ7CHx5KNvYNdQl/1jWFeJK2ueeef3
3a0Eq1/w8d+Q85FSDl72uHwOdXmcsGOBVRlslVyWbC1S7FjQgIsrTojDOwXcW18dw2NRZMVWDM3w
4JX5zlQQMKYqfpRh9OaZIhjHZjd7TnDRfcUV5lvfYjk99d4Wi3iqHLX0M1cyG/F/ZtdBcY8OKbVb
rv6gbYwnvw1etGCMbQ2mpKRwEkWFccLB4C4Xat+uq0bdUgO7G0gmYm4pyfTttnhPtZHsJAZI96JX
bnEz36Vt52+A+2y0QHSwX9kps/18ItvxUH+Hz9NsujICjhT4m3KMhP2QMtTFuEv1uMOiBLI/KNr9
4DW4w0R3mhS0mMbkP3AOOsh9e5d48Lp6wzzqgnJjZtqvJhthFzcAZkBfY3EGhU0IdpmCjXGGHRhl
ipmcnTvdiF1a32U0aJrBY9F4442uC+lRlRR+NG7Gu0YbEhhbRg+kS9xidvYMGeegD/mt6tFgGQjQ
MOnO/JJIOfA7v51OBX2wx0AbKjyQ+DyqENMUqFfSbVBAzYz9OrgL1M63R4syEktUJeemQ781Di21
D93efNayrKW5Wn+rW3I8RRKj/Re9bGeQ/rEzPXqfzDCyzSHTKXr6Ej7y1ZOS96+V5Z9Uqfs5asKb
4tEYK/ZKPtNhagqT3lGIOicugmOlad+mUEiRIAg49nT6s5DCzTSx9gQ8VR7CHNYkzarjppl5v42U
YI8U4tOjVlO3GZTYsOMiizadhbpKqRsaYErtpYVHJrTla9NY30fPB8ejzgZmZbZBqUK5CrkyzpK1
aN1Iowl+P+WEX7eBt7XkggKUlDxNYncoqU8Odc1RBQAVhqm5fhhraBOBr2C0gvLDtADZKgLkUUW7
myTpINbDd7wcaT/Wml0TKLZQsnPk0maSumM0KY6UKLuiNN51s6RbeHhvpvSxM4cZLqZ/RQ1xK5rK
SapSfHPEt6zx3Nby/0zeW6zWP9pe/9MxnbfS3NMclyMACoBOmPEEuQk0VKhmWLzTJeOetNKpDxWm
3XMJLEK10q04RTehqbq6yiF8NCHP6t6P2UY06ocDNoSgXmMgyPdlkNs6hi5C2u0tzE4jyLU4qNlG
GldOEOSjg1vOQZdoavXrd2EmMyoVEP3vphbZAGmdQEg2U9VvGW0bs4GNXt3U7C9Y5QD6Km7GID7A
Lbcr2GuAh7fAvpzQU3ZRi/ETbFrs48Hr3EcWO0ySYgTcccX13gvR+Glk7CO6cSwN5LrYxDwkWQlg
VLXFGrZ+ogtOn9fWRm8nN/EEZK/R3uu5vuketmmqfBsX97iRRptqmjCeGJu7rvS/V2p4Z02MEeR+
KZ9uPG7RIUywEKx2XjyMqXyqmnxTpcbWABlAi9K+keuDGA03/dBhWyy6SZhQVb3LfHwGO/6yQevV
oFSHSZiUg2REOymNH+scyZjPkoyFtRj/UGRadtTbYujupVzcmV2sbaoq3Aee4oyzb67/Iw8f6DKM
nbb2n9K8OpVKfJfGAx989IU35HalvtP9YssMdgM2wInEAKZSVXTysBJTxmlfUvWIhY2Pz5IyJE9K
Xx2t0tt7pXcXWgOQYTeoRVsWfnUGjSdxgjoyO2CbEdlD3lI3xOwraB2p05zAqB1Tyk6F1r75Iubl
mOzx/dNKN247DJLgKgSnXPilir+06BH9gFvFqg1vbcePHaBllSQwOnpMTeleo4qQ1uXzhCuE2ABu
S2D9sTDbqn7X90eQ2sciNL8UI3wyK7P16UsuY2BSDXbf4P1U/zKxLyiNOyUWT2nGV2/RXofVhSi0
3yTjJmIHVSLMNiQwXOWwDa1vAQu+7n3pMdEOsYrXioSFFre2LH0VigH8m7QB7fxzmqhZ8jXXiZQ5
1dipjFxjOoFWtg99EL3FffnKQQ/koGVslXj8Fckj99qe81bFmcFXjhkWwkOAYZec+ZhiKF+sDCfK
Jsq/No1nW1Y+2NZk9rvaq9iSU8Hti7dCZfKmY/HOCQUVeqs9d5G57Zr4PpeMbwAySgyavS2qiYJF
uXF7vQA8PHviWl5/SJtg2Haael/4kX4IDPRbaqQ6MvJKJ+Gk00eDW+NxGJTaN5JJ5kYfY8P1DWXa
Eu6+kwBdiL4k7aY+zdF/6aprVq2Mw3qo3EWDpW2UKGGpi6UHtYO72EcNjg6t8jXk5zuSCERu6Mtq
WyqViiNTJWwG2cD4MO8cxQj5mta63C8Uc+ik4/fPHsLmZwHmWOZe0is1qsZb2Z7AUuCjnVJV31Sv
M+Uof6gYAbuie4CWxOt380uZIpNbAp1DkkToJXvIzwz2hmhqSTaKtvo1/kavhO+EgHJQ2UF4ZZve
ZPZaMuXSI/OwZB1QSKEv+5R44CjSZQGA8eig0XITHo3X9ITQ7K7eYkZjq68oMsZ9slvL+124gH2I
u7jHAp7LyqYlblh5p3Jon+CFUpOoOIILY7SWK7iQXjGpJ2kI7DUa4pdJiSaJGrBOZuv2fh1urNZ6
76oqshtNell5jfPvXtzPzyMtkxLpKONUikyWhJ9+7HeM5SY+lIfKHmnIWHt7s6XH1WjLlMQEwLvS
iSYemwOGWA7HQghdxivMwdg2TrLbv8zyd3NfnLJjuGW/+LXywBdutx8eePEix3wy1djgJ8yp5PzY
7eNbYQf+fHXGXP5C/nmJn8onIbUoE2s0V7uf6Vy9ugm2fJb33sa3sW3dsrFu1/pS53TDtde5SEeM
eqNpJI1JeXBxaFtnYKW8PoAXP4Szp1rkGEPTV0Mf92FXUP33Ok93KLdwho0CjkjC1+uxlLVg87+f
ZVciZLtVMHNUjGfZBnDmcs3cy4h0j83epwIgOOo2PbGl2vnOYukB1un0ew/RBiSHvflUPNK6sVNv
5oXocVUacPkr5YQmYhpNbmYxFEYzTh0HZwZbeiuK3eRz1vpzfQQ+tf2RPWa6/hNjMQKtkodaOhCj
dgAt2fkxcPFu3OY7vDbtfovN3Jf+tXxdiTpny5bTCG0/BTiD1eeTimoai87wtGxuKTJ+Ji9YIO19
kpVgJAYHz8D/Rf7u0sTVNAnpMIXTzyys3PKGooxoEI8Oc6GxK7aAnDBh29ITQ25+2AXH0vuXTenz
2J7HXCwFcY7hgFgSE1cRF3uLIs721wfy0gw5j7DISjYKri9Dl3cu2QFIgVg3k4eFmHY9ysVJch5m
8dWDP8oN2SNMz+JZbuvAzg6q4x/VX0nAprFJ5U19wIzMtrZr2uhLJdsPg7j4CDATDytTYxBLzsy3
1s2cXC6SrbVL9uJ+Lae9Np6Lr+H/0XYdS3Lj2vKLGAF6cktbpq28tGFIGg299/z6l6geqdhoqlBq
3Te7iY7QKYDH4ZhMA9y1ZdnjoFF9L/eCHSoBUlTOxg1PFWmpeeV0yi4oF9CmAatAxiMZNYoQ/F6c
L0YDHWtgqqoYGFMUiQbksucyikSVs2mosY91KPbyzXIU7+i+nniL/UCOrO07+yWK3cDOyAJW3KrF
Xmsu3CgzXCXKNUTl7u9uX9tZDhPbR5ReKxAoPS09NighfRHgopYDCKLftG9jD4kZ72hb7VEo31km
Y8FGBaLNEtvJXnQzOODBJBjeCxz5dkEXOJkBFcRTQK5ExqKlulfnbGjo1r7sFR4GvE3VoTjXjfsU
fJ5AsHlr9JvJxPqkjImjawrE/QBKOdrEnm5UD5x9NByCN9Dt39VAQEQxhr/lTi/wgp6ajHWPmqi1
rQixNPxM/6D8ujO/0jiLBxJA/Z3LZsFTIca8CQglYzGEqqbBQ4/yf2C8+TsBrGkvajyDwA8CYuBO
Vw+G+PWygN+4w7NGMjMYZVuBerLBhU2YSlDam26kZN0guClHFPrf9CEe5+C5iMdPkcADlOQKZ7zK
TDALRCIIHzIg3/b+sJv/oSG79q6wBHqS36sG+qHPXZhcoZ9Z9LhLioCyOKLVpn7kAXiSTmA0du6Y
e9maPNBf7rh2f9l96uzUeg3CWjQ+YIWtG/g5oB7EfE8PWiD7mwJOEH+xYP2UJ/z8pjphvMwIDDtw
TEEtFYBAdffAZY1d0y3xMDt87W6NkOvXeFfLOJkAxXRMByPMdWZmNwNSXxkTtfBvwCpZwGAnZK3L
0Vv6T176mox/6cu+mjF5TTO+DsUEjHoNd5GHjRJfdoPhLv5LW8cs43P1MeuhniUJAvHSt+o2t6fa
+8szMe5krNQyGluIkLH9skeVp7HFneEYoIbaY0m4ugLVhRMfMNz9/FiCGSQBdmJ+RiR9WEUk0v19
RMKO8HOJ7TBqaE7glOHdcCN7lTftUkzrGCjUoqcf8jO+y14aRdrnAtMiBGc4zY8o0tKS27mbZY8p
BhkoWBkooIB2vzN5hJLbAVBDnAOJJ7pl7GyLtohzLqQ0jfFACI5t+fw2QQv4aUzfCfCRI7wMfX7+
tDW3QQFBfklm1CgUY+yUzCfz7/Yo1VPwSu2Erl19ueJ66T/3whJX4hgNSmPUSYkOca2Lr9lb4JYw
K6cybgV1L+50t3NFV0YjV8EwbuTy5jU2P+5KOqNNGmmbtKbXPIeirYk/poS3tfwC2/bkTlciGP1Z
BKgs2hRPgQNODXRVtj59KLMPM8htUgvvFmd0iCNPWM6yR/I9rQ+T5AXoiXBSY85h2eJX1AI4NUjx
SxIBTf0FBZo84WAhbGbf58OeNpxXj4l8mUapTRCpKMtgNv87d6MrFrN/2dWdtP+C0shMiApA5D2C
UZyGKGBafZdQJhHvlNgXpB0ady72D93oB/bpjqmT2ZqrojV0S97on6Ujb1JlO1quTswEL0yPTJme
d4OngTZ5AUoRkROrr98bAn5DMFrKiNcbmguakyMRWtryc18FX8eg5uR6vJtnItqg12NgStBkUf1W
Yec0RZKuDby1ms2C9Mo7yEwcS/WlbLFGCYPxexjs+Ga5p08RgC4k8MTSOwoEl8y7KxKwrUomVkUw
P6+CZBdT9M/9sILBWyDGAwZuGsm7HDlen99mhnTfB6AYF/SjGhsHtQfDpcwJrNRAXyjbSjBzs0sv
lGogQ3BpAM4jw6CHGFtL6Ur6lzn6mo3xscGgwmUN3/SKK5nMNYu6tqQNxhWAU0j2RakeuuYbSYC3
ZXIrGpupEEYaMbUJxGiUZZ7fK/htlwTt1qeHLDAbj6lP9sJttCMW8IJszA5cPtp2+eYskB1NTeQO
I7457nNGVRyDm2+Hd6j0oaDZueA3Cyxg3gI3aODCOVCn8OI7ruQyL/YmzMGHSTEM8bgrLawjw/Em
XynSLsh9ua2bTWcLmjoF6x4EU5WMusaRWqnTAL+gBx0GwYxjWjcck99UkpUIRjHVxJAKELoDjzNq
bpVgN833ZhMBx6vg7Gpt5wQrSYw6qqMUkU7FJ0MvF3ONKEUb7+L3lWvSVkJtyXuOimx/qvPl0ZOv
wsioFljWo9iIYCIIfKx2ozg6PkyHye2QxfKSgO1ka3U8JgcB06SapCGsrXHG0wtLPlaSG/shxkXf
qX53Fx2k6YZ7ys13z0osk3wIWLXL5gpiO6f+MHyqc2vG21L38tCWDeQFJvLasroXXVpP4hUfNl/P
GjaQAEINWAlQxzy/46ERChTzpxMg436GpBS4Xa1Dyzq1dsvr1GyFp7U0+sXXXxRDFYXZQlpYBxm6
+zdhnr3NB8nlaM5WlFjLYcxunILWqMcZ7yw8XgsvcTAO4Ee7K0r4W4/ytSTG+nJgqJSLAgA/YVfs
x7vwYNz0TmWhpsl9PG4+s9ayGPsT5wIYwBVOFd2MLmjxhvvES0RbcUBS7cbJZz6CFlckY4LgdBzj
pMMHo6vCCp51MdBT8BAo7sAJh3fWzBst3nKY6zMyRpjqgi6PLe5zqUTLDAAMJnB1fiuUr2UwFoeZ
PFHqJByKMlsEGJlVQTOJadPZA3+xCQq+BS8OzC+4U/oPwbS4Pu91EEhwgwP3dpmgK+baWJAGP2Ty
Aj/5lB+Go+p2uyfzywFOwcmYNz346uRsWZxMQZnlHTRIu50wjS/vAIIBy8BU2FF43Zt5LY3xLRgB
hRmWOF6yj3dDZM2KFTyQh/J7cNO5yCx21fiO97rhOTSTcTFL3E1CZuKIL5oMfIPkKBK7mDq12K85
YRJTONTyX9qrFICHfVfs8r3kpJ6+Fx6wMvgPulA+N1xtRcf17TKeBwOyapdgfuykxVqJqf/ACbBn
V+/pHA+/Kr6VIa7lMd4n08DVOlPY3A5MrQLqERUaAbVjgL62O4VkfiWe4wxMxvsYIAUCxy4SgLCf
7BrQM+LEQazgSWDcjd5KpaJl0BYzUCRHqcBsTeI+5GVOvLtjPE5XpHouYFzQw/4CcAGCD3qHigrd
L2sW+JnUiQ5cL8eJTCbjXMaqECehhicFh7BySI8UkBM9St2f91e8y7ay0LN2vCiMawvoa4entHp2
RdCxBU2zD4bcTrH8QpzMxfNfAE2tIPybI6nneratLGotn/E1WtaJGhFww6o1IHkC5JOF9Qs4ctyx
bC+pdQA6l5o6tWEV0+6K4HxZk17Uy0sxjhoTMPhI4+iiE7B2xlsyfNYc2jiSsBcCMBYM7nE8+mYN
ZH1uJtORikwzhxpiW1c5GI+j29udbGeR0+zLQ2mbLkiIDxNULsOIWmcp98VOAQdg6Y3f/lLjQHzz
PLvDGjiwvGYYE+2bmV4CsEGf6niySw5FuOPkeNs2BSQTFTuUFHfrubSoauqxniAt24e7ON4tGIy7
RSHgpjqAuxX8VNVk9xyh2x/5l0yWAHAcmqRdAtiUXIzWPH+s89riHGs7RT6LYBVZKoQoFXAsqsgo
FFr5I8HoFLoSGAoG0RyW16pbceSJ5dwmSwAIfuAm0FOcrIH60lbIqDrYy7DyPXiqJJs/FvebXOR8
UEZzkzIH331Bfh40srN7ij8zY1UuvefZCe9WGdUsgFDVA5ES1Ybcl/MEOH3vS0wvXf522z7ofCIm
QlaKoEljIyL1mFQXGKoYHlIGSyqCO8w2HnRpeCS1yQlgNECx5QzsrP20ApUJkXU9LcWIVQxPaOeb
QtexpPNJzL8rxmh36Y/L5/tNvnoWxkTLFltsckcgjOqmAiVZGl/A+Kvpl86U+iEXwZdnb/TG1+/F
iehZMeCzmaZPsJdUyjxEic061PoCGTcimROw3WhKTGcM4p2uLpi4oxuUlIcmfsh2JSZuEE342c1v
UlVAfIKZVpQADvb8dJMmh1Ut4zppi1WpvGFXYdfcUbzcy+YDN2HcTgjO4pjLDEJJyoGqC3ESIP7A
Pk/6wUqDx7n51LWYmZ7sBt2AKkscKS/sV6nOWThzzUNMmqyk3hptyQnPLgEzTCArQVsSq7qeACwX
Pkb4ttH/kikxzXpRm6MGaNOU4uqD9n6m3/eYgSBhfFDCD1i/s+b9FRWBbU96lso4cLWdBRKfvADQ
BCT7eTMUCwivreGcJTJPHlkxgqxtqJWgBiHfxIf5IQc6DgjguHNVv/HaZ1mM15ZGOWsxIk91Nt6F
8QEkmjYoF4GNUgKZ0GkGl6M42y7gLJDx3EoO7rckhUD6Rg4Tu/Vz9FvvsDFlL25o4mWV4f85DSzu
MRlXHvdJP5fIaDGzrXpL/fyYhS8mvGPydJXx4305JUo04Zj0rdyrjvHeADdLn91Nu+WudxY3Mh/m
3ZA4nOvlaSvjgxbA2edZD7l0mGxxpuaeDliFN/SL5vn9FVbJk8i4IdKGaYHtip8SE8E/S2x1nz8/
yfOz7GJBGIZmLoNXx5MQtQ5P05ptfZrWvOJ82y+hXwrL9ldRf6g0rYC0/qAcMLBGW2MUigCtsWA/
PdLnyHUXy1EhtutaGxHm3yMIBowgLUgIFpgLsZCJ1FF7m2HxwA+O/JcfTyrjfBJlKSWDKu44YtdZ
PwjYxxNrwtNTjhtg+35l3psACkT8mBq3BxYMFmFG2hEAZRG2lNMDWuVXHI4nlf59lX8Y6ZgpJJHw
LZfbAW92IeJhd27nb2dtode7khBHghgWOa5PiyKrwCab2E5Wm9wMESatSvXNZXPnnYfxMqOiAmm2
o16muS1H1R4TLkUG/d4vE9LzgRiHIvSSPBjUc9JgNN5h8tZe7q4ORxxnIjPORABYojR30HnMmGPx
w8ldEIHQDnSPzSgJkDf8YViefTOZDCBjUyOmFf/GCXxsHpMv0mG8iw8gdyWeYgHf1gGqiPLnnIJ0
hESTft2swqQzjRyIY0cfnzT0PotJAyoOV4Rezqdk2eV6NZmDVoC20PxU1Nwayf6ouMATxGRFAhC6
/WXt5DlqhfEl4Fof2kHFCV9Ru+VkwwqTyCwBaAkX+pb5f5DFuJGW1JncYqPcazH4TnUFKEVI0LRr
6lAci1AYh4JaEFaksW7ule7iFbmne1ge2ndumXsAbYCecEcHeDfJOJWKPuSVYesm+ekn73SMd5nm
aeqwm/n01ehNWuLdzY1oj/dXlPR4B2OciyYkymQE+Gx/riIcx8wWs7RQbRODhoEQC82GHlqm8nDZ
uDgS2NKVPmSNGhW4uUlosC/zsRGJd1nCaWTjgutXmZcPKQjplhoilBNuYnYf+6c+yP3fPmXZalUs
BlpRUyX/8y/Dc0osuHYrG1MLdp8NWXz15n0kxlEAUb0WVcDon87V9a7kG4fWDxLHcAC+AISOwxXp
McfNq4zHCAHhhn45hApH5QAW6uW4AP/Z1n3JESLso3LrxBwjZmtWTZCIYkcrf69eYOFYssq4jRIg
IkEXvuobchI6lXEahSG23VLCG6bp2zHYacojmYiXL3dN0XJqf1zVZFKRDLlIQmb65f58+GDzCsG8
g+EwjN6BkvF5oloNAFUbY5jc/6rIsJLFRJRpaJdZCpB2Y5PCK5wJ795HUEV41aGyM1uOOK5x+x5X
8hj10A1djA0BZ0Or7Oc6338PxCvsjXeTjIakYIjKAjDuvOImN3PV1cEYBYmkgJAolQcvBwVFTdJd
KD6MieBEXedwnP+mFzmLYkcL6lwlSYsBSYCcuN3NcB8e4ulQYzSldJbe4Q9PUH17EWxW8phgU2rg
axxzeovCFyP02sKrlM9/eSYmHy1EPGb0EWeiDS3FjbF6PQJAMMJga+jwYGW3a06rEzEZ6WSoAUVJ
B4PcjwV6L+7w2DQcWh7Vf1xRfd70witxTKzptFA0O5V+sNMa4fM65VVLGzwVYVyIFEWGXkX4ZMTX
fENwZWx0F0d0mHKvw4XyElOO8rPTA23ZAyF6wn0uM6CyE1tp3yeRFw0N59myGbRXF8l4j9Fskgxs
eZjxNA9q21jt+OmyHvJUnXEYpdHGsVJDgCl/j8raqlPi6rViXZbC84LswEAE0hyxMSDmfx5NDHaP
rsiXUmsrZcvjXlGSu+xxAbf7PHbFTRQnrY44+YrYddmsAOj9XFYfkpEown9mBXgaaVVQNcFozW1z
0K//e0cIUKHnAsPciGPgqYAEUjdt4B+16WAH5k0OFD/t7RI0nKTjsjIabJNfCJIawMUQF+oeJizt
YnLNvrU5ukhrGZcOxbiKqJixOmJCCtXF+LgcjRv5EByvSEZ5usHkGiVZACMYQxNf8ZS47ADBf/z8
U8WRqQOyErpB4wk6YPLOBLqEObuKl7iCo/G2jrZfZL9ck8GuyWFlcqyNDIebxcOQA3B0eVuBHrAO
73OM5giBdKdHKZCLdpc/32YOvBLLpB1lNxmCjlVZD5MrTlq1MxrF3a1YFp+KPqowbzmUHIW57OvR
gHp+s1UGTJ9Cw82GCXA0gM2CVqc1UvB3wAdePhzHAE5udFWxJXKYVUsB1ZyGo1H/ULsPSfTxsghO
KmCc/r6SESmgUeplyKjnfe+aFpp6yD0GaS8f5j3fhfCOxLiQMm+aqVIgrm/eZw1OdciMD5ePxBPB
ZBt9oeiKUVBNnD9P8m2dvW8T7uwM/Z0XvMZpwn91bYiLo2gU0IJ5cOjua2sPNTr5rTMU/hN5A+8t
ezn2G6fpgpVEQSrFZKbKkGEPqgS2ulBzNHt76OJsTOyUwCJmEcU2/X3n/K+fKEBZe25O41DqkZ7h
Il8RMDlOUWSchRrhDgsNzoI6ReMrRVtoP1OSnMw1E37xgePv2aGAWSZGZLQQ9xrols29QO388VhG
tDgYNFwmPl4C0GZsyolWUdzSnvn0SDus6HfyrZmjkyc8spVOakbaApgX2c7Y3eTxv3WUcTwgTyUl
xl8ASEwuavqCfW0Bh3ckxnvUDYlGxYDAQngcltsGcK2X3RNPAJNvjKYa1xXViib+CgxPqwq59Nkc
PT+RAq0+S1hlUhSYsCkEqZ2+Cw81QFRoF1rbVTY2KXTDuXwmTkJvSEy6kXXZqJj09f+yrMHXOq40
xmcUYaYYfQJpdIKhAVeIbxQWHX7t/EB75XjzyrIYtxEai54ttDh/fq1cCybE03e2pQ9s3sUEJRHt
qcxY/9eQYXwEvPVNvgcrafjxipEejj6yvfxGwURaTfVROGp+QUftEkCgdQAptgsLbKKATOKFMk7S
xm5TCyPQeLMeoUwmPxYzBxZvaJWAfM6BL5ymLkc3eQdkXEg0L3mUUCfVeL0b5bhT+PrEHuzBVQG1
FmEP1Of2Fzn5gUx/1MoE5y6ZBzGCihbfaXqQfU/RtR3sXHIgEwiMr4JsWbl/dk+6GDKdjCU+458/
LngXyrxjBvCjaAXV0bD9IcWgoJ05LpKXlMqMOxEGTCXrNNc5ObBgn3kU2jFMbujAYoKdBueyjnAe
tmxvf47AbjHP+FqqBHYS8zGrOts0jlmANEvxsFF/WRwnQ5UZh9KUowD4dhxPHI7D+FAmN9PiXxbB
cyRsC1+YqiWfaSXntYGT55XZHr6gJVgEaSDxz90kRwPZ7n20KKIa0cOFNfD1MdKppbwMf/MbKUQH
0TX43A0WQU5Ks1yWRaRTWiwBPRxgZ0TbZ1HKUYXNk5zFsLXsstey0qhUqEIcucrwSQqEVxnTSgRT
kpKz2ejUACKCpSXWVAmAWDH1L61q7gMjJbuxVUdnSbQ3sTmLXlwb7/UB6zPpzL1T3mFp3rJyij0e
WKra4k5V/VtufMhHDrfKdg68Oirj6nPdnOWGCqDLuEpoqx+nI9yuCrBmwORZEkgS9jzfsRnMVjLp
oVeHymci6HkOmSkpXX0SJksvK81Wlgg0CWA/UYqFh2jA0U0WNS6Jy34ElQ16LRit1tsGU2mgoIh4
bpj68Rdv3NXJGD8fN5MI3nYqRgrfZLO+a/S5cLKhqtxFjf657LB418i4fFHWtQYYHLC3fvQqYXAM
JXdm5aGvWoeEgnNZ2ulZyZ5NJxq6HCo4TADw/fyr0QXndBzx1WY0CICu9k4QHAo5WMkolQn293YG
YCRqZRjl5qJsbpnBWjZjBkmyDNVAow1qp5Jxm4wDz+S3so+1BMYOqgX7SqdinFwNIFeJXb15rKV/
9fnfroU3i5LD1PxbLnuifDCG2o6xeHD5frc0dP0DGKNogyrSBYzqgDPnMCs9ID5/FK+hfzTWQuiP
WFmeKJempAwQoitvqn0P5j4QtcxYOqv3WIjh78FuZQlreYw9qLm5dHMBRwrT2zXlhyIApG1tSQT4
zORRkjrOJfL0hDGJfkniPkshT61AHNZiV1vmmfip5HHJDpinVITOSNK1NDiEnR2MzV2XAFPfoDzW
QSFaqqGElm40PiVDt0tQlvpmPYI+QZuw9JMu9liI38HN17mmnnwUsgCMViiMWVqODcTLKrWZFK6v
n8maOnERsiTE5/5ZqH/CdAWLlS/wizfUCC9cDBuY5VqIuoo2V6iDCI/xAeuVhxET1Vdl7xyDNVl3
1CjB1NKzjbrd0YVKgFk5kddZquJJXnO4Yrh0qzq1uk52ex1cTvoQDfjy5BDv2hHFy8GOFltyyC79
qPO2cjZRydbiGJcUTaJhKlRc42DQor6PKI+M9JCnudPMYOeLfPSviv8QVwUjv+nCd2Q07MI4Yg3R
5sGDbNqWKKE4hQkT7EQxtqUN0ZyT0ETZUf+nTIFrISk+R1+3RWiypikGMU12jIUErQZUS4TPuvqv
IJdPKMgJ9nxPJ/P1+AoA580kHOf5JZTxUSVmdJJ6pkL/R3DRa2HMJea9IuQgDUR/ogLkkBxbCjC5
TC7O5Kamrs7E+Ciix+2kxfhWf/603c4LVrIYJ1OVBPg4vY6XxTDvlizDedRdMupvJP0+GBJ7UYWv
plDvg2IGwV63A4OHE3YLehnNHkOcFilSGyw2NoI6pxtKL/OFQzr/MtYhab1elmgt47KTL0ulWZHu
t2Jt5Q1omHT3su5uZX6rD8u6ozpRMEgsQpYh+lkaOalB7vtIcBaicsDANxOF1amYXGgB6WCA1wi+
rdaCAz2+CwnG60XCexlwdIjFz8DtqctIv+vLAiU/weNZoUldwyoz0ZYRyA7ktdI2g8fqDpk8qA6i
eU5q2Hw6Y1uFuFhdSw9w5w1wWIkTZ1csPPKUkXEzQR81IGmGSNW8r7PqkMn7Tsq9RfqglJ8u6yJP
Qxgn0+R533Qh1ZDOG8jimFXsJjUPNoOnH4yPyfVMbEx6h/8v+sF4mbkpB0AeQ9qLphc/kbl0MpHg
v+e6GOZNjZnD13lPniz695XeV1OxmF1ivMpTb81t/PRR9FyM5wC8F3h9EpzrZzp49dzGJfuikpjU
ZRLTCFO9kPTq8TXePTL+g6TR3ABa6DX6cSlLoYdjnEe5xG1RqTCvNNrnIcBiI8m5bMAXvSEVwTiL
wZS6pgV2yMv4zR9r590c4y2SNCd1MFBv8cfED9xzMT4jVKew1E6eiZXFteJLTpBeIeMwCGmUVG7g
MMTJM8k/unioK46f3awYrwyKHWyp5zGfIvJLzds/J3vY/FiSLMmGIoEImW1ZK2HaSXEvwOkCBhH4
h25YW9Wxw4xS489cuK7NpGYljXEYRK4VQVJOzkk5iNFR+jJ5CCdebQeOFgM8Z3by6OGKduXmU3Il
mPEfEkgRnt4aSb2ngIvyDdbb7Ly/csRmO4ddyWO8xwDk/ilScdBTLAs+iOB5hFiCxwfYusvH73Qe
4PXw7PpKNONN1D4gZTJAh5TbWDsah3wHvsq9isF6YCDUdPiWh5NDjexFWrySyDiXolSwBkyAT15X
wQ3KXvdyDQzkSbRBMnOvxt1u4MHzbtv9SiTjY0aMWnRpCJEvfAzX7reLHitZjI+RRTLWqghZ7b99
ZnX72g9A2dQ3DpQVG3a8NuKmn1mJY/yMEJSakbewyIZyh2tfFvGdofmviQdnIWyPO5hiLU1pPHhV
rsWxPra/XSeFXEY9pMH6zgNu11sfx6mxze0+1Qc1qCHvhXbwo91mDrS6ScazDMosTUSApU/J+6LC
FFo7Wk1SOuriG0ZjjcI7YmZ3Oa9/ybMAtrtNsqII0xJa+fIL/r3/ZFvbOskwWJRB2s9M708KfxwL
OFHmrVJY8FpXWaxDmKks3mISTxIqt4lVj2MEPLVknEhTF0QkOSytxS656NR+k93GGEkQXbJTSmfk
kpluZrErXWE8SV5oJcZjcbAeYDGLc1rCeILfADzPVevrPImMM5HbqGywfwTtvG/dqgbIsNdjr7t2
ygzUnp54y69q0lu7EA3YrnfVFoVYNBBJyvBjMuWHsSRv02lOrFoJ3VIRX5Xbnm+VbXqnLaBHOwkC
X1rCFXUFTgrD9r1DOfvPl/1E/ssMCyx+Vi+Bw4+ADxYra1brapzqyeYbYXVIxs3E/ViD+AhuJohb
qw89Y+G1Ora/m6bpigI+VsJ22ysVveeGxp2RxG4bmF5rVJJVZsMOuK6ptdQJb0Bi084V2VAVCUmv
ySK1CPksm4qJD5cmt9l4A16VYXi8bOObqclZBBvnTL3qVa2OR08qjmn2jcL9ivNDl4wWnpSumXE7
/ZuhZyWQ/n3lu4CZHi5pGo6vCD0nxX5haStZTDZdp+E01QZkIRg0bqcCskSu1TdkVCdL7TUrnYa9
apCbTsvvki57r4ql4mSTFNyFkY40H+z2bjRJ91U+oXXdzZYO4jArb/V/krK7k/TyjTiiM4kGeiYs
jyRICkuXRq8D2zrAKfZG178140FywrnC7pqWZZYoJqXV1RJEg/k+NW1iFpktyKFX6OOXoVBHbxHU
D5e/8aZprK6BMQ21iAcNvmb02vyY6G+WhEfMsB1rVxKYbF7PJ72cF0h4TUWfK41J4ENxakTc8auy
l834sDoZk7pj1tyAXUOW9oVOOsYH9U3p64D8DixjFz3yZvI4Fs8OlSUxWmxTH0Fju/eGcQyQ4S48
r7L9iF6diYmy5tR3hRHia726VrSZSKwkMlFWXLKwik3cohpZmk9cLHNWeOfRZU4Ms12xzcnxMmyM
bRbo41zgHl+R4PJkMR4NVixJYYvrlOLp0YiJlUm1M7fJp0YIsG+Rqp9nPXokoLgPFunQocrE6bpw
7JuNuGVOzEVP4cPjJrPV4FPWcGIrRytZcJhMlsZBavD5jPKbnIp2qwI+N+bO0W8G2LOWKIwXaSYl
X/IMF/lz3iX7NHmzqwHk7hc0IiDursjeeZ+Q8SgLFn+VYYRkZEjKgRYhBHTIsK19DYEtz38pjE/p
MTVqxjGkvVBO7tuc9+WYDH4cTK1JRahGHt6aSmM1yz7VJutyfOEeiHEoVQMN1DXox3mq8j/Wh1c+
J1dKwrqSljR9ZECW5FPaR+AB+qZPu+88V7xd1jhLYiFigixUurrBZ6KbOBnxALXodwfKRD1MLv9Z
wLFiFi5GGzGTkvUQJ033oEbDciKxL38nngQmHUpbZaxK6vcNTHPpamCHqeBdFsG9NCbXmDDF0Ico
d50uDXBgmUMJSJ/YYk2Fq9881VMZn7GIZQkSB5zpVW8bTjagMn5iqjLDTBNIi26I/et92h1osfI6
ZsftyKmDiF1SVDSLGANWinGW2wkGTPE+MfhHAVtPKLGL2xwafxh2nA+47QrPAhlblg1jDgMVAl84
J74tbzv8syzGlklZdfI8IUo/d/iys3L4GJy+4pF6+ZQy23DsBpIoAHQbX3qs16roz1PK7Lp9no9C
J1VbN8qXdVldZLbhOAJzJCDKSV2etgeNvflVs0wfW0elE7h/pSwy23UsojKIl/bX0c5Qu69O6c7X
yFh6n4JRUMrTVynmtp2fZTF2LoYiegQlZKEtQUF31Nil0wqtE/VvgFfq8Bfvt33zWSKTE6hDUBlz
BYlVVuGZWR0Kc3m8/LUuW5vMrttLOtbtchEiYuFOrXyV/JMb/mIoQOj4flkS/bEv393nwzA+pM0n
TGkasGu57G9HEQx9UeLmFTnIfX+8LOo3Aecsi/EhSay0cz9ABeXq0TiI7+hIYmyH01vJm4D4zFV5
jmqwHcgpHJpREeA5KKCgJrg/AQXz3Auvm7vk2PQpBK4qJouej8Es44TEN3wT+IWd1XsE0tIrcIQ4
eni67pUwWRy0JqOOsQneLzLqJS2vAkQ/yAXlOL1OVxKMsZ1So8NxEhBVFAhnvddeATzO0cHTGsZK
DPobcVxST6gbYOXqy9RRwLGmJZkfk+HbZSXczrJ/6SC7aB92QivKAWQFkyvljZWRWyIl1mUhv0l1
zlIYFzEMkxiq0bOY9d+KJz+ObDZtlLMsJu2I5mGUux4nolmAekOZZOXDq1ncQKv8X4Ijs7v1QtDX
Uk4lmcR5WgmXps+Ad7AbF7uy45vO55Ff8FSc8Rh9LSrRkECinNaOpoOCCKV3zrfieAl2rb5vqkQM
G8iY7mn8kJ3EiZzvwGamzJr8SfDNI2FIWNIkcE5oGhOvgjjQBEWDuDGOrVrIrUrIXhXrVzIY9Uv6
ahHFMtuIv3z127y+lSxG/dpRE8oI+9pP9AgyYEzONYDFvWpacNOGVUU83aBEWERtNClNPYar9dK6
tyLlE8aEQfRnv0YvVlLoh1x5pVHMp7qrCxS+bmmDS9RPcEhPD4irYNB5x2I0I1bTsso1BH2luanL
b3VyE+mc6tC28p1vjlGMuAhSs5/xsRTtTi4/hCqPBNF4KUEjkiiClpPOFRGNkTCWSjMRBUv0vRnK
t6Egf5M19UNmhDIcOjmGRkFprPQbVVi+TIvm6Et1BCyNL2Syhx2JXdFOIOAKDqYYH4mAYv4sSW+W
MENhbnDrJHFHdfmi6eVbVcI86pL5UQzMWXkJZ0swc7xaC8Nvm7K2x6r63oMGMc1lyZk7I/PGVlCs
xNAOuZneSroBDvE2dipsz9rlBN5ZcVYMuy3Nu7wePyp1elvohasq8WSJUARnqPrO1casxH4T4A/6
6EaMhM6JMU9ukbb1RbH+IhVY6VhC8DiH0f2opd+VWP++zBVxxLQSrFwSSlsau+PcyJqna5Ejad2h
TVrRbfJssfH4KO06HkJXVqLvSRYpfgBBbmMS4G7UfYlfUoEtbyqE3ShlPzp0gnJxtoqq4igK/UzP
Iz8+owIHZRiaoso6Y9VBmvSloNbwUrlsmcmuy+7odHhtvmKdHpJUIB8bOpiGJXZzQpbycTGkGfm7
aFX73E08TbZC/wGz7+AGTQvryJvc2lRRTTVNAtJYGfh2zw07wZajGZmQuETYLMrimzlL/cvOY0uE
CbxzTZVF3ZTZ8fBgFM3RbNHhlAm+Tn7su4fLAl76Cg07IMQ0QMBDTI19qNapbA6xgqmQUPocEn/o
KmfEqsDfCaHZ7soDziE8hUEHv4Y+9htxsdsxcYsodi+L2bys1VmY79FKutarOsSoy1ul6GHxC+cg
VFtZbV7fFv0Fq4PUdaG3cYrbGpBXzuO3cABbkA6CvS60py7l1GV452H8+Bw32qw0kJYV0r6QyF0W
hfvLV7bRF6LfXwHzkigruqkxiVE1BcOiNXi2BT/ofpfsULaC1G7AfuYAApkLsbGtb7/k6TQJXd1g
WuR6mMqopsX5Ypf5d5QmnY43CccTQitBKyHREBphGeJQujh8boV4H0xCacULb5WKvmlfqsP5MIxe
x2G+1KGOwywGwHKkSv7QdeExK7U3qSodlC4g2ICOea/fLZe6+mQsoTqSiYVEGk5XZg4lOUkGW7Fr
kJ+mtvDFNB3Kf5qp17RM6HmY8yIYixKAXgxJAZv783vthMqUCvpQjPbaoTll7JSESCutzIWq8HRz
46DPxDEpQJr3y1guEDcfzO/QTB/rrfqdCS4XC/7Wk0DYO0y+KFgl74o3LO+ZZCZqyWUmF+2C9Kbx
wCvRg3q994dd0ljGW8otOx5rjsTNo4qGohngctTUF5QFpdAZSkZLQfVjMmlWNyaWFi+W1P172eA3
T6YgktDpEtFgYcCVSOpGfMfRg2t5TI3moz4IfymCqQSFgWQ2YYCQr4sPffG57v88ZIlERVQkGpbv
TY2xbqMYJKVc2tELtcoaomMkgfYEBJGXL+r0gH+h7CsxjHGXcavXowoxnUNs1SveDfvRTzEL17jN
12w3vec7x82PsxLJBLA6jMvBDDs0a4S3y7zYRAgczqnoP/HiVJr8f6R9WW/dOtbsLxIgURQlvWrY
k709O3byImTUPM/69V/RuX2iTeuap9PAaQToAKlNanFxcQ1VGh6MmmboYntRppI5sNoRUdJt+sAZ
h+yHwZ13yh50x5C4lBEQbyQwmKbiU6mcz4Co4it1saMizGO8UpPjXLvUL/cduW2hTDPdKJAcl0Sb
G47/Ak3wGGbUxck0A42GxeiSDG3lJgXb5jxL9nHzvNomtZlOERCIcw+BbiZVrvCXo2a4i94fmKWE
fmGYu7wrZPyH/A4Wv5mmUp1ZqAUZpugcRlBCxKOGAxWNUGS0lsjNzehIyAC9nar/DGm4Z1Nvvo5T
IdOAe58SgpXoKEHhyxEcOsEPtmWrpYYBazFuUYnapefgUB/Z1d+oXAIIxS4b88g6g2e6vFmI1bEg
nFW89vDi08fcJ8lOYvlbtoE1WBbEAJkB27+EaHs1hAjCwm8TFRfm+Gwe+NxB56s789QfE9xg+YsE
c+tArzH5368CEVNNdCXEgOeO3iu3xi7zSlcB21Z67K//pRLNFiJOt81VkrCN4oNhNPp+CROGTbyN
7ojPozl6Z/rKuT4SJ/H7K112S28jmrqNSRlcXOKnW7qiiRvbGncYStbwsPQyqOaGe21ffCKN1zip
J+c13yDUYZquU0TzBqWMis+WcUn6Qs2iaUful+ZYf4V0rtcdKsOBu7bc7pO1q86yO/qN01E4h0TF
4xLj+ZqNwqxgpJlK0zQLrOlNDGp4VEtw03en8qw9ZM412eVHtktRJor2r8W1UTlQEpUflK2A/eJH
iNdSkAXdbOFH1DMUaO3SgdAzOlcG5C72WQzlreiUf/vYjDecHVFBGW7h4JiEiF5gUYN57kpA5tFr
E4duZZys+aoCfcvHOGTDlC6AhMjBHkNVowuA0GcUPc1+i15JhgWmX/LQSf3kmD7kfv4mqD1ed3t9
P31aonsb8yfShPFGjQnMzKtFCw+jKVZSCFLaE6rFbE/QvQYOl4N2ClEJLFwZV9PGaBT3r8AD6QPy
JeI1adRMGQdNmXaFkf9Usylwmh5cVEa5ODh5J/RXW15Ul6XH5u5xgkaembFvy9CcWuhb7OaUfuo0
7V7v7fHamhELma2affr462x9HIhSwoMifDAN8aXIMohnFCF+IgGhUwpqwkHWq7JxzyHjR/mJVnEV
iI2QBc0ZOCKAQPfdkbcDcMGfbi+j2NgyZw3ZFAv3mU1BtHHplFsWY+otCuedZY3+YCe7Hg0eDkvV
fZDKiWI3t40iuUy4U35H6MR0a+zImM+7znbYqYBeo6o44bWWO+lR+wTSIxCfZtT7+FttegmN4p1G
dQpckVGYwWimYSxmbOXsF157Robwc4qHk7LPd8WzJit+bOypTikFuRc4RaguXq5zwCxaBIiHapCn
aXnrGpm2H5pqVwe7/35pF1B8w1d3apwjywl2OjwvRvWpmPLQI1Qp0OUWPxht7iFl5hJmXXfTcloa
NjptORww/P2t1+pQ9ls24qOL3yKY0hKT0o4qpPZ1Pfd6TKtk812sEUSEnwfrpYboUVl4jE6S5s+3
XKZwE13g8s+x2gMjGkcyNcDlbWqQONVxFUwQWI39PPXjfecHTpcdI7+AvOVfvIsusIWYkLRakzcd
sDmD6Jm6zWftYGH2DxSiXPYxls7+bXBBIcpeGZdwLUyKbkJkAsZlNifQ2XsBpKxHl53GPXK8HoX0
cuym8429T67+qm3oEl24CMLRSiH4gPX+nm0pvPBUHDB+5c0HQxZLbbzOsFLT5I1fmP8QI4xAZWU/
M6xUuer92Y9QAYv3xvlNMPdfNKBshMQXcEIsMStJXeUq4MbmGwt3SXvTNZLH+tY9eoEhhN0KqwhL
KDC6XXWk/nLgD+jf3Zt/o4jEv9Wf/RN8Q6vZMcVgByxlLlw1v+u7faWashPA47z3p+8PinDqiQne
5V4Dyl+0y23ciQhz8Qjjo+i4ewXrY21pJRZKSzsEhW5B98msXC9L6ZfEcPpsP3dnc7yZ+zF0QvVJ
6dCtbTlBr7yq2XMI1swln45Rm3pNNUquGL6V7zYB8T6fjNJs/Hnpgmg/5JWt4lGqKV8yDUxzdi5B
2LrEsPY/EMK5L1mnd8XES4B/OxnIDf6jRQm7rQT2HCszFvXWWDQ+pH7AZQBTNBZZB3m+Zys7sl4h
4/fLyo83uRJpRgW8d5Ykr69v3lV/dlN8p3V2k4fmCCwrqzwzP6BJ3FHNO0OHp4lCtygqJym/2UT2
Bt48Laah8W5W5EvE0LYmGmiuC+TR2v6BgNOynE6ddQCNlVdjMiRucsc2LYxmQew5HvyPg4VNB7fC
Fu5J2uQWugd5SqGK9ymo/9Bj4AZZJIHZdnIrHOEwZFptg1Sbr7E1XqfwisVPVL0dgs911p/MZXYM
YoC4uXegNr1PwGDx8TK3cpV4f6uoNeMPtN0LL9NQ6c1KGcMJ8UClX/MRCvRPQIZrzy/mfnrBq7Bx
/qZ9nQFPNzWKgiskWoTjMuRMzVpNQR/PUrtpCHYFTXc+Xho/4+KJtCE+aKg6yBup2AutBkhXEzXC
TEhxU8ym1y72seuvUr2+qZJ7hPmyrdwy1zWg4HRYGsXDUAPwL44kv/uExVG8+EzkYi2bvaunYEqx
bzOaYnG/xVqg2/NbrGXuf4u1SNuvN7w23DXFqwPEtbgqBUNRFbVOGvCpgNbZQsj8aNmyI8dN/d2a
VghCTJHH1mTmPRCqNDupdevU4yMxrkda7aV85Vv+82I5fINX/tMATfVUNAB797GkOyfF4lu7whon
va3JkE1v0n2sxWBg/aZ/0C+77CTrV9vyKBcrE2KMMjOTZpjfVmbtc3LWvRxCgbz3ryBnebqDO8KP
vprgKJcoRlOcicUNUR45+bKPWYayc3c9yWqzWxYIcmOkzPH4JkgtX25jjLdaPNq8ZmrfauqPuZI9
UPg/IC6FQe3NRnEDfkOMoYdJjYOmKZCtUs8THoZV99rhWd9qzLWUp4nck8yWOKktm19DCjZPST9o
8TKBl0HNoVQ1oY4yK2c7zlRnXgwnjvv9x15x0xjRdIIuFxXZcutd51o9oDUqhun9U1apo7vJ/Zdl
la10K0qTSEuh3R+JTzHdqs+jNesdHD2/WFpXu6KJFxx6b/rauPMBQ0Xf6MPHK9wykzWisKXWiL6a
sghGtIzobrf8CKJecmlvIVi6wf+zqP6utSYsyjRHMhWPn4I4zfQphCj4x2vYOlRrBNFjNCEIXoiN
61GPHCTkPJJUrpbf0f7Xx0BvDeiiza+RBG+BIfTZHvtlAd+K/bwM7THri6c8088TiwInpfifHXoB
DW8TS9okunWLrcEF39FYy9TqkEZGf2PrK9+pm0Gnhf3Q9+1T4Ue+1DVufjjKEHQgg2e9DwmSEmKg
IfCSY3DC/fIF3VeD0znlsfCL52ZC1l1WxpRBCkFBHjR5EJSIr/KqdeziuFgySb2tDDDFCftnVYJf
nFWQRRkmjhiai65jPO6+tm7+pQNN+qdsZ3lQZf5UUrczXfQ3/s0oChJ3/6DDO196ZTPO7SgMh2VX
NZUD2okml1Rm3+iM3pnoCkGIPJApU2jZYgvpOUAfLHHpV01xp8ZDZ07/BRy9SuxUKiSGh2OBu45T
zsSDiyVDYJMafoIOz73qTZPTfVKvG3m+/+NPjPvjcgeWRqmLKsT+k3J0Zz09lzr15rxx0b3rNFV7
hbZaN7IrxyKqmxTQqqh6B+27eE1JHNPWu/fiYwhRTW6TJg4KnGZ2hmzkb0acwNPPixs4IP7/FwMu
fHEffRzBUynIRalTiI+jnqDcoCPF1UGaAuwtITSIClfWOLn1XrlYoeCvooqmS2/DM9Yo8vijDyEi
MF3vLJDEeJNvxO6SOp37LwbKtr+yjcS/iWY31IEvv7IRdfWUdghEWx+TxBggHvBISveVb1Ff9exP
IOcvPVtC4sr/0fe7+wdUcJCtxayhUbG7c4T2b3ZKO92drdiTXAIyGOERqgdpOaeLjkIshmw6yyGp
l+yKzgGJ+E7zywgNaihdsURavdq85+CLERsgS6uJPb5xuJQNTRD+dGVzl7TloRqQFppaz2CKJPDZ
irSsFZTgiNW+owFpAYUQz0ub3o9L1WmCqzxcHDbK2j03rWWFJvjkUdEg6B4ilLSMJ1LfD/Wz5JNt
PDah8fHPzlmC22VjQEkZTWjly2PHSifI0iIlUoEuRt3HtgXzfKah6izTfZzcf4y9aS0raMEfj92Y
NUHWLTsjfJ7Mh6qYHKt4/Rhje/8QWqGpDVBi40oxITLO2mrasbrz6uVuHCrnf0MQjtYSNlSJYyB0
iA8p6/xxoZIobtvk/ixCOFbMDJYlVkvwmyq3Y9q7lvWq5EcTL1srKfyPl7P5UdBciSooM3hK5dI9
geTN7DtUrnb9BOHA1nIRkLs1aSS7tvFEMvB2wHyFqRG0lQtLAtFRNqVhPe3SybwxbdhcsWj2bapr
gWuH8BVprZ6mEXVv3d5/vMKtp8QFtnCCO7OeQ4UCW91Pu8mjrnGYDtSz7ysHBSQnlj7cN/b0AlA4
xGGapLNpA3A0qFOUqgvhPScuDImZ8N8tOHnAUGSrca1A8I7/jFV6ABlAmhQKYApa4eIq2R1aRe5i
O/DAJ7SPk+zRVkbJxbJxvoBpWnz8S6Uo6l5itrmpVHXU4nxFJPAVWg2OUs0yVaetXAT6pXiSH6UV
nVBhBycrQUbHQi7izzBq45t7Poz6V6H2Gkxk4NBsZRmNAGA1M9yWEEeTcSFt7tqf5YikG0lUpz1j
QGi60VGzvW7L8rEbLgNrQK3fpNitdwobVrooUcC9Uh0xRNP7fLK/9Yvu9nlyt0SyOsmmgTNbIyCs
QRZCLBEFaRfm0wwHVXdgKl4Cr1qUfWBnEgPfNgOToMNLRzvDu4pPMmhdCD07NICc6clGxs0r94af
N97oZbMnzy5vrmuFJ3gKllS9OhOsa4kKhzF21NrMsWrrKPFIG8Gvoa1wBPOGHoJpD8WbR+Kz1jz2
5eaNpABaM2TZqa3gfo0mlny6BgU1UgINogitb52sr5he91L3TVDHOsi38U2A+51n+rM+sTjAtMTI
Iw37iHkBZEqVG7T97nLX8I19VPpZ7vPycnOSl7ckH5DxjV+5xLFABwo6eqadST7l87FYjnn39L99
PCa4QLTA6LTgxs9piEBg7UYegyht6P6l+BI6R1dbyV3LakX2TMLeqrAiCu7H3V9wmklsU3yvhAES
nDU/c3/UntJrDcwzf6n2dLk8IZqKa8UyIn4SfpPEQVwyRgH098MTzS1yC9k+DRZI1qGIhmkE0TYx
oj9lCzcRnAYKbUTSgu0mQs11Bk2Fv5wj3/I/tphN34waGcWgoI30sxD7LNBmyHsd3j+dKq+l9sEY
Rofo2nUwk701SW7ozQUiKsCwBfoFbM0SthSOeSkUHQtcVyj8ytHOv2ZH5ly4pxJP+hpMWJtaaLmh
TgCrjBbVHdvTIJeWPddkdHrdT9Ozlo2SW2HrMgU5PcwQfguaSsL5U5ArTqMakEXHUGUkaNSs2+Lr
x99sM2gkb1eqCSuxxZw+ehsXYvJdHKE9PcZu7jPjLgXBLGfm0m2/cbO9XewkqDzafredK1TBf4VF
NUCHtEHcM/zDEBdqbwxxcj66LbtcL1HYSF1V4mSMAAaG89gry+6xQr0aEqi3tWXcpKmshLD14Si6
+lU0bSNuFZ8a9aSyUY97xOBm10B4tbxJ6SK5Wrlxixu4xhA2kECEr5yVDsaPEW61rs9NgtGtIcaE
tHRch+/POyyGBCMGQBk1xTdNU5AgIx0ymL9puhJljzS0H16PXuC09b+4Vzc3EKVvG6MZVAMiftDq
LtCiasgod5YsqhYn0OzIqapGYoMyEP73KxDM05hTpSKSJNXPcHrRZ0knoezf51f4+t/P8n5YdB6p
tt19xPR9rRYSF7gNgakOYsP/EXFUBpOE8agyGEFnRQ5GBRyt+SI5qBuBBlMtXUU3L4Q3kdq7XIWZ
WOEcRgPcQ+TODW5mMM6jK56OjgLJKfSbzd4c+41U42Erj4mpdvRbwPHhKS6G3rldRZOqa+i7OKna
U3c93PKRkoEcqYPxWUiCg6NQ/kTaeGpyQ1fhmnClvAvEQz2uEiMAalapTj08533imPXOqk8Deovr
4Ltkezf84AWeEIh3S2TGY6kjA/IWY/1h/PqrOsQFlBiLMztmigEolqeOpn9mhsxWJIsR428QOU0g
R8fmMdoxR2WzM5nJuVHtxjGy7ikBe0KD4Ut8bS8Ies9uZPmkLWNdfT0x5MlalmqkIbhVJu0UgwPe
6Qz0aAdF5Eq+24b7RVVHA3s5Rrjwh3C4tT7u0qKlCAdolu1Nc1wczD/FbqnFyqPZgR2it/vvA/6f
qo8PShhcFVPZepTqz3VI+HBZcjAMFITiqP0l+W0b7vrit/HfvnI86cLCnBT4bX/NR7zR/3aBKDiJ
0UzbOCBA7F552qmKHOupvGa77qdM+mXrpcwMhmYnsPPwDIAA1al9oRtZwMOV0TcM30wxn634EIze
lcFRPtGw4WIv8IQDutiD0WZ8cMIALUFaXUekcD7+XhuR5QWCcC7zZAnbrMeKcHD65tPYlc4QDO6g
35v9MRqvjDCVIG7EQ0DEnAlj6Gx7V6lZ1FodjQRrgpiIo2XnMbaOJn1Ml8IzS1l9d6uf4gJNMEei
FpjuYliffaCn5Riffkt5BFdyF/fmYYRI5QJLsI4lZzStKFZG6sxNUqU/Nl1uuOghOQUp2qdcw4aS
eZVn7hLU+7jXG7fK00fFoI1D5sIf8hY+qrAiN4HLZ1a17yZWHMwEBzrohu4cGeOXQrMectaFKBhW
P6skwxxEkHs2mrMcVim+NmDecZoBb417pctQzkRZMxhBXm239lWIURYXbXfwTSrE6SlNPQ1XC6mN
n6W2eEwnj3XG0LHZDDe1wZ7bdjl2Ub5cgfDvNWzSH1NjqE4QFfahGSD1WCj3ptqMz2YGiv1Eya4R
5V/Po3rbgYDC+9hUt55cF/srnIYYRDoVMqO8GZITSSdQgfX70clwJYNX1FHuskES526eDrx/dM5x
Y74nUQFFZa00yfwmWawd+ABGBBFdaefD1t3FG67/gyPE06M6LZq6AIfuiRu9cT6YPh87VA/lQbKL
W5cHVmIThsFj3oV96aCLzrIwOYO5JXQk7uOr1K/He+tp2delE96h0WJveFnsEAbWIcm9xb+PeD7W
yMJZBFEb5GBoNoMihLhpbe0pAjlwP6EX9BrKQdPw9PFSt7ynqcKIwQNmvKfxqUkVKCE1uYDdI6Et
JsFqiS/bNElMTsKq0TyFpLCwmbOpmrlpc2e2Cw9KwDW0vah6/N2wFXsjmJG+fbyoTY/GM1UELxQY
pTgIHOhWFoYKbKXZFUdL8XVka0HydHwTO5NaJrc88Zut0fger67zMkjUpOtTnIB/+Cr/k0OVT3ls
meYaTNjNTlf7VC3jeWe25yH4spDvqYHBr2D5u8/2Zw8FSzSaxLIbvqrfQcp/rzwoW5lwNUyTVfVN
jI+mIOVdBT+CJHOjcHIYytv/o30IXrILIUc0tlgbT0yNN8vV7xtvvJXfeJsHDIM5yJyqzLTEpmMt
0SYjn+FKJjqBePZza5cSl7HVPcXMFQS3z5X9oQm41XX+pfhAXKn69GeNzhkKEjDO4Dt7hpvveuoq
IxrSLBn4pvGvwHmsuwKvUs1coLw3I9xT3flr7g+ga13c8DM9yB9/W7mwi6UKR23UprhpaqAhKYx7
3EUhutgNhwGETWns2T/zf1GK2f6CzAILmcVzRkL412FKltQKXHKVmvtOuVsSGQf5JoJFwcGoUsR7
Yo2xJxUIC5Hs2I1z8zgp6i4JZJwd3C2881F/IMTKYtPFaQLaBEBgNCIqntldZcswtjoxYeImZRh3
wb0pstCFupK3gxHNoITC1JAaPUBXqnLSOnwyh/qnZo6o69vd96TXz+D7kVji5iYi/QFWHMyMvWt9
jlkZkEnncYgK+lsjdrrg08duYysq571T/0EQzpk5U+iOUCCYVe2l+Yuaqp4VPDfFQa+/fgy1fWmu
sIRjlfZUidiErRztwemH56xuH3L1tQzORRyCzWvaD/lBG/d9eZ7ZwQoTT/IDtsKt9WL5dq/O9YC5
8N4KsNh17l5z/xUl7hYW2AYI55awbEvMJDUNsTt9xKn+73Msmxu7wrKFriNw1Ka05s6ST/AunvVV
O3BWEgzw8rqSvANj81CsAfniVxup5YU5dSYA/yOU+D9IYjO2RhLsc14Qac0DkP5fdXX6saquNid5
dXXLqawBBSOtiiJAyR02MsXPaJpZrMdExrVKtg4dXCKyF5ZNrHf8G+jVqTEHikXNFaWeQmZkZKxh
z6L0aGfk2hqM115HiBci/+yGZdI6tMm+dcoUOlFDMQmfXUfVeKtpim+w4oteWHgSLQfcWS+5WdrO
WJJdz7TRCfvBdgiZqRcoo+KVbVlJztRWbL9eihB1EK6mgbFjvpQfat+DNfupQH1xPpjxY97//PgA
b7lDjM1idBx8Euq7lpwIMthTQKsZzDSYvEP7GcYcP0bYvIzXEEKE2IcEfY5tPe/KX+gOQ8s2z/9q
++VX8Un1wA7vMf9jxI0I0eRTfhji0jmNlxAhjqy1igyydLtKsxO3SfqDUY2PeRMe01799jHWhm1f
YAkfa9KXOUACEfvX6g95fdf1oV/V5sv/hiLEFgGjQ6dHQImG5prakz9DIZYukfM3MJwalnJSYbE/
i8ZdDH4KbJxtHZOk8imeC30lWcuWa8WW/UER7GGcbBqWfT+DXo0nGTOv/jk5nHfDcsZj+SjLNL6p
vgoxzQWeYA59bYTjkPJVHTiReuqHJxsMOcuL8pDuy73+LfKMq/Q5eq3dHHQqo4d85z29SneFS25A
V7lvzvbR/IEOQPsYuKXEWLeOB5pn0ECj63wyVayRdTicc6pjO+YTe+591S92Sepad5BaPeZ34Xdo
JspOJPfw73ZkBSlc2i1tq64AN/Wu8bQdn0WpvjX+4nLp9tBTJVMNWwUgLBD0LrYOLir0MFzebGpT
JmhoHMDu4mWDM3/q99M38sQpKaxXzrcVpU7gkvPHpsw/6vsl/gEVLrk8rcw+XgCaLl9CiItPlROg
85UgH0fK3cdYW91DFysULriMmLxggf0cvhexkzwZr+GB+qnfHcbv2Sfy2g8owRN5rov/ux8tUviO
WQyfYEdYJFifbqYj7BeVPMzxlcfSi/xWnvCS7Sr3hqsgxa45Ld2EhfKBBK4PD2VPpTyV8+vg/qb7
mJAzrfxaP1SQpztI9nnT2a4sSfAcRQ3CUTPHejOwqT41gVN4y4EdiwO5hZYPVNxuslN8S2UGvH1c
TM7NraNEJL7smmSIk4YBVru19tp1eR6c712GuQ/e/CY9nBvXP4zpH7S3QHG1x3OSVc2ozjCmXfqA
QR+0+thu+Ww+0GO/m/zOTb7Yn6P7bC+7NrdKMhfIwkEdTQ3j0OqCx8SJ05AERwNtb2AKclSMi8la
Jbe+JaIc3iqGxBtaJS9NSdH1VgNNKWy3Nq6hfvtzSDDQEpBOknd+63sRD8kaSDCaMbHVOVZhs69X
XFogcrWX0OleopdOP2q21+ZfzdSZTmRX7jKww131zRVl0uLJ1lFd/wrhElLHMS0W7nLjLIZmdxX+
CHuIPlfBSxu0py5RPOSs/aSt77Vxcuuy+Ykywe0Q0R+SM7TxiDLRO68jTMbAEtroL/e9zlE8Tvpp
4xEl7SrfiC0BRRGNEwCB2OISSon1JbXqEfbULee8y26bJf0LN7+CEPMVwTAj5wRJ011gFN9NSB1E
mnaTpflNlOavC9MlNyf/xe9s6c+KxLbolHRoWh+xomkeH5DRWrylH3+SRX1YWvDKdNVLW1Xfq0G2
zM0bZr1O4TqzSab0Kurgb81dmhf7Vccdr+lDZOEGrA/+eFgqhxZSl89Px0crFq42YlMlxdQ2NrjR
fQvaCnV0paEMxnoZKcKm+1mvUbjNkJ2csyXDGqf+TZzAUhx2F72AYPrrcE7OmmwuRrqpggtaiGLP
WYOvaZ0ZKODSqwI61TcVmmNueo+iYJSc9WPfOTIKq03Xt7IiwSMpc0bVqIfRmvaXKT2rwdGMZGRz
MgzB38TxnHe1is1UzdEfo+GgmLYPTmNJb9RWQLD+ZsLzJ0jAPo1hBLztUvWosMWxs5+RZTtq+tky
Y8n9L/EnhuBPZlVdLGXGmrQu8/OoOUL7xJO4R8kJF1tfuk4NWMKA0fqTxw+aaT0NjuGX19Cy9K1v
BMXRo30dg16tveol7kXy0cS2l7oLjNEcYBgRY67W5U6DWwrq6B+vUYYi+JIGtBOjauCbBWHtTEaM
kXvLXZTvH6NsJbTg/S0C0mKkejHncen9yVKBEaeH54iOs09d7WDcGHu2i6Q8IG+iUe991B8kwQib
2sQDigJp2CV3vT+6FsQJKWrZ+/DU6o71I3qkGMBQPd3wmnN/9VfnGc1DoNKgFqb4+IavIrZkBLcY
CYBvTbPqjJpy6OL8CbKyMsGfzQOwAhIch90rEBDM1XmnhyXoC8xjNMefJZ9tMz5YYQifLaoyM0W1
BgcgaM5mg5b2roJ8WxxE3yKtv7bawMVwEPWtKA8c9IMbbqZk9U7yK7ZCbmv1K4RPqhZoqOt7/Aod
ITekBK/ic/Ki3edH3Z8PpSzm3jwRKzTBsZRjYM0BRxuHcj+pN1XQHBVD5lo2feUfFDGl3AxKOdkR
R0FjlTcjufib7TQ4ZqZDNY+Uzhh5i//7XSHrGNi+XlfwQuAX69kAql7AD9+178N1fsr3033zK30i
oEOWtkbwuODdmVyhCU4moV1eZwbORPor/spOxiHwOmd8LX7NkEyRC71JvqBYyVes0LY6AjilbU5l
fVz0+ZDIKvibsdBqTfx4rs55aQ2Yc4YE1E61b1TymtqTM+SnMSB/cw2scAR/sqSmEhk85iKxtm/K
Eqp1+o6axVFyyLa/kQGScI0QcNbwv1+tpyZGl6qaPu8MJJkDp7Tdahftmito5aXWgVxD/+tg//gY
dPtD/cEU9hAkznaaTcC0esvrjNEvwaQwtJIr7v9j7H9ghC2sCfR+84AgqQZGyKO54/TfOGX2efFL
5PVkh4v/6vfW/gdOcMyhmelxqsAywgwcAn053CmdLAe8bX1/MATH3NpVAp0XLCkIWjeboLkyJ+6M
ufvl08efaHvzOE8BF1RAV6GAhEg/zUYktpEeHH3OVV+6zQuSOujKDB9lyuibW7cCEzw9m0uQmdsA
Q4bUHwfyUrHk5eMFbQcIKwzBv6tdBfUuHook15hScXkrQLJbjuBn8kD7/8ygPkl4F/qOvtjHRXaj
bn44A+UVBn03/CfYYl5SrclKihiZt93z/Qzv9av6OXdtl3c31Xdp78SebIhr+3mzwhWMkmZhnyUL
cNX977QyOuHRMpO6nc+TOsO+vOW55UGy3s0PuoIVrKdN2ZARvOV2U/cYWZ+1ROYeNzPmmIP7Z0MF
k+HURmo6YmEJHhpvLSwRjje7Ds+Da9/zEFPGTkI24xFMZ4CcHKmqd92LvWJ1LTwonmyQRXUnrz0k
IKMA5/1yKF46P39KHi0P/BS2b2J7+VOh2lvSfqTNrV39CuFSTSM9Re0Wv4Izlkcuqha1Y7vGPrv5
naNjoSPNuW5eEitM4ZKg4RhCit7kD6JgTyARyVx+lce5yw9N9iUunLyTuO/NS2KFyfdhdTGlc56T
NGVwp+YV2nr3s/2lMGb3Y6/AD/07n70CEY6lpeLRYNsAwUjjST9YR3CQnf4FaZJsA4VjOJXgltAj
4LQ+PRV3qc/VRiZ3+oVyCyRv028fL2vbe9sgxoBwFTdYIc6rM/THJTGPUu4ZpkX1Q3dIXfJ99nLE
XX8VOa/ABIs0w0ENFh45T1lzKqrJKaJmz0pJlkFn3Gm8+1grHMEKTfzTWjPj8jNYj26aOjoz6Ht6
cR7cTJMdO0U6N/vC5P3gfY8XQpc8pw3m1JdxuK5iHT0AxleEHuBOUqLULdNwT/P2U1SYqmsVEEdp
ppsxaF9GdAY4ahwflhREQBNB9GDE5Qn0w8a+q8wfrOx2NA++RsVwZeuJj+w25mLrq6zvT9OwfF7S
5oYa6kOs6J0/xNF1EkXPU1I+ZHV1Vupkp+BFT9PgIc5AZxq3FYKSvEfjDqRIl2IObkKwTH4uWfCc
gGLV6+04uF56Zn+aZr5KEjahwwblNjAaSNV3iaPQBMN7inGddM0jKxswvCV9COXS/nM+jEdI0N62
Rrbrg943UjBIqbVr6sori0qv1TrsWwKCwqUYnZiMt7gi8VqeyOjmSlE7WstcOjLPCJfb1Gr34ZAy
p0BWLqCq5UdTdq7D5mHMNdful5eFdg/4+Icmpo5e1ZWjq0Hh1As8YdR7aWueUSP0k/ozeuwPYfus
Duw1xHiEjvi2wORmUakvfayjl99aPCXMQn9SshczSKEpEmV0NzfaDSH0hgzzDcYxz2MR3IWtea/X
/R4qNz9bK/SbrLqCLI1ntbgY6HgkQez0NWT/2srJ7X4fZskT3x4jA2dYAW3ZAPow9LHRnia2uNCQ
2hcZ1Cai0jEnjFaF2rVmlE4ZYh4A7SFp5CUUskiZfaxnxnaULZlj9+0hLiFYMUN/ubyNAtsb5uZY
1TNYrCAsEOVgkQ7YT3VGQbALvzU6OalBgk+0ZBDntbvdEKL23dLrWplum6jyast0Olr7Y9H5yQjV
dDtQM2dhk58v+nM8xwf8rVPF9svSFndd1JyCQLsiC9zY0D0WUFJyFoJQYyAJFFByDC10j5TVTm4s
XlVhIMI0ncr4lY8MU04LONH79murjm4wgCKwCf3cbHdaCPdRVbvCDKEUZFi3eY3Ypat2WjAcQ/sc
LdMDm5OTOgRXjdZcNXN+sqa8cLo6OVYEROpFE74kjN0bIDBLyOylU/hdjRZYxbBvp+DElOg2SUBC
ADHGkYWYr/hKWOkOWu5XPb02AiPyc1IfA+NUqIYX91rr1bES+7FFvWRpvyVTA5limKcFcWrMpxWf
zFHDMPACEVhw++5iupyaGHncYnAshbj1/7H2Zctx67C2X6QqSdT4qrm73R7j2M6LKqPmedbX30Xv
s2OZ1m7m5NzkJVWpaogkAAIgsBYm2fSqtsrxq9qW37KSwo3oArooFAuJ6jHpypvFqF15ReNcKow3
ZDRPhU4iDyMvv1rNCJ0uW3UbFa8VR68c8E73q1G750HAzMksTHbe5P6sSt5SdKeob6B6gyHcqmlj
axGGLmvs69TOgBtLyHQQxbJxuxAxtQb6j6qUfW0d7zq1xzgUZj9Ws3PzuuqtbiaSnQjp7Hepcmxi
klpK3nlqZX6pVek5lZP2VDakcgiYIC1dllCsXMfAqDS7SgixgZxcg4U1uRmF2k7b6Dsa+dHVlABo
WPwhNsiNkv5XpSrBqgjEUQySWcOiAttwKkEtlARdP90CIulKl3vRljPd7dvK7ac6SBLzCqypD4tW
3udJKVqAUnLQwP8NI8Yvk6zdAfb66yj2grcMaC0SzWU9aH16HwMWtR70a3EU0IBmrjd1DcUsFPWH
3pS3elG5cp94ZTSA4E+5U+gJy6SHDataBgT02RcE4acRdhl8y2gcKm0OOe+9u/H65q5hog8M6wNF
PEJ4ucaNXwkNvGZni13qLAuv4YZGquy1BmY8TMCpgCYCdPf7QCdMkrED+irKFgssubbJDMU4Nmpy
WvvsEcbECaz2AsiNPPa5TF9joq4ClqZlYOogojUSzlWtcJbEPpEBWXjJxQEioi5+HkHX3csPhZZb
aZHetVUGFDrNymLdWSvxvlanE8Z07RxA22Erg5g1Fp1eMuCZZXhmg/hr/q3tFgtAQVY3lk+mMnzN
xvxFGfUHTUr8GvNVE1x1vhhOFn2pKuE4lHeRpruqnHvhANarsDoAWv+2bolhVflzFmVHUb8O1w59
f9HjkMg/ijn20lg+ygI4lWLV48Rje6HLds/ZECnPhFYvccY9mm0I4AYFYDJUvpJa8AfoNar9rLcG
8EryCLP2AtytYCZmAkJR1gCNCAHunARhr8MjGO1kNcqSWkWde9pYXWVh9GsMJ94Tw95kDXqaMC0k
4u0X6RKTBErxIhoJGpu8yCwmuxTSQIvyQxGa3lCFvwhqzEgkSG5pRoOCpICpd7nHezhn6/d34O0r
mETRCJtkLjPkS5PdO/1V/Wn5uqKhInWk8qAdand0ZXDFuzC8zBMOwv9+qF8HZAv6wNGFqIET7r1x
d/U0RauGzAlFFkRtgWYsnAXumvNGAptaaJOmwA/TKhd2WSiLq3Jtfl3eRJ4M5iTLUgNOMsEqJMyx
zQXlwfl0WcJuecZEZw1uFwm93eyz15DWaAZRQzjcGxD2Cb1fLRYom1/UU+JmvniDzrTBDh/QhWue
8+sVHXm8yu5u0rT9BMZIhRWk20mFT1jyX/2oghb90HRPqvatj1+KvnPTsHNLvUcgfei0u8vr/w/h
BixFVoG689owuUl32wFTDgTo4fAQo9Pe0vIUPMRVd2j9/MzL2LjS6IFvpOVIqNOxhzRqFICWtZrz
iAyxOKTBcuLyU+9eBwqoIDWZyJiLYYwAA1R9QxpsbHim45i5l/1sy0M3nvV79VqxRrBw5W77uKz3
oKku/qYuizEPMDnDC2FIk3GBkx6BWk7EWosR/VrzHZwQxwT3pqqQuLyJYLbTnMOuaAcssHX0G9TL
A/pelToUO2xwIjd61O3qQDHL/qoys5XMbG2tklJJMQLkgb2XgkVjdx9CcJksBAyXfzSjsFfK2Epk
/M3aNnJSm1R1lNpR5zSI2/Z2NUxksakPsoFDv5BbUY2Q1JHBEcTyR0wb2NuaB3HL3XXGK9X1GGoq
tdf4IDyoHsFwRvcCErtetEjomG7vttdaoHSYZrPCa63jhIj/Id8AKheGvUDnx/iLDt3eGK+MV0z+
ZtcIciQHnGeu8jLa6p1EIajxdFK6lH2dp9L0VD+EjJhy+Fcyo9Kd2U9Gh5Tck1bJicWwsBaxP5kh
MKk5boknidFs8Luk2mJgjchRMUZHibDDycqOKCBjTHx1Ya+xFT9elkp/9NLyGKVGlq+CqEdA0CJ0
d/Os3hb9xOGR379vNlvIqHEvqMDMrJMVy4oCFHB8ACLdAg7HSr3kXDwKNmjTC7u+BiXYuTxrPN3Z
t6K3E2R0V9XiuMQ09YqG7/ag2dPPEQUPxIQzXn4LEUU6+W/QSeGk3kSygZA+pZMhYlfb5/DcIgQS
XPlQ/jL9EozOvD7SPQ7gd9KYrEbpk6bpMyiO/jA6YHT2+m+mLd397H6GLwnK44DOvzOPwLHFm4cQ
pAfhx3x7WYvoFn7QInTqgiyW0ml9aDnvc1UP6XpHGRx363Bq81MIEH1DR/GV5wx2VXYjjPEFOrqs
krHHcqt1crXllCNlvLyc13D50noYoweUSDy3VATV2Dm+Kp3Uic4U2i17kc6ksfCCWmMqrTvxhpF2
ncBmcYwTWAex76oSkhcKsTx3tGo5OJ0CYH/OGvcaT3BWv8+MsXwQd6nhTCCJMtsu5wqt7LQiP575
88G7QclGFOMAshKjYD3dzjqRMkxJYt5Zq+71TAnAPnIlxTqIqft54qzwNeC/dIqM4Qt5JAF7HmJJ
ODyW4fi1TNGsijKbXo2fchn1zGx9yMThumy6Xz1wzNQwfUqEXAKia+1Kmuk0KSrgZnYkC1JkpcJo
s3EfN8nLGJO7sFY8VdUxz1aVL5fPhrdfjPtIai3vohQfXoiHfhwdksp+13ROhJC8luC1EJ9flrg7
NLLVBsaHTMac6JMMkZOKR9MoqI7FoxoUfvMdj2t2GkSDxac+2M0XMRcMukb0Q6AP7n1o3JqtpJcr
LoZSGV8SQTmEaIh35348iHIVlGMFVWzBhdB0PMQtqnEfVeO3ZLbpf+2FuidpCq6iK9D/FYjnps8U
jSKzMZkPvzXYcYDZBm6L9r6vflvyayK/yQYMcSqmqMjhvKLJJ0u6WkovBnOqjN6k4RXE0uu1AmdT
5w2TBJT9IcM1pbWHYSjteMDTSKEcImijmkrHGEw+7qItt4OqXXe1eqUZfdBmcepUvWjwfOIOVhXG
JGRDN02TDpMx1oSmQzHpQxxWsQbmAEaM4TS3mieJeOeKUOctc2sBdUaoSc+XdXPX328EM9awhHWV
mTENH3rNIyIGi1TuS+9ujLCRwWhiY3ZDK8fQB+1cH2r0v4Vgt9HvmkP7yvjBHULjyGNJFuZIgU2j
vu0tUD2KDNicCx8xNUXj8gRA53FOb/daeVsf+0gJSs/CWHSYdwe86iW7JXC5GrcJbdeeN1KYm3nu
hMTMC7oqv8PkH701k8ZKNLuW7OhnG8gPoyu5YhBCjwXLuOa2flABH8x68wHMva1NRFObBqrSO3h0
uV3OkTtaFIVC/PQH42A8acxdrdbJ0ow6XS4CS1QRTskV6qqWDE+Z27x2xl2PtVkac133tVyBpw4a
aoTyYTYlvNZciV2GZ46VE8zxTpG5rXUZoBdyT33jYTw058QvDmBBOHH7ZXaDxs2KGIci1kkiiRkO
q3NFO7kvUYgBPuZL7Wo35VeaUQtOjIJMw0lH9qi76bwXkVTUfuC2mJ0cjS5ulrKkgU8UpM+Jbk+V
XZxVlCcVDyh12NoHeH80vuLxp/R5CeXugNRWPrO/crUUozoWoGg8qJ7wvfaqnxrAHa+XG/g21V+w
8uVUHqOHEIVcawj4lerdXvHtJzBbjzGMEmPc9BOujGN2bE/ZleCjhOHwarL71a/NZjPOe4zGRIzo
YlvntRfLCx3pHrRsHrBvgoJ3tPtu7u1oGTeeV7NK5B5H27nFdfkCwpIUw3zgKUMHlmpXD3hQ4vdk
7Bcn3tbIvvLkeZSWJdijUOETgI10O3VWAZrmyEWv0Dn9jFKYDGr28bH/wm/E3TfW3ytmn38iopaK
UEN2fkiC7O4fY81ueAXbfVt9E8N4dmONiBxSVzcsX5T+JjGfifGpNUqn5yGf8TRGZXy4pAtimlHz
7J/x+G93doW7Aw/ydnySA96wOlca68PlwkjyEPHYcsRotjsDJQlNbeARqW0+x9i+D3/bRcbzLGuW
LRmGrrxCv157/dBWoHTIVDuW4u+XYyaeWjA+BtVtBfQ5MDvxmARS0AaqDx/On4jeX5FJaabRZ4Mx
x/cR/FLIOpoDsaI4sarP/aF/IKdowitCdIUHecUj7pTZ4kl/4VZ1eJKZg0tW4C0CXpuaOi5fZz0J
10lm6e56nK4Krz1m6BmMPmv3l/d1P0/C9fHvgpkjnOXMHACyTW19cgWro3dHC6/i/jOQvQJKMrPK
M/fS2Im+DTSNg1pVBJIT8EPeb3S9pkjWGwRwlHRhdaZ7+YtTHgRLXK2GWoiPh1SKJZk8q498RJk9
M4F4zNugro+HJzZTq2e5J42MGhpIJiZbO5qn2ButZEBoJTuJxwtX994zt/LY/KwQIsmMdMjrXpHg
kuN6Twk0tCDhk9DvaNI7WUwDH7LeOVkVbK1xTkfMdILlzEbX4FlziK/gDcyfCk8D/Zmf29wiDD02
JmB9J5vxq82aUMOC7NFDJ1T/iYK10DSgS6z4ntgFyIy4D1I7hZ93MhmbrWLZrE26t72n+YDo0Ww0
1QKF0RTc3uc+SPFWyCjuXFXSIq2QJmPos1ZszY5czAaAFMouLdEBcBVfe3YC83crZIxUmGUt0xXI
1NsjfakBg0flm3a7npHQHTOPG8rSKObSMTLuVgQdfdsCdMmb0I7shL70KX/OD4D8c2kzf2ZHYdA5
gi/2ePjmXc17wdy71TLBnERQseppfZtCgqlXayBdk+MfAYLt7iswi3QDtIofMe2BskaEEsbiCZI1
XnU+JUWZj8bNCrKLPzDMXdXZiGNiRyGJalJWNBFB7/diG6+peexF/hq64vPqphZ18pcd/K4z2Mhk
Iki5M/UFTZ6A61cjgFApx9R80LTIkwm35MbZTbYG0IE2Ku9K7CZCD2KrXuf3wfA8VZiOKOBTQ/fy
yqjSf9BR4ElICkq+YCBijEIPizI3VaysbabargXtGTDIX2NCOO8t+6f2JoexhUar1VKnT3V9ONyO
c3pckq+XV7J/G22Wwmh8lGqClNAMdWxwCWJcMZBfCglRPh0iR0syJyHeu/QN3L1AVDANWf/QMADQ
vXZdgcLv6ZLVfRZkh14PJt6bG8UuPrWfgYTyB/q/v5FvUhnPORbCIlUVpM4o/Tbqda6LDmcjqav/
qBNvIhidiIVBS/oZGwm/RWnUI1BTHDEnJmLIARDZuS0GvKt938DeRDLqEceauhotVhXLOUbfgJxo
RuMnpUxu25SkHLgK3hYyitIsS19GCdIW1QxMjIuo4V90FL5TDcZHleuQ5mpWYTmSZqVTe5/op4o8
CFVxlQyNJ/y6fGL7Rvy2e4x7WkdtSnp0lntGkQRT5Ilr5pcLZ9f2Bn62i3p90N0UqfOuiQoJjIGv
FaAkP6E8YktfRNAAgc488gwbLYISj6ySZ2WvdZON1GItO0OnVkahAGpUgwAOLeHy1PD6DZbtx/ys
Tlx6qr2nPgCmKBhMwSi5+WEoUzBKYL8PkGoGNLAOP8u52zva8Z/aYdYc6MVd04417sW9G4htRDMG
jnihi8sJov8Cy3NXcTayGEtHR3Q6ZtFrZWSSj680cYX9vaVEe3jfUcATxO2H3HfTG5mMqUdVkzQq
6J+pm9at2TFPr8Ft45i+EfxBFLZr7Rt5jLUnkRSleYs1TiiqC1ZsG9Eh9hJbNA60Kktpb1IezD79
zQ8edCOTsX8iVFVYqpBZEN0NG4CnpM+NiDK7ZLVT4v6F9au0q4sibn6gHJPDBc6soqWRNDu1SmBW
6UEMvctC/uPY3qQwOUkST6RtgZ4EhHHDJ1f/onC3lhbwi2f7evkmjElGpGJsSCTCf5roSR7wwppj
4E/mXeC799xm4xhLy1NhrQcV5RCqGe3oF27la84wnTRLsse7+BjqvF3cqcDgkN4WxhhcPBqxWVQ1
FCM96hbexYBgQjPnyU89zaFofBgHKW9M/08Skn1LeBPOWF6ojlWuqNhVvGoX9pRN3+bJ4HWe72r+
mwzG2moNU0Tg1kPlMfanebaqRLL+j5rIGNdaAB62FyCCYvRmwRroLvEn559wi5cX8zSRuVpHcME1
ywRhGMP4nk0oX7UjuGur+eHyqjhyCK30bK65Ra/mxCga0MVX7cOSlDW4liInKrO/OR+wgKEZHGOV
Move3ITDKqmY9kYm81lU7rX26fI6qA598Hxvv8/Ca+RiaK56Qn+/QQ5InhYZ1FVra2Wdf1nQaxHx
kiSmQBOFBapP5NUh0cfS3zR6tDOh033+zbxrPpulMR5wmnS96nMsLcM4Wj5dZQYnwuLtHeP1FoAl
5GSkziEXVkeQh3M5D9ft1OC1tDUVh7OBu5kmpl3waI8Gig8AAwN6N/u17RDP4QHfDhNRw8SbeJWZ
k2k1CQYaSfErBbYTpiYPAkkOQ6RdG0Axv/wZ1Fo/HuPbVzDWDIakxJTqFoofq6cwn45xaueDdmiw
0WWsWtPAAwra9cFg50SpQkZtmuW8WsWyaAExg9qT3x7QSOmjoAfMVV4gt2vRGzHMwgo0xuZiDTHT
+qglfkZu84hjzPsiVMwtoXcEL3eMCVShOei5AafRY/IrB1xiPFw1g8xxuDwpjN4nXdxnmF/Dq0FT
2bPy2A6Dncfc7kh6M3xQBP1tMYz2A7AA0+UlFXPXXzUAhzxQLh865Q7W59zKr+NgORSewIVo2LXr
jWD6/xvXm5t6R6YSByVhLgftHnam/dU5AXYCuKXgWpeZS2SYtFbNCCytj0/p8n3J7uvh5bIZ7bW1
oQrxWwZ7gfQheOqMDHakWqOT3Wea01xjTOsaBWRQsojg7g4PCppX1PxYf1V18Iy0P8s7kDwkzolb
wN51LZuPYRRTksoEf/AxtHyAnuyjcI/vcYQ7GZQfRmtfXvv+u8BGHKOh8zrGxUTXTkc3puvSozZd
XoNDK4g5PnrfGN62mdHSWk6noVxgcqsq2KbxpdBqP0//Anrh3WEyKim2fdtHPRSmG+9D5TpB1TEu
7zm7tm9wb0uhS93ofYiGMbSOUO+BR3gRSBbklAH79WDa6Pt24msMMEA5hm8Sb/5xP5fYnBcTiGqi
PuA9HudFbjAnTJ2wgG72AnBcfwuP8G436UZsF1qLRZrL8Cykfp4zjCIoV1Kmc5Rwr4HjnRTG389z
j8nvEduZD7Z8LK6TQPlKgvkJ7yfWTGE6HOMUB7O7/iJ2Bbx9ntHtu7G342ScTJ5FaMHWIb/MryZo
pDFwaTp3SxNv56YwQaoxo5mb6DRiOAjPakAbI2kb1fLpb2/P36the8cn0lAIDZwZoPastgBSQDx4
6jhal42AY84K4zmM0owkgTqqpfDD+WyGt4b2f/MYCuMxRgndYIKJc2nqa+BeYB79SHjen2dR7EOw
URvLslZYh4FQ5kBO4wkj+Q/Rp/geLVPc0GY/9t4oAuM6GqKEKfAPXmcLKisJMFB2BkiHn17rRzQu
uLxYiqPbCusw8mpAFRDy0IttpaJgqcvzZUXYr24C7FDCADiYBNmocKhWM68j6DYtBoyfhrsUT67R
AYAUuCqln1PAI+OSd8P9jUTGYSjyqBWJCYn0xhY/jw8DMAerQ/MYOgDkOA4HdcZWkkOJKiN9Ivz1
C4MFfnPDdx375wnKP5UAOl75AI5VZUK1jMZAFw98AcywDUCqgEvWfeICSv6G12Cza3Ybecx5qjXi
gxWpqAc0Py9Mb/PsoagKjuH9x5GCo8hUTZGA5Oq93x/KpinMFBvcvyKoAbVCQ+F4tgV/PE+W4Q5P
vGrBbmoB7pt/JTI3jaYtqgwwARyp0Xl1qTrmNFmVWNqtlNoNECoiYDeJJODoLvVSH0LnjVhGk/Qu
VPpGgNj0UH4awKaB1vWjevyn6ZTb7LJrjBipllXKHPwBhUseC6lWTfDX/wvOSxHNHvDmi4m7yM5u
hFv+0AZPJuOnhXXpE1LOVEFnPN2XjjEBDS92csw1CU8UQk5MLe2qd4nd262Cqm4d2eYLoIbmknPR
779IbNbPOHStAoxdLkzUbkW7vKWtCyRIncxer2ebAtij14cLOrs3ImAASOr3rtMd2gQxSdGb69RB
auXSaC1zgfAjv8wWeRqAvOAVP6lmz256muArHMDroiO+sJoTDylw36o2H8L4/kXv4341cPzUqmS0
Mszf1OvWnd3WKsB30XxreOrNO3zGjg0Js12ZiKXT1lyALN3owRwAEBqbbXihaC3BX83qvdtuxpL1
VGtLfYBM2tGlfZ7OmU9DnfG6uzG5odt/7KlqoLpEaF2Oid0aXYmLZcL9psmAki8ar1smi5ThzSQM
qhWnKBBXyUspqYojJauji/1q5ebij4p2LcwSJ5fcvw7M35+jM3GetPTGJGTwJ/EVtba1txOaiB9p
aQ2PXvxHof0TfhPI5Itt05tGTdef5uPVOtcntZXuLztJngjGg5Qz8m8zpElAKNhpBbgsidclwt03
xjPgl5O5pdHkPyyskvy6b2ANg2cEhDN/3/azftOUaeuhZGD+5r1XmKbJiOSi/8cYKZZmYRfPhxZI
ss8z5rUUl2I3DGDCRKtzb6vZKXKyp9aJPP3T5e3dDWY2H8JcQWO4mAnosVC77HrgmegnsuYn1Wy8
hhicVhKeKMZYNDOfSrNE8FDkizXEnTUm9/OoujMeNS4v6j9c/e/tZROeYs6NPF8hKgdEFGoLCnh9
QJUFhCzrf5q3/ugNmJ7ah/v8bTPZ5AeDTd3ct9CjDKw3lkDMzCIRGIXAtH5NQvIEWkvOSjl7yuZB
EXxdiAwLyWN9Jy+FpQIFDM1rTsYt1uyGfpu1MTayFgSFhxm+Zc5edPIcpl6W8p6IeDKoL9jclUoX
hfOkQsbU1IUz9OQB2BgLINRHTmHvPyz+TUGYy1Bb4LW71xo6uV8QOycnxCNuk9/PtmEtgA7hZUJc
icxlWIzp3Bkprt//j0zPuAnflsi4mC6cgFstwbKJNjvLCDRizPQJc+uppPAu2xvv3BgnQvrCQBc1
1lYoz6GaHgZtsqUp+z9KYfwHUSMD7fWwLgVjPRMBos3XUh45BrV7TgTj0oSAjUDTWRa/Jk2FrFig
g+LRRNNBXiKCUBKHDrnEi526piNz+Wmo7bB+YyuT0Q0wjfTZRO9tINM2NoXFFWwddEqYUCf27AOM
ffYvn9hu5LIVyWiH3o1zOdIkljbypuMruAyFUeiApYVG3hbTsrxesb2bfCuS0RJZFKqymCByFJ8M
ETTMPy+viff7jH50IK1cxR4KX5mi1wilN2t/03mwWQLbyC4VwtjXGpYg9XbnGscqssD+6oHkBrNm
3nrGKLx7eVG7FaKtSCbEMqZFT0rqE+moQHRKjpozH6dXHl0+PMruxbmVxkRbFanEqJOxh+o0Sqe+
l/yoDO+EwfSSxnyu+uIoahEAPNEQMxWaaelpLXiirGS2oHfnNQImWB7x5sCo0Avm8Wqym2uhMwDY
2s/4KF07mGH6TObQ74vJ0ZvANL/EeebEaCG1mlJ0ifBd7Hl5DA2bL8lnrqVKyIVWNnAEDLkwd56c
53xej2ezUnUZxyFMqAq7I9ClNHs2cS2tvojRm2j6A+j93eo3wRQI5fM2VZHlz4wzkqcxdd2Lj7cR
R/pUfpePILUs7QbDC5kNrFef3omR3fzJ2/weNDhwy0DJjkbm10fX91d+tGjhmk8LdX3Eq73mvMbo
uIffxQyQhmIPIOahU4kFLhO3tgVACbj8eZzdtsHNV7B2Xa5pI60qvqJz6dyYFBSPmZ8AazpB9kiH
DTWA9jzFZ14tcd8Nvy2fBRCQBRKaMYHg0TP82VGvKAtlYqOd6EeKYkhp84gD9/0JioXoHUACLrGD
/4q5Ng0ABmmHZHmYrhs7drQrOo0z+vym/73AgELT/SuMcfliMcTS3IoIesIvSvw9MsHZN/Nu7F33
sBHC+H0yGKW+FK8rUo7ZiU5M0EYwYPj6/A63/zix30ti+/wbICWLKj2x6Ktwk5y6n+NT+y0FG7Pi
lccstjBlrP74mzsA02ImAUazSD5QJK3S1Gn08TI/RMEo2MaBnGk5FH2Xjtpzyxq7p7YRx4QjeFUX
pSWmaUyTvuCdxW4bKRCXz5dXRX/lg1fdSGEikLiKe60RISWStYPSLu4wuH3iR9PzZTm81TA6mBTA
084qbF69EidZ/XCd0e78clnI7lM20vjfR8Qo4UqiTshVekSUlkgPIhd1xRqFvf4Pygd0az5snQJw
UMBxgwuaHapthTwZFhFO28gqu0mAUD75hTgdhvaGhLywbf9S2khjrr9e0BvgMPwfMpd9G9tIpEe6
uQantS6lmEZyoT640nCXrIUlka+JSBy9fmhLT5+ewikAmaQ9xYad15jieOAc6K7abL6BMQJRQvNH
hUYrWkKgkAaCRccpcCWMVlz8eRs572gZq5hjQNU3KhL6oc90ZzbE70DRvpdHc7GQ/HjhKB8uL3R/
ncTUgLaPv2yfvtys6PwLEdzEXWOVg1vMiDpUTuDME8KElePSzElPG2mS9KHX3LF6koh3eR17hC1g
F3lbCE2yNkojFr0+golggozogEJCkLVlIKWpN+aPktDZfbIEGjRIrA+iCViY6ShHNyHgj4Vadsqx
5lxL+0sGjI4kKaqqsA2bSxMCIVopZ09QvgvNaPWkdAaeD6Ve5aMj+C2E7dpU9D5FgxSq3cUSDAUa
PpQKQ7yN+HmQMc6kdXfLSG4GYnIqeTyxTE6iS0UpABmIeFWiYWz4Gvm/JQo9grOfCqCns+FraLxc
Pl7OdpqMBqVN0kVLhpXKrRhbgEStAVmpzItmXZazb39vO8pokQI4XX1VIScqImtAqpNezeWnevAE
AHNeFvUfjvVNFuNYVynR8mmCY1XOdK610zdlZ/lPys70qrukLnSTNybSyGQcATWFQLs/x1UYqO1j
qtyK0nnofNHkBWa8I2M8qGbIS5OYKTL96qRgELLTIstMeMnhbnKmvG0i4zBHUvYF5g4Qz+qja6DP
W1gUW5wjaw6fmoXywz6uqeL02uBwjm9XsqqgVPR667/W+De7GZrKWEYhGBrEY3+Yzj1ghw2Lwlrw
aoe7G7kRxGxkPw7AVRtL0TPNs55Jjj49guKRo408Icw+SsKyxu2Il9pKS26ESAlyfbRM4W9uG3Ca
Al4CNCcfwKrNYsUTtLLCjJfZnuava5I5RLm7fDK7SwHfPM1vFJ2wbZu5YtSNFEYiwiMMuQD9rYm+
jNXfVe3exLCdmzFeBPOSRgj/U7VrfMPRQu+fqp0R/EHVjh70B/vdSGT87pgSY5FNnFE3EGvIfoBI
x5VSPCCnPNvdTxM1Q0RhAFRIIGd97yq6uO0XgfomCiugdN6/sAJq5/U+nwJwPwPfyGOidKkyyKpK
64QMvPgKxhZQ3saWZIHlBV0KtEcBpGuAG+itfrYi7y/guAyykU4vvI0pl2vX6Obr7bKKTtfedo1o
k/5eQ3PCZdXc9cC/BYFB/r2gMVmmsB+QPaZNXKBzsvuUJctxMJZv9YTphCIWZE+VV16P4X6ZZyOX
0ZxUWua5C6MZ22t+F6wcPE2/ls+A7qwQlZxjr3b7HGBnUof3TmcB1oo9fil9wrH+/SwJuCPIXPAi
/gHPfBhBDzIrVKuA4nS1mSDMMUHIc5v0+vxgLRthjNsU1qIUwxHFhzEt7LbObWHkdSrRbbskgrES
ENLEY67gOP/3M5+7Tm2zGsZAylGNcxwjCnXlj6p8qDvd6nizOfsygHQMRAGcDwv4LhJxQahKiCfM
Pwu5cxIlOYYzwIAuG8H+wbyJYeKeotbncG1oCUXQAoTtTqJ9vixh11HqbxLoQjf2rJUYEMwUHL2a
5E6rD+CLUiyzEdFtxFMB3mIYLZPKGJM/wF1AwwlKh6hbgoQ4tMF3Y5qnxpndEljmCkY8Li+QKtZH
xTOIrJgSxfxl7LlvphLjNzCkSAerkKn2B6kpFbst0h+TVjnRWnHCgz3Yb4PobxLl91s6pfVSF0oz
e2anYTxQzHPbFOKnsWoxTS6ZNA8QfeQFp0yZnVCTbbEHcoo2PMeYKOwr4ZSu0pckEo/E7N0wl5yM
MuiQWuDszO550OFvDQx+KI0wJqn2TS/iAQ/v1EtnLWnmaUTnUJPsatdGBGOKmhovoK7CNSy20q+8
C32SGHZTda1taqJ7+aD3990EUJNhiK8x4Pt9jzPZyKKE0Arx4lbAUAPhVmxlbh9b6Xfh2+vkKx2o
v651mzySr2199TddnyCB+P0JjL1i3j7K8lyGsmWxDfx8ZwF8bd/3N5eXuns3bsQwRpvlghjlM8Q0
pui3eNXpjdYfJSAoGtW9IOs+AO05Wr2rLBuRjPE2fWPqFQCNMOGdWEV0rEvCUcf9sgSQCEQUwU00
KDOWquRoOZQ1nN+ELtLS1b0pstdTbwG4NbGST/FXBDaOpFA4979a3JtkxmINsZXbIYXkuFE8eAun
KZ4vn9h+lLhZHHmvnIkhZWY7Q8Q/TTadHR7aYAbiXu6WfsVJ9fYP6209jBrWmMVKCwH6IaOZQexQ
GWzNgLOgPR2kmMg6Krngk2FTB2STA7oM4D0UtO8Ndn3Vh5Zmd+fwFkS1R6VxNLzIA3svtjCBxX9/
3buAN+LZlKIQMoHMCcSj/m7pIXHFNHW1nkfwTcNZ9vYAt5WK5hBCkL8yPnIeFLWOBuwkAVEl0Uqr
HtNTmT0nLUavjKPWxsdVKzh7u+c1TVEHuR88mYm87L2u5OBtqCsBujLLs6MrgEQr4qDOygdx4vUR
7eqlaWAaACh3qJGzCwSd6bzEhgFV8We4TQAKftMfSwS4WjCdOo5e7kJ2baVRpdpEG2qMWAmzunhh
iEevzvFomsvB1CkeBgttvcfQcZ+6a/qjLr9y1JXu2YeDxBli9EHWDI3d08IwgQrZCfRyeOUa90Bh
SiFWVjxZFjdA2+Wc4f7GbgQyNjjrZiiPEwTS2QezsijG5ooh/tVVP/9B88NOiQV6CkJbWQK9Ffbw
/c4uQpq1oZDPXi+BtVEhjjn2ri7lbhclrpRFV6MW2WVm+irqnZf3dsdGTFHClauIuLVBHP9edB1H
qaKUMEXZD/3aCw+STyncuYh6u3IAQyXTyjVw8xk5Q4XW06YOJ2/+PqNPEXUkyS6u8Y+fMcBuBf31
7V0UnQzggeaPoeDcT9qOx4NVQrqkyehFZU1FVpFV4L8IiiUdSJj68FFWSkcg07kSDOKlKIMaVxnI
gtUgX+Yn5HUvdZke2ql3kwYpevotrrPETsvsYUjngxyZtt7h2VxvLaVVE0ssGrsNE4R7KtgvQTYE
Rk0l1W1wXkFbB7cpV5TgJyN183gqDr1Y35OB1NagZlcaiY/1UBeuPhU/1bwm9mBMePNJpdiP50L5
jtqfbjVpdddI5mRFmZIAHZASxUd9sJpxoNeGv6QqUgD5zpiiq1xKn+paWi0Z3KFS1TpqOblJZgRj
KjtND37SHB9SJIo7DfU5nK32/5H2ZU1u40i3v4gRJLi/cpVUqlLtZfuF4ZX7vvPX34Py110UxBY8
vhMz0xPRPU4BBDITmSfPScSH6+dqww2e7TfjLAL06eSRRuUZaF91uEfGAJIFATJ+jxxDWycL0zPQ
F9UlqKOxbwRDLZVx0gfUJxMx2Rthkd1UivmFZBlQsAaUIUg/iod+kqG1auLBkpRBYydViA4plIwb
Qe4BaQdPQzWYSDjrobCioPk2Z33oQrFKfa1HqNUm0osZY2oxWaLbvJJughKskCLgZbayaEdAl3Zy
rr6YoQECrX7XxsJzkSv6V0VJtb0cxTlMQ30lDednudaPci4/t/GYWpEhQpZ20Ho7D5r5wVRbyUU1
pbLVcXSR1cCnLolwyIV6tzTlgzANmH8yxtZBBRP/kAAmt264N/XU0TLAKLoysFQI5flxBPa/doTg
8ZLOTlGOuQspZfIrj+viTounnTxWpSfnLf7o5Pv1D7LhPHVNk0QTIrcEpIRschFWyiLK0EpGwbDb
kwzYi26Xp17rRLvck8OYqxOw0WGARbhrA+zocGEs0cAyNk02CXDXvzsM8bzqMIC+kg9s32jdnltk
ks5RDOW61WDxXfAeX9YddsKr4Sig/UIC/F2G/rDN2dfLrOncJuNCR3mKiGjSVWLOhNzSh3gEzPwp
9wFl93Fw6iN/pZe3S0dY0nVFkmXQZ7J5vSApmUSqEkVmVOtMchONhzL/PMYz9KNjaLrgP/3CiUlE
p9t3HvCRmSoULWWqBPGC/qpVqjHoalguYgNdiUWZbWii3xVtF53kJo19uTOKfWh0s7uM092cQZgT
WZhFpgktA9PAjNOS5laXqI2rQTfaKOEZ+onY+YKpJ3kZvixm6AZh4BNZuJVbZTdBGV1Ypq+R1jZW
USeBu9TSa9k1BvqMzWxpKQnvW0GaHKjLL86wlJJbBc1OCaAD35PwCJrj72GlPuUKKDsiII9T7U2o
o1+BVCGB1nRvaONPYYzpryQ7GFA2b+GS7Doo4MynxTQgAyh2D9j/l7IWwCmhV4mdtELlQ7/bLvoc
GkdLiYrmUGR2AwimVE6dPUMB2cHojWT1gWLsxUqtPFlNtKM8aHhmKRn8YVOjHRWQO0kedos81vYk
tE/yaO7yaBQsqFvHJ5yqJLeCtq8FqwMBbQv9+CnaV6YIYRYzvcOrMrlXEjF1p4RoXp9H+rGoesgy
D6qCCKcCuzsVOtSz58np0I+90Y30KAppYNezBkHePM4R/PribgQ7F5DZpE+dKexuY4JuUhpDNg4v
BUuD3qwDhRnNNfWs3AkpEXYYVnwSSCE5So0xfD2dMcAbVLEnZrofKRC8IWleH0apy3dJGIWF1Rej
elTVHv8vxU6m3omkQnQMSe7vx6pwayUcbws9zm+zoK+dZUlv00l8FCbRm81hN47zbGtBHzmhlp8q
cXSDJgBUEGMGfSXIh6ZIczvNag+p2mBXU7AX5tCBJoINDXiIJBM1fUl6/Uckl5FVDpiiz7vmqULN
3W3TXnaCXpqOCkrPrVpLt2GaiBDtAReaNs7T7ZjMcuxGyyJAwjssPs2BlvZW3LbynaDrh2hR/DRv
fTznYrtdZtGWemC0h+ZGn6YXMJH5Q9TcJcPsmr3a72JivAgkepqxD02UIlqk0OhGijPH4ikojcgB
v4zdIePcmcmI4R8jaG6FoDH8KOgP4zTu0mnK7QIlrlmrD2LWgEwwOWRh6ZTR8AT+dM2LykbwDCOH
nHkTlXaVtQB1S9gYSC47PYAGDujkRD+ZAslpALfWtAUZUtJ9FoOxc1qw+UQ5/hmtQ2ZrjneNPDyh
tIBawdzbnTkMt2g6gvku34WRaHVQxHJEIbsngurF6XBSNRA8RhjnK6fMnuYw8pMUtAmz7mQReSSg
ehxL4S1G+A7b5FMoycjIslg7JJI+DXavG7NLpix04rI8CkH4GAzBaZFQtyjTHfzCoQZ3Kl1Tum9V
IORD866Vw6coKDM7IPkJOkhgig3nN20sxJ9l2A4PJCE3cyyAWL0KdsCf7KIFCZgwCYnTBnPu4mmD
K4zHoYUqauZJdWVyctytMAiqdQn1ax1p5cV7twc3qRIWoogA0UOUaRHvuz1G3/0WpzR0Kd8xHyhI
Lku0cNUro0yiR8Ks78wKRpN9dF+VVvKc30mz16e74BaltB04Jo5odEUUZuvrt2b3KBtwXlYQugmm
9ywwA3HRnxtB6+w3MeGjFdGXBXJMBIOqBtnj2VGyyRqkz0kmeWhMWW2duGRQeAH6Muc92wp2HCsK
B21A9V2E3oQV606zp0zagZO9LRhwkxExIS+L4dc/GJDnWWaqb3FX6IKUvVt2Y/k5rX+IbuZRpusk
d0wkJIOvCRkdeMAR4CUmG7O/5+tmkiGlyJIYwRpUq5/q3JExv4eLdGqOgT/F1tQ4HXSGABs41Y40
u/UxCE75dCO5xIrByspJkjYzh4/jyNJZgLQAUwT0OKJU8Fp5dGihddJ7Ko3xB/tO9/UiTwG1smxQ
UJnBZkclwANaWy344mAx/2CdpPzwvF3e/MQ6XKCioReCRO88JZoMI0EEnUUvllTwdt7I01MqdzdE
4dQ+NrJMHeWrf+ywGHGtmJF+KLDT54m1xMW9QMhzYXBrVzRbvdy6DzvMkW2iSolmAXZkAhbncCcE
FkTzfLA40xmkovormg5Kgy1LBpp+9N9M5V1T57GXS0n0BBHFTvNRR3p2/fhtbd7aAv2Iq7wVvIit
1rQ4fUQDvh2RrF/qvT77162810fZvVubYepFKahU9DImyFsiO/7a7HHB9ngPJPYPtbCFnfp9ia0F
+mwUnZv9qhOLPAUhlWf4DFmf5o5qff3vRO3ne8uEgcCoi2Sasbda/iOQCqusoTENNpTrK98KNuuF
M5dAxvu1NqAO6kXi4hvZJFtxpOwHI3OqeNxpLUnc6wY3JoXO1sXOmkNoRwg7AxaV276xzO9U24eq
iKjVO5/C5IIr6ekvpqHOrTKXo1qGuq3pSc1fNfSNdzVk9pBa5c7yCk/Gn9rcCpirfX1/j63ObTlO
eQgRF5o5mCfTahytwZUsaATxJV8eHcnGXw4U5s0fmNvQNjtfLfOwXbqkNGrh3TqMOuED+dxkTvGW
FFZLZ1N0v1ogli04XQk+BReTpbxztTGoTn+CphH8C41mFhJQdUbbNvg7Xt1YNbqcr+8tbo8WmWcQ
4D6T5/m76IU2YpbT7wAVUPeHDAxujc/99luOcf1TmNozMYG1jQV8+wA8Hb52yKHJBezTY/9J9Ar0
m7jF7u1L9bF2xi3mahtWcMTIlp401YJsBRWTBFbmJvhRO+RT8jW7U5G2mHsu5H7bXX5YZtwlkQRj
lBDtACoo9uAlS55/IwtMe5lB10TFZP5gRHkrRVhvMOM9y6pqJYWmCI0z/wpvlhvTjvflvodsJn80
6D8cyMcaGcc4oegeCQOsQZU5tmdIu1T36QGVYxACZ1ZyZx4yN/MJB7q8VYQ7O9CMp6xSdCwzCWY7
B7w+w37ZGU7voRcbgAaFr8+zmQOuNpXNfbsorZqRbupyyo59ZiHzgw/B/9BUrwv9BDw0tR0gIY1D
v40cfbZKYqnlfXxf3icPXKoLekkuI+S/u84mZm2V9uk84efoT+b3/isV9TScCboX2VcCtioIlXAS
z82jDJESoDFNCiJgPLYcFXEVVwjJsiAc89b0ChUynnjqcOIRPS4XC1vZoYd75ak7FRDCRYId0Td8
olm9P+yyxgLGRHDF02QvLpRtHfVzS3sW3FR/o80PP6nIiglmJcBOWCaYvhlkRFmYT/YT3nALEhxI
stoT+PycFjCg+l4ZbEhwDKmVciert/ZYw9OWyolB+oBtkxWlNEaJFODi1uNerjTLECdLjfbXt5hs
nZ21GebGysnUyKIAM4X+2MavKpIpUS/ssHnMhRdSPBoaxNKk2WqlX0K57ILAG/Pj0KRW3QV2mke3
tQLhxHpx8gI1miLE66uN7NSYPudt/nz9x269Cta/lbnmZk5qdVEEpLT9QcMhANJSjEqv07n5+laK
oEuiQiUnROOCmTvRW33Wohg1Z2Nw1Ui3oMaFotdznxYO6ZENZahsZOHJbPp7MXrIBs2qRt0K+ofW
3It6jk6G7skikD0Qe+bciq0vhgeYTFnD8etYiDruQzAFNR731ZRQgREQG3OYNDYtEMwNozlLZNmk
QXt17cQSzLmTmEse/svpMlBoTeDR52S3WwUck+hoBGPeDXgFto8R9o2MmfMeHgrcVRqaGFF2K44Y
TKZpJgbBoG9e7K4foI07dWaS8Sdl3WWhkg7EQxvY1tXKqQTIE0Ha6S/M4H0M/wh47kV+VXZJlc+5
SMC/s9i0EK/PodtJNW8HNx7kQHtQlS/0gi79U5Qr8MLthOXsW80SvoFU2BpctOn+UggPWKcPa+zj
QDVR+ShLWKt/Kb+MCQpLgaODhgttuAEt2j+qtrzTAjIR4MwoE2lKoc6DaYHRsJJ2ZaDaIoABgCe5
HaldI3tFXwEoPX/RTOB3CoT8yG5ElCVryepMf672kUSsQl7sUM2tdBEss5KdHJ50Ge86s4B+nwBs
ZyrvtPGrLhWHvq1mq4tR8c3rwprU7LGqu89LHDhqDu1d7kTZBnr6fFeZIxkX8zT3AxZIuc3Er4WX
+5BD8cbnzudB/rZv3OoLMvfaiIexLep3W5CPii2waWC+RbOm1z/7elyD1NGsHElFID6BvhWBhvro
ygPEB2wKLontwS00b3jkP682uAfofiro4OmU+JGFPmgkr0MizwS9Suznrew1saNMdgIKt8AaX+io
pwIoTXqPFph+l7VWcGOI1h8MP1zCXM5/CBNYVRRHC2nAD1H87F6/MXA3F7u+508S/ccR+lgyExbj
cGnMKoElypYqQfRv2KX7aAd9au4U+cZIx9mq2MxX1uJZbYL37UX7xZtuJi/e5YduR+tYnS/sdd/w
+J91K8Nff1Y2xR3QBZxSEXaT/XIUQBrnmVCoxITisQVFqsvNPDdC4Jk95loajdKDuQr2aHBSB0u/
+UenPtv1z5SylJdTb72dzkwyt7PNB1FJWpikoGDpWSDWnFrUauOah/Epauz6VPhcs9tB5N/Tw7IV
A7VdZHoNs8Ft4C/7CTDWd4+AXsVf4KJ0UxZpsNIMZNVsWVfpcrNcEpWe1AkyIZIVgD04t5Z9/qVq
QZHRA3MmvQA58aTrbnmDRvf1wLz1VVf22XIvQDJTLjawD9Edq0waTxRkzuzAxpNlvcT3y7pyeYkY
ZDq4bTDxo50Kcj9oU21BgNlt+3BXFqqlAK9xfVGbd2O9KuasFrMwLRjLIZhZpHTB6ZffbMGGlxzM
v9GmPfuG7z5/tcB0LCdTHmGtOFKyeNpzoHc/+xNvQ488G/3XK2PiB+YgjEgBDur9vAhW4ZgiOPF1
UKmgfn5Cm4v7lKZ7dWERijyYZZKJhqGm84glD6regYDv970H4GQXHshePoCnxg/ueF2OzeO4MsZU
hJpk7vu40YiXpY+Lrn4zZz536lbKK69sMPWfSR3lPBywIEoQrIDsYKoOVeUIAI28M+F3dtc7wvjA
G9TaKtuba8NM/NP7udFiupM0saHfLp6s4imq3folEpy0thQnsiVMp9n0MY09cJuX8CmwR7t0xNoV
Eit6MYSb/o236xuvSBMaOwQdLNATXYB8NAgDGJFUyd7cVwf0e0SrTN+MXBWderznXM0t57q2xVzN
MCy1SEhLmc7GKQfxNgGP+QKQ7Z+p6/GsMRGkUEstmxSsjDboxrt/ZOHG0x9U+rauJnBSQNTLxgaK
VyGJoEBVRAaUljIPU05aYXlPrTQovGqPXIXXrcuyNsicp1SXgqgoYZASdo13z4s1AcRKSYH+fn2A
15kGJsExPMc8PKZ5rksFtREkHPEuMQ6UzdV8oaS74PtEwuj3lcs5LJtbujLJHBa9KFpFaWBSjywq
dNl8lsAZONg5ZhP+6HW1GTlAVvvvItkDs2Cc2zBgkQL7ugrAvky9pX6B5nKR8sSrgW8FR4Ng+vj9
Al7UtAAYKAuQ22OF0iMsQ9tcx5SzWpyy6jHE8CPe5m/XN3Xr1OB4on6mqZD6Yz9jAeCRqCclpG/w
LM6N3El7zh3fcrBrC8xXqyHzUYd6PnlgaLeG+ceUaSD75mQVWz4Lw2lwVirw3BcSqJIcZ2rfKNDv
wQAcMVDzzBzF8Ixp5tQDN+YeUFUCzQfSM51ol0JkZqJVGcA8XiiXvR/GybOZAJefjIBykbuhN/eK
ZIw3qShZhjR617/WRnPmzDhzx+s5mttcadDxnCq3EpV9kT0qGlwmWmJRG1jXrW1m3Ou1Mg8nvM9K
adJa9IIw+EBbyEDtlDYpbApsDSyExp8ohXafOWa33PTKrEZfjqsMCuX6rmoqTJf+ztc6Ajit9EAj
YIZXMud4Xn5QzPxi6hfFPLTScNWZO94RiMoCovybZ6z1oWdhUfxscuBF/IszyhhikjWiR0Kh6cAX
9jpmR8z+Nez1wxgsN6Dq4jR8Ls4JY4rJ0tIaAwdaDVOd+oOUj236krWhhdJrhO/F+Vr0/p5lhIwt
uuzV1wIQpQN2AxciAt86eoWlLdjAumWW6U8+fzzmwmEx5ph8DeDZrFITjHENQrjLyzdV56lmXVZl
GBPMLUvDfogwYQCmMRprgJ2QniVr2kFfPDc8wa+9vwBMvJukVWscw0txPDJg2lmf4L+EJXC7fHGE
XrkpyP/q7BkrjCsuOi2MYnNAf6CdSmtQ5Lsok3jDNdJFEGOsMBcqTYM2JMIIBeH3jHr0My/4XD2h
dw/4iWZR+cIAcrI3PbKg62fxItRQy2BYADUN5u0upOtSZZZIjHYcBhmhPUD6zgqBm9aGSf2fPeO5
pYuZxb7oxS5Fr1p6Gn9Vz4XT+sa+2w2ouQCKHHwCInvHGwW9zEYYo2zKpWhhEtOuqnpKnnVvuaHc
xTCHlMstbF4usnnRPjZTZg5LvSxT1FP8YtZB66xtdzNae9e/16YJDYzcmFzfEAQYOqIKYI+Hm9Ji
K6meuu7LdQObLndlgLnJkKDArO4go0cYBPda9kOXwoM0vC0TDzaxefJWhphIWfZD21eTgkbs8sUI
JDs0D0r8v/cz6AH4sMIWF+tkkqRxwcwlLbqB3h+Tx9mN6VMcCI+1hPNp2Hoi9LP7aEpVuAr0t2y5
TWoLxaGUc4+2t42KmyLwXhLxVpESNCnistcMh2aerSyHZMDP62dgM8CrClj+FBAjXJIjYN6kAM8O
jGiCuVgoijtmt5zwuRZHTWtgkwnCYnvXNwVxJ93gEX9srXFtnjmDWVyHUQGMqie2KVaYCvcDXBN6
LTJnoVufDIPiKh3cxOgTS+I+ThrqQS3FhMaBq42PYsujTdy6TmsLTKhP4zqQl0oXvbR7jcvCMupD
Lt4qIw84uRmBVV2CvJkMYXpkZec5hdksoSwoCdrLx3eSOGgVuIIt39JB9D8a4dpKmNYG6d6ukpgk
VftarWFwSCErWSXT7RzHL4gyvtglHlD0/vVDuRUjVd0QMeArEoJa77m9NEqTSithL21jd0yWG4xH
PM5S81lo4spSA/OmkjDkc93of2zrv1ZVJrFOSnUQEwNWVRDvuc3e+Jq6dOA2hoam1xz482KXrRd4
rNU6VSZkZaLaKT2w6KgSiJTkPzw0BLgUyZ7uhP0cccg0uAtkYlZbzuWsZ2j9p7NNubU7CTBiyi1d
SP7i9id+OrpxuxUAbEBSLNGSPft60JZg0lMZEUbA5FmoHEjeOsbAe6NcvIgI+g8rK8zxHKIgiwsF
Q5T9wfB/82Ubx3IPZLnDC/tbWcaZLbri1VXQsc5A0HqK/szuja+JB1mG2/HYPJAdH8d+2S9jVsa4
lLwwmnKakbJhrsqdoJJzmFD2bG9NdzqYunM0TAtcKOhg8dZ5yQ7GWGYeEs2oiEXT48tJp/BrdG+A
AH4ObeVr80zVDWJb9sfIiRYrpsp0qaPv4fC4DR/eh2WCA1GXtI5BlY4qIfmluKVv2k0DJUNALD2R
m5lTr8I81c4+LeN1RFBh9phnx2G96TIbuNXgiwT+++G+OEVe9i3wVLQOZktC49AjN/0Nr7K8dT8/
foAqskxwciHkHcayIB32oOFr13e0Fys9FK8LsMQC/yxf3V7YY9zPhGnGCLOQYNfJzqnXQCLu8bC6
265AAaWepAAVxOJ1TDlaYiPC7sZtZochsdX6vs24SSD1YZcf8cMM4+PAz6w1yoz7qZ7SR3pkKCx5
jDFMVAGxyv1kGzEfn+zDHBOKs8hoKh2vHS85CqdZ3EnGXvX+z6kinalt6VffuRgn4tNE8DaU8XpB
lIqLUuO5qqdfqvA4J0c943nWjaTpbHmMt1OyIJiKHh+NPAin7l7ahbeqq1kU3T34VMCd10/m7Sfj
8Ja8h5wocMDeCEkdtS9OxBCPUAz0i0ziwNQ2khqsjWYZILOQUOM99+S1OpZ1IGEeSS+LO1mYDkW9
QL003KWi9oQoub+eXmxv5b/m2Dex0KdTWerIPw3asyKjVSzy7rqJy4rku9P+sMFc6CVWkxTTqhQ/
XWqWVtvloYWsZGtTEXUMkaUYcbNK2eKnMrzVMdeurqQinAdYlsWn2UgBWP56fW3bzvljacxFm2Rd
UJQB4M0pVXDia0yLJpZu3MTLt1781s83lZC5101un8UPk8wFq8AmQvoQXywdxOPYkSNR8hu8Tm6z
YQyt67b+w/d/GGNuWqFD9n4I8aJsXfmdWTUubWWv+lSHtXkRZKvkHRaazl56yg+LzFWT27EwFsgX
vCtIQGYaJF2Dq6DrX/PIkDY3UoabFNHvw3+YXCJdsiCB8h4dXTAzO39tjhKonlAup+rIw6+4R/aJ
6vUtr6S8nT6tDDP5Qz9K1ZjRId/gtiGOeRpnq3imhiOH7PPSMk7Tr7mHMDKGK3mEWps3YmWbcS9x
JCRBKhmw3aRuE0O4ADD/64fmugkMKJx7MEVMYzkj1DuTwqlNQNPKmOMk6Q5dHJJ/VwHy5HMTAgHp
jRbgDqjg+ym0CIPwo6UUXxUzd4Ksc5cs/t+rXkDf/XNYML3JWFQb8CjKOCxZBH7OULWW5eH6tm3n
8CsTjC8hQdCq5QIT0R4gP7dAUT632++mX3rmnlcquqQ/oU55ZY1xI1InGm1toMCSHfFevs08013u
5NvBpZmz+C2ww7fr6+MdC8aVCJqAYaHCBDe49C2Y7ueQBxnajJyrFTGeQ5wKVRIyHIpiSNwpLK0x
rNAdJbaEYTMJRMLX10N/77UzyLiPepQB3ROwnqhV7wat+WV06ueoAjvAdTsyb+MYdwHy/aRpcxPv
yHY8DopwWwVHcUDt1WwtKf+aYQqnmjtbTx4F+WsEiejsgVSvSlQ6WlJZVZY4eghCzho9aanbqQQe
PCWvoOxwjOpkklMfBG+qMr8toXiXoqWWhpnVlzkm7sGQOFaWPCicJW2HldWnYrwQ6RKj6dDAw1mw
wDrXoBZPvV/2LUZa3C0u2fFgwpuB+sMiC5IzxgB5VYlA1iTC7RyZudXk+WxN4DNzW12M7LJYXic5
3y9kmp3rX5DzAVn0XDTrWjEWNNDIoZ1goCqYF457uhzAPL/O785lVQCAF8fsY4b1JcfejXfSTkOP
N7DJ5JPPUIj/CQ57R0bJWd/Xtd+NdjdxXDLvm77//dUvEJZRkRJasQ3vxq/pDQUFVS5uRwh/Ejt8
LDLnur87uJW9XFDrKURc9/JIsXsMUAWktqJFc0C6xyMx5n1Bxneh9YAyLcgivTjM7HF+EkAsdP2M
XE9GkPqfx5dArYwyi+C8ql620+IkiY/5/CQ1BecsbhX31n7/PTlZbdtIarFsMritFXirrQHe+hNi
88uZQuZYMr5rTkMIdMlY1gjpWorjHAEcfYtB4mKndr43PLyC75GeI9UJXPFRv49b27znvYc5rvr9
8qzWHA5NP2oTLoeqHjvM0zeYJxm5ZSHOIXnnR15ZUfp8GolBr7ltgDZNCjCKkPu108cWpkloOaz9
xlvZ5TTf+wYrmq6JmmxcECJkYl3mWqnKKPx1++UHZRRr7+SdVGJYtIuAKZXtbNrza4DbW/phlz2v
bdfloBOHP5Xv5+muqW8S8nT9SmybMCTUUGVAq9mB7mQuFBGkXggSA/pYIGck8Nqz4l+3sv3VPqzQ
v7/6aokm1IirwA0oOsYwA9ONzb/zjB8mGO8B6FioxDp666OtHIRPdFiEsip3r8KBEqjwiqT/8b74
sMd8m1rv+7yYNBC9A4v6f0zv2nNOcfdg3k52tFIZuchjI3C/765v53/4lw/jTFokDGQkUv7OfQxw
6JlwgrjjLpXmxBdJmKIAz4ipQflymNWEkl0LTr33GjvUIpxgH3g9YE5/yxZDr9uHPXZcrF2yLu9C
JEl/U5tUNoPCyhrzzJlIG6W9oUDpRgCnpZkRN9I7N43zvd7tzCXZCU3izPCXeu+pWbwDvdZT3uMJ
FHid6IKX1JLJbdrjRdl5taa7C94tDWA+GHyE9vqdOY1H6L87UfWtCN4WsHzmiqfMn8W08FLpudJ+
lW1mFbmMqbPEjkVICMugswxfIFjhZkNOmeAspd6lqmZnkCy4fpI2r/9q8YS5mJ2iaw2l7ZDNzCpj
3Q7SYxl8vm5k23+urDCPrkgI23SkrBHNp6JxZE9yFhBuYRTnDSyX2YzZZAwBVn4K7vPH66Y385eV
ZcbxNPOYqFmNFnPYUd0aw8+q0hE6DB5klTtHAyfB2L6YK3uMFwrCuA/zFkd3FfilwcEDcMe/mJsn
VwXro2SCjP+C7rlViBjBC+APJ41FhNpqeujkKM/B+Ov6Lm47u5UlZhsT3USnXsQdoarTFPWVfaJ/
pdK4hkM6O93LdJqdv8Tt9/rKMrOhat/2AXAI1K2DBQ2kMvXPFNgeiqArbtX99XXyNpT+/VWYAleQ
rigdmiJ4OlmR+DRgVtWcO4t0PEubtRXgik0TI+J0WPrcEjBgYTcZKOCbIfgkxdQahNdB3hUJCuzp
SWw5H5B+nwsPvjLHZogUttdpMBeMiwW9XxRXOFvHs0Cfhqutq9Ik6VSZWugax5S/5NA3uP5xttAq
YFP4d89Yqd14bqJCpovQyGT345uhPCX1pz70UkFCcfFNLEtnzv9mXToBSEZH9gfA+/m6ki7DXG+F
3HruQA04SPtY6b3rC9vut65sMLerK2SjzlKkeXoIfiarQVP1cQosHZyA9a36KD1iCPWuai2lx/AS
GCOGVxHeklcx3QwFq1/B3LQ4D0SjV/G0lMPIzeEq2wko6oansbF5x1ZmmDtW6TKmpOiGqmDNLLvC
aRAnRQNEXNBYuL6x2+W3lS3mlmUoHEElAk+SwYPrepUgpw15a0d7KveqXX3hQwR4i2PumV6JlUEi
BLp+eZlQ6s7ASu/nvGya96WYu6Zmg143IrbQSGXVqmtwIFSLak0oOlzfwM1L/bF/7GOrRql0yCI0
XuLyVcO0eyXz6m7bJZWVCSb7UvU+bDPaiTOfBBPj89byWT39Bkt3uyYHI5sWOkOE9gTUL0BBbJnP
19e4HWFWv4AwN3zWwKBMqVpE5G371hdc4yi8gBQBTc6Mq1ry7jAuXPHKHONQspGokxnjmkFI4KG4
b+2STrF9Ak3rMdolB4yyXF8f57C8s7isHLMKhpIWfMy0VQyp4iD0Zk1ykpFTV+dZYZyHnqVVYtKC
h6TvoBBtV9GnHoPz/39LYVwHiqmTTAx0rUpo46VGdpCiwDM1zoQAbymM0wDCrW4Hyk2I4vNdWQ++
POr2zNXK2TYDMCIYJDemxNIuWcY46IE42elPgyN8ogOjg1XtjCfdB6k0IEW8hxzPJHPSgRnI5KjB
E1mcT4kGYov2FOa8zul2sq9/LIw54IYphAOe+bSb2R2TT6mLXCr4YX4FC/Z3E2/x7mcpQk7Ayjmt
xs3VGaBgNyFPqaKrf36Pl0QLpDTBxRqC8IYEEHqbgsee8GARdJMu7u/KDOPi696QhhoD6t78PjJd
f6FkXeVx3Dd+7PHSxG3ntLLGuHqhFcskiVETVfx4t9Tvs4TlJ3CJ22UN/irU2K5fsf8wqBEJxMh0
uo/u8spdxLkiqAoAYAiZho+RFV9+VJ7T42/hOvBpXze3GWDAUfWPNeZGh2EGum3ajctExcP8isXn
PNo+Fh8mmGMx4GH7m3AtVT5L7Q2lmhd4Mrab2fxqGcyZEKRoLjoQLnloe+RhYAWFedugBVHPP6e2
vAnnb9e3jf7myzP4sSbmVOSjqhQDwhbSjM6fRFR70yOKN2CBzHd1k3I+0ja05GN5rKy4FGo9tNZo
jE5BFtw/JA6EX2ZH+Nn9mtzqcfmJg59YIw+UxzkcJpMaFKGq5QAPICGdmxdlkU9Q+/orn/HvRrIy
4mVjqktf4rRr0udcBrAkeTOA8bv+tXh3ikXC4kTITUP52KggRVU7tA085e7oUF7MALOYnEtMP/+V
42HSjV3dYUWR52VUUdPV49HVs4M43ibGnQ4BZ9V0E4iyS4/XV7hpkHJX6GDkgnoQ86XUpEmigXad
aX1cvkH/E4ij7MClWKB/zsXCfusige8EE8bnC+uDNB7mIHpvqzB6sX9QeqCB6oo19th3Q6L2Kj1/
wc9svzjZ9/SQ/p6pDu3c+QNAIc8gs41iGM1pCtECL0Q97BCbn9Cw9ZbHfF9UIUZKRSvkghg3PcnH
jrIXIM1ziLBFWGMZ9C7UNaxpup/U2s3Sb0bE0cncTn1Xxuj6V+cyGgYiRLRFG/7K9qI7f6FD6i30
yx3wl/4B5/72sTTB5aRqmq6orOuXxqA2S2Ry4iHwCw94Wl/w+V3v7T38MMN6fyHMtIHuYdNW0Fmb
qfgqrngj7USpuDHwir5+27bfTOaHQeYa5IaoZ0KM61ZL3Xwq9NwAF1lf2+qIOZ2MamWocqK50aQ/
AmLwKptJZul5ibZ4WNdWOCaKHYpluK8BALYTAdKhURQeQJjml1PNfeFtn+p/fy07s1wYk7DMJJU8
wxSdXK9wh0b5VyEEdrcQqw7NT0OtoG1C1J1h9D+yYdipEZ59pOZ4qc0qJtpcmKdCGUM1WPrDgSiQ
0aCQME23y1fRXpxUteIGRcXQ1ZzZ02sAB45wyjiLf9PcXttmMh2h7UejimG766UjkaIvQyfn9vWD
sRUw1zaY857ppZbXC16yyA180K/uGp7U7bYFtAklFQ0a/BHnNxhIT1OdGpw8dXmSwU7YTdVfreHD
AhO7Ykji/Y7I2fQWdN/lInWub9JmNkPFa/9ZA5PhllmDQS0Nr0gajZPObj7HDx2oq+JnjDDvw08g
74tP3NC1dQvWVpnvH2SzUYUjGhEdpBmhzeLmfnCkQvaKl3uhk79xVkn/PDZ4re0xZ0GpBmkIaEiW
T/qnad+cqqfE6W6WR8q49P9Iu65duXFl+0UClMOrYsedk/0iOCrnrK+/i9tzxmpu3qaPDwYYYMaA
q0kVK9daWmOXn2PALvHAz3j6QZnCEqOsqdZBA2cjtNfsLUy+XD8XTwBt+rokLNWMKCAKwK0Ics1R
Ur7/LzLQlrpU8rKbRiwsIJqPNCAp5po/C/nfuMLfn+cDDHJVL2CsxnwulnsItlLhFbP9C3tLdjsT
VC88+8NMy7cS5ctTzcAykRswDfkgJnsBGoibDK5aOtj7TF+UGMiphKO3MUAOtRP8/+1CKatRjgpI
FgnmswkkujoDEyRQl6+LYLn67emI3mxCC0kz/8nysAQSZDEGX9CGiOJD1cj+PBjonIY2Tv8/GSuZ
3ist2xhjfSbudOk+x7rsNPkQXD8X09dvD0bZjXQu8rEMYa0WxDCFlxx0Z3kBTczXqPbLY5JgBwzE
fbOTq7aMLshdzPsB1w0JoH0vbxZNxg6LunBcZLio0e38zvLHR4JR3riwoX6U2lhRV3fcSZ/rFlMW
KVsSItif4gHBPoBZwa3udY4KWj1gkBDIr6n1+Ij3rFLB9q4p45KjxA0+NnxOQwKRANAh+8gv4OU4
n5Qjhp6SDNOmGTOSTgu7Ec3wLohdCZDzn/pDntuyTxCM0XVpLPe6XJ5YKrsoRKUsAQOB082PpnaX
Kp+44QHPyLxnwptnOCVxO4IPkFSPFq/rbEAOZbmLDWWPfDQDJBGPFgjVgjrgLhpc9wwy3ahTrWS1
whRJ9ujrQf0ETEjPeFBvMRu5yzH4FrmVd/0+memMjCF1pBYmgkl6qy3vpnYowxllkZ16yI65O9vL
HUEVa8ErzV/Zk4mF/uDSQZ+kWNgcRv5LvcRKC/PCiCvJL8pqBH3V7KbhrB6MbriTZy11wJwKyoAq
MKLwS9xjVnMWliNIGTG43+bHNAL/ZKQWP6Ml+tm0FSaP88adJwMj3HMbaA0mMKJi4FhI9iWpqg4s
AWBCyTRaglrU+bCW+CwSujoCYPijewCQgBMEQwPgV9A5H4UYhQ93tBFHeTlNqRpM8EHJU1QSXQSB
7tqptlhpGLdHpWUeaixf9eiaXdcFpvvZiKU8XNQoSQfUdxTkih9CHBhC6AHn8lSLQaX/zJvcEWqu
+rGKIRiU+vdmKZenDWooZyUWZLGw2u4J+4l2AwRqpPJuyWVbIbp17V6Jcdk87LaY6ybsgWovaELp
ilXhV0gFPCyNHEzgiwHvIOYM9DH9jmpi4BIRmArgmkuJmhkBJT9HswJz7KeoNdzQinwM3Kl2LgjR
36npv9Jom4xxjLlNGoQo8v3i9OgCFo7hLbcIkfzUi1yV02NilgTl36d7nyPa3Ofa5xa4ERFj1iKo
EM0EpCMi9g4mgOYoyIPrpXNqSxzcKB0DVIUW8EdobpLwnRHTbG5+CPVgrGjEjEodSSBd2f+C20wM
W7JjgCSn1Z0V/An2AfPTIoG0LMkATwI9/KIpZavOpMM21vdjA5LcH2Y/2WnKCwqZHm8jh4ogYvBd
DbIBRzvHz7pZuhL229CSv/70mSNfsqZaCiSBI5XGfVXzpp41E2+foEtuue34LoCdu2oYGMK8LrgP
aCenZak5DzOiQUBLPiwvAHouDuE+CpJ98lTe9Pd9gOyVNxjCVJGNUMrQRKM8tALG93wlUZCxFhbg
34EmxTGhTMu9kUJZmFnqx1B8L86s8WcBzMCpEGTPRaikNng7nlJV56VEbPX4fZlUaA3gpXlqgJzo
51iTspX4WLXgjjLHB46CMG3n5mS03zZWwxJJDw8jbIOT7IZzuAdpFDjZwD+MCgBqkkcjDfTXPwBd
ZwbRG9nUEzCFqhmEEgoj7EgMreyqQKo9IrXb54cwdHiggbzDUma7ivIqBKkv+I0iAE0W/fzci1gB
GnqsHqMot7jgUeY1WDgfkh5TCfNOrBUdXRy4+EcAhR/6yTwYE29pnDlOBLaS/7w+us2xFlO8Ljke
wuQMnoUt1uRggPh5v6KsnHvg1au8mQsiyDscZaCnUg2BJYsviIXFn8Zbchyeq2fgCAb1lyRxydYP
hlR2HJUlf+kHd785KRXPJIpljaA7k/xGLMEmZ9lWmdpJilWurHQGEKVm8bFBmtS53Ti7df9yXT7T
QehYkAVPMwN6NV9jMKyQzTVsT442mScJU6mzp6be6eAPvy6MecEbYdQFY7DVWEpgvSJk7FwF5IWx
dbOquntdCttNbMRQV5qpqyiYEhCGPlCgcsE92CfCQLAlAhXNpCchyiLX8mLCiVrwRK9LbBtjAuaS
r9dPxJRiyuBjtoDj/IHoCJChc55qGV46hhS150Lw+4znFNi3Zmr4x5IIpixlTqJ+SXV9SMnqwaVz
5c/u8WTRjYoe9BSLVOBA/70sdi73+1x07hhlut7nCrSh/AaAYV96MmN/AAcH2d7Ss4CwsCFjBv01
VjVH0Fn+ESc126BtfgWl+mIZj2qo41cIOzPIduvO8EBEBwTbCM1G0gPh2BW2yvz7NXXqDYyDaRpm
R27YeKxEb0zfptC/rpXshBNUTehG66TXQ8nIo1RLzBVAV78A0sCZQADGlTNZ0orxH9ypqvfc4IOx
3Eik4qMCYI1GJxForV4AIPwahP3qLIuVuY0eK3acJACkHwzQd9e6KyurzTkx81Y38smfb3IJVJMq
KyeU3QT7sAVrexAdCDJV9QR0KrcFj6H4qvD4MNgZzEYqFT2tvdrrQoq2Xnwq99kxOWxrHzxoGPbb
3EijYqgaMJl9BJBHvxjwTHSvSVRXW0/y+CmV7ud+sLV0lyhFYD5wLpeoy7WPSwVQaTFJiA6hsr/U
SZL/VafQFmVwzPKG9LgKTJm8RshrdWUq8LtEvgKTv5A+IghVAA1ugdH6AzpiG1qZqKnI7Y0x6K0f
rTy6UT4CiRx0LsS6l+iS8eDoWB5+K5PSniYR+iEheHukqjzuBRWBafAN8OfGjkAjEBLyfPR4s75M
qZKuyhpAVVWdLkatY2j8kz61y1tTKaUzx/M94rpTzJ3RYr1KFXGZCqhGJIY0juFaLEAgCmPJXxTx
zbTihzaVgG05xD3n/bPSs40gGrrQlMFGUkQoC1ahF/XPssCDImU+9a0EqnKMtrlpTBkkEAPTqw4h
/wp3BHFSDYEnxKPIZj52TGsAQV4XVcB2Uo9dSpawaiwYtP+ejIK5O60hfAHNuSQq+FqXxnOVrQH8
2KnugyhPtWstf1aNGLMTXbTeaIX2ChSg8aCt2hdDy29TzXiRJ/C6tNljWWgHIZt3M56aXS3Nw9B3
/gTOjruqbL6BOd2y5Tr1u2zMnVTMZc5XZ5qJ7Q+XL3/4oMbKmJgL6Ob2+gErhwkWB/0sGB3tMIwB
GWHQvl+3he8BEG0otiIp1zoOkVZOgwgoUJBeS3b1uQi0GxXD6wlG2JtgAUVa/RWO4Bkbr0hQDEfw
knuAnj8Iltvv4tfZns7iGc5ptVeQVSuecNc91oEaOqhrNZVrufLX/EezA7qT5QKWR0QjPnwwH6pj
5SnfRBBYWZ94u92sZ7o9E+W8BX0tFQlk934CJu/+eZmxkfV6/d5YKTFGkERMPmkGql2UOneA9siE
tAHrJsZaCqF6MKoYfhmgKf5YDrGNUKHlkD6wbMJWJOW1pGHpsjiWVD8rgdIu7kJAgV0/FFv/Nqei
3JSGY02VXku+fl4wSWOAzvafOCu0wXNCoAY4EolG0+qngwDsFz7Qh9HkKi/HJh1UCZS+6PAUvuJW
QXks9loHyhE+9AVLMzDOCNsN4HlT0ShtrzJtyRv0Evx+eq27QFHexI6jGcx63lYGpX2roi7lVGlw
EkAvVZ3pnKP3/zU7116HefL5Jv+cB+hY/NVF/j4ZOfkmYNTkuO4mC8FUvJcP2S45WI7qGgHg5/8k
PGaFF9szUq7emrq+MqJB8kNF/FFkkTun0nnNTCdP1caeAN1ahPV9I81HQy2eptI6NWhXGXl738W6
W2MFqCx0J2603VpkP3MJKyyc+2B1Ura/kHqgQNGy5DjCV5Bz9as5rT+6Mt23Qqq4ShgdwPKLcZli
+F5G0VORWk+TbPGWCnh3RL3XKStNax1xRwQBrjok+HfnrGT/j1hWfJvSSyNwVuu7acezgCxbocu6
iMkxwM0Dpe1SG+aiUus6l2DVi5OCUl3dmxyFY76kjQTKx4ZIMye5wEuay0+o1Z1n1FyF5OX6V2QJ
MdAaFTHoiVoBDWTRdOXQNQBCQXs7AuzhCSQphsx7r6y7QsvCRFlFAc/bB0g0MazVMa101N8l2B9p
Z0V2eYz2ICcFdZVwCh94fW2mRI3MqgHvWzXoERN5BKKqPODrLGB3lSNnznnxI4uVQgX4+78i6Ac6
TJHS1FC+4bAC81Z6Ej/LgPzF+hZAJJ0oiDWfpJG98SdGnbwt2qhvhVNvb0J3HVRvje6HtQPM3W+K
n6CTDkaMIBwd66y+VU/xMXOnI7cFx8rstpKpNxcPWZU3Fb4l2ICD/i7xQHy/szyCazHe12feh2RO
8mzlUQ5TkVYMxi2ZjpRn8rDea702z1mgeeuhBoLIYdjXwXBcPzVeGmT8Jg7zeWi6ZhpYkVNA0H35
yvW6DpVahh6tau/EmflsmdGNIvJ8C1tdf4shf75xLWuEwmPX4xXO5eiEDVjMwWj+Fw99cxLKe1WK
0ShKi4htDa3HKVZ/FGYbrAa2pq/LYUY4WCT798qod9FZUT6LJDScHMNOdrIJoH2tdFVbwhq2eQTg
b8kZC+TdHvUYxmqKIoBeI5XLZUfvnwwugRRT6XU0KVFL0SzQS1x+H3HEKg/WURDUkCmZAmijVSDv
e88QvF9zzzzvwqwxgqzgPxLpznoVigPGbXvd1x6jm+4LmiZefzS8ZD/+nE65F/kC5xKZ6eNWIuVu
TLUYzNRAZCqOl8yJf4LBwT2ffHmjCGjEYax6CQvMk7ee0Dp3C2e9AfjViUCVY+7oL3aWtsejXjIg
oYQS8lC0VX5UQA6Me79UOI6OaZU3H41+xvEwp5jMAB1Cg3GIeXFKq7Q74Pgrq+zMEudE3C9GPWkz
muQ+R7nGV/R9eyLYMKZbDCBPXfaZz2tnMy2hroPNRMbiLWAdLj8Y/h8KM/ME+4EsLMtSe02KYJVG
57r5YL7ljRjKvUxTDwpadcVLUzExg23AKYiBCscxUsQGfXCfIGjTDYwDqNa7DdvYWwQMq2FWUAYx
fitL06taTwa7TtFy0TeY59lIolQiAq3l0ACEyO/fMMj1miE0Dd3a04L5Jd/12H3lFkJ5EimtiCar
bBHyEFbraBdG6LZmThTu8vf+RH0g61BjwovEyXO9dqGU0R/VLisbxcJzfucKfQeMOBV7gnnOx3dj
u5jNpVK6KPSoIuVwy77yi3akQREHEJ2Wo6l/yDvC1P6NREotrUaVik5QdWw8HvLsNhLABBZ9+gvV
38ignEwhzcU6xFBK2ahB9fgqKf51Acy82QBuLhhIsXAIArjLN6yUayGFwkjypQkzs14TNKNn9q70
efGBCOiJX7vXrHNmHngJsxS6FUxdn5ylVjLlMB6ti8oHfJkAeJbJl7zCt8BO43LOSXKvD9q4OSd1
k6qamnU2IDQnZfIEmbqBBye7mc/bT2G+td+C6BGKVErMPkeG4KtZEQbZ2p8LZY49znGYUiwR/KCi
jo08uqQSCr0gZxESwaZ2ZqQasVMaIDYunPl+wA6gkYB7gmfuyRf5cIUbmeQ3bSzkFBbFCopmhN0F
YI+AYl00T+b0pAknMa+dMow4Fpl3RtpqWWpTmYOs+Wb+WJFFm5Vn89+1+9qRKBul1n0eReDa8BN5
2Jdx/LJ25j6Py11bljZ2+hpvLJTWq7L2oVHTm3WSd4IqY/oo1u6HHuukw7IPs+JTbCgT5xPzTk8/
zLkuSl1AaWm1ejsEOmbbcvwq22ZuPij1BNXcrFazh4UmNEZkWPH47hYI8Wprm7v4oKg8p8AymiZY
vw0RW2PYEKC+KeD5BzDb4lT6MPnrqPuKYPld24ITK+rssqr3q5g8xAUQVjJF3fXTeqzmxEGR4pyr
etBVK88AsrQaMxeoRRiAxAUF5qVWx3E7Z8JEtNrJBE+UD/OpuB93qrs0rhKIrn7EXkZzqm/AcO3z
trzerQGtgFvpVMxbJWI29iE88yIeAF1iS09n09E/E9ie1Ac2MF4z6HLMGzI+yn/RTA3Yiqci4GVo
tXgYVw3sBWReQhLe9zdXcGe1hxZD+FwETOb3JxOeBAQB/oYywwNQKoS1RHw6FcEIrsdVPuQNt4/P
Cj1MTTYs5Eoa3Cf1dnota+t1MFAo/bGSmZBdLKD6R/b1jB98liemK9uKo95RX6HoPSip7JtGUtmR
JZ9KOT1LdaT5ijHdKWm5z4cCtf04ytyx7oNCQLbRWsrfPOjtD6FuF6GxOaFbIaOo1u/RMiOI/MYz
SbIBuC7a1r7hlRDYGvT7qmkoubIyemUYElC7RS5gavYgMM/9GEAuOWFDC4/8tj7LMG4OSbOJo6HZ
DamwaL4aP2bGHuw9HL/DTKK2EqhHOdRCp4o11OfX+FJymO6MgMStf8fUsxVFPUC1RyaAVRTsKmna
gyFNZ/wn5vSRkqYmx/a+41N9sDWY/ALusiWJH/roc4vKsRzjWAvGozrw1fnzMYuc+FM82YT6EPj8
KmjBGj9xAUJiVgBKiL30nCtIvXljKEw78Pu30K32TE11uZ5h92QxUFRgnwwdAGNTzuYDWzs3Yijj
XqEhEbY9jtx5pMqc+o0y2cgJQAiDB7FbTOxbcB4h26RvZFLakxelkCVRo+ERNjdq5kqqg8seZdcA
PYZTP87Hcqd+izs7bZ0p8TDNK6Zge+YmfUwjuPkdlGqNmWHlwljDtp/KpzW2CcJ9/hMIUnZ9n37m
BYfMV2koqoRBSdPAYNqlGwULrmYtWmZgnfhtHL7XGW9MioRitPaSKUwFWKwovNI7W5bYTKYYFrKP
WTsbI+6eIH5Kwzd4dc4HZAUEW0GUNS9LSZuNQkBUZL4VgOorynKXDQfwyh2b5CmbOc+SLQ69bORe
aMjSEdGYqpWoDHAeyJdtLGX7ifY0Sq271rI79LOX1g+c3IGlGAQs7T8SqaBXjJdlljGuv60GxMme
VAPmmz8I+lhvfSuP8sZDY+SVnkFeFnpJe1KWs1i+XT8TUzkI8jq62pgO+NCyKopMUqNK9nNjVyU/
w9EMTD3HjHXLCxdZeaS1kUTewSYJAj/nhP5DJr/7Bu207qQb5fAnHJnMW9sIoh6UUc1hVSQQtCpg
UZ3TYWcuvOCX6RLQvcYcF0YBAE5N2ce+q6yqMkvZFwyszq/ldzMqb7IIexQRen9tLvhzVOyquhQx
bjmUTlx2NxX4Y5ZZDUZAswM/K5hHcZdqy3mp1O+portp3xxyAcFqpDwqRh9MbdgH1z83s1SMwTMR
e/2WqSs6FeiYJnymoOB3y2c9SEeH1A8yp7e7wUHe5raHPyiiMXUMhU5QPKoo2NL9Q2GOBJRXIVP/
TAoWReQ0h7m0i0C868HILtuym2a2cEorh+ctmRGJtZFNPdm5N1N9ySG7d0fX8FFLQ3KgYe4nPvAM
OdNnbmVRzzWsS0OwQigeKmkz6oVx7hAoz3z5L7Cpmcq+OR9lc6el6NJ5KAw/fE6f0rvkaLyW8FSf
wpN+O78U2I8nuQgXUIeo9wefokhISEGqS6rVl4+5kXsVwFQd4uUTwbCR4CONGyWId/KOe61MO7+R
RYUFoA2eZWXGtRISWiX2phWz6YIzA5I4UhGhi7FNqCCBqwcQOF7viKm7qkZacKalYAzr8qBm3ifx
AI5NPxa7J3GNbtIh3S+atFu0vzLFG1GUgZQrLPhhzhEZrQSYudIBkpM9pZ+WgQf2zDsTZSCnUOms
oR1lP1Ox2QJeHflxSp/1iNMEY6rm5jzU0xvQ6LMMoZV9tDpO4IW05Sy8m3m4hzwp1KOTrLyrhnGA
ccG8hVY5k/Yd85T2dbPJitEslVR5YTMllLUutWBWlKkTRNxYtN4aIBmL9M/XBTAH+LcSKCU3SsHK
dRHHkMXufq3DYwZHAWJpx5gmRxOTb32tvlhZ/BmXyCvm8U5H6fgsNVGYAn/Yb7rOK1HMjozEvX4+
5rLJ9nyUcpdKlraRRnRO1/w4Fs6mmQM7oIxsKwWmB9Yg3bxfsUjWG6fYkPe62e7aaWjszpLtyujg
HFtnNoxjXSyHCkX1WMFStJacQXm2H9Zu5cSyvDuh3sjYT/owlD3uZMjuhhW4/2bkce6EaUTRAVQM
jPfBN9K+uM7HPIFx88X7yRNsbZfedsEUYIZxX+8Aq2LcE3JtWbTB9bwfQN7AM63MQ/7+AXQumeZz
m5kVlK5HtoWVdrsvc15flRn2aWSAAZAHcBTU+8TJQVC8KhrmCQC8E5aik6nm96oAn68mp3aY6Tdt
PHuilotHZVx5UFvKx5hdUxB1oPmP0eqP6RWGoWcjiY0s6LzoYX7qzth4BWHx3XiaAgJ7gsLtaUZP
I9mr7ozyXeRUt4JbHMMHxCTxuQIe1/o8feUlu4xg4fJ3UdYx6bow0ST8LoK+BGRHN7m3Hmqv2WOO
9AwuUo4+fzSTl+KozzCkkoVgFOJU8fMAjBcBL09tY44U7qmocETUhNFqTSImWDzElofZzpw1IEjm
WPX1LI6L+RgaaMhrLU3CbCyicRpNb+inxRoKWJVy+Sm2i9uYfSDK7WkAzJKZZU5YcEtcxBheRj6X
Iqnvpq1tJE+riEd7IOu3jXXCYRMXVKSeCCC3IHfAHH3dUDCC9kuZ1MfLLWnMRBOGgtxqjEqIKeBa
VZtgMJtHMme/ChyPx9CXi5ulPqQMROR2amRUZqVd3rzGxV0UckwD+dXXbpIyf0hC1KIycZM6BtKs
VfsGikpZsALsv+5lM9ldv0SmNCA9kJsE3gO9k1c0YVMatan5i3DTLjdDjW1Ru5Chn+OP65IYvTES
qSkwOsh3P+JX1/Gc6G0Bpppfw4zTQ40Fy9VVXJIN9KJDyulgqvmDrsRHY3spmVLOUAF7oZIS6p8p
lh21Xl4sNb1tnFbPFKdbNDc12pu6mkp7XHTOBTMa4pfCKS0FPAMgKvLhHWPAHffJIfkxYIk0tpVD
6RWPANp5WL+3vGm/9413So00wF6gKwIiddS3qNhMBFcYcGjwYVvQLDdf2so2Sls9FF4FrtvIU27i
0TfA3dDaS2k3dwBh46N2MQYrtYsfQYVv/dyEkZQJmt9huOwLBm6+r4JT/UCmogNOf0WWktp9IL30
zgyKO4dH8iuTD3vtEojV2hRXzNDqzRgbRn7ZFCUo1ns3iWpv1SYwh4HVK+yOACG/GSP1JS7EJ6lt
ZjsB/Cqiy8azugw7o23uiqUcJH24l0bFw/q7u0qmmxlr5GhagThEnTK7wKauDYap177mQhswXiju
0MSulWJq2JCj7EEageYjkVbjHys3nJ/gPoDOO4LcEKO/wDtOD9PR5MHgMN4M1g41WTGgnlhVp8SK
lTKNY2aiXCRngahFilMqoo12kAcMxkM1RPeTlh/KyKpwcPQbOMaC4U+24unRdyNSsgkD6QYy6ewL
QWLL1BtAIDuLm4PKF6zk2VeOREZEdCGRejBWLWj93EvGe2lfd6Rdcdawc20F6q50hO8caQwXremY
9cWwJyJcmY7/MGwhrkLXEd7KZFeLCHVQLEANZnArzTNIxcCOPctV7PlNNDhOjPkst8IpL9aHUiKs
batgywToy+7wo8ltxf9qHCtn3DVuujqn8G166gPjjrepxtJmEEAgrsdiAyb1qVuuImMqZ3HW/QhU
elkXvQrKWzVZz0ZxmFtO9sjonKBCgclpRddFgMHROtyZU6JgFwr9JtOpMXBa++EB6RWGuMAM4cU+
UagCbE736QMwz3wQ/HG+8sdM4uIH0FpsdVpbqyjwojKu+MUOuHfHItD38h6jQtiMyjNul4Z5v7+P
TCPzN+gVIdoTdV9sa19CH2j6XoJ+Tqtju5x4iMDEBtDmdXO/NES5pbQ5tm5wPAIunx2SoPcwHLfj
TUCxwmc0gFQDkwU42gdsJRNUG32YGgpYGRUvE1QPg8vdWW5yz6gBJZcvb1k7mo5V9aJdlf157IXA
HOpz1TR3178o68TbX0I++MahCGVnZaYoKKgJGHYPevG8+1ljJ2DWD10eOpXwVJifrotkhJwXhyd/
vhEZTYOyCikYbtd4vFuT9VZU1LPVWrxomuUrt0ejgqS+m82qT3DJ5bd8//kzqIp/YEjI1m+zJ4IB
z0f1YD2OrUAqMGpXfVpqGQcz5Ahz/JbyWOj1y19cHgBKkANhcuMD5MQkpiM2fBMVeGa3kXpjzsdu
fbgugpWGkCrovzIonYCTjNo+jVRff25ezEPsYEnmWYpswhak++W9cMdrxTJVYiORUgnsIsRJV0Ci
BsrMMsUmWoXABQPGnJOxnPD2ZJRKjKmSzL0OOWS7XHUyEPfqn4jRJMYL43ncRRzewSiVUKN6iKwI
AtXz4EW7LrAGP3u2nN4T3cIFLHZpT/bIi5VZNnN7TModdlFft7Oaq/7c3wvpZxiinbzeGJnhZBhn
uH6nzFe2+XRUWIXcoxSSGSfMkwc16W/jCoa5+VKb0/66oOtXqdJQ2bk6TyWib2CYG8NjbMyuqA2f
zUnrOQd6LybQTuD37QFb6NI+1RhWGscRTyx7kQ+I9APBib9qD2hi7QrNLX5onnIQgYTcY3fTXo4R
OFXqN2yVV0eJc2RmXLP9KSTE25jKNNYtuWhjFRkP9iPuQMeIIlJnD88F2NZ7Twii8+QT3eXP3TCN
2b/fVRXJU9qIbhRtxFISbiFCtVZLRzdReFhqjGIxCoYbGZShsZY8z6weMuS5PmhV8VqM3VFfencw
JssF1KEH3LxDigkgFz4DIxpJ5U0qQqwJCARqEZ3Xrrtb+mmyhya515vkxmr0INOmH/lqPZSmygl/
eCpI/nxzJ9VgTqbSkdccn9dkb6a93QAw7Lqe8y6eslGx3gCwXWtN30qQ4UkvYs1L4InWfFBwS9YM
MGwr2OegFFzsVXmuhAprpO+0YsqrgMaweas4qS0eeTgorLzA3AijVDiJZNks5Fr1TQWFrFC0pzjx
5dTrULqr1ciNQbx4/QJ5EinNTetJMLMZEq3wkKHfoIQnpb+f5Mnu+85Lcq5X4d0npcZGuRRDOcPc
ThgbW76QJmm7UwLrUN/zYRaJPb328SgdFFshVtoGp1MDIPEeegiC7eXzH/EORakhos4IcG/pL1cJ
3go0K5Igvglt0M6YNjciZrqsjZpQjlJpw7TKwRaDZFU+oMsjesC43nVoHGAqBsBkk6s5VWnrWsDf
SpfZwrFijeYBGKXo4Zhkzod2qfAByZh3tpN/AN+4sDVP9spH9TnzKvQPEqcAMx0G/g7ya/MY3VZe
5U4YCdx3nHIp8/2Tfe9/fgylTbqGEa8xwQcu58YZ+59D/en6+2Br0G8BlAaZar6kgwqrm2MGVtol
AWHQ4jed2EnO5iCUBnXF1Dd9hYNgi+tEYp9xhybMPr4hCHN/wKHF+4qUCqEwps7D1CJAgJvs98Xn
BJAw7dE4m7fVXnaxQ/sdqC5c1gJmUm5uzklFW9IgGGa0knO6IlArsWmSu+Nr4s17pORufVwPkpe5
yeNymmL7r8Zu4EU38sn33nilVRgQ05r4nsotOG31n8Yuugd3gQEFHvxqr3hNjBViYc/jfWHgGSEH
kXVAMsoG0JXp4ZB8Mqe+qDPAVgMWSHKlo4QlORtg/A6mRB5UN9vXX6aT+n3yjcMY5M/dLvpafb2u
zMxkBQMbaDpiRgVtR+qrWxaA4bIKX711632yK32pds1PBGNECDQE9l+NPXfEjfVEtzKpLy6WZiLn
A4xVedIXG/OjbuxHDcZmCSK/9mL2Nh8ihhkLboVSnxkj12akLfjMwGAP78WX6WY5aycCqJLtVWRm
k29iwKp57FfgZP1NgrYRTg+xd3ME+J0JOh4r8ZfRWFQbJcBdZdQ+53OyHvFWEBWbCOpUakKMU5rn
0RVfSrepHA3rPXfjoUvsObezb2QBFKQ1QN7gjTsxpv2g0b+VySROcfOUhFGbFBUtHZS31BYVxC4I
XfF7eyRrrl6KTWHMJ3Q21kNBJ1C8zuc60NzyFN7wurjMHGT7Q6gYJgQEfmdJ8Eidt3jLTf2dvCkh
ssE+P6g2oYEFAvEp9cqz+TrdWgFySU8v7PRe2P/3DI+Xd0L5o0WMZG0U8VOAA75Tjr/cRcqfqmPV
57dHptxSr6p5lsQlvrwZOZbWlM5o5a8AfX1cBNkbh9kRsxXDEvUSjMb0zNE74ozosMpCawDQbJaC
BgElXUAhrjEyKPh00A/V/XiCFffBGOinN8KZ3O9i543Nu1sGHgq53N9iKR/ZGpVomgrEpgA6B09h
7gPnrMNSyoiihIlYK7mTvNrBiAIItLzrZ2Zbsd+yKcvZmGsH/FJYsVj7qVbnaXm5/vczZp0uD0eZ
ycKMEy038JrMYpg8Mx5HO8mq3TIsoitVcTAp9VkuEvC2LEVqt63+dP0HsB3U5nYpkxkN5ZCk+ntQ
SaYX0bK7JxVrWQdaXLgja6CtA00GHEV2d2id4pbsJNnXfwSrS7z9xPTwjZk3coL5BNUX4P1vUDmP
bXzhcYfteV9+ewfCusOyRVAGfcqTTbT2ilZrlDW19EEf6xke+le9C60C6PQ31EDRBeoDJF/Aubt+
XFZwuVFojbKgY1R0pipAoUkFHU0uBJc4YsCbaGIGXVs5lIGMJFDwyCS4HP3xBHJFRFrynZna0qtx
lF4JkNU7N85ROqPSu5x4x+SYC402ismUTJ2Jj1oouasOk63Pd3Ltxh0PvJTc17UvSNmlKMyqVDff
c0vBBIkgqUaprmrZFVBTQYXFS8SYNZntxVIWKeowNYq6jOqvt8nNcpjQn9wbWBDMBjfJ7PyRMMeJ
b/OX8sXA+lr70DrIhXbXlej/Cer+NU00KmeaLNrYp3i4KqbXMc19xkaxeFecJEdGV18ADP3C7SFy
zKFGWSs5FWtr6KBRGtKH6kHZmfva6z0SVAGP3rX23I17xrclUHAAdUMtBpErZYDrOJETZYJ9BJiA
j2XxQ4hGXvyFvBfLFXn9b4bKXkijzjcoqoXoEbZAPxvfyrvYUY7FMzDFQh/sRYtL2rPmTana+gPn
Y5K/mFLhC8GUFSYELEJbDSrAr6xbMAt4kqvsUl9MbWBgoYoJmA+QdIVHfkOGpcxb0XTYOlqVllrp
SGIXBZQiLoHYqHfjDttmnuQhnV/AaYe509vp2Bzlw3AQd7x0nmEQL34CZYJDETS0NXnAGPx1pDy8
xXDNE3p/382wiOzFau7GWro3+ojLAsBQ6AvJtCleTK2PZahXadnq/fRzdUuAnWGgvnVab/RQzu25
dpl3Wsosd6VRDTEphUnyikU3lEvC11B4iDoNnFhPoQiisPILR79456RssY4xREDXwRbH+8ETvcwb
Qcjm6LeE7bR0tH155o2JM/aZQcH2++XSu3zqWibYIsXVqucSpY0SYLjiXr+VnP4PUC05D9ekLLI0
pXm5phA2YkzaEGNQK08IIRKnHjjehhUwXZyLskhY/x/SScBV6g2WMNrws5DGn0Ipz/x1Ulo7GQpQ
eIbJ9/8j7TqW7NaV5BcxAqDnlvbY9mqptWG0HL0BPfn1k2jNu2JTnMaLOxstpAjVAQhUFaqyMlHL
fRknK9AVwJyqMXyIwcka9pGbMeaToj5Z9XKXl20wN2Ftq3H4ZCTg2azHa93mwcfffyfHefebN34N
Ddl0qhgKAMrA3Faf4LCpdohILCJp28s5dK5AQRTrreixicVy2XVmAlZGFM400DE4td+q59znL6Ia
5UE3euyc6Gl2ySX5Ln+LM08EJt476esfsDkJ/Zw1sqTh82j6T0Yb4L8OH+8l/75bV702sPn+cSQP
48xj4GQGoXlJldtc9yvAsYQ9CNFSNl8tBFyNdfyrjSfrtgxtPp9WAOo6qx6Kv2Cdse5E0rB7vmm9
uE0covNszq2OewSCjWuXPcxx5SfVNRqPs/wrwnRCCony/9d+KvzNu64nWDVNogmhj0pGEDL0fscC
T3UjfcGTwR2r6fFje3tPrvURVTbRhuRSlPbKmy/k6XeM2jlHocpnUQK+6wJXu/mGx18tDbPTTFKh
zICoLqP4V7phaudn3kkHlP5OmETsOUGwywNfBkVKVPo2gUWqtCyRzDdzmDAKAwrUE9KWuwEpRO8u
gHvhmRz5ybePN3T3mK7MbmJLUVdLYhYoShQmwDDTTW+I3mh77mu9sI1TGaaZmZAeQn7QntjYQkz4
wCLhI1S0jo3nYMzMpJniuun33VEFreTldzUrfih+5B6gpJaQwGD/hKz2buNMGonigRYhFxj88qlG
YQM1jZMFmojakY6iipnQ2sahgKM+l5oS1sYTeHn96DTdTw5ossDQYLmi1H0PjKyvv9rGl4Qd5t0M
AkeZHqF5Olw4gzL6RDeFZ44Q166BeGS4dZVPGZ4sMagnRTnIxxfiL+VwtU9NRelG3G1UyNQyeSnA
fo12NHkoE4kJ4sJenWq13r80xKds4EyGOD9JbsdP1U1S2Lw4G3kYqMn96gL5LNz64nZAUUH01t7N
Sv5stkw2iSz6kJgawiQqdFEqBhotXot9VD4nB14U7Q6oDlObQ6+5qrjGHPWi4i3RC6XFd+PHP+cZ
HAvvnfmk5Kg7Rogf6TE80UNz4KUNPBgEe/1/nC1gSjHqAhLmbXteBi2auVB82c7vUf3lu6yAeuqb
9m35bN5VHVhhucAQJ1BfEDAPmXad/w3QEx/8z4/Y7DmGD/N5oDOvw4NY16F2+VgBc8Ilm9LDck3c
f5XbrAxudzeXl1RtsOpCae/zeR59XVNb92N3vh8fkb5RaloEsITNvZXZ3HZUoUjhzOFZsq1lqm1D
Wb4NKvLXErMFeJIt3TmRMbImML3v6P8xvc0FBsMsaWbiLQre9S/NkUyAR0dB+myin8DRiNpPMYhn
rweLz/jH6CYfqGJJVeOJmL5xOwPwVnj0EJ1MDMZTD1pt4jHqvcrNO4Obc4PHbdkmysJrGhlzeAel
+1Z+0xrHQJjmlY1+8IVI9920dbXKzdkB7wKEVboWvh/UhZymC3yhR+UQ1W8sAAuK6ORSnsrMFaHe
98Pqn+3dpAe51KvVomO1sVEEqm45Sv8kODZ8w/5KyVWoxRimrhp/KXF3EhnlHFSavgTOXxVQhMxh
bvwAjWm0BESudveMroxtgmgDXjK28Kx8UmO77h/T8VWWH/6fK9rcwW4qWUoHfK3wypvldYl+1mD3
KNgaz3Ugomj+eEnKFjZYtm0OtVcsybQeu17y51BCFi4atd9Rowcw/5+dU7agQVxs0LmWuN2ccd3M
7fJ2uI1AGVWDT0iB/DgikwqZO1Has786iBuDXVgGSG9z8qH8xFjXEHywGvM6IxrRtexkGE4SfDP+
4f8+hX/sbA560s0ViVJ8s+FL9Ct71jA8c1f6y7k506Cvkdexo/I8Dph+qh1RQNz3KVzB+X8XyTdh
9dSQEsjLDBIPiEDt/kZXYL4OkYi7TvXcn0Xjpvtuc2Vxky6rLCGLyQ/NfCKn2Ss8yBU+KNfqmL5l
FtpRsL38M320vZtUmUUKaGxNrLBxuZuGmO01gbzS5MRgKeWt5o/t7WYywP5BIwgsg38hXMcxTVNF
wqnheCflkAE78N80afZz8pWdTTAwwR4ahzLscL/c62AbAnti5rQoNzcEM7SiR+luTryyt7kNUlhC
vZYhaTG04hqS8BTjhT2pEPtup9L/eA93GGdw41fGNleCJsqU6z18PzklB+0zR+QaCKsVBiBFuf4e
9uOdrc0NaOqaTZBd+92bAH0zJwPGn8Y3fg+qI7iHbPLNwJ/i28eX8dfRXC1zcxUMFVK1YYqjCa0W
p4fk9xgT++Ot3A3fKxOb0280PUlbwN78Lu5dk/ZOp15livbAoEPCWXDXROvZhDiIVfWypcq42vlJ
m1rblGfBcvb91Wo9mwAnZ5MVdjJORuN+UU88Zt8lKMPwx2jjWMLTsf9g+GPvLeld+cdGNYvRCt9i
z+Sqjo6Z2DfinAP59FZUOw5od2jOMCHLHM/Zreja7WfVqx+wyTLHMAYOP8OC6179FZHkwmQJM6dR
dICa3UM7QWUky88UskrdkP/6+PCIdvvNCa1WryI0DfFvZ6b/itCu9CUP1A+NmxRO84AHKabG7FqY
zgvO0VsIWZk1+9gc5AZrjkbXDHrDVfw+QDUxaKlLvmunMPkv5o93G1orp/O2GSurygy+FFLAqnxf
H9l9BuYgHUSiTvVJxaQlP2EF1OyUY+Tn98tkl/c1BN9jwWTV/oHD01QBXZKGu7L53tqszqaV4MIq
t+pJ9jDVchN/C++y+/maePqxdSdPe25eeaUn8pc7uRQ8kXf9/Mr+Jq7UTOrBKKPAz+spSCJvG6O3
IzOxRyrUo+RL+cv9rUxtQorMDCvte4OHMDOgF6R1h8kZ3f5OPojwOHtIEZ1XOA2qy8BVbql/VQ0C
1Lml8hfihMH6FiO77L4NlrMOxpLQHm/JOeoBLRSB+/Ym+teGtw5E1mKiZFzCT/2KDhqe+yisgMDc
ySokWei5u5zuQn0QXFz+lf7e2n+W+xZgV2c5zaxQoyW+4ugUrzJSLI4O5jSyuSdOlPdzkT+bu3UT
OTVSzSrerHGCuOLrZCN0XtID6oN3ooC9f0D/LG1zakySsXTGe85vlfIwpoUrj9D0NVS7ygV38Y39
8qNd3KQhZW1WcT4hnkVpatlgowjQW7kvMImrYyBZYRLIsdWbspFttsxXqiaAVQ7mIZG/6dZzWUWQ
iYWPmLWnoseEpNQ9splcWILROBP6gPJ32hc2TXq0/QxXmvTnSIZK+FA51aic9M70lHJ0OjZGyAva
c2i0QSOPBxUqyaPVOnIKFPIkeyMYwrUBsD6mn7NScysrs3tVvkzdQ8uWpxn8s+k0QJrTclkOIdPS
+AmRsoNSQ086TY6p9F02u0PUMQeSNH6yjDbkLeXwKbOuWixy7bvZ8eqkbJItuZUtVhDsaIo2Xw8I
E5+w6ALRs2Y3gKzMbBKrHjqudJJw6UZmHDIKafZEyF8vumKbzCpJF5AeLBD44K9Sfq0BIW2BE+bI
ofIqarDtrQi6DmAyBXM9Z1/BhV9d6AUM3mVaIlXM9cwF6MPNYs0WOI29j2OCw1SGhhzij7JZ0VAt
9ZjG8MdyMIBjAIiGK5dwK9EOAlOOqwTDM/OlF82Nbv9V0X9te5M6mqlaZLqJ4CsttW4Tksx2RvSn
TCZfVTKe1Dk6VjTT7a6JWptMEsjFwcZf98XBBEFjlRdQuJOkmxRygXGifB9ixc1b9TCHyqEhUSDY
Kb4TW8ew/rWbr2G0lmYqIY4xf3xx8GMVJEF/5Q+w5Gg1gDXNB/VGvYoAL7ulkJVhddP0pGgV9Ojh
ccPsGV1IFOFyP3SjgJNdcIBEfGgC4RN69/D9ORjbnKRXorptYxx1IE0gXwLmfFRYq4ATUIC98qxk
bv1TlPgKtljl12914CNoPZMCXI4+UQqnZAdLe52GB4wj2KMp8PPCXd2ElF41pkqb4S4G//focil7
RopHJyI0mPxQYspVO+rs4laUl4h2lv/7apXDQpQZ47D4nmDibsjXUJxl7fkphEOLq2mizLNljrW6
jBp5jeBcXrKb30VO40p8Lmr2L1OBtbWN5yWlUpt9+3ZADbSxCLSkgYriWd2PQqgJs1tLMnWTs5eB
mQ753fvtM7M8VMIBSgetN7iyMwbLoQMAjUtIIBj6wpFz/v/9fe//2Nt8Lta1xNQ7eMj8WB+Lh9qv
oI79BveSbdQhHVEJcv94/LG3CZeLNRVDE8Fem4Prqm6dXBFBF0UmNh8MFHqmElcWlhRXrS138zFq
LBAL5qPfG92XXB5gOA6WKrzpZutVUoyzzjQQkar1IyskR+BZ90/rnxVvYlAspSPBAC13cOBAx5yA
zmnaJqc9QgoF8CdRzNt7g6xP0CbugNhdCyUDOwwVTSj2orURGCcuVyG+G7u91rWtTdTIyFyxIgk5
SjS9Y/Clp8GXf0H4xI68JDCu0dNyw3nQoZh35bk6eiqu8D0i+N5b2CYrijTu+QbTx9/ejto5ugQX
JRjd+FzhhSs0Kbg1W3axno1QXECG7oNXDGII9gzteF6pJAn6nTJ2Wmhx9xQZYDSkxNDhjjaP6Dmd
Z0XhL8vuizVzkfuD5DE3ao8KUISSsL+6mzitzPGfs/LicUmGOQRkB+VKDKzd/mfqUxT9d0PiyszG
2xW60eqgkkFpAOi/uFvcepxOy1J5DIzzbW8I6Gu4c/nL2a3MbZzdYJlG00QmjuuknqMazIkymMZb
kR68LLKzcXJgQ+nGCfN3SNxs41axRycMCi/y1JeG2OyrcWAo2OvUTp54Mzfyp9RWEwASMOQ+C1W0
RT9m4w6jdIImUYhFN5rXGZEPhVqwYIqo73cv4WprN14unxK5nAYcGKsfzw3UONSs9gSedPe0gAJJ
MS0LDLHbqas2bmdLGuFt5PtQs9vn+Mc02NE5QYu686I7s+e8esB7wMmInui7RQ8kaP/Y3uyiVZok
rX5XdvpfGCyr79I72WH3C4Jz68YJ9EehtNcLSle7Fby12e22tilUywjXucaTTAKzaH0bAqm3HDHC
cqu7g4dm8k1zMwX5feRjRuowvAg2fffDrha+CScmvmcE3k2ekMz4BdU9Cypgs3gjAeQ7E3ydqIq2
e2BXFjdBJVSh0qj3+MyWde20g6GA1WpMRGFy18P9sbIdtFpaPY7AFq35EXQtXAoWzugTqNF8Hros
Hp4vcoICaer1Z+NOFxxlwRK3k1YJEp9lwnvX1+fC1hnqkerzAizyx9+Of5q/3N1qiRsn3ulJ1Mgy
Pzw0cktLQefViFWITjBmT/HwUBP1vjOY6OUrODFbLUUpWwpDwTCf3y3PUudjSFewrt0i/upWbOep
pIhMfZpgYXwUhlzpQQEhZIKGmuxOn3gL9N+F39VW8g+6iocAOMltHsOidDADXn0ED7k3um/uW4ir
EDkbbeNsRssqB8uAtfyy+FxDFNMvGtin3jJzIAQlyEndSAImib3TAv1LFXyshOLhsXE1lpInGctw
ITp6F0WxPYUtqnEoJYMdFHOOahS7Hx/PvUuwNrjxLHJFoGs3Z5pfx+EpSupfRV0XNjLw5V/ctrWh
jUMpDFpkYQtDqEId2or0tjws9+FABK/uvYFw0Moa8EjYRYixbpK0KbTGstOxhRhgWXz4FCf1tciu
wA4C8kN2/7udTfzqqTlVt8YJXbYrKHAfRTdwF4C5/iGbmz/FhBZ6iQOE251DK0tz6hyFL2Ycp1L3
tCG+gDPyE+naq1IrD0NaQidNv+ky6W4Yx8RV+uRG0sLMNuvJM/tCkIbtVtc5DErXAcPS5b9aF1Rt
OrUteEzhLAzFV/PY2bOv+zWfXP5XsXtlbtuwqGmcJCWFOcgX9eElTG4YAQR30e2oDP2m+NRPp6os
nKq27AbD00al25xwqJhCkefaPfN/Vr7tYjSsXRQ1xAmZfGg2QqDqCq68AxBNTnXUuUIopCoOcfDx
RdvtuK43YHMcligZylCDR+bDigmyTxWdEy52I7S05/vXljYJvZmizttkuGrhV95czt0IvCrdm6+s
7rqrdCc86rw+uA1ya4v8F60886zrIRQ3kXhyfhpO7ZwE/CSRs3H8eBdFS9uEgLKeI0ZGnKJugTK7
9sWIEkGpQGRh4/ZzddZI20NhLpKDsQIxh0kF509kYePj07wwBzJUyAgK6TwNpdt1IlJU0QnfePVc
reZeVrBNRfp55vl5eNuU3z7+FLuzVeuPvvHo2lKQFNC83wgX9lA89AGcCcb1TbeobOleQVdQ7uxP
YOXDY0AEEuS79MGRe/t1qyMXz9UCJtQc1ykqz5ViXVhaQLDKcmrZPKmS6n68WtH1fWuwr+zRfKzQ
IoQ9jh3iD/8O5OmcokgE3N99bqz29e3fV5akusiypcHH48+N6ADM/KuR2OSX4gLSttjRpXfxUC29
+VCipCT78TkRj3PvFbAs3SQK5gJBzb995qG5VbTZyCwgPsOAT4LUHtdOT1GPFL2v9gPlytbmygE+
NFZD3UGHxGOF18Tef8Ze2+/A67vJMXlSguRO/y9ICd5mnv46Rha4mGRIoPCh7veei85a0SsDNhsv
EM7YqAKnFQYWgAkQEb2jEP+IXeWGq0dLp/BtWrS7Wm+74Fte7fUuyluH+oTWlcDT7eWfYKhGw0fF
QAGAjdyNrI4BNWJqWAncRBdrlyJG9jmrpeLpEBzMNemIFOdWMiAzXNblI8TkUnCvVFdj7mK7mizL
1g2jcWLouwguAv8Ymw3Dz+KU4SiNK4q+CWMQ8J41y+AKnAuqeuppKXU/jCNnTp8EN24nFzbAmK2q
+DyW9tcAS9ws2UyzCZqjSMAxKBMDidh8s7z8zEGdXBAGbUPXfFDuasEa98B770xvFqkPLAQ/6oBk
xZyOg7ycCkMiTs4sdLGjpjs3WlbbiEQPzaQcxghCCouufcki62UpwpusTw80tV7BHX/M+t6Npfbb
NFSy4FfuOPl3P3IT5vvFMPK47zEBMdLjoH+xsiAts4PgK/Cl/vW9Zcs0uU4Q0EMbLw/KzlovClhp
ATPhFH+Vk1xV1woqfz6LxBJ2nDqW9I8xY9OHLKwkLxsGY2b2WCQ3eTHaOeRsaZp5VH4UrGzHxb0z
tnkodKEcypMCY+mR91ohP4SkZfLQcvFF8Cv14000NudJrhITY84jTMXnmqKPFCfex6t5GxP94Dtt
e1YzpkhLOcKRjV6nS3dZLulgLy65Thd0VbTv8Q8ZoEYJNALNM1owic2LdeyS4BFrs6f+lovk9Ldi
Poc95/5ul/nWrNwYkBLVEqbY5TlGAbZEbmh4BSYiSvSXDSd95sOnoGkih9ATtbn2L8if08T/fWVa
K0ibshlxZZaVI03iT6VEjsDGiq6I6NRu4lc7AjpaDm9XJHlF+RyPzswLX7SbFgMS6iVFJsTLof9i
8uPdzm5CV6wyM8ljHCqAh+CjnLRAZ3lZBBWJvTrPOzObXNJUDaqxEAeLCzWg9vlY4xtCdflsBCXI
zHSw9X18lPdSrXcWNy6HalFO0wYWywpKZI09YuIrJZ+HGRNYhxE4JBMYjcTo7I/t7ka2P85n28Iy
UV2mVQ2zcvtjmGe7ny2bQsFSMgXSWHvAgPUCt50rTabdMhJY6p3FJyBfRDPguHyzMEzP/Wp9Db35
LJrW2+tqv7O6cUKNUTSTlcNq6+knzr9UBOHTgDCKUf4zAGCCFrC8H7//uX7mJj7leYEZlB720mPx
Oj43L5iUrpwGqfNyb3lgFWUOhsABGAAzn+b2Dv1Cb00n9Or72AO1uyd8pQpCmblxReZkWlUazXwD
qM8iO3fDox7buc2OhW+pwoLl23zgBz55yzkSaiVJwf6PCtAjhVPoA+bo4LkEe/ODBvar5Wy+LOfk
E++chMCDdFdMhn6J75W79KIc468tsamo6rP7UUAhLVN+cSEQ+94nDktUSWNnWHhcSLdonDYJOBNL
fzqrALwjJoTYDMwmQJtW3KnejYJ/bG9RRmm7DHWdmZavhLc9UtQwFD3edz2+ohsYkkE+r5CNr1Lz
sKIKQcrIanzebLSV/NeiEkGs3U/NV2Y2mygDTBk3E7H8oQFQrFUbp9Xi7g4Se4ob6vSmrGPNzbrm
E1BVzNaH5ESy7hzNyy9tyEHftDS1DSWNw8f+S/SztiW2qa4MSEwt8JsX4wt12T1mKl8yZzjxhtzy
OgRxZsuCW74fHv7sxbaYVrZx2VSYGfjdpPal0FlUpwcJZweOQLwYI4fUbpqKotJu8rYyu3FmxtSh
DJTxu1w76omdeEjSeGle/i+gBrsHVzWIrqEyr0HL7P2lSScaWRAsQpG8BzeA9qPFe+fjb7d7cFcW
NssJ5apE3R/LyRPkZGCVeDT14GMTe1h16Dz9WcXGHy9ygcBj4nLMAcSaffo033M8JsB+qR8eyeMC
rF86A1wtwtztlZrfWd44Xqs3lqoqIDQ6g21dBvITwPGANy8VL4FGwsfr3PNwhkwgU6aDj/svuKm2
dF0PVXHq5zMEH0wDBAtBgyyCZPBpCUA/48vHBjVdZHLjdvIiSwadA/2ISTDnn+qhZ85GeVGnKX5M
rKZEhpuntpGjyYhHoRdFaQcqKAXCulVK3WQMr0sYeo0KzKk613exZCr2Imm4tyY9hTNoKEHKFNnR
BNLNrO3uUTLwumo+tb3mLUV9iEcwm2NU3Zb1NLWHzvhB4YpkFcXfqYUsi0JztzQK8JLSNnSUbjCB
eLUkh+kTDeZ0LF/Rk1JOvQKsljoaP5uhTOyhp6+ULqXdjNltnoW+HhUuJXV0PzM5dUcDInXyGP1o
0/LBkkpqN1ZW2Esa35lJe7J6xR/DdvGqsH2O+hQYnTYubKkiV7kqbpNW9nILRKL5RJ7SwZxtKezu
aVjdNFr9XdUwGlIumJWBNEBmq4SPgo/3iGm+YjLozeVxkGb0VA3dk6ZCzwGSTfohhFP2zb6zgjYJ
J7CTKi6TUp9l7X3bSWi/4Gw4Y6ydGJ1PSSNDi5DMLzQ0RqepFujYRepBl0B0kqu9HQMbaOttMti6
AvrmKsl/ynFaO11RYMoipD/iCXuUDXN9WmoEszHpyE0bz9aNNOv1cZyH4USXNHusE2DeIimHgFuJ
ylE1NpKj5HLQz6U3ZXT261YrjqrW/dTncjyUGYHOLfQznGqJmaeOZnYrUWPytYX9lCez99qc3MdQ
35Dr7smqyufBMNBOqaBOM8/pLVX7BWrb2h0E+w59OwVRHLrAnlyGOWV2Xw6KrWTzeC6H9DjMSedC
oPvZwBEOzCakX6YmNfzEXBQ3kyfD1ntTepIWMl3amdBrytT4mCTafAYMHsD0bmzbo0n60OkR3U8J
q0DS1wyv0dikXldmIPxJ+8zVQXjisbKhd+qUy3ZPkGt11aG3UpSP2l99lt+TNjuYdP4Bwb9PjQk6
mNI6101/DmfQ6VvFk8pHQ8l005DlyhoUfqoUIlTa9ynX7no9Io5G2Y88A0NqGCPaohSd1J095uCH
qkoNe7OoYOWw0snTdRUyXUM0+6bGmwhZeNaUfPHmkt5lEKlxzLC+jKnsTHL2yJJWssH6UTl5Ot20
deElcQG+iyGw2uSoLKj/TYUHrFHQTr07Z/Qepcav6izdTkrjVLp51esitscQ6aYxKvfNiF9lxihl
0vGutsbPllIODpMNcBWH7EcY5W5dTceU1QeoX/hN0qIDMWoAYmf6A63C2Afv7msjdV6lkAR/W2vB
REFDlGqfGj3sXH1hdzO1RkfXGtAOpA071l3Ve3JkmA+G1Me4IBm6oQzXNLH0oElNsK62Bujp5kS5
6qyMAkBN7nPWxudOTR2FT4v0Wa+CRo6Uzwot+ckMIdlJs1fVCnvPquLksehZ3NhWATEXaI3Xs902
1uJlVlndxcqoYJqvA717FfqylR2LQXqtw0W2tUQN8F88mrn2qdTilyGLvmpLT+1R6U6tfh9ZNyPL
KID70x1yKsW2kukcS6Byw1Tdo1rLyjmOu8oNJekLibrhUyaFsQ2mAjC7VzGzy7n6rjTFg0YIc5Aw
HIcyJo45dDdEXuCZpQclAj8eBlYyj5DSAOQNhP+tooGRPVVlnKaRAGmsLixoh1hGxwlg2VKrMF7C
6i9RW+JjkhT0T6WiOykz/WWuz7QwAGSP76Nk+jLn6u2SKj+ZzL6OunokoZL4iZXgdqavMhDvgxEG
EwiVH8lgxJwO4CexitymUfTLGPXK7kfzkeJGIwZ8bpr8BqCLL0gx/TjvbpklnQvQ9tllpXyftOik
0rJzICLlTUt21Ef1iB5y4cVWeqcYFkX8meVDFbUYIKIEdLSa9SPq4ICMELpa1LhfTAMtlFBhNsss
f5mqJxO677aiVeAJU4cTjj1WGYM1rDXIJYstwwnDNNANC+oiRrQUTtuH/d1CmtbupKr/HOb1/GXR
ZSlgRmo+RGXdXGhIys9ZKTe+gfwNKqcNcydtJN7S6YYtseFSVstBLtlnhpmhhUkeZnO9WWsVh1pG
6ipJ/dVKGHNGWX1tylj2SMW+hbJ5XZqwcLSoSL2F0nuraAx7maXSw/zl6GSKrNg4/pErZZIjkRIe
Rj0oRo9hq6QDIULxA2zi3mICBgjWl2s9dw/Qpvgy0kq1Swqu77CxOrfsK99sDWp3slLa8pinDpvN
u1gdX8C/+DAP5Nwx69gscevWUl84iT6545x4ON2pvywMJYUmOqiLHkEYRX8pGu1GNebJr0N8dTg9
/ahR2p9aZp1wT8+t2n5GGMS7ETKvSqkjZaLDU6xKD7NpBNZSnCXC6G1iaBeTTK4RAqFSTWd0SC96
NrlRLnntkt8p1hAAhZDYRW0AWgI18wRJem4dQo00dsE6D4TXBzlTnDhH2TBRUfQu7DqSoZYS6qDZ
toZjRYxLZtDlHEn6l7LsGn8JtV+pmR2jQQ4sqbtPoyQPNFM13ZTMk22yGK/bRENOXizMq8noDdLy
1ZjrS69Glzq1Xka4dmdYktuWxOhW6PKNVCJjiJuDVU8nDFaiOCmDbrYGUgSSZUEmj9JTVEOtQR9K
sDcjus+Eha5S00em526fhI9oJyQY5dU5G2bzIoeYazL1GIKiljNGxLb6BsUGkgFcpmpurc69O+mJ
X3Hxxmiir0NlNnaeRPcWgVcHhL3ziVremRLqTXk7vSjV9AS5l9pmGI5rR/IDCryvsCTg9dwrRq2z
2M0Ts1MyRZU4fUDdHqwudlT1uR9+UBEqZzc1N6EqZVA8a4j6Nqu4qpHW6dDjEQvtXI4xXtgpdQuH
PwUUp2JgQKGp4O2899BZ29vUSnnSJCcdulpLmd82tdk4tWV4iHUioOrem21taFMdhQR4G4U6pIhG
RHAoF89W436c9++VfcEsSrFv1NSsbXVnqYq8i6H56stdZks1tLGsM9G/a3JtD40IRrh3HjBlrKho
vKn6X/wfBqBBCVvwzNbByw+C1iULYhTvY+Xzx4va+z5rO5uHaB6HRpzEeD1FrDiR3nCiMv6hECbk
7t57wIMcBtpIEOEFoTb/IauD1xmVKkmASPl0fGyMXwpmQrNasWVwC5EyAz9cZA9x48b6BR1HwSHc
K1qYuKRwBRhJlDHA9N54WOkpes4phKV7EC0TNQb2XTlJjeXQGhywijTbckn8JJVe8ih0DGIO7tjm
r1Y/XGsqCQo3O3uO4Tv8HjTbIS+7VdfuOkayGr1Ov8rwGrMW04kT6ptGK2qI7DVj1pa2eNsIb4M+
6VLQd/vFc/EankpfutFu0s/1Nww9++woHyQg5T83gWjIYK849c70poZC8xynaZxwsJIjbyWqTpQC
msQZ6qLw0LpSkGAWSTjLtbu3KuTVLQ10JKa1cQPIekNsLrSepcR0qHbS+u9qI+Ja2hvBMXVeccBp
wpzk1ovGY84GI1+oD7ge/TJ6itt+KqGFwylyUfgLen90Q3u6oV5yN0FpvoGIAz1+fHP3P+7qR2xc
a2iCRFLLK8i9QnXHXS7FM2cirKAzjd41QJ2c1ap40c94hKbCQeK9QPJuCzYbnU9RNCoFrPPZ1e4p
O+lvHCaYeHDqq7DltgM4e2dtU3HptJL1ltLjyhhafR2I3IHYuYwdGbysASZzh1NXa4dGi5x+rj/L
liVoHu8eK0giYwACUZpsucMimpUY2oObHOXUKfu7Di45bmZBhNmpK5kmuA3BWmQhNG9pJceKoQ+F
whIEPTHrCBWSTK2deTJO9TQHHUmdergXHKKdsPnO5Mb/V/ocTeXC3TK+H2p18w2KyG7e3fDxx9kN
TXTHRfXBvc1ENwJHF4ASTOnz37QKBaFRtarZYDPD5Qke+6BFkTfmIpHY3RO6NsN/xspMTIGNSSqY
mQM94BMr4Og4QWsS0z/iXsceOs5cW9vcxnwsRtVIdB0DcUrkMTBXos0XLA/ag3UT/pAfeziE6oVh
fiNzLRcdzo8/pGhPN9eRAW1d6Ajk/pAbSzCF9Lkw8PgrddFoJf+PNj2ud+vc3MQJsNbCaFGxyYnq
RcnnsIZSUC87RKvcVJoEy9o7nlCcUilunglelU0UAS4acC2WyT5qX60E9otUlDfubRz4qg2wIRCi
/qUqNXVFKqcqLOQjplAU4O0M1ElV0XzN7vkAHp5Cjg9NBeutW7s6jTJQ2aFZotgmnTswyEXn+at2
Xg7LGcquIMF8DXtQxjJ/PhhH5Qcqd5mo3b17HyzAwHDxKKd/2OxlVmXZoBe9DEDy6P1mKAP90IG3
9WchqnHnw0EqVIbmIbCEhv5WQl8tN9Snic/gIuPKmZsvGNUSiUrsfLh3FjY5nSlPbRlRKvtzbbxo
WecyRb1gAt//+GLtJOJrM1uIEjH6PKnxGPAB2Pdq6/Oipm4S3gzLl4/t7G8Yx+Zjuh6Oceut9BZV
jFDD66K5SaxPdSpok7w1rTYXFzfJNHUAriimWTcG+kXmHpkpb7JP5FMMIRv0G25RmrwKeYP2Nk3B
d1dkMNsq0DF973pJI/f6BPoZzAql/8PZdS3JjQPJL2IEvXmlbz9eo31hjKQRvff8+kvM7klsDK+h
0ypi90ERWw0QqCpUZWU+ASEO8cX0vvOVe0IHCZqH5xLzQqxsd+tAyBgWBCeyCslkOvWT87GWYl5S
3ax7HcpdAHIPySgYjbutWwR3IaiI0roiAiJyvbQYVRWIAsigzQUDFNGnJ/qhNdLZDENrLGzw5yVh
74jbw63FO5BeUlOLbbAYuui2xhd1ekrbVylkpJHkmlwfC2ICFQFJg8oR5sqv15PW8aJ0E68BtTHs
aq86zC54+j3mkALpNt6yQ11XvuyKWS1VzZXv8zeMQ3hEpSrdia8Cxv1iJljqA5d6wx59b5cqjAMI
NAJuxhvf+N44NUlV+e0koJIodY7WQ/ksRcUnGJrEH3sNxWMUe3/kKuqTHYfUfp7Q5x9yMGnIXeWC
MQSdqsbhwADsy72W2zrX3FULvnwtdKZRhJoVNfCqynRS9emJq1BpFLMlNJel/TEK3JlUdSM1Aqp1
5lSHl1sZnE7acVCG0RwLJAR9t+xAr/3W9tJdIcwY9YQVdJPQmeiH93rO36FC8DXho+9DG5xBG3qq
NZBhy00FeSSeP2stJvGavrCaST0qMp6w7YDH7DiB7CRXOeHEcVkPLqnm7bbn2vAsV0dIo65Egr5s
Bc1m7WPSRcRLL97LOwVzgc2JRXTyOfuA+xL1jyCGxrxGpTlZNkTKGOEUcZo/zqgllqWbSNVBg2q5
lI0Mn7l1/dbWqLvBCUldJvGousn4KJVQH2lCJ5SZNbmtq7E2Q10NparxjdIAV+MUv1S7yo1czemh
aHb8V6mDxT+ykYtgF+GbUV4iuu802B8T1ekM/4ki2V6/z89EkInwq+T32lm+tEcyyBERPWQX6qUW
C8b4OdDhPOBhroEtWAJJFNmNVWbQaFEitRUfuFpf7qdE87OJ4dJYFsjfryzEIwq8TWEYrsg3kHXp
HKn/C87v61VQ0bSVVb1u0aQEgCMPTABeLV3r3CGoRbAd1g/lgGFOqTaOuObflAT5nCGPj8ZUsubs
ttYKikcJpUL0dD4ReqVxjjJArgBylpX9fsjRpajbJLBvX3GGFZoYX9OGNswaEYAYNO7bUDfnnnHV
NqoZqAr+XggtiyOKSymqKT5a9737Ou6juxZMKpJkgbeFABddA7PhwAxass8eVtxcniGiqCuIYFum
sdRqpgK9oGMTuRZVQck4RfH32xu4AcbB8lYmyE9YnclGDdNWjgxwevyXfC8+CNHA7DwheZhdcKL6
6mE+MLP+DRcG3W9exR+kPjydQSQtpwtyImOyATjX7tIEaDHmqvUXq1tboRylGiXCWJcA/BCkpQji
wOljoF81NczxEMSnsUvuoTTnsApDrOVRrhORoJDCGoaH5U4zfF0D7jTM/t+pOUQ2fu2h8ImfXo2V
MYZimRsZqjPXgzWmX29v4NYBXFugImjByfUCxILiGh04w3JO9rOKZyldsYxQpR5OqrsmaKLArdvS
E/q6NFNpebq9kM+J//VWUc4dFC9FB6V3OIrqEvWjz3Evav5DADrntp0NthdiCKV65K74L/2aiSC5
l9TLB661ORZP5QvRKeBrE9OIX5tHzuF3wp4/huTwuclzCn3Q7AwB33dWhr6B7SY/BH80sIeJEPS5
vtiCps+cPAcEYDvYimhO7S6FBGzkAve7N37WYJ0D0+ATexxg4yVybZlyKeBCKhsxhGXOL3ajR8iQ
GkfakwcW+3G1MSJ1bY0KeI3cGRIerv9eccKrEz+HsjlB0BwdxBqkKKE1eNVz4qGnk0NCkuViyOmk
8nnI7fDIGZCxCJ+mw5SxFWZSI8K8C/bZjfeDiXGSN8LXzabb3UgzBTA+gQtBw2MPh+z6o7Z9lmZC
DAicgsZ6XKKpDjbJOdKdpqr9jNft26d5A6qPzV3Zo65mkQcL3yNs4xCNThLbOXgnIFAVoQILumi3
eGdxa2z6TRSjIFaiIgDQZABix7eohwFYEwqnFmptjbBTDYZT2z6gv43Q+OQgjzhugloc8MmC290R
Nbjeje90l4dYLyutZFqjvtlSYMw/HDlMsGpWsyvAqSeCAK0DYUgEDj9WDXv73q8WR32yXM4L6Av8
98nSh6QyMxcQfy/e6SaetGa2l49sErRN/7qySnmbETkEr5NFTu2JKzH/Y7yN4VHOasZ124wVKzuU
b5n5HNtZhaqryaOlxIKp5//cPvPbHnxlgnIoOjQfpKrFEWy+Z6CUbE0BYsPirvgCuq7mQNjx42P3
k3A01G5GKCqMH52r35ffWFLWjLvw8aVXqdnIpU015jimbSs5ACYBV+uO0vPt5W77z9VyqZerDhHB
Wsqx3GiX7ARXtZYDbvk36TD5MrjDgSZ4yPDmamQzYyq+/x93A8S/An4B7ju11yMXZbqUow9MxLrB
Bn8ynPgIwkmUXv4gMH1u1sGbgYnlf62RQ7za0JmH5o1Kus7avPjSNGQAkU2Vk0rFQR8jaBrH1QvA
vk96kmF2NmUNhWyf3d/mqZ0um5CXxgnmRb6AnslJke8Z35Kks59i0WqBVLqrL0amVDIsDK7xWO3I
RNfkEwJdQofUu9XLaENC1Mk844lheTMKrixT+W44RnORoauDwmp8/hg7tPWn1uU8QNoOLGT99sX4
tZE0emAW5rrMRSwz7iAOBqR7rYomRupNxqLIj76xnTQxV9gks9TNiLYTWunpYspvIMzKP3S0wDb/
QGhfQ2t6nh+lwmEr0myVr9bHVaE8uTLKQgh4MerGR+C4T5Pf7YlU4XQKXVaJeivQo31MXhM8gi8G
TK6vRt1zQcZNlYqHUuABLbCfDkgQfdXkvNwNL+U3xtZuXMUre9RVlORcqhtO0lHpkdzKJVkF74K9
kkmVvrWLsKQQSUTo9gHbcr2yqAAYYa4aggcgfWRwzF4qH/zzfuWxiNw2guCVKSo4qWLQ6pwo627M
YeJLW1xO1Y9Gq3qaMTMu3LYpAFmQ2or6p2p/U4hFIkg1yjz1YDZ66JXKrgHEcJlyRsT9wCBRtwCr
+m2KOob9mBXyPGc6jsbsRDvuSfSq3XBX+6Cdd4HqdSt/dnkb5C6gXoxj03hoHMVL7ySHP3BPPFPr
grV06oNqk5CKcxkHbpI819ndODUHQwstFVBaxiHd8DPI5yEyhQKWCmUNyqnh4ZuNuoSV18AJ6Z7+
kxxUw5FN6WeJdj0Z0P+L/Hdtku4ODGAZGIS+U91cRMBNIxtA1ejvbt/vhdGF8RCEK0tNrMievke/
wWscwQJ9HVNVaysbvVoPdXjmdJH0KpxBwQSsg2yN5x4l3X/wCDWjxVJd/RA54xe5tFnlx6261pVh
6pSUErBQ2YAlghVwdjl8KzwN1V28G8DROVngQnfqO8ByUpfVCthKaq5MU25A7DhgERKYjnYqJG5C
vAgFrz02oKxhc/Nu+7fVt6Q8NzdOMgdr8AS7+YWo2sanD0m2e/brk7mp5GquEqgwmJe5luFLg3/6
n0T+LbALf/6gI9x3P3kXc/he91XbaaxBdcZNpNsrKdcVXZrnOg4s96qiNTChJajbeIqic1s+QTGI
GTg2ntpXX5HKpTpjLFPJwFoTDFup2WRWWYiBm+es+qlFL7c9zUaicWWLcjQGHyWdEi7kPnZ4IXaA
QAKv5rEIjjaXhDzIAHM0YjxdPTDySg6TBZ4zUqe3sa4bUzAKZ+zib7FW4RUc5w+317V9/VcWqetf
4SkvBio8KJFfxIAh7iBiBJo6ENww2yNmcs3iWWQpEG9M/INHcGWWuvyxmFV9O7bwoln/rISGD9Cr
zZfy967t3jpOO6oL0CZDcazTpfSDRb90GochOqU0bEyfgQ0aojNaEYCKj68veE1fgIF4QGMVrO0h
RjfVIcQchs7/qOXJRN9v3+aRDxiLW0QY7mTsIakPfIq/q8VQ7iTtjFabdewhQcZLh+5DREpwSK2C
VTQk/6tbpihfUuElxoXQ7ANTZGgVYPMCGdXt1Wxe5NViKA8iTgIEjoiFvgGR6LNQHYyAdejI1721
CuqdFUZD3wrEWRAerQEgj9yakKyTEXCIGJz+KmSvlkQ5CjzQ1QWztThsim4mYInUitAswp+3N471
aSgXEYs6hj7ITcqLzp/Fd15nAejI1n/aNmCGgVHRDDC+UtvWx2kCgRwesN1FtVpjMPnwcZEN30iZ
mLPNL0SmBzRQJPCfgOalqvx3pAlGF5xy4QQ8gZndIbu8hAfBz+Ed6uPilbFZGs+Ck7pAJt41HjNU
bx7H3z+EfkkqGldmvVEFAH+0L2kDqYIEiSzoR7UdSU94X7pTc7P88hffcmWVqgimaEhBIQvfclIL
3cwDGYRAGYOYYKMUgMT11xbTj8egImO2qay6mB7tXSXN7/gEowwZH79Hk9qb0zIey0RinFJp8xCt
zFKely8xUi6IuHtAIYHu3jA5uH5R3Mv8qU12xWBW0IXb916Ebe5dzFSIdhg5kwP3bJjLz/bJuB9f
59gUnM6JLVB+QzU+NkXoIbK+/eaFWv1Syq1KujZD+MdQMeygWVO2KzuR4eukTROKJGp4owHERg/m
lGqF6dox0jD6o+/DoXyveDB05PVRabO9JkdfgAz7yTWnEogE7JUKhG4Q+NnYK6YRSHafL/eDIf3Q
Ou0ZYKsfiqFiIqwYd1rZuIqYn4d8BDURhuP5aT+UuZ1WYFFpJswCViLEBrguXZw20Za7psXiwkad
7XmuWQjfzeRltUpyJFZJYTbngq4mmOdLwLlauIMvecae/ZT4gIF+8k8rO5R/GgZZa6a81lzpcbI5
M3eyyIwgegF2scha8C4THwmIennPToZXf2XXuLfT39UvoDx9lTRzq2e9hsMN2c635k52CCidsH1I
1rzTfhIRXbZKzrZdVQLxnQIOTFWnfD86iksd9HhEjZh2hqJ0el+nh7KAgi9OroPaV9CBVeJpwOA3
WKKY+MXtB81v+wYp5qy+cC7wQz8ViAwgUDoTjp7a1rwAt/JPyHm2QEBITn+t1qC8o9DPZWmomJSZ
95iuTb5qB+4iouwGqKZVv4728tJCJMsunPCxfYzZqyXn6NM502URMwC6Jn6a1ClngeemWFfdxTC1
V+h3H8IDf0pswiSjP8Z3zV7bay/5hUUkuxmLVnap0yXUesgpDR4BRq6bGoYsshG0JCKrqrlB64rk
eGWHOk1VLmPyOo41pGAmqffHTlqbrVfvmx38slscvN5eHIwSEsa4yKzu2U3b21ts0MCFOe4XBbwW
8L1Va2pBY3OIg1F6SkDK0Ikpg4l9+/z+WrFBQ2O1BL6WV0QVnoPon2FW/5FUcUa7e2C/G7dLqboG
xLSE8tynGaysFQYoBGBxkZj0JipnsxnqGLtSoEdShdD2VfRyL0Xdz4iHFPeEB0PbomwG3aLOBBPF
7nausRmQV7+G8s5ziYqv0WDteBNe1F7xufoYhRAwLQr7tqXNaLeyRPnnqgJzS0uqZQnQq9AxdKPm
+bYFaTOpWZmgrsggclya18guwrfgfdzze9Fq3PIl9KXvQQVWR+kIpmkn2GlOZ3Y/De/7YmngRlYv
mqPc9wgO3Im/aEguCX5RtCuP9RbYLpaufiF1uUqhxLh79IG64C5QzUSyM79or92OKACMDv9GeHwJ
AoO3yx2AqG8TgkfkD858nM7l5S9gSCDUh0oUFLZlQ6WL36GqJEbfhYiZ/LksHzLucRifbn8UsqJP
7nJlghyLVXDowhpoyi4iz9NuF+//FYdiX6vt8L+yQ9znyk6bcIFg6EhoiwoAeiXDwD6XJzYAXh5k
I52YLx3w1zhqYpym8hHUR1aTVVZTLGaWTy64IRywR94veXbW+97D4FzpCHnhCn+hAQv/uvqh1I0L
MylNqxh7Tgi6033nC/vI530WL/MG0SqxAxwIghSmdD5Vp0PQUUJOlbRsIIH7FTf7Qb7L76cIbxhw
WkDAMrUyU35dHCJbk6HjUe4QNC/qGUMOl8Q6RLv6y+2zsBnCfv8kunodgkVBGHE7XCjN+FWb2wt8
nsBUtWMtna5fT5w0tzVx6GnGgbkpkry5haY53+51Pf8eA1lsynJw6OPyzMnhPu4x8lYMx6Wovgjg
2ylj/kke1IdhBKOEGNuhYvjikjlBHR1TLt2B1M0MwuQ4gHNqbpE5t2h1BMl9K7YPEBN2mkJndG63
Ng41KF0wRJBZC/QQetFX6dKreCnE4SlLeBeCNrt4er/9dTamgwm7+G8r1MmsRWGGlnUID71rjqE/
nqvHAKju1gt2ROQofRrBkyfaECGxRZ8US4IHFsT7Y1yIdhfr30BFCYWfC7HHoAHacdBaXZDGlyeA
QB8wlog+hHCUIEiBTMuW9znYgZ4Nh5RCMQRBgDl4Et7hPrdHwQk7K7yIB3Bkebc3ifUlqBCzdL2W
ygvcTIbAHPanJse7tPirJGy9DVScaLpYbBuAtV0Batcz8jDSWupBiQVWRle6D/fN4d9nRWONB/FL
+oX3M2v5cXutGwS3H3TzIqbFgSWTaXyxKHV4bIxIBYlctXKYIEUJvh432bN2dTMFA7H9L0tUlFBm
NReMKSNPp9GJMG+fuBAs2390l92SUfsgZ+jzGfttjHzjVajAG0qru4pUTPndFCt2Esr7ZNFtBdw1
6PM5t3dx88GyXht1rdqm4HlOhcNvHeC7sDJcrX/ISe4OsglW29dxB5znZC5OBppBVut+K/6urVMX
aon6GlxqsC57yIP82OsgA8d+fm+mtWs71MXIpH6J4jbV3AZ5zPIkmESLdsL7s78jExms8gzZtFvf
kLogmjHW4CPCsvI2fMo1/mcsKS+QyD4IS8SguNlg4bi6BjTh8mQoWS8VHz5psocdBxE2wMQ5SPkB
/p6bj92JSS1NzvuN5dHMy6XWowwLiXtXAqkeYAkTdPxyS3+Ci3uCbmhzZmdQrDuoi9fXIibTPHmD
297ZvAU4C1HTAIER0YDuL38At2KtkaoFxr0wzuA9/Hf8qgpMfji2HudIXhqYbWVKL1z8B0QbG7pb
11+TcjVq1YkxMHyouln6bKlo2uenArdD3YPtNnOJuhTp/2Kgwqv2kgXasnY3nNnqzazlU15oVIpl
RqTD7+jxgu5KS65S67br2SB2vl4r5Xq6AgrbXYBbUv8MPNmJ/zHcxE0XK5JM1bDaezT1Lhyeuro5
Dub81D0398mDcT8jvoNpTwXLN853ds9qNDIur075pBq0zxKki/AE5l25uYh43goNSlOoX97eAIan
1ymnBJ65WCtKHOlKjU+VAqXfWtHfq7n4luecXQYlw9dvvkBXXpAuxRk1Z8higdAifA8fCM5tdNqz
6gV7dd+5ymtnV7vyhXvFe1+F8nECbZbgsRzMfJd3Trord+FT+gSihxfJkp6Ts4HH6V9CnmQelCC6
QUiCP55Sq/g3cUqZ5tFAxuiIZk6wi48c9JaR6DKrZeQQ034MPRzorusoloHH+9qnQPhYl6dSSjwU
lczYQOMrM6yQY1UxNju6azvUpZ6beuArMiNiPHalmfxokS4SUfTS4UG2YgnH5oipZyd2qi81NEHm
nQSWnfPs1v3+z4qym2U0VUelErMVZFqRClC6HvHLvDSIt3Y0mGm6i75qF2gkEQSGx3+PHuajeixe
QJRn6f58TPw/iMnkeFO7jyEA0GShWKlgHoByMcZSQmVwnhJsBSEyKuz+ublMyBzh1K1mD21cM3YD
y7hj1Tm2sgFZxksCdQVdAzqMiiVS1k+yGCF/JbFksaFefK+jPkpemLH7d0BhWQZzkkgKGZgMoDxK
GhSZ2PS46Px9fMYun3IL+fFMmIQAqmENhW/kVFfWKLeydPUgimKhuYOr7yVwRI9Asoo+MyveuD1X
dqgzpEV8omotEg/Zq54GSHmWJshhSTPse1dbxZm8wap3Vmq1lfavzX4ktCv/wC2xPqsBOjb8Ptj3
J/AfeLwNWCkbhUWOAXVAryxRtfxIbPmCS/DZyPxI+0C6QzKhE7mTfXafZKv4dmWNOpSVARG4Re3g
9zwCZRfsxH6K3KYFKbA5fAl+qIk5JVYAZhEynRPa9QEEjpytPoRf9JNw9yMGkyYLi7IRoa5+E+Ug
wSOqcPOAKk1Rfg1a3qy0E260qYtQiO5/3I6GGxnHlS3KSda13itgskX5Jfmnl0AoN32/bWCDPA0y
WL+v4cfsxOrkqGU6JlP0cXIwBvslzk3NL70Y9wOP8hZd2u4dRDH2bausLaSSnFHooHgHRhdXKFFS
kiL+W8BBRH1KIck2QL1BixjVmA23erVKytksUi+PLbTF3Ynr7L6L7ZETQLz9tW4yRzZAVcyYMd52
A6hdQhNCV8DheB1EeTUlyDpkinIaeUX/zmm5JVUPt3dxIyfDon4boXYR0nL5HMtIFTu0l8cFNOgV
SMC1H1L1dtvQ1nPqyhK1fcYUZqoylBpw64E37NAEKVF7P8uP6it/xPzB/ShY3WjetroVj6+sUj47
kPQy5Wqsb3DbN+VxPOjO4ILp9YlPzfG5PBHEmYH+KQhFewD3I8Tj/lvIIjNifUrKoxsBsnGlx6eU
kmdonGA8qbeTkgWH3L4Rv74l3ZA1BkA4dBn5teGr3mLLz9nr5M6O7JAaWjZbo7s4f8Ri+CGN8smh
qyjhkkIlj+7o9VEt0Z3tVULeK0NjE7T2iP2STQbM4gN4Bp32HsBwpL2STxhoasTO0jOsHvJT4268
gE4zc+bHrsZUQYgRn8ITTfkgHis27pi41Ru/k96huCyzWogAFiDAQ/Wlx74QSJHsQqjSN5gKO5se
4/e20D1rPuV4pe+xLVw7L+aS9bwHjPUAyvP41HKNHRulA0QOC0i19aTHjPGvz2FQEW8u9ShICVP+
cmlnkyT7EepqpWTxWCgbnb41G3dlj4pmWahFQ9MST+Xp3oeIhpPvdTDTOxOe1gjuu8kyPP6IEkZo
VVAvrmzlaw8tpYnhMpkrp2Jdpjed2ndwMh/lqI/BVO08wHgN2SpWQXELgXG1bspDR20ajFGK4wQA
KEq11V1zyS2Qau8mRwF7wAw0Ahn3ZckQbvrs1eelfHbfqlHAS8hDK0XCbirQrRgjsE93sTvpknXb
g24hya8WSfltTS37KTXgQaULyBIgND/f5TuA7+zYZmmAbXvr1coob13MaZ9z6ocfqVUoaqb7IAO2
yQzueUfBkGVuVX5+NLxpQa82tITT9Cx3JrMMt+muVz+DcmdGs0jSCGlA4P+KHXlACV/0XQ/qp8YE
DfgegF6LVa9lbDO86LULLaKgTgwBSydPp+aOuGwJV0Y+/IEtcv//bzcIjuhrW4Jc9LIBCBhuyUDc
s1Vbw+E/ar0DS1xyq/ImoxsJzRu8R0HkRh0gPSlCTic1284mxREU+76LeJJjSOBxORgPhlXHYJ1C
9o/hK6Tfktk6yXP0zDpcm49TqKLgHxDK8Rr9LBbisUWjC75BfR5sYMXQ1cCPgOKOpelWf8fOUDe9
kQqSMkyx4h9dpvY5xPAR9FzwTYmGfXenfRsOhjW7gqOBv4hZdNnqOMDr/zZHuf02VUajqPFZtUvg
Qc8tOyeuZuW76kGxeD9tMZxPNri38H61wkdWQr5VjbmyT4UBpQ7rqcpgn98TeovMnnzFTy7Ra3ki
eGuClMKnJgLRABJ5yh35MeID71egusAbiOUmN68UMhKCcwBBLbri18cc8kZy0Ckfx1xwm6/xvvHL
IwepHjOzmJNF5FvSdwoVF0LMqYEjli5FSB1fBsmIEuArJgqPgMP5x8Hqj6LPqqJuOSdI4ykGIIdg
d1eoXe6gZZ+nYq26oZbZ/JIctVB5k6FYwPD7ZHc+L+i3HSqUThj/rrgRAHYRM1o8qJqDXQYXDF0k
l3MGS/EqKHZA57v3x3vhK8P4lodaL5KKrEmb93IgfYy+pBBu/xcXPDmNWezZ9QjWjlLxVOj0Cgzy
qCLmgLe1+osAMgSVwR+w6X3WK6K8YCTLFV+0HxBo7bvkIjfzDUs7lbv5KJrRnlXNYX09KpKGS5vJ
y4jJXdmLfTI7JHnkbcOCmzCXRd2xpg3zIK8wZ7ZcOjvwiLKegOf/uUV/PnOyd+7p9skQt5Kf1T6q
VJzMuQRKcQYW1u/le8HlXqHXmMOTh85gcu/pscpMlJp39REykYAHoLa9bw/8QduNB2bMZmyySvn3
BVe+zKYCvCum7okwjDFXPHIwGSEdIJNFtITR1rrjByt+jQY7fFQfbu/GZuVlvRuUy58KQQYoFQO/
vAcUcHLXmrUVIaaN3/PX3iYdX+JibxslF/+GY1ApB1QbQdYUXB+4DVeYUZWa4K6zb5tg3EiV8j19
GHVaX2BZvTJFVj73P4syiaCqwkz1WMeJcjTSkrWV9gFPBNYBNYnhqFpkhhC9wNfRjfzEMe6Gd1aJ
l3VwKI+TViWIzkQEi8Ht0OIlpVbZTV0Wzo/1pSifowP9r0dkooRT0ksJXs2lMLzbX2qzrLM+gZSj
EQtFU+oaKPDemoHdka36H0xDW5JHAIw8PBvLAzAtUi6nVue5Mghxrnrq0d/MnVE+G05rT45RW6XL
2dJXTOTdXibZqRtnnoaw8Qs6PXLRBO5QiroN1N3iqFka20q28GZZ8V495Mzn5Vb5YLW1NJ6t5ONc
XgR8PmQUdnkGEYpVnv4NhvlRAkwbw9kEa1/yJmvkbzN1XdumHEvOF7LaiCT636sALNbQZp8vwYUH
HXxw/rvkCTIHvCTKgoqpOWz/qoCMtkpidDma8wVqg6OXuBDwRh+6eGC3QbfgbniN/LZFHdiwFwOZ
H1A3lj2EYZ9/DyuXHy0CeZht3YWWJOpPhPRe2CFofCkwZvYHT7DNdBFiw6AHExQZS75eMa+E0jwX
OaqhGI8xvhF669ntd+q30fwbqimAuH7borwNWoEpxwXoJxHhXRlEJQoGCIBzJ1DnxOIYMKvNtBsA
U0LcThqgdPO30TSp4coBG3wiuPp833wDEvOY7dnbuBknVqaoOFHP6Qz+vixwg+xRm7/XvGLydebe
vvubIWJlhPpUrVDMIELCNKAyil5Wa+8lF4N9VtchP5Hkb7eNbTqalTH6WxVdoI6gx3THTn6bquiO
lxKH50oXUl8X6GZGjEi7GYlW9uibl5adNhDsvOyRQQ/OAScBZHZYAW/bn8iQHBEIFzlGIK7Pe6ZX
uY7EjUS8CLOwyH6RpLgKadUS/gOWR9mMfCtzlPuKhECGaDHeD2IKfZnmB9SLGRFhs10KYpxfK6LS
oIjPQSOqERNqu09VOTQ5IW/8YRH8okBrMU34B7Ew9p1snPgyZ02vbAYHFXNf4MQzcMmoD1djJFsS
O6A5irz14kX/vgwTGAmMVLnnjGqwe5l/MIbEmwMxsqo09nOl/R4Z/VveBbOXTcoXHWKYtWycJy4H
xNMQGBu0namr6AkAbwLpKLreEip8PE0S5uLGPZGQKGyAYVD0gHTwK+joLXDJ+vGJA8R4H51nMFCl
mG16npzyDxSytxgHZEwV//ot1LUK86bjmmH+t+MM3lJ3OnID2Dcxyg/GtuUlyc3m/g9mA8lr5FPe
sLJLfaWc10G907UaSD+qXe6H+8rpXgaP7Qm3CImvVkiFNYgWN3UMcCSe66MD5Nc+9KEGu/+3s149
RA/AF3nBOWY2OTav2mqJVDqGo9mPPaAZGCkGl0mSW6V2f9snstb2cRVX6UGqhtzAxejgk7YNRKPd
Xj63qiU66Z6zZNs4LY7yDOxachfz5sjq1W8HtN8r/Pj7lXllEKVkrAOMxu2LnXRcDsKZIGmEExu2
u32rf53TDze6MjWjo1DzIm41JDMdTbuf2/cozM043HOTiJ2dWFWezXizWhvlxeZISAyFHNDBnTMz
2KNtB3zEQOhbKj8zCXkLWKuaU7Zn1bEY5+YjzV8tVcA60W+Ge8ir2R84zdHFjhHcNhtTq2v/8Xxe
2WjiaBHnasTZdPNz5YJoxJefYyc+pXsDsBMM2iHvGxxwQLzmhSndyRDgBArkD5DuDEfw4aBWvyQK
8W6IA6w2Ns4SMD11pdqZ/k+aAlyC2b9cBDizN1uR1Xne9MI6r8hQ6FKJTgv1gbNQFLlexAeWvenY
O4odv2DenndyZ7bShwK9WsMJd8Eu3JVHZU9gOMGj8DNNTNTDWTPhW598/VvI3682QeYhV6yM4KvU
MNg5BXcazNx2FZs16LUJKlmDmp4yaikuUGfrqIFD3+5LZxYmwWRO3yBuTZhmgLm8A+TG0h9S6LqI
Zw0Ul4RbMr6wqnCbb9X1z6HijrhA9r6HdjJK4hqe37sS1ZnOFPaCV+46FOVjZhV+KyVeW6QiDtpW
QSP1DZoAU2rlXLzXk+bURyXTK255jrUhKuBkbaBpEKoFVx/qw8D6PRG0wWIbLqkPyyKyOxlDeRZ7
mnKz6LW2TEUcbVoKnHXcJfKNmzuFN3MvBpwA39CU9hLEIPpvzMf49nJ1KKpihJeAWq/PLsZUiDQ1
YhCHSTqvt9T70p+tyU6BZSi+AMoczeaM6dE/4O4l/2s6iQCmUgfMkcz6069jfiqHecpnAI9azR47
vFSh+m0Ak9YPP1UBDPlC4w6G8aYKjV+JrESTpMqfrQPYoUPhDwKg1I0S4l6GJjUWjslalHe0g3EW
L5hfQSt09lnNws168se823/WqAujSroBeLykoaQ6QK8osmrAQoDRSZ8AIbX7A2u8ftMlkfm6/+xR
1wXiZ3mT5CpWx6OUIn8dWRyom+3P9YqoeyL0EHMVCqyIxKD5DEKp2JkOEiKNw50CP3rAvy/9rtiP
h9aPbaS/SNHKxvyrWvH6h1DXRpiNFFy74r9ZVPAS/eg9MumR7mZ4Jie30RczbKYHJB/sxvGhtTha
DIBPUMNEXqqY2nFyBcOTMNl/EYAPSr1iBpVPSszDE7MqhVvJ1GrBH/Oiq3AT1ZD3jXssmEuP07T4
pVCYZf0gd7yJl5oFrm9GNrXpI34fJol6dU51U2NIFAar6dEIJavmAxTnoiMvzmbPhPlsx7qVOSq0
QwSEG2NorQDv1dkTukhW8WgcutjsduX98K0HOpmoY432fJR9/VU1RdAXEWh07OZfQpcFj2bd3Q/i
m9V+150apyPZbzLN156np/akPZC+04AeAQDgzMLW5uUVRVWTFUjzfBozSEK+7rRWIQYnu/hKhuib
A+gSEAl6cICMTMypuPmFVxapDEZbMOrR61hiSXBVuUN4v6Fda5zHU3mSfGTOoTkpCAS6mz92Xv5Y
WOm3ea88NXbpGzvWDmwG+9XPoXwzD2WvNsSwhSuluhmMuyzx9YCZU21e4ZUVyid3dS+XfKsjd40m
yBhoS+XkY//ULwD7hvlrIXeLOxSVjTFvT5i1+4KffE1HQp2NtTn0pRnKgHXo3b5NhMpfFM3LSRTD
FPtwykdJAHmZ7ORK4kex/lj2QWDO+evtvJC1BMrNc+oUh1GMkyKOGGubZntoHpu+s6WF1RRkWaLc
/aQvg4S2C9DmBlEajc1kvDRtZmV/w6xBlKN/nX7Kny9yJM3JSE5/rtvDopkBSxLh9mkH3e91ztMB
XSDXGY4XxiyO4+SmquJXuZdFoFiSzre/0CaYDowFAsbceYP/pCYs1eUYNhyuVio9pepTKrh9GZl1
tNfm3Ddwr6BsbWcYsJpGuG9QaHSdw4XiJRCf9fhtHhm+fNubrX4P5czBfTktfI3fM025rybAWsSH
WlfMhXtLBKcPZrPpLnP9hKpDblzUcrEZG7KZeK1+AOXetSlUI73FD+C98KxgHj88hTvS1CUFUxZ4
Z+vYGtBsFAVZ4IEroS4I5HX4DHrAiJXiIPlD2DsJxrfCTiisGBVD8/bathz32hp1SaBSmAnB/5D2
Zctx40qUX8QIcCdfuVaVdsmyLb0wbNnmvpPg8vVzIM9csSBOoW/fp+4IRygLRCKRyDx5DmU5kdYn
HqnG0U0X+980IrZWuAMC/hwFvJV4oQwtiAMYWZPkrhRzYNZBzO+7i13cWOPHZ/RoliZJxXFkypT1
gwV9auKj0Jg4+jcAFIDDyg4twdYVLkoNbnOCZ4tcZu/AgqTRgpQpePDx3/MDW2gYiJJb/AY2WGN8
ZexU+QNTrlyh2MC6Wu+giED6dXk791hYMG/2YZe7IZKClEth9Ah6bv8OgwCy7mhDxxGwjO7nX+2G
8a54VA7Fc3vPZPqES2engc8z8S6DtCOI9dgvOV96VFuNsoLvHYWs/F1qIPFMf7lbXYxoXRVhKXIu
kT3OhYH8SOxWRVHwHe8MisgqYP7FpIVUv7vpBfbYn7u0PM6Xkxm1/m4xcYHJjddKvTflqpODBJGu
mC1kuKVOxFu/VzR/H62Dxq8NNTi+gL/AqFbLrHiBAQlAve7ZFKPhSa+TB5EF9CtZ76a5ifzL3rQT
HM7Mcs40LHVb2hKWGmu6L0eTp5WCgvKeBYbSA6mKxih5uMi60pFmOuvopQvGvQqQ2s6CNbCDxm0X
Eu8PC+wXbFJhy7TLLAPrU0DV1ZtsDc+sfH3NjUawkr2+GnT6sDcWLk7oVnN+0Rcjqn46FHbyxDwA
Oz05Zp3caVICBmLae20MPFRudtekV3xlmZyxVWLXGmP38p7tXB8MkCgTG3rhoNjhAo8N+SltaCFK
MwKRjvnz+wZfNi9BW6MLro69ajxMGaiDgLJNBSPg+adtQPJD+mlhyjSg9gLGNDpg+Aqx7d81VSBE
CDpQrE0nJj9InpuUJqospeG4QLjWrX2INgTts5ZBQtOhh+RbdNc8VieQ/DKuC8E33btRzqxze0ui
Na1RkbED4yE5KqVfGiC1LFCc7wPrbvWBjgITRQThzlPqJrdgRgQZzPByeWN3HBkhFeIfEEFlO8uV
vaJUqYmUxlmoo94k5Y/DUnnaTL3LVvbcGBqvmBkGKxjecTymrK4tyex6+E8GcnxGesNecfo/HNLe
XdPGGHc4iwVA3QxpaFBgThCQZYdS0B1QKvDUnShztibOURF3kiymTIexl8EdUnjx9PXyZ9uxACFV
2WAT/Zj05pEWaIkNdWohTyNwjRicDeA2E+wM8zEukJ2Z4L7VukDQm7TAxv7lkWEzzwxHKsIHiFbC
favJ0NZOKaDYqk2g1ix+67jRLn8rdefCPlsJd61oZKFdR7UsBMnyddtNGDNT5+6+BAAQLIzS+sfW
pccu1VYvbVPDgSbUz0qZeicaaePbdZwjnsmvJG7vq8H+NZbZ7zofr0vdvupVDHc1i1uoVpjILYaH
kzJ3cml5rmTpNV/o7HRdfdXXeqi34/c06//olf5ixloq2K29cwRFEkQNy7BlG/JZ58FxmiZqdNrI
Rv/tt+ELfO6dL9kO7a+JL8q5drJNUwbNnMVK4p/zg7gmEHgyyyyMstrPe8sh2aOk44v+aRJTEAx3
8p8zW9zuFbJSAXYKW1WuBIuO+ntseJP5XNV3Vqo6WSOsZu1ECQDgCJRowUUO0U7OJcFvLs0W6VN8
SqlwQeZgnRKX9W9sV34ABXl6P/8QA2X2rRqQRsagJqNSON/ASKqWQUfEDYvmpczv5+mHpAle2nvZ
uonHvIphUBVBV+PuFdqmSOoqla1MBdNr+SCBoGP15thpXym4mkH8ysRQksNqY8wLY5HprfQiKgzv
nfjNj9C52kLR2LlWsR9hAnXbAUulkzi8fOT3EtjtQnmlrmhFOzDqSBpm1xL42jCTkp4wQuYzpB89
maA3KAPpKDoWe5WDM7PK+R5OaZm2xMLSjJsFk7DpAjLdyFNvmEwXQaPXF0XPPSzSmUUW+zbpJgGQ
sM2bCAs9pgcZTc40ZIxtyUl0KvaO4XbXuOugGBZNzhf2Ra0jKMo1cpKM10l9HLC69CTYPubr/N2z
NcadwKxRkwxhBy4Cpmd0glwmKgWNLiQ6wjkGtieXbHHxhUqZnKYxBK9bdF7C5heeOneAvKpOZ3pQ
1Th01BesTnQAuAerDA2k3lZx0jM84r7T6/cFepYXHxXb+YcwqL3owobwyLsUscJXeSopUdJBbZDN
OQT8OL2TjI5UOtXg9BWabKghO6UHwvC+Fu3lvuN8WGb/vvHQyMzqirTvlsv8YBno3GooDuSh/QM9
oCJxtbf2yKa/zaM4u9ibjEMA1wxGi4NBsE9RVZbTlq4Z+IjAhif9NNxCdhLJHVlvMXX76zaYR29+
jkrnz3xbspAnupj31r/9BVxMkNR1rPQxzcAL9A5h8ozpgfU1WUNGD2W/OiU+9Hq/G62QfXjvxXS2
ei46dDJV6jrTM4RBA3cY9JlAdra689chFM5T7K4T7yXUn2Td/ERa0ZjWCLXJJAvlt7Jz5s5bvZxN
mDJIt+aQ3h97TwEtPoZz/hEp/l7M0PBOwV7j/b3DRFAOemtirWyn9Ss2OPYORMDYmKjSv4dDAJkW
AKAWu0TJe7No49NzVixjpSI+of2OAqMKtEl5E9+8RXeqj9nGgO3o5aCxd363FrlTlPQrYJ9gAw+p
NDhTYUJYRvNoL5JeF5nhEoRpWNJEnnFY8di+VqfoqErGse9LQSIiMMO3hqu1Tew+wV7J8p9Kfqys
xlk6QQ6wl6NuvhjfAzaHoQPkaMhCqwLVXjq57Xyg6tFcoR1Qi6ogeyFdszDqqzGkBpjez4Mc0btO
kYG5CSNbv+vi9qdCQSV02QV23zFbI9wVLNFW6SBhB2SvbI2ONdezk2pTCD5v8I3JPdBOBrk2h/Uo
Vd2hjyW/aVVvGMwv1GxXJ6uHA7R1vxQdeSqbNkgW/QjA9s9pMF6VKX5eBkN1zbK6UwztYBoAqpkT
CPghulOUQWlrD9aQXYFG4ybOy59gqTpeXt1uyqbZCsM1MykyvoUuQS82wew2uIMw85K8UMlDfdOM
HQz3Pa8F6COUQ1xBfQBiCHEveGPsf9qNcW7/JimauigCcRoL0sVL/wMAshPkceKH6UbxbYwadvdM
ast+yO+nJ4w0lE4DNi7G8ZC5Oa5O+4j/D7PTv5C2BfAHA/SgMmdFL+72KNOun8whgWOViqNrj5r8
Z+1TgWe93/58DsR8FypPqCZA7Ylz35TQtS5q3BNgomK8kb42Oa2X3eYoGWYYq+w9ppa1tk4uRr7u
7ryumybavhCyl00uttlWVK/rJGVhcm0+zUA13UKi61lHdvLT8BhXTNK5hd/czKL+9l4Y2hrmop0x
dBBHjiYE1ap2huW61X6v9aPAr9kOff62/1kdTyZL5i7ujLbPQwKZVIi+H5vDiK/5dyJfBAvYLQNs
lsTnO2Wh21mH3nY4V/oQQPbMBarq2Yzq5ymxIKrVHPpR9eTYOgAZ+EjAkomH0iLwp71ouP0R7JNs
rkeqdXortThNtIpc2uXOXKr/ownuwEraFI16v0ZBTn/MxZdOEiFWd99y20Vw0VaLU9JXRZchHs0g
5K28rkLO+HdYrHvIn4RPud2vZoCSC+Ak9F34d3G6TOq0ZlMeQrjgT3IP2hWgSrR7csfGw6C9IiTh
Zu79yTMNaAVDmwSMjRq3TVORZHlboS4GOMazWb8SpXFqaOko8oz8bUVVq3YIMmPBgdhf54dZbutM
bbUbbVLzUL+rjkDyM/XHG+U4BtBEcSxQuCuPly2KDHI7WVsURN+WnOGF9zOZfuml4Ikj+vsszGzc
nSjRmCfLHAVNc4xI4pBSOHLEtuLSVnGP1LY3hgIER6j3PrBHBAOxsykqRgsdB6IRqt30Vt84Bncd
SFVqKChtRkBXDdcy5qLzV+uYgkSUBPKPxgWh57Mopd7L1nTk1Khnm5ZOdO4bzpimj8fCysJyGL+k
5RhOqezadn6v9MpxgCrcZZfYg2czATbZht4gJM4Jd+dIXbIamV7kYfRshBhRCvob9HamANy86zvD
ER7/ggxn101sJDc2SHHwdbmvqo2TUpamjpBF3D5Ha7xZBIhd5gWfvGRjgVsUNDD6uCNlGsaK+oM2
8x86D496DeZnUxd1IHZe1nhlaYS9qrFtn0h1IHJpd2VV5yFee7oMoiY22vWOivMNKKrHfukmmCvB
uZbC4iTdqy+CLfx8JtgP0FQT8GjF/NTLzfNFb+e+QRwByTB4WRkDhXK00YX88Y+kqz/vH3tWonSC
JAnNY74hpi/RbEfRWMAexeOWES7gYYHhCaZ8thxEuPMd+PC5Pbb+TVixSktLsnbVAXafPSjpedbk
YJwhCApPuo1P07PltRh97+/7xMEEnf4CulJR9WJ/zTZBSRr470/YCruZO6lfO8B10TAhw3g7raJB
pM9JGJaJ1Pv92tMUHmWe95g2lzAbEkogzS5Rk1Frr22+CZxFZIULoHYxTUvd6Po7PgYIZE+T3gkz
GPd79ghuPG88APF02So7b+fn8Xxp3Ik3ihJxO53zMB1Nd4h1V5/fEulBngvHjCfHTkSTl7vbtfmW
XACIqs7I7QmrrIj6mNvDSV+EedHnSA2mI5Q8WKQG3obnudbj3JxibQan8zOTcC6eDND9PVZX2pN6
YkXEBgRX68v4Lf55+WMK7PI1A1NOujlqDNQNrWUEc2eP+s46fI97rXUsm3xZkM04l03ufU4w0+P5
xTikAOs4P4HNqppxJiFT6YvVHazUN3SR/vFOiQ6fc2OD2zJDS5fBTG12yolLoB+JlgwGG8M6SAOR
HNPO64AZQ/dHViET9RnX01a6NqoKFuRH4Zx6f/mX8aB+AVpDPAS7d+g0FCAxEG/YJqgXzr8ftS3J
QN1ZCsC74MzSfD/I6ZMeo/h6eZ8+33sA3HzY4V0jivRa63Usy1TWwCoqT18Uf7TiOxD3CnK9ndzo
3BbXppuMQltGHWta7zLAUNCzNk65S1HXnDDJ0YX2i3H737fiYdNCr99AZxf08lzGTJo26qvFAmUp
5OD/ksbIvrhYvrtdGzPsOGwunK4v1zXKkyLMujqYcKwKoLdtIU5aZIb9+8aMNc50haBSEaoLGJuR
J3myOT5ZK+6wy26x84Q7/25c0K/TUhmHAiGj97WTchp/QJ/1hkL0GF0WI3KaUES7s9OOO7fIRQxU
NVeLAjIc0qABqUIZyqEdghHAE1r6/HgzUYizAQO3UbIBBvP8K9ZZnTU1QPhYG0omxS/yG2yZAwZ3
WV+hDoofrMVp39cBK7aLXgh7gRGPVGSylqXKIL47N17YTVwZkwS+lBqahdnkaKA7uLx5OxO8pmJi
mk8zkH2gG88Fj24p5qiq1zIE2uuhnT3ZY8yuegpG/NoF7P1Uh4ZnAE9r3GHCJXWALj2VXuZLnu5d
/il7nxr1GzyRCd4Ln4TQUeqnsdLIZWjKkhvnV9OCp/LixvI9yR+G6D5X/MsG9z4vuFKAWcUMPV5F
3AmhKnQkzHW2AqXN8QKHboj0+7IF9hf4zOS9d8H+/GcdyCLDtfku19BXfewoNLqtyvptLFQBePUd
/vfJEGaPDUiK7YkSTkVsxCvEc/tc9ns8YDt5uC/W4ajHQ6gW9MFYYojrSWsI/OAxkahXJGDgl5MH
IBpPchm9JnNteFnT+fGMomAuHaN2PJpJ0ziGUj1QYz5laexNJUYG6GRfR0T3B83wBns86Y3xB0jN
cJnnowHoF+Y/soPWtv5gQa9ZH728jQBbVk5K3d2kOcjaauN+GYvDHIE0XJFetCoaAatEFZLqB5LU
sgO9vNFJauW7JTehXpLvsjG+FhK4ytKuve0aFfccUHltNLhRnv4oyuVKzkAGN1j3MxnQfFUywbjC
nndaH1+YJ6iq57nNoJNbhpg9QTOzchWt8FoMvOHHh2rzpHVtkEqiEt9uKrE1y92DmRTLVjXCLFSV
3setAY/xtTsm4FaE9uGyu+4diK0x5TzeGLKETkUMfcekNx+SqLhdx0Eg+rX7nrVUQJpkHAiwJnEB
NQWAahxoVoXGKzm1aACMISabPfpNw4w8U85c3fwXRKBvFgvMW6L+Hvvrn8/Jh3UuDdSBpipXMG+B
EyHF9NTvFC0qe4RCXP61UKTjv/iceGpBEcjcUZdsyCJraq2Xoapcd3LqyfksePnsxpeNBe7mHQpt
MswkxjBvVIKjelF+J5X0sxrTn5dXsuv8GzvcphUY2o6hZIhIGTIKSnbftkcxddju7mzMcLuDOV5N
S2ZIOBeF7oJC2c3sK1sNG7lxKkv0atzpxgBahxc3ygygk/2kwqhpQ58BmQv2N7wa8fZXyvvcT7z1
FmwGbiR58isjIVGUfzdhf26bncRNclYbdWTREhR7JLyxQnJTh062PCZIczFHUoChP6PHXBEc7738
fbtg7r5TRptqdMTx1nrtp15ijlXphmNWxqelFuEU9j3z4+NynknXKFaKFlIJYJScVJT0u9QTaiDv
xqvNDnJumS+NmSqyWoadTu+SpPaitA4ue75oHZxLalVdokaL+GuOtVdFqAnr5U0mCkv7YZ6NStgg
NkYPkgvzjRWtRYWaJp6nxReGubcRCdP7AXzSYtT9/po+jHFhXkXBRMsJHF81fhrxsSCh0QrC/P7O
fJjgMldMVODA1chH8ngKpam8p1HxeHln9r35wwR3hJQ8bhq7ssuwTJ6omroNeMfte7tcnct2duSN
2Fn9MMQdm442RhwPcIGxcxpvBMVNHxZHBnbMvEZ2tdHRjvlRO64HyZW+6iGrzkiZ0171pZP/1ILa
m65EBcOdwjp+lA5FZV21AY/h03aSE1ISyBcjL5AhCFJ5KnH0R+qysFzddDfxnWhaYveZtzHJk0TF
aWZLUpZXYXQDghs9kN85jHyCKSX46YNYyXL3OvhYI08LpUn2TJsYTjRqZuZOI0jrJYjo6JXljbNy
l8mdII3ePRgbg9zBgGK2PhTgtgetSv09lVC9aW3dtVZJ5FOi7Xv/1pv4r+pjQfsVRxBCR/56rfky
iPpR3/jDOtaJ/w/K+OzEfcp8dN22gG7AcI/Jxcp2Jo1eDwN7pM9e/1gE9TPUYyBYovo95LYPok7T
fkjbGOQiZ1LOeWekyH6SI5oGN4wnrby2nHeFB18RIJ12qBrYefhYHstgNh/UzvA9G1tj0cC13OmB
euZ3aFu7dcgUnUePPNFTErzhkXJnMrZzdNkip/aWw4i73yCCvEx+p2K48Ll5OEI2ZFIqN6AfTfDJ
m2IIWnu1Dp0RBzaqPpouv+ijuQJi04VlhSt/kMIqgV5DCyWVrltOk4kCZa6gBzFFJ2mwckdf6mNu
rE8VkMjOUMV3WpX9hHr5F0luGi+fzUdtKVtX1+mjmdJw6Srbt6cmMAz9jXTr7dDMB7Xun+V4dUmL
wlYVPfeS/twMegd0qqE5vdq8Kbo8e1atgGhhJcdoGYIyqQ/aIj2XE3hT4sSTSukwlYviUrnz18z+
ZZvSk9o3YHeeh7tE6u6TEdITHQWXfDU9pTGYkYDXBiWWujjxkgze0AwAT1vmt8VobuJlkpw8quMr
klfWFbBUTkSgk9shIaPD4o7d/LwY9uDOqZF+z5pWcqSp9dcYuje5iVrMFN00VfUEqiR3Ncb0uVtm
SJblchnkI/pj8vCUVK0PHhqQsJTrm0HWAJycjh3NS9DZkitH9dEcm2cKyRe3Lgt6qEvActS4va21
+WC15e9yruvrNSMPSVYcxqY/GCQGGfjQHDtLu9amrnqcoG8fLy1wPMnyq7P60cU0YekQK7KcPi1/
oYYEgNNgEidNSvBzShgwy5QvRmukpzVaX62q+1F15g8rxZdte1NyJ9Ny1qR4pY0qyAP34+p/zgoP
XqGFEvX5nFahGT8WGSg9cHdAYq2Q/9iQeb98e+4mAjrLasDEC2wwd3lOakc69IcNsGUNx9bq8S3l
35dN/H8izYcNLtecBmupEmu1guS6OuZX6Wm5fxfidIyD+FLavyM+jHFxFBk0GDhycP1G5vpr7gvq
ZGv5qPZzFV5e1m5+s/lyXPxcjDptM8i9BHqqPiBy65hAxty5HXuFTQVZ7v6rfGOMC5+pnoxmFEEn
PhkxOT65K1Qc+9AA3dfP+Se7mQChdjM0L+519PBiL/72Py2WB+Uo1O6oXeR2MJh4AY23Xf5ElREU
dpn/vxniEm2aGp1ioOwXmMu9Dh3FuaG+WQ6OZlcCz991FAMytTYmIWVop57fSOkkzbORGlCFpEXt
6t16pentW1cvAj/Zz8s2hrisBV0tbJwJtarBk79DPcSrhzvNMwpoxBe4Q7BbRiZAQOzWAzYmufRe
Us1FSxKsTR9QNpWz6ji25Gte1KbT5oSVx3qnauZjnT9c3r7dPp61scxl/dqcNUXTwXJy7I7dXQ01
MIbx75jCzb8JkxtTbIM3KUWOMY5maExMwxTNw4xKNNGzgJLlvm9izRmi+tflte0eeDTwFIx3Q0WJ
nxob5VnOxioyAnWur9MJgkJ16crxgRimoJYpsMSfNrvMe5QyEVqs4ZnMpdPnBXrmd1QtBadt9wyY
GKBF8wKdtfcSzPYTloRItKYgfS+mcMFLKcYwcE3W47/4chszXKiMFDlRFhtmdMwbFw1a/qTxlPQq
rb9fNsSC+6esbmOIC5MLpBmVVQa1PcZtOojJtiHor5E46fotjVGlKgzR0vYd/sPke+TefMJ5nc0a
Kld/Lzf9GtnCbYk5nn9yte3e1RtTXMQicdxKCokgsj4DgzbaHjiPvcsfUGSCi1UJqQt1mnLM+NvE
sdLiqopET4H9eLhZBhecxmmxZUpgg02otA/LbzySX3rgm2N3rBx9ckQUh7vRcGOQLXqzRW05lama
oxJBwAndh9aRDcSIR38Eh4lH8EyV3RZNCk/QovtYvcqtu2R4vbw9uyYsTK6qqCnon6Sv0rZOADdD
cmOUylXVpI8RNcOmtQRX1m782ZjhPpjZxROVU5iBMT9PtAd9VR3dLK4BFxSEul2H25hiK97sjVqs
UWMrMDVlv7XuSzcJLiTR32dL3fz9NV3mRmHSD7GFEkViOg39H/eExaStBXDNUyViXcruuqJXJkaG
88f/bdu5+KlKJGNUO+CcWY+6fDvklVtR0czTDsk4nugWZOTBdQNWER7YF8uQ1IwI/Ddb7aCvdKde
osc1k78W6XLVY2Daybv4cUk0n6K1Nlv9rWnGMUjX9FMuRbfdWHyp7OK6zyLf0mb/8ifYjey4eyEF
jdfIJ00NOZnTJqMAxtZyA6BTHNdumkeK2xnNcUbHz5w6TWByF+NibWxyx4BORkOVCg1vLYxO9Wv6
UN1lmBA9NlcMcFh7wAOaQG4IahO7h29jlTsRpmQPkWzEeTj2b+YguUrcuH0lO1nUCiyxv8Tflmy+
n43u6ehNc/eJ3mn5mkRg6quI4qi14SYycaXMFCTae0fQZhKEGGyBYh8P0dDVMeknA3MtcTY+Yzjx
e63OIujTnnugZg0oiGWgzGRwF/8aE3ui9mgGcj85k6x5pQ66/0VxMnIz5CKs5u4VtjHHN5uNPp/U
SEL3BHrrYaJ6fxG/qQ3y9BosJ/9AL2d3rz4WyPNaLLaUjvVKyrAaTG+2j1A3vpFMYc+N3b2fXAIg
MqA8NAXze1wwU+xlyK0eZuQ7I4SU1Wk9UIe6Zgdsb/cPJDt30ycgNf9jkAttBJczuDUmM4jypwbU
C0lgu9N6P/vQKxYOAu8dLbz2UGEFyhboTe5oZSDyVEYTRysB7MkEO6VxQvsXBFiC59euHRXjv2Bi
w/ni6bXm2KJplaGLLadG7A1ScQ/GyFeLJkHZTYKauMgWF6QmiDOYY4YLrkObea5VP6oAReij5yxC
lexyEGab8ck7Nuvivl8yk3xEzIedQVbciNLRVeZpcipTj925G74YjfGYEfBTXra7l8BhIu4/35N9
g80V25ekzRFB0KwMPtrbykH0oBR9Ss75s2q29dFCVAeT3KLT62IExzeYGctI+XN5QbshEYRa4FWB
d6Mzf74gGcKUQ2/gmOk9lBNp62qF4CW0Gy82FpRzC000aEjiICimycUjeMsC2kjfi7lXBFuzI68A
QOvGEJfN5+lI0BnFJckYFyFN4oEG2HRI5fYBgmH4VykkZhpHx9onp8mPA+l6uIkDZXVEbdp9/7QA
F2DwNAxlnC9aNTQaN5QVM1Xw5q3emn+ZSe2Y0VNuAt5R/7y8i7uFTTbo/3/t8R23BXNjVI2xdvD+
g/l/DOlhDEB/6Banf6Vixr70hzXOaYBonkGBxZzmyXpgD5nhoHWgcpmgsl6FnfAu2HfSD3ucC5E4
WlcqwR4NGMI99yU/fmV0EfmxPzav49XyKPieu7fPZoWcL8UYUwfwgvEtPqwBeFyuJFd9ZKwcsq9d
ifnldrt82y/KxU41VfsibYx38Ci49kEWBc3ScHaBBHfXGzYLIVriroeiJwyKKksHqIWLoM2Ya9AT
aMpQmUpnXEd3RXMHQCSHUGxi+ruLSlfwUZlbfAra4FOCQTYgxKf1cmfYbVlA+ck+WOF0ux6We/XU
OTQUf9Bdj9mY4jxmVbraylQEUBuSW5oefY3n/unycnYTvY0JzkW61cq0CKOcgWkAKwlkQbEGUuNR
crQV0RTx7n2AEX8NbDE2WiPcfZAWBslq7GQwLXj7SFGgDppHtMqN9E60Sxb7Np+2ycYmQc9MsdH0
O49dS44qsQxZj6BRcLPFg1/2vU9VxanT5gWsF0Fqdc405MGc245Ufyno5AJviXdz8rW2f9MMahTJ
5BD9WrO+rXX1UK2APaLaoWi3MS3QnoxvJ8W4W9bBqanqQJbdUxPFS+kJhCX3avSzSStXqr4rdhtU
Eqr8JkiuV0jRz72TlYd6bkOgaN1qab1Us8Gj+ZKbt3aROKuNbk5cBXZz0CzoOaCNmBejPw1qMKe/
FKN1Esu4TxXiLjXxSfRHHd6SBqwNkaUcZajatvRXRCc03qAnaDzSBuo7veZ0q4RmqTY75dT7Jll7
h2aaGox2BV71psCNVs23ixFdkaXw1Xi+Kc3FzaAqVBsjWB4geN5Xd01peKaRum2seIkyv2kWxmXM
5jiBP5vW+s04glJhgQaRLUenNC/dXukeLGN91FfjLloTd6AR68ai2yo/0MUKbSPyAHlw0BT+1czz
/UjnW2Mtr7Kp8tUo8dT5OevnE8pAX8tWu25TlN/H9FVrhlBDX3jS46Ba5kA38yckbE6JzcpzjO2Z
qVtm35Xkyqozx6oaP+5TD2RoTtxOx3rCXk9TgPGtY2wOTgcCma5TPFtVj1H1o7CzA4EMa6kBMYb+
TNpOHpnX2ynGeFz9VmfkqA+r15gvdfaYZYsr0/qlJPYhataQDgm4PB+VjDhFHR+s/iuIVB3wCwdW
EntooLmGWl0nZto7XZt97c3E7SXZr5vyW5lElTPVqxv3uMvjBLCMOIxoJYDA76Yym5PBZ39U0xWz
BPbKquLnykI+RsdbqxSh73af+/bGDnfcF9LhiZygTKjeGf6M+6d5AsmpDSXv5KsS1IGZOcnDf8/1
a6qo56HygjBjgNuCO/ZtWpeExRhQpzRONk5BA8C0czlo7i3tzAoXmBepJJkhLQBGBx3YTjChWuOi
6+HyRzTZHfkGKsXXteiZvBM/VcwUg4xRZvMR/GPSrvKuUzGwE0S1dEIjL3VKS35bh/qQVqbgGfR+
jXHx88wYu3k3bwRp1tKGAIqFLtvk57Fj/ZmBFU2dv0qbauHbN+kXlofC1z0Fck2tEwtrN3sZxdmv
4DLQykJIBgzeCvrGZWJQwMPPoF0v3fmBiXIky0H8qt15HW1tahyRoCmRhq4FUJYMyAPywhsVCqZd
KJKrE+wm/2aRpk7VI1Z7xvzhnxQ3CwB+1/FY3fRdJtjMnTzibEWcu+rNOEb2gvKKMulXamndGpH5
31dtYQIU8QYqAbJOuKBiFEoFcDEOO5XK5DBBpMZdO8iwxopo/GonfJ1Z4sJKNU+gwY4VnL2lOykl
DerktkXgFBxxlvh89v+PBXH+b01mlsXQwAtKy3ieNPNLn4LJzewPpK/z26Yvrzota5257m+IkgQD
6Ga8asleLLMJLv+UnRQNCwamHsVagFj46kfZm/0AMGIVLsN1T78oyVHPTrSHnuIkmsIVmeIS+MrO
ss5a8eArR/PWQuFtzdtrM8axh/rKq5aLarP7jvmxNC5JU6MxtoYWjczIbFNXnZrHcRJxs+/wAOFK
2Hw/zjUhjJgBrYRqPw2K0pWc5RWk85KjPpo3JMDxczOgmHBbC8fZdj0VBVrQAxJM1PEnHFg3qhQU
oHeq/FHiP0mVep0igrLs1U7Z3DToCggbuuKBjhATISQlCJF/dQN6dzBu3mUpcmgQNidyWMeXyw65
u2sbi9zRQO4C4FOCdeE5+82gpHQnyKn4l43sf7yPZXGRfx4mqU51uAZJbiCL7Ay2byhC0hiBFR62
aDK+vRj4hKABa+IbmPVvqzvbL4ElcZfUIV7n0taZHJHf728aWkMo4qP/Ahrp89t1ziQl0xVgWBic
md7XOpSmqFMth5npagCmubaCAL27aRuL3NGuFyWfJBbPlqZ/SC3Dp+hGX94y4arY197kDDmGRyW5
q5l8VvyoucsNaGpf0nfNsHTEXKyI22h39zZr4k72Yi5tosj4ijP5VqutY45viei77ed6GyPcfZOB
JnpMrfeteufnQJ/MAwCVKbAsbxNFIT/BqGygiupFog3jTplR6NDKyCCTWJZPiYYh1WH2Lu/X/uez
UDSF4jdqp1yuDCL4UY4bkodxPd7ZFajZ7LdqmARQZejH7V2lYGr9f3a49KMjZFhpDviNUVdP8QLl
D1ICCiop4dD2oz9E0g9rUrypgmw3RsfKdLoa5wKvayt2qa6+RrT8U4CfD8IJjVuj+zSt5olAaRzN
W7CBmvVxjmbgUw39qaisH+YU5Q46pp4KvMraQc+gWRW8JO2ONf3yr5lhfSEWuaJGgzmdhtwozTK4
HUblD2tvvy2S8lUqoL2ZkHDQV/Ngp3YYL5pr64sdKgNa3suxje1XpOkQyegeuvJNWnTfmNaADOQw
kdglEu4TvfsmR82tScvJLWYcdBCBSHH50Mjjscn1Q6v2JyltQ2rnvy1rDU0rDnTb/pU1+TFZtG9g
mg5XVXrpOuKZRfwsrQ/5knvLVLnGXFeYU23ACzm5qCSc/g9pX7Yct45l+0OXEeAMvnLKQUrNlm29
MGRZ4gQSJAGOX9+Lru5yiuJNVp+OijhRcQbvBAhs7GHttXTeeIUjXxy7/W7x/NgpEJhoJDsIjvKK
TG6yXD31tTO4E/kRxeipE9TklcGVNlg9MGsmLedYS6QtGIBt4jgADMe17GKvxyDRtKSzd2i3s8vI
t/XqyFLuRQV3TcyJIEMXbl4UhygSkGDjzE2i3E/LxCvyFlSR0+9K9qpbT+VTouunCN+xj3lArfE+
J6Xl8abd85pSL2fDrlWy67h0fJ7ZN+nM3eJ8dLJ4r2Vru+CGLb2B6K3nNE7jTcCjomgSBzwij4DC
M2ThMjCV8gAsh58UEuLWyQ4634Gpp292lu+6rnLBDnoP8ZTHykpjF7SIrhbF2Nzqg1S9J/tiL61k
33ZvvJYByv1B2uS3FTX2taX+GhvuqyY7phBO1VCRRK+8vRNj+1hqxW8zEjuIenutII5rNjnGVakJ
FhgBKuRYyTt3FBxvCT8hUtgNU7qPkvbeBHBcoRyYeTXbuNvrmdPZpVu8MHGnM2orQLhCx+cUQToG
6PTurgMvOlQ5Jtyl3mdayl0lHq94ae0roYe0ca5Uvb3ryl5sxdOr7gx1P5xgDcXaJTQOMO+6xCgA
9IayPVP9+hnqf0F+it9BnJBON7NK9rbS7ZbRhQ8lLEWhA0TRuyp5AJmqaxkbr+paywIc0PSPXAFe
8qVAlpWRpoCADJ4gtNJK6IyYsSvd7PU/bSKspiVn9hZPXjtM8DU27NVgF0tdC/RU8Qv1S+qRxs/Q
U479LVaG+Y/8kgmdmVw8gEyIKBtmk6x3MDhxZDzxEiBf2RZWWV3NvEH+A0ShZQIQurDUJWkGzhyg
oh3Nm+mP50Q/1W8wAhFd28GAGRbV435yHCMP7LPp7vJzOP/pX9Y5a9IArUMpXVaMrVjnrC8QIZVm
50cZ7m2JKX2IcZKp8G2oUVw2t7pYOlOvAC0K/pzFBe00hw9oKUIgjzXc7cYO9FSF7jlM2XHiwI3y
Icgt9YdOi/1ly+ZacRzUjI6FxWKd0OP5HKgJSWQndKAESCmPvLUDqzJQvey9tL+x9Ei41MSoFFKy
TGncFvPiebFXrHh0O6iZKAW7zts06JPJb1oTrJ/PinKoimuz3jvC3I1TBmbO26Fx3HHcy2T0Kw72
jBpr05rWrdmHTiJ3SKyfk2bsVCzV5FFomdRXjdId8jDpHnV4JuI8FcWejCcCbU9slmeOA5RQdpzH
gUz3JTfes4j70lZdtTLcljX4+S8pO1BRqfjzb7S68WmTun3+kkgxq3QeMT8JaEQ6YDiHPhrFi6Lj
75ePMv6p56+9hWIC5sr52LkYlXaTOHIl3k+lKPAioRbMukDGxg8N3DVFzvFTX1NafO/720nhwfxv
YGNdaXQHTVNdYnfwN90ecdzBBhcqBRxY6d+7Xj3BL3nUUHZdQdAMr26RIwB8kgQEklsglUTjIb42
VYE+SecOLLtKJL+mrPN4q0D2F0JcBNlCpR1E+zuvIYqX3Lbag2TqLo5fjNS8Kls8RkUW6Inpae29
Hf/qidwLwh6MhJ2UqrzRGhKS6DpquisBgpdhQBm/dq4sBzShZRH7Y5QiIgL9iQEQDrg0SjetH+r2
Pu1Bn2gjD7MGkN+MfMda4o5O6jYWhqrEcMWzX0N9lWf3LUQ+9Da/cvi9hVq3PlhBPWhuWkKMVeGY
/sYSOvvIxLDvpeZxtDPs7HmUb2n2q5sgDccxioW3MZ+ihwLztKBRHKsns4O5+j3D12nAmFFW47sT
s5Pe3ygqJlOUD7NQg37EGFWk4/5CmVFNcIdrL+J8X9HBL6wbw+6vCs06Fj3zSwDQyjq5ajv+oCh2
UOLsKky4aFOczKk6YnzioBdvZYezZeJYj09O0QWaM/gcJ7/UIjfBqObYvqR8uC8bGiQgO80pc7Ma
SjL1nmFjOxszlY1wJwBlmoF4ljCOMcfQI4iHRSR8QRW/U7MjFzc9q3Bu+Ach7BfX32nT4NBpAA6r
ft+So2x/M+x1P+WeBn8h+xGyqS0aL+o+j0DYmYK7XUdGkgp/hhRGRvkw2NU1bXUvrptr2rCj2kvE
xPNZpnuisYDw/tgrb03dXfW6FeQR2Lsy+F3jumLRAeG0W4IxmVmmRyr5aGuZazQauLtB0ROz20ll
4yFvSVhB2OZYC3kTIUi/mlj2YoMc9Toa8iIYLUvddekw7FVnRLQah5x1mcuTdE+lA34ywZ8oVCb9
uhXsRCl4B/WyeFc7eksbdAfzZLgxM9SdS3k79dQM6rYBdbhQr8w26dw2ZTu1w0kvCobLJveJWX5A
kM5XWAFCN6KimZOCFq+w0LeSWX2F5zNyOxWjUzHJA320iOPROKtvyGC+xgRjh0Vl9Psq1wG+GHm/
L7QiqTyd4QAoTvExOZnwB6PyrZT6EI390BTQ82cFWETip5InDxz/4WgrrRuxOlDr6pA2lXTTKL21
1TqkTn4NNRefDUWQdO2vIuZH6fDJTVsHT17LoZme8BddmW4aWj/GhN3mrM4gmqMbr4mio8GWm9/G
Lt+PEXTbenvHHWa4MWnu8AVNX4v71HVk9k67+FYpskMlp+/zqxLlYG0C6DEt6a3WNb/aVvtFW7Ai
dJkM6nG4wcDsb01j3zQaPaWaEeKNvJUxEMsYNR9j86nc96ARgzhThRYXtT1is98xZ0EkxX5S9bAn
U2AgZ5CqfRMT+H29Mt0sw7GFVHcKAik+HuPCDMcMPtQRPsYDPTqjqqYa4qW9fpj/EL3GjWgHH1wH
b8IoTdzY6Lk1hxNoveDYIguuRrulrXKfsfSlKfPvehZ5ZZa+t42xNwfcaRDXeGOD/S9VsGk2aFuM
8lEI+StKgbACHP+2SAcd6OXpoLaydUlNdkkMQi1R+kWTvSgVIv/SbKibqlHQEJp7qtP4rIoPshye
iNniFas0JAUwPMHRoLyOWw/e1aJNgiJxQsV0TkYM4kClLG+nktwQKX5lmbHLe3Gn2uZ3gW6xiKId
VbJ5Hks/OKoSWllqXuMPz/dxLvddm4N6v2o+6qG2PfCeDC4An7Gnd3ofTBEHnKKzJNbHbww9xyh+
mSlhXWi/+g6aQJM94edHBdw7ikuyrZ/KBgyYJY+UkPAyu0Y23IGoxbbdZIjeGUi3FFB/xLZ6iHqr
9OsUFfzcMSDInedXILG/kRKlsWl8MvLU9vRCvJQDe+hL42SA3sjtRUmecgJBHY2DwSQmNBAjuJP6
JNvbDgbrlMGkeLgkd/UOwaPiZHU4NjT1YihnIxT5Pir64BqD4Smkf4gG3IfOwT9EdjC+RBV80YRs
Xbc9FVJZQg5hhva6wNwuF9YjhLwO1HnTnRoFg0clnoJJaTpPoL3iTXS6/39QJO0F5xYKbtXkRlUW
tJL6Q5+e+hw1hfrBiYAa05Wk86us9EUT+xjxeZU5PyHcNT0Rg3CjTfwhMcJaK+qADRg97m2kdbXf
liXa6yhHXA7TVpIX9C/B1gKafg3kQYsgrTFka+HqAfVogCWqoW/WxJqNIHStOG5Antm2gVqGwsmS
S1GvSKcNFSSNTddIAL6twjk4Qnu82nUee01/NxjPx2dFhWtrYn6l/DQjQcAXhl4mhNEW1cLJgTNr
KtTlayXycuJcx1w8ZQbbaHevpC+fzCwypjyKEurMZjLRIfdNfCkG187aMLaLjS+2Bvn/ZGuRwETO
UOj6gJ6eUorbXoB9k1YvkZzeOgcFUK1NXhQ1N9w07UKn7b4XjvXYVFrQmPpr0TbHIZluEh7dY2Yz
0MGFF14+UGv12U8/b5EO13DQWmFgKygLZgYglGjfk7C2gxgBQciCzvL+QZfzk8k5CzorCdMUeoZ0
gklRS7dTfo4aDbrqFZnJxkne+MxL7KBJKyPvJLa+TXqvYdDOQW7QY7BL3ZypXSsJ41KqAFlrFoQR
l40dlYxRZevA7ZZGfacRdhrU6maY+m+2aI9FSR+brL4bteRXMiYPdZzejiU5qsqUu61AKGcZW2LO
K6nrpx+kfd7lRq+mQXTzD9Lrn9PAj5Nal65WqQDD1CHaR1vlnC2Di+RVcyqeywRwWGF1R0YcDsRS
cd/G+l3eR09lBF2qy2d31VmcbfnsLM/O0aAIWTcTDMope7Li9Kdk9FEYanDZzEpSjo00Z0UUfQbR
L44rMhS1MEkKqWgVyscSNSskFQ6e+5aFBgrClWC3RZzflnX9jxb4b8vL8yt6biUR9JZDq0GhcIIu
SgMOyk1g3Oqj8neBS44ZRDYTmRKYQfvJZcX7MG2427WK2PkW/vnnZ18qned9M2s+Gh+oiPkC8M9D
Y4IPO9lHvyD7YG41rdffsLM1LQ5jUpMR+Dd8NOvEn9vjDB0GmWc9g6Y7rwuIT3+NB4Sg3uWzsn4k
/36xxZGUsjbTtMVCR6W/Hp3yeoiNnUH6x8tm1q/aXzOLZ5KAcsGAjiBWVzOvysC2lNteDm1NcLgi
zez9y+bWH4mz3Vy8l6M99IlVw954JJ7hdUAtojWp76I3E8JEiq89bBicndOi7vbpwMwbcHZgbGlz
FRgtO2x8TKz81L7NbP/Qo/eB3W02p9zXCuOfzH15BNGMsvh8Aw5IRYZDDejWe+3P/LY1cgHVsyb0
X7cIrNbwVJ/MLjwL6kaZiChOCySJTmPMjplRZadBAbeEpDeqtHaOnI5jH/lOZ90w4IHGgR7A/bRz
cvJa8+K2M4eDZqdBmSceCLBfdZ3vcv0fCGYB6f/3+y8HsAu9Sqgye1p0lijqMpiQOs2yv81eBpMI
Jyt0PlQLilnbRG3z1l84CX/28OwkFFJiXHJ+VzU0nWxjn6flviPcY8C8Rpbt1ZqxcYdXo4ZZgECD
iCOY2BdnDwm6RSEiCfgzSnGtxp8gUfIDsfZNNWpvl8/5uuf9a2px7jiroHow36s4bm8nLZ15K1CI
uGxk/fZC6gzdXDoTcS68BTMgCdV0WJDpskO8z2JoCFLQP3VBUvraHjxtW1iGVf90ZnHhLwphOOjw
Yl1klJrbW8lNNYiXPC1Q4hmG4zhsqfytvzComKNwjjItqOo+OwzCZAYRXqxxLJKHfBBXSkevW8MJ
JhtNTEOHzJx+iEcCogxg2PXU2CuKfL280asH5+9vWFJKMF7peizwG6r0WzGMKFmMqIcOfuckGw55
9VKcWVqkgWqjz/zpsNTm5dvQG7gZ6E6z3nhMI+NBllPixvbWxN3qYT0zuggo02Ys6yKGUVFVgC9N
T8RIN3ABq6GWDQQpRSht4g5+/oqVXfSO46D/MYKKowX9fdCDFxypvfak4T/xZQqsdEIJepVEbhF1
rN8T6AcAJayBUtDUP1sv0R0Z8xbtyN4bIVyL0cwd/VnaruGqnh6M+2arubW6o2cG539+5ttKHBDR
2ujHdhD5dJ0eoLNMmlv6ZasxCYXCOLbOwQTT4rBoetagPAmwSt0qR44eLynK7yV4Vi+f/jX+JANb
NLdzAa6z6OIKtmoaD5PJFKCDQUPmq26IMQh7vOa7sQscb/KmoPDxlkL6dzLcx+zEthrcqxcQJQvL
hjKRDX3Mz/sZ9dBaYkKD26HJiffymbc6Cr09SAVZ9nx5uesR5pmxhY8TrOnQp0f1KMtl7PVNAWp6
ojV+lyu1Lw3nucgERM+HhxZQGjfvOu7pwyyGmaFUXMQRRkTa8t22k8nrNUNuPGJrM4PgmvlzjFXq
QOzq817IrKmnGtjAMBlQ9awTKHiZ40uc6EddhcYON1DmVw8oibqDXftK7dzwaXgpwBMMcknC3A5E
AO7InJM1QjatMq5Av+BBFTbAIOydZqAam/T8ZHaTDEEgDbqZWAk3dvhPy3H59s/D7CZUumzd/DJx
bk6J0/aoNA8Cv7ci6g0AxXd2Fj0D/v17jKH6Z/Jbk1Uh5JmuEqBr5vLdVW4rvxJdseHqwcGU9iMw
H2n/gXnGvdVrJpouwA1mUHrs1OSd2GOoN0ruCQ50nzOw5ykCVkg2NZoUNaDeA5ITbKQG+l77lKJ4
oNWFN2VGMMZadVSFBZonuyJ+SZrRBdm1uUuz7DkvlX1eQ/7ZsMgNZnrvtD+oDy0J2koeGgbW+EYC
FkCVoNWsQNTFUaMYCKIdmgHxr6yrv1csPgLcc5v1zrGNVc2NTXrEKPDJKtgPXSkeeRUdE5Wi0O3c
lVb9lNfqnUn1cKTlh9KPD2nS3ekoDYdRIQN06FA2H+5VjTxLp/mZlykYpYc4YES+ppPcZ4lhu3md
7TH85TeUPbWYSeGcHO0i/gaCxJPpAP/SOo9GKQj6pzZw/7ly78RG52Lu4ADU5IeWN+8bh2D2Tl/O
AIYzILtFTPJlnjw3nTjjDJA3dJqrgw4hYq8Fk00COQa4ZADUNuyteUsEfgQjYjaaGUtkNUZNnVpU
QDaQF6IeZ4t8h5md8lfnyQ8j7H+r37bVa9becw3CNRD70ixosC4uK5pPuTK2WKQzopItS+ZPFb3R
WVYiXnJUDJZVT1ouN2/Y6ub+tbssMJhJr+LT470Fqf+zFusPiV1BidaZ0N8eXM5R/Z+E9cyp+V2Z
qC+U5Glju1dXrmM4B5Bo/HUZbCsRqaeKjzNxG+StIX3ZdWH9DoCUMwTFIZ31TJSf6h2m2bIg+8Y2
vOSqEwdJwb/NLwJwLZuaPpMTXuBwQKaZVG5q+SAcfRA/bQimQ8xBnqDqvQWfWYtzEIlDBxMaOAh1
FpGGBCV+XCTAWugGhozzOgWycLjXxukHs9EVHonziAZtSLXq5+X91tYS63PLi5BDagJkogNOmsHZ
S10XqcudqPcKm9xWOtqGWXrbRC1aGdNTOU0/Md3xgl/jUlVtvQolPMyxQVidWCxIiikKajTK0bAG
3K+NTUwFVoEk0bj1lVaPKUa3cCE1xIZLUGrdC5HURYtpB1sEQA48W2UmPcQ0YZQ5YIbFcZlEHdQZ
/k+Zxk+OY99f3rc1Dg0DCoAqKLshRobWy+fnVO0jxU6RT4QaMY8dax23AtZJmXjYlKOHJxb9AxR9
50ZdWWa3dt9thMarGc7ZL1hmF1PdFVGW2ABCYcYYJYod0E/H3p+VoZVN2fnVAwqJe5PYlmNaS2Re
0oE+rFRxQFGUYOyHkyFvAlQ26p+GUsffxLAV0CIbe7x6Ns+MLi5jrTdoZpkGDa3cBW42UPd4P6mv
74wQE0PbXneO0L48LWf2Ft90KgFtaeWAbIOjsEvMCiDkMn7ShXIcE6FsvCwb1pY1FK5VQ6mm8HS5
0vodyw9lDpIlCH87mbbBjbLajADhy/98vmXIz5Hi5DFgANCqIMfipocaFepCHnjunwFCfADPzGmr
3fDnrbiwm388z1ky05UKUwsGavRurAJI0zv8ZE/XPaVBZgoPjL7oALiKdXf50KweVIhSYepeRW66
zNny2IlsUEM7f4juMC+3m3nntP0W68VqVHBmZuE2U4cB/NdY8ECgTwbY8o7qbO9U6sZqVs/IrEpL
QRBGvvAINA2EBYsE7zHJx28ONIx8CHL5phzemoIcLu/carqrnRmbr+PZB2MVIIg1KjWz9ocIGuDX
XeZjag3a76EWRlfbU5TzLn05ImcWF89ewibFFJnuhIBo9dELYLL+5TWt7h+gk5hZmRm3lklPihxU
NQXuWGa8afKNR6afxwbAe/3+/2TIWcyDprxJ9VqDIUVVPRvKTSoBfy5oeuJqi0FsddP+rsmZH8ez
z2RnXaWXPbxUSwmwGMk3MyIP/7fVLE6CwXTAY0YcO64BDw8CzytN7X+L1Cwhd8m26hFrxUFtlj0i
wNSiGrmor051LepZkCzkEnXIyPQsGe14zQJOj3XvbAQP60fir7XFo8KVEk+Zgi81Ja/WeEQyhZJx
jjBmix5t/Tv9NbR4TSi3u9ausaxBkYDSM4+JrbBx3QR4tYCOg0Tusr6RtZ1h9H9OncV7twIqsqbK
xn6tOtSZu+u/bcz7eXbcSEVVLkeCkw1Fa8zPRAKU8vIkTLqDDhfivykLbI7+eQTEzO6fnMO/thcn
Y9RQSiE2ovF+qoNcigCUhD9oD5EzBjjRZVurewkxacxgAtwNts/P6zQqSYsoxuei/bc+BbC35RsW
5pP1xdudWZh/wdlOllHHaeLM59zSThyKAxFYCLyWst3IJUJulOQ9O47UDbOrgBPwmyBSNuAIv9Ad
lIW0wWBrzuX+fw2nJdW+9uIABBezBLGSQApibtvVkPX08ja8vK/rkfKZ+YUzsTUhRuCbAanuJ7cG
eaWoPoZYhAzUVOUVSEgwDwO4S1a5VbkVY60+04hX8VIT4NSWBSMkrjSZJAqARZ482QOkcECYqab1
4+U1rn5Zx0HKioxV/UK6wJIWNIiplu5K/Xdc55gG6yFgesUM0/VFkW/cyPVF/bW28GCKZlgQi2vA
F0ps5OS6J8STKph/eU2r4QBQHxhsBdOYg4rb4rgWSaP3EGYKIaThGseZZhlqieH/EC1vNT/XXoFz
cws/Y5e5lpbQzsKnOqhD4lpW7w9EHGIF5FfmZqK/5tbOzS1cCwMqnHKKUzmobvsxesWN4aHUyb3D
3FeeyahkjRKgO/oQLtpMp1YXO8vpGpjqQMVv8Tb0hqW2vdo7IWQiGwyA9Vdo5l7ZjfYMuKuMyq1c
cXZeS9cDsdT/sbes60yWnhCnnEO7P4Rxqiv6E/Wnzv+P57/Xnlk031Clw/pQOlvsb61ZSk8bZBxD
XfyOBKh4RkzzVWoaOiAz3CA0Xs1vzq0trkSpSIsbY4QqBlhjJ4DlwLPlYwRk8Hq4tjxk75ieyDwE
M5cvydrFh6g1QlgVxYgv07G6SQspRrh0YGMhH5/m39WBm/tE5CgCm7T3qyaL3SHbEqVcv5ygl1HB
Z6ZaGJn7fDnRRhjKIUIFxHhhB/vHzKNW7NgVbd0p6HaY+dzwOaufU9cNE+J/yLiX+T9IqKDu3qTp
TsnJFSZZWlfU6c9+NGMf46/N/vK2rnk4/cza4nOOtVQllUj8DetGOO/VEJhsS4Rl9VnUwdCGThjF
ONmytyjQ7u90UPGG4648GN7wOA7BzI4uobQaAgHqOuBAcY0QQOkk2Ips1j8gKFA0B8p2mGRb3I8U
5wVCHrEDPFLna1467lmoBOYJUYELxprtMce1wTlDt1WEN5hfszDS9fnIZITKElzByBtKBRrUNcHM
bq1egbv/yezjAqBofpeb9Dqx7J+OKYFT7O8mMWGMJys+0NhK3BK42zrtv3WUoSCiXYM3Orj84VeD
hfMfuXgFmgrKShMIF6DINQbd72lP7sxdttf2+eOWGuPqkT7bj8UXqFQjw/A4ndHeUg10mt85Nbmr
iMxdiJI+byxsTgC/eGDbQCANlVfzyyTfUKAW0tW1A0YaDQMfBBIW9rSvLOc249EdQPi/xaA/tAzc
aN22rOeq/z+zvgg9gSUuLXvUUUn7c9om6YF1wdf/+7T9B2Kea9E0kCX/Xu7isDUxJu6FUTmhbmMu
skr9DIHfxpauVYHPbSzOig2xsFjt0yjkjvIUy3lOLk0BmGFvWs2v0dLZC9p9yyCaZRXxDmCTLYDr
mk44rtTfVS6OUGSIPI0lyLacKgWqD/N1ZuuZaYzWJECNRnZATgEcNR4jtT2BcuAwJRhdUOudHDTQ
+KFiBKSvk+FfZhngsRWm4kEmp3rpPCZf16pHefID3MnvJTcfLu/e1gdauFiTpoDdD3gxhZ2+RVCz
JsmWpNb6Bfu7O4s3qi0cCCeAViJUM4xPZG9RQjDC+goqg43HaTWW+/sZlmRcg4JJE73GWiw0MFxC
yhBj+Td9Tn8qpnYrQS8A4bXGTYf09fIm/n/c1b+XaCxqMQXJLSsprFmIhO6grQKVLXune91uW2Nr
FU5xdtiMRR6l1ZQPKki5woK5fUAC3a9uU/A8Kl63h8Trm4VYlftVjVE/r6yBkXGz01agtfown+30
7GfOUliVJUTLTRDuKKCaaJ5yR7rqtNvY1HkhF1ylsXBWdV4QXUoYGXfGsdBORVDs6PWfuW5x0vZb
T/HWmhauatQ5mq25MjeUndjtGlQWJqviLmuaw+WVbVlaOKyJgDsh6bAwkpYhQWCopGyfjpuOceNu
Gwu31BkdkwKgnNC4H3w4GESHYeS3IX0DYwVDl9w8KBu0PquBMAVECyfUUZ0lOT8G6ToAKGIaxtMA
9ciJP0GA0eMdZkANjOOabXGlCGOjOr7aAgN1sTMLRqBpuyQ7NArOcp1DOaOx432jxI/cFNeJSWLw
xBg/aGd8YDj0WKocBwjjqT4h4+jC8f0TeOMMMtQASYFG4zJVVtKoplrvJLvGmXZq1bd+30QfTZpR
DyCVnzHPwssnadXjnRlcnCTdKoeJtZjImvouvS8mAl4jo7oTYAfMbRvg1DhBBRqcHonj/wPLAOSB
ws8m+N/SAyiqAcDP/KEtQ/OIhkxgtB3059T2NSuKW3C4XmMI4pbpcth68FejmDPbC8fQgPu1LhUU
PowTAR4PdPj/imK6oEHMjDTvn3R50DeAhKoNbYYv2I80akkVYUI8ZFbuG4byTfTFc69GG35h5aFE
yx9u1YbGysxE/NmrtqJHJjDZ5a5k7BhrLyWTkLs0wStQbXy9rx4IgF/UHAAx0BwkHwtf10s+pRMY
v3dNE+0mIkCK8FbZW+p7X/0PrGBkCzdzprRbZhqNydWpGEG43WZgAdFBPkDeLp/ClebijFwGWaQ2
e5svSLCsT3RNzxPIyHYKQi/WPqQ6BVJGm44iMk4AJuy5Mz6KpOv9pLR+bJj/Gnp+Mr90d52dYFYU
WXLYHsuDjsrYeDfXxbpdEmzVxVY308asESB72NSlj+vjqGqI0cCZ69S18EJF4+PGalZPhW2DChf4
JuMLpKrUGjBoQRx29y/MjfAaczdXho0wf6oPPOz3IO3ovA2rX5+MeQ//Wl34MMGSUushL73TIca4
40F2wGsfACKa72ojUN6FP4Ksprjl3+Nwy2GvpN8wDqTNrLkCBZulG5tKVQ4iR+Te1aCuBY/I6QnP
sdfWPj/Q/4Av9usV/2xv4boqPk1gfwLr/Vi9RvIa9NTuQO94tlXsX/2UZ+taXHBU+WSW2SmwvX31
h+BqsK9s4/vGp1s9k+AzQvVENdUvUhrCgU5yMYEuy4hYinnFqvD7mvjaSI40GvdcCMzpghhEq5Lv
oqKjW1r8ZtSiXTrUB4vY+8u/Z45nPgeM8+YCrqkBEOR8QctFzQCp2RTTKDmIK7qcHVLN3DmobciW
XqGCvfEObZhbFlMBjiFtZWI4qDJHF9PhikgORUpdxey8iW/RT67v9b8X9ycFOQu5MU2fkhKyBmHT
gyjBQhEz3iyGf31YZzcNJmyQRoMibXkbMMuvjlqB24CR9iGM9wXUr3ZKgAd+Rk+UlUc2Z51WUif0
K020u1Qg3lA7XTx69lBhsrKU9I8LhUTC1b9US/pbKGr7l8+HtvbFwPGPk2WYKK3bsys620O1a3KW
NgVUPNzyML6yJ2MHZixf/07fa08BK7d22/qRi1G5Y3kDAoyb4SYJNLcCUVa9ESj/qZQuD+v5b1mu
u+hGB0WubFcH0GXZg0UBIJXhe+4xlx80kIkmRzDEHLf2YO0YnZldkpjW1GRmD/XWnU6B0MtV/WHI
2y2XvnaOTMsiBmIMiq1eeB9udEo9ZbLY5c8USlbw5lfmA33EnKrHHwGG27iIa2tC6RS1TGuWiF0W
pSHg3ikY/oA+l9Leq0o73w/nf986wUDGmZHF2WGm3dB4AJHtYDhPVdQfOjX/ndjmkcj4e5FZaWCr
5CMasjs95neoBZxadFQRJN5fPsQryc7nH7I4OIYoeWYOWC2KRFXqzjQMw1V1BaxJdDsF23nx2qVB
OoP5qflzmsuodKzMNC9BjheqTfQcQaAiRmdOVkD7jdSrt2cK12KqM3v6AkITiTRJp1nUVQO/xoGA
wR069J0Peqb9dv197Z08N7Yo3AB5p4/gXoAEQF1ejTIbXYOl4AwRW4RxW4bmYseZ60kRvVncAUGH
MWl+WSqFO/LpQ4zF0+XjsRZNIZZCdqSbaMYs4QtZocdFOwGmbpUfHVRLKurcmdF1g7GT+KUg0z+5
6uf25rt5ti4K+GmTgvAOudjgk6CybuMABFBmAAGqUOl/xps907WdPLe4cC5xmhudU+PBQJkGcnXA
PmH43RTfLu/jWqB2bmURlVYihjhe26KiV906se5pJEwMBVQ+m6wq85dfPgRwDQDsIeeb9Ro+76AN
NROhD+Dkdvb/yiFyb9oVh3+pBG3xqOhb1hbnkJh6VTr6zABeMrJD3+s5RZ2ag2jTzHUv0/vHQuGP
acEeS714j534u5JDqqWhxJe1qrm1xnZ1Ye+GJgsdqd/qvfTMJv7ATPZbZdJfpihCHttXHQMrTsbG
ECzPFQqy+oO0jFc7k1CioY9Douwuf6/VOOJ8G+c36ewgNrRK9Kqb1R+OxjH/U4KdNxG0bJtxxNp7
c25qeeZjIQ1QlKGLAqo30RzQf3A3VrNlYnHIlShGppCBf7BMHvTGN15nBbAUIKFDLQLnPtmX99Xu
f1/mQEcQBQjAV4hu6EuUDOiP9XjSwb1slv3blJKnKBrvTSvbuForHchPdpZZc9ZpcYTJKCTtb7L1
sqfiRkl845mCxXMeQI4PWOBDChZDL5eH7Qdt3ruvF+7fy1zKebZof2pQEXVAiwqWKPljwPQxyV4v
f8H5Fb5kZHHPMjqaXAF1esgO8pAe7cDcaX4ebskmriAePu/l4thTqym6ocOoqGGhdTsTsOnWCenR
U5aMj3Zp5H5nqt/GAWQaIiXgvIufy6j6L9a+rElSHOn2F2EGCBC8ssWSEbmv9YJVLsUixA4Cfv13
yOrqjCK5SXXNfZmZnrFJhYTkcrmfxVFHeshS6JQF0fPXE1/euR+rOzscqRyKgBu46HgDlUMlRi1W
f/l6iMUUiALWDUouxWNvXgtRLMES2FJOhW3hJa8ZBPHTBwNedQw8HX/NJmhBBWJa44/hZqlfJZgh
STmm1MiRF/a3sQTqsSG5Yhy9pnsGAIK2FSSk7xPte5JvqiSxW2hKfz3p5XX9+BGztA9is81oFsg/
axiKgR/skGHNhXqBG/rbROcNtCDT5NCClIQvWvJEJz8vyYIi3Mii77xvHkeEcyUYbhN4YMeydQUt
a7vR1btetZyeSW8CdiNaql2mtHDhzE1dOMlwr+iVPfQM74EYdoAP1exyUHZxqXpSxdb4DUu5KkCM
YAXCoV1R5gV4ikaACYWB6TE5KbuI67GCeJWxby4iyAMbxg46bzu8Y9dhFYtB5WTkWb5gafCqrrXp
GatbW008GUwGaWQNfrOY3Z2MMs3/5JLTZcmwWqj1+oYAtFyEtpYgT1AwoswAH4PY+vYvdt3JgLOt
n+cJMbiJNEiKNYi+nTfVWu9mcV+fjDDb10YQQua1wZSEIztZtFG9xOdOY7cQ9ndlFxZzW7NYSRZW
Pta8cqPV/cjQXTR9CFHZevdDIk9x9vj1yi1vRRShIK0Di5N5LUXhkHBUUGfxGyt8yxLoupKCuKEc
Jg4yQYjpl+EqlGm6VD5dOlAp+DXmLPYCWWCM6oAxo8PPVBI2IVtl/2cFaXX5y32MNq3yyWbkEvK+
uIW5UkKSeFOnRe+XZlxDaJGzS0EZWvAVTAt7kP9UoRE7VQiMFeP2Jlej2C05JPLjpLmXB3StMzWG
f1C/iyW2tyBQGao5WqPCHBzNwnXVcRJBwD9e2XyLl/TJes0ObQhrTsQp7ANL6dEeNRxCJsVc01Gq
8yF8FWPmVGsnajlRJTJaSbhSoIUy2/DgyvKq0hFk8b7V9tbZu4JRifdt+idor8V3zMdo860eidRo
Kqaipg9TFZC6J7eVSU3fghKrM1i2+toNzkRpXWf1LJ6yk6FnD5thBOwG7x2o7JX3DbtIh4sxWjP4
Wr6bTwaZ5Vl9k+td1qDmO4UPI7XhYm7algcx2dZVnPoSsqJQTcrdrw/32tRmWZeSKH0hpZA8oaH5
OISx34TJS0Ik7+thFk/YyeRm51mPYeeFZz5WsIqOGTEeWaytFn3XdsjsGJOopBUxsR+1owl3Fy+q
venuNHpb2UKmwG6MRzheQkbMX0NcqNMyfYpXUI6QDUUzQPiZHYWsYFVCactQjxWe6kxswLNg12zz
3KHXZDPpgrDChTuiK2/DGwqprfYsvvmrZw+haNtD4wDMiNkC6KwWEJ1FwUmwm54fhHgIzbXEZHHD
oMM0Fbg1KJjONoxMcrWiJnwCQWHNKeQ0+XW+j6BubMONTkeL9/t4jP1ktTS6GOFOxl3YQSXoVigW
HiFOvm3OWt/aN5s1DOV7EfDTlzwZZ7aGObhNem9hnObFvGr3UeQannWD4i9u84lfquyrbbcfr/kx
3DRedC3dw3/lhwoWf+CpR7pba3AvbuqT3zOL7FLZFWEdIPZUreno5i2Ehp0e4v/R2hWy9mFnGVmv
DlKUlkjLSys/6+E4QIg12mlpXnwdChZgysjNT2Y0y8TGPoSPho5AB/aTX1+Ze9VLXTgAR66FQxrA
0sbBcl6g/9Q+rFWNFtukFHBv9Ek1AFfnMHPU96oywFn1OzZCbFkJb7KofjTyxGljcoBHxhGk1bOW
x/tRhg2tAYlgoW/TNF85R+8vkM/77N8fMie7FxFMJeVW45vKDTbQa94aT5oLb/RNfAw97pRucS8T
G1USF80Ux0LfCn3lc+GzS5iQ7rTjsDevmyfpULnRsfHNzXgpHegTLJlXvtZiJgaataoAlKSBuPt7
bjQmaZsx1sFIyFd8zaFn41m3pQ7f9ZuU2WvHbzHXNHTUD8EO/qzpE7S8MMpKN2HK82MkR5hBVxl3
q8CyBWSX/vvUCAAIkBAC5ApU8lkoq4swDfQW98WEeRDnpYOzfphKbQbq82vtqoXjBWw+UPnAPJi6
9YmwTkpFMWJIAmtWAZtjuFsXiTOKq5U5TanIbFv9Nswsi5C6qk9ojivg/wuOAwA1CLpQKJMp4FX9
vjMSSe4sEcNFMBjrgyYUF72Vp5XpLNyrv40xi34lXIbCqILBqrzPLoe7CJqcmi37+UHaTKIQ8K1Y
GXDqyXxaP3MCUqgwTAam6PdJwQQbr5kQMG9eNndqCD2lmMLZintWiH6RVr4kqWEnrL9gVu98PfbS
DjF0HaoGClR4MfzvQ2syb6R0hClMwr4lMQTgkCHlEI7+epSFE4Z6KMjJUBqB9MW8xdiEQSQlgNSB
tfSmFI2jht8j6xLGHQ1f62YuTuhkqFmgL9OqDiIVfIS8eIElvGRd9sbNf58N6maTnJ2Jht78cwmR
ZGrdoWkj5xtVUuD25aupsldDIDStNbjeQhI77XcMNwUotFB//0BjaDDYxqAyojajXZvNBtYdK5fj
Qpbz2xCz/V4rgWCojwG3oBxE+NBUW8DobJQNautQG3B5Y39zwk4nNbv28c5WqixEXSQzwsoOWuYN
Gr0WdXvIE8OxLLarZfShobyYwR5okmso3gKAUd20G1Ymv/QE+m32sw1jiFod5QRfsyg4PY4FuxhL
7ZBL2jXvJdtiwIlLRnCuDdFTl2bncTVeaonhsi4769P8/uuttVSQxq8B/RWgKsP8xJ8uYGko9erU
ntsYm2o4Sx8nL25AJ0FrKlJXgAZ/3qwq9U5feB6ATked5bkkkdpAMzFq0UCUqLiOUa3NTHhEFNuv
57cUCE4Hmu1mbdSohlQIV60JERNeX7VFepmyyI0lCU4ihK/hRBYyid/Wc7a3zVEipSam43NEtaB2
xzOtcamT73K31aFUvZrrLd2FpzOcbe2kRjKv1dhOUxFpYvuO57+4vmvlTEtfm91s76YkjvpExXJK
5hG6xhz+VBSWPvIV1M0OclY8N6nl1gLEvCw9qnBQDTuUBhMVxgxXQQSGnq5t6ohltujB1xKw1Apr
apOmu9b013FgvgKz3ohelMnowHzYDWpl0/LvuXKRkNLOqxcq3tSm2coZ9YbC8ONa2oAlpNqQF8a5
rr+XGdBAPRT5DcWNSryH9cdOuQaA9jqz1BKpiNgN+k0V4ZsQaVPzc1mT3DRUz4zmVuUCv0lOdZ9m
yQ74pwk6AUeeflvih3bpRQWryslpLBcvFXmOpHhfBSnSa+oMobUdZb7XYCVXlZUX8sBW4IfSptCQ
oOkPRHUn4vJREedJFe6MVNvCrUsZSwjgtbBho5BQB4QypEBfB02KEozwKoKb0RjctGFPVcEOea8+
yJHsBKMJ+fqU25ECvySaeUMHs09cd7uhhqje0ES2KeVOT/Kt0JOppwOvNvxZcjW5q7UNdzNIhGit
sRWG9ACHFy+omsCph1c9QVUBXIN8+ro9tJR6QRQIRp2D8uwYAK/IkuWKYLzWws5O43aTAoOcNdWm
wFRjvbYTgIf1on1JIxhbUeLIsAtFL3qTG90TEinHQicmFJAVahK3L0ffbO+hzOkOFbNL0duJcuBC
XOmkQhUIdqjQ6jpj3XjsKgH9vPFc7jIPyXJfkrs8Um/giHSJnN4P9NDJtAo+Op1Lox9UZHajDHao
QW02jVwYzLgkfEX9B/5tqjeZr00doYYymwFkiJvQUesCOo6orqFjEpFvjDz2eergvbQpRO3ArWlg
TyMBPtnSDhLldgvZwq6Go4Z4SDrNTpDsJmZma/XoQXXa7UMgKhJxBsMkfHXoW6ewjCXPwOD7Zvit
kwCxyu9S/UUIHYp9LRy5hE+VC2parh4Zu7iJz8xEPQQpAwDLTA6J/tKJy7QwX2StgcnzI7QN8WIj
20FSrrMwP6N1+BJL6lNuicbrRmMnh9FDDwGOgXTbApZOepHhQxYwLVEHJ42u0M/1s+Go89aLonzT
GjDcYrEdQ8+ixoEcutYzguQ+jAwY1l3GmbXtqjZENo9DRq/jvHxGMQi2QbXXkGinM7YB5P5gNMax
klGLtfJz2o5Xem26FbOemEBZzwKAHYuOKzUU22zgeytpNyoMPQgnrq6PV/IYn9UKgHSWutEtkCvl
8CLoBbpSBBvvntcm7JbGg9TBFa2MdkkB/7L+mkSvZZY4CnvkED4yrMYZ5d6rBvagGfeJGba2ZiQw
GtP5Q9AOTt3L11SGQKH0NuaDp3ZgYFDqdALOXOpj0cRQnuPiolRju6gLUMDTvdabrtXKUEYNXydX
pqD7FmlP7Zi3MIcTtsTAogDDtqmeangfQiFgx9Vo3+OJHwripRRKxzWWKnR6GLRSCUyWUb3PYDMX
tN+KEiDqsbJVHdVQQ4P13nNjwL22lydj400anwdMd2IrQJ5MrjpSOkUJne+ypY5kUaA7oKMXMUeO
UT9VrqrhhwXf4yALfVpVd3kjf8PJ3pu892pmQmCvejUHaJMb8i0dpZeuSw/Yujtm5HaUIGykKKVT
uArvK67mz1oD+8akU4RHJAFUt5HdkxTpZiUB4C1ge9tDKNhPjKLYh8r4Bhs3RM9qEHZnADoM/Htt
p7kJEzdFe4sA5XSF1oLWHyPws0HbiUa4ZVls07rwzJ5+N3Qse9ieJSVDr1GzDkEc2Bohe10NLDis
IFwiNpi1vMNzzLV4+9CoHAdGkeyoKI+KybCjzVut64+SGTxqcQlp0To9Z+2PCkukx6pTtQnEV0fk
WMDh9YUNHjy+8kVdSh7tvylp4SbFVdCDkQcHSJodOHaikkMNVoFx8kB8FXZ5cXFVmv0hjO9bvfdj
6O7GwXFqzbMohWNc7nI4BDJQNCicEGuLYwtd9WP0DfgNB8Rlz9T7cyIAEYnJ49CaW00yvKotzyED
7iTU3HMIW0wGlWlVuDkfbaXsfIjc2JkKY0Ca+2OheBazvJ6PV2AGg0fI74cy0RxGWW9bMKeW2vs8
jXcZDTDh3s145scyVDFBqIXxEGjT1ptexi4EQXfUrLweQXUgpV+il6Lq+aMZfZPFD8jAnSt67kh6
sQcbA5bM/bZH81LWR1wXMN1Ff0IUcK4DHY4EkatWzIO126YmmqcUDzxIt7QKPSk9G8SdCTdEjgwv
zugl6fjFNFdrgAeBLrlmWdscVLORwtyLSV5WZE8lPl2KZizQzRu9eYggqk1Is+tSBfg41Q5yxday
yynWyUL9TnsVoPzAseRrzag92EVDJvm2bM2rbAgue9FtA7PaVUz34+Cxxb91lmEH6OvVvPI0RXJ0
Rl21a7YFbuAo766kOgWdt3dgCOPQ9tbKX0Qcb1UV9Tr9hiEC6HizFoPYFKphg4u77WAh2NTZVoZN
Z92/GSq76zrdKRMQSjP+akBSOsoKZPVYfQVI8BaGhiC7BVrpsFych0rkdc1bSjqHZIqTRD+6RGyT
pt/1g3Zdw6uOINsw6Sa0+EHTBjgaQuYQZol1kTtlPLoB3jShdakGHZyRDiN+TZqXLq8nqfPwGIkE
l3Dp82g3gg6CE38AFN6PsArALR1SE5mSBl3W3u7gC9cT5lghnh0aQNQ895rIcgqt9PL8roBF2VgQ
+FI+5nnnhFnnwgFOVjNPzxJiV0m2YdJdESsbKhQwJtQdR0hPw5egfqiYjEAHqWE8KmV+2/YJdIXi
vQ4RpVJ1AHpMBVhNXJwXcuG2SrTNR8nWmnKXcLiWgze00azmLJR/ZIqxK9H6kyx5W1QDtEGMO67k
TpNCodsqvD4dPQLR5wo/IYG7sFS2tzUKoHGBp50SBhctGd0ohd9hQs+iEBawWiN5aia7kkJdHf/c
INvoYbNZ8ESFL6nq9sZTLCpHluVDGCKMd6Nf5IGdwTtXkVHi0lFiYJ4+Ctht6ZXXpsiO2ja6R6UZ
XnihX1aNzcG3pcmjFMP40drR2NgQgRqIAQed3PAorkYt0Pe0/KEq6XelzC8rEk6R9jwKWr+SMNdW
OaTklvDqqNUNLk2Y31QyNr7m6GPg9En4CFFYm413VooSelvcxCndm12y1yMkscYPLaiPBqxfswhW
mRI/J6b0RMzqoq1vu7z2uBF6UH638xhGD+1Dh+9VKKNN+XeohjhIAGhEnQIwYipxtxxCh6cCNqcB
gooOi+OEbqtR2opc3JftfVahVNbaRof4F3b5WRITF5azjtyVsA5MEFQRk5EbBFZiCzV1zK7DDd7v
WXWdoBXYBLjFkuKZZ/mGWvhtcuMkAVxxEhitaZKjdgluoG/BiLwazPEUoFKk0fDpjB2DAzyL+yEN
Hg02+iXqWAJZZJvqmRNJt1LVbxK8WFStuCWtdsdS/tSWw2Ohth5vHmgLgS2wIjl5hiEfHDUQ3Ghw
TqKbtvrWw62V57hpqmJnDUAFt8EFTWq4H5owRYRTJJ448g9VTw9GZh7zuru0lNCBm6XXG/EuT/Jr
5NX7imkbM9dvqFwdC7Pd9CXQXey1mRL+xARGCcaLZYCjDhn6EiilAl6kkrinMSDIUyZkIMKrKX0K
29Gp9cdxSnqIOLKI+Ey9HcYWu587RZrj/woXRBnLI/UQ8blvVflcVS+zWDuUyiOA77BqhTswrgJb
KOGhTodtFIfXNcwakMPhVquPGcU12HX3CH/HIP1ex5pTQKiub0xczM+sgStvBVe7IPsuARgYsHqb
U+s8FfnGSn7o2g9ew4EhJPu+aL5VEugRbemFCZS4YwaD0Bdatd7QVE6Pa3n6sdownnGre+tbjjQz
Ua/jHkJ1upRvlaR6NHHpUSY2sfIgJOZ1UpXAaZjs60b2AmFtI76CNpjesl/VKGZFUgvUi9pq8LCu
28yuRLHPqYBeOty7cRpi+FDysXG/rlYsNW5OqwdzRBdcEgkSAFQPosMkL0O7f6iyk0gABG3WtXMX
q31g8kwic5NX46x60FKrzQA5ALQGYbaGcFZQrxQvl+qj6EX9O8KsZFDBKzw3J/w3IjcO/3BsdWRH
aofMaWXx1uYy+2C8LUiCogB4xoMj2B5Y1H7SV3KYI1HYVpjyZQNJIGWltrgyv/knyzUtCvHcyDZC
eTRiKPERr86ilar5EoQSTON/V/GTYgUXSodyJd7nG+Jb6LrzUrNrV/XNLYCNsELW11aTLG3/kxGn
UtAJXCjt2tKEhTB2xk2261/Ri3WZ08OJ2fkzqerFSt3JeNPvORkvq/WshbgSXHf0ZCsxddvlbySl
cPiO4M3drUxv7avNCpADGYdyrDA7k90AhWiXWmjTcGXrL1Y5dVi4AjKhohk7Kz6msLpKq5ZLvi7F
ntF1uCoSR6seivD1662/PJBmTkKGIHDPwWuBoqTQpQYwisAjRcPVXdbbBsbC6ko1dblaDCGxXwPN
lg1CsEzvCXSeQGYCcz/dE7/e9DaeJgSibYGN3KA5iu1a4VFdaljRk3FnK4l6nFFSOJf4keI2btse
VOingb7iwxR4izd070BrrHdjyE/5oQPH6dXO5uISG9BKNaGKh27gLFBKeQeV8RxSfDnfAiGrqaET
6HiWNX8TTk7GmYVLiSRaHtAYCJBC2+ZVa9P6OYob7+sN894A+3S5of026fxBo/e9SXFy2hhjUdGV
KQrwJnJCksDlmCnNhYoEjxjxdSWXyNgkxXICaTiqenTWMhCD+wZyYugn33SdhCxp4JcA41c7vZTW
gvni+ZyI5u8qsp+E62LJoEWvakDOGo8Zu9D6m9hYa8QsVs5PxpgtdVqmllaa0PaKDiiCnI3bn1RW
5biuArR4NZ0MNbuahCCDCa8gdFks2W41GNSwl5UvuhivP4Z4P0InXxR/PeeCAlSA9Dbdja75NuHB
apdQF0QhL3PWDuUSMhK8ARU8ThleDp+a/XI8FEJTkCD1AE3QbYnHrqvZYlIz2rBiZccuboiTwWbX
UWa2GjOnwWqepo7aG9siGjdRTtYuvsV76GSg2T0UtTyrS4YQ16mSE3X1CH1RkXhxlCPvhOyAloIJ
s/LtlrYH4ELypPEHzuq8KU7LvqhHAo2oCpZbqEp61kO4n9Awpo0nCD7ehuy+HnJpOU9HnC2nCu8k
EqXQGkKl1a7lfYjn5jh+/3qQpZh5Osh8KQedTHkL+rxy7o4pdIwt4fXxY6+s2f28uxLM49npULOL
KU4YGcMQF0SuSW95l23huf2NJmPhMV1clugjeRVVfkRN/F7rdPQm3EhIAs7zhpwxkLTCDHjXhuHs
BDAYVMGzlnqfdsVONdE0NMs1K921tZk+0MlxjQc0I1VcNf5AneqRnYOzfz4cu7PewhlqXQoJomuo
WXvKyqtmbatNv+tk3IwXZQxKleTzQYZF1aborZWTuviIOf0Ws6tSV9J6FAV2c3YQnuKSLb8L76CP
66l+sxHPZA3OsriUBPJPgLrJxJrz4ITQWDaq0BdixpnK3orIz6xLatTu17t5eV4f48x5cFIkhxwS
9Gh+nrUe1AkhthC/SxAQ50/EhheTHvNkvBlUxoiqwFR6kW1GBWIniqufUWoDgI7S2XsqPrjqoSyw
R9CmusN/YP4anGu6AT+dqpNfMIsSkZr2nJW4hXtrr/axV6F6B7sE5ONbo/dhjfb1Ci/uzZPhZvFC
geAWIxoWWGPiOBTFTUajlf78gvYjcE8AdSpo62jQ85xtTjRbiooEgI7FUujIKY0dKcnRuUIV3LCq
h7Htz/MeulxVot11reJLtbwtB7YzZbQj5DRvj51Kr+IxQOuuScD97QHIR91cd4TcdTtZLnN0H+Pn
yog8K0FuhS7iyhwWL97TOcwSF4nINIk54Fs/4W+/NDiU4zp3dvHhaaImMSnEQfBj/obhUcYJxINx
73oB4MF8n7iBq16k5z3EElGe+XoHLHFN8Xk+hpuFJ6EChdfxGgrbqtMAMxrcp4+NW+00r3TQjXCa
YTfZeAbADvwBwn11trPdAQHYXs+BKsNFHGws8C6oBkmlFhlUA79qLfurDf8x29mHJPJoRbWZBD6S
9AsJrqWQ3mGvK0u6lOaeLuks95SkKJDMGmnuO4FFfgfeQqDhzwST1lZwTmAZWVGrWYUPOFH6QvC6
qQeM/ru9FToezsrcpgD0OUD9u4DvJ+XkNqtjI6nFJM9rbdU91Gi2oKLtf4Jb/+AsrKzk+9xPRoMH
HDpKcHwDTlNLEYkD8BNHpzgXO23brmyN/8ch/5jaLBhKMvBngTzi4IXFnWUSG+ynQz3COlKpYf2K
CVvSoejbW4A73LLKVl5Hy7H4Y/jpfz+ZayibCL4lhqe9dIDJ5C7QQv9//HqzHGiEzUOYT/TPYQ+M
/Hl5JNf1y+BDoWkjvVprYvPLacLHjGahJRIS1zI9DXxD84NN9dSUEE2a9IRqHZD0yqspjFInIZ/V
2sHyodBgbgXFO53Cfu73xRTdOJaFgbfZpFne78Yt9eLdn3q+LZgh4oo7GW12aytClYxmEvCdaoXq
W3uH1kF4R87R7fS5j2KJsEfE0t1atrD4pjgZd7Zju8bozQyKXz6LtxQOuiUaXJVwVzbN9Fc+HfmT
UWYbcxjlquPTO3e80Dby9xrXgumqNzr0e80zsMn/KsScjDffpLBRbJiF8cTVdBGBsOanD6BI+tkf
cPCWc8yT0WabVOolpa+n2eH+qz1zb37/KWr/7uU1HiNvDSm9eM41akAYFHvzk55XBnB4BYkWJLJA
MHkKoMWDWXcrH226Nj9/s38HmV8KnVoE4FuDekpqMNMGLX7TarT6ePsKoPYhypSV19V0b3413uy8
9T148RFD3gqJp0yc0/yoAsLRpnc1kCmGsVnZkov3wscazu+FeszkFp7Q/96wE0UUCuGyn27/ToFt
YnL8+mLvW+gkMitjp6HFbAJhOhFS/+N9vrI95nXCseri2GQoYfMmdnj0YiTXK4u3eIWfTGd2vgIu
dVx0SLkmPZ0PfspEgl5Hyy6HqI+1mx0vVY9byyyQL0DVFe3k0ObBMQqNlZgxZVRfbb9ZFhk20Oip
0BbdBFLkdzGB1/SYHuCB7VSEQ0+hc01hXHA9W+O5LicNJ4s5SyilmJFEBszIl4HmLrg/uR5nZ3xX
cl9bVeBe2xuzxBKQ8rbULMT7uEA3AEkQWohfb46VEeY1zbzkBoL9FHv5WzPeoFa18qUW6+Anh0md
RYpS0kkYgOqJ581YoeOqoeEKcLhTgvIJ/XLqRCVaC7z311WK1z7We03r5CBXsRGOhoGi8D8H+R/l
tD9MzBfvTR18M2pAGA7PX2zak9FIrPJMHhAToT4BwaXpOTVcTursExNM+hvRJWKeDDfbieB96ZJS
YThQ9m05PxZ8TeFvMeqejDDbfoByEOCIf8XBn8R8vGumqLvOfV6+mD9GmwsxGoNohQjBlJw68wD9
De+d+fAwGb/8UWd+eXucjDjbmtAUBk4ux0vql9DYL7Hi9bC4OtYsZQyqdoyDESW0ys92iBuG82/c
aDZrPPLlBPVkZtNWPdmKTaeFeT+xTltof+mxV7yo7xJgnd1RBzL+6DCT+E8+4sqWMad4czJwJAG8
3qTYlH9zda4u6uxmk5kIijbFBm335ubXzUY3fyKVuvi2OVnR2b02cFFmZom3DS8BRBruqIwS1SZh
Yi1erkQRcxZFZMCEwxxdu3f9wHf/oxhKZ9MxAG9j8j9ay08XW84ngcScBRJCVPCHp1xuKkCRwK9B
YJWcFEojEJB6VzqQbUiwr27StZnOwkvYCtDxMmzSBsXX7lJmcN7RbOtq0pttITn9/FdMnpOZzs1o
zSGCpmeA2+6fy3viS/9vl/fHjpnb0QatMTAg4JAiQyko4W8j8b++u5cfvScjzGKKKK1GDeDB8k5M
+r0287dP7JPRZjFFyKIPp9IyBNyA1Y1/JBAZE5cASbp5fjWgZb82vZUjZ81iidYpVTkWuQUlEyDk
iwvijtuy3U7WdckAW05rV7yQu/89VluzsEL1fIzCAbH6ZJuYB7JHjrcuvrcWxKxZZKFm3oFkhYx5
ssoZUGH7pfe83iR/fwZ+yptPvuEsuFS51RtmjSgGMXAgTLrnuMUzXyG2oP2uAz4W6O9bKnU3Rdiv
lLvW7ndrFmbqDhxIqX2f54S8+8ekQr744/t9Mbc9mewsvlQiRUUN/wJwEHAzVHiFkrgrR/DrGAbr
rN/vO9AQBthYocBGVWf0oS7v9A+5QOQEAN7urkG4XWlNQIwJf/LzN6TowkEkXLbmr9OJVJxIEl4g
lpRs67R6VEYldpsuTGzLCMkR7CSI0EFZ0QLBSeWeNiTw/0p3oXWrArlvDk9jN/jNKLmsbbdJXTrV
0Doqp07QWzbrdUe23nhzxJXgqulFyS8SK3Z6vfWU3HA6CmJWx48Nf9JgPkqixB2DRzk4JKOxz0vL
kbXOiRoN7A4UjYwIirTdG7R+fROEHwo+tQV8O5wxQAO0to0YbF1GD0KTNmHxvQt6MEDic9LeamHt
5lDTS8vi3uyZXUF9R4QNlHvjo8aAcC9fw+K2TwtbBY6XqMAJJYfWgrwpXjCTKQnLkRSTfCPMYN8E
aOTp2TGh6UuQV5Cwwn9PlS0DXD4Es3JUdkp+n7HrlN+MxghYsLTp+tLLAtVhHAgBMNCAlHXD8U0b
O6cD5Jtnpl3qzzWLvHF8oiSwR/Vi7JqdUgLgHIMGxiA/3QvHApzc0ofGMROg1NpnK/lmVHfgmzvw
OIIP0GiPvNoylfmtIH6XZ3DEBmAX9JgSlhYZuCoZMERB2Duszs4mRleCxozRPlNW7dKh3uhKAqLX
vdL1Hvx+t5YEWVSt8lIoG6PJB4Zf7siF4kQVmoooG6ZWbJuQ8RJF7IDNKQMXn4Cow9RvTRdfmNi7
zFDveBPa0USoArsSdLMxoVd9ddFoQCtX7VWYHIwITiyA4me0PTOi2kmTNwhSbKfVk9MbAwxrypkb
c3mHCx62UYod9qUDqXk712M7ZdaDaNSNVQFbLYb23gj60m2GMABTLzuqVX7bG/I3Q+6eIkOD/F0p
ddtR0gK/oeM3EpqNr/TK6wDeYKtKl0zLiScHklO24zVLrScu87PcyLa0jDY13syRBGYd2CVjWpzp
GT3wEEgJOJEWYGVGwSMMHtEQZed5AXWUBCwmZfAlnm5RsNuFNPQGWXcZlNea8CLGX9FYBLD8ZduZ
YMLFlW0NA1DWxdEwxttef9at0ITRE2Q5lGCtALwc0j7O/uxKDEOFRDpHO6uqmNOVP/S/AceZ0J36
FVxmV5/O0LCNhhp2HHpnw8+nKxs75S9/FTU/RpldeUlnZZUeW3glHHsfu/5iRBxyKGTX0COuncxZ
zfyW4/THiLOLz6p16HhmsQVdMnfCbsHo8V3MCwd8J7s4nn/woF2su52s5ezCg8MWuH0TJO1X3S13
fjLHUXdbrQYsJ0sfE5xddiNAWwoJ4floBROJK0X4ycfqSmEl7j5h+itfcGVu87oRqMlKoGlIBidf
4aC6Cz2Q8AsPkiquObzCy/h1ZcDFnQ8fHk3R4WhizAWXGlSR+pSngJ5vUGGeUsHYiXf6+QiZp8Su
wNq0Vx9Gi5M0ALShcIUCZmy2aUAc7mVSwYo2QcZbQzh4S46whd8EZwVEY5Q1tdnlTPBkvNmGUUBd
DTjBsfhZQPolNDCZJq4FkuW3w8lY8/1ihSnXZGzOSdTgpzr4R6lqrQg4LdSnlOVjsPluiSyrD0PR
Z5t0JHvBlV1URw/yADNzjShX5cgfvt4ti0Xok/FmhR0QVtqgkvCGBu/CHaIbCYbTrbH7epC1Sc1e
X1okRr0sK8hpdfq5STrcxPmRWqA/QaagTXT36+GW8+eTSc3eX0yzYE9sYje2e9fckMN/AaUsn7Z/
d/670ulJGYejEz4yhcUbRQJTqAmB3q2GtfLi2gLO7ppamHoFCjJqz9TRbWMf3EOcuPaqHXK92uGb
zqka8ER9HLfN2v5f2yGzG6jQ4YKUhbjn+iC6L2KyNQegrgDGcla+2tpKTovw20rGZR9AleFdjjP+
P9auazluXQl+EauYQb4y7q6ys/3CctBhzplffxsrW0tB9EKSb5XfVOVZgIPGYEL3Tlgc2mQDgXlo
lTqNBQmPg1TwCvGbTwQQdIMAykAumiVbm0yxmzFIJ3iS4DTlR7XCDGX3qRo+xCXGmIPuaonxA/SZ
t9jN7N/KLrOrU0eMAD/ogTXsJF0koarK+4DbYLmyxWysKamj3I8Ayz8MZSMUZmlN6wXPZt66GGDu
1UpqS+FUfqTMei9v8OFZY6F5LpKlJf/Ha+C0i2xGrCLQPWggVvima2A707iyxuByVoEko8iXwq8j
O/xR7ImXeMJ16gv3MaJNJKUrG4LYPK/cvMZXVhmgzmJTj+sCOPMWfr7ti3VljYFpKZ7UvtQawSM1
OtwqL9grV+SqvJwdOhv3r8eATZKBnU0raxqj0EAawyw1Omb12hlcyRV3w+Rz4Izjm2xqrFYk0AlF
gLPXcyFtX3irnWTQpIUyu9Z2x4QR5V0KrdhdrokPzSxaTuPFKDxAMVlAMbuuGkFf6VVz/bVQyT4o
MbkL9aAOmQcN7A2RE03iB4SJdpiN3hAa7zmby3NUBmamqRXNpXuEz9cRSXLXy8CMhmbgrgqRXl1l
OV+cDN+uSD1+TAjqPb0H0foy9O2CQ9g5kgclQvEb7UWID8eK1EPDadjvG34p7LzHquzkhy4EKjos
kPNHN1p3WR9iN7XbB3ZxfljB2VQMJT5dZhjPXdsrES0povD2hCuMd/Q3I4vVjjJAY4pp3UVzEPui
UF6kS34nScObnnkrG/Q3rKKXIcyhWJviejhyrfWQIY081VHRLe9MECPjhmXc/WNiQkVQprFqj/jy
2okxDlKDc/vp4pBlatFbjm+FkUdiQazrqKwW0raief+CtiL6QZ69glabyQBMgT7/Is4e7/XMmazX
9AfQn3/OHIMmBJK2elxgntJcIMsHarHmG25CO+HNFHD3kQGSMBdjBRceZA8uEcRPTuZEXo1NFAq3
RDMkj5+d4/dsq9si6XiedEASaQSZkolBEePTeSDefBycPtTRSVdenxXCEpczJnim9m4EOUwwQtlL
tM4b2WSphKjo7yAdRNZP3S+Kk2IODWxboS5OWhuO2Io2Ad2JDhagPP4oBEiWj77cefGA5Hd6Lfam
w1df2PZKzFBDzkGUQWL89GfI4VTIFRV/or2sc+1JVuKEvmlcDy7t94wOY3fLWfn2PXcyyaCKkotI
rRQo278lMfaXm+dkjYEUSZbi0aAREqYaH56Z812xRyuh4YYuTUCjyl3JV9mBW+DevnpOlhmACcVZ
n3q6tc+mSLgklduH4mSKwZZEkCNdDLDIVhYsA5z6FXeg/y/x2MkGAyjaOA9lUE7YSOXdbE8O5L3R
mZAq72jiaN7zM6jb5/BkkAEWaEG3y9whbQRp1rssnUoL/C7uUmjf/s0hdSY4aYoij5ouoYk+zRvx
NPZMt2/dY/84SIX419z2CTBANkw7xeCCTw9dPEFQLgtg8E0nYNsPT9ZYpCFdRsbwbUE7b2UMnIAm
rJaiHCt702NrG7xOK2OQJIjz1BRQTUKrOhkvjMOyzxxjj/AOrE8WyvWdz5sa2fbJk0UGTRR9aiO5
QNCgmy4o/WFksEUptd7kkSczDHTkoGMgIsaHHx3kgVP+2LPLTwbzHIRBD5AbFqY0YxtfP6f/lwjv
tDIGRWazXuSuPNp6LZvuXyKTky0GQBRhMbu8LHNfnsrQFvoBxFDZF6ElEMIJJBDOZbeTQt411Rg4
Yt/G+yHqPgZxJfM+J2eDWQlf6EEFnVIjZnlDZp9ni/59Fb0UaZASBC9/EmOvSRPzPuZRXHVlq1J6
pW0FrOv16YDtcPbxWyoMsKgAlTYIUMFL1MheitJOOkj63uq1e/7oUV9/Hjaf7DCQok1Vj6FWqEmH
U4AQVrQSod6F7deojR2w/nI8g3r7OWsMnISFovTBCA+t0vAqrgJvlvoavI/GjaHXn8M6vJZS8/v5
FW4fC1w9GlHA+4Fy71MPIZMCHs8eTSuqH+5w3dW+4Ryvu8ZCf5PMlTXiGmTOvNb1cRgMGHV7y6Ww
6Sir1TGHvtXSEiKNdJ5W/ECpXod2tECDatcgg/y3jWTjhkXr+wSal7RzUvLyXeLN03GYFdSF7guG
WXn7qDNHWwE7OBm6+U/gjALhMfZqrOIFor5ca/SqXx3udunrXiOwVug73ddowEzH4k3pMDt0UIor
K7qJXKYMUQT8U9F+/dTgEuVS1WpQ68tGDUK0knYJ9pHWBYPMJ2Ra3pmBcVe25B4qqIdJEa5Q6e55
X3TzescEIbRjRCrOwOxw39d1PzRoriqj/Fu2aB9JFVRuCF66aOgUuyiq3poq5Y60/WD3mjG4RlcU
mFHXe3vpjW+KqN0V3cArlW3vzOlnMZ8i1zJhnmrszMNLIj786VR/QUaZ7vIzSFptAfMVGgIOgtjE
+Qn/o50S2U/aKAHiVHIcMeYnXnlbzgBuEiV9k8/YchT9fyZBpoByM/moGm9rlzVNKKKgoi/h6z51
rwyPlwgtuX9OD53PeHk/xvaqHo2xN35amCSZE+Rym+Tb2HxXutxa0PB1HoDoL37+qU5GGG/tQmgh
FNCq81IVRKVx5irEb9WLUFB90NGSsMZjiRuabuLraRvZO38uxYmQEd8LZdsObDqqHYp+6pZgAVRl
8NeBgN6uic9/Dm4+QE1R1hUCtm60KDH3ltK3IFnMsNzKWTxd+YB2S7/adW6fflTs1BEcnvLMZnyz
tshcXEUqVfFEe7hfH99s5inWthj3zOEtSLXS7D95Txtkm6/Fl9EO/HwHtk87Rj+j6auXL9jWrWrx
yTBhU/NRa0bDGGNb+yC4D6L4OhTyW0C0n+iFFYXjl2zKdqMcog2PS3e3BTZr24wH57LZ6hH9pI+c
WvGBaiy2EbJPVJqJV+bZOpdrgwySphhomuSFGiw+lCIYYb80mX/+VHK8BiXUp0CjL4aONlPYQGK5
2j+klV9eLuZtIYOfBebeoSeEAsfg5dkBpCkgr8ksEUIUUAvGy5R/RWwFres9pHu8CgzETI/KGm1a
sKfd9tUEzkowUze64CY6EmngMwNZdMRTutvAurVR5kXcmnWvhFQyxDBa2wShbczT0uPgCxEZfMnG
zIgXevlHlxMOYFfvXjt6s3WvrxfF4ItOhiaTKlh8w71OPZu9LNa2GHwhaF1dkpBuYH6b0TwXatMI
5+bxPQjnL/hzRdTvzthj8/QIpMK0yGEvET8146cplzm335YCpLJa0fEcrvxwGSfSBxX8EDfRaOuH
+dsDlY3i1HaCpYHKpnUE/0Xy5rxDfoyeV8bVJJX6kXZAvuFq2HYTXSQKpLMNkVUMk8C2VCaY3HiL
re3PdrLFnLOyzkJIecGW/G2QQS+WDbZg0ZIOWNTaH6a/XPFd5S8n72SUOXnhgBR9pKNh74GV+fWz
IX/5fCeLzMkzFEEmQw2LE6hKRn/Zyfl3SDW4zQEzdtL38zfCNmCejDFHr8wwx2FShotugMwHmmQL
r8cQg6r/Qsnf0pef581tRWim+GiOpVEL0yGUGwWfUEsjr+srEJW3bjkQJyAhr9VsG1VOtpgLvCat
ivEa7GPn0KndFgcv2KN+hE7uyNXfnV/Y9lcDYQZlVKUngbHWgVF0SLUOzvnAzPC6ge7Nta2s0b+v
jniId1Av0YFuCOLQylF9oIORE7ivHdnhM4VvPrjNlT0mbtA0QdFyesUN5oFuZgddBs+0m+Wq3DeH
yuc9uDf9BM9tvHVNxQSD9dP1iXoq6WUMe6M5o11Jd4SqPEymeijNILc4n45njMGVYiplEaqsD7kS
jbzL3WCPCQ0QjELPASRPdOozxWAft9jCM8xgS9w1ETrVcfgaI7ekEaIDRW918Q5Cle75NW7Glqv9
ZDBFCgKjUxRIfyVUtyXK3DxL3gmB/OO8me1TsLLDwEked5OGKa//X9RwssXe4pqSaKDugy3UFHVf
clo/SBzDUXzVkyOLfwiOrcXPwoaVQeaIk1Rui1rC5zKRdDK1X6Ib4l3XHzon3BXOYgUO5GHuKKlC
6GIsLUCYqwo3b6zegqVWBxU3bh6ZpfzOIOoEjqfjcDktVCwX+iUtdIID0DN4kcym5xiGBkE1UzcM
9mVb60GQKoMc+Uls1Zk1u+kuxTtIvyxjq2uswaWMXdGV9oHjSdRTnm32yi7rsdkY5Hk1m2CaJFfI
/FQ3WSR97Yx2l2OwC2wMVJppgqRGbJcF+YqpL1DTJ8H7salspa9u2ly56/Ipx+RhMF3Hk/xNJwWX
epbi3rNfaUoQCNYQlIO/9ylO9W0vFoOBXylOmhssml3pqG5nYXMxQuMF4jkTNMaU+msbkMzTE/VW
L3rJivsW0jNTDwAdR6eds19BZEgWZKpy0OQK+64zvulJ7RhGKmJWBgMdfcBlNKXeeu6nM6iHdh9I
ueW4HilDgXL50NJHGQoEfp8rzxYDdOlAFLD1HW3R3rpT4Yf/Atz019UXYfxm0ZsFEwIwRci9GPt1
+r2POfPC9Nee2zkG5CJdlkCLSU1MngYe+EH8LvSxZxrhrjV5DQCc9bARk9oVPaRUgHK/NVqrn1Sj
VQHapT7I79HtKVzzIYZnlYG62uxLUqYBWDCH2E6N0sow4TiWe84h5xwfwoQxxSCrYwbY+V18fG3f
2XYwf3IOFjjxlcY5pH74Nh6czeB6ZY7Jf+QJycNqjhHtloMnBMkehPy3opB6UyH+IGV2FxXFL86W
co4aYRGJQIXNDLFESld+YggzfcxzgCz4vDWemzAYUoxlI3fZgIa3ycuKD2pwEHRegYHnIwx2JDLE
kMMOlx3N6IIYzzbST4ljIp2r6ReKO+/E8Ov5VR0jhzMHnDAY0kqaupAebjlCQqpP1V0oQeo1J9aY
lF5GQFGg2mbzc0h4GWwOshAGWRR9DIwcZH2emt1qeQeRt4tG/NAkmJ8X8h1nlfRwnVkly2o0V41a
4pg/jZ9Md/ReGD9p9NefM8iASh6Dp6PELeyrVwNCJsRrjgTm+WvSXpf1t0iG9qjkxXYI2vbbVPJ6
b9m1idM6pq/v4vfiO/mqdyEMa6OM4ChfMar3UXwX3Zc/kHP/iTlPz/wgfiMFZsp9cMzTthtrfqdo
tllAEyG7gkDVLtlDbA7/M3QwP3N2k3PuDAbKkg6c0xKNfPH+o/3B0D+EEte/MO1i9gVMnyg6omWd
2cp5jDpwQONQDF63F8F9sMsu6Pxnc0id0BneRP2ztsesLjY6WSla+Ar9dJT6x4ZGOIJASv0DgbYX
tFtve+dphRQWVi9cGR0yUUJx7KEP7XUF5c3M0mo7GaAei0yccwrUPUQS5zL0F0gscxxk+2yfFsQA
cwQqjiAhoG6JLnVftdWPa7V1lKfouTsSW/Pe0tuP99XqGJSWDU0DawO2kiaUUijde6kPg507O8ZO
3pXK25DltFQGsqFoqM3RDINtFzsF2pSpIm8K5g6qco3XdPipNQoIP3qDJlpGuPC2evvKONln8LuI
wyxJTXA1G98MCGzfJe9LO/T1mx6idbvENW95g1w8/2FwexqCdspVE7V5vfHE/CY1JZvjPpw1sa9d
0sp5bMrY0zfnITkn8PjWX51ASZRjI6bDfjSN/No5bM4OsjnrIRYLMzZrlPbB0VF+LxVOZzfn9B0j
w9Vi9KIYBdS8kWqpP0Bd2VJ0eId2qSYFeDRSzsfavuge/Y8lTi0ak4DcoCv8iEjXlaZdjlG1eHhH
AyeLYCcv2ofMDLWbLJM5pajtUu3prB/nHFfrnBErqA1ldmiXneIZ99kX2ikBjVjMETsDxM6/iI4Z
glOCR0nA+4AMyEwSLvaQ8vo17ZdCehcjQ/iPJ4BBFTkWyYQOGBBleOA31f4jXunLe80vtf9epkr3
lzjw9B0ZHOnSAe/uAtMWKnqM8gNQE5PRqifutP35tfG8k8GPMjKhcpeoxJsyKbBnPZLsqW1yr1yg
5SlXDTTME/Mf95OlPiDKJKkilCExL6iMVpoIF7o5XEn6eNN21YXcRZfdonsmyd0mkHAtJgsk5UEu
AwXa86vnXVBsz7luCBD6q/FL6hmZtXg3yBjm6ixC27n6G34mbztNeTolLPvq0KqQ0I6BBk9n4d7c
q7YKnWQK7KsTWelVrXXBG2H0Ly/cR5d9Ro/QZaKYQbILoE1fS6tyVWNFUO3jnnuuRSau6fuiKFK1
zv3RNu4M9ITEdwsGYuVjanDeGe+UD+fdhYM0MoM0uTgooC3HTZiEmt0EX9Fnz3FIngUGaWr0aE6S
jKH6MPqQ9Z4s89552+/m01digUVEXxlUwhEvQMU7qQ2r72a76mfeEd9+lJzsMLgSZwPpVQmQSYv4
p0RxfwMuec6e8c4U21amxzHBzO5R/KPYP+EA4Y4U8QBDYZ4/XZ3Iej38nr/ubkPM6ga7fP/C8Wt6
Qp+/Wx93kW0raxQ1lPMcJ/htWSPuTjKI0YBOPkbu7U8R5ZQt5XMz8eIFhR6FFTqJQhCBuQstlaMt
2sMHvA7iO0iWx/bc7CB9A5mD5Aq62fF73ozwdovECYMVBjeCAfGsVAgRcKOKLUgraz+bfQ6pn6Cy
UEfx2/1yQPpFcmXUcngBOydCUxgMkZIwhDwFwXRODg62pFQ/GRL40rShGO1oMf2QSODNyyPknIb0
/Xn84novAy9zOwlt0vz2p2VPW2Zp+QbFlJfQKfG8l8GaaVkwMBrgRtD/PN1jNEsrV7/JLd+aFDwd
FwZ0msjU0ScCg8XyS26+VLXXd/ev30JkPagglGrKssLKvuVjUDTLgJEL+jbBtN9xCykl8Ev4Fzau
g7UxNgWvxMasBS3Ck1K4JYtqhSovObBxHzyxwOAZOATDQUC+3VNlX46I1RqHvo94t4H8HMdAMiBj
61WIfats9hv+rmEU83gbvEGeaXNNK2sMspAOglpRBo7TFml9L9yBAYTKmcS2aPiBdb1cgVCFm+rY
uPCeLJEBlUYzIVk2RaUPFk9XtgsnPgQe8WUQAvDoTilEMLcCTNHRZEWXVFlk3NxYkhqCkjOEHupk
Pw9qZAUgupQDzQoIr9t3ey8fbbGP/3bMhUpuoG5ejZmbJsh5R9UuJAtHOmUrlluv6XgzrW6DelHq
ME5wr77xptvApif2qMeu7OWjjn5tBaw7D9jUWrWdfpT8Ee2hiVXZZP8W2Dh9s2dZAKnQ1aJQUNbS
QR9qjNPPOJciq1JDtw4KR5MnZ5AqiL7FcmSDvrqz0dfpBU3u/OMPYQ5HqzZLO1Idl9ZVUBmywPjq
t060QKWpsUNPb2yOwe2DcfIg5mBArbdIqvFx9O5VYxo8W8zlGs4ouYcpJr4fWkdfFb/wbDF3qSR0
glZTJu63iJ5sRUtP/JW5S7VR7KXQxPmQryBOb4HIFgjjDohXyGwXlngcPuIPwW4D9+njMVCTqFMQ
6xo+3h9lwvHPMNeLlAm3AtD1MtnMwIBcYxZSZrjXN5BykI19+mt9EqskASeV0UiuqWa7vJFdXak4
eTEOWLMP/kgNpFIT4JIQXfwUp7Ot19phFIqD0VW88I7jkuyDX6rLKgsG7N4DiL6GK3MzMjnhGfva
L8ylX8YUXIGgK7Yl5UepFi4HODi+JzPAUUiY2C2pkAVIiogl2w8zAz1lUXmr1soT32PAo53UUctH
RHYPu/f/aAl4Yo8BkG4aJ6HucI2bkYX2yU+RjReIQ1yhAn0r5UXjJUq3wv8nFhkQGapCNmMCPtxo
ED8ZQ7OfG90xG/l9pjW3ZRf/MNPelc3US9uucYWu/FrnKi+byvMcBlIWadBCULKbnkISLw2VX71p
8qKWLR6Z9UrZlEDXpUZiqiE6R/C4jHdi76C2a6sxtDRezjDJOX5sbiBIwU9QzY+3z6tuOk78wmYG
jEJpJLCVmX9mhLKfKaTboalRuC9LSXNwjB01V2JQNaUdHgrRAFkqAsWjBKOCSnYhtAany4mDzGxm
YOpiudNTqlEQo+dC8ar6B0SrrPPwwjPCoEuTlgrkwnH6GqOzhGq/oDYRtv55I7wTx772NSilTjFl
9XnLa5F3eyoMophRpLRK/xvBTkRrL0kuU6g48wZRWCgpjRncMMD/KB+sPP0lRKUj9N8D9VIaB6sv
Gs7n2pJMe3KiGdgYS/QRSznKS/1B9xfnH4rYnGN91J5YPRXCvqsUOQN7y+tjEt4ziJVsTQtJqUmH
G1y9WiXRtSsdCYaXdTvwVkdv4dXqEJoniUFB6/Wr40CISjFtZQrZlMQkKk2dFIOtZYlLkhbp+snS
w9r7t4OnMs+cvJaEUA6PWGz4i3pJSfqMo2zarF52frs7b28TTZAUMnVF0dCRy5y8YRLHFKvK/TyQ
LuZGPtTIqlhJILvn7Wxenis7zLHLm7YIBhklD6UCex1koTMrl3OOnAo9Ss/O9soIc9SaKJymdE6x
mLD8GKEOaVWK4ktpeA1uE7tKBl/SldquFlCBnl/eNoKdTLOdYXLTNOIQwkUou3wE1ekL8T3t9FFF
TDI3w7/tpkHPxsohI9XU6h4y5Z6m3xTJ56bgZde462FOV6Pi1a8PQK3Zp9SXf3SMpCs+ez11sTNf
zWBOl2kuA4mkHjLh3fepa52M+CJ6UNpG2JHlyz9+J+Z4CV0mj0n1GCu/5qWxiRorl2Avan0opUbM
A28alIM+fQQPjZ2OfopXwflFcc6wQX/IyhsKVRn7NgF36NS038eovA3FcZcvIud08b4TAxVaKieD
KOAImxOEdYiVBrVdyEhRdpC1UQb7/KK2b5TV9jGIgYFTeEaFCOT3MPmfQBHUFS8bJudaZOCjQ3+J
nlfw+Ti7n+3BSS/QsedG2T3VWESbIJ9Kh4OKLGH3LGeKSAIk85QbFHTMLzpeUqkfX1ajY1i0ayKz
08+cfaUn98xxY5Xssk6Mx0jGKsvkQIn/tEvQdttFclAOxgtEJOlnOmeOAZLEFKKlLkuw1xvy/Thm
11UB3aihXUDE3Gl7Ie0OHdG/nl8k50Sw3DOBqYpzh1SzT9p6ssqhuMcEZYkc5ZLxgJ9zKljKbqxI
STO6nQL6MB7Cu2wPYVw3PRgOZBepIs2LZpZ5G8vAC/hS+6Ir9Mjvs0FwhSWJfdKP4NVR0M2qDLqj
h2lvIw/PzW9wrllW4y4oorwwiyPfIV2y9AGIplmivTit3VZwJrzm0t2IYwplPz71Lu/jMjgUztUS
GamO5Sr3QlRZofxpqATed+UdEwZ+hKUbk65DHDZ5s1uHGJoedsK9agl+7mW9wxsL2GLTB+3RYyBm
MuCzQOnKHNQu94vQuMny2RtDEMWGswF1qrbxlWT+HoT5L0M1rjoluDKXCJJg0fB+lpp3c6R/zQfC
SQBuf2bEhTImSkVM6T69ViKxasca1DdQ3EPhM8LE4FxYhXmXQZRbJpktZL48vin8BSnMH6PMXSZM
oyRHym9Cwdd2UG51q2HTT9YYV4LImRKLlACfpt1pUwSlpH+RwMUGLcsTS4w75UpYJLGGy5PUcXql
R2lj1Zh2KxTBwkM7cM1i+TyUoIXJisgvsoTw/HnzubRaKuNfYQUh35H687MKA7dT4C8X6eO2agwD
qzwug9l2qDC8tfF2+x49GWTiYaWoRbkwZOLFYEa1Jl3z+jbkqb/wjFDEWIVZNerAUatARqfq4nnX
lWGMG6zlUdrwrDDRcN2GQbxMSO+EYuORFAE4rwq7jZ+nzaK/YLUOyUDnsJGBnRCPiEPZhH4bND6E
/fbn72DeQhj4yHFBGVqqgXqxwZxvn+66YuR0KHMdjUELYmQQBtSPaPF/UyFdH2OWbFEVBVFSGxic
BGKniAg1iXdQ6W9+HjCdPg+DFJhfKbNwVGhzIL1SJauJLENsbS35Ou2ILXqyg7ELuyl+hPypUw5M
HeeRVr4hk1BNiuQ3ID48+5QDHZLmdRNtRy+Pq2TJFgWM/uAAYSNHIbBr2bzUx/dxWTqKpDpTUVmF
zJkK3Y7TTgYZiCibKQeTBkoIRjzMditG7+Is/zFqY2ZXBWRrpODHef/nOafO4AUJu1ItBYRJ6lUw
WdXevKAEF3pkkY+i95LRwr882k9rZLAjEGqjMYbxTyHoNY/b7bqubBJomBmgeDyufuUpcTxVc5WB
05gO2dIgEITsmO31pJ0+3qX+6EW7fHib1hdO4Mkug14muKjipsBobSUn1kS8Sv8Qk7vzn24bIU82
GOhKpTnK2xji6X0gerXo6oFsiSXvCGwD5MkKA16pCD55NceNPHaQv86vFe3r+WVsu/zJABPdNF2p
qANlrE/MzjWnn01xEaX/6SEB83rqnrfF2zIGtQS9hHCJhr7/HA/ZIL3Om70gfzlv4y8n6rQgJobR
RrNpNTOnMczofnnoYaMtrIP/fra43Zb0fD4H4kdrbElfj4Qi7AOQg9OIabx+pYAPPZvnrDH4BD7d
UOwSrO2tMRPni7H1/aYboj6LKEmx8X4wtYMiVdYo87poOE7OVvbDSM9U0sJKJF3LQWnPmf62RNHp
OzGIUEUjqIWQoffEO9EW3Uq/CV1dszXX9KFYknzlM0nyto7+fYV9mQKunb6GRU3Wrbj5XusQWpbe
nfd23s4x8BAO5ZxWFXZO0gUbYGHLCadcuV3kO2GpzACElsyakmLs71hCefVji7cgBiLKAnS8OaUX
n+90H31Auk3Vmx77gOjUytuC6ZNrMIChz2XRQUoauS4xdkk82uV8f/4rbfVkr+8jtmBvNgSDmzoS
yjOlrZsc1W7whASdjXR9JJjJ3PbrA9MMn7jjLxf+4/rYwr3Q59M8V0dAZAYIuB1VHJ9n6/aLouj9
MEG+Y2q+9IsPnfRI/8zZSw7iPivVV3InFNkRA18/PsndPAY3JrMfIWH2G9/Xl8n/4UMxiBH1KpkV
mtb4TTHxm+rsZRQT3JUx0EESsNAP/eP0xaviQM69xZbuayIIUz7jm+ko/CIOJDc0aa6hV16xp/z2
BUlzehOeuSnZCv4EwlIt07CXzzIZXKc/3vHnbDEAEmIwrJMnxGgP2V1QVu0ha0uZ9lH0oL3ZnQVx
JR25+kSzSoe/2uM1fOYXsEV8VMYMCGRRqewr9aCbdupGzjhavRceoHefWTr6gmDYKexOs2W/spPM
5Q+9cEJJtrzfoB8E2foCA8ABWBME+YfWEm9BaJw2ZupMosSJwHlXk8o8njojRe9Cv0Dso2nRdqyO
sy0Vor9Uo50t5fuhbQ7mqB5aIQJb1Egu0QD3pYmLev9vkMSW/ttKzOVZpAcXipzGPdp69sJ9hixw
5vYL1994J5et/kdKJslQRn/TC45zctn8bm9kOrTRjrc/TZ60BPcxlFNuji0b8gsIKuhhOefKDCxN
JomlTpEFLzVm6VKUxugQBtmyy8Th59SIIhiTStmbyqi7qAQz4LDicC4wlQl2siQTsqXGUS4mT6hu
BPVLm3jnvYVngolwZES6cV8j7zmLkz2m94J2scSTc94IJ4xSGUjKoYKTzS2MKFNhx7VmpdXuvAXe
O4vN305EIXNAaUDf+hbhWmRfP0pfGgG9HzU4omscjO8P4KqBWMej8hS8llLOLmoMvhiggY+VhKYR
BLCR5bUtQRmWs42ccIYV4xO1GIlw/XiY1w/Io+wTN6HGOVwaE8205ZQ0xiIHXth4dXHIk1vNAHG4
9rkFt4YWWnk3/ev6mKDGxGsxyQne/ObO8Kd97RN3Oki49ynVOy9bQs/OGfDQGPAoW7nUBgn5O7T7
erEBWhLZsIjculP1SZ3fmTmPC5cDj2yq1xTVpqtK9B8E95QPwrh/VM5Q7BxNPbwF8jJqGoMeuiAI
6HFGvQ3lVPqSkGuoMdCXBGi9f9aqU7n1PjAsfozBgS026ZsHjTkllCclLm7T/FqC2MTwjnMWOLvJ
5nvVOmsrgwqFtW56rdq5K33uLmJb/okDbjUfZ14DE3WHM+7yTPplDgc0g9HzvahuEsZelZOD0BeI
0zLOxcIDLzbRq5ZLrqTpMQT+zfT0cJHScVEQCPDHRbkW6W6vEhBtFFRCY+LpIt1QamFwSz0MqELd
1BJlWOROCXLwUmfgZV4CtTNpeko8AKEtYXFKW7AXqCu+vC+dA2ksU2iH807iEJCWFr/AEN18rKfr
tnF7KIUEV+QTx0M5zwqdAZhGwoRBUkvIVGE+9tSD/JLp2O0u/1PiRWdiESlDIqSYkNuhbRP4XrYQ
gJO9H0BINjootzijZfS8BXKOuc7gS7PUAUIGHMFHqRej80C3hkxZOXu0XQOuw0cXrrMyAUuTBXjX
o6+K2qW69llhUybOCfkSb3HRG8NvEeHF0ez8cSPNYiYMR8VF9UAzW3+0gfjtixwvJUzoQnppyQ1a
5oHa0Q+1IYc8aA9JYXwNm9HtJAKdeeM/cxZ4XX+8fWWZQMN5KuKYxu/Px35e0jjPtceAzjKLWoEb
EdEt8ne57CuY4wtAkLQke8Ue38g5s86tEQZ0ujwIRjPAg+H1Y2Fcj2GCmXRq6yUecPseyQgfanWQ
eaGVuhcwwHBCQ8KAzajMGbiR8e1mv9hP+2WnO9PhqFD7gtBpewThBDdsk3cW6WFeN8jd6fEIBl5M
C87Bu7rM3XZSdr0uYohYFy8jPbhFJ6mjirUTmeVFPIFkJcFMRJ/vhuHXHAdvK98/pi9Z0tCq6hZj
mo4BMj2lVMPrD68DhV1uRYcD8SxX6JgSOSzoYN7rIf7YunkmAGEbwksdXOSCDq4OYZhiv691yySo
Vka/RDTiW5qYJ1YRz9cYU/0cp6g/i/WNGJe7qJltlLjuRMF4DxKFnalPN4E5X0Yku2hUdIRU1WLh
JZ3YdZDs2jYBNZv5Q00nxRqq6nM4j1+NJEcSSLJyDMhZVaG4yNf0ji7ljlaK90Z6H43kVy4qFrKf
u66bkbMrXTNUFFtqyAeZ9P5SXyoD+OAnwQFlzF4KpQNJBH8oFGsMVSsz60shByWi/q6AHkU0DLtG
aO9ESUrdrkl7p0jD2yoU72Qt2JVzcii1QLLERLY0abqdDBFVmdiuxfdNGTiTomUWCSZ7mZc9yYjb
CV1rNdmyL7TSk8TuQirUQ9Do6FXFldEvIKzPQeFZVoWVS/X1VGEkQ/tuJKKtIRfECQo4YSvbaJ9M
nWFmhQhChAiE+X/081rnUT+P+wrgWaTIsQrtjEolqD+zweQruEf+0nn4eArZ/vtaXjIIy0m53zlJ
u5ucerHa1Cr91Fa+ySbCO21y+vfRgccvyIlHDAbdl1bqyr7Bxbl00uei1d0y1EprGVRO3zoP2g0G
2mvDiJamrhMs8CHamj5rrugVbgGmnvMOsxkmo3kRJHCajt4IJhiYu6YZxqVI/JiEnzshuNZLwmPC
2v5giq7jblQgDMNmgDCt2aFDAlRYkDHxFS+y59oq7aLDTH26V2MrsUDYmVhB+6bTcDLM5oXKpGx7
CEtDoTB5T1vHHzTjy+G9boGw9AWa8duB8sois5+DDmKxKMZSf9cMI5s2q2dW3UOZkHIHvLFmCGoZ
ouMrqurxMl0dwKAf6llSETo2rewmwycx0ezzTrK9qpUJJhIPtbAG/xvO+GpVObqmX7GqzcO2MskE
4agU1kvY4XWjiCHaZq6kDOQrun9+YZs5mpMRtmOCZJlYBQUebItxJQ4/ZsENp91S/jcroaXI3nlj
2/mSlTXGN4RKB/GiPKNL54ARpditfs54S5kB1bdyVCeCKJoz6y/wSs5esp0ToKwm2ULgIVV8iata
ay913k5uB9urxTHBtt5GEnon0IKktIexia2qg7RUd5GEP7u4toTRQyoj1T6ppWFD11GKCM9HN2Ol
1Q9g0Hmc5y4cQ/joSpwplv6JwmBljYHosB+1Ln+ocq3GR8NXkGVvVrRWFpkIvIvbVFro+v70r8nf
qEqE6tLyJaieKbc03qYvoOnevOFXlpnHP7pHJTH4l06f7WIaJBxlEcpkBIo0T2OKqumjmHTovKBx
76v7PDbfNidr7FBTK06hFE14J9JRyAG9K/5yPdntHg8pEK2j6f08DtAP9SzQXpljYEDC6iZpweBE
gwFXK2rFn8OI6c+6Aj9KznuxbB79lTEmOmsWEfQFHbo9eqgRuiLE9MrKpjmUwUrr/WTX+7l7QQ5l
01lXZhk0gOBHpgcpSHQKffHQHY52QbB1yZdBL7rKwOvl+x9t19UjN84tf5EAUVmvit09yZ7xOL0I
67DKkcq//hZ7xh6Z7m2O298FFosFjPVpMRQPD+tUnU6YNuG4va/MKLvFKcQ8L7h3i1YLt/PtlhIk
oBjRi9amaP64Xa80fRNlCSSXjUfqN73PCuzoEiOPuYsLGh511/ihcoVJ/Ukw3Qwot+VHQ5EiVIku
0bc5fSxuYnHJhd0UVUFq6LlpN73X7WkY615au8a3DuL1tQduwL5vnXa98AFDh68TMxA00Ez+K8xM
dTpKfYnB/dsHjNMZ8SYy981LjfGAYBESU6cPNp0AvUODZ9HGVwD5yWR/E5WDVc3q4iWZsSvlQ7pb
YpfO+wypx/x2hN0xsX31MQ1W0z8Pd6eTx5eo/EuKaaidYSyQH0XrgRz5xsG8mneL6uTEQ0cK3Hu/
FZ9tdACKkv/TG/Xn7PIvKhNN8zZmZgx2x+wTo/dPNqLlaDt4tA/Frxyn9+pLQA5r12OvtsJEf9q7
vnpPVT9VRQzI0xvzJQYHrB18Hsy+whR2QbWvyqD0M6gtlPu2DPpQ2OMnWDC/PaIYvab0tCzDobOZ
E6R1o5lj5eRJqfir1t53CzEcZYwkp5Fy0KhR06jX7gqMp7u1JbjW1cv+/Go6TXDarCYOfhUpzZu6
RQdytoc5uZ/c0X+aILvL0KJ7tHEsIQPZHOb3DDgK1xBdKUUjwuGxnEoaGVbcKEfydZapL+lJcP4L
RauIA6XI7MxhIOjasjWY3CRRSLriTRql3vkwp2usm4HkIEi1pCi2U4AfU9WTnOi9/BmSVK4MChyq
5PNbA09zCU0dZSdcViebdjahORxaxjqNavT9HzuGxn12p+3NUPWhvCr4yJNjCSVaGzdjUwPC/wrw
qIWp5dDr6H6yD/p6ZdHQaEU78iTMbGJwK6LTZ2mU6FFx1QpTvNz8qAiP4SusGk/m4pto3Oogsg49
IBMmn6zZygCbzm3D0YbYlvLRCIpDGkDsRbBQRCG5hTLQwixXosMSC90yleKq1G2uNEi/6+4Kasj3
Kky/CEKKxpRbIFIxq7lUZtDKDfs9zdHJrN68WB8JM/LT9w1DI9AaVuCAy7ffr1A0IBazvoXR57VV
fqi8eRdfz3gOl/X3fXiZRukmHkOZTclmrsik03Vm0qBRWMHjIk7fMPtn62pxYkiUCh78T3MyDVM3
4LOrE2jZ/hqvypapatUecvqS0vpDRD5bUn1r1+1Vb2perMWhPnajYzTTGzie31mZvocDcuvEVu3K
XfvBmlBJ15qqdjS9lxyprSVHz4juyVHxNi+gXCfFueGcXwUnoXbzo9ki2Q7SUhv2wGTLi2R6lHJ6
1atjeD4E25u/XcU2IbjTFM3q8VrFnRWs8X0+yU6jN442f9NUQS+fKA4339maDOkyA9Pj8bHIC882
D0WZONUiQnVRIA7wCl3r4XoPgX7IQDtN8XaxFkfLgnT4fn7gTpd7NiPHoV6eTlAmYibflzLuGLCd
myoO+MwZxTpFqpGKmIWnpQ+9iZJH806Ob8FAEqy80+n55us4yNOXEg06JcylJnfy9c5LV1gDHst0
pjv6VLqL3QbvnkIxxZPZ3SYuh3t9JI0yJcguNjUsvOnWKEW84jogiMZzDvo6XcxuRjR2k/0zAolg
9njOgZ2SDG3PFCaS5fBgzepe0417LccLW7VYn0jaCg4tts7PrBaeaqARSY2pgo1NyHBtyvXDDLbw
Wl/WkPQyYbzcujJLU0TyUgp62zESt9kPYQJXm2bd22Efxp52/3f7jmcYDDrEU8we2cazyNATy+/4
vvc3IkObT+QgJcOLZrkUuKrCKd3XaKB6LSyZer8ug9iVnVfsgtMJx8/TiucaxHKSdL2FN5RLseV0
T9TmGzlwGUvDrhoT53HnDYWDu81OTSa4Mn80a2TC9s3sT3t5p5hOS+CR9K6P7pcmFMwsO87OLVkO
c+p8bs1hBDlVd47sdrd6kNzUTW6zHeSWPgmiifY+hzS2nkk9TIefqlj/073PEwvIOA5UK3uUIJU0
qGB5jV5lx57RfW3qTtyLKp6CI5B/0WwbXEWHFl9WjQ+jN3vdJ+Ox90hQ7rLA9jujcer9a7SxjjLW
ZyaQdwc1gd19T3A1B22MFRzq2Il8Cuf4bl8fGCpk76WQNeCkS2CH0aWt5i/LmH8Yh5X8ULc1RtqW
8n3cXZc91Avp/vzSEUAr/wo+W7VS1K2KG3CNJ7lFm70ZteysJ4/n4/xHUv4TBn57BV9MVU4KfA0o
095Uh0OIF/8Dq47h6f1S2t9m9LiUxqp7vc0qxLsUdo46d+dWDAc7tIuhgq2Z0MFrrPkLtH2WICr7
wKZruxvnZm9SJBtq0ziWpJRgvbRIRyRDg5BRkbt61cSh1GTUR61dcTRJ7vdTN45OnK/qP1JcwzJ3
pYZLYDvn2c2kBUbSyG+tUlfxXGQ3n6wWWnhal62OXcofZ0qvZSX2yrmg7jBGd8qqDH7f69SZY8Mp
um5XDvU1nZf7KgcBK0vjWyltFKdIK1fvCEg4ffK51CCgVbdfZzX7AHeTMIJnei9pu5qkd7NS3K01
YDWX3xlNDUmm+h6J1rt6GtyqJvdxDv4/ncjVKllhFhk39iBJzqIv6BqZuiCjxS5rzXsct36rLLfT
MF9J0xRDlmh4S3S1c81Zu8mi6cNQTJ/srDmMkZ67aG/x6jq/Gof+HUzWhwAuHp9aI4+ctErfnV+y
ghuLxUF4UjXDYHa4sazd22h+k9KH838/+//PrRcOtLU8llu7glxoNKyqm8KtFw+peuVMa7mTxuVG
ihavaIQO7oKzgn8fy9VVj6YGiPrUv/iktt05BszGRQUbwQjyWn9NUqgwfptAmKbJ4ORK0nhjIgvf
iwRnrc3+fHO1XOyeZm3CSsO7p0YXCGzflmCFvsad6VhlOjNtfHXBiuZOiSIcDJYkDw6RSrBP7Taw
7e7aJjp04as2yCzLo/F6VVaTo/fyFRrp7+hq3Mbq+m2dZwjGWWFvF5BlWennVtVbJ6nGd1Q2qUc7
01vN2DPl5C41a6FzoyB35wUDbWMiiWWwHNebfAOPh6S4Geud7fd+EqOvUwtKT5GdyJWGvdp755f8
ydPG1DRVt2FTKdscRI6xASIywcteBIsp/R2lH5t0dz7E6QeKTQxu22p1mkKbEI12bDUkbr5jvM7p
DRPqKOFR8wpe58kC6CYit5GJnmYTXkRR4y2K2K/zvvGqpPIHXfmm5OrdYJKQQrmZ5lE4lZloTAUf
TGT28zbL32j6nKrsUXEMln/BlaO42sZ+j7eY4l4Z4IiQe+2H84N8Miv7+cWENzPH69uzFivU8gDU
ONCN0lt0XKr79+cjnS5NbEJxmxvHQV4PzNmRXWtZQXZ0qh0jfD1tb9Fz/unLwyYeV0TKJNLDqAwO
CKyrDEKaj81X5SA56Ldm60j3W9ar0Dmd+Qpuxsm9uYnN8HQzk6YxgtgXoc25ITC1sGQPDwXOWkRO
Hd9WauwKhvYkbm7CcXfBdc01qYkwtD3AYPFRJkWjub+GEC7xYlB8BDtT9HVcRlapvZxTAzTwBIO5
guTb5tI+WzKPIOuko+jmcPLeufk6DmvgEhI3ZSmBQRQ2e9Vbr9IbGmgO1DH8Lozc+ZNgNE/HMy2T
2ATkyN/ahRIrVtoEuINqzw0JnlxXUO55EllwRR2kpxNq8yUeN5xtOsqsMf9JPPJP9YFOA/dLMG4w
G3Mdhq4CsdSo35tTkIMmns+ZIxhCBpS/Ha2WRWBRrlo4KzkgBeELWMpc6DNjx64JaNQrfEanY2CG
zs7Cv2a97+C4NOG3b+eDn36KtHVZJyaqEarM7Ya4V3Jklpi/H4ysp40PI+4vxEnA6JNtp4bm4ms3
/+kJ3fwAbkKb0UoTbQYhmfokAH0JPIYwdWHpCQiXd1Us2I6nnww38bg51eqxoSsB9aX3Rm8cXWTi
g7/4qqfuSrd3ouRxCWSvDLIlFC7eUzNNTE02bWLh3/xMy43ajikU+MLxY/2Pcoh3NCzdOMSd+i0N
8hB+bl76pvam3Tjg2n1+pk/yi1QFgs+GrNv4h4P4PG0TRalBRv3dgawPRah38gDbRuNAXVqoVJYR
XFlk9NoQHTkXM0HvfRP01ItblbcBuYVMlCWrIOUaBWWde3W7eFp7M/WGIxfXuQw5avQ3CAaUfQK/
b7cRuZWrd/Js9Qkod8rNKWklRpMWXS2Ew8qt3jlRjLhiLNgnkti2eedV7WenDsvtN3JpZZRFUibL
aNC6RI5NNKAcEEJXycxbGSdzYd4p1HbS9iI/w5fvMfisUTXhddBb+J4J9OVfHklneukj6TYeu5Zu
cptOLya4Z6Hl7CKi3fnZMmT255tokQ7TVCWF/aat9FnYSOnn1kofUG/HAWa8z8F+97oh2vVa+inJ
o0OvdFdD3X0R7ItTV+3tN3NAsywjoRTK2s9r9E/aQAWghraMX794oVmsZgWWzJ+TJtl2/u/tDhD9
NZReNslogUYQmqXt5JN1ZxC0KgyLbym6aAhFE8lBSzNrbVKqShVqb8fa0QMapmG24HhY/dJ7hce1
KB4HK4alj0oV4xCWcHtMr344Yb7S6VkUjQeVUYd0W2NAthJmlEhSKzlzoFgMBljt0f7DK2BTFJFD
lmn+sUyeI6pLiojFFXPcNY0Pkie6ULFPOLNYeCNchbZRZBvAmapRbtNUeVhacugW+yYxDVdr7MNQ
VSJTXMG+O+6Vze5fSjLGnYSYf74XziM1Fvqve6GX4CcsWyyJigvHTm23TzRPACOiGByMZCgBR9GA
z/lF/IC24AkR1M+bg7wjlUh/RDSGHJ7I3RLnzYygf/6cLMKu4wP+Zr5Gy5jzskGsbUmS6dSIS5In
yTMbTD7ylzexaDmX4JFJUmDeWYdiT3fLob4dwnFH3uZu3Tq5Sz3ixm7h949SiA7WUJS6MHg8tyM4
iBnXqiT1YkpBbH0sUSSvZj9ZPgrWzKnb6PYzOWRpKnmt2nTIQnaZYM4Y6q52zdvRNcPK174YAk6S
4EggHKxosTHlVQ29k366Spcby7qpzXujE7VSCtCL7/Aax7pV5gmngX5HAs2vQ3nPxC07pwxSIaFc
sO14o9sYbgVpbYO2lsfv9Op7qQm4hqfuQJsp4vu4DNKOk5ZYUpDsQYsL+yvW8yPmZwqmhpfANaK0
lbXSgONg/lkfcA0wRq/sJ1ho6/vzi06wsHlvW5V2hlkPuHisqYzLOihLTm2LsF00K1zysbQ97Spb
BnOobFAoWBv5MCuSZ8vFvR5lX4eu+ZSUBLLZfeOsat4FS6mHiTUFJC7+jSphPV20JLkEpcvUftC7
Y473m8qWWEJAFI3DjiLHtSdfkOVl1zLkmZTZRT+6x9TO9dkRpwuitcOhiL3Cwr4e2ygYabKTW03F
A156a6bSXamV4fnVI7jRGQqHIU0uWWOVYCQhwqahsdiYHVaJSF0ZToT+cCdWYTtZctlsQV49FzZN
nWSPgOKLLiUCTOblcue0h5xm8jNF/9Mrq2Cn8JK5UmlnZpbh4yT9nzm3QdBIPMGUCZYjr5ir6fDY
WFRc/C+5FIvSBN7fVjGm3lw1eJOwug24S790SwjrNqJv44DGnqtxISVmi62NBfrrs8NeFTvkW+Is
WbT4ecNbO4GCnv7S87Y10X5NOUOQlfOyud36I6WMyX4gtUMIdYbyLsv/rfo3kvHwl+uEw5FMt6K0
ZMUG9tKgBqAk5OGPlwaiCF8ahPuagxIbLsha0SJeZPvmdNXt20MWGF4y/MOoOmJBneNeOpPT8TK5
ChxTMpusUaAU1a7DVThN3g1W4pFcTZyVLteqkV1JCU0cRZ+vIGZbOhEa1VWtcycy3hNtcRpjcFad
emWBKmybuXWzeBHNw0gZ7/oEkteadCs1HXV6Y/6yEuUwkmR1sjLfNXp/pXfpLoMPkSOYOcE1gFfe
zbt2yWMFfcpPqfmP+/BrPFlEs8aL7pIkLY1hwazNQbyTLGfdSW7J2lotZ75NDkS75IloA/+8um68
4EHaepGw2gLyqwSATh8AUOVXZJVZrbHB3tw9LDIm+RQBLo2bTZfgk7gKHhTFPWz/MaQvERnIbSKq
RW0OeNd4AegnasTr6B7/AdAv0dj3b6Llcp7SeHiO9meS5qdzzZdQ7PDbhOoVSdWpDXRWuq+UwKu+
+2x3iyAlEQXhjoAhmVoFJjqArbTw1uQ6igIDDrHnt9hpKH75Ei6BrAa7G1twowI1LsJcqw+VIlle
W+vJVSGrs5MVqfK2nERkZ9G3cZlkMxc2KiRsLWpX3fqgkO9CPY7TCcjLl3Gor87zuqiTVYa1rlxT
KfXKVXPPD95/nJsvMTikj5rMsAljlDBRdGBGesjdJN3/qIwkh0lIST2dGPwMaXJ8i7zVIvD8UMn+
2c5koLlIYhxQdBGI25kEqMGz7Qu49Nj9wt4F0w/jCgKflINL9dCXGeS4YkcvYMGZ+210P6OjJu1n
X1cm//wwCxYLT8CXB7mgaBjCtYNAvutWiu/GTgTGomHlwGOGV5utM/C4KBc/fa69TCKHH+UE50Wo
wl5SIjz6mPyeHLzE4mGkUtam6NUqtD7nhTPCabeChppj3Up4fEneQGiX+azVoeFJjRvXjhX7661W
gGxi3SmB6jM9Y1FZVoTVPC1/stal6yMULp8tIWK/dH+yFYQ9oqLJ5dAmXhtjgWa/FCyGd5TJuWLx
YgJ2xBzmgeiJV4A8vLJfXGayUhYoreTmG61rnVGx/hJ4eDG/Us+Lsq/wiJxBnRkKhvZ1v2uhL4Ia
DkR3oYDl5bOoJisYRZ57v4B7kjYxFlLvmTYeQ1J4/KLpXn/LxKjknSxSMRYtEp5930xG3MkKuI5/
Xkg/SbhXlZ+7hCfcF1HejFA2Qi8MuKmp1n3qyqV1C3AEVDof0C14Y0cpelS1+0iz/o0mslvlZo+6
MUTO8jd22143SvOVRk3iT9T0VaXwukyjTgLKh3MeDkVp1W/UfGLFdqTjt8LEmrVZQ9TGl3yre6WJ
NdsdZwCEJ+mnQ5dbpYLbRaw0jknj69g6KO1eagK1sARVSQHU8zz9whrlQTle6cfH3tgP5pdW3/3l
8HEpj4wLRUxVPHv9f0C9xWGPbKTjDPGxLDTtL/2aH0hkOHBWCe0JZKIRApJ56SU5FCHtAssrFawV
0XhySRBMx3SZjqiMV/StFAH4s8RNrU+CERUkkbzEEh3HrkSOyMhLT6zFo02MCo2uYw2td5YKxhpa
0MA2NBCxeU5XCX/uXJ5RLlu0qCYmD9QsH1YNwpwDtOKjG30V1H4FqM7Tyae4Xo2O4BBpZAjxaXex
LmSyCHYaTyXX9SXPLFT9jxysclcEWXGTKNBQgKcb1MAip5U/dOgWLdw0FWw80ddx+U+elnbZr8ix
oAvmrGaQlangzBLNE5fz5EUz2DrFXR6skoy873XTMdAesnSJIJBgzdtcwtNoWZrkrNAJ1lOSgTbX
+ZYq+hoRCPM+8FXf1+3QY8AYiky3K2OtHViB7jWtDMJoHIqoVa7YmYXznh2F634rDCGmlIsGkAON
VVMX0zhuZ3KY9IcWtC2SfxFghiAF5i3fNYNOWhE/J9x/1jR49ntsmScbJZqU9ZqJN6i0/VeVc28i
H9AoJVh1ZzcQgnDVlUTVwJatEwgy0vfa9NBH7wUDxnbgfx7DCMDSs03NoZ1Ww15T4M9TNrQtF72m
Rnt+ySEe+z2beCmZ8imWL7wRiUaPA4exyOQGbWaQIsotZLOa24psbUUROFQokmKRVPCUQhLfJyC2
4z89wQyxGTg3Q1xioQMRnt6HJ3f0qjesx9B4sBwwvlFca0Wv0WcPC8wPBwnpWhYZWZEFJrHPHFOI
AsYyoyvbbrbu49r9qh2dunol+LsLFWJzCFG2mtJ2C95aLzG/OX8PQDSuymKBHF3PzJziWcng+bL4
F0oGP28CtsxThrp4XuvSxPHx57eO8/UjxOJAQ9NQzclZMSdN3AGU89JXLB9G54/ssM+WVzR5iAbz
uO0329qGIvskxTi3Lvg8NjFnNsTx8zexgFcQqbUwlD9I7dDGY6YfjBFCm4Cp/irdjplvvK7+LNjz
x96lTfyizec605DpQ7DyaCrkIiOlbhKkbla/scP1RsyvEeEmTycy7LovVOaP+5QYgHZ5/8QSedXL
nQBzeEKRNqIBPp8wxOyFRL9+ORWmO3FiIPw2DnOiuKjKmflEXPTiKvo2DmVoM1ZNluGhqtgjG2VK
CrlrFiEz3dGulx3VQgGAC45YnkdUS3GJ69Ixp2POQkQ5OgvpN8+mgGKGg2hAeUqREdMKHJznLPJ/
Ik67gTaeU9Q3YBykzD2PLU39et2NTrQzwwg569/W+CD1xCUsOA3LPGOGgBcgzdlsErG4ZKXtdL2Q
8otQTZBN8jwjOV9mqBUhVKTjETnbSdAxz2tBLiFALl5sbm56I5VzpKxzI93VaX7Vy4IL30mp1O1i
4LKVcS0rMzEwPczcU7P96PsMIRiv8upQ99FyD6MK9G42zbUoexANIAciptVOYzIjkR2nj+30YEKk
wBIky+y3nzl4FA45+nmpCyJBPTOqOsVTJcMnRh+sY/StJ+sXAWqI1h6XngxzkUcLe8v6369znjKU
WFWyWiC+s1QI5UfUsSVWN2dGPeL3WzYRZ0aRZwyNrZwtSpzHYd5nUILInbIFM1V6v9Dror4XjKJg
xfN8oTiJUNHO0Z8pU/2fiFZfU5OMzjjC/z2xsC4zW79r1OkenjG+oVXeQnPTqVvjoC7KGmS5WjmC
XySYV55etCpWoesUdM8Oyi+UOtB8fGc9EFdxjC/QIxVEUwSDzcZnk6vI0aDGK0Owi45W0bdxtyEq
STRVdCQp/zNixXOBzpZ5ctHU17RftGPt4jeOotAJVLSMOHDJJh0sB5MdBPGtWaJ/Of7rmeLAxYQ4
eC8xZ1PWpPGj9ZUpnDLvOhFdW3RFUDl00ctRX1tGJkIl67crwtGzTlRQFYXk6USlqldJOeBmyUQa
KNkb8B1Jw7q6WwLiyzsrvRO9Zwlmjef5jPqgg82HIU2b3FmmvQadmr/bXzy9p1fVEcZRl+4vwW7m
uT1lsuaF1R2frl7WCBOBYEKuQoV1wXHHG2dLc9IprIB71MBl74FDg8d5j6DevzP9et9+K3tXH7ws
90SH+UlBkk0awRtpQ5g/680WXuWlQZcPqQVDvCEf/7Fn6duay4tXERgTWGZ/B43exwlcAqfO2hvL
rt6V6gQ6WTEgv1fHfTx0b8waCibWYk+O2kmGay/GNZWXt2VvJa6OW7mjVcm9NpDvgrUhQEONS4Vm
My5o1mC2mBB2JB2bZKsr9aDo/iuEsEVrg4OoSOlUSlgCeRHSn1wboJlB68aS0dTORRungRSanMZo
xVj8wv5aBSX6Fur9Mh4GvDjBsBhdJq6ZCbusT+7pTWAOJklL6iJjN1Mrr3156JxWEyihsr/ht/xk
E4GDxsaiWlokWRx2xV01HfqifLuQNSTDLmrvYioquJ28Hf4MZ/Jl5KqHx+Wg6BVGkmnXpL4yudGO
dcirfnawPajtCNbl+SE0+Zpyo8w0thi96Fi/mHxIo6sO5AAC2y3X19YvTmZ9m89ky3eTiNSTYUim
1EmBpcFNQDbAl808SUZP/oiWcYhsurbXDNfK7kKrCBiIPS9Wk685SzExp4kpUj5dUH+0rL7meir6
TDb2m8/solVb7UUtwzWr7jMFk9em9H1jte2tNKsPVj+msWg+T+78zedxWVdd9OPQqadPhQszh000
HtWSru07NY7DdtkZYbpTlIDZacO2ePAWDzIWnVDkX7RgObDRp5TSRanQiGUSzyxix5yF/mGM4Pbf
u97ka8+11MTzmJdpSHXt21zDyC5RfUOa38udcphpHypGcZ0aQ+baMxE13Ig+kIOcypDzfqmxQGsb
4nhS7ySJ6Mn+dE3oZd74ArRdDL295ojBzgdWpSG3TwXE12wD9oPPjCZfgZ5kSKvoRoRt0O+tBKdd
DaFQfTf0qTPUtROTr0st7P4XjOJxBDZ7z5RnXK6UJEa+QgKmAkZBHNi33uzXHt5/xkfJK7+cx1LB
dudL0aqlTe1Ug+dKxsW1rMUtFrjLW1FY2yBNDUN4PpxwEjl4gTBbUeYVJlELh+FeD9rQQsOsHt/A
HCV3xM1E5495k686R11pKsnM7uq14qjZu84yHVRqnYbKnuDTBOcgX3JOxkYxyvgI0hseuXz37DVz
aZV0syM4WMnRf7ygkgP+XqgdSuWmRO+lcc02RU1v+pDu/vILudSlSodZJjpwmsnnsseK3rixPNRZ
csj6GTt5tw6fBCFPpqCbT+SAJa8kEtsWQv75ySdam3zRGdaBULGukVYYBRx0hrfzrqsPpsuEt6zV
+/tjna87F30GcolNpYAerJAx88ktuvBRdRbflwX7nC86o/lF72CigaLNKnfQOs11f7EjH1K2k5NA
9d2ZZyJKDE8WNF/mji8+50VaGy3klsPKmA8q7b/DRAScefIYwXzith4S6tCyeC9bw6Oyjl+IPl3r
JN1TUnoD0T+MtiRYTaIfxIEPHW3NbNgE6/1HrdwnbetUYuFLwZLla9RyojdNARHRC+qeglNK4VIZ
eASpfYu3BBj1xDuy63doqPWVnajycf5CYR6p1JtzCTdVtUyaCesUtnJLfqXNKIHb3xP4AA2pW8Xz
XrDrRd/FAY2ur6naRUoZVm07fIfcch/aapr7eUZDbRmpayjlsBvacfQy5WiE2dUutL0VKNjZV6s+
e/pYX43S5BelbTn2qgYyrB0dmPQRUfIqmm72LZvBGbMUgj0tFtUFZW5BgsCXucsoUeZ8xFWLOdOk
u3I9sEJ34ST58bV4vckOoyoQEThd9nrZxny5u4cj89JKGtygrtUaUsROvFN3eah/NlT0V3SMuuie
n3/Boc3XvPPVNFvLnrKwbJbHXKGTX6/94MAk55/IyhVRTiI4uPmCdiqB4JwsxzPm/+fg5ntmVTQW
kVV7TmV/lEpfS5ITbCaVu12li1W31owFao5hXr1Ju2tF9c04GPI35di6EIAMzk/fMRP/PXnWUVWx
dU2TedFFw5TtKWpA9H+q5MSH9RYCj6+pAp++Ob5E4gAQjlQdWLwgigzHE5RJAi5voD3/qjP09PHx
EoxLt/q6W6rKrEFlWxtXhS8zSTo0hIp4mv+x4V7icOi3LFNd2ypjMF03ezv48uOmkzlzKH6PPr3Z
XqJx+AUK4ESWETXmMTqk5dc1+kjpzVyLfFdOQ9fPMHx/1oAH2ynp8BpYDYmnyp2bdRc1YqgvIRhS
b5B4zVAzzUc8qFxSQBQsBr75SqeojQxlBz2/yI/axJHmf7t8FtwpRIPGkGvzRdVSRooy2GYQy7JL
wAiWSSugb58UKlY3o8Z+wzYGqSbFZEXepzNFHiBTnLtaimsZU9XEA+pBrGMk2Lcmh0lT0vSpyhQz
fhUHf907gGiqOJBI8VhL2x5fqHa9a3U7pXw7R9/OY55opjhsgEnNbE0Wlrc5B9NQOQX9fj6AcJ44
VEAxYkqHBqjQwpsJbZUw28m80lWq69GVA8WLh6tXPKGIJopDhwTVvrRnxvfMpSm/yrzZYeo+TN+q
CiXRwSGI9lsrVRtbs7liWVymfSxCWr6TqpPUJsoLnMPR7EhX2uFJHngNUxu+vzCOFTNET+caPzGK
76fS59iiJMEjB5tCsO7Sg+T2y3NnLCjy4n56wcrku6JiK01TM0fDFuiNbtddNfW/gpUpmjUOQRa1
WMyownGPpsUFJEb72Eb46rbF0z1pL4jFN0PRpO4taTgilmX72mHeM3v2tfbRoeFhW8SHaqdDUNpq
vCbUXXrXhKIMVbhyOEyxxqKec/b8vLxdg1IJiZcFkYedaO5Wn0IVR/TgfXzQPpNU8Q1T2mxUddag
2NMn9J9Snr9BtyBoJ1r4kPOV/CktiYtCuu7pmvHRapa9VBFvSCdI9ebK7EDgbwwomTqnsCYFVsBD
4sDN4GNTtjNsgrNdb5q7qeo+ttq6Xxf5Y0bpbmxSN4U7yGOTFm+VMs89K5GcYUHvXpFbwxWh+pd6
snyqaaljaiBHlXgb1IdmceqJCp61hGPOIaC6SvVsGUCHJ6GGdEEnkOTrN6zAliw78W49XTR52awc
+LXzXLa5jYVWx+8KOXaHpXRk2GXIJTy5itw5v4/YkjkzwXzDFrGMtZQY+NHyYMeVb9LB0duP0rQ7
H+c/6lw/P4vv2IJNTWXPx7X71PYr3zy3/TLmuHgUhfEYfmwyjCyS6ziacDZm+3Q3Sm4errezS5nh
3qta8wWIxytJK6td5gXDB3snu6bD7lf3sWNAv/N1+YVoYfLuHfAVKdWRqY1pN7ILcuxy5MfGx9Y0
mcmii8BAlAzwvVyguo1RzxREihYMbsYch8oCGNye4T0zuMUNhcKgHOZNSp1oujpmqD7MnuKi/Du+
sfbMNZbu8WzGuqtbdS9YrIIDk3+n11SZynl0TEBIoNvPpBtpfibdUE1IuhGuVw5ncnPUJXs9rh/t
wLjjPzSmXiU/Izg9+YavQgWez+x6fmnV+fyI/uZMUquLbFfZ82pdPazWwoPq+dNqRde0UBX8PIz+
5ksSrc3aaRVIdcaseb2+n5SHKrvply91tAowVDB3hO8G0+iKql+KuWPvBX9MHBcNJfvzDbIVRVLH
I+uxZSeSBNO57cZXXiEddP6MILye9FDNfTWC0hTocu2hW7qobIjsPCamiGMhCsRd0MhkJaRnKt1W
37mz0cMwaXAjmTpR8VGww89vACJzsGJ2VmRJ0MWDTj1esRZ4gmi9l0ISVfXt5CB+CjnpPPty4yV8
h1gz69VEKuRulSkv6B3W3UEzDkppukVOfOagavX9vi3Lh1alt8pU+DGZ3y2p/a6s2sfEWtbw/BCc
v6CS357u27btEhnqmamqOVk0uIoUOZpxcz6K4JgifL/YsujxkrI2agXHFE5G2YsPz0PNfJH24qE+
Ppn9d05D+Df7NJHqSc6gjTG59fvZi8Gz64P0vgHjYnTS63of7dPr9loLci/1RM8Wx5aD36JriqYR
tD7IFs8TSrUoydYa7c5Tt2Z+pulv7BmvAGZsvlGGod8NldGh4cqwnaTsF2fq0vu+6792gz27lWyX
D9Uy+W2q+9BfOCjJcNtYqCB0hv3Y2e3bcY0faWv5nZZCoDgeL4Kyza9n+2YDLiRP5gI5//8SyjbR
OChDNStO65FkoIm0pZOmo73rxw5ewvD8M6SrMjPeK1EBc3JZb71Gg1+gVjdOZg2lQ0pdlOqfxITN
r+GulNFgy/3Ann1/1IeQ2fzI38SMoJMJ4yYaB3YS1cuOMlYqOzTu5uc2cmZmVQevkZU8eSBu4nGI
F0WpkWoKyg4vblYz5KAhMrCzvAImPnuZ8ZDEnQsnfbTUTWT2yzZrCm0S4xNj4KgvFL3XYA1y7DrE
E4s7OpqzWOHkyV4ee5cmkJvoXGJFp1iXVCZcA4Lgd5hYuuv/sfZly5HjyLJfRDMuAAG+ksxkZkoq
qaSSanmh1dbc951ffx1SV4uCOEmVzp2HNhvTTEcCRAQCER7uzaccD2e666fd4NLoart3uZ4RLIxK
j7iymOIkE5Kx3UlkrYKNbOe7NewNvZPt2UbCuh7ynu3JIQ8irZnKW+RzrLbcIfpSBqU9jYAcz5MT
DDOoJj9XZmwDELyj7INeIxF6oMWDz059eW1lD+Drs/GjoSy/ccusj7gufplUH9c54wat8cvegaVY
7YoubEnBqwnnrq8EGEbU4o3L+UK472NbZhvmvWVLCl2phoLDGCHM+1f5kWAccroWT73aybcfXhuB
6fGNtHCgipSaSYXOpNFCGwIFlhjihTuh1KDtqPl5+wrdiBUygImGEAYPRUKrqqdkDHa+3nlqfeqj
b2q020gQtjZSiks0NAmBhOATm4ZIngW1rngzv2FkdsuWFInGMCGN/oT5JKe/s7Wayy7OohR2kqgn
qY7r3Gu0k9mgf13ldu3fBcFmVXBrUXKsCRLoBAoY5Ds8bOMkymgl1ax8UmSoBza7+oioJigOkvGL
0EnQXeVYaKn9fzseMlyJ5Kme96KPInx6ArXLdCOwZm+ZqF69kS1A8zWqWibABy/vqaTTrGG20MpT
2rR3amocx2IcnfMLWjNCoN3ILWJoGpGBOoFWDHkXKxBaGfc1K+08/nHegDhYcv5JNEItZmDMi8rc
6UkdDnQ2tcALyouh+YDBQTuYa1utrufpcpq3ELLidL0yp3ODaDrhoHORNm0adNKWE0itQoZDboW2
2TNHB9cyNQ8seiC+h9lW9/wSV687QijVNU1jkI2TjYKDomwNEngKwNSoJtjTh2ncta55YgcNIjZx
+6HcCUGUaNzfbyOrVx9zxGKqqTKdMENm751Z1JackcJL4x7ESSdSKPZQQuB3Slzskd1Eptv7O6X6
pysA8gb+Jxtv2XgVj9NW+Fw7T1RViWWaFqdM/tzdPM0diSkE844gLtNccG551lXd3UB/ZqdhYsxO
oDu+Ma+89nakKhbOoW6pvxK4DJQJkc8wA6+ll1NxZWBg2fx4/huvrsvguqUTPJbxn5fOWNA0I0bD
IqCxrljInTwtNjxxVfUQZwhDkIYKuR4iBU7GrIa0gptKlBbj0jbQTuhsXdlFB4EQZt9KurcytyGP
2nxbpEuPpXXZcyjllgotLAM6l9IDIM+qwqwDMBxCoeiexwX0eaPwh94FieuPLL9MQGNkF4ZZ3g1W
n7skDprLUil2zMBZp3GQn/QUNIgROi+FUe1VC70oxbhoO3ITN2C5rKrwYLDhjuTDnd6w6yZv0g+x
2n1Aj+bDOBtePg7f1CC67yd9lyrlgzGh6lINO+hQ3TV5feUb5FSCnc+dq0x154xqxzqqFYdo5Wce
KD/NTKWeno+mbVn5vZX4iuMPauQOhh/aWdxgR8dulw0QA46y5CZU85+p1h9TFhyz0b/xs+ZrEdan
bFa/dp35gw7+R5NUOrxIRSVCJ1dd33t6kV+FU3/bdMMtMNXXvhrfZOpwNVTU1Q0MrrH2pmri4xQo
V4ERFk7eN/kxnTXfKWYwmdRhdJjzkrlKGOkHs8+pnZt9ZVdZeARE6So0wX0W5N1mHWDVR/B/5qgC
aITJtwkzIz9pgf7cp4Ih7thjbhlEli6zp13jVKia+4ODvQTewQfEhv2GiBNeYcx7SzdkLRmhzKI6
wcXGNbk5EUDpXavqIfWGQfnd0OLIoji3KcEjoRp+n3fc1eC4NCY8e5GtoloxViFTGbgMUt0NHXB3
XCBLAGJw6pzBTQ8gur/YIrFd3e3FCiVn4mQax8nUUKMMbWuwbCDdbB/g/o21reU/FEEJIomI/lQO
/GOvMx/8RyJkDDsIeRvueMgPohdITQTaLfLaVVDb0p74PYu9TKBxk/YZ7OGYsX0e65atFHHzWRlG
3LgDWGbrQj/xaI7BcJoGHiVsc8RavGRexanFmqWXTquGHJyZOMiqkde7wpzqHSn0215Fsmf0qWkr
eX09lNAxMCrFY5V5pwbaZaWz4baZ+JYMwdrThHLTwCcghFjyfWdBAZBFPnak0aq7JFfvzLC5rmvF
S/3Kzvzu58YXX72Hnu3J6Fcr12but7AX8MS8ZX6dnzAHONqkSDuPq9lwDKIa1JrBGO2CoMQQbW1l
Nq1Z6uqVorlqNV93hO/P/6z1XwVtZMQW/ENuUOXRTMqgLdie9tY3og8/Axa5502sdt6giKubzLJ0
6FhLLjVUcWPpSixy/acRy4JfZr8xJ7Sf3HRXm44WnDZ7jKsOtjAqvQZDXMdhnfGnx8yTbsCTwvtb
5q1Wd3FhTMoxotCaw7aGsSIpcC3E3XWab5Hrr9kwVYMyammG+UreuIurODSMAQsKLwrtjqTVe2KS
ia4MYdzUDFAYv4wRWZF1o1+pT+ieoXdF7tLhmwFHBwmxbcK5NQ80DbRMDKYSgz1W/BcxiY95VfRh
l3tFZdhmPdlB+tMqHoYx3Pna7vwhfOSjkIPP0pjY3oUxC++LgUwaLpPY7FwK4UjuFx8jzgN3NkEp
kaOXAC7BGMXj/KDo5EGPp32YUYebih2T6RqzXy5Jx0OGKnNep/uZC+SIUdppXV350Yg0uS1jO81L
F0mK7xaU5840KrENcpe7Lml6Oxu479AxipHL6BQkwbWrW2DkCUDQrnB1Y8mrMX+5ZOl7KkE6zWmo
RZgCpG6n3NbKYDe+5WbTd9DpOvN8nWuxg2fX4fxer57UxXeVXA9I2TTKlUTZ+9l0ijQoq5LaPW/i
kbTr9edE3LZMxtEdkR5uhpX1Bah7xdj26CY/4qPuqN9NpEMAaGD+vblE5jhD371w49MWO8L6uX22
Ld2lfRHpURrB29UTye5YfO0rH6v5QTM3IMF07QVuGs+GpAuzaOJGjUYTvL0YMj6Vel05eafkthZn
yOJnN/VDJKcjvUis9lMFOlxbwJ5SNf6mDv5PbSyOc4aHdEqi72r3PatxFMfQzo30Y9xmN1ZcImnE
/yhsoOQdFjnSSGMMnXAsIndmPWT9/OlY8mgXBuNpGNLrguWlrfGJ2BYj3kTDXRtUP/W6sdy2pYk9
9yy0m3IK7Vq1vgxT95Oq48cimh8o9HUD4n9AIHAnXnFbQVGBNj51NH3O3WhIS1sxyfWAJ7rTmdZn
JRt/WgbbinHrR/N5R6UoEKKdllmYztgPzXc25/YUb7WehVOdO5iS08UsssjYIUMGRUbvhpaBhkis
HkL0nc67wNZSJC+rJwzudDkS1SypLllT/Jia/vN5E+sHnVkGRfkH94L0rh0wJNzMhOFhSeHE1d5q
Q7Cc0x2rkKKEWwnZap6Au+CPOSqJoGQlYaPlw9yS2BHzvDvTLQQxAn+DypbYpdef69mmFEeiwh86
dSC4VcfPRmDYddM7Q2Y4Ad0aMl935mdLUtSw/DQ10cHg+yg7+P23zDoEkW9D7A4vSOt+NJWN8/F4
fb5aGtFwsZo6RPMeqxaLG2+2UpTTRJjqAYn/ruKxKKDxjH9OjvqeHLpD6G8E/k2TYg8WJlWrM4xG
xxecPrZuewSjutseyJ1pz49suVtJ3qoLEFQLkRNZKN9Jvpa0CW2TGIRwMf8+d4M9BVtVsVUPWFiQ
nIy309DrYkFpSI+5pR8Axv8akCy2SZi40HJ1znvc6iFZ2BO/Z7GBTeb7k8ECvs+Y+iXEkvo8PgR9
mNu+n/4qJmhWcqvYSvxWY9bCqvTZ4qDGGI0yYlDDnD4ppPnsF0rlNCr0PyEg+GWOk8JuS3rqBnob
p8qw5zn1sDHHGsL3rDZz22jicXd+K1Y9c/GjpOADdUlNpwO23g/oTZeK2tR4F7Xd3lLJVnNg4yDJ
4NVoKJIwbo3Q4zP9ltH4SuuD92gRoQP157DKuFV/aP1g7uGOhfaxPvoP6HiAsba07vR9edpGXG8t
SQo3nZXErYUexd5vLmfUJPutkY61ev1yPXJyEkLTgDKICigkuzLBOqSTxpui8AsrUKpR2q+K1e7D
bnMfxb/3dVh73kex8IWLZBWrizzCuRiY07r1MUXKvhP82Lqy1/fz1TYLw0YQkOGqhV6SUq/a3EvM
i0kBbb4aeqo17zWT78rW2jj3j2PPrxZINbyWUWQx8GJ+ucA5VmKtUVEmqXlrHNRB+xYZMRLcsXYJ
Sz+0ZtN7uar2dtf4qp36WnRisQr23NKAqpM/EIeo9WVWhU4SpUc9Ty4mq/GMbj5ylGB1Ft+aQX8z
Z2AFiOf6qorSy6Tt3fPeuwpcMCnVNNFc0dGlermKODNZPVUmfyQi5b8bhx+V36ldHTMMIG6DYMRx
fr1pHAaJRVFQkwIn+D7KtmQDbp6ox5ivURxMaiW2aVRHdcbdN5OTqYGuqqian7xvfbtO0oumhsLz
xrpX/Q71QXRtTJTk5bZcRdRWCxP0AiA3DLwROC0sx/DKC9FrDKDyESb2VoV4PXEyKdHxVtBxZCRX
VNI5SJAJsr2hO9xj+yixAeqa4l2zBxVYBbu1k3oh2fjGq9cG03WLGoi5mlxBS6KIWnGoAz9KLlTl
rocWtumd387V3Xw2IRfNcOl1ASqwfJ8PIcSG90zrNhaxflAZZQaqKugFyBWwMVT8wggZf+wL/+00
8yqKxVxYk67aBLMp2FDrydrfyVmu1s8RRRBJDIOrXK67KcHc+llUxXgja3vNbe9Qqs9QPWfe+PCI
zwIjz9ZZXE1guI5CFZrSli5Po2dN04Q+4xHoqbpf6CSNdtume73jqkN58ZMpEBSjGt/o8W1ZFcdo
cSeAY7VoIkh5eYlennj+uQ5+6clNHQw2K9Irhqbq+WO5XlpZLFO4xsJgVvHQGMHH8MgWGl2ARPbS
OPlvGWFcdTJUpzUNm0kMQwpsZpiDu0JtMq82nCbFiNj0ofHMr4kTD2D8QuVct4tr5ch+baxwNaAi
q+aGxoF8ZVJMMRU06iPlX8L7v4Wir+USaIOI+0LguGRsb5Rb3IwLE7X4Kv6hjumV1dVHqkJfI+0P
Slh9on7ygyr+941Frm3uwu7jZ158xiEwkoAxgSkGcHb2NQzE6+11lKqXmPB1yya5rGnroaDhxPn8
I2rr39A+OIxJfhi18tRp4wZbxerv0UxgRlSq4ptLm+4rUTDkmQLVqyi3m/AIbILdhxsz06ubrRtA
WuDzWqb8qm9THrcgOPOx2RGoajrAh6mtoetS97d5fDODV64PnPM7veag7Nmm/LRP06it5h46Ommq
3kL26EeaDPsMp8vqquupQMOrTzaujtW9XJiU0ihtQnm1KXq+N4fO6dhNYgS49LdQK1sLE260OEEE
KnAsKrCZWciQcqheAgCrPTSzZ+bqzmRjYDeJfji/m6vvbBDZ6KCiwLNXlZ/2ZhgTdUBfGO9sSJFz
aEelLj+CA1DoWlfZvvW2pOvX1/lsUfx9sU6MSxYYjYFF4FWu8p47Wld4JbvUU9VJmus2+nJ+ietf
79melD5izIfrnBYgoOXKfRDWrjEikwrmrZ1cd4b/7Mg4tLYwIPaLVxtIyHr272iYHzii6mQ5U3Oq
d8F9DxKtdFclzhtItNbCLKz/+ZJysl+0/TwPgf+cD6B67T1hTbfJMlazj6U16bT6RM0V6H2+ByK5
tbFSKGu6gKTZ3KL6tK+P+b4/dPvqqB82Wd3WiCOXS5Ku/rlEXa3LYrAkN+whneoHo2+veKe4RVrv
Ir2+ZwP/DK3Y63puHs6f0a0lijO88ImS+IRkWQwJzb7E5HZv8/QGc2GUX0fWRUm/aMMmW+2qWxgC
MmARahpyxWsKG4w+a4Bo9vteOdE9Roidn0WzM+2d6gKlUDp3W0W21dcFW9iUamCDMlgINkhZpWnN
Z72dN0D916o/DCkGwS0IXjMqHR9mRVNUiblCwSIzFLsyAW3t7A6eEEXNMDa6n3c0OtSbBMcin5If
kkvD0nkqyoYGnYaHJDE/qLpmW6Y3BBcV/RHU5Hj+/KyKdTADrwHOLeTLsvPHdaOWQw5IKhCcx45c
CBAsyLExwVCaruYJUYLa84vt17LYvdeLfDYsxYGaTvU06+QPxZGQOfQPqa05AuO+XYtafWMtFyp9
zWqoFW1qOH9cKLvwjxoodOqdvucXkQtUE4jMN7Z2Na4C8KcRbjL8Q/juwjc5TWnn/9Fr+tv0dfVy
fDYmlw8NK+8S1oHHadA5OPn2Rfc1Tr+C/96pfMOm5RYb0fp+ok3PgcEiXJeLDMTvxphbCl8bMNqc
UHj8t706LQtrUgDQZzWYRx1xDtPTV8hKWcPcNDxWHbOtpHUsLb6Y/fhXnf9O+xr/tYQgbbEvQDab
9EDsVblD9Q9z8Q1VqNa/THsVxeyrINPseQLVjGbs3/Xtn3dHejLRqCimqcfvfeK0exZEetMowKov
LXZHyowCDrwuj4KnKdr/xueNR14HKDlsx8bVO2BhUDraHSQCFSNJIk+p2i9WqF/6Td+5qWJtPEbW
Az/VDDQ4cNKA4HnpQ6M1ZWbY4pRpd/p8FETljUMmL9hNvwSUptQx8LTVW1+N+wubUvjlgB72Y4gu
GcYZAf3+HoKuuDUBGyqmjRAh/k2vTvXCknR790NDFH1E5oVp+X3s3wydsWFhPU1fmJAcp4Kg+GCK
Sbli17ttci/U1aGMt2+S+8DJMDO6pRnxqMtwblHS0e8LpVUgUw+FqSq/aAtufBq57mXpeK9M+o+R
N4VdlMqnyDJPvDbdJuaeGjbOUIMFd4KkQ0qKvcXK35oV/sqC5Bt6/fdKNtzXk+oSo30Al+WnqZpP
ca3fZm2d23PTXRe5VtlqCTht1WeOUikfqZglz31noPGubfMPZk73XaFEl3h7ujpNPhpKg9dYF9wa
ITm0Rh242qRfQ3S93J0PButfGUhVga4HCb3kLD1TIpI2GMUwMLrQ8Aet3urrrPo//c+CXKIcQgT/
pISeHRAR4JiaDxXKr8zpd4ZjiYIvot/WZMZqjrIwKT1t1dmYRy5MWvUXcN34yl1BKhcyd26o3/2f
9k8ms6RaqDZVBroFCHLbZa45E3pJ502s32aL5YgdXtzV4ZDVUy3krwTDylidBDGYeifgzKnp4hVk
uecNbpwJmb/SrzRm5AUm6OO8sBPjdtBuzxtYrbwyBng08J7oAsmzLFkTQGxBQx1H94adql4bl9rB
P7Z2t+c/Z+Nk7vPTcKi23rKr60I2gDEKamBoXIpopM6o3pQostTugD5AfRO7YizW0zy8bK+jzTRy
1Z6lU7BkMgLlDMm39ICHaTXCXuAHH3mTX6jp/cZGrjqXhe4+0Cccww1SPNPqmJEKIiigqBDcXP9S
VPzF5brmWqjrWnh4aBjmkPNGiNIkNG/BkgmJJmC/AwCk9loFquf868S/nl+d+B5ysF7YktPGDIlD
kFKQMJphubeqBGDfX+2w1U9cvYWWZqRo0eAWyAMfS/pDPPVI8/EXe7h6/LmBtg32kADBLzl0UrQY
WlYrVBihTmN+Vx86rz8YnvEPuVQ81Y5c/8NWSrx2Fpcmxd8XMWTwDT0qK5j0DRAtR4PLuLURp1Y/
l3iKqlDcUbncKFIiJcv51Ph7rud2FUZOF3xr+n/On4nVdSyMSNlkz5VSCxWsw1I+qXhJ+O/aKLw4
gbNiDNMH0mkI/Rm3ddv6+7mZPipG+FFL0a8/v4i19xAgxKIViX6sYUqBAQJBfc9Yj0t33MfgbMv6
f9LsMjU/xsnkYKpmI/CtfphnczI5q9KaU+9TmOsAMAQpTx6HTpv+OL+m1Q+zMCLtGw3IDDgKjExT
avvVp3TciAar1QAOjQeucUzfIV95eYSjpPWrHqqT+zC/bpuPXXEq1B2nna0k38j8sQYXXhNcasmX
aLoy+F1GH5Tpapz5e4754mdInmSBwy00c1RedP2Lzu7xPFPKLYIMsVmvIt/ChviiC28dzWoKzRrI
7/QSCeguObFbAriuCv2hLUaD1YC+MCXl4M0Y1W02YVeB8bGT+nfAikujeSDD7LDx0zvOyMKWdFu1
mRlNcw1bnYli4PwlqTahWqvHkHEwlQH1bGLu++XO5W2TFBpDvXqAGj1xGrsarjAt17hoDUL1qzyp
BzZ9Ob+sVf96til3ybTMKpMiFs8Y5ZKxDAIrKXDkbCNobFmRHGxEvSafKA29cBg+gRDhIfE7D53J
jYnT1WwTNUUTWBF0HAGNfLmDjcIDiGEheX4Xx5a+ctLRBkdtD4glNNwkp+5GdQiBkkLY8PLjeJwP
pgsstSsQGcrm82/1xb60JvluOcxqP8XIpP9D0EI/QEiLtXZkXet7/+KdbH5Lo9KGov2VzflYC5iB
cm06w1UATVmn+Nm4cWNnbggRNb1+x2FZ2pS8Wg18BifAs6TSr1LzW5Hd++Q9hFNLG5I31yAGyg0d
mylcrSg8oU/DnG4AlMe3+4/TwWf78462FquWFqXLP5s6YPMVDb1+jV1Dme4fPwSBES1R2FcN/SPR
xo1AvOZzS4NSNGE5Rnp5RDKPBylGcKrspimtX1BU2dT3Wov4/1nCmLmE7R7TwddKoT76Dp2JLVtS
JMHIbkAjDg+HnLJgRf6XHxQAcvCDbgFeHl/A8l2GGUIL/AEW2ngyhUATDHhyDRZaMhU98ijmTliU
OwV4NPQPQc5llqOb5/phVEhnJ+3MdhmzPldxbDhhWt4XSnEKA6I6ZtwVtqpO5q6sjXsrBmudprWJ
QwNoxGYquY918zadld0YYgBjDuoHlVW7xswvoPtjU2U+Un0G9VyhD+75Y7n6glguUQS5xXUda6Vf
aoK3rwF1Rnsj2gXt6aldUL6F4m71Ay62VAqaUcA60xQSAk/0O9FpunlictluTaylqsulSRGznSMM
7nMDEPL2api+cPYhIx/bqnYL/i1Tti7Stdt7aU0KlbS3mprwCpwdZXhRVyGI9/mvMKyvSwuDp4RN
rlaF+Jhjf40qxYMxDKGtNcMVVFN2HekxLDPsy9w8pVCss/PK91Q9dkwrAT8ThixBvMTyXcKS+4oo
qqsmFgbuzdlOmulkzOzBKozCmbrhqjR8OzO7byHIBD5lSnzQGmgAWEN6GSvVRTcwzJNYxUU6+rFt
NUZrs4S6A4Zafgdd/I8BfkG7NqbOjcDY7I5hfJ2ytPKCgJ7msDHtPjA+gIX0ok7awjt/FFcD1uJk
SHEfHUG/DYTcAysDB7NFMxKtOjyeNyKi3jmPlgK/0s6FMupABf1pXcOdvdbbykzXM5HFYqRwPxqV
WswhFiOI1MZj5bHdeNKQxb0pN9jaOinWA/4CZZMQTgVg6h6cMQLiwHYgxNBR0N/Xtn8Rntp4Z07/
x+ghY39oo0wgS8Ayw8sXAjUmGOrQIIk2GVu3NpZKF0Bizdz0RwHr8kpQavlHHJKd5QlJ3Nx5D2HA
wqepFBwVrlTEIlhekv4GKNAGW4/dp8NGwrO+JhAKGYaYAX7FMUIKtfXDfAIX5WzeZhzshai9OD3P
9v3Mjr3Wn8bcvEjK4brJ6k9pOt3qJdtIiVaDJedgHcLAOOiNpPAVD9PI9BikTbF11auRmNgDI8Wh
hJhMXIZ2ZW2kJ/9j0c8GJXdnvhKjrgiJuT9EioUjSL2MN5F6rQbnxeoktydmX6Rp0uQeB62dNZjH
YlZ+nY8s6wsCNhxgaWwiikgvb9JaVTmI4HFYsvgEKUcXCGDgGdL4BOnm4xvIy8VN+SqUPduTS4wt
ylXmLMQNXvjef7W/N7wGVnJYpHfiuQMgJ0P17+UK57kHzjeiArgVkh1Rqn7XFklzws3x0y/LS8MI
PoZq+Lmos98ExJUXoI1v7mYaFA4xrK8kxaRo1Bv/ZGFTOHEEOdHzn+ARVCFtyYsfKEVd0qO+V4yP
MqXDTrucKhsJWHkQ8gf9TgFp3LA3HAxg7S13Cuy4slPqbtJxrDwL8SMwHgDOHhMEr1KGk3XItc15
eucjdCX0UxW8RBStCEwkyGQjapeBFchEE4ya//Ktj60j4n9vJ9VxdCpBgL59+tbNghYB54ABwiwd
haKfQGgRUCzSV670ZP5Q8XQ/5PpGB27Fb7G6ZzPSB4X8a6HEPodgeMTtxI/sxtidPzNbFiSvzdKa
FmmhgqUq/EGTqzqa7PMG1oB5APzqzBT8PuwVRUanJlPJoAW2N+LuLu3Qdwij6LayRh9RdaycpEwv
9T69n4bupsqR+yhqt3XDrGTdL36DFGz7QU1xLs2nM0mh5/nEn/gWvoyVi+SFKelkDJOlZRWtocHD
QWGtgYtAu4LMrZ2zm0KofXTNxgbrWxalQ5INSpFnWQXSEYgTg/Wy1e3+CPokL3Mizz/wT8nv6l5Q
yA5Qfq8xP5PbFsgcdvUH9OkhERhfbRXiV7LMF3sgHaoiHpUuqsrcU+t922gOD24prT3d+MlAklXN
jW360XsOso6yIfCD6GHI0xmtmudRmjfQ2Y2Q8HVgjo43nFF8uVfRFTkKQ1gDgY5c+qf+NCudeHuX
jAIyYMUuHZtj3INGTJ9QZzDNdx1bA9BqdByYhnHnlxdO2c8kijKA6P6etXI1DixMSYco1AmoPIBv
2EOBwIHK3WU15FvlyZUbm4JI7r/lSMeC83nq8OzHxPFxdNF3BOzGAaMXsQULoZBYKvwNpdvVVWGy
hKOtBViR3HcwdMWMeIULMZwsvPQ41LEg1rX1mbasiL8vagjBgAlKDFAoqKYJwY/GSdkpASc/Ctd/
hNo4+3Q+rK5eQIuVib8vbLbEn+NaEJoq475H4TrWrqbsy3kb66Ebnkx1DK8QPOdeGsnTKu1q0TH+
+/O3lj6Cluc/W3IlPtQqEhQ5DkccXSJ50d2n+UJde7C8+AKlf/f84kTIf+XNC3vSQ4prcVN1IUq7
Sv9Frwe7AzOkysUE1yZWajUjWpgSf198q3QE2QQ4RtDpT+xuR/eNp0C42h324YH9fsMbcdXPFvbE
35f2ahCbDDF7gsCKQby/hMCuBsaFPen8kyYK4rhFW605gWhoR+ZdddGCyo9AvySGYqGr+CAaHXuI
fm19xcdjce4zSn4ADrTJmDvY7vV/QuQX9Fvd6k5snfLkpJuGPeqNvdkMexTlPmdVyieUIjJoVSCn
ad1hNx8Fqqf5Wne2eT/ug0O5T93EU6JD405u65jtReC2sW28B130wmek+6EPEks1ByS/7+r3rCZR
i88sXRHDFJEO0gKidMk9iNrn+3ifXhinrLlKN4mI1oAWWBvYUzlgzkiwpbVRNfgXQK5dDzviMPBI
xS78prdbu8dEQKJe8vRTtAkJ/h9B79mwtEwtNPRUF+/Yv6/QCsd4fYyeTUnxVR210RyFsBhlDCnR
fmizjSi31nlfbqMs3KgoKlMCINA8ete7DfCS/KIH8aiHNFwkhBnBJP2uDyDzgXGS4/kQ+z9i+n/r
k5msig511YYDjSa28v/H/PGLpUphNoinEvMj+HB9Zz/VxpTGFhKco7eNVP4fxwTVDoKLUWCBXgbZ
nM41OAf+XZvg0dc+iDn4t4gpr9719NmUFG0wVwgknqognk9fCbsPxn1BNspR67fhswnJ2zAt+m/n
uO4xp1HehjR2BvNWI1ssVatrMQXKCMkLJvzku4kbQ8i0LPKiAKK55ucg/N6FPzbO3eoFuDAiXUi6
JjyrzQTfs7E3negEYeMAccO0CYofZrxZKF1rI6Hl/rws6TQks9axMY0CT/V6XIG52+EC2M1ecSxc
DNy8YbpudY0YX2ameIq8otJoWJ3NgEvk3nwn7pzcFXS5LZg17clFZ3q3SaG/ZVByr0kb6i5V8MzU
gVcc3UeRoo486kEVbled3hCKV+MjB7jgEfn5ivmCqFXBqiAtPONPcQd0+ppdeJHT+2DNqk9vyCjE
Ol4FZYAkQceGMvArlou8rqKp6AxxeIIDHnqCKrJxZ4psDeKSbrcF416PkguDkntHPKSdafgowbia
OK14FWm3yZHs1YNyWRzO+8aao0PHyjSh/s5ATS4dVEVri7wZQIVuQDJIj76M6vdIq+143KQ8W0sX
lpakZQWV1nBQF/wZVflTc3nLoMrWoqToFRujH8UNLtDW+M2sj7qV2pl+k2e35/du7TiCmImjWIs7
jckg5AgrqvIkKr2yOoCw38lDvnVdrzkZCqcoMhiooAMV/PJWMdLYT0mL4ulz8jHtd4FjHg6TvZU8
r61naUzKdJjfQGlh0nNvNH9N+mBn7Xtm1cCRQzXUSCmQR/IDXGmtuZlbknvhpRAhyHZPDe+nLsdW
u2p1PQtj4u+Ld4/PLTRVTJ55FYapQfqFsNF+P38ExJbIwWG5Hsl9mkxjWUwsZU/Sz7iR3Tpt9kb0
WacHP64PtN7CJ4jvfc6e5ES6NUOMPYC9rgCGsGknx+z7f9oOj4x2KO3WqLbC0ZZF6QSCudvsjRko
3ZIktpUdqP8jIj/9qnCp8vP8Zq7lAsvNlM5f2ZPWCAhqTiN0monW3yZxvJvncKvutBaJlnakNLs3
05Houngjoth0sqCVrjhd5ar79C2iuuvWULGjuqESdEBenkI9sEYSCrj2EHG3HDL0wtRpZ4EEsfHL
fRbsSVXbABrYHUDkyZfzW7qaiOhQJP5jXbqlo2E2eiPFk5BcCVGtRylm7goNUWByhBTzFkho9fpa
WhQhbeF1aaaQxDeQdotHqEjyC2d4xLS8pbq+aU3y8bbP0jCLkXa/58m77gvPmyl5e6DEURNCrHCf
QR8hIHbIDHsoEMwgxFeHDxufbi3xWG6k5Ou1nqEEK2aF2goKCCD9vRIH9VGtffTe8OFW75rFUZE8
Pa7mrmvEQ/dFA1W9Fkz97wYv4DZ43k/J4f0yUHhhgbVJlE1EdUhhduJAGgMQlPCbsVGvX/cFXVdR
vMRr49UQz6RZcTSpqMu2AaaG+sv++on7Imgwnl2DmHCz97nq+88W5SJmXk1gMu9RsH8HFHD18y1s
SXGmsUyohvgYsWlSV5AFap8ScAUmjkbAHyD4ZN+VLiwMSqGlJ1No0RzpAkbD7K4IHGJuldJXb/CF
CSmWqDwsdX3G/tHqY2X9k/lfN3xsa9Ok8DEEGPguhbjZfE3yixpCxIJdBk2I/9hltoogq015jAv9
OYWPha5FfIxYF6C1SdEQPLRuTB0TLHaVZzCh6bhHYx466PsOZHYm8n3mDm/gy1wPmoufIEWWvFHj
3P9/rF1Hc9w4t/1FrGImuGVodreCJSvZ2rBsj81Mgjn8+nfQnrEoiNPQ6HuLqVm4SrcB3oQbzrGB
z8mmsbK9srf85MC6gYzcVbSou5kirYRxbkWeo37GNwREun1DtNsxsV29JJ+aeif1T6MhwjfdTCJW
4jifUhZ9r2UqfLRlPwNKGXQ85XAr0JpNz7ySwSUQJk3TakGVO5CPyb7AijDqvVgfgZ/UZWxxNoMv
ECjwIzx0D3xoFhdKxlq6oz9dlrtpP7i9N1++Y1SPjSe/STFVQ8fkjkXQY+S+V2+W1mDaI4JcHjq2
8r2YPk3qTVJrO0u+jpXWN4pxV5HFFZxx+1IJm5w2AODIF9BiIB9pBTXSwATp8eJp++xBd6QrjCNi
fcAW4M3/Syx4kcaZwFJ0Y11pKJecvKV5TL8AO9LvHNrAW74rFojOx91rJSnA4jRxvjn0w9OEvX4I
90owgOPH04VoQdtm93JAzg4mTE3IeYI3MLjBsW0JKFfte5E8krF2QEmzo4qoksdu7K3evAjkjAKr
+PMwdQMqCfJjoVzY+qWdPpl0f15N2F85I4WfsMzklA5gbUWZq9N9ecyfwfj8BI0MqDr7cSZ9VrPp
miqVyAK3A8Wf0/FzltiH7NREwVwMoHhbnxzJt3zH6muGDiTe99SdtkPfi0AuuhoGNSQ5w/xCr5Se
1OmunIqCn0AjeeAhNaoJEEfhVRilBICMF4bJI/1gjLv6ZXwEzotz/uOJrM7gwm1hdymdS6wIRfnP
zgOc2gVQnXxZ/slANkByFYgwNkS3yGXsZdG1ZdXACmi5izD51Woiyh+RBM6R5G1XU5lgvqfKpUej
UIK+RS9FcG+iL8X5joIYk0RBz/ahV85mK4PBGP/tiU9cHasMJa10dTYk2NhoevTw+9kRKR6Q4d7z
PhZZFuc3SlRpZEBg4X1suaxyDUg6NMR9MGKOOx0tMEzrid6oAldlshC4OuCSyqTvkqgMKFEdbHQ5
CEk70/imz98FH247G/lzlfw44qxnSkEAfBXoV/Zd/6iDJYB2zqQdbDC3xHv1Qi2cOfwIXIGx+oIm
06f1AVXgjaRs5nIxbLekeDVmIsYW0R2yz7oWgdkNU6ow8ZgY2YOs0E9YG9rFM30Cg4qoYLOZkmiq
BjoolFsx+PRaFoiFInOSYMXpmPo5aF7a7NEAjktiPGr9N6O8LLV7KkIe2fx0mD8HxjaYd3S+WdnF
LemiBBuuynJtUNsBrrZvTMKe/ab/WInhPlW/5ACWMuE/coy5DAdlb1sOlZ0f2i3L7+Q9lfZCN8zc
xZsgupLJ3SdRAVAWysiRDRW48mGg3NMfJkA0coBoSK5pnuZkT5Yn8seb8xn4kH9ulY8A7ZCQEAi4
QWvXrVda2aURhUGYA2WznHc4RBDHxsWgIL+0ltwTmONmHr2SzoWDrptjVRnCMjBaffJTdQb3XGqE
CHQR6PEu+6qL9+GkjrljqvHXKmuSg5oPC/5Zbe8Ev2UzQVv9Fi5wqHVpVMAXKgMsX85eH9lfizK7
jWvNl8rRU6LF62oNY5o2pnwHTJVQzXb6NLylCfB2iPHQZarllwV9yiIa7zB7LHrfiwyACzrzqHVE
WjBsrCW1VyXAWdoRuRN9EqZr53SRy1MHEADYQ4EpSj2I9um0a1EvjIIe5MRY1FGu4qOiC+pAoovn
As6Yjmo7pgboIiywLOe2elmX8XUrVdFuWsLer8EWZo2mCBd4c4Jlpfr8gkIqVwqGc04nhcmhToMH
B76vCj5TtgmFElvjRuCrDASKtpk8vCgaz8bRL7FKykGNAj0ASe9yZDZuP7ACMFbakEin/nmBm9NQ
64NyLk0y0haOE7myjua3bDqYuPpuXGa31sXQOZKr3teJU993WIci/qLu5rvMw8DJ0/lfIfCr/NpB
gopDb6a45kKjrk2PIAB2z0vYtg+WJaE7h/Ywp0eq1MtxVAF7b+7Sr3oxB4pZ9k4R94K36makBTnG
33L4J087AMC6WzA9PScAydTBlKOY0+cxXQBSkAhjw/a9vUjjyoiglEgtu4fVs925KEVRtgLNHMhJ
WUWM7FrwmXk0EeDvbQekF6GcxthqIgPBEl1o5vGw54664vMw9wfMXnkggnTOf7jtBHd1o1z8m406
nuoIVOjYmv4nwUUDqDqQvXiAYNvdvJyNXfgqUdIqiYSlCkWkFGeTgjqeHZ1c1aXiSMrdYoriikAt
DfbvK3l2CfrVko2lT7swIBrcTIy2wd9uJnSyyAO5/a6uBW5GpDdcOIusjIbajJWyzKj3qgbQ3kR9
FHy3TUvQVRPbm8CMwfbI66MpjVol6YSUrM3Tzi/a4TqKO1/Lx+tMj+9aDJoHlTEedLX/XLctohX9
psv0Wm+yR31Q3Ba84bUyH87/qs37Xv0oLoDNFS2mKmdPTOVSWS6k5ImIqEG2FXYlg3M18jjPSjlY
pzX/fxT21Ah6z5r/5pd8EcYXG6fJmiY7w4GaokKtqHK78tv5KxOdh0cDzmWbLKDaCneD7YRBH2SB
8rn1khvjHatZ29Xu1Xk459JrKVHMFkWHj7QIBdqgcq5F0VMzzFOYgZ7kexD4BHNZXusG3QlukP2d
N2nT6lCcV4kGG6tZJbxK5zFwHKBAmVfEAyx+hpVRBo2jiiDchB+NcyxprrbmGMoMc2/2wbyD7lL5
XQukoNjJoqbBCZrm3Pk4d1LJ1JKpgWkhjLXNLpa1QsAxluCurYbQN1o5ckKwhfhlqgMLIKvubBpe
Gqnh2fZ4O5bxfVHl931dYw9C+kSocQXaKAzidRT8iv2YeemgNU6exjdGT3aNbfvgehdFGdEn4rzV
nM3TbE2ztEtitwd1a+GrxJ/21gPbBk9nVxxqlM1Ys9IKzhflC5jksFaH/PloBiDHeii/MChxxulx
ah5PeFRq7lTciDcg/8XMQKqsYSUW0F6cerDRRH2YGcU6+v7/lYVaKI3Tj7LJCmOQmAfZabtOcfJd
nnzSHdDE+PK+Hx9FCikUyH3NSqmnDsuRiD1+W3ig2YLT6kzw0khBE+iVJxxe2nyr6i/3yX1LWpcg
ybEwGQuu2rtB8YrcKRUvTZzhq/qsYl7PbcgBeDZqUF6aR8Vb9rZLZ4fuIzzf1TsNZhLUHvkUf9Yd
JNz6HVKABC0+UKt9kr+0B0AEBMIfvemVXn4zF6cSG0v6dYiU2Bh6tq2f3mRSbwgC7rYjMrADoAPa
CkzuXIpaYrgME0nIcNhQHIOhXa6tIHKr3TtoJFhweOOHsCymyDazK36LfZSGKbFVzJdMu9mvIyf3
wNLzE40peL289z72WHuRxz8SidEtWcOgK/6BAUBJ/vI3IowY1XT7SbqSxt3kjC3YqmePpDlg43jK
PZtx1fZS6BJPCxS/b3xx9XXblFZSuYCcaXIaFkzq/1tAXgnjAnLfSNOsdhRQluQmnaxDb+H9a6v+
R+LxSgwXj8NsAQBbd+KQeoX88f7hGeZweM3UMJYMEFxQV4EjA/++yvPlelDBYo83E4NbQxHhgf6Y
duibeswzwdbfXT1nf/icYM71KorUF5qN/LDrgiZDtoEBS/xPcKFbhrc+Hudva6XHA66IYrSD+8ds
X19ZfnQgP5AhepEndCnsN/NnIox1jKHkWVhFeH2ZqUazcCRsf/9Ajgo2i/qgDVKvucgvQN40OKo3
7+XPWik45YZY4JIScGKAONJW+RqzTaaxtTX02kv5V4k9jsKswK40e1IsAg7dSOpfSeJsTl/qMlVV
jBiOiX5ou4AoZSD4YluHAQCCjqgEwFWs3ry+w94mUV8OyA8H1PIGcLU9Rhgt6S70++hg3U4AnMDh
7oigdCCSyv59ZQZh33YEmE1ZUFU3NaJjZ/6V97kzVZ0jON+GwZnr83EaSWOriGWpzbE6ZQbJZ+xt
PgP+j4FpyDvDLW9B8H7Eju9RNDG0YW+AcwcWrwnyH9A2cnJTWyqlcUhAs94d8cy1q8YpY1Eb8/R2
5iwAUgBfAWA3RTVPQXd1j4oxl2oMFtUTgyJ5ZC043bHxX3g/uFZg7migf65aV1hw2j7ei2BOM1u9
GIemByyZETsd472pL2z1pomdBtBb+8ZffFtdnPFOvE+yZRPoKYGIHLDeUFxOdTAuVwJ1DJscPdHc
Pvxu241AZzbPtpLAfTpJJxHoYFA7L5qdxWAOlBh7farAi2x/u5UYLlXs26ohhTVlSBXnX+HslgCC
Cuiu+mkXDiz+SwjeGczyHJvPH8v7zfUtcjlf34x5mbdmFgy77nKB46yusOOLXcLus7ifv9U/MjU4
aYxSM2TTU26xUlNsHcnNXBrGCalSuWwfun1xyPf5rSgT2/x0K0FcRKiB+YM6SJsFi6K4QCwPVP1z
SkQwmJveC9Q2OmwPYZzvD2eK2i2NrOHycnTD8vxTDiZIaY4Obag8CfzXxoMCNFovsjhDU+ylmxQp
NneGM/rRRfYMaEOMHGp++SyiKmPf/I0zwTYfeHqRE73ZKpqmAWyBso08BE0dlo+wZOQd2rB1fUjN
iQ20MAU4XZx9oSuXhHUR5pDTgRcwei6x8Za6iTuCWCrbRXfW19BNLxdhBZl9ff6Aa8GcxYXYVYja
NgIVGzBWgAwGvFQdSCvO5LLnYP5TEfSstuBuTYzjMTAyBmrCZwqW2o0jkN7MnfnQ+hm91naY7t11
zkgRWTu3idzIE7nmja8IykVEBGRGWD7iA3oYJ9EUKpgi0NTYASnhsbTB3bXkl0WYuGqs3wM8w6FU
xDi74ZaBL4qdNPASgI7nzY6QZKWaxXhM0qHYy9JzSjNPYAobxv1KBPsJKy+iRq1ujyNSlRaOEpfa
Bxj69cprZQb8YeMmXtI56neRS9kaf3ollv2sldhBjYuork9ilV2tBYwrUMfkE6mcpkEGIV4LFd0l
F+I6fSQFjVD7zEZQg0aV/MnIDGFmxDwHZw2vzsWZYYFXf59Vp3PNflX5rKDb75pvkWtP7wA9ZH/u
nDjO+KiCka5Yhzh1WRxLA3fdfCVb1B/AQl5VnX9eWbZ0RZVRvWIMD2+BB/JQ0o1CRbUBYNrBpCmz
ow6l5tYa/XFe0Na72ALBmaoyLgGQyXMhR8FrzpYLVPlT+7th30jEcgzbChqjALoBdRZyR4hymea2
myias2BW4vwP2PCmyDDhYCzsNG7sMwIAhbRyQnZdmnp1k/7oLHXZ96CjInoY7v43YZxmJkWpEcoA
awzzM1pFAVY2drEWuV0ju+clbdnA+licdgJXbxk0a0AJx/jZ97VT5wKsyO0Pt7o4XiHLARh3jf6b
IjvbL5in1wI2T0/hSkQ1ts2vRMDwxEDdgWTE5VupEldynYRxIHWtZ40Peic7Wuak4uXTLbPGw0Ox
oI1YcdW46lC/yGYVVWD+/ghcw9ZXWgvjspOmJF1taDGwRdPQCUnmDrVA47bCGSwYrUPZBD4Cj9eV
2HUxNxk43rBH/iux/XYuXYV8WZbsoopKJ5v6K30SDdFsJayYDvgjlWfsyJZ5IoM0ofPYdk7a30rG
l7B9tIxbKflJjB9hHjlE/Xxe4zcVUsO+ocHQSxWwbL8ONH3VlksNVNOdmfvmsb+d9k11tMDtC5yh
xROHmc2rfZHHHzKKJWlYFGxUjkUKKBjD18djlxduLT2a0RDowHJNVOHo0EZCa61OaXH6SctFr+fS
YoTCJPgHTsR6F//TqW/Hx5y1LE499SlfwOFtgEIPu0GXxTV2dtzQA/X1oVR9AALsrEDzZycH8Lq6
l5/SC5ZFiDAXNm1kdc1cgOiqzgIarkzQb1Pdor4dctkTaA77E2/PaavghcLS+RtiLZA0N3nE3PLv
jTW2vTnfMCATFB3eg3++FV1Bn2RbDB0U2yacpup0zKdeNRkpde+PhccG0SngDoJIcqyA7KLithjc
dzwdNp0bQChRVbFBDs+XTyOTkkq1Jyy7f0EG70fHJZh3k48JG6ybiDLpbYNcSeOiHfyK3mYaWGGZ
qiYXbOv996UOAYNcPP8RN9UEeOYo5Vjaxrhs01lzPKDqMEeNU81XGGIVSNiKQYwKDdCKWOW3+B2h
nKZNn5bIibS5Ps4y9cDGhlnEzC/ByH7+MJtJ81oWF1wVu0zMKmeMs2w+XMMMsNMGIVYvUkRav//0
DsC0Ld0wDAVdH/DLmUB4e+0+MSKqUqlHMR84I71vO8YlNm991TxoRzZwIXoXbDoXE/U9dLMQ0VHN
fy3PrqgmGwww8LSYegXMcoDRH7Q7erD28c52yZ3i4oEHmvbTukkIJmEh9/WW0qx/A2eIZj8XGR7T
VdClz43ybZr257+j4O/zwFNjU+pEwqztLmdoHDFYWiaRpmy9C0wQaQMfBmtrbyCYJIzJTFaKZc5/
ulnq8++OSHYkXj6fOiIlfU/ffctrriXz5t3pRQksaNTaXMtJ9nl51e1rLBmj6nGCG85dNftI0mmC
UVtHMUABGhSnpHoz0yZp0Cn8SBdtK8CvhbGvu3q5mks/yGWCNigIz36YOfFSXbui4bxXy+yCWPGn
WA3dKtYFo4/6liXCR6MyZqFI+6bsYZsq8JwHoKJHZjWBHWyuPaVtvyWjBlRtDNiUAExM+qvOGhen
IvRuMJULda6eekbgauaFFxrFNZ41V3ob30mjvlMwPV1S447S3Ke6gjWyxo/7EHO4Vf4VmfCu7+hV
SKurIppuElvZjwNx+wKTJ5mm7ks7vUy04oI24y6die6Bo96VSuspAmJFPY5AyCjL7+cNZzODXN8B
u6PV3YNli8qNlmLbdCgdy9wnOlx6+COfZ2dpCodKAUliNKn+Oi93y8evxXL6JWmRnQ0SUMZQ9FFo
uicgpK9kx6KDwDNspQBrQZxutWk7lQoeuYGiUaCoAxjRvl4sUVDcDMFrMexnrK5RNhOKxUc4WQwC
ye4KTuF9Y59CeZxPiACCafZLBzQTzGGeJlRObdnOnz2WI3aia9wMlOsDcu/cvkM4S3qkbgy/4S2B
qHjcaNPfroyTC1sS7eYO1SWsrjTjo44ZsFwanMFEi5bcxuN0OK+PIjXhApTeDJFUVuiVziZ16IxN
aPWSgmfovJSt4RKWp/3jcfgBDDwba9pMLIiw5bfsImLwW4NnBwxzQwQQITgTP5qfTFMqywyzQS4f
Q+KZypOQIl5gxjbnPYqFKGGnymVg2/UhUxuKmoGe+3ohV/u0VUVRaTMSrq6P8xqDORddjhwHTeBo
nxmYl2GpmlbeTNg3APbd3o4FpXHRHXLuI5YiGkUyclFQ9DhpdAUNaWzRBqboFjnn0ZWh0iU0xi0u
iivP36bRPkjYXu1ErIei03Beo6qlpDUZAWGeXC7NsR7vaCLwt0IV5xxFVZd1QyQMAGC/k5GGMViZ
wQT+0XwQ4yr/i1vSddTyDRvomJzd1pE8zFICgwJPE8ADwA/t5V68s9wlfHofTd92Pq3/EclvTGR9
GA/ZlLMdBhT0nfa5qJ2icNTH9jn1sgf4jwEdIs21TLf42ripPz+FsjM+iXZQ/iUGvPyQNxUKVc9i
irHzPzFA8glkM0QWxABdNOUhumyeoacPZSLFA4Ic26T92/x+kOm6B8M4s75UhIWxmRiurpqz9zqU
075lCVojGZ1nkH6XkOWmjrDnWqQHAO5cGWq0GwkNPuKngeRDWDnPVvhx06UAo7XZojn1Gxnvv+Ct
bo3JgahCgfqakIfNaC51mBoT1UHok+EMnuTELskeh4vo8vfiFrUwk9QbV6KMZdPnvEjlI5Gq511E
euwO11OPiEfaxS37OXOmKf6Bt/nn8xd6erPzlR+wccgqMWWUf/itb0zv9j2VOhiNinbmCBa2vrxU
K6CVqrExO5XU1X5NzdG1O/OJhIdJ1Z60rnY7Sw+MvPbVqbssO7wCyuJoxtj/GCrq9mQ5hqaSYsuy
v+ya5Absfn45Fq2j9m3sGiG9nJth38qKp5LmIRzo6GgGxngmMIYFWD586AkxnMzQh92iFr6uaoE+
AsxCtfCIrC/ASOiEyvJojCVeB8DOqQv9IozsX9iY98BsljhFY7htle6GnH6VjOGKJvKhW4xnuQoP
GUq/eVLIbk7my4EmLmjgTCdpe9kJJelYSNJ91cySMxdyt29NejBneMt09BsLpeMhuo9JcaiypcG4
kfnLzPKdzbhH8+xw/ttsoTYzppQ/34ZTwN7GhnxIMFvdRB5opTHwr+OVeaK8x54828yK3NpCgiIq
TZyGi95oBWvuyagl2+gCvFb9MsNgkDSA8lGbrMxX81l2url8gkHkHg3TyEmW8TIJNdeOxsTLs+Fz
BcgrZ8rV26gNe7eb9GcF3EdOqdKDliRBHtsY8JmUSwsQLI6hfkmU3mlQVK2dZmpA7qi6bT7dFvb8
REPzatSir0NUV24vo+ksz/OhpUMQTuOAPc1fZVf8VJT6rz7MnzUpuqOt8Q2r4g9j2WnOTM2/1CGb
AR5V7husLrjnv8qmfa6uhks80GGI6rRGZqWl9ohSdzU4BhjovUHS7kq9rQXiNjMDTHvK8HgKwigX
te3ZyCtdKrGOS+PHrMHce/1Dij6WwK3EcEk9eu7dUOa9tKsWYAhrQWPusz53oynos9QZpR8yeSZa
kCi5n4AcOc9Fus40itc4C5qugj0ObuzN1IFaaKWMZwWCN4p9X5S9YTmt5GjB7Kmo+Tn99yT0zn/J
ratdi+SSLoOmlrXIdRkUi3XdlVagU+kTWKR+nhezmXit5XCfMNGNsTMnLMau9g7fvca1mXxgGpOB
QeuAcuIbhUoG5Bg9l9NT1Foum08xwPLHXXto78QoXwpzQfxnW0k7VTFWz+uOLJlW5hoAlfzZRzUm
Vh2s0Vu7KrDdiFVPMESoAl4Mzadj9CUVzmuxuzsnn0u1bHnUmixCmlmN9JuCfIMU8kWDtK5bwBZg
FccPfMv1ebl3lWb1+pLoIF78/4H2Ayf5ny/Jl/riEi/SuY/A3nQVJS6Di1MijBopx+wvwKN4aDr5
50/HXNe5y+RcGwHOdjpj3jUAp5nbt58G9UPv7PWZmE2u9EWyp2kK65atHuhH43LZ/4OXLwnRULYc
9VoUb94GeGWXGZ+qNySHlF+xv+KgouVU9iLQCpERcAZOzAkNZhuHMsqrQr1szadJX5xyCTqC6mUV
hP1f5z+UyMhPG2Gra+zNKpWWGGeTTlB+EYiGevQiG4dB+Yki3mYivL5JLg+RarUC0DX6vK2fxFco
IzAoLPCcZH4I4HfkdQDUl2rnHTsjAvPml1IBVxeOYYJz6ldsv0KbbtIdaGxaD2AYJ2pVbAWEP9/H
KbMVkVan5veN0L4MwS18OnUY6H6KyPsEdnQ8IDs0E4rxUXTPosNyvqWPzWGeI7UAL5DqW1Xv5SBF
ToY7GxwJiSGgetiMSuvjseOvVKhLWuCAqfCcH/BkWy37tSzOsYCgs8hgJGlQlbEzNKaTgh2IzMlB
J0e8d7DTfVUsqUP0i6wWgo9vwAit3ehp53R1UF1L+rYHWEPQzAlw/9TSqRLymEWgBtJU1eutMujU
4jkFgx5+Qa57AlsV6RHnh2rW+Ysi6LAMrl5zcZnV2NCjpEVmg6V8cdtZdN2cP4rKsjZbxsT05pEs
5slhSnkmZpxoCVe3m2hVHjfL37jP2arF/VHc51ffkvNEmaQsRinjLj/S/doasD/1n2RLwQoI1gtf
mwhG3OfYGFkNa8/25PSH/EvOdq78vzuL2UH20FkUv7+2MlOChSTkwhrYWHh6BqVUx3Bsccy5uDCW
C9JiHF2ErrXpbUyZWLaCLUe0MV8frrebXFMIDocG+280KPU5P8i+dRED17TDiws7ru863bbrWYnm
kgBjGJfaoKeWhYkJHnBCfC4OjUPfQx6ymQWsZHHWp2qtZssNZPVHepjiYFYOuX3MwEn8myM4s49t
d0hMvwl6UcV10zZWsnk7NOnQKGEUBWyAAVukmU8OJlZBHHVX7fpQvEa66epWArlXHAiJ26IlKMtl
5bWUW7totF3NepJJ68qhchWFxDfAPkzo/Xkfx3TljRNYyeXMkpIoLUq0ggKrbwM5Lu6iOHw6L0Kg
rjo7+srPzDYW6/W8B34yoEzjpg/SUHKG4TMeO14e2iKnLVAbHr4/kVOrKm1aBdgMDDQv/5TcmgcJ
eO971t1n6bd1kLCiLbjIzUouKnH/WOWpM746Zltmk6p0Las5AvwLJJKoOWLR0punC80tAJhU5F/+
t4vlnFyVxJmcaFIRRJl2lVUooKh/aeX3yQSlvC6iZxWZvs40aXW+kAIxvK9hjngL68caGMon8k9G
wvCOJoRAL/lpr4FKaAgoYRGEz6NffKZ3VuSADUx3hl+KX+1QqAT/QuGcv9B/+Ybw3UCe0cFHzb1J
pygJy57xtS56Nzi5Tfagz/SUpdnJ+eQthY49xS7dt80QIAbcdXblpV3mY1xU5IC2z//yS7iM0sAE
O4jsEhCfnsAZUm9x2ATaVyTP7wrPInmcLqVG0+sWc+zgLhjBDkUK1CwZwrLlasaFHTA8etGjdTNW
gor3n9vmNKrMyqLJarSjl6pFeqd7+li7ZFi881912yG8iOFiVqNac4QN4iKQ08UfAQgJgC6PmPdj
LyCr3S6prA7ERSyrA4aMvACmkcG0sw1vIF+yVW88uH6jcuWO0uxYI6ux3HdQ2olOykWttk47qRv1
NKC5Kx+7S7pLnoe9UjjdccE8GgOQ6O/FTfHtN+3q3FzwIosStaqOyRPWNWNNrN2fyYnm+I7JCZHi
cEFLs7sQrUu2gZo8jBa2iC/nXJBkbQYtQMRpso2VJpWvxRVRCwouGcMg2mIeC9m3h9pHPSAtbxpt
d14/N0/zIoovxE26lk6picYYcMZ1AH0Un5pRROYlksE5Nh0ckpNpT9IOhE7Ar/0F7kMvJ6Lt+G0D
WB2F81qWNmrjYCEitYDPib+WXlr7bGkxvqsfJPwPkwUEKGrYuLOlX/NeNJ2xrYg2Bq5BOsr2Hzgv
pmSaZOQU/pv1kTXAzrrkUP3QkbV1wbgI61RbTtNm4DkYvLZkLLi+DonmZAOrnWE6zeVj2h8m9DDO
q8Zm0F1J4BvjXRR2NKbgv2b7kjE5hgfrYURrWH0XbcGW/1hL47QkTTI7LeIBCKfmwY69MR32U34h
kVjgkQX3xje9KyIVbb2AiCSxRqezdljGcAUXJzoKpwlSXo8dGcAg2frKrvBTL0Lvt3Bqb3F9xU88
pNI+cAqXrwK5TMP5fHp9hezoqyyJ6ClDbYAxf+iZu1UuwMi/oZsW5vHRNHgtTVP6vtElRO3/Xgna
8iA2Q4nSTTynwQL0WlRWRmCrlJsqmOhtMn3t7Z9ZH4u+2ubtqaoF4B5dlrFf8FpII5fmmGnIobvq
a1RTb5pvorb0liUAV7pbJIMzSwe0dTE4mhp35z/dplJCpMnWGsBYzC5g9eWydMjMpWWIIsNxyPBS
AZ/4eQmbOrmSwP59JSHJwLBXUvQfQzMKpJC6sXHdtX/Z/eG8nK3YhcmHPyfhtEJSCZVzFYMB0VQ4
inypkbtWBrzjfZaJ9qpFl8ZF/qJLJyx2wswS9V4bHmtTcJRNrVsdhfOwKo1juxrQ6LPb5lFKiys5
AcI20QXRfrNetLoyjX+jVmkGSGOgk/2uF013v7F57J2yP02iv7tetKkTmsnapkAMwV7Na53Qwqma
SxMHjPBqs9Lcx7avL00PWlz757ViMziC9/IfUfwZyxGdgG4G3wfr01pYepSLb2jj++HFjFJmpnwT
yGMu9o0rXMnjjLmsMjsEFvdpfheTRvGJMCwEwdXUXi6QKn5QqJvquBLJ5R9oxGdDATjjQMPuBViy
L6zI02en/2XcYfAPKYHHmH9m6qi6b97hSWBQt1AdtqxB3VLMKrypvqvfw65oZfFxSkgjtbBE4LbP
LmPJMX/ju1p+DEQMPARiMM0LH1bCT81FoaUDXVBUA1Ywjnw2Ov33QiFakUHpTz0qIP/jt+acZwle
LkPG9Pmu7h615CHJfmV66Y1Y2ByT3JEzPCrj1jXMwNALt8glZxrSp/O/QfTtOe9qLZluoGEQBUPf
PqXJ8DkPySLIx0QyOM9qFVK0qCNGHSq98Ft7wXaCKOUTieA8aoO1M1JEOIahpU7W3sRK5J2/qM0q
x9oRcD4H89LorGjAA8vSO8YEDexHFFXT9I7NJTVHcVFcpI98CdCK03pqeyTKOeDqOgyv7k3AU7cH
8PBgeU8xBIF2MwC+mB1fArSl2O6SCmanhd90UjthlPgjNpUjI3IM4Rj/ZtKyksY5na5Plr7osTHL
EAAZjmbmhnsrCJ33MCVvXyXwzoArBZZhrLu9dinLVPYY6sN2v5k5ZqAAPC5MPUZwPXs0ct6xd8kU
7o0bXwnk7GpOqTGmk4KcbMeURXfV+Z7NiJhOYQcKKyq4tjeULsEDWfjC2tZVlt4S3WDYkZwH1dVh
TJIQ5gBM1g4wtsV/x2TdjFsrkcxCV0570cs8Kzokgi1WP9n3RNt6j8oNggSWP4VHPHXCuQsmGODE
tAjQINCr4szRVCiGNluDYcAuwAMEBuwPdtHwkaA/AhY4VjQs3Dar4LyLAHbD46zl83mBoWVWogLJ
ITDMT2n4REthWXXDQl5J4DKB0Sxa4E0h6WWPohkMs5OzXP/uG30MAfSVNM4eZ1vJFMwQsd7N7AMQ
X9lnQetl2HHfFZ7tmSK4ii2on1cCOR0NI2NqmwkC6+LiNOsAfwqUOes++b3AH75jgX/LDxAD8HIG
kRnUHP9cscETPBLG3kaKm/yAZIKC3sx2h+zufTP6QoGcH1hazHTbYN88wVdOh2VvetNx9CKQYEhC
DsqtwZVXx+MiLVDDMknNUf+PI3UntdO+74HkasiN2+e1/F2ry25vJrUPVCDtkoZ95fR9KH3PDT2/
jof5Kl36+BCNmMAVBM8tXV7fOxefW8tS5pyhy/CL4fo+9kUT5VumaWg6Otg2wco9/x7WZ3OJGwmv
gzZfNKclCWCB5VkQLbf2FclaCmcw+tRhEkDHl63b9mCiDi+rDUgdfqr6dws8fd1VJgdaEQlGr0Rn
46ymVZukHwlYTqpkdrT4NiT35z8VU0jer66PxX7Ayo/L42RkUQGzHLvdJN9Wk4zi4+w0VDCPI5LD
RWRTBmb4AoBzbFuaTonHRYkx6qnAEGMuqiCI7oyzQS1ZwnSgUL5oGC76UnloTFHhW3QazvDastOp
CbC0gLQgSxyvw+ZeIsN1Q4nozc28/rnvw1nSMBiV0Wqo4v/34tWmi17rAhdjG9S0DDNFjGMkhqw5
26CVRw7a1Qn/je2DmOo3IZTMpq94MV8eZYUhuDYdgVSrOc54hiUXdSC5eXp8HyyBQDt4eBV9Bo32
UmCpPUo1wx2oBng0jPaftyqREM5ZlNSUsqSB2WKzuqCLU8utQMLGoxnuyLJMw0bKh4zotd3GiTmQ
WoUEq7s1lq9pc9lNXz5yiD8i+JSHxHEz6wzboMufS526Ci0Fh9i+phcJXMoTheNcyzUk2OHsJPQ+
LD+wuLm+Jo37EInZK8oiw3ywYsKWxwp6omH8G0j6XeM/okNxLtvSZsMYZlDflTHGHKMmMOxKEBUE
H5+fbbIGKW8x2oTJ/kl1rcZyZPoptAWNWtE5OI9tGyOg2hr4OKOZXcCyeEOSCr7/drr0osUa56on
JVVHW4aM17jwGt4Q4meS6ECc07ayOSoUDXFBK68s61oaBsFxRAI4X53F8ZTXC5QtSZv/I+3LmiTF
sax/EWYgQMCrWHwN99i3FywyIhOEEDtI8Ou/41U9U1FePun1zTx0t1l1VsrRcpdz7z2H0XxnXVVB
uuwN/nowZ6++11kxLC32649Ri2B3ai/BqIWZ/BvFnGuncw5I0Ew3IGhHznWiAy0KdJdj7FmELij0
Gzu5nuRdudbniERK/bFZbLycppE/F59yxkuDRzK9WkK5uBJ6V0Ak5EFq4Txh7nM3oFwCyT41zpyo
0csIrTMO0keSFGv0P4Pm6n+jtYHC0F+Lnq7Pt1ArV7kJ5gk4upO4h//zVHY1fpas3chkvF52vYTW
/225s/fbOd6Ulx6GuwfqG6smMDHW5MgmXgqw4Aiv6JJ08t8CihG1xfJR+RjXQN4f6q66dUq/Tmq3
zTbKyMTRH3mWNF56xcBcjje+bcjZ6y8pFaZHIcr2Z/vOn/RRPmRkTs07I1v/3p2dXt8/Iqlvq50/
/5LKdp4DFHyMl6Z4LgI2DbtyvA38h+EaKd/F+PDbWmeWIC15m9clol1rme5dXsWe8o5pjuwzmP8X
deK/nfOZTcBwV+fzAjZB8v5OOh7HxGFeRL/fvCsfdG4KCIV0ZBPAFMxO8DosPsYzoZvEqjbY+901
acDTSZyfFIU8LbGc0wt1z04qQ167lCXUpsxWMAcTjpb5Qawu9skH6EGvfNklo/19sbOj8jsxVUaa
56t+BoNT0zCj8K74hUvW5vsSZyekOYZN1SmutnVijQ+uteXetTzhFFX8Zs/OxZ9VmleICE9RNBpw
0cxdflprtB5GtvcH+HCdte9S1wU6Of/7lM7T7qXLcnOsqhwtpOlKQgIqXbtbwnik2DXTeen2fV/q
LIqbbdMI7D6H55bVodCHYcQs7uCx2r3KtnXlOtCz6K2uU98b6w64JronYzuxwKD5H5Gpk7ao7wLA
uDaOfAm//dtWnn7UN89QgLmWzK3EVoLjhoQWkiBgY/bNFHcsn/+FVPi1rzzzDWPhmXmqcXZg8kek
cuDTlQj12gJnpr3qqtIH8XC26krUEQuHZf615OGSIOvfdu3MTLTaXVrlpWCQ2rqJZzLIlNov2Zbe
LiszUXsZzX/2FB+DPY+G0NnxhF6R6bjkU9AIARlaMBISsBz//eAEIXOgMmC2VtGClVQcmqbHbEGX
tNpZ1aSJh3m8AqRc3NlvS57tLDhd/VoSuBYHpQa01paGE//e1l+MHL5/1dnG+l06KAqvtTIshv/W
kZfY6+mlTGFPrNANyYu8bZ5RmFpdK5FetPzfPu7MGAeNzxfbwLXJ5zZ03DnuMHDbc3AjBh++vhYG
XrTLFpgycYDggT9nARBDZhjFqaaADsl6vvP6faWu2eWTafqHXf62xtnT9guz7WEm85WJXlO8bXGK
2WPabevNvPkXRcTLO/jXN53dyJQvriAzYqo/6yTq/nuPxv817UU3zX9v5tm9lLTpG5sjvKqWMrYG
yUAgd8WPXsS7v69xdjEtYqfLZGENFaJ12DzakIf7o/XaWw0neCrYNJ/X5d8u5kHflz27lcQNuGU2
OEPrQYXdRkKioPzRxQHaBK7Tj12Mir+vdhYtzMRtzeGkgDXOm1OTOe6Mix7NPOFhUd/+y7rFZUP2
X6cHTaW/G7Lez4zWVC2ioBjltb26kTdBEOmMee8YRY2dFxnBesZkWzextfm9vTl90P/8ROj5PIFy
W4gsufB+JJjCBQwTNCPg2Xk2xcJcO3F7dH+I5PdrXna5BBXFAOJHPiRX/v7BtBgtLT1cJfrH5C2f
12VixO7NSdnsjwLiNSd/0W5/W/AshjF9gcKmhYcpS9QNhpUrxbXncTEG/LbEWezip5C4XhZ8kwnt
NFk92FG98sI5WfTTaRLzegHqogH9tuCZcQPbGu/A3lyvum4ty0NFbFbRa+Wdi9fj2yJnFm0qFwSZ
BYI/bf2y6BeAz7CBJEIrdiQDT+Ty0RXXKgiIRC7dyW+Lnlmzrtaihc4teBd0cz8GvIv6enCj1AFf
Z5MaYwSGTXw2r13Q25UYuanMfepmt5VB993S3MgyXy3ahmgyBLE1ST9yQeJsaB5IZoMwRr0ZUm/H
DNxu1BjnEN0KR0fLgBlNS8MG9xUymO3PvikP0HPa1phPZ0U9fpWyRMvWfG+W8mMeHI8NU7PXbrYl
InhKbePnOHmRryzQ7tkvrhVsc1VuC0vtWz78lFm6tZWHWEzoOc6Xcts3I2FTXW7ARLzWvF3z3H+V
Xu6HBfhI2UIyJ5nAXxPVk3dIs3pVZkO8ZOS1ocV24WlSO2LfNeJN14tmvprWgS9FBKqVg+jLj4Gb
zboJypyRxkqIml612d7k8/RoDfarkRnQLOTeF7S9h1B2FZhMp2PZyZQ53kzRLj4+Ncq78wsb/JxK
vxtD/SUmvtdUxaU3pU9GKwdmDOWHh1agsAackDSiJHFlBzfL5LVsRM8A83P/KxD24+y4Kzvv147h
3dYIosIWAaOuMOoiRL7yaIvN6gzmanQzgvBrKvxHECjdTDL4MDVmbtzG3uRz+uSpYW1n/V1Gzcc6
AwnaUBehB9r2qB6aKuqEh+LWnNqRDabRJCjMK+by2qM7c4KdmQWN49T5qsgnlhcuc3E7h+nu/2gg
z5weR4MxyMNgr/4sPJWR/mO26kSZfoJnrpWBrn3VyQp8S4HywJEjxrqBbHb7atrZ6T73rgTrpzf7
Dz+DDhJ66gSA0PrZEj36pmUzAFZIoTUyljabLExb1AtEputr7uVi2Ec8C6JzKNHQc1ojskyCewPS
cVmgqKWj+VAkRvivw77Lu/fXcmeHldm0N3OMr6xGkNCQj9648adrNa3L2/fXGmfbVwQtGScLDXGV
8xMSYkwKn1GVmPOP39+8y6b3v9bBxMjfb0JgFcq11An9qTLWplXY4FX+fonLER0kvIJTO5H3D5r8
VDqtOQ+IsTAC04Z21K78yCtXJfTd9CHf5nr1+wUvRuX0pHIFbmeoEJ575qAipOw9PCb51BgQseYk
MRXAIDsa+Hwl9754UN8WO/PKdDbAg6kQT9XlOuCPA5QGwCi76XkX//6r/odt/OuzTtfy26MFPzgd
qlP55n81x3HxYnz7rtN3f1stdQQRbonvKtv/BMaGzyx2opKvl9t/N315ORr3XAzXBBbou86nlyon
N4pMOzUC4zkmHxazdtk7vcVk4j2o9CLeRPT+97t6MRT/a8XzaSbi5CU6T3FXbPrEc3hhA3M5IhHu
uya/gvyKnb94Wb6tdhYHN209TQID7qusm5k133riCGpuVqircloX38C3lU4m89vxgZTEsdqS1itR
f9JgX7UvaqwiktEosNKYTEj4lQ+awioOevshG9dW/lQvn1mWR+38MxjVtdt7+rR/+INvP+jsUZJ6
QGWyR1r3/99acbKNv1vq7Em2HS2kFFiqG9215xiHagzAB1Pwvd0PkXanODPVT93N1+rf177x7IUG
fVm6mYPjzS3Mo/9ZMPyDFNf/Nzjm6Qj/8Zk+NCYI9Hm8wD3bUW34Y2Bo5AO5e+9378p69/p6vXCo
x84YlPbKuNNumA8LOGr7KK2ucuFcNBHffsDZPo9tXxR90eUrtcUketS/Lz/A3dmDKzOytyTKt2Bz
Jc4V435pUeRu0K6yHZiJ87jCyjlIQ3nRrCY7coos6lNx5aqeNEgubO23Rc6bMRZOK0+qHo0MNt2N
Rnrv+8jOISOwDTqBkHhIoLkJ8ubyZ5EZsZDtu8iaqBDLDSnHDR1olBEFEGpkTu49Eq+uWTamd2Yg
j3UzbyWab2wx3JAgP2ZWH06Ou+GDfaipsZqNumWVWO5cR2xKN91h1i4cHRpVPLuxybj20RRvDxvT
O6h52tWy5augdjf9MuDPoR0PzOlFGZbueJDmKhCcQaIkKj0ouuZ14uRWmDf+eh4gsNz7saZVqFFs
po1g2ZC/pBgQ1+LZ7fhbU9OHtu7iRnVo8SMuutTUakpJPM9kV6o3gOhbt6mLU39ZQtHVOEjFtMoj
u6jj1lAxNcfEgbpjTg60tmOOXJkNftmyElqaTZBuWhOplK8xfAHIpbgDdS5raeE9Z+P0DknmJ6oR
8yzFpszMLfp1n90BIjFT8Zlyqlm70F1mjEGYgzC+KOd7PVGoExoc/5niYdBhXX+ABRYCalX9puZa
sqwVtzSo0bs5x3qZ4ynw7nKCnKIhG9fP1hiUfEhHEQ+GvKUEkwdVfkuqfB3YxkoLjI17sNqQ3IMJ
6e4LjyJgApko88j8Kid0gatmNzldSOeNI/MwU2AeHSSQM7rrAuirVR9NMIJ2tqhhYp+CwVnp9OD7
9X3bWwyc4JuKt1WIaSHm5V6IYrIITd4yxw1Whm895njM87hsjQ4D7c0P1JonLOUTlhamx6rM71m/
GO91cedpcwKzrbMmvgmJlGOjjoFJmbu40eS/6MaKVDai7oHx02mKymFZV+hscam1XWYww9pg6izs
x9SewtQ6BNOXrct7qwjWduXuzKBnKWTNG585zi9vWUILV6svZOiOHFQq+4I/SfO5yEG426nHCaBB
YZ4EVVVcmcM9NfdW1yZz3oQEf37sNyf6wz4wolInHamT6YSCEXDA5c0u7T/sYmTZJOJ2/DKaks1U
xKNZMe5hop92LCjdlVk+C+tpHME1oh5V0zPlQ83UeXJxpct+lUPjMceQhdM5sZvf9wWSWMsK68I6
Ei32vL5pWxoNINRpepQk9ZvwlzXGSllgi8Tq30FtljEzN0J3/rGMVijHt8EGg3PZJwMeVMchVQAN
18ZpmefIyBZN6NXW/ZB/dNTZjDhN3WvmeZrZ/PV0nlApSdB8sXVaN56GLqLl12BtZVvHuUPj0YLs
7DAd7NbZmNlrRUzWApW3sucJenZaO6GonrvCZDo/TJLvK+gymwW4e8vPObD3fosS2mQ+BTUKW4aK
hK8TmVknfZE7e/6iOGfS5VHq851T0GhpaDLMbuwHXdR4Zhg0e9k6sZ8XcZWRbe8WsU1XNTRPRqc6
BLbeCNDldbnFOnTx+Yv3iqlZcLCBqh/aG45hrgtPQHT7hpvQJeV8o3Bo7byr+3eXmlHbo/vB+fLd
YiO8z95Oh5CXyBDNlHXzEsr5q4FgN0rCUZ4rJlMIhngispSz8gQIj+ShzIfb1sgYHV9lWocLmv3s
3o3IArJn4ofeMO20g/6SulpNIO3ouzEcRcBqp03srFjx9D7olpAH4N4xOxNsweVTm2IoDzQudJwY
vG/oWhId+hC7dgDWVAYbcN0K01pRGKogvymNZV9AIXgm3aHBzimvwMVptiY08VJ9C2biyDDbGFFd
6I1jgmNJ87sBVM8t/u6svjW8e7uGDlPXb2bfOlbqlUx1TN1jrpZ7EEWHuFR4twNDgMycTMUjvqsy
nx2lgIZXMvG8j7F7AgvljY9pZMWhMNHmQMl+TVYR6kzturJk3NeQ+yxCu6jCKZXRYhbHKniHwXtz
uX/APPjKL/XenowjAbc6q20Tm/ir94E75bEUXWhOj17TsmyhoWj7uJxfKE7dJ4L55RKarndoTBoO
LSRz5K7CK/WqjhWQPoSEyAYDxcyc0p0x2mtSHp1RRITcNr2xrexdqflRtE5SEyvpwMOMSZ6DLV1I
CgrzHjoTW0t1qO6lIdE/+8rZBWXKwALDqH0LvSaYe4BPWbt1CRxJxe8q/y0t4F2CB5T5VWPHTQ+t
N+/Z5OVrvYAo35fppizqOmxoHns0kV0WWwIbrIq1kPpOkIbBfLNeoU8oQ1G9O6gA3ovcIFkEKVQT
c2en288hhytpbCbnm1x96sJ9oe1jixdiBO/ceHeaXd/SI5jWnsoCPzEYMDuLLi7gU5NZRr0wo86U
kSZrrrrQVujsEn6Ytzn+7o1Xqed2GVaG4S4MUjaxL6y10+WvXoESAUwiyXzWZsZ25hiHG2UkXRKV
hRlRdy2C+0aiLgMWjbR4FnC86Cdii/JRG+Joh9RrbY3rUTw2WK9RI5vSgIm8wB/R6KYWzHV+knHD
Cb75pJxT21YkRvNk++0q+AFo8RPc2XHvQjfaGBKnPM4VvkOMERFfaV3tDAsgvrqbh88T4TZOwaiK
d7Pvox72MU/BFkZFWOZ0bfrTu5Wi932GvhJltIOJM8ansb+1S36Uxb7E6OI8vgBRivFUguJXUN8R
z4N79+K5Adlj/TIMTlzDWFfNfZ+qmk2zB5VI/B06BsPW+8jlJp290CNirxYOsAl7FTgftPty1K8A
Mk+j/Q4RtU22gL91dJmhfwRzx5a0xBb1d2kmwqX2A2CoNGpra9NOx0YLmLguFp5eQ6IrxgXeGGih
zYZb0vtJV+gdmqtCOq47xVd2ZxxtkSfVOLwrBU0rwgIX7Zx1EFUgDGggz9bzBq+ohzBvhVpLEyIx
8QodtfwdAHbSGy4Di8J68CVb+v2EjjHb/FD6xjPt7VQ9SvuldQyIPfexvVQ7r4YZL+Wq0+a78I9g
MwesjWBNdVHWByDOX6clIBcIvAbql4tqSJlnm2X0Ekflh1N4qINHgvSoq12Bf/MpTae48Z9nnB+Y
9UJMuyGWNbDZdybYS+qBsPEEzxZiE5gzxl8GEPqLQ+kdSwk9cXtKeFXc24EBk9RGU5fHafNa6ddZ
NGwcfvoB5hDQr8nTB1Afs/w0eptloVR2NKs59PJnN/BjUb+7EmTdHWTYhzdb37XW3aL6uLbAszDt
zQJOJYdylSvXUHt9VWDb1mClq23YraG6DeoO7dOvqfK2VmncGJ0L4yd+0eXFyZHzwpb4Q7YnsnvQ
pIlmOeKVvoAnJobwTGJkxxTvniNC4gohXoXXKqs1IRy1JDP0FhCMYog3aL/KzGa0chm3/Q0vZTwO
+JgKU08+XGBu7KTjwJsssVBdPGuJ3gGrCYcK0Rf6nqx0P6QV3rT9IF38KmPpwhSzyT13p8gCrJ+K
ItLN2oP9IKRN3NRe9QTVin48tQcz0+xWpq9Xpl57rplkabNCmSBCQBEaZZdADIEFRhbn7X1e9LvO
XADPFzvHep8dFXnaOWbZgxqgkjsTkKqUz1MNXRV/p4ZpVZsqTMcWYU2Gt1DC7dsPk4Ff5Jabwa/2
TdCerjKKhsdptr+y4t7Kgs3ivhbqmEoajpqwEzWros++MYSWxLR1V94ragEwPer0PiVFrIYBM9iv
EqrDXhvEbXYkVD+npn30cHO9sT3mDY/IbH4tPVIIE+GZdFcL6OMt/1crKcsckLAtwPgcziysCDkF
vAkz7uhwgyEAsGk1UWAcpJGHyusinbt7qg7u1If9NK/ApHFcZgdhnAp5/UR7vQuAgVAd6nkN9pKw
qPY5pk1E/jZi2nnJj3ogMbiDY7G4u8H4iTEUp5pZYYNVftwozPQty5c0YVHL20kecUViOWXryS9W
qlFRNTlr22gimyNqcaDM2Eyw8956BJxnmL/URMPWvJurmwXuzXHfQRMD9/HlFHaUF3XIFwO3fYwU
rEkt0ztr8lceD25m/uouIixQ0gFvelSazt6cnZ514p6Maqs8aNKlZpwb9n0u+faU+NRNkZD2oRyH
2wyx2oLnBNI6MJ/HhrEg+Acw5AcxKmvxQtYp7AMmrUato5pMr3UThBVYa4oKP6XI39WCGbcp27rp
ipc+GoKaVzcDqeEknvzMiT2ffrq587MkdEv4R4ZT0ZkJR/uZ2ruqunfKF1Jg+rHlSVa/VJWJhAAF
gk4dSZrfQl4r1inS1QCVsqpnTVMboCd5GJz2s1XkvveGH413W3Q4XGhdGl619ufheZkDlhklc+tN
Kbq7matVS25l9wOpwW7UeBa5gwBxqRgtpnAsblxzCBfsvDvJ7mSWE9coUa3Ck2zHF9nijWdB1A1F
xE21zwZ3B83SyJBWPKc9MhdUtZz5EFT2zIIO/V1D431yBzGYR9AM6BZRT6eV1986HZJWjtxNZvUu
W6qY5k60zMZuNuC6cvfWXeZdNnY5M+avXL/3FCFK60eV7Det48ctXzfUfpx66Ft0oG5oQVLvxmaA
qn1eHdrhcW5RoDR8xJLvPMWQPjKB2VaMt19yFFAhtdaeyXeZZ0ClaMSLOJ1tWVg3AzjEOt6gxjvX
x0mPUNKAgc4FBFeg2H4LAoMWwjEYx4d24SwrljWfOK18LhgJVLeuWrwbCLz0oDKai7u+vIX+FDjz
KszU62UlhZGAJz3qHdS05KGi7qrIljuPd5u6mWLHGm40Ea+dC90XKM4Fd7woH90g/yBLs7Wt/HmR
+hOW9qfd4WMmsWwcb/hpSCOSw/0iXgPYxqpBtjAUkGTqhRfi6h4h5xVp+kaRBS2FxdLAS072IaDO
21DNzwOGEZTvPnLph751T+ABJv002JvupBgMdy+IeSNz+EP85AFWV1Qidmi6zWj/bKLJ0+xe5wJM
t5a8GZBZN+gAnjp56PpPLhHDkgRzVhDacV+0e6AVTHJnRRXl4awxO73Qu4C/SF6vwJGfuGa7yqab
bEnfs4yG8/yaZRhgrxTr/CfdUMw1BDBsYyRgOrzxScMnWZA/NbI2XEao3mC41PNWCsZ/tt0od28y
hBu1MZeRqc09xJi3Fpy2YYEOLF97crmdWrFSBnpHGxr3qontSSFEGUOjQUMIXKhGzjalZVTKLAo8
mVDs1pT/cAiGvaGM2RfQstkpDBQG/qt5Sigz/tDb9ODnUoXUq5mAwDTwmfprKcZfNBu2dGwO5SSO
gJy9O+6iVqxGVHS9GEjPFtklMifUlut63lV+sUb7DxsDD76Mrrw0QNaDSCewN0ZN90FGk9HIN64A
xtPyMC+KpF8kooL2fcr8JuL4f5korU0zGAgpsnWGjNLFtFNrIpYDWmX3M5KqYnofsh+9X61ceFxM
sAKmaF9ne0A1vGVDRcOyoxHglc++dX3gccjbg/ZzRtLheDfT1D0QutAoXfTPFDIyXv4UOFU45pgi
N0SCrjBoHam9nv2kSH/KihxPkZBN3h2ELnx+6ZC4ehOPHAW4IhigZmTCXzZt5LZDNMz0htglW0zA
eM0QZZ1zb7V+A0RCbzwA9J0/7ywCvVHIqa7S7NCgNcHLNCOp8TlRnFxHHwlgFeBnCCoDDH0CgevB
im6+DhjVpcLG7TlWpwfe+8zvi9hHRV+mLvI9YbxZfAPGH6YtMEFVrLdqpjCtYJmgOPVT/GMU70AG
OAW3mQZtvtxoBXpAg8eDePDGJilMtRbCX/vjK14CoKYugm+CY/uFYnpkVg6rehWfIi+3XGkgKn/A
SXDsA9+AjeomIBuSl3s+31Y1gVVy6gLwDHHDAak7Ef4NUHaGWYvDAFhr+pJl88DH127iO5venF7H
YkEWuDcOCyFxC6tkz+W6r6f1nCLcb+iaSu3FnpHe5XxdcQyGBBrAT2snE/7l2QRbTJO/FXD1FNJP
bkUKpH2KlUiTM4inzhg/9h4ae45yfz7NbEb1iAleE3rBwJzK1WLuXfrWTl7MkdDoBLVIeLUfDv8h
LR0Sf2svA7on/KSs5yTt9qot4WYXpn0rCcwaUdaT5T05lMZgtWbcugfyHFpD0tsj5iez0M3BwtC7
jAzpTYCcz0PThQPDWy8Q+nvFXtbDGOOufs0OyDeaEQZNipCPfogRnF0l0dc2ZJt2MXbVOK3acYhz
a4nGvNw4mRNWwBJm5DeWcgHv4FKULvj2PlKYCAB1kfQBJ7t81eZGRPFDTBiiYNiNWXeHTx9MeSvn
134JYL/WpW7C079nW9MDTR/TcWHKsyJ3XE8gyu+KISQUAdQEZ1uXeIGAW9I8sQeV2Pmn5eMVtRh6
gjuqkJx3poh7cujqY+W9C0jI1sgD23Q/qgeC7k4O9tQ2T5aFbJVZroCwsGG0Q1i20HN3rveFXi0I
kDjh3EGja+0MPZqAMjbyx77a2nOxNixnnXJr8wfUpZGq9Q/K9mNDtmXEjWKnpLvHqwKukghL7nM1
wBgO0BjDH0BA92R06MF5LuEyFn2jA7EBjgLRDluEgXhdxEeBvGcg+zw/2iB/yqa7QDs4Oh4BH4hB
7ZbUsmclsD905SSG+HQEYDUgP0q+Z1MPSE9DtEHFBSZbVf0pBhd0wHIzAkZtcJWIcwdRhL2x3BOI
PuBq1KwwNFg120QRN+lSDs3EH2a73Jgyjfte7qfs4MgstMujV+lIV/gR2OUhyGIje0/pEE5oA06X
Xxr/ZGwVU7MNJ2Qj3nUOhkiZpE8u7e8Ge7WMxhOQ9yhH0inxOP0XjlEyV/ObOfVDQzgPdIGmsgv5
an/CCD9S+4Yw3fiRo09VEcAIAb4TCJmpP6izrKwZNQcLnV5ZtaFyAsXpfQksrhnEkWcwvxms5DiZ
6NACWSO3YbuKZOAj+pDsXS3G0AauV7kDUNHbBjjf4kBQ2UEGZg5fmVnH4IFq+WaxqljMb/9BK/FF
K5/rqBjLTV5gaBUuO0BrpK/V1iNGFCAMn+eKuaYBWG1VAjQpJhkKrXeOfsJsTpTTYmcLtItWfehx
ujL7LLaNJZlQNujT9pEikkAW0yBzVnplaBM2f3noaTpFBQdGPX5OuHU6wM5nPeDcigP+KQBiDg9F
BvnvzvNjy69+LT4iYYvW74HdrGvws8nsBZroSIq6xEfgArKxLRTMGQGwz40bevI3vgZpsr/N4C6d
Uh9Gu39U0KSXfVK2TrhA05iB9vhNSQm4FRyplbOuHfU4OAq2FElH47bxuPxwFqA5RnZwu2YnqR8t
KFor+TOvnjTvkrFAjDf/QqvKtiyfaSu23C3CtEGAMqwzxCfdcJgG9+Aa7ZuQNfzj5MB0IE4wxaNJ
p22gvQfqpvGE0nMfiFvMwY6sbtxXV6VvpgQ8Mg0CAW4emS4/Olm24ZBLZ0IVH7MtPzM577sCbAf5
ZL4YthMTr6pZym9nSIGkQGuMDGzdecO0kTIFX0b4/FUu9UNAQFAkXgCYR3YPbUHpjAkIR7PTsWUM
GLXD+rF/tiqx9+plPbr+0Ta3zvBi4nJB1FAyiTQKtZVwhrXJJQpSNbl1anstamMXeI9d4dxAzjaC
y5UGlL6Hn3lXMGm/2g7qZpAn89HDJ/d1IR/sAUKjZC1HQNjefoYdrSE8VViPGq655E8EEVo29ojG
Pk7oyQksD6w6TLs3s4J4xPxkk2FtLipgduED6LeTChOdXQUhK7yCiht7LgHeShQTFwuAhECPcbuE
gTz4Th1lSgKOBzQxvXg+31JLMzGPiTCe/kCPUNaqqnqde8fRvBMDIJAJHNJGF9sjcmg0h5QO2Ozd
LOqMd4PCRadfDf6HANyYpYNrjlIHMcIRvWb9wbWhJDqLUE1uqNRTkBcYeSUrMGIx18eoERGRCQjC
B2t0m9vbWh8peru0pxKMxO2RgmPTD5nl/+hzFASa9UIXBlLtG68Jtv4MsHcmSJ0AmGqveBGzkbhO
H/mju8uDZ8jjARNsbHRA2DCnRv3/SDuPJbmxrEm/y+xhBi0WswkAoSMjUosNjMkkodWFxtPPh+oZ
q2QUf2ZP94KLsmISCeDiCHc/fr7F5bdCw8NWLb1u6rfqILv0P94cG7zvkcDZb21TrPqm88ryMjvW
odAxvDWSb5Loies3Nta0LRiAE79lqbaX8+RsQWq2tXIplyIiyr2K7WVSGa265Ea2adwSdv7psctu
p3iljupNYaRruZKh0EIAZ3iAOdiGRJNMA0+O1syyrnNAuFbpD22mnOK24/B0lIA3mjH6HWRg5VQg
7+eGNVFlIe+0sj5EfeQDRPqyVO0F0LYa3ORm8thUJ6SvL2k0UrIqr2l3iTMTSOppiAK3VsIPJbKP
gTm8DaGz7csBT4KMRo/gmUVnJShvbcdmFLplVWasekFirUH6b4DLz8K5jF3y4KQGaz+5Eck8tZG0
1Rv5x+BgfJgNP2MtPhpSegwn6UaJhF9H4e1QD/7CgHb4S2VdQ4kPW6s8jt3bCELYTT/1YQEjJD+T
x72gIVumVHrjKbUjX55jfy57X55i387Zj9UMO7MOj5lZHaq4WKflhFdNuc7nydOruV41UWfiAQh1
mWv9vKrU8NCr8z2oVOkpgqwYK9FObmO/q9guGWo47gfDrdGp76pEtVg4q3YsezerLV+vAuGbDRiZ
NGxHIxu8NgpvZN0iX0Fquqh2n2SnfoszReN8hrexndR7ExZBidRg30zlPmhKnyb2vtY7VoBKhqtE
2FCp8sLdoPbN90APz04OFFFN66nrC58252zE8mpOKRIaAbIRxrLnaNN5VMFqJiQCZn8UuvyMsOnR
AhJoyuocslNsFbc1uEbRvUVq/kPVx5sGX79VZdL+REn2TKbeYRByRqj8oC1UahhIL+zrjKHn5Ytm
RX6vDqfe6bd6n56ahtYXyuBtgot3k779Kc/266xHI/xrO2yDEYDTdOgKGkAS/Mt8PW2eI7M71xAh
ed5s9HmJ0dlMW6A57OwsA9eW5hMw7G4qgl1ZQwy2C8PWF+2LWtRP+qh6kqrcNIWFEjwHR8vYGNpX
Y7zq6/retvq3RIrOfd+dtd44W01I398c7Ey7Na0pep96wGW6GdgqKjV0If4sm2zfyn44urnNDfuo
d+ZR5nfugnEvGz/6JF1LRXUo4zJyyzTfTrJ96FFcO6r6tIC7UhRFbt2lChY7hiurDSsLe3ox0Kxn
nva6ky0TXGw8CLiNPtPXsyUe2yaFdJzsVRWzuMIw7hW46hQtQxqo3009P6bpCCAIEh5HbFhRhfUB
H+yOBfoDmAevwduOLnofm5bhh2J4r+rOtw0JzzuqtmbcSxU0sIUUPDMzvpBEpVdU2aekaS7DiD+z
lOvlvbrPQAYwEscuD64yk96tqrqfFg5KE8ZjNYdnecx9qIBdFozWKkQaatX8G70R3iuR/FPNIpZi
z4g687l6HRKZiWuyd68eM3QNZO9iE2VKe4iqufUGe9FmiOi5yaBaLZVpYyf+rmHSCUbVnYKhvalN
lgMEE4Y4VV+5/WzoJzPJsFfuqnu5HYBuqzLYOsmg7pRYv20DZdUA0DWDgdrDMTedmJ70OkUA0b4E
6otl15txTrZRM3nSAoXmM/YaySrrsVqdA3/MmS6Fg54r2R/H8JjW9qmI1Zu0b3d5Nm1bIN9x0Ham
xlTHYK6soN7gFuHH6gcQx0oZcr+Ws71CutGceVdb0bdE0d3OQMHTxOFBGejrqmlgDWqORgcSdNSP
NWEw6Ezfoa2dRgX6XfcMtXFT+rtSktxkxhsBcQjDgIj0KpEcJfutxzzHUJEpzMVjBw+ZDIPsm7Xk
dyXQp5Lou1ThTyaeIN09qx62Vp3v6vh9DoadrNNPtNY51+anuZ0fugo5LIhxgw+B1YbPlooDbaCg
wZd/jKAXeg4IlAX97RTJByUyd2PP0piUafSRhE9o4ZvZCTsC2beBk6dzrDEw0RbSrp8oTiPjyUKw
Q/VBKS6vdT04JDX3r+UrY4r8CP+uskZLH403eWnQT9rmvu2lzWwobtWHfmsItwb8M8Aoq6n0k6xG
cI8GHg+BMptxTTeofHpq2XAt9XdWlt5pWkXeJFb31cHsjO+WpLBK2tlYAFV53/gmkF2Vlt4E+jyG
GmouA02I7TrZuDVDfQNmflT12h8ldV/YgztB/kxscZ5avHjhsHviVUd53MbZKqkqGH70ddxfjle8
3md+W02+bjVQ2ZLH93lG8MV3AVKb59qq4+zTym0VJ1q3/XCjcBpZw7sOm9Zlj+uJ/TU3gaIiCNMj
ZC/tqc/VDdqpizpbXlKAKkkINwteOg8ic5Qb/vhdKiMGykEX3rqQVRAD6wRMOIKSayEQqBPG2DBt
Vru/fmqY2EzTaa9xX3lpKL0HY0yASzdWOaIoD2703nlKJufgtAUA2dBszXahN39G8bQJ9G5bWXHu
9mOyngyLHWXDG1726wm/3FUS52/Uupc2U8d15pQbIzJ/pHn0rVCG98JEjjh3nlITquz6JihAJBJ6
CM9yoIRD0gAkCFGq1xC01GImzYtjJ6rtUIffY5u/PWWPSSgfI42R91iHkduMPePo02R978xtncPV
m9vCCt12yDxF2cGdZyitjoY2U2qBC44SyWuI77C/tzUL5NQX06WL3kbQd61eLziLIcjAgAb1oQ8K
Py9+6DV7GSkomSTdRPlmLGI3IIqb9bZ0HpB63xOe3IU8UaLxODrONltKmyry1HqbJ9kuENi6IZ6w
8UNVwwy0hDFlqeMtASrrZ4gMyKLHTHkNnGSrMW8zhE+JvjZaY5+2myr/XubnJCvWVsbWlMitMqxZ
ciYasuo0JZk3WRtD7VYBAsiUXrfpLhGDQ+1TBnRq/xDJVje+pcWrCJNzwv7zSXVH7RRKLNCpt/gM
rcrR9PJx17eR3+T9AXztUCg7y36a+0d2IHhxdBbKbkr3ZcrCBf7pzMf5iDAUurLY1w5aA9KHGv4U
Js9dKddD9tgAO3CYjHDdDAHgzK6cLlHZboKFS8lQhObQ0ta7Zuy04TuEiDmzkipDMUQXkwBo0WXN
TempCfjVdEr5zobkpJeBp6MqtUzPFpmPBRMkmek6faXT80jerE2+XUHSIbfUlJU2P7Mtwm1Qp8mR
y+6wqOFUzR9FBAMmzhmYgSG+qc2diLdyGa+C4piTDZKSRcPag1S+SYSxSIUyyZT1KFduafMXmxhF
SQR5Trm4tC/h0xIVhphvVQTuIicKnVPc514A/ZtK3yq5AVV/KSirubGSlLkoQednNtIATpM7VYhW
QeiKn9h97Q6Zskqa3Gu073kJzI0KLN8mATcGXtZHh8q+F8pNKnK3rF/rbJOa77OCjuxueYIWBlvD
dMlLC7Bo2wPiCutQgkzMtFYS4FM2n/pkXC1P36aAUJVg0S1SOb/n1k0M5BQ5gsDEV6k8l/aNOb6I
8Jxob4r+qMa7XGsYNGxWHa2M4owbss9aRSQT3Vh2e2MUh7qgKggm6Zyr+sliw3eTvDXxdDIwfLPV
46DMG8hRdQpoRMBIYQt79bzcBLAhcxMeqP2qxlO6z7/r0ZuBYCDJKWCjVdDiDCRit9L4z9StEm6F
dmJOYpbRyaU7Wh9qedeq3ED8M+4DgLEHswZ+bj1RbVTQ9cRK3L485bHlVvKPqPnOXeXTSQxvgB7z
KsufF8TYiF9S1FiVdnCi9riQ0ZJe+jOjbfO442tuo/nAZ98WMH5FjTKtf0jM4VZSWrhG2WVA8JI2
r61MBhkJ8olnNbEEoJ3u9BqMcdQI6Ub6ymd2M2RP0yIYYHcfAg6r8fRA97GfLoMR8sn2KzDMWK/v
R0fzJ0n6KfGeSiMA9nuq87MZ3nQ1pHd73ys/ZXEjNFrCGSSKZiTbRBjLK+JheVdiemxL7T6qrJUk
3abKnRUgszChjsCK1WRww1as9HknMLKadCi6hNkivoIQ+SXmtAZr8KxNR5+Tda/46PmBeGpA9njt
WXOjUgl25XdHaqn6CIooOPN8X5EcIv0yan45UZW0axuAL8b8dWTkMEa61iF0ZAZSb6lKDAKntWuy
aJ9Nt5XKU0bN2j+MCeh60h14ew1yMxQYx1R6NzHIHpz3LurXmfyEKts1HaQZUXAJzJkJ0MCLRkIa
4LdheC0wmIV6NxrOSdxc5Px2jt/IKXVyIQWjRzs64z6rQ4onHe0R5WyKVmMjmg/B2q2W6CDrsGvR
rYT2qmg2iw40G1pQISTOje0FVus6Af10226HSVrpWXFs421i04qVGjQA9hCtzr4kjPum7CmminbM
OzEFez6D0sh3swN7EkibABFVfOpY/CcuefycYguf9jQXyMvStchQ5XbbIn2IDA7GsBEFcNZHWjyP
zWvSvsDneRYqE9E9x9xZH93HyGudcG2DqWma6Wph7loBI/o94BjxJtEvfXIaJM0bSvbHJVtL/FQy
Yz9lZOB8O6BADy9z+dRWgy8rZ/wBXYAUb9TWUvlAIJ946qodUfxvpylbR8VRUSxXDULXlo+Wqqxm
bU0fvbJaXlXqsQETXGcVjxdjsD25TKHS11XIlkrZox53G22Ejm3dzsHmTppchRjNbFamXsYx2or0
yaHUlRm3pJzr85FSrAfIGtxkZDRNlbdNXbt9dGmHd+STfsxKvKqw17Ide4uswmjXsX2ugdilpPjI
RbOde9aRBlSN5VEHjJGVdYdWK7ZurX7D060EOAGDwPV3Jf4ZKny76rcsPGsDY093UzVCfamryfhG
bivlNbjrlG1KBagTFQRLTdzcnDeW/izy52F6QRSwajXhJYQrVbyM0f0cHDTxNMUXlLH88KwGnEPi
L8Kc4lZGTS19t0NONN2ewjM2nLs0v0/qTV9M7sITEQ+q9JhNT/wrWhGcNYaC2+wutWqPYEbZ4db5
vTQtSlVqQnDbgDFc4HcWDx+S8siLpzSgN2zo82JqrP+bcvX6MLDxKiC1zyiKqBEKFLcv5HIEifRU
sUDfqpNMII7ybaFm+6jekcZygVBXezOy7DUztVUtbXRZQRYv+7OtIJVv10zb9Wi0mzFxpSmnHwap
7VdpcpSbixkdqbUDZ8cOjqPG8sBswxY8l/RmWS8dDU/LDkxN1wA4enYn9+shX6e25sb95BvOc9/s
ymhvOvzG2ga3+V2NZqUYL3W1GYpbA9rX7lOqiZuuWei9o0YvbEtUpal50YyG4rZ0u/xswG4PzMfM
NPg2EwsJftWWYx+CKt2qPfm1cHWhUSs9wnj6dO2eUuHBJwpUuN8GaEpJB/uenkT4WkryZjJfpcxe
ObJzmBSI5HkTpGJXBRVFUL1rUmkX1UeqMVXjA0QEppvZLaaIcCoHoQSupHIOEvUijPBmmHvPMF4L
R4f/YJaV4fd0uNjaRurfk0k5KhHQpDjpjniqrBr3924nVfJuNHM/5kaiJF1NxW2HKFLtYHKDh8L5
4aTOwt8l3dsc3jXt+KiP1YoQnXCCVHnahbC76E7IeEdLYUOw4ut6/k4q7RsY6ugRcICXKDbOdJux
IiM1CneWFLcJTF+P6Mv0yNVZ1j5ARilscIlulkAeWzqYUkn2nFa4JPhSDcCTARKEaCn1E41UU9FN
MxOcxZdOLG8QPgnExa1Bo0VT061TvVMRU63O02mShx0lcVA3XmxSXZrdyWxJoCp6onJA+iCAewOO
bXTgHakQom04bSx4CuZn63FYUYwpgg3ztESUJ6sCFVAEKoqht+sowpOoXMLpY2IjSuEYZD/hi6QH
D0Wf2yzswLiosqm2Go/BOMi4N0YMznaYexHxx8pHUHhtN5Y+6SQ1nsxAd5voBqEVysk7y8aPrqU6
JTZP1UZx2H+E/i+K3lpzq+nmGurGDxXP6Y/kY+YJeBgSNIV+12jQ1w8wN1J9NkXl2doitbf2diNR
PfVuZN31VBS1jXKQC4xQt1RRtfNgapG3NAqCargn2SETUYJiG80kVkqcSgkQFzjmNiS2TumFbeJI
44x920yrxmI1jfys1/QlAPVgEoxQlMJBtUKVXMBXinA/814zR1+J/lGJF0aNYXxnm4R44SHMU4nD
+EcUGSFHMaBuac4l4xDL2goeCO8RypwHXrltblKkRwoDAFVgIXJkVlEtvLHj03EIyaixmrpcVeGr
rOxSnZdasiubv6EgpBoUzn/4EKnH0urdAZ8y7FJlXlI4KOuJXzlRPAmTIbn/CzepK+021rK1bAFB
EeGoqBQHDZD1zZ6bjZq+ttKm0ys/cVK/Sp8G2UKpt9NyZCMapxRyt9h204LLRHg0rYfadmmbXMvS
fKHhc6tfGuQmNnwLYhINeBdD4pUzwQWBh7Vi/KmkzjmVwYqJlYW2K9vpuGipGuQts0zPzo2yUP6v
Ir0A/+b3uAzJS6M0K8h4a5QeFF05G8nTEOh3vN6jqczbBPMPnG+RpMqbsH1s6VyQ3pYUgUzZpOT1
NF/X9oZ8sI3h4YH4IdbeeLXRhH52hCpT7XupBVecnoLybWkM4p5fO3nT2CstN2It+vao8sVlIoDl
2WrmAIzQ8TZ5PTKqnRTpYRz96ORqz5BXqnAQzc1C1iJbMARLThCJ5Zq+Lv7qTIvk2RaUcEgLkjlc
j+AgTcW8kuUqJaPF6lbXH2yUJd10WHIVUcpRQkL495xZcUOjbmJRizOuljKXqnjuGO/KifS34zKg
xqmrqS1kcU5Lc4ckxR7YcDw5jMB8q2Pbm+rUi4c3OS1dHE52trpJ5vhsTqVnJmsbattqt4C/OIQQ
O8lZZWiw3U24M+fYbPXjrLKliTp9uZAmITnp/YE2Jk87fsV4k833k4OOHBSgA6IMY76a2a+pz+MK
kcZ4dnh4kYLmy1A3S0FbzTlqHwbxmEehV+H5NfW7XmirdE48w3wKa5XrwJPW90OP0UUwIqMpPE2L
2BsjqG/Y+wtZJ/MTZbLIxBkNaRkSMM3VOMm7pk1dsvBpYqO1zYbXSP9einStCpX9oYoe7kOiAQN4
HToOK/dUDbWdIIMkWnqWaRumOD/Han0KYEdEE740lvI8UQXkg37Q4aJUdVBR2ixUsbhTmAEJNGeD
W8yJ0oPDAxY1SPMWvoW+IX9RnGCDgGYjKiZ0pLT+BhnaYcfC2q24eLJh+lCWKU39rRJwoqkBEDiv
cpkuJEMU2ivRS5OMa12+tG2zatVw18e7KAJ9CPptFJmuLIVbZcy8VoVc/ZlJ1MvhsXBGT+6fiuZJ
UHzHP8ak35ngnKnxXVPVQ2nwFPNjXL0zj751ygddMZ5kdVtNp8G8rejGLeCdJNl2ET28KEEOaYH1
h8kZoUHMW2rssS5PUqF6pUkfjpyGEcmNJh9H+/5fbfKMLrCsyoNRFL5gYYFwNmzl8exgL3NOInMv
zwfiWyg+nLo91Gb+wtDfuw1j3ZPUW9D+KrF2GlTfFF6QmITG02Is20RWQBIp11rXuVX+zMPsmadw
dG3ljBWrYQWQSLIeqVnb235ItwL1seM8B3zWk+Sgu6lPfJJlIFwblGR6lCcKGQWIz4iOmqLQyZb3
Q0CZvHwd7C1rKjKPkR8rBrJaxcvpldSO7gxozZpPXfHNkq0d7YUXcNI0Q19bDvSrgkhzAkVXkQOZ
27QFHB6dN6Xe6ml122nVbdAd+vHedpoPRBUaHhQYRr/WCaKvPmVMNC4nr6vsnWLDAM1A5XZqnotM
umm1qHetqVq6VnVHh3WnIFFYAttSn5I/Ze0hbox9VO5GiVSFWwxDoMHO0eyzI+wbNHJ7FghpvDOw
W8ROqflioo/EeM/Ya3J1KdDJL2lsYOxWJN1W5WNjUZgyShuDjNXehM2HjY4pEJuZnXXMPdTyuqxR
ZyRuzuAEhyZB31bCYhY9qp3G2UIjHqk+wdu9pET21NI627Qp5NxK3pC0i1rdKxp7ffTxX7jzpBBU
rF2PbD62FhkMeWqZHdkKxOBg9n6asCmgBChByGcHJSECOH54j8flt8o+5no8xGbuZujHEqbTtEjZ
W44gKqy7/NiBnfQJ054MBEkNZJgi9mFJsY3Ca+mqVIW+C5lRktzaTK3FCM8azVUHhhCVUfyoJyl3
q1AgHFDEqqqTcx8k90ZkgUfQRcQwGwD7SeAlPR5mUhWjuY6VY2w2vi3ZTELJT32ecV6Ci7TACLKM
rEYJ93gBfatygS2xVN1F09ITqfZPNc5GV8/p2XuGTlbdaFc7UwouY9r8RG12k6lMTqgL+D3oKScN
/atq+2ExnCol3bGzfWuib53LR7u03EZsF9FXL5Fyy/K5mqStLCfAkZbY9gXIfxY7BwUkKckWUXSR
A6sLG9FjoDFpoKUTmGJ4RuN+7GYKxDzY9074UmPbDOhR7q1o0VWa9g9ZWKGvKl3qpjGahaamFnAR
r8Pb2lsxAmcZyD7vQDNmsihShRDHI3Rivj1YE4yATtsApNAQQgX4HezyOe2ZpOPfZzZDYsIu/0CD
spObjdwPQPZbM80vhG6BekBlQG4U+nnO08ssWZu+2TuIF+WyO8ry7Nt6Szfeneypew1Y46KF0zPy
oswzC+w8QbpymXmooDrUMQysSC90ww5UkoK/Ej//AJrOe3FjIT/jZL3TtLU5013hGmbMm2WXuTmg
02WMN2O4LnPGj2S67bXvLbGI5j2EJJuFTL76XiwfTqQcwzqiYbxdxC0i28Syvqp7puggZvlJ+hgt
lhh3Sbf1mBxKPgUpvFcdfT/GBXRihIzUfM46eW8VwZ72q7R+ZjoSVYXxxuZitSXdcueqDLnSgFpT
e1TiD+iDNCvvyvYlz8DZJbDlhFE1mzME/07o7UzNDdLjAqciJfDB7zTzVdN/toj8y/FSVB+MaB+l
ZlPRYRDnomFfxOfEnqi4tkbW7rPq0YhOY/pSlhJDgui07lAxYPu3SqXRndHZIcKt7zq1ZytQ6o3t
tiz3sO7rWWiMtpMnGHhtTwMItzDoEbQ3x6xflTBDVnrTMxYW4KXdOTfIZHdJP+9CFHxDOJzCEZyg
XFGAf0yscrXO8MePNcINvfiZpOV6Njg8uQSrYFbKNuuX8T2zQ746Y+1iTQcnMTam0k/MGCB2rcsa
7aYabgUpBbWRQsODyM5gHG+UB084CJ/0wdhZk3MbNPPZ0RMvwY+rZi63s+0fdNEfvShRdA7ZZWJQ
dCmgOsIyTTF0kvpomuOJjq7Iml2wKCENx7IBTZGSD+LbrMtkg6F4V8GflLxqvEIq/AL6YraoM4Jp
QNp7iqEGs/K9C5oDkqOjzSlKkwoS+2x0+LY2ySHVW+yzT5XJIulkfEqXSc1pRpAg7g0peI7j/GC2
tu6LNGhRjW2FpZ2zRhynheIX+Lcxt5FVr2m7TTv9XBidX6fNYxtGbNjp18wMqWb8E9aPrA5wkanG
QWnjAtWDdIh1gbtA/kTim8PypxHo1SrMg1MSNt/akcrBNF4X9wPY95gU0x4np9uDowQZM1SWYPy6
Mx5q/OuGbpur+VM0Q33kPaVpboR0o/rSK7fdxeoemroX3tRQI4mJcctWciWQ4aq6a433tNQf5LLa
SGnqy9a8Sp0ejVVGrVEjtLQQxZdp9lrNZocXARC9XTzP1fIBY+0BSoOJwiV1GOJLf8pa+FBo0vbP
RjzKP81THFmxNV6vrursWr7yxhFZ0kcsll7WY6NI3TVuwC4cY89M2vYrD8zFh4XZ7bAsdh//+3+x
clX99VJX5jj5qGWlUzRU7dSoDW0Ua0I9ys3Vn2/pnz40/L6WbWk6paMNFsqv8cmDJ7JqxAwVlslz
oa4n4Db24KIMkfS1rtKLiug+CpiU7ruvFiYp/zRJ4co2I/UmPimGfu3pboV9N6eCglveO6sIqwUP
8z+gf09fLY7/jA2SLL5yv/mnH82vF72yRWslqVFb0dWbdj2vdReq9r1doenfF3vU4nd/fra/e4Wf
7/DKH01nNGooGizf5uZWCgCkUyQInf6FuZeyeOhcn5RPlzGv7NHSRkQFdEfNodTWwA/7wAsehC9t
6LYuLDbx/nxXyhfP8NooNcvCOi8Vjkyyi7cQeKHvuIDgrBtnp2Xhll98dL97iqaBZkWxARAUe/n/
n06o5gwTmwkxZKS6WHUIByWoMxUd8X9wW5+vc20mVptlWHZMayYsW43rNf2eJ++sjQqxy/7KwP3z
9dTfnf/P11vcsT7dVzSovdDSud4Eb4wvb2lyPH0XrcOT7tMkPkfwuZgUATi5+RExKFbGQl2P5fr/
30ofY5VPz/fqk5hKmD+lZsJLFtB1dybReAzva+nlz/f71e1efQxVDhLgVJiYlcPj0kPowFT/1RWc
q++gDZnQ0ilo6X+inZTvo9RY//kKf3kqXX9qn56VcxUti0FB8OKwGiJTs8SVi/QUNziwaOkPkZOl
VJWhTtVCkdsbflUFrkC0DqtkvjW87BXLWrVVUDb0w/NLWLcgM5i+eqxlAS4ZvSwoVF8f+YKtEXqu
GN+ZJsXyKAcptx1gNi2OD40YEtAgHPz+fGu/jSKfb2356j8dR05j3+bKVOOkvay+ZrgM+Z8LC7nq
jlhXnNUvvDd/4yn/y7lzrq3BkFSidyQ6LruEzG/yW7aTVsvmeMltZS68JAHGXqdD81XA/F0W/3yr
y1H9dKtF5cSsV4C+WK487pi9JIuXu/k0bJ0vgtcXp965Cl5OkbV2VxBU0P+jhf4uxc7uzy/uqytc
hS0RNWnAXAanvgZ2tDZR9/DnC3wRf6+NS6PJYHddhmGc5WzC0FplKLmD8otv97dJxcQH07EoRhwM
qn59Jw7AV2EY1Kp/JZX5aO9gdYSvM9npik3mKt1XpcA//dM4f5+ueHUK4kbR23ZZ36lvtHVjvjYk
MvvYeNLGtu/0DuNPMAk/2yRfrdn+bRX5+cpXh6Jnz0Y65Zw/CmH/X+fPPBr7//j8fbrJq9MRTwBu
Iub86TNDUum6Rk7/5+Px2/P36QpXaUyWhrBvpylkoA3fCntnQx79d1e4SlCJxMqudiSuR+a8LlDE
SJzCP19CWXLDPwL7p7u4yk59lPepYfKcICkmBmnTZtoPQNeixLrKxrfNodk/lGr2xYX/aYH5yyG8
rt2qdLAqqaSWCtifJofJD0cL3L7TIIek2zjI/stneV27VSQlo5y4T0Qn5sBJ/8oo/bfR4u8Haaq/
fsdlPqtsPCZDiuTNjraSye0EH39+W198ueZVrBjqqpNUvB02TXHobGVVQsEMwbzCfuTPF/ribJtX
IQLitq1aladlWtWWxZSuqLX7P19iObx/OHjmVSxII0repKQLsvWXORMXIz2hQZrTFnYfcFH5Ih99
9Xqu4kGhsDQp7Ak9Bjh7ld5H0a3efJXZf5tfP52Bq5AgRNmEkcYZQEmxR84b+lX/0bs4KRzx24SC
+PMj/Oo4XMUHNU6qLFzarBIazLFqWsk3xpsFU7p/vtBXgdu8ihLFmAkj+rVwmM7O5t8J3F/clHVV
zKqqUtk1mx1BVsybtk/8oFhogj7D6C8YXv58Y1+cCuuqrA3mWJKngg9q7u81+81mX+VXl/h9fWnq
pqbRycGtXF1jmCxRJzl1Ss/S1aWMoN23pveYY8FMEc3+XH+1D+r339bfl7yKRdo4zuU04YEu62Lt
NO1JD0s/1EffDAoAB5Suq9qqnv78LH//4v6+6FVw0vsIlQ7bKTYKy7tQAEQAyRVvbE7L4IuD/z9k
LVvGTV4zTNW+Oo+6EsdBP0HYwr57mWL6Qz3vddV660C6cVeGMBbyMZfMg669//k2f/8tQATrjinr
/1w3nMHhz32EPT9gNEXMAoVN53r3n0Jh5t+X+qsr+1Svd2WhmGFJPOkN2890Zx2AUSvt+EUl/dUt
aVdHdLLZOzGboHt/9wX/7uf9P1zL5rZA30z9uqpu2DLRWhVM3a/XCkASv+p3fvt1239f6io+5q01
52rNXJDTVZhYMXLSa8/K8PDFgVgO9lUmU0128mk6mJ4DfPlr5o+KcAzE/JeDPgPD0WX5wJmC82Yf
a5HUw6fl+MUVf5NnPl/x+ly0pQFtM/QxeabCf3HNwsE1I6JuDgK8tv0vrvbF/V2fjiYuu1Fe7m/x
fZd0d7k/k35Bc4XMelg0Ll/d32+Kw1/u7yp+tVOrObGDX1/jD37/EXxb9kaoDlcO2RwDTjoyE7Kr
3NDLv1rE+tWjvYpiyVBM8bysK/3X141y6/Dvft2/+xR+uc2rKquVzEpOOyKJ8P5fO/6vz67Ah/3P
L/GrJ7p8Kp8iSTzkyjASTDa5+hb9H9a+q0luXGn2FzECtCBfSXazzXjNyL0wZOm956//Eq2zagrD
JfaO7ol9OhOhahBVhUIhKzP+3MkfqQaIVQ+smywqFkT+wg6Kha3YN/1kBIoF3jmgJtkxRQnwYAPW
5rDudnjqRLTja5doxaAgRVY0E/+p3K7lfRWWyYTlaV5woIfCyZzBOuEdb4cpl53kCxLmSmL5wxy3
ccCH9hMOoAhPmx/BQMcGl/xK4Iksa7zKKoslcTtWDEoZjRpsSPQ2AeUF9aF/gD3DtAoAcmGAMSCB
xRWlJ+uPZXEbhwHjKLSCtPRazGo6RmxIGKtPM8UtrSY51wM4JcJa+aIk9JD4YHOQoBFYRNChMjEG
omeQTJOUEkB+0H37wDVURDtkY4M35kgCP5vh9FYKdm0Vyolzm99KUaEBupkrh5AAX2yAVSMafOAV
ys5n8BJMQ1gYacpb39qlqQZEW+a/246K1Qg0wa5mYCIYZMj8YRSRMM7VBn4z7vGGeAhONcD1juxo
N4AGt+62tTWvwdOWpis4I6B+zZ0TAw0r8N7gUuUb+ybPXVMCBC4RGFlzm4URvhcsqxWJxgh3AglE
6+OAx3V0dEJDOqfhRzaqYn4rw2/b61qNvqVNrnyQyJCHIC1lDwjtca5OFZ6zyDsmH1eBjBJvurtt
gyy8+NCwCMTKNYNSReGlRlXS6tPUo2UWdGg9tx8lTeAXl5p8ywIXCaQvAG+Jc/ayNO0Atdp10k/a
/8CkEUXZTtwYnCvglMCk2d7H0DaEwE4Jnu2/GoKVrrvMdaXchVIZqaxjYhuFGdhkJkxP+voNEKXO
9vcUWeHrpCAMY9UHUkOz9Ns8bD4jNCGhjTb9tp3VcFtuHBcBZiUVU9QVlac9gsrGwcHwAPb5HWjO
b0Xyqas+gmEXvLLqMtH5JnvdgUyvj+UIvFfkXJXDMxQlHgTLUdf8cGGD/YbFQWfVFKy/CQ465iXt
c/+9cgrH/M4WBLI78FkLYnvt2qNYC4NsIxcG5aQ303ZEcLNjrvOgMXeLsRxUYJWgXFjfqYUlLgDS
gI4ykCNvuRGsep+sy5Zh4Oh+LT+JWW2QGyKas/BYNtMRKoPgIBIsaN0drka4itKo6zj3cxiZ2Btq
9hJHgsNTtArmK4utoSCGrkZQRnojsLzRKQBTiRkPbwqgxbfiPC4Frlczpkspzu6e/1Sn9UkMw5DZ
Fr/KgQtbnLMllaRIig9nY5Uw1DM06JpHTmZ61u2I1E4il2n2FiDmEKxStFec7+VjjdGDGt2LFlpH
Qw5+G1GlwxLa66WZhqqAsPq1/J0KbopylGChnPrvHeMGAaBtD5lnEDGnoPwxio4Riwvag5dzacMs
f22LdXNQpAnpLzxCyfwJHA2H8B7qF90n3aN3yjOeYVw8w9yCcnY3HGKHDXg64z2TABBJUK3dByz5
9xfg73RSWEdF3rSFl6vkVg4BZwNPCybI42d/qksb5Zsh2NX1ALla5CJwDHxoEyS4WBVpddOO/TGf
wWMP/lpdkCVXKyAFb8smAGo6OkR/RqJiRkOLiSw824UvJeiq8LSLOqQ9DhgvSZq70Qe50dP2SbC6
toVJ7gBt+1JqRwnZBR1Ku7QMjPJ9scBTvW1lPSIXZrjjEzSW8S8lec1THNBBArBsM+hQCe6ky6ux
eYhcwJYN0X2c7c0rx/1tmBKuJ1sXck1xN0Afag849Xk8lCkYcFzmp2x6cz/QN8gSQj1qYZKrKUeV
anOqo1guTR2IMwxtD6MFsaEepCfjdwpuVABcO1DKT8pe16o7SEXflAEmKQXffDUZKdBE13SGe+Of
KUBGQuDTCJQU4JgEXND2fJac9Ay+pH3rTV+tT4XgJFm3aFoawWiDovF32bqSZBKTrvB6uXDN4nPb
fhesad1drxbYL1icVWo1zaqczIU3ndpjiOk3/cWwkIysXeNCNUA+lIBgl3swq8eiz7kenFfT3KHS
D6PUTlbJwBbyXnabFyjg3LFKBnIEqKtrLzlift6JXDCP77aXvbpqVUEXXsO3NXkIo5lqeZ1KSEBj
eg90oTGfI10AsFjNqgsTLI4WH7b3yyCjBVrgQfBspB1I+ltbAdIUUy7G3By317N6Pi+McRVHl02F
385YD7QaP6BJh/t1AXsBEDgdZge3ja3u28IY5zKSllUSJXjE0Lz+KJ8xbr5Xd+Qs6jWKPiDvHkAN
+WaLm6QM1m7wgN2AEzwcJAw6SxYGs0XAqfUyd7EsrtRohqkxSYBX6H9greNhun8zrJUJrP92P+5Y
wqS1QlIDl4XKfAindxOYIjCRvr1La29NfxjhDiKIShX5zGC6YJD30KplUD75rkNUM6nw/9CqFW0Y
dyQZVdp0tESRCJGyvaE1wHHv/e6lBkA+7gXAFYEPXm5Hi+jK1dG3dExxeArGB8YB2DCz37cDasQB
QpqgXNKGW0kXnX1rDeHFvl1caGE1lfLEVxlQARJ+kP/pIwqUIIQFiE7c0JdcLUB300yfetJ+KSJ6
utCK/N22Xhowi98QVYZPYoh6XUpx1o5Q63eWA/1xDH/ZDCRU+YJDSLCvF0dbWGyQWKZ8APZpVjEo
T0BXXAfVozWQYywVpynH1P9frpHLMJ02yGEzwJP6/eWV4eq6wMIx1xW2+lk2flXVqDqe8NBHstAD
/DNbUz+eVVPBV212wOE54Kpn4mUuMht72CAHn7xsr3H12nE1yD9t+2NiQocPo9QSAXVHXIH/o8es
PVht2RGBgbOeJhBdM/1W9HEFS+XfuTPoseUaaxywpTLmXMc8toGNETVgpaEXIsrj/5KIfn9byp2E
IS3UGBJxzGN9L8S3lSHCzVyWAXrr8iZlsj3bX3cNV4/kd7XJHYikAZEqiHRwb9R7YFSD4D6iFghR
ZCgqSZBCS9EttPzkcdbpmU75MQT5nDSVu2kAUVIELant37N+Pl9/DufQbROmhsxedzT9jAkgaLL0
IO2eMFD8tmJ5sXLu2GwiGoEyFqUAboyeBW0vvLgUmPzyVMc8xKewFDgy+/c2Iodyx6aEC1aPmU+m
UA9iD1CPgJufKu+2v5/Qh7gTM8gqjBwxnCy7dQCDlLp/HGYYChEkPdGOcaenkmjgA+5wjYNglDeA
vZxAK8hIHQoV3e21sb3f+oBc6jHCIEnUBK46QzTAT+/SrnbfYEFTDJONt+iY/fgzuekjAVvGiARe
QjGyyUDEI7rQr65hYYFzglobqyHV2ME41japfswQt9tew6qbaYasEBU3BoVyAW0Wsok3nwh96fwd
RDnAElk7g/yybWT99WJhhY/TEhpYVY44ZcEDbYJkd8mNho15+v0A4UjBqta/23VVbNWLoxWg9yAC
KSg67KApjRuw+WTCRvHqSbNYE7c3EL9ofLPC7mNydlc30N5B0WDI+2+scwdKNbTxoAD2HaLtbmeL
LlqiBXJxO+gaaO0SZIemvItB/gsOaEGdK7LABWpbziB4C4vQy/MYU+iarRFB2SeywAVoLZtVVTNE
TBaBu+BrBd7EbbdbNwC8NxsCUwyN629IfdaUDbt5ZBCwzsL8E+0x0LdtYz2D4tHmHyPcKdxJ4EWV
A7gBw5YX4y2oZC8PcyoYLdAqwtNVKrgnrg03YLb3apKL2UGWE90KsPllfWTjFA27g2gYbWAwyLB2
QAoyY2SqPk1n8NFtr1f0TdnfF5FlUtOPNeC9vUCHWBKY4SIhbFn4SbnoVVV0zAnBGcHA8xewD9RN
AIb5H9gHk+6CrrHQIhfLFCMvSVlcajffy7sDOwZ/WZwzPP6Ar1Xg+0KLXADHtT5I6J/8ukU2BDvI
AE1/e4tcOA0Xz40fYQR8QjBYWQhe8BJT/mBPT0Py4Of0AcQFgsC4tLdfnb8Lg1x4VzJGd8sBDwBg
1LubQUsTB+MI9fD+qambT2qLoXESgDcvHiCGCMqrOZQTO4SkvK3oxSkYGy/TU0xJKw14d0xXSjKw
PaUPdWKC+LkHo73xTdWTG1UPz6GWfGj8+AlM//cl8OFgKwEuZWrPE1AR2/6/nvV/x57OtWmNcUae
YQCDOQFGq8WsO24SUw6ijjA/KmDtsYJMEHLMFTY+pM6lsYga8EwZedKaIBOPTJwbz1PxHsx9fSOo
p//loL4uj8tmDZisw5a9IARFe2AcNL7+AePXu7YZDzXe2nyT7qS2BrtHnNu+Mt1U2SRIbyaz8Wq9
umJZoISjCHTOcfpGVetCQ4OqKoIPVV7v9So8zWoB8kxwJUSD08zqEyvselB4pmp4UFtc7tDKPgMY
7ELJ+Tvgm+cOPJGRBpKwEWz3oBmbnNwHE2ja6RP4DDGdm4OVK5VdDe8+gSTtmjiA2qa2y1L/aQbm
QM+6h3EenQDCSwXIEQzISeJ6A36l7BkcW5BSCXbodjojrj2lUj/OEHCz4uQBwGDo1TZ+ZlcpOeaQ
SA6k5mMc56DeHO/z3rjT2/kjOL5tOa3eK5BXArOPK5vaYabpSQWZjoSxELU2QcCIib1JPg5aujfk
p1hu9j5Y5kMFHE2RAjhuCHIV41mOwB8dzk9jbqA7L0NWvflMNelF60BxRyBlSfxSUFqveuR1h151
ifIgL9UO6TIBXAmq8tOxx7BE8BBXn7ejbd0fdUNTTFUG+pNyadIE7qWpxjz09Ah8dNWHEJygs3mr
aoEdtt4A0WUFWkrmRzBF+6An3bbOzpnXjng1zqXMekjVEucdlilP34pO+YBBda8YVcGVaPVIXayR
83cCQQRV1WpIVUegvYBEkBk1H7dXst6EvdowubTV9Z3fqT6Wwo7U/1cQlmjXTC5jNdCPtbQONdHv
Vkh/nr5D/A3POaj2haX4av9wsToua9Wg2Y8UkHF7RG12CtR9KnCVMjomUG/t8xnhN8anyM+e1Dhx
S6l+y3g34Ga/PcXkKrLKKLV8bmOAbrzo0EBApXBAsoNpv2wfJ+gdvqn8X9jjqrAyLQpDBvupN6Xn
WcGbK1TKtj1m3SktoMcV0EVQjavB/FjSwNnfFHgb/NpB9FGhwsp5Pc9fTXBFV0nnsoomAMAY+EF2
U1cDvyaG/aFn7qHiUu2/WxGXSgJLS2KF4IGVgsBdI6645JFXE4ZhUNVQAJzD4MKfxXGblUEgV3CD
wYGsCepy8GGD4tRR3oFQZj8dxk+Q3hW9xa/N+isA9vy2ynl/SnsCfSWc2V3ePaeGDm57iOuCgTzo
NTeP26M0l09gF7lP0uShn5VdoCi3SiF/jE31g0bG57KN9kFa3fWgPsa/cQbL+ImS4mz20542OFah
/ry9F+vl7+I3cwGT0tiPIEfAsE/Djn2pLNmBi9tBP+Bb4iKZ/9g2qKw628IgFzGUzSChGQnlRggf
18cRgHeorDgQD4HhXbkrGZQSEpw2SMfBZwfl2d3oRXtTcKSsJ+LF7+DiSoV2Wz6ZAH0x2P14hCYw
XsOq439CF4nckQuwdBwolQI4xv/a/akLKINxMzpA34L57O0N/8X6uCirclImMoTXl50e6MzZlndJ
/aJGz/pRs7DHndHgC5PTWQEmTGvCJzCMgQ0PHXcfdOCQ0aPq6JgmBrGa5EQv6sg5eqjhYdu3Vj8z
JTJgsgRzUhp3fvfge2trCT+hqb8zcLUJjqc+f/orI/y9I9fqJDIVNsppQD7tth13NPuybWI9KJFG
iCnj6qlc+g6Lu72STwbpGWkOS18ADvwKyssx9p+Ckvnfq/pqYY/bOwiwdJliTmhx6/6NDGEvswTs
dyy+gV/3LTXWwhS3RyCeDMIKAh4elYBhkYa73AcT0fb3Yz93YzkKV2MpY1YpWQnomQ/dj7oajtKY
k4eyhBALpUG16/XxiH4rEZhdd7/fu8bPPqZzGFZajIiDsNCJKMMLYDbvIDsq+ILrm0UJ63WrFiiB
/jzbOqOI/SEGqmTOnk0IflII6/rgYn5bWxCo3n8McVlLUwYTivC4XBQZKPQjKKRKoiTMTpfXO3U1
wSWpJDd8qxgvoGIwpPw6fcAWi3pt/sxOnyYQ7NF62l8sinN11Sohd+Uj7V8n8ua76j+xgghtcb4e
NhWuf1AE9oypDkDbmYFkN23PzWAeJIphj4xg3iWC6gXJzoGqQhdRNK2w7pK/vy8/INHVeZ6ZGW5t
ZvoAXlE/3mejIB+u1qfXD8qT5ZDQsqIEp5uXzC8q3ZtEBKNa9XcT06fIhBSkIVyFEjdjG1lNzw6W
p1w/GBC5gIJDWLxsJw22Ga9ccWGGq0t6tVF8gullEFChiw+qRYWGZzk7FgXkg6krR9luGLLnbaOi
tXGxjDHNQCeQofJ8QqCP4ZnQogBW9Vha77cNKSJL7O+LI6X2a1WPDWQN66B4EFzZJQf9a33P6PlP
uFHU5/IALYOP0Pe9y/bTuTsYO3BCeukp2msCj1k/3hafmot6v4/zUtbwW+Rv/ZF+1HYQ69pZjxiV
crJv4U5U6rF/7vXOYnZaIRS4Rj4IsgB6HH0OB1LSdxTUvwSYgEo6xDIYC4Kf2995NRqAsv7HFn/x
kAIzVEpSeMEIIfX+WyR6q1mvsxYWlD83Ms0r3bJU8MCp9+VR+xLtoPWEej2OHMVOXP1hez2ib8cF
X6UWVtz6QITK5rGACkGXFu/BjjFU2r6WZIGTrofg9eNxIVgGKaj+J9QGqgZOYfqRUNXR1dsSDLgQ
b8rbxI2F85vsc205BxeB8RDhdUpD+58NxTXKMTjBNpt7UnAvfScdieiFYz0Qr4vkArGZAr+FOhSI
2DzIRDrQetrF+/weCrVO5zZIOzaxAyH92zqceuE2XMyBPKNuVahNe4Vu15ZNfkLf2a7foXV6ZDz6
k6M/Wh6EGFzpLSnOItREwFu4VXEHbjDLJf5PVBEl9D/GO9LmdgH0D9VFkxSrZ93CEHfadoURWQqD
A+bEP5OE7uKsPY3g8N2OiNX9u5rhuXwm0HdnM3t3M0vQrD5q5uQMUFSZOkHkrc8/LQxxqUTJQG6f
lyNaWbl8GjKoYaaBm0oPEibv8h5aF5+a5i6P+sPfrY/LL0Xig205QkAU4LsdrR6Ke5hEH6CiHL2p
9wCsAyCMCpj+LyMkizMJDVxVkpOKDR6Gz7Kb7Ebc+qH67bF2nQkpuM/NmxZ3tcgFH0mLYcLiUEsQ
BYDl/oQBClDWZjYlIozfup9cTXEBZwyt3BraVHhV/kNSazttWw8CaZCrdrc3bPXIWXxFLsCgPFll
84zCpZOAEirIzzlPRPCX9fSxMMIFFzHCEBHLpibRtg4lr8ErqQRlTzD4XdhAzuSzFu2kowilJFgc
P0VkBV0Zt4xXe4aw6aTrR7xGv9/+futQuuva+PEgWZsHEqtww+y94mBQ04nv5YPvfuvc0oaGUHgq
PmxbXHcNauCgtjCyw49rmgBDdA0FXrBID3UI4dbkDNqxWBFlxPWPd7XD/r6IL3Bnqb1PsDAfL7GR
bICIu9n93VK445P4YOmyGC+hOd72zQ0m4ltAESxQ4G7bkZkXvzqnretauMg1wtQEMhg1IyizvOZn
e4Qsnic/kmN9kF6mPcb20d2HZOWLJjqwRV+RC2Q1VqqoaBBf5BGw68sgYuyaD3Sne1Ak/fzGenWx
VC6g+7yZgwTT7F7UfqVgwzVyUJUnvZ0X7+bGEmzgWj2JVxlNV2VL0wy8Jf7pJF3dmXWfXxAX8t7a
s3oSD6l427bDAznIQlrElYIL9iCrCxSyiRFY7nNWWdL3GubHLpmkOjH2ima8a3eqA9Jb4M4FOPqV
3fvDHPcx4yhR5zGeIWSXWJpjKPSplsKvAucUGeG+oVaRroM8KwK6Lh5Jr91MjeGqZXlQzBYKIuoZ
GLGHCH1Qv/dv6hyatQBPgPnUSJ76WERfu1IHLVZs8fNrSl7quOyhQIHGCKS8n5Pk89yLhgD/xW3+
2UYQIvzpNhn0xiidUSbExzJ5oXuUKccWVPQvxAUL0L4TdYpW3UaWNYaOxJvOq9G0kVBpgljTxW3M
9By7QFnVjuXluyZ9zh0RX/LqV1zY4/JNFhdWrVYsR8f6qZQ/lGpzIrngVX0lqalkYYSLBX8MO2Ni
vZNBPswQqITQVDjCU++hBOxoYXwQ+CnbFC6J/mGPC4ZyAHaiV2Dv/w/fzx+2uJhQsk6RQB3GBg58
rzrNh+AXl1F9ehvbyNIYP2zQUqjhGSYeWEYL4ny1p9CjRSLR5xP4ID9YMKZjphasNGaMrgr4uwtc
vdVHCS8qljt525u1UiT8sST2Y5aHd22MJZweDl8q7txTJ6c3VfPYQHJl25DCvGzDK3jkcWZJcWhY
7Ayn5NGfQLvD1H570GKEhnrOJR18/Ur4ImeZ2+v9h1yFzENbasl+gopjl2Ak3qxAEF+AC9Itde2c
DAoU8CzrExunGbsAkx8VHnrReVTK8Rm6xLsJIhbpNP3YXshqFr5GE2V/X3wxS871SMmQhQNoqKn4
tb785e8ssKSxsNAPmEuKZLyT6FriNtV9RERI2bVi9I9t5/KOGdVFkDAUK5sDMN+DJmjnu1X2idE7
mefSAYzVetpe1SU6thyAS0N5o+T+GMuVV0K/EoDXnYETKq0Tp4tnh1a7MFIOVgzoQfkw4wlRj045
BhaN+DgpKsiAI2eEDJ86aE+l/h56InamdJAbLPdtokO99bsRAEaQvIQKKJO0p9b/XvSN3UyaZ5WP
en5jyl9xa4cqBbHL6ZSOhauZ+6opwJ9u2bm6i6WTWev70DjXQ3NsRvRISFvsoY73SaYA4RE/PM6Y
hdbrcaf7lhvgx0fQlQnD93mxK7ovknI7YpCNoDytvbw6knp0yxiaSzNIp6fWkYIfWREKomoNdYmN
BD0XcBXgXOInm4M6B51PBqAPLoIHKiXfe8a5Hw/FQ6Ur52AM93IAlqspbB288nz1s+YIwS/9YHXW
0S9bt5vicafV0mPayAY0s5tPQVN+keXeG0JotjfJo5SGP2Sp+6RVE+jnR3I3BiZmH+L6nEwtCBVK
LXamSVRQrZ9Z13VxUWaSqaQSo/4tGv9mBAulJKM7ruSHKVfuKrm6x23/m8BBVxOUCUp9PGLhf1yt
YRiB1ms6AluF/t0IJcc6/qFWiW22P8pZMNW89miDfbsa4/IuyFgHX+40ph0i71U33k901+z7nbrD
DaPYb69MaE39M6Pk2LJeLpF7r89R/5WMcn3jrgvjNm4etGA2Gjwqt2kObUno17f7dvra94rdQQa2
nUVs7yKDXLac5QxtvwFfUo6NB72i+Hwf0+Gpkb5UJmi38Su2P+Z6yXZdIJc68yqxYlqiZJPMotpZ
+XT0A9WOp6Jztw39S5K+WuISpjQqcj2CSAq1jbzPdtBPQ+zhzjS40xGMf3b+rRSZZI7wOkdfTbKP
vTh62qpV9QBdGC+vT5YW7DGqaweQgZvqxMVQ2qjKJ6LemvSDJN80mLWmRiX6CaLvy1d0aqxrKSv5
f0GFUjcJ3oUuA+pAu2hyC3c4TMphEkmorBdCv1fOY1ybUM7LoYEyTKaUP8Oh+Q7l+tnWwwTU1lD3
FWyt4DtfAnbxnfVkNgdVw4spg15IUCwywkO4txzWYshVQMckkcX1ovy6Pi7hBG2tJSZ7A/wFRGI6
FexF2jyDTO64vTrBDl4e5haLG4IkJUoJUx1A5FB+M7TvSSiCRK6Xk9f1cHnGqiVJ1nO07HDgJpA4
L+LJHrMIypufdMBKtlfE/rGNsLgAARcrQnOwz+Yc+bOeK0i+E0eOf2xbELkf+/vCgp+NBZBN8Pq2
6tzeBA2e2dmB9b0JRY7AYCmv1gKwD9SPZBVEjVx8VehQlDqj7fITcEW2cnTQC+lroYfuXAZAZMb6
bQSd49Sgz3WM2mV7nes3+qt5/g41x2GR6+b/pGFmMNbJHxJPsylu2PWLLvDE9YNvYY070yF+E+cD
g6fRJIUObDURCHoTdFtV6Y4qUwLJxCRzIOGy1/PpKUus21YV9WGFS+ZCLwZjN1pjuGOxPA4EIusp
Nm6budo+3gV7yLpuf+NVb1V0GThekwInyp0bGHjPipnimqqN8bHOZbuddAE6aO1xXSULG9xBUapS
ZOj4klgTKb+3x3TPcjTNzh3GtnqyYzxm26v6l728LotzXEmapZ767KqKx4HBm6EA6syANhbgw0ze
1Ji5rk/jwF2dbKQNbcDnk0utPVWQRJVVz0omQR24mioXZjj/jGLazrUO/0SCtKX2SMLSaUSnjcAf
NM7/cskYAsjFh16l+ns0Yl3TFCxjNRkvlsHXl/WMWpdRlrT+XOHhV3pCm7ICoQgGuWY6usVEBQ1X
ttmvs9hvZ9DYmhf5UimhE9MgT3oKaBvzfQ9YieTVnsjp1nDE8HMTT8dQGsAYItvAhR1VVQ0IdyBb
BlX6qJFJdqW4p/ZgkgqjX132rir9r6Qtd4qpPLRlDLYWpTqkEK+XC/8oyeltZIHVhMTZp0IeP1pq
d6Zq8dOPI+PemvWXVspFQiP/EijX38ydJeFEst7IcSe8cmD/Ap+JObDXXetqiks1kCHuc5BAokSN
wPMxfExnYRXMvPP1Tl9NcJmmLZpOT2KcvWzg1mrfsYHb4aEDVXrSHUuvFl6WVmuzxZZzeQaEM0rf
BohJlmdSNhwaQMuJMcOM2eE/cc+vHv5Xi3ztmYO1XFNUbBhrmDIy+LS7q8JD5oCLLrJ9W38fn/Ri
P9Ib0cPn+tmkKgRaWaquanxXTpWh5Wkyyc7FpL71RbvgtyXtTaM7KlnY4+I2T41kGCrsJms8LQaT
4vN0NnL3LUfGwhoXvWUJ9lItReZbclH9N/T9akJamOKCTs2GuBsv7c3wETdt2+iVkzGc29aCmFXk
1to5NX8Klrd6eixsctFX5G2IyQrUwGzzMJ+d7Oz+AL27xr2Dii9THIvFimOruX5hlIvHkmh+iOcE
hEea7Gfwm9u0re+VbPxe+eZzZok0wUQflgtHgllOvW+xh13ju0oB6Xa1kCwnmOJDoVUnQypPownB
+7w1BN93NSxVE3KIholDgB9MLfI4NvucNYQK0yHNDLY02Y5B+qGQp+2dXN/I35b4BEBCTalTDaCi
FB1u8Gza0vCk5/ttI+sf8mqEqzX0EVs3lmrh1T0aTrpiDwp19LkAOGDeDW3u6SGm0qmINWW9VLx+
xksKWhyhgVZEykQMhr/BEw3HOcPyqSipMQ98dWIsDHLVSJ9WJRkN5LQgSFy5H+0YLGNWpDiddG9I
hqOXgu37lyx6/bRcVqMl4sCKcGQYt6Y3H+eDvgvvZKcGVFICG8j2Pq6euYvlcUmN5IqR4sm78pKW
vs+I9iJXIhMiV2GRsdgy0xrR6E2wHjP2b0u4htHFu2zwInpTVj8sZfKiRnSjWG1QLJbFJbPAlKJs
tBADv6qWymGTUpbHRGxEyh2X0YwtD+FyGMQVrCEO9Ao1RXeizy0e2gxHPlNQLoGJVQNvJvjKTu17
xcYFTbiBq3kFGtWMpgRyS/ysZTnow9SxjDbhablKE3tuA7s1e8eYRZOqq76yMMVtZFGPsVExveOC
Js9j3h8JhPq23XHVVxYmuH1TYaJNVIvNwjLh4cQb9kDtCivxNRYUFdhOGWCmC46Ec/t+suYGZwEq
FflAVGLLYCsMWgjZloWt4uVo/lnVFOfsV73E81JAXD8KXGJB4QNq7l3jteaP7YWvflvIE0EvQMco
GM/ToEV6J8eyVHlp52lV5lSKiFNjPXUuTLDaeBGHSTESNexhoqtt5aTu1UPo5mcKzrfkWcYdOxTc
qkRL4jJnPQ/jaOrYy7JuI2iRFOdAEr1vr3q/jksP1RXspMLFHmmlDCqFSe2pwx6nDY7z0Hf1As8f
eCzY3qFV1zTwlKhqFkjJ+RkmBhXW+wDgSNpGH8w8cbU8sTOtsjsr38lV8W1SHnARE3C9rH7EhVUu
5ia1icveIEwi611HE3sSMiivfsKFBS7kEmJ0ehbAQq7/yGIM/kIhU41BT/du+/uJVsJtVWnFRdxD
WtmbtcZGe9IJccvbNrFa+SyWwrZw4eFaR6Q+Z5xqkvGt0+TnOaVOEoXHv7LCz2Z0ah8AOwArofp+
0LKdD97AxJp321bW5sGR0H/7Gz+k1PYyuNMtvH2xVKgktlUeKwgBM2GveQd6KOh3hzhPgg/bdtl2
vzrNFma5LBH7pNZrBktpB8s25+joZy+z9mD298PUu9u2hGvkUoRqFtak/eItr49pDopr042z4y+y
dAnUBGBLp26UCXZQ4PIWc9WFn4RxRmLcL0ASk2M+vbHTIrZD+q7MngTrYx9r62Nyx8yIzo5Sy5fn
p94tMC6IsSGQbMqn7DjchycrEjmNyCCXLtDJUlq/wn1Kty8GVXc+XAxSr3sIT0ohMLgOxFm4C5c9
8lTSZikFVpE8Gp6+L04x2K8Ml8ZoNxjv8n24ZzMi45fhaIDQLHBVW/Giu/fKU3kraq+te66hUgud
B5yjnDNpTRXjrAcGVda+jfWnRCntyAeHKqGOotfO9taKjPEulBezrgQou9qgOyvZTRHeFfHn2Sqd
WeRF64nTMmVd0wBYv3QVF95KGtqrOVOZNgbI3RcQW2UJyN5ez9qwHasff1vhvl4iRxgS6QCokWS7
vCkfcpcR/NYfAJE8Y8ZBcqT3jZsdJU/dTe/CHQOPxbfBz9hJT91h+7eIFsx9WxBhRKUJoTMvTj6l
RnmMfRGFxAWD/yowISyCnq+Chyte6muuwNoEhWNGtgHhwvf5PntJHLl0IPaRvq/fVY7vItHe9uDF
S239FDiMi8WuErC5+Y4OijDbcrXaqQeBW60u/fq7+LMlM2cSJhS3TUPFM5b/kQhn8dg+8isHoTKQ
zOhEg2efOyOzKPHNhqKIZ4/FSrNnKUlhMNh53yLfWq4QBrCWkxYW+X5EAa0uc2SqKumxxxFWVHbk
BTf9jtWc8UsiUk5ZrXNlVYZaEQDpBuTc/szuaAmGXcjG9VXA/ZwyOBtogkrIR/V0T9y2dsTPSWvb
pungQTV1lIevnkHBpFXUmNAHMW0MljpIZEfdj+2YWJtmgX7pbxP8U2fd+3OWhTAB6WrvMs0Su4lj
QXMT0yzAVxz9LyA7l46i93dWlvH+srTLNXqC0siG2oTUZ9dg8m/+oKVfi6h0JJD7VF8nSQTAEXxJ
ypxpkeymamoSdQDsLsk+ZNFLXTwJviPb/a31cHnOaoLEGk0SQlrozvxsnMhtDKhEcAQPJ1AhsjPe
RW7uqCKEweqNc/kduaTWKXo8WybkIhkSpf8e+G7HAhDDOxBeNF1IxAx7wlQAprNIZnf1DUfTTWhq
4Morv3p3kuSeSt1YRl7ZVV8JTb6OMm5kFQYzpMH/2E2mbhda+kWXo33f0tHOk/QtDZnlT+AKE3MO
dV8NoTydjbLqWl0E6E/2Ms3WDTWmMzHNj+Zc7AZI9Zm5ftMOvSfY97UstPwBXKGSZi3u3iG+AXsr
0G+A7U6+MoUcsPzBm90pfN42yPLoaz+7fnPuuhNqY0JrswAxW4VuF0b30vZnrkMZt+js2gcp4rhL
31IpLNfI5XarmIOy7scI7BeYi6HS+yJRBfGzHj6/l8Unc5DhzH2UYFlKEx/pEN+jmHZzmu62v95q
U22xlItLL/IAlYscKRy8djTvTgrGX5q0px+KxtTcQS4e42p8L5H+zHja/MSr0UvUcVdRtW52wG3v
RK3m1tIA6fFu3M0jqt8sKexcE01MrocWe8yFgDxka/gnrzjuoygL8D348YTcE3WiV1PjwhSXQfyu
J2U/DnhByGJHayy78EVwxLWLEVipf6+G7f7iq1s0sirwFuJ8Zmh6Gtn9YD2E1s089/vtDV4Nj4Ul
Lh9Mqm+GWY483xTfaXAXq3eq9FVHWdJk9wiNwXjctreKf1wujYt/i8pS4mchip2efAwDE7Lcaqrt
NWt6kFoVU+xFZudBcIr7AKNPyrGRsw+tbLqRbrqjWgrmiFdPVTgMVOpV9JJ4dmkon9MakEggQmLp
MNKfBLf5uPxRRJ/zDgSepLQFy19NfwuD7O+LnU0bPxinFH5KTvpeZjNsoUtfmOBzngLy0vaCAF69
2rOQ+GeF3Dk7NVE/GkOO/NfOsZsnVre3tPhDZPaJ/X+kXddy5Diy/SJGkKB/pa0qlWxL7V4YbdR0
oPf8+nug2Z2mULyFmd6HNbHamCyAifR5Tq+uLiYZAASb3OS19BmtzsStqfpFnTXXzlS/b9S72RhF
6+l7XQEN7TcLF06Mix5c0g+lOhlNHRog+AOoK9aQHbvE7A95TWRy37XZTZ3PR7XTgqSfPMEnEEjn
TSdIWlI8J0Rwf5mKzo2O/wtzOcrXf5+UN59am2RV2kAW83ash/RGQfcPeZP/HyP4WxqnXG2ak9Ge
FpZT/Jcn/X8BKFJ1mZgASNRl+yJzk5t2XOMRVvCv0VPW2WGy/hQDT9V17DyoSMmAH8vZjLyPxyjR
zeQNaANjlPkpCXon+qAA8SLzgSv8shxEeKR7Vl43FEW3TVT/LrKXylRLAFcxmWXiS6DUU/vlDwrz
WxG87SVjPC56VgPPjDxURvEzl2fBluBuEraVwV1dlbWDQs2yhgLGh1h3GCh6W/s//sJxJfVJ+ZPH
rWNhDpmfjhfO42dqA0nlxa7qUC6Nr3Wtnsq8mHxj1fPHNp3RqCXWvTXYpkPiWXLXKL3piCi73ouO
tr+BewgyRhmwO4mP181tYJcomiCNH3uB89hXkd8n5UzrbEuVVFUJ2O0TqXA0w/iQL/TbdWslOgkX
bOSZXGoTtn/C1cpBt4pa80gdScRTs3sSUwG9E7aYTcKjH+aSDU4pSUdHcZkVd8lltiQkoohkqsZH
4mD5MVE707CHy9cFW3sB72SMo9iyeq/q5V1ajp/LQsmceVAOQyTijtnz7YC4I3jDRJVNHlOP9GkL
3G98HlXLz21e+mt2u2I3bOg/mOZdnf66/qV273AjjtO5YsISY9zFiMj7j3afupMsqqgwe3B5gb8P
xOlbnA2lXZi4QDolL1MXPy2q4jba5KVkEg0L7Ord5jSc3g2p3pvTgm9C15uhACmUfJZi0UzzvhDA
E5sawCwAY/4+GFqluVoXGVc2ZZqry5+qqXEtTdQuF0jha3lAxrP0cZRgDMbmUKfjD3NqDoqkfLn+
/UViWNixiezyYSlTMMmk6KsZJ6m0nZgYPgi1nOtidp28DjQiC4N9MjCdOYtumonSzDkKGMpCY9eQ
8sUhWoS5O1tNfLVIY38eG+rLchH7baoUTlE3d0tVikjqd58zSAYY9gMyRB6BJ8+a3FzNRA9o+UWX
Xkz7i9wq2N0tnD7+ef3MIlGco4ySZURBDi9ZiQtHHT8NINeVe3+IVmcxg+uydq3G5ljc9aZzFmcl
ydMwmXK3kO6yCPlqFJhK6bVNkAzP18WJjsaVJyQ11jUiIb+uyvoVaIj3lly+pG0BLoRIeVV6Ufd3
14Zsjsc9uc5ea21WcJU27O5E7qT4l96daST4Ysw8XJiq32J47J2mWeM2wcJzaA2pa9NX4XD6vgAL
IjRAgSg8Ds5qoazTNHjUSp15QKoJVIxnXv80eyIMoEvZigqCZQRR7x+03udLoy1pGoIp4c4Yxo+T
MQmUbTc828rgnIZc1GB9yKFtF2SObzyk4jG6/UPhuQJH15BBHf3+UGbS9wAQwqGSSg4zOzsmq/F8
/d7+n0P9LYP/+NKYSKY2rzhUNMiepJLZb8nUnFupu7HVBvE7EOU8ougYUkxv0PQ9S3UBILka0D8J
7f4kIDWAE/efI/MYTW3aLlKa62WIUckgwYj/OEjfy6F4tPQqlLMHoPI6XVm46kxuF8USGew9gwIP
JzNuOfS4+DZI3UdVE2dIyqz1tsQwmt0+ldpLUX4F22Bii+q7LAbgH54BEm6M4hCkLm/fZuOFKq2f
7amwynBVFsca6vskIk5UAKWz/kkG2cml9FTnr5qRuqOM9URVv6VRJdgc2XOF0C401VGJQ4LI2dC1
UujQS9DqTMmPo1TfShMgETXlcF3R3l7gxWGB62oRC20mg3eFXaL2JuYzEKQ0q+5E9vKkRvbHMZ9P
CpAiyiR1FTU74F83OQHNbyV/nyc1mEFD49RxGWim5SQl0AgoKsNrGxSmecRqrqdOizuuip82jdOh
BD9odmDVIEehhd/Y2UlJGydSi9Niy4d2SDzs3/uLNfhoacR+lpkPQy4disS+lVI7iIfspkqxj2eY
XkMBhyHTg2mqnpZHZxTevDXW/Q7DUsOo/IiUMZjTNFAk7Uaf2jtTWm+zaXiOiP1V1afzUM29l1XS
zapqk8Da7cYVhqXAnJrQVGjPe8tgqeVQmfq6LR7803VyoSzOoddKnBkVk/XvSzB7Dg/kjmgIgs9c
VXlHQWtwnJozKnwZck9Nmh2JPNbjz0Z7ua6Mu41Bw7IIYBdVqDzvLua5oCoAh0FO4BuTV/4gJ82V
VaDdxX7yyXAsp4i/M5hV0bjFrkXfyOVciF2vilYS1IrxIp1seCX5HwS224NxaQcWHRUMB6OGpUjf
axo7RYVd0s/Xb2/XSG4OwQ65MVuRnYHZxcyqMGqqhxbrBgMGQJW2BYbr5OhSdJwiETnKrpHaiOT0
XU3VaikGiJTK+yFJvdR8JYXgWEKl4BR9iEuiYBmQ+XdAxLrwfZXldY7ijDdJEnQeCaogjZ5tTzQQ
JDodZ4KBYW+qY4q6jzUUx3EYn7WxDK1xFPh6kRj2XTffjZq0qCIJyidVM5is5L4Lisz2SNYIK+d7
ZdutGnKRi14UFHk+1PB9cZPtuos6PIJT8T3+oZjsKCsXRH718xL/msjHPBI8KsGr5fGgTHPulsJo
EIeju9MuX3Xtw/UXtXcGE/stKD+rgJTmMWQiUCqPSYXJ6lh7xPazqp10EZzLbm8BgQ2CGwxMI0zi
IuSpUQAhUWG6H0BuQB/2MbTkVqULwHoKe6e6cygfLLCrieoGezZ9K5czeVhzwQJhwr7P0A9u1sff
olW9WZv5cZnoy/V73Jdl2bKB2pWCMgWn4VSTksrOESmWv0rzPlU7L7M/K0I0gl2faKIG8h9BvNLN
YHakpQ57ZMxpIHfGKwCRD7GhO8V009L1VBt6EMvqY263bvkHyL3qVjj3JXM4UFTm4Lw0G0x0UpEc
ulyzHTKa3+ViDa5f6a5V3Erjvh8ggIq1QY0MVrE/zhaaYMCvS73OSw6lD1LLkH42p2Pq/cn+91Yu
78kSA9DqLaxxZARqpHmgm/EsKtpi3tUYBe0KlM8s4J6xl7mxiZmUZtPCJkww1Zpmr5HysZdPySyI
sfcvcSOG/YyNGFpkRWq1RAoYAEH9RUpBglS5oMusgSbTHDEIzViLM3cSjVzua+pGMudbKr2ZppwU
mE/His18ZKgjxlk/rbfipR7RXXL+Za6iPpH6ATXcaPR0KgX5TFxdAwNXo9NOEALvmszNubinnmso
ChoYqwhbTMYPw1fGHDnW364rv0AI332UGw3AXJ1Uh9V67PvkE1HKxpH7TPX+Nznci7apDihYA2+s
Nxanic5qDGCQXFRb3c31MeP7X2Xn9wBpXYKTeYUWjsFE0NL+CzJiif3Bkz01d/LgTxpzW4ncI87A
OLQgHcSysS250fQJgaNAD9h35tNKEzEtmn5ocMKzvX9Z4M4h+sCWkn4vPzEYAhGg+P7dYV0GBXAd
2KT8CCiRmjiNbejbmjA6s/zA9gpsgMR8s7AfHtu4PMu/rhW74xfmb5m8+kVGLJPRQDWCjZ1WaM55
JjqpR0Y6Hcl3ALTzqNuK7D27sIsL3QjldNFSiTnTYfpvuqc48416+wb+XYaeaFBy3zxtpHHepTQ7
tRxZf/93oPhPE9ndx6yCNZJB9SEQYn/f2OCUrIk15YjiGMJr/UTj2ZnTH9c/mUgGZ+dHBg68TAh2
aqV3R/A+dHNgz38UXqO7/vdROKO+yH2hjgsGgf6aVIhPce/NjGPun+zwi87EmXVSa3pUragQZkMT
rO0X0PoFSieqvO1u8G7PxBl0MJiWU21B2bVw8YtDFY6OCmoVF7Gpvxw02b3+pd4ez4We/75Dnt+N
qtoSYeMVIVz5sRyzO10uAcV7qlS4yEZHcj7ekBoUHaQSSGb3dSnYxkI76osmqmHv9TABLHw61XCT
HUoPjVI61Lgf5Zd1yP1GO1vkRXDQ3Qety5jYJwamMvgdvF5rZo0xg6N+A9gskMzR2gM5FcY4e1AA
SZOTfhJIZNA8FyfUVd3UiKZgy5D9os1Lm5sOOLMEoVttFt6yvrTS67I89tlnIK1QGWGr5JYigpe9
HA2S/pbJ/r6ROeRLOwK9PQ2pOfuloXpVMj4KzsW+DH8uS0ftEh/OUC7w/CV7ssdyQArFbrJ9KIP+
MAXD0bgpAdcqkLX31WwbG5qYEFK1i8mMzlaVHqkcW8ZGNVQDW0Hi/U1XD8o0V5RH713gViBniU1g
u640YbyOyuMiyX6szyLXsnN/GqBSEdUTbJ5eNPmlCMNJQAD7ExDMnVgUlBzw1oaBgjMoxd6rQzbP
WhO3cR3q3W29Zjea8cNaJncR0vbuWEdouaWyPSOmfezvG70zJqk2SV7XwAJ4sotHGt8mlqApsicC
xOwGMPRtwB3xbYLWjsZWjec6JNFd3HyuZz+TRa0I9nU51QZUmYptJgt9CJs3EoVmJUvdpVpg3cqu
hp3C+QAEOmd1p6N4k3znQCC81OGFNVSvL+Z/c4MWmjm1GvB0WreusKa5fFHbP3lCAI36a6AEVXr+
05COLn0SD3rQgPl1heFTegf5gt+dVVd20F8REgPvPFoEF2w5Cj1/jM5whi/qVyxWrzKGRamrnUD4
dE9e8lODlPkVmxLJRwAXY3B+ORSBLDuAHYieWAotxjfYCYrZUo0K3D3DvlTKKK5JA4YyO6Dn+VwG
1nEI8odeGBTvmIx3YrhoJ21M4LNEhh0MHT1oGr2nnSwqH+1tnb0TwsU6yoidLKKbdkBC9TPx13OL
JLb4+hdmL/bPDvEhcbMA6cXBcNpvgI147BLHummCOkRRKxXmNHvai0+LTSkD+2AX7LMlWbFqky96
YLTpoQGnkKb+WCRyuO4AdgyYtZHChydjZsSakih6IJPupqL9s97XD3VZesDqfrouai+3eSeLM5aY
f1ESUtp2IJ/SQ3E3PrBVPob3Gv9cwXsiSgr31nreyeNcTV4B8iqqoZ5mYlTOFM14DJ3iFUD3dntV
fuyWHiuvcQQyuvJuJPY5HSiwiydHyh6LKXGiqLspSvsJswb+9au4+LYIyoA1xDiqwLl6kU3WVpfr
emQYgW6WFnqNxKP24i+0fL0u5/LKmSAb9UNDxUjERVBmVLLVNQlgbdX7/Al8tQMwcrweJupOxarq
Uxm7yQy+UEcg9iL25MRyL3Za1cLoxgXn+7BgiVM5l9h1hp3ypqc3og3AOaoyzJP0YP68LlokmXvG
M7WyvJ4mSB4/2agfou3sIUqTVuLWc+3mmqgwILxi9os2njnDlL1R6kMUsLXu9DAZILJK3bZ1GMb3
ckCvavqfZXJJjKpENKKEWkHv1cfBjw+5H5/sO8Z4qX8TVyUuDDA+J0H3FxYQUy8XgbZtaqMS2/ic
Y5phaVNGW11Y/72IDJgM1NItorC9UL4nW1SK1o7o6KN0OfnTHQ3Ylq9xD3C8YDisX65rCbnwoEya
qmooCbCZYINT0EKlACCa4VLGAChqpT+ftY/T3fTSvSAdO6bn6AMJqF+/Zn7pVyOQR9vXMvzXpWf2
I8AMhwAFpMgXwaOy5KNcAEgiMHsMD9C7bPlqNP92HpmTwdnAVlXGqZNgA3U6eFoiHXJdxKWz9+S2
x+CiEVKVM6kBhxGkcuyRfnEyavkZAESq9vsMFDcpTv7EvmxFMoXdvLlBopYx0sgOtLD5Bn7dFbvL
DJYWiBhnBpuu+BqoZxNfmVzREOxlg+vtRrF1oNqmBSvOvb21N/VkWWFSe28dXOtRBgHmsQzmm/TW
APmEswCaenXIQVQa3H2E2t9y+V6QpC60yIGbFcj2B2z6OT0VTW++TT+/i87fH41vQGZLSqS5ZwqJ
7cvAChUQpDoYr8S/+SiT3M5AyrKBj6EFdkg8cFGlwmLknmfE3tV/b5ffMQbRVEUytMOCtvxCZdtV
l5cue77++kU3ySnsqAzpKFnQnrEAWEIOfx8NokRn9xw6eqAYywUvH9/w6Q0JxLMzzkHPowfgWkCL
tt/Tc3YXIydIg+YgCTtZl3Vc9vl0Tca4DlCQMNr2/lXkILZISoAoBtGLdjJBApsECFxD5WSHlccA
qEWJyCWLHpOIkUFkIoC/wPoEJxHIkKsK1IIg/2jez551Us46qLRm4JooYXGsnfWbdQMGLzFG9O43
3Ejm7NrSDJjeBjzkW6fLcFM/CRbJ6Z3Bi5zMKe6zl1ngM/avdyOSu950NCeaZBA5udJ9dCoDoCX0
sDROflzO2WnF/zw5zeG6ru4a141Qdg8bS1dXa0OUDjdsac+jcdD0u5rKB7sGwU3feYtoDW9XbTfi
2N834oxhnXPLxNMAVibYCYlxMlbs3he56l4/l0gQ54Dnus/NJZagq1HszjJSV+1cDQKuRbIbVGyO
w0WDCW2oZlHc3nIqj81TmrrZF5k6/bMJKOkkGJ3WBzbZEfj46i8rga9vw+mgCuoq+2Z18yu4CHFM
wDja93EUkEfM+/lWWN3lh2l2Vqe4JQ9K2PuKu36jfoleS+4NB0mAU3ZZ8+aeKeey+jrPFyy+sNgq
eSi/gG/pExvGGJ6rD+Iluf3Y6vdx39bHNzpUxU01tCWOO7kZwFJO6uf1c/JzPFqgAPBowPjF06Ny
ok+YxUyJVxDPDpmzjvzrKvY2nXjhzjY/hLNOQzUNQ6NEeiA1HnPRrNZPfyWeBnNRAFPwrD/qp/lb
dmjBt6Z7vacEkVt79lH4AQTW6k1PN1dir7ZcKjJMx1+1cUCexI7y3fKGQArpKS2d4ZPQNjPdvnZ6
zlzpjZYbgwnQuMmtzxINVOIZ6CViY5qRu2uf9cfRB1txFcg3olDlbZDommzOakm0K7CZBIVr/PJc
3LWVs/j4+gftSD3ApYHZ1x+CGObTSe66I0CwAMPJ5iBjzwYSFfIMEDYvh8pLA+GnEF0LZ+GyEkgB
wLvQ/+M4sp/ZZ+qtN9aDDdb7xWuC6Vmv3DIUViMuuhVvj5AhFCLFQZ2Vs0VrZOXxEkEHtJA+2EF0
LH9hNdZNPfXPHNVvSZy9aYlWKbKMB0jP9mcSv9X0czfqcc1sO7Z/pZUrXPFkNuTyk/8WytkYzLMX
qqFB3cagPMadI/vzh/4DvjTAfbBR/lM/6WH6QH3Sg47eEniTy8GX95drscvfPLA0naW+YQiJ84/0
aXzISoBi1bY3F86Izp6M6MfMUNZxZslJv183M8ruyU2FvFVBEQNxD62JgRiqETiZySUnIKO69D6p
HSDXBZYH3tuP6bOGXDIuneZezCt6Ub9jB98I515aAwZyy0ozI5joSRpfR0KdRb+PMMp//ZS7/noj
h3s2S6yasT6kRtCv0KO+eALUs5P2ItRBkRguLADIat9QncJVSkWwRphyJw6Qef4of9ychnuLLTjo
jb7AJ2M1G8ZNs5yUQPFKLz3ZgMQjqjt5OrCohkPzR4mBiSjcRNsSI3ScU0Kr0sprDenjf8pFs1vc
1gewa9kvg2fBHJe3xt0oHa9/vv2sdSOWi5fbxlyiqEf2mB0nH1z1N+xlMvg/xcU3Rdgh7g78Pw/j
91G5h6EWql2B2ZJFXwsWTzByVN+UqQeuR8a0YIIDS1ndrvdry9O7ACtA/+BHvC0vXdilzcG5B9JK
RZRLzDJkx/KhP1sn7eMse/Rh+hjf5H4Rji75MQQMXYoeVuoQAHcCmDA7WYfu3B31xvnTRG3zm7jH
FE9pBBWEK2A6AEai7q1kuNwPGHasQ/thnRxRrWm3TAlkhr/1jntZeZrpKpWgAJMru8TtXB0zPiiZ
rO5wZlyEtnB6hH3eazfPPbKsV/IFkWcEh5f8tIMGh2Ti9F89UuBYnP7u247fJ+TcnpXPekmYHQZa
6BEEn2BJiB6ACB3IweIhzsTLEjr13fRsc6uc10uauNeXOIW9Ml3rdvTK5/oh+9zes0ZR65MUQxeO
uvjMAdmekOpNIJ3fYm5KozOBys1KUXR0rF91oH/KAat7yqHWaAIaDnbO68ZVfHKwntDsEBgVZjSu
fGEeBjenapIRAmvdekBqhE7NBwxGgOJL9ctQFZmwfVf39/e1ORM2SDOloHtnltMIe0bmBTsSecxg
L2eCBs+ZhZDYbhC4vt3g/fc35ivT9qAMdaHgtZYy9sCG1TFTKhCxq7oATWG9PrYRyKlu1LAUbcZF
5kgNc/QZi8VBECf6Xrsn2YjhtFWhWl8ugFoKynMUovuOXpBT32Cg1QeQu1u6hiD/3o21f8vjM8Ep
aXM9L3Esu8QwYTY4pDgCJcwpF82rYhr+iTpuxPGuNapzbchwPEYgpJaPTWh4CzDq7fkAPg9xh5Zd
F6/+DO8GwH2YMkFv+H3QqS9R1XVLFQVSe1D1b0k+PI7LdNIj88HAyruUY1ZzFeXye1Z1I5SPdBNM
dMVNWViwqitxNH8+9I4aVgQOjOVL1JVEEcveK99K5K61pSY49ZjECN1wOO8OpXbdH7Bk8UQgUf35
B58RIy4KQDoUDfNH7AY2sfwkWUozjmhudf6IXL1z4pPloQdzZOcTEQe+6eDFRzRU28ZMCusGcU+v
Lio1i60GBTbsc7Sq9ctoSJBJrV+Vi28AxwDP0stN6YOxTOfIrL92CIQzZ6nLyclH3XSrmfb+nDee
EmMgQ+98tSWqMxTLKjCAe0YCRBJ//1JO3dJlast8gbVPa7SKOqeI+qOhJY9/cv2/xRhcKkXkQi6A
WWMhe0Tt5g2jegrAde20mCARhiW7yrWRximXlvXS1KqQptyzOrkCUF/sDYSoGQP5TChtz4VsrtDg
XEhZgI1+LdEdnoPFb780bnM7fqI364kE4BTH6bDokj2KyiGX08dI0rZiOY2GisUF6ToDgw9KAP6R
g+Tnrh4qfnVvCpRkz8RvRbG/bx5PXli0nbC/D5rL0Smkrxp9vq4fIgFc7FpkabnSvECUNQEttT+C
eUTkpvbcxvYMXKiqSeu8VhLYEQF3LaOPDiNQ+NNLFapP/WkKsKB96B6GB3FXYbdiuJXMhawtpd28
am+mB6MgsD2ugZTgbvBlv/TmT+oNKyz4+i1bZKtjp3btI97iXfdTPogM0/5rR44I5CND01Tunqna
pHOdAWVkHRqPtl0gF2agjCJM3928QDV+y7m47CWfxwzW3ezdovDUoPSqML6dVDdKHDkwAvE1778H
jGcClABTVdiJeq+krbWuWMzXDfiw8Zj9qMIctTeMLnzsX0RvjxnFC/NuaqoMPDoNqE/c0+vGtVMW
guONgYWWDaOP7P7BqOHlrBF74raCLr6lY9qbDxJbClSdXM1MhOKTXz4YH/NTETZhf+h986T4TdB8
AEnNjWjRe7cDB/pXbIpgzAfzE9x7z0qJDkjsIjjLxbc+po/DbXNbhEByYMxGbh3G7npbu9N30cWS
PUOwlcx9RDmb+wqYamiH9ej7aX5JtTaowZ781Rp0864wYzMYkuynTeqDaSl3sdl/W4Y1ddehBJFb
fgSEypeiqmRfK2wK8vHYrwvyqEuJBGhTdNG7vlGUY52C4WdMV/ffmzH2sTBsYmJpkt/MnwgY62tT
joIhR0KMwWdTF7R9dvuFWxGcsyGjpVYNK/rLJ/Sc6APzpTko+9BzQBc9c4Dx510/1J7h3ErklF2f
iqqhBrp3kzT5aH+EcpV7Zq2E8ueSyoLgfrektJXGqR6hjboSm0nDFETyMB7NGzaFwYpKVuLFmED9
BzWl/SNibg6bWJhU5rFq4toci5glY/Ro/EJXA5vSrLFTfxoQo0zn6qe9OBgS/Z56ojRw/6lZf4vm
IWwaGmWJoUG0Fmpf23MVB7Mn+x2GQg2P1dF0t6en5tjj0Yk+7N5b0zHIDDeAsekLHI5oJUkykBWz
oEQ9ttPyI7IVQdy3JwKgpIBnxMSpdjE8MBUAAaozJQoarfIpaBYNS1RD3r3BrQxOY1ZMuSaJsqIg
iEWz4ZvhdqHkr8/FCXyPRx0jJclp/trnKMGJLnDXPm9Fc9YKitQSc1n+Krtap8TtzyrmFHL0REC7
6tI7HdaSEUhcf5GXY8XwC1u5nHtNY2vJlxX2mR4tcLCA9dH8nnmLa4XdXReONzbKRIq/viS+dr94
jEewvCUYiUV8ccKmbpichFex5xJNGYjqmCm2GJrpe+9bLknR4TMgjyiS2OmAfIOKZzoFqqR/NbXI
dAsAbgRTbh1b0mBSNlFMdy1p7teVDC1PpsbHIvjs5kXb++0ASmTFGqPTVCSFUw1aeP0GdwOU7c/l
bjBW4hGEQDAza97+iJLC9CUtdZYRFDJaH01O3JUAqg5kIztY+lFVpM5Ji2d7ql+v/xB2LXwkgcVP
QDZpmgEOXy5Tiere1LKUvUFLe9Ty/DBrtdtkwb+WglFdkMzhy2Bti48jsEpQYuO/ysJai504xfxQ
9MEGTtV1KTtWFAgQtg4QaJSbwMjzXgVSeS61BEP0YT0D+jWDnUbZsG17hzazI0+94BWwT8RdnYHd
FUuHqzUugdmUbIRhoXEe0kp9rNHryHrgP7RJ/doMmCK7fra9JwdsaxPQE2A7BssIp9/m3C9Fma8Z
thbTp/xmuM1uG9+8t73mMGKhqjhkqBpqjh7ad/UhvrW8vHFMX/sRofhPscGB+pQryjx3b2Dzmzgl
7mttHVRNykKJAOhZtx3NAtvCz1QIv8GCiour3gjivmxfymaR5ECcZHvKU0g/JF79SQFlunZjS44o
SdlxGu+umiueFHEuY2M5zcO+A1DDaLozGibXP6fGgpZrJ+LKHmtKey2z4TRUCmycxQIjGF57HDUu
lchzCVxwGdixgEl8wf8NS5Xz8HmQ20MyzB5gPl0rLz1pxPZEpDuxFjlm091GqfSIBMRwUnM2HZDB
Yyal7WOnxWCiV1nj51rHFGtueH1pHgGZEqRrG7Ygd+p706+qxYnn/qTVcuJMCUL+AcQyNXAINDyg
aYrP6lSjHk+96xexV6naXjY/ADp2cT9MxZSH648ZoxzT4BWDB/C46Ln7kh9Vt/DigADU7SX6BNyM
77AfwpBvx3UYuoL5BRNGkC1yvbcb+iwBujzO8pDozkzARTX5VHWSz6k/3yxfijNjwq0CeBX9BVPT
bSga6dnTt618LoAAVHDSVRnNw9h+yEfgoGkCbdvzNu9OyBkPo1aKiJh9Biz+5Ccrkce++qSH5kn1
WyzCi3g491Lhd/I4w9BIbRUbEk7EsP9bvFaWCtuhFsiH5OW6Au3ZoO3lcaYhA225WuiA+VSUBG7/
ea1eLftJaQRi9mYxDKAhgBcGGamG+av3SlJlyJJJZkBJQiXQ3Pa+C6OjdWR5gepWQQ1FRZlNFNYQ
5n95O7ERy6MY2LbedgrN2U2CyuoERxZ/HQ/Wz0jFmBHr78Yu+WQ+SJ71NgvyUOESRKXyXf38ffS3
r72pviVU62a1ocz69kcld4EwJzvmi/LULg7Whf3lxkqCuPavf1imk9dOznzCRipmX6Klwt5LWLUA
e0mfraZ2jF6Q7omOxj39Ka4AfVoXeZg1SUArwLwUwfVj7I0pbhXnLaHenMMw6djL/ZqH2uOMmQwF
I3Js89kI2q9i3J+9ZMTErDRo9ZDvYBeLew4psVONRBpQT4/ktHqTuwbzWUX9eXTV04KGg/24eAVo
vYWJ5M5VQrIF3E9iII7ky1/FkKO+WeqM70O6V1IH24ZIRDSnw38NFKiJOP/ZE4kXAHFgYETMz3+9
Ya2WMYHI2cL4jq2jG/fx338907ZttG2wQox1Fi4+RoGKkakAXIaxv8eZq95Yx/U0edNPVIjFEdWe
tryTx2m9rutpl+b4fmB0W7EGi4m+MHqeT6OfYqbjT9Yv3onjbnCowFlpgSw5VBdkPd3itGvtXr9C
baef/04G+4qbBzBHiYaRaBxJTU01iGdwI0VD4cuG2Z6AN4BXHVP0FWlcgu1++Vha9B4o3F7eKw5N
MWJDGgyBLdaPkqh3OV2/RpX9IVb6sBhImDTyuc+twk0myWni2W/U9Ije163da448NrdzmX0A8k2Q
KKPTSfYNetW+QpLbkcivjVF0DtYZgw5ripgRPySp7bzlhf3iVUb0AIyyZ2lQgh4bh8FITL/Q21/X
b2fHfWFPCqUJ7IhBlflXoyxzli4MiUmbVaequ8c6qt25XkI5abzrovYml97JYr9l8yHasTRLakyQ
VRn9T12ys9DEysHJ7KfCByPHAUV7R5IxdDBm9dGI5hC4Sse0CI2ikV8k0K8XEgliM32mM8k8UCyc
gIwrsMh7NY13v5KzYEjwkq5kdgSTy5+bb+uZIiWmTullgelOoPNQXGtEuZschGXnHXuCB01Qwcdm
qWnzZfUEzAZ21ABcZHKrj9lxBZEIXh/GiarKSZ5kT7zMvysRyy02NuwBasKvXY1znSuzDHiYpEOx
bWq9ZBZUwHbcKMPr+a8EPr5ekgmgERLOVPe6oxDkigrYKa1OpFzMUnDu+p0c3lDmY0OWCq+cuZzs
wbyZb0q0JUbfPhE2pfBToMzMEF6TxxnK1kCmgiU9wEp2cXMyqhUxu10fbFq37pos91SXA5sMH7oh
/Zhi+D2rv08yeDKv/wzB9+NTB3mYG81E5Sac8k9R+7XsBWGn6J/P/r55suOYWYwsHVyYiQS4rBez
/n79ADu5z7vPxtRnI6DSuiGqZ+A6scy6DPJQRZQu1vO9uAQLqdpbYQYhAj8nrptj1JRonMCPtse6
duTXDDjBszNoGHUyEEb22Mvxq9qzYme5SU6iHGv3GRiM94yAExP/8f6cKZgVWBWMweud0uKhXb8q
8fH6VYpEcBo5DFElD8RAAIQpEsmIHXVanWkRzTvtqsTmJJzLnnVSVa2Ck8jzbQJ879wUcfLtpW8W
4F9M1kbCHBDfjqh7eZkS00RcFYxAwMA46WlFDox3LE4V946zkcX3H1rTbvu+kXCcsPhYHtsjq56b
L/HRfNSCIrDuhLyoey53K5FTBUQLZQGmJFhEz75vkMKkTgK+3srFaAF1J4A8nSOMhUjHsRSEQntJ
5PZiVU5FRlB+5dZqYZwQPhYj2ubNei788oN9N2I2G0QfaLNAsCiLFH3Qt82WzSvvzDnXshn70vEd
EDSD+RAdyjtUOv7J7MveMyCIl996WWgac/67WJWyoEB/DcrPvWecBjhQ9S46nDGAzhYGgp+igU32
D+Q9AcTpgHlCafSiMqrZa5wYBR6EmcRulvmt/tIifpsUx6h7//obF8niQqjl/0i7suW4cWX5RYzg
vrxy7VWtXbJeGJZsc993fv1NtM+12BCnMcfnZWIiHKFqgIVCoSork29alNIbaAx+TJlyikrRldvb
KBQdf/h53dTqwRAMAPGQHqLYR4V+sZymPhLhK2VeOvH0lCvMJ9v6aj5NkE+5cItIaxuNn4PYi57T
7eREm2THxzb/YzpJ91D6xGjLj3LHbfPcSvLN9dWt9ZFRcfu0Te1kn6EoLwc+Lp637PtsZ2CtSzCm
0NgdtH0Amo+YXau1DcX7CQpMCoATSIguV2uUVThmPCz2PDSxBrMsmTR8a7epAsAd2rga3ov0OSv0
sYawpEjg6PIuBHNQBiB84uhb4Y47KjtdsLtvRI8us6scYHHWFP/a0QMpHgI28HRQiqFWiEmIuWyy
JPay9h2nYBw6S4hZAIC1RA/vbSTKRO8RGJvLbSzrMRHrJI09yDHpkImYHURMj/AUgCaAlyxMv/be
XwDAyCP/j1HKU6d4ijPIS8JTswrEGb2vW0YA5pfrTrnqIQsrlE8OXB5yQAqixzIlmsslFVIUyIj8
j1aoryRyg4R3GJ5hwTDcVEL7GKDw/jc2wDZKZCR5lLWpO04a8yzLB9hQyt7MtW/5xHrWn+MPHXbR
z1MJ7aRMHhiXfoA2X1/UA0oHjdM967sSk8flS77P7oS9ArgV2k/QDQHjiRibsq14we2wFff+Tbzj
dmRq3zikMi6g7sTdIlUq/qJmqS9+HV03FYxK4CJSt5l26g5yBF75wN3rB9RQoEPQvadvrCrpWiPj
wiK15VwIkhAfLHB4AAEOOVvkmg3fw1P50L6Um9FSdoUN2YoEoism2oO5xQznq8f/84uca0uLcJ51
EPIsW/wCqTMT1VR35Y/f5F7oYs1W4JvdNv0XVbjVoLcwSyWkbVYWTZeCPPI3iXCP4qbssl/na5fV
8otScUfnE65QwRrmhWJhZ/1kh0biDtVDo97zOSOVX2uYXHxMKt5UqSGX44CtbO3erhqgw2dTvpXu
8vvUSR5Si5mhkczvymk6Z47Lb5dwvq908Ff5rj4kKDsEP/kTd+QwMqx9Y83ur1UZL5ZHhaC4yttR
brGX6h2B7p5pZjaVnW1Hb2Ki+Zgng+qnGlHJITWDtfNmzib6xChNN2aykyWXTE0TOtV6NnsQzORm
U5JhNed6ZGd+UCpalbXe5eKI30Dkx1QME/W8qaJfznmFiyFaNiBljTBgucfnXVl80U4TBhQ2YZGw
1ofY43HbHpQToKhu9ZOzgKyfgIdR9woyf9/E83eTHllAna88vRKQm59n89xeWvwIRQsqfebxI/hd
C66AfiNjVi3csNkMWRtMkwHE/iSIRg8H5r2wN1G2xopRKveUGoPK6I25LPDBaga5XBsdd9qsinqJ
rM2Lbs6T+Jj8qTfdRw+iSAK0Z025MgLdGTu62MwWw7UiSDfhQ2VsBcLdIInWbByD/D5JCisLjHuj
ZaV0zH2lIpHUFxGgLKjfkfEf7p2Q37TOZCfbbkuebzxLC3CNXeTCZagkKFRVjuNIS+B8UmozrAEv
Ea3QkjYdaurfuyM6ZS04RpRdI5jVjzQ4TxmwFs48P1SMKsZKwFQxiYie7yVoJrUP07NgB7voKULF
SLAIuwb3K4nAjEX+N7DRSmCWGclqr8RlkYpdaaXVZU4iZfLc26Ijbeb9+I5e3hbKa8BGpjvtG4gu
mNfBaia6OLdUuPL1qc1iZYSq5PEI8A6RU9+gBv5dOS/0r0oii6NEF2HGRga9SX7OXcRd+Sg6CtZJ
xpM0r9rGm8rlzWnDtEoyoit7S8sVAo2WcDVx7fYVl+xNase2/EMi8SJxjR+MC4BxwdKlFyUVs071
UegcdqPN4UKPME8qgy+GP/yLcufqI+nz+9EPQYxRBXlpYEPLD+XB+CBtXyh+uelwZoVhD+0x/IUu
FmTKlPc6ib668pjrj2yUK+McSFQY6uZW7VQd8lcN55QS/y4PXjABQ+Iza2TkL13zCir++F1kqB1J
vcQ7aasf48cEPGP9ZrzHOOKd4TX/YkKGFWTph3PYl36RqROJNdEmdfsXkTP9H9Kxd4D+5DEsXzOp
C1geQgeWdtQSTib+aA2OjPpj9hP1VuQCgZXvuo3IaquxtpWKKLyoovqtYltfn5vUrB8lAhj88ZNY
lL73TxyzGMFKMmV65E7p1aQlCVBtd2CQDq0GqEQIVe4wMbZnPb8Y/kk/eAM1kX21iWNPlgykHkOJ
K6GQbU6fgJgxtP9eDeYysZJJuFnkAlop5WEiYTuzZ4LqwMwd3rtWa04uIFVgh2TOFLIWSGc7vT5N
uY4F8vMmmCBvOpdm4aemkKus0hzjpSVTL61Sy/1QyrA2/216xvR9bsZucCSMA4LTgnQvuUUr1Irw
hGfEaMaZoDnHlWHOO3H6feXX5nlK08HI6nY4nCHk7MlJ1kqpWBNKeftbnovQRwxoQ0WYPUagPlQg
OQd3B0aMXiDths/JeqwzArZMZTc+vqQGOn9cEMUbl76muWgxNpPlMFSAMdSmGwoVlCyyJ4G/0xLx
yoOfZpa6LX9FB0wq3dT3icvE/rE+IhVoxGiSK45UXvTE1D3ZASmYBC3gBmokxVZwwh3KPT2L6JwV
wWnG72qOJLlssJ+/gw3e6/t+E3gzQQtshr8inwMHPwb9DKCdQHtFfT/RL6OJj8kqjzloOYSN5vAn
tHDw1Ans0GN8y9XgvbBGfcusA8O4QtKJQvAwwjl8x5QvgmljA70L0MCYYniU5MDMPHT1ybMwTH1M
AzJyIILGMnmPnywuN0eoewb79iQdoMH2pNu1M+N+zh2iwcY+Jet3yKd9mheA49ooTQLgI8gt2T8q
G31LXrD8oTmxy+erZ3JhjKrgQVudyxQFi626D6n+GFjEjasncvH3qTtDTtVRS1P8/TnSepPXp33R
Kqmll73bzAbj/DNcRifHdHFBSX5TQ32HOKhwjMdDK93FEiOnYK2HuifEalBTI4VXjvVRUd6mwtik
nWH5depe93+GF9IgKZ2b/1NKkT3SH+43kKHYsmsYrO9P1rvYsrrshCQdkeMa5THnBC/OWPpgLAtU
1OCnmJ+rFO4MAlQH8HsHnNLXt2o9EC6cjAoVM2QDRS5H1kVODNHtaI7cjW6nJpgm3Prn34X7hT0q
Qgh9EEhzAz9LDzoiQ3mKbe3eeCu/E0rg7p3JcU5+/5fnwac9mh3Ib6ZZjSr0uOJD9Yz28g23F07y
XfVsBLb00DjJDem4ZXjZ4fmqR09abWLaG2osSYiyEDoPGJhhbDnjq9KEQao/6bk24RwYm9HlHVwG
UEp3551kPYCej5kJrhf1FltAxRHAHAEkg+47SkLjgRwHcL/iQIjMaX3WwqgYkhpqnmJQBZrHoF2o
QxAvDY+MvWPEEHrSW2jAwjwEMKGY+VbdgfnFLMDgJpvfXjiPlPGCv0u9FttHIufimDfabBTQzYHH
BtF2TmdLLJhUfORtc81LqVAS1X7cgeEYur2Bp2vhRu0KUwzfBchSjuKTL9z6U2tWIOlmbCfrdFAB
ZuyEUIFGGlL3ozpvZPS+BLvYQZ0C2QlAsCiOzr+SH5VbH1ngybVJhWVGZFCBB8yAnS4UCDykDVSH
5gRqC9Ei0hihPXvqiWBqEtuIzeSbuo9OxpaVUrNCn0GFooabIkma4UuDldy0W2Xfo0yZmQqwPVsy
CBs96Bnr7JOz9s8fGsDVS2dquUYJigCFuj+ci51NKAgLtFJ6jAKz7F0/kuiHX9rDm1NpYhS+scuo
maFncijdfg/Qdg8W1NYSCgtUz1uGV60W6v6cGJ2nAg6Iiya+rPBpIX0K0hAwy77zW94tbJFJwEAc
9Np+0iEnnvw54hHe2wSNa/5dgLJqmIGsu3uppo/r62LtJfn3RSCIICYec8RfyjADoZxmtgkjcWdZ
oEKN36dGUJKepd7nZtl+NDFDCEO8Hj8BsbxcQ5pClzzPsAb12DmggXQUlAaOnBXsBu83GSaCG5n4
IAVyaSueZ/pBOWVrt8KP/207qdiDeUYN4zQd0CejbynZbHdTxMg4rye1ILq4XK3SlDmfkp4A8nQr
mDRzlqVtZbjXF8KyQseRxqgANoGVaGhNRXqSso1WivZ1I+vtq89DRSMUyj4xQl+CFfkO4iUyeB2T
pwS8jtwd5wEqYUJQ3rlukrGuM0pw4e9920tCca6stoKnQD+7Bpo/ZXgkywgVK8JyHoRGQBI9QCsl
0w5xhVlOMIVcXwoj1mPq6NITsrYYc4kInCvmAEIzszvqt+oDaplI8XKvPbIASIyXKKZCLg3imYPx
dgLvmHbZjYQ2VLqfXEKyQFLKv6E5X1ymYP+7tDYaeRyrBGc4WPm2gEZ3bqNC7LWQX+J7U/uVbuo7
yJRYjF1l3GY0CkHmx1HKSVWzcUbwU2HmAkPliqORot8Dyx3/4RtC/FERITcJYoDLRc58NeWjAiAu
pCUnBK/OI/OUmLUoyMgYmStkpepr8ViFLJEAmghD/6oLquhxoell7AXQDyxLjPXOLKTBmv8vTVD+
33V5F/kcym6VMH/PakyRKLAT8kys4VrkV3lI4CJD1oii6uXuCSkI2FRSgRIEc/4QXLy93PEdI1J4
66S/hF/ygZDushAFJPbR9/PSKhWB9bGvC2UWyNvD3zUemRfgPJGNGVnzxKUdKgbzGHLvqggvZRnj
tgO0NEFjnZ8qLzsmFuCwN8k2KMz4RrShRfZt2EkxZkxYa13jAtIXP4KGcChB8J/pnAFCw3ptbCZl
tAdo2Zv1oL2mJShp22GvBf7RAEeRKczpNlDHbTCAidRwoorVG2N8chrNkebVJOsDNj8zmtBp5+aX
DOmUSmhCax571tT4GuWETgTbwedNmCdoygmh4tSyNxBja7B/NfcjhPZuijtwHnscJCc4GwQJO4Jm
9ffiIb1DT6c1Rbt6xNgYmMHqowG0WWmxAvHq+Vr8KCrhyfxM58tZRaOHL46GivJZI9lCPTvXQ+Gq
GbBtgM4NNPcGXd/FH56MlJeBZfWNAXx93aaLhaNSMdC0a2Y0aM9hdhz8uNjly0Mc+wJ8bAZliVLt
hs5pCyfPGV2VtRO7NEGdWGh6pZrBDTEurvHQoVrQueWNzB6eYy2FOrFdl+l1UyL9I4oj8QA+YbND
fGhrs1ZNjWCdElSI+TcwOFz/VKuZFOj2DAWfiXDZULnA1PRckeY5XAIPTog9J2Z7ChzVDm9UFwpG
T9BjZCRvIvkudBjUdMCsFQhEYTqYbMYilZq5YpSFOvoN7or2qd1upY0G2Pdo+7+0vb8FM7DTk57H
uSfgniFewFJADsdjts3WbrXlj6GOhDjz3AwwO8mFiufcP5GpRdKLLOJD+717bI/sOeVVdM7SJuW4
jYqBKiUCo4/wIVqSndzjLerL0Ps73+JVDPbe0SkAwsodxMw+xXyvGb1iloDNQ7pWa8GAsQZKKkwr
Qc728luUk5ppUY0zhI7sa+Z3r5DVfUBH/zUwAP3tw21carZe6HY8x3/xglyapna+E6BZnIp67EmV
YjbBTy5vGM69Cp5cmqA2uuoUUPQmqFYF6PtA44AQWean7obQXOOZh94okZlpTgpgA5HL7DytXTlL
81T0ELlaqrsIGVNrj52VP2K03xafhI0KSHeXWXhcDgfIMjO54VaTQ/AY6kQcXFChjXf5VeW4kox0
mmD4I98SAO74YqAsOCA1/GvOXhgDXTJ4NaH7TGNASn3kCkgFkglFghCNHB1yJ+S5DPks7rHYMILW
WoKzNEdtbOLXiaRPCFqhYGsmOPeO5+8p2OD13/IbVsRafb8s7VHhWW0TDiw+5N70BjT1x30PpQoF
s7n1mSKYsbo1t1lYo7EfQVVPmirVMVL73q6nPWH0hiBSvtc8+ZC4vsO/tXfs0vhaJFyapapjYqVV
czOAJCuJXwfxYKDcyljYWuAHPBL8cpCMBf0XZSGZwWybKE1yXhh3wvzlbJdubGPKoTfj5+zRN41n
cO6dhC3DMrnF6CtnaZk41OLKyXwBl5+ItckentOhvoF+9jnMo7ScKU4JPDVTkHB1P4l2LWFGUniF
Cj5KH0EdcATFGYSPHZmrcKvjnDD2dNVXdHALEGYdAWP3lwur4yGpBbVMvAoCImbVdFsxGF9AgOeM
IGS+vovkb33ZRCQK6NtLhg5lgktbfBJGoTzKsefHu3B4HbKTLr1fN7GajuifNmgwJRdBPsIfKvDC
HQjOPXdBrwwB++z1XJ9wSk/gTObo2eo9sbRKOSbIHOQ5lLGy3m230U2SYf4DuZDXvoNN0HDmHZmm
hVxTex/dirb4Ur1cX/bqV1ysmnLPAFQsLVeDUqJrAVTtRDMQvjWBaPFV7fz3lgxNgEQBKKQxa0f5
i960vF+oJYi0A24ThbmbGlA9l0LTiFlTRGuLWpoi/744cwW+o8KnCuns5dsZvbbCkm8B9bbGO8JD
gRbnXo2ZtHprTrq0Sp26KGrrxmh7RLFOtQVdd0u+tOuIhZlZNwMtAswp6vwXcmelUhQQJiKgxNld
K2XmJEE+Ubm7/rFW/RJS2n+skBCz2MKuiThD7yJkZ4fkJoSgg5s5HfSHAOecPTITbNyD1gNKNvwm
EtAtZSv2rAWx5S+g/GWAiHOmpRJJYXgr/VHd+17nkVrahBE/wGYit2M9SVgmKb8JjbTDgDlSUn6a
TWHqzKJyru+rRPIDOpItV0U5SRWEY9HoyI9qP9mOoWhhBBoKFpqgmZ2PjEkK8fAKFcWsOtkJGjCy
hoXTB/qJn9SHEWQ3tZzZamxs+0bwKjlz2ybfzbO4zYfZKvxqz4ESy5oi/4CKjyNI3WsfpryZx5yF
ietDJxsvnA8mmLgGWalSg9hab29nZN1Grd40oXij6v7x+pqZvkTlTHlU+kFVwZd6gP1fuRMYg7q3
GRJnBM1tOBiqm63kIOROP5kzmO3YzOTMn0BdIH3ZzGmaAIZZ1Wa8LbcYewSBxbjnrBTSTAcF5CO7
DrISpaXfGAf/KY7t65uwWpT68+GheEh1HIu244dUwyaQjmOwmZEQO8FOtvNnyL7iHNVHbsushK16
G+5LcMQqBsjvKG8TDEVQRhWT4r/bnA0eH+O7sone0CQ55JseEym1Nb0Usz2zwtS56PzF0xe2qa+O
Qm4ryV0DT7frA6GmbrchpMTAVVI7oxOkQGpCZ5NZ0GAtmfrSUlPDcI9iGz9Lpq5p+2LGuE/8qOaF
G1ftyU9SxpleDch/FopPexkquYbL5QE9Sa8E72hePdcJqDj74W+K/CT3+f0tBbqFLBQxFweg+EQ8
/I08B1nuvrLB8e0FLmsQ91yT/OevB2GEy0VJxixprYTo+/tZJe2bxlSQsQZQkuRuugElEuiYmeWb
H5l1RK7UDa5UVuH/XA2/9jOoGhGIqwolqLBogvQlYHS8tm4gUVe+JxgmyqADj8QM8tqDlTHyQXI0
rlmmLsAkiwIjEbABYg5+nSkELa8/byK/x6WLNEmBtp3JCBHENa+ZpG48seimvKlwN4yu5Ba7whsF
J3pTB1MFH3l9090WDxh4/FEDCsV7ksJysNXbb+Fg1O0XK42kVAVogeWjqpjxj/o2caLAajhTRLlW
NLvQDO/wlPjBWDbLLhWkylTgpyLENyZkFlAffBhtDSz6ZG5ksDMyVsoqRrM2mgpNguxj3NpAbfX3
6DPphpByAQtbw1oYFYoMPgwrLoUZPlV/NlzyEJcqo0rMMEF3o2u/BuqihpcKY2UmHSqJrJlqxl7R
3WcjzYSgahHdujSx9TKxK98w9QiZbTObeSJa4pw7RvfGcAry7vl6FnQVBXZJAsc5dRYatZ2jSgL1
LcrfmPsiZTN1+3tCvdtct7W+h5+mKL8vq2Jsgx6m1KK9BVv1PiiLx+sm1sMpnsmgKya9P3qwjJ/b
Usp6Lfb0NyM3e4g11I8NiCLJAJHHPau3BjSoB7vpzQS80phd+hfqVqv31OI3kH1YpPRT08aFOAuE
TTjYEIRZ5PhElFh8bJ1wg5GCJ/+eJf+8GkUXNqnP2CV5Xo8GQloRj47WR2akQFpV/VBAkckp3vVd
XnvCA5kBCnnwlfHSF/qMIBn8FOXm/78tkF6OJpg/MS/eOym81UHazFIWXdlVsOEQY3j7AV9ArTAT
Qk5OpSLxmiSx5zrcyUR5YBgdxtrIhUsdiAs7lJf26pjrUwYPGnZzgUFtASytpYMxbSJWzjFZd9ZY
Jy/sUVFZCeNZHDTQMyW/uh3RnMLggGzWEBMtLKhcvgaPZGgivBuP7D7NWu54YZwO0ODWDOcZT2kJ
Mo3e7IrPAcqQjyrkTThQUvup1f8aRY9NrLpWv76wTMXs2g/nQQa9o1e/dg7pyJSVB+0p7awHot+L
4DG/v/5lV8LP0iI9AgOKg7gvWrznU00yA/1D7X5eN7ASwS8MUCUmX5DlXuVw7vv6FcN95sB96CBK
r1DfEkdwuPRQYRdfrttcq1tfGCXuvAg2gmQAM6+i0UQSNx3zS46/ne9my4cqx79Qv1x7Xl3YoxJF
0Iw1nTCeQSlnnUYrL7ZE/ifEEDZE13OH26agbCh219e58tq4MEvFVKWWgjoJsExDgopLj45Oe9Li
3eDfNRpEd5Pn6+bWgw1IoqDuZchfgDA15CRaLiO3IiJbnzyqNWh4U0btZ430EYv6tEJ9u5FvYjCk
iaBsOSTPcm0ar+E3QAcEM7Qz9HIi0SSZ2fhcA920+xuo7IV16kvKEKjpZFJGq7n6fggnF1fWrdQP
+0FR35WJw2BA11uqGLiZBg7gWnKlfD6oanTCA5ipErSSh1z8GuoDT5EajkqBHC4QczsE8ruGtItU
51Y6iZZS3BvV8xBAg6bhLCOJ7Oufe+X2vDBO3S2xEqVFn5LbM5tOCbTVTE71rdaXDjOXetEkieZ1
gyz/oi6Z2e+5qRDgX3z73ICrPvC3SsPSjmAZoW6WJOBGtcjxgfMAOtGTZqHBi9KQzti8tXmLi92j
LpEgUlOwqGD3SPED8+GnepMBSZucWIi4terShSXq0hBbUSt6QwaD0yl/HB+GJ6NBcgWm1OHpt4ZC
/Vzd1m/tT611Qyd9Yk2Jk8/yNTf4c2Dp4RrweXFxa0R4q2pofkL1RI506MFGpiF61x1kDbi8XCo9
NCO1UM4pVZgi9DjCSbgluWy04X+RVFb/lljcU3NIDjP0S4BsR4vZCh6I9l/kMmsDJAxdWzUVpvw+
05IWUvJ/ilvze+AZ54s69Vi8JgynpaWQdL0IoolssQbaoar4rk8vYs24NNc4XC42lwo2zQCC9ZJH
+zU9GGDkw2PAyfAWR8ytCpMkPtV22mK2xuU23I/k1G2JCgiraEiMXNtWKujkQOyUWgQN4ilM7ALk
phrP6M+w9pKKMqOQjcYA/SqvAeBEzkELI5WOZjDuyn9I5T5PBR1nkradRQWfbLCimzPCyCqs/EUF
eUi8EZlUBmtsrRdfj4o34jxUWkTspeg5EU5m+VSaZHwmslla5qwDTwUcWebkUMBXQqNio0L9rBIG
s+egGMweTbp+ARp0dTMNpzSB3B9BjvYHMpPUQ8FktrLbdMeql6x/MQnvfQMYLQkUxpdJozJIVZPJ
4KgcNOs8jtSh2kiyuDjZ8PZ8ZE9Kr7rip0U6+a6MfKpzH3MrQqNbadFalfKs8Kw34vp7ZmGGSsGV
PEiDIYXHo5M2g5gJknrQ1bMCh+C9ghQUDb5ZIXQTmaK/wQKhS/9nVxUqTgaJXvOVqpCoEn0vgEYi
tDbzZgYY6CMLz1qRiYuL4/pNsf6ABLaLsFKdKakvP+bQgjd8NtBM6916y4+mAdS9bxKa6NEKbwAu
DKzqVB7997BBej5t+m/Xf8BqHFvYp46jqqeNP3Xg9e4qsHtw41Mkc4y5ltXsf2GC8tdgVjWt8jFF
1rVPdV+ZAahLoqyJzbbQn+aMv0sNhRXVVm+9T5vnXGTxsIIGAjd0MWocLcEf9WYJnm/Mn9j983jD
Ph9kBV8ug4U1ynG1QeiSQplw7Z2gIbSp90Qo/F+c/NWdBIBLgfguxPloLGjW8nETiyTpt0sU10O7
/yGq7jA7petvA3SMoG6RfQjga5HsuPBaj1UEXK8dLX4BdfdiIFA0Ygi4eXVgp1setx7ak5hp9fLM
wfSGHU4WG6iz/mxdWKUu26TkRNXvYRWzFGe2tvIhQ3mFjF2CFNuJ7NTi3OvnYjXkLUySu2XhQAI/
J6FYIccP0mY/x8Jz5Sc20jrWrM+q6yzsUNcvGTysoAlCiuwtpv8xLgIeGnaRfa1FBBXMT9ehznnJ
gTs6g1ostnC0RaikFz+lFwm67NAdIfUGCZLOKJHl3qw513eS+fWo81/4XCGA1j/5zwsjgvBcdMeD
mRIYvXN17K3wbYHVWWWcFZXqN8ZcJMwtAUZMGJSV82cQZDo111hGdhPrKA12PKMzRL7UlyDwucMq
FQQ6uUeWPRsoXmf7eXjNgtEEN6gpoAbB9wHD2HrlaGGNuq4akZfLpAZnNAHvDDfRbr4ntIF49m84
+2/wlUvvUalqwziqda9IaD5xm3IrOmCXswRPg1A5mCgtVmp9xjh93UkNKDZNx61IT4JAaUsZNePc
BiDtzPZBe5FhalNBnE3d8lBOApaHnPxzRbf8ML4VuSmpZgweP9ardT0OfP4Wap+5fEohe4GQqw3+
r0ryb7mgh4Ju6jEOyeqFJX/aoXa4MvoqrBpcIbJnvGKQYS+D9oDzWoQ3NpJ0PesA5BGzH8A8QK/g
MrqNY1yh0y+RdLUGc2ryVt1r2N7Qrff5r3oveeeuNdgKMEs7joy1rqYcn8bpd3gZGJVYKziZZe5D
Un0AgdOsSbfXN3T1uy2MUKdRTcVgmiKwnbelckiK8qCl/hFEVAzUDssM5R7DJAoxXwdwj7Yym+5N
VaCsPrCo21cfMopk4OKXVAnk45efC6n3nOIzohY06oei6xxAuUtTyqqnIs1Yhaf10LKwRl0VYlSU
fIvKNIoXKO2DYkXBxLNDUhqog4IxkNXRX9/Dz9VRzlinxTDkAWZrpA4NzOBZq977rDav+8N6UPlc
FX0fcHzVF0kJSHoRdCiQzvdQS43NvE48NTf2ZS6bkpJYVV1aBcSUK8nsxMGRIOvs1lPkyjIIQtD7
P0ZBegM8P5qQeInkXfnUJfPLmLb3wlQWGBJp9pPM4hFZzREg7QBpZABa9PPSFrmINla1XOn4IOS1
J+3bTXEAy+CGVSpaP5efZqiUZ+DLMlFII17Q0ULiOzOeMta1RcLYl9Cu8iAVg+AgDxWHS08eO9Aq
5QNeWYTAR8DYL57jRD61/g5xaSv1gr/QCsAEExFtFAWwGp7zosXeJVprJHOAu6QdXvN2sEK1Z2SK
5640vaalCeq8pIMshb0BHHnvEr7xGBhQ4zTaSMHdck+6ObwbWTNUKtWDsEcH1E4eSdaae7qVP2Xv
ojdsiCAPi7FgLWgsfxZ1rARZzWWtws1VjJscUT5/1ZJdxLFKfmteszBDv7SUWA95vYEa7lAWTjNW
dsrMrBgrofMBse30pMD8kzf6vpkJwIDPmlmpvCkoAyNMsFZDxfMo5XJhIDMBbR/EZpbrP/2OlVKs
L0eFihAOkvFFS7RPklDiKrxNp0H6luQApQrdfdaWHhgbn65HvdX3GqjJkdxjzEhT6BdjLwzNBA0q
AlCWHkirltSmSDklQn0Fnen8yBqzV1aXB9kMQ4KGigJUw+UR7zgdSpMVmhUjLzptOO51rvTKrrH4
EUl+JijvpQSl7XoM92PBf/C19hZ087EX8l0Rprca+Pa4M6NI37goyGyHJr/n8mGPq87t9PillVWr
94utqoN8IeqmgzH6uzLuTlErZObcgyNRSEOT04vnUQzhK91RKsKNHEZ7XdZmU+nn9yhU0m2lxLtS
G0BhlH7nxymzgV94bidpg9B+CkT5ptTUbeh3+9SYfohytdN9xe3aJDaNPg7NWOc3xcT/YHwx1vZR
HiiiuxTzmYiA5fpv6WO9la3G02ILaxvc8Zl323vy4lVYQlOrZXVh8d2o0Dwkhc/zAl6ik7DzJ4ug
f/0tNNO3nTduNEu9VY7ld9HM3Ek0i1sie/gvVD7WHlECmXzAEIsuY/z/0nn4VBKqeUJts3fTx/Gj
g2yTAi7fsnT68zO1tuR37ZldwVlNehaG6aR0DCJ8ywkHJUlN38vtwEmOOZTEDEgoDC+s9u1qmMGM
jorcG5fTl4SuHiBfVCCi6d13cfwmQy2G4UbETb5cSgsL1KU0GyWXqgks1DZqtgQIAzrLAC4ku/4L
ux2y+shHv/3PiqgPN4aon+qRTi524TU8lFs+AdeZ+k0/TG7W2OQhEdisIs1qKXxhlU7qij6UxMoA
GJOIb4go2Aobgn35KNDBzE4sGuZ/cJI/i6Sf+IpSCV2hiL5Lbnpyv8vfNId0+SVUZnMWCcZa2rdc
HBUJeJ/Xklwa0blrqgqaiyAOMUBZZ3VGfdA6AF4HQzupnFqboy9ur/vPWvVkaZsKBloZY/qXdJzT
wXBBe+POCXDNip6D70YAbENtj36XfFw3uvYQWBolp2aRqwWIC3ENFhMv6aXITKfQ4ibAafuShVdY
PX4KGfsDtB//od5T2iDPkIDEzta9Yfu6Y6QshoV1z1yY+HL+Yj6KCV8UQYYTRgkQxeV77ghSIive
xYn5VyFlYZA6gJGQyJkS+ig/xf73IgpudSm0r3+f69um0E0uuR/4pkhgwp8yUyg++IE1WrSer6i8
jJEtUSFaxZcuoE8dtG/FGOOSE1idCZR9NjNCPl464y/ebr3ogVncWl3Wwia5kRduNxlQKOv9EEPo
vwbLn0zBTpwRAjoS0Pvjrxg9em9omSoYq86uYaIf7Bi8KtET2QOPoVApBBpCnGQz85/FDhjuYmbd
A+SgfrkHFmYoPxyGfop7HUN+mIn4EXEyxCEqjMMZEZAxefdDKiS308h4YYKURhYwW4SsZ7a0Jv7g
ksK57kDrt8Ti11BOiipXYoBI5jcYobgPJlvLXFAZbgSvOZSSpwCvdf8v5u1Xb8NPu/TE9lz0SsV3
0FOOtwSt2O4LzWnQT5QAeGugXMbAZa961MIclQKP4SjnYQHtDxnwJ1HNMDfE6KmtX0ULE9TlEIcV
kLZEWj2Fcg4IwTeZBYXX7exg2sRjNdJXuweYwFbxhjBQF+GpYykivRY1QlikPQxOddNYoa3brVMD
SiLfNrb/QVqTYmZCpOa6x5wlaL7676dl+nA2ahr0hCustWe3uemeMDz9JG6Vu8ATNpxD+LIbtzj2
EPjCuJTVevUxOAF/Ot/Gh+ylKxghcD2u65iwhgA8hvFpTeww1QI14kFM1e3aw4xmn2+TvuL4LNpE
sYj1ul4PiAt7xNUWwameOxGTz2fSMsGtdvJ3CauuHd3sUAPyeYgWM6WniHd+2fKFSfpjD2AW4EE3
ii3ngb1HyySAyCFJhLktq0y7Cj8DIPzPflLft9FCJfN9rI8oQHXHFvp6pPYMjghGRrP+vllYoi59
odOVmCd0lUNohbfRvnrDBzzo3+FGN6imDu7sYEa3sNtn8JzEN0QFArohf1PshJCvJoiqgNeWToWG
XMqBQeMAFKn4U8nfj8OTwOJtWfWZpQ0qNnDoWHAGj9MqPQT3RNyqOoImszRBNGbxduyUP1kljdXN
XZqk80VJ7/wmwDxhbYuD3akmXlB3nFW89vvESkSzOsQvwq68JzCfYl9MZg6og81iIF+7U5e/gjos
gaaPyJWR1w2p2JuynIKamLN6NfeuR6W17HhphzohmS8NxRjx4FYdoCvYH6Xhl5HFppbuejwfJXbZ
lGWQOiVZmdc9HyLqEMFP/SjcTrvmO3S9yXyuowegIO5scDEd2Fx1qzDn5VqpYzP0YRHnKb5st8u3
43beT99y6HXJaDYS1FZw8q3GASqIiSVcTRaWlqnUJS4rBYWiwHf9Y32AluI+csL/I+07muTWlWZ/
ESNoQXJL22ZmerzbMEY6Er33/PUv0ffeMxSGaujp20gLRagaYKFQqMrKdFQ04a3BprEeQor3vOrV
Jkh1bZTJUHSSDEtHaURTTJiHfthagmU8x3e5jenn772zuFCRHKw4txU7c8UjP+RvJQ+rX8BWIpIC
0rPjgghRds9L9Ea6zr7svZu5w9oCE4OkXMVkGtWdkE6tS1EH+n12/A+HhukI//+zd+baGBOMSgWN
8F6LA68MWjvVIKTB44Cjzs/eV2sLTOwxE0HFEAAy6UxtraodTlr+EKaqq+o/Lm/c1nzaL2th4stY
jukk5tg4Al2UEJLe3U7eh3vtZv4RP/VeCn6cBm6J98IRxAHaLY8MTdm6mtdLZQLPUIfSNBD8ADrd
POzLm5Y+LL3iRN40d35VDvFtsQuvhyNmjR/LParlXuYTV9nrD8ub+SA8mnv1/vKm0PN/afeZ0DSi
Fq9EnQF+thJyjaGm7WMwF0g68eY6fq706OGyPXoAL9lj4lEzGRgqTtDHowkDOCp9zY92jc97TvMu
UZbxXQUASIkntE/oVlPGLDLeNcfRo8T9yBMAULd73pzMZp69/r5M9DGSKoyyCWc//jnbxkE8oKaF
JlkAFobWEz46N/mg6sPcFuwmKvfTMBTkseurNJO0MymVBGdIP50f3Tuyx5PXBzuLzxXVuOzEypcR
/aYvp6jA7UnuIHgC9Jh+QzOTcf8HsKfLsUH5MqCvynEsKAqlMow6KNHVNs3XFVQHXYp8EirbxFCS
l3q8jGjTTSVZBG8ysjyFVXVppXkaaxOGxQOlsiL72aM9W56ZzctiZYY5fcGkTWLU4LvlS+bM1Wsu
frt83DZTqpUB5rjpRp5NegKPRBP1dhQlO08yRxU5l8T2lbQyw9z1jZbqSy4FNLD9ZzANDAbuf6rv
hc+j/N/OVlfWmGO2FKmSBmB/8cqf4ccEfPGzcGr2ka3tSghPqWdePPMuvqLC4rEl3Ekuuu0ceP9m
3Pz8Dew1nwrmWKQZNhaMr44mP6TAU3fL7LXzjyHhfMTtJG5ljLnxdVK2RUB7waNdGzZUmp2kdonk
aSBVUewlRYmLKgpn19U7P6HZjmor60wKMEXmMvQmthvsapR7W4bmK1XlBr2it/jJzQK1WcpUxAOS
cQ4HCzaQIyULigF267zbFeboFPnL5dOxnS6ulsZkBJoqZmY94ZhrFvHnZ+QfD+ozxamF1/p1D9KP
m+LbhM5VtkvcWrJj3hI3MfPy6gcwGYFKsg6YEayRCgkLyAYkRzuGrgmebN3vKBXu4Q+G5OkX+3IJ
r6wyYScs475JCI7rOKNDV18L7nwyTuV+dkqPrzbOXSQThBolz8Vmxhsk1R0V7EfAPVd7KnObOMZj
Hbp1bFUL4H9G4PDygE3c0HqDmchEOpTyFAPnFPTXO/AQ1Njj5jHCVELRWdmx2WHumeJYq4PgtEdx
F/nBvfye2c01j4Rus/a0/ilM2EIvUYzGGttAp4WLf9q72E3t+Mqg7MMS+rHcStDlGKWyWUEQjoMQ
IA3C2w8dIGe8r75P+Ft1Wx9ipxgURjexqP4E8b354P3XwYAU+jUfCfSyaUACT7Mv0U7vMTbn5dcy
puspIVXvFAS6V5WvgRidD3bdzE9WtplwBQxRTgqtRT/ghnJKU7rjfC/4kHnHB74cPzifVBWZt0vW
Nnk+ytjhbJ/djvdo86HRbfop7BVu5Jr/cOxdPriqyMQrvcmlKeyQL7Su4gE/kUF8mESoDNX73DNV
h5efnGXjfx8pwDjx64esJbUBvSbmS9Jn0Z4w8DUd51OMxgrIfjEG6ZofqjW5ya5CsQ3kLHJkdU/Q
XE+sfuF+2cu5jMrKydSZUUoqLdsMoIochsnKAlg0Gs77mmeGiVZlH0IiVI0pkAKvdywsfM3TV86H
vJxfqqxYzCSa1WwkKI5ID81Ve5Ps5cOwB1TCQ0JxEl8xVOoD1YJi37jT9pdtc9InVWTikBSRuasE
OK2IapTsZqfyEEVWe5O79OKJ9yNohbM7pbHmx8oPXOO9euJVczkJo8pS+qQy3pxkgSOH7fjQacD4
BMZzmcQ3TdkkVtl03/QcvFDSsg+rFl0CefxJoN1qXd6K7XfTZ6w4//vq3YSZd8y10wgZG3Z+r+zw
HH1vflJJouqaO/jHObznPVkZQxaDOrqBnjJ9U/SQxgIBzjWIcDxwtmHetXJ4ch/cXWbCU9sAJE4a
3PPJlX5mXg8cPJreJ+ih/iUG5/N+U89P8tX6ulbSqmTCN6XMXhBIPkbO9+RZ8Bs/u855kXc7OYQ8
CzA4hHzh1Vf7NGxmA0ujgzfKLnyXb5ebxR9cWsOBOEtg8zL+3+zmp0km+KYT5gd6GuyjKzqzgTTR
Hm/zfWjTmQ1uZrgdIT6tMZG3BwpOjiIKH8FgP534id0Q4a5zCghdv4R3JZ3AET0NBSu1cgPpY0hc
zunYdtjPn8CkiXmRKElCH8HkLvAhXG5POwl4WEqnWNnknmONOuPXq+bTGhN3szAscoCBqOq0VULF
KE4BkbfCqxnAFVAoxo4BFidOH5bnRUx22ESFEmUJvKgkpVVBnKGM3zjL2k7CPpfFRNtWEQclEOkr
xh3d8BnIvEf0ey3Qsb0Xz71HLNWjLOe8lf0mtP1rl8VWkX6R9SxBYU/6TkXgUXwvLOQpz+1thdI0
J5Bu9nllsJjJhqqpisoC/7RZaYhhYlZb9atHSqg+Pao26NOudA9UiujztmDil/xxtOSH4ARBZk9A
I0kULflcipu5SJTNW/zzB7Hvc8EMdCkugIBS0dctjxBPr+/pWO5gFx+pcKh7aMMAPwsQN+d7b6a+
K8NM6hvpuVFLxnknQIUuGBZNCtF5oAxW5RVlfq3AGIE/r7lImM0TtDJNz/MqAIcpijtjTtmsMmt2
Fae0hxflHsI3r6GN9PcPxp8363Mri8wFk0RFJbQVPT8NKKwMP3kzPQr4JHvzycycGk1u+di/cPPg
zRx/ZZcJxdkcNMU4w25wTXvckhW6zdG8biFO8FctbllG40BUUQ78IuFRB3EzNrRGd75pjhCcvY6Q
76IRuuO4zrbPflpi4q1YGI06JYDXdENhV0vc20YWQRuxViNPDZNr4FI6aJVk9lQLdg3ImFXExlEI
w1dzSR+XACyl05LwBiM3Y+Rq/Uxcjmujl8QYonlSlX/vVED7ll5/ubz0zctuZYOJw4okp20ELQ9/
0p9QPouldym8DSQCzRZ7HCRLmzmUVtuXOWq7kEoAS/kXrdImGsNC7HFMxwPtTlKaAvqaoWpyyTsv
5d5c3soYczADGVzYsQ4CBgijXlEECGgQr3KPl1VvfqmVGeY0pp26yAMt1I3iYk2QCBlF3iW96aIr
E8zBq9A4J8qIS7pzZBAsFl7+I/5RfOtfF7u5UY+xk4oYCeTcLtvNnJVV+qtWga2Ya7EsEgQ2zfov
yYmPXAioTCsGY5ddYBgn48F3t4uuK6PMaWx6NRoNDR5iPoDnwIt3+kuxV7wWnpLa6qOeu+M+fRj8
Pyhh8HaZOXKSlIKvrqZNOWuhU3zFmch78cNH9fu5kuER9/IB3Azkq8UyBzBp1UDTQP3j931sB+NB
7wHdBExUi0rOBclbG5MPdUYeE8mEJVB14qHXWmIuuIrB6UhwrLDvSzkoproYcEHEBj6Y8M8wv4s6
L4Zwzhv7eiTlUIxVgunR9hBD7h10615VOt/TvWFhOOcUOjy65m1MxednYp+QlT4pHWSJ/tNnGdB9
UzqL3NJJ/NmZngpUC2afF1U4rnGuga0OnwqyyHAWqYJXFdpl/NjFudVUiifF3KRt81pfLY+JLoKa
ZEXQoSoyjh8NuTKUu1a97swdLrX7cLiHQItkVdWNIPFekzQAf3l7rAxTd1qtMcGAfCrSNhlU2n6q
bgmyEdS4Mgyp08IWtzC7bY7gS0mmjNEu5gzENfqLSw/vVO9mENXQhxVyZCffG1564l0+20fhX2M6
0xuW6r6RhRAHjuQ/o2R0TKl1C4WH9Nw+C59WmLQXvJR5lKvwEgU3gDBetdXb5Qi13avRPi3QTV19
I7Meuqin/HPqdfhc7P/TWFf34Qc5QMYGhUfgvTvynxsBCbYv/HP5B/D2kbld87AJOpUq2SnBaRqf
03afjJw1/uZ8f66ROQBm2reBpKFFEDyZklU/i6521T4FjvwPAaHogLBiHEeRC2b/TTb0aZfxf6PP
k1YxYHfwlN4W3eYh8mqk8Q+mn3uD7PFqYby9ZO7WiWRanool3g11Xzs9JlUcU6/eQTXEi9Gco8Zq
ZcZCIvS6Dq/5q6INb13MNdp0paLKA+D6eAbvF0eQXTquKTwbzgAdmdAOJQvT6Lzd3CwxrE4GE06a
MqkCY6aeOd8YouIFQ+nk/Wu1vOVNxLm+f5OL/esqBhNO4lI1g6TCho62eVI8+YmuEOx2Fpo6GWDk
aEDzTNKT9TU6f5pkYktsBsM0TRntekAPZu46i8r7Rk5n5ao7NN8L4nXca4+7UDbepMhUoA4N6MR3
EaxFyyO6h7asWMTqngkYLnEO/65gS8DuDVlBgnFfJvEjsbKITYNYTR8KEBV+AHf5ffQRgCs9OmD8
/XJE225frcwx7irGC7RLaIpLx/lRrwESH6at6pmSWQr7mPPK49pjHLUdMxH6WOf0ZfGiNxQIrjF4
jm6HAtBd9mQ6l9e3eRo/l8eOjUAfK9PIguXNmFERrwLpiugcApHtyEkg0wQ8OKaB2IECYUqbEAPa
FJoxOYsjWRiYBpefSeH2Dhd7tb2iT2vM/RB2STx0OeILHkIfoytY/V3qahjcmJGvRDtjlzqms/BE
M7Y7RqtF0p+1unrbdqjKgcJ7FNSiKcCsf0LiqQH28Y2CxEe8/mivqnjKCDSV5Xt9Hx00DiPMdkET
Q3+KLOK9TlQmCqjqWAYYu6KjBrPboqwGvTPAsgDuOfLanpuIBUVXNGD8RQVCn4wtSZhReVExmEoP
htDbQu4pu9yvMUYhfUBDenE71N350rWb7rQ2zASdIhOTAjP/GNzs7cCnLwr1tgPOhrxqds69ODZj
HLg8TBUizDoKXMyBrCfBiDMRrOkdSrVFacX3FJFagZrhpnier8LvfGTd5sjIyibLRkkLMmOcA8w0
ef0zLRWL+3IvXfNpr7YOy9oQ8xGNLgXUlqCDUmEqcBgTq1Wfk/LjcozhbaHGfLHZqKRAU1BoFnY6
7kNCn2QmOlH5PtmpRyiNg92OY5Jesex9uF4YvS9Xx7EfskjpE3AMgKwI3a/4IN/qoPdJT7zEYjPn
Xlti4o1e6wlo0fCtPpWJjDdJsh/n9xAkYpMda27xUXuFH3yMwPNwBcWogUtLZSJPr0WSqE4GdVAd
wCHQGc2+UgJEskDisLPTh2g+RE+X93fTJvIkA9VBsBhIzCUcECmVioDO/mqVTVmQQUl+2cJWwgZZ
w38tMPdumGYTNMFhIS8iKxQ7C30+d64UWzFrS6t+XLZ2/sFfNnFljjnl6TyTKqsxlXtdu+oBndkd
gMLxY42ZEw3on8IHse6sW2jChN8um97Ej2CZ9J0LTS/QpP7qqqPc11FXgJSocRQPInSH8iNGbRIN
4swBRhQwN42SaJPXGno7VOVj1x7jzi5Fi/vo3v6snz+FeXMUuVmjkgFfzsHd3X5MCnEz8apNX+Y8
tuUOtHT1FcoNi6BZedPZM6hczSjlnV16Nr9+i89fwTgXuJoVxHfcLCKwfq90PA9Fo118NUVo5nYQ
q9YczifYjBarT8A4mxbrbdcucDbVT+/N72hK9R+gbsbcgbxH7nUzNJbolQ40XY7SNXyRd5luB5HV
D2DcTxtHRGHEX6Tvk9O30H41KvCTEJpFvAAb745e9hEunvGa7JonsHrxAMPbMfrzF7DNQKkazDQE
ax6et4OTxja95Iw3ypwZv0GjHCVcrrfRy+XCd2Yp5McqBvIOHLY+MdtDpdxOwI4mY+vMglfm0JWo
vmftbYSNiMWa88W3s5fVcpkrSVJA3FWjEYDl5je0TpJCNuu9/NEdId33QVkfy8GDfh+vAalwjhiL
2NX7WO5bSgUXPlPMAhQwU0dM3WCkYDHRQIeFxpz4LbmvvXEn7KLr6qm4K6mMuR168n10XTyJR3UH
wdU/QAbSWHPpk9Bfv7o2u3mQtV4AR0xWnJrCkyZkBMvfcP2tAh4rGB2Tts31ClugV6d5+aamL20y
2dr0dvlUb1aK1naYaJZ3ZBALGd+488yH4YpCCuIn08aNtdgUWxnYDVcvcTs7XTkWE7zCWJVKo8ZJ
pl1+ysncWekeYgR/pNNO49Klz8XErREzqSG45lO/ELI3xYx2itR6oJe4iepmsMKxvFIK85WzrZzw
bDKxqpJIGCcxIkVxRbELpY/JHUzKUznlFABSXpiQL9szWIguan3JNKhwF7TsUxRQbuN79RDeQHXC
ybxuB6ZU+ZZSCvcPQOXdmf7ki5Co54XozYf5pzd96YamdZ4acwVvEg//ZdseUOcAAF4CS2vqzEde
qOBaZGJUu5BYq3JstGY1V0AI4x0APLYF4Zs/q7lzd5p+idXpT4FcUZUZBjsnRgnHKfZ479RH1afo
GFJDeo+CQ4KTfodJgw5EvFDppU9a3sq32inrrWaiEDy6jsIQZKBqsrihXPtZWe6qJDos+t/UP9am
mOQLzM3qIlESm6J+DJOf1XxKAHq/fGK4+8oEokhpSrEukNBM3wfH8I2DCVXPJrLyH41hxQcB/JDE
tOar0pFbe4K6wbjrCyj/cQFzl29cQ2SCU9kueTVReOV8AIu7hR4OyLhVL8MABY/WgZPSGCx8N1YG
QWrEszOpkG5sIYKFgZgOFR+A8gY3vx3cwk2dtgU2sC3+RLnu8mUGvp1f3bnPdXHqB7jR9F3yBKs+
SDvwdQHrrh36R0rAwF81xyTbU50Ec4mSCtr2UfyRGpnVKq7e33HciZ7730d9g+2pToS0qdliZyna
Rv/Wp5buzTHmB2iamNy3e91f3O4nmi8HjFGOLykSCd7nJZfzGON8D65iRdh1SppWeCoEreEEpL+e
Z8ESlOJUNtWx0E0LVcVH4F2fxB6CIV0HgS7T70ztIOYYuSzJzowMVzPL96Wu/Ri3lUzmo6aGjkEw
7ZKgnzMGV11JfLGd7LRZNKsiw74YZjdIsp2odNdNnH+LFIwByZE/Cu0eQ5dgvl28ZBBfgbPzu7b2
9Hz0k4I4WlUcIwPfvehPfavu5Tw9qn0AmD4immIcidrfibUKcFAY3ZWZ7ihz4QiSsmu63FF7/U43
DZ/EMjiyO99Qqm/gdrwdQsW//Gk5aalxvhJWuzoCywRddxzQFkhI6XHEBQOp+8GWv2c3s2PsqpvO
LnzeE5Rrlgm4JCSt2ZrnmwbJ/z0G5iGXOYABAcN6EJaWreEHv8XL8yAm9GJEf6mKEmvtk7G2Kim6
1oSc19u6nCEZ55WvNjQkcttUNHloHPPU1+jHtB8gsAW3j2oZJ+N7eSV72Y3q8ZFGNLpcOqVMrFXG
Liuj+JwIUkKmAbQvdIqbV3/i3JVniM5qgdmyqForY4FBPLkG3gpz7irSK5cu7zcVkv+9ylGt+DWa
plAWmCUaz1W/z51unx7kt9CdIWxGk5LBrfeKbVao6POyAY6fnC+a1QrrOiurcgYn2zzmXjn6Sjc6
nGPHSTFZQtfK1JVKpu//8HnxhscaDgJyFQuE2Ocuz/85pz13E1ZrShMZD5MCmznaXWkZ73iIfKte
l9ezsrmn39f+eE9pD2J70p0kB/1U/SjveL6z2S9YZT/nxGX1M5QkbkAADB/VMByM2qQ34cxTTaeO
zzbAyT3OZbCVLVNNTSWdsMfiAUVKq30CieXsGV5yx10W73MykSUWxiGrUyxr8FDKUd3w0FnSXYdJ
YJRDnf6F90ThPPqMs1jeam1GN/St1MMgFcNr7+kM32AJqSWj6Tq+8LjKaOS4EFlkJrL0QpGWowBr
YdC7STZAwTW2mxlwbR31uIDHK897h5yB7avVET1pJ5MGatrpAfaNcgxETo+CKF5dOmCh3ER1+8jr
sqZJpqFJLKdzpui12FDZXyETLaO8VmrOUMNvotmnBfoLVmsKZSHQkB3SaBbuBsNaYvTLEs+0pQrJ
qQby8uYuPdWSNe4UHg/xdpL4aZtxzzYDSzQY+VGXyN4bcq2I1yR75EQ03g4yT44iHjuCPIY+5cL7
7Lbw4kOwF/f0fQzNpJfmiXvotm/az1UxXhnmglTkNIZqZ1rL1srfhXv5NtgNB9ED0xDQ4Ci4ACo2
89DXv6ldfppmyiBVjEaCmqG/RCsEsa2XkFT77xWf2SlIA28zwF95oDHeFjMXYmLmea7SNLyvP4pl
smeRN2bJscDOp0yzpjSqjoOexuNkNYb8PKo8RD3PBg3bq4OQSyhpVDSPj9DbaKRrKfvGcUWOuxOm
jKGToh9bWlmmzJTd1XwYHErWrNyTB+XQ7g1MlHNBIttZ0b8ewar5JKAZDZUaOYOwmzzNa0Fotevf
xLcA2noor9be/E3TXWgX9VyA5mZ0NlWoz0N/ALh5xi2yMoxaYyzpcgM/socIL3z9vrwGINoancZK
vxcAAAgjt7S8+SU/DbMV/CIPlnoOwAAaTRgzblVQXhTKP5c/Js8G4y21JLakDkxMsOiQe4jzvcaT
ztlMm1erYLwlXVIi91Fggu2BCs11O83/E1aZ7St7ZYepddVFnE9ZAMDUfKg/dG/ZjW8T9ME1u374
g0nFzYxkZY3u6+qUDYTkVUfwbVSfTh1FXvAo7lG0BC4fM0fOwvlM2z6oawRTIaIoa0wsjkgcKkvb
wRU0kGhmgLuBG7HqZ6+MoBgbcR5Zm5Hf/LTGhF91UNDbLzH9okEh1K6DGs+BynwAkRjkqwzjqMYF
OHebgMsAv72rn4aZo6aNVUWUGjMjy6nYy8+UaEnAKdMjMNfRm4Y7uLYZVj5XygbkJZAljPu3mL8M
DirA7NOuhMajbqlv5J/A61wM7TmN4SZPvFnezRi6Msyeu06LBsix44MK30gCiFH5U1t65/Lh3r5H
V1aYs9fmbZ02HdxGOlEMU+FABe1aPek+3U5KB8aTJOUtizmEcV7Hs5jAoGam1tA+aOVPlXDgZ1ve
CRYIVcEQNGA8LBO60gkiOvugES5q0e9HzEGXXi8VRwPloIIoDslMj7OPW8tam2QOBAgh9HGkQ2rG
AK4nWjxvTvFhOJq2ckcFOpdn/vtqyzVVisXSReTLusychTEqsihpcRbqSr8heDJbdRzplkbGo6yb
nGGArSCN4XWQM0OgVxbZPe0MJanVoqG9kBQMdeo+3ytudOAx02zuI6hzdcMkiqgS+u+rqIlWEMCX
MnC0lXKfpW/d9A1vH4vzsTb9Y2WEbuzKyJxGUzGgowXGQ4phRRBJLaMGdi6/jq8pYL7cL4sNdQcP
KQy3Ik+PFPuWU4Gh0UTIgejgp/vVugYFBFkQkbpqxvTQky6xpr4RvcgMDKdqTEiQTgRtj3S0SSDB
X0svVEBYR4ofnG3Y9J/VD2HO/lyrHdFLAKbogwizcfVd8QA+mtvkJb2SbMkd/ACdTMPqVE7UoVff
pR1gYkAXNqNmzpDtjIST0sVWYnIfsDwT9N9Xn7jtUM2Vc5igRIdUnx7NfiWxxX8oLVeyAxDzMeK9
hzZ9d7WfjO+G+UIGQcClGPfAi/QJgF8/FfIXI1xr72F8VxiJkqSkxrVgHrpIdybIMATS37xXET4V
zQDcCwpBzFJIF8ZaN4GSsxJAQaW9p5VpyfojxwE3T8LKCrMWM5v72exgRQM/Y2vJtUXnfTRfcbsU
3SHuXb6VI61XxeRImrxkuVFgnkP1Ma97HpbxqA63fDIeIaS+V3fpqUfB9m+ejaquSKAdUOmtxPi7
WEikA3AKsTPTnySxuOoiruTu5k2+NsJ4vD7opiaHIZX6bq4W0NEpO/NePNHh+s6WXzKbp6y3mU9D
00KUiQpBrC96m0aLYWyAAf8HgwQVxo+UqtRgVviOi/HewmutjLFPnSBQ1TysI6jULIuT6II35Pfy
FIKbWrT6MbYLafZVDaq4ocgLJpvXxec6WdBSXAOX2HT0XJuap6hqZeWVeJulk2a1owaRVik7FarK
SbG3ookG6hsNyTwhX8jC5EoxoeNlItOd8YIsXlodcF3t7vIR3LoCoEiCHEKSNQPzFUyYVCB73USo
4HSltif9uzn0dhx970weZHUrHq8NMXdNFupiVnUwNBNcucJk9WVrX17LZktrbYM5ZvGw6GNbnqsO
lGnH/KZ/S04QMAS1muiMDwSX2cPIBfJtfqfVFjLnThqAJqhSVFMk87REN6FGLE3YcZa2Fbk0BBBo
VWCmAn/8+p3SfBaarAcAPtoPqO6lrUXJJqWX+Ho+kQdARKEdvMvuhLfl7bJljmG2uz3PEYhNKD5E
By2drsFMBdvjD2Ruu1jlLHNzKz9XyXa5qwSF4YnW1IeyOVTD8BhW1S7JZv/ymjZ7ILjbELkgdQGh
JOYeyNVQNJcEdpIrcuh9KjOCgWEru/+Deamt4IG4r+C74ShDq/PXLxcZpogwCfeAhJgX5lYNQrFh
V0F5tvXADkCHw16oZqHgcCGu9L9m0yxNNXToFWKmFopQv5pOazQkI9o0GL4vJ/UgAXdopUcJqLgI
hFeaD2H7Y/ccvpnnx94flEC27ndN04ikmxLRvmhClvqcLfGMJyyti+VuclpCS7mbPRmwWult4o3C
bPrqyhyTThjTMBkCvSIgPuqmO+lYXRmHfEchVIov6Q4lMIsdExUK77JDbQa3lWHGnzoxhwJQraJo
Czmx1PjQJk6Y3np8rTeSOtkqm82VaO6B06Z8qMaB8rFRxu7swEtgN3MIjUC8CWpwKsDpjLNWldKF
hYDTTl8E+Z0ErjLTNh6GZ4rzC9xyJ99f3jmuReZeUIhWg7cfgJ36Z36jAhtbY8i8cUN/+TnuE9fk
08nQW+DLqVitkbklAnOuZYBRaadwAq9s7Bq31Tc6qUlb9dm1mFucJW5GNQLNUA0YUfGL+mMe9PmM
1y66oHcFlCbBp5fbJqVgDnbhfkABCV3eHzxw96ZLGih96AQh4IvkWG5WJM8a3Lel9N4kd+3c8pZF
v8yXfVxZYE5bJy11b9J7D0MwgCfupJ0OUiXDIq8oHflc19yMoytzzBlbjCLpRwELoh1JWiYGEMEt
kL4D3UunfDwIMR6ofifv1bAJ5dNWlpnDJ6hppinV+VAssSW7tS8rVtZZ6minqDwiu1AAB80fMKAB
Nja3+a5FGIEFV6L9f94EJqJXkgqZs5xeXHspckQXSgHXMRRpBoz9BFZwTPegTbPNffN3NI2rXdBp
fr4KQZk0m3NIIcCt21zJdu8Px+/EKh87sLTxkGabW05ElLQkDenvFxm5AnWsxVThW/HPyUtLX/co
dPIpSzBbNaOjH3t4XVegDlNfq5+LbR4wsIMRz7+hf1n/DObLD8rUBXWBCSFxvG9zPITz0OqiH+kQ
8A7T1tW1tsR8WNlMC4hKINmfD7RcUXiZ7AaKhTko/RtVxgowBAXcbSjYIshJ7y9HqK2jtTLODgS3
sZIIRoplBlNvDdMAmfSbUIHUx9BbYVZijPbxssHNVjxCMD6sYmKcTKUhc+VMcTaoai+i8lRirDL6
SBriSl2FaSt3knZ9WUAOB6imqxzEeAN4TrX6uR+fi/FJL3KL9FzpmK1guf45TCirl06oJrQuwJvW
Zxboke+AWaWSq407O8HgT+8RxIAu7wH9P9nwubbJxLMib4dIyHM8T6q3HtpKWlN6VRp6bVH/RfKw
tsR4MZqx1ZykClJ4SbqpjPoY9+pNUmgO9OwVeyTqTz1vPEDuOXY332Nrw4xTByVq81qDaDXatLcA
/cmd7gqQt7anQwDkPiXmaXWLPF3e2U3wysouO0orz4XSJAmih/YwefSqQFNKawHuEjBUM+/KXcAV
pOR8TY1JnFQFyC55QQe4Q+0/eWstaXFm0Av6MaXJvzF/VKUNnqDM/ysc0nqx9JpeHSUNWuGNWKa0
piV5lPMP9Om+4lc3Fdo3vAuIc1DYQpYWx0lLDFwCgnZfVS9m8Mz5dFtJBcHQta4oREd9nEnOYjMl
QYPqgx9kDqalrnL4jGmLAtJdzOK5vAmPrbx6bY6ud7V5GeRDhzE4y+50++LU7aQD7TzzuKI2K2Vr
O0y8gyDvjLpAQoXk6Efq/eQUYhSaePnpD1xiM56vNpEJZzkVN4sInDHU0YsaBqvK7QAwmYPhtI5h
mQe1tDDOCbJPCMgfaTP68lfc9pLPj8iENqU3IiMQyhTUiG+idDUvnBL4bw74pwEmoqVIRiQlOguf
Kt7SOlnohDESwm5XXqlel/0DwQJOS5HnKUwsM8daaCYBJVxpaA6DdC8HB7E/zurkNLpmm0VhRWPF
uSI295G2800FdORfVBVTJTT1ScXDoYk/GvEtSjmnjff/M6EjBLlXJ/ZIqVPzIQhRcRc4icW5OvTl
klutgDnOvTTlolCBLEY0hoegbBwyY7DnZimhUBROThwX15oG1L3O8ZCtJ9cZCPHfnaMrX51rPVGU
ohlxA6TxdRr1dt8dlkR2Lrv5b1anElR30BhFEfxXK30UmoPZY3X/e5UrPmi9kZfymqLbDq/8a4m9
0WZwsMVpB0IKaEwOTokSUuI0x/IV+ohXKO4feXF+e/8+7THXWZGmsVGHuLmnFuxMgeakyrcKiFPO
Bm474KcZxgGXvCtVXYoSX4lkXyl6N1jkq0VXDasKshdZ1V1UlR5JBgIZCYQR0/IoqblXR/11uWB8
5PKv2ZxeIqtNZpw1z0axiennbGcr8KVb8a4CjaYDRpXrqsM0Pki/QHUyucV9GlgQJAak6/Iv4O06
47VKC2kSeUE/pU4nJ2vvF7BvF3LI2fXNVAWFCMzvoC4A0dZfvTafKjJWUL/ygyq4SqBtXIk/0L24
hdQpZ0e3P++nJSZMY6LfKDJjCPBYSx3SI6HOecWVzatutRjmCOJhLpNQQwhr5NJRAtUuByipAA0q
1oalCv3tnPEo/TZnjMmnTXY4AW1R9LyoTaqOpM72TBXYfAKhHqD83Ba9Bi20k3femeQsla3NNaW5
jAHK1n4sBHYGnAemsSy5z22SVruuPi4mJ3qfQeVfo/e/34+dWDAVPVebCFGULNejS8FBkSPdqLfB
W/8EfhXrFLqg5NsZD2+uAibt4kd2RwZr8lOPt/btB+Nqz5mz2UZyKPczAmByNYLfSXE0yCpTxllw
3crW9JNWlHurP0Aj+/KZpA50aQ+YM2lMRrMUJs4krYi2/x2e/IPyFl3AJTtMhkgiqROaRKPdPjFy
JaU4LoN5Zc76gBf5ciiV+KUax2PXFrc4Ra/qlNtTrutON2fvl1e8nayu9ppJHzMyEiLTSk8WW+E9
RdJicuoxxazPeOLrYyi8HWbiUWFGclDl8GuT9D4JOruJWzR4jX2X5ddmrzvpGN5CvchJ2nCfVqCN
KKGJkqm70tQzNCuzPZgFHbXpHT3tr6AE1Ft6qxtWWhqHQYOKsBocxbS8i02gTJRieppbzI9Pgu4a
eXNMJsMS+ua+jZZTHMlH1J3uUGqEFq6WYhDaBFRkluwZPCSXd3k71n+eLSY2CnplCGGGTQ6C2enr
fSnXdsPTzOYZYaJjS9XeMVOB/svykqbHXIO4sMZr2p2nwC64rsJUBoWxr4Wank1yd55lesgxd1Cj
TUFnmQaEBoWqGrdHyg3GuzI3mXRWwfisLbvK9EIhFQRBmZFh+oqEa1v5f6RdR5PkNrP8RYygN1e6
9j3eXhhr6UnQm1//EiN92xSG23ixe1DoMApVgygkCmUywZ+TnuTE1nexg2r9oURPAlWNK335a3Po
nNlTntIb3pOH86UV+b+XajIbuRLogIkkOQrSfaP87HnczR8A/+k7q+A+MGT64GdJgyZBafTuo6XJ
H+DJYCWiJUV036KqVzrttsaw0/DYHMf9iGkW2gzLSzasHtXFL2CQYeznXGl6PEi6BNOiClQcxHY6
pQGk5UvBvB+JeTQJEJpwZTvo9/u8dtXCfa7gIc0mHiRzDBqpwZ37j5ImzXJE0AenvSb8KY/V+rCO
eun/rDGgX3XxnIkl6nmVR3aWT6k8iRff1hDl4Ib2vJUxwK+iPBRlPeCvQEFoo3rRAyUQm8FwQXXI
uVu4/pRYrI3Zw0S34kGnJYTKAzHBHhIo+xA9j9FZQQ2lO3C7HelT4drOMfA+TkSNFGSYP2iO4kP1
hG4vKPC2p2zDZYBb/5aostF2JEliQ6SxmdVU6htkOtFPBh/Z19tvxuZDmGdTcvph169J9WKMOfKB
OpiKGKIlQ32nMaBxgJLMt9HByUDDJpfdbhVgFtaYACgQ+qmsJsRibVQe2wSU41ri6bHoX7+WVkP2
hRnG882sxHiohEV1eWQT3HpELb3rJngrYRx+1LJeG2QRDqG8JeOz1N2P4+N1E6tVZX2xDMbJA6QR
pYRyGvXg2PCqe9rWLuTgwu7c/FbYW898WVauPzCOHuuCXuQadogOhGIYDSO9810PEcBpmznZK2eF
q/HiYoVM/KD3llX0CRKlwjY815oH9dmtADntOne7Y3v+0wh1YZEJJnrTMAgp8W5sX5vK0Z+7U35C
O21tgxA+OkCr/Gv5lbPIdez4dcTYyMKwWtEsCwTFoJPYDT/o2DmaQ9E0U7zzZMxWX1eX1bFxBJGT
COMWSEVgwsk2ym95fOrNhxmFVFW01TblNPet544W9hj0CJvIIpYAqKIzT4VPqQIoEzZf8p1z3BQG
OPq+RtedYOJ+aXs/LKd9SAqvnpUtZ6/W+jMXR+6DBG0RiLViX5W5hNhAK5vKnjXdy/Uyt0sI2RpD
9iXN8W6bGpdI+b4mwoZjnR6uz7fMxVMYUOkIMrGguqFc2OFW3+geiKp2VNhKdQd/vMNOQlsr+8Er
4v3mNr3YZYCmatVAJB2OId5K/7DEQvmFlnwwWfxxf/NK4+vRNnqpZPyjWJ8kxRRBVDKZlsZzPGJc
wze6TQzCPnQ7CR7xxLe5dtKd5OngFyrs+Qv/LU6X9OlTX34A24irFlKtB0aXYiKh96KsJW8Q/Dbs
bNDeO7XhtVatuu/CGpOJDIYBDdUdkHy0BCcy9pIF1bv6heM+q2i6sMKcxkGYgijv8RpLSkwyY55Y
hTKcdQ62xuRUj1Qk7I/wZmGROZYCmlXlSYmBpm3f2F2TnDu1PnW19Dzq4Q7PQ8VuG8w2cxZKF3Jt
85j7PWgxb6KCv3OjZA6tjKYn8WF0mmMEJe/Qtzhp+PU7cbFK5lhqAtHGPoCzZkcaSJcINDEoiG4y
4vBZonmuwpzF0JzbvidAoFh+i/SbUgntILnhfECeEeaWnwJjkizaKoAOnAfQQ+/yfYJrafhmoINs
9OjMEO9tuRqTaZoMKnXNAFcsY7KuQPcSpcCYOEtdI3qp+6+cRa17xcUCE0xUQdSFbVQhD3/ToXGy
2hgenQD6Z6KS94hcz7Mv1sMEEnWVl1bX4XVFyYv73Eke9VPxIXyej3aJ1rjMHmQ7ycC/CnFEELh7
vC+6DmG/1svOdOqiGDfqjLiiLTHhpCfTczpaR/Apg4C1Cu+uf911j7kYYxBsLmQ5Dk2kRyozcbRE
si0Caephd90Kb0l0ixfXr6wPVqlROidS905vJjYBMU+PZ5fW5/51U+vR9WUDP03aEyPMMWyC6toz
uFaKBp0duOSR6iG6XcfghKxxunkPSd4CGeRC8TWJwhEZFqmM94URu0KsOmaIEYyocK8vcDWYWKyP
Qa2pLMrCVIBaBBTXBEnFJvhqoR9K7x6aiXf2eO5B173YOFUQZi3tYAzcs2f1juyGDfwD/L/4noXp
0jpT4XCjiPUL7+KUDKaoY1FMBn1O0m5K8h3dfB8atqhbgPeL39DHWyQDMHkm/9sJJKJjkXwRzU1N
vlzftN/cNZclMbACbgYtEQwgMwjDa4TUkaveSmgjRr/g/6NFkbMith1SSOEbljpgxDgGx8MA6p+5
sInGk+JefZZcXNFgwKOOpDkUc2gNB0Xq4tDZZfJlHu5U5bZGSt7gTsZybgKDgRGz64fRipAdSrL6
iwXmO7sxs3MQTV/BcEH8mmh+JvQ3uqzdGlK2UZX8x1wJk/13e8nKh4w5OAQsI8e4CzSllWO8n271
DyL0P9aU1jVTtwxwQOufpEwTvaynpgFCT+hTo+PA2U17eJwqnMJwVx8oiRu5i90OHUh33MrWuiNd
jDPnP9AaoTJrFElbnw4kSttY2JpvNHFOJbuj9ylw1NDmdbauP1wWa2YAQCcmSY0MGE4Hij7axvb9
dnTyHe1ggIgrL1u2HsRclskggDVhjKilqhM15nElNzzEXv8COpZnE/1WD8WGR5jFs8eggSJNtSDU
6DCdSxDXF4lTyjyOV/q/+BxL/1oSm51ohU4EizwwlJLcNJsWT3gqWv23HsKmJgKj0RqNigUgmaVO
ttbZZNdtpGIHoSeq1xyiT/i9B8bxBoh4TsJWNUxBUIOW5vu1m+G5sQuQX9DpeLQl0GuJf02sZ0Uu
XskmKzAuFCgyFSNIstwp2gptlM/EGrxqCBy5MZ2wctMaTP1pxLnyOe7CZi/kvoplResCf262lQkR
7qjwrmMa55wr9O+Le75rQP/XDbie5PlUww5BVZ1zyHiLYKCkrcSpyulYW6pBbDB9Jerb9TV8JNCv
uTyDGlUbm4k0IM0yhiArFb3wPLugRHlM92DV12z1poAIEsYhEL7vQ9/8Kux4T0reGhkc6XVZ7IQa
YWBf3gzZc9LEvLtnNZG18EEGOUwl78pQQeRspVFuD3m+GdMCHHHT0SD9i1xHPxQj8Vqh8kZF8a9/
YI6TsJ34tHgRhBKKQRnaSRJTsaNEtxvQbl8385sn2C/oYsd+B3XWdZ1mHxPFKY7lIUjt/FnxzWdd
tSn3bOupr8ZdCzJj8P19EGHwwvnfhGuXn8BEGv3QBkRF862voaPN8FN0tFlei0JthoQ5L9vCtcak
W6ZsKua8RxpJ3VRnqN5TtZfoKx0miWrMDPEemJyrQaVevDjscR+hmyNFB+z/ukYwfwgtN97VQA/0
leP4aYyibcN0oPx7kFY4Nzk5jeZ06CA+JFsVp/91VexsESSpDLhgxFkoy39oitGBCDJPpDtiW9xH
R3lPud0EJ9iiY6JDa3Ft91/I3XSUUS/l0rzRiPfamhkI6sNea3qDHpEjFYnN3NEuDpNPq5fc2izP
FgM2uia0cYBCG15J7THeUgpMakuHHC1vK3knn0GdUg/ijiSgpujI9ym8keYOwge768eeY4PtIg2t
bDC6RITKkdS+ioK4ra1xFwwRL0fG+WzsMEQdZKIFMfQUw0xkZxxo0EAnxeTt/+Mhy7kPWJ0xAUr2
Yl4CrfXTieqmlSfzEaOVmMHfKx7uWG/gdYTxviIDJcUkVj0xASUzWNcnsIcGD6Uau9e3alVmfXHc
NAZBerMFzZmASEizUThBwJWh4cIx/GojiI52Sh8DMHR/iNYIb2DU3143z1sj/fsCvwqIvE9Wg8Cv
RMNxZsa2oA+uIXFbKekBunKYNQZU9Hys41nAy6v5qZS2AomECnRuUwKpOOIhkMjs5EBbC9Eu7urc
oR2e7zBQMmvVXAg53giKXT6PeAWle9rRqHmU5Ja88+Nb3mdl8KQHp65R6wjQyva+rDEyIDw0xt31
reNcPRoDJJrRDmoTIrsqb+jMfbCT0JTecq8e+m2u7BybQu1LI9DLFnhV9whPyiqw23a2h0g5NVIl
OmOTckIjzmbpFHQWLikm6LeYYtx1sqraibyV8pfrH44XI7CkpZ0EOXdCCVeUm+iW3DYnWdipYDlX
EABFo90b3nWDvBUxQCKpQ9hUSgB75M0UItsUuGk+Tiz7oeiw+GiD2NZojgSKNHWq2INYYasi1RW1
8GE08NKv6lNU9OAs6GS/z7jSBjSG++QkuiwpiiRiyJMVvko1kg5KijAzkjCIZNkiWnZzqD27oj/t
+JXJVddfmGMwM5OEMhZGhJTqBvXQbb39OMdcWvP1V9DCDoOO4IPMkWsEOvav4s+bdNukdhjtdQGi
RASc+Mi9O1rrTtBjFm35mIDig99usgoli9/AIGfX9qGsZzgOUbdXhufKvIlKgfNMWH//L4wwAClE
YxiVYY1Yawc1F5tKlTkz0kU2nTbXt8ne4LGb0Z/92WMsEeR4GKpRWErDZFLqShih2T2B6qg3yV1S
zvt2LHbWJG2uH7/1867/ssXmb+paMcxxROjQ7fUNDWF1YCU97mhld3gvgvWpgYU1Br/iNJ1GUcJR
tFK/DaErq4B6Arnj+qvhjBNqCyDhJw0kw3gR8/qpuCyTeWiFnahoSYBl/vMWMXfahqapeCHD6s4Z
AF8JfGAWcqn/xWeMJgga1V/d6OL7VKFqhxaIGXPNsclLUq+6/sISc4tWJErNMk3w6tG/xuOpMnZj
+Ech7MIGc4uKRZuCr22iNUrJT15nUK60NqTVvGK0eexwq0HQL1vQG/7vlwOpkhBqAl4ZsabaXXcf
NqPTqv44vllmb0/iw3W/X712FuYYR8wFkPvpFqIeIzA9qXoISx6p7PUNMkTG41pd76xMi1DxFF4y
/b0Jvujyl+uLWD+8i1Uwl+dcK42UTfhoYu2bH7L3yn24U2uXoi+/t4D30ZirpcmiUg4DpK8buT/1
MvrL4zLlbMw6RCzWxNwrulzMQdGG9KT2MibPoAWboq8bPaXnASSFUJwL3fzAy5Tzdou5SSxFb3tI
hKGhKB1t0fopB08E9SzOfvE+IAMPOS7mfhiwXxDlyRzFT/f6rQS+GAgWg/9m3PzhDbn4mgxMyE2G
rjcdgFulMciTI8eo7sVScK4vbH18ZWGGQQr0f0VJoAJeBTEYbDFNnaoxbhU5OUe14ZraeEiSBsEd
GXCB5uVsR3W4y8r5Tgy04zy371We146smGdFAT/XYNVHTOK96NPgKJFwFtUhtTHJd9dU4XbO48ku
FFCXd70/aNptnemvWWadFGm8KZTqRknLkxWA6tFMz4IEndNe2o9y/WjNYcFZOGdDP1L5i9AyqCb0
PmfIZFetddeF/YSMs/Fy/eNyXPOjT39hYwgrNQpo139uaZ4pQAsravfmOHByW+sNDYaGDlYRDG0i
SzpcB3NmkaoM/MYLNrqD1KC+b3wklRzRnl5K0IcRm8dWtr62i03m2EG/qRLKRos3s3afGadqfLFU
DqDwTDBnztBCvVDojFE5CZWjkGSrW8mhhpAn53Sv+8JlLcxRwxu6k7IRV8okQrOskfZaF3Km0tYv
yYsJ5piNoTjVSoULuSDZg1mbz9E4HKaxOjT6eIgV8QmUfhwP53w+tsQ/JbWlBlDC2aRBthlzay81
sy0NBufjrc82XryPrfFHZtGDORhzx20ugRyFVC56eIAg1jclFR6yFomeaHgNzOgcFUhtyTLK00SA
PF1xMxvKeYgmJ8zkhwEkn5vr5493MNh2ACNIDGjKANzku/ZY3GZu6VCRrOChOqJVBAIrvOYw3jdX
/hsLDWZuIOsFT5LazWi0zliEtlT/vL4sjrsa9O8LWEFvQY4BEjxr5Hhf9Y8CyPWvG1ivryy2lC5z
YSEepIEoIUJU4TD7shNhhDzbyZtihyTyBrNqll25U2k3j2hKxuQar3DLWyCDLaYSh1FRwaO0srRz
Y2e2HGCmyPHpmbZYH4MsTS6bPdjwMb1oPZTmMTFeFam12/EtMp6vf8rfBHq/Dr7BYIsoj4EWEpzC
0Qf7muKG6AUZQXcm29VDzBWe4y2MgRkFI2yVkQBmhPFWEZ6C/GiFd+r8mqrcVly6CVe+ocmE/WJn
DaDfxjcEf55D6a9B9qWX0L030I9LZlv5WYIUNHMGnsTQ+hmzQMthGeBeYIvsopVoRhqV4PZuQa84
9I4i76XhkbNv6z54scIcsmKu1ciSQUJDl9fMDgSU6YxKCuHo8LsxeRQ/VB4dwHrGwrhYZQ4eISHU
EiJceXSsQsQr1G/teAeyG+owtGXBnNzrC13nqluYZA5bG+fxEJRwmdrNzyYoxCiBmz9s0ndxsIXn
HFwEr9m9aH/wglhH4THkS8yvTywufgRzIEHfFoeCBH2xYU8ZbctNDlEUHVQ/UP7aXl/wR1Xxs+Ne
vjFzIpuQ9IIugH1ncCaoJ5j7EiSrki97CaS5y03hkmMPcuLApUSe+QacD9ENZUkszqU/Qc5Uc8jG
BLMndPIOgU2T+5QtETJ9t60DZj8uTTnPE5kzrfehJqUKfbt5ozuc6UB7vgl3JiS1K18H/xG3tk1v
qStfiC3ji0o9xGSGxdYF/M/A/8TFPBF6uprvzY5PMsw50Ww53+jV/8mzN5Jt5pC4kp9L6/H6vq9D
469tV+X/3mkhpg9TYppI8DT3hmXYcd7ZlnAftc/j/Hrd1PqQy8WdVSYMSMq8DkboqcDFtG+9grY8
0ZsjW9pWqMQeqF6l7leFLX0hZ3Cj+39UjDVlEM1gwAak80yKpFH7pk6oCFtnkR9qlT1YueBUInm7
vkx6UD65ycIM80WrSmnSOganFIaj/H46T+RJMtVthb4nPHTsIey86wbXL9OFRea7KuGoKrMBUJ5w
6DArH97Jb8KPXLYVb9qCTIKzwHVYWthjLgHSykJSVWh6opdA9p2Woz7ERr/zC1KrZ2BhikH+WjTi
IdXwMXM8bwJoqcM/3Tb+zvmCq2CyMMOgvZgXUOfrK3R2nMR9uC38wFXjMz3atO0dEm/14MQvHKO8
tTHonlhBH6m06an1zQ0lxaNIO26/EW92hM24gd/cckyuQpgJMTtIO8joimVAs8z6NtRa3Go4gZYd
bzP0U4Py9qFzy1uk2DZ/lh+/GGRfW8YYKGPR4anxbzjk1MSd0WO1pZRLMUG5Qf6apZ5+f32h8vq3
/bVQ9vVlGnU+t3lFr+/0DPYIH4Sn2WN+n2OmwfLM3bzRztRnFU/by269id5Fv0BnAW+UcN2xLr+D
AYNEAs3LWCJdFUsgSFdvw4n3iddXaqFDDmzTVDDqvwAeWCp2tdDhRbloh2lqW+UtwSvk+gddf87C
wv/MMOFBpFtzbMzwnBYflMa18b590TFPJziIxR4pdZb0Q9hpnJO5DqYXs4zDttBGKyBkgfpKJXoj
5lKk+TiZ33p1o3bExpCdw1kn3ZDP6P3LIHvJd3EDRWeUVn45bOIKZ9W1NgWw9I+StJePyt7wQtoL
kxHCWAqCWkm9GQq0WhHv+pI4DsLe8JmUpvpoNnRmqNhBqH2XavONVGgcM7+5hS5fjrmF+sEQRpPS
NFBtpjC3qVL6CMVYxYHsz/+j9MbbKXr0Fq/xLsQVFFIeK3SrfVcBKWCGuRP90hUPfKKG1WfdYqfo
R14YC0FUHogF8nqTqYDbd3Ti3vS7eb4VdJkzXrkOGZfvyNxFal7GzUxfHilB+0XyUmpPf+cQDGIM
8VSHc0WxEc4gClDUFgOnGrns17wNYiDD6AcpyFI8hRMkSMD0HT2EJ6gDUkIb9PXdhNXm+rrWKy0W
ZK10NKBaFitvNc5RN8Y11Ppoec8Ut1QgLMJ7hUyotgjQxQWdeLaxCv+63dUDtjDLbFhRdlUzt3gX
VMNTChmhtkVnHDRV/s4Ks2tWIXUQZkZT1TA9SdWLqN3r3C1bz3AtlsJsmWVKIrpPI3pt9m6ebcXG
pp/QwARJ8NpAYoNARI9KQIsv3QEElSft8e9WyeC9oqILA/MdkMJQH2tMrA5PrcYJglaP8mWNbIlD
Fgcjw+Qa8ueD6RaWYkO4HGMImo3yDWfP1hMXC1vMkwNZp4YMGPPFI5VS7TUOGGXrbYPrpD+LdnHi
MaSup3YXBumZXOCU2Wl6EkmYOxoc6wakxF50Q3MzxmZGJItKo89tRlqFq4VFBvYzVCOkWgKaKDfB
XQwNybZx+gQ5Agkjo+QdidAXg9dhyDlxH19hscqmzNsxpRApC+VB0qWNUhMfxW/3ujOuP3QWa2NQ
HwSBKeQM0PIanMy99lI6VPp59NQjv+l7/fpc2GJQpMWIh9ImON/TXvItUIdQGdoJhW9aH+alkrkr
Y9BEhLoQWD2AWaOvTzYabDe9rZ2ao/LEFwzieQgDKoJphVmB/CvYNCCUFDTumOl/B8EfmYeFQ9QC
guxERu6/09UvoEbZdLN0bmOemfWs4GWTPvBzYUdMY2EaGrx81U0w2c1ePyHJ6hduupefja0ROBZe
FcgH3Tag/t8jDZbY6I/e8PjxeM7y0cu2+B1JK9UomKKgEsV2tjORGxS8+Rw8GNBKSX0enzpnA1nG
0KQjGUZYEGmhau0RExzuBa9WuxrnLz4sgyKxGkOqIjJQ2+hs6Rsm4e6GH1ZuzxtpwmgaFQdJEdmB
5R9ST7wX1PryqNqhCf49mR1LrfRMbzsZZ2FqjlmGzmyJN320fuVcLNBfsNiuauzKuotDhOBVrrjG
GElOJOUHMai+VknPI0z7zS1+McfAVp+WvWrSDmha+O5vTIggEZu6SOVK4M1SoI6uON0NgQjueKPe
dyJXwf43odjlJzBo1mhTHhQSUlKjL//MYq9wRwBaeeyfo+3gjl8oa6TMqxOsXwsXowyodZ3UKXqN
IZIiFcGWoLtjj25shTe9/ZvTd7HDAFpZilDu0xFBjK/RI+XoMd3OH39SkR4+qwXPO5mIqGjNGqKt
OBmSAGY/40vWfrt+y3EMsBUrAxPvsklfvGE2nOVC2Mjh8HTdBGdjWLW8aZ4lY6Y6OLp1a82HMLo3
cg711jqA/NoTkwl8ciQKhiIAKaoIAQS5+KlXR115UDTdFbS3LOSNi6wzlFoXewxgKWPezQmhI5+D
HB2NsIw2MgQa9l0sRq+6RbTJlirVcmMNL5/Q1J4NMObY2px6U1BYSAUXbfYAbZHsBH6D74ORoPBi
mI2L1u6biliNXYmGZEsBVKfA5o9R7knN3H4o76/vDPWeT+mOxTIYZKqrIeqmqEVlVGtsM61tXd+1
2m7okPIsO3uYoRiNf183ut5qvbDKAFSWFVIBrhaaZJH8+ND2TjjbweCqKCVqnmq3z/1P0PpqOZ6K
oaMfEi/tfV5TAkWDa0tnIErMxdTqVTQlA/2dUMT8DbalSY+69Z6JvIh1ffJnsWQGm7S4rtKJ0os3
nrrPYijJV05S2N0bHTyjJczmZjpAG+nv7zeTgatYCromUkBqoQk0f/bG1THkIQgDUVmGUDzN4ESJ
Djav4rvMa27lIS7LTqYrRluFVE8wOM141MxbqJ94zRE1R/Dh8tyTd3mxysBlV06ZSNfTeHNpgxvD
rfGifzTuUfh8pA2bELHO7ZTHPLCurHTxEYvFsLZXrIGyhYN27jX/0oLqLnfqrflIGyox0rtvz/wU
/foI6MIqg2RSUIxNXGO1w77GiN2T8k2+60DmQPVEMatMJCfuXNNtIWlI7sA+lxO0s1u7vzyOFoNE
oxqMKJghYqi03OkSNK0qk1cq97H6VLTD5joCcTzWYgCISFFeGASXamLsEhmVEGt2r1tYJz1YfFYG
XmQyFqSuTSCrKoI3SZS2QZOfhkGCfk92MwSD4prmCHTPm42aVH+U5LBwc5uSAZ1pJvGQQoo8zgaE
7FHY20b1OOjnQlDALlg519e5/iUvhhiflUtokweUsTRT8t7OZzEGj0PiXTeyfktdjDAuWrbopOtS
CDpVabQZ8n4XptBI0TM7Hyu3rE1Mju0S68d1o+tCCcgj/u8bMh6pNOW/HMfQlfchg44l2tVd5cRP
EKNws/sdLX2UsW38rL5XPiWRljrwDLZutAlveC923if45LHTkM8Zcpt9iNaLxizfCjU9mlrvpqgs
gbDRS1rMKhlmUXJ2+DeefPkOjCeTLAr6IUNmIibtXR2A0TqVa89I0WwRhKe4N76PueYlWrQTZu5c
7m/g6WKduTgj5PjnIMdIovYAywW8+VX0hJd8X2KmFNrfu+pVcsZn9VvtlbvmNr9BzPX1uif85kK4
/AbmBpV7qgaeflze6bn1qVYPmEBdFIntdoAyCNV55ja4UKf+HJ9cjDK36lTFoxWWYOWgQZKOVDa2
l/K0mHbrZO/dlkfmwznJ7Bx5IwdVNQgo1SIB7GUotQcqp9v3N9f4ryWxI+SWBk31hOrAqRvaPkln
Zd0YZ6l/1v3pwNu237yDL+YYbJoJMYdoRtQAxs0eeGGre5XWf89UBDICC/ZhdLB9x6Gww1drl71G
nGtm/VFy+QEMbqWinIkCHedTJeJWuWE39TaMS9sSD0YEpgXCC104KMHOlyMjlGeahrvcGCXHqE2n
kZ5rY7bD5k62fiigoCt4LYH09F9xU40BpqkbNUP9UF3Pjka+a97k+Wjymht5vslAkJRljSUN9ENG
aHnXCrs0eHvFWweDMxg7UoTEQBZIA+WN0B/EEDXu5jW0JA6e8tbCgEnbtZYVhoBTS/gihG8jt1a/
+rwyRGgtqlBohzo9gxwgoE6jXgdPSfVRdUi9OLUDYvexHz8loOcyj8ZGQ6Nm9RLC829mzTFLd+ZE
IKvdXotfwdZZ1KHvC02l7co2Oc5HEBsnt83PpHfAou7qO7D8iNtmFzrxI+Xy46VI6Xaxbrm0zgRA
StVbZq4DzaJE9AL9VKbbMKt9iKdsooiTe6Aufs0WgzMEA5GxYgKpNUwrIO6yo3CyO5F3CFbhc7km
Bk6yoi/qmJLrFJmj7mnTNN4lZeJWLmTjvRTNbBzqKd5HZCKgCIyjIalSZEbVWcQUVO30qQL270J2
xxEkehY3D7x26S2XyKCJXo1qgj5+nEIgdr8zxI8bgoqtKnTcOrR5zw7e3jHIUoKBMdEoZWYtGTfF
UO3H2DhWIq9GvPq2Wy6MgRcBXYm5meJtp91QPRDtJbqhzVcysee9LLsfaft79Z0bP63GLkvDDNwI
tVGXoYX6nICS9GAiVk4mRzCJm47bJPyqgoVEkG5TsDsYpmo3gmCT7hGcfo4szd71OGrtdlr+FAaX
4rSSgjTDmexQIR+1r1Y/OeN8nK2DUkW2LEWOUvESdbxDw5Zsor6u1K5VaRdCu6vuqLoYRl1uoq24
7Q68di/OgWHrMpWZp7MlUWMYEFShv4L38jjuBuvFNHjZ7tUa3uJzsmUZnSj6lM5wKXWTfNd/0KBG
xTQzJrT7J+H7X23dR2FsUcEggpKhzRQlBXEf/8uKqPvylteiyzsmH2nXhZ1GjfNEV5HCj45VZlO5
l+Ypd8S39gUz9TTDvmkOFp457t8tj4GdOJqgiC6hTk/6aqfLyjYuhk1UmJE9p91NNhn7XIVIuaiL
578zzMCPNI6tSAxaqgE1lDzto/F9NmMHFDJy9jjVRxL/uG5wNSheeg0DRG2RK0QKIK3VvmIc0q6c
9mW+hyK75o2dX3ujR6FIQd3yPnpqBVs98bj+Vl90y1/AIFIzxeAdIqCBTXbJ7OPVaNmUadPyAhcD
JY6QQs9F2Agn42dtt08B8m0xXzBpLdxb/ggGi8YywO1l4W1QkdnTDBCGF7G8KTvyambjfRaASz+0
3nLS7YyKfJ0GyxvUepsn5lPZyoVtFOChH8AVdX13Vt/ai5/Fslf0uWXGcgOIVDfjkQqIgDsAH0Pe
NpyrnWuJCZCIEqRmJOLiS3b5PfHzzbypdsGBLy/GQ2CWb7TJo1gqqN4LHZWjFH0F2rHo5A7oLLkb
y9lXdgxKC4VcCak2Qd6EL1VbHuQZPbGzBlIEReZE8rp4PfBj+UVzqwtluUZ8pKS6bg8qXDfuwr08
mZ1dVf0OjWHuSIhnjNUubepXlTwnWbYDs9muCQLoQ6RneYw9zHm6JOzpfyLZlaaHdjUqbkMgBDKX
hwxBiSiN+2bOjoMp+QospCXkHQSChFsz3s1FcQ4C2UWvsR3FmeIQvf1e5BYBXkFPrre8dNoW6JLJ
oa4LDinPaFWnFi1P0ZTcSaVwm8XQo02aHA0uI5gp0X9lB7Iy2HMlbdVg6m19TnzQWKJ+ld0PuuzI
g+VPscXzSRooXwmkWTbVWhFmPGtieIpcvSbEOs/G9C0elS/QrNoFFtLighptuzL3FPQtOlLRn4wy
5UDy2qN9eQQZSA5lPM1xutMNuI9Gm8zmq5SGI6piUJ9UQvlxJNGJlCpv7eu+pJuiaOiaohgMLo9q
SmKdZmyTXXOWtrRvUQO9pHrgvYx+ExFeLDH4a0mSECqxTs9j71Zn/afhlxvpftx3brOrbnM00Ap/
0NNqiBeTDNqqWaaOSYC8RJRDR7vFrc4Ph9ad55cNto5ddxNqbCGW9U++DEzUB/mWVk5UP9krvGHg
1da+xZLYmraUy3EVoetoU4fu6IfbKHM+lIlkZ/BRKSGOiNGb67fD+lvlskLmnamaU1G0JTIHpbgd
ZdiLjiT9et3GbyKwixHmkamJOYEaCm4gca//VE//UKfHnkyTj2Br/za5Y/qnkyLL78m8NWUNOk9h
jtBZg3c0vuQOgLhTgN5TqK1JW+knLbzxyft+cw9e1suEfq0Y4IIQP1q6wq22NXfxxwyhuE04PU50
AZ/ADTRKim4oloQGO/x9Edr2qjW2eojQ1kx1W6i+yuK361u36h4LAwxwWYEZdFNXQbxgHr4VseZa
bX+YkvDh78wwQCVodRJOEhJlYwY93ehRRqtDg2vjupX19NFiNQxKNQD4oWkmWvNBwkMVD+CHOumT
tjea8kYNhfsgK8DfYY47oy13o9H4Wpz61TSe4rFxQr3dJWX3EoyBR3qMeUdaxPkO63HN4hcyoNZR
ZZlWxqMh2ZmmU98m4FGAyudefY1B8ezx3kYc/2Hz86qYR1mkwVF1XXRSHV3YE8dDV4d8jMuK2Px8
KumRTDL0qYGjYYDcxrhrnHFLDsRrvWZHOzNkdOEJf0RMurTLAFutNlOX9QPuviw8Za3yFJeG24m8
qu86Zi/Wx2AbSaYibGjjVuuTXf9I/BijYPoxOqtYVv1DeLzuw6vZgIU5BtKCshsETYQLF1rryGQn
FvtU12zTQtFO5ZXpqLddgRc2Dy9DOTVKJLgHnbZAF/ZW2ktesuelyTkgw3K7JmXx76ypiunWtJ3P
KULDts044RDPDAMyrdXGI6E7RbkuiHbq0qc+5eDleiC02B8GYuoZ0Xs2Y9iAJhuhEGLLutPcRb7u
lrsOszfo5utam+cV6zfswiyDG1oxmWJEuaWG/fvgde/zNnfmjfA+7nuPKt4nzncycOCU8z0/XjKL
y2dKwGcgzohWSNpDhOveymuwgnFTUjwzzKNSTiW1miDS+pEmUlLIpdJSeXEG5zzotXF962cQu3nX
j9nqk+/yPVmG17rUzaZo8T3NEC/midjh8FUVybYxE/+6JR5A/h9p17XctpJtvwhVyGi8IhIUSSUr
+QVlyTZyzvj6u1q+c8hpw+wpn0cVq7TRaee9FsuRJa6tQZYe6+vcxVVdZdf8yI7R0wA4/fWbekjd
CampYb9+58iliunK42YRXxugauaYPsNYDIidlhM6sJHGbNCTY4J0edmtb/9SHj3ni+uiTJifb8Ge
6k+x3ccIEuq30qMyR1tFU9QKcLd/ad50xnupYl3AZBe9oZLmpN1hWTTOG+AZbJ1RKmES95pEA5//
QIMKthhM3q/6Pc9Z594VRrtICpkHBYiyn/xD6FWpEltBFzTO7XXwlsVb0NqIxr/HfrKk4Pr58Z4h
o2GQFAbBlAZ72k2GHU9e0afHBhmCfyWFne0uFeCi5gUaKOey2Ol5ZQ+9uM8mHgwZ53mzo9xAquqB
CIkkC2Y7rCa/E2XJCosSjDmF/TcLgn8OVjEF9pJxD2REILWxEGDA60+pmllqpFomskfXpVCr//tb
PkthvIJuqVQtHXAvSjl/kw0QkJTTv1wI83xnpRKAj4JwOx9EV66+pTJahBRxd30h2wUI6bwS5snG
TTusyEoBNeF+celEuPJA+byIF+95Ov4PRvMsi3m7TbJEcR9CA6bBCgA/ULmSH2CJQCPobJffTGLn
OxnpRO4rpq/02mkxr9jQqqGVOzyl3hFuaQLqpnfM2KU1bME1v02v7bd2demUFh+edPsZn9fMPONp
aadcKEPE+0Jqi3lm5SlgFDKeXuRcSLZCVsg6IVGOrNu8mgD+qdDCp0kKJwO07Qv/sxa2MoaEk6yV
wM/0J6EN+j47pKbil4LsoukzmKfRv3436dZcOTa2NhYJemF0ZUzz6JQQF6V55NLEHe9a8raO0RhF
NcRTO+B2mPrq6KPhVAMnG/mHmOW8cYy6yEV5nVqKlqlZZVCcwOl4ox2LAGxMKIuYDo+ZebPrEerv
P0rwE1njwvTnKhnzHJALYK4sTkZi1V7sySU67XTAtE0/jJvKr90YtgzAKNNOPLV2hNb83ild1Dvl
d55bsDnRevk9rJLp9dWMKCx7Bid9Rd88FDJt/NM/RFTNhaDms9rRcPPa5WF0jQxydV0u4OVR0JI+
iAEd2t7kIDFqvOSRq2G2ryrCX4KxdfhVjM8cSVGkFyOeX+WCqfCQnEAHYmPuomvQ+9BbuLg28gm1
nx7HY80F+P7D/TqLp5txcd6VKfRGaMJ7Bg9d6Jee8KA72n3n6dbqUopNidMXtAmta0hngcybycNG
1ccVB6pM4h5wNKd0VD2wQOyyaDmZc3tbJgttbD3NhbqX1tUXV9BJmZ0P6pTTksh3chm/otFU2k2d
4idZCo72FWR5FYpYtQnUzFKNLCE2HF2OkKyQ08PU6ns9kybX0Ep/Qj0mXctdvXS+Agi5aRKOwNmy
Ra311cZ4WvPZD7ucB2/+BwN2XjbzjrN27YeM5lUninv1DNa9F7ifdxRzGiESxU8BCDlG8bixw7aO
OgtmnAGp7ErSih0aQG4+mX3p5Ens1O+rT6tw+Wrx1eK24TqLZN5skUH9krGGyAJtJcPPuP3ZYJDz
uor/gzt/lsI8U5LKYreuyBibnfasafOt3CY7RcpiW09A20qM1JPn+RBroTuoRTAXyhE9fq+cr+Bt
L+MgVOYUKUMKw5YGYBvArBcQcWZ7XawqoD12kaMeedUU7l1iHIM+1MuWLJQS417fl856k91E+/B7
YtMxkfCm99uj8fZX+HcXD5cdwmmAiI0UNoimgJoeDLmBNtbCBYbabCVR9jKNho0sw7FJk6+TkTRW
oyy1UzcK6KHgJXI8XM6usyM65Wj8P0FUlbbWitMudE4ylHOH2WEckSxC3EUwAqaZnLpUQEUUjB8y
j3qetxBGG0Ztm4sgEEIxbsytREisNP63D4UdrUnMWFbrCiY9N63Zg01X3tFY4Cgt0Ehhxn2ezeat
idE4UVmFQkuwpmGtnST7TnRuImbzdGTQz6jIdsNqMi9gmgnBBCGU2rIvv7R3aGxuJTuls+LhR4S8
nSZY66P8wlvZts45y2WT8FPZVrjk2ErMIizPyIo8CoCJm901safb/wFzctM5uJDHOAdStOZNTKti
o9f9bJ4BoNA9Vbbpps/zAx0FKN4or69xJ1vokeH40JuB94VsxjOIACb2q5mNYMgFbMp2XaW2Ea0A
eB0cjhblrZN5BlOkxwBKmUOvfSWaFQPn1M5cWk6R7jMdJObCtyiYXQ0nq0fW2Dt4j5wvoBJ+c/ou
Vksv9YUflE7JWksmZoyqcEKCYUgAW5KpaJ/o9mKLydDZzGBTsuKWLPJgx700W7JAvpaJ+X1GEMzR
b9yLxrwhNPJL4PRoE2QaJ0SbuVN2cHpnFLNbH8OHvE5f3v4zFlvKja7ThwUDljF2Pm4sYwja2K9M
8DCaudMTzOQ1vMwO5xFrjAHvklXSRvAN+Mks/gAqmWMosa/XKkeTb2fiLo6WMdFlVmaFli/ZZ1Z6
wFHeGKCkg+64wzPCpco8IXXR8gagXdWweAxkny1Hv98sxQQFgaJq8ufnXdysfmnBARnDQ+jc/C4N
0NETAMTuBDC2wwDMWvlxuavuf2HLTI7s/colxL6CMUsKT6hoVosoS3ASkXfnt0/9/GXMxkx9ZQwd
QYKhc4EV9KS862ARS62wtyn1ZvcoOPFT7ZhvQ2QpAWB9OZf8s1h0bWfo913sjFCRCo48TiKcOsOS
1/LNzEU/ncghHKsf4Ey5N+vYLYTCacnoCqXkiZH6ERnzcal0r2hz8GaAAqQuC08VTSipIr8xG/mb
lGeB2qMAVmr7qGxd4Ca+ZaG6m6rhWM/KCKgnFcFC+oTB6OMSj56BkcV5QrATk9eiqAIEpIeekBYz
UBjVbklgqMsR6RGbqOK+IplNWtVL8vAmbAFHKqDQVpV70gi7wSxfjVza9xr4BjGK14wi/JNu5jEZ
bWurf06OzdmAhraoR4qIPdm6n77lTg58NUSL6EJLrP4U79e/qiDJZ4mMJTL6cJyFAZZPXJ4GIcMU
jgRU1H+7LsbmoB+WDGPcoTvV+YRPt9XKS0P0NeNloDSmfVfL3XXFT5XMlTvIdjY3QysO+QJPYpxk
ayg7K4JnWxQPa5R7Zl5yDB19UdekMVYGtA+TEFOuyF77ga7wCWPkKzoaLECce4LAMeDbsf3FmTFG
JJbBZi9oGMFBvRvX4nOeHPTyFa4JcpYurjZHIm95jBmpVbQytwmc5kjEjO7HVJ6m3B3kBqiWt2vE
pVPdNiDnO8kYkLQla6m1cDTbbjzIi+CvUeivkv6OKifGC/PI6xqEKGP5IoyDb4ZtdqwVw9aSISCp
9CZ36vP1y7TtMp0/iFGocp923UwrCEU32H2HFr7wrm3BRV02nIv0h7M1VAkOMOBZCHO2WQ1QGKEf
0R+DtBGSj8iLAalvBD5f5dQ/8j2vbZDezN9v7lkec7TzNM/iJKLbJUq63BKE9Uhm7eX69nEXxRyo
YkgZ+sA+1drkjnfl7eBTrP/eNfb9g3wjpRwLyFsUc15hIs5yD0fXL2LZWuWnHu//+pI+86W/7Zsi
Ek3WiCyZGtXkFzauTcVVJANsrHpfB6oP1oQHfW94IUomxi7Z64557J/rk3BcEf8Fk0PdkealBDbT
9Q/ZXOrFd9DfL74DqXYS4m6iWJOUg5uO2msNjc5Z7bardSGFuZVq0iviVAg0Wz0CmKN3um/ostnT
sqfyleabQP7yI/F4ZHvbrRwXcpnbGZnAYu1VaHFyXH6S/XpAC5hruM0hCZYElACtvex4FIzbt/VC
KHNb+3UJh7XCk6A4W5Mv3YSOeGfYuvXZ3H6TccGJeWfIXFe5JmmqVX0GlvSidOMOrz5FtwrmNtBf
0QKSAIidu78aRDculsl4aZFWSuaQQqlNIP7WDinUDHU0ku8tql65zZth5p0l26siJxhpXaOIDr5P
wCEBPdGP7CnyOyRJI7v8WtrobPx+/XFs6u3zElka4jRX0aIFtEffyHLHrDNLXA/KclvWT9flbBqs
CzmMe6PNyGVXBFXMXu7tohutUTgJCadkxFM5v3WpVCCeDCO4alHW+isy6mKoPAxkCECG5rbF7JR5
uy/1/lFPeisXIxcVjxdTz4JJX0DTrdtzLXh1GLpmX8RWJqiThTFvT5y0F4SknVVM+ruszlZkrDwD
wDsIRku1nb5IZEKTrHivBK1DfLDi4VlprniXBGAVtEuMgfKCX96pMErLlE2hkaoWYUgVf4lm05Nz
9WZVI8658MQwOioLdVGtTSH2R3AxqmhPvZGTt+v3a3v7VCCWaJouKmyVVRLVsktLuM9T2LjiSn7K
eXWshPWpKiROQfcPqv4si7nLpahGfTbDsIngDt6335djbOePGXH1O0A8H3LM6t50tYX6Brq+ri/z
D5r3LJsxqqVYKlVYfwau+r5w1xsMunTeandB4aDz9in8xhG4fXZngcy9BOCmlPQaUhVj2r5XbfHF
TMELGUphgIHlXa4IwVwrpqWIyw487a9aNIc0VryVB/ACaYaCABF26PpH8b6JubYFUftcNFAcU5X5
NpkSwW+acLAFLSs5Z82TxNzcom+qWpAhKa771zBV/KEbTtnyV4jhhnLeZcagjtXcNL1S04bMyVVk
qwCq+8dst9+WL4nHK7xuG9OzMMaYSkrSywktdLcDnBWFWFrFuzU8EYzlTOc5a2PgWiF7u7iKU93n
j9GeTuka/uh3AlDfeMbzM1z93d00QF2qySbqyYzIkuQKKVOsinxdFrglBbKogl1iknIXx9a4i3zj
mH1JMXs3AZAK5FnLQbaWHW8Q+g8v9J/vYItFadigi2BEaDZ/KADsUXammxykfYXGhf8F4267FwlT
U/+/brYgVAyJPMvmEHozemc70V4AI3aSmzwQyuFLnimVlRbpN0XMa0uZZnB/RqgsX3+P26d9/gRG
IWaD3qihDNsFGmO7itGsRjhAE9tZ4YtVMnov06IGHH0a4su0t4kwOV37XhSlU666EwjIJiygGFbX
lyZ3Bnl3fXnbSuC8PEYF9lohZwnFYGnaZ219EGeMVn5cF8HbQUajTZWp9mmL1oC1KU+RUHqETLwt
3JQB9icFN0VSwEb133EQAejjUgsrbaVdPcWTvoDCxB3B54AUUwvessTReOCPVJP89iYvRDI7Z6S1
Ei+rgCizPRngnV3VQB4eKhT7G8W01aV3rm/jds/MhUBmH6upyij5ONxMZNGSXYo+OTz+0Cl3617H
NFwSchUPb1sZEwGkFynudETSXflRo2teXB44i9ockDQ0TRZlVRYNhTEOcVWKa0Mhy+loNB3Ual1z
X+7/h7Y7+p9+O68LSYxlMPWp7+YQRbdUzw4Yxf1SG8pORYZA17tDNWAmNllAI9EfEOwe+8iwZoRi
2ig+61J7gyksP5IAKdWNwykGQ2+5DhqKJygRdcJwN4uGZczGsS+HYwL4n9AAl1/bvSf9mDuN3N5V
0fTQIwWtG5FjZKXTkMEeStFtU82LzOlQiN2TLqg3cZh5eglQq9QQO8ucuy9CjGOex5t+7ndJpNui
AUC0ZnmQevmYN8MujMf7Mp0f1Vz+SOdpP0iYkcp0Xml+O3672D7GBHVRTMBZ2IPtVRl2WZQ6cNfs
Aei3M1G8FBC9EbirNaN0wDaNgenY9LNKO41qtiMAEgQECfp3OHdnU3edP4ll9VF1YzEXA9U0DMd0
lmp3duWT71W8E0COIHu5u873fGPM2wmVyZkL2lKmKphVwEBNUeIxbfS98A03wUij7GA+9MtwowSc
pdL/eeXysnQ/sbGac00RdMpDG9RAEKjdDOVhNKZw3/y2ObrYVkaXqsNUI18Pc0Qb5TC//ulrJLaB
ulVyy0u3bMY2F8IYLToXSCzXMlI81fiQyy9CBNioND3kKpf2gRrqa1vIqM9Sn/WpUJCk71xwXRVo
24/2jUNuJ7R4WvmeV2fnbiOjO9F9O2LMiRa/HUyVoNZbPPXAQabFXnmn8SjeubeSUaRyKgnpAtBO
YLOHvpbZAyJ6zIthbLmxsy+iAwZooE68/1UC8uL8ftOq8QLeFbzBDFR+AxC5K+6EB9Us1w6O0Txl
W/Rr3CBOoZgWtLaq+NUXdddxPKFt+3peCtsFgiEgJVUryGk/VHQr3AlgyYnwrI1700AzCB0c43Ua
c24/O5qpGnGnmjGeta5nu0Uu3GUJgZlkKMc8n93rOuQzTXBlHzXGk12EUpniUfmVxaW0NTmxqr3p
ZS7su6ftaeKvdeOHyBatxINHsxg8jb29XmJquixppsRyOQklJjGi+fMTwnvlFi2T32YkdVMgEaPh
v/N+MV3wnuJ26sw4i2WeYj6laTibUDKqT2hn3XvtdRbt2KRcicCA8VQPzIWUkOKkItfaY4LHdGRu
B9Wmx3jxGcwTVUojlhcKqigNudslixXJA6AbkckWZqcq7gU0OV4/8z/c6fPKmedZjjpAkOZPXS55
K4XkoSyYuoPQkSqi7vHvqA2Mi1UyzzWJjU4DOwxGvsxdKX8zkGe8vqhNp/Qs4HP2/6LmkeuKEOYr
Oi+kvLYL6efCZeXa1jj/7NpnWHohIUoT4AcNKAGo/nqQdnqg+bKT77kah/McPk3IhZy5z1qzmnAv
W/AwJ8/lYXqmfbyCa9jtYvUL6rm5G/1lXeViBxkLDwgUTV9MmCbtcfUML7+FwwSi0HeKq7E4lAdM
mqzib4Z/L4Qylp4sXTzOFTz9fH5pyo+58Ekzcq7Gtkd4PjjGxotA1u1XARvajHDLdNVKVCww4/Vx
ybyDYxVKUUQkWxA1Fz/NWwBefaH2PXIJ0hCn6F67iR3TxohzeqI1I/kmuW2gVBJn2EWPPAPM+xRG
qZRm2pTlhNocATRQr6OlqHtqV8ESct4cMG9zGV0yaEOvZRNexdwpDnDj3BQQUzWXXY33vBn90QEL
RRlpRiJ7joMywDzuS+RqLoaNK7DLghmey2e7bR8IWipkiZiGynIFzQDzBakhBQdChrJxzUfapfKl
w0PMb5cnEiy3+i16v4EXh3kwu9mZwWAvLzwztbnwi69gHkjVLU0Y1TAPxkyOIlyqqa2c66pzO71/
IYN5ICtmI0xNxW3p3OFZUWzlI9opiJfI4H6s9urqN8n3yB5BmcHzrjYjmAvJzJNZ5U6upmHM0NtL
UaIbEBd9ULWacqcKt6HoLkQxT2IYci0hn4AQSJSYlaU+iz/buwRIdGg6osgz8Iat9J5OGqG/dldH
SNnyEEi33f+Lj2BeS2OGZaRQ8EHqj5ve8CS43Rv1NAovbSzp7frB8u4O82jGNh4aIuIGxxg8HuZX
UQ84Auim/eY9ntfDAjHJ0tyYcQV8vzCFqzgrDwoZRS9c+y8RIS+yHrtLZARNSLwkacFZPI92I9Vv
kVzeJONQW+Y6Bk1m3kWt2lq1oO4kzHWoeeXkVeuPsWFnS2JHqmkXheD2Wenm0XIbqSCA7drI0lNz
cWdDJtaE3iAnT5NjWLdHtV13nbE6RRIXzpyIgDlrp7dZjiRXMObI0oRkX8mdPaiTE8q9o3WJN9WN
ynGzNjXjxd4wGYE0MlIyEOw+WaD1e1MALsiqo/NUeLh+CtuFgAtJMk7pwmNA+2OmzuFniQwkYB+r
B1QQV36a0TOAjOcpBv3kTgMtZOrKB3CBHck7CgKc1W6DK118BOM+tJ06DiRHQlcDMUJ3ooCGim/u
1R2vO2n7zqHDhkg6mqHYTEuShu1IFLiSsj4e4UAMltpVAL0rnS6WPG3MeEpq+yDPApntnYWyb4ew
Q063fwB5cwWONRq4+/0+lfdo/gIZRrpDb77Hg8+k2uD313UWzGzp1LZdPOfoAYm16A0wIqNtLu1N
NjQoA5q2JKhentTP1y/TpudAzjIZezOMfWvIMSobchZZolRa8ljYaAaztPLHdUmbvFrGhSjG7GQ1
eFmWEGandwAAq379hT/m5V70VY3syqZ4PXihSNSnX+dT/lAiCM08Xq5pu3x18RmMDYojNZvFEO6h
9Di4bYCxSLcDvi6wmj1aYeaVy3gbzNghpZjWnsxoeSniL6DjwbDBcGsW+0TU3jn7u21cz0fJGBtD
k2JFmpZfMEG5ZIF3yymd1DFPOmYCja+/HNHkFu3w2TtYePLjv10rY4BA5L4qfQU8ByH92vePSQsK
BvFA4pjnwWy/FFMG+41ioGTACFJCLYoB7IrxAlyko1RbtCfNtLKb/LZqrOUtCrrKar9J7uzzgQO2
cyjkH+ls7BmROKuEEZFT/Vo8Sx7GXSUMcFP4U8HVnaYCj6zgyt8ldMVRSz+88/q2tjXU+QMYUyPU
koAOCeqqpuJe7PVHwdR8MYv+ThOe5TCacIyMQSDTp6EBmtFD+la4I7jYySNlmUytKUM4wzMs207M
WSajBMtBR59LDJdJM2JLFcDL0woc28UTweg8gAck8yqg6w3Ta3ZigsA+ebz+FnkHxKg6zNmXxkDh
0EnyEhUfrfgG/HDruoztZO/FNWQUWZ4IxiDOsMDRtzpY9sUpfaPUNQTUNRUJRCfzuhfe6fAWxmiz
vtO0ggwwxj15yqrcIkpihShMX18aTwqjycIBiBiNjJVRQMBwzm2zKQ5zlbnXxfDuAaNFZiMc8qrB
9R5X7dApqyPWGae9Zjv3dj4kdppjVlCdijsYvTCzqm/rp0Ie35On7qOUfNOvvBzkkN71dW0HeKZs
iEC6kWSNBZytqixeBg0eTKW+Anxc95NdAwMLpRRU8yk5jIuFKSDarcGlXtw8ugvRzNHVZb0USoqb
r+gfq7bahfajLRPOA950CS+EMAcXhgvwwOh4OGgzXGN5qaLUimcCmOS7kveUeZvJxjzCJLdGMkFY
7/WO4sHRvWmOIOQ4Zj5lQm8tU7VyX9hxG585qySMlp/7pclGAWlbikg2nZqTAsz8dZcd8/cIjhKS
t08V8hRcuj7OEbJ8q2NnNPPcAG4wz6Dn14+86a0O3WecS7r5+s6HSJT/jmIQqoZ618KKVu4Q26Gv
OLFXvhsF6B9X8MsbP2qfN8PCE8ko/gX1Z22O2gzzIhkIWO/6mTePSD/6Nxf+YlF0by9CM00ZWimj
bS7ifnmmPW4ginhebYo4CEiXgOcIbEdhpg5QF4whiCaLPAv1lbdKDfWi+hjzs7M9TVMjTuDOiGyy
nBoXklhrIyViKYtQlq0ZBqUMAsmhvI1j/aSR5DEBxsfSp+6iyCcdke9giDdzsjpkTHd9J1iL3Dmp
aDzm8vgkTxXHT9l0sS8+jTFKRiu3LVD08GlaepzGfm/mpkNCcF1GpX/91m77fheyGP1mFImpRNRm
/GeKDRvxVoIK5GbcyYFxPzlTQFE3xD1w4mML2XtekXf7eZ6PnFF+05Ri5jFDoznanWzkfG4QXthE
KTmZ+m334rxSthK6NIUUjh2usupHuyWyZd1qfOIA9t5VnnUwBToVsfgtOtta75/lsdVQZSQAUQ3R
Sq0pnSUsJsCivVwYcLXSe11fOFOJPGmMh1sXS7SO9Di7BkmUUd0D3+CLHLYnISp6a5iUn5z7Q//h
7wrivDxG61VJuZZzgXCQZgQ7wGD3opW+F8DdNhGEykFxoJlJcoOJ9CW1tckidu3Ltctz5LaBRi6O
l9GFwjJiIIvOY6UB5rE87XVwQaKDhCwSbUkwghI2ea19rsLaDFIvxDIKUlFCYqoDblUaLM/KLvZG
S0XBqX3gY1XQh3BtqxmNpWs6quq04DtW5alIEskqonInliKitUn7iAdzh58daQm/XD/kbTNzPmNG
H4nyIAmmDqUsTC9531rqzKt+/sEpOYtg1FDU9lU5roiSJju8N19ljJ2tO91pfxamFZ+Qfr1NbSwv
0N3rS+PtKaN8ACYQkipD6LRI95L5MYm+MrYWATxaF30Vte9Jz5kHUDgXhh0Zqkg8tNOCe9o66BR4
6F8nV3RHZ3Y6twxmR7WNG+lQ3BfAL9Xu1Vfgpn7FuADwT1B0S/CIwODJ93I5FkdnXLMSAxpwIQx4
uZVyr+dvkSo5lfTcFbyD5ugnFgB3rcW2SRScM4iSrVIoLdBXeES6q7vJyaK/IfG8sPHsdFEiNsqg
K9CGpAY4mrILHdONAt3S9oCM8HmlLt7aGA2kNaoWtZSg3uyB9h7uxuY21IudKg1eN31cv7fbxdqz
3tEZvSOvInjaBASu2q38c/TyQAIqlzMcKdojZQ4lTo5EIGbtLCm3mrf61O7rU+kWHv/ybKNGXHwL
o5iGENwny6SjUiDepgLSHFn1JKv3Wt3FdknKyRL75NBOMlAPWqTvYvGQkMgydMQYM8JF8QlMOPYa
GqhogEBrAJ92eq/O+XOlPeeA0NMy/fvYp1YRJo6Yg39J/0rWnyj2W2rxmlXfu2XiOGAchaczCq+E
QgCCA4Y7dKK5JBOfNLLeXz9A3otjFF48CQWqKaiLVhMA4bp0N+biqWiCuFD865I4/pXOqjgxGnoM
KyM/vHjjsD6Xg+Giddn7V1IM2hJ9ESigh7Zu6g73MZO112QA8UaM8kbRCi0nl7KdgTjfNhZkVy7q
TDYqGpL44k9UydDJqZBPszsCIKUDUe9s8wZwOHtoMG5VRfIpMxWgxM25gHa2Cq8t+xGvEy8RwItK
2KJ9Fo5qU2gomSTfqC1o7GifO+Nd51e+Cay25qB62Vt+L2BwhHPn/xB6mRrgyDRiKp91hosTNJRS
GYQeVl6RzQkFy+W1FTCsH+svQqu7s6k+ypLyUtf13TSb9vXbs11YNs/CGd05GmEjay2CAJr4FlCg
yu5RMAUwXem2R14mYruWfiGNUZ7VFMfNaGCphQaUMcUrdmjYQ9+zeMy9GY0DIMeiPUPAcnmIv80u
+R+oxrZVzHnBjM5UikzRVkq4sK6PWnY/Ivd4fUu3FcxZAKPDBlkWVLJijav0kpmPeX4EsIStgmH5
upzt+tPFZjKaDDxbedFXA530Vj6QmPPVN+VYorEEfRALiIVmHp/R9mM8r4xRaJ0pduBMgQLoRD8p
C38ewWoycvTZdlH6vCw20amTRElHHa0d8r2sO8BBQqqzUi3Vbb6JQLmK3Bgdh0kQftQP47NQuJKb
eUDlCa7vLmet7JTsmKd1HdZ4F+EsO9M0OEs1WrXByepyLiMLQSzGwKvWaC5ER4hvkJeCC9z8h/Ds
n0P73O4L7VJXFW1GgnOEblUA5ABpnpJzYordBZeq+NgjPisAK2PxyqPcc2Q0yxJPUddQc6EMFihr
i8XVTAvAgvn8WIfW5M87dMkWyP5YUeugd28obbPGZKqlD0CozEAhw+uioffz9zjuvBWM9klkTDjn
2mfIiBh9j5jHi3cpt1efd6iMhhnyMkFPWwIPYwHeqNTcrK308O9uJ6NjNLNE1pp687PcWpLydVlv
JPP5uow/ZKjO28XoF2lVxKag7ErZYulIc5pW+j16aE4h/rSnHz0GxaLvhebmhWP4BbAOPyMkngfA
U3Myo3VGAlC9HuBbiFDbg+iWgJYAv3Riw7sOcHPvlDfOujnnx/JrxkD7VToD4T7FBdd2AqyhH/kK
MnIatI9pt24BSvJfjKPZ8wy46dKffyDLc/07Nl8u8OBUVRVFAPiw+JW90Ojw31VA0n1dbOIrh/Yx
fCts6aE4GDFgDug3RE7H6+rbfLgXctl8nZqmcThQxDdNcsoQk1DtY+oAbdHJjuktcbKguEOCNkgg
fHV7n6Lj8bsotw7h8iOYwLhRC10ibQa23WzsrFYovIakXzg7LG8ohEsh9PcL3SgnopAbikLBWdAP
9ghaCnq+AE53BXRAcUtavBNlcX6WfjJzLcZcaX4og/xOOaAb6IeJydLoTvApO0D0EXHr4Juu7eUq
6VZfrBK8N8MqAKjzM1MoYQxleJCwUBKQA8VMw4AGsdAW7kTeX+UGL0UzGjcXUlLmITBT4kD6kEDY
p+xq5JcyPF6xAglEE1AmYZ7K2NLzl1IZBRxPq1zrSx964l7zuiO4TQPZaX1eP9nmPPmlHEYL1+0s
dRkBt0V47IMKtOEmeB0ld7jlm65NP/1SFqOMVXXVTL2myhj9jpjZmyU7O+qH9Jk2hkzvAm8eWd0q
QF0KZNRuo6+EhDGObgQxlKXqkdcoxX5Y5FszVGprUEtfaEH6psY3Q5E5q9D+HOvSy6VwN5XSS5dW
wRLVd2SIdqMIUK68TQKJpCgZ6840dEGPyfQik7+EoK0dU6An1smtYBiHftW8eAU4E6ZR205zh2wM
al35XuepIyfkhki9nwnNzTIsOxnZMrEQX5RkcoWFG5ht+YAXW8BmDCMT3TBxEeVQD6KNWRdw96mY
CH9XKmCoyR+6V8M7xLAtR/Fvqj5JAe8PmqdlNLr993ut9KZpUsQpSDcvcI6G6R1n4XJU3+YbuRDC
vBHJWMswEdLEr+fHQTl2VeaREVnOGPgA2rcxTa1FX61JqfZ5rwaSmVt9Xto6yawu/pjF1lPlJ3Al
OXMocvtRNtXyxbcx72qQe1WOSigsY7AAtoMho8xvPpZXwc/dkps93HQwyIU45mm1Wo5+/RD7TWe4
Wjr4mzrim2pJdojE2Q0NpTibv3mxLiQyb2saCwl8A3DfsMBK82jvYIspOWD8j88Y1QkfBfRzpD94
/u+2/TnLZQE3pKIAcwF1G+ksbvqWnJDqcMHre8qt+Sfg8+z+CXCuPme19CqxbjdabtE2aKL1VmKt
nhlqmbxqC4zAAZpE91en/d6BwL2yCx+FR1fvAgLiN+GNd8m3t/ksmDF8+mTojUznIfOaHEkk3Cyk
v2mGMLi+QN76mPeamvpQGwKSlmtZeeWwmxtwjuST3Rfv1wVtpk8ud5J5tLoUpksNoh8opOpbeFxc
wer88ZZyNYjfc7QHmPv6WX2ljuGyq3byvfnl+hdsm7yLs2SfZlkJJkavaLqIokagzAf87SLQPRHy
/qUs5l1mdTbL+gT1mwbNydiFgXRPuQvkXXTLc1ToZ/92RUF/SQxTBP4iG+1HgljPVY8+SDnujkZ0
IGNhVdU7EeR7BXNfnIXRD78mjeq/C4dMyDRNXGPo3nRYvtaydjByEXwjqxtKaFlRQ3tuZqfWo3t1
TO14WL10GIOo1+wkE4E6/qgIxa5Mflbi9Mj5Mt4+UKfg4svUIRpGw4TrT2H1hlP9mHskwPT3J/dI
5kj2p6t/x1VMW7U5crH/zEut/o+z79qRXMey/SIBIin7SpnwGZHevAjpiiLlKG++/q44g5mTHTdR
MRigge5GFYohiduvvVbvOaXvV4AiSDgC+5CCUy7pm03tDJGwH1uQy9vi0yUqcMjjlWf+Ndr8OPvC
fEdqDl7h1menuMSQCSi5s3FBkQrE78naXU0qzo/yt49/YcNae3Xa/jchpPMN28XOMMhLUVTHkPoL
2217BYDxq1zTz7d7YbRupQwiz7XUgJarH1cYEShe3dgDXzaK8OqA5TDokSe75tAFydFYjRtxAj0D
hL7iNBrXV/XDf6Np+fmDLizbNLxcSo3EucH4tYeSvQWwkb4z19eYLn6NAD++7UWgbRwjU4UD/KIz
V6s5fZpRzLPlmlP8NVX+95TLhoHtktJEc/S/OD5TTJXus8NZlMlY2cE0gZX9qr1cO/GiOjYl9jfM
MyE1oEmRWBOow+rdsO3DMzODEV4jP/w1WfzxgBcOi+RDoq05zf8hxwfSZF1sxs11nakr3uefcecP
76NsqzBcCo7Flom7jjoRyN641YMY1sfWyjK//93yr1wOduF0LOiydfOEW9hmBdLgZtUYaC33z38/
5ffK7cfLu/AvfW9lZTXgdsyBy9sbe92tc0w5/G13uA56+lUS/YdpsQv3Ui9ZjjcFTzoGJAZrh/ok
ezhxMAiThosNclqOjaMjOEOwvHG8Nom/+rAXrmaxdV+Z5fmdRt3eR59wWQvYwlkq4H+htHLtC174
ET0zJ7Gbf05DdzmutmfdNyzhtHvUl+jKgR70cO0Rr5154VIWv9LLkuNzJvK5HDSX7Gt0r82Qrhxy
yUXUTXNCxw74Uqr9I5k7izcm5JK8jr1cuZ1XbO5yKY4UGUK+Qc73BcXAU/KnfbLPgn4Viux/dOXM
/fRm4PzDtez8d6fCHMo813YBxvvPXIMYmchYhps6b5NVv0rA1SVP3VXxut/j7f8cc1nziCIVRW7Y
SVzKsPO9rS7klSHOrwvfWGD87ye55BW01ThlU17i0vfj3lbOzjCce1Chh6lMY0/Up2yYbtOieDEU
2RtqvBnsebtY1d1oTg+Vk/Aqw7OL5oBieleyZJeXxT6f9nlN7/qx3KYDonAhr4F0fk+6/v3ZF159
EIvoE4Lu57nPzcAycGZs9vhZEf5a1nPtI1zklbKvW0YR9FfCp1Gb9ZFb1vd/v8m/VmE/PsKFNy+G
QYNCoZerCoyq2ac7g+k1vcnMJfr7Ob+b5r9v7fznP4JURhM3rw1U7WUbUQc2aZ4858qnuWIa/oUT
n7H2w+YzGMHCwkW7+i9l0uYqiv1XRIeH7Q7bhzqWg/2O/3wWsP9NOi9yQIHQD8Bojj6qMAs6NIXN
4bw9+b8hzvs1/f33yAuXrRy3hqYjclHHEmHRowks39mkg79/pN9f4L+nXPgWd9aDK0ByuxoNM6ZM
hFL33C+tYEp0CDZe8GKiI1w0V479vUD/94VedgxHEKu16gypPreSyq8FlK79YTj1b+APCa3jGf42
YzN2baJNDGXvVb+7Ru567ZteIgonmpa5YcLUzladx+nRhOKMwYfAOxcYK6u7uS779/vI6MdzX7gS
MSqLJdM/gxQSQ1UDgyr3Q0x8rBGP0SuN1a68cT7PnFDlimxABdWi33W1jP+9wfXjd1z4GY3NZwV+
4PP7TwdO4lz9IwibAZdnheppDJXgSQU1y2tZwZUL51x4n9GqfNso/hl0NJtzMGMr9NOu9yp/9XIM
s0Bs5zILJvufFlsbRkPtWQA2iwvmxjUmgNHnpv10bbQrGWq15Nv/ujYR/dV7/zj0wh0lzjAaUwnI
nN3VPCvQky5u/26vv9/aH0dceKJOztpMTcCBz42Hcws2E6AkPjMIJVxv1W1yc62G+jXx+XHihSMi
DNT6mQbvk2mPYdU+lVgutr2bxP3TXtOg+TVk/DjqwhtVZuXmoELHURqkyhNoEHWHvJHEV17ilXMu
61DaVb4qOux5/SOs4fD84bxKrHcOgKFQDQEINeX4z7W7/yuG3Pv3+f5BXv8IiRSLQ0XrAKRnrYol
cFLMStpVEi4rcRBbLxxjD1zHCa/jce39n1BQPw+/cD1zPTqDWeOhsd3xcPZ400e3nmMnLm/r2Lg6
Tb1igJc1qlE6S+12uDakRfWGNXzJuqC1UeI045Vo8rvZuZDZdl2CxayLIl90rYWNOYz8cok+Qk85
xGyvHPH7jfn3iMuXN7GqojYw8TN9XbKRq26v5mvzrN8t7d9DLpyymogYOguHqEXd1G4daJtslsFZ
VU211hjx/d0Mrh134YrNCsQBhMJF2hVdOwqli9WsWvdpcgkfGvf576dde4PnP/9x97skXYqxBr8U
K15T1gSVegRzAf/7IdduwoUDlqp1U1e5GP7WNGCQ6arq+spNuHbE+a3+eA7WtswicoCPWgzUe/oW
9/zx70/x6yKYx/69CBcu1yzoMC7nGXYXSoe7ecBQsvsk8O/OjJj+H+ibWev/RU/k2je68L9Coq1t
jMB9NaF4h7jSjdy1q/bbiABAi6qTZPx62fl7KvLvw17isp2RZo2s8bBIBQH//NP+cat/+F+czQKm
mz6A+lj+5MRZvKjo7y/61+e1LDCQucTzTP/iW6KmLpZMwR/TJglb48tmaDcRceWU32dBP465+JxZ
qf1EE6QF+abb9Idz/TgF/opE5vqqmvW1R7r4hJbdkHSpq3OIGfaN5vT93NSy+BC1m2bbbsAzc93X
/z4Z/p8nJOYFtr4gNfZSPZyqNphFbM+H/ldSAk4ZrBdfpY771XX9OO/C41t2QrXRaSceF8kQSMs0
LNw25Y5humFh5WDbtP5vFHme7foeQoxFsMz2n6afYeGVsAa5VxvZn3PU/qP9LoPkweIm+nbIGK4h
Z379mv+eeGkbVAs6W2d/NrEmSkDzq3vGR/fP383g92bkj2MuXicFDLvzE1ASufdDCCTQSj+PLx4H
kj/2w6vjynMY+/8GOz9Ou4il1E4grVMAp9iIcIrFOgWZO3C2FgUoyIpLDQqia5kXI7/Pdn6cehFc
q9Yak0kW6UoXth/PQzOv6q7/JoO3si0976EO7QUjBJllkkwrxrwqwu7PeDKcMbB8TQ9U6iFSuaij
qaPFbYMNOT5M5F005sYAKbuRYgW6nT8XlwbJaOwWcnLFZ8FecvZVg9yb5+0COJBrzhByT3Z9rx9d
G0vq813hSIvTbGnWrWG/tB1AdqDiCAwzATbdWKzYctKTmyYPVWG8pzTheU8Dq2ji1kxPea0Dq/1Q
6F8b3cvCDm6i72jehpWpuYVscppUSDR29bz0th78dzNv0Looa+yMt+renliYmTM0uvqjsgrey5Sb
RhpYyll5Yjy0efHmTd1rMSzc0UVkJdWXzIyBs8k9Cg8iCM6HTKto8azYB+gpZv44R4Nr+hhMitRB
Cm9XfJndI0hI3+uBPbOpBuWVfm6d6amQWcVBShD5IjvMuQOmMSi3T1a309n70qX7mgzrcvG3soB2
2ajXGSkEz5Phs6zqObAn5zSPw04IpNFLGS2jxwev+Zx8FYFK/cGsesgAfHS1yteLIs/17O6bconK
Vj/bi5GEU7M8py3WKkBpm5bWjUHoNmvncGk/0qrd6KxaSd+JTNcNiZhPk/vHaL2gA8lcDxarpFyP
cxU2XQ/16iGqJGTIvPJAZyxMis8eIIeRYrBQfVRdvSUDRmqOINwbs61q6qiZk71dFeBsqmJnlrHE
RzWE13LXnvjg+E+6Y1tr0iG18rtJHRtnP7jqLSPYPivzXZZ1W7jcA2t8cNZW2d1Q9tvek/Ey2Vtc
9vXcFCtTscPk2Gt7wYC8ZC5kA2avDhqRb/RUBmAw5UIW0Eq0/XWlH01N730Lu6wT1mrcBzPxuDQB
QAErRQ8Xa2by0cKCdN6DuSwdW8iamaGcn9n45KhXP5uPVXve9FUbNo+rRdMAGIKAFf6qmF3gcRMa
2k3pQuO33KhkEYG02r0A+9lkOTGVN3rUG2QggUunrZb+dqQQy+69oBViUxpsV871oZJOOPtstVTL
yhHDBvcu0ou9SUCgSec4b6zImfxj4eJfH1pIZ0zLgxjuWY/tTSynaue1AQ2Mph6SizaUowqHHjgC
6d4CTbZ1ZnwvYAeMZX6BhtkG04U49yE3MNJoIqULcmD8nPrJcMimS4sVUf2KiilYpoqPuON99VZ3
9kOakDtoeKxqBwIJ3tg+KeavEtF9+aw8GvPyyDLCO10F03IkXh3mbR3V4OJIPiYAf1gfDeBKhK/C
mzJDC3iHlFSbjKSrhm4SNq4gHsMblpZc4a8nBVhnCwXWpvp+lulBw0K6erpJybumN5XrBaZRHmaK
KUVfcPTyoiZHXpUeGu+19yrgBRq0n/buIsKZVJF2jrQ6UKPGwRnYdHfFfEtGOwQFF9ZhH1SXckmK
QC7WDrc7qAWAzdlr0wPWXv2Z5qdEvM/eniaagxkNzzLyutBhkpucYYSu05vaawNCYTb4VCNszQMP
gDIeimWTO8cGFCT5GI2Vjufi4Sw/NClzY5vvLZvBcQ/qF+yPdz0LayUCJ3tplpJXjES2E7fDvaXe
M9yjqnoCHjOyya2eJG9wY0kqwk67nLj2UbvdDnoke12DT4si2tGTsk2+9FbgLScgVcNBmZFtTtt+
LIIkB7RuFlE3WEHHEi7HR+phG8vO143zniVr3RehXYF52Btj4dKwALtVPtq8Bt2oRBetn18YkI8u
2LIT9BdglL55N/rvSfHkJHcVfgQBwldPa8t7p4jwcnoXKdx7ejsWd23z1CToSUoIPimwU1OQCsFe
3L4OU9flEm0mVVngg8L3/RZLEbLss5gLPpkvhY3KAdey0S03R2j2borl2AkvtJc+GItblj7aPQAO
yZN0hnCZ38DLgEAHobnSDSD1bbZuZPUfVN+zrEMja+Wqd4+dKFNB2xVB0SC7XKmhgRxWdts61trT
Cf5dcyWW84GEZ20d+v4D6jFOxzvP25/vQ9NlCC3gLtW8xJwOSmhcexjzrJMZcCIEKcvk0B1v8edG
t6FmLP2Bpy4msd6xM8EODxnx2fB4skA8xrtR5GbyIBhgPCzTbslr8El9a2+JxuWtqxred2w1m104
Zl6YLjYC3YtF31pwpHoZRfBOuZ9Dz8vxopykkTY/++I7caYAISFQHuXN8rmMObTiAfBMsd1YF7xG
NDP9B990gnoAtLjZeMZHMd1JiOYlyY1WA4dGGXcRfAcDXM3YFTbUtnNPbqnwv/RqnMmuzb2n0saV
nL7rweadqeOEvVN83RTP1D0P5rOyPwcP1QgMHqv+Nu7wOBVrqcowX7KwH6ub3p6CtnmTTAdQx4lo
9VmIe4fcO8PRXl4XDSqYd4a5K4x3pRJ3VU473/uDFIi3CCpG4W8LN+FqgPCBKkJfAFXZfAKyzGdT
csDRA0HevGHgfmbeTdVLOuLtytVg5KHlVfFQqY0ADnaxjCCFO+pB2ukVE/KCkYUSacc4faQ2cgnq
rBsaj7YTlDC2RkAOFNNTtjH0k2+fMm+T4LikOOQFEgxwrxeL2Mg8DQqlH0GoFWQODuu6QFFwIikT
L2tfFs7OmjXXUGqlyRwY83ORHlV7cCbNMwoR+eF96U+Qi3ZsXCljO/Up79RdnZ1SepLTqhUPtHyw
x1cX17qIvfRG5jvDf/SXu0YVQVa/T7Cwqnsz+9s+KyA4BEcAhpIEG+yGEUv65o+fYnnrhwqKnie7
21mWe3apVX5TlMe26AOH3hL2WDoZKOXX07I3/XfooFvOg5gfBwegYVxkWX7bTsFLb+04UT4/m/5+
Tk5o+AQqxeLB8q4KN2pHepidnWnMIPbd4q+kdE+dmyk5tAqYQuCLM2RxfvOcG+egLAM1s7DL3NCF
Yjez1qm0V/X5/1ZGhCwqGnz25mBVL6M5990sHNsmtP0pEhASca0plNBXXGoW5HYb2KTjKoHQHDaZ
WCv4WNirrAf6KOlDwcC10+0qCKAvY2+FhrQ+UwXH3EP4i6aBApRdjViF8k/pAmCybXOmj1ZDeNLe
VySu8pJ7cIqi/yrTKpAjVnfEsG3krdCwGbprCyQhrROm1Ts8/B+XolmbgQh2mCN0pAMw0ipSgYJ4
NcJZQD2bGjkf5dr37mvj6BiSp94JRGjcxS31ki9Cadi6YFlhSNENEB8kbUyFA0mY4WHyl1iDXZdn
csmiCR5pAvuWUvct28p5QXu0LVpOc/bZOTm3rZeMbgZEgKzdLnYTTKYdIesO83lXCXlvwF0N5WtF
3+0G907MKxMj9SUnwUhEmA92UBob7L0iRCT4CR85VsIyfbd03w1klPxjCVKCwbaDCrlgP9oY0IjN
kI58gG8cGnmSqVyR7m5m9xoK265Bg9nFt0OiZCG3G50inJ3TmDDw+Kw9Inmps8BEV3FCxAAKhFvl
LYMzchP/lPjFupYpckOTPVbkZZxvDPY45m+zs0/nJ4Xd4rKLlJcHNAUgLFuiATaQdzQonBvaP5R+
EVKFy2R9uvR7aYvAZl90utHJKodjqX0Raqn5qOyj07y11evggUMhyXnWD6usS2OawecpuH5IH5PX
vHHhMfvY8/fCaraueqY59si7k3ZemPFE/UPt773kQNxDMyCsNI85ygWmEISQMEjP51bq8Kp7FY3k
Ncgy2+w9s77KEmEtSd8BkkQ6QN1IaGvrgtkeIN24IUnMyE1ndCdkOnKqYztViORDlJgvbHHDVCGH
NR6k+1Q670JV0bQ86llsCkJ5D1pddr6jNoZKBQvdYjcS3E1IvLDucZpTTuZ7MxNh2d9TBEItXuf5
IXOgKyjAs+kP+74UfOhPs1UiFkFXCmwE2YjkyINVWiYIrbPT5G3rdk3Fl9ZAQuG5kYpF7ijQhZZN
NCnUJvokkconugsIlkJ9+ONRv1L1iodcMawiLO4LzW5d59O0n4r+pI13u3iucM+Yvs2cT68Rd8hh
oEWMHhyrgry4d0Brk7exmfXI2wH39HVMlzxMKs0LB5ZoQ7qmxHIoq3nZDHCZElQZfygcsEDImp67
6TPRFd6w5FJ+E6Ziz/oykwwlzhRrSYJ2VFFtfBm45EsBTOeErHDUYYeSGP0cnjZnMba3qvIDvaBw
ahDr8cEo5kILCTtkgwomac5eKBI4KeM1EyVmNmPA6giTcxiLxbVVB5Y8jRZSVh/JCPko53va5ytA
ILihP2u6qYFiNec+SosymO0vVr4ALMgLX7/UBE0z/UikvK/M4mFwGgRFwiWycdvPj/Z0gwoMt+mp
bZ6H5KWbzPWYPTvLtwQk2ss/JDlmYx343Rj4+ERNi0yl4LTHSBf8ELEcqlPpJOGsyR0T7IjB4W5c
snWn7oem4vL8cLBmSzwXkm2WqoyEaILGGTayzAHyxZTDbLv11D6DESEi6oW5KDGrLRJccz4J8B+1
g6g49Q5uTW+m1HktWpRDNtysA9DltDFtJ+pRvRZ02TWdAJkOagro6fUo+NxWh5neQ4cQ7PLfc5EG
aX3ve+kq1YDCol4gQx4oDMuXcWdhL7klxt5JwAXvZ+DVskCVwI22emcZvmctuOH/Kad7BQpkgbtq
+TEI60KH5WGJjYYasJ6lNnlqJxEasjtX3jYT5Z6V7+diDBRDSKqWdYpM0cubO6MqMZgugxZLNxCE
DQaRh2lxxzod+3Ai0kVXhIDgxs1jls/30G9DRbOg44IMupacwFn1cFoTUC+d9Zq6acxM+4YuVTC2
0Jyyp9Aeq6NT25sy64+kw4uQy8lrsRIB9PE870wqgrzZEWhO+jIAxXboOB+1YIFt4ofPG79Q+0yN
fPE9PM8SW2UD6UG8MxM1vm6TlTl9Qe8Y/RPGFWJq0/zx8V8UrHVVtqBOQIrT76kPCSxRxu0C0vUF
01DBAJHS7b03qXWJYpoucwBpR05lA/WMsrN544qO0xR1yjR6aeCREQvHSF7zbQHUVC7vOsu969sv
lt8t6DQMU+SmEIRwF6RYn4X1LFDVjeW7BKUUwkc68VZPYUMnzpjz4mAH3rDBxI41W+6D0DGebTDl
WF7TRVNhZ5EHrsJ4XkCCU5EW7o35352rOuTQxDx4XhEDpVODR35ea1MdSZtkD4moxGcnNXTU7bRD
RWiYcg1n8tliBR7WPh+ypSzQWy167BmAZPGcQzSu5/LFa3s+dQX0IFHEC1yJwavufEz9tNO+ZPb0
PdhGVIJMD37Wmo6Nof6wWbzTynwy0TAmjt5jVn9vDv2WCTsuCAvNxAkTs7qBLUCyQpafUNPaglQY
lUA+IY1Sbv3lVMUYlfM0htbo19tS62M+eXOoxorGKRajLJOg+kUVCTu/oZ0cQuJCvXKY4ZH6rGYb
aGI1a8NPI9bJSBSa4tuZR5M0a50MIhgKFLHOR+/k2FsoT5ntYY+htKuIlNmfSvlWoM0ari/rSygs
q6detyAF7Oq7RaJHY1dACpHqtqub28Wrb3M5lKvO7QbelPUtmfAuZ6oasFmpj6GA8udsegH2Tvdp
RaEgZ1hJmPjJgc0t2m+g4JHgcEOmxXLjXSs4FSF3oJlZCXN4kD5F1FnWfj08FyMyp0rLb9ewnoYK
vFxDHefQg+z8epWYKXJkrzjWDdlIpGl5gT24tG0OumZrMz0o1AxE5Vz1b6pCOjY66yLJg8x6kiN6
g8W94b0SXG8DflJasekXB8fG9bZOCZ0igveV6VVH3wbiIMZbqBI97in0LK3XXqN/tOR8qBFTUKbX
lY9C5HEab5UEW2byx4IBtPB3NWKpV5H97LdrMpuYwReRlgYaUbhwi7Eq0V7xwXjLBJw5WlqLf9/Z
LOjQem2ym9n6ArNATd1Q03U5oh1r/4GYImLWdnZndBBeKarACbIdI0HzYOA2YegW6zUQzzmfsyk2
i/KQlu+KnjkCBNDIVaTgwIDQ4ZrAkdl3ZDBvrSU9mCYYoIfTaLx7drZn4Fblanlhduw4bzbxAnGu
lJIXAoBo2XG/f/BMiICi4Y27Flg1HrMr30neoeyheGyBX/dYwNfJx3zEwG9MNx4CsuoSnsx5mMuX
pr1rfb3WemUQtU2oeywnBhqo13L4bgcW54vBpd6jn8b8dDVnfay0Gft5EdQG7J3hwyZ5bI0MRgvf
yprHBa/Gdr4tQsOuQE3uQ9a+HWInB12zUezHRvGEHmsw6Bs90skXJM0BG1DEyxZKS/jbc4IkQC8b
K12O0JKPevzDZebyETSDQ9PtmxzshlZyJxD/XPRWXCiajEU7cY82fZCm+iOzMzCdl+UGXRNmv9ek
3wF92qMoWyIjgW4MdOYXlFEeZu6llIhxBu8MH222Y549yakLZozMu/61lVaUzMNB2eWjLfOggxCr
EugWASNYCfAEGfLPopxnV5nYV6zj1KX3xVAFczvGINlDstR5MemGO3eEFoMH2qR5DEmPbZL0rFvg
bDyEukpkazbdqpGsCtTKTTOuaPXS+p2Fb19sZrKsxhSd8zPzg39oTefcTkbrV2/awog7MkdYbDlK
S4a140YNPKaNzl4OCn3tmhHg0sfEyA9gtQ3IMO068c68u5k8TGUWlynS6mz6Ovc6B6BRm8k+jKDc
M6kdJOhhErPZJz5E5VEQ6X4OGs8O29HbYp70aZqI2EXHtbKDrnsxZAYb60JhoY4fyhuXCG7BFcwK
QxHUMVXZxJ3okanB1kF22qN1qiHCUaDboylIHPJlBRmskyWA8U0+gN55nISz79Lkxqhf4GZWloZg
Fcv3UByFCb2mOL/q/rTdwaYuQpO7Jqm7E4PYLn27zzuTn2v9Rfdr38j2vSFW1hk5PsDohDe+lAYi
n2/usk7GrtcjFJbiE2I5yN6Otll9EMuGjDAINtqB3gurDIZc7vo529petlMN2zra3yUZmoqWjOZc
nkyo6Lh2UgaTMDYE0TJH02K2LLB1v7H8rRj8jYveHrPRQjt3lsSr8JvQy1eJlaGv5QHjNbGPztVr
X4OX0WawrmRTFMxFAWGt4b4DUoFrrGO3ushP7Tn3aKvYUCBEVg3u80YuNTcB/EU7LBgQB3p6mnPw
yUAmCQ+Jy7Ka0Exsh3cXgcSgD7bxlAIOSvLnxWBhjpgjTHNbIePq8i/ZoIWYRYnVwFWin9E8mAzv
fSwDNFtR9riBb5FgTtC9kXPUTV+0ldyv8dhNHiPBDupsXhng71r8E/OKwKvx3dWDg7ebo+ntDVHn
vyaN3lgo2kCvgs36mk9oDQhWB2qpI5E/NuYHa0TQIfZj961oQ2PqA6/1QzaJaFQg5AfV34gJ12yA
WsebtsCW8bLeuVMPrj4HidItluiJ7fJmfJHM4Q2mX4MpwgbOoG0h6aTz7eL3QWWqtbtAMRITuTxj
gTBOjaCBy8DEqXYjwpdXmVHib5cUHSjcatd/sAd0Y3eKDviXFhDo3bWoF0ZYnT1sR0A+z5lsxnYV
A7WPfvdGB8nkR5tqqN1/z+rDmPxwcDelLnjnST6S105YEe0yPkGyMl+2i3ev0luPPnkJpGYpevXy
VEmxydpP1ai4tbcSFAhsea0IfGbWhU2PvinJcGvfCsDLSrWmBF4GIFsAKzwAPVBho2/rp6BaT4+S
0kAoHYHtT3nHYjy2WEUukpFLp+KiXk3NjZPsF+ubTHcDWIlUqiHbvapkwp0ShghRYeSORnffwNea
yYqaGByxgzEeiY92am7D342cul8MIS1Xrzkmb9O374Ia175ZnDk+/yIPauvyURo66GmBOuLWbI6+
85l63iEb1Nbtn7VCerHcttlLmiWBJCBh0bcOQAdDd6iTe2wQoowtOcneqJVsffOReW+9nEJ/QeKK
sYaPoMKQbjGPBEU134yoo+3yy7DajWIYDHlupPV70aRxkzDkhVATnAhnScNTcagatnaakWMtk5v1
S+t5Xy0qr6x+cZqS90168tEkSKwpyFBNKrD9liIkaHwVg7tGwlMawEkgs24LcFWMLLa879JEeoGt
B0/1KMmW42CaoIK+GS0vwgQzlD36QnMN9fM6TLoEIf02tQ89sA62/S0ypCgmi0C5Dq3TYWc3p0zM
Uc522sF9RiZQGF9Uvy6Tx6n9MdOdMRsomu3HvjO+x3RPFjDY0AHm2YeWUfGavpYAjJTtS+4xPi0p
ck0Jgq+Mg4YL/VzvNkcbNiHJnWm0kE6aOYY3MMLnHuMg0TXcRfleV5AYclHle8MamQ3mnOca61hh
0EdMvBn/j9Rt5HSfNXn1JQ39qkKjXgRz80JmDE0SB3S+9y0ky0jxWTtfgvxJ0UPIWcZZ2kdQce+n
Q21/aZR0qluCfoD+ZA2GhnnXDJj6QQDdM2RkLNhU9m+NZm/7epdieG/Tl2zs47R51COI0sDcxNK1
Jd7/H2nntdu4krXtKyLAHE5FSpRky9ntbp8QHdzMOfPq/4ce/LNlWjC/mTmZPUADLlWxatWqtd7Q
9nfWXAiNersI+ZGSxBNPoNLcUjMrjmJsuGXz8t4Umqsjwb0BSEuZgr1VnXS13yhjuUmjaSvXvD2L
+ih6nR3QFYoqcy+K/s5ichMbSUmDnWQKjtrhJ9YVDoy0zUSQjHmV4Je4acnEPNIWJfRIX72tqaXf
Yiux/VC0PQohsZ9u/PjJILqovkelwdi2MkUVmbKwzzapLcp9b83wXWMJoLDYRXQK44Iyy70iS07A
c1FK6dl01W6QhWMU/qVtb2upcPTSYi82FqGT+KAWlNLq26IVr8VOcxoTanM82b1C2aVQ6TElh4gu
Ht6JCYVSgoM1+nSnkKAX74ZwP8gymQy95rLcFkG+bxrz6EvlrtSarW4qjpVgmxbpDhAp28r+xlTt
Ug2hrEjnTqG1RUs/MYytR/tLC6R73dedLiR6dRBikdYTwmKbSelWa8ddRem6Z9Zh72pFaGfBd49e
SS4i1zA9qzyaReOHGNAW4r3SS796Ji8b1QG7I7LP7lvSUWcC7dEhvd7yZJgblQnfJyEb8aNuHymN
E3ivE3U8pRDtkUJZEaS7saycFJiar75W5bQJ6LSP3a884q2W0q3RiZhsCM+iCj0ltjQ3nspyr+fy
Hznkpmq0YyD89oVpI0K/kIrMTpO/Q/xQ1KFrGo9jUdqDNcylGQq4r5MOpMvnnHEsU6rJfkXyxSuu
IXvToycjBhwgzAcG2dFsX8yhhspcgRFgHvnbkTRcaqBXDsVrpL2Yyt9IvsI9ZJexJSvOZUejJOoF
uw/xii1uJK91M7ZW2fOsL4ubDqBHW9NfocYpxY2thH/EriyQpf9htrXT854wSNCljHpxKW2qWtlF
2cEQr9U42afhmzeryveEaXJrQ4FYkrwV8xOoNh+KvLQ7Qd9OnbaFAfXSNPSqNSggRkFbtnG8WqbF
de2ZFckk6pez57lvfdekchsPEDZVJKqnN7K4TcwVqo8/4vB3rT3iW0VNVbiTrHQuwxG39Ksmya90
XXG0VLWFMKSUQm0/Vu6UaXSzYnISeXTEMaM+9Do3WT31ryrRKfR+iBmg7fq1kgWXm1cWmHhZbiaO
5zil7sRCTX6+kw2wQU9BMGw7JdsY1DQln/08P2iyksc0tR6JQMrpCwp0/jqeFZayieHc1OmtFETb
JrbsiH6SJ73VAlIyo4IaYLSV8JVJFM3umseIcnNFV47kTKtALvQPchc47TiC6KA8rIf3SZPtLJqG
WVfbAeU4Wf+dg7329d8APO1GJiMQ3hQuZ+PQ9TSKPeCy0z4i5+7ncrHs2WJYbOqUYpv5bBUDhRXB
lnjd9FVoW1xuonRLTzgR6/emjKe99L1bAgcxSPOl4Lmoxfu0l3eZ4KZleihqJNC6p1R/Tq1TrjzX
0X1gPBgsq2cZu07f6/GbnEpACH7n3UNL3SahuQXc2+49YJKmblM526ZZY5vFXlOG/ajzepi4snU3
814jo9mKHhpd+S8aGiQIgvkmFzQjfBLUmj9WqA+e0fCec9sJhVyKHYWxG1R/x2UiVJWb0XSMelyc
wifV+hVlst2avS0j5oOnht2S31m625ffI6lzteA1ptpY0q4JdO4kczMlvHQ07qDMVmqF/2vtlO5U
+RFJ+MlM8lulbbdt1e1Kfd+Ulh2n8s6Lsm0r+ge4hXsgID/i4VmyHoSU0E5h2kJ9jKqikYJ1+o7w
E73qk9n90byXqrTFoNxJfbrX+2ddO+RecWMRCNH+dTQJvTnxuRopSXmJU1J1EvLYSf2OP9CDPaCX
HotOrvzwjNDOB81J0CqS/XSHi8rOSF4ahRw6SBxDszZA5Ox0pDXqv6ZefC1SdzPSmnwQFzaDIIrk
Ev6CbsgJi+h4SyI1TVL1lPvBr64MQwewSFlYpeHURtue6l9pkcm30VFTTNuosyulJoqiyrwZC3/v
iTdUqu1w4AYjVqqi0tGOo5/YT65KRVFMy11siNTpxF0hTCg5dt+knqf2VDxlfv48FT5Bgew59x/M
bNin0A4Vo7FjzGfTStv3UKwaADBTaDiedKpb9OsVcTMafySrvqLnskdLlejX/VLVF0PvHguaiWPE
O2NIf4flYLehuAVIdqWG7aGUsDDr1btBu5voI4Yt+UNyO1XKtkr3lULtPpxfrQ3bjVaMQDUlP/rq
uCtE2W7oD6SU7zvIwmmQP+A45PjRD486odZONLVoz74ZirkRVJQEJWOfaBC0s+GQWH/HEXwVsZtG
RBaTdDSpW0XHoUBjMWtdS0GsKEaTL4+uM0XALY68Ku6oagN5ixXHCx5bsHa6jM8wfdiSJMFTvfuo
6bZqqT2FikWuEW6tCrWqOUUkcZ/GuRL2h441cMR2U1G0LxrZjfTQ0eWT2t8FAAXwqdm0g+rWAdCT
KJbKTV8lvImVg1jSM6Bfo4Iw6FGo4q0fpq9pA5A1uQsUwcWiFsgepRUKzbZlDW5PyGl9VMb1J3Sg
t7En2EkdnCSYMSkFh3qSfheqQomNZoMkbCddu/WSkxQPV8K8GULCPNFJNyJWoqKNnPOeTelAShl5
hDxzGjnUWZxfS/lzFSWO6ANcyurbDFMrIyzfSm59HgDTZoLdHUb6LqXrGoHs8mr8mdWtkOrXvjhQ
iINYNnjXdUjOmIGHkaK9FBHQRhkYMsWFiZZXTTEwN619po7gBGpb1ymZ5Hd1XQOnAvdhqpssIdgL
33K5AQXHWnO6urp9mJB3laiESTqZU0Ki5qnbtEseFPptQ2mCk5HomJCn6Noe6gvd9obNlNE8NKRD
3k+7NND/qNNwTVeGHfMzbbVNkcuOT0e3gouj0zoKx30E2MUPTDA/6ZUsxBSMpMe6Mh6U2LBNXULu
3nDVJNhPdXmrzMb1NNGDGFk9DieqvxsvIRHvBzIUenRm2TpRmv0qh9GVPXFT9/qh64wroSvsXsQi
t+2pY4nHPqHQMCnHtq+vQh2wm1Xto0QA5dXdI/Ib09YsHkXWZ0hDW8/GvzSKkxnixjYKtnV95ytk
r0LlREUOrPNPyjXRVdZeG7/refGaoBTJqxgYX2jXVL7wTKcvTEKkAWttrOvEK9HkL2xZk27UflSO
k1FelzqiQRQXcgAvSdvYanMa6O0aBcwLGlN8ZceitRX65IVjIj2V5uRG5A9FD10rAAbXDEepbJyI
MWLjL5FlC4Ob2y3yHKU3f2hz1Sl0tPpqoixYDvcND6neiB/94UmdkGDQQClkrKSlkqJJoribTG5b
nyWsSJ41+m4Z6acl9oeg4G9P0q2meygQKKeoMXiT/lEEaNY1+jh0B3ueLTGIu5r+T0eXN4hMWybY
Yhy1ETXBmcR+h7z/kzZDiMT2Ws3jp0xtbJ9ajEBbh26DXSvVU6Ra1SbxWV7F+Dt6Eo0vyTHU+Gcx
v/Wq0vsTgT7yfVKcSnAMsXR0asHpeJCV4qfIfaqXB9oX1CabyQkQbIv6x7QfXIMTXAXmNo9BTVSZ
8NZM3dH3vdQl69TA+aV7MGaDW1XeSQ6Uzm5081fL5Ldd2EaORzqxH1Jd3BQaFcO+HwOgFS0WScF9
OtRX+hDrBymVjxM3oDN0YUKfwH9Sy+mh1sb+2xDWuVsK458wz3jkBu0fRRJvso6Us0wSaSc3Y3Ps
LYkWYSPiZh2RUYdCj6yhGDw0RbXLJkoDfksHp1WvAbrcm5F86NPqiRfLyZu7CWVXoKKgFt1+UKZT
oeoU9GtOYtM7jTHy714Fg0jRFRvbSm4d36DPJbQHQer+kCaWmzYlLZOp2NmRr0W2mEjXSmYc/UEu
T1ItUo4tZDT2fUXrr+oQIOYKJeCi8tAZXH5BDktqDRzp7BqUEqVBQvUTUk8lJdxgrwEspZBr6dFR
NlcI/e+i5Z/IAbpqapqGbi29148ci9TypxHNxZlj4bnCrdSBg0JZN4GfGbv4Q7HDNqiZz7K+jR1s
EWdZ47tedE02z37CgkRWinXqK3FHtOMJg+Kgyk3KdQ+6KrbJyBr8WPPrWT+I3Hyb8ECyx5fgOaw2
vAOu1sQ/LjJAzn7MgqIkTuKgWTNtboYV+PGNYL3k/W7lY1+k05wNsiAodX0eh3lH2xz6Dk3gY4tG
jLQ3vHnSPV0NMiunPIBKQdez2HLJfz3+RUqdbsoWkoeari8tJaY2lWIBjXx39F7iDFRNPG6/HkG6
uJ3Phlhs5yzDzK+1pNBNvGmvxg1pk/ZgNDzyLHpgQJ8bNX+T6uI+p5y+MvZFvsvZ2IstLWV9HkwW
Wgflu4sSRbx7CqfHakMhBe2dNRnJ+WN9PkH/rOZi+2q5VBadyWpqvGFT61ua3pmgQrMf3QzOIRf6
enqX984/wy026NBoU9PhjYx35c7rvD9Ice8VGWOQxnxIQuvx69EubhVDMmRwEJYmLlV4AjFNCoP+
tauCSSB1y7LfXw9weaecjbBgJ4k1sGAwQP9SppCuQ/wdZ5J0s6qPtDaVeducEUnDqBkDPVZCN6A/
EjYCFUh3ZS4Xd97ZXBa7XpUbLZNDVksA6DOp2W5U62PaxTtJrl4GpQSj7BvXg1VeR4r6GI7tj7QK
vwmU3VZ+yEwg+7Qnz37I4ggIaa8YPIW48krlqaqrU6CpJ7n03mLwCyWvtaSMdw1AkN7snsds1Z53
3vNfjb84E1MedpWeIyzQ4EOV34DdRqAei689dYOd6KCt7STumonLTAf8atDFyQC7QklBFWGXup5b
7Lq95Mrwdte4bas7dhG9wzQutGSAQJtdKzuQ5AfjVB4qYkuw4rV68S5CM03RVBIiGpwfdyxT8QY9
j9hO4pta//ENLFT8FXtI6WI8ORtk8al43A1QFmYSfKrcGzTj46T9aajZr0FpT1M7GBuxi04dwO5A
ortHincLfY/avkE1rwfy3IHr9bTr2KNft7KNL37Rs9+2+KJSavVmDQ7ChWm1pVp6KAJn1h2CSpfZ
8UHd0R6mampXSMdxnn99Pfza8i++c+UhQpXo0xwwfo4lzW1xJu5I9tejXOZjW5bMZYybtbVU1fbj
IYoHIUMX53V0dZc6a/1AW9ntcDtsd6G2zZ8y1KXTl6/HfReEWB4XCzqAJskG1R1tEQ+LRO8KyeDD
a5vwhjaqWdz07UOvuOU9GmtIq5qb9I8nOZSNT4Mb3IwOL+3qJ2p90rZ+1I7TUdw1gAK3shPiECCu
2CJe3Jjnv28RTD2YBr2RKZhbIg6qvoFigV2DbJGLv8+9cl9fB3vg9PqvYLsmg/2uR/LV0iwOniZR
6bVqwhfOHuh2OKQQDljHv8I1bxEoF7vZYox66et4J2wt23Cnb/KGVoRD3R781rEJ7f9D3Ll0u5wv
yOKkpvQ4B+hAgdsfwSNswQAKG+mh2c5WMcHziCXv1zvk0oVJCUsCdaGrhmwtTp/Io0EpWhKbIgIf
LD6gWLpywC+m/pYqqqpumboMWu9jhLMQLcwbKjcsNHsQs0vJgax566MXeqDmGdNRc0J74PER7aOt
v6sc4dAeB4ryaxZSl26s818if/wlRllHcl/wS8bppxaijDqW+wa6CRzJlUlfVJuwVEOR8FRTLElZ
rGvX136njz3oReo0tBAwTaDU4c0qBRQz2EQ4X4CwXyXxX6Sd45qjy5gUaqr8KZlrhVRVQDchzkqV
+F9aOHRFUtxSZnHWtf1zUfLzfLzFmrZGnOFqiMNTLxdgEkTP7nTgtWiEt8VBzIW3qC62hg9BspZe
m9a66pXsUFKsi6p2LzS0hWFVjaqyBUr5HVCy+/X+vhh5z3/fIgLqaVDLocIx1ysCSVHRhaICmjV7
Iciukqr9YVFVM5WWUl1LZTY4gXe87sTgxtKUnwb4gaFpVySRL3qiWLphKSoVe/53EXoMUzXVYhb8
zqmxgCV4erf825rFJvg73nk7477bVtjfRtvwUbr7ekHmjfcp7J2NvQgwgTUKRTdrpGbGQ1O+tBWs
suwHRa1tqOy/Hury2htsfpGXBTJCi7U3QtXojdmABdij7qq2Ql1qMxscmM4A2m+Di9oNaeJudVNe
epkiP/LvgRfXiijGum8ZCMXP0hktt6yEHLK69501wbuL4fNsoMWXVKrcp9QmRC47mlpsCgsm2X29
ivOf+PTBzoZYfLCoa/WwnV+6QkLrz3ryhoES6FoadumBe75ii3gl+UgvYLnCG3CKfkhaf0zSdOsZ
sa316Y1Gl6U3xzVPz4tb0VAxOTFkVRfNRejIJDUbI282hEhLwJrtM/1tsCLyIQJxFoXKmqSVcnkp
/xlwsR+jRk3UVkGgT+pqVzM8R46zndSlN17Y75DzfZ26DtUE7RgV4V1ZRbeW0n6jUXoQfOWY1tGL
WXaHvFO/U8J9Kml2DX0CggH/81rYSQLMArC3Yz19E7GbCTSYmSD1EgtSXx94GQhMOs+NSfuiAjPr
x+NbkUrH/2a3mLAUuG0x71rIqdRQabnkWNMJYr4KY0b7M8ZPX49x8Ro1/j3G0qKLgrcZyLPOYZjT
9IWPktJEi3+0EFG+HujS08AyMXww2SG4dyw2paeMmTbI43yMITHsmv1smSev5kDvcejTETsbZ/EI
8NpxgA84zbrRop3cSU60634Z29nKEnQn2PG17GDe2Z8H5IIWdQmzyWVaHkWZWfkG3Ib6r2gDjnDK
NzKF2Q4LFPa+XovDFw/3bOcjazqZwVLsuO8VBClq6s7BoYKKDG3GDv4AX+e1ruyth8nfKPcZduNb
/So7aSsXzsXqM5P8/6MvNZBFr8xLKtNI08AxoxD5QLMGCOJmuArxX7mRkP7Pr/274WfxEP1XSs90
dkRZtlRtfn3JixDdRZ5VpS2RTRLgzY2R8q3rMuDJ6l2SoxZRdhDMLKDJnrH9evdeSMU+jryI3Hg6
p1oiczkAf8LVF+/A22rfIVKV79oXbeWsXNjEH0dbHJbA8ls5l0gqKmfaoQCwg/O1/z1LWAKRv1/d
U59j6cfhFmcmHURllDP21CzdXVP9kfb+K33ljXKUneTYvPmrxgOfL9uPQy5iW1NJxNzZH8QP9J2Z
Rg9w4R+//mYrQyxFLMc0UQwzZwghAaGlD06ZWGuH/3Pd7sM0loKVfgxjB1vU+U3eUenIHj3nd3yI
9sXzahVr5SMpixs20oMQNSWqWHnRIpw6ZNlWbZJnHQ0IubNsOcyuynK4LuruHrLfj3wE1NiE5X0r
GfFW0Pr2uoqsw9dLLK3Nf3EL04cqGEgLXEM4trXoZGbh4ox60uBEBPr3zhcVepDhFdKQG1le1Smd
//zH2Ptx+ectcFYinrpQ9JEpwf7qcdwGNiDWh1lWbdyN19EmOKprJY616S7ijy4UZR0P7wdljvVA
x6DJOO8OL47w9PXafr6Z57lpBnKoJo9Oa7G0o5aOSDjxmg9B5EKNGHjeTLuJmv7X41yI6fNAlqTr
yABbhr6cVCQZ3RS9121Md7wBcb31j8Wewr4T7/2j6gDi9zb06mcw0AYo3lpD8fJB/ecHLGKrGgxK
0VQDRggtdZj2tyxMu6/neOEJ/3GOi4BaK1nRxCEvR/kEyu2Y7KgCm1Qquq1k/wCysV17tlycExeV
RKHOVOT3Yt7ZzrTUgra6wNNssJ5zwNa5kK18t8tX0tkQi80PB02LaNN6u8apv9HGxwyz2sKM3dA0
s9d8rT6nHSzg2WDLTSJNsGNb5hPW4bb39RN8MdeES5sIFk1mYGej4Kx8tDmifTrdso46tQLeWl8W
mzI1DdRGeXfD6bfmUdmbh/AwbGffkcKOVmr376H6q9EW8TUGYuFn8iwDUQpOp8GJMad7TUWhCIWc
HM5B1gE1NV6brv8DtftA8+gVBf/jIOl2O6Q7oPv7opdOedaBD9d+FmV41OBJToZ0ZUJGTsqcS0Kq
rsbIv9Ni7U8tNGifWM4YBL8yWf82dcUKWOBiCDlbwEUIEeW+MvOxCV1ZCm/FRDkAJryjPv/owbZZ
+Vifn+nzBvnnYy12oyWCNMtmr+N6pviUibGvcg15huogh/AEpvZNqJB5QggJdF819NuV8S9eBWfj
LzboVA5i5EsYNPnf5CM9ByoT1rY7yr//VSsT1iLK5QNu8XQCg2FZS63LOo/Mcsij2fFg1hmPt3lw
jJ9/g8Nyi2PVb6O3tWrPyohLrUsrLqbc6pHGT8QXT3gb0f5ZWcOL+2U+a1g5IOK5LHQqppUqQ42l
wmz5M2NKUgBrAoVz6PEPGoQ0OznlL+bNWkd+/jafjt7ZuIv8k26aYRmWzgUAKEgCcm16z6Y4rUxv
bZRFyhnVmSnmCX4GSXrbUS9MUAxtgv/4zc4x+GcqS7+drBmFHHkOyhIeKkpIAQyOAd7z6w+18p2W
deFI9UpDDFTKSCJ0v/4pCXmKwQarV557a+MsQmLihV0JVCF2zaxC76sGkJ/ZZt8cGvXx6xldfvEo
us7TUkOnfAlrKuNe7bLm3fcB7hkmZNWxdE2n2U7bvHR89EBWzZ0vWAXM3+qfMefpn93RZjganiky
pniUMQqQNSd1Z+tUkh0n35HutFdr1+iFcvHHMReJiFTiP19olNhh/bcjOFPK+q/FLtih43/w72JE
CO9hx+PoUf76eokvb/9/Zrs4ZA26iEUiFmwatDuUyHAhet94prZyAC6nJWerujhmIC/bPCgJIsMO
XUgnuc3eOyW0hMhMaJuMa2nCxcj/z4Dv7f+zz1h0TSaWGU/zeivt5gIM5MqHkq6M6HRu4horJk2X
t6qqaDJPK0lRl6dPjJPUrGNOhXTbbouDAgRGu2m/o31LPQsI69obaz5ln6Lj2XiLU1jDPRaVCZ+g
GfFngTsDamuPv9WdvK+vVvWxL97jZ6PNq322mrnaeISw2QktPKTddYckQmLtBRhhpmzaiQoJ9Xck
r4Ea1ua4yB46bUpUsWPTNDvTnVulws10g+HhXOjfySvPuHkHfrWgi1TBhOispZlBlc5tDrOyco+s
8rpw+wVFZc762VIu4ouvlqZaeens+t05w6HwNpKDPiV8driem/nIw0x18ic4GA6X6mu6s47yZrxK
b5t7f9VvYo4sX816EXnSVoiiRjCpKSmAFuFv6+bv5+Mg774OM5efWmezXsQZbcyt0SP3282JUfoQ
73XdhpaS3OLJemjRmr3KXgHWr1zu8toOWoSd1PeV0UsZttxmh/oGNZ7aTp/L1/wk2DVeVJ1dHpTn
+FEDF3Kr2dHWOvyvv2FZTE+81sjJb2efYf0vLZc75OpOEIO9vXpAKgyrpogPawBOqMVNeeX9TNy1
cvS7wfDnz6xjwoVWq4Rm/8fzm+miGMQVm9t8/Y59hJTYog3n+xYizB5fjoyipQauaxrf1cvT2u6v
zJVvceF8WQo/YAYJaNLnfjl6c8gyVaGra6KtwASyIDUogBHgp0Kd1o+eSPU4X9l4F+438ACKNHfp
8bpfgmTDJIJuYmAiALMLIvN3erKOhUDtyva+sM8+DLOIVFOfh5pXkqsiJQHPg8I7eGe4EQdi1ZX/
qBz+m/FkoIGigbPapyZQploeChXv7g/tX8QettOL+hQ+abb+Eq7GiAtdXslS/xltuYMtczCG0CIl
Ul0JbY37AEVq5O6DR6rBV/33qLxBow/o1tq2lVZHXiBL2lgq0mrysHNL/nrw9HvRegBxjdzC2O5Q
jbWTQrGtuN20wkvq+SejoWHV+BY8PHgTU/HqF9OjEmqbQKgp9VYScpr+D6rM16U1XPkZZE2E4SVZ
QK04tXUTGmaMUZPfTY5oCbYszvRaeOmW5uoCRAzJP2YKaPqhPJZoHapm4BSwDiMTYLv8vUAqVdJ/
SSmmuZPyICgGknHaYyd6h4nNXU3qVjVCJyhOnokO4/gbUKntQViZ6hqdMMUG2uEiOH/bh7IrD8Mu
0nvKXzDw9Htl7P6E0p+pKf76ZrCpUSDhuEOObhw1RcYZfaXOS7ZZe51i6YjanJNYudOhoDZqewHN
yQg1cgQnvBbtHdna5BPa2was73h86a2HFhVIK7+qB8R3jfghK96y0dsmFlIQsT3rpMWIJg8Ioni+
sZXNzm2i4QCo4iCgcKmibZME3yrptu5fswL6pFD/nNW2mwEmLPIzm5XtfymWnG/I+TiepyMtmjNa
EGJcaPn1BjFEt7I8aLCoHpfKy0zlrsWZwqI6Awo3Yy1BaWtgjxwbMdwGlE0n/dWsBncKkqthrFf3
7YV06cOBWaRLahkHcijTqUkO3nHOJRKoAOpu3S12ThYWcR1qk6HO/VNJ+tRmlLwwGouGUndX34f9
ywCfLUDVImqfvl7xS+Vgi2YzMjrwS8jpFheIwqXSeSl5gvFY0nH6295As9rG9nQfnijP0thEw/ux
c9Vr8XrduORCnfF89GWDsZIjDQFYEkEzapwxkR10rIBapu29AttPL5rtynQvlPQ/DLiIO32owG4I
uS9V19/DYDqhCXLMfmG70FzpjuYqdkluOE9URpB14z2sNhXmLfLpy/6z4NZii1etVBteQgMZmZx7
KR2Ovtft4sz7ocfpd1PV0D0wvldl9miEJtmEuvWhwZmJsvZwW/sdi60s+Ojg9PC73jvn5UOZbKOd
heVIdjPKdnKfuIn99dpfeCrKmmzJtOFEE8zisp2Lpqg8GT2YADRjAVHsW178/R26s4I7c5fWavKf
M4SPwy3yccXL0YSF7+2i411gsiYlhPo1h621QRZptiFFau77g7bjVYo6BvonLd3T6PfK0n2OOx/n
ssiyjQxFGmH2yUw9ckkkoG5lYxBwT7EOeZleaSVUJKOHqNwFE7bAg7ry7eY05+Om/Tj+IkrAX5TL
MUU9N+2in5OZOWrh3X89x5WVXPZvCwxlfUvL0XIuKShjZBL89I2Vqv+FGtCHeSwbuKpYqZ0XFGh+
2QIPbOyL98HOoHzQfld36a6/WisfXHioyBrJsWLJlmlgWT1P++xG8xuvNtAQD7iSssSNM9RSkkhP
bE2bTFcvksjRJy3ejKV+ECvrpsc0E4o2wgFqPN7p8OGNEhn9XEVJIO2+tT0a31IeJOj8II0javUh
7fGKTtOVR/OFVi+/G14RrUKkDOhJfvzdTap2w1TVGSuFwKhTb8B3HQxMuopVp+0LjI15LF1SdG4g
DUupj2P1SthUE3DLnZQUs2ig+U30pbvW1J4704TWX+WEZwlVCT3wfBvDVOfrrXdpd1NxhkBvavoM
dvk4/tQNsUrhP3BbzfuZFt1IE3t8+9/GWEQjqdHEplcZQ8EhIFLdET+Kr0e4gMhnGU0L5zaUQHgV
LT5ZNGrIK7W9uWuPdI6d/kF+HfivtZt7vP+JndT7X16EB/p1uMvqFMlA1y4+oJkgOzyKMpu8UbJT
guKsrUp4tcg5ng0BCfmYeXgU4K8kScafel5hfutJwa6eoy7+EqoaWVLk2q/8CL7zVKbbdjRulBwu
sNymp0FpbrKiB6wHi1hRTkqhHeWs/A1G93oq8jv06A8ri/k5UZB1btoZicfrRTUXiYKYaEHq43Kx
C65xxLqe9tKNvpFs6fRf2cUxFjuMu1FRJA7AYv/5mZ/GmanvrOrYOLIdX822zzKGfzZioFfr/l8X
NrwuahrzkrmL6QB9HBCrOAiYDc5GMYK6unnS6ueV5ZuzmE87QjMpP8iaquvL8EHdW7GKJsjf8X9Y
7v2Qfyg3Kra8+i44Jv95MYAFZOvhrs4RBkXxcT61lRl53wXmrhYFt88MHnZwPDs8V1fuwQvlro8j
LS7itsSELK2Qdp2rs6Vh+5YzPwMGoAU5ODELZgAPkqzc/OdNMwY2oQPJoiFRjF7skbDKKj2tE2tX
wfFGHnWrSaJTS9lKWeVSEGEcS5vZHihEL7vweWdMiWCG1i667sHYaPFt4CBukQD7RqbCpcji+MW2
hs5FZWtl01zcllyUNFghtijLJmtoJQXEyzxyvRP6TTPnWrDRNzrp+AkGe+9lnUr0+ZnFqlq6wpBs
UmMZuCTEOsYmwPKghgWZ3A08cWFAb9pkreJ9eSC6rBRc+IDLhpdujF5oGjFKSNhTvGMKfdGtZ9al
3Rm2zsHw7dxwK3ctC563/vIgSsC0RcU0TcVcti+Kqhxq0UCrXo14P3pKvbOU7gnHs/tQE5E2zx9X
PuLagIv3jaC0sjUoDCgeszvyGH8/AwylF2GL3CcqOUxVQVj9/2K7eSnonM9V+RgGcikJk0li6OG7
56LlbqPsv9E3w7fGXXeHvfBylvXz0ebdfJbZFdyIFrpAASGuOug2Oj775qk4TFCkPMAI/pwtnfqn
4TV+pHWz/3qZ5+P+6bNSJaT+KXLnL3koWYDYujdLTOc5NlBJPr0g0kGxRlzlCl/8nmcjLRKXQe57
Ux4ZiZ5QdpC342CLObV2/WBsg5/GcTpFx/JHcwqdrl/LaOYP9mmWMvwzw5j9f9/T+bMlluJIl0fP
D11LGG480bydTB0jEkFQth0aEHrq7cYYUxlVMZ/0uL0qpGzYlaNwCNGJ+nrBL1Ta+dwyP8Kafwi5
zsfPLRVWCygYr5l5X9OsPuBMt0Ok9jW4NR7kHziPbBETaFzzIURp/C66X4WEXgqPZ79gWa2FjITI
S8YvkF39KF1Hzuyci7/LAW1NyrTrFJmLm+yfKWuLNGFQLPi1VQTDthMeg77H6iaL37wUdcSvF3e+
NT9/53+vrbaIGXHQt1aH9qDbDrJNGXijesF+iI+DB5sTWmkb1Ct3zdrUFqHCzFUk8ypGNNSBbF9h
mGffC//HURYhwrKqqhYMvlio5D9Rb7Urzdrqbfr09fKtTWb+97NjIqpT3kY4s7iWvp87fsjVT0G7
8o0u3WDnu28RB2J9UlAzYi6NfDdRxk5zLCwh0jTlSsf9YsCB9ixpVMm4ned/P5tNErQtjmEAdwqU
ETZDZYmbMAmPwSjeJ1bzZshruLkLLX6O9tmIi6ROEXMd7g0jzrBuOgZIAW4Ao5B1EGdQb9v85y2z
jwMuYsnk14gFiAyoujPJDZglZHl5VQrh4rGayaTYMxuQeBf7AsSLV4Yzdb2M94PvP9YtDjg9t4SG
z0Vg2kIrrkTsizvxbMTFJpmmThyVgiKOicfbVOIRlOS2rjQrxcsLxOR5Af+Z2WKPTGkihojxzwuI
qRAdwPrBeBFu/G0KcjTbRY/6j9/IVx7M791DiVgpvO8TzYP8ds2R+uKpOPshi60j1emAHQ0/pIyO
oXAThL4t1ZXNZl1Z2TlUfAqRZwMttkwuWCnGt6xsF1lYT432/2PtynYjx5HtD10Bkqj1VWtmOhev
5XK9CHYt2qldovT199A9PSXLuqmemgsM0IMudEWSIiOCESfOGbrNAsLGeVlCDtGHS5sITF0+a9R9
k2q2kg0ge2cq6PsCaM3htVCfFDnsQGIoXuJa/yoH4Re1LV05o+chh2AX5yoK2w7jdOA+B0nzdUe3
VpWaf3d9EZEA+GwLOkLkTrmrUbtL0aKY8C6hh3+Q3/Gg82nHTUyCowWCoK8vzhj0ZYdY70A7TAD8
mRzMot5Utnbo/GAfgBZ/xyN+aBtfMQfvDDsJija7rcmgtdMli4CV8xaQ8YlhJNViImQCi/3UIDuQ
0aoYfgAnc3IjkmpjsnnN685NLW4uK4McWeaA3kv8tZN7W6TfCWRdgmMANvjrX3HNScgSqg4mClUA
FC6Oshkpaif1KIUNIMqMMKZXV6B4lTcuzOpZkfGCBSgfNj4Rd/SSOKiYtjc80BjvA8ElDiSFb/J9
laPDs5mc8ZO3PC1za4v9U7uCUo02pjdqjnYwbxIHBMG9Y/rGDkRQG/dgdQdNGZALnE7103R2LDEx
bgBM8wUd3KoZ8QuUSQMSetc/1FrHRoN2PLgfwIagggPlYyimUpzXQiBAf+VI96hKHVCSRhGstrTd
PyiDrW3h3Bq/kLPAj4ED9KLbNPCS/DEx37i6jHqUqq9l9hQAl6aDKV2oziR7vb7KNc9KOMMKKpgm
1so3e2Y2CJMsjQig7AYUNfrqXJkv1w2snsS5hcXZMGSWikaO2g3fRhUAwumc76HX/MebOFvNwmsN
IsnQZ6PQMDlAz+c87f76ZO3ddr1mdeNQbpM4FQLyp0UOrSlCLhmjkvsiaAlFcGxCNXPDVax5JRQu
FJSUFU6/s1gNkwATCZJa8NK4dSAtK/aXjPSc0b4G3/LGZ+K/d3mFFej8QcBNAih+WUWsqkKkDdpq
3qBA41bvHmpV2AdVvwMVt5s1ZEeBTYly3aMkUh0B/USh0TGN127NaK3eOwWNF83kJdRPDYkhq9NS
kKfg/SMOZ2iCOtox3/N7t10D4+7287J/G1uczlqIWJuYXejLXQWSQwycpvUbIJrQpAWxbwGZq67S
mRe3crKx4xr/q5emVcC3MIqGMjs4Vz5ePfQwqimKhcJXwVQtVHdjx/lO7IDexqGVTVDAA6PWDUjs
9SdoGoASP4OSMOQkn8GjPCJ2gMj9Wxp7EIpgzS6rweF7AxhD8ih+MSHLDappoJl0myvrgmg5dHVO
D21DeCUY9kHXW4r0Q0psaEWN8gModYf8Pg92TQ5S7PTXBA7/2G3PJoRmwe5EIDlYPucS2IffgM3w
RuPA0hsIrydg1YXY6caLbn1jUJjUVBPjGUtYX0s7iCOUqC3F6QNwLGCJhuY0Wilj/wevOt0UMQqo
IckRl18go4o2GPqIV52AvUdD0ClAKw1YgoWSy8ZlXvMXc1v8z+eO1iyjsYPsIxg3oKKkPHbZ1+s3
eC0sYnSEYIQMReRPYEiTjdnUJUz3RFJ8EbU4t8oo/DIk2kb4XX0wzgwtMehxJ6RSU/WG12pB4egd
BR0MeshVeCxT0J+Lsts3GVhZleeiCHwqgIMjAtfduFWUWnUUKOuib2QiEUCu83FLjUQBhGasTQ+k
2vvfjiK0e3/b369t78zYctVFoSVFRkxUwBoG/RAMw7JpOqetbHr/+XecG1qkHUxttKLoYcgw4oeg
MY8VSU4kijfO/tp5NDDKheKiLoK4Z2Emr6IIGqgtQmX/FOrQKUJF4z9fiAlQuITCu6IZy0yXhHpT
QSrI8KTqLqWVD6WCXNOc60bWYqSJ8r4Cvg1DBQ744xlAGmhCqgVJWk0VIB4vsX4O2Y0YfoMk6cZ6
VuZZQE4ys2V8tBWERoCWPDo0+a/wtUerUnZBvQ9Vbwir+CFqQlAF92qo13ndTvs2bBGSbdpfnPe0
wqhCrUC30jiBuoBjEl7yg/xLdKWd6cqX0ctkQBQiF0Iy3calX91mAPFQbEfP6FOrSB8No6p61fBM
5T4BZXUygvM5eEjx6K2LrWLb2tHk5CJ/G1vsc6PKalHVoekV8oUVKLdn1danXMu25yYWWxlAtzCP
pX/l9v8PSenM1nJMDk8LaQJVP3dTmCjBO+KvBLj3wZK+cRtWXSKcP4AkBG3ET502KZDlJKQGvtO/
XCKGed/T7T91iXNji9ypFRu9wwxN7qdCYHcQImIZWLEgtHn9iq+lA3Mziys+pCQdVDLkvmQ8Cbmn
Q381UN2xer5uZv3U/d66xamTaRrIkoCmisQi3Q7y4Dx1EF2/bmRrLYtzl7MuzwU8UvyBvKip6RpN
4xvdTV1uPOtWX11AXqFQiNYRkLTko69isV6qEs1RLQOFy0E8oTjIX+QoCu62gayrWzczxv98ltuk
Uwz+BuCUMUcIbdQmcHIMPl/fuBUHBIFdHXFeAoYSL5SPJiCzKsXqCEEM9O13GjR4gGiCVggm2NWH
icgb7m7tHn0wJ380Vw0aM8AAYHotGAdGlzrMBIxo8sGBAx0G+Pfrq1tJLj6YW3wtAsp1jgPDakQM
87SCTSrMabW//jsri880NfkopQ0cEcV4v1FAQKF+6rS7/84IX+rsLPTQnjbbDk/wUA68SoQs45NO
p43vs3LgPuzXwvOE+TjKBseDCFrroiw8QTDr+jLWwJIfTCy8jlqO4tjnOt7DGCriEMC8/YZQZI8X
2ZOttr8IjtQ6G0a3zsHCB1Hocug6r1+osq346LBCeN33OM0LtDwCzAd3l+3Z4C2jC580igDSpFUJ
AGIKFdjJKhQI16QvG0vjR3jx2p3v5xLhGgpDWQcqlqacdIxhHaZ95hj7pgK0xoCkK6qSW92JtXxJ
hwOUEAfxQPiE4mymcRokA7UtTvXEp54TJ33C466wzfvgyEYgMqJdbQ+AZuhWtTUht+aC5+aX8P4B
Q/hJMWFfeTGKHKebv0F0sbdpa3V3NTASgkEHujufQJxVXJW5jqutnUacVr0HPxDEZjByGUCfGfjy
rZLvSiADPlZCaRlAD5BCLDzW2AIHXahYXABVJcgnpdDSMUJbSbewQyuZGgwBAAGkEtQglrhOYeoz
JUuagAcyELOeZqXl7VWtXgU8JFB7Qi0MAJOPzqtpEGQ6BRU3hE9bJJBXHBKXCV+u34XVvZtZWQQX
RWA14J4D9VkiJ1DM6Z0c1AN21YCaOUrSrWR3a1GLT6VKkKwTA5WXf3q7HwQoNgYnTFm711e1VhcA
hvj35i3CS4ZiijAEEbx+T/Y98LigcRLvRZP8AG9Y4PRMHB3WAlcnqdB/TN5aQ7gdMi20YgXaiH/w
Y0CaBzwzzo6KE/rxS04tg+QQFLY96cIR3FBV+utCcF65aATlwJ+k3uCv+m1xEZO0Isi1JELQ43Vu
PijPa8+GBSnOP6x0f7C2CE9yWnQ0HNrQbw5/PSrG27+q6tuVj7VgC94XQzV0FfKny1SyksJJbgY5
9CNIB46ip23SzK9dCE1Bh01Dr176VIdrMRTYJpIKURQ44gx8xrJYOAW0lI0x968fjLXFaKhyc+iv
gVmcRbAr2qxtO+iUeIOqntKE2HJCNqL42n0D5BBAR+Cn0T9aOJFcDMwSYg8YAQeSu2DyM9V6aITm
D9dXsgbB0+d2Fm5ELsqQ6gImijhwo4Fe+WPnF/eNlYDvi1NCGJCz8prj9Iqz72y3Z9cGFz7YX/iV
qOkU6KaDymykwzmYAErX8x9TBFHymtQXJPJ+PwSppSv5M6vqduOGK++0YsuMYr7+hb8RlLCtg0EM
UHI8TVnnqCE9CcI3PXvhgyUholGeY2wWYirJhM8tYt60dZPyUWwsPXHK9lAq8i57Sc0H6TEEubnW
HFIu4wVZ1Uyud2WzEyDNB7FDGu1M5lFVtiITwqzpDs25YoDobmamVgNtVwlhL1K+YNgFrB/lrlY0
axh3tGOHpAdk0FEQI+UJFFhNDR26oZkA6mnEk2AEbhkM960S3GqMNG6USM9aJ38T8tBHWWXyKxVv
AbUbZcvoQYSYS8HZaJPIKmRI/yZ5lnkRyslOokQgHSi4MmDuSk2mOhOT70oxRo1e3AUKdOlkHULR
JI32pjZdRJrGkF+TjwJ2z2yoctNj+rALWqBVQIrHyLNeFLtgbGwxFwGZfRyNn6Y6XhRKb+QgfwVx
0j4GjyXqbpASjvckBQ++3Fmi2R2DSffNhH5ThmzcaUz1I0ZB4Ug7CUiz4CT04c6AnHMSlgAaezTC
7iigcGWZJVLVl3IwXo/CTZT/MNp8V4wiqnrQVEaW4YAoNLezKa4sbcrviqlx8kK8KdrisYDod5u0
T2LQumEV4ekx/KAQRCe6eiraZEcJxF2kKLSZNtwJ0GWWZAohVMHJReoWAXO7obKANv0h140jtxDy
LsXRZyw6gQLWTzJofqM/UIFxH+qZr7lBX9VRdaW4ghJ1bTWD34v0rjTCm6lg+xaC97VAd9rUnbMC
qrKlegqglNUm4rGlQHOn9a5WRbBIYtpzLPbIih2TPTJjT4Mv3VjYqN1DnTM/k6h09KByqH7UpiiA
MvCeSqElhMxKRCB7zHJ0wZv6ODH6s+i1CyXSFyYFj5PwS5POEsMg6THMJaeBVmAaQSJcPEeZduym
/q1jGCVn37McQu415AW7o0Sj1hON5CFL0PARTT8bhRMq3s4kBNDAzY8AkEM7PZ6+6AU7aT16gRry
aBmcTJnkthGxgDM/0ag/RC3ey+R7Gf6IJCdQxNs4SsEBQZ0SaltTp+L/I0biIhnFbZImNgn2Mdvn
wnN724Kph91VxlG8ZKU9QQ4V40JRBZVbA9Lk30JMHI9uDxa58FALt0aE/wCT2tCyhXQixBHIA6Un
KIuHUmuh64wVHgvpMMp7Zjz16i3V90120sLKEcEsq44QOX4eIOPIHhPobebgt3Ri0L/qDqjQqyq2
TMxfYyvFpy4HG1TyLQUNL8VoOdQO+9IAAS9UDycvgCyxLFqgo9eYYpm9Y8DhCMnXanA7gLPAxqpa
9CVN3XRy6/gbqCCqEQqwP1XjNRJv+sQZIS4O5UGFQWKUndU8sFRUURr6Qutb8AzSwW2FXYoqXvqi
QAU3gZL0a9AaIJjACmQdCqC6FUGdGnrUhKOUi7M57TTIOyd39XAKkv3QvBUV8Hw9ZjObwIYk4a5Q
dSuOMDIvSl4U1oBUOeprk3mZZg/sLfqqdS99bwlxvwOH0qicaFNAHQoK6Nk5uGDUyUoirwEQR99X
5AuqjRqm8PWdQEG2okOb8TDJEIbO7gg7QvXUKqVHJtU2sl63LaFeO1oZAEO1dNdFt5pyW0/3UCrX
DEeNXAnLhtaqCvYC8HYkO7O57cwTWAcViDC2+0oHN9foiwSd2aexCvdKn1gTmpnQHc8iRNvaV/tL
DGnjHhdNv8B9WR2kgLYEOdbedsgdUFxDOgQE+nsuPKtyBLUAPt9K4A1wlNf6Cy+vMejWA/DyD1LL
laTlg7VFpAsHcC3IcZED8GeA/+GRt8R1O98n95xEp/W3CXSklZTsg8lF/iw3vWD0KXodbR//Ekdg
QlWCPkdfi/QUUKiQyr14Lwz9RSbNZJEMs2y0KXOUf42bVCp0t0jqlyEUX6NQ3ITqre0Hhg+glwWR
XIzqLJLfUQvUWhAlzQt/cXBaY70zc0Os8HayIdf+T9678jur/yLdMOZGF7UZIyAxQMwwChEK1ZNH
EbovuggqpXHMLKhUgvbURG7R7FhWP7KpsONifI5D4jOheq3k8KcOD5AH8p7UoMdIW5f1mCiC61Hk
y5DFnomQHqaCr0XQCa37N5PrP6M20VDzhLrQiRT0IiYRXtpg8IDKrCKbTioPwJCF7oQEI2pyTy5q
V80q8ELIj6k6fO/Vr2HeXtK884aiPY787gA/mAmjYyjCjsQ/W0xt1xXBJUJUIT9iNXG6+msvQsWm
qndN+dihAZ9WQDzXl4YhpLY/xvyJtf3ZNAJLUU1o0kAQfrjkAdeWDsGmoduynFt1dFZAvJMa064r
TiTVHo0AhHOJ+KsX8wOYkUg0HkzodU2Dr2bKbdwNB1OBsjbJoGqfes1o+iQcXDM1Hch4u5oeHaBE
5Y11bLUZZEBp5ghV5XAjta5YkaQd0r66NwFCncgPpapuoJJps/ELCPgsLTdtJfyOOHWomse8hkou
HDTmjk+9ZNiEjbbOHkkVHcEK+RDmJLXx6nE6Cf9Srm9S8kzFrLZ0LdlDCxTlsUhwMyGDEM/gVYjf
VShaUEl7Tg2FWqwH876UPQ1q8QtSmnYfl34htXg+MR90B05YIR7qT33HnE4U7RKb1UfhJa0x2w6f
LLf4e1tiVYNgj0hg9am30Hi00WQBQwvdG2WyK5r8thKQDdVImzBvOg7gEsMEYNRkdmHSSxuDkhRK
yIShUdhUwBx8F2l3kKebqbsLWH2BrjzKH1bTRfuqY24BYfgat5fJmqVjht/kE9fiF8xr23rQYEzg
pdSjS9q30AT/meLsZuEXRtsTxk8h9Qz1eiEAK6PWeWJSPLDsu9zkF5SpLr0u2GarWWVTWmb4Mxno
vtc0N2YXCWLTU6t+jblSfNDd1hE0rPJqB+pv0JhQZGi3ORTUpVL2iJDa4Gu5iGN1SILJayg9QDh4
r43TDRQdHrUeqvKE+Gob79QSpDm1fIyGr61Z7EPttVPDXct0CIT3Bx3FP2b2Pl6iAXTqMyuEwDSF
tKk6/Qqic1GmN0lduibJ7SpILoJEDqryLGV4KpAGCXb/kva6Q5ArEC4ebx6TBLLDKJnGNPM6qANL
ANGVmu7UUKbrqjeFpMg1MNwbPI9Qg2vJYI2Aco1gKbj+FlxRM8I7c+YRF89amTBZGkIdmoqH4FC8
yvbgN0+Boz8BN+U2R3wgP3dQsd5nT1sw3bVKucG7TPDHGMH+VKErRmgkNHi5QwCLfIVCnPgExSgC
bVxrOsAb97a8C3JLub++5LUAJcEi0bhpcQlczDHxpSSalPsdOvCBeR8CdB6YbxSQpOuG3qPJ0vED
mYm5TE4c/nkko65b0iXvZWTRjndy6sKBZ6jsPAcOckkPnCngR/yJJDC4/wNCRBljk7+NL6JO37ZF
Lk9YJvPa4+RI1rRT7+Fp0YdKkYb959WRD9YWxyhtmlJJEnTVxL7f6ZCgLmi0v76da6NkwOzIgFuB
UVICreTHylzC6nEKE+TyA9TFjEPpsd2l+lLdpwfBrRyc0z2xwfh0znYYXDz9SZnug/lF1aTthT4K
UKv0UkApNV/1wGiZ2BreFNSSvXG/nb69N/g/HaDZiheFEpXGpVQ3le6FvT7sMdchWKOkfu8rc7DN
fMKXpGrpZmqu+02fPVctijmDUjNPboIagard60L5mg7MsHulF9yoLUenMRgGZwXJMxrykxStLZTB
GZWFnTxAM7GZnpIxAcUWob5cG7iPZe1HgbE3yxj1kuk+KYZfSkyhWxgJvlCEP7KheFEFTMMj51PQ
pd6oDq8UxbDtoMwGEwiAncvpZtqmOvBADeCyUDCxaNg9UIzOuywXtlzhWnIIJgEZvQnOpr6s/FZV
MnQ0iJGa+yJozk5/TVJnVvQqFDcE9JPxpsDHqgsExhmSSsAPoAWzONOSHEM0BX/q4Q3JdQINqbQK
8OtyseAk/VGeOcXPnx3lmdXFUQ6nScogz6l7vRfuUtXizwLT7updseeinBXd6FIbPK/+dJA53SWn
CkHivXAPWt7SMYxjqO/oYDVI8K4vO1TWU7lw0xHDn6DssvKBV/dRoop4J3tCag65zjay83BC6vWs
6aWFBrfbNY2FiXe7aM6dQjxBKvnbUXMKPT+gXgXV1v6kG+wVnnFvVqLfisl9OOmWEFTPRq45OocZ
KLWW2g3UY+xAywcnZs+9iKkrvP1GkLcqfbGrOE5pyJyCYvwQD88WUKJOlandibLXgWvDapLRDgTQ
lIJF7z6QgtJSzQKERkZmywUmS+X2kMXfgaqxTDV25FJ25Fo8IclC+xebLSrOqCYYbCe2FCH3AzBb
TEG5SYp9ZwY2hnghTELxbAdrXcr2JA52VVnZtVZ74E76KUYQ8MOr1uqH7KxnuLqlgjJcujnBy+PE
lU/3XsydPVgLFIEitLM1D0M0Dil6i+Kfefo9SY86ReoPFfTrfn4tPpPfZ+X9BT0zqBbq1CT5qHtK
P3oBU11TKs65+l3bQsmvUM8iRM4sLa5BkEfoXSD997JKf4VrzB/MRihR6IxlWyXjjaZOt1pVuiHr
zkQaD4YG2Z8kHXEwptdqNH5Rlo02+jc2KQVbjJDoCnEGMrbsHI3GkUygxQHCWqch9GXAp5gZ2mkS
y43Lteog0TDA/1CW/CRoOnS6ZLA2wJu2G74FSSFC0rfYxcH0fP27bNlZJBR1pSthWnUCDkLoZRIe
OiooAvItESl57cApaLNgcktXDcBMP4b5iinqKE18PuKgesWhOVWHCYwW5lOMCYa9ehbuMUjnKY6O
N7AVY0ioBmg3xEj3ZHWHatd7W3Tka3EBI7XQ00Jk0D+JV9btmPdQ/da9KC7u1UnbSwXbaFbLPJIv
b9ncBr8Us0OvBYz2fZ1SH4/Ycg+WS7SwkCO2N82LcK/tb1GfEI815q8C29yrDiD85stmWFhdKCKs
CASgDMDUIt2Axh3UPCbcByE64neQ2JKh2Kzeq6WtmAc+wjTuxU0xurXYgAbev63yXzVbOmCzQp8P
E96g3WhDnsKSAwwFis+Zcp9jvOD6IV5jonmH/CpcZA9yCYtIpPRqPGkh8FniXblHtdQObgGB3YeS
o0D0ufCGXU/tcmtkY3VnATT+l9XliGiWiGatsE4H6IHs9Kp+0Ebt6/WV8R++PEFoV5sSPAB405bZ
C0bauiFu+BSq1x8pdOI52a6828TGcKd4zc7ipKaVIfeRiuYdidhbp2toZIHFzSrNIrMmKryhjAOW
QlnejzrEkZLw1KAQaCmj+Sevq/mCF37CrEuZmRUWjBvvV65xJ7oEfkL+Ifmm3bqik2O+NL1sUYis
XtW53YUfDEB6JrAE4hU1MrZ0RzzAg6il3kzAUvcH9mtwzEOOXDGw4y+DBdfk5JdmY+x0tYw8/xGL
Y6z1RhwzdBHBooLiNoprVmorViVDxTw6lFuMIltrXiYB5aAUNbjY0DEeSO5AKDSxkAM54O57bEiJ
5kKNWtwwnKD/u5cT5b4QwSlLkuMIbg82/ehKtA1DNE0jVv6UBfbrf7JMrCYzx99IO9VPKDS/S92S
kq1TsvqEmm3UMpsICRiPG5PTOziSl75KF7KH0A6IZyBLBlVezq1lYEqsAkCvt5jNOQXMA9tVp+hC
d6PHTxHXiUqQFmvnFpS1gPh4W8QGa4P5QHP/+/K+o0pnPpAIU6ox8FT5icZeB1IaVjql+RniCtjP
TH0c+vpCJP2XzNWLmQiK1ULhTRjIpJvorrVJea/Q9DURKFBbZeH3efQk1e2TkLCbSC3PQ6GccxRD
QD1Rbc1Crfnv+W9fRA2FlDQjDPdBDtW7SusOeLx7eUFcOsSnutqaVlqtWM3tLeJF0RWjPpggKC1+
cXAeap5O6U27wY+cHCT2uH5fBgeVgLtwMxNYAwbiOykEkEAMS31GtDRTBeJo4EYr0JrHu9KT3koP
Z+ekuxO0O4wdGEbRVLSovRmc+Uvws9/9bXqx7Dg2gikRm9T/zazHcTu9/4fvw/kyeSo4O44UIz1m
VuOTCrvJ073KL3ccF8IF3GNn6/Cv5ZVzY4uAwsJJlJmO76mVI+iqcQtjaiOz3oj8W2YW4QK6fmC+
6EAg3OrVuU2Eo4IKsd7XG5557fUyX80iOhgQXB7GEc1PuY1TuwIWRKZNbREBXLdpvUHMupZWgC8L
A/Sg88fE1CIKgP+xMGpIXEEnB21W42Eq768nFWurmRlY+v0UdSdD5frRjXErFz9IuaMKGshky4es
lkrnhhZ1ECHHAJWaDoA+/SpjKzVtrlPJUAmuGjQEAWLmAmWiU/umU28VftYeHHPbPOOZnXZ1BB1Z
pmIXwRRoBeVbR07xIGIkS0MTyjyA5Mv973Z14TFZmk8RBFFxFONyJ8v0RxSqtYWekWqNWrwhT7Vx
Rt4rULPVVUZjgHoeOwvKdFc0QnSR+v/SxMJd6JMgqj3fQJV+TYOnsN34+9fYgDHQ/e9z/t5znq3B
qBpULwkMDLbh6xfmRFBNkRx6TM/l47uiKRx/dA6+h6EP5QEXbMFbj8C19Hr+ExbuQwIyTRB1bGPv
VWfqoax+4FoWW9nlWjCdm1m4DxQ7g1pKwSciUfNJjMm+bIybCbx/RdjtS6Y/XD+Jq/cO0Eywzxoy
SupL1igwAxc5WlTAaviajy7BY/0d1WObgI3PcFDc4KI/tPwHMPDVav7c8mKlOik0PW3g9lsHQJVb
/hADkOMGU+cCZGikX5ILgP1N7OXvuqPd8xZzy9q90BU8ciUM/GCSexF2iN6D8FTjHzQZMYvYh3vV
UDaCwdrXnNtYHJoKXC6VriIYFC1xG0NwxgHzZzR8bFn+bQRa6PrX3FrSckupmvapALpxDcVIZXhu
t8LBugEM/4K6gvNiLhyXKpUq/noh8AaxPFYhA/9bFn69voi1i8aJs/+2wX/D7K4HU8ryjgGcCjUc
j79jOw8XbZMJcjWNnNtZOK0qJRKkTUIBYyWdWzQW4K8O+J5LS0ss+izfclEDNFg8+kR6NzqVzvVl
rg2KvROE/73OxfmLe0nVU+6Xs/o0ZEC78pp2Mtg10MvxdCjNh767VQag3tLBBeGofd3+Wjo0X/7i
aGq6NuBxrqCLle4BSDulFbXDuNyIdFsHZnEiQdBUs46LFvfSOZRjMEhsNrC3FrLIgboSurpKpqke
l6ZQd8MTxCkg3zTZgxPcCCD9Rfd6KxispUUotYIvhsPaP3UiWaAUGTBeqT/VQLZHQJpYDTAAgAhA
lSyVN7K81SbR3NwiQWk1k6iRaCCDhKscz+pbbqcgv5Xs9BYV/0vmb7EmrwZcFAAN8COAoeZT001m
RBNYyZNlJz1358DXwLnbHzUkZYJdOb1LbKJaJgQokrsW7MbNjbm7fj7Xt/jfv2BZMcvHFp1zHe/2
AqgsKr2N6JFQDOvpfbd1E9deVrPFLtnR9LoOW9ri8W3UkYQ7qMEZZEVkhzUAO6XYQpsXSpSRaZOs
oLYmIAk1jf9yuYtPnI6VUHCaAG+gBnArodc0euLKebcrQ3Siru/tetT//Xn1hR+vaN+JlKJ61Dq6
xefb+PMZTUCvtXq3POPzupwYlfy4bnfVG8zM8j+fuXahaKH0l8IbyAqQN2RQHhpFqK0/MIK6COjn
wdP+qYtL5FaXAgZgBSERpmEjG+IpGybWfTdHEOoawcjXcv+ahk4AR9WQw7nTfP4+Vs/pcXBUm5cc
t97H/4c1ZGggWMLI3LJHrIWNAuVOLvyboo7KRYddBmJKCzAy5oKM3tuqNax+J06i9C+Di8MYqQor
qkjM/LgCHFM+Q/R7I/qsluHBYocRQLTY9E8N4QnUIgrVKi4CKIEOuDlNb/2uvSldCCdZmZtf4Lml
jWfE+kb+Nrp8zUalbEw0RWqh+MovBa0NsIgfBqdBGQU6OvfXz+GqA4MQgimpYNb5REJIajkMxBBf
barRGW4fRvMQSsTpwaN03dD7z15WhjCrBkSxKmJSdgkpLiP0kpkBS0Ime+CksxT5a6plLkR27DbT
XLnaG7nJlcr865ZXQ+/M8OI+m0ZBwmzEvFJh6m5cHaXgGY37raOymkTPrPBfMfMa7WROQcgQCcBR
4hkuQ7Uf8jMQqwR60dH2gMO6GbhLti7BetSd2V0kaBnkETQtjrV3iU6u842eXPzNcBpHAut8AyW3
e+nl+oaux92ZzUVWNmomBSlOLHjat/QViAFAlO3CJ2eUd1I7vCvfpBte51e+F/vmEYQCF6Bu4y3O
1K3PukjahLyfGJSm+XjW93b4JlX34/D9+kJXUeLzM7vI2mJhagS89/mLnkPjWs0fUzdxlBdyYjZI
UfepozS2mdxuEfuv+rbfO/w+Gzc7TTlUKELJwOJKXf+WQEtsMprH64vb2L8l48SUdNPYxnHmV9Or
mShWSFp3yLaGBbcWsnDSbCjbnBkEDQvyQkAZLE/NhmPZsrDIEkiuGEziEs7K1ICkkGIsJnWub9Wq
k5x9Df4TZl9DMYUpFxokIlmwDxvIdY6VxZVJ2XB33dDWbV7OuRcToB15CSfZog1l5PF5jJS7vFS/
JXnoqYnwRQWJQZO3z11RP0K4CwwKpc9iY2/04kY+v3U+Fo6l64nAMtoh34yZVceB1fdOamwNMq/i
KGZX7B39Mtvbzkh6se8mHEMofksorejmY/AC8Hr7DE8mveXfqtQ17zPREl+AuIUzzdzhWa+eMDpQ
QPF2V5avyU8pca9/ia1TtfAudViVZV5BO0RS8NhVMeEX7K9b+D+cC56w6NNImNb9dDUmTewxWumn
mG/l0FcdUoHRvrAFW3sYHFr4gDU7PXnYYlNY/7K/DS9uzNgrGVFRbfXTqbPHprxThwyDSmxjC9dv
zW8zi1ujjZIOtv8680HUGA7xEZKshQWXaqEtv8XFtjacj3Hn38b4mmfHaBRqxeyTMPPBI78Pd5C5
dUIfQ4nvwPDtsMsd/+dk5re5xeXQIrVnhKEvzJ/zXCOI+BAK3RZPW91DTkEByL5ifmJTbmo1TYIY
/oCDifkkUOqGEO6JoSClOLyXN53yP4NJg8vxb6tLLQrWN3kqigFaDQPQElCDRXK84bXXP9jMxqKV
kktqS0KaZr7+UO8jm16CPb/e05fCKe1twm9+Xz99sJm5xWWrht4ImZBpXhtA9ThLj1NT+omU7vJM
3o3imeVv16/3qgOZGVxcMsAvCimH+J9vjliRmjmR+nzdwvr7eGZiccFaSYvFsBSArhA6FAPi/NCF
5k3QgmoDg1BkgvppDRnikU3nSgCWdUqOSisaji5W7tQWDgtEPOSrp7Elm/RCq9WK2W9b3McpKKOp
NZAOcyktKbJil3efdT/b1aG9ifZZ9Wgza4vrmI16Jg4dNrtxIZBsHCTMmFr6GxdgGlCXrTor7v6B
JtHG7VQXebBEy04DAw86StBIt7SQ7cas3QsYGI3lakMVYRVLM7+Ui4gUprQAJw0/UJUT+KUH4lwI
JR+q4wQFpK0Gz3pwmu3oIvNNuqKJMm6tcTGSfKG30F0A+BoAGa5KI3v0gN5jd7MVmlb96m+zmvjR
jetB3BogmuZldUC+D2Cudf+Jdsb65cRojQqNPGhTLj5cLkUaZIIp0MLQMSRGh4b+H57J3zYW36sr
MIjfQ7PKj8hPKDphFs64VPVwW5Qq6szNS8tKi+j/S9p1LdeNK9svYhVzeGXcQcFKluQXlizJzDmB
+Pq7oBmPuCGezRlfV7n8INtNAI3uRoe1qJ9lBuwr2q8nNB+F6H0ZJy/Nkw1n/PFi+GoAPz+HO9BY
aTC8NQG+RbuOrqi5F+kOHMk+S6ZNTxizS79bD52LWTZaILfRIq+2dbb/w+T/8wn8owbNAa1A5zQP
IllzMsM8GmA2xWTbBWnNHZ6Ux9KiHshOLubSdDEeehhUtAnrpBu3nA873zObwb99tHmWgOYE7Wbv
OkyCq3jUFY64j0ApxjItpQeYmed/gV+5bhY/t4BzQ6NcSmYhfJjF2Zszmz6WR1Ak34xBJDhbj8j/
4SAMILWoYGrEYMrpbdJ60MUDa5RFKeah/9be5dfDZewDzAIoQeYuPpg76X3ebeYk2Cr47TVFEXke
BejfypcOXZqJQ5cibda7osOy8mxyQ9yzaZF4mzlrzfgvpXFucBQjoAp2SEozaSwVkREHBDXjTnWR
UtrN2FjMBJWbw2TrchX0WYFdAPUVLoLJhLGWyISitGG9EOG+oN/i8ceGi2dRwted/JTB6YsZhnUu
RJYGjLXB08D1au6VWxpQh0Wb1ePmrOOaR2OPEZBQgjNX5T1aXKPD20ClCP0D0U7Zpa/aEfmcXbgH
Z4hfPCeSnT8I91uQ22vmeCmVM5XWSJquYsnwOHqpgALfq38C/28uRXDmT0naeGoNPfTFA6skdO/g
trLjK8VBc747HbfK9mt+bCGO92ORVlajUFKEZop4qCXtTkOdZOgwOI0JcTuckSMnKO16caM+nVeZ
jb3UOa2sWxlNOyFBQpdMdpkdFAyr/v8kcDopKGVbjUOdo3fsbRDqzh4LYJWel7GaYlxuIBc+0zy3
APCKnoTRL+8BH0Jku/lefpt+NIHlFXvjRxRoQXjNyPGq2G5CG11/wR8Z0OVXcKYF0N99mCcw1zlm
U/Ugw0xH6gtXnW/aQPAIyqvKnx+jzV7D1VhvKZeZnsVr1syL1Iz0Af4JAAz6gJp3mv/QtPFBM/sY
I2e55pFSO05l/EuTzbtWm2vn/AGs+o7lJ3C+I65m04prWILOi26nq9pPr9ufzSWQRxzklG36Y94N
P/vLrQnd1ZKLKaPjxZLYrDWPh4jxljJKzRhzhfvomLvRjfpNwjANYKVclPtuAA9a2/RtY7GrpvxT
KA/eWZjRnI4hHBZzlHIGrBW73yWg/U2+JffAULPnn3HlaPfnxa4a24VU7qqmohYTUoIyoR2CPH0W
MgZs8ZTIWz2lq1nFxZ4q3I2ddTmbhxi9nSzcYeYPrJoAA3KUA6CNnPoS9a0t9Vk1gIu1cfdXpcBe
MilyTOBw+66GnvKUHLXHQUcgwKpnmCZ8aK+EbAcQM4webHU+rEs3LEvD/AwbNTm9P/lQq3FdxghA
dKDtFQAlowm9jeP+0FiopsXVTUGafVFJ7p+c6KdczpGNMx2j0MCLnNQxMocoNclOWDNgiq2U9FoE
i1F2VZHYnKrOwwPQLomrTDDRRJXNuwSgGtmuEzu7rpWgkLfGE9YVaCGNMwaGmuZ1Lus5jAEbJkFF
F42nQF6oYQnMn9Fd5W2Z3tUbuZDInWCfYFa7HZD4ki2MPHTx46gUXtpGW8XWtYAc05XIHGIjTfFL
rxja3mqRPTjVoLrCQNt+8FnbyHi5nYJarYAuZXHexKxNkRhsPEU0jA+8KTeOqd/3ug+aascCrIow
q3ua3KvzEJxXzNX3/FI251F6cIzUGtoaAgamCJA/u3nPHhCKiKBVULz4pk/t5jG82rQD7J5/CWAX
+8tpTjECjTJWgWs++oqfDpgaN8uPtiAhyD0zsiv0ae831rolk9MdaVJKXTDYWq8lv79H6g3JUvF1
ctGsCSypZrchb0uHuFsvC7KSgrk3D2Zglaoe3ZVH5RAB5GG7pWt1BGd5jszyLSKDWWLzVBbuhRKX
V3rfX+XF+BrF5c0oWEERpxctjXWwCHYHAKY9hJr+XZYyYO4Buc+RpfRFLtCaHNNvGlUCQM7v+jkT
d0aUAc6kVr6XCFvx4MbZGPHGLjHlPqMIHxNQiw83ImIIIA/F/K+EUiooNmp96y4zN/ZVhAlyeVRT
dOBmne4N7eMGfTsfOSvBwpu+woRd9zSiIb8BmvmWaq96b1XD9C/I7BUAxJxKazHdOMsVO/XivQbM
t3Idqe8G2Ur7sYzXl0UtxHDKlYUpYEAlpKqAJmXj4l62xxndzu1m5LW1Hk6zMHKF6VYNPjNVImAE
/Kh0CXRdCH3ItBUcrB6UDopDUJ6isVnmjEI5jzqan1Cs0Rops6Usuw9F6wXWaV+Q/qGh1c2gq0AY
pAV8d9oAJ0TPEeNjenrj5q4q5eJDuDOsK4C3DYKFGufl6KI300vvrCvptvOlQ7xLD/E7sKvOi2TH
xR8ng4YBhDk49YAve6o1SQEES7VDhBDJ87GL5scmJI7WFECR1HfD1He2aireeZmribelUE6HIj3p
hE5A7s8ApivKSOa7hBHUzlUMV3Szj8nB8xK/6hIuIVi60BysKKb08UGLy572Jho2QTHhN1k4u3UW
uynYq+sII0aY09lEMPq6qRD3IQ+5Lh3V1NNNVXW4tyLVS4QnmOnbsSwJZl0z/VsNiChvcFXfaGyg
eWQdGjM9YC9vpRfYqZ2eKj4ADXaIIVTMRfCP7laoC5HEUh5IKhq0jUAMVW/QwConvsrKFu/4ynEC
gkVH5xtYp4BIzscsUTggwcbYSOMLxtIkyR/Y3+I1w/5GG+o2g8LXcPpUIBe4RBUa7apENNG8PO6l
Y7szAtkVj1sx35rWqIaIETE0LX5FTrJCfUirKDT9MSqcUmi9QnrKrTSg3Ra+5dp5LSUxA7XQz5ym
xlQrURHU6lubi7sKZQCq7IAx9irT1/N3YcVlY/cWy2LhykJYrxdjNo+gEvib9GIcPGuv3LFc5V+d
yr2t3TDeVYZuE2a+bqt+bfyLYZaVzkJ8CdgigCaG/swv7YxA18tVEoOj4k/Yk1YeDSfS+D7GOk3y
QhVxnLA6I0hmMLUGKGcEY+Id01QscbsndCVzciqUMwXIE/cd0RPr76cuGsIPNdRV8RJ/K85cszqg
oQKgO5w/Aww6Pdcw6SSrKCe0to4Pgpx7Rv+9lPaZ4TU1QzM03fN69PVFpIisl1eUNEZFxKdmW/ws
gzywURV3Wncs5Zu4uj0vYuWFwmQwtDsNTbUi75itMG7DIZfAeqH1L2RKcrvUk5eBDo/Ax0cSLjYq
p1eq2u4LFFhlom2EcOtr/JTPeUfwKCYaFXF6KsDfEqA3WwCIzIwNGJNVA7pcJucPR1KZSj+CGxDw
mDCgyfxhQJXLvw3oNu/GmmVbCuRiq1EmUa8baRFUYxVMcw8YTsAyZLILgJP7jTP8GtOcnOGXXBbI
ZVWwVIAZG13fImhFndQvGOrCACIamLlLgNFsBHSrxyYzZ68BlEXhyVKqaSBgkcX4gRhNh06qHkc5
80WNbiWyVpcGsmoglCA1AJSb0xtXEQDQKEYNTMQRNIR1k70UcrwVcDPbz/tyxPP/COGUoykwCURE
sG7+CS326s4thHGKEapFPeukwaXOUVxv34BCYndSvGE6VtXvHylgEj3dt6Ywx0ZUsyIwo8YuGtE1
ptzpyfNgPm8o3/rmsaAe/DJf6bYTpQbH2QDlky/Vg9W59EgAbO9Ue8Dva/t/QQzEjOzX0wJzh6IY
AJXhYyEaz1VoDvFvEiLGSvJv8QbWggbMakioU6M6hjDvdBcjoxCEHNyEfhtrjhH/UBJPKd4qsXEM
uqGEa65lKYqLT0hPtKaWQKMHjKy3nKrfxVEA6rNhYQBA6y8Bs79XhljdMh2rm7lYIR+pINScphGn
9wdU5quaAkAlMDnK+leEoxoQYGD0BcLRH8Ui7Mu/qMmnNH5OyyqExoozSPuLLudv/qj5mtVxPvC0
Q+/8TVg1VQuBnLJ0kw7ssEgBpDkgi1X5TSAb7bmrkY6+kMDpCGYtiTaEhvk3/dZfmv/vSMRXA8el
LE4xzEkHsCDm3D5k/WYiZuw/0/U2H8+qTcTYIgCiDBXxDvv5Il6mBlgTIhFQmmP4IifvenktZ7V9
/njWV7QQwkzmQsjUFYAsl6DqjLxMu6C7v8jL2P5tZ+1Wr/NCGOe3lLQw8rAGG6s2lQ7YP2gCpNM6
RsMv4KcA2azdbaxu1eAvBHI+zBCMSotMxFEs6wpgVvlHjw5joD+7xA47UNKBqWq8mHfTVlJsJc+M
6GMhmXNo+giWrDLBUrPZq34BlbB1WXMziFRSX3fDZl+3vugDGP4PxsFOJPPPDTC7dGGoQ210ob6t
LOTx2+pqY183VPPjTi60ppyaqqpSEIHiKecS7O0HgSHjLzSKgHrS5Ta67vo9/9zRD01eyAREUad2
hQWXygjitIsIs62gFbSC9pBh0Oj8Cj8GDL4YyoU07qYbbZ7nQ1unQQRYb8TGikswrtwE445eKcdw
P1/Tg+grTvKUgXNJug6dwkf9zqt25z9kPUZffAgzsItlqwIV0r7Fsv9i/PvvMfqmRM7uNJo8z5iP
TjHsB1/rNIH+TbpV3fBudisMTIZbVbUtZeJMkDjKmloPLWI/5MjKSHPqrN8RZcvUrdsCAJcrMlKH
X8jH5FEy68zSTT/MH8fimgDxqo9sCmzGjRNbjR5Qt/8tiDuxeCCZUKp/m9QTPshtHugtWdxZqZmp
0x7U7387v//CPbnmycF2pgO3CH1R6HQ/VcR8QIevSVLLpyoyM9WPcNp49K4q3lICZ63HJqwLEC0J
CIUY1x2qqzbj1mMpIeaNNtvz1oKhpTzORud9qyWg8gOF7S+WDc5fWTZ4BJvUB3TWtvvb2EG+GSos
aGmCTgu87t1rP1yJ9NcfaB4mcZGCxRQNS62fHhExpLQnsJF/b+B/YiBf37xPWdyttQZDQF87xQi8
4fRuu8/RQOaxzJ0s+LJPLxGhexvLWwuVl8vjNFAQZysmItiAfzMvAt14J6HC+K9Q1dauFlLLJpBk
0dMIyK7TzVQAeTKDfATcw6BYVwA5GAN40Agk5A22ooU104TJakCmo9Xwa7dhqHSJmlO4UyPJjlUZ
XeRVfZwjemFFerCxiV/raMoHfNBvWdwlK4xR7SIDuc8JoExknxwMb0LlWz5udjCtHddyVdwGgnNO
aOMYo2PiIdkV9MBai40HYHjbqgiUD7BEnV8a+3LeZVs6CpEMXk1H19TpgQGcqMxBjlMGmQm21fJg
WSApb3q7BlOhGD/OZGvicvXYFgI5Q49qd2Y1Y1gEkVXZg4WOnhksb78UbWtmfM1wLFfG3Wt1GAar
mrMoIGpDbLkF1UbdbvmtLSHchW6VsM1ppoZ+ncmBAJIZQS8fzp/QqoVfLoS7wVYjiZGsftAX/1nC
kenYOZ3gtF0X29EqSB4FSZ/YoOL1rby/nPPwOmPkiULMmgpTG3hyj+dXyk7ki1y0XSEUV0APykNO
VEBhL7oZ72w6AhRZq5PCHUhR2v3c9hs5ktXAGBDQ/8ji1FCZM0CvV7Ae7Ak3Xf2OAf7Nk3T1ii1E
cYooNJlWKjIcjFyme2KE19HcevE8OnoRXcrRFAhk3ADlWteZhUxOL5GHyVot/sep/eeoYNXuL+Rx
OqqWhp5bMbw0287k+JlJ27b7K82lMMYLWZx6plFbRVbRCJBFfepOt/IPgj8tNLgD3ArsPn/huWX+
lnHe0k/ONhtF0ylUA+t9luymorAtssvTrTT1ihDU2JAi1HXQCss8EkomFXVnAN7F17vbOPMr4hNp
q4SxclqQYZkK6FQUpEq40xpyzUL6zELM8UkbPjRuhYGHf/EGXQl6TqRx5xWHRkPEUGHOEwSQglf7
VZCCmhEDqECTYV7tD0oKJxK5g5pnA5B/ao9xJeslGu8r4VLcovtYGYkCZxlrEMWkiiQZHzdw8cSs
2wL9LTHAGHWttlvQzqFr1Tbj/Sgd+p7YkxhMxrccdKSWHoRJZRe617Q/BeOxN4ktwNmq2kVmZAD/
DP6zFT35MM6yNW3dyOYEdxELfip/iy3ciFhxzgtZMzAnUnijpiezlHWQQjDrgQQNoy8A2S0IaRGq
6JgOmvqNl87qxVhsOGfSJApiIrPAhofZQbIMW6wexLb1Nta1En+drIu7GiJRqQp9hXEx7vI9G5oR
PKrfs3TlvN82KWt17hN53OVozTnWYg1RCus+CcHeC1oiIGGi+YzdD+my6IJ6k+eJLYJztCdCufsh
Jak1aW0CochPaIXXj78SkMfObemM4e3Gjq4am89z4wf3JmoNldSgg+EP6gKrsoBVp+oqOuvw4j6N
Zq2xKKZMTsDb/PEY/i9vuVV1lBVmolXTRD3xVFSalroCEpXQz5OL0DwKyWOd7M5v3eoxyajZmyrr
dvtwhAsTI4VSoc9CVQZh+E0ArVrTP4vZbZv9QqJtw2isROUSuqBMC3B/ovKFFiOy5rimiglo2fBO
6S/V+b5Bf28OvoPzS1pLnUOQ8cF2pUoWP/eW1tUYKbjLH9qQfQQKn8mKLT+w1pJwIo3d9sUOTpVZ
SFPG3tsH4go2ZoIvwbm9YyQj59e1pg2SaKF7DINv6CLjtCEZBHAHiFA8HXRPfVFeKdq4Eyd5f17M
ynNDY0gVEpqiRRmzg6frQeNjaPRKmgQRI9GKwYNmN3rxBzcWlUgZ3T7AjRBNvlaJyJFYQtclQdom
D7pUXoGaMnfgAw9RW++LenwG19Wl3prf84o+DmrfbVjh1WWaSCNgwhqFWZ7ApO+13tSaKAnKGhFd
BQpQIm2IWFMNLPIfGXxRr0uSgXRDngSsGcWMQIFArsrxKItGEPZ3NcZrDYBjg8Fr6was2CgNwJno
NTQ1GfeAqdJCJ+eq0apIpjGG0xSf7jFJ3aOmMrntIT7opXteYdbeOSfSOK85IW/R9Rjr+5BWeCAV
GnagcffN3XTsDP+8tJVbcCKMGbTF0kqi1UZVqXFQZSC3ne7a9FKVtjZwZbpPgRTcMxMNWfjFGXmU
wSapBMLOx/w16T0YqdlrvOSquAWSGKguOhd8otHkZHsJaANPEihvMOay9R3ri/38DM62DBlmc/q+
TQKlOwj5fZlKXihHGzvK3D/nqTF6jf4weDRFBHj16Y7OZpbPwFGpAkzy7lPCaLyApzQo4IXTUIUT
PKPVNkK79f39lMnXwupMpWEJvlgMW+iXkQiUTAL0QqH3u8Ho0XBd/LQmc28Y8Q1cRuzIFISwSYy4
TJQDkwJoWjOk61khXiS2AUpCjNftdkii27Fsg3BI440PXrMWiz36uAILrUM/K6FGm4HFqQcfB7hr
Ma1wXq9XHPHyFPgqWt0r7G0LCVSVXJlcNtGtGIKvnVxGQ7JlH5jenDly/mExCMaMoRfoFfEREWLO
bocxSpcZQuCERy7ZOu91E7E4b7a/i/2jmQEULQP36bdBAoGmCiSD8DiDIvCPDNJCGmf+WnmqpSGH
RgvVcIjyt15r3Xqsbam9a0J1r7Z4GdWCb4BLLiKv/79z5Iyh2llgSxRwjlZNgk4cnGIQHYAxgQkv
8zK6xYi19kg60RvOHoZFqca428xSjQg/Yic7gPHaZry4spvdbeX6VywS8u6ihXZykL+jlnZ6kAOZ
mik02wosNTd9CL7FQbGNeKv9eU1fTsRw+lKZlU7DaYqClphP4Bq7rUb1Ek+YuzrtL4iuHJNsPkg6
sNc0YOiApG/DJq7c9xP5nAbRKOxrPVExwy3D1jTHcGvebWsfOTXRFCEZkyiMghLNqsZ4iBLT7sl/
D+WwCgNhnMxQ5vlR5TQujdkouyrouve+Se2CvJ1X9pVhaEbo948Evpcz1GMlzsMC5XefMUnkrpwe
MdPkzrjZ/aVwXx3jg3C/IXTFep0I5ZwzSCx6C8+LCCORii8SZ9xVryy6wWxKj6g73iI2WVeGz0Vy
Xlg0qdWOYG1EM75sx+Vb22xo21q68WRF3K0CCJaQ00lnL/TJG9/ypxwVftVjZU9wmapIDAAHYnaE
vbShIWshKhLhIL1k3bEYRuacfzQpTZ72RhQUOoiJ4hCcsDMmxkR/0DVQssrj3pqizina6bkft16E
a5dgIZyPj9OkFDOlmiFcBLZv6VbtTZNnG451SwinLVSOBEB0U7jurvHVtvBnemWWf1CkWe6jwekI
1YvWMK0ekIjWAwVe0yhvtUmsPWtZ26/K2t8lYNZwlr5XajGvZIupfbufLxkMI8DvnPKWIYRszQ6s
JY1OpHFJowm8crpB0vhjHrcegZGT+oxIqCwx3qc47UHcDWpw/mYzo8eFJeg6RAuDiownILo5qwsw
oEmfLBGA0lb/OA/pRdKq170JfINJ2+qUWol6T2RxBjgZGinVTeym1rjzLWZO/cTLHnrM/j+Xv8Zf
FcCsGQp5eCVcdJF9fp2r7m25UO4oc0JIUQBeEGx6M2q9kg1gtutqTy+n3RYBwKr6L/aUO8eyNDt5
MsUooAL4N5w+PSgt3bhiawYSFAcqQDFY3zH/WoKn7s1GlqNgml7CRrBJkW9IWFf+hQjufg1RIgH1
ESJYxGr2sz0EKO9eUEdx1Gywt7Mtq7q4EMiZ5ArrUEa0YAY0ays3TtInVcDDryN3YzdveZi1KA7z
wBgaMFQDXaX83Y5mEIAaI7SRoRGi+ReE2Y50NcCP6hjVwQCkcXFeBdfUQkULKyNqRyVI5a6aLtcj
YoYIz2hBuI/kJkDBdF8W85/4l6Uc7pppLXrHKjWJA8IoPspR3+G1+aBr/XEC/AbgIITb2sgDi5B7
I1Eezi9yTS+xpyY6/VkHN5+qnfDo6CsxiwPR7JzI6u1tz72SaUFrPzLBmCVATwX/eFYbJRyUUauB
JMa6NkC/hA5E7WAep12xVXDdkMU/mjUQrYMoFqE+ixI+rMbxt6zNuIBZIM4UA3YQQb4qY17miymO
WzQ5k6poEdhJvuKm/hwdStEWPP2N1V/YVG6i7kBj506b1nHl6p3I5nQG2fCuR0hSB82vtMAQIr3P
/SjDPJ6t2vlL8Sz9ksFgZ3zrtjBfVy7FiWDOLPeDDDqaPgdMLkokYTSg4+yRtJN7XivXrD/EoHdJ
R+kV7BpcRJKOak8avWLnSNzfOgMkuGMZbOmMtbqXmP7DLTcxjcsnjRkzk5yGTQzauupodiO1mya9
6JRj1dSOoVI31Oef8jTvSKu5+UQusyHdD+qw13KtstWSfovMKz1XdxoeXVNO3Ajcj3aRWbsUiZoC
oENK9M2QgQ4STk5HyL5HUqzJ4t0kvVXJ+2j4gly7RGrdLGcNQBYG5jFs3ZiuKNfAq6+ccohtIUpu
CjX7pmdp0LTUK7KfyO901ksVm46ZgdAyqcfcBtSBYw6qRyYrqFLGF1x/S6zLMEltNb0o597ONeE4
C6lfKYbf64Odp8TvGyhOUn5vlNanZnRlktZXzO9jme8EKtqznPpSZexKCuJz2Ih8ACCP0qIJFQgr
o4Ykn3TQYmrnrU/Ul0ILfVMs7CFtHXNGWgrXxE3q6Bg3QmAC41+okp95gf1LRnUjbFhVTzZwgOY+
VhXibDY6jVJ9xLkFYtvbIFN3rapyLNJu+do1O6Mv5HD3T+rmVBU7yJlAksLsDLNpVhDCpnVbPTIr
YZgBZiSUt9EnYyLgOs0ndMWQmmlJf9u03B13wovQAgEGRBFub0exKwStCOLgNDD/oMEZGXJ4wQ8/
r/OljiqfKgF9hshKdY0dNZE9N5OtzS/n7/vqFVxIYV5qkfsaqFB2oiRiO8GHLqV3Q/uQRYUdRVsv
hBV3h+AB3lzD1A0WxtmV0aJC06B8EqTRzyS50Mun/76Q5f/PxWB5qla9Fsp1MGiTK5auCBNCxpdI
2HB0axtmADtAwxsANCz83LJYW3nXFgbWkTw0sDAE1ECK7uS9uHGh1sIuYymJW1FbgsogBeV6UAPu
yE12MCkuuixsoIooCP+3MVnWEt8nErmwcpowP1wXah3ENH3qleZyRn3IluLmp1DnuT00Igx0coVX
8UMVUW8whmBIFXdCIrNE2rKnmLAwx6c6L58TU72j+bCnCkq3mfgjttT/3g5x8rGc5sZtplhdb9aB
hGpjN+ZPWgIInnaLmG1Vbxfnzdm1GYCQYTVDr9AG41bkytTI1kGvmbTlQXMmzagB8y8nuIN/hWl4
cCF0avbtYTtM29JeLoiQasuSCYVFizKwypFgjr7J1psQxv7527jCvMim+hGfmaqCxwNvvYYhZ8hy
cx1kBrklqZbbmVpp9tRPv5CM+B5FMDKD2j1NRvZeFc2DEoV3yPUkdiPo95EaAymx0TIbNdpbVGkN
mxoAWmqa4Pxnrm0Hislo/lVMFbhhnMIX5hAOOjPwRlI7IrxmJfbOIL+W0PbzktbU6OM9A8ItlLL4
4Wu0NWNwoIYkXVCfJiu9LadiY8/XomL4KQthG6g7v0z+Ab0edG+YIQ7icHRJJ/uFQV2wwNldONtR
sWFv13IwBlyThsycLOrWh/laeI68n/I8TXEx+tfBo4kdp3bnSIjCqd16U+wSaqde+RBuOKy1ANXE
Y1Q2dOYZv9CzV1rZhS2TyxKsxY7uVExZIcH676o1zMVzTw280NBQw5rsWU/dqX/sZAGoNS3MPasN
JZZbvrqzM3tWaLMQIECUOftWoIZ7xqW3FSCvxFRL4fybShxaK7Vq2ONepu7Y72YCAJB+C35nJco5
kcJ55l4vVUHChGUg9E9VVDlorrFJFwwYpo+p5clkk5pwZZoAEgHjhJ572YAOnW5qRQpS9xHWZQKx
PLoOk11mjrZsvUv50VJKV6guBnp7/gKur/JTJjMFC3XVRJoTKsMgiQ1ID0MdeaDKbdNdTQBvSSOn
L+qNLMZaWuhkmZyxraQ0EVNkRhGqGnaySyef7KIL0e8xvuqXQbtx/9e15XOFbAcWK0xauZjCDOLk
KHMtkFK0ZeW0w2Y6aP1KfMrhroTQ1eC/mSCHuSstsQtPPigyLn/kpaAr3QMVVXOzCSyToivutMnZ
6mr6cB5fL+U/X8AzrGREksEWzkJjQX9Na3EXxuqDFA2tN87jbAMP+8HqCuoIivpQiPSnOdc7deiu
26nxsgztLnMfpTadhdwxjfSamsBR6+spccC/GrltDJtClN4WpBirm8UHqdhFpYA8l4iZUbXYdfj7
uUr9OjF3JCX7LFKsDX+xoa4adynB69T06kwaZPjM3ZhU1+goeVO19llOZy/JmtdEUrZC9HXT+nkv
NflUg6SSZLVhwbT+lcNpAP9Dbtjbf9pt5XBW1wc3xXC/NJBzc543HVuNZkJWoxJd4nfjmDgMabw2
w6e6bZ283HLAq7cDlSRN1gygk/Bxe1qnapjiWR9Q44EW8ZGO1nXYPp43MivxBLJsn0K4DUyiCQkD
gT0Ys8hXTeC2DXYszT6dN56miHRxFvwdYD2s6CRAAhGp7dOzUoq5MuWprINSQzuclhtvRprei0g+
pJnhdNGxFTFkIYb7ZBTtrDwUwgv+iQ+CiCDPZieUNTvLOztPwA9W3+eAKQzLo5EbjlgeRv2Whq3b
GfmOkU2IMjBV7wuSOf1oerV1bSBSKsrdTH8YyfOUHWRkpMRYAqv2WzTcioBjTZubHg2bqfVQmfci
vWlEzZuA1VexgX3zSejvY+1+JMAL+1brj113JYFnPBlBbCEqhx4dMsP0XpcablZu9+ol/kkxgENN
1+1UBGC5iMhQOyZJuLOEHEHl/az80MPJp61100SzLcy7CODbRPglVKPTD63TNjrgoQ9DcldoqFWq
oAtpyvSi0KXKNnoj8fGXEnc0piCrOly62ibjez0hAySVLgF6kzk/tcIdwI8AOKA5XTd45QzWGgKQ
Re2uKxM7TWa7T77X7SUZwEFGNC9HmU0mqT3FT6oCD2NKlzIK3X1506OhSNRuRPVRbVpXkBnsHc6j
vIrpo9QAH2V4EuhrHv5IzMIuw9rLJ8ONiWZ3tLZr+kPRgbMt2+hxcCL1vsh0V0SXe9oIbldTp0ve
hrFBA/dFm2tBMV50ImYto6ukxshGed3P34X0oiJvXfIimzeDVl9QVLTiwRVA8dylnqG9i9WjUADf
NqS20stOJd9apQKiUcWO1ClQ619tkl1IxXM+4T0K5G0leWmVHLBzQdh+jybdm2noKKbg0uxZSQZX
lhW4hN4dQIllaT8w5AEy7dIBcYGLgThwod9NPRqX8rdpPk5NYafyLm6QelMeJTJgaxPbEJtnsfie
wJ8Y6XPXQVGbq8q8SCoTx7mzxsrNix9Dr7i54iEwdRIhcrX4QrIyr9MfjWkAZFR8DEHigcRiVWgu
KLS8UXsshAldU7sx7Xdi/YQZSnts25/deCW0FbUns0psa7wozAn4TIN2Kyqj4c55hQmHSsVgQ21P
kyI4VZPYwK8+xHH4jVRTghTEwyBdN8l9M8qORkPbkJCyG3JPN4dAI7WTW+NtI45I6YHld2h8aQYF
fLoPG9CUFbiYmAAzoh5sI0rhtEnsaPJuHOFbVV8ZwCAkJnbVzzsdbULoLDO075pGvWgUnc5Am80A
ynvzoZVAbMX4rdMmEDsNTRwlsWsLKJnh+0BLdK5V9lw+tGAhSITBH8I7KY8cEn0H4N4uJI1tVSDA
0uN9zbrKyl/x8J6274p0Y5aynZLMjivq0UFyBuW2NlW7Gu/IfKeTZ4k+0xwpV4qhAfVVFR4GQEjS
8pCGoz2DyAd4yb0E1pxEcIDC7cxKdDkImLk03ycQRM6xtZ/LLtDjfEfjIzxtbiuCBOi2SLL7lELl
iPWk6PGjkNfHIcn3YqK8JM19LLbOWCieRaRDIhNbodY3TEBabtTcz5oKluhkb0gC7Bu5TsvyICv0
2lImv7DwQa3wBODN2tVV4POXs1MY3VVUPZNeO2gzGulbNbHlsQuUZsD/HPcPLU33SdO5YvRGafwk
6iA10KSbtm5dqRfeLbW+iPTGpRjUSsPOsscBVL14FTWiZRM6QOLU22oHsueuQNlQaWyt0H1DxyCE
WEXgKK+uZfUiVSp7Sikg9buLLiaOIo4eEisXUtf5dSM4UyvZynChV7eNqdgZUCaLKxN9CnWXYfpH
vLbMJ9F4xNP3MpksN9bFoA7VIBvQpCS9CoV+qOtXEuuBXqWekogeESSvni707MEivyrD8lKLgX4m
QSagcbaHmjcKAtjhukqu2/ClF6vbiVAnK0UHaFKOFlKnKV8rabKHEMln41BaxzIu/HZ6I50UqOnz
NFwJc3yU/4+06+qRHGeSf+gEyFDuVbZcV3sz/SJ0j5GhvJd+/YV67ttRs3XFu1mswQKL3SxSyWQy
MzKiUg4BrqqSdG7RtfDzyKsSgHQ0iq8dWzm2aiiB+ZMSEO/XklMqZQO52uQU1qqbaTlq5w9QOwCG
bXbE4twJPcrhkZ1Jt6r+U5jQ0DOvxeEuSn6UUGeey9dQE47j9KjT5CCAQNeikfGtNGNHq8SnYDLf
o/ZZjUPTDgXzMCS3QM5nlpbGv0ZI4sQaudFS/TaZZNys6eSJQ3qAKrRXNMj/JNGPoafrVUG7LzoV
kkjiXDtJsUCM1R+tIjlgcC4hYkXutKKV94qGTFno4+lWnob3Mc9xipR9kCKpxoV1E1bJftYbf9SL
9ynNT7QpOzsNxm/6XJ86lRzrEAE0jbr7dhJPxjhfzZF8F8T9oSlFV4qaWzPIXlOqHVK9OkaqgeOG
YGdU9Kod+x80CmS4OQDuljHHiqcUGM8SewjYttXdPARgxg7PoYB3UZO/1xBVaEBwbbSIVQOeNE5L
hSu1GB/MTLXnICGO2oVPyoDY1PUZmKnj6NzS+CB2wW1coUcREOO6nzFcYdOsSztsqfFdCOiNEYSm
lczxLu/nXRIPni5IV2NI92IV7UFJ4A5h5PaSYhlNvNdaUIM3GM+Rix8AiN6iC3eW0iG/q6d2L4VF
hf3JoQOvBTed0H2flJ44Mm4/uTICv2gmeaeV5R5n+CWuNGrHCj5pMp4BQbur5uynBCnt3hyFI4q+
uhW1RWQPgzw6Q9QdMrUVIsugAzorPeqNNEdvqG91P2rJYcpbJwmEG1EDoTjkzs+T3Ep2qgnfojoB
d5VhNK2F2ZYJd3endNasqhFgdfnshUHmViHevFJxRzBtfgqH5imKs8gZ1H5PBNMeaORRM9hj23ZU
GoHJx83YBeU7zjYYeWPNrvv4jGGmQz9r1yRODyRKHEoENyjjfWeG5r6o4HsE45qkrIkltMpO1fMz
uCGdkYBvgSoW5nv2bVMjocpnF0McVpq/9vNkZYZo1fmzmTyVsmRVECFMq194MV2FmOGNXhNFAb+1
YoOM1p76xNKrvSh1dqXEEUb/JKtO4aAJgt1wMnELyGiIFWbfQ1rKvA/qxslVAV9rkPFMpKrX4Es3
+gQR4tvK+IWNR3MTatEks6VJAPLqOEOmRgPRdforrmNraM6RSF3DuEuK06ASUN4WntRm3twq16LY
AI4974e8P6fRHZRan4LiWeshjds+pdFTZTRn7I8VmMeyIDvaiG44fQ9Ncz8D0twlISCjZ3NQrESZ
vEABTQ/NdnLuqOK3AsCmQYWb/4oG/PBA9kQk10UT2kaKNl5VWoIgn/9LRDNJwNWIShzuTRyz0koM
LOC/WipnKGihCDGhN7jU8dW3NIntBl2+SOLUNrcfCEDXonyFlhw7ZhFpcj8UJhplylA/S3poKWX1
TNEX/f8/eSRwuKB9CyCPwmL0Mi0AFm9E8boz6FOkZIe+zR3dDJDVjg+XTW2VHEGH/Y+tL5A8Ke6k
QkPdSDyoHpKu1AuA59Gt8oOlOvPi9qgPFq/csIUjNaBTDmpcxUTvisW/yImIYIk02Ye4VgyJ7K5C
35+CtiS+qnBYG6uondktnPyKa3qjNfDJNFPTSRWlEmIdlQ7lWjvoO+MGCnuQ5NR2f0Uc98kU86DE
3EI6lhVMmeKZGJNdp7XVdgXHXTbq4LCiguASroKCKrMgcR5wFCo8wyMq7KqI3jZIAzhustQOvjyN
VzaYlWQok6iEwCWFLq4Q6nXJzqtmcJJ2xhXWGz/6fLqTIBFvmdHs12X2ksnVo2bq9bUp95yq3FZJ
YLVgtoaLCcI6qXJsq05PVUKtOL6Vww4BkUdTulm9WVtiSkY1BTikWjqgpTir1iilT0mhYdDc8IZa
flKM0jHzDvNARrs38DB0BkHhrHUr5ACqK+oqeuVANTFFnQpjjxgkgODXrDghsTr5SRNeLn/cLf9Z
m1j+/arIScsuA965grJZ3VsixWEU7y5b2GpdGZCfkGRM0GoSGvCfTbS51MpROmD+5CW9aZ7qB/JG
UN8A6MbJn+lpcIbMzkDi/IrHVHoQnOgvAvfKPlvdbAejLWNhjP1Ofpjr56AcrCL+K29ZW2G8paKd
CuFfSEwFRXAyU4wwjbglBKuiCf6ROlHxhIp4jEerwCtebbrJnw1my4xt3GnmjAqMP0vFdVbCU2ql
OdZm93r5S/LsMO7Y54VQxznUiXLt+9Cqntq+q3gV/YURAOwWlVDwi7PzvF3TTnKl42tFlWrN0k1C
BqRgb5eNbHr9yghTV9TksRtDCY+wZt5lU4JKz/wXcRm10X+WwexVFE6hOYxmgHcazi5tvodzc//v
FsEc3REKcVkrQ1ioTfqbQqxfyiVVu2xj865er2PxiVV8GBbIYKF3KcDLkgdYhhNd00cgV51oJ++g
VIIxBZ7as7zsPnvfQCBWxzgy9AG+yH6qTZZVOYhRIKE6uLoHm15w6t/ze7qjbuZDiWFvvKh2bedX
gmoXx/CeR0q3pZJgyIDE61D9Q8+d5XCTtDDWwxS6la2X7vE6wqSJ8RifFybGhUCr+VYfccMhYWmt
1jUP47nbyzveDPhHy/fLRhigksasBpDWbNM/U4FiQHkMv8LJ9xOKNk7lQ+7iKtvX1nDPV9aQtroI
kPD4xyDjUjJAPkE9TRCRvQcy+fuyXGlnuhqG9/Jj6852sqMYGuQnS5t+pqAdvOgXqdIXqqbWrFqt
VSHIFO0DP/qOwnQKuu5217qC3z41P3ooWPkT52bYCgNro8xym2EaQDCHwnbXvcZVjteG4HDOz5Yv
I9El0GUAY+MX9h0BbOpUFD+UzjT015tbPCiBOZrt+Ju8452c5SZl/QVs4OpCV4F3DzuvF+mtmScy
ENaNWis2HVD5iVHESOQBmhcUiqFy/43k9BzWec2Jdx9x+ZJtZi+JWQF3E0C8qIU06bBIj9nFIXmQ
7dwBR6yrncZfip0eZGfyuj06jO7ljd66m5RlfHshMcCf+uc4hfm6qiImlIxAO3cYs3kH6DR64YRz
Oy3/my+rXJlh0m0AFzIBEs8ZmMy6ykqNyiqQAgrJaKmj5NAy5djjLYvJnaSRxkk7gQ6uy45h+gHC
m/kDmNrlVbFqaFWEjocK+iFfvq1PwyGc7XZf3wdO5aRvaBwWsgWU7v+BVmnTX//sJouNRt2vNacO
u4nC707aafvJW0TxeMdiiwYa1FT/OAdZDunqEgvrsRMzPc4+OuygGHVQ8Icck2u60ARwW1906ish
cftvl31yE7Cw4Fxxk+Gd/YXsNlYDKCMRnMfptnUCv/MBahwwmXlaiKpqH32vywY3vROMK4Dyq0Bx
sfup0hG4vVbQvJaOu6jJUTxUK1eLowrQTTQ2FH14vGxxM4KuLDI7W4pZk0eamkLsb4/6rlVnISeC
ytuLUnSycNRjLpM5ApDiHiMQ2COo6XQXkPoKdC+AbhJgCciQCZ4kwkUxY7KvFfnUCOYDeLEjIKaV
h05o8FyLPQC97WEGmKHOnKmAAFci/RgF1DlAA+iCPNIKgvZ72TaoH4nKCXQau6nUOBnnZq0FY1MS
nkJQspFYirSmjfR4HIPUj/b0bT4tMz+GE56m70DXOtRLr3iIgM1319oiE6tkKlSKmEPmBa3oW2h+
3xAfL9WfqdPueuC7zMfldh1dtJD+jobKWBtnvpochoEY11iuCLXq3tF+IQt2Y19/lQ7mQbWjA+8C
2EyWVhaNBSS1OuRkQgVU6QzN065Em9iSYX1wkzs4a0/NfcxVXNwMzX8+KAvAHmc179QJF55Ae0sQ
3yr1ru/3l4/XdgRZGWHPV1W2KumwjRPYW/N7MHLbiJF2bS1jYhIHAczdQubRAtrRspV7xEnIAWFW
MT6i0jzudLf9FViyY0CqjzeYuYVcI6CzxrEAyRGg7J8/Gshho0xr4KPLDVDcRhgCUP3yLjpwZVGX
387e3GtLyx24co8Okyh1KXS/7wD11DyOzwZYKUQvB6gSxWRe8r51p67tMQmJSdNKmE3cqZqO+mYg
6fdVOx5LrXwwivTnZTfZisJrW8xJn6aojZEoZH5FJh+adejwSByBjy16QkB6/3wp5kDXTSZQBcTZ
/hAm12mFrqospfuUtG5ZRy1YXZWfpljfxGHbuj2433IaOqKYv8ejvINUmBMaGrillAZ/G4sdmG4S
DAhKlQVl3JZ3apZay4VvzVZ8gA3W8rHCqaE5prMFUQfgA+37cI6PXaR6EM45ok2OCZA6/Tkb0VNd
jZyjtBUcVrvFws1onwI2UMPb0v5lRjuuIrltDoN7+btvJjYYSNRk1Ck1gD8ZJ5trKaym6SPED25z
7oC8QNgbLQ3C0fNChnmdPxKU2Ua723FMb61wbZr1uUYTIN8H03EqH4DRAqCCzoATEPUsqfS+E0Wv
GnoBgB05tIhSvABO7QqT/ixNYLNcZiydIim5Yq5bAWX9sxg3JQlqcLqIn5Xu233u9bt4PyNcyjtu
6No6dH8smayMlZEYHWhBcSBwrfaW5KjHAlLSmWmhJOwVHhQN+DyLPJtMkTHVuoBC2CDzm/C2E3s7
1w1OCrkVttarYi6cLguFylCxqgn04Fkm7gE+OlRS74bCwAv+vNUw180UGkJGCb5V406YVu+u0ExL
rgOntztw/2NSMB1t3ltg0yaGjYgKtLT2hf/KoGGhCglsSmNlmwD2CjkHpry5g38ssA0KvehNtexh
QYxeBHX2DJM6Y5fa0cA5gltL0UD8Bm1SGXOl7Gs/1aS+FnTIcqWQl9XVN9BCc5xhMyFYm1h+wurS
FNtcj4IMD4oJOoE2HOEQuuGVAnjTPrpT3Pqq+P9Pg2G0+s+alqizMtgX0yBTkLGC/vyOZHh6QoxO
qJOTkPDQ3ZvtHR2dRsnEvIsJXpvPpjpdjDBQAwXLhSgV4D0ftYM98QCH/Cv+YGNtiwmWCRmbiESa
7k3lMRpmf0xjJ1N4kNwltrHX3toKE/sqXTCo1GNFCXTTiam6SfItNJ7kqLC0gNhEBAe6xJuSWX76
/24U1bTP2xjF1MjnJIN47aCe8vZY6XSRhkNROvYGSd8RvXA4V89WKvdnnQrLQCG2ZZIGRY80VRSP
CniQg651q1kCwLZ4ntLm3RAM4UER6ADGLwSSAQ/iASp50PeZOP66+cha/xYmXtKgJkVFIQLZuD3w
bLZmq+8jlIkWoWfwInmLuJWMB1bzDhYaXpl6s167ts5E0L7WkroXEAJqJ3vrgQV8W8rlxl4RrfBR
eB1dzIkNPwDiK+zBInec77Cs7dKnZ6LDmCS1luv49MQP70ZH3dGrYJftJ6f1+VefshXu1mtlQoNo
ShiJhqCXl9TqOSmaO0JS3ZFI9lRk8LGqzABZ6R6qGYgCIZxeY13pgJEZXxbUP5LiX6WaPmti/FyM
cuzMUuOocWDVUzLeAKV528j9zlDNg2IGYJCA+k1IASarnCSuXrU5fTD6BKDCLDNtJQC7XJNo51ZM
OXfH5holcHdB1hEJHVvwDxuzDoJQRCLfoJsetvPOmLrHy5/tA8n+5bOtjDCfLexQqg7BZw6yH9Ee
DoadnMCp4hg+cSvQDLVIYEJfOAPnjToBYBleviMWvcndGlnkdKQ8xMtmFgu+839WzXxZQrW8b0ac
IeIPT+UpuiH2NFsUVWPVjR9CFCseumvMAPzF/Qnhd+SDuHKAX2CSqTCFyEAMrJUPjPe5BC3lKMju
5b3e+p6YjQAiYin/fSkAgshGaHOqIP6Mxr6Y1coqSvrtso1ld9jPiZlLTFzqmFH8ogilYkxBSmbE
gErUzyVt9qmZh8DCghDhsqHNEpaxcAXgD/T92KZYnhfQXlarBAUl0Q53CHVgQMGLvXMUu7kuHzOP
94m2TergKzM01HYAGfl8u8jA+Gfp0CQYFwx3wAlX4PrXbO1bibZQ5hXZVQ9A9TMvrm5dpCg1/mOV
ua6FvEy0NEsoqhLhrvHb3aIAwWcd2vxyKzPMfW0Wc0dMaG35pEdaYOIARqhydjEvz96K03+WA62t
z5uYZUo8kFHVvDx0F+6rpYMZj35vL8UPubV4X23T6w2IL8Md4SlsFMvqrklL8G36sp470mg4WsGB
JPEsMCGMFnjmzUMNKUnav5ko9VaJ6Vz29k0TpmQukrCq9IUrT1FQ2muRqnooXFyVbeeBROzpsonN
5MH4Y4PF3011N2dFg3CvVI7half69fIOig+QNzzWu3AvTVZ/KJ9AwGb/XU66Ns6EP1MtzLmuIt1D
HfPcTwbyF7QkyORdXuRWfrg2szjnKqMP26hRIHUF8WD1LKogGo92eq1Z5nwwJtNO9IwT1TfP7mpP
mZSoRjIW4mkEvdbuWKdTbRnG8K3Xq4cZU4ht6ilwxqnvQ06k36zUrtfJuCQAOBizEjS8xk6Di0av
Xfjho+TrfuHR64hTjduMHKtFLv9+talKkMtDN0wYTlBUW5uN7wpU3IeU+pe/nbSE1y93y8rO8tZd
2akHUmA+PgJf8Ad50RLzocDm6efv7Qd7cOzIjvj8N6XT9VYyQb+YxUzRUmwlIEyhZYrVA/CHVpr+
xCQe507jbSQT6dMyKftohLdQGWlrMZ5yjLmCXOxfOiUT6RWaDe2UwMzvCwWAA+//IhrA+VxsCwRT
ICmQJIPu1QlERgCBH5tpHzTarapqmOnh0WBuVTpW34ntgIAnJNFqBdWBIICExFxehWnv0ao4xJHM
2UDe8TKYMKJlmQGEPUJl68VvmFDYLb2kDq0z8Oxzi0SbdY/1ytggkqpqovT4XsvgLgjRgECSbzB6
ZC9pgHrDa9Vx7hqDiR1Fl0z1FCAUYwoQo43d7aDyNBg4js7SSU1S0eeGOiNLzIPU7g10/UBwcdby
4N9+KSZmEH0MkyBcYtMVOZhosB/HwsF0IeQN9ejAl+/iOT0TLYZ4oIFMYt0bculVb4NrZLAWBhdO
pIh2efQv7zODiRiznMh4NyAv0JvRj3LhPe2icw6iFamIMA7WuW0U9TYnDm9mcH/iMEuc1XZqLpEZ
X286BD46qQfMOEBdKwRbZOjwSsA87zeZfLGUxiQAgQ7cEW1AsjwBHdPVoR8ke61vOibn0bvs2NdL
BkQrSBnx7GWhO6kR58tjQ/OyjrxTyfATTIQKc0EtM5n2JuC6c0AfLu/oVuhCerrUE4DO+sLK1xkV
aeMGoSvsFc9EaWYWlF0mPtF5di9b2qzRrE0xkcsQpiIRNESuxtUOdWIFV/F5waAsoMbxjlzHJ+N6
qRFNO+kbx/SW26xNM2GMFtDGkcvldnsCs4QXH6TzaBuW5tU2/xxuQvjW1pgolgU0n7RyNgDblLxQ
dDHg+6Q0TuoZznjIz51xN15hZJd3NrbO/9oskwtlkSpMWRFT1MCaX9JLgta/E7ugHLwP7oNruKw7
OcauvuJlKZtlC8iGgHzcVM2FM+BzcjTFTTzllQxm2sEBSFl0l1qJhhlpe7iR7jJEBDSesuvU1n9c
/q6bK14ZZiLsZKpzPpSi5jWigZBzpdEerYwQg+0/hPz5sq3Ni3e9Sia8BlIoN0NGMn8cjpJHXDDw
28mvdnIH5H6xx4NxbN1Ta3NMeKVkTPMQ9LgY36ajFWnDQ05n1RXVkle55e0ik5MNRKF6DDXt/1F9
lB7Sl79TfVzOARvvVktkX32p2Wmg5xFRqR2L14FEexUq6JyvxrPBPO5E0FkQWsBFllJN4IfHzO13
rRW9oTBvx05wxz2Gm7Hmj1PqTJiTGyEOxAynIRjdfE/c6B5H8HqsrQm1Ez7AiOMn7GhM2rQZlQNU
1qbkUIHsiGLMIq04N9PmA339qZiQNseCqdQCEjP9On/Ib6azejTpw/xO/crRfdnpwz3qtGgZyTt6
r++5N/HymS65ChNicM5p1GGCz0tDt9yLVwthYSg5pm8Ah807ept34uoLMmElpKKUZLOR+QaNLAWK
R5nwXRCv5p43s7Z9U6wsMTFlMqQiDRLkUK3TI8FobLGwq8dxVzmaNTm5W8nutOPN/m16DMpRmCwQ
QWzJlnvFUESF0UBWk5IAKGFqg3P+hg5cn9lCICwUo/+xwxyEgQ4C9GiQzohq9QuxzAVDoD9g6D8S
s/sYIF5VwjAgwYE0eXXLzZ7m2jZz4Q+Q48PcfLfEtEUt/T8ixFBLd3i2NsPnapnM0VDGvtND9DE8
iB6DX0UFtS4a9rpHotep5bwpeJ+OPQZjLmNiS9c8Ywi9UI0cmgd2ZMT+5ai5VToyMU0JN4CM25e5
1CCtJy1XEt2LDPFBaMeXzCQ+8icbhf1XXWn8Po18oeKVSzdXtzLLXHmVWOtNGcExFQzDVYFTz0Dc
ac+X1yarPDPMfWcY3SDWHaqy0Cx6Qj/EC2dTPqZlbu71eTrFUY0iz1jrvkb6X2rSn/K6fqvr+ftI
sjuiVT+0CkMYZBQPoaDfAnhw14hRAA3J8Umfu9ZSKgy5T/n7IBq7juY7OlADyFojdmWz95rBHOxs
SgEtLwy6l0cxt41SmNC3Q4LfV1nnmqh+a2UkWuXY7pMAEqbATvtpZn4nKYhRAwx7jiJRwZpjiA6A
KoldK6B/M6fUHtvZR4HgaUiz0u0peDQQOIP9mIeOPpRHIkY/lLmxyrRC4+5NE55CkPFUXQU6g29U
hxCaDJKEwZIzoKUSv24VS5ykl0hXIKcra6Cy7PXX2SAOlY0fk3ofFuQ4p6ifS3sNGAl7JFPlBoVi
59H81JfRHvPbZ7BwphYpr4ruXinprq5jO8cchhrcyHMyWEqWOTL5OSb1NQmuVap+D8pHyOohk7Um
8cbMXtJJ2Zv1cCjqxs/mBLQONagg9drK0/uUHmtNO1WhcdsIxDfJYz3EJnhWKNhfqtZOdZAnlcqu
KI1zmt9nDQSjCv1aRDiagncjBHGIPFlVNLlp/xAvhLhgY9HH3l6eXUOruaoAaqJp3kXRdIz1wYt1
EDJKiRPMpY3WO3gEKgesoo5hgv0Jp98sKGgQstBC/z+3orQF6c4vrVBvFAmMFY3xnIKQiUTkQY3J
TdyK74MkeVOOBm7xFtWRp9I7UYuOOaXXMmA/IQFDRApOOYz2qon+PA3BnmTtYy8L3zJ0ansyn80W
L9I+s8ZI3BOzcEv5ZSAvcY0frcrgs5rcJKqcVosscRDPfaLsEyM+RrkC+kfDmZCyZ+2POe8sA0RQ
SdLsE3AAaTBo1IKVza2N3hP+08mSutDGrMJxzCiYKMDiJBt2QUeQcLTWKICEVQNbVQfhAZDXpJJo
11O8D9XhqjWah7Qp9kmTniYVXEZhuu+15EUYilejye9JML+gWOHoXeBDEu5YCPqrml0PqYZf2blp
ET83hfCmltMh7dU7VdCekyTYxbF8O7aNY/QYlRApmBdo/gJhsO85vkccz+cml/3ITO8nWpY7IREm
q26LY6LBmyfV7PfKWPLkm7eDC9Gh+LrMPLJiLnSYSxU8ZbpXFOd5eKLFdaDfXo5gmykttDvxagfN
HZRxPj+3SE9Toowd3nnp29Q/F2bHeUlu3mgrA8zFnQaKmFYUt0zaFqc6TB7zSbhOpCZ1kkZRrToY
3y+vaLPQYq4sMtc1HDlJwygD2gmoQRCl+aAlSjzTxdsxml0QOqU7+VnfX7bK20fm4gb2Tc5N0Izg
U4ELrjwWXCbbzXt0tSzmuo6ndKgK6BlDtZMAnBMAGJNO0aEeMgBy+rq1NZC61ZqBh6v+PHT5roVY
k5CUYHMZg9ZPASglGTFPUZrekD76AbLcm7zFcbAu78Sm065+J5Pwthp4SsmSVlTlTT597/S7jteo
3E51TVUEDyAQh1/whs1oGo0pwIYqgXRcdBuffFN3xr5x4oelgJe605Gnmba9///YZBGIidgK5lBh
EgJXNcaqfrev+dOGW815wF4lUBWjMb/w+X4+kUVETWGchN9dDepWjwT35nXvauh46U77Lb3iQhA2
zihqPSBpBM+tiUlV5sRAHjTQzBwUl/r9UtFKvU742UPgEQOVyxRNUx7EY2pDpaSSbF7Gu3FwPtlm
Dk4c0xQC4Uhxh+BZjkDWFt1f9setWssnC8yGNr1JQVxU5wDCiL9mBzBLt3yeD7M73fP7v1uPhU/W
GPefpKSFwASs1TLY58hJihRHS0A91BxAbuHVkMsgGCONobSnxprDWStvN5cvvWotRpOhj0B15iiL
FoJbnSXrNxt/c5LQs31B5czjRb6vD1xA8kF0DVgC6KcV1l9NULKFkwR/HZqgcxWpf9enZi+A/cnJ
mvrh8gK/VrVhTIXgEqADILliCVmhrGe0QAShvR5Hx2gGLWijQNoEyoKBRfrcqyCWTCbp52WrGy60
mMXbGtpA4IFl6RMSiNqASB6xNzotL8D4MN1oH4qC2o7vQl+/4WdjzI05k2RsqUJzP6ePkqRYSsEj
R978ZBpijAL8jyazjY8g0tKkU3oDQI+sOsQxZpDKRJTsIMlBuMfjtP56IQAFBvpcNCIWjn22Sdak
atYURZ77YlnYZdzbTalilkZzL3+krW2TCArGOpRQQNvPZDJl1jSZLCxmive5ug9KjZPJbHoBhsBB
UoqmCt6yzFtvqqWgjo3a9EQfTITNh6aTdNZQkdYbj3+wNheExZAPEXkoxX4+y0aTFWKhpSakdURX
nEZLJJRzV285ggS6GwNHBkpKbOCvR8EoJdSMPCrprpRrngJd6KmATCyvwbeRlcELVqaW1a4ikyYO
NNFkwfBUyHJiZl8brcZfcJG55EOk45rPu/D1wl4sYgNxbkXRYEtTYQupBFPBof09Bx37g6d5UETx
L/vdRjnzsx3mvEZkKgalj5f7RbYFq7kyboab9mg+mjbICk+1VdrGOTsaV9XzzLnbNkg9Pttmbu5G
zlp1KGB7gdvTY4GAX9ntcZlEVc/5fb8DgaTqa56MdEjcFZgEeZ1vOOvfdCJMgoPxzAQDNNtpLGQF
1KcdpKlajxwUB0owz/kuuKFoptKH3I2vi2fxVtlzrH4t4mLlKCfJRNMlFB+Z09EPjVEJDY77YA/u
Uu2MrttDtS+80OPZ+oBgfi4Yf7a17MDKd7NC78c5ha3JTvfCjp6nt+Vi1aDbbNdH/FW6IFFW/ekU
HUynO5gnaNHsq3egALnetnjTpd/C3PAyyNbMqcdvWahjsG5/aSP3B3Qg/NAhd5xd5lljqmi1HAyj
AuZPWBsd5E5gzwdsCVoSBaQBuNOkPGtMgJUUUW/nGdYWippFvkoIIZdaf6BS0yuNh+BcDge7lbKo
mwRKqQTTMczhKdMCFLSkArP7fX9acqUlMYQEzJ7+wGYi2f6LzVzbY0JgMvb6SNSP5X0U6K3wFTN7
lu4DBH7FU5/dOpUyBEFADaZBu5rlB1PCvlLSfDC9pJVBVVuCCDNud1Vr2GTmNHS2LviVKXYwNNCE
To9z1fTSrLeF+iHWe7DKvl/ePc562NlPiHtWA4rUhtfQ+0a+wvAR+KEpigitd9kQbzWLk64Ou4ri
kFbFeMkTDc9Jo7ZmiCdKgnvZytblvt4zxvdEAU8uMSl1L4zoIStwswNUw20fbgXJtRXG41q97dXR
+HgOLDxTqLU/Bx+HN7pVOdfA5vdRMPYlK9Cj/qpCB2ZtyCe2uQ/mPi+Y48IJ5TFw4rHHy3GQRs7+
bT0EZJCPACSggdmIrVslM0Q1mloyvdaArHJWIHf1xuKqBv9Ek02WVu4uf6/N5G9tkHGLfKAYDVXV
35FQdKGy9wzuPVs9FJ6wl+841jY/3Gp5jHuopqSCpxpwr3AmbxK070Cjjod50UVu18U2yLGPKDk9
T7lwa+bZYe6zmROtNh109QsY19ECcQa3OhW8XnVlUDKHqsKB227lZ7K5KDEic8CsyHIQVwcNQ3Xy
Mnu05Gf1HjghwDf1Q+vz3qeb+dnazuK5KzuNqAdKQmFHA9rqZrCFa7rDQOw344SuhhvuNQtSEJ0j
udDuupl4X3JzH1erZO5rEdTLoqB1uV9+XySZQDb2SNzCF56g4ynZkEV2Jx78dgNgTCBh+GdnmVs7
q0ADF7dYcePO0J7Vr9t94wcOeehdyc2g+Cy5S6ObB7jcKMt9tsvc3yiMqy0ug9/39zIzp2NIHbJX
i9jtkp50UJ8SOOGas7/s5RMBiNbLcaB7Yxb/khs0DWTAJTjHcTNT+LOh7OUDXsMmGFFb9VoPomWO
4qBgDiywX+wLB1csH3+1eMWX1GRlkIk2RqJ24J81oaiuHPT4XCe6k6NXNPS5naMPwlke5ySyVRWS
kiLN0nHJpRdoYmOPSGozt7iiNl7re7LT9529zFsun/Cy7Y25uU8+ozJxRmqKXk5r+GoKlYfSTvbR
yTyNL5FPXotjfNa9/N48Nx6kElDNfwDS1lF90OzcgrK9OgFdDswdFyCy7O6l3Wci0wTJRrMJBmS4
OD8yEGiY8AHsxgSjMV9fePNlDIVoEPsYaMMobBo66WHSGHVjer3XC6CMTj3B/l40GHUVHUg4UY+b
iC6//+v6MKK3yPwpX1RO48boGyWMCr/3auhtK+/hY3IdOaJipSj5osK9M0ZML17+0ts3qPnHKuPT
Jng7SYNJ6o9Bt+Yu96hP8GgCZN+GABfPp7fjwh9rzA0azQE6vOEMv3rJT2Bjh8gguJJMG9ip4kX0
igVlx/HlLZMY1cZYoiEa0Hxkwl8qT6msA+ULlQzR1qW3qOEOdW4FIqRXi54h2MhUtsgFDYuGqqZp
eOaOHOixsgt7KUUumMilFMn1lK08ZG2P+WZ1lWkRDVEg+g19WQqfGforvR+5/9oW88UGwBXErAh/
25rO8+73yoZr/ro+9ok9Aet1MVFHGUa0bKco8ChGuQ1EPQA90de3QZQvHQW3xTEYM+h1WMXDQtEn
3vU/+UF+g/0Hyc/qazJxph3mSRKjPPHjp+gGYnv3yk7xIrx7MbT7DZWxJ9mTrfQW0kOYPeUXyD5a
Vpd2gcmMQDM8zUMJ+zoewMqufl46PvIp87hVC57fMllQlFVCKUY4jeP3wV1o6ecjtccDfVjA9nzU
9OZJXG0skwABLFInef3frH3Xktw40+wTMYKexC1tm/FG7oYhrSR6EvTm6U9i9O8OB8OvodWe64mY
ahCFQqEqK7OMAoner/EzqumCo77T5nm7ddxZx6xkqUGCHkEbiI3TLwzh0GB6wD6ARN37g9C5cRSN
mx0AefNC+gJHg5Uy5+bEZk3lR6iJOv3oVWEkGtPcaUKy5aH9iOKphfycW54dy7VeRcgIOh8oiqAO
pzvjhlyDoh4YQsNTbkUsaXtXEro6TDDVgIqBwTlIASm6Js1y1NazozpUTkWh9WG1gg/5kk2883jM
ZaFwiKEING3evgViDYrPlWazdfVXGLsLB/o8AEI1eKR5RI/QgfaIlrmWfmuPB9PTbxkeu79OTBdA
lIMBDbCP07nAS6FWXPWQBiq0dyAcjJkKR/uc3Q+Y2usDq4faklNC0So+yQ/qNXRI/PhR+T6cy7OM
f+9ogquV7calVXHurvQJnY3JRg6s5rdpMwBrGmmuIamT16rQStWS8VsZ91+kDippl11zd98wzYtv
qVnvyfSVca6WJjOAjVyfuvRMzMdWFmHK2SXzbnkbG1ywzpTJ1rL15dKrjtMNu/TWm1/XkDh0iBbE
xWTQf0ZN2ukkoBBgk1NIk2EQQdIrwZbtZn3aZlFc7JVITzqD1iRgNE3srZR48Q/GEqEGhU+fRVMr
7N9d+oac40N/jrZxG9fgM/hU0/syk4+pbh26rBI4xH5k3CyMc8aCKqad1VjY/6+UYWOLC1OR0ldj
1lGCdOjvvuz/+YU4Fdr1QhtBEeUmYNH4ucwsyYYoHuCFrAecn3/1gP9OvESp5K57QOtbVZl+9Hu2
9kYh46q2KDcxkluoP+puyqRc3Mx2f7EGC++YvSua4WkYO7xtGrz0aKQ1WY1ZMcZDoYdsJqW+RgB0
jBOKBZgGFdpjfsB7JGZLicXklXX0VPH3TVlGGWSz0Opegp+Y4erNj5rmz+CjyA2nCBhlJV1uTUcP
qOX+CSpfl3UV9CQmSk/gSOGOQwmds1SFDFeQRgUaZoReSZJxrvTinI/1478PkSAOh/IQSqCgnOci
SgoxqRHqXHHYrMd4PkrtjW7+aw0JtpxXE1wwIbKSGK2pRIEJCK3pN+SnWn26vIrd59vWBvfJAMIt
SZQo8Us7NbFfchDyvLoQ3ByRIrejf9ngXiDe2uPiiFLYWTbKNA174yea+TcmeNdzon+8bGU309ma
4dwQAh9rX6ktuHnwolIxmAzC8ZdxrNZvIS3sJn7yLDD5fpbhzW7xo0r2qlQpRhZAP36yQ9DBnu0r
iAye/2SaAIY0SMQgWjGQDjvymyOmK7M5NoUchzlUCuv0ZyoF0vpkSmG23AvWtJdxb01xd7TUSpCm
Nuc6NNoTK5HNj41bupMGwiMTPOeR/Tt0yLsuslkf+/tmfdFYxBLaJnG4NvcjNGiBBQiAcPcToCEp
vLIxRi8GI6ma5X4634KbyG/B2qkCkmjEgibYviNtfgx3BvMZYOFSIxWKKvkNcSDCFlo33V8Q3mJC
D4Bifm6S4PJX3//oOu4HC0w0CC5v118Pk1q3vRFD8zXINMuRKxHmZf8Lv1pgl+LmCyeLlmZtCw8i
UQdl4m+m6fdAX11exr4Rm0kymXhv8OJsVI87WpXo5cxZClbMyM3iNhwbUaq6H8F0xbCZmreh8Ml/
tnaMD6urAdRIMIB9mA/EbX9CofhXHb6fBDne7ro29rgI1qVVtCZyJwXVSIDcLwCPL1NcaZUI+sRc
691VCjCcJpuajCIiF8PyLq7MbmwR/gkUWWUfgwAVVEHb6fYPNgrsQyZ0U3QG9njrDTFkh8EtPWFB
6ocmuhrSO1P967KJ3W6NvrHBfbQ0GUu9SAgJPP0a+mDe8iElH2VI2dUxxEti3/TKCAMCLgmjszgv
2N2yjXXuS07dpHdql1ShFEOFerhJ0U8YRQqB7J+8365/PiNPKGJKRImJjdqBDi7FOre9JmqDdfnS
Q5WyhfYOLvF6kn3Bh90r5enI6wDAM1Rwp3GXQaPIo6Ka1Z/k5btxaWOKuww0MLM0hYELrtODToI6
wygs0bNf++4bWhBlYbqRUILhNkqHjhxdFmDx1uZghukhmQI2Q72OHmOIXHoIQYiKWNruF3y1ybea
tL6dZcVg+0byIMUozxI3hzmbD7pdn7o6PRsQZ58nckMy0+9S+0mi0EOvuvvOngO7s85pXz6lan+0
8i6B+O7km4p2kpACzwXIUMr2I5kNME9geMGfZkzYKH10rFZNcVA7uyPGmPqaXg7hZcfY3azNqrhL
pE3oMliRTYIyjnwb81qN8eOyhV1/31jgLpHIiKYETOaoxiV6DaXR7Kit9Nwq09WkJoGdZL7SJNBy
ro6X7e4HfIhN2cj0LYhEsNO+ub0iK9NHGdqfoKc6Lijy4tUG+sMqO2mnORRPT++G4Y059veNuXxN
29rAsAV4UdNneyRBzQb2wFEYT7p7eWm7cWpjiovEyRKlZj3hTdEbV+tyPWl+ZN5fNrHDxIDsEYNH
QFdAy/Ad1nqlSjdCejvC9fXIUrr2s/kM0YsQVUhM06SQoK+P7Un8GXfXZuNVz4RMtXdg6yhtSVHZ
qxS01X3ZIfQTX5Z07/Lqdr1+Y4TzSSVXcDkX8ElooztxetOni+D23/c+gozQRJMN8F1ujyJVIqBi
b6VguQcuPhhvoR/duanLmsZUzB2/tyLIfOkaMNA6gOrcOR4tqtZrD1GjRu5uzNkICwSYyx9tb2e2
JriPJi1xhkIg8s0+rpxuPgA+Dmn4j//NCHdPAfgiG20uS4GF1JkaR9XCDJfgvbwXkYBGB3u0ymbe
+NoDXYy5NOQuCgoqeUjHDGPyh/IU9xBlbv3eyJ0uerq8LHUXlbExyhfxiT5oPeb5cAEjqT6OrfKx
mEaIv3XkNEzFQ56Pq5NmA+Z2zahtnJIUWWhChdDps/aDZIyTt2h25qsjTt5EoUrQFeZVnMq9A9H1
T7OVe5q1PCvIKcjYnHQj/9zry1PcLx97S/9olBBzVm0/z+OnpC96Nx6SzpuaERzP9XmdypPdgPcr
M3vPUqanNo7ObTPcS+vQ+rVB/iKT9LmS81tTlryhSye3wLXsRPPwLNfJ4DSt8pOC4dOtevI9o/3k
9q18XFobpL6N1nrtbOfOYEo/pFJ/SAoZcI3yZyk3USCbmGQz6PAQ6/Kd1mKk0rgzMauXO2Wrf1Ck
UXJTzPxiKurziomvRAfIV6aNOxnVMzXtsNFG1L1Hy+2gRQVq88wHEz0ad11xslOwppXxlZQXgVJa
j6s13MeR8ghlz8iRxvZWqlXdHXo7xO30KLUFhpAayKZiftA1evC+RGNgkPRH0mrQ0F7v0D5Ag3yB
7nhlKJAyt203bZXWJdroRs0KSdKmWa9AvJud8NQ4zEgLqDx+MJT5ZJkD6Iis2FNogdnSqjgtpHtU
0AtxmkjGD6jyxwnteuxINnqGVePbppY7AH9IywhdCAPdn1iWKsesyVNeTIpv5BPBKqCw1eeBFA8P
EYTdpbGZvazS/5ri/iuEGJ9to71RU+3OzLOPfTqOZ2qYqzdKBEIdKBUNqt2BBHA6AyaVoRXafE7V
5nEsomtbJSFI/A5g3v9BrbJxJq17XOcycuqsOtgyij4xvWtSw48S7UdPMQo3QdbQkKNA7aOzSVK/
G9rZNWcL9Gj5jzUbT0OWXSk4drNioGmNke5YXtw8NY9aX3XOnOffSZx8IGn1WY/jK4xbgDS5Sb0e
Wh9GDc2jEsTflD5hzvwL+04YtCTgf0oNiiGZGrBQ2y9a5E0FFIX1wXwaNRDZTuP0EEM7Q25I69E2
+kQ6+t1W6HDo+w7DYGsWoNkuHYxlgC9gstgdlznDtGhV+lGD3s7lOLAfpv8JPS9J5iZJIN0qzYrZ
R0GJYok+Y+hmFFTq2AuJT40NBDUVlWPzvbSXMpAUbhXTsAJPp2F+TTB8bWbjTVopjtb+MGORSu9e
NMXDHcy+KEEo76D4ZUkTGql4fkoRhmuVj1LhS9OxKW+t4VzHYaIIca3souGXuLXIZVp0sMjY2hiN
YXX/f9sR2u1obK1xF/nQ5oqmz+hN/kFHY+9ds7XFPX+jpqMg4cErLU3cHmpRpQ+nhlrUs+lobra4
v9Fc3nvWbE2y7d14ZDTaZLJGfEy98OixPoEIxDVjDxxfKH4Ky/6CrePHaCMjI12bIE35e5Qud6OD
FUYv+JU/aqNs1vaytZu12Uq75m2CtXXIwOoS9OfQ7aE+sBWOFOKJuJxsQY60d763FrkcCY1Ka1ol
bOC8aJ7eQt9jCi5HkN3e0NYElyENdRtV04wOW3Ilu6qbYioFkDHtGsQgToJ4GojWtJf3mSrmkSEC
Cqyuzq0pk6MlXSUVd7UxH3M9Rl1Xum4t9Y8WtrHDLQzUIdkKnh9whQBTER8YJphNESU3oCUHJaMI
c7CboW/XxfZy4x1Ru85mn6N9iBbUaVFuq4DhC9Vg1O/7UIz32Q8km/Wx77yxlyVdoc4WvqOK+Y8T
ObPZXFQsfhFPiTaNxcB3MXJjjIuRUpVZUWWN2LQ+UKYPA6VOUoJRQxSMRXa46FivVlkhucT0R5y3
bj40R92gbmuCOLDVRCVV9s/eLQrk59ClQJfy3VTLYJjQHWuMKKCT5enKbW1ZXtPej5UErhHBPboL
jwJTyN/G+HpPUWhpDELv9AWgXp8iyH/RG/0gdozdmGGiB8oeV7g/uU+YLO3cDQo7X3r0sKQ5aFVE
kiq7Rxh9VkWF7DZUr7nX4WJA8VAGnRzokJJbmeSnCepTrWw4fxKbNna4UIHH1myXbExCD9sjA9gk
3vSZfTfVSb0ijL9dtrfrfBtzXMQgaiRZVj9IAQXixi5u4vq8qN8JasWX7ez63cYOFylmlYAYq8Bb
Xquu12r1lhwzJqD8BVOOVypCtrO9KxkVWsAMTDSo3/FbyIspt7a8sA7hW1zDb1zIexnHxhZ/IatD
uSiGVkB9Ht3ICbDLEhdy4SjofY6huCe5G3S39jhPlPNB12IT9tjajCuI6DoMzfN7ANa9fbMwlMQk
Fk313YwJntDSMrV2HC6a7M3l5yXRHAzGu4N0X4ga1nsrUyAPDmED3JKYVeScUS1nFU8hgoz3D1gC
9vqNb6xxLtl3emT1s4V9g8ZKsHqQOJhBZVi68z2TDkmW3wAi7gSqNza5Cwzj4jFQFVhhrGLKb3LS
unQvH7SdOPXGAndrdTQbV2xjGnZtEC+fLb10IpJ6l428NL65a0TRYQeNQODtUeJ8exFLEu4NjZIa
b5P8KtZTl+gANkvAbzaRX4D0MoJiw6AiRWzSU2lnLqImyjKDn8wYMh4TOGv3qUi/00696abay4nh
pSr16fRXP49ep6uHxlq9cqAhRlqvytTTy+6KJDrknJurJgcDnKCitfPoe7MiLu5GtpzHq0GBPS90
V2pmh57lW/QlMKR8hYUKlEL2UlBwLciYWQBjDG4T7sZSWxBoxqP8Cx/atUhAxwNh8+4SOmdu5g+H
wRJ4xu7x2trknkbZgMlgDMBRAJSUF5R0dNceOqRrZSDdiSTz9jwdrowRCdUAIw7fOmhMPRpJZoA5
jpQBNWVczYJm6s7VhU/4aoHz9HQ1l5iUJAlVo0Y96QhBc7mWnVEoVLMT4JnYCkNo6ghLfHc4M/qu
lheVfbc1iELFAzLjer1n6GEod587AVxzxxMBHlMxeaEZBOKpnGvYcqJV42oC7iTfSsvi1Khe5Ug0
MvVe0s4GEalBaTsf0jBR8wbnBzqb71qBNRiw1CrT6cvUuAJZgXh2wZlknTHf4swPpHON5WrOXAkz
H27/M28cDeCyx8yzNUxfr8DTSbpDpMOq3Rgg2TigJ4UOc+ql2kGaXLMTpBJ7fRUDRCjoqQDxgPVy
waeMWrUhdE5efu/4vcgxU6a6yJ890DWox9mVQnN0F4CFL0e93e8Ei5BKt1RFfmE52Lw+7Nnu5UbC
d5rSwtXsFoMw9JNOMYIuTX9Q5TLMjS3Ouct4RXVYJjRU8udRb13axIIYvjdsCBw3QP6mrQHDx6M5
rGmCt4NUF58xCsfv410AERVPuWH9X7nHWAEwiwKMz+4X3JjkIpAkjTLgNlMdErX40MXmFenTK5JF
nm2IyFn3oh3KjkxN1YTuAZRV315RRDU7UBaucTjR1lvH6jqef8x0AqLbUg5dLh1Uu3XtmN4nGSn9
WGmOay+iFN4Jgm9+A7eLWT8n2aSmSRjLhyVLH0fVeLjskyILXLAgpdRRq1gBG6tQMgYdpFNW+ff/
ZoPbNa3TSk2puiaUtBqeQRyVikDPe46x3SyuhNYPeZ33I2BSSfIAYuIgysYArVVHST78p7XwT9K8
wlhL1eF79TrqZvMT2FhE16xgLfysKxN4bKyoaXCuVsBxqwAV8RhShcDxNccyqK7RJ2DzXyL1pb1p
qK23GVwKY1WRrtKVHejOPkYIGlqfu9pQ+lnReEudu7nZ+Bjf+Nb2I/VzOqDYXOr36WL4izp91aXh
G/pCj2CNCdHiaJ0C2vROMUaKIIALfJaflu0TowN5L05FunQHkzaOaYqmYkWnn5+KNXut1qYYm8CY
5hnvSpZgByBIEIJXIRFLnrJvyyXEb749F20iqayKcYK97GhAZatInMgbPv8S6FMj1/Auu/FOlv/G
HBdYlqUakyID7zPVGtfKoHafoNcbCz/jXuoDYjodk7UvuHb2982Vl6cShW70UodRUUH8mHh5+WCC
3p7E8ycAv4HgWfq7Qk5v8ko9kDF9tKZMdvIOwjOXF7zvM4wez0Re9O7B0c1SUlXJUIc1/WF0iSsP
veDc/o/j82qCOz5R3yl2T3vmMgy93x5LP7mFcuw9m3rVQsUlp+qLHmT+dIieRYd3P2i8Guc+dAYi
h6zHSDE+dOEqJfkcK5Evx+1hqhvBQvcQgnCeV1vsW282tapWmy7t1IRdOV6nU1EHdYym9Wjd1EsO
bd7yLu3iK1uBeMik+8TMHuV1fQB56t3aRT70IXO/zbtnUmDQgdKHWJ5FEl6i3eZO01SoRtU3eJoX
1lewMLflHwx8GUh3NSjtoOOGyuHbT1DQZVZQ9mpQZZuvmMb2emIaWiLqjJ1jClokC8hcoGXB78/t
alVXkgQmRjyCijjI++6vSteu5DUJ//XheGOG21AJconNquZITKfCGW3bq1Ul+G8muB1Zy3FOa9VO
QgP9csx9AJ3wfNnC3kjxm1VwMc1UUE0FhQ8N05/5TX/Ub+R7/YTLKzAeomAJ4pPkGhbAPyPo7sAa
cUi/Xf4Bu5sFsifbApcVGP04n5DMSmlAYQniBLN+plb9SZubBtoB2dfLdnbed3je/WOHrxdCjWSq
+8SswlgpZbeRkA6oelx6ZkIw95iSLxjIujKMSCjXxRbA3VHAQ+oEoDA8Y8GP+9bpE7vSaCRX7J03
egq0nkagqWa3xXWF+7F31Kf8aDvjTRvK2iGGiK4e9p8vr33vG6vsWQHgKQaX+EK90RhTXE1yGsp5
dNWo3ceFHkDh6122shM+QMb4aoVLWKs5yc2imNNwWb7IYFJnKkSXLeyEa7wrbBAFYAQRY5vccTAK
aCxZTVGHVULdklD0e2t/HYlL0j9oPLwxxR0LoqxkmkywcI+z5NkypoXoHc1K//KC9qqhb8xwDwm5
VxEpV5MVOdBbc4HruO+uI2/EgUvOrQvW7D84bttPyG0SGbIpHuI1DYc6Rb50q7ajU/Y/Bctilzbv
88AOMo46SweWkPP5WjfAbZX2aSjR6/a4HpkMPS476ISSkMnXygJOvD0HhxUG8Mfo4Q6FBVjJDJBZ
hs3cX0mpSaAyED3EdRdcXtieHUQRgAURrTCFxzlgMsh9mpmoy89LdGzS0FZzr9dE/Pl7abS5NcM5
Hy7eNc4V1KKY4mRZIhzPh9RtwR8TFgti8J98PlMhoKQEn9V7ytGyqc1KZXlt0l9H9ZNCgCASVHH+
x5pebTCX2aQ/o26UdZ7QJqTLD4Dq/DY1oC+hBdGce/lyR6fIibQndSogNTI4VAGG6vLesY/G++R2
kZxP5lrVrP2EMRpDjx6TXL2r6o910j3YUMi4bGkPMon9e10rlxk0WVTJ1K7RRQRF2FiBcxNKJajS
h8XHFBSn0Kk6WN9bb1k9TRDp9y6brWXOQSHsuUxdB8syGHmYWDmT5lUPopmCvVC/NcM56NT3UpdY
MENl4o6AEq7mLHIYkQ0uNMYNRtMyEzZ0w5Fdpjw5f6s+ziflxHp8oN/ALIIgjAidlIuOeoVFJWrF
HiO/2FlBrIJiLN6v+iGKxe9X5nOXfJJt55tDAURvFKN2wPgq0I+ogh6DxOhH6IGEoWn0IzTRONl+
CPvHN/k8CIrXnbIYmIdtJd2N1E9ji6LxSAWH7eXfXFgZj2BKEqQaS4bdW1zLGY/NdQu0lObTUFS3
35HU1LeH7WVPN99QyrqhGVRYYt+w8rLA9qa75tr8bB5H8OMZ+IzkGKE35gpXKfqWXEgxh0RtqxTA
coV0TgRY7URMN0rGh8vxRGSGCyemBv1hNUP9Nms0d0oP0F1x5kUQOXZTkc2Zfilcb76j2mltTnDx
hMrtHCSlGx8Y+V4KFg5X/rRAWvk3muqCM/7Sc9jYXLI8ym22d8BCv+TG0dH0GI8RWiHojxXX5Ony
p2RB45JbckGFzKW91MCBh8qCNy7QkWAame9iVTtXdSM57VqElw3uBmQMMdsaaprKuy5WqesZNG1R
oWLk4dphPGjh7zx593fv1Q5/rKmqg/SqRaXGuB094Fm7+/QL1MMOppM+zSiBVo51Vx8ur23/kG+M
ci2hKIXoRzvgTsdcwLECFVv/wtqd3f/RfbMxxCUP6VB3VavDkL5CRfqnrbWCK3v3iG0McCd5Stqo
kCx8vhUQezWVmXidVgn6MPt5wcYKd5AlLWknOmEZjDwF/K8B/ZYkYJJ36dkINbfFVKXb1B5FrBL1
gAR+yJ/uFHCjZbRQ6rc6BdJmuquXlptk95IZyiUJpv6aNn+SLG9WyyUJCTHsHopvSUi64YRZvSdM
Khyq0vIve+FuXrcxwx3pzFSmJQfxE0b4Ebca2ekgdmMXCJHkw2VLu8FjY4nLDgxrQGI+4baO42s8
bhxtvVPa+Kx2q9ca1LtsbA+rYOKN8XfkeKknbmIjFMXzgfQvtXTG7lB480frpvVtJ3are+KVHwX2
dmPxq72XQu3GXpOZq6qyWroeVk/tHZLH+ap3BkbWhanUpHGQcKWK4NwJNo9vKqdGMSjGgsZQpgH8
Zq3zHRSyHYg+3KvLJKgAiRbIBZFo0eaEjhhfGC3trOrSdVnkx8sfUeAhKhdGYkUpez1F4b4dm3PV
PZXahIGo3rH62F+WRJBkiRbE/r7ZMWlZ02kq2yZcMU40AFNNRXxxgrDI997lMR1UXGBJWJlfZXNx
1ORKKUQMmy//5d2lvPE8LlAURh41FnpgqJCxrpHizGmQu0q4gFO0vJapAyoOpPytGz92pcNaSzJw
DvXHqXdE6GPRJ+WCiUbbSe6XJAmh1H5OVxoWbSR6ZMgiI1wcga5cbWarihTcBHKmNclPOsSHhKqO
acQHQx5OESabqEWLY6eNEDGPDtFs3tZl8qHryL3dSZ/aolQckEhdt30X6Fp6ojr4teN28Yyc3pXg
FdaH6k5bibvk/X0TS4mTTDR2zITpenYGRDalzrUS+3kkth8nsW8oSbjW0B8s09GDmsGdsapQadPc
mpa385LfQZvzpkKG6OCKzK46U/+QxdpXEE9dGZn6Y13iD1DIPBG9OEad8de8DPdlnj+Yhf5Bw3iZ
Y9FodFqteaiz4mNC+2OkWh4Aoy5O4Q+rG9FLUwLkZ4lL8EY3m6T2yGROzlSlta8OKlBacf4ZoCPZ
mW3rjqKB2cZqYEX0nCnDeW6lW1L2t7K5BmbeHfSo+BqXSeK1ZvMhnpTeaVBTAYeK9aWcJ+Mox+UV
WaKfNkQynWIFUXHWFGEyUq+oeyhgQfbPqdcqmLt2dUcCsj2QltwuUrJ6MaWy4CSLzhm7vTcnWUZB
Ls1LxI1+7b40S+VqZemDq1WQgAjCEz/KieqPCrwdImDTQa9VdauhwqAhWF5iSC0no2BR+ymHCbkr
3cYcOw8FsUt9VJoiikM8BD+k00mRw8H01ezzZAVm1pwxBno5+u6fq1eDXByJu4JIMdEA80ziwCpU
SAJp3mUT+/fVqwkuPqwjphcTnNKQUIT2sdUfi6E9VLJ5m7TWn0XfV2NcnChHre+mEmXAuu8bd7Fm
sKrqdqitqyrYqn3/e7XE+Z8mTTbFQAlQO/OhW2O3k+6XToQgExjhQSBy06BRVkswUqXuqGkOGa/G
ifiXd2hvWoWpnbHxdaCQ3s1a6KNW0RZYbbwptWA9rgcUnmdU3dpTcjIrgT/sutyrMX5N6Vgr6Wxi
i9Cxd/Xkph/+EixH3XmxstY7DhEq6oTvmcZpomi9gsS9i2efKKpDtMofTTB5phjehQ5u5cjUgNzs
wc6Sg5oGl+3vbdrGPL/Aqot6KOKi4t1PN135kFf3aydAlO4hC4Fo/meJPHQHA5oKpFxX9iyCd6NM
ahCvkh0JDUgGsM89WXZK6BRjzFyQfopWxz7+Ju5aUQudOQvXfd70jq6drZS9/j7/t0/IJYWRPCnL
vC5NWEVKSJbrrLCcyhJNs2oCR+GxN11UT6Npw4wKGkTNWw/VN+pbDzpYvDJvPMcnQER69tRkvNu1
l92nt9kP2x/OFnXkkF5Rdzi0QfNNBJrZLaput5dtwuYjd2WqzRrzYMYCnKYvDHzWs43B0KoAC7CS
CSKAaFO5awA6Kmo3qAB1oIEXliNG0cvcOit68v3yvu7db9t1cXdBpffFhFc1zv7ymFZ3TZSBwAei
2TOo2gz5MFbkkPS2IFLv1hC2VrlLQe0a0MPNqN++lDuHA2Ngta86D7qgmid9KBwSNkDLEM8QjR/s
QVffnFPulmgA7cxKRUfeCg0vPAi+qCe5cxQnwTxg51XRowaWZWGRdTegb1ZscizSNsifOmXGI4St
uDm9BHTdmf32tByaRRDQRd7K85FYq7ZCXxzHiL0zVLdz1kOEupYVqh6K14fLLvQ/1oYRH3TddONd
o1Qjg0XtFQGISYfNEDWIjsttc7TP00Ekc7J/LCBkAGps9M/54ZFuMiXoWcNxLPRgG9OpNX8whfzA
u4cCjIoImwYUjvnrqgTsNoK+ERKkQvH0nIQSyc/2SN1i+QgCsU9ZiT7YULpk6t0JOXYSJ4EGxpRi
VF0cJ+Lq0tUojU4+zWFjxILbbO+6tl5/HX+b2enYKVmMFETKUODGaClIHQQ7yqI5/5jdmuBqogUp
JH1YdPT+rtaAqWIYD+M3+XN+XH31kAOeKAgIoiVxV5g0JKtuZlgSyTu3VFYvNf79jA4awxq8Bn3v
9xznlp5GmJtBHr/2h7moPG280SXQ9FWf0kLHk1U0pLP3Stna4yIcKC4UpVGwIibzUau3ihP7DB8/
swjXfZ5ddIrRDgyIZxNBPrD7MTdL5SJcV40tMgFcHZpMH2lnXkuqJVre7j0NBBzGDECtSwiXDqRZ
2ZdLlbTojA1++1T6ZUj97ipy6Cn2REwC7Fu988aNMbbgzd3bG+oixahuh2oNdEkyPsnJbDsp0b/M
lvmAeV2goFJF8A7b20CiKBhB0hm6nI80ZRpXit4bQI1qp6KFzGysYwT/g5bn/rgKwRLsOueXuLXG
HQBoZE2WlhpIr67YfNVwDRR2kIatH3+H9g/m7xN0tER8EHuOsjXKbWJfNqulgnUnXOXcyaz8kEiV
oAG+bwKjahborcGEy6UX/VBWzTBn8MV6ctaodHvRe3n3rsM8+j8muJNWzl2paXhhhID+hz2iYWh7
AMD9alGV9UH01fZUkyCA/WqQO194ra1RlMJg3dlnILxiEB+h7gtG2MFvlNJX0jV1qmL+RKbhYCXl
nawv/pA0uA9I/wi0pZN2EKvVrNGxUsDLlKVBTUuqnmcbRUFMmdQEcihNJXtpbFzXwBA4xGy/yO3S
+xY4Ghgp0Y/LAX/vwtssiS+bG+1aTyRvMA+HyXHGxNAFEkRNhz/IFCxQRoImFfIW5B121koq2RpI
jRwEmKC/MwXj9DuZwl7rAQcX9LwYUGKi0ZzrgS9tAfiCQnQYGTu1rhknsvU8eKCVhnoEglRDBYF3
Jzl5Y5HzRNLNQ690sKjKy1M5gWUi6h/A0ONf3qydM/XGDOd/CFcYPbYKGkKy52qI7WPfdAITeynd
1gafrtJhjc3MBN7z10ahmn1ebn9vo3Z8D6ZAfA/MG3iM+PJ8p6MhpVj/t09MmGo+QZYqFIpSsWjG
hdg3drgX1TBpaRdBJg+tocU3RkBxXmAqrZ8cAFNhVIqZIXCI//EZX9fG+SAy1Hla+xebWlAe1oOu
vZRxovNvZP377vdqjHO/0ko0I2LG7BpCoNd09jOhHAhL/C59RM73xppY0wwasJfX03xUnOgInMqf
pvrb/eLrvINuxFnKzq89Dx9ji1ytkTo78TILLvo91MEbQ1yyO1BDm7sJhn7hpRRnyu/Gw3Q3Q36v
B6sKlPeyWZRACbzxpRCyyWlmWY+rZYRR1kUHiOnX/CQo1rxWdim0GkW987178s0y2S/aWIxMfUAN
DLE3i67hjOBjOkl+5xnF4wsuJhCVpZi7XXAVjcvaIJqkKCwAh1amfK7XDAWw+QcUt07WOjxN4/KU
zYMobO2HRgjr2QDhm5i6frtGraksjG126HgdmRy8tKJqlLt0gZYGyN6cOZTPei6QUhXZ5NaZmjRP
lIgdiWrwCr3yevvPPPR1Wezkb7auiCy7LdnF8us5n7hRfEwC4qr9CcSG0LgvXKGHipbFhUtwALaj
UjU0XI2rYdA8VapFu7UfTF6XxUXHfkirSq2xW//+ktmPja+muNhYT0tca2NLwyXvjlpiHGJ5ekoV
63D5at6/y17NcOFRSeTMjijMvIg7hr+AUupB2ODdUbHAWf7bDiiF3jqEKuXdSAFaCjV1BgEx+Cij
4q9OV/yRKC5a6j9yy360bPNrT9PnjmiPUZVmDo1iV6u0Gytrbvs2u20sgLHRo5M1+jVSymOUAHc4
qcFkgeoyaeKDshZPRdb97GcZ4EPtqFNIMJfZ1zRW3UXrP7Wtdjdl0Y9lQh2/BRI4100vw3xXrPXH
cdQEX/eyS2Km4O2qE0mv1TXD11XXYyKrgA8Kq4PM5d4HrdcPy73DmmZuiqaBCTbIV6V+NEOFdPXW
J+UguVCI+n+kXddy3LgS/SJWkQSYXhkmahQtWdYLyxHMOYD8+nsor60xzB14fav0Ztc0ATS6Gx3O
offzwqdrecpe1r/+L8HCm2zBeOnGrLGieXUJ4PA4S6PJeU9lOynYLAJRwKlc4vAidUP2tMy2X74J
0tUINktN9FhRl8v9PSn4PYKsAVo97mTgCv/i2t52TrBVplGMoRrDVi3JVTzF0sDeT18o6LxKoMrK
6ajWnfebPMFwzUlK1DTDSS1Pi3o+lK9Pi6UYAPCIZeCll8X8l+2XqQr2S82zWdUy7CYHU0YeX/EM
hVtAvkkObXVhC/cgSE4B5iHmjeemo/W02C8KwOBA9yxnSc1vRtCcTr4C3HgpsP/q2WkqwciGqhp4
AAgmM7Eqa1IwPLvNlYcYj1tgE2/C8qnVj3b8koVXUWNvJnTyFvpzkd9L1rtsm3jdz4Q7gh01qy4s
AcALi6LHRxAcPQ9W9Ej0/pgM9j5mhD9PGbhdOnsMlHJIXYLWqM1E49sJ5JYEQJoad64IaBMbrb9i
ZitJWq5eovPvEywe0Vonj2wN5wESdQ/QyA+lAe4DRjUMD6iYesIL80iZwt1oLrmr8NgH4ubz5V1a
yU2h6ffnCTmCTbSUSSsVk1boSEBmynw/qccR/dQO8uGXBa1NF/8iaVHPszinqXnh0GRCkcRJvDgr
vxqTejLiaFNG+X0blR5AFZFiSa8T5vg9t4IRlXeFoS8Y9+FbbpQeQK3v7B59lKVRfVEjTWbV1i7I
+V4IhnOkcz6WHNr6WsZRQRf7A/YEN3/J08ls29rFPxcomFGWsyKpXi++ctDHD7bxre83l7d9bXr9
l20XzGdqxTYHpDHwsraGu/T0GkdHdfvUrR+XqtG4sd3kaIIH7xkB9HvmT45sW2UqJhhUKHY/6QMM
uJ587XMwnc+6V5abKPSzea+XL1rzMo7MMyNcvoPJPkzGY99f2eg0vrwVq0mj8+0W7Kyd0jhVlgcE
3Y61pwc1komLOXQX48630cFSthKRayHHuUjBADaTpuRZ908UPHyZtU2FyqS1GapdsgG9FOb4/QYJ
bl/Zy5TrX+yLRSzDQULut5naWos7mxlQ5x9OOtzP19/TPDJZq0esIY+uof5iUTHNE7IoyRNmV9vS
PloAXk2Q/oxwpZNe8h5bX9SZJEGdK2sAhWgMo16Z5MAmZHmaMDAL9UD0+TQ0jsvQzKooaM60jI0O
qPTLBypbqKDLeu/kmcoBvzTketCY3yoGxVVess7eXBa02JrfnNfZOgVdRTjAhw5VyW3fJW7TXqNT
wP3/JAiqWVep3tHRLNFImvkgtHfVVqL9ks0Skzypw9uBRgbWoB4Ag/CB5uG3VOm9KGIyX79qut+2
SwR/n5ha6zzji+nWNv9kXKbbfxCrloyLTOPXjcmZRMFxFqxS1UbDXHSf88Lvmzl3DWsCql34DBiE
p7xUPxYje2fm2TWhPXDR7Cz3zIo4bo3s7uWjlN0KkY9wqkGAwG0sf3nZfM/cTTcLkde4a/8muaWd
LVzwkoWT8GxoXmVZbmy+NvLo+y6ITOCagzjMk80ZrNrQM4GCl5zB8lkkKgR23HEBw5KYHHuIYblh
Zwyf/s+dFOxLwgCOPFXTeQ50uin382ncObvLspYrfOGKizhrWkPCqdJhyqLe9lj+UZ3R3LgZ2q/g
yXVjIrMoq8HG2TYKFoXMth1rIyyKbV4T40jANCQtjK8lfc51Q7ApWmyZaPlfjuqXZpE/ehdKZFEx
vC/GmXKO7fuRYHpzb7LGlHVjTHVqAR3OADvUr6GrooapHjpLkAw4DpuEB/AxyNKA6xbsTYZwrThv
HKC1QPH+Nme8rg9vAoVrpaYkyhrM1W6r8l1k34Ma0u1lvSYyGcJtygslIdzBGTGn94fwsc8BgPA3
sP2WtkB+/nM8glMeFPA5DwUSZksGtZoXhuXtYpFqtLf8kUWS6YNwlSoUgTtkUHFWXebS2UCP0NfL
tmGtk+2XNQk3yRy6fFQS3CR0bd/Fc+bHFcjZ08yrw/ZATMvnhrGL8WJCmLB3ivSgOVHqVhhCMDUL
+ZhQRrO01tZ39kW2mJZEIKkpfFk0YAGC7ov6ku0V19ksuTMAJXwPogEPKQ9k1+3kj+O1xcwgZ+DQ
aCa72obtHPmV6SSbVq0Lb6ys3ZhoO8saMfqlZ5Lnwmr0gsZezQHwD7BqhROwjKiouyVd0vexzwjI
bhXT7UnAkDOQHPbq3QfeL6r0uraYmF/tS4/ZzjzJcfeXIpUGULocSS7UEpXt+CX1+10rg6lZdakE
V8ayABQCjM9fBXKbqTpqtghj+ZFnJ9p9jgo0OWT3cSxrnV4102eiBLsGgrlZrcAr9TehyRJz/eZR
z2QJ+zgTouiM4tIso8z1ge8UeugCUMkfAJGP5j1JKLSqmGfiBOtGAI7oMBVLy8vrODlgnEmhtVcY
W8cBoWoixWmSbaVg59q+KEm2qMnS3fojyvuz2GTVwp0tTbBwZhaP6BjBdBlthr2agfMuUyTdQ+vJ
wTMZwgWL1QyomzqWs4xB8C8FEHimL+hM3mTBH+R1V13RmzQxXKgdMqVVF9XbnjixG2XF01xrve9Q
WbuXTNByimd5LgfOyGA2tm5Gu2Ov70dgHmvxs8RkSG6wyBwD0vqyGAx41iXSGl6tse7RYLHGgAv/
bo3BaiS3xusPn7ONFGzHrAG+PepxyZZjo47XeiwYqU/9IdD9qUYJ4K+KJ9qZSMGGWKFFVZ68xkZL
8eRHueFPOotWrf6ZKMGElLTrJmd5SRH7U5K81zMcXpu4di+bNZLcMCoYjxScF5E1LmuyMStaPzud
rNNZJkEwF52uxa1CSLWtTRa7Sk1cRa0eJXq46rrO9kswFDneZfoQLZ7kuzYsrQ7Rp4UnIQHp1R+0
Osiul2A10NVNw6jEvkVKfmTzgNc+BsKrVGLb10Z+QKbx00WKjdjl9OOCLcCtTbLhuzJxuRFQLw4W
Iq+42S8AIKAHkIPuSAy9OG7kJGXsODkqA2/P+fm63ofHbCvLY0j0XcQGNs2Ih0mGp003J4FafSQo
f46l7WqoAl9WFYk6iui+w2yUPLKhKQnVvCJ8X3bvLgtYXwq10R1tOitMPGWv6mPDahQJuWu0d5VZ
HKqEuxqv9pclrcGKQDneRInJH4XY7WhACWkT3XFiXs1Vu+nVyQest69MynZhc4w6POUiRRa7yZYp
2F/S86zqCgtRh2UvNK699bGKnxvZzV6/Z29LXI7zzI11aVPaA0NwUzfGMecZom/McoPj9PJWrmvF
mxjB3nZ6M9KhxU7GrAsS8ziZqX9Zgmy/ln8/W0hBoz4P58Vg9PZV4miRm0SdVzPtqKtEZnPXX0ln
miEY3QlwGJ3KYHQxxe4j4f9FPyjuT7/MvaXU8EevpPUcIAA0QU4JqmJwyv26zl51aJulr5IBybdr
PfCk3v1Z955MliXkXtQeOJpJhrucgiY0LMO9YymneQQXxawfTdDDwKM1tl9o6s6yi91kzLJbIP0E
IczKYzScJz2O9S0YXpoV51O2laV//iVS/bm1lnDdzdHJciNHInt5+maJ2wO2rvUnkOltGm/coZ5+
WWVXuxa1t7MU8YHjjHVdb4dIY4CsB0jxC8oVyD6pW8ao1TeuVrvyvpH1Cu2ZVOHK83g0snkMv+su
hjE8gO1+BZuHX/sGYK5Rp9p1nhaAlOZR1ne/bgbedlgwA2ZFJwQpsDZt7gCfbIHGCS7vqUyCYAYs
BVOPpIej65vrOjwp493l35cqpHDzE2UO4zp9VZIxiI+g38L9c7Z/kjmWrUUIujIw9TlduRxUmQER
7LGPNpcXs/66eDsOwZY4o2Yrc+PgfquG15AXStGcG39IkyuuyVD//+VB8VOYLRiToWPQ9TldwFXG
oGzdCLBT+YnfL0HkGLnTp1CiCsv2/JYmwMgKAdT3wqYjnBQDzVQfGlC2RIPXZnvSf+R6tiBqePX0
XgOK6eXdXFeNM4HCeYVKZE529I9p/tH89WcN97psccLR5RZT8QRFtozawykz+JIg3IZD52Xgz6q5
5Q95vJ81Z5vXxqHqQ8+OlUNK9H2VKseCdWj/oBtSDkeSzq4dokGOjF4f91dtqbtqWQQWyoUZq7wS
bRrK4Lh5ZMpi79X4922/xLe6nWt6Uy8HtNjb74mOJf79k6u0GJYLukAFN6Ko8UyrEWZB4cRLWyAp
z18KKV/C6n06W5DgQCorxitvyQnwaDuVsT9HYCjVXzCwsLNldZ7VeOdMlhAfMhsj3iB1WuId5vHY
drOKBBNC+p68XNZr2d4tZuossqrDMJusyMSq7I8l30/ZR9q+//9ELJ9wLiJuOBsYgl1uPjVoUXNu
ddBMXZaxHrNRA3lxjH6hfCUIyeiPUHcpvSSFF+3Dbb9FZtQdvHzaLHxeCeCcWLOV9fr+i2V4Ey14
JSOJbJOli99DuPjDMixBm9y9Lxf/N003MPBMTGKjCVDUdJ6EJevhNEq9dzFM4sb5bTZ+GWxUydlT
BGzQyZK4kVVbdCZSUPvWJqM+TXjHGhM6GieMurWxW6LGiekVLy247CCX37u0REH103FgRCWL7dt2
e6sDE1nkczT1zkFc7+ONLWuuWvXDZ+sTLkCUjcwcOdY3zO+d/rEp7yWauXzwpQUJmpmzCNiVGegU
vxcGai+l7gI9OmIwgL7PtrKS9LovPluRoI8aoDDw+oc+0i3b1a+9r3P0rgvmwH4dq6u0B8kSV239
mUTBGZdWn/F5SbgNmPBcsBMw0PEDDEdpJZ74e6n20o4KrhjgCaCFdbCjUxm9U42CeoZRf8iZau5S
TXlXA4EgaEh2GDDc6o408Qy79cei8fJaL4BIYGPAMy/5/dQbzx0NAfI2d9OeN9nnLm/QSIvG/k1V
TLXvKJXqKRr52MZl7xUFDVrAGtR5FblGox8APl9nXkxndgJXIZjoC6rtmZpHOweIs8chjkvQMIfB
pDZHRQFnU8nR7qDk11pdXaVRu9HS5N1oZo9hm91FcVU8RA7lDSY5mtFNQ6dyU2WiKOnSUPUtp+w3
HagCCwDwbSdDHa7qcdLv+1SZvXzuQUWVtGSrhrUBWkEdjVvUxk9Rsu8MRXdJpCBj7jjf6q4OopCj
dRhYLsjhWHbQ5AglFL0+xTzcpMr4ITGrXa6Nn+pCO6pNcsg1Tt1emb5MGDjwwOkWmFF6Zc8DcccR
s3pjt68y7Uqx2uvG1J9KuEo30/rGZZ2CdrLyU29OJ2tgT4SRu4pMyHbX/KCrxY1dG89WY6LgYrIg
Y/wR86KPbWU8gjTnBNKQu1TLFL+O0gdHU3xzGndmXRUbXbE1dwD5ihtX1XumZO8RgAZDgq7UxMqf
01R9AlrWS2yGthsp5rydi+mmmKLPpJ6mjTMM76gy5W4MoqG40g6UxY1bcAyQF0od8Eh/0E12UEl6
zbmDoqGO/i2WNY9m06r7LHHeU9LstEkFEG3T3CjEcQ5m5/hmNmg+WjU/mRPfEfS7Y8gY0HcjWvhj
Nlxp5nyYK2Uz1v01j1G3oIN1nw7G196OF+UqvNaZnjugTZ2qFiqWFlns9VN0FesIorXQ3DQlkOzS
xMRnavuycoZjNtnWNinQ5m7aV0OZn2jtXBdtFbtGTxpX7ZpnWzHe53M1+mOvHPth/FIOaA6eY/05
SthVzwmgN2cjUAid0AZHTlo4X0VduAPcWo+23eigWPO7ZC4cQDIk21Kbn/vOPMS8fwiHFpRNUYA2
3scJQ2PuVAPBLm6aOydBq9vsVIcmrq/T3ILWslF3maGGbj2EjQ8M4Q2N9JPesXfRMNR+nqi3o1lk
XsOB0ZFmYxgkYX5IhnpCO32FnbaKTVLmfpNx8FfkxR248UxX7cfSxXggWqsVsgP/iF/lBuLjsb1m
2vQx0qqnzuhu+sgxfavMD9lUo9NwiHZcU/srK0dTMlOsXVMYt4lOPyQ8zdFXaySItClqZnRvxsPB
AbJBb+joek/ueG+0R5ZUs8fn/NgmSXPUTZ64NbEHtwTusz9r76Ju2jSV7esJu2tYc2oztgcMiQ8C
LRfQbt5M42vCezfs43czELFdtRzB1dKRK30qv+VKeMQUkD9WGXQv6z1Qk+Mazle1mV61tLmLOXlB
09FujICEGLa7uk02Vv3Zwe5EarmL7OyOaVHidioPUptcEaAchknyjldkrxSFS4EfRKo7alxlTeIW
9ofQGdxef+iih6yDqWBPDXgSyjI+xn3hFU7h9eN7nU0+/msLFql5YG4UPo/ZR4I7btMEPBineQYn
HdDwOv1GyR8xUuha6JgzksytWoDMA5EhBqDhoILSDOA9kx26U5u5gGnc6aAY4yZoGmsDil96nX1q
CPtmsP7YM0z4mECrnO/1CD302uRSs3/WwQ3rQntvizh6UDHI6NpdUiNxFR04jR+qyXBzaJZnRMZN
XdmpWxrjFqXXgDUlzgd2NA8DpuCW6Jgz1vPiVrPCQJnjDWPkYbKMQ1fam1LJfb28cgrjgADZt4cb
u7hNoy8W6Y5a/m7Qq5MaK3dR3nt5UwHmZqcPgxejTmO1k8tgMgfUT6DKe0I6bFESREDGmvWbUecA
e9x2AyyQx5ub2ixuGyfe8vreYthB+1QMwP2N75KiDGjY78LcujMHw03Td2Zf+6GVeXA9aKBLApsg
iTWPy6ZGbgN3ZObmblJSnwNjnSnqYSZqC+Ya47kdnc2UqxsK4MeuVU1PU8sAtMmHEi9I18yaO5Or
T+DMPqiZ/uCYwMPECKc/m1bpmWazM5L4uorJB6QU3ndlPnkcB+uSqTmGU/cc6vYX2qSx30bxI7J6
m9GO3VS9s+aP8F5XZt594LrxXNrjDn2ArtUQf0rUq7KzTsNcY4jkW2eorhPNHiy+W0X5Zpo7UHYw
L8YPAfF8m1rjVUGTOydubtLuxFTMx41A3KqPVWHc9w5YpHh0lzfkQBARdM5TngCTy443sZb7RXTX
JeYuAt90Fj9nEdmmoxkMwz3T6A5Dt/uhbYLl59LsBq7sgHzz0cJp2clLBxzGEmSJCghD8gSwZmbk
W3Wy50MY6GVyqA10NHafqTm7vP2mJvcGs7yeM4APKZu8s3zgYXsJRoE0wI8qje6PDS5WnNyGlnmd
Ox/NNH+ctfI90/A4j7QCdLu9onhDZvvMzL02/5wkFL5FCXTwawMBM1BAhDtq0SYedEQz2tHOzA3T
lcDMAW7cj36rdAeCRpeoA/o3UNrrHuqoRMFMgKM1PGvpvG2yqyQtfD3O7lSDeVUzeREH9K1CAprk
+8ipN2n71PIKYKqpy8cMHJOWW1PHbXWOMUPizePJzBFpWCFAV++HGtoJnaIdd3mEt0meuXb6oHMH
VC/6rcWJ3+uGm+H+EYt4ynwkSGfU/VPYPrORuf1s+wqgn5mu+VH8ZTSSA8mBhJq8qGnvdiMJiNEE
molhhzDdcwpkueShDsFjBG8woOWyKnTfmSfX4i+FWgA0e3Dn3HHL8YHksRdPoZdX0HIdYXAa3zRR
5Waj7jMQaPawsBmYG7qs8ozi2ZxSZMviII4rGPyTg1QxEisERtoaPxsqC4oOuROjd6lRu3YN6Nu+
dHUrvy547xl54fHR9lU9dTvlc9c2yEUAe92ufTA8uRHSzfqkYlz3Hpyom7JIg5huEFN6SnNDjTII
8xj5GnrqEbrB/vpDAV8SuWC5hZW6tVodPOv3thL6RmX6GjP2ISOu2dxSxHMcDWZa6gSakW9YGG8m
pOEosb3Y4l7s6MgF4doVH+1ycuMJbrobN3EI0559hclwAd4bWPl8P0dkPyh0w2BOaPXojHUA6kt3
zgqvwr11CP5bUQTJiFcZ6zw1wwfTDlOraJ02Z39S1Q03vrSV46bECqI4281aBWMIGPjhxSzmfYge
cq0NsmzbqOXJgJuiFVBa6vypUNpr01Lu6y51Z2rtLETvCFygzu3GGBPP4cltBj6ptG0OZWn4HQ4N
OPc3dYeuOtL5EzahL1GpKTuP6jgICFaQOwHdNvyNEjAb0yn1Z8DF7/JZ2cx9vZuH0mu71p2gby3c
UVM1L1oMD1eMNzqDZ8UwX51FfgYN67PGjcxP7Qh0w/7JyMdtZyZ+Fn5tnUdY9CvYpU3Ya6eq1N9J
3leyN7GQDyynYYoqE6WaJbkBhVxIDVu/y1G7SAK2qXPJI1ySZhDr5tyo8OKnkIchRM9uPvTlY5ac
SPHcVx+U8mPKpcUSyQtSrJZniHmMOfwlW7g0v8+nYitrfl/Nrb09VsVqOUuSsSbQK7Adfh1rxJL0
3kQYYyHQlxyb5OX/W7U8M+EIU5S3Unfwm/lnlz0CeMOLgtCTDeyvJvNwJuDEBliLLrIchnWM4N1B
+WK29jQ6FMZzM95dXtRqFvRNxGtV/SyZN4dKxkBmCACH6X2rQjkegb4M3CTi5pZE7ZfMy+/P/J+r
ec27nYlqEO1X2QCdAA+21xtDoIUyulTZapaLdyYi1ma15tOSObY1D8SkaJtIvSTfJhwvetmtkq1H
yGzNTW/YI0b5t4Cc2ti0dVtN1pC0RlNkgZD0hwa8FiXPFtTnHR+nGRqwNNQPX0ogtbv8lfIP0AGY
hFSDpXwd9/s/mqdZv8W2gy+wTWpYQh5I69K066zub3L+65v5JkrIATl2rA5qjs3M+w6hyjNh0rm/
dav7JkKwukZtKq1N0Z63dKLOe35MxwOCbUA8/1En6rou/hQnltCsCi/IQYMuxmDBSLs4mLLjyIC5
DILvXMZnJdk+ETyv0ZBrCZftM6wTUTSXjL1/2VCs26K35QhXq7NtQMo0kOCgb8ABd33TIEQIv12W
sm7M36QIdwrPZVLrCaR0oGUp9NsUzCJh9YHn3d8Z8zdJy46e3SwapV0/LZOYy2CxNWCwuPS+T6f9
M1gswwNaPSJMqtgW2LnRxSYsrQY45Vyg7wlEIvc9vWftw+WtWz2gs98XFlQpk5rWA35/nF7wzvZZ
jBHCTgYNuZ6NBuS/TgwVfknUtBFJwRINyMstOsNR6oJXKIY/Gche7/o7kyhoHrOtOCmN/ntXifmx
eJ43Ghiwr/PtdLtkwQv9JvULKffRqz/6zV/B7qkEKKbApVys45mGkLLUWbwMTn2vA711uMrrQOu7
aoOh1sG2OrYIygDkmcrIJgQxS8tm23hLRIie4S5Qtgpem6D06y3vL/TlTaQIxQB+aK2MYgSFRasH
HfIUDbmb1PvLQtY30TExpQJIQNMUp5D73MjsaJk3/e+buHYBKM4KvPP4U19Limfnpak8bZGnRCiT
Td5QPiEflnRSyIQ1C3UuRXRU2gDGWIYF/YCznjAfEoIVF/bDCFCa5MEISG3p6LhsdYL3shWzVIYJ
q0uq5zl8xqig0VCJUVyrDZ6tTUSlzMDsQsYS1jczkQFNgO4AHJDMunLwgtPsm1Q2iraqHecChSsW
NZk5TUu89t9LratX7FyWYEaQ6FTx8kWtddi8Gq7Mz70FIHjyYfD/JHySaIpI66TXeji1KerkqKc8
VDpAMwZj2iq03VixI5vBX7yHaKzOVydY/9Q05sqMX1cHPsvvAO/a9WIeY2X712b5XOKisGfXbSpQ
KiqsJeRwJy/e6QD6DBQvbAH9Zruha+/wYBl2VGZQ1nfV0vWFjFQntiAWNbGW0QQqox6QCKJeUe2W
1m8UBPstOYTuwvxQgAqvUHaXTdn6BXwTvHzY2XoTnWn9FGdobEd52W1GZMExDgjYDlqXknu4FipQ
8iZKiLv7ech4Doz3bTJuuY5iUiSb35YtRrBiBQ81WhA8+xqOpB6IC5FMa2IJZ5VMiGCyismpNTZC
iJ5XqC5y17S+dc68v3wu/2JEfu6W6MhKBiRzk0P1f+3M/5Ncw1pMf3YwjmCvZrD1ZKYB40/QfAdU
gTG/MrSnygSyxv+5eSIIkKIY8wAIAQDoxUBEsTZh/qjnMiK91S7a8wUJQamphhVwiOFV2oBsnIUu
GTTySKX6yhZZR2cjba5Zt1NvhyXYqTkGcWtSYQcHNNG25ocWsynketzMQdt+WEjeZWG3LrlMjmAw
xhHhaq9giQoSwnNZPgC5AH3R1fXQ9r4ejs9Z2G6Q23cdjV71mXGtz+kdGVACno1tqSIpF1kBErCB
MdW7HBV1U2FfS2J8QqPVFeAnMdYwy3BApDotGBtFGzhFjXM5l986MJAEuHyDZFotmBsy52VnhIgE
57zYpsXoRWRwC3KyqtRNexnJ83qQ8aYBgulptUKpkhQGvCwcL27jQG2+xCq5CavCVdrHIpYlIyVm
yBHMkEKMjE8chjuLrkuHu0BILVpZ6CQ5MYCr/eoewK5lzt0MK7Sc2Lxnh9eeGc1LjtNR2jOzOuzy
dm8R7P4qzeKapdQq9MMunziynSFGKIB1TrQbVAFdE+W6VPMc9nBZUS5fJaoKIRQlRZoTBUdHMX5X
WblXTjL3viqCUk1FpXJBVhYWpvVAXS8LRBV0+xNQVogqpICyiwL8FjtRPMstYmOuXHx8cUsZO93E
Zibjczs8htEuim5o/l4dK9TGCerr0umFZRkXRIo+y+SABygIrlyC+6W2lhdHz4ScbHBmGjeZ+qLE
u7AAl6Csd3N9e38uVXRgDkUngD7BqyjqdatGXssMSeyyfhHedlN0XFndV3G1zJSJL76/Iqex6Jko
wXtp0aB06TLywrUvUXY/pJ3fyhqfV63HmYxlR8/CviZR+1J3IGMYIpTObq2h3PZ2712+WdJdE7xU
mzOLoXPlbdfY4U8nhWQrEnyL0dR9jV57JCbRMmXHzE+jT5Ulbfxc9fRnGyd4FUxam6yocav4Rtv0
gPUOhh1AKVq/3f8D/y4lYlkPZ85kCr4lV5UELXyQuYSCerC8yVOP3L0GM5tpe/nMVt3mmTDBr9DZ
AcBTAYvPphc6ozfpCijRjab6SSSrA6w+en6KMkTnkmJOXmuX4RKgCKO9zzwOeLPOrPNhSYPLq7qs
HYboWbJpTKZueZKDQyQFMmCURK4ZPl8WshoDIIcIAFKMGWLc49dLNc1AxuMxXgYme6/2uyipvLY4
1LhltRMDT/mvYBromUDhFqchMDu1JQ31Y3rhzweB9LXDMk3VAGOWCSoMsXXdUNTOsocELiydnkw6
vGQOnY8hbf3Kng5dkR75GN4MEyDn+eh3iXOcpvAY9unGrNMjyeqgNrojOC+DArAmXK0bNKIVu5Cp
QZqC/VaPdnVdbrRiPuojffefT8ZWlySkCloLFcRtv57MmOmzxkOGOkw9fNOyDASKxV1RKQBlrPYs
Hh4Tw7q9LHLFJ0Gk6RCTUuKoYhN8NCfzNFsxLq2VeAPBo76UqJtMghC3pEkRj+gtBlpNnj4BlnE7
Drl0YkG0dzYCh4VpBYlOALio4s4RWx1qrVk4zIzRC3G0aMvoza0Gqpxt3g763okiCkhwCw2eKU+8
xuafi559QN/Cgx120gKHqIbi9wgqb+aY1+lbEOChkdPqXW3f+QrxrE1xE+5NjIFu48bvr7ot2nD/
47v/VTJ8om4v7CK6WCLIpomNrQ7JSRneZTWeSE2aPeYOWjv/m+a8CqKOTSm4W0F1KljggobTWOYq
DJXioPxq0+u4D/eXZeiLcpyHaoIQMVSzhhnwlWoRbbOhv50MdrJGdEIpZYiMU42Gaa25Dp/UIlUe
WWOi66mn73ur6L44fnYFxpvSYN+0id1PCmaPk7b2RsoxxKV3u3zIVMmUlqjoy7dqINAiAKx2HENM
jilKy2begpN7zMfbWSM7S5fpuej1FhEWtQj+gFitibhrwISfpr7Vo61FgDNCb8Ge/Nyn99QAh5Ez
PlzefNFPiMIEHR5pVKlJVcXbiH5rEVnutGY6MNv4ZLIXVd+jj03a5LG808TjPl+fEIhlpG7SCnDL
eIDwq35r7z/PnnLIN5ZEr37LR4trE8Iwu2nHBj1q4BzDiKWJ+kHVIljhXnq7EEw4PpPRhf+uHI6K
USoDrgmgsLro2VszYnkRF8mWD+UDHuE7ZsnCWDF4AG/yLyIEQ6trc1rOUZNsI3tPYuKxgvnFUEpQ
in5XQXgJ1HksuA3D1EzhjRhqpTr3FFJK+7o34VaTGGOjld9PCub4I++yDi5G5FeFgDQ032ACRQOc
nTiZao9aZbRGl2zb6cYqp7t0QK4oUcHJOx0AprqrLfOGklwSXK6oB8QiwU1Au0lg4oRFOm2VNoaW
YTQEM7jFOxAcn8x3yKe76G1FksaVZubWzu5coHB2RWyxKg4hMNkru8nLrzHzCwbgahfu0Psf2Ec0
uviXt3ZtkbYFuk8CqEDwiIv4CBNIGxVcg3xLT+a2u9V2qVdgiZoXHXUXuUCZPPHZDf08lydiJICU
A10m2Zz/DAPfiFOlY1srWmpbmm1aiHF18ltYo4GGb5j0HGvD4Ntz/akGsUW8M6srxj0nWCozBliW
Y7+r3X53eV9fsySCzv4iWzjLnjsagNAgWz1A5JYqwXDjVD5muL0qAAfuDNiA4hRGge4uBTC6wyPQ
vfwNK9fml08QAkk44hL5Fr4sn+3IrtuNm2in7hLZPVndZjBiYlYdM5QaFey1zfjM1cJajjS9Vp+A
HtJeayDfzTCSV79bCFTrDZq3Yynd0iuf0i+bjMeRpppgOQX5kf0bBqLCo3DQtBw31LPcchfeLY/O
eEf8zA8X6C03P8yf4q11B+7ak+nrmmvfAKnhZHvOh8oPT5jsAOEyx1SRJ6OC+m181ha+TVAApzPa
AkPhaCsF9vL4zdpoRydwHo2AwaNhqswv/ewl+qpKpo9/S7aLcoVTd6aZ1poJuQZaJGc/ghkxHth9
4w++sWm3/yPtu5bkRpJsf2Ws3zELEQEg1nbmATJFZWnJF1hVkURAAwGNr78HJLdZicxbmO5ta0Ur
4RnKw8PdzznNHkIuB5TJL5Bet9JLag/fpFVx2xOqjuWnWIQNRhWFUzxiZVDq9YvHZjsrb5WufqdB
vgkQMW9VrXwe12d7YbELq1KvMpVg3Eie388NehWcZ/o07/n8JnJW1/ckuF+s7yJ4QCiqCznCCOd5
zmorvCWIICAesJluB1uxxzvlG8C1K1fhSZZqObHzYfyQDNM0tVMHtLkj7Zw4semBRd9tQ+FUFEXn
+HGMXnm4M8V9rq5c+ScJ76XlOVL8YDnQITsqdWGK7ikD6to1RJPicQBsJuQ2Xne73AifynTcI3/g
mql4/dyZrU337Ow+WC9kHblGJcx81gXhAQ19kCRC6chhbErsRgNN1+f2ThJZi+Eu23J1swg1kxeJ
T26iW8ObNjIUjE0rtNsr7q5eiye++ng3/Vj2D8OrOgIR7Ry7SbtKt8ll44jIIiaK63M5EGVuoA/R
Z5qYGzQJ+eu7+UcT0Cen58dsfLDfCVXKJI5tNaP8JcvYl9ftd33XfQWtm/cOwchXukuAyvDSDfMh
J+r2G/rSPPCVu+QkQKYIi8G/CqFUwG5OiiqRjHxXLOeZrwiQ/ViBqHUvRuh39/ningRaaFZHIGKY
eBtTBVKpx5upp2UlDWWR+Z2UVpaGS8TpVYDStHa1WWl288cTq6HlSpv/1uhpTgJ6C2MMfoUMIeTg
RMj29lv8P0LIdBO1exBrrDgI9eQ2pjAIoTAMzNQUxOfHYwMiKQrNCrfx9K55iVvKt5n93kHhNvFb
dEYVaIwyQf6aOdkdIF8e2eQ+IKJYUeN6TeL8zBnCZ0FJR2cQvz1NQ6h1Mw4DGKkw+AnJYACMgVe0
iFUhgA7zdYbA0+1zbG9x52odyYPa5DlunSR3k8lWoWeibPRt5YTlVWBljrSq1H3qmI5tzvfSh5Mj
1UbQhz3mm/J2kzTUA+jSqyoNtIjJ2uPuTFABmgpMJHSEjfmELC45wwQvixZggLXLr7X3tLMgxuVz
571nVi6sxh0dwE+/0Nhau+/ObauPlhfXXdjVvYHEdO4Dw/ee6cUtqLh2ZS3uhkQBMmsqh5WNfG4t
kYtE1ym0BZDPW8xroLGxaA0J+zgfbToNF3kWrsRKp24As/nBxCJIQUDZM5YkmM1sOpTKAKcrvnRT
/X8cyWLR0kCRgeVsQVchTxZhryJ9/NydnYm25oEQBYk+YNlPnuMymAgCFqEsJlpb32VuBcjgJrI7
F0xsu+grKsX22gPnpCfYhJ+h8DDIUKMH7MRVK1XPWtkc560Y+PwZqlCmZbjJQwtmmMIpQ5Cc8gfp
eu2mpCcJqYXdxRlP0yzEg6AqfHyyt6anGz0GsC5sy2uhFMMLQUIHLRM5tyYeXpUzFM2Mk30x6Fe0
Y9tW5q5QDYfxeFOQ6k6WzA0p+dbUpatpmABSH6wmTDbToGy0Ptk3kb7PDEBN1arDO9Gwh+T7GCc2
wflWsvKrkRatVfD4spHy23BAA0Wf8MyaWrSiFrICiuMBj2ne7ETJtghgQIwPhQtbHmsvVMLd/NMm
QN0JAIAz1aOZw0GBPaoEIhAYUXHbRzUDxpJQS2ElcT7fNyesWMs1XJwxcPelUpRMOfxz72KSKsAK
LPUhdpqn+saQrQm8yTLIpxUbnEmHeJcfpPt+n9xRGyRaX+TIWwNRnBD8//xEIGvEq13B1bwIMlPM
js7AKQIPDvbwzGr4ZXMXjH7ozg2Gkh8Nl6ZxiKCn8vlUnHMFFAnb/7W7vDUZIZNZjwUkGaKryTA2
qtbcmTJZiW9O0y3z7kVvNJIthKLGs/AFZsJCqiZG7uuJADi7pZfh2OZgJdGv6qlxKe3iW9ADsIM2
9DclQ8dMMfrlGL6ZNHn7fMinIefxR1l49L42qjBFsPVD0THZRT7YDF2+W6OVO+ucdHnupaS6burL
gITgbVAXpZmjCt277eV4Sd/wSPNyUE1cQDjS1nprLfA4t5pYTFXRNQX66nS+zD7cydwY0cGSYjVz
9iYgHiezyWrLtfr6uRuKydAlQCcskhDLxnq0yBSaKsWFr3cPIy98KSi8z5forAUkPBVUEmRKllMX
yFyt6ww3h56D3EFAKltbe+ecmyr228TymWPGnQClfVP4qcy8AEDnsiabTqy5mrMjQfhLKQNBjrHE
saVCKAmYS3C+lENgAGmLLuXP5+qs6wBKU0YOiszZoEW6NquijHQ4Xz5HN/Kl6kZuAtmIzDIOALEr
toquZObInUe3nxv+0UW+DPERkBHGTIUZKln4DlIqtZGDWAIHqa+98pq/t8gozcH+tB0Tp9ipYG8E
mtOtH+aNH33lG+NRKJkt1tO5554bHz7LEmfciiCklZGAIvVG30ERStsjBWMPrvYwvGbeahBwdll/
D30JMs67OWkv6pmJq9wKcBaBELyb4w4wdgDSbnEXr40VV71mcxEAJGkcgxHDDH2Ji41cAvxRr4mk
zq5vsaIGXmzofdPRIXESTxFczWY+4RZKjA5Ivm5ku3rqLbALJWDHkNc0Vc69k2CPMVT9wdGNaPfY
X2msr1t5GHJM46x0kjtg85vfScwvvOiOrlT7z4VuR+YWl2wn14oyzuGiZsm7cps9CiycqkOxILPB
i3EV3yrM5rtVu3M4cTqtv4e5OChR2WpxMGGYM3BHvERfxB6MYH7hRJ7+BnyV9fnBPLNRDDQNmihM
g9X0RM6ljfROprgJfKOOb6cUAugF4q+/boMim4BQBU5HWfo1ZkwGuvngPhlFtyeiziZbCe5/oOeX
swb0L1ORpwCu6kdI8eEyUxsBMiljQs+biOSHusgisHZUThU2TqX3HovTi6lDlag2qNVX3XummtdJ
BzZD0bHRbptad/Fwi7wu7CpbypTNoMUPbcMeQAMEOgit9qDt5oZUf82k6rqupb2e9JrVTSlYfjrk
oYIOdD0U58zUIisCIY2SR+Ec2da4j6Y3tQ4lK41AeJQw/ckQpj8UMkAZae11WbLn8pRbqKSBa6iq
QXNgxsW+Q1oGZGOFvDFl2juVBAYNU0YAZo1SfPv5Cp2LP3Dt/J6/eZt8mL9Qy4dJHTB/UHgPK3tM
rfGQOt1T/AbGMwbW6NfSTq7qzYrZc5v9o9lFpCeZQVRrOczWLtnJLvIvqodyvTO49bX+FH8bXj43
eM5nfbQ3f/3DMIfCbNO+QRhC4+AFHUvUyXQJjVy4i4IG/DmfWzuTDjDoLPpGVaIo+vLOY5nRj5GK
fV/SwVKrSzqoFoszJ063Jecrh+xM0hsoIySRkBaU8SpYRs1ZTpJWqlGk/I0vGa9+8oGucVmcKAPj
BXJkazGP01QNZg8mX18/DI6MtgAcmLvxsfVRyrsLCyu4I5DiUWO7uou/pP6a01od6+IuCBWlKc0B
Y/0pFvhXMK9nHCRDHpSg7GsYsiYvTI1aOaIpDI2GiX4XsBYEpNFKbHRmUx5ZWNw0ps6VdORzT638
hRjAbIl9Do8CDoqV/XgmjD0ytLhasPGHic3yDy1eMuxC7/eGuaJFeN4EElGKTtFktuwuU1kM2MqI
jkkSHnr9Oqo3WrJyM5+frt8mFq5KMXs9LCgWJOzJk2TGoa21hWv0UO7ggncrx+rMGcac/ba28FCt
UkRDhly4T6MutfS+/G5EOqCDDfkSppNfkUZbsXjOF+MUK1DiQ84CbQeLw9WThDK9xhxSy/xJo5Ei
RQtqTnTdwBVzakH1x1HXeELOLt0Hs4uNHqrFCO+CpuQ0HiZ/lEnuji151EZ5DVpzdgU/WFpseFHn
4BsDTaMvY/Iy46ngD/L4ZCSrvYVrQ1ps+MxEqkBCQ9YPNzFXHvvEFQxJ/smX/MbPEtCJbZmzVmZd
Mbt8X4isTqZs5lFPKQevFprv6GbIHz6/XM76pd+TuHxVqKRWu7zBJBZ1+sUszG1Zs+fPTays05Ky
qJ1YYrIUJkTe2QZBQQbpy1C5ZNLfyBJ83PJLyiId8iMVl+PKN3oEV4ol07WqwNqaLL2GMYkRFELA
VDXcCaVvCKdstfv++YStHV06f4oP8YVcgtwk0qEUN71DUs3uZIRQpoM2Ah+cZbmFGvvdWq733F2I
uSOmrFFmnuY/2gBithD3A+AXTBe/EF0EUh//EaLr/K7709gyE6LQXtHjWcQ8Uov9GEieBCLGzyfx
/Er9NrFIUagESYpIzNdhfmf0kOQ2rkdzTYx9bRzq8UI1TA5YE+OIJkp2x3ErgmCQ987nIzl7d/xe
meWjZOwbZNI17LnEBLElRDKn5451tm7eSqsSWWuzttjfZdkbPBlxT/UGUvvmtZJNdp+tOITzs2aq
GpQ/1dMEFfpAh0FvMKBBFbesUx8lJq3M2blxQGkaVFJotztNUCl4f8kagYk6/5pKN20Mtnfjr5e0
2Ecbi8U32JgMNcMOm5jfSxxsjZfTKo3TmafNrAgArhQQAJwmvPQib9OswLGcSz+/ZOX/5HH4j5gO
Viwurx0Z9Be5MZazRQUyt+jtAfPW5QAK+1/MEWuY5XMpmY9jXN5BGRAjNWXF7HqOSPNlJ2n/E9L8
s5tDoWjnRks3WmoXgUOatIkYE8i0ReZ0yURiI9W5lxJzZQ+e2+ZoQP7TzCJsEG3Sk1EDjGkcSq9h
JihjqxUnt2JiSWHSAbySdz1mLtZQC9QuwRT6N14VHwaxRKiqqt52GsVcBTxzQrO3DPqs8twhyf3n
Xm5tKCeniURaOuPLmPlQxoATJML5GxZUFBBQ6kKGhy4CYjnrdCOchzIFwwH39/XUmv7nJs6FOsoH
E8vgV5JiKCPNl2ghULfMrShtPJ5E1mA+fm7pXHULHdq/R7PYxGU78ajXoFk0MQs0/8h/x44W2xq1
NHvczsWe7C+31FPtyORiQwdhxaSwjSq/HJ70QAW96Vob7cr86TNc4UPg002yGggFFpLmtWg8rfs6
8tteX6GPObvVfk/dsqPeFKEimTmshGW5b5Jp12YrFs4VSGZoyqztBEycsTw2JK7SppuFzPSHAQQ8
YKmn4PJ3jBDiGeZV54IaO3PktzWYxblQAYgs1OI0yO8BFXM8fxI6PMw6QVyltw+yfjf1xC+kLzz5
nmn9ylY/P4l/mloChTIQzpKszSo/T77gI4HZPPY+3+JnNwO6uZCqV2T03ywOk8AFzihFFBySwi11
A9T2sa0MhpWqsvu5qfPr9cHW4jSN9WSCYB+jIV+QCwJDhodcXmEzG7zlhg8qdbBM2zyx1hq6z15F
H+wuFgwyHVWVSg36iqbxIjMTvNC7/DrL0U/1+QhXDC1PlpbrY85nz6QN+zQ7ROWVUqwkbVbWa3ms
JNnoKsmAR2oTDmnQp3ACg7nobClZufXWVktf3BU1VySWzJbQvjHaozs3L0Bqx6Q2UiqpDeFTcHLf
cTdaay9aG+IcO33wT6EaplWWiMoHFmtW7g7Bal4ldihD6CpWOmF9vmhnz5gOqAjAMYiQlmCcMJKy
fIgk5KgMdJ/pb6K7+tzA2fF8MLDY9lzmaJckmMie7ll6EaFnMIyg7NCsAc3Obr8Phhb7PC3VIU0Y
HFOup94opbuo4Z7aDyvneMXMUrat7fkgaXNKiBUl0niuKX8b0r+ROFR+D2UJVRpHVU1CFUkGsHQ7
dMR7rHshVQ6hTGnlzJ6/49HTqc3ZeFBpLrZbPk2NPjFcVHMuvrZKr0isDLA5A90j0HTP7TVY1Ln6
OkNlDaU8ZsjIGy5ezUPQGfUw5jhZnr6TnrNNNdgG89Dd4dUPkt0AQCM7ZB/eNUDuQQSl2EIfcR1t
cgZZgVAD4TnRQRIJYbrF55jabuK6gc8xPwmE7Ewb6rEnrYMsY+XIHrQw0FGrOtlVCLRBeMV24xY9
J+N+LS1ybkNBsMzAQ1IHi+nylmP5CJ15ucctZ9xOJZjZzVvNXDvm507hRyOLwQLeyieJd3CcymZU
DE8vWpeqILYh5de/ft7RGgQ2OU0H+cuyuGOySM2aUsbbrgbRATJBt6ZIRjstwfGWmJHzubWzk/fB
2jzuD96yi6YZqjRWflV+B3bAUqbJSsNxxUmetQK9bUVWFQWA4MUhCcNUmmgKabxoemhk7cEUE2gG
lLU755wvVj+Ymb/+YTCc5nkaaJHAWQxu0IVpK/th8z6g32Nu/FzvdT5rD9k4gvcp4sjlCQBNVV7o
fKp8k4q7yETAmDbK4P31FUJ8hVkzUAY+aZGD4mSJyDCDQFDe2vGYW6OWWWxcq36cfeEDVDo3JSFk
g+bp8eTJTduU0JMXyCk0F6o9Yy25o1+MnuYmd2sx1QmNOMqKTEd2icwtHuTEeTQsU5UqyYWfV1t1
NxOjcKcLreRbfic2jRu9hPeSP/cohX8HjDXbBm6WAZeuot53PNIRqKguHst5m4BffgfOIQiQ7CGU
A8W87nZ4CJ1q89fXEG8ME7TlioH/LObW4GFglIqCuc2BXJFekgpIBzGsnOX5tyw6I4A4/G1lESkk
ocjKElAj35SS125I7vTqeVKzO5qwu2mVxOycR/xobTGLPKxzNSlagRa2nTkBldM0XiGDbKLN3/9P
s7fMoEBSZ4rzvBB+FQ9OPDXgBT5AgW/lJj89zICKgy+DKjOfAJolj3eFOmR518YhMMUk8au63YR0
5cV5OmOIEPHQBNM2+i9wWR1b0NO6imIioQVCmHuIDhVWVjXPyZS+NHH0czT/9T78N7j8rn8ue/3v
/8Gf34tyFECVNYs//vsQvYuiLr43/zP/2J/fdvxD/74qcaYa8e1bc3gtl9959IP4/b/sO6/N69Ef
oEkTNeNN+02Mt9/qNm1+GMEnnb/zP/3iP779+C33Y/ntX3+8F23ezL8tjIr8j19f2n791x/z4fmv
j7/+19cuXzP8mPXKxbfo5Ae+vdbNv/6g8j/R/Qp+Lhn/URg62v74R//t11eQ5AYGCmzocOVk5tzA
jmr4v/5Q9X9qQIOjE1qnaH1TNFxeddH++BL9JyXo4oW/xL8JgrE//veDHa3Q7xX7R95m10WUNzU+
zfwk+n1+4Y805DohmAPdO1U35OUtKdcdBAFbKPkofdNZUPoBlcXrqBeXYSDQgER1Ww9KtBWpw6zd
1XnDcx/H77GgfhXmT2m+N3mP4FPOt3GavcryjJnrVEtXukPdmztjvBs6eNsabPxkMC6rKt+kYfZl
bgwWhDhZH21JDsnI9DoO6U2e11Axqw+qGlxndW9D/s5vjWxj0NbNSfeskTK2Jmnc501upUb8naSj
m4TUBsDJbev6SQcgwMJ95n9Yz1/TdjRN52YJt5SKHmq0zi5z3yyCcl+QoeOL1MlNPuQX2gT/HUhr
/InanMhaLocK1B3Sw7gl0At/fFy7AUThwQhOGil+EaHq9uk1n7hbWUXY26oSod1s8AzIiumz0pyw
o6q/LATLrGpsPF1LX8LgLcBiSNPkBl1nC+mJ1yl6xJILQt4KVntF4xZooUkUKFwp3Q1U6z6fqkXB
8OeOIsAPGrh5cLMvgX2i6qKshoCBU6jFIYF2r8Ju2ym8JAn5hnYoL2HmfWLqTqvHF1URr8RjP14i
yxkkYKoHYwT+MpYlxD4GUN2YZU6rIvQCEn832Buqie/62G4rhaMProBUlxAEcW7E3ZJBjwk/0ljh
pOzrJDRtEas7S9FEaE9K/FLrpVtArK2uaWkpSnAbACtA6uipxBlRCeAqGtruhF8WrWrn3ZUOaHsg
NpzEzsAhLKxU6Har+t7ibSxvKtFegTtyO3LIGwmI2rqfzz4aVU93EDrVjdltgPkGR/p4B7VN0VZg
eoK6xoRV1rTaSrocqsZtX9pVx2/NmPl4xqIZO9vGUo6OyZJaJJW5pSqgKaHaVUiCzuqi+jWl1aGS
k8dpVO5ECLwES7dZUR5YfBWMAvkUOb4RnQ4d7ySwk0F5mHJIYiahn5bllUGzTQ5x5TpK7GBgV41q
PsYqdBFL8OmWOch/SIDGv2bbyd0V+hOhEqdnkjWQ+FqGjlsL0TxL77rSGcHZpIhHiquxkNKLUpJl
u+UV8Lgsc5uIHEjHAA9mI1oX00jlbmIUviwVuQ3SW0hltVbHAhfaok8Su+3LYMOl5nkY1CvQFQs3
mMgNQrZbGaKkdLpre4gY5+M19JrBz6e6FTYMbdgVJDmglAa+zxoMK1LON3je7INGc1RIh2XVRZfc
xCw4wHF69dRuG1gVGXdzikw1iAayNANFErtqA0yOMTmQtDbvCWTsJyKuGgGJCpJfyjpBIrjfkirb
EUVCo5b0wmlzMYbVHSOVhxvkRpgm2J2KS8Lb3Zh3L8pAMFZ+iMDKayjQVatGZ+yG712NRQ30F9Us
7/Mq9Ctt3qGVF7eSCwlet+oUF1yLLs8N0LdIHpfYU56CpqDHW7ZL9zyXoQBqeEJuHNbgc3UomSbj
1RjViZ3G6RdC8XAjoboTifEMFc+htAnbccXYTm3qQiUFamc12gMj8zIOIanA4xdWa3vI8Ll11DnY
IX4T9K4IrtWQWMOQXWQRvRhCuolId4AgUw6lu9wepCG1srF/goK25upyckWqzo65mjiphi8lQbkx
0uB6KjgSVdQHlsIRUuJqSA9L0JhTVWlX9nRuy4AkVuVnFMTHGhRBdK+Xbgf1rRK3CHT2nSY/VhqU
5/TWSevANSgAQQGUXttnJcCBDq1ISmy8Ldy2yiun7zh1NXXXcGQU84BdpxXAZBLfd71604r0y2B8
g4zA1ZTF3yUNMjExwKGBWrwlaXEHTeItPIvTRwD+QBDZolhcSJJB2WDXVo9GDUlGBR8e2n5ZD3JZ
cq0JqF8Chs0qdj1ABYtqmq+1cW2pDKLB7FqZ4GhEXu/UNPTk0LwoSX3QRH2tVuNNrfbbNKkfDGy3
UJ/Q3FVOl+Wk3daIGSyzM0OLqmJTxfFFKmUv4HO+74c49SUDHyFgKuYfF3YsR5BsZWJf5PJzw1Li
UChTg213lvmr8FHmW1gyJLcq0PMkmRBB7VOUnXIZUni9JiyBBmO77gqoGIrayww8XIUM8bkQXcsO
9BZ3cqJCuLRQLDBbHcyxPShG68Q51i8D9Q+IBFNcf4Ekix2sbyUGfigN/5RiduQAPJgFMJayuU3R
DgXWza0MCSVDhRoqsubckhMDasIp8BCZiquJ0gvea3auk1tlih6LXnuo6xCgzf4ikM0MbiN7QVEw
cZImveho5MYlwItu39CbhI1uDRRNSiLk3EZzsEhevzfEsKihPcosdqMCF2+ZXsZRs0Ntdwsamj2y
wHZA9YtkFinsM+xMUWw6Tn6EN6YQ22aYoVL6NmMt0DmlZmlatW26Ah2OCGnawPDSzNyqxnMYw20O
zMl4DgkiOrkSUMCMSyDpje/BvuylPeBcoSuH8a7APFtVRG44aBKlXrZycqcaqqWM5q6P2kMskEcb
QYnD2lcpje47k+4i9ALiUHsJ5zcG4ryybJ/yChh1OXGbTHFVcmsQL6tliIdqQ+Si47P10qJ+R388
KOFD4psySo6Gvg3hgztT30JBxsppiesGp0UvO6eO34z4WYspiKsoGDRq+DvV73QJLYESYh7UBiL4
tV6x2ppuGM6kbgI/U0BsIAShNGv6i4xI1yyqBXQijYtMSm066lu0Xt+VTySMH4sci8SrrUGLjRJu
owbfqD3mGU7/kyLnm5JDiZl0dqaNV2Xs1hJadABptdTCANt3RB4mCG6nar6pgmLDAsk1h+llhHBy
i+EFiHh1ThFkNTudob6AV2gCfq8ACcmCNqhJPTPzrtAat6Yz3v6tASihQJOGprRWWjXe2INZMg92
EvQGJniaVqbbWn3K68ZRqjdGixdNMy9FUN5pQ/kSScVG7qU7EuW+r+G48wAc7qrAOtG0gPszvBZL
MM+wzFunkQEFUnQPcccFWlc3cSVB2DJwi+6eG+kTzeErUFJ/0QW9TNr4Pixjx9A07PvLKIpskJdZ
c5vwiO51qeLWvEKhlr3Mf6ZTfjGMupeYhey0avQtrYFxCvNrFOugytldgRTS00X+QgrIg+KEQs6X
tmSraIOL9CMuSxxWOh3i2oQMSJuC/AbYSqtp29pqAv6V68U2LrSHvg33sxtTww5Kv+a1FOm3WkAh
AE8vGo78jMJfe0l6K1pqI86wq9k18JRsTHVwOSaZccO05Li/lSZwST8h4rYn9HshC+Omw7ZIla/p
QL1CKHfh1OE2Hq7isLnVIGFYDjiCVXpRGAesw6uJM17l5KEYMRucOhEmU216u67ELm/exaRscDnA
9bd2RAA3/p5E8lUSFts6xjKbA3xj7cqbIURjVj08FnG+zVoVCkMQ/6yrTarv0Wbs1k32JPFbNWi3
tED9YxhckEdDHzp6Gxlzgx6KtSGXMJlF4NXI8Lc9vBmUZvsUwWs4yiDnziCTKkKrkmTVLUuDW9yI
uWfmYWYBf79pFERYaiJeazP6nuhfZVlJvZgYjwiUVKuHGptqjpmFjuHOim/bAjed3poHAKFxhtvp
vc4kNxmhHijljR+EUKDvSYSUfyfZWUIOccFdXnamozSZbSoDDoEgz+EoveaV9tZkkbDGQZG2hpZB
bFzeFPKDqU52oRtfIgP/EzchdUZwKSoi5Du1TGqHS8Kq+JQjNsEdExJsoTgB5wIYQ6127L6GTPFM
SfhJO4FWq25WUjPHiRM8YwggmWhIRtJwLtYvU+IsjWItFJC6baPkW5Y3nhpSnzThngz6Srb1OIf2
05SpIEOHJz/ANss+p2AMEbIEuXBq8YYrwDa57qBQtY2Acgv5Gl3onJE7eiCB1Rb4TzwRIHQ982Yc
PxC4MZioWECcng3EQ1eAQwodouqyU+exHatorQ9WXs8nU7mwuMgR6kST1SjsKyet6CX0bHdxnV1A
iMhT47Uu8x8Zs9PRIZGB5ImM9rhlhrDghTkMsFUoytVoTIMDOLSrimutgFhyoj8W8ugqBWhZRG33
uXloI8NCiUUxh4fuoQx1X4pkdwRmVM1aH/U8V/TaynofZ/2w3vN8IBgAUhX6XGiuPV4Bg9VK1CcI
I1n7JKHvOdDVlUf4yY6aLegz1BfEexS8jccWIB8A+k5eYMaj6VrVWmtUzNtYu++n9+ju8xfnWVPI
WMyPTjSWaIsJl0Ilb1VwqTtDCulnvw8otM4fU5G4QzD8pZT2r4n7bWtZxkUGTWn6vqkcMxYgQ02t
SR43XbwGkTiuHP00g+oi6oyoiMk4mMezN5LAEE0sVw7oIGycLa9uG5smfw23+MMMMm8MRTdsAwpH
c2wmkTlPTYqXetelblEh6J+SlXTAolL8ywbVZOCpACNCRuDYhtKNuZq32AgoZL6KAFLtNHJKxNcS
syQp3SQ8gs5J4qll6gp0x8dB+YX3ygoh7//nY4AwB9062JVLmL7M2iIMdXyMUeGHKku9adLtLriR
2Hgja81rJoptO8q7OP1aqM2ejfW+HdYOxRnHB8oHDZUz0DLN2c7juVAl3WjUJsOx48r9NEJvRxo2
SW5a7Hu76ZJghf9ZO+P2juwt5r7ODA2K8zjmcqPoVt7C22ZfkXnxEIo4WBRoctPHsY4OPc0uCswA
wPn+7JQLY9wgvymBAoOHw52sgjMphbguHzYc/Cm9Ctq3cNzoqewaTX9Hu3EzCuUhVdRHCiXxTuKJ
HXW9FUT5TZYGT8YIqqsicZWh+uueHZWLH1U1XZk1KI6ntIxEgxoTgocCFCsIFIt6q42g1czXbuMz
LvPI0DzXH6qsJoRw+16HIWPInF6HvjUCns8d2UnijOIUUhVaniYYNNFbcWwi6MYiiVKzdDieicEA
Pmv0dY1huENuxkqV6TnTHoDxWMtX4rcu7itFBzWqiunDlbA8oIVOw64YBMKv5isZnpTs73iZjwYW
/pkq6Jcb6E8DZX3R6mvectGT8dPHfLCwbCEzMSjkTmFBIfK+K4DrzUMAk6RSILFQXOjhdB9q4YEn
UmgFg+LqxgUB6WolvVUBvSQ5iS0hj/f1OD6D/UckTj3Uzw2VrxQOKlwDLIvjzedLrZgnZQ8sNrov
ZUz63Oi9LIupJa11iXB8Zo1biqi5XZTTRQ81XKvAfTKmdePmE0E2SsEzDd0DUlEYrtSjlGogBlbS
TUd0D8S3FzoEgHKVXgao7eYt8zR+2yTdLQgZLkgUv096EQHXF+0zbhyEKjs0AZQVT84ZxTif5pL1
15Bdvao17TLUZrUfEkHrIJIA4Z04+mjUcVOm8m0j8P0k37asQGoj/zIQeslq6WIakYYSSBRWdoqA
HXJ2ftAX2zyYXLz+fAFnS83GBmDAmX8dHSZXDcGELw2PgWJcUon5I5OvqVZcgEnifvbIc6NUk9BL
Dg6cjBgHhcQHUdFHKpHHDH6kKbC+VTJugEAnxoU+yFd1wqG4nG+VdBaviCGahsIdUb1KyTwiKVdN
gY1Qy05llBfYj7cBJ5cx4XakqA418JIpxJc0k+/NnPnmaPoKjQ9NE7vg2HOE/FXTRot2iV/Mb93m
Zhg1NH3WthEqTqclbmWIV5FNbosmMvDrbyfCtiQZNk0GbVwp8xjdg/L7C/QEb+JAu5T64Hkk0VMQ
Ft/ZEDwbeN9aWYf8catPmcXz/tXMAKGvwVYXEnss8/T/MfdlvZHj6Ja/iA3ty8s8aIk97LCddjr9
IqTTaYrUQpEiRVG/fk509x3MbWCAmbcBCkYVKtN2RIjLd9YirK0iN1T4gUuf83IikuHjgR6u5bq0
/fw3VKCxJC4JWAqkjGfx0PHsApDsa8umn1qPh7ET136AtZI0jyZirzbRH4iBABCPb6oFfjfI4Kbh
PAN20uDLRobBriNSFtq1f3JD93P8AdcPEveTCiqtFWCIzopk7k6tEcthMDREzMBbEsq/WeeeRJ+R
f90r/82w3v61Mf0Hpfsf//k/fogB//wnafvfyN7/OxJ4/1fc+dP5P7/V/bf5X8Tx/y/8L062/zMB
/MDoX8V+/3fGGH/jXwywH/0jydAigjAkFPLe3b7/xQAH/0A0RoRK4NgHL4zwZhx7/2aA/fAfMCN4
Xo4z4a5yvpPD/2aAo3/g7uKFeYoJDocvSK7/Jwb4XwaH//0MwqiANEMk/MF2D84u+o95xMVjqDrV
FNEQXlTTmcsi0vScygMbkJMW3NP5EOamDqOI5ts5NkbfHBuGW/bqgOBmpZe67mjWlq/7tWu8Qs6T
V2Vrq6qhm5sHFQleETRAVN42oWVwRgdKrZeIsIKL8ed9Miwg2mWffhPc4n4ZVBFKrEN/ExbR4Lq9
/POLXoL20mnXHDTfjoYx/5KMeV5hl8qLbQ3sng9a7bqpoTDsM6R9xwsSL/LVyfM/v2QrUCkasPGH
2z7QITO/hjJab5RuX+vYrtct2xKIcRIVnYMuaS8e0eLqI570pA2xZdgMB5IK/8nJ3HuasuVGTUjP
SwYIMewQiBvYoGINDF+BipEsOk40LPQaNMdQ3484u+4IScIf6zzWSnd3KhZRgW7p2IkGeCqKfEgQ
qiZawBsDWW8xIRP2zOHiAfjK1XabetH860scsieP2QbpQo8JJ/l1arz8qqepuf7zPzu1CxBldvWD
fjum6foAidgMa8t/fUHGCbtOYCQUma8iTV5BE8bddenFO4s5wWaY9FlaIzU1PBFuv/BgsgyyQJyV
Xi/yKiKN+o3uPTQjC/9AA2TmBo78TbrIngwiNwo2GnKUli83ohhEVgjdqalEAdU2m3OeJOWammUf
sv4XqAdZdDgCDlm40RvVaVcu4GQbAF6puI7Cy3ZEcPHwz39ziHl5ILzl5eiivzhul7NITAmGyntO
2uHaO4kyFxYVi+2yWplY77Z0u3/q9rea5xVyzfBFE2r3JLCvRHFTe05e6ObaSkJ0WuuVe29xYNZK
Y7lUTSvVy9KE15zI4TiH0dOiLGKWka983EBWFGh3ffCNRoCbFx+2jSWFWH3EjvZAdTcP7TeusXvt
od9T+rJot6mrrMigj7gzAFsMew58orWwdiwjMKrj6uVnrnpRoNJFFHm+RBWNOax2UOIUMgt/M955
pe9Tr/hUAgGFqUexXPSkC7aVsWe7MssRk+SSbCvZhLAY3G0oOPduLuK1f1m4t4PTd9y5NbnomD/E
zNbtal/tTAs+pWzXdeGbytex0At+R0uf1rXp6zztLl0Iwjbi3kto/ItKxEe0gAj2Pug8HUcpJIhD
bygHsV10o09wBLWVN0TRfg6nSzB+LWK7LVgjRdxOJSAoWgaiuQLebYomlk3Bo+8mXKBuRejNUfZd
lQx5qWaIqSfsQKWfg45qqXkfhAF9PzyFWp1Miy7TLnqg6J6NbJZVUve3GVzLPsx69GqS8AiZ/E+k
Cj7jd4rBODXfOkOB7GKRDhna+5/Jz3TtVGETh8zsLGW4gfZo03DuKeGIMl/TGRNzEqI1FRkNh22Z
f0Ad391Am9PHlbwGsCk+GIv8XjEHR0eWd7Olb2kjUTCQkj8j/ePcIMs47iF05YiW7khUT3TcyscW
YkRwmbM4g359+xjjeSrGtOXgi3+yUEiwj8jtgWYxKXXnaoxa5rS0FC8V2pGDF6hd3m+Yn7EC9EI7
UPDAsFLkzJDeRpUf9wWJNlqgqxe3EhgCT9JLd1gqrpCm34+E5kcZULzzrHlRwdiXk8bLBGOD5mhf
0GqzjUGxc38UTZvs/FhXTqS/WribD00elhFv/lAHWrC33aGN+xMekke5Jh+535rXLlFZMay4ylok
PYPcd5c0RO5Py/BU9c1fHzcglgyPJHtlUJdXSTvuVg8aC4+6qEDL7Gvo2HP/OTfpUkWUlYldk3Lb
vHk/cFWawbtY5AxXa7I4lBB3tgom9yx6HZ3QSYDeTGQiFUJJbB9JI/cBRZKMbcSehdtvBC6ZXYzh
vDJxt0NORvtXqOa3zLxyWgLxOIZIo9Yx3EsOazyyeVBn25gDSWv6you3vExHrDQQDEHpbd0r+hf5
LVhyH/1tebmGIXgupFWdB6ITSKfmE6KA+GmKEc4zYRrZs9bBF9L6UT2i+qbIugYM/gitDJDBfs/A
J1C9HreJBaVOw8fY2U8VzvpR2cUvTZY2OzgNTp7/tCLOFORpIMsFsQayC2AYEkG0w+dYt/C5/6AN
aLh8g8fMSlkKOmA4C0VJeK/eyHzgYY/OnRWYP5mH11TFbx2FhYDKD0gwfDgIWy/FFpKPR2rueXkI
3QkZImTy9qfQdo8t++om0KVhOv2Ko999d+mxlxWeDzqkE2DOEqaLPlLQG+B2ztK9pqCbg63pIAtq
UUDfzI+SNJckBmLgTUBbg2nbjxDGgGZlO79HoRVJtwT0WzjdFgY/ODMUt3EYliBpeOett7O/EaMJ
as8DTxWkZd54ej/2+d8MzLrJwi8wC1s50/5ZRfqIPlOimrmWfXvr8X1d6FSZGWStAQl3V8+rsT2j
EGRBWYbNMMHm6TxfgGuNZb5k6Tn01xZwMSiUKPnOFvGatewrEilqzmx2C8x4SBzZKs9ntOZIWRvc
cs4R67PFrkiQLlfMbfSDdubu/d2KNioi5bZaG8cLt5FC6+F1iBvkhvgPs59Va67foQSYEO7c/XBB
OBUQN9lSNQx1i3+wH3lVA4lKiXS8tpi3ElT5ziT4MZ61L77FmNaHrlQ+f/YmhntFm9X9DBFfmzVn
mk3YoM1ycB0EHgIqV8FLvWoKuQNaughLsXRx8hZjtiwVzceveAWDDP7vp4lZ+8/vChL7E0SVksEO
3Myh1927H80YtMCG+86jZYMss3Ide4TnxGTD0lgvP64jDcBMRRZHJMOJEWY2LaY8EGh47+4Lh73O
xJzDAVO5pB4epxnpwrM/iCpS/m3FpQQruS/XDERcnrefhB754k7Mi3eku7dkTQcz+vUYrKdV8ypJ
VzSWYdF5pJjU+kODTUuCtTn2eaDrHmuzdAO5eMIv1xVUv1UZqUWcM1CYilWewvG9Lc26Q9EqCkPk
ePNZ+E5X0u0HONR3oY2TYo5QShiFyAvs0nCn42x7TlYI9LcPbcfti0RYCCM1BcPQWcbZzI8yBwkK
T03dRFnwsmE63jNJMV6KjFSTIAaX6eClxZnQeutvMm5xoYOEFZ3surNiflR4a5jttg6P8bKN5Rbi
f963Vzw9wycZ8Q222CC5eBNf00IgfEj8rXQbiEs//t3Mwc0GW52L9OSJ5BEvqxp6eZwz6ZUug5nh
T8I5IolI+MrJW2/nU+ahYsNu9iVsjx2Q5Vrk2Ztdx1uEmbseYsWLhvNXnW7XPBU1yo27XxLJ/wUB
+PsSWjsXSZ7xwvilhn/0bKNZ8mqDwwQpReehh2pzg6Y00cOjYDrYA4brNzafZhzcC4+akwOwtEN2
4bcQfwJPBudotmMVBr47zBEX0FWg/7lT2zUYVFJij0VnJwAb1rYfbc4Rd9Qi75ZThCxu/uMCCLAa
NW48imJaIbE62tXudAfb6noWSww1H4ROuPAkj2nIYCeMcfOdIDZ7iBUoWATKiLpNgz3CvUgpFMtK
3MKR0QzVUyQRq5tpvHtBU8k+6w+cdtfJE9keVMITa3t5INa9Nw2mLrlhYdg1PaSd9x0HPAMT+zSD
mjx0IgQlSLMdj5FRDQwdx0uS3AYco2oC8wzrhH3cnP6NUevYaPDiEV3OxN+qpMt2ANCnIuAiu8LK
fAHM9jb19Nta+8bg3i/NOlZzi21XdhZBgtCJwPFx6M2KPRic6GHRUNUi76GaGPvMWQa9FYSPtpOQ
+Gkos/zJjCXt2tdlhrXSmxDPSbaXqOs4KH/9HcfsLnH5vC8+MPZZm1Ymjz9Nn17tFkD4luXQuK5x
3b8qfwIGj3Xc61xiQfs/cIBPVYe3vyB6e6EmIEWsFvaCFJLXwLfppZ0gRevRCzo1CxIFFdBy9GZg
UqWlM0BWtFdvTdTvhgXx2evygRQslE7eIbV2gfwlWpY66/pnKYMULwmg0XAZqQD+Y1b5KLrgCUl3
tiBbtrx40ynG1FF16WkIvEuQ4aqqL0s7PqVT8ubbI0ZqWeoG4hEAPQIp6NBd9uPG94PJgx0CUiFN
QfOTRPPR5MvowcosLTWDX9lYV2C8bKoEueJlZNM33BQPfE3eONHHOB1vlHi3fDPvgZZkF4/BLkWY
2041aVfDqbUUcsANJI1g0OlN8oY7HNSKyYSH1tLvQcHK1WQCmBz2eCFQi77GBwDcB5P1dkeWayrC
bYdoJOhRth3FU3l2vTHl2rsGV2c5nsaZjSfmx3M5hnwuZes89DUiQBcytsIfm7BiDhWPo3jExoSH
eBN3MZTaE7fuiVyXMjCzX0vXIoR9eIRBtq2sr6azbaqtTyExGa747LdK+t6AEwgyL9M02H3StlxN
glFAbqzKogEjEX/lM7ZCCy1Y5D5cJiOcS2I85W5nE5lBXRB11Uq3l9RoCUvUgiGBo2gZtZVfTTd+
5BDXlFNGZaEo7tsUvbOTySsznBYvu7YGGL9UYYdcTXVyeBNU35y1PyzVqrySYzwjCeoubUPOTEfl
EKz6pP34OOgA4l+/f9sgNllEmxZRduYScka50VfRJPmRo4B+oxbUF54cZCdDm+XpL5/TL5VYsw/T
MSnHLIDSD+YE3L6xjeK2OznoAdIVHyibILmMtKjJGg/QgW8/4DfDIB77smQmSUuExMGADsN46ffr
+X6vzkjvYVz51FLuOuOA7CzqHS1sMa4D8QPaX3iRhnLBdju9A5FB/rdCAoE3PTSIo6/UjMrCMG5x
lRpR+256UaX3oyBvxbskHXSraXDuKYfK89J60y9MSB8db1ixQPJUOG6eZSy+1i3hUMjiZ8Y8v1je
HGlCsnpCA/A+/xnxydV5R6AlHo8ZnnANqULdMKj9muaRLBsmoU12ewqFYOIssByIeWtI898MXuwE
9ATyLiiKWpotkJqMc5l3UJUgR//UmenMXXbwRf4RTHwtIRalmMhNXOctBkbMgY9zn51EDg+RBwl4
HsrPQHa/HU0wRQsa7KG5HURcCxPuaDxtFV+Q6uV1L63B/JZ5115jWSm2FJPGTRD8TeW6rlJR+OHa
CfnBnfiyffZrGqe+xKYAZaDTOBwTvT6YPsSNavGQRSr9bzmpjzmMgTPHLi/m8IeLZd3F0ecytrxY
3H2zXcZ3qE/b6SQUtqNWclKRJDC13jDSoxRiv1n8MaaFPKvG31HQJWep2gYS7v5za3HuUeAZ2JfC
vrY8/5P07bbjOr1p5RsIcvHBxXiCjua+JDPp3gBo7cY2m7G4W4NAWd7tOzlooBcN9M+SWJwzJN0v
ENPX64grIaiTfDdO0JrREMiTwqvv6FhCGlfKKZhOAOSWk437vtAclyPokjGw9h+A4McfcorPxslv
S9jLDEVwhYkNu+vW77cMulmrp6b2Nkj3GK6UEpXZgCSyFpNVjzYohJjbdgp2GY//Ej9uj5gRjwxW
/PM/v4hUTfUMNqSEMgqW7OjSz+yUMvua6ERU3AxQjBI0p6wSdWiBv1SeZ+rWrXe6PECyQww8UClw
DzTLjx7ybopw26b94kyDX+NxybumVqGqV9waCsA6FWdI9LAkIJVoQgrMj0flquyjcYiDmpMxgFov
iQGsrTeE0kXV5oy9egPHgTZXyieI5VhTbPBTcGxCvnc4Rs6BsN8uSq7NRNRua+My6TA9zp78lvdJ
dArzt8E2v2EkO3HYOXF/tL/wqrDxNLhXbwIJu4mHsyJofbhSoWqAYu55CWCqwXNajg179wCFpKjj
5TgCSxitfq4i/vY0SlnhtzsYkoWlSR0a1sLwIOK0P8cNWnxdexdHdE3lyQG7jQcgZZp+zQEFqNn3
0BROqbeX0q+XMDsMQ4rFurS4zEuXnCYT/M1bFe587OzXRHrTUXveVQabeVBshZKYAl1MBT/IMjHS
Pa4DOFmWd3vCgQynfnsEWEWOSJrZ6mhLEGtjQrtzXXBGnDikDeoYIboDtz34UOT8IJMQK8C6vPL7
8YZD8Un1v60xza43gA8c+igDj//NaMJK5lJIEn0y49JJcbNRl1QELywyyC1OAREyfz4BMS8dsN2y
X0B3w6ZwdR0eTdmqd68RD3HQOohjgcxR7KE1jmRshTLoyw7RPyaOIa1zY5V1Xobf1EEbqp5p0+U1
DZt3Nni//QDa5F0YmD2furjgywzsqL2wLk2xC+v7tW69cIqc8shCMbZ5ZfzSd9GzkRhkOYrZCmsl
WjtwdLXEw3Eb/qDWA+i5DK5iE4GcbhYHBEkCEph7DR3/9olQyXpWMHKiSRoPZuD/aUBY3KJhnko9
B5BBBRI/D5d3zMFV4PykxDkCtiwlBoMSjC6N+MAOP5cqgJRPA2FC9Asv9JxsxYTKNIuV0yxeXtoW
O3zAPFwatS7TORI41gcNFDdoCiXHB0vfadqSYnYGFza3vGZz/E4UWmOIL8qGZwYXT1QLOmQergTp
81vsMbwx4xUNWGsVDwP6XrrljjrWOdpc1pCuh6mD8INn4sqN/9uu0QlldqhQcyhc4dDf9+P0oVJA
cRs+nRGjZrB5H4uiTb1Nw4PtQ7pTIv0cdUKhcUxeJo1ZkIXtVG+Zel7y3hwioL+TQR+gHw5hhUqC
7qhMcNxa1CZv0FN6Fgd5JqG+v4+OwjM/Z3mbMIEgjxtX+tgMD4Nq/gas9FiGMuQE7gXd40PhRYY2
h8rj/lxGyYOBm6TsDMbnYMbZHk5+4TX8VbYNFkvc/Abm9hug5HGJ4OwZ0uAyBz68PybbTaHfYuB1
XmmxCwXBdoU2b9vroX+0flMa5JZ2/aPSAwD6zOlySPIDYyBHg6kFH/oCAgsdYgipZd03GkfZzsbZ
r4HKYadSAaBxQSSzipOtsulSemJaAELJV40a6dGBVIRpYp8PuFwmPMDdBnbyrNdfXDNZQu37wnyw
3Q3P6yHN+xI/sivahj5Ga5CVCWN2Z9Lsxlib4rdk37mAnAiYP+bzaagYFvjOzJ9b40dYAVieKVwH
iNrScYVQ7nvLCyS0PR5DjVMF6Yw18fIfYS88OL2SG9BwcEh94h9lSs4peCqMhpaf4E+TxWznI9Qh
CI+BF2IiYtrlq1cbGhOosfvPDpbEO7qL7UpNGCThnbIWN4JtOXsMCwDiuL9mi99TKxKAhyeZQ4mY
+s0LQly/qBtOgUie83GhuzjkHzMXMcD/rgLpHGFzb15iva54pKaXLUKSRd68b5Y0pcDEWI7AXGCj
+8xph/vz1mzFsgaInpmgfIRXOfCAm+DtOVm0zY3m5q+DLJxnYd5J3ka3fHrC3shIH5LZoU2SwVg1
86DwRv+D4Fq1oU4J6Ks79v2j5LiTTzkMUBx20XJKjkEow7InCzaUAGEnPZ62InRNU/Q4opqF4iDy
RYUamP6g1f1YmqO2Gka8n3qAz2sW0yVN7urL5zWGzHwxDQa5NmGw1egiNTBPMcoq10S4Cw/hgm0z
wpY5E+Bo6fC1ndch/jnh890hCuc1RlgFappuKf8BZhIcnjw6H34QjbWBHWAoRtjEvaScfuiJXjf0
0tRp15wlm5qqo6AzkWsInHKa9yyCCw4JXmOdctiTsCknBOo/FcZv80LeGsr3WuireO1tro+5gNh+
SSwgFHF1Qj/nBmWGalJPgFagdzblrBZ+G12A+wF6DoHcaXrIR1wJfczVOw3qU0rQKnmf+U856tbw
HoRXeG0F/HTHbGgZ1Ck23pu2f+itfIDxwz0k/q/BIOV9zFrwAdnfu35QeQKogJzteRWmQgLXs94c
zJeMAisPuhQ6haxYQzzvnsH1S1hI/R3UoSWYojNTAuMHOhTg5/GrgC0p7rD+u53j32C1WYHQT1wi
wggyNbiYMoONqX/eZh9/bO6QG50PDASHcwcCeTyN5XaYvamcqATmj7++8sGr8ga0CwugrxnWm/Qy
eon0dNIWZrRV4gjQRsIZkzBazTaeUX2Ax4VQ8YzCgttqR1jWOuKqLswmGNtSiFtS2dbgs8uF+SNq
hduslADqTNwAlrFhApOh+2m9BYcTWT4HkVV2bKoZOPY+TOb3lO/AOtgCAF5Thrm6CN/AjhDCyrF2
4kcO7PSawPqUZze4Dt7DjH7SiP+FXZpdBq9/buR8Vjn26sk0U9VDHSAjOBbHVK81mchNkgz2S4lX
EoQ8v98MKP5eVmEg6koLoOjgdPo6guQbAwDWYOav7YjWsl6RGuTpTyaxJM0qtiJF+CqM2esepoY/
CUytK65alQD4XOgcfAD4BVpMq5kvMKRC+7FbMn5l8S+f90hsesP/XhEBkZ2lvKd7W4YSU1hexZZn
J/BENVX+R5P1KBUk+TnCM3oKUSKTTtDXoYLiAbKYrMoW7l8CjcfSjbeM+M/OIRyPkrlIU3UwA6qE
elr2DDM84mlcBhVVhAJRYPKH9A6YYwf18Ec3RItn/FcPdCYYlxamuOkF2sj21HYR7nT4g9Tp1zzO
4B1Mhrdlob+2Lu2LIG7ee7mecQeFCpK+mwXHIsp+Cq/FoyyXBqRGegu0OgrnRwAMpmoQyXvUmy/H
h3cy5zvdZMnpfpICYQcbsJC1dlH8e23ay0QBom32c9L2cc0TOInW5XavfsQlaftEbtQHSu0g0nX2
S7ABFVoK5L86YJxZapC6tmJtdERkkXickPaloZ8o8wjGxp5gErjjkzlAh4X8AZiUPsMRfERvDqB4
NKOXQz+WsJGdjEF0mMwpTMijwN1pQvcaUr4LpuTN3Z8am9M3LoFzIokCRlQ4+UItY7x0H3kOKsWa
xgypMvc9ziOISqCoYMrHaySnsPbAxyc+B1kvkz3Pwo81Nq6aoD2uB+XXxsNOMK3jukffXY4tBIPP
tvIfUcCTCoW4ol5zc8ldjykKh/zFcJPuIt87Ag6cQFjjitxgLj+Z8Tw3CzuwzgfF67UlySS7+/vh
DNrcLs23BBjaNh2W+T3yPL7P+xX2BgxInYfjfnUuPSYcpW8deDaHpr8Rx/AuZniIvdl+zzFYcwc7
WzWSDRtzDwiEW8BQaSI08gciGKmwD0AGjTLxWQ6lzzs4fTwwi6mO852vm7RE9Q3mRwXcHVfq6IyY
4Z/aqeeue6HKskMne6+YhvQzznBQBqP/rqhBaLj/gDxNcaEYwwc735YYRITWjxA4AgZtUb5BgID4
3G/LDrKWMuxj2MO+Wex9iyQSGI0CV2HemH3+jYyOn5DJLcPKi9B3+iAS+8pVKE6ThGChWRKkOyVY
t+ia3DNPNEVOMAHgX3rcEjXgBDWehU/2tLGyHjiKaIbUn4qUi4vC++7SO8vHHrYERAju0lfBh3Pc
Bf7e2/QNBTyITxhpipLD8GjA0NXBPH0KQJBrnF3mOEKJu0mfWNbuZGtKA+USTubg5qIfnm0/th6D
SIeMs0ND9WmGT7z01/AQBRi1TMigxeh2CbXfvG9/+fQMl1dlp+UDz6vF6ONeJVBYYA30kOatg7f0
PiJfGOx/ndYH1geqSN2XHLuhtPBYF7zPynt4HiAUfjVT/hVzwEJj/u3D0V3CAThC8YDbMwH2mgkg
glSzPzrHUBstiJkw5ZizsOYbnjOcpCU6JR98HaOTi5LXdoULK5KPA3WPoNSno3x2XkIKI6HRtPGT
lnCBQLiH2wx/T+WTS87hFr5nfgODNOBmyJyjgoMSXxRhNXI9JSh2M9cDQBS5uNIf9GFJ/R4ph+uK
ZwkuUtw1hiaomzhFjgXWbcQPEU6iVWUvnEgf2It4Nbl97nJ7bO8tEBuZqiiYqsRzuzbQHzCbnnOI
Ew4Q/AucdHpvzZ/JV6dUc1KApC9YZkwNPcArnvSnnoQBhOMjDrnevkZ++xBM5ufkvLOkDXZ3kLAa
P7f0R+oVrQ7eVdg8BQ129dWzj0vIHjo6nWQ6P2OsfGaoVcD5jCuwGrdXCMCgbjKtOy+rCAtsO8e5
A2CWvxOPAFlZGpz6r7DCA2gkVTfhWY1Yin0aV5V5WfAQZg+INntsVQdGm/YghUlQ4yxeizlfz7Ff
Tz5eHcBKmZ3GIX5CF7gqeG6vHYm/qe+DB2vZ0bHxOqzNXrbty52xaQJ1pgTwKfz/yFegy9ew/NAZ
xlTX+ygQ5QbX+WZ7goL8h7JQHMgc9zXq/C93R1buz31r/LTotP9pQ/70TKCXviY2f6MRWNoMzDob
scs0/Jz2exhVTyLAFAnxQ+EN408+zMd+60zdzSEo90T35ygnx9w0ByOa1ziA4zFXoK/H6HOmOO03
BcQE2GmlVgWFa+6+GF5eFuGBRn8HoF9ahZC9aED4ZWu3vEZuQV52fYg1gTSSxpLvdPNwrw7gQJ0M
gYjoTxSzsAgGe0pE/gl85hIu2bvHuj96AUk40HLU+sxhggcifo1CHFkj6vHapfIZufU0fc+CB57q
S6NWZGFsUOnBOQFEhNw1CHQXejjGbWSHAhPuBzbj/pBmwxOz+nUMSjWauSSbeoVbEZZNbAEbJH3z
N66SqKNivX9AKkA5LBCBLBP2cWo8nIcrOTHioe8T7nANwQ7uvMPTprb8KoYpv/KWZNd8qmAHZdUa
yVdEiPzpJ+0qGCDxoUMIm2KwXpuD7J8T5T8madNhZt2gdcpceG11Rq9JeE6z2T+QJXgHNhBUc9jv
uw4HqOdnCk5C/pMN9AixzYlLpUp0SiPL0ES3zUH6NUSuf5gSdDOaablmWfJjmd1tSsG7tgHCQ/75
hXJIAGKqqhH+Rzz3/QFKQeApkajwZmJIRaDhdfBtNU4jpEYK1mBQHslGLuEwXNFOfIxY95NDkoBc
jDbcQ0v4FRDyohIkAve9wmuffqmuC/Z8bRF+haIpyvBbel70F414AERppMqBDNjOfZBMcnXqcVYI
4ehOSUIODQg7nI8QZHcjlNjRo6VzVPdeZk9MMnqwuAdiFwNOQDB3JMzXn2T1/pB00C8rF7KGsup/
snRmy40qSxT9IiKAYnyVhGbZkjx1+4Vou4+hmCkopq+/Sx33RdHdPseTgMrcufdKYimZlCt+0T4Y
kLCS8pIZaN4FQdCFh3pt2R94SYJ1Hisn8oJzWUhwbqSc0t6foM/I5iOB2IU4OP2REs/RWGUbm68X
mxO+moUN92bb4ETIib3MMQcW+yCezFRCFjD8S2CHv4JOntvOe/cm5oaeHilmSbiIgiR4PHu0DYtJ
yrQqviQtgCfpUgxScNKt15Z2IcvJ+WNSOae1tJOo9rqvZgzUYS5ZpyKMU2PmEiPOv+VuovbDd3CT
Xy3LCDGN3GPPideJpcG2NeIz7YvXvEu/F0N90lbZTEabP024fOjU3PTNkrNwxH6Oz1WxUJH6zyKA
uJCYDOgy9uEcMzevaeBauRUORI3QOQ8x46Ea4SMpsyf8Ty9dWJ0RYlvsGP2bA9qZUM/DKtq1Hx1M
ETMn6lMC/yA3e5f5+Bo/rqqy2+rZPo+QbhjH1KcyYLqTqPhnSNP1kLIgGZrQm+epr9bB39Rorthk
vqfOwnedNYe0eBH1rl26/4Yp/BJLO6ziLkvYm40nIRi242Je6AD2SuMO8UzvN0P7mmFNKkmTijY7
m2YFFuDkJ/ukN79NBHQ1+K+eMNajNWCKlTmFQ3sd8mlYTSzAYhJ4W0aB4IqAEqc3nlrXyulfc7O8
hIU9r7qCXc/VTP9WKXvNUYSqpu+IC8cBgHXT5AlPZ/vNb+yfzpY/rF9jcG68eQW2DnM8taN7nj34
Vma87IrAuZqZ+5o9QurwVjJuNh5cLOwkA4C/yLKGfev/nfuB3i2dOPYlSKnKvWZz/wyRGoEYKYSm
Q+ThqRirc7cku6HHBmPL+gnmxQQxJDO7x/lQPUEzvWQj5I14VY3Gf1ntXAOboXsCJWHZTpSiXotH
qc3+0613rp2ijQIn+ZWFTN5w6m2W2MdKYG6zEK2fK2HVJgnGH0Q70/lQpXsV+EmcNnVwxBLMhqfD
put77bB2yGpuQ5fHK9OR9jHONvgxpRfOlC6mipqh/PTm4OykIVONIj6DYHkVueQgNsW6N91h1QXi
XMxVuQpEvLbRtbxgbXSM4R71oh8m0aA8QEAPXcgdV21nepsY+MfQqGdv9I+ZFlGR5Fxskr8YMeG+
5p7Vw8eMMrjDTjMK49JajXipHQ+fbHvTGyvh1B/yS2wl68G2f3tYRTPHo6JjilWEmOba+WoUr4Fr
XN2AkRiFJqkqSsR8nHBSONTLvEUrkdpAYJPuj2Msdzn61EFBuHdzdN1OQwwK1RSFZokRckj3qgle
maP/HlhyrzNsbQ5SCUHXPTH6c7WUB6MFwZLWtxReaaKNi+lkT8rLqfqWh/I3Rmh9yVqmy6fluNtK
LlGbOJ8hF/OIrutLP8JxVHaahq5R+4IiwWwMf+2n6mcgH9OHZ5XycKpTOxoo6pzaQZLXURhm362i
GK6FvNFK/qXSFEjp7T6xpj0zwJOzybBuTYv1mTUDCk4fWROufTltExrejW8YV6up+aRLsqkZG3R5
9ZZCqxKm9Vyb+VNuuqfiN4MY8EfVUzM/lufGJ4TXD0Pr54AQSSRoPVe6w582Ti8xl2wzUus8JsiK
69UCxVYwkdnUdOMNMSIEgJ3NUhXG4vbaA1zOGLc5Lu70z9O/tWJp7WqRZCuCEeephQlSzSfNwH8V
o0PWjzRWOOK9q2NGBoUfdwj56dpDfCndAENOv+sC9eGa0yGzePsaHI1rbeVnq/PwBUwfbTB+LeM8
PVQBPgsAKx/OxTnuoMaE1okFEqcEV6VGytM18RoDDhQZ3FvPLepk+SXPpmfddKwwaBhtmMzlxKdO
7MMcis8B08mwJMu2Kj1KuFpFVo+k0jQU+MbSXGCx8oATzUzNS2mH2dNtp/uk3ug5XhlHXfsYvzeL
ZqMsHo5V3DEk6F296oujA6Jmo4vh2pbTVg7hCWGSyT/THRtnuoxXwMWCjTF6/HoS19kQ2cCNYbxY
id7ZhVwvjb66Vd2vF1mdscD+6QoX24nc6MHUa1GLLxwkRwsjd5M6d+Rld52qadeMlOIide3tsBis
SO5SJtpIdPTBPAeoYAcfwbhD++4GcTJt3h2dRgtze8A3DYudsfKOt6lm0dnSfuFueTXy/I9V9dHA
Vb7KOkB2bortQbHloBXi6IcIEmOLgyKPP/2S8dtiIy+2w3MeGljteFZjZL6BKzp2omSBRQLtznHf
zBJBt8zWnJ8FS53HQ6+/TBIUj0eyMcRPve0cFwnDJarm5sNr0++2yLF7G9wrok14wHHylc38aTHy
w3Jer3GbQRoKq6fSU78NJuJDTsPW5XQKvX5mp+wHx8MZCL8XZbSUKzixRdjvPbP4GWkqrXp5q7r5
MGk4WkvBztkGRmgRuydZyd+Z0wuODP08lMxczXDfzuKkluUky68ilE+Z1/+0VfCF6Lt3VX9ktSw+
fYwBTeyjGinrrdM3hrloOwtuEPtxWfHrrMqSVgDdr+3Nk1F4Z2feJN7wR7XLv6Mr9kO04fmli43r
kKBepqH8MfONi88dKzj8pdqf/xOxeHfS1I8aO9wTpyi8Vq6NcTniSsi5vfI1uLs/vprIBopL2QZf
agjalUT+oWt1zeJW64kGhDnC6PbHMdF7QHcQuDvMhmbet7SPyR8KKTkldz2R5tFojnmdsQH8AQCK
4AI+1ynSTaE/gy6ai2HbqYr+tzK3g89vTmjvM4bXFnsGX+s1lgs9ifFipAimYwytBBuSMsHJGbVz
tjG/MadW6ZYiJxhjdc6oHqzYfBkehkuN5TffqmosotSLaVqGNMRwqH8CdpYccFgcc8VPAyDRjDrJ
99gt9fBd1XrnIU9efUP9mI5/YuPKtCGc4dOpOcyEk+WNt+owd3/iiV1IAMkTFQYMrUZNl83Lw1ln
FKW7VrQPm5mpV2Q8BNhwYn1vwDGevVePCo4YqlqblnF1eoiESyp++sb4Y4zhByuCkkPuBem+TIGA
lOa87OygetKxuGU8adgcRE0UW9Y6UQxCB/Lmq1FP9Dx5vq0WKtBAx29AoQxWOxaFM2x7gmaRnIPh
JIWHBxY9AYkweLbGudlKZtCWvpVDzPLOzD7jZ/7LKPnXAtZ4PdsfTGSZwlNoBt0QdWLaZ3JxKBRw
bpGDbC5K0JUWSQp7zYdT7swa5F2aC0IMFcA+tKC1GfvOhlo7wwWLigJfBZsZ2DCLPcrHfy+V35Fz
MG6yqX7EAKEkqY80b7vq8T/5hqk5N6qrSZO8K+PqzB392EZmySg2/eH470Xp5tWjPDAm5OrA7X7i
yk12mWVendF543Mzj+tJavIltf1k5opxW9hPyCFNfTJsZ9pPo7GbFYpiA359xYRrh2M8oOCKL13d
prinjU9jzD9ApoMwWTwUtyKlDYVLuge9iCm4n0iQpcznfAguxLh+xIwfxxqa17QS5f7hHkozgyXj
PIBXIfMFHrJNGcVioksS4VNXdsYpz7yPxTev+TIb6zAZGYb1wb2mmNynVn2Z6s7n7e+KaJLLFynf
3O0HFgGk5tr33I4BhelEgeLHowaDfmKQmWMLB/UjT/HWNHErZyw5H7p7ldbOzsfHNjD5wbFdF8xp
wAaFNKIIDk5x6pLK3YTMTlYtFRbcRucwuhNGshZMz1LfRj5gTyy9kPj1g6I++NLCOWQwaPYGS54C
kjbrJmcW68F9mAbbe7EkJplpaaP+8SMQkIew3JJoq734xU/nZ9ZbI3saVQBqSYP9Wubh4A4loTtP
7+q+P/QMyHYpxCi+gx4etOOtKZXKViWHGExgH6iQcFFz1Gi6WmTbMOwYo3jEjozKPLugmRzLm/BY
+T9Ujz7DB0ebp0L6LFIOJjwsITqEKDrrPe+qj9Iv31B45TacR3+n+vZ51vNaytp8shaxG3z9H802
KRq7esEl/19nICt3HbpPPtZoqVzlo/IG0t8YqZitAABlKi5jhnZtxZzOx+UUwAFv+u6iSjLHDnKV
W5jnWY3JBiU93NgTjkAPNAkwyDTZMI2pXsmG7asWc0+dYfKcLPmYG6e7xPT/NrKcXsF50inVzlrT
zEeoTZceRZtoJ8HlMWypFztvXPv9I+UcHqmKsSHw22OCNZ6DvmpXTbbghQzcWxsHWIoByZj4Rbuh
+TQbUJbSbY5m53UXSxUc+oJmKkXUNhS+5qFFmNIizCMQKNwGJsvwhnLviPZK/PEnYbbAt607IoW+
i/OeoALOrXGdaDfdYAdkRmQ8p35ZrFuO91XG82bbVpi5suajDTHZYidy8Wt6a95V0gz1DyhisbGy
UR9duuW+nv215eEsYvLjjc94NbiHfRz8Xn3zk/yApR5/jSP2xfKo/PPlFw64u1icfYGteJMZpMIk
AetA5P1GZo8Fm2NhHKHOtVvhNm+1fOq1y9nMb3mdTtW+k1jKawKES9vLlc7GxwQT/3swSibQajrH
JQ9yHIYpQDYHY1OjeEb3NkFVTx7p0ngY+Dyus8evj6ETRsep2vol2DuTmOgWhul+0sMvVFic2pxD
2dTpC2BFCk5lcKQgtyL3/FHOzhDY+mhl9YGJrv0EW3PLLhL2dk7DO7wXgM4GzpWluaUJ+Usx342h
0VHLY0wZPl9cdNYGVsYvxCGYw1ZyFWA+s2Vg1FRygEpLnRh8EEzNJomQb1lRMNMYyFllW23F1c40
8zsM9dNc9ozmjcc/zIyEA46lsg77Dc8/JB+HxFhtFWeWHfzOHqfrMHFGwx5QG4vpwNZKvVvuhHUk
rPEm2amzCYuSPQGT6oAe9O+2iRSgRPuZfHJNl0jnZouZvT/NgSNWmf/HqnkDDQXhKptZK/tQjea4
ujSYFZ8EvmAk5QaLLKErLbO3Ity2i47XI7rTuq4Mvoum45DCHBLLa1qaauuYQq1JhRJZTnrkEifx
mJCgoHGfr6a0LFfN0kJ9NIJ924Tzc2a13BO+DHYJMoHy0h0rxlYmS5dWRuhlm9mhcgmlcSnGBOUm
lbsJ69JKL84JDxztU0KwcmiiPivrI0G5a4iPhOYtWael4RAXXvjRSr4JZyLM2tnF8TFrnd1y3I8+
PgXjgFD/UsfjW9ty5luzfOqabh9YphUZBgkvdno2Ge5VIsLeOqu5oKqBK8/MQXHDkbJAdZZ/+2aX
Zc3v0jERzLJgH9ozmQDefxEW2OdCb9yNVffWuuLqKL6MXZ1T5xHjI8vm1DxbfU6sbCS5mXfh22L3
7j0ZcUwF3DnLuOlpFwAL+q+FLJCg02P5ECjHJmGuxeCLnmk/xwVJKpPwRt0uB5viazPi6tvmsjJ+
9UP47OC+zTJsUgM4/cmpGakPx7m5pCVx4DjO88j7DvyeuQSc5kkSVC5SaH9U7ZW0sl2T7wOarzVF
8aExgnID8O6WdISnWh3e2gk/CIES5nqdeh4rY3yyQdgxMUJNb6aN4cBP9lJamHZ5KtPF3fiD46zG
uL+Yo/lOx9M85I//4iB/odNrfZuZUcGQysqPPpbKK9nSl1rH2Os9WD5DsjFsXTDiwgcqO7Wn6Ssg
CLkPqz5OYjEn3bY34uRs6pvl9fpUuN5/09g8Yg+/xniGa5LNv3VPZCSjOrUFoN/gOACYfWRet4Jw
LtEjnNRhaTxNcH1zziXGCUG2ezxio8At1Snr019jjZNxRqGdDPm3pfbdDIBiaULn4jLaZIKR7TYW
rXbYou61maLAbBzolLMPhJKBbJUzDga3f1ThYBy84DKKlBSOgx7FIFEdPbv3dsRMjlbOoRukoEKN
WVqkpOF26HbY+0bH2r+cjImBX4NZc3yk9KNRVdI8B+B5UjWGP0IPEYvuvS+NmXQ1D2722tnbhR9m
N43+Py/yh2pFx1jbOWlbXZR1zzCNXVUGANpnWKHtmXmqsF4LeunQcplmWSEiu5y4RzI098Yw/k5t
genbHCR8lPCnQ5Tb+K2hDyODAzVh8TLVrezjz3iog6grJMxO3aBSCLFVc4EVbeLCF3z3ZZ7a1zp/
Qnt3o7g1ums/e13UhICkQw2Y2a/5ruc8w6bM86SLa8KMo0VJXeriIhyMX8ZcdqdRO8EhIyh06IXC
RNHi3yl9v9vbhg7PC8OWHV7cZRuMGeBfG+ZeMBo9zUJTHQrvc/bT3w62A3qH/tVFyLj0VtusMvJD
77Eo0TXIh63bZSLZ2g7G3l5SbGjwfAzG6pRoOFyY/zY+6aSyJuqE97ez9WfCPGa2A+ewFM3DBVG/
hDXV19CNdmShl2zqmdyaVkTn/9ROIo6LM6z6wH7VZYAt2f8MA0XYG7rypvH9ZB1k8XSuNW7WcGnf
wqSKxtKvnye05lWKyebgaxKxqX+cYaqtajGIbTX2ySYUz9gF8VHSS+HPTggXO6q//XvhloISIQjd
me1IK6rzm1LVkUf4JQ2FOEz1se2r8nYng9ncbNrna5bfOvkex318NdspvxPfunpzTopkNt11iBe0
Dhf/2jRdeJUhQonTBy+J9IKXNMEeWQdmfzCVuc3x6l6SPLyQNsr2nQuBMDbiXcgc9sXr+pEFpFMU
hE4bJeWIIo2+sE7IKkU4/zjMGL1NjT/s2YpKCkDw8wjvW2/LvkNAYHXbMfOLjecNwbbOHv8E0DHA
UEDzHjrZUWZjf63L9WDlGSS4JP/tS/Opgx67Rgyr7jGPhlHANcrgIJKyG3cBhI2V7Zm/46CFtm20
OOBzcSagPh9dUq+yQchJ6+/MTt6HxMGEaOEpzsbv1k1gJLUT4IPU61bMtFOeJVVC6weet5ygcyQT
FNsqWczIwYF+Ln/FD1xHXjWrohHt0SY2qx3Ap91SiAhgMbuQ9cZW+pFBLp0TZSz1uDo5fsKYvNIy
elhLDW5g4fffQi17lmRHPIy8VWBSGFc626UJgRZwJshbskifwF8kT8jce2xY4Dfa8h3AqH2wS+cO
Q+RSAbDefS963hc4MZ5MLY5B7DG2iUHYm65Xbg2Un4vSLEQjqZQzfKo2oZ+8VjGigFdBc30g5nKH
Tz6RuCY8A+ezIa7r0Nt4c1gBvvB/PQY5T32DOmCWibllL1NkWtkTu9CriBSPWlV8aj1bmozLwz/h
6f+SqeOtJiBJ7hB/n2PpYZs0tDRxbL4WFMc/GWGqdlrE14CnUfklS0bb0n5PXWAQYzMdyW94c2YD
BvkKl7w48HWobjks4mAUzw3Rl01naZZ22MF/wMJ/TLaF/FVVT3jLoCkxy+HiLX/a8FKgd2996iU8
tBbvbpvSg9GQZ+au7sy9pDIZvdrelSLZly4ki3qgWyTYPx0XXK3HtFAPkzmD3EBmPdJuwJlv4kSl
+udZMTPNZX58L7up3qYzGZ/GlvG2TNVlTAx379X+oz4PGSI75oYZD0lZ9zUuK4hbpT2smxJVwWtq
tZEo3ps6yT64sPEBWgsPp1IRylkcDNukUQN889Hjk275IV6XQOrXym/1xvCp2qQtVWRAjtwtnYjA
jM6R4/7t2abKcxwLpG8tfx0PF7i9qK/E4BTOlcQAZsR+VJTFXjQGWzCS9Pds1zgJYtERJnAia6k0
hqak3yMcvYZWp+5EgrY4VfXWekhuelLr4QGGFbLOt53t+L9mZUfhCOtgShT+ivp3UGOU81C5stxR
166d+oPnfs843yM7x0DIFuX2OYR67VeW/R8Iqhc0LgxDaDWXWoOA7jPiLX1LKZQNzgvHT7Yts2Y9
0liCjsat4xrySKrpoLLgd+yGPQJnczVrL7vyYYZoKeMtIq+Fx0WcQi/aOgNpQK9gyQDywcoyTRs7
MHkwFP2RRbdTR0VTvzcWATpinpGZcuc36QgVtk/JmYRPTmlm+0Zm7h6n1wkEjnU0Hi9F8OFKd4wK
j+FTH0/VKRbm2yJpxXTHEobZng5tmf3KxokwZ9AyF6eVFVSwjL1GFrdiKOBsIO8jO3h/5mSoKwUW
UBnTbHdmvs66t1K55pMdynw/eIjkXt0kt7lOfxRTEiJCAb4YqAZ5HX67pCHUJg5dxuIsmoxweJNB
xX8uiZsLnzMH0jFs8HjZLzI7sEeTFigcUeAxQctbAngkKnNfHq0MwxpjxSVWT3NsAEnplvu0yxPj
eXRtA7tv5ZJPLu+9m/3nFvzsYTs1T+qRAvLq3xUjzGsiAmPd1d5HLYr5wHiCniwdN2mZ7pTWZKvr
M96c4ah6saxay7c27IBDeO/Me+dnPFdCeRNAclb0tPaeCcpEfCjU1FJlreYnO5/qSE4jN2rD2imG
NmSNahuQPlXjKp61DjahGVPZi8cUFhd8ZRGWBWr5tChn2bVsCyeTHTI/5gjiuOk+OTbLlUy0Agjd
EOAAa+YFGL/KzOjW/Wyybd7ggA5MZrwK7Ljhy+FFhsjAmW1k3/0Yrw332rnG/DfAmNQzfnyBQ7BP
sBFv0s60LmF1J6BVb5tluXKWnbE5ONguwQIV6aHMzCZy7QoDSQo9YqxzICPN3UoMB9koztb+pADE
QYnww5FSKJsvzMk/zFLvBgnNx4eMxWjsG19peIJbfUCRWtYeSxqsmCj1mJYzeXHGQXJZ8PKQVLV0
OG9qIJ3r1uW51hXzETtz2RfFccqbr9l1mUCCEWc2SYDBlOqoRudqFfq/cnK7jXBSStClA2a8tmO3
J/A8Boewqr7pfQuAE/yWp/JJTjKIksBAPxgwJDEswgLgiXgvOHAzX8rIJ2oaiZwPJoG828qnTWKx
aGTl5Zmu6tTP3AUjJIBAo4wquOxHYleJwETrxeorXnq1FraHj8b/O5ULZQh7rAvPvAXxW5/4IdVG
MfMQqI9dZto32k0mOYfS+1E6vTg5UqZEPcTGxCKSfJOK+IxSRTKCRNIqDyvvBv+h3qhwISKf9a/Q
0tgTQldvqH/5HwcRnJ1IFg4Y8vYYYOKeWifhCYhfn+6stZ9RXq9DKa+tU/a31hnekrpcDg5NGYZN
3L2Gh1m9eQDdmSQVp2rRcg8V4IxTYEuF2671aIIDFVDcA8xhhFouzUjIAnihcRV0p6QEEju37wBa
7DvCwNfC4lMr6exd7TGYtOwKaATLUQgq05SgpR2E6eWoILhakj54qnBBv5a2YHsFJlwM8Ai9Malk
t2alnUMYHrnyBVD2UWQAyItaPA0UmnpIAsgcWO2DBcKzWX7KcbT2YolGGzmtQKWhqf6k7Wbfg2G8
G/F4a4P25j8YT1RNe9nnp37knO/wG22dkDHCYiU7MiMsf6htEsvOigRxjsmYJ7XDZL2uoQ8ykv0q
E/4wpvrF0vO76DFJO24fIDOUN04KawP4A/hj7v4eS4vd5qp5m8X45SUD+0AmkDlVRxePLdQpg2Hn
0nNaY/FqmBlgKYuIn+G40OMxXLrML0uXaJQcyjrK2TC4wiC8G4xl2FYWqrlK5wwb3wwNIXHPZvWc
G6o4AC8DGIOwsyu8hrgH9hVdAB8ZTX4XbrxkCG+q2NdmtebGC54aBM+gSeS2zdV/hefwJHTZzdCW
Dtw7W16z7L9F6jbCmdesy45bhI6KF0d/WJ43Rp0y33TNatbQNuatXahrs9Rv8F3m7WxnN2GDSdIN
dvupRapIAqDYy4MfED/YSChjWwEuJ4Jpd0ZJ/DMbF7/gNDN0QsVB+ELM5dkThGSXxDu0sfVtO4a9
bf5o1yaDntrTPeUmjEshI803LOOfpMGSGRNglKohw9R9Dxa2SEzA+T4X6VnE6YIL2qp2ILeIO9R9
tU2+C7UEN1k4kcyX/HnmVFkZKCYbRPenUNQJY8tn7Ut7K5Py3ewZDfBY9bHdQNeSOD2TjoSS8XAK
W/hhnaXaOS2uK1h4jIlzAbhKQRKqAgIoQ8W4qJ80WnT2lzACF0y/81w7/xgFCnWigQa4i371Vdfx
hCJGKqYGZdVFjPd0dRdpdh5n3730tbXz3eFihdhVRMf7qJQ4h2Yx7GKb2HrTfC8DifF+sjZo+n8h
hrFlqp9WpKUVe0yM7TTWyaElje6oMCZRidgeILNSvlIzFVZ/t4F2HgrZsBd9aNlkc+16TIi+mMjD
dxBxkhgOs5Fts5IAkKMnXuCOPJIrzsYkVjh5tDZDMG4UJCAmYNXbpBPQ8grFHb+aYWMYw+K97xUY
tNCKI5c3p6WMy3wOh8zXJ9doWQ0l8vuQ4rtdzOb50UJREK09A+aD6yX3itAS/DR57x4r8abpDwY1
g+wL4DAtMSZ4AQ2ZyRqXKrXMFy3L7eCUx3PoLS8wyOBGBP67Q3eNA5vav1dcE0wjHhV3JUDleeNy
GF0y3gzdN3OrYh645WaCu2cH08+LW483nTnzIU7yfVUFVPExqje2dFbrZF99T1pn8Uh5so51ncRE
CpWZfg4WHi6Yh1sKGWSzGSUYMRFZLC+cbVpOz44rVnmdtOvcsSW4bvmLxTPIEojc2sbfDQSNqord
a4lPIs1M+HXh6WYGboaRm1ek4/T8JAg8PmoFO23gbVw0hG3Ca+XL2OI7BZFTrNY4N3GDm8wS8jL5
KjTXfJYTa7MxNDER2y3Y8VDFluviEA8j2hdZQfMrcUtrJceK8GR866vmgEiZ7afePNdzjiVnBuLL
gC0ya7PEIo6bj5kA02nX3SZzQ6yZwoYjgIgpBIFgDNPHrIlFQLX/y3XiYD1yQW4yy/sxyzDcL1Ye
kX3HeuUjkLklXoRCsY9qbDKTrWbJAepMtRclz3wosITI2X7mT8hlVZaFWy60FXlOjL9NOhD4okfK
SsKgRt9urUfEZMn4ijGdQJdVjxwTm54skqWDY91Du/pNAJMk/gMOKtvhamLfXvVYUVdGzn/kLST8
mI2iHBjl2saNtunaClLbxBBVoRlrQfk6F0db/W7MeA0Dxd4qEkbNUrxa4Os6yGCDTyqWMsnaYPzX
z4nvGg/H43q4DwUCJ7gEElwl71bdKqxQDnjI1kWPzOkW6YBWXcv2aBbVeBTR2S3LMnfTqIcjCZcg
g3Xyu8SKz9pCfaNSXiALM7VgvBu1k/PqokKvLbOIGaUUv9rGeXfslHTxAjaoQCkYH7GSFlhZ3Pj0
et5f3N3jTsKF4sFF3LapAuAkAjexHRA69mcbZ+qkzCMzIZ6hbnppJyyXHBMbxwQxMmUJe9XMjWrN
9pDW1bgxq/atbNinlGGw9FPxBhKNq5MlR8a89rBlsm1NYO3yU5ebBF8sLJnWWx6VuQ6OOhc/AFKP
dd0Ax5hxosPgXy+PiP2Qj2o9eWrBmwPFKflyFLiDdAm/6UzirdlW7wVnI6OCjpbMqCSzDOyoGKJZ
JbRM9yUdsxNNHS9+8ovldebW1d8FW2IOfVJRQCflsyBEue5OU2XiSXmMQyyCtIyDwt/LOLiXfy/W
4G4bdzL2irVyrIUDHRJDKZvHx1qOjiQIH2aW9fw4T1dUYrtHHDiX6jIV6QUOkNi1kpuUJXhbnVgv
qWFQkVV434Ibh53cVVN+cft2D8ha4e8E3WgrWtLF/9sG+SEs0DUqRvvrYBhfF9RxtBnWZWG4Rmvg
/vQflkqBMD5ZGvRyUezcBUSdu+S4B3r/4E+wpBd86WabEHebyJ3HCxqUytk+yHgOuhWs+PWcDtQW
1fdUoVhVPBWz1vshUfddQZVULm2SNbfP/PSAt1MDUk14LjzWvFSBk23rOdmnbfajGQnzTnFNh7RU
uMW+QmFSZAuAqSqIgcVVKSaB4bslnrar5YZStj2CSfqPZS/hS1dsNTDNKY4T+q6i21qeZsBUGxg1
5/iV//gxhUzTwxL6HyDVwiOOOfBrQ35tRdNv++HcdDW4gmrGpzbY9yFfjjlRJTi7hDGdcpvtCUjO
x4UUs+eM8pjan+UyFsgcdRENIT61apxudhoTMNd+jKTilWunhoBOK+tEiZxLHN4NGAsZO6d/LxRz
7qk1ZipAQVx9HOAt/ftAM1+9LhlPfvpZBUsdRwKt8Ui4oxH7f3+0vUHtk8XdYiXg+3TNT+16He6M
lA3sjxd3ZKPnvz+RP/n/n1SGwL1K/MrcmcFjEEgygkGN1fvdaXm8OA27J/791Sy6OVz/+/u/j8SZ
a6wwxskNxCuL1WoF4PUJlZxEK3/89488p+yjLcS8DxUitf0/6s4sOW5lu6IjwgsgE4nmt/qOZLGV
yB8EJVLo+x6z8Vg8MS/wvrClkiyGPx3hkCXdeBQKBWTmOWfvtZVz+PgFlAnjYytKBaNapsmzpHvj
6uL7mGLTx3qFGqy/+vhlGJBdIgrgz7Ldl37vnGSWDigTR+Zehn5qq5jd7OOXwuR3o7vN8rg6NOha
wLTzi4bVdlXX0N7+58eCR/8KpjndqfmH/c/fi/Ypr5LklolBJZs7loCRQYsP7FZQYpvaGJyUTPsn
KoSnooA3FmOYGTDL3BD2PaUHFUN+F6V/tF1Nw2eonBd9GE6N7VNsCFQdYDD8d2wamDuJu3sytahe
gcu0b/iE/o6WJpippAxOXXuDcS0GSRkW+8TUpxuR4fICuKyemyo/wnOV71bMyKlOx2fkEQHO7am9
iQ3k+j4QWIwJZnDMHL3eh1EQHn1R//t3H3/nz3/38TsEWec6V9iEUXY+wTvZ5IpPYtZEg0Dw0g6d
hVqbvpN8/PijhFPLhESIR5XhVPn4rx9/bJvG2vfJ7UTQxzo3O/M8RKa5Vh7KPzS8w6bo1HjwDQgV
oja5m2mobwxuLDEr9bodfLxeMvvayjG+MaRDSa0CvLD2sPQc3f1Sue2PKEviN7IQ1kdaENxzMCe3
rEYQZTQELDn6ssIwqr3T43BpWu0hD1W9VQmtcd915JHaY+nqMUSS0iopcI076D/GWatq4/zP70Ad
VlZZrSrh1Ss3HM07LxzG49CMbx9/miYctRxbLFwjzhOxxTm5dJ72YJQ5r01kOgcnKPWtKgmwHHAc
XVXsXWRHN+ePXyRGb0DeVn2YEiw5ESJzxnXpQ+I0r5kk++TjTxwM/LXZKX0Dcm3ruVPx4I4DcDSp
VddlnJb3k1JXVSziZ80xOEO4xhMBStoyxNrw3MzcIs6nXxRV9IHOgbMaIW0/u1H+GKOuuQubSVxB
h0rQwvb25L2Q7rrjwC6olDRv40wxtAa/+8acBPqvHBxK5V7fylHYvJ0g28AWNKsah/jXUOPrblB0
5yM83XFituGoyieFsyFzhcklIyzqzmTc+gOtiDS1ym0tJvsqwOfpFMqtlzqe5ZB9PQblvOnzzL2W
MKyRXMTmlt13CvnZd3wezAfjqjbt8p8Qpf8Tw/9LGIfF+1v4+v+Bva8TnPO/s/fhKv/nf3y/gO/P
/5N/w/fdfxH142JrchHfE+HNf+k/4tcN+S/TcXThmrbrOhAAwfL/G75vWv9S0sFiq1uOpQPgJ26m
/id+3RT/khD8HRdMvsEMTsn/C3x//kE/x78Ig/R3+vX8YyZsJktchM50PlOvzh4Q1dUpbXZ0UiBq
ig1PAcVK1nekMxcpdG2AjYMCcRk7Pfuj17FONuFXl1E0uJ2g2Mmsv80D1zj9dCv/Hffwc+7579en
5tOFY7IHYeRR7kVmUpe3sY+EXKO3yzFmHJl8oG+PdP97PFO8KBq8dWyMGJabzF8jqfhGaCaoiHLf
WW7PmUHs8ii87axP0vkMvrZfbxwX5gpBmhR9P7zfF7E20FCzkYGTz0FDoNXBBoEQ+MrQmXUrmq85
oMm97bIFcoe/TVPbrOEWMIONQ/q/jA0Bfc95KPFLwoi8bgjU9Pzu5pO7p89X8VOygjCUNIn2ksrk
4UPNcpHD5gmlT3pmMfEEsbTBk+pQpdFUDidtoL2mA1bOTe2xbv1HPKTuVrOGYE1awA0qLHBOA+Vd
idoPiFL8NoBX/OITU2VF+tfIZx6oGgsBGSYJ+q4wD/RWtasgTDXmRFlwGEKDo+jQI5Vgt9zlDtUt
HfN8V7eMDkIGarfD6n0afLFJwhqDWsT4dJCZv4e+iyYZFcGVpXdbI2G8NkmZnGG9AmtN1SYt7eGq
tbUzL4q1pwpwdqotCqbYE4m0iL0yeGcLp5q8zTjivMb3dvTUYBz5Knd+18bHEWEcelOyRkOyerfK
Zx1uh0LcMEkqYbttooKGgPQJEC3RcGGobXdem2ZHqSEiYls+pHR/kACyQSAoCA4tVOtoElguezPe
1/7Ub4ySNhx9eSg1UpysrlnZXhVB7YjSDdYKmNdxUe2ImzjADnwyEj3HJZT4s1Ex4lOLap9ZI33i
3j2QBEwuDYLrg3CKb20qE0JxxncHh8o2iSf8Ngg96I/QwUqMjAlrfoq9yTvabaI2nzxUF9FFH8+U
sCypKzZPekTzm/FTFFY1tFGQWrMArF2KrKtOiWroHpj2oRirCWNVlHETErHqctJ5qU7e8h4KfNz1
xte/X4r806W4li1Mxnmo8/SLoDzHEQyVHUhdSHD3pIy4NDXdLW/bJkf8c0yYI3nZIDdtPxHEEHhP
WpiZq97Ng5Vh4UwT7jQz84DVy7EYrkfGmPDrD2lC1jWD5x9az7nA7xoGbgXW+jyiE9p36x6pXG+X
ak12Q73Ke7zLKpL3IbP/rdZXnyR0GRfZY/MNV7qr4/hisyCt8eKGsw5VOl5orGW+m1y1bVoetbve
miRUW1JJfUo1yIPNMSavrRPMYGjW+RvECCgZa2fx93tuXOQtflwN4jzBfqV0i4fg16/fBvxEh4/Z
oll+MwzjTQa2vIXteMNymUBAt+qtlxOpriUAaBhRceDQ0IJObULo+iPB1cGhIA161RZkSzj2J5fH
Avb7kqco2qXBvsHKdxnAmeVB6yAu1RayxxVazUHleOEtZ7qyB4C+UySPUTE9W7INdjbK4wUOQHCw
SB/XNHaL58hQ31svrW9M9JrjqOmkryThbkIxecOzTd++rXZ077zlkPf5E+/H97bS6kMB9WboPLh7
HkSfuFbnoO5agqTtha8dS3PIn9+KPGVh6/wjIAz/iUrrdtbegMFIvmJBQ2Cq0Ubu8df6QfJjnOuw
EQSoJooRoQNOnak5wU1hZloRt15Vi5qWyQ5/HxQVht5EPiDTwehYRq0AO1E8o1N31w7are0QM46b
VQ+7Yui+GUPobpPpnn8qPuRjSfzjqIb9ENKbSqqoRaxaBAdqoA7PO0Q9NHKnovM5xI7VCPnQOkdd
9502vn/geQNUylK/El7PwUENcMFluOtLUR+dtnywi6p68NzuipHcroC4iw4GyoplOiSGEFAS+ug0
goQwrMY4MHLryLyrJh7ms9lEIGKnsiX8XCFiFAAcrMQ8FxqT1Wauh6heevrTEAksp10XbVevK9Me
l7SimA3nQ7Eh+BdEPcFkS07imwCF/3NCgpXqqm2Ozm3nfmh7yTTMILo2UIf244C7C7NPobqbppq+
MZxg9KW7N2GZGUgZw503Fd+dtsfea0PHnHB/0BT40vMwYWlpBzqmxU7xeN2zCj42mXGD7so4tp55
FRcN/64wkfEjC4r8zsKHzkZMmDn17wR2J2Y+O62rSHozosil6UiAArvgyp2iV5PhzqIawM317dwC
VqXN/iItfC5vrpXWj6AwsN46QFs9xz8OelnBASmHMyAK7+AOtx9Vo1OqL6bRffFVHeO7y8Fk2++J
R9nqF5invKomuCevz4OB1t2Jp3wLyYBbWrKcUP8zju39tYNJcj3FGvfVRx1mIPdc6Hr/jmluH8Qa
hZRkgiwm/SRNG8BVSGHZOsx0GTmxOi3ooMPEtfsfPnHRKY7crUDnu7D88F2WFP4QttgfB3xffqf5
B7oQ8EUm4F3ERUT7sedkypgkP5gkxmMtDelXAk2b3cqwjpIUuohmV3u71EjUmBrwoH5VwbLHiYXE
8q6rSpoW0N52uA2Y+MlxReqBvUVW/QM//R4fwqrHKnxnuBU2KtvZx1o7nLuMHpgbJc1eaDgNPCvs
3pV5rbzghqZGQz7Xf5cRfzr7/mF3IyLZ1WmeWToHmfm//7TRehbKklE0GnNzWs2dhzUhdQv8OuFZ
uL58tPhclW09xFGDTnR0XHSuzYSOoAg/iab802nXYjE3haRlZAnzIqGro+DNWYbQUta63OS0kWmZ
DwqTQPBcZWG3qgp469LDW+p3Wb4U4GZtxeEtS+tzWkzRCmPstjKiZok1GvKmfPEi+It/v2OX4cvz
3kQdI+05Ssz6/WiinKoKe5mSY5HiBcQ5li59AejLwhiyDkBdyHleh+M2hYqieyMTieJRmBXZmr54
AG3Fkatq3vOkLZZhZrTPTsopIQlNHPk0ODHkjftPLvkPdYRFJSfgec07qn3xJWOtN5om7BgepVW7
D9uarXLC64dapt6kMq9XpgnuCKX3pnP910YrjimR7qlJUKHu568eXk96XHW3S3X75qMgs3gW1xnJ
2xxPZ71CGqIBnAWzmIJW3A6icXr0l0521ZhldeLo+Mnj8sfvwdLnz6QMWzjWxYkltWhohabDkAB9
8aqYg5jbRFyhpSfwobdpkurUGbbAa6JQtK8Th050abwXBNNqCWcujZ9NL7e2t20oWyCi5avfQQtm
Bi03njkEODbab3//Koz5Vl8USxxrpcVK4RC67FycJi0VVDVzcoolOP9Lws7Ezh1B1JSnUtjjKhhN
VjsVa0D8kE8agdzz5oNtd/zk/PdLsf9wiKGy1HXaBooj38ch7KdXf0gybbQTcG6o8PVtPDCu15xt
h1101U3ltO5GaskWlsmxd9BG61lfnENM/DvKSgmkX60yN2nu9dr5zrbZPITu8GVK0ABnDCfuA1Xe
1ao4FUbv0cbnxVQEkYgmqvdNkWOsJLvTmR1p2Flmd3R8zGcXDYrhXd6iqa8cM9llPLP0Y5vXIWD0
SXKIeZ1psdj3zvQjIcVnM5rZxjLgp7f+sCedsLq2Enuduc25DvUOHjgjdViR3oGZ+yoHAnLAoTLs
e7NriARKxQa6ySmfcCE0SX700+J7j+YNzFOubmsGxiXdtNwt4kebHKlEDg8VzZfT4Aba0pDjK+Dv
z86+co4TvnhCHOIUKKrpSRiOdfGEpBBNJMF20EPnDVUmzLgHoz4SSQAytERHxyp58umKE71VVywh
/Q9zglfhgsBLIHKmviZXU6vyYy/FumaDZ98hS0Gla2Gxx3rms90CAICEuY4ttFCNBNDo9A1Pfsq5
oMlmHzum000njlMxLI2+wXASF9lVi3+UBVj75FWW88p++ZFdgbjJoEXl8ERebEL05v1QD/0lci0A
Z5FpLISvn3W/vq0ozG6CARRY080EVRd372C28SoPrPgq5mSbsxcsYi+C0y7IsY0EJ8XuxY+jDhfK
gO+tAVmDqkhLS3w9QQC9H/D9IRpyToEwH9fAvaAlNkhDepUF+7pktm1l+hety4znsn+qfVFe/f3d
U78XOKYkL9OxWSENyq2Lzo5rAy+PcpTukwYuvIllDam6ugNPe5BdEZ6r9B2hQUfkD0NaYrkIEuco
smdUkTz5ImLlnp5LI3DPgZbqxxCZxaqPsdZh2w+OaAkeNBIfN0k3eYe+ZrJG1518oI7DjT3C/o9b
vaeDThiQi64aTUa5zlNPP4/swVei41zYT/a2DvH19RZNX1FUxg02MGPR0z120vYxp8N/GN0NDpV7
X2o4lqCA9BVs+4zmGNqT5ugZpIHMmejLSXf2KJdm5Yo6xT0JEQSNEcsu4Gjbnf5ZLfv7GguLUSdK
m2x70zA+bv5PC5sTBMxvwkFbUFuEsG44KfoFdnRf0YKGRrfVtN5cc7aP2dSAmmhOXPGJ63s58uj/
/Zs25lL112ebixF8yXQybOrFi1NNOla6wPSrLUYmP0jUsPDbINUL/I69hnXAqPsdxvvrRlFrF16w
CjgubhPtPXX99pNO50cE/W8Xw0PnsMLo9HwvEsZblGVN0gYcrObD6Vjjcsp40zbJvA5kQe0dphoV
UxJU61ww5Q47DOIdLn9lZdO9bsylFI4snsP2kA7U/ioI6g3MbihNQ+nBd9R5vaz6Nas9H4w9pGNI
Wku8O+4noeziD2/Q3JueE2LnL/pjo/3pS0aAq7W4ZTSQ6CugGLumIbDRt9BA0yQ/I3Arn8kY0xs9
3VmBjrLEsE+I97Kn3GJv8DZFHsHCQEa5dqv52ZBKO0DY81ZONN76shZPHcuQ1pBHoxmYSnUgCUPi
yGfk/X9/RMRv/XFlzh1yVJcohGxj7uv/fAbHjo8bcuSjJBWY2VF3+01M2sMxkfEze38cuv5N5ZdP
bkGw5CCbFcSH7qHHd0E2SrGEGa0dCRt/yqrKPRTgahAORtuqsMxDhPR3gZlCbThauwDg9ZV0maxB
nKXS8ggs+vtnMf70YejwC8d2aPaj9LzYvqxCi9K+pZkeDsihRJIDs7e9J7Me4ClF6VkkIybf3NY2
IJOYDznjZiQgYdEEgM50IwvP8fBmz5FZbfkixLjNI99gj6oFGpYUxJCVr5v4LovxLDTdWtdzRFkd
LGV8I+d3SxoLlXj116QIUC30JjAMVKr7Dk/EHfk9GP4hMlwPTYWdfFDNbhy7bUCvkzVYWI/I/12g
qjcYGax7jxEx1H1UcKzg+Qons3PKyum5izUShJviaqrFC4TiCi+/cT/6OfEBbnlvez2eI5IH0MJc
W9PQnQbQ4Ct7osgdTDTW6GfeJb1oZ6pPGQFb2zYg3KBO9GfN7t1F14UnYeOgKpWiC6PtpTZTJ3U9
3ZZb7z6IijORWBXqOFDmfY7uy0TFapNdU/nZuGUiGizthvocqxDuQLikG4Di4Som/wP/aHKlSpKe
kNnA2S8n5zqsBdpfvI4rc+CILKY2fdE4yScZrjv0xtG+Cd+YK7i4Z/P+hrM4hg0FIrs0XywbPhED
936T1XQ5wwDJkWY65TnzQI1kfqVWoNgQP7Kdjq3S4UAOqGiS8rHVGzAyjC5S24tOTKUfHUWfbFBD
/kn14/x+oGIbsHXHYSG2FP/36+tlp47V1yOLnm2Q/+HUbbjSqlYdbeAcqxZXUeTScVkYzm1Tg50o
RPJQTJpzAMvHALMcIRM4+oM58QATShRudF/fz16sL3bavfVOQIJgyjhfyKqic9a0KyJhmt4dXyD0
bxEkijs/1ul75OPaH3STuJ8uXUB9A4BEtx1+Kw3tMgFZiDXxh5810a1RGujXW6chAmZX2QHi74En
Q0/l1ux6Bw7hHFI2lCfa1nBRcXAldBNufDOelYazTVDPvlmyok+OfwGff3FuHNCfIrC7U9g00Cs7
DVQi+U5Msb60JC9fKWTYa8POSBoKfUREprwr2/l+Tc3BDGrteShBF5KkW22rniVmigvzQM60u45C
O/46Bs+TR3gFWSEvluHhHPcsC+BqFa08z02Og5puPSc1TpKxwd/XnD8uOQqApe4YbPe6fbGrsW1F
WS0E3dhixK0t6db4fuiywDANarv5wa7t5zIA72UHx7BLtBtQJHLpEV0Fy1aVO4RzNubVfJ90tEFE
bqszhRNhMYhwNn2IltFO6gKTUxRuVHSM+3cxKGA3rd5+sq/9obVsEm/JYVhKhAaOmA83P+1rFanY
yPnn4z/WWrBM0VVoNV+yKP/amJ7L8h8RgRzirPHKKqTZx8tG3nQPPdB7GaUW3KoaGoCtQaSI8c4K
UgpvKje5dTSxr+dvp0tw3moqefUhDG9GQjfXYij6bQ46TyOxbZlU2XPXyG+CvTQTBjKfCZKp19pf
NT/rcOiwtgz0rT3UCXeyA9cEtmwbw1ShxpjUA7QFGBYCHXyDb5bm+omeYnpruSAYOZnsq9Ee1hgg
+vXfnwPj9xdd8X7T1cVjYdnWx0Lw060LcclmdcS4VNHTWPZ9fRXV6tnXkD7EXfwgTUFgM+OTTlNX
qIlvm3VY9w9oJF5ijYtPDXf8ZGv/w+mPS2JwSzlnMyi6HBRgUOx62TUkJsrgqRq7J7R+Du13DCcx
Vi7EfSR29DBdMhc4G34ZuqFu56+HpODCeuuT06j8/aihLAuZDVNhkwbE5TCr8zSF/giOfW7Q7+WC
a9SmWf8EjiCIv2ZeSiAgUJ01n6ZdThHQXWRpyGa56DjLCHT0gu9JTQnWODEyPoS3Woh/i4bnbWVY
+yl2qUHZ/8o0idYAmKkpK8ixIwGbM+YfbpgOH7k2NtZAcSM8PPsOKGWV3Taiuk2EV171Y3//9wdD
zmeOX4+9fGp6dpbFW6V082IHaCwdqr5DfakYgYclql5HYSeywhYuIeAmCvx6OdYBeOuJhD0tIysm
C6a7ts2Z8BTFPo/jh2ZUxFP45JOEtLb2JYTV2WsMuGLigNGqF4NIoc5pzCfa9oQXB9iWYiMgqbU1
l5U7duuPjyeHrx3Hp082uT80T/mIFiN4h5bnXFT+umwwzsjCHIsq4Rv2i27TVR/BwQwTFvNwbpWP
k7qCRwAdqGS7r6bi3YUQ98/7rZESt/BLti3UWO26s6a9Fq1Vm4efCBrE78UQ76dt60IwaZTM9369
yhqcou92tJwS1T3SgdgGukr2sZjGBQiMGI8UsUAhHUbexEw4QI3G4cFPoidjnqJTSm61HDRcjOmR
8A4TsHAfDevWxiZl20BPBZQCV/vKhnb4+yP0hxfZZl2Zp8Dzysyo9Ncr1317cguLF3mcJh/0E64C
wGHuth7B+1pVn92kgbpyJgTSs9iCtx4wsLSQi+QHGVTykxf5D5oVrsfRrVl8YPOlz+XRT2tdGiZK
6IoDausSjQBtptrEvRkRyixWE9SokxYgqeg1cCNQtzmPiJfQZiD1UaZ9TPrdiTEdOWwfPaBP7ta8
Sf36wtlcntDnabLJTPxC8WNoZp+i+mWa3HsG+YkDdHasZszRnz36IoTL6eRZwLHiLOjm+3YDvxDQ
iHr4+3V8SE8ursOhSY8Cis/N/7t43qwRBm6fs5nKtnz2JpLkyabur8ce07yWutlW1DC82L7gVndB
tLEw7S+Ckiqsn3qGX7qBf0w1d70xj3wo3rYF5Oh2KhIsGAPRzppyt7FbttiDUrHVjSebAw/A7OPA
lrpAqwXHpAT0gxAlXeN9+6JpGs1lNcgt6Q6nwiGnU6/tmmFCPW0mvBD7LDXvOxHf4lSbNsRbX5OZ
TlUq8Z1oXkuPNiseHA8ZIeTjBspmTaCNR0pkqRGElNYS8aY3ic3f7+Qf9AHEimEzsuxZTeZcCjKQ
3XhhkDKcsbKMMMsnzyZ4WsF0r2mX0madY6vlMpTZARYM0KY+P3tUHOuyDryjZ0KZ+vsFfUyDLr5a
2jsu5T+tFZ60yxcgBznR63Azhqhj5giTOa8xPrktwNGKaYMtCOkFzVssNH1es+Mx33VYP1aRLqki
RRu+0Aq6K0LrzYegsqd282/lZKwrzYzJYk2slU1dxlCfkNQhS71l0A3VLtasc8VaGrfxwWhGgS+f
uDtbNnNSzl2GfPt2DMYegxXAc4f9bdTs4BHcO/mjSf5quqAETeBEtymCNKylnb9VgUXAV4IQ8u+3
yP39LeS7wn0nbClmqcLF0x+Fg4HkvMB6kyl7rwEOPjaEChyhgtbjAuh8teGsMZch6f00WgzSepNt
emj3SdkAAQgGdE+K2G+7uPOz2t0SAJ2sy6kaMIoRRipeHULQtxxdrFUzOj9otBl7PXG+SaJeD0zp
9Vs9YlMNIJDgJWif22KIrrrYjq7c0rA2Xj3X4+HAyD+xxZU7LYIKsfeAQh3RV7oL4i49emGaHjt9
JCnXGaJVCOzgrrP4FyM6djdNNJFKG+MG8usEo+34VuPAbkV7rmvikfzKwEuMrTGJ4GpbRkNidtM8
x826SJgTNJYAZcVg+GiI5qlQ2aqIZ4iGA55sqbnDQYKTurVDqPyO/zQJZR4IupaMx5E/hVm+dkkg
2USBGrYJhwgZ3QuoryiHcbX1hMAIbPmFDQBIxF9JH4yquVONRWvj4g4//fOLKz/52v9QDjk6ak9i
xlF8ctiZH4uftobcBABciB64tH+nB0x1nOxN5tpN2BGmq8Cc9EmvHaecdPuq4RQGTTfMx/DgUDc4
EbTnsB2PSMewMuXrth7uwwFPTSu82zSfthKd9P6jfQgNol04CNCRc8afnBSMeT/99fWeZyDCYMvl
PIMO9dcPgUBGwLyZ8caBm2/pvXT7KqkxfYnsKtzpk3OwPeeuHbW110TDNZPrbEPUOyCJKz80hxOX
6aKdV0hKp/wZTSLh15Hz/e9v2B+mecxnLObVHC4B/OkX+1xA2mlWtzwuGHS6laUNjyjYMfO0jloD
LOsXY8j815vgi5Ox4m0z3qShwDLaZIwA/34x8x25uGPW3HlDZqtchZr11ztmlTjR3YLoC5RJyxJu
sCqyTxZd4/fhFEuJPm+pc39dmh9Lzk/PVukkcR63xOQ5k05uJYUlIEQEYqcyJBabvkW5brPQPMpc
+SuCm3kxaZLowCXKMBlhn3vJD7crvVMsfe9UxZytU3BujJ+TAvdsIXaNNLYuh7hmIXlVT1DnOeac
rHEA9shM6gPtWCEYngdRgk5iP37n+QyPqOcYZPRE1NQFKIWM6Lqj7gOm0qyi2+oN87IwYhbR6lP7
NI71imOVPIgOkHDcnsYBdI2dwW/qe/nSm1QoRsNpCs75MnKTV0vO2dAVFxCaZJV4iNoTHjYTdObe
GgGL6NYTrEpCQNPiICaUqSTerQK4wfux7L/JUjd2WXKWjNVXpopMjF/NWjIVB0mbYorlmC6HNDhw
TPKPMngIphoREaKpVeJi37B5ugIvhQCjGgHiVL9TCZ3KtMIQkVGzRUETb13Cr8+JO92WlXmFHMI/
ZdV4NWYoNdqG/HewrksvIUNrbJF1dbFz1UHrXzmjGa8J3GiYpMWs32Ee3PnWgRlkse/CY1fAcu5S
JicwqO+1QcfsNEQ3HZonQB41bu6Y6qHUvWptxqZxDMOa9kLI/QQ+4NkblYB+56WwdkCDoMo7xtGe
PUt9Rui1wCcZaAV2wdLBOiJJEKehpg6SQxMwteHgO6a2Hcgb4Xvs089e399XmXlnlBIjt4HU1HUu
Ou9DR7QzIDKctZaJEd0Pb8yp+1rZttxTYkES/N5YIfkLUUxQCRPKZQIAiLyAOsfHO/F1RbOIWGfK
lkTaOGv7qAmFPTC9j5P1lNcnBsTR7sMexQNTL/vGsZamk32vISsYVIhOQ6aIGVnADorK3qL7uQ7i
or4mUfFoTV9drSPXOwcUor8YTRrs7cQGL9qI6xCi1U4M1XXvudWt5qppC4UiE4oQO9lcfWD+wcjp
YBYOQfrO6INANWsoEHLpEXPvQhk3Xrm3ncA7mH3cHoOYJZRtOcOBp4mbKColUXERZuXmOqp03PZj
kF8bdpVfT6L4Bu7meqBLiAhqKPexKm8TOb3q9YArBHA+Weq82qARF4mBW4ddeVH2hIAUxDonnovC
0d9HioNzNijUiQigmthZ1XxCEgvFRtRz264kcTpBobSK3anbhQYxbH2OSYywjKnixKcKYuhIF6WL
RQsccRVowMrsGfTjsqMx0133hX1nODnKbAllNOXkQ5OwX6nC5VBXWd6+Z5QclIY6FhSPxxQBArJL
Ei9gXnmmD1289LNPanXyGX9rSNhyXqHpDEl37lterNU2PlKwdzxPRUnKdlTtyWxZVbnxpRZpt2lr
G7jK+D2o0TQ5ejEThnwM0iG1ipnaT2i+ARzUMJgct91LUhx5OcC1TsE3kdNVKkLju43jcQHB6jX3
MHn6Bc94HvjrqNYmMOWMxKsZDwTfcRk15dmIiWANrLfMG25xQz8WGYr6qT2zkW01mod13w2k2tcG
nYNpHcmAxBl+ogdUPo/3DW45WmA0dVwefaaEDVEqyVYb+Rb8odIA/QKmgTYAjkB7q2tGAxYsAAy7
81GEpAU9Yzwa6drGrOtdYsfBpg06Qgcsdcv5FizpuHNqTO121q58QrwWzWwO7jViYfqH3HPfxViL
RVyTpIA8bEb7qe/2CIetsSJ86QA2YtNfxrKkUoYUJgtiCAxQDiDccyQDZYligiEmAfM1npMivx/S
bq1h4V0YthdsULLO91J/LZrG4UQ04xuD5ug8hMjENphhZ5RpfEfNMyIEBHQyFDD9Ym+OZHfwrtDG
C6T5XKczaqwc9or72BhwsMFbRzRf9ZcxmdTWh3Cvl1q+LtV9xcOx8orx6GQVAadw9pBvoQtkcpMx
rl5HKtfRIJKZOoIusyHeZT4IygrYqx75L2gaT0agXRFPyCZVcHPQzsC3Q+PCHPMA8sVZdiO9xsSP
lhKDRZ8xk8AFB+ey0L6yAj2PKZhrsyKftxlQW1j8KR5tDoWRvYos6wYBwDXpMu3ai9ASa1pyHYUJ
jdYQdGyuBTeB0F4ZWh69TBDKwo+hlqsXCi4iodLekvABBJp1MK0Irh2zdo9Pn2TptHXWnZ88+519
PxXxAcbGNy0Q52RUkkU1fIdIadaEJ9jxs+vwaT0DoxxHf+AfBq59+ejVfbhMU2gAml++9bVLxgvL
nQVmMeowF0nLRdybfNFlsAM3a1EeEteW5QWBGdbZaaJXYiSvyp6P2rrcuEnr3q2o28UDlYzl8zcG
bMoIQAMTtBkgQcsz9OMffZVzg83sMQIjaftXIuK/tmPpLF0JAjcI/BvfiF5hOt+HHgnldsdwpeZr
l5hYl9x5mCD27RACYbA4spBNzfsSD97BGzgvYjlFXz7JN1GojTNUR4jKBa4CQSJzLwCT5dExgNqy
1KuXYMpOmHkFMwvvHEtgnAZhWSTgxnqZM70iDQzuSrzBQZtDedn5kZ0vDEELtEzhRSlLm5Z0SnZ2
r75NaBs4v7aM9mxmdW5LiXQzsSbOQ7FkNRHfssy856nE9ANiAqFa1qDYTNGe5OHLMMeeYhf8eF35
BoN1CePBDqI5+5HAkhmEiu+ZVznsfgAFWrQ2+Y4TWPOlYZucD7w7UTYPvDzXPITwQusCLY/ZbjTS
tRahyZehJdWNXzavBXpRYgveMdIgBiMWlljt6PvUI1hCPF2c88Z5U3iMaYuSCuE7/HCZtjPImjQ2
FqJKYbssB76W9M5CtUnf2n2FwO+7fB7FSW0JUZBQhVs1tvoiz0DqBPqPuCCesQiTZ5jXFaTNaRPE
DTraGOy974bbLo7WXhbfSj0kzbRAJoNEdeFP03vdElcz7JDTpGgP8v0ABWR22b8K3OkLXeRfbCs9
EizxOjCiW4Tyi6HVry1xRUtO5RwYuze/YMWqxXidsVolOcpFL+aLxs62dTrzHebxoLSOPJmUBdOP
7/XCONhZcO8m/n3pSOgGNau8M1C/RS68Z61406PhLrXr/yLpzJobRdIo+ouIgGR/lYSQLMv7/kLY
5Sr2LSEh4dfPoedlIrrb43JZkMv97j2XIPQUTYGBer9ypsXXfCuoBO4b/ramz2+9WLknQoPbDZbx
1nf2VsGOvN8FNA90/mmZWW7rxa8PV6LGPLhmQEwbYpjoAdUk1GMD3qRmBX8bAOWAj9RjHyobmj9R
1ypsQxYTfYOh1x7P77hPxkNb/9f4zAp/9EPN+LlNGcpRS7x1hcUABx+98sFoQfAXRsPweq2eu8EA
OVwDEusTusXce0O55QE2C8UsQfOTFdBl0AzDwwLQtw30n66UJ9zpJDImGsdWxcNmFf2DEch/4Ljo
brPryHImPFHpTePUxcFYeFILf35OyvFFsuDvpqTDitExoh2R2dGG/uShfyFwdtTeRC7ONaBwB++d
CsMdiBHERgX4U0G1ocPvuWnEB3k4+5AQt6BvY750zsbJbo9LWPiwl3lmJEVRabA1bXX2fJgmPFSB
DiN7OnYi7XfuzF8v81PKpvCy0HzArtDTFTk47wSi0etE+VsDddyhs/8lvrWfzYkUlRgoN01TgNHb
//BnCdrIYKdzRNkcqSLElG7xDPApvXCS/uMFAEPgVXDIt5ZIk63YcUr/M3UpUcm5gnJmp5s9ng7e
lgYwgmM7XGMbp53WDAOSxtiCFu6Gm9lMXrKAh2nEqOIarAWVyYfaAA6zanU7rxQCugPW9+zeT8xP
aRoO6+SAb39yPxHhUE5BvCIS0sAru3fX9T+shfgUYRFKwYwAMqGIqfP9bpuM1jKPA2C4DPOBrQvk
PuVoK7JTaW6FeiGCbhtW967oeZ6ttNnTCt1IBJNxXBnOOcWTU/EJ5+9VjciYvAW1+SU1D6OVZjPf
RACPBeK3DPJQBt23g55ktPBc6HvBuDh8tAkGOnOB7ejojiKveg+SeN13I4kY1dvvY71ACkwoFF6A
kcj0BYxSsIeHgY2OF9tMxMA+p/m4kJBmy+xOoNZrkAApypyT7lbfqCPuEohhNT2ICwk5uW/U+s/b
2DZKrNRFcmn0gFIWHp3EvUfycBX9RZfAj0aXtOKQKyp/oWYVGnccxyFcqLzdBTBU3gp2ajv8lV3/
aYZ6PCbJwxCQB6rWjMuzm94XiqoHUgbUiFZP9SSTiKvEb2UyeSc0Me0dOu7ZZC7+NLgxB77nkvo0
6chveFW8MlX7YTgAjMbBdHciD167kRAcrx9Rpfk7gJ9zmFy3OdrMmWesGWVJT5J3r/L0eQC/BNWB
OqsZNFPqMM5l3HsUI2c46J3PIw6Qfa3+dpY33U1h9iuW23rg/UssJzYFqxmPwLuX9KxtLrEPg0e4
ZOJvZSbYS9+Kax5SPDpVQD8z9jee09wK39MQWJM7wfqGaLjjOvuG5HptqvBbhXgx6ppa69Xg3BN2
ElAlKZxeVN9ziC3O4m881QWnKgxdzENcHhw2CRBdQAX52biid0mBRFkKhAdqb33wStCb9tnaY1bR
HkXzlM1jAijOihrRo18UT9ZQffo2e2iwGC80k0dZT59Gzqly56Z+ylh2meO0+02NGfM1zC1rEpTE
rX+cvv9nt5Ab7HqAZ+aRMqINkFc5pfEQ7FpjMs5YacDdz1qztgO8WrpD6CzuYR4zzi+dn571bMtj
g4ADkooVjQV9h5CCWNw6XzX2uoxh0Y0I5LBPcpnvRwB1dQNN21pCFADrsew7a6cZlUSe69KNNQ4R
qEMwZ+0UT3BSzy4Tlbw/2SjqwqQBpLTFzvbc7jjofxZgSO453lESG6JChHhCPX/RgQAxduFGaWzt
TROGI3Iw1ATCl0mz7L7vaKSugnnFiIr1Um9Ifg8+30jshTp7cF/9dGmFuJlVMF8X/cOoGNp/IxgH
yfBoWaI4Gdo/hInfnt0yvU7cUndioStw7onveI78SFYIRIQU2v2wLieaVLL/e3UT8chc/J1yzxVd
pgCjlaZ3Fs0aqGo3nkXTkUpXhByf8tMg+1iK+saUiBGChy6vwiwW9N3WPQ89uj1tmZbeKfPPnPhd
tFC+exSt+9Lo/Hcs6AWTa3jrUG/o5sNtBzGJ3ZXyn9Fr4nntfrkJ3XelGFhnJC5zTU2kIccPvrCB
4g52RFUvSZWawFxDtfd6noiWYBt9hh+6pvCN1ptHL83oIJNGsXP8jgqWAfcYH7VfS6qowmeD1ued
trYuGO+SZaTp1TxwHllwgcFNkaqmTGfGmkRDPCO5hRWLOzSHeFbR1Rx+CVcmXBfbPGpQDFnNKGGa
QL1yeBjal9rxJYAU/0sXhAhyOuZrIJ+uyK4JI522V84BJgx7xOSdgxpL3+qmcMmQsuGuLqfOyXck
E76n0HMxOtRfks6kPYpISw2HjvOxhuwW0rzjWv+KDDWzKvMelYvldlrOiFrHxGJe2E79v2HMqG2m
kAxT8cnkebMq67iCg2Q1qN+bGcLcYoxHGLDscskycDM7jz1J8oT2NarjPipJRWJPn/CO9MxDCr7h
yAuyIe2cL/ir0OVmDi6rZf0oH4kKjB1NyMVYHhxidIzPs/fV0r+mJiJf0dAilYVtngrKk8tihEPQ
YuKR/h1TOHV6Ck71utJxXReffVmcPLfsqQh6Xnr5pN2tchI6jXKpXkXVIo8MRfi2SClcLZmCAGXm
lJ3JVy6TXj6Tw4GM2Hi6PpmwidM+5z7djldYzCV0wgQKijp0iv23HMbtQnaYbEpiB10C01QjwY6d
tbj/pL/KXdYVFAvO9qV0KU6trMCNp07HyzTLU45z2l3lY2nxc1CAyM2cpxRSGrcLSUlvD3YgLq7V
SinEZIXNTS1S560Lw7+KR2vn+XJiA6Xtk6R9duKzy5kCzwhRqzMDKHHjDls27gOiBSbbwdYvzFyz
wkge3BmdFV4dOP6NrE2U43cSrXzaduHfueDF2Ew3uaJt75TeuVrpI6B3Lv9mWMcZCWqjKHfjYhmR
SlV/sAWs0NYwXlPRk7YW4Qt0B7A47vJTlMNDOqxvYiqqeMT7Smka1vQkkzWjS//O5/iFxM2Qbloo
z3Pc5KpqSrPrYEiIhYSsCPVzOMBg9tu9t/3HVe+qRsaT7T0ZNJbt8+KegSF9nPlgXfplvAtf6KX0
scFj90cIP81OPxz7XsGTZVKX2v4lX9b9VI3+vpXInBkvbd8Rcqf6UJwElNNMlcAw8pogz/pMJyBP
urV8lxXrnpni3shCKtr6+qeoqBDJSPEYFmqkMQGbd6gecYr8qe/4zhP4pJ0u48JWc5yF+GdtsGFO
pg4wfKgaNcZDOLc1zPzuOvdcxJ3FkDsOSOmW6rGWAPst/bFrFtI2PrtUpHfpcrH9byh8+U1pJF8D
t89zwtjGMVhldQuweJbqkQ3zK9kkidLduGO1yyXRkTGy5cvYBD9d870OHJabcP2au+SRk/24o4Hh
RmIMOKr8hTln7OXtvLPXCfMArYrpzFErQCdOAAH1F8ctaWFwqJKUitKCUcUOvSw7bKt7SQ0hl6rX
xlxm9peWiGPG74yjzwZQ3C6X2UhRVJgft2KZnS0ufm7kx9RlFuMX1nUYrUeEszcvxaXJY0IWiKoI
FkgS5ClqIJRZAkK/jg2RAhvsIaOSmyJN764zjbPT1fddYv3UZJvHMf0NW0YfzvjomEAQg61Pk+vV
2O9nbwAFpHZTBnkXJMuef17QCuQ254oC7IRW6TzYxvqI5klZQ5t+E6pdYtEk54aiK11THGFRK1Rb
W9WJ1d7ObS6RYfaEHrdj9mFt+KhXiiFSP4ispPiZ8w76cpFeQfvvbcZL7NMPo3Yu9Tw5VyZz15Xb
BT7y8tyFZQk7LSBFkV4b7Yd7tR5cmcjYNpO7JjTWwxBgu7YTKM4tkLL0UPFzxoXaVp3hnoLB6cQu
yRjXDzSWy+IcOEseV+kHz1dlH+mg5Rbfw9Loh/61sfSWe6SdQ7nVbxD2v7mb8/RarPlhpjHWNMRm
B9idQeA/sYb99BX1IPolaVAP6tJE+J0kp/ZG/RbVfPVr/9TV/RdKlbhznPInKacf9GvzFDYMZzwp
VjzZJQfsptlbmru/Kzk+QsbsATuKBvzog73Wnxj3uIKAR13VHy6eoOad6UvIVZLDTrtLq+32QjEo
FxlD3JSdSyuovXFKzH9y+2pzVH975RXHoQf/P0mMJWa3Z0pLan/Mv1TV+1dXLZxObekTMWvgykHP
o1X6a95oOLYPN8AYx56AzbCVLRVvLoYyv67Xg2fz7hoc2hqsyjG5ZObkMsBd926UaQ5TzMmjajxo
OiSOquu/hSmrw7gG4th7GwA3iawQMjEWGl5KmIZS9AVE4FurRwfTnnodRYkgBjeH5IpvEkm/46YF
TFbLmRtmmB4oDZwjO29KcKAVBNx8mukfE4+T8o1L0YLHbzXbmZ249qlOlxKYpTqVEsW4yEKa5TNm
q7j9O1ZwzTUqHK9iqdhWM866htBHpzdI2vsr+q/5jA7eG1v4Sg75k6Ap2fH8V8dI9ya9L3NAmQ8u
Kkaioj3knY+FcKbjDxXMwDt1S4PEbY73eq1ZDHCUED4vJi4slS4eAR/mEURYDDeMmsCZhgmtYWlm
sKcG0LJ949MHioMLGjyt2Zg0mEgNa2swx8OsedMs17rznf4OYN8YF5CpqSSEY7ISeaQKYdvOkcr7
waElhkqlBU74jRD9r/aKikqmmuwkSbE9I1eklKxF6OiUd4Rw/ONSMrGnHpHjaxwK84mt4nZdGD7i
XO8D71E5+WOekaYJsCg1mCXQ+Q44fBqUDmarY7feSCuMizxcnkIH6qzFSmzrpY56C6VsgSAQLWXO
5S4x7vxya8JLaSl0qqNhUhyVSaD6ZtMWX07jFvvOr17LzQw0lsOHsU8Mmstsw8L+bnMEdMNjHrhX
XPpnV/t/lJcc2xBkpliLH3IZT3qkn3qTp9hE5K1Nto3T85MF9Fjq9CLYOfLRaf+O08wYJyqr6Qsy
Qx3JhYkdo0b7lhUyApym97SzjMaXSNtfw18H5idY7VGvnc1VLk9BWVwGmwuRmj0nysZoEJTVrrkL
1YTuxhqpswXGzlaDcc6v4YSu2X3V9TcrpxEmIECLg0De2OO0/ZJRyNxW31Wu9dde1GdIXR8mO4oj
DXM5Ib2/0S6c3wmZv3d0I7FBUGgeyvvaZquQlDkympn4/aDrBq6j9hgfUb6GkFwHYaGsNywckN5b
Xk1XLCagMCaniWR/zYcsTghoUujHWgCdrlHGQ9+kr5X/J3FMOv8Sj3k4Tjef0hnhuZwgSPCiF+fA
kJLw1pzvaUBaWUwbIy4K8+SkcCoaialL+sZjNw0gkQf+hGDJ/sC2vZvs3ogDkwFGM5BbwbpVEPnf
KudU/Q8go3s0jeI7NVG4GxBIvAYPldfUeL4daOSz+V462XL06uBngEDDWYabPkUzLS2NMDg4YAF0
XF88YYgLTh12pnKIBt8h77J89kvOYa9kl+3Zx6ew7CH0jIKDDuJt66PXVpRhhM8uuNExuOmciSMw
f7YwqL6eqDvJ8O0cGquOAoxUUvmva5ryTDiKufJr743PbbkZR4Dr8lUk9ec5D1g5sdExwWMUGjpf
sB5Jbc7+kff0RrrKeMNiDP+CnDIBMNmP8IYsJgMk8eDwm6d5wb1qKtWf3Q5cQTdxX84rklZukxMC
5si5a50CvZo03OCI5pDZRnXohPG6cGinRZpmrwwE6tzQ2ml27GvlCpBXI5ewegu+Id07S92j5LKr
TTPkeDLescUiAxmFSag8LgFQF22mB8tjFuZu3AN7LG4W6aXY8oi9aTVcwqrBGQaeXM3TyPwVWmE2
J2d08Xsns66mLT7yRnWXzEj1rnP9J0P2D9VA9W9r+LS6gow+0h/L1ubXR7oNjIg1+DxZ1yJlVbbS
BXYIOya+3asRru+1XFDt5y/QusVtvrixuYTpsXeY5hSz+SORBU+WDgrEScI2KlM3LHHfaVrm5GPd
W8ufD3qbVSTt5uLX+itwpgfVL99JA/7UUtDkcIDtvNpJ7ohPoEYNO9mOxXFS4bs22QBs+0sNBqVX
YWVemNKfvDp1Ty3ZZb9fT1DxwhtKcf+MefUigmvNv4fhz9UK+STzuUmJ7pxPZowd9Iwduo8wW1zG
EWdbOcYWMyfQHmjMqEZHhrFZ5CTmExp7lKqQmM/JWTl5Njq4eBTNXKnIfgnn/nasfSOe7dxll25Q
kPO/7mi1BCu8n77wfI6s612ZpJ9aSrqLLNB5Pq8sodaUc0Hwr89qBsEOPx3DO3QzwXYS4JM94YE0
Y5l5j4mXHSttzEeELiYMnmljHCq4gC/3XA8AsCBdH4bFoApontmoBxVbgJ4IxobrMemojAtd9RaS
83nyK+M21Mt5kKZ7hyx6UhYajeuu7yKgdyQ1vN1osz9Dus2PeLRoUKLgJeyq164t/bisrNdxhZ07
oc4a7cC9e21/ndK+5G0H1GXLEZb6azXtn7CGIe6DFoHM9JlVejo5yE67BqYBFGKXmVf3XS7QBDho
dcz0zjUAGkZoJ9Fxm6RFkzlGM7+UgXFrFDIKdfDShAyNg5FiAQftAcwcz3TIMQhDPzkRkLG8Xyw5
BUN8HYjyqEPo2YZPdsn7wiOBCDGVzzrjqlLxsPCLIb7Doclq/waifoM+RIVRvjXnleqBzZOhcsY0
naLbO091gANgTRmcoYwi2CvlsiwE6tzWpdoDQR73omR86mXewdVVlFM+i8cjzqRLydai/nhw5G+T
FvwHsEEi+3Du1cSdc33V5eicijSyAwbcDqBb+M4GGZfgODooDIQmnxQmm70z2veqG79IIz7ggSHd
aq5obotmFMY1WWbBr9l+j5b/VfkovoTjjks7/DIe2/j7BBGl/RGandohP/6DOHEbEss4cQZCeRQE
HF0RDCSjzr62XXoHYYdpBsMeRLb9BLd53yxoAYxb2Yh7Kpm4ipdmeGQDuWYpbdMgrtj3Su+BA9dF
Qx3b0d9HXpQFhAkFc8BxgU8H/Xql+5PbC4EoDpvB2jGaT0+MzgBjZU7xArOAHPN4j3USFeg/DIv3
2DTbSJpJJQV46xJV/fxacGDIHehUa958dA5WbkDlW10nypcMTyaHaJjVhOscjRhFaJIKh845V/CD
fMb+exT8A/6VYzDZv3lhCJ42sV/rhCqhKiWG2u/XdtvqMn0IjJyyD72QFrCNp3wIT1Zwk7P1Ay8p
d2XGzJGb3ymo3U8oov+AIWXMx4c4QFvC7L26zILs4At2BNGwHtiSXV2Rsz75f0MzlMY/KuapQM+a
U6jXfcvbvlhu7E+pYn6eo2QksBwd7qF9Uke25lhNZQSyXsW/brxX3rpYmZoyXacksKXLo21/DNnw
YiqE6AK/6M5pGRvVlf+Z9EMBDuJf0/b6Uy7OGSbBy9gvzk2Siu9xSG+o0eb20urv3oYq6Zdn3V9X
5JrNMFRA50IUYlJVpM1XVWjoVFZL1/HgnKkMro3hHYPab8s/76s6HphOnbwCNotjW4yiSM2xsqEI
Lt6COpJSUN11nxVGgDOM563RXu+27+HkYRmnqRF7Yrr1LYOgpvNjOTNFZOlukO6IhaRND8nI12dF
+ds7JA9VkrG3Ds8yBFKPQ0pCCGhJdJgzZRPDZbDMmG68B1dTOGyYKOWZv+S7ybcrQkm22tlW9Shp
sVOonHsAgA1gcm4tWWBjKZqGXzaxH5xjDrbfTcNj2uB+YQPaUUsVjXAjI1cYce7K8TjP79pbIK5Z
3MzUWsVy/LFn3murGy65zTSTrHUaodk/M8LHEB8cTDkNtxDE2rwgL2g62Z6R+DkP15elNv/QLEgC
wwr2uT+bT2FtXFiqOO/lxRvsk48iGP4Qjmziob3C63qfgvCxVMhFJpbeXSlo1B1ovs5sfhPO9sLV
srORJii26pG6GETIGNDBcDDtP8yfLFSXZJuKcE3uCwB7XlVvjRVsZM7WT+yLM7dYrjxySzEnXkg7
MrmkjPLAbJW8R7MDYU+eS7NCC2ey6Q1mpHAv7rypK2PT3vcCJcShtRPohP1RZOsFR/+8a+nXPmgv
ePRnztHkGNAsZ6aHoV1zaUJsVlTx8X2Ycdt8xJ2jFTmD/uTUmYpXY/mD3WN0S/xuSdnR10R8PaB4
bKDloFrw95YBglSqCYZSBuJo1pewgmhCRwPLNdJjvmmEzLhvCMBpRnwtaWa50N1cly8VrQWMJBrm
con3mNIh4yqFgBbYA0caO14D75boNI7ZudvbMx0PZOL+eHV7xO2MJIAD6ECfjXugqJyvosChMVE5
Z4cAej5MMR+EeRwKSvSSsfoEXxjwfIHzHKFK2Y3LKwNGUhUD26mJp3YcKrBAAQwkH58bV2hO0ULz
5JSvM6NwdCzri/uRMebsVx4v4KyqmxBrUaQlc6O8Md/qPKFAwSppAGet7iWjGDBV9S6py3szsd9Y
f+PRguhWNstXR2s7fqzVP+AA7Hg8Wc9nFy+sMBF7qyZ4mux2iRMcI9xMhwXR18NYoNqCQSIiHWZ4
90llPvfclUerC+hE1iPzArqHh1BftdfDDJSc2ObwlRgXeJS8P6x0GXn2Wz9MOJ9oOtwtFXeiLXd7
GTrY//38UZMO2vNc8SajjtDE6wG7pzw09c0s0oa1/WGI48OnXblG1DVt3FYUm5aEmADxUeBuYyic
rJzlIFj2w7yi3g9Mrj3JF3fvDFfTWEomGwvT8ap/s8K2PXKQI4C3UipUSexU0itP+FF56AV+ysZj
LxkNBCi6tDiVLE3ct9NdqEHhcsmyDhq0DpZsKlXEWO1TbaMUZ2z2CSnWGp0w8bD8eC63pGQMeJv4
bFPV/LWNlEqk4G+dcCWyRsZTfdG+DJhlDjh+Pz3mC9pEUMkD4+gV9odTtV5ULjKaAUUwgadupQ3w
j9Xwp6KcOTh7lk1rDr6mCgLKPqv4/aVOCxQpE5sbj84zt5lwJXoN12RNrR4ARJwv2G+NPj/lgncw
CVhmJiqdONLfV5mizUGXIOix7leiRe/hrc3AqODPYKwqp+RubHra83BspKVgaNDhYOMaWGD44NE8
M3mj6gCD7FEwldxZdu9EMBb5qan+irrZPskZJVEw900YCB/+WyqDfOa9p7Rs6mBmZ5n7dy6G02SX
TNYH+vHa9R2pxdqr5tuvENTmqdl22ZxPuSu7iKrF4yStqGHWCY3Us280y2NrM7qB/gYSK7fdA1gU
xkXzveD6RQupjdzAjZ+lm5O/6/dnG38GlzRA7olCuNxC4Bk774XHnIMe4vzOw2iFm5ciW3dsH+q8
vB0zd7lIYyI4nOJxsPFkNS3dnTXbaimZjOF3MU7jpBB3KQeSQqwxghvWs3ykw8Rqt/MsTuwxxjGf
7UMY/ntuHkeG/8Ut3ug6LC+YGZITif9nT4UCwggGmRkSHzVzqCVDLu/Z5S364qHcYVCBWFNxlXar
hrk2yfTGVslRpEhQ3lweSLpxGbf7dwPvKr9/1ItWDL+ZJb6gFUzwohfzkOKtc6V3bhSLgN55OcNh
sL90AKXtNdOFtat7jAqjGHCYYCaILCXul+Q6J1Ar82wiMGQWBo4GCfwHTwdOheFEcmI4NDr9rjBh
1QZxUUtxh0Wu+hD2YkdVwymt2oSUgJlUEUiG/lQYpL7R7qhroU/eEkw9sKpFRO/ZOFuInNikD8Gg
5Y1rmI9yKOXVCYGvZimXQMHMH2v6h4Cx2QaVpOaJ7ggCz7zL7tfqz8i2Jsq01+mXPufSATqPX6Ov
H5xJq4PG6gSGdeQaYp/w0z8JgZ0hZyONvaGksE5zDIdUBVFIq3Jbet7rgIvhYo3P4ZweRhn+bLRD
VUbmjOFQm/Z8xMFK5njtDlNSHc0cpSJrqF5kcbkxjHDijKxGENshpysLlVVPfD+4FdwpOC28zFvB
DOu/oBNiZfboqpmJBNCNEuZQ0E4nMyQ1Btaw4vrBnQQfrscUe1eWONBwur+WQ/k+glfYE7IwDyWl
zf0YNHcGrL2UNjxo6qRomKjGhp9UDOGpPVS/7tJhs9oEX7farEdW++vV62OaaDhaZR/NLeFk+sPD
vSa78N/xhrIHVJF0GvdF07/wOFIEayLltDDK2a48TBXyxx+WzyC5Hz3uXbImvdSs941MQ5RA5rpt
BRy3S/djnr2Q77DiqmcMUHGzoAUGQSU3RjBb/FoBO3Kx5J8qchzVMi4Up4CmqUITpTvX2bH0FWeY
hEF0TSc7Nrf6QofkZ5ph3Pe4tiKWcwJkI2U0VfF3QK5p5ldjyE8OJ9Bo1dgdEhrtbjovS3aSMbYx
0VmWh3ZzyM/4KR3qm9LnZUAJMtZX36PfbsBW25OYY0cXR3fsXMC43bJrLXuMKs2+4pWA9DABPQ4+
do7acOHQ1Dkn3Tqupr7eSteNky1b3h27/ovRGm5Kmf9Bh3sJMOgrzHpX3+jue+1/cM37B28YJw+D
v71QKyFD3ZkU/9EkjkXw0Br9a51ZL2OG8VM5UHKr2n0M8oIxazFccYvlNMB5PZcdJF+hEZ9cxFph
D3GITXyjCas9v8ApLjz1lDMWOkH0/q5C99f3xD5r3Etfzj90FtHTxIiaCwLxHAsdGnP0Nz+8vKFL
1N5xtccRISj3GSw6d1V2W+X1l5cgP/o42/CN6fXBDKtIXtA+gvuuyh+yCeUsyEHOmkH5kSw4iae6
phPA+LYTWNdjyF5WVNu4tmwessJ1X7ysuSMk8Y9mZzqfiIR+TwFboAvasMH8HM3GfLMaXRinLk6k
UeZ3fV6/6pX2LsXhdvaM32yw6j15/TECmoMikHdfc2/bF9TorVA4uAf34V4aWDpGob2T45yhyk54
HhlVTmKaLunQxOaagVBE7m0LGwANSDBiwU+5W+Jiaqcixh3DCgLf5NgV3j24A8L2WwZ6Aq57b6vx
fsaAdCCJ9DoSamDij8PK3CDTeCUiVq3iOErv5b9vIFx1hzYfHoDjLJdM8mMwHDz6iT2fiRJ30TpC
B89InUUGh9uVtvO7DULQVgNGuSDID8JlOlvnBvamEZW3URNxJn60tme3Haj6LctBPNLQe55qVcaC
IeRRi6U8rt576TvwNC0jh+prbC5/vBwBKluCS8uDoptTEGOqTQPyh3hxWz/CrXGYhgY1paPsIuWO
9F+JT22zktay8aCdIxP59nu6CDcikoSHjjsbU0QZ4fUvyEvQvNvlSfwfZbMzajp9+VYco9nbNYSm
fWJS2ydzzs3CyrMTejOKWPns1qYTVdDS9stkY2egOxkE7O1oa3p2vqnxok5ae8nNf3jJsr8rsyo4
Ldn8nKGixJS++EdPQtbIc1OccYleCzMxOYatMAf6sSCajpEGcqjPdJddKOwphtSDxsjY0IKZAe5P
TZJspU84qcAj1uXmWWy1BGtu47waWeSSJsP7r8MQrGt/yCtmfuQXdpt1bOeS7TknljYjX43siRB5
sEECL+0Eh/9sLfI4SSq0Eseqj30roRsV021rGoopC2JeN3hMEjrj5G5Vbczu18gRRfOShbTUWg9y
nHm3h/Arp7TmxinSt7CRNolg63NaJvMY9N2bgsZ/R0oZ9SfwH0rkeeyK1zlf9DNhb8RTeGcpR4w3
+g2f/4P5927wD3xDsxdMeVMU+VslBPFxqCCTDlgTUj5WKyVQM0oEpSL9Lbn/3q0txwKheFxG2G5R
MmPNX6yE3Zzj7AdA+HNlybtFg27GYMoReuXOUVKuzhYhi6+8qq+NsZ3I1z64BCl2kdDuKDuzvPd5
yPZIdslfp9QfRsFN0rMfHQraryYx6t0iLXFPU+LfeiN1o5pi/9e1upPEE/Itho3i756oPX8aczpK
ehR8i5PBjb9ZH9nDrHv8TC6ujSyMunG9hblev/GTmZQD4w4QEBDXIPiQjGg5qe+Y9zHXwoZzaVsO
gVNpvzXKp3qpFCkvGR8ih53xzh/ILogHKj+Gh5pY6kEoGqeyOhgjrx6THYphe2nS9IhJtUMZnAXz
fOfFm51pD3d3wCambg17JiQxG8cmyFD9VFBEdvtEQmF64wQJTc+XpA08CrUFg+l+a4PqEIXUK4AT
596caspIuC2m2vnoFZPTDgLnrqv98MD1u35bB3fvu0n7lGOBG7LOjHuRV3FfTMZbVotDSBHEWuAh
SExmjuRhmPIh4BgnMvXB80rH7p0atzOQH8JS6HznYmFSWLgJ/jG26ICf1UyNBvNuDOv8Pmvxm0wt
m8NM7+upBrv2UCmnOSSMZaJ0NZ6o/J6uBvk9qpvy6hA2t6WPCTxhj70t4V5hGOUmPCfuFLVpg8Pd
EPVB2P2Tv4r3dSjvrKavjpPugYltb2lI/PnBKvDBzf8qROw0VNYltf4GEDgvA26+VeF79Om9PVQu
CTyWLnnO4REgTX7aIXXbdIBE1TQGHzWu7M5iomk2dX9Maudv1+j+wR8nUn++Y0R6bkZkK1c/qYKT
9HSZQ3TTrjKLB0QYkuLlzpJJcYMapU8uLSmJ6RVPGEFurXCcd1xIaHcsppfFdi4lN5lYSyamsOH2
IjWsN5Je6lQBOHA8erEwSZ/M/zgqNAA5jFXwdNRrlCzLd4+B/Uo+vj2ZU+5GWcEgf5LmZ+4Q+d/U
RNedysey9cVOZGZ9649rxdUiH49BmZZnAf+Kc1DSxFzApqgo8ukachXrjNCIGQFxOaWFcB7M6TIF
OEtHbj6WME4z78JJYJKXg0eFm1vEVEKIyN6c7Lx6R8INGOnSoKN0EZqndAt1pGgeyndaYUi3Epsz
VZfdgoA6d2v32Uxv8/Q/ys4ruXIky7ZTKYt/1INwqLbK+rha8VKTEfyBkSGg4dCAYxg9ph5YL9zM
7pfBSEu+Z1WWVlHBJC8h3I+fs/faKr4J8/7cGRCN0MKgU6V8Bp3QP/MypDXcjJzJzBDPKMD54Uri
BuGVDIz7VIs2YG8OSVuVR96+nVN39b4RzAbswNduRiaAhISo8NrvWEEKMX6x0v4aHO+BcxGRBy0s
ea21PV6iK3RSzY5wueZIA/4lSROegjgXSBNm61n6Ugeaxbib5wnfCv1fX765uvEIjI7XNc8+16qx
D6D6acE5V45RDVeoRsZ14M7dtxZFOEuLdaOlxRfdZCdXgMtPE3v2zlZxuE3a/kz3Lz0VnpKb2DcP
SlTuqZAIwF16i10U10dtAHKKfFMuYYEQa+TE92mSqX01GKhNx6K41t8ccrRX9PDUKRyZENGSYsym
4eAozT66r2smzFY83AqhpQcXDtMht5lyWQ39RlFkGsIAjFMJkavC73sqjO7UT8gYonEIrzqoDlu/
w/FK8U3++aIjyqBIBn8TBbTtff2FDDkmGlU6krzn7Qts9k9Fio0SB8C87eGq6cvkMSfccn2JK2ky
5j2WOZPcHAZ9oerbK1oOEaHb5SliFrBwaHgsCqycaTNQIEin2E3WVB6T3Ps6UjStwFBjavETf0XC
bz+jf8sVUntCERyOcVCOv7Y9rkZIMOtG79LXIXlKKLGwXcXGErTxW2PBm+2iQKxJPge7HEdU51Zy
S+ATNkXOdrxKAEjCpn3Cdb7oRpe+XSJuyJgbz92MeSsjiRKPYt3lXNtNiqhqcOUoUOi+eooWPSFa
/SF/7DKpfZdafIjr5Ifvmx0FiYbING+HL5riMQuyQ+rBSuma56bKRhKSGHnAjvmuY6tgSuJSdqg8
XGn49ngrKIWVQpou711Ns29jZ6RHYnKFmJHiRep5xb0XswW8baTRtBEeanC/pjMXJw+2GPtrwW/g
VP01d+8hrGkUGW2H7NECBWrY55pVfQFE5g0l3EphyHwRbNhN6Lwx5TYeNdW8Rey1eMOeI+wLz+OY
PvRV6R9sBGi4Czrm6K73mWH9SuVoiuDcT5+H+X+p0uDoEQTdIcwCEhScScfqx7+EpJXlVKNo0zFy
fNM43/QT7t1i8NJz2PRvcTZRGCvNX3e0O49CwtKGabLSiE1/QYSzzzR5GLNBfQb6tqaBO9EKIv+v
De8j00eZb6fNXvqMb2W5C4MyP+lz/qbhgiWLQ3C8ZW9fSRqXtxPjt5MOWsahUUPENWG8TAznRqPD
jtuBvarFrDa3qQOn8WumpTaiTWanWjm3C23/UGpxtM97LCvxAUAuu2QDVm+iuFtEBuEAZtt95jAe
oYq1gLypqtwDl/wcEEV5wNcjt1XTyA2KtxOnfH7rPDc2JmEOC9ct6b8zpNGKp9guQ6K+WGSYD+AE
i9rnJJyMkwFtPKaykZnMOUkKjvtlla4ncqx0WhOd5u2TavCPFjhzTCXE6kThnWxs56FD1oRYq9ho
ZqEACPjTkXf1Ndcc95Agmc6dWOMSyqs86O/bIIASG/DGtt1ALIkoXiaj8Nb4Y+tAQcNAcKvqXDto
JGihNnVdrkJTngluFBQst7nB7XAFHMsEgHxBW2YXFzRYw0S/GieGDtxKd2WlNdo2w34rTJLdCSvA
3kHjUzckdvLYw7Trpg9kuKOy8h30geVnn1SmbcRmrccQbDUArJvcY8iFQxe9YHQoUusrzwXzXNr+
iSnUqm1I5E0jd9l0z57AXQq4iS4Dn2QBlZokmC764VFI6HVgn53+mwlkYpkYJL1C+QcPFBPX5jdI
kC0P2csoHzpohNvcUY8c17SNjWlrNTBBWUJ+x+cL8H6jhlnw0lRzMWWcujAq1wN6d3guqMPF2VKN
2k3SfIG3jP3F9G/YXmjDeHW3DVset9EYXeTxaXV0my8ujruzZyoas7k6xMgR5yo4WVa2hqSBOgka
4EbX9Rh1CcxEN1JftCG+99SstmhHZmQ0UnOBrCMPnbXl5NmhZbPT6wm41wCP/bKlZy4D0U4Hh9IG
u0m/HJkoC1EKPJGwPs6JvwkPGQMX3aFTFhk8rmSmFluVN2+DB16C/ubBM+SDFZDypvcQbenH00nX
w2fH4zgFzy1/8KhQ6OTNfJdGmcEuzq3m2JWNeadL1Btdi8M5Qu/AkZo1SjJFiVUjTspOaJViEBg5
LazGBA4OcIDLbas7ncmJJu8ryWvCq5tyMgZZ7yQarzTyqaNMho0FaP9O6Vw7fQQDHSOMwvu2tJKu
WNbceOKh9eleixV+wmhDG6pHNHgedSVOSYk+AmlqdEZ3x6hCJ5RlmCJtHRneNQlQs4zOrR8r21qQ
5v0Y1fWZdcgXiLebmEN+xClmWToaglY7cGgWE5iHxwPZNZZ3n2OTbx3LjFAK5KvJiHrKSuRatba2
ChBykabdOKcmS/c9KT1a1Vu3NZley1IdlJO4X3vUYHb9wnRQfctxV8+kCnBMlLrUTi2JGwH8kCjK
T0aq9Zuqfo6rvL0KSJIh4Spgo3EY8GcWKiwikJ07OeOXldmClcJIpjAx3rkphlASdeITDAvf+Ny3
bXGjl1G6y0ajnuWYNx0hEfeDC5FwGtEsVXQpr+r46FnTGs4v2u+5jjGdA7kkxps3MHzS+IFo/bTb
dl4+Et2ozlUyNM8u4iiQncq+6SMeFK0Fn2s2d2kcMloGSLYMojy80cL8oCXZ52LIirc4MA91BgxH
H8Nbo6BpUto+tGFi3OaDyt+DkC4sup9ISMjZDVcnEsbkzGxcEv3+BClCWxq7LgbOJZM8mj/M+8PC
p1giv7iO5YGjaLol24GFAIFDiX0jkJgSajXsWsPZRcS+kfP9rCadKhLdZWl627qDMxnGymD2Js4u
aOjFMKdNsH+tWirvU4kIY902DTttlQ8f/EbeL1EtLkIix/JMODS+r7vvYXdp5xuJpC2p9Pp+NN1r
zcdJwqBTAPxYpqNL85Tte6+RIZdpxYalOt7yq1W+nQDJ0quzTwpIUKzNMRFXRoImNIhpMsQdPfym
gbldTNYjGhbrgNgOyog2atswN+3rsO/npEn5DPe7wUTBPzTB+N3KWQVUIooTOZEHb9/alrxt8rA8
5BbPAQEy+ZE53IuHuPLAyYQJTAVOpW99GrdQ6EPlXNc5/mELydkqd0V4FWkjOFgdHEyV62+9yEb0
qkhEMxCOu5hPeTCVebx8qWO9NJnX7JsKzy7D0ds6VeMZqTNTa+k7NxN+ExsR/ykPUV8ZIKfJQVm3
nEaOuS2NK7eZvDW8s3hJ+Id+bTOf2niiIJPOM/eVgiqoOpTEf/9cWr/Ad7mLsPiECbHQmiNxfyZ0
lfR8ElqU8RLo2U1r1d4unKMhsZCctBBXRECg1Mn0ii0ILZLqI179wrBmqiL+caFD+WHPkD3a+4y0
ANiQ3sg6mu46fP/ngHiQMCaTkcYZaXRTBJlw+DIU4gEPV7+JO7LER9HdV6wZtQWv1LFalP8NnL8G
dZ6Y8vZaN4ctHELvg7QT468eX88l8Ui3dahu9rvH12mUSOCYzjcbjzyljdxOZdWR9KIsdnCW2Smi
t+pmggJ0ID66J158+8HV92eY08/Lgg28jIxkYTgmmUfvMOHYJvXBCQcUb3XK4hNqCuUS7TNCGR5n
PRPK11OddSd3rPXntp+ecFygUBvH77jGn3CG+19yN/o6mqWznV120K8rDNYDIMA9asNqQQI39jS6
2wjD8yW4KChRGgX4pHVPsSlfnQlvrSsIyRogigtyqPB2Yj8t0bxhKacvPhd+jX9k30M0EZDzmAzg
Bor+x8AZfk3JC2uW3k0hMP6hBKQA65ozCqFF4yS4Q4YYbNm4rpQa9laAYaVDpTVhx1zZFblMto8V
0KjoOZh06DiIOUvc6I9Z/EWFaGkFls9lmuDMaX3x7EXEJKX834E+e+gZpLUTjShbaq/zTZRkMS06
6vMF+rKSFiRWeIWlfMImmLIKEL1zF1I+gkyByTvp1zTwGBhHzKMxgeN1tXd1AyezMzgaMS4OpM5J
wBMWndtHHS2V4hdY5zFhvF0eIQwKAKYVjr/ue61ZgYOZw3tfkT4n66amOxP5w+fOJuQJAj/9+tJf
67HzgNsbyRCkl3gOKm2afJk2Kty0czUfhuUJYesJU9hdboA5b0KCcMHDfbY9HEDzykK13UKqQjXY
Ug16rPedh5ATSVANAO/gpvjtnZE+fOKBqjDzt9LUb+YDdWp2Hvge9EWBcEcehR5Tu+YcJrO4SWpP
MfYZdvbkvOo1RJ+wL68HlyDjungSevUl1nDcjQMUYQuVf9gN8dK0+bkmLh5ku+W1CZ1j4iTc4GKA
XlMs4czeN6OBds5EoDsa5yrPR5SdUb7hJDp2LpfWUVvSQMoN3iRkjJBcRwERoLcrBsgdfdqBdBz8
GpB6ZB7VWwasqKlJeWCPab1rmTzadZlv846IKFqP67xFqdxVfDbPl9MdR7HpzhP4cVWWJAfQzGgj
o4cCLvquLFFplZoeHCuT+znSfdqgu5BkfAcjHEcTqlCcbkmn94/4TLWzaeLMFoPcl46fX4XBlF/1
yW1Smu6Bh14/ttICAGFY1KlOyuPZjvQ0ipjmSxalTF1s09zbhhme/YjHPhXl58QA8zBIWqGdvZyX
UZ9NCiiow13l+J1JJFelmLVfgFpnqx1l3oBJLvGvS46T11Hv3ssGDUCgHGTXs5pCTx1Gbllz7QuE
AjGimHVhieIYh+LBMobo2ozyH73Kvb2XUZiFbXHdkq5IBzJa2so8p11UbhPNAc5iR8XWMBBFxEAR
9thoZ3c2Em8fOKwTkElRoLhg3nalMh3OM6PJDaNJZ+1Z/Tds/MhuCppJRIGYBGd+7/MesUsnwO2L
xvE2HiIDoyDrhOR4p1+Yo+qPBQADCATYDTpOEEZMS4XMgbvGo1UxRs7JNGezFUqspZObL0NnW1dA
Rx61IfMORZwh9QpBa+WRqPdoL9ty3JMCPz8KFBVtr9qd51EKIZwJCUcuXkanJhwIxR6MBBo++RTE
N0XN9C2ILeOEG92zO4fZowAqn+c/ms6K93GmlUsvaG8Si/MYigwOaM70gBW+PhaogDFXjv2XRG5c
dEdZ0KubMnCQcyc2RsGsTY7x0KpF2lXjre6F6xbhxD2QjK5Osit2h0cIi81NU013E0wiVsR2r8mJ
szAmk9l1zhX0gvwq7ssv1BVgRGM7W7l6eF+3ycskJRxH68Wax2P0a3E1ROWqSBxu2JAASYhrEol6
I6NJRBv4AoUs0/GqLKlZUpLWRiaea7fxgABW8rmtjOYWRttR1Ty+hRMlq2Skc0tCTrHsxiLdx5LZ
LcpFQNqaTTdKsq3oEEm2kyK/sHdwpKHAj54xXK9dGyS5Plr+rinpnfclwKfCSZ4LJ7fWWuXyRMOS
iBP0GoA+o3Vh0u/WBlSRReXlD9WcZTm3Wv9+/533+F92X0twHPIRuxFs/3PxM7SeIg27TxBxgzFp
SAAFYJ0NeEJqY4dt6daJKYEuP/P/fB3/I/wub37/9s2//8Wfv8pSMWeM2nd//PeDzPnvv+Z/53+/
5ud/499X8ddaNvJH+7dftf0uz6/59+b9F/30nfnpf3y61Wv7+tMf1kUbt+q2+16rO/BOWXv5FPwe
81f+v/7lP75fvsuDKr//9umr7Ip2/m5hLItPf/zV/ttvn1x4g/+bAjt/+z/+bv78v336r/+s2/r1
/dd/f23a3z4J658GkleTk5MNPhja/ad/DN/nv7Gcf/In14X+LQwCt2xuYCHrNvrtk+H9Uzc4mngk
yDqGT5/s0z8a2V3+yvynBY3W0fkCjzwoz/r0P7/2T7fv/97OfxRdfiPjom1++/Q+v8yiS0jx5rKW
zFBrAMc/P0QJKBJdixDwAWsv1qAxTdoOOrJnv9pWnApvU0HMoU07lzHZt6yAm4frKUPCiRcHxyXN
WzANGREbSwWC5MDBfYlSZ9s56Fyd0m/2hWoeMyvkpJSPBL7k8sYumg+CSsz5Wf/TuzD/Go5B2Bda
et0nHO4dNrjWw3yokP/SCEjVdZyOMDE2qEjlXjTI4bGiyX3UFMMRNjK9d2mck6oEGI+5lbBgi3XB
7haoStGIA8+vQo8DgevusSBTseGkd9yeBF9UFnzL+IM6+n0SwuXDcykt03Rt/mm/w0v7Lbgp02HW
NyodF2lpik3iM142SOiayekC5HpBZhWtE8PdiKF55eKCQsudHR6v4oOwv8th/t21BHetC7IQ+I9+
OXT96bCPSQ07ZISl1KoqczkW5Y5+mToUGgzMpN17RjXurbGjn4vCoHLd24zS08gd/lE1hPgSwpK6
zb1SCO9tao/BpsOMjoA2hid8KpzQpO/fUXHF/ILlGIe7kSjUFf0NfT1O26mTZ/QY+iE0i1OPiwx2
uf3BA2O8OznO19zjzQORSHCL776Pi2wLtCdWmoiFm0/VcQj6lzICxBK72o9JJ6i8I0wYDuJ0jCOJ
ldtt7+xxmp3NPU07xfhrPuJr+DVJzaje/rR4/PGS/vmlfH+6u3w4DlU8DbZDpMz7aAC3rotwnggD
mkTqpWv28nKpLg8EOMgWkXqJRjDam35y3TEH/eiJnJ+4d4+ArwvftXBc+OKXINtK6lGATNle6LZz
ouLzVlbJJN5DvY8syFzKSjEzbNJ84fVgZS83t89zTDld9sEuZ7yjcM8XA9Ip98rmNDUvVz+vUDIv
y3aQEQ064diYhFOqQlBpWBeKky13jtfKfQIab1mh66qCkpI9oYa5vPIoK4PNoKKPrs+vy43Lou4x
93ZYcgir+/kzlTVPs1XF4H5cnBs9ZAWQYmfEb6+53sCHg9939OLg2KWCthbefc47gCDjKdzVhWF/
FCVx+Xk/3y8SS0i3NWzPNvlI80H9T6+sJ8vQlEOOWsBth7XLKK0WdAM6MQ7n+rqBDiNxep5Lxq7L
NiDPiateHrPKKil7q4AhGYtcbeUsKh7vpNbTrYQ9Gi3n/kUcAJ3GWSAwHBUvVXhljwpVfioJ0oNj
M1hVfWhQMoAPm+Q+L1hBsbYjTscYlY8HGKHeLcgXuXcnCUwQe4MWgG0xImUfR9dZcC7B4w3jbxVY
qbZtlf6sz2Mh0mRBK6DPQF6NEal9vDx61ZQYOzrD8YqjH7+W5xCL2sCRk69WPK7bId4VsJ2P5bzk
D3pqL1ox1rj7BpfxKZwgswKWQqMdQjWLqIrqs27/mGRlH0muQPrmnV1LfcWSax+7Ahd6UzLSk4m2
kqkDmDcj0y018r1S8TO6txitL12/KCvuAAIAX7G7Crl+hJEk8b46AZf08tpaYgqw0eGUi7yVnYKo
VjQnl3U7FfuoLL1bVDPmZhAbB0P6uiIoYN81Ji9ZMUsr8mrnm+WLK30LETv00qwoVkXuPH2w8PzV
c+2btkMxwKCPnIufn6N4aqSZ68UfO9FQNyeNsyTiVLDzHZpAmv9o5wf3YCsdsEJe3zRpCQF0dG45
WV9/8Gl+XaOBDHqszbRnOT+8b3K5ldd3dh+CgZt9Bdbg3XELfiQzRYZhmlz4JIxuZ3imbLjMCiv9
simgED3QbhWy2JddyxEVxfeH7xuX4d3rRhTQ/O6blo7j8V36lR9wWlZ0TJD7uQwegW9LazCXjKNo
yAT+ixGou8J3cjom7cZWdLP+/srMy8v7n8/67Pm261NCXgqKP73uLRrT3wuGZK6r8OQdbWuaOMYm
90aZwwExaCVDGjGXlyf073/4X5Qr7AvsTObcdmX68G7xYxTBdMpksSEKkWYV7VdOPcEPoRiOlgUC
Xy2EjyTAZqQQWDZl5T45HRPw/k0mZvJBtQK94teLMSO/eV6xdpv0y39+Zn1CajRVgXK+lCsxMhLY
jW28xdTw1mIp3piRT6CkBUAIUUl8LfO3yWGIPVdXvWhLrDTycOnY61l61oxRgxXGJnMpiJHRYF/A
Giql356b0N6nqUbM0/wDLAT3iyHQxO7yvbq+CI40lxmbidI/pTIgb9YNmCJJNsVYm5V6mqXAHvgE
F6kI9SmzINCbSMU9mixb/AJPMYtekQT5jU/M7qHLfcxbFcM6yl6MrzWE6ggXUITaZsnhYFgrqqlT
TDJE7qmH3K/NL32RbuekxeNlIWaoCAZYy5aSLiS0FHp2znxGDjupDh191R4LyyF17W3bh/FVE/pA
xSDCtS6O8UQ7enkZ3V4+cdogI6+rcA6s49YH1Sxwp49JDikuDes26JlVsX1v+sraAupCtiOtaHMp
n6fAwR5AMiNmw+lpbHy2j3BnES6yTzNUHjXP2SmmRXnZzIHo1H5S7cJ8k9e9cY512h6JgjNd0cc2
Hqg9o3UgJo/WT3yAoTmQPFGka7KBsu1l2Y9rXz+PGbODhYii9nGMMdobYOysFpDC5Zt6HhWMVw72
sQ20e3Ap0KeB4CWybR8lP4bw7rVpIe6nDbEcKkavyZ7Y0WQOmXaTk+wa44wJ70nGHGoc1MuTxWqd
5tOVFFhzNeBIi5BNZ2X4+I0hgLjMxtCPaSPE9aSimVmayUtdpkeTTI2DzfYNow33TdMVc+4DbN82
CIEzJc0jFpDuSg7fLg+4dNArT9r3EjnDFt1XgdYv0BHaJCco9cg0Og0PZkmlhiDjSXcJF+gKyo7K
NM4fLAS/VonIrg3hGrZF9rrzPiU0G4NBqxpTLKIUN4bd5SXaLMpi9DrcJ9IvDFhHaCy61YAugYMB
R4A0oS1fBChxP/gw7wIAKFhc5LOexTxongi9H+j5HVrVaIoc6IWYH4qouO48pe/Cto3x7ue4ti/v
3bynyhLbodl1r7Vp2h+tR391UTzfdTk7ca745TCnd4PXIX8DKDafnmq8mfsIwIJn0IGCnFbmo7Oa
wKfNx7fbyyVBE7F0tNb6/z/izFsn9Skb+ny0f1cUVlOLP32ccMTOF770aWTl/gRcdt40aApgRwM5
Eoz4avrcm9AP2ftBi9RhwrgYtHZ99lxOeYWyN0iSPrhdv14m0qw9m0vk62yl70dHoODCoZsYu19K
zwId1PZyg0J0pMvIw4gwQM1dhshSGQ8dLrWQHqV7hYDng0fnXR+NJ4eujG6TcMr/QM0w//2fdlMr
StoANaW9kGr0VqOP/yEc8FLUPf7vDirb8nKbPrgAv25bdINgUuqOTUILO+rPP9VtUcH482QFX326
wzOeXVHil18SkL4bci7uGNt+my13W8fXv5omZKbCAYhjVcE5yVxiOwZx88Fn+rXg8rkQdJZ0TjYM
VOe//9OVqOwxKXHCYZ0cUOnk9iGeeU0ZuxTj5tnqYO0lnpdtmIC6I29kWw7fgg6FpwhwnIUVSuvB
IoFlXlb//qP9RVPCF9TyJkm09Hh+afCMle7XQy6shTU2zSkZi7tG3xuGkdMcIAt8cGl9x6ozMX74
VzShyOqaX3W4sotWn0BDxn2zDPPkze3iYi0DRXLSKBD24m7tBKMBt+AcNMVDuUkqPPpFdo/zJ8aF
OpK8gkeMShzBQ5rlOwXmH9Q4/WxPFh+ddn+twPk9maj6JEV5DumqP9+CiEeN4yJqAhJXno3M/eYS
TDk3KeyjjnobOB0ZWE0Hp7iB5rnMU/uppr+8bYIRC6VwP3g3/vK6U1XRiZzbhDQqf/48add3orcG
rnvvnVCnZLvLaiL7HhtsHGjbOjee8LUfpzBiXyqnvQ5GBggme68RQQXJIowDqccMdK6lwnEqdjUZ
rsMkLQTsBMEGnn5MzZZOvXuNboQGWLUcXV3byTD9nGXdW0tO0cV8uu1Q0S98G3zb3z9dv9bTdA7R
gRiXZov1/qBBil2T+xq4tmay7SPoigcB2dONZblO23BzOQtiKuj3Srcf/v5Hvxuhs/jQ3GCSj2DI
dOgEv7vf0ncR2MfwgN35NOrPD+flGHH5mW6KIFV3YnA7VK4fNTHe/2iLhikPmG+5JFBatMJ+vrVB
V3DqihyxkGZL52AMcCnk+ooQuu9MEeX+ctzWUw42xJyayyTPSPOujNsyscUCwCpemYhInDnHFS1y
RXShC1UFuvIHH9R8v1fQhDINRwguj8Oi6bx7Bo2y6JrAAlDSVuj9YguRE7xUavphtBnXjM1VC7hj
UShKtsvHgq2yaOIsOgbNdWlW22Zw1bLOxuuA7sM1otn70p0N0R4Shd4ItwQfWcZH5ZHp/tLHI2+c
zF9Td1jn2eret4mALRHtXeN7j0wzXxfNVapl3rEOsMoXotc2FgqSNu3DjXpKO604WYm9HQfQ7zqM
yJqt2pzw3JeiSDaGrrQl+4PCzZ48SLNC4eHX8Hgb+14Y9VF0GJtdXXqruUZPU0CLDcOpOmjcA8yw
XnikGAXTte1p6RFbZTByv9so+l7V7CXYlmZj9mPXC/RYtvuAw7rIqImVN+7riONBM46PhkavL6qj
H8wJ0fM0dzbKiSgZvtDcuVJaaAGKtDFr4NK8ysNmwzB93/SVva8teULQ9qxaS5yYnTsnx0Pq7dT0
UKaEtUw1gDO6of2CfGcpDCRT6bSSsvQ2Pamw92ooX3WAqCdnEsN9z/yN5kOiLWsp7hp6pDu7BdNT
t/DukCCoLPKxOFMZQwbbqiqO1xVLBhoKePoiIpWisFZo2NAAOK646SiPQTy5d6Gb1UgOOPrhH44n
i2guLFbhEHLMAtjUVH59TFLtqzSJv5RhlRJtQq+mTAv8eFbl7/XUAz7fli3y3866KarH3i/t46Wu
kbbk27jh/e/doDTybkleBoWARv07qQ5Pl7ceo1yx1ujsLqN4vLr8i66JDlVW+qMpsUv0rm9tpeQ5
mUwHei0YncryDjlPGcLx/Ac+sMfYqdQCd3+xpn+Q7lqyAYUNlXPUK9CrUdyvoO6zoGKXhAa2i+aD
cJ4Oh8Iqus0U6KyAQCXJp8mIQwOb6UZybQOW/jx/zMGVxRoMbYwiFjnr5Y8irjkspsP6UsZBPMQ4
jQ9j24ZUtv6QYCQZsD5U1r3wq/YxtGuxlg1CrdAuGxYeSFde3HeHdmix3UKXEv1zVvoee2AKdGEC
8yaYxvfT1xJe8+/KrhC9DidR/Z7zP2wOAHOXkyQp7+bS9s2d1YzF7WUFu1xwYh6zhTACZ62Sfutr
xYjyjuZd2Vpn0qb8NVGW1iId0etczs2pzozKKTh1liS671UwHk1yWwipOtUeSIDIsB4n95ZVWt+N
9GPX0uQhGjqG8yrHF2nCtRW4KI/GOG2qJKKLMP+jMhD5eqmubYmuQ3LfoMSXRmVxTG2jDcNY46TI
lVp5pE6CadPSda4RCsUyvW7pyZ/GkJ6hRfebQs1dk+EWQPEsIJYWOFAXqrG6/Wi+6T55Bppv2E8h
k7qwxDw/dPH3CDFIGCpQV1Zz6xVxfsqq9KtApSbo3ZxxxX5x3NSFRBrc+j4Njli/GQHZYhE4YiEw
dnHSx1sSEJ01yP3rSzUawzVfZnTI5sQVPAfzVxBt/yXOLMGaRT9M6TxFfmg9mjrdOCY+OKJMR+1D
uydNNtXQDVc83zTxYdop0OjZt3Caa7VZQCUdSf/MLI4TvG+7BHbOsdsq+hIlTgP0A7E4KBNxDQA9
32RBDW8QGXE+QtPjkokJL4+Fk7OQ7K3tVL1C1kCwJMbd5TWfXLWnlRtu+DZfbU9vDx0WHUuDIIh6
sjvpWfG1wOe0hpYvf/9tHC3yjmCwAYoB6lroSHZmAXq8vTw1nSLOrRgM8Mww9g1kZDsJT1lCnt7h
0J3hAgI/cfolD6x2qzySklIw6huny7aBcG4CL9pj+03uAFo+NaFgcZHVD7j8KTJ6ukajAIQ3u5sN
s8LrbBVbj6L08lc+7vNt4sPBHXgZVmmfYL+rQY7Usb5yNcxGoCMKLhshtYCD0410M0kgH6Ad1zkM
s0fdA1cwlsUVKQ5XuFfCNVLc+iD43IkxBfsxbtHNXEN7F9e4fiBAkENTMyc8u1myYUPNj86457Cg
IQmL3BMpmEfk1P0NOUFIP8GA6DO3TG+mtVRZfh4D5kjzn5JCb24igdYIkPJyAJ55n5RYBdW4ElM3
bEdgbfCUvK1T1jxPzHkZCdwPJlJX0ecdhxBED6GTIqGxCSbPRjXNWkQeIeytS+d7XPnpqfbRQtAv
knsvSRZtbecbM64AHxJcvhckvW5rCRk+7uS0JK13poam8kYwb9Vii8hUaYOBT0ICC/SxOQmve6Fv
s5REgd4PsOAwFuWC036w9vSKUfjs+rYm+m65yuY46KfJRlWc2NkhSqm4CFhulnjy5T6GpdaNqIiF
2ND0Ms5TFR0SZXg3ZZZLexlBt1uHs8hPBIO6sorPOIhikgBZWkMYplAoGf43ASqpeR2fJw97fKa8
OhFBqYmBrQIIwLppNVAJPe6VEoKIYXkbQvl2PZwSFMF0ByojPREyCWBeQ8eLmjVfEjY4naxAv0FH
xb5hBzfChzPXZ005v+f9AlAeCHzBgnspVsmrvcK+OWD24TZpY3tVwytbFTIjXK+YbvUpJlHBtGjH
tek9VGZjH5oBqR68W0pEzT26Zfh2nDLQB7whnu6hlltoapDbCpTl8FL3nQtOI7QmDBIY5VYOUUCG
pjgf2bSdx7Y0iNbUzE3n2t8va39Yx+nSqCfjPvQMGqsAkF7LthOHad4nZAzzvzfSH5c3qAnQTCq6
ZNwFPhVhofOkU7ANDTrmShwM4LRb757D/NFv9K96o5UPWlKYp8iw85tu2FzKgboyDF44PYK30rP9
afbRDhI+qxet63msg18XLFTYXBtswCN6x0sH5DL6v3yOweUwNeY0QcMrD5ENSoYm3UvdeCaYniHV
3Hruew/RvdDg40lk5SN+oHm1LO01pwWbZvWINTG0WOsbwCy0FO0NQLtLd9XoNe5ylaPCd9SGNpa/
i0vwl+7cEIUGFa3pzEA1/ObUunuLpqUEz1u/TcTZraPA79bJSDs9hwqzCab4xEgx3SF/jxaXhyDk
cMb407AXl8+Jd5+UjLKFopB0N22etAC1yOMjAgJNolWf7emu5jj9+1TZFHQ7igzZJhnZybpyex/v
47C7dOIvxYRKR5+QNTKP5lqEvYLBnjftL18wJeYe0gc8k0Si0x/t6ffvGpbJ09gJ9/f7GXV9dKQM
PddRP+4sjv9zibqlxY+jZWqN86UOoyXD+EhMGysrsCRqqxLQqDZf/sueVqYob9Ez7ydJBE4uxg23
p9jjkE0XDniM2rWSnUc35HJrG2Cm+KadleDBX01eqx3sZlxVHmK2xmmHrc+ZZ4Xy73XMui35HM0Z
jM4DRvBqC/I2ZNCAZJ0DQH5INO2MTGgDu0Lu2cshbtg4KCbxRx99vpRBOu6T/2buzJbbRrZt+0XY
kUh0iVf2rUT1kl8QkuVC3/f4+jtAV8R26dSx47zdF4dl0SIFEpkr15pzTFx5R5eJao28aGkGSnt2
KqL48vIzsUx91WBuXBfADBFbTM9jHpRHf2Q3RtsShGza1659R/G/1Arr1dTxUvodqN3S5dTXViZ9
e2V+i2rnvp6ANmDVfL/+l1hauzGemmV4HUa7LNHwSRAXWUG9M7QuPVyrLk6M06IpIF1QAX8o6TGV
Lnx9G0oIK108cZTkwHn9ibpq0mNGFBKvHwfPGOOTwwS1lTaQkyKI6kWaGtUWkQDF3Py2qEgk+2g/
9ZQ9Au7pXg8Yc4zgUu6ayFsN2rMrw+DGDIxjH3TtOTSiy+DSwK/0Ww4u8Tkqag4ynXdSc9PlOk8Y
emBvLt2YlegDxNxzXVtOCXYYjawnK6pQQmkkeGfxue7j3eDG2U1gOA2jBiTHhewPIiIYsjG8FWK0
byas0YMDXVR1DMYipLYLvMs9NqK8o8x0cZRakO7UCMutjB5ov1h7E57d32We1vr9LiaLblLO6SrA
CVr8Y+5U34onjwOclyfVYbLKDmQKGUAOwcmxG0kYtWTOxUU173UlbLC6u++KLr/pzPrVLj0xH5Hu
03IIHpoiKiCDWVtPtMSjTurmevSe0FAvnZAxdqWDeCXUG0Bz5+x9NfQHy/NO1z2IQ4XAuJySKAAv
Ed6D2mtBCJ9gntIW+oTzmxyoMetei0aR81NC3SKJrt6GPQ5GOy+u7BmGc80Qbk2vKSlAQQ/lAJTq
cZ57dzaERDxjTPGbDQOSZpPKx3ygS5RH5HtrTt1dnIZi1xq+c5N0m+uL13or2DOHun5U4sE8cIZu
FgUzxd11pWeESmdzJGCJUVcPyw+CfgehOarlpSPC5Vp7FjmQNrBA4P1suh3IHj4Gy0LvXLhnf3DX
QRJlF5JlYnx77nqofedc4h8HUy7XOmakzbVOBAhJHOkQ2kfLjg+lJUElhy4kHNBoQ6MriGAI+T2q
9vX1paug1fYBUU6LtMm8VRNB6LOMXntOe34FGVWrtkzjTdwKNMBjcugdzTqMo3v2tDjH9W4Q0OYU
B2qATi8L0ObVbZ6UPC709y2W3kfZA/HtxPdRfMMGXm6uC+p1ay+oSZfNVP/Upin44eHk0tqr765D
1i5v7wo+X/6oHOgJLAzofIlGkyQJX8/aNb3ic5i4++uBPLLr195F3xzr3fr68Oue5FfUX2mPIcPA
obquMPyBTBjur21POit/L0j1lN72EDw5XIF6mHdnIOKKW2dbcGK2a+oYLWljyKHJ6XrdKFu3XatB
cphfGXdXzZG9jjd6F2mbXIUFWPboIBMbE7HtHvvcC3apCr7HrHwrCC6K2XCBsxliy/p60s3xUJE7
1L7VwsKeZ+o316tghPJHKyhoFEMyoqo8dB4phwvBncAYU77lTflKazHcaw4OqqJ2zuGkQ212mcI4
U0buGyEExMQby3b01TkLGDpn/r3PsZWcKJJgferMybaNS4U9ljI23dMPw8cE92A9r4dnDPZUDdhe
7BoYBRPon82ycZYrhpLmYfxkVvXT6KBMsvIADqRM/W+Wyl3gb9ECwmyy5LDhbzmi0/XMdW2DGLRj
9Ik/zYk7ax3p2DCCaLxENDUW4dCGuyJuYeiZPYljDXoA0UVMRnsLnoIdPUZjdTuZQXjMOv19IsPh
NmlIaBFqfDe6RucU5ds3SNbJP7bADmusTX0XRqu0rOpHr3hPbDo0sxuR0I6aoYKeAqxAtW+Gjjzq
lFKbxCrvc6ctsRwmuDx7gkhIR9zaHocKjhPOWzyKRVUZ1doGh7wtZVDsUr1bKhiOh8ZDIxFb06sM
OTUrzVc7YH2IxwxKW+lH/YHz21tZOC0g12RrWvIlnJVMweSELK7Vsua4iZN3CJfXUodSsknNDUfX
8mcNAXWhP0W1ohWpUxT9LPXsgZF5ab5TgOV73ozpAGnxRhsIyaCJWD9Skgm3SVfgGfw5DindTJlj
n4Woix2uCP/o0Kc4CJc+fGUcCHe2cIXo27Lzz3zG4xuklvrZdpAmoV8kwy0oHiMNamRSDvfmWBgX
oYMMJcXkJDHaZsfc6QQdsHB8ipFqVNg/YBwG93XtfHQOA5EAAtYiLh+DuG5u+lwttWFITjV3cREZ
ayp9CQqJzPdKhWfAgRzDokdbEMcUBfAofClRNTgMYBXeY6GPf0V6iJ2X1J5JIoFq5UtMmgm6hXNu
GIfUrlCM+UQbWc1or4rMp2uL78XQu3ELmB6bf/qd+wq7N8Iupv/r3tUC7huSHByIFczOY7U2K+LJ
u4lyfJyDbPoP2+BVas2Qc3Yb4eOO/Q+L35K3xb0RU/pdYtFf+qYxkFQDNZULXmOxyINjVgBMikqS
NQsxPU9hN98O3lMqF6msIK8lzlPBIRKvece53wWfkHDbg3tlIYVc0yp/FxFzWlu6eZlswKlpZQiC
r4I7W4d30O6Bz8as1GxMi0hA/DFpgCRFYG4CsBJrKT2sTUySIbea2wL9OyZxdwARsJdwduDcAAmk
Ys/Q1BnMDIMuo/qk90kjpF26HdwYH4BMWRvBUexVPXc3S+EwU03zE8qk15x3bOnEJYYWjVNmlJev
yisFrYjw0Y2aaSOHzuWdSs49PjQTWrMTEOGKhJnxjfcAfzhemy4sEWWsh8L8jIT2eE22ieaMm/8G
3fRSkWWnOdoSnPJjBP75aEwpUTZtshaqM26vX0Utzcq42YVhTbKd0R1xTVqKiyoqiMyQeT2ONN1r
H7Sc7J0sX9kpdrtKK1g0GxQWxJxaoB4XKMwBWkSNufAMid8vZL/rYdDF9WMaeR4XGIs2OXEEObpU
Bvx3K/6Q/ptR1XcVuyTAH30RNGQ+NwlDYBNaUd8DeUsMo1vHomlpdU6HtKwBzFUwLmz5TG32qYlv
Q5pUG7OhZ2DBaoElxPrVUEyGNgR5MUUbsyYC1vHipz5syZQi+3TtNcNRWZO/zmgyLfWYjjkGY6ev
TASUjDtbgjw5Dd6TJ0nx5JjaKjPhTRgpRpwsA8Lcw/XB2mm2xLbYabccvEbe63qYL2oBzgsiJseF
nrwYzRyCU8unMLa6ZiV84wLfoQBsi7ZkbMp9YjOEa4cbIw61o6iyx9AhbimyE6j942ffRWQEIT0u
Yy+EoiY+u8h/gaj/YrDQxMkE1w9Ya2RA1jR0h2W6xf4S9/vMGIm4JkOXc+xI860Th0TKVQmPcYOK
uNqbKZYmDWTtcVLRE7iE4hxS92HGXGEZ9Ki/oAFNMPU4q6Gj4sCQRCifpvdeN1DcmMiknYKF3hGW
WigvGE649s/K3vaYUxcumq85i4DCd3oYPP8ykUe3oRe4TctD69njGf33My4YD30/cCiLJZAwdn1N
YEuKLe815HdcNrmi9CgcBmOxC+t3fGzI7UHuIx96V//uOom96Y2En6HyH1IrydJo1CYc8T6nBu7T
EkrPzP5N6vxZmv6nF2E38EkmWaEzHG+R/2vgPTT81gpn/MSNrJe0/XlFx2GAXgqRiodaxi0MM8am
ngeDKNj5zIrPeaB/V8EHktL4NE5HO4iDC+NUPIJ6QM4Q1L3OF+3hYI9RdbSn/ghvqLpVfvmGn83Z
Wzn5O/HgLYpe3Zo5XbOJMJudNSUrfHzmCpXvBzny3rmsuhft0awU2fKx3i/dlnlprOAOpglvFeO7
/NYV9dmfarFVI2xmJ2OM5L4PI7LwPP9hWb22a0M63oJGGGGvN8QqBqu+bQzkVtZSsL8tunKcI2/I
k5r2I2zcb7AP/UUVwHhNOUKWEZBXA5ZM2BZzME027XsyzTfELiy1EEeBHWj70bVu8sJzjtT35Z1t
DvRcAyAxk5u1YAg0cgkwgV/a0LKPoulvg/mr0C+Ni0mFcmwsSkLOun311ssWzLvgBJ3Bwatttndp
OSBjKpJVI4cA6bTUN8olU1EvnjpBMEDfxMz1IsC09cj3PPyc7LkdI73S+6vW2OBgwcKMbJ9oUe8b
DSVxbOFbTjppPpOR6q49e9A2Y1KS0FRiGvUj48Bme+f0dbLr0wArNFSOx64GWo0O6dzaPwqTQx8U
RvuiT4lzUbKvzr2vttd/igUib9AgFa0s21gOrPlEVVRrEnXDozkd0e9fyFDSLwMXclFNBRkgabjS
AhOHqY222WhZgw3EdCcXY95D4W+0JNF2UY31z0SliFM5qVk10/aBmCrs1J5yd3Ff5aQr1fUaIwWA
Lf5KhjbsZrkCneOcIR2JuQv0LRqTeFt4L7VHEqHdkrzaaCMfVvFsTxI3qEXK0Gwuz6qwPiZpT8C8
STCwQTDOTSsIYcoL84l9ujs4er9KGns6TW0NcKGaeLvofX74pR2xV3urNK3lbsiNl1jJ6Yjh02wk
QZn8kWhDsEdzuELeV22s2iFSIyzrs+NAXHPz7hWyNZOqOMX0xtxr/nuE/HdNpm6xCJB2nty2BC41
QYmzKZOPdpkT+TS62qohkNVN5HDsEW/6SQ9xiiPOqin5HIFP5mNi790KDBB+QgcaiV+fjfmpuw72
b03zyfcam65tuZd+Sq7kyeyQOeMGLBhzJaQw0YNzO6UeUqgsNBNBFZjkFsZn0eTl2hhCuQuTe6i0
q3iytxizOi19IvHnmEXhnZG2ABPtct/01b1+G0hyhAkzW1MSQMWT2R1p6S9dNcQrzw+gMfZkOUdp
CMfFTlZ45E34GbFLnZl30yIK4kfH1TRiEL+NkefTmiLmvgfe3R5j1xerIMnh+7TxrYottAM+nX8J
rshMFdhqGsorch5uSOmADminHPmmuD82KSG2/cBqNKZkLjNWDKGnYoey5yo9lffEXr25tNvpQTG6
cQnHGaRxCwaHRBSjPCk3crYjuLwslgiExMjdQ/fQDsw3MyBGGHpxDbMXRKjb8OosEOXL2RMFI2hA
gzNon145vYEKWdkoiNbAs2cd6rjMapLOXIVpmX5iuMhSOn8d9tXWCPwZIgOotLtEhtHuvNY4kTLj
LfCveVvRte84W4lRndjH7Ki+5fy6JjTGWZNlhCXZUh802p5M8FbbLiYcDCrmnuGkXAmG6w9iSC6B
Yw5LomR7K3KeQ2JI3O6eZqSHdMCD4B1q6y4vOVaZzTdnsAfc+s2nGTcnO2q+i8QWMN28taO11ZKJ
wcug3G+i8e6xlcHJ1cQGNy5J5mQItthi2Q7ZfbyEoWWfgczG5M62xZywWhY124QGqZ7BGbP8Blai
FbX4xRr8gvzFDakNlaDQpaK/qB7HuibD/YSLwtTMCdGvqtYtp2J82N2+sbtVT9Ovrl/Mqn+vaaQs
c3e8h+DAGU/qG1jQy8jh3BbkO+n7bw0OMRKh1VMeho9I+O6hc9/lWfyaFkCXOeb+iI3k06Eutu07
Q4Oibkyu9pQ7xXGaAsZrjk07RazaQS7C2A1BCoCISJWKli3ES15O4NOBmNxXQIJvtR3TYzHj2xDN
89TjhdbJLedDma+aJoB+mmofQo+wu9vOKerjbyNqLEQrjGG4bm4Wvmlp/BJYyb1LEYeQAzCzHbr9
gsxwd1tnOUBSF3aahiFf8+gK1ozdF9Uco94U4ycZHuEEAj6JL7nnPqRO90lo2GeZJpANG9ZxP0Un
GUGtHxE5UtKw/PnTXSnH/h55sLkjyhGXz4STZJk5BjJysuv2CBn6e849+gWM6iLE3pVyDhL+dmgo
GwYn7e+vDwki+R0tZ4dbh3/y8ja+gXlyvP706z8hmu/WRLrl6+n6FKHwgNho5vn6XTdP2Wh1/dvP
Z7DgF63y1jU3P79uA7KW0rq4/PzpbmzsS/J4Fv/98dkwV9Ja3BPdxivWOWnd12oVhYG9H0Z4O77B
jZ3guV+17UXSRhqG+rM0iAGwjGGnOhaigYKdhfg77PKPlADbXBWfPrTWit6Kin9AzF/oPiZAlUxk
jLtHM8v2I8qVpn+VjvhABLktI0Q3yNXfptC/y0ClrmK49bnNu+559NYg872UjXYqDTq4iS7Rw4c0
s+JpRD/bL1WV/xVr5UsaALnSmjglUSi5hXO27KWhdoUDqpaZ9zdl2RoxQSBe4YBJx46P6gbCGFKc
KbxxXOfiDNZwAz+NPBaqVl3qZ31ogpXf3HuRHEjwHjd48SauxXN9Uwp272FyPs30Ymu5y9HJG5ad
4T1HXo7W0fRIoT7pNr0K2J5UYh3aASvgk0Q/gdmwwSixhaIFJjanF+XviHv7NkUw28IH0hBT+IBq
2SQ5ipPK0TYosMtVqjNMro+lGqpFW8wZWC+lQ+hUXNsXYGBqNXb4RDMwE4l0NkGOapNENNYYkFGL
YhJ/JYDKvQhWarQApYN8KoCnA9o2mbWcIN0bZ9UkH3lAwIdPvMOiIdOaPB9zq6mIW0d1e0Ye6Zbg
yxnPTrdSoLw2KBIXMpM/RIoaoEL+tqza9KGMk2AO9MDJgr0K+YYvFraAA2WEZ2p8UrvdSx/m6S6v
8m3MG8HAoXkLau7Rwm7PRExdiL80F1WK6kbp8pDB980yIJ7gGInGLFhrjYaWaDpadCmSg6Hc8c4y
4r1VMor1KWvipn33OBAUNV4I+oJMGPT2Yk0hO22UU9X3ch2bIR4wMeEagWWCPSGZtzWOWV3+gRiO
zMnBidaFg9BqJG6kKH32WoN8Ss/XvnWd/xFpJfC2Jpo9QRzHAcKB2mwqQvI48cR+es8mtNa0VqEj
CpsFse3ewSdOEnLsHaHBMYsY7zaK84OfpwNkP/CLbnbLxq4eksYIkCZR/OGOARVB9TyyNxM8wi4c
Scg6DPasVmwzMaFlTIZH256mZekBHelK2HUii0rOj9VywBbRWXeDlr96BT6L5kTZK6DI2w5xPM0T
MCKxooUHXfm70Eh98EN9W2XI/Bq3XyaatiL5K4fbHi07kHC0j8g58j1110dxsKHBSqZvgVpxetRo
GUYFMZkBvA7oIBSWKR39oB0LGFGBvwlDYC5mgkDQksQaQxLOxoMhJrHgSPY2cZHLmF0F6AhDp4FP
LnsGvm1Mj9EgCT4aaHklg7mWweAguYBY35KsO/VDedcFw5vXAYFsy+bcu6BzmAOiW+knhyqdbJ2w
UTSeGN9Ns3ojcOiyGcSwYc05ki7OylGQn5OVTvNRQKKJXyfP8Ob4STCsp7ocydKTPNzU+GZFMFow
B+YQsfsJKakqrD1dasR/lkOYF/qEhRN6zxrWft4Lbe8GTrOSVX8TaW3CMdSkcZegiUgQ/ArDYosU
olmgW2d8omGAQ1kSRfElHJN3RWjyEneRXHh8XkZH4zieLyJzGVHX70zDqFapSPGFhMlrWTIjxjyI
jCC7Q+/N0Tllz5XW8NRV7Q5bzV/SmGj5pJwaqp7uBLIKEkvSKn2Ly/BZN7QfOLWk5ZP1IsofDSKC
+M70I+9epPQG81TcgSd41yMH3YdT9SvPaSh9oBEuO6BSBX58zp7OUmkJt4Ro0lMGLBKyLNlRlWMt
9JTUs8DXPob6OFqMaq2Za2v3CwHJdqIKVZp2YM677uMp+kbs8A+sadihIxjMoOuOvmnrN5bvglM0
s8P1q47n3GPQpY6lZvRCgOntBD41G7YssQg66ZmsQy3+ASv9RrVNs+9bBD3eZI/r1ATKkef2wicQ
d9tTKo5Wupd57wL3J10BICQlW5KvnYpJDN1Ofwfsl15gKI9RGD4ESt40idgTsaUvylAaDLese9vo
3nGkmmy2wx00qlVdhxfHR7wm3czdVPFzivSWI5kOZMijHVXjp+WgxW6ke8ku4uC44A6jizRjhmEw
HBOfCQhprBg7ZH2fJVi9IraBMWmeQgOtfer1F/xi07ryt1nK0ZCGBuHOMT/XmnMO0mB68xRK2bJ4
7ylUCMFhSKfr3NOa96Yh+9Hn4bM2khb2V8TksGeVWwrbfzECjTZeSf+wf6gYIQyRS0MA89smNsZH
iuR1GwqsVUVVr+xO6jtNZ4dBw16s84Z0lzBNhqOJn3thtET+BN6D8m3voTHmbWMaRjxajffgj860
nY3MK2f+EtldfImE2gq6lwvYN9l2mD9CmUg6OLPgv9NC2qdRd190KH4P1z+AenyWnuaf5AR8MGoH
YxeEXNPrN6VT1w+QHQGMgd27PiIgAWEtIBKtr4/wtaq7mLCir19N84+1PQaUeMG03fXfkrA2jjze
X1x/2vXfGqvnVNHF55//a3DtrW2hur1+ef1D6k++EMn93w/AuwW8fx6w2umqNrP86Av7vaFR8ugi
j0CVUaktARzOo+aXrxIs7vf5AXlfl496rac7HwHBnx+gm+kvP8FN3fdufgqpqfRfnwIFjymm4t8e
0Ez2z9dwfZH/8hP++YD/vsg2G/t1MwA9Y3kpbgN7eMkJAeFwFbSnBF0S0lFZPau6U3u8DjqDAr7L
e4NkwSbfrpuK6rkrZlkridub63eV66crbuSACGGLYlX1hKZOyR7AEwkUbXtjdiHRkraiO2KP9V+5
nm0kp2fNaeQP0snX+YQSfIFgza5sJnS0mhbRFNN0oSm688e0/dR7EGKRXb7HhsU8L7ebV5tEWPLZ
Av2ptSyL+agKHgrkOavU1MSlNL1og3SsuRksPpp2h+nMEA4I3KTrnhpij45dSxsi0ZzuSUd1eiKn
rgEDy3ddFNNntsSZCsuXdGWLm9Iw39wq7J4qkNu3ViXurl8JJzIuQxge87RhflCJZp/k5nADnGC4
iR0GP2gncAaa0NBZm/nH6x8Frtk0bd9IaHWfWVKDLHiznMLdpzY67DKuyjd7mIcafV5d6DGbF2b7
n9d/55fVVvjupj081/JNvgiUkG+CunDflBXAgcQl/G7+z/o4VZchpwhtU5K6h2CFhNKFhE1LuRV6
f1M0Q7pTnkd7wZ2Fc5l8irvxKFGa1MWw0qYG4THsS54ufE2TKXmYSq9aRQ5qrfkY4kkqK7CRa4i3
FONWnx6jH7UEG6iGoHvM8nhDEk6zKpKcsEUfA0LKj/bR9Loi3mX5ON4P5BuA81tJG4Y2IasEVrlw
1oI2f/ElbDKippK1jVdUd5hceco3tn5VvE2+99Ph+X+iPf2vKKf/DylNEvfM/05pWrxnfvL++aMO
fiU1zf/nJ6nJlf/BJ2nbQjoKrKWh40P5SWpS4JikMgwQBECXXGHznb9JTdL+DwAQ11TYYAVumpmW
8zepSYr/WNTDGC+51Vyh5P8F1PTVS2JCqoHHwMzH0W1F7TCbZH7x5qW+HGluu+EOALJiuB8+xcxU
UkdbG2MPRRyN4SYTAyHvHp2DQUF4/OViXX7iBf5BpZmtSL9QB0xc41ebpINtEYWo++UVZIYe112G
l3j0EIb5usuuXwV3TT2XvoihR9RWyDGVtq5dZMlx1nT4ahyT6p+ysda1j9+/oC/+pevr4ZrrqGXI
WzWvnIJfrohktN52ueljUihIUE0cDo+E4S5jvdwrx/kQZhGz0Ibtny7EF8Po/MSmkIYlga/xhn+l
rcBuHqfCluGOPhPDBzAY/d6dGM0FzDDoHKaPBlxCr+eIGBrpruh6gnhQ/Tq5Yn7WaQ9WEB3Htu2e
Hn5/RfQvl0RxNRSgHCFwsumYpWbT6S+XhEy1qU8sVe30vntSAao1QoRdUhUZB1YId5EJZt/rnu2D
ciP1J/emMb4NLvk+he87N/Gqt4nQjrNCnQuTSYj+J3SG8cVqxyuUuKIwjePQtvnzC6gr7gHRtrZe
7sq++2Ej3lhxgZPZPA5st5C7HFHpURt7tOCgJF0LyYLjhe2efk+fPkstf4nH1uHoxUboVne9Dyyb
Wwf4TGD3J06Eqx6g6Eo2IbrdqAEIU8YBMFnrFY9nViIb6NTMdC44h9g5qUBpXJ8SYfJJmaVwdrHz
mk5uAp1kSBE74gHHmPGnD9AXeu/1ImBhZdlgZieRjP7zbZqzlgjnFFwElF0gc0nDCEMQO+9WaaFW
kzQIk46wFVW8lclkHn7/Kblai3+5keenn3EZugU2UIEP/HIjA6VVTde09Q7wDM4y1Q1kJMrtVND4
rPyaOHrUf0U74KhzknXmK/PenpwjEkpGngj+d72oRzwldkSiYcDao4qDJtpxT5rqU9GPH44bJaBY
XsnNtbb4DurXkIa00VgMUkv/DTDQ1jBbdyfpqplRDhW0Ke+lUet/cJlfLYy//qZMyIXBagkmGgOf
+XXJSlsnB9XkxbuqYayRTzZaxZzDRw03u1iNei6PvVk1B86fE/hfk5E+DaBN0QTObiS9fKXPCiJh
T3tn1LA3oZfIXQHhFmNhqWMcqeb8WOuNvtDKhJMzo1RDg7yCEZhR74+XyiSvWzcrYP39VrUx+oDC
nc5DWrwmUDfdvjBOqHyIkJPGuE1V/VQE9uxyt70NpWSJ2jK3D4WRfwzwszfdJMuNPUU7UTrJSSnQ
onFpXjoSK9Z+VtRbTphgVzBxzV0qcxY6iIUQhbme+hp5SjRTahgjU/TpR2henLqTkhVqDNeEFsVv
Ac2IObPVO4Ocrfd62sg/WG2vOJavb4krqZfldQn9ungWTaPDKgzTXewaLx1U+Y1lp+JUeOaTEdJ6
6Lj/tiW6/2XvE83DBNk9WcDIlkbqPcIJLtdJZdMxKjSOYNo4HAj2nUG0TKMhqFKQ1wTed7ZJrIwG
tAm4FB6QiQxK0WRMxx88d8iOZqNoTBgNBGObSBzTC20SrOdWj3YBm5A8MCmixNKY6AdeK5ajK4dl
nOj2yoK1Yrp1uK/iBjoTaYJOOy7Jez50XkWbyVZiGzSCTkMZqf0MTVl4lWE/G8xN40APF9JwnXdR
YQ/hpL6oq6S6wXoeLPWyN2/sRtsVYcHoiHfQxjpB6olCaKNpyybs2yVx2+4mkjEOaeXi6hvELo4W
TlX/iS36hQSg5hvHhfFj0/nVhfOVHQEAzOOQHSQ7HBQ8AT44PIFcdeWQyRPau9+vSF83BZ5NBzog
pG7Y2N+vt/Ev25aySFAdqEV2ZThFgOI7lBex0JHKdPHGsyWGGcPVzvwQjxGt/6cN/ct+Pv+ydIDp
zbJxGuh1vviLnaEu+WDx9EiH/PNQPvcjbTsdQVhBGFOrynb5+99XnwFRX24CKhcFZotbAfrm/P1f
fuF0QN3JcDzZdURfYa77FgbuhWGzINaP0/ZAZO82TBDj247aIrEHieHVB7fn8MAQFRZw0t1PKvkD
cOtrzMP1QmC0tqG6uGxLX8lOMx5UJE2W7hLkPie8tkijSJecxNii/8fz2Q1+f7JiZN2o/nxivkP8
i2arLRHpsoJr7m5abe1erw5F3G9Se2hOstGZfaLrjwq8JVKb7NVIeOxbqkfWPTwzlr75aOu5mIly
8085D/96pS0ddIFhoW+gJvrnldZ624k6ERe7FvZc03D32o3BSdoyzYOXBkgUk2qvRXVGhAwrSk5K
MQTn3qMHnJzrdtQ2fsWsHelI+YeVUP9CrLlebe6wmTvA5098LdZkasfAglWxMwKDCaV2cnrtZNai
XbhutZ1slR4XO2QG/UabrSJ/+Ah+4Y9cnx2qw3wuoYH9P7CKmUJlUKaywB9cgesCUmTkpnHkXXCz
oNmmHDJEavFGu4xtS3XwnQHocV8V6wrbJfHItCB//5K+smivL4lRLq5r4CNcly/Va0nE4WT1lGBZ
RjO/MOpNRLG2S3ylllb3qsZWnUL/tq0GB5+wnjGiTLxzEN35TXJyiERdJaWxKTz9MPk9SSJg3rdl
746nGFE43ga0PcY0ngpdrM2+fWor7w830FdW5c/fgPrWsRSWM8ec6/Nf7uupVh7WLIs8q0DYnJPg
2EPLPWcWsX9Jcc5Bpfu92S5FVBF+SvYd9O6RPmCFH8irmLZEibj7/VX919fk2gDaSWqwBUEY/3xN
8G4MUdJp3zGfI02YoBdcuA1yhUzLd3nTKi4NUVOJYAbeF9Z8hEMJoIuB841rJndVL+AQaOoPtdnX
o8q86BIK5whqUIga+pcbs9BrD02ByndOFrKqD3WA4Dfdo4NairR6ydrk1YPqsvn91fiXZ5XzMRbT
CR989ZUTnLpGhfICHTg76dNoJ/qJAWuKulRzV/EsxygZwWk+6uDfP6/+L3sMUj6daSxiLKCzX96F
hEVcK0hG3rX9hwaE6CQKwltshIkHcmkn5k5VvKHCxiADO1OiXF8GdcuKyBnFx/7ODLMRTOd5f8DZ
/GDW/KcF4V82YWoPTgXmDFvUv57MqryPOyZb1Q5r9cWrC8bbOnIPwaEWTzE2wbRrw0ezro8uSolt
i7m1kc20HwijJpHIOMW2dYNxQO3zjKO4g0Z5ncMKXPWa/f77q/kv1YkE9uVyUNB12ClfyCUaq7cB
EaXaIUTSVuMgDkGhr0dsYT0Bn3/arOe35stmTWWgKBFcG9rh109qZ5BC18R+tasUUoUWN+Qug5O1
0tqbIHMew1i7VfldTw8EsX4x7LHsL8sEvvHvf+krhebL6zBoSumoAdig/wcVOLdIuivdNN+5AW2G
yRRPvOA1I6DxNuGzNFZSex1HSF98Al+7nrSLwgPukZnNazkWwzOp2Rjwq09chtkWMoWPzbCkfaFi
/yMwgnKDfg3R6YBKzjCDg4dB5tTp+sHJg+icCmJ/M1M5C0DbztbSFNtU49MGjRHL+jKWwDl9FHSp
+xGi31SJjoK5I5xbxQQWJvNBN65DZ2+Q+5pM4iCJYFgWMTIQcyibJVkTZ+x7mKyJoVpz+ljIkzmB
7yiYSSLa2bgWgzUfd7YWqfAP9ee/3JwGF1U6rqS5B3b5n0vk1JtlLDMt2w1GZhKkocmVTr7Dcuxr
ENtpvo2mLP7DKfxaVX59O0E9wdGE2UGj8MtekQcgdacRF7ah/PGjGlGQEVBTPJTYYDcldTboIZ0D
nRcuokLr2Aar3RT5znIqrJe20cd9WDCnlHAksMUkzxoYjlWNjm7e3IxFWsr8FKj/R9h5LEdurN32
iRABb6YwVcUy9H6CoEg2gIRNeOTT31Ua3XOO4tdEA0nRzWIBmZ/Ze+3z//0Q/tNvip84YKzJIQoh
9j9/U2S5UKR4Y3OoASTgRku1M/rvNKkNm2CLFuew6Aln/L//0v8Za/E6Wy4HJ8BTYEX/M+mzStu9
luj1QaJCY/xNssUArykZg+1dOL8qk83thuIjqdGY3yiXx3/sPpxKL95W3W1jayKKtOnowFs1HE0L
MXAJrfrfzvh/KKksF0g1U+LA+99akzQk6a26Vx+8tHMuXv3pAmE+ldUGlAGxdaQjT0Ak2BEbBNhE
Zu1zC9LraVbTs04RfTGy4OZffnP/+CPRU1F/EyNg/fekCf8VYsMqrQ/NaLxVcjCOViAfoF3BJ9wa
JDc6a3VrZiIGn/iDS/jdt1pxsGF92kX7xLz7Xxhz3vUJ+e/HnskkrH5euIB26z+foMxxDbYmbnuA
6OTEfWuA11hl8+hpaJgGVHWXeQKaXVy1ITayj+9R8oAP/oEYrf6nCfZlrT9dQS3n0WJusnmOeewC
9AVzQJskiv52zNKMEHbW9I4/tBFGXExBCiiNPVNTMN1+MUhTasG5GHqQ7ql2+5vc8SBEGuQ6tYQH
JNUIacNXm32oDDyGQqqBGDgSJXPcJ4kG1hsqIYNl18T2xe47xYpclCfdrN8Ms2WGgKcuopmfjxoq
DuJGliMnyHIM0h6vZAokycBlclrb/eAr585pHA1D6Qbngv4v6gfb37HeN+82EhU2Y/3yG3e7swzM
r2PN7L1s1lunsZebucIguDpSHLa8fiu0f+9U/+HrsnVuP+faJgD7/K9TynL1YbQbveXVW80k6Ikz
dOwjnrqCtDcdVYUETeHZ9gdmwXtUUbRzqzUShDtZYCsq418u43+o367FNceAyQPN7PI/nx6PUb+/
mWV1wNKYEXSpXuVy3Y8h2EHIfCuy4Js1WvkvVeM/lEaAvDh6DPYGDAr+69TbdDk2m4nnrsG2FE6+
enA36y88Xne9G9yNeHxCT8MTQRZj9S+HivO/n9hmUsbQnIbCtWjX/vMT10WmLfqa9odcYp9JR4I2
ZADBYcvFTlbbB2FVKClV+WUPk4h75QDIwzKwXqXmTsZQMu9wvOp6QJTTLtPz+rMCVMbGxqtuTeoY
Lhd9QC9G8jCQFf0rI+UpJMy2edxKyDxD1aZX2sP8qsDEWN+OLIj1YJaeLR4s4CFF7iQRHwVGD4G3
dEkJwOtz8WX6hi++PrCzIh3ENu/LFQGi0qpdVeo4IKbGf7AFUnP0TNSKjjwPsBffGCVYIzFhOkoX
ElzFYTEhO5vNTdP6hNlP1s//fUD+/fz+53EEweM6H9BNnbrI/a8HStrknG9M+w/a7L7124QxwhA3
ZEFoB3ommBBDM2HgAI9GfYK78mFu7HbfFrYd+y1Z3jgll6RvwG9NUjnHXJdMWQf/VPFxG2YsAIbA
tdujYzI8mbydiZ2ESHiYb1banRl60Y35A7TNEtzXdJcVtY2mT6QRRtUqrAIG6DnYgtSqB1Rw0xy7
RXUz6ZpPREvP3njTBziLW3DonXGfZdqHtG3t3KbLBRWN2i/uv66/HGYU/3OGew66SQ9mqg4aUr/e
Ov9fmxsopC9ZZrQHo6CzxXrZ3WNOHFsVHOulfgpWp3hEz0Aiq6o5zbCc6xMKzWvq6UuQfmxBEDpi
8F6t2UHin7tOtLYoxTJiyw/2Ygy32XLn1JZOS8FUfFvWD4Gf0LUqVjJMQYPFeUWxfXK0rDplxbsc
Z+u+/W0ZK91VsgkSN9PnJOurH7Ewra0lErfOo4v1+1PnpYeAGJWEAajAPRnElUnuFwY/dMJTwkjo
UhXrdpr0+hPiPH5XTK+TYMW5zjjvA3HpcgSafmXX+xRGkrcNz8SEqAQF14vUq2cMJvfsoh6DVWde
20kER9J89Ju/fZfB3RUzNju4QAj1sCbtLe387Jx2y5+syVFtT1gSm8Xe+3ZJCI/FzMoo4YiU+FJB
Qv92Gux7S8+AhBcSkHHaQWFwx7+UvjqgyAkOd2VxGMRG+JxwHwffRQeJmSX/6RFCwSTo/2yV9p32
pHI56b7Mqz+dl/+Zs5HURe4m9H4Qe/CHQrYwy7hE50vKMOlahVGfZRfUsfyCd5clVe3/itR4SgHg
jSvoJXNJH+y0hfDdjGkC5EhEo249TY5dxlW13NcdntR5cF8sH8R5RpQwcebYhMdAJvOkvND7tWya
OFaGbcJ36ze4zaHk6FExOk8e0Ylp7d/a/vRadu4QquAqVIUqFfo21KC2SqtYGkVSEFQwc4JFS1UU
jKuX98xD4bj6vzk1x7lozRdq/WQ08tOc4lkcfBFEKUGxSMJYGUDr/SlmorVbreyYWmqxvg0Fd70F
jkRnuNRrCDU2GqWkM4is6Su8iWACCs0YOJYR0C1EN85XRyPe6P0mlHMhnKwnYxLZqia/ibNVR3Mt
TgQHqMijIYqMJhw8a4kwFeBIxPPOnLoICfRI2ipbdsoyhvulug/6sof/No832eieF1HMERHWRTxs
PXF4jnm/OcFZZXVzJI/Rv2j11uCSMcykdnHqb7l2bFsLaavVHsDM/bEQM5xNseGXsaSD4kcg72fG
cCBB/WiI1QItJt80jfRyYsYgZhmjigfLrAB+GM+SALeEZirOWd0B0l2+rbZ7nzrI8M5otjElJ8FK
G2aabtN0oNdTgPY5P2wdbB9AnrA0SENZDHrBWv7YGIJTTNihnj0sK+TXGs46GLoZIT+aeK8gbNf/
NOu0YHHl3/J0Z5heqNA0s9t4zPw0tGZv71fuPvWbn8yi1hOKm2ZpxqRcgIoUTYkUzr292sZ22CYb
6kYZBoiZNvu5coMmKrKUHIlK7ANLsgoEELafMTV0G3yzVg4YsdkJYCR/IH3z1/PluRrWWzluH0Ye
EBrQj7spy9pdtrxSp2IrFi+eRRxVVZ21weABBA24N0Cn7NIMUh/OZbqnQ56ZX6zuipul2g6m+V7m
m3UzbwxdTXTsvcZkCoHhd71NCiX+iO6Mj1EWZtL76V3g4S33GoT/28TpQA7edpVKk+KLihERm9/s
qC1Rs0p00Dr8i35Kx5OBZ9oihnL1mgGYUXtwbEhYZVW5odKcJ6csPPgBwZm9YhG7Bu9OMHr3VeeT
tl4Xd9PFXU0Rm7mCbD/oz6NADmV7GB8bCy25bdj7dICxj5bzRpleeylb9J7d9fFWw9l159ti6N+t
1T/UKVbTOU+sCgXvIKdv48pGQB5w6kg8p+QiW8HFty2u35Ka71NLves+0jlE19++xqBiscWNzPUH
eKk55IxRy3aeV5Al2cwkGFboNbWzYf8VrFwtnNl/9SYnshhwyszzWESC4VHktapHrTx8bJZ5NnXW
1m5bQj+3iY3pST7J0rWKB2qjq04ZYRfjqEPGdI+6pb24dUnELaBCvHB2f9Tz+X2rIR5hdXCwgXNo
tr/Emnyv5JJ7qrjnarq3fZMwRV1/we/QZS9q41uvWmJhzNtBsV+nR6sxX/bPql9OeknxM6vyR1jA
Sm2vCGXbichw5htzzmuAU9QDPd4IYlQ+YBQ9lZb7TCcdYT29zxYW/BOF+zanOGihjrHSDXVG0Lnu
a2HLWAMRvdJxkC3EwEd52z7TOpE3NTu8oSU1iGBvEOOifgkycz6AYo0qf8WWfX3yOq85qi6Pq3qo
zzPMkKregptAS+PWxlM/T70R6gV95oCyWZut3821v6U9vVHBPmu4lyKqPjZKOWctoLcFQhar6QKs
obbtVWkehFWfhnG9CfzmPcjaR5vZWjgVDxC8dG4vqFI+LXx/VXu3U/4MgzbSDGIxUp6F62+6TcGK
1tYbYN4xbNSMmUIuz91Uv9K8YJQqyLPsCIhoMIWtdMGsNb9dozhwCKQETvTPjsN3qFnNZ7GBxui8
C1OgT+g1+z5AiVLzk2M7P/kc+Itci1jg9IusU78tZpivw2dqD2+bBvtouHpBg/xDgXB3xb2gKQ2t
rnxalwqqX6ffOJ4A3BG63vWOJUV2kMRsMaXlJiB6WLoHu1t3S2H+SA/rh1VHXmdQTeEiRutkPWO8
ZKpM5GOXcoYvt71S/tmy+duylEJgVqiuDYody69y6MmIDA0jx0da7lyD3dcmpgNggots19fJWF54
DyWfLN9j/DxrZRPVk/7gGOow2DoeMxJErKz9YzYblyyFXGdwU161zzqev1HZ+1VlHK9Wf8ltawrN
rIzMOp923sIOfwMYbpvlK5Fi6MW4dyO5lGFnaw+4H/egvp7AOr1NbAWTlNcpXBxzYRUhH4MGvPlg
mjj8jQU3I+ZuFeB5yV5w7mCFqXImXvOUxyIncxxBLfwFSJkUyYLdUcB9keNfWDNLhEGHzc1eih99
RfZQkm1VqO24NMzZSgMaW9cCs/OXG61yjyZIQf7fEgk62LZYX71j2YMQMfMefyxnpmxy2OTYjJpx
iiYP20/rMgeuff/TDvAl+2UEs4GwK9Mb90SIyyi1SVHKb1O/f1M+WVFy5Wsstjea7Eel4B3YQYH1
c2ReaqxglkvMl8E1a3cca5Jqh+pucIGw1WV7Ep46+pl/X4J4WDqOXhDOf41Vh8i4IbvLh0sTqmHu
Y7KUA2ArlOCSO2LXIkOGH/s79VA8pzH1Q2dZo6XRKbZKz4I9nN60M6b+xvdIF4VO4gQKmB2ymN3k
c8IOQbHEDox3ImyFTmDkCyPiW99dLm2p7ETnfskJPQ99t1lgFSJuInECPzbVGr+dG92iOCgRMRjb
OiWaoYdbDo+uAE4arbAyeBPS+6VO84j5UXHjwrkHk9KHZLqSBFZvQBMqpskQrGNINvd908GcqDsD
+gLkhJU6K6KcuHS1vpyuxdXYHuoAquBQzuhlKHEoxixfdg+96Y4MpLH1Ob35yBBtiRlmAj7tiDZc
ZbB3RxHLjpK63ZaOe1O/gcVYhlXfsDqrvFOLf8XpShQ6Qr8lDTAxZmLe0i0F69ahbbPptt3sfpTY
niYO72Xbo3/rQYDzqvPaEvP36TB4Pqn2uvYduSeDATmLnu5tFz7hYpk/hUUDPYjYv/K/Vtd7K/Nr
04W8nxfRuoWI94MiPFGZ9VfWfrZzu+shgoTd2DwN1WiEptY8uqLeMVGjqnZeAYlgAp1eZnt5GIst
J+1Iu5nG6iOYv8REoaT13UturnrC2YqhDxopPxubnpY/c9nrRX4n0vXGC9pkWGteSpvUs7L7taud
btX9KWdonmT3Zv612n1wYjMzsVrTn/lObZwmXaZ+0iWlrluwm+BpIE3uFKwqrBZJ+SyulrSF2rVX
5mUOchRnvo8FE0X0euq7/EiC62mErUJir6D0yLYYKChaQJ0TTLvmlOvPzK+pLgVu7EruLLm8V376
KCznZzKchtjsPjZ7LqbVdn4K3aISIUNnqk86vktdYcOCQwNI7i5DDHnNWv7IsOZGg327am5J1VHu
G1V8p0bzwq/zFgQroxAsJSWyegGRam6BCLuymSIu9CYMpoFoqkoAQfNNTIrA8/LRQItlsT6yzAdf
a35HzMxhF+RbgnX8uEEpmQfOMsYzKsSZIIf0l9EsGi3XeB2E/aBn2t7sqCNdbXrSaw0O8Az8qixK
n4tbZxbnH4Oazh/fngkJP+XHY6Axd0dMSy9bu19T705eQ8In6G66wm3adHdzg2rMVj/+mh71rbgJ
sAfEc4u1gFYfELtNPNQGPLbV3lSpQ+Bs2xiY8V/54jxhUaRd89hjBN3PBsVGZcAmXJ+rQQs+Ugfz
Ayp5EZc5/j1+8poP96hIx40nv66v3cWSzCA1EsLEZNOoXbeqCY373nc5YHmhS5d/ifP3cfIxo445
3cI4ur++V6h49cpblcOILTx1gnuEl1u6WhAy29HCCSUzAyb/TrnNE6LHG3cafoFNUJsb+cXq/D8T
Dup4FciI78hL6JiiSDvu1ubYd0N67iuLsEk0aKUFepxer5zdg9nV6mwDWAgQJ2A8G4CReBnFZXBl
HltNZAvBJKtec5jIzs4anDeFBQxIB/fegqq/sa92nQNyMWPvjfSgYBOW4dee7C9IR1bSOc0RQ/Oz
H/BHt4Agm7S044WIo5Czrn8a0zlLoP6i0BHum9EUR210nktzBjTGqCw0SAyPmt791pTz08MWjZut
3MLR835FZ8QtqKZ4UlKPezhpYT8EHw3GdgxymI9BuzvmsLvRtBEPrSaZ0nfaTbZljPpgXu0dTvQl
6ykGPb+9pMLaDu0g3haPS7GvPrgud0q1TxCwyQlwoq6wyeMTFCDGMI0haTFzp15RVTkxUzSaV06T
sAXVFXQcSkZRcozT115J9qU9SfrF7Yu5LmzGciNXC89WPZV6srmAj8ZHCGSX2rGXpEoDnH2lmg7S
cR6DmnyXpkzxUIzjvqTsyOGBitJJmjL4krSRxNWMRszh9NBhAA89Rk7dSpO2EUeLRtAOM42sdn1d
YEmjdOpdPywy460Y3Wznnpth86gYaa+9Mv92c/nL3uQKSe2o78AY1CNBjb7+vDUyCEdorNG2tVvc
pY25S4OPRS7nBWpJPF9XuQxvhh1Dl5p7kJSxzQ8wrDgqEo7TAXoQT2ubr8mQ46NrVj6TM+MM7rMr
Jsrob4nBfIdMgkHac2RUgO/nkk05X4xoKaDM6X2JskJC0ZnMX2UBMiB6lhwH3brjnkPjWcWZX5Xk
SjJUpFCnIiCsZcrnfN/3ALSGfujjhiJgoKGKWUwvMesjZ5dqkAH94TbNnOWWWAls2tUMLpO5MDuA
6q1Ipz+mwa9vxd+oFSYY60IYu2AB/FUuXVgjFdjZzNwyoezTVGSUqZ4iUKZX9yTTMcdWVryN6oJP
KhFjRU4JHNjI6PIfQ+QoBCeaQVGQLW+hJ92X65kuqDt2tryvCNhKsoF+LfDN9tbK6ycTdMtj0X7P
YwNtv0/XOGuIEHWc+phry6HRc1jPmhoiK5/va7IvbtK5C+B8uE8NKBBCeJc4R20ewVeG+ynsChoN
HyKlIRSe+5QzOmICdQ1iHxDkOtbMCIY+sIzqx9xrbAqLrgE00YkbWCpMyHSe2b/BLds47XVzdQH5
iWhZVoZqDXSy1NeeCp4QYViU+cixkABSPqJIrWfzKEw0Uazt8PbXxg+cgb+kMh6WiuwBvJLiTu+Q
+mCg2o/+IMNPXKDQDNRbrx389miUrfvie+OWZPR7uyqfIloxzM48Z5jwjYet6j99zqJduVF4TiN0
zTZbdx4HV7cA0/WM7TgMVD2595FK8BuFTCDrO5G2eEEsFnwgRcYdnvaNF/rScogbixoY/tG8joL5
mHs763wPSGZ/fa07Ei0ehAGpknSz1SHVHIKZWjA3br7kiVeX/YMLyoxBdHY0qe7OkD/neWpJ+53S
SO8zm7Gu9a7pZrKZVX3mOkafMomPAOxQ1KrtJHJIxIhPn3nx1tulep4D2GblVXG15gFJDjoDZYxm
AuyjGt0HZtfVjn1bAfAyL/aYXV/yRb56LJxJRmPgCIN3jnrjGswiPluDw96BuBjJ0Qao51HUQj0n
g2S5oNU1Dl3aFZeuuCWbcYTzJZ6RF6/JCrBx73cGgHs6djIuo9IrxC7fGMbaQ0uqQ4Wazc4wl9jD
U1UESLk9c97lmUU/09AJB/TYLVFpzmxvaJ5Jcyv1/B6+AGtCwFxTTj4V2ok8MnVaBCsNemaX3WO3
+WkymZkZ93mKa34dyUoX8i3Xd2Wd2uDTSZ6ZKHEJ0xw5nRAXOCI99uPMDIOtRIabYlg36wx3uEE2
WF2V64Z7WAUPB0qn4JEjOBF6ipSKhvZmJZRCOLDkQ7jk7YtmNnft2uHmnj9SauUnv8GoMjW4EscJ
3zSEtY7hrWFN53bGuOKYm30hjOQEyy3bVXK8ATM1xMuG6llUGkdCUAFbs++KuninBZA76OIJATTz
9aX7gkTPYW6mG9oyPHNMMdi4AF+FmbKwH+kwQEAxXQyyTczq1sDeGRIlAm6gNXYO0owjJ8aRvRqM
w9J4VkodEGU96+Ndmw9HwSxon9G3lN5CP5Ylc+Y+UJWhUrCX5gT09qIz0i2I6PZ5vYOypXu3pBWr
ATAqkg1mtCsPUU8ux98JIWO+HnXAMh0zpn6gwurQ78TCdN/rVmxP0JQKWzBrks1r0MPdGRzqdFW9
gk2ADTUhxTFaI5obBLaDH3qjZx09v3o35brbqF5TC0s4OcfJ3BC0Xk3VgQRrDN55jyHH9u4mOlyv
1XapDsIFxAGbKoMQZ4yqtubsC/QTkdmSgWZsFqMyh2rG9rbP3shzGP+yBY2AcMdkag+ilrybcn6S
E5UwgdGvcwttcNUZdLrWvTROSOo/14oUJK+a79KPsrbFrkcQszMmJe6xwU83bmX/Sjwo7Ggw6Re+
1RxnxlWA9dm1DknNfCrRLZ5q06g6kn6cQ8ZAXc6Ei4IXxNygZ69dy/xjwJy7M+Q4Hjq/PMyT6V8C
Qabw6G6KE11mNxi1uNvYV9OJQXGDi3IUS3CQGX+Fr5YPe3CLk4Cz74KSw9PKyheC1QB5Wt5maf96
tYo6xfRQtN5bl/PFpEt7Z7rpfOy1jmPPe9lqSAirT9JSDrLoZpAyRnnQsYQxjURiWug1jHuWzG/m
FBa3N7TgptDcWgHBY2ZJlrinImrWhyklJKnVprNuwwt162ugUwFFvtKoeWrYqoWjPtmfJwGU+L1I
zUtmesxGc4pFf+xiubRcfLnazY1/284stM1mOOIIow6fzfRAIMNbRqTBqalRk7Gu1Pq+iwBodRDO
p6TosysjzW6iRUuvIWFTTDQD6FEIlqQgCCpSCNYKecKpLEfjRk+vaHSkcztn9d1wRYKDnnR1wUCs
X3pV/7LchgkIr+3mukP2hBZcXCOdzxVbFNWjAlZz9TV5m3FxTEyOUudmsQtqNrQk+t5lD1aPxnAp
lny49LVrR12wJT3fDtusnetowF5Wg6ld0YdIWyHyFJK5Hg2lJGYnclh2sdZ48FZ5dqpulzPp9Iw1
O87BdRfmMpZk9bIcCz7MPred+80FBGMOdgGJRZsZlgTEgoNdTubCHmILjvLq0pqNk2putfzq7Ji4
SSliXoOLInSAxE2imZwFIgcn2NVf0iWEntxPaTftpnUFitUwTp+ZICpe5RJVbKjV1vNQN1+9p4Bz
mQuFUSpoh9mb+vPd0vt3zjTaiaMRsm4SP7upij10cQfsZLuxtOwdIVK7KwSTR7+yekJt9TXuEUwX
TvMnhfkWV5Ng1AxuKs/NDSSvd0HnlWI/QSug+e2a6Pkyn1VHBYaL4rwaG4xAAqDUKMd73+I2Xab6
ugKGqUa0GczT3NplghJN9R5jqMZziTBa1gvru/XSXFFmg0fb6GyJ4brN3d//2Ehgvsvgrq7XrIwG
skilYt4+4zEDk3YnJ/XO5qO+OAETN5nXzq7SxRDbTOxH0Lr7QhubyDWcHFMhijlkSKwGM8p4+gLW
jMp/rqaRNU8r9WgaglgXgHnUbGy7rWVnTt/k1FpwFLlkATppadRyGaG3+5aKna9aNSqitOE25bG7
SvKXxmsR61+TnEyGhlZbk2ky6BDoa7CBnQXCso9kvrq73u4gfui93PGdw81kPKdNzkvBNoA1lfaU
ETNYtyCd2RGZL/2PPfRtYrsrXEdDyxJckIPpH9tqZA1erhcp1KkKANbpdu5x3SnzXt/yz7peIko2
b7d5w3TSOPignS7HzrsushcH3Iv7xrPO3eT3B5PoaIKcEIGhIYiqeLHax1X3t9Do+ybChM8PLBH5
17LkNwVX26qCP/oQRJT55OFMF2Sezjm1HmaGf/u1YPzrB+SGEY/Z722rZOIFM5htzPZJrXZWA+Wy
1ffffIA0njVxWLauv1nK6VUwaD8K0YR+g8JpXtASazrFTGavNnMXaR1RHh/LrrstHHAEJAiblDzk
j5gBNxoKS2pAeZqsALJPS+RPQ7RCzuin0MyzYCXQFepB1M0fk7sgzIbcjOv12lVXJ2Zqj7bM22gc
prNfwD1B7PDJniDKdLHFTk3D6i/uq7vmLVbi2GvG7CnzcpAyfWvulh5UpQ0eYrxm6zo2HlWIfDXZ
e8tMOMvGVGdUQEwsYTwvXWommR28IxxMZAbHmagqjTEXH2ZshNo5hCSAMioRI5ig0UaDP94NknEY
sXuzB9IqTx38ybqrc3wFxjgJBvkIj+yaAXFgZZzC1k82GwnaRy/MfQmotHXfDZ66cKMmjTzYRiGN
WjgAXolqt7jRC5NNKUnenvdcbTbFg9YozGzaMc+DB6+a1r1wSmJPVRpPQXrxBK5ahNJguUmwCTOq
dgJwnloUu4Mvj4YZPCI4AYYXeLfD9Gu1wY+fssL9qOAhFwIwXUdpQO1w8Yr6Vid2JAGqNIQVJwsN
QxII+9xr6o0vT0XWuryDm3jsS5JWBSPDEH45mDEqv5yRDLCkoz7KxwZI6blmn9dfFX2eLF97qz5y
pwREgwvYL+077e6zKExJ8ZubYdeLC9LbR5gx80PVsZY1Aepc4bMER2xX+zZgMOF7EFdgcmUV3XzT
GrSDox8HK01H1bzNSv8Va3U7wJSPSjPHMVUy6bbapAOVEw8rP08xt8W5H70gab07fvpOAcKyqoPn
ZTpMNA5odoRn9lF5MtibBz+zf3MXTM++XZxztj/OQOUoNXRcQHte+swMTRZ1p5kCvVX17Vw4JzMX
85M1Fvfp8iB6ILjMDzGsduplJmEBntP2MHBt9UDBraGG8J9KsIri3LC7DRtv0viLlvPWoCNGxsus
mOgNl7/QAghKjmP3sXTmW+oKJlWe/9MTsDmbMHFtc+mTkYHc3MjluBX662It1z/duUcLmiUtVDkS
5rGSeulzjc57BMYVkuwz7XLCqyrrz98/Hu9+FwoOJu7l4H5qkFaorgqe2SJhTnehwlFpEKC08Lsr
nmRWOLvRe9jkuNNmsCm1YFrgL+ILojFNSQO1WrNI27N81o92p+/L0vtgU8aCyU0JP7kySp8zfIzk
GJnsSto9iFk3QZFBr4y5Nqu+9VV8gUz23vXqSNFbowAHYulNvFUGXTNaBLApPgkA8Yz+bzQ/uNq9
aPDmPymko5MFW8mS/sOmM8az5GlZeHlqCQwYWM7bupKVh+1krpHJ1CDPwtRxmn3fQRhhRclifu7q
C8w2AEgQ1lJTHHPl3DTaxMRYMhOpvoxZnmq3+TWL0jn1Sx43+KmPVVXBJOl84DyxugJnhf3ezFqw
G8jU4P4tHpkdgTlNeUE6u/hpqtE58Z+uIwFEPnaDUcPHV8qwK5qYv+nOwgRxchn0CJNitzyKYu13
jVv9Wp5N2E5GiNyy6KR18PIq47vzWd07jn3P7xjAcf20pPOdPTeMbXDSVFBbqTG9vdsZb+1avKis
uKT9+JsLJnC+Xv2y0LqviWFkNMpki3hL+xpCyFa/edKEqeLNccmctK7AL0y3TZvOu2tMxc5o55um
0x8qYEuZ7/Zc9v0zCroXXN94rIEt66tk1LIST5m1X9Ay28Qym2cmm5DAAPoCa4lNk1lrQM+ORuu9
qJ+JG+c/VO+caJ8zmiLuG5fkx3beO4N5O3W8rwQ1/oFnqRu0+wPndsi0ukf5RC09azqCauNoI3na
SK1BLtzKSzFvV74dJPFyWd8hIF8qZ9jLtPojxFXm1+lgxAgVGtLsTfiqjX06E8YfmwoDE7WVxKWV
9WJlr7AmsGbRgDYtCyUQgtgn2dCKB7+enjyn2LnWl2SDcVonCAk+ApwgqMJhGd/thVK+c0uyS0WD
LIwwi4hFOBWs63loDv8GvZJug5b0UPYrKaHkrjTLAB5LNzJ+NFhWpYiUUB+FR1QaZd69opKttHyO
EZ/fSyEgnpnGTd7CWd7owecMBhwCF3l05AnvAplGEkN6OU8oncWix1vWLlc87FMdpCyj7Pd51ogm
fJp12HsdYjSqMxgiSEWWTd+3VkZ8jzM8wvXP96ICHmxh5I7q/Jp3ydZ6GYN0pwr8mjqtXqnlrKW9
khUeVt4VjANeu4KXDCUaeTkIZ3Tt4szpznZETvdl2rE1Yq9YKBGxHJxr0wfs6qpHV1Y8HHybNFav
s42eqArq+dx1lc9SnZ2LGgGyOzmKuaxBEGSGE5mpuwbdS5I3QUSQiRVqheaS5ICQL2tKH7LfzPQQ
Qw+MvABlgfxggrDnWrUSNvO8TaUaYqXqrzR1D85VxtMCReqOXu0gu3zeKqOMh9GCiZuDG9Pb4oCn
EDKZMJ+aVj8xoY1mff3qdBPZ0lB+jisCiHylFMdMwe5k1p46hXg9mKaj31Zf7dpTcLj1iyOn54bD
JJHgixPbtH8rW39yQNgzTSg+LWOEcUsYowEMG+mnubftje91yB4gib/2nQtUKZNrWLowGEd/OheY
xUiFYHKHwCvvCSh2txfddmlFXAX+3xm+B0J/ppQJfzehkg2AhHLC/j+SzmNJblwLol/ECHqzrWJ5
096oNwypW6IFLUAS/Pp3OG8xiomJUZuqInBN5smIML6LPdq8oOQVtG3+KjOyeMr+xvSHz/xYkA5I
lmQQwvbvPaKSsl7snbA4udxyeD7Gh66Qdy72C2YoBjQBu+AFmjxXRg++vvur3ajYDLa4SQsxjCcd
ue86AgazWXLklJTEfvTVQc7b5AE5gnk9v/VTlMehdzc8xzsgfeeZqPJqUw8R3gOOCTsp+51J97zP
s57TwKSuzwgKM3pSK3SJaE8WYpMyuOMJ/qi8Y+sjktBKehRZ9X6o3X8TcrxCjy8u7Kxg0SUbY/nm
OHrniAAdITMCXIyMjldBIbFw/MOGq9/YXjSea46IhEACE/9sNw6oA300NgVXAgrK4MWDMJw5fnEm
5uonlMml8yOPZFI+PeIaUI5z33WPI17z2ASIAeNrfskr685dSXAZ6tuAGXZGTyVEcXOW8DObrA+C
WCGbj8Dpg/aPPdNXSpaO3QCvOCHpOZ/6nDwpsnLqGwqYZguv4dKrcj5b85kHdtxGBW+nYWBOy0ZO
dkJ6v+wE1bN7sj33ntId58mTHUgEYQEDz9YwGGoE7y7RdJtoyJ6ICSg22k6pNV/bbrm3hXHBDBK3
RXRX2nl2iwT9RpfsjWy9t1RwzYikrHrB7cB+vBpAKCiXu9E2S3QgeUJMCoEadv9TISfcJNikt23N
WaIgM+wN8ll2XhTI3QrRJJPiL05EfG+OHHZV2L4VcMU3sCpguDQyPeRMvm1eFS6zlsfcJ301KQ/M
hZydXWXfyMt9avkOGr1Rouo1wh/PQD7vGEE853x3Hur8ZNt/g9KiwKqVvfmdl9I5kZBFflK/zZPv
mkIZuDDlvukL3Nu7rglJwnI9Y9cWIm7HgSkfcmMTK/QmKpYJZjkRXxGjfbMuL9IY+C/gwE9sxASD
AH4it6pe3JQgSaMiTs4UbqxXXG9tDCQm9NNu5vMAoXHjZveuXa/TZF8nxDuM5nB3F9D+rZi/Rkc/
RI17zIOabF51s8f0B1ILCEsCNTcTgFq0JDVK8P5rDMavNfyxDMRbRXmyviRTXFbubljcVz00yJig
E2/AdCKrS4PHfggQ2gEH3vqu4nA0b+5/GZQJOdejNe6dIvrpdL1PO5uiEm0fiYk8/q7PYovstMH7
zFp8zV2bHPRAIknqHpiGkTVDRJiNpJviejdH7ZcH3hHIZ72pdPRdTHz8TTEQ54a2HUE1nC2hH1J7
eUNbqzdZLci/sX93yoi9YAbJZzCIsLAz9jWj9baKXRfUp2c324GxamB0MeXy50gxzhBy4j21NohQ
/L3yzBq8a2vsvZEIaD6NGLaBNBOTNBNOQ1zApwlXpjWcH2tg82cVrCjNKA1jlsBtM704auayGCHp
o3GQ4/jVmVw3rXXxDReESXRlFLOVfc+EfPTixbbfE7fdRbRFm75Mn6rMh0zc9IR6jg6UdNRUumJo
uDDOqT3tbk3dL8fC53cOkHUOafmgCgYjUspXXTL89LAtrNW6DPvYsAn3KFv0TF7qvbkJ6epWueuE
922vlH6liG4T+tGv10gD8NzbqpDcimSrsJBKn4wCaRAanAcqMIPLq33vFJE8s5o/+sz5dir50ZWY
IGyjnTZZFNHGEZvA+e1A4x0ZNdr5LS2zhiXVcofqWdC7am7BZfjXVx2ujGQ6IeCgIAFMsA/M6uoJ
/6jIPkbXhQIuWbdueGBavzqx8OG84P46aTv7qNmqbrpe7Wc0bJ2DKN9t/J8yYvplSP6TUTJOyHoC
ZaMR84acP4flmtVBjrJOPk0kqkK9CTiVmNxpaOX8zO1NzsOfHP/mtt+TmejgWUjarZ2SPBmUZYxf
nDzskAEe1+sOo8AntKud6GHvm4rwMupBXonM2tehOe9ly6DPdw/T0n2MvV3HAs1Vts7fypGwZ5gB
QJLZT+h33u+AWEPbj8cgw0WU1t9u4TkHxwehppGK70OrvraGurh+4lNHFWe05/c5R5ObwL6Gt8xf
J8wRmD+KugMuIZo2wlRIKjvWDjpmOeorG+6aD1z/4lj2KpO1qJkXknNhNm7xio0oUYad1VfWbk5d
fp6Fb87JaJVqPs68D4TC8LK6/hLGJc+2nZJSgTF03Gk9BsRNLPus/ggzZz40hLBD/k4oG9HbmWX9
RaxmEDcUr/ywqFSsMd8psSpP0BU2AV6DJBrfDPGvCDt7bwbmh2jcXdW0EWmaRbpPNSEZRWkw7jXu
4+C89CZBYMt/ppwOnno7/tPKfW86pp5R3//DKAton/eHtnpLTDHhyzSkMxOFo9bdkYE8L1iJlKxm
JLJZuvafSpFOkNpa2gvJVRNDHwvsMDvnfmeZuX9KTGSpbRq1sTVl+gx48o8/Vm9C2J9VZk7n/q15
NUYcGkaBp7pexzZpOyOt65MtvTGgoAChX56OyMNHBO/jND/bTd9ei/lXpUiSTdncbbrF+iXtfolp
7cqtt6xpFMzNDUxi+9JL2OvAZeed6Yvt0Nv7frIfloz3uJPuX9ckDpTN07wndoQ+WNxRlMPmFTMo
gWYhOJluNLdihmrrBj1Zo7Ac+MFsgMj72Ha5928xqGhTXdpUQg2KTjsuS1/FrUr2w6j+CfY8xxIL
NEKSD+lQ0YKROI8DB6WFxXobkOvnsMR5pgT+xlyRbgwPgzWSDhBZA4TQqcqYDG56LH47EZGzLKJf
Rll+l7wgiizmU2o5fMGcmeGksHdq6Rx1yp3Tm6naaxW9sXM4m9NLMU0WZyLthFF/NtI1Npm59FuR
l4BjpkdpLw6kHkTOA3OjPbhRNux+vcv/S+kamr9KB8QQtS6xttio8lqw2hnX6DhxMpeISfbUv+Ui
Y0aa8+z47Pg6mszc+CKxIjcXcGJBrw9GRSqxw+rJbheiCjxI26n5SVrjJ70v+pwuIcYbocFxyaBg
TQwCQWWfkmrBZ4MQnnSP7isr6l/+UnYbsADQgIvqQ5mtH/sibRlyAqR1BJfB5HQnY1YfNgHLSLd8
vq51ABdA5e9nRLI6T7lbri+Y+07++h/aRoSvQ0uy3IQDgpHXxXTcf3Ryez9CDydZSk3udexFf8gl
cYHK2+VSX/1s+Tf5uDYiT3xUNSNY3Edv8Hjm7aIAzAVryHphgccqXuTos3NC9gYjiZoYkJAnU2Yo
IOYgPUvy4cw6Je2tht7r2581u1HXofFVZv9GhsXnkmXXwCPbBhsfOcvTZ2I1v7wE3LUxGdsWHaKD
1XS74HHc1cMwxeT87DLnt20LfcwW+2tS3vNEkPKqAOX7W9SWc4AucdbHJDOf81CSxDnPzPGg2LMX
3GBxMcHCZbHZEtXbaGNrdeyHAP333LZBiQ6rLM6tOb9aNTJSK7Heg5ygScmvP/vYpthAvDI9PbQD
a2tjJNIjH71T1opDrpWAQo/0xkn7Hi558+aXwxHmUrWbibHL6svo2Dcsrt2Bh0PHSw1Rv3PKc0/u
0gBPdvKt2M4ZGBQoOnEgnLx2+amq9anCCdJUOXVqouRR2tNXlb6CK/h2wwHjzCiLNY/o7JrMyzLE
Q1dlEnfDPZDiFRruRnjP0Lzu2VSRmtvrHxzoEkEuZ5S6EDNwMwujwgrDpMjKQDsQEcmCRJv5rnN4
1dkh+eR0NH9HLNOv9QKXcemYCgTuyEo3D5CmTmRzBDx9SlMVz/3XrAYcrQ1jQJUY08oD0NvWs7jx
Qj6iwC3f6lDdoliZlLBTosKTC8TtAtj+WiZLArcbv2dCMASTj01H6v3Rmpth63ZyuTqEN0HkdXf4
hX+CcAqPJJ7cxpSdfd9E3k4xJgbINrNKMmpWl7jJcB4tE51x+D05vbPzS/MWsjvZZFBet97MgKCb
Ui5Vrt+Dl6ZenCgBkFOSszcLQKtdcDOzrNnJAsQ7OnbzgnLsaJbIAnQkTtrw/lqkJG8ql/M5d+ik
ZbVBSJTtmJL27CbQdZciJRaKcGTCGbI4g6V+yNJ+S+RFe0hsh+CO3AXsnESPleP98vJ1tifuskW3
HLTuJyLKfymbabZNnNqjwP7EOvUwgPZizoyirA+sfZsiyGBuZKilPzbzsocY5V3xaD53a3GIiuNr
alogcrjgWSeLS/us1JCeyARImHeY91Jy4ZUWRaE7EWVVkVGBGt6KJ3A4ePzFLXG5bvKFKVLuble/
bqM/ypTMOjVW7GR1/tlUTn1Y5hmNV2feWnPsSQAMeNeiJyoIfLQgrlTPfRyQTmjAe2NJPhwxQ40M
t+oTlTgdwjD/rt1iGxRI0Zk/npPBe8Xx5O7cSjylwfQpBbssRmk1oYqSe1b0cQ8uvyJ9eDuYhLXb
A/FM/mvrEXBbvCujpYUjOC+RrHmd+l5pfOLov+lVDNbUpGKy5reyz8y24UOxhqyR/8dmuF/K/Ncw
YfKZZz7jyD+Sh1L2b1kbPY0lKdjKEfjNbl0Q3obyz9jiIvFQNMhBPLR2dsfFi7k6NM24G8uIuMOF
o6M4CckLnlfBt43Kn5GCZok5Zf2WKDUmvUQcUJoRJOmF1Er+Pp8P0naPaKCgUYIhqFP6bhIl/gwW
Y0GgATlDGXczZNlLzQMR14VNTggqymFq3BjJpaC6XWsJEydGHjxrqT8jhLBbSBgV2Tf1bpLdDVk5
RuY8ovJfbIaQdnJBgG/C33ZMluU8/maADbVFolxlfxJFvnTA44Qtm7cOgWwR66B/oFT8WztZdcrl
h7Lxcc4OkxZ6+nUT+0vk2K4zqMmFVN8jetrSmKiQg1/VPH9HLXEtQlhHXbffZs4cGjkTcbR29XeO
LGhZq0aJfCmgk4Ab7PFgk6Il3QLCCLPfgceSqeD4OBzNzBCbvFNvaSfgntJnOeODQWvnzcGDnQ6n
iR5xFa4/cXk9icTHM53tMylRwFMV0xr7gq64A6Pi2YQk1Njl5fILHh0fDn45mpHXycvvVWvDD/SN
D98+kZmOjdVF8tI44l+ZL0hblL6NQ9RfLGf+Hq3yNKC9YtIs/86Eyhy1w9xpqb6xhohdSQO5rQVL
fNcSZ7IpfcB/a2CC4rWdbwbydb41AbtRzk1Ee03eGQNPQ5BnH7zQePisOMEi+Qt+sCh9LDzL2yLM
YC60mgM4svPZO3odG6hK1A9JVz9Ws2ceg+EHl23Cr1tMOEFM9QlTAiGMye3H2Y84j//JDDpCYLIX
A6z8pueIC8opj1OFK8RhcDXqNNauYnRg/Km0+DQE44M8n1+7CBSM6X3lbvBco5FnoYi+Xui/QtFC
e9XFT87CoyciaQ/bNx88jPgb8pJ+uewVN7bq8Ri5OP8y55IW6Y6e95cf+Y/K96HuRCftpz+Lpj1m
EuvVot8mZXHxo2BLXt6z02RyZ3c+zXeVbvzp0fe7c4K/Z7N+dJiYTYcqQrrm8DlmbhrPhgx2M06Q
zaDmtVlMOuTS+sftbBN1FupbgrRl2gKab/hr/vyHCfemU+U7irKSNUP+T2U1+44FkTE5932KsFbn
D3hb2Xgz9ksTQH5Cce2gsdUI0V0yK0TwLFHm7h0bXm23KkAQgNrpYm0mPW3sUfxMSYUzQdSsn92s
R1ewx/VhTZ/cGxsZSeb8+BQyd+r2Jop5xur/8G//swggckyksP4qofNuCQLIjZ7rL3xGT7PPnDxB
EjM1r13i+wBa1r1Uj2elM4ISTSre4MhAKmQ3w9+mn6wYccuRPEPisKDZwBknL7Mv9HNHZqMYQQmT
JeRH1ouTtm/V79Fv023TMAH1Bo6xsffwHDOSqnRwt9LJ2GknedK6/uyW5IFP0RjTvopdSxOqoo6w
Npt6d0w7XAb1sGlt9rnTIk+lic6AySaJ8znSiHmVfmRkkfhm8Jf8VNrdkRPUn9CkEHG6ckEw1XY0
zypDzZ/9zuWCnynU47aenqaoz2KqkXvXGL/mzv8b5SWAgMYqMVGoWNrmU+8vmHlbFXfkWPYZL8eC
FSftLKZJk9pNA6rwhcCZgSfdfUIT8JQ0vIQjj6rOOEatrjmFcr7PmBR5q6L6RgtItA6qpQAL8KzY
SdN/usH0k3gdDYXqQ37tm9EbrzMZlftsXrD/tY+ml7GjMRgGFdFnnjf9ZUaNXgwsIGVPn2j+ln75
NwtZeM3u3rSA8iy/NQ4rZd8464P9CJOAztXL8CX33ER8BqOOJ7xypggQZ4hqzddgBb4LRocb3WXv
mFuZT7KBX7914NvvbR1cJ28IdprTYDun0eMEkhbp1SnIaAmyCF6YNUQXbrYM01X2xwmxH4AXSR2E
P5wIl6EU7d6r2Obak9x5fX2Ug3lXvoPVrX4LoPMgXx/wvDAEZ0XIFHtAIxqY8k9Bz4nL5C0wgcH2
nv0OZvpY2kQ4VBJIN2/IgvNy30t+S9q7I77iDb/3tCOS94bGpvs/EWXwjr1i/e+GJdyz7q0d1yR2
PCzUlfMHGG1ei3CxkBhsRUetME7yKRzabOeuxBCxzpjsmvYllERCTT7yi9LF55ficBfRDkERS0PX
f2qc2YubrCWqx5IpBU30KRi4bUKvIHW0OLC+zw9oU8F14DNFGGVvQ4SXmkZcGCjnbYK1wZmAJmxu
dpv/Kxv9F9n+XbiYfMhfRjE+3OWonquheAhrn0IL1xwJwZicbALCXPzcyJXWxx3h8pTv26CiLXVk
t+PXw3TiIUhzGnb2+tbp6Byaoj0w0IHytEnCZZc06V+dsBcO0vndXVOFevyLAtXApIsDx9Fj5ULi
Dsc7qvoY7eNDbvQfpRcciHyqDvhTWMc5/PwDBS3tS34wHcA9Y3l0jBbp+dB4uyHAKkJ4FyJh7zdb
HQmuz2b5NpEcGCBFynUh40430XG0KVoAEOMDsxJY0DkOGd8DlSeEEUfstMGukKNWO4Cmba/YZd3P
6C+/Q3bWfV38tRwCimh7EAh5cC3DjmcDHCbFXo+XQwdrspXMdlBDooA3w0KuG9O9C2iQtAGt5/61
ZIkEuPA/fY2RFuVdfzCxMN4btO5+FYxct2Gx00DwhQE9zEmJ64NqiTh1WJJTtSY1YoGN2ZpdB46u
1DLErWltRFx+mJ2n3h2fiWXd4FOuGWGSs2t05nCAHXJqO9gFUdtFsR7gHHnKeF8mwWizEx9SjMub
g7CHI0PkJJIYrT3tDMZoe3uQH3lRnI1cJJ/RJYTvcChV4p71OSQz9qV3nP53VYSPBHkXl+TPCO0C
xzLWUOQy1mnyWDe7xsMM7a8VBmKiOql2GHv2qLTSq+qirQRhcHYHz0Ieklm72ivujRIVDAVWchle
W3A0H5kCNcgL71CmGw+Ox6TbauqH1IF5GhLKs7LAxIGR0lL2bL1ybqBqQSORzSZKVt8B/56iDres
9oQ7/Q+a/YifyXujV4cow6q57Eg+7hzlngrvybK89ppiDosVCQRQOsPi4vnVq/wvdRPdvmjKB3Br
FDTz/NzX9fQK0c7fwv8LWD2VSPVzf7gEmX8z6XyuCK+2jZcatyqi5mF06lz6TsZzq/44wBTnBAta
KJjo96Mw771NAYrgiUsxxZiPh6HcIjNebrZJS2Es+k1NTyvCpizcD/J3+xdGBFiUp+gqOsGn3TUO
OEzJEAO9GJNMOR8yNtCzbS9bLYW8Npb7nU7CPRpOaaHxTNxrgwJoI0L30emhpnxkfjo8sUzJdp1d
jTtSJmC8KLN6yZDM16WHKSGP6ueZtrirQFt4lh9d7JldatDNvATDkF0aS3CSTq85XcxDtQTuHRPD
2VDR68JjeFkYtVVWcqzYZIO0RxOtEnTGuCvVY4+/GGsYiyuMSb+LYn5wvXGG5D6JeBJIfFa6MvSh
JA4GBibIv1m2uM7dr5yOMoTZFhqgO5KKhAlU8h2qL6/jdDAieW7oIzfNQAqRGYLQQj2Z7ojlZe/u
D9O99r3XvK9JO7VI+yPg+ldfsB4C6kbPtoDF0kHI1xxchmoDks2h9w6Dx2CCuEsGkaX+BE/yGOWq
ukTEvBMQnGvjPuEObkprOlikzcduVXyPYnlSoluuRcM5L3NB7I92djlS6n4G85SFfCRtI9AnIsuM
K4tb4Gv/AGh1Z79mtquoFA9WMwuU+PNn3yTFg4dfbT979QAXoanCnRPW8oh7Fs2zHXTP9K3MXV2w
v4NZ/4FPMnE8R+F9vxjmH8g59aWG5FS4tbOFKDQcRKTWNIMIc5/9CTfqPbFRgYyme514Lx4TkTCu
yKw61s3qfgg5YZM8dXdpd+WxNyeau1LPxmNUY8gyh/4yltmdKiy5V8k1BydwhRFWXnKKbd5f/4gF
NrbM7IsopJdUYSgiYwHChQdiUYzOP7OiE8lN9e6Y/XjJrE+pLQFTa1IfpQNeoTQTrL1M5IOEnsS0
5U063a7Gb0w6oC1PflTQnzXtuW48dRulOz95dUY9A9ormynH+4guE+csu/p2gtDgsqIky3e8jm1w
5Dq0b9YUDs9Y0E9op842M05nsZovMyPB81cQfuM9ch9MAyoB5DjrOBJQ+cCAsZhI0fXyPmLrPfOk
1t4PCQVEfzrVDlOjeE68ur5OiG5gSJBXxmjzPTJaEHCDscRBU+qDR4zkQ2jygYQBQwR9uszx2A9/
R9f6YOEenryKcHYrZMqee6swvkDotaDIbpG4hLpNH5Cb/ciktg62X95auaQPgf7pbcN8MhorrlXm
0P0yZ8gaZV16g5wfQQm8WcTq6WqaJ4aDP1o41fNspHRpkR4xFk2Im+29Uab4pWTx2kZQWrqIpL/W
ABvA3cmNc67Lv2IpiyOFX4Ed0Kjv5XJJV0dr6EmEMNS/m9pJp3tUtJfSGN9ZZ43HPHQPZiGis716
GCMk4nRsBUGkC5ID6MCSoq7jI3f4V8p5U/cOE8Dipx2m6eKbOSWxJDOxWXPZM8LeHkSX/TP9Xt4m
zzFfITzgP1kcpuGpfVwpmycP0tGG0SX1ot+zYnSEPlkG/C5tLtY9pVsavQqDIPvS2E+Qy7oIYLYl
Q/14LFznwW9jpcfsWQf1M/4YhKOomSnJywMBPpTX/x9qMuxbBanWQHZ6369Jv+y8GU7dMR+KfRgC
jAYuMBHQYrzl6yp1CbseHRx3mZSueZXhwxCAcoE0BTk3f5LBGD3891mxoISf/nNyespDiWW82QP/
AlLjNzfSHmJKuCX5zdmz/v5jO5xVlrTUyc6D6Ww66CizbGIy36As1RnyWIdbKEqrE6Lviip0WXdX
sz6TA7RP0Tqh83HeG+xPi7kKUMA6vyhE1ePoPBOnaH9TGrV2O57dFlamCUsMRByf7YUo1N8gjldw
cKo2dSL+DhGW/H4EMOT3Vv9U6eKdyMVNs5hwytjMb/1W/Sqc+YPEUZyQTfAyhZl3XhakCf70jRLx
Dzgo82CxY9mgcC93RWUNp2UqjoslvDN+ZesgJ+fXXPRY+oLmTMWwxElrvkwKk5/Vec01CBm9WpMt
d6GbftgzLFenYYBkC9ZWAqtUADoEq9c0bKk2h40sGaMswi8ORWaEcFba12xsUaQ2iWQcJQj+lDq6
/PcHptTd1ID8t6PUeesVA72yGvOrSJpzW9l4Bg10GGJJ+t04E1djmkPLd2n9U2mwj0sKF62ptJE2
ymg+j9bJRp1yTPyc9d3KQzEjvKykCzpoiJnQEjojNkyK3/yqQJM5549qkBYsXYNxiFV/ztUUHtzw
R/pcLahXwObZ0WM09R6mAvKuOuagupY+OCTMMh1/71jW+YusjBZEdPlL98p47FoOz2ROrmqsSapc
VmHu7IIzzSVbs8ccdFqaLeXFlvV3GM7mqbZSECrMXUci5ocI+EAxwsRzUibydc9CjwisQ8R0+a4H
u0OVF84X8ucRVI/pZcjQXnfSqs6j3f3jzFbVWL65qsn29Ux/It3oPKfWXzdCac+KydsmUSt3rpwZ
tzb3OQnHxxJ9KM7sQxcVbKY1nl0YhYhakPunhOMcs877SiT5jiW5DrcM+TV5VHurwvcaeghOEGxn
FUkzWLQiDdmvV6t2qL4gjgp5wx9KM4rnOfuSVvBhBCxhoHrjUUwp6mUadg9iHD8A9tEheHty2MY/
QYQOB01L9SqwetL4WunZN5troWgm0kH4T648s13GYNcXV6HGb3+afpO+OsVMkqdH1N7zKMfXiXpW
d/08Yaq0XlVb+wSXec5VTeOlGNDNA5ydgMwo57Uazx1jarQKAzIra1oeCBpkhdpReHtuDqLQ6u04
SAgywCCJLn82/Ycab9V2xm1SjKXD2Nc20KX64YWG9I8FamRqVHSq546eXBlrmJSR/R4IT0b87PG8
Z8FtQJYFYucrE8l7LWV/cBVx3pXHKtAKfLT/IWkVlcPJ40fgb+fgMKMDRUvVCTx8JcHET6ZeyBPx
GHSHve8fBl3vpJZePDKwvE+l80j+t/tC4grr2Gm5NulAWbicRBcEcbRY86P0wmZvA0ZE4ICEKyi/
HGqF+wKsnKrOU+8e8H5cFHCJBi7hDYKnh8lEutvo9Rwfx+kc4gejlkrPkZXtgcM8TlOGoKTQdxbC
TIV6nC1G4vdXlmvn3jf8mLK3O4cdNFHbE2JbmrS3uaZQxTPSXVWRNwfH4tu6rcXUdeiqK1gP8iy5
9w7QExDRzE77CCyte5xL3LVBar9YClmHW+B8UHmSX6DfcXtq7aBGKM0LmkYFXNN6HMdGnJ36qaz1
GvK62rg6tS7w5cF0xbwxlloiXH4NMjLuZIkOK6j8L68p8HwVwxlsd6wZtp98PBCLKMSFVpiPi1l9
mAGMAK8sj+TI1MjhWQqsxYO/1GdaefMESdnZu0r8FpZXXX3PsU7GZB3GiQ0nyCUWkP5MHlmL/wxn
57ypahQyTnRVCr6cJ5N7HvHgIfIgbg9/3I2GKoz7KFWsG6wlbh3CCGmkcAp2NBcy+K2c/IXRkNov
mST+XQ03LK1Pnms2r5SVuGmtK9IYRBRtjeiqVu1xlu1brQiY83XEiWcl2SVr2p8cUzw0Hgga44yh
onSCJwYG6Vn45i+2CExSzexa6Kp79deMU2TxjTanY2WIsxjBXc9pe9eJdQ8H6X/r8lqhZLXLhYVy
enOFHC7jIh8xZkOHmOwPZoHHmkFXiceT+T9A3973TnMwPZA8dmm64rToqDukVLxbvIcBHcTFYRvK
B0XZZ9Maj4VtqSdBkSoD62WoRu9s6fLkKJoYa3IwvGfpVZQe+L6RKkPMYnjykR7gY1fINBLMe20E
E8GIdoozAqxUpG///eHYpRHT9MmjWx59AbBt9qE9ATLOzp5IeVYFY5cim179pAdzMZyaAmS32Vv6
5qdmgXs57+gFWR10HbKoxNFXrOMHu0SuFvqpvleOOZ4sXmAX3SK+JY9H2W7y239/JH1/SCp/OlGI
iGtRLyihiHpneVMT8FMEJyHw2wst9DZU6czovXrE3pBcVKHeTH9wrkk+3jQc9qPLqPZIZMI/0x2C
QzWTybIYWDqlWXTvDG65CIOLStvoS6lOb1L+Rh6ISyJXYTEb2P1Kp4fADLW4JYpi7qgsp3XYDKBg
hwaUybwbWtfBI3tRV+3ZbkXPaBg+qos9HE8WQESDYhOP9LTN2Rtmvb4mSC3GKW1idM4OnJwmIoce
hk6SRq8urNWX0rB2uME/kQ2AIMV5de5DMCfBhpQl824ZTHemMLQ3eiE8KkEQyuFD3+6vpvjRPY9V
Uj5bMxnc7EAHBl6AD1wghtrjf6ciT5k0O6RNdEaxx9uQxXPpvvqN/6rxZW8z7abnfG3+TaLpo97K
AROY1l64eKdt0aZxOPeXyJ+adANxLc/OhSCtdFND9gkq6HZ5MJgnytYuXpWgXr3sFs99XaJJv4Sa
Ppldsv8YDJjvk16dEpTKBxXO+nMwy1ciOawn375g6RnOSQd7lOlfdyx9Dqisncet26Me426akaBZ
2JlJOj8zHE6xWgHrjvA9fJoW2paZexM9DHFbDCcepcCFFLdhfhfdnL0Mk5pAwIH6HRyN8jhCpsu0
9IeO3zpGJpaewVN1bHfFG8N/FHeiUu8taqMbX+Joe80/HG7lHqDbKjho5ntVPzBg7mKI3DxIxbj0
sfJNJLj+6gLxqmHjTDAGkCOddZdjinRXTwDm8b2pWc+MS/IxVWvia5eRJiNwktoDf5hBMH/Q6PIF
m102uvJgF7N4dVkpTRkfrcbkxS0V256qDVBwpgUsHkWu+n8hFw1OrDSUzY0aADH7oW8kmgyAKwjc
x+Vr1C6WtfF1sUjUzJjvXaVeETkaLUuBuDlhj70jt43MUC3LuM68dKtgTp6TKiW1YYaNgJX2vCQY
D5GcE2GS9HhpoyedOdavtt0Po99/RcvU42AwCS5xmuGrB7QV4rgPLOg0BdC2bVaALUqdecbXanlf
mNjBII7hk7lAYbIXMEqzyhlTeY1NkpefIQZr/U/8Z/+FRAPCVScvgJsyk/Xn0HJw1ZLmbi0d0vKQ
tYSyePz+x9iZ9daNZFv6rxTyuVmXM4ONW/VwBp5BsyzJsl8ISZY5j8Hg9Ov7I523O61K2A0UEmVb
lqlDMmLH3mt9q9NGqrI6fDfJ2fDgstMRGN1THgP50vP8diqJCCcnRr+LIjugjRL4Tlg/REPHqXvR
nTXobtPGS+81LBOlGaYwuZjWdg8I/swvEOwvGLl7D0ahPdlK/+ybmrxFwgQ9Bc9PKU3v1FUoS43Q
Ty9qCbwzcgiYdcbmaiaL/HERwW07W7y3k6df+X6vdmnpEAZiGMAJB/WpwGNCPcquN6XadZLELBIy
vRyHFKcpYvBrobMtGqJFzTdjJ7Nxy89vjmkaWwNm0pehxW+dsA8lWQVniSDWfQtuYIvRAqVFGk5P
JGPvUEVJzYhv1v/4k/8UGmiCmcDqO1MnwI/N9aihaKWSETvQgky2kC6cMwYINyFobxJxw9MwEJOD
uylF8YAaQmMMvK/7bDgRL3ISTKDueSvokHB4YlzEwL3yERAywj90FrxDTfF+9JwET+4Efcbs31Eo
yU91DKePedM5shNzZw9184UUA2Z2wgNL15lUiPicmkGJs0xmDRD1u/Kc/DWJEzIjFtSRp6zh6JIx
FNRVintTas0+0epvtDnkechEvUe7199GYIr2DqatAzoQLP+ZWT3y+MPjdR4mq9D2o8vLOCo18p7H
2ckgBv3OwEG0SU3bPyA4Mq9MYEu9XfkXujhb9mRdMWetL2dzOvqJgyxLsIdGmnUVW92LQ/jQA/Mz
3C3NdDnNpb+zJsM/cazEVju6r1PqWYEeDffewMdmug3NwgJjrderV3dp6LQlAAiREgvgTGDjPFgg
264pxlvpXVlm0Vz0qKRRs1I5xHTZkPs8Uki/FThpDm1BlQhxwWASe5M0NiA30EE7s9Vv7Ia2NEUD
U1pSdLqX7j1xBgTlHPbuPDWeXIbTVz1goo0ub6vYhKWkuWgvDHhXUiZ3kCSmo1mXaIFwA3NQvTam
CCqYbDiNOMSXGoCmqth/d+zSve9ZhBGMMX1E0rPR2xB0E2VnMOtdf52Ycrgw+vi2rNJveQR3fbIF
FQonZiyCE8KBVt+nyEF3jpWciqqmc59KNmFUAVZjM0EdxQG95ICaNCcmdi6ioErUkahaFHhWmk/B
yuHHz9VcdrCJmMNh5USzcK4F8cJTyAEQv+R9qdJHRx/9Bx95KK351qZcloppvqkjoDAQr0G+RB8y
0lnbYRhb9GnYuL02Nm9RwhxZXeOd5Fc0wuvvYF/Siw45ysZVZvxAL8nAWw8+UTeya+E5IeeuuAjw
u+8Vc7i1xhEmAAEyXRm76bN1obUN6qfl/wHv/awGmR6D2WNFHwzg1prGfqXnIDEUlsizTtlO0RAy
JcK72CfoWUyHsUQWgrr1YdcZbXWFo0SefcvkduonqAnFvWlVxHLY3Y0JIhSDHb7W2UqOSm+u6+99
nb52I7xkz44RGBnthdZPWMu5lHPp9gHd22NUa/LZ6ZHSabMF9d9hNa0jVZ5VUe7NSvW38ZBoePxT
zOOocRILBqY2n2cTBo0fV97WqOfwXIX0c6UNjob8yfkcKQ+T60zXtxMpPcuWbnCKnc6kRngpW6Qm
3Vi9MEIoL1GoNIFGY/Qy4bW5SHXdCcy+re+xoJ9E0bx24FnemuIqY8l/0HX3DuRqcjMa4dcQJeiJ
oIvPWlV3OJc6eUpB9+/6Hi5C0rYePQm4CE6ry2tl+M2dZ1rfULAbD3ooT4SLVIFVNu4+qTrx0L9P
s+MevThPNoZWPlalmh+RHeAcq7qrWcuqwJVz9JuAFeM/s048h4OWS8aTRTaf/yHrhA9P03UhyqNj
Yg9s7IUFV9O8z1qz2TXd9FnMEfRoO7rHqU/VOMvnlHp4q5Yi1ccIcMmhmSl4nXtAwzADKlQ3vQFX
hbV9De/4r7fxf0fv1e2PmA757//m129VzbEiirsPv/z3Q1Xwv/9e/s7//Zqf/8a/r5K3tpLV9+6X
X3V4r65f6CB+/KKfvjP/+p9Xt3vpXn76xb7skm66U2y79+9S5d16Ffwcy1f+//7hP97X7/Iw1e//
+uMNlGm3fDfS2cs//vyj07d//eGSJPpff/32f/7Zcv3/+mOXlC/FS/tGpt6P7/Y/f+X9RXb/+sMw
/ylo7RJBSJMXzyV5MsP78gfin5zGdV83OK9T9xCH+8c/yqrt4n/94Xj/JEbJJx7NEw65nA4PhazU
+kf2P50lG8gnNMZ1PZ/s3v+5sp9u4P+7of8oVXFLxHMn+Td/fvpc3xdIw3zbccnvJJjl49MHtTq0
MUnhB5yBMvOgPw1pbh3pY4dksPbGsdHml77M5yAk5jMdsFbSyCojySQeQHOXI+rq9OpGYj3CzEj6
3VBA9sgXxzimaFX63RaRPbnZqrlyEuQVbpPiNCr8IoisajqqRqB8QiTdv8bEtlE5CkhA5QC8Ri+A
vX+2FhApUTs0ceZk3/PYHvopebPKJxP2DNqkwBRNB8gViErvVxdZAb9HSpdCxCIMMad+p0yjVZ20
gsEA2mB4jC5T/SY8O0bZnsyRhM4SG0I7hlPQeKp/VyHc6hqVuZ12z5lQWDimaz+xjEvIc9e+AXuV
TC2q4ll1eyYMb5Mqh9tsvi39J/ICHnJUOgfPsRDzJzVu3BmUgZZS4Q4WTTMNy1tutlSYskA8TNu7
C291HfKJC2pVduZvIsDsD4GKOrFNwrJdIJu+7gnT+xC3p8l2aqeZel7V4iJqk/i06NI6Gw1HjkFS
kPtzTY1R7ZV7AbqU6g5h4+Rn0ZHGWwfzyGNUOjYXxtSk+6HHSRyFwjoyJfyaluFzYxURzR7UcMRj
TWj3w3tVA2hJRXdHrY/YFaXjvsvSSxwC3wXDPXQO2lcapdDMQFiQFu5uJ+bzVymQRZSVQSiBmlTe
deLln30Xps9f3s8/34K/PvWe/nOeDq+jzSfhO0RBe5ZDDtHPeTpdNXFO13P0tWWUbuIMW4ejTS2C
UO2VkHdultW/i3DAKwv0CK4MPbopQUo2h2LXoAjiVO50uNfh2U8z8ZMFxmTh0SsY6Pm7PcldXa5g
Q6CeA500YaJXOyWoJSxD6cAvaEIoH+cbWTl78TDgZiRRnf/Y1JoL8ZgXJOtpRXmf56Hy0eOqaIuK
NdqZ9lRcOvW4G5Z30k0IIxloim3tGZ1WhiVgx2Qtc+cOYTxpjhYydpUWt7MXe1AUoN7YaOTMOR8C
u0FVQHbXQY5WuEyJv9EbbD/FeCJoHUzwizDjNagTFh8LQqDxTkYentUxD7+4fUv/ky7C4dc3xlw2
u7+kQ603hsxoy0WVY6Ed+BBWZ2sR1xe7NUL5bA4GLwFA0TzEILqPqFOA1BYS1MOYxxe1JRkLonTy
EMF7DsODKAbiVvo+XJ5BHcCiXA26dW4MDQ52he3EFAx3wplH24rslqe67X6Xm/jzauqtl2+aaN28
xVeLOujn58p0yUKeB1ry64ppRuRVDdJmTy4ti86xLyFoYsFfHyUXncv1YARpZfnHjmEsfP7itmlS
QBB9dprS7NClNryLqGM8Tkfu1x+18yFZkmslzdV0dZ+gM+GBTfz5Wpk+qBFlTg0XeeDtR/MmFAdd
q8KDoefe0+Ag5sRhkO9xKc5k+h09s/kS1t54a6TVAy7N89zrc+AnVLAZRrKdhqonwH6wEyYdXctB
YN6UAj6dAxKVyWa8mw380U2xq7J9hfd1P871lzys+0MCKpG5hX2qCpR02gL/AIZI/4WHQGd5Hsp+
m3WZD9z+FXb316hx3SD263tjWUgNq/zU442EN6wiAk6GK4SM3aUmvCfXhYRUAiU+alX5TYviK63X
1YFhfLlraln8Jj3uY3Lm8qni6cHJaVG02Uyjfv5UCYCZVRQm3XYauTDmmD3JOGBSKe63s6vasyTo
NRYbGCRwavZWBtY4s+aveQV9dblWAWMhEHC1Z1/D9uzsfn3bP+YirxcodM9elj5KTuNDuZnYLl7P
yZPb9dqaMK5Ys2wckBqCMgMwj22qXc9hOyDUATgdyaaOY5lnf8GaMOhH59j6D54o3/Mi+VIzGfrd
S/Qh7Gy5Qs8ynWUBEIYw7Q8Jcf0gVQ3jAR0/KPItvbzvQ8a4JUvwjKq7zMqx9HTt4kVDOiZm6NdO
CGSlzmkLWNo7ORacv5GM7EyQf7/+9MyPO+lybS6Jo55l2xbY5g+31xXMgAocTODamiuusmN5FxJy
VbPPec+olqDH6/j7K0t/TuzW2vgI9fH2dBbueVLv6oHJulmk17rJAz7lnkXaDXZfN32MYoVnDIqD
CfXk19dtULB+WFepGUFkUC6iNXD1jxuej5CGDiA9JbfGUysRa9selkDfb6jAcodixwTgEGr10fLV
961jdf5v7qv5NwuOsHnicKgIl3zZD/eV8F3SG1TLnlo9IDcsDp5ivaiV8RA6RbKcss+dusa40V42
FZ47EpA47sJLw1MC45T+ciuw9Kd5/OwhSrv1mLqcl4ex8gvj3HjywrBVQ416QU4X9QYAri2D922c
/eYn8f/z06RcFjYPKJ+oKawP9dRseENXErK25WiLJBgoXrT0cG3lXQ+qeqPaPLkhv9F0aNZtcCzZ
NHP1DgqG9ff7jDYKuIfbQcXPXUTPDtqFfyCt/pvGkgjUnararFHkGCGVk8g7iXeVaZzNsLZtCnNr
wFPmVT1oY/3WcX4A9FK6Wzf0OJkllMug0Q1SIC91LW43bndTEBlGZUCBkkfNm62iGO5qimGMFm6v
F/5hauYH4FLRXRwCC0CqbGOvq98VdpIykXK30DjxoeoP6xKA5m2TyyE70UaF0DChRUiBxeFxAq6n
jdmw6EvmAGTcU+gjztdRPVt2NONnYFuHARcgqJgwY1V3EC8wrjkgxmJwK5pmahRZzlc4CMY9fMDw
i4zCA6LA9IocLy7f4a6mtL/hGDjNQeuu1pvdjjFQqJkf1rfau3qCxmPZrfmb19/+mxtvLiu8abE8
4Vn+sHjy0aep2brj1iKaEqO1Vl0ajX+hcby6LN6jPrpvvMa+Lkrx6gxEepsj+QGKhCELOEIlUQk6
FasYkuVTqc/0p/05yLwJBQmfGxasO5RAz+nysBQ6t5EWAG7taEDooX/D9ge8OPWvJrtlZ3FAQzVq
htNhzorBKKi4Bdk3L1smkjjkJBy6KrQMIAcE3P3JHn7zaXzsXLBQu0zgDJOVxfRsy/vwaSCgjCq/
qpjroiS8VpJoQsdqrkMEQusDT39sDtoheqHlqmgnQzRyR4ad3lS8igL1dj06z8xf+i0Sb/+QFB5t
3QbwUuL9Ztdz/qbacVm5ibAFyk/6qPiw+OT8AHY4Zmo749PajXKC7L6sEr6Ab+g69ktsRzezFh5p
02cXgEf2g++hgapn3o1U3dDYfPmxm9sJHVOt+AbkZT3F4euiBp+v3D5rD2VWVptOwzkDpvkNfimE
5tke9+ilokDa3r4PsX6QXFk5HbdHw2pWjxH4LV7BuajjA6SWb5HDEazywZYCQ7Pa0r7Rkq5mzubU
yCH2ruyO/AByRybbiys6QMyTC85QZ9gGNRQ/o39Il9xyvZiCENXYHsMSmA8EDiVAiw7oIHAlnIo0
O8Vwh1x/NzjsVKQdDydDwYhcn0A9qrFtxZMGzcN+9RSoKM00bwaA+ZdkSljRtB29PLmkWm8P2iD2
up2fOoOBq1uQjjoVwzX0FpKUvF3Tlq+pmSuYvgAvBHSxysW3isYDog2r97bqQ+ecy4rhKikVs5sP
BxkBoG7EFGSUUJXRujvDJPokpUQCHsUzntu42AsM+mVqX+CYg1bRUxrIDMJt5uc6BrrvhnTGHamy
4EkseR9LSqshTV+0PHszqW6RqrqHJk+mYCb4FW83TpUw7j5ThD8OGQaB0TRoEtBI3CPbeOzNqdtb
FQBXGy7zzvK6Y8QwYskzCJrEwMTdtRHCKOgtUag/6PYCMAQmLkNe03XdLE2tP5TTAbdYeF7Pl4zh
ZeDRayFExdL68Ynopn1PfEWGCIMKA2pFweqqwW/dMcx47ltSkkyfDWGtFqtM6PuOnCI44rgYSqMg
qJi2A/VR0OJ8o2hGaxVNOIBU6yFf5JFflxathDSAwuB2XhZvL7TvGpSqwSzhv6sYYE6RpE3A8OnC
GKgQm9zcSfzVu16j4+EvG9K0nJ/IwcQf0NqH9Q1uTcBQhuAFz4r9yLIBrOAVKRKf2nLFnCz3nZt8
i2YO1gY60a3Qa4aVXCagoHs9J7iqgB/IvA9Delu9qtyWm7YEGF24rGX+eOujlIKIAzTI1QV8NTBg
G6NVHFQQ5tEy7YK0KS8JJtdPOHD5DJiD7NZXSczWI7UjqmB3qEkekW/K9b4aNa37hAi809T2eyZB
FuBEfBNa7V5MpWo2ltNZj+ZoIgRPGCoUXHTC7bwvOZffNIV1aAZxk7lRce9oQ3Objm94jS85A3Lo
tPVmlzkgVlIf+g/sRydw+7toImaDHzyHjpA9FzYJ62JurrNeGccRhz91AlL/dE4P5G1gn01cyFTL
Sjoacg4sjJ6d2fUXkK5vSjlO9JVqnm4XyN/E2We6WRtb3piXBz+ECBdGg3FJ/qy7E9J4nRKaDEyC
eAoE2ibGJvTKlvuqMS8nCpD8oPWx9MIG2wXeZOIvYVhrviA5rmIq1kXxAxA65vIMkY2Rg8O4QCBY
FPn3JgI8en1JiBodDoA0UuifSJImlueliJdXpU5OToidLQ8dJsuk9Za688bYwv7xMyoYYgcG7on0
BVCJ6ApiJLHOqIR8VUtcjLz+TgVbg9LxjlTEb2oi5W79AjpS2t4a72tYv4cwhA4EFp8bGPOi0zBn
YmTN6uDb5GcmO8UxNpDLWzgYiqfa0o+OG3+zoS4dll1v6/XylSKQJ7PiK23twsvCoDba8KyJ9qzm
2jvj1aFrs7Rh+mLEUWsO8gYF9S61i+jOqxe/bl1yJPW0IPLjwOnkfCTdlulqzwpt9XudPv+2kaI4
KsVt6SsDoU0lL8Ge2MCwEiQbrsV6n+vtJYqRT5Yyznwhotj209r58ZYLBAa2bYsJYl/vt9eWoEWp
o+Bdej0Fq6CmJ4CrKiZekTl9nQtNHLpS8J8kJDK5umDeQ8JmPX8BeTCfO8jtW1ePxh1qhy4A3/4u
Su8+GbgMY2CPxouJEwNWcqiKz4mbfJUww9blrJLiyjZzfv6lfklmyNymEUy2K/broX5dAn50Puwb
cBviovMiSP3Mh7frG12yDmiDHAK83ZgiDFAKsU5g5lIylgwciJ1iJRNMww6+wcagmbnxKlsGpeNM
75btcl3s1sWx7t2HrBbedsj6m7U8MQusaXluPedMRqvGuK/QtUC74VaA3l8Cja/HJTt5bdCsK4bN
MsLqM7SnxICFt5w04PoAedFlIBcDt1OJt3QpUfUsRifKya3ja/SOB25dSZqE1dYLEX9W4On2doNa
vyE9c2hqgq9TlJQ2XsyiRfjs8nDnaDDIVuufRrevfqy2P27w8rqua2Zvtth+EUisH2iHMhyino2V
nRnl0jtYF+fY5VmPjHuAzMnW9bpu33CAOmXomvTiEFdtT4gGTEE5zphDAMyNAu9GqWdf1w95Leb1
5dgxLpCzyhi/dmi9l41jPZEQQ3Ij9SE7wLMlra4DRGua+lFonMh14KrQsBq6uTVvVVqzhWrgaja1
ZJVbwsegQSYyLc8ai/MmslJiKnOPjAI6I4AaQf/lFR4soO25wJUlCJDWUjQEnUFMMh18xz4ikFa7
9aOkwzKxqE3F3h08cusxu0daEngt9Zig4Io3jUx+NJf7rrEDQcLKb+pKYzk3/9yvpKykS2HAcLMN
5jg/t3uyHDGa8OENa2FuPtSu8UyjjT4sG5hyYw2WSARKNYKrEBVdu8/T9IuWxinRGkjmBscf9l6k
/e6w/5/dbZd+P7Mhg5bDcnk/X1QsrVD5vYEwndbv1qBXhe7QaYIowf8r6UkvqtunQWQtc55kT8Lo
GPy63/A3fRLX1U3fpF1Crx0e5s+XYOE+dtICbXzYc0hPc+AS3vTdzu27YZr2+TzgNlhmJ+t6wDox
Huf+qat5Tuc+BODSad+V8E5zSA6arZ46n+NdOY/i3EzFuR1corhm9fzri17mbR9vJp0RmmK+y3WL
ZepXv73cJ0yzGOP9L0Wg4NRELKdRBbOxcFEGi6mlRxfXBzxDh9BxxWWpV9841cEIdjgHKsYcWYRL
8zeXwlDw46UQ4EP/y6OHSMfpw9FKokOe7GlQW72HTsAmpx9V1vv4cMkMdAsn3spah8UoyttQC4sj
b3572eo1UvTkKiGLBeJNJ/aFnLZR7hVBkfagc/Xx/tfXuTaJPzz/gpBpWKcWd5kA4Z8/sirpbMz5
5FkZ3pgcZkJAkC6B75S5/HEwN0MIlqb/SUP+xsahV7sB9TMd3lAGelurw+DVGrp73WAYwRI+xjRJ
vJF6QTULjG9WgYQ3Griz+2PVkw15pOQb3pODsaT5knHsXmAUoHxHT7dfV98G79JmyIwfnZMach82
wng/hmy+mKm2tpr0wK9YhmBAb6xSPNQFjIS5x5QrZagOVuKcScHxKo7Rc/Q8a51LyGhsnQe0HDZH
JKIm2fd9ZFcy1SAMtU/rzp7UmSKinTM+puOd1kaUF2V87B0HPC8raE00p1EDYjNGhP7LSWr9bfxL
JWf93wxT/m5xEiipSeJ0mPJa/tJo/cvzHKohKWOfm7PO9KqCbXldwq2BDA+X2nSO5M3gncbitQMN
ZSiWqaHhjJNl8quZJre/fliM5WH48LCwJOGask3bxLz/4WFh1lZkNFWZoo2zs/OrUUOJm51mDioY
TmDGtmbJrBn2hCL2wHXadzm1lJygwiFcwy+Djw0duP7NIv43Qye6ohZdHV57JqQf3/vGA/I9K4h4
lJjIcjAUkSyPoFyBdKTTRTpBhYJ/OYvqdo3o289eROVAaJFYmsPIhj+Od6hqRbd8hz4Qn5nockrC
9oGjQMNs4ZOfHPVo/2oKid98qt7ftPQ9CzWmZaMKMGnHLJvUX+4zgj3qEoHpoKz0J4NDvM92vYuG
3EVVCxCa8wrEROEzUPG710RHfOXguL9+0ntDXXvJVz0kVz3rnYoRYXcEwJHedNLbrVWZpdvIOYud
jyJQG/Vuv055SJf8qs9k6+hTdFKDS2OLmLAkY6SxTvuRHDtdXWPH5cVu2ytjhunnVhdr34I8zMSd
c3yvSJtI1aiXmdiPMk+DWODXNNTXliI25R2L60nahTgMHVj8kha2Bb11HKLyhCLrexU2WOIrm5mA
07+vJbnVF+TIQwSn0I5uy4iD+Vq+1INC1opWr/fnm7WnWtrmxSwiXFFqhJvFjWQZZSERVrIzZXTf
mY/rCAqfNrJOguCLpRW6fiy2qAEOo2UgGy87Daka9irqkA8S2ErAwLWZVMeOQ5ef2GjEOuOLX5lf
Cq9EXO5FuNnX1QBusieNHOyPRK/ISV545bTVOf/u1g9g3TzR8N6OVFKbeaDn2GqG2pZ++1m2xnFI
uiuXSJ0g9qIrj9qZJL6NP2r+XRo7e+ynG4yYZMvO8x7YUrhbz/o5zq3tvFRrVnxD9WVcrlTtGl4z
vV+5rTPKyWqpt0FvI0I2L6nECc2pNXoxE3Qq6FWFNQ1HVAfy83qdtlNfjBbbYRXPcPKW1wU3Heqw
RNrbaBwS7EJMw8xGI2tpqFG3+xWEbAf7oVN3X53GiXb4UcatgdMf9lY7B1E7q50okWIhCP6KnEvb
VdKFThElUEr8KeBjRMIdkglTN9kuGcLyIksiFnEEA7W8Tu4iOMcnAhYfda8NL3I26qroz1FGXQTM
uD3BU6YCBXhrcnDYRgWKDXPmJCD6lHTjRbEgtJHjPbbvxhj1oGME6wKB25SxAQvDNE8J6def5rje
19bRHGwdLV4kPw1ZFgCucwK028f14A5Pvd5slD/nQQs+d5PYPQBBTU3gJ8WFY0/+ZeTPx9lMiQoI
s0saK+0+Jt/c9ApUk+605Db7m7WWd3oNaUYZE6tMzigmId2DZ8LBQlPFuFMQOoueFWf0pXFyW8os
9LYQE9uxY12q0Feub6Tq0OnRogcQQSoavnmyEzXn07RwxeH64X5vlzRapv11fCrqBSpKtMZxfQbW
0n45DJU+bDlqNg9BK/ExvvQJFF0O+dqkgm7K6n1SwCHzyBSnB5en+/XDiEYKgSiD6f9DUCFgcPG8
g7f7sj6euiBd1UsB5y3NGJwIQT9DqeEUfsyIMNisVYJZtkHe6z77+u2QY+4D4GMSlGYdAJ5HXBTa
/QjCRaHNGyYl7WZYGqzdou+hvYuS0p8OdseVD7Z2qkw1XBOj6chakq105mOTCy3b3yaqmYM5De9o
fxjIWYwDuhYswUZ8dOaUi6qN/Ec3xXSL8Nz05TZuEuoXEdID6SkTUg2uRqr7HGUx4Of2rJ3oegbr
jx7esufXO2053lVk6ewwTSFrjXds5eVWeMnF2gOoajFdJO0rAbjdpUPgvb1UR07Jsuy3jMfoe9gH
H6XDkjRol+Xt2h5dWy5pUcEfHrviODM9wp6AL73n3LFM/ehbMJdwU9wnNZAenRgSVXxXo2tvlafT
7Sun8IiqnidkgJNO82grE1Jg189fZaQLD4X54DuavNSSet5rFhm3YSk+QzDmaZRGCYSe2Ak2XboW
c7RbN491IW6WEdUw03UqS/lYWb1JD6/ySDoHCiSXQ0A8XUO9Ls/R6D2kTfTmzC5Rx2jpd64JaBSh
bGox3mBT9BC0yAUICDVrHKmDxQNOPs6qRHnBX4TTsUGq6J9J6X7NCw3xsIy986w4pYVRAa1i6afW
obrPct8NBrqiqN3JF3OIUNEtcs4Y1hAO6SYwHN2zaybggDOxqHogc5jdjVEYBGRV4bwviXSksCRg
YejyT1VBy3dpe9VQrjFshzfYYnC9IvYjcju+DsU+ySgSMmF+kTRPf+x4MR6mk08sSY3pdMy0il08
Ybd2Zhr/YXULtjD0bqfsW5eAhyomd7xVnryPwuExU+O8JUHD2EFrIE5sOcHDCDj3hVHDjP8SuXoP
mBcNUx/SJ6x6UmnG+BibvXUBIhZP9HIeq1nJzQF7Tbf0YEjLqGjeQ//Y5sm1MruEloUHy3AtI/1V
DGAMT4NlYpdaqvd16YZw1m19JPZbn9Pb0nOv3XnAnZmd8NLyiYAJ4zYDjmnMln8kTl7CcrlTBAGs
t0PTwPjqlnXCMHnbTs9pHvnc0KjaRi5A0JSEzZqsBrR/39aZ6qBND1FDEkBBebLuzk6cDlvpAqki
I7PZOb6Mji7SelfjtyoV0jdhlnxli/hqKMlsLXudAJmiOU1+Xp9ooHmLXSXnCMOmaU0Sp9WfL7rb
l98n14R5tHTSDEXNVMQoI0xsdKgPdsT10obIw/ZO+d/7UueZiKhQptF/bkLzWk6srKmPKcwyRyxa
IZOMVuRY0u1ljMSI5s7O/ecsmhIQFo9rb3zdw9cfqx49zkQO3iVntkoSeujvFZp0dgBdo91aQfXj
SNh5x4micSWUZolIUusi8qpY8iwvco/hJPIWpV7FmmTrGuszwTeax2jJzL9yj/uL2TsYVjXsxdgP
QcIxasb2fJEC93XNorruc+Oz5lvhOadSDFIqiM162+JkKI6YtLeyYY9bulAhNrJKdN7Ga92a+RJa
hwxbw9IWGwjnbpI+PK7Pjedz59bVbrAyb5dw3Ccqh4+H2cRaOjQo9i7XNW0AMbUPIc9tUtdwD+1x
fcv8mxZ516FKoXDDDyNf7VEbpfs2DmNAksB2jsCTuLRj11PjehRaG+N1CXmQALxbBkzWZo70d8ck
eHxEuoUITiP1dJGJetPr5DU03isad5PNTRhbqz/oXOwGSlm3dQwbMlsRntKSfWj2y03r0tFdB4Z6
Tdse/XdNswDTiQNlkGIvfIhLdGJltZA2+v65VwQPeB79GrtgsrD+0C42BwGN9zRO4RfEEwuajLd6
bVtXDps8GEFwe9pTvD74VX10PPNlITItfUghbAI3puoIamgRcvEeIiB8qWLtLSHq4CQLWpj10idX
RUKI3RAfM0t5cG66wBxvGhcF8Pqeay1/lV5jsRmz9r7Rseety3g1Zc1+frbd6rUq4ETZJcvN+iex
LW+axHN3UW/ApbPMg/mEPci/XJQc6eKZJc5oESOIIr5jfldDxCnoNfb5LcdDeGzg/9fvtk5Hksq/
tUwTWuEyKSqkdvAQB2znxDZ2UVi+d3Sgu0oYGHY5u+qD+zBMxtnMM+cAJebB1apzQiuS1AU+s3hp
vOmZd3JZSuKkGgJRwLRsMI0pxFjB+mj4bfXNS5Y89h93kT6/PjymMzbNbJkkIE3lNmj1Q1Z9l9kA
KXwRMYzGBBNyMk9wqxaS3fCthNW68dlZDjWjti1WoE/GmILdTVh4NSDa+sxHJiJa5W6lBzI7lk3H
c7UcfrJc3YwlVspxGVCsbY0fpxgP2qkzNNdpQ47dUtEMhvNadebGgxO6PnFr5QR1hwMbK2mdiS5Y
/74/q4tOwH1zl+o28vrXxjVe1vGPJxFneA4BOilcVSbWOI6x2qCGjovjuvakmf/NKeSX1NTRB5OO
smtN9b6+koDeXj13ILRlwKDQwvjb1r08SDR9HO2iqxCsFEdsdh5WjUMnhj141KDoavnZ8qnwHWU+
TlT+nNfE29oqRiaYbVyzDGxmjJpDFdaELLfrCmEpcdnQkTmzJve7aU5P6/VlsUXAEXgfItrCJakc
ONVaaOCPRJI8kyVLNt5aYiZL7bAWozXTuQsUKDT7voJfmoSWHaulzJAJMlL4ymeiNYxu2jYehDd3
+qzXVRXYSfY0KE+c+nb4th4JXa++CROqPEeK8OzjBt210mVGHpU7h+56SG9gXyX+TD9vGVHzyIhF
vdQO6X1ecKQBbhUwUmxhbDXPqV4SQdHEVCFuHsNrte9WsWpSdNvaMukikYy4Dk+Sep+PKPDkIKk7
ZBwks+IZRbr7Q0jZLp9aPoNvoda4iGA5nIayG7dpV51azwyUEMlBhFa3i8H9b2ezrRFk4W/sTXmT
5NWbFLTorEEjGyeRJ9WpfaS5WPNbwwrCZvjkhfB1E7RL0+heTQUCA9n23DI9/GQadX8aW/8xUbTV
HLs+8MoNF1X5XbP5C9owHlxE1BckWqUm2vOazmbDdnWEgXVQMfIIx0iqAJUXKq5SbNZvbBSciPBK
ip2BgG5nkTMbrDWASgbCGFuqW6miRzGhvgqFYnCUeskmsXCXqV6vt6mVPq/vCKBnE82j8bgWSgRt
vCWp1Z9EfySNBvEzDrAdsJL02GTFpx8nFUfOHL+7Ox/P8CZcqvb/Q9h57WhuZM32iQjQJN3t5235
6uruG6LdkEx6b57+rMwaHPwjDUbAtCCN1Kbqo8kdO2KFuxQP5TQ+TgPzoZ2QxWZT8CLgs1OZ8SMn
ZXI0gsK6xZTTYqvcmBy2NjBHt2ZjiAIfnJdj/zVauhINsBi4lh2X4lHp9xDIa26xxauI0a1cQnug
abQFjJAbR49avpVo6oaOYSxVRs0gGdTPkNbo6XBbmD45vRZuzwfdZm+pQr52DXYs6ph6ypDZGfdo
XDZ9VJdgICDc0JO1ofeI20BtoyUZh1vsjqdsaOdzxsMPtMLypL/Now0/s2whKFSeusbY3XUtnYYu
X95+dUYqw7h7qrp4ZQUfo/F3OEUibz6MY3bJJ/EmRFp/UH7Y74q82DcrpKplnMeLYUCNaJrKPejx
pbYXPk4e27s2C0ps+qD8mMkh0wrcAEQdsM6imx/HmKihVxXnYGgwFlUzu9wgS49uSzSlbHllcCqd
lGeBYJ3cwUqtwaqVBNJCCbhd9d2iWYQKRex8cdv0gjM+eZFue6MicLhTr4BbkicTSKDmKKsmeFw6
94c7UkmOMCXurs+/L2Ty5K8WpF/aPjbZZHe3nONDHATnqlp/d1BAyyASW5cr4mBmjbXj2rXBN0rv
Sm7+QhyRPQn8l7WgNwlF7dQvq8XIm1LU6BNupKV516zkFZO1hNXAXN6fl0U0O9sr06ORNU+NU/H/
wISfIpvQJB02G9uYw308LkBDXeDoBB2rPPs5KVuxJXtxDtnLLcvyllmQDl38qhfY9zzG7w6t4Icp
mNxTGYVMAgXXs+hKNLWymh6NbtwT+Fg3ooVAwAc87noyOMSZ3L2zGvm1QEWYHYCflIUn236tXpn4
p91o8b6yAPlsjaCWjJegJ0SL2te2E58GTVlWBiakSD1eed109pew/VKDIa1YpO3taA1OLnMXEAT3
gwVCkX3kYdZ/XZsQsK3eTkbmge768hBCDxW9YeJfoE+3d7BfWZTb75A8T4bRZAdK1b7rzBBuA+ga
SYH0bQQc9ZChBD7yoykrCpuSrxHb3WcVheYubt9969nNRby314mNftSvr5Qm7nB23zKO9fck6ov3
vsE05bvGNc/M+FQMlGmt5TWmtnEbtG16zvvcfeXtm+zSnEpkb/R/QKJOnseARwFbeuCn4JSeQDCL
DnMxcPL4RIdu95hBEkBNGMh5Y5aCBej8Ku01O8RjKa8j/RJRMlYthRgPcQgjLoM40EEQxwiGOujN
yTFoE+Mtt3o8OQ6//doTrK/K6Ax/9haPXXvMAX9CcoXvXKPcbubY5b6z6c6RLGSJ5dJeGWTUpoiE
Fl0veamoMmaNO93lYGJyNPP+ZcIu5MuzYyYAtKxQUn/Ncpyn/o1BqtwvlXGyIe0/5sSUNyo3sCOb
bRymjvIikcn5ZFZ9cZ6z4ij8qcPWP5ksJ+hRCPBnpHPl3Wqnps9qsZfXxZ09PPSDj5urP6FWdIfe
qoOLW/Xf/C4P3orON4914y6QOykNBgmzXEfPu+WG5zwuiEaPax3d+pHjMqAC685YMn6ZxuQWp3nw
VNJbkyLM0RQQ3mAFGtTIpbSGIQQdq4xznBLJMXJn3WFIwh6bXuZf9F+8qjnYrRxPeWb7l0bYyc7N
2HGls0yvhrnCH5ddvuN7EFHRSQcrdtn8CK+Qh0kX37iCnJP+sEjj5icab3h5N11xpqFuupV18tKB
DtxR5ZseyiovXjMYHFsQCuOpWDluxou9nj2DzXcguaHbLJ84udjP0UpHsL52RtF8b+0Zz1oML67t
zd9daODdNdmRs1/0DoVvWQDs3Okh6CX8jIG+Ue038eJhhLexbgdhG09BZ1QQ5sL1QUrKxuyIVlEZ
mF9r9jVhhutERoX1sLbJ09R48Xkke8buTnkn+KMngrqfYOjdU5Cunro0zl0quyfEo7d+4TOJY2m/
OHR0LfaPFafAo7azDaDDT01L81hA1fGXDFP7VhavEgv9q4K8b/MJwOLq9TwbV45KZV4U9LgFyTVn
QkGlI8xrBvb7LMES05p5isdwwYfa7uYqqg9VTO18hgcSWBouC9JRF3RxyJAcymkoOwQp/LW4N6L7
7JvnPozyXeu2xtNIJ8NQt7/QiB3c7BZ9bX569yrjNa88andldYdU5T1bUEIwUt79MVrvRTmmKD0N
4OoBB8EacD8Q8r/6ZWZfkAPcQ8W89xQDapkog72VbA8A8/N3FQ1fmMQTeB2ecjxos8NkYvkMms66
u4B973bxBji/vUrXK+j9cbB4lTP/gQNjH5xgvO4gdPLsZh64MVIf2O6yNAWJcgyRMK50CDAM4O44
0RmE3AbkKM6n+Umi0PWwIhbqUvYeFAs2Zw8D/LZzGdvv1dCKm4Un4ACefAMW6kdtrvKRpiUbd3JB
9a1rAYUPYYWTA6fpZqAixDFhJhaeP9+Gs6UYnhwD+pe1Vs0Pe3PNh9cZftyLES9njBWAuxrMsF1V
+HciJEDSgyA7ibqe9iKdqsNkxMrLNaf71o1g1Yd59shVTdxBKEHBLU8gk4CcImM9QIFsSP9V87lZ
+11P7eyTNfcrUTwvuwqDzemo0ICOn2B7XauPOkt/Fm6A9InDnG0lWPowIiSpEqrTTLovnbg4TesO
x4ZOkWTOHnqA1GPGkN/C/NpijGQyhAZ81qepKa7hqQxXsiohI4Gsi35XWeifBVgQJJRyl8/ezPqf
EzEZHVxVnstkIVF/bzQkkSaATbHTp1NLuY5YBL41k3TvYukf1hDVDPORgU3c/DnL2vmYyGwa2T5t
TPsFGE++LdNg2BtI8ns0vxvk1fkhbLInn0mmGyz5mzczmsTebDGqAK2gv1EpdnW9/BDBGNxojQ8+
VzsDD/htGz7SiEPatkR5UD6qQ9Yb1GS09TchSnGVRcqGTtl5l+jc20X5gzUlfXl8K7sCNEjfb4s+
xAgwAYLqcckMtHWeQkgHvA4a5jfUAz3bLqaKLaCdEFtpvrKmIhcmizMoDUoAV4ygoCWrbZ2chhm7
WhnP8Rnpd6eXbqvhvXUzLlKAMt0pq5enColnWwZPzjMYdONxsP+4wSt9TrIKhkfZzxyqzHCziCh6
G2mpt8fpPLhge5KcbR5DHbthgOTcTiLAn+ZhGRyND+yUzc6KYoQMN31hoZI8xgHLJZXuqg2+ttyt
Qh4TXLakOS1Gg94iGDZQkOcB+ol4BJ+L7A0rwTEgjOfMdnn3A0rKPeYm25zuc1AeLc5az41pLjwM
clgtowmMtYrjmyFaukz8Ryfs6rPTZY9Nu3RH0xz/ZGDaOGMIHOnsYYoaG3xk0q+CK2sDWzTaJvVI
oUGQf6X1uj+kg+pqBdNyhIhwLeMhvem/0JlqHa2ZuWHMWLPh9jsMBl7S1hLFQxYRe2xzE1CUY15J
UnEOrV2aJfr+MiC/UG3QXGbSP3u/x4VM20996QfrS2Dl8ZNNnx1DLS70AbbQsYCmDAlmgX1kTMaT
wdE5f8/AgOxtuiNO/7BLN/9uUSCiBIUhsKAxcDMpX87/WaU3kD3nAHYNgd6IpRFtEIuyxrP5CRok
aqNyvuqoD/kBuZ0c8YNTCfmWXL5oCbTzBM+wsv+OMthvU6PkXsmXe6QQXMWYxkfgbPR04gic1fMk
c7Bq8xt8y2PH3Hkdg1q/BiuNPqg6WeV9tGklH0j97PTtzQsdFctt/zWQN9l++vzj9qXIlw8Y31zR
KjE0wqrGdcBDIixXGPwgkQ37Upcs3LwOy3zR3DEL4P9suJOr5p1q4eLoal1R+YBtg4lCiA/Ldd61
6FpyMtkoXF/S+n9WQKHUYk3DJmowq7qQiLdIwqSK02bcLsV6C5wcPpO6yqOsuwl6vA5VgDhRWIC7
pnJ9z/9o//kcSQO+YswLKX1qKhvQqTcFN5hap8ppOViiDpKYdw6xVX9La9QRtZHm/VlhLMALn0FP
ucig/tou2UvQzcVjgLeYTkra2Emw8eTJfmvNCBw/bIE1OIBZ/+aURflPVi3v77k2Xo2mwDlmhf/F
6yYBzdEV6aHNKBXQAgZPg+GwL0e8sItrnqOoemj5r566zLn7VVVveZS8GKmgUNRd/XMcyYAC4Akv
0ZjwmYwjpj3mE86D5RuMpxKHkmhfnATC/ppnJf0IaA9RO4rDOtev+u3jSfNHHozfIK7S1yvM4GRZ
HV7uhFaVCmPDpmghJwZZ/q82stjJi6G/lBZExTGO0JCzatzmFhaxdExPUT50j8bwlSMu3tGVqcCD
2YhK7RjHrCpBKiTWtzY2xgtC0y1nP7eJa0T+umUbWlhWftZCrY5GMPjZo2e/40sfO+u7JRIIdeoy
JoHKjFG6T1UHV1GFMTK/dp6/Ua5FzCW6QJIEnwmPCe5Rd8wN4tEItV+SIMf3QcZmaVsltIMPT1cG
DexaA3SGbOJAkNCXRoQC4dlyhmNqj99agiEbxgGqC8mzkUZeCRzEHBhnsRNeLh59RWUv2vyCRxoM
tuJVREwOB6Pe9stezEl41QbbLrD/pPnyVf9D2K5fnUr80Xd+KaO3QeVDlG0RjyPPCmOOdvrQGqkv
GE82/qr2czEXZ8h13kBhhlQykkcPYhM+ZUtLAWVt0H7nv3OGs8gOQZXKwOBhKgNALJglFbmurAdn
23EUK5RlOM3Kb5TtsedR10XAZ3nJoIYHjjXvEY9fEyV+N1Fc7aci+Ril9TIt9kzmw/4VS/JW2n4z
+vVXFnAHpLmLfk8aBpbLuOTWZ6bM3PJtcvpPp4FdCuPki+63a8ziH57Azt+8q3Q9BDbpULyPpu+E
f4lWeonXJ4lI1q0j24vlpPOhyCjAtUqfyiKf1FYg1w/HikrGpvjV9kHlqjUk6wmaCqTZHitHHPTH
w6e2L8b2dzJiz3SZqLb0CbAoj8+TcbFwmWG7YUejcwWcXdGNaT8dXcEvJtY3bYH4328X52/+Uo/F
uRM4jh16PC7+aupsEpZ2KSz1LZyje10nC0P2nD6nmfwd2cZwMp3veu+jV2JaStRHuxSJcQuL4paC
Aycr4hEfsX45mLml3/6Llr2fs+8H9C+yJYjdR9uqis2glgZ1/YNeiEu1Wi27Edx/ecsZtQ0h3LGV
rv/Bbmj/LRzJl+f4fHZYoR0v0O/W//PurFjaWQndmcw0y5es8aqd3VIcls1rfBQQzrjxaOLpKWRQ
YqReO+j3jl/QapICez9nSnDN4uwVlt5E+Paos0+9T2QDEzPtHcmv//2R/N0iyZ9Z+GTQSAyQTfb/
YpHsiiLk/IP1LzHcE12U9FJUb+Q2gAWHeXsCbEV2g3X14iC5G+lAS4BYqitUWE4siiA4Gv8Yq1Te
3v+wSXowSYBgKCgD1vK/esop9Jhly7t3a5oFTXTmQ1Czkw7gJKdxF+5zsgUnEGzEYJe1PtWmkiqc
6A3yP9vCtb3+w7cInMJ/+QN5tg3TwgItxv/+81Bk+X3XSVZVyt1ok6/p3X3O0+Bi2N6F24ceIbdP
r3iVym3jWrDJfNukxlitxFRMkSqthgTvGB5iFwcKcEyQ8uX4RV8GaDN3WkYenc7/WlmU6ayE1XYu
dhxwO6qdAfiE1QioZigD53Y2njPlCnSin7HJyATl+5q1MyplueIGClbz0aSHy7bKP7KN0UbVI5Ef
0UXLyr4q2VVcFH2Ik6pdUAX1l755rJ0mepyLatM5OEJKSIfQBizSZUkhNss4BTv2pUBTiPt2VfaD
ihXzCpiQpI1dGm9L6L+z4iM0tkbjqZFT91Em07eqmPqL3jcMdmHuLbRyeDE8eqRbH6X7Al5oeJ+b
+Lfb9iV7IVldPV5aSCT+RX/vCOmXm2G0aqwPlEV2f6D+U/DgTONXe+i+oIXzrspfm6CFoUSbDSP6
v2YO463w+2sVOiXHciQLM8yaa8s2vgDqeJuLsbw14XomkkYX9CKT7bj68ZNgyq5UB2Q1sIlUkxgw
j41bzg4U+JZjQhW7x6XCEMNJ55fofrVBmN/bGPZNAd6U7iFC6a7bF5vVNvCk94JVj4muNdlHl67a
bIVCi90NkzWHz8eixYcCOPCh9ZanBAf7hn/AyhXHwS5JRbhrGju96GXoWrbG3hUJxjpGVALRdh9Q
ya1kX7N1CIfQsdGS9G+H42wHIdl6RiqbYp69spqjlyu/WmWjh03sli8eOYhChQj5ndEkVpuVqJve
M+xeG22AnlVMbpAj3XHqPyOxccYayLumMN5Gp/iWdBzhtd9CW6sh9lK/s4Dn68VPq0rRL9m0zcxT
KI7GTdgjj8GefXJo35xuP44AeUmkcMpjKUqXFdek+LSyKAuY9oINJp1JNPpWpBOd3Th53UfDC2PA
Cbp16cm52l+yorE+7XBpRN5EX+p6PNbne8TDEPqkcQcE/qu1iNV5/GhDrERdX9GDm9rP45qM+9po
wo0PCmZDA9OXCb/R1s+bB/0SMlYI7FVK2XlDJwBE9VtAm2IGf/WgjRTEnflqKLZs23V9is1LaBPH
Yjf6za08j2jn0GyaAJzACMBvIpyZ209kneSDWzdP8TCYFyshUpUa7sFkGbhtDAsRf1UtIpz6ytlz
90vrvDUURmdI709OW93aDkdPDfrzQOxSHIa2OU0ulfDAgDGOVXjABlg2ceyUJ6CT2R7niTbxprag
pyDGkpvbHp2BgjKdEDiNarJtjAr/zDB8SYDQPzoi+lU4D0OzrMd27JqDmyHT1mFuwNhFMfLb5dwp
cdEml8gK1UBdmA+uTF4cv2IjEM1Hdm7pVRrxu2KUtWI6CxoKNsBif0VpUVyHtbyLIT1Xk5GeZU6j
gX8UjZifikwM+2KNX1l6T2f16S+duHlO45wtUhBucdQbBAAFHw592o9Ud23jWg0axPNZwCXra2Nx
DnYIWgVdKQ62FCQmfVzagYg+WtyPSBo3r4U1koJshDlEqMbHQ7MZKZHMieje4qa85nYcP4+O01wK
4osCzEKRWISirWWinSr5Yq5ENy36WEcDiFaNEUQUFvr68FOfp3QGbVTmJocc9wvHMLVWJCmnH959
Pf0cBwcphUW6vombuvmzrvV3pyitzVCW8VnW6U0f45rI/WUanYcJ3w2OJ/qoKdvKih/6kNqgNKJG
ursF6uNlIvGSFuHGqtbLYtFrqs8YkWop8Ius2Wn+1RwoToUVvIHFQ2mqWSsl6cakHoF0tNnurb0F
hvpoNrhph3E4i7g/J8qpVwQ5VW/NeKOwYn6wZ3weY/w+9ORVBmfwSHnRrptImM/1ysNdvaX+v7VK
vwKCyX+W1F9yjmcXN3A3hMB/9ITwb0OKdWoNLIqdeiphHHAm6GIejkL9deihaqAYaW9GuAKCEGVA
YuXWipo+KKI1AxEoafYpOz7P5o9RzBDGVdqzUHOGtD0oZDwBz6VTfY8ac95ZXvMwhNK6MGjsaGFo
dtKzEdHUhn6oZxoCxj+gZvtTLX8P1MpG0ZxsrTi+F0vQXXqoHH1fjoCrzcPE6eho2AF87ia/Rgrp
EodYvWGnUYdJj2qPqVfLntpcnSYs7LOYVpYInJoch29avqBE9u6RuYE4zzAVz8MrzY/1JokZxToV
L9eoBGknxeMYci42HaJa+QpHQ6Y08pjq26V3FQYmcrzFLHCC9ayfjTYMposnKv8OpnFT5kP6aGGK
K5UAoriMvGfVGQLk2WfmniaXzcpgzbm1/FYILOO5gYoC7I5tsyJdgdjephW7iDVIf6+DgNm/1hSF
1YE40Ub4czEzev9sDHUpYOUskCeDu5xHPnARtn0hO7qp74qdXThXQufh0SzHJ9Nw0msu2xDXAn5E
c4QSFOXWliTaZpUz1Fnfz4/avSLyiGiGkOd+gqpe96z1BjE2pw6TnUNMhhXLv5TTDOVjPQydSy9m
HO2mIWS5jZlfXzPuUmOsWuM/vYeA6r9lUVkf0QMgL8cD3wwWVw3qFHampEOpHN5BZZjz6O+HNcF2
j0NInXWKgoBUOC/NtXR+tc1cPInn8HU1DevWqOgnq8o3S0aQC5REpV+ceZPB/5V0Oy+pPNadSTna
tF5rJTBX+Nt3RVB8OI1NaeBUX4rg0UWrvtM888ihZLpYlrChFHnF0Vra+FDakjUb+Ogcn+PGqmV+
qW3roUQb29VJd1IHjp02zkVB/tHVVrmfsShiwKKDrUyHTY1+VZlOo7j6vwxZntUPJa0yNEPFLZzu
Z8aPxszmJzOiUZzXWrvGNHqpZwMYgm9GVJcH7aySyBdgSE7FBGJjns64ssPjvGA4kSxMqVQuo4s2
p7iSHpOSEs4BjdPnGYll409ZLzctkfUVWnLSO4zqopLnKZZvlFXQCuWab2PHUWqqwSUt4vdQWPYR
5aLYNlagxOY9htf5YakxPQGsgn5uouGgCZ7hV1FFTEBDJ9K1TIdBxkP99w/aytVN4OuLgENZ7KaX
cVnf9M8buPIuuKOcM6C3exoF9ikpo5M+ViYxHVO9j59lzdH98wQWAXI0ACbTIK9ScE9hrkgOLXj+
ne8TOq2EfI5o0RzHpt0LCJEHWSfpPWSoPEah8SNe6NRthh5AkJsHh8yVvN2pV/k3+IGMAwI49pnI
oJVxb6VSPBXFevpMOmi3rB6jBaV9uYeZx01BzZmG+5wsSfXgxJThzIs8EA/nXV5JjmV9ctS2r1kx
7wauWYcSrTVmdaOsI/GMJRtuQWX8mwKZjTVtUJbx6d0PayCia9Qc02hhl8Pr3BrpINa3lw3u6/vc
Vyf9LiPUciysDgcYhh4QduNGCrY4mumxBOzlnM7YBBkxzeJc0VbFAzZ2du6IX1l/OiWWzDSZu89b
tx94ikhqpPTdzCONbW3FEmzlNcSqV1m/qjYjcMRxc4Ivsh9zzDB+553XQLpb4RoHnSNvk9LdmjCs
t7P3nUhgvOXi7Y+Eru7633c9U8ta4zVeBaktlmxKqo6P+P/L3bhw78CGuww8zfradY7aMZuK8jmB
SfWEE7R3wx7mQJluqDv53iV2eyHWy0mAOTCXYuunHDf1WQp7UjOR+MnG5BV5bNPzR7/HXryfB1Zk
YnHofo392d5OpHGHin6OsvOzGzGvaOMJirOtqKDMT1QHnO/JFxmyPBl7DttJHh0jEd31faX1x9Fs
6Wy3+TmlL+I7RMP4ZKtDtjqW6deFTtXMRDYY27oTxD+FKmnxkxjnfB7CkxnZn1EwGh5V1CScb74i
/De1ePAmuqqmhq1ZIZofMDPSi5Go1nAQTxk4znkA6Qwy5rdYC/fJdrFYVX73YWVgPvwQj4YI8999
hskhElf99o/FtFAE2Lykozfc2tVgdau85Ho+aXhd0DbJe8ivGNXQBL0gfGqEf9OsKKugEl2E0X1s
4hdtFQwW96PN3WUDGr0lHI7+HIG0c5yLBnTNSJcXcCavE5mKc1rPDwYmENwcyQ+Z9idpLse2o+wk
81mSqDl/Lb2eWiyZnyQNWPrK15qUQDDpuuwhYZPOZy1fwbjl18yaD8Qxi603OM8sfz+6yE44n+IX
jcOl2UdWzoiYli86auSpLGXqLmCETJcRQRWkO+uY7JwMkIoJmmFb16XKBgTNBUWiBKla8lY8jETj
Di1qTW838wPujrfZS+Pr4DLQzxUNN0Y9HIzMnc+a1pCJCAZXRjWbyp/NwqqPUe/7W0+0dOCuU7jF
bVHvoqlyDgjP0yZpXYQQNYOiaFSnNXSeV7erGAYSOgIbN98aNQJzFy37nm4grLWVDx1H7QuHdN0U
vHpEDYMhhCrzad5P7BjT6ISgXhqYYEg2/RxhYZ7a0TyOjPC3hhEmYx0Eg4I4nQMP2aLwYpcMCsmb
jL9HipikQlro54oZizsVmVdq3AymUW7wTgzODm3gukTAPgA4AE5PqB5clrtmm+gzZhkwdacuNaXq
vTX661OuQE1DyooJ7u/bQpUvZ//oqkEfWUs0Z66+NIqNMizDazpQ0h2MaUVZdI2clzq/Gfnei5bv
UW/xKHeBBO8mW2R35jsLoEPzoutbMM59Pga8OWTLw9HzoYjILWWS12wWFN6ROq5o86zOfccktie2
xXl1HVJWAx43N64CHgMSM81MT1OO/XTbmZYHTi4WJ49KpY2lki0USvWHNX3KRt5HacagbrO3SGsS
QeCX2al081sobedYMgcNg9t+uuB7usQPibrLS8pd3Omibx2trZeywTmV/qoihselklcSh9UD49U/
IFv/m4DsgHzx2DTZJnyFv9An87wdwrk3eRuW3Z6QP8eS5Jel1jQZeMdLtZ0V1ka//DVWj/WvevGT
+VDUVicNvxWKIkV9uVvKL4ZvxCei6yf8eeYmgqZESsr+lha8G8149CgIhbUnmpwZa83sTWdHrEPc
9onOkewmzH9MMmt83l+VT5CKgJECyxZkxP9TaBR97lmTa89wt/yvJBEJqOTr2ZyCN2kxtQEztQ+W
iRwbrLCbHTOjRNoUd22ZkCFLFmgDF6P0WpZvmbhQ0kHKtDXIuMvsPIvuMGNmfO5wVpMPBkHbJvnB
wL7R+xdvxF1JaR21VnAOmzQ+6zNE4M3PBS8o9XtA0SmCm9leU9fGtYJGtFPDTsxgYDfFC9qjde6L
8spLk0KgQKmkTDwmDordkHkGcG3vYRUDJhly5a5yJphjwXHuKfcj1IZFlnvDMOUWg+cmL7rh2IyC
k1U8NNesdE6wnggIVTzcK3BcUC1HqrA6bEEzdgsEPN5B3pA9z51BZ4S/0UHXEabgpem8N2MJTzYR
jFMYN9W2c4Zwo2f0AAOsG+FVDofvjmIaZgnfftEu1sYcu+g2AwNNH8kVF+H0MhGmxcja7uqQ2EGc
VTc7mbK9o0479HTca9um7AoyzmZsMfixpRmJ8KbjpguWezKlHpbQyn0gMYq3Ct/VaQjcn+S0SQCo
82oua5LroKUs7Erb0u/lbrEGiLRy5q0njrZDE6Xg3HkYwaweJc9Kvy78vTly4I5FxNYg7/ZUkH8K
g/TwcKBeIDBkYtdU81dsPNk/LH/t/7LS8QkEsfMQDpdf8NcrtuAxlKKbfgJ/kJ4LJLY12c8U7W1a
ESUHq50xhPJHyRSIPlEWfP3VWpioOiWdVvh5N6bfATgbrJucx2NuLiTkW9WdIcPfOaPCDlhPs//f
wr5jqeXGf95uAVsGxgUFPQB68hduAO//kmkfeJpGqyX+4O2jRTWdh7QmEijLu6Ch3IjTzWAwB/IC
mbdM07R24gCFz8a1D0CLC82g36OPt/kc/zZWqlgFZbybgE0bMUYSijmxHfDxPvmj5iWS0qfm5qz3
A0EHknsIUhrDMVjtHUFZsNVxK62XtMYH0qTw0Mya8N1ndsHLvxu0GmHtR7PuPfOxV7wwjH/q2EWu
O5cz71rjRI9XdRPiu23UT0FcfLWnbEEgj9+lHXwPOqyHGlA59DwJcg5DO671Y1aH1rbuQOj1oIb+
5XFQJTlovRKgvSu2WxMSpi35oNbi8zhOm6cAQBQ/xZzwSWqCNBKLlyORf6k8lrdLN5H88P6wYEXB
XX4QuC3Ry4BTZx+ymRh7zjr4pkWRGDZlleEbVyr0oa/DBIP4sxfOJ73klYrn5dQfOXfy3m1LnyT8
xQ45BSmyHmop2VLFq1pLUmDYXD9HhLnJVDELeSu1epM97vGJhIQyesQpLU6VbKmj7R1OIwrfqiXI
WrnAFN2xC3n8lHJCO6jLerP2xm9ncvxr5ST+Lk7+VLH/TcYRpaB4hDggzg8rY4NFcPpTXM9sALML
/lvhth9JBh1Un6tdZRHzG6Qq2rn2Gi474dfdiDp90Rt0aSvMR0XB0uT7G0gVGCPos+PkNTKaaPRg
+Y44lV7yIMBekKZ7thcUo9nOcu1XFtqIUwcn8Z4H8PcnPcB2zsG2KxKp6qeXdVQecIu3CZ31CS9A
E2RrZLK7UDaYrJA4C3K1J7K/B3Jqj3g7eN1WyUX/7MZvUJza8S2hrLznV4Cxu1l60zuHJT4xkiYr
KYMjKyiElYRW5IhT16ZPU4v5AOK/O94gtkCV9Kcz7mDevIqqUbfEtVjfPjssVUCH5C/xiryl2yuA
UjhbzylAGtRka7qb5Wf0vpfsXlT+S6L1cPygz5GIjHKAep8FAFKZA3yL/MbnbYgxIe5xK651wOkK
T0AmyRWYw7xrQrAkOiHY9k4CCzD6Fq9s1fEd4+ozfRJvUUsysLWSh2YdKHwI36CF/BtkHykY29y7
xlbEhEr16d8TyXXhFXUwyhEnNmIANovPQVVfBFriNMHGUmk1xBu96zIRuCuRKoOn+gUjVBs3ptlA
KWbCjPBbRf1DRK0f6nrZbzIjfJop4Dza/kRrsVO8NCvu6LWM3s2Y0bCjyvTQedE97vGXscshhz9W
17LqfhrzgvEy8AkeygVBPyB+vh1RhZ7WBL3PaUzjzR+730k7Z9eOLIk+C4QmqdoBGs1DEnff0nBJ
P0/tdeqdzdmyX0q3fIf1mQAqasKdp7yerUPi1u25epO8xeo3onXGJsHCDm8hFdXVMZFVv/Mb+MfF
2N/jMjlXc+u+knc91FKJj7XAd8z28J+4MRoL85+P/9AxnVC4riNcygD+grtaa3uCycv12gNTIe2K
fJstwnqwzIL+KRARzBVhRy80W45art8TYh9vHkIbnLfpMjUMVXGKcOXy1o+Jo71Z0DqNDrjjWhQW
8400r5kjfvnGvGd+ry4dzmruUmzCpThBjoIxkTE8hCKNdi7hml0wkSQw6NI4Gd6Ag7F03w3je5ym
7g4xgWKxIpGHEpnlWPsxXvjiYaSD4bG3Oa5kq3/pK6YWfwmsU0obsr7xs0QIiCR+qzqtxF4WbGGU
MqL/pVD+33jM2ks9FC/ThGk3Ude947zXk5F/JshIjV5yA/WzSwypeJb5cZLVh1gZ07RG4BdkmYyc
P65DYXnqfdfwFGwF5S4S8KTcF7bNK91s/Mp17kb7FiehX8XLUT9PJgXb0CL+QJFZaYePHaMwjWaq
zmZmS9D5W+2lasBSEobpts6StTsts0yLHzF45rsCA1e0pg+2i5apn+9O2RVXNwrXjV0N76Gsx6sf
/Rqs9ybj5ZG6o4O/ju412JdKxgYmqg51QrmMtVekAlRY28gu9Hft2279mGPKYK22JixlxAf6TPQB
UrMVoawP10Ukz3r9qDeoRj1Oe9vIztDWftZkVbdlE2Pzzk02XVF+dxdU/YFt+acBZxmybmt3OtTc
4xtmPxm7hPmx5JRZMRxjQZub9utoiS7+f+ydWXLcWLZlp/ImgDD0FzArqw844B2dpLOn+AMjRQl9
32No9VsTqwVFVCbpwSevzPyttDCZlBHidUdzm3P2XnvAr2t1w05lqr/yzXJ2itBPN7VcEDRsHOn/
UnqMKPxS2EdcEg0kiiyuWhRwlGI17VDJ2uCIxYPcjP37WEdoOQLlTwvqrI7mSpvrRR8d8mEiyhF+
Ur2z26ET4SOkGbSuAIq0nodR2/qqCJBV5kCPSzM5/Nql/f/IrTORW+py+P3vM7fui6D4GLf16z//
K2+LuC2T+hZ5W6ZuWIJd7Z95W5L8h4I3X5VldgKA9QACgCVcOjskbinKH2zf0QHZimLJOpzwfyRu
mX/QTJAV2xIySSmyYZr/SuIWQuKTQwO5XuDj1SV9yLAtnTi7z8fcpk44zWY/EeTyfN32VJ9vZ5Iu
Bonl204IAiHorXC7oCdaOyAE2p4LPHuq0NwOFe0tUsDOId2y33KAT6jbR8NKkUygqm2VXrXE5SIP
0a611jRovifEaiuJdl3M2lM4CWMTVWHtNlnKjnXq5Z0io3TpFUKD/JRub4oIckgM/CdlsQJIVK1t
BYstmzN6/MBKF0lGPM9u1tMyRhcJpw9FQ87HWdOwY/4qjF0/hQcbXafXV/GtBDJtNUYxPtQI975/
BCZlbLohwQGWxi8mDCXHKmzEoCQ6cloHmF76Nq17KoKl+Jk9xtaAlPqSWLseBAz5n10BYCavog3L
2uNSUNxRB9rMlrqqCGL3KubdWCcDO0ZO5kQYi7MIb1S/xH5Cb2VDGFDysuLJ8GZgYNV8rRUoGJIw
gtQNnVqyqosXQ0re2D+ZGPINYqFC8azZmWOmY+4RczkSaljtm0E8RqyW/gW6N3g/uf0qx9Zlgayz
COwdCsIjSY7bLvwZxmwHomg92vJdp5iPJJ4/T3m+tab2gmNS6GhTuecw1iyzmJss2JxZsx4hSs9O
lCU37OnjOn+YpewhmuQjuS5u1ebUHiKUa1OigamI/O8UzSZ7fjan+TocbXiRBCGq0dh4SLLhvEB1
xwipAveKLACFi7heS4bbGAiRE6j41+35qCqhY2CZcViKSBsV5SPeiF3GOR2gMJmEJFgFjqqy/Y7E
jag0z4rin+moR2sOKbtxzF+BKowSEICC0gg6kU1hFIvP63uIpZA6x5NiZQ+2FM87vDvv4SRf9pmF
JayAJ1Sq1KcEPA7wCLswk7632YQRgs0tKPLraOpWU+yDMaIIbGXpUU+Uo11oJlVA433CoCeoNxK+
SZfez38W6EcJe2LjXFfRzxpGWlaYD/FgPHZ6qLtD6sDtaSeTZiYErKrGYDNFt8kIwknKmmEVz/KF
qlHXU6XpzqYJO8z9LfpKfnjTvREYqqcRFBud1kygkMaomsltIWDsPqkC4awxFfAJgtJVh6oBiRtd
WOaQubJlPuoRwKKp7u45LqOwjdobOZB0gCF0UqSRDDUrpmgwHSP8n2JeMLgGu11iIt06n44Ne6VQ
AwuPYlV4dUmDdeziGxO/wa8uO2YSDtNmu0wnSFrzqt+XpQUAXLnTIvMxNpMUR2+zMSpeskSxujUI
BJJa80LbiwanQLT87p9/LHx6HspkXshFn+8Rf+W0XrO/fmcYB0lToEbL/cRrpewEWcSjbwLIh+G8
V5dfSuTnmyqYiZmZjX1kqex2Ex1+TlHWh1+/wOtOoXAQDOFDKiquUrn6VlZWhYdsfkgy5RhzRxBM
dfDXVc5hFZ3mAAondJbGH43tpKbIyypEYzAkEB8M9NFCMbgNFPaLYlS1VVKSaaYOBbkUkW5c8HDD
QRvJM+4yQBf4uOK9j/ZiJP8ZJ0Fy8et3wyjHf/2uRkbHJpo0q0J2Z6V5HpIADWLbHzItQ842mOmV
LNjjFDHddGBsXTdiToooNV/E5Ne5jQWVjGQR3tiU1mlUFvtfv4yj+Tb07UAAqVHvgxaKh51ZscuG
qd+PCiZwU9RE3iwFy1TWtlIazy5BVjxSVlTuI8ERDlOKWex1kEjuiEHBqWqBsUBv2L6j5Ehy89DY
5rRnl7dO1SxcVSnlNxkkhAS42KsosziKSk6wpBJxXiSG0wTRFY+aV6ng9NJxlNa1NJDWM+RPoBy+
lX17AWbL5zhFsYVG1rpM7xseooMlT2+SH/r4GeunIcnHfdj6A2uKq6q9vZuGKt6rD4AkDNfEF06s
nrKxTaPZZjKCXyXQCZiV627fSvhr46Jc14jd15Fl3xhjHV/oqXkNJREtaVyGK2gM+UrN8W4HvYEb
QuOhU5Rh38XagVzJdmPILSGCQjxVCgZGWRHNXicNOHfzWjReEqHx7fGzODKikjqqdkGlkraSVLdB
a1fs0XmX69Z844ZJ7Eeh7oqpIXlmIA9ttGuvVsXNJAX7MR3v9Fzt7mNzYeZcWqUhwO0i2jNwaBII
skrL4TUcaeOPdVU+WhlOAJ+YxKrWuRnz2Bw6+m9mwJlXHUjBLhY2HodO3UMDnK11A8bCtHQ4IT6w
7pfV2zAWT7Pc2ADIa/R1A7BUGSeJ52f+ejRAsBBN9gbKmKmDMqQ7SFh1ykhUFD7S6cqw8+uUktYk
hTbMyvR+UKd5JfS6hst61HQiufOUAnMwButxHoetmYMgliRphv1hhJeWgnHNLjNuYlO9UEwoHWxe
7M6l4EIx/dEzG9yyoFoLKQ+JGnzAO9quRUAHbM4T7S6S8PvZMMXNcMhRBQjpFpEoLd5KWUsCtBvA
B1y/CNssNYbniAoLtF3pFalC1IXghKeZ84h7dmJjbxX0QWFx7g1bsJQU6SYLU5MdDAi0PuwDVwtS
3cEjT8JVJu+rUE5oISvNMZLTeDO0FKwi1b6EJfne2mJiPWvjdVrEz6UlQUKj6UuEaYSPoIEI0FLr
opV4UQ/0srUsVB118uurLnyP9QJ9cEfnXTUN5uZZry6ahvA+VZLuAKuVN4qVTrdyk1z25hg/c4AW
W0XrA49b4l82coRGKgwf2pGfPFowrgcKBE9RTMMwnvR11bf1VsUf5yF+ZE2iNOUkprhobbLte4As
PUo2rw5pt9n5JacmQUh2N6FJtIFZRcG1lk+ocjVEoBKPewJlxOXYq12ZUdlQ+TDGN5la9YxGcyMZ
XbPufeqcll3Wbichn6vCRD8KmJ9JF9yGbfaToMn+LglKqofcxVv8jx00RECVUpnNXlshTkMbioNY
G/YJUrcSoLuTJDrlK8kfWOGpoel4oWCgpIcSjukh0sRDltU4NCA3HfSpfCjKpWVn3CjpTAEKmy+b
AfK+Kw1HUqkPoExEk6wa3LGOgSTJoyOlsbYYM6KZgr7rrZ3JwDWI04LacgGWUCZ1FhHqJEffNI5x
2zFFJRmWXU5MpqTDhiheCIMmRTvmR4YGdNIi91DU109tHH7zzbi5xf6kIKdMdkTEzJ7cpqrX5dVr
0gnlcswJWM1LOE59+hP5FI8Hxmhcr3CMosYJCcJtFaSIeOLQOGbgcnXtu+KvDRWoTIW2ZoxQFYda
DoGPD2BKQvfKqMK80uaBW05U0Vt5hRd9r7OoORX5jStRLdILcM6+ojaOOeuAIKgZbmXjRu8lr7Sy
dmWFHWmXUtfsNai09LN7VkRBcArXQHhzyJ1R0xq9oa6PvDnwhbLEgKyl3y8og8AKquu+V6mOyqO8
hyEpvIIlh7c/xumhHjBoyhujM55h3IgrC6JPTELRVTyWt1asIsjCuGNrw6WxVIDlLKGZT+UNuVqg
brMseJwq4xjAGKCE+S3sLY9mNM7fkA1hfh+XlnLUteRxTh96XaDXAPs7F1p+RVY7Uh4Uuns7Xuad
FpF0DnqPaPFVOpHSKvd4JC0NcWKslW9lEcpXv36RzPhgq2W1m+1xJWH2H+NLWwpYkfziYNfGdyH3
ybYlhfSqVqsKH0qleyrVc+TcBXxU3MVGhVhE1GSvY9jyWnX8BpjjOmmY7pDwMwHm5pXacy8tfejx
HZKAoqQpXvZBUa4mk7ZyrwykFmdvdREXuCrG7wUm6Emlq+srdbtKJkozRFO0m3JEODEHbAtFRo1W
rocJfz1mPKKXXGMYsj1RO0gfy/dQs6COS+bzGADilUcmhgyXmG3FN5mseFXS/NTTdqWY+KOqTkOM
06S3hEEMq4H3C0pYvOqrbthbQfKoy7hbEZlPMPOCbdMNYo3F0msUZAs16gBScA36h3zfXJ5occr0
+RQ9d6ScvwfDMHYrTAf2UOt7sfxSEs3Z5ewRjQiERY7olb4j/RHxiMjviJtUUqw7eS7CdTPLj2FA
H6OJrWXzEpLOM5Vwc3k1VpjqaWIMCNSAvqDqgn5Vm9gEhb9O2+89Bbcr389vm0ztt7j4Zbu4zlNJ
W6dBeasuDPZmsBSmJDKLQv0ebSBokyin70YXONMSN7CR2onuB8TTJ73UniMzxaItyw/5qDwr1Dxr
Iv9CHw8VOkrC//A1cNAJm1WiKrpj5eNd3XFkX9AzdGjuIKqh81yVbfEgG1B1qeuCYofMsstTcwee
gk1XLAkyOPJnfypwCMfqD3AHkatI4xv7mM7NW8uRWIy9kL6tUxr+fRqOO6XGO+vbnJl/2VnyzFqi
tKkSMiuIOTa8sSfxSuOsFNXRizXG1W2d+1AK+/I6mfiRkzIAVppljlrWgHJ5PIQW/RD6BQ+dUb5p
9FR28aWRdjPVueVIDd/BG+p53EwDlzHKxbMc2o9STU5M0V7CI/HMbHkxB2ubq/pzTm+XFKzvAoQi
JUuFlsJwr7XlCrUO2hZOvNsprt5m4d+lA9/Ct76ZUnZtgOlZ6aUKbqnB8znFV2OjXddSQ5JR6NXS
zz4LKXO2TFh+Jr3Wofbe1sAYyQN6IO1u9Wt5CNEoGfU2q6puNZJkOgjIeCkJzYJ6PW1kGvjoWDqS
XkaszwdThE9jPB+ygLAYTaIJBOPmWoSc2gjteapLqKPVzDYLefoWjfuLNpRbZUAjHMObtBKJHUa1
naf6OQvEeugRYKVN/TJn+pEK4g22Nk+tYc1iitHxdCDfkw7Zk7iLBuKyywFsAPgJqhH0OWODLdIU
1dehno2OTQOwlvq1yDJtCzElX5eD7/qFfEv+EfXGiUOkKB98Hhh3MNhoFcF3gBsqKEX0tml6E2ho
X6W6VAn1WeEVULypZOs1ZeDd2IuKHmcJqXCjmfq0UinMsylZBcviBPIejEJ00FJwB6MdYNyemydE
5+auvlJ1ltpgnsUqzFIUbdeWqV4DSwJkge3ZQ9dggUwtNFeaBK2vhf8lN++9WXPiYZL3x4LgK+wm
6yzMb4cArMOsu1M43Ga1dhGG1dsS5WDKFj/bMKF7AzFXRwJKelO+s7roydKyraGMkyNv7QzklF9I
juiVdNlO+q5ukKA+V8gACLZfG2ZQ7gtADJKtZ7BgkCKwEbmUlGgtV4DANLoPVkxgt6bZLh4vnkgY
cSm7joRVywrfxKRGh44KT1/MOVjVydz2GKXk/EYK9au4Uwaon6kAVqlKXq0HSKThRPqgRBW0WaVR
o2OtlYjkXxz//XzQw3THlLsOZv9OyuU7uTSP7TC9J1LKNjuodn5DElmPdSFSwyepm59VBZMP26st
ByvmgvGerZXiyWGKDKQNH4OONzO3pju6vGstetcy+aUImUvMYuCGW/V1y2M9TkwuRfOD3mPgaKn5
PCXf9EyjYJh/a1X/QUqz2Mui6nugGncy2k1AJv0RSdR3QZx5mZVLICLOvVokXqAe/JTN9pjJb/oM
Z8JGBx6UPN9qlSDETtJ1Q5TUMe94/3L1IWNm2WjdvJ+TkIi/+qWOxASO0L83s3IbBP6jNddHrVI4
nNs2eQAqi12AqTX1+xvI3NaGELNGzMZ2UJVjgOgGTe5LEYAGmg3taCf9S5ImL0KD7IumZG9GDzPz
wVxVPWiX8DiOcKrSWr8b2EBQZeHAnwWbDOY5ZE6zQIEfHLGrKas20N9CQ37uA+O7AXSprmZ5HXdV
AOmziDz45/vAMu6qfLrTm2IbKZRx2kJ7y9LumNrWZdfSzJii+V1DQurErb2OF8tMUSsUFwU08i4I
gKEQP85J8j6xpQdQDvW6I/XRUTpeE7XbD5FMHglsS5nLto5ra5tSNgWmLKPwaZmv51DkbAXK7VDH
ycqnsuthmqNRRzrSsJCurKfWoO1LIjLJ6Ew1LYj9oef0ys7VMXZ50pRupV3rBQ5wslZZxbL4Al1i
W1MSGyecImqNTKFOLrtOuZtNnaUpeiinHq28D/UuCv13f0ANMufdtskigzbqiMQ6LQ80eeQNahY3
9JPnqFLQg3Q+DbOSLN8k3hTCSNbj1F1TX4DiTCpDPkXjCnVFQndFo6QLuNFkwcw1VeXkWf6EmO+m
aJod/LApxyV5cBWeR38aX4UIB6aD+DhNOPWC4KoCKOGOQFnYtjtGIHCzSeYikgtxK+qB2Na6vNap
c0R4CQ8ROzvoMmO3yXr7qm54hbn6kppku04O7kz8ObV8IY9+6Y2p9jjn1KbSSL/qVY00EKWa3aTT
b8vqsew5ZCkdJLRkx0Fx3vjNZa3q00ELg1e16Md1PmmbzACHNym4AaJhCZKJFhEhPqZkIB2ysrkz
AT1J6On1a2tPwbEwy2/JEKK/196XzbSXz81Bzi6DcOL4Xfcw8ai+WHhJqzTGeKOt4FY/SiolVq6h
v8VrcMf7ecf5+SXKIYX/igaUOs9oRmUjddRtk/RO87EXF81wa0pptImHGOS/iftL4WDT2cVFEC63
id0ZsuLSjVX5EDXRU5Mbj0qFK7WUbyB3HTlQXlRz3KJxkzmO+AB+9emN65uslHkcnaylbD+gRA4y
Yi/gdK0Ayfkp5/xBwq4VKvdaqNeOIoYG+TYElNKWryE60ECgad9cUCi0EvqT4ZudZ89xVj3rFm8n
Jl0AD3VH0rBlrVAnz6QT5ypWrcyzxlrdRkswLR9uW6m0XJu5A8uRZa9jIb5VJcHFulTzdszKY0/z
sDe7nJpY9JIhHV1JTOS4JJQJztMSrZaG5L20NlDP5L3nkfYH8zoHs7MykkdoOLmT58bBijTD8W9M
374JrPJbW427cCDUUwrmO9ValpPbOmEnV6fFlRk21T6h1bpuht7VJfbeS1BwGBBNaonuupuYLXLU
Q1KxaEsUfxdINYs/3BqK6AHwDyRjbLAejSEONm3TXyIXKg8cjnguFrWH7MoGUpaR8OBVrZXPE32o
Q2sPF4FEyIbhP1Lox/0b3ZcQEx0tQhRD8GzhCFIlnSIZn5f1eu7GYwIVxMEy1iD/gX+Nkc8Zdf0m
RLKPmSRc+dGUgVtbwEw3LYToiofckzBJrgY4FUXaVI5BQ47YgQjqGCFSgFuCi5mDi5OPATkbZpas
YQNc1IFu4J6D00eKE0VcIBjGjcjIffcb3mx4WMhRlBxqxuBv4LYvdLboqZa7+yEf6Hj3T7MRsNKF
6k2cbKyWNaw1c5C2jXJUtJhohKHpt0gefmYR0Ut9CnzB4kQ5BJqyqfRgWyoYpCYTLH5dPOh2xS49
q0iAsRAQ8ujHUHWUaQw2kcJsie7WhUmWXvKyxo1tXw6NYl0F2rL5iCIWIqK0IbOzBJcah9mhfhWq
r14mgey0kFWkTJG2sy7HnlWNHbgxvG2ShIM1Mjxdq96kHHe/JBtOEfUEboNMIgDoexKBCAcYiMcK
ktS86P0xjDsyaGFCNGGJTImF8B8bCXS7h1FpQU/Or5rgnnWzdSkoLguJE5xmUqgwfDjWwMD2CWLr
fTLg7O79lHWias09692avv2InrYrUddPG3Oi9TBAXBwyjNl13bAqZrBR/FdB1baTKYKrRVPjM5RN
V6DOB8+Rsd4DYRbxYF3NPlN9GmIfk0A8BzPyzmr5fwUBkDkvhxkzIZtq6VmWue9LZjIWkZc4mLUV
cDvY8T+CZIu2rYVLWNwMxOzGLflgUqQ+Ukh/LUMM2EhgbysQ1dRS5V8hPNOK/PVD3ZMX2PWKx2nd
d7t4lS8FkFmlhEHi2/d+yuTL4kKw0wc7RYymXTUH6s4goAoO2jOgWI8TcLxSk+5nZrbFmgnjlXRg
dasJumFSGXHuNpOJgNPS2Hca9qR4QfskobEvSl3nRa/WvTHxkjYg6IhaaneA5u11HTSNZ1H5FkY/
7zLBYXOokwzs8AigQ0K4W8z0cgsJG6a99nUqeKMmALGFqGtCsdjJwZUg3Gnv6jbxD8ow3vYIwfkB
3ZtWSlcJJ5LUbwgzjTGFWjGv5kj6iJe3M9wT32RfugjJyi55DZISjeVcvGiAcIRQ5M0EwwmvIZDY
lqkJu1mLdcnUHbMPtmrLuoVQE+MA6rKuIf6hp5JqkXuynaFUqo32Q5uUF2pknCANlkc+PCfkET5f
WnGi0tKAQ78xPoucc4Fcvky2fKSt5I5ho1KwzO2LwpIPKcA8uC56mb6VsnmJhJQFO6s2pZo8zCR2
rsJy2BSzfsuZ7XZs5jufyEu1am5nnxmweE587IHwbtFVMi0a+uDiYnyG0nmbsh1ezzoOrHyS78Ox
u9CzhppCa/XUJalT0VlxpoTJMzhKXWZseeT3OouIF2kwhhHqQMJi2xMHk5ep5hNJqg9xTqspY1Kk
hDOAzqnzVVTDxOSlF7kJ1Gvw0YPxi4B0RJblltbYDXHa9I+YBNhuFetyZgGU8EPiZjLcLA9/ZpJr
hWnizT+XICPmdOIbF7IY5XMEDl6UM+vJWe32ZpvA7aLwO3Di1ARXW6ehKJOxxYKAlL7tqVzafgmb
AL+/nshclgmV6jywoyxlXiYRX7Au78oZvsnY7epK6Ec9N/dR2GWbQMLl10npaxElQLv65E1Q318N
3PIVTAYbr0td4lxfyswwfgmR+iEifeQjUSMYa86ZM2WphM6QO5gazdFM4vWcxL5su/xo0V1w3DHO
8jcqW5dJM/wYY1/emnqXX2RY0rzQMDHrNRR0/QIAY4mA8EIDRn1D1c3t6xbxcG7ouKn10MMun0Pp
nXZdi+dHd8vFBGjRIl0nffI9qaL7Wm4e2ZfXa8qRPE4VuzqEvzrMEVIneiIyvVxwBu8bttyZnXF4
m+m7amp2SVV22kbNtKvs6F0MMUubkWBMtH+otgIqampu0lzbaZNZ3uFeSf6ksfxLcqCniObUj/fo
9X8sf+07ZfU6CsL2f37+Y/Pnn4Mfhfvavn76Ay941E433Y96uv3RdCl/lR/013/5//ov/+vHr59y
RsZjom3571U8tz/K//2/3tLo++t/uUUW5fwmf/0o61n++p+qHsm0/tBUXTHoXVGIJucOgc5fuh6h
/iEj0THNRb6DeMf8IOux/yBeyoDpJ1RaL6bKD2zw1i+KH/GHLnDR2Cbad8W0bfVfkvV8FtNbvFoK
oiLgIgoaOUs7DTf07VgCS6kWdGFamaJGS12NSiR9ePiKNELUtnwtZGrcGQqQ3qsBL1zZTMzrVBQR
mK3B6DdqJrEdqhUTpbhFSBKqXxUWwodLfPxT4PlfeZcd+WstwaWfo0X//KDqEgxrKwv6aLlYHxGH
rWIKs7NI57LDQ+OzZy2+t5wgstz6hr/mss66t98P+JmP97cBxYlHQhIRu/6KAdPwQi9+ZuOmX5bM
6cJoL38/kvIZnfTXUOhZATfyxfiWn78bPHwiqUuGMmj07ihdb+q31ulc8iWvSM7ZNmdwZcu1+qeE
9v+OB6hJXv4hZfPzeH2gREwR5ByO62WwZDOsw22yPjfM8mP+NgziNAWtrsEjdvK1TDMtwZRQ7hZm
vbWn7JZqx8Y01DOop79/G2R0JkYWsnspgp8KghNtBvUiMJoYyuxSZIAq3WE3jDABwKQMJ/SguKNj
84yJRvn7q/N53EUv9wEcNkkaQjaWIM8ACLQu181lcDNBNXe+g270bGruN4Ja9lqcCf78+2VFXm+T
/UlOsYab7uRNyE1sE5GmVV7cc4jllZmfyfern2pNy3+ceTL//tbpKmo/0McA4MBondxCkqiHSI3U
2mu8yZMIp3XYoh70lbZtt8omvpq95kg/Yh9cx5szQ3/Gdy0Pqc49FbqloovEV3fyNe0xY68ro9LT
N+JZ98Yt0SmbeFuvonV85lYujqHPD6puykx/BuUbpmr9RFJeBdDp0gHLfIEIzyynlxQS/O+/zhcX
8tMQJw9LAVw2SlsyRnqiEbw2kZ/EkiFDs/8xD/1HBRSSZ+vW++9H/WJm0U3yrFVdUw0hjNP7B2of
anSUdl6/Do/aobweL0K3+j6vjFWDooAT2pmH8wSn9+u2UXfm6ZRtBdPnr3//4a1oRCxZqdp13DYN
XbYzby0XRpUHCmnVrM0dp6JxRSIJJ/7omsACnYOm8/tvvayOp/dTsEgKS1UtXHnmyf1ExRKHaFE7
b1j5N0gbPR01jzN59pren7VrvtmeeBGr7JAckfu5sluvQq/b5pe+9/tPcu6DnNx1Ig5JBpD5IDZB
DsFwbcWyFyEs/c9GWZaXD5c8rLJ8VpevW9XoC8fadLoyxPwxR2cu7BdTHi8kEmQF+x2XVT15Jyno
g0LVqs4ThKd5mqtOm+JHtEl2yT3CKgel2nBHCMeFOPP2/H2qXSYCHimmO1aSZX/18RvWgEmLaSDG
Z5I3s72u2m9muOmaq3/9OuInWXZXbIVkcXIda9m0pSofQItL4LYGchW7dA3U/cxD8eVVxL3IC2nb
TK6nE7iljUYokomnghjMl+BW9qp99eC7WKmKdDXvldWwqyk0bu37f+cL/mNg5WRLM+NT8cGmd17X
5k5PmmsdbQvD2P9+FGV5qk+mU8GmlX2vJViofvmlPzyPHV3htJpgtNH7dpG1vfk7KAQ7NK3U1p1z
u4wvJm9GswXNNaZw+XT5D+Tcr8cx6T2ZOE8BQaoqzrItv3r+Po5x8h7rOuX50WCMYVU86vt2px1S
F/r9Cn3FoyA/a1Wuhu25ZemLNUOA0+QymmwNcTx9fuq7qun01i56z6YeWQZH8uGRzS04BH09IheV
5DM7KfWraymIvGHaZr3/23KvjjPH4+XJjA/ExDuXDQWn1biL10yYmIhWJGOv02jVrqYLAr627VXm
lhtkTj7Ho3+cp45/PisfN/u/nsTTR+jjB1kuzYdHyJ44fkgZH0TftDuUpGuQ6jvVlbdid2akZcr6
20jLY8NJypYhqH8eCYMnBa0SfF1On8ChHlceMy92/WN9QVeBFdoDQE3bzFHfpGO3Nc6sl1+tEOLD
8CdPFkqWEUCT0eHfhD9EskXtWw4q7jNLxFcbAfFxnJO5LUh4eGwCY369k1SwRzxjLjqiHf3IaCVv
wx/nnt4TSO2vncCnIZeH7cM9DGzISHHBkOGhdSdP4ZWhmgYJ1tH2IXVkJ3DPrfxnxzx5ZaI6kcLS
Xy7n5PSu7ageMpeA3EYyQhwauOOL5Ppnru25W7hMHh++Jzb6pGdv2XkmDr95mh3Jpj433vz+Qf3q
1bQMCPkKjBkdl9DnUaDit10jk1FjJIPnh68NneDfj/Dlxfs4xMlL1w1lTNgT0Ro4Y3bosFfqj97Y
KLe4AXfdtV2gfXAs78ygy4N3+v59HPRkS6FK4SgkhBxevIuWlfAmesEpvhkfKRA6KQ2l7X824Cn7
gAy2pm/FciHZwigHav7+buY7Vjv5HsnINmjPXNcT2sKfL8KHr3g6xcCFslOSupavGL+X78l2ulom
NPNQPVvXhLJe7eOtijAEy9NTvMKucuYaf7WOfBz/ZI7BhypPkr98Y/CyKZv+ULqcLfPaKi/Jf9uk
vX7mG3/1Rnwc8GSykYNmDFuTe6q0+0Fggw5eK5RLv7+R5wY5mV6oLpZRPjFIhitnpMvXczSsn34/
yJd7mY9fZfkUH17utpu0uTK5dv5LXl/298rW9pTN2B4aHpbi7tzT+eVbbrLiaxq1QU7dn4fLsOck
CMM7FILcJpuo87T8d67bhyFOrpvfqRpBJja7XPO28m/L6BLn6Zmr9uW9+TDGyVVLe5LptMZfjp3S
d/iW9b2+St3Aw+206lwSpu1VvTn3mH919BTItv5x8U4mYis1YqmSGFXd9C6Su3KnejUARgeRmhv9
qKlYSFRmqrvmfnivb5P1uZrFV3uJjx/gZI4OjbHAEsfdEwSr65W2GXr70kLlllv9urDe4UTvpsQ+
c0PPPTMn0zYgkLoguLPzImw0qPZhyp3ZJJ0b4WSOlumXZbj7WMnjVxmciI4b6vdPzJkRThFKgDSE
pEGM8aBsuFioyWB//P0IXz6SnOpwyur4ZE/rEoWB/lizEJOg1qQyeJ2Id1Rs/9kYJxOt3IHXTARj
+BgEUTrSA3eS7Pn3g3y9TC9G4aXEwln45CkrACJBjwt6lunBw6C+xrhHDo0zuLWTe6FnH4sza+by
E/+2Rn8Y8eQJC43aKM2RA50Vkr7eN06kXif9DmA39fczz9q5sU6etdFC4pVEEYBv9dBNl4UeXBXI
yiO4XYawzmzdvjyKW//8ZubJidgP4kyqyKD0oJKlx5BJKnTFFQryAofqdedqnHVoiaAKG+N/Z5H8
MPTJwcOMlDHwDW5jml2H1ROEVLJLzozx1bafM7jAPs6DItOI+ryeSLKIJNEZvedf+pthE+zJYfOQ
HDuo9d10de4sriw/7+RJ+TTeyRswR41GYi3jTXtAIOtiM2+0PXsbR3LPnS9+FZt+N9bJWgnSYkIC
xFgkkyRb9nJuubJdFDjrpVqMU4iTW+wCSeZjJCvthpMOZCYnvoLSsIo9/+rfeZo+fftllvuwWQBE
psxC4RNJSAduVKAyXr6sevi/HO2SKJflyjd30jF8+P2c8EV9grOrqhoY/oGon0a0NJkemkEdwcpu
4iu9R6VMyi4z9uuS3/77ob56pD6NdfIlCy55VhJ0zWVHdnlro9jkIAkV/Q4GavRMvA+Opd+P+cXc
/WnIk+0EwZAoUQeG9KvEUewbYZSONvZnRjn7zU72D4UKLUNtGaZf57vyqLkcWC/VHWfk3fwwXZwr
lX8x+Ri6QsWB/9HoUOWTl6WTpnQOgmFcruSNj5vLwbK36ve2ZzrNoX5c3tJoHTTn7uDycz+9OChR
QefQPNFodlDJ/fyY4lWHT71wfSBSFgY93Lx8a+ZouFCy/8PcmSzHjWTb9l/u+KHMATi6wZ1EH0EG
e4oiJzBSSaFvHf3X3wXlbcQgTWFZo1dWVl0qCwHA4Tg4Z++9nIoMzMC6ImgYw4qn4vC6lASK+Vbk
Q2ojJWeDMiU884s+LV9+EANweqL2/IV72q8fe7yDRtr3a+JKFwCvFxNtPDJk7O5MEfD5Fp8c6eSS
D+7Uwvhoe9wOIP5A1obpsNFw3XRq4L+XzwpJfmXW71HT3SFGf0U8hsUg3/x5QX96yfGQ2i7GXsfj
pcW05OMd6BrXDs2CqBlzGoEOhmSEaskxkNOF3VbHAkPYn4/3uWagGcvV1Qn982wa+CdPUJbJURsH
Mo7wTa3lMlmrY/fEWlt622JTH6Pr6kwrUf/0zJ4c8eRhYvMRoTH9OiIJzCu1qB5xs/urjp4pgvP7
esuH6LlPAIJWP69tSc9UGmSlQCE6PdHWrHN9bNJ+rXmmS/6AN1OeCX8Ub2OLb2STOMxk09I1Vp5J
rPEiUobzgipW3mtmP1y7Kc6PKWc2t+itAUlnJwgvuy1FiLJ8BgTA7tBIru0GNRx0W7ODjetE+sbE
9UEEgxPBA1D1aGPL6KKZWuA4z2GWZ7vG0ZzvjibHRwA7Ht3iOmatk6nAZMzXmm+gx8uDl+jdOvbD
/lpVUbSjI+wRLYlsB83/gMW9LU1jV6kw2itdt5ZeNVQPxDMBx/JN9y7tA1us1Niaz0g6erSM8Qih
OtRrRMTsNe5feBSrrZ/E0zAThlWwSD2kmyMtZrI8ZqU4iq9svJgycBmeE3by0Fm9F2568o+IyFRh
6OPv01FmR3krjzqW8yv42+2B/JloWBsiiF5lkRmHwU5c4zj4bv2TfBpjPTZGecCSSOAGtKZ0iYnb
4F5ImZCk58EwcHUVaEetJvw+7Et0uT2RGrh0owAvVDB5r1qjnF0R5KQ6ZiDUyNJWrf5Ghxwm6CDl
hI6dORu4D8/C4zwyhvK7zNnG5pABGyfSb8YQX3ARHRATEDAU1STQidnrGPvLjOqAAEiv0fK7Aczc
HKXvr4i7rjnT0UTwW8o3u/HInEwlVsHmoSEZNcpLQh6sIV0T6dJfjmZbvuEWbcTahkKHYqwKSFfz
8nCrAQGZs+A5GUABO9dyvV2JxufCMRrztspbhOlGM9lXIihKRSiY3n0bi1HZqz4Hp8ve2BzRHIaP
MeYPyD+jj0TYigQR+MnMwkv5Af4qRzRgrTx0f4gA9b7eTZgGsl3YO+PPcFTxtsqTqcRG7c0a3TDg
87xJZXuM6hD3fZe48OtG0Rurqh/dI0Ta8VHzG4yacwskuBtivC0rSx+ByGpxYmODSqwLVc+QQ1+a
/aWG8fEuKBxjZXa2u0mzPnqM1ZTcp7qcriJAiEekjQJhvVFk85XlVVu5RbsJvb5vsDSHYpXKSFv7
HV5WlxC8Z9vHLSy8sdj5esM0ORk0jBJRV9s5Kbt5CCwlburXsEoENWYTTHdd3SvQFj7JnStr0vGh
GrrvXOSGCzzUL5KL1K+je+lO+q5QOtVK2pNOS+BO8F6Hw9AsDasUL+FYOlvi24ud1lXZHukRhlEn
pClT57ZYE50fH7up+iWl1F4qR9XwuqDirqDG43EabSvfj9jFQcOPw1aR+baBEIaX2ul7sRjHkmK1
6+0Xg2AUBPS5dwx8E1CSEaM1R9tt7otCd95FhlQYgJwrcoYDmPJC5H9rncTmb/iEicjQMDw0rB9c
x2r2cRityUjGInG2tOLxm+x9tNfCUjjZ8/BI0EN6T4hx9tKg6rj0Rc0zVmeRtkvHKFl3cc1IF5Ta
d1AJ9iEFCXUzFCigVRike/RJWbC2SwtYbwKoPkTbvrRbHfJNNuhXsSbAM8Vx2d5yMVBuYvHyozUK
4kBfm52Gvhi4Uvcj4PUbrsuqKoFbU0c+NBkZuwvRJNFNOcQt8lI3mOGf4aOW1cG2bks+2GMAK3f+
kBML4HVMZcjs8a7GUJUACYJcIym1t0vEkhpwuyQJ62pLmEH22OUWEXo63km11KqovuwCWcYbgset
lc+es5lsgTu60qT/arl5fAdm+EcjddIvHQ8CJRNZ08XXrZX9u89LB4KDd8f8lrwT8mbIiSV3x9Dc
4pbIuPCiBgB/MPVk3NjsMMsiaB7rvntKO5NAlCwurjzdj4nVbSjxJq4Q+8UPvRAPld3hDhnKFza6
h/n6LCrDw2DeHd0OR2lYkVHZVvp8IpKXQDXr7uuh4RmvAXXl5ToMi4YEb6zHttFYizrM3sOyutVk
wYHzcFokRUA8DIQgsCA+uQEdKUIklZcLxLgzHhgTmj81pDYTU7tHqIp8ydUaBPMYpbrCaS/Srpnj
HsRDJtxwT9FabnuPbMtU5Be1RxSyPymx1SpoLxEaQizVKVYPQtZXSFC/Me+W6LQbsg479H3X3aRI
ma8sAoLKuQLVw1bdoOwetmHYTEDV+vpFxnq68brG/qmqxlshHmcG2rNjc8feE5huT0SiWRAQ2vep
6tjV+hwEkWR6ho8RemyNV9ibzIgsUryhQ91ZqyaCvy3zAS+6hmcAMu1zmuk+0erAwzqJ15zVVRK5
aIQHWGLkI4bdS4aPBmpRhuNg7mTjy0DLgf/V9arXGuMtQYWTinZtm2urNovuU8srt1C83CslCu+g
yfAQETXQsHEQOJBVTpguUk3IuxQ8+j7usu5GlHyWtqrTVyQJ/nAC10ANbTQ7HwnGMkXcsVYdPMGh
Gm6crvtelY577QYi3bFe7Nugb/WdSpH6J0JRuMayv6X2SpeiSsG95z2eGb0B6FX4gbmUteaveAVj
eB9pqXhu3tymledfEjTRMhxIihty6xOyQPPq1pSdc9B5Te6bdCh3dte+q6wlMUrAPFeutzTDpwoC
lTVHv96bMvyeWWb4arWCCE2rrTZiCMEqqHZJz1l7JlglIb2xnI7k61QY9JX+AP6FriVGQnkbxVj4
slY5lz4eLxR8tv+zjEebdlNhxHMa24CYm3zOkesUUbq3UbIydNjjnjkN6cZmA2ZAXhKF4YkS9GDW
UtAkDRZaYIer2HbInGh6f29p07RVSJ0JsPaRmS3Bn/v3zdTkS5OKcq9sMnomDaBjh5Hq3h99B3n5
bEn08ESQ9aMtVeIWO7Pq7K05BQ2xb0636wXwNK/1y41pFsWegDrs29M47qUeVhciAd8GITdb05Jh
1Ds1jxh9jv78e8biagqn6UU5TbQmHkQ/5E4I3S6y8CNrSXlpOvBJ+8GAAGmiEdUN/qrt4PqomrFZ
TC16WFfWLcGmQbhEN0eEb1v2C4Pc/GgiNHloESuUANc7TVp0osmGIHag2RH1Q2RGSbqrEF69d0PL
ufFFZ6yFYbGcPUNbeVnsrnC347sOkQkLh4RjeoHxhlxz8JbKteFG19a+z5LooPfkzS1dVTks8kIU
hJnOUautZ5er3g1ic6PpTUL1iwNh0w6udzmQAgxQKRupWYzUNh8jYikPhgMecuF3JnHZTUxZXgU4
Q1tntO/4eUQFTskg1oE+ljuNFtqjQ+n7s4XDSa4KYMCLpEP3rpOu9dZyB155FYT8cbphW5HU/RGq
vP4YqNHbk8YE5bHOevu+DjqsD05U298Efgt7KcxBWyKrGraRjMeLokjaH1HKqcK8B2ju6s2bou5a
VakLJ7kSXCbZ68fQjrOHkpASPPmOkb3UXuXfO0nRfo/MNnFWJNf1I95tS3t0JoP8rtzXKpwqAbcz
cTpx42VZOLM4p1UEaPjewn/34Ba6fhvz0o52lUzDazKZSNsj4Cq/1w19wsIw6yh3/6/XY86g0cx1
H/W3bpjvhAvNpcKBR8Bdduaz8lPXHlWhMSuzbIF4+ZOQaQgTz+SdPaz5liXGAexbd0aSNcvjT3sV
zMIMj5KUstQ41WSJpipJox4JZb3FyUwuHn7f/AGD7Qpi4lJ6r+ZtiQl6gUJ1b1ywj0/Pf/50/uIc
P/yAk3ZXifY9D4apXwsNptt9mqdn2k5f9AI+HODk0xzDmekDo+nXCirHphLGMqni1wa88qIwiacX
dnVGTfd5qEk7+PeLevJtXsY9D5jLRf2V9L6wl+w6fJinVAb0u88rJL5qu3w44EnHqajY0RuNAw4b
Yrp47byF19Bp1gi2hmX+ki/PNYfPnuLJyMKtTRUWRD+tye37QTD6ju1jA+mStjcP+erPa+SrW2jT
bkDvSuuBf//YzinTgQTnXCcom9IJIxQ2Syv1CTanNoNYvSl5HZ1ZNV8+GL8f8+QEQ8qsMSo5Jml7
zMDvwqXa4jUimAKti6LsWiaUyUt9WWy0vfkcbv98ysa5cz5pYVlFaZbufM5iK7dzh8d4NEgwfEuT
pZUtynW7YiS/bI7F5vXviUO2YgawDV+0h4Bc4n++EzF4pZvJMmOSd9rSTDqrmpKAX5M7wV/Spjpt
zg2mvmhofTjEyQV35CBMgFD9OiDlKjdvNMdfduPDmcv61XZjG650pSkYDv267L+NEEovrmWl5hO5
bNDZZwdIQ80yWLs34hmSNRFcG/PK2rL3Yy8wb8Yna88XY3hsz1zQLx5Zh68JSmjHJWX9l2/p91kG
fscsCD1HMMmp9/b7PLuP9vkVgSsrsYhW+D/PnPl8/T52pT8c8HQEjGSbTJSBA4Z7iIGHdk3TcBnf
g/LBCSM36DqX40vEz/hRcRWe+42+zjYa/bIjBIite+7FM3eCP/0cboCtcy/o1p6s78mtrMEYU/2X
TGh+32RHh59ibPJ1sCnOdUu/OhryfIvZzewBOhWxxkGt56mJ8VqtPY/Q2sWvQeTSv/d/WI/R5tzj
8sX2yPQYWwVDZLDtrLSPO1aaWklIwJe+dq7TB3MFIWRVX4j9bFzJX8Iz/qbPTw4bozBsA8E4LcvT
0bs1xdA+zNRcEwi3tOSlgj3mdOeKkS86zo7NDIHGOiYqyzmVy0aFGEl2yaB+X/rbae+8Ze/kZBp7
k6dFXxOqJRfxu3H352X7eeJpOi4ZHlQnpoMm/tTkVFkB4gufgnqWkxlLc0VFt7O29oYP5t2fj/XF
dXQR5oIaQITvWqfq+zAksbjwwQF4SXivLCCeYf9tTLMzS//zzs6IANWarbOXOtbpyicKMaz8MuKM
FElb9UPUH2nFkZp9a+dnzujzbsehPCpTFr5O9+JkPC1h61GnZnItm+xySqZH38rPqdHnEf7HBxla
kGQB4sHn2fLMj0s9HPtQ8+JGAhu7i/DSRS+ESy+l/uRPDzOKr9fvcDr+G9fQZcDDFuo4n+fuaeDx
XRqYHLR9LUFoy95bJ4W7IFFmMbr/uETlDF2H4a81j9BO/QReYqBoJMBsXaIfdoJpPdna/p8uPXrH
NqJ+hwAF/ZM1om3DoWOYIdduSYSVGSyhgaym+uXPR/liOTiCEsoguIpTOt0FtVgY0L85iqcXqwLl
2yy5//Mh5tL2ZDU4mG7xqbjzROz0cfWTTpHs5Ml15/1Ieyb1+cScxbgUtn7mSF+dDAM+x8Jk6fAe
mZ/m397kzGVUmju+XOsBGXVG8OqkBPr++Ww+7wizu5Lk//k1xTN78vy0DcQSkjusdR3QcK1eU31G
XY1/1wL/yL19jH7UhSp+Nh/t2r8s2P/n5b4u3/P7pn5/b46v5emf/GD7/v/D5/3LVfi/xoTZcf7f
/vCr1+z9P//j23v+PrXv6evv5u5ff89/u7stD2oDVgl07jaza8NkEfTvqvnP/9Ac81/ItKmesNvM
himHe/c/0AbjX/o8hRWz19DSATP8j7lb/MuW2B5mWxBbMAZv75+Yuz+uQCbp9uwdZ/WxmUsTWNrH
FRgbfp75fk1AzdD437UkIM0r7br6zKfAx0VIrc0adx3TmY/Al7p9ssF2fIS06dTIpWTmOmfUu/1z
JYd89lHV05kt4mOVOB8MHz31EeoFzgyE3cdzor/FoDBzTDJcoV4HJVy+TIBGEcuhkkQzaHMTdxrO
7LCfT9G12I8w8WOKmYu0j0ft8nKCCJhZy8gx671DtA8srdZq7sMwz97+/Ex/3KH+PkMWk+sK0Hxz
gfbxWEZFz19CQVgORqiuWwu8QjQ64Y026eOSbO3uzDv4y3PzBJw9Egc45skqMYq2bAlokUvbC2h+
0wIc4Pqiy3dJGx/Tv/752TlCoNKlpiYRYS6Ef9sVg5bulaL1TwiV6zPnmbz61fPd5I4vHxCObeic
WZ1zJft/G/7fl9Mx2Ro97LMOL6+PB8w76o/WiOUy19I3XwTAILR4XUyocs3cHhdxBGzU1I1iIUvr
zLG/urTUoURooLpAkjBXWr+dbDOpAU43CVRjThQmJF2zvwcAFxzMiZjBP1/Y+f/r43nyjuH2eTzx
0qYYODkWc0m4Jbq51Fs/Cy/oP2CeKEBiR4u+alHWkhHjY8Dt04jt7n/3xJu/j/G7WevTWSLdEfyT
JwQ9BqbGj0fWBzMoKy2HfVkaKUHNtpFFS6e29He9CZ1zFp9P5wnKZraiU4dQ1Fmn5zkRURUblHPL
qokVfvtAXzn1FF4y+Fd7K6fBKnKm+//0FNnC2dpQ2M0HP91JGYc3Yavx/ON3tMiUI6fGimJ1idTD
OHMfP19NIgxm7T/AEuqU09gJe9BIn4X9uUTFHJjEcLdBgd+gou/ZWH547rP768NR6+s8jvzuEwFs
W/KdW/GBg/YhS4EceAUw+0Y3+seI5KFz4NHTm+cJaWIsdPnqpLHgnQq9ukYHV+IA7hrnUXPTqfIb
u0F2p3xpXDhZHt/3WiIe/3zzTjfU04OebDllT1JT2xrE7VVusEnbVC0LyYbgAQHYuNHkrf98vNNL
yvEwv87hBZRk9HBOnkTL6di0O1Zo1xj9Js5bf6uIibjs3Kbf/huHYiRlIiKcS8CTvbuYKkUj18Bc
QasGxYTw15nrtjduWNSbf+dQHp80vHoRS5xcxU4O88MYyaVm4ACNHLuIDonfT+TRD0Z25nPji1tm
IYg0WSzYOXgJftxSsohcQK0QxLtEIbLIQloD6VmgIq1eSsIGoZr/+exOS6X5ntEHsSWArbmImcuO
33bqukiDKisliZRFKKubptIgsThu5Z/7KvhicTAnoWAnjYzcQ+vkMoq6GtK6yEyYwi0j8h6+7U3R
WOOrHEmH+/NJfXUs3IIuZalp8K1zclKwLzMmfzYqjTJyj2Eevmb67ALLbP1Mh+eL55qgBfyzRBWB
5iWT6MPlm4IoGRje8YhxGdcGcdlrLS6Cl7xNg5cy0xOcmG5zTu130sWaB0IkKtF3IfmF0oXt8uNh
4dj6zmB0sKCzcSIo0kSKE9kCuZ5AkueS2DbatYd63whXeVvGx4jtdJdMaVgsQfo4iz9f7y9WLT/H
mVWHPPe89T/+HGJExKTagFIjNsfrXivU3k8Yt9vGaLyhI7HPzHG+uL9soTbpTXPH2zq18/MM8g4p
xBwfNjkNI1yfTa6vIl9fjfCKz81UPh2OlxJReYSI8D6QNDU+nl6byc4gmoy2vl9kTxH01cu+Lvu/
CLWNztSk88r8rZhhg7E8i3qJppopeRpPD+UrjMMQf5Y2CZqH2G1rUKSR1iXtU6OHgX+ZpO2A07Yf
ymnYt1GKPODP9/LkZD/9gpOixupcBV2VZLzJavlsUuhBMFYFDFRVY4r1Pz0Yslw2H3ofrJ050uvD
42NF1pjKgo+aIiIMZ92Q30pntuz7H7XTju9/PpjBPz5cXt6/c+uDb9L525T2xGn+U2OghO0VqUhq
LMfoqGLCaQ7kZfpI0zzd/JbwL+PGz+3W23i5n4+7Se/D7yR/Ak9NWMdtZGvPZm0QGTcmnTCJrTPT
17pRTLZFOiA0mFQvi0OtUJDsMZ6joWpEbZnXJCFDTzOsIGz3TWhl/U072pBzBtGb2srOM0XUuCnz
aJuaSQGTRikh79s2qSzYx10+IEMNWrR4thj7FKKlZyGw4W8A10CMFn7TOkzNwzi6qbtFMDBUa9Mm
XW/Rq7KvFnoFcgHlK/y/ljw+WUoFZ1Uoxv19oSMI6RhB65siC2Sz6bUuQJpvTaMOIKcj4HuwC4K4
XRCNw2LwZWZsIy0L3YssZ1qydUd38FZJ1zF17/z4ncTNLFonWk8usEnDTHvoeI2KQ2948XTgOmg1
xOxIPiZR0PerpKlkfZw4C+/KhIzk7ZQbieoCORJCFi3XRbnGhzfnmwqHvMkQ7Ed850GhjrYuYlDi
hTU1IKRE8GRl12CH0whaALkZ72lpeBO3xuczVl9GQdW2T+zKmbevVJfw/Vy7HURbQHXNtzQXUX+X
pF0Uk7Q50qjbSLfXYSTSG+w2Nf/RW8V5kXYj4I5BI55Q0xHc5XaclK+ic+RjkeT8eW8SOqnEmm4+
ouyhciVXGZV9PkmPcJPMRpide3FHLq6jzf+5d+J2CX8Lc6gaLYtQ1SJHdpyXLJOdbME9kchMluNl
UaMMvNSiojMuzN4B2O4admCuptgphhc5jiHJdBOhica1QK3pEAlNMvg1jXq7Pci+868JqSuIgq11
oCY1aGBz5Y7SahY9WIMATEA/vKFrJRp36DK57MPafO7H1HzOvDAItGVuJeIvlUr5KH2NUFJgrf07
4Ir5vCwLFWuJyrnegYEhjdEvY4Srnabt1ah7l3lP02ghiKD/rgJSim6RqxJRpGeluJMGH2z8MR9v
Bk7SgdGtTTTqFbi02FzLWm/Rr3nR8CC8HFw2QeKOQEro+9HGbIqy3cKBaoaLIqirclnoZv8u44LL
aaYp90MoZEk/Ra6XMoNWZXAbe0Rf2bYowzI9yDGy4Za7dgamYcYE50tYnk1GwHfP6jZ2iLmSbNE6
iWg3VVYU0x07Tw7QUMS3pA+LF9+I42tEPtFGJQHMEapea5a0Ft1jDhr8XR8V2cGCCGog29Mot3Vg
ZOZlM1UoPGmjBz8Sb0rzZdg3olyMhGMf4SmTW1ylhXHTqhQaMZhzkuQJTz0WOfdqltIhmCbotkRA
3FtEBA8NqnNC6x3jMtTaitlhKchIzoVe3orBdqpNy2Pi0y6tkNmCpiviS9/Qqumt6dI03JdOTBs9
dRQXIAdCYi/GwO3DjdAHEDCp1bUjNCN/8ohvNnTEozrPzUof3FIuw7qX1XakVhF3SvkuUfsMUaFR
5TxNBEEng9y0SDMzIPFV+VhHfuato6yySZ8WVvcMWdvcjZoRH4isrq6UFmnPU2ak2kZTwfQD2Bqx
3VXBk7iQpAami2ScInuHRMzdybwmDdzosqRapo4XMKtM81kto8n03RZtVYIuSCr0EDWBYYcircef
eSJBpWZ+pPVX1PXDS5jArSP4nVxnsAEq7ldYc1qLuP4iJJfVzaf4xspiYKXcFAKA38wc48JC7wLx
YyqluKGRAgiQd8RY3bUgLuV9NRlphlYrNJ0DAmTfO9hmIyGeUYvi8hlHglwVGHu17obSGBdWIsen
xmv6dlsPI6pKtxzQAOayks5l0KnxFbJOWK9FVNLa1AcVPOR1lf0INVSzpLi6HjFDZmPcBMJQ/b6w
NFTrTmAoBnS2Jg5m3AXFpjVdLmVHOObNpLkl4GTEFN1+CLFE7ZxSpscu92iqJ7wDgN4YoYC3buMp
QHdnRo8J/1OwampbyZVIpkHuhwy8za6Nqmrnx6OOrWoi+HqVRm6Cb1o3B+cia6qQhJA44s0UyvYw
tqroFiqNITaakQHFUp9qzVhUgVmntOCcLnrSy8ozrsNedfcKtu17QQYXCdpEaN6MnV26HMDJrgaj
bB6cSk3tT8sIJrwaXmd+w38BKSXlx4BhJ/zYtw61axX6xklaL0COHdXBFYphL7rWh9AhJI0OU3po
PW/Q4BA4Wg2O3jcDdbCCNjA2JRr8YqPIU+6vsgyMyzFs5jDocuCdscwykj2XVQ8vAZW4WelXUY+9
dk5bVoW6DHg/gSPQXPcXTzzu8lUv4/o1QTV9zbeLWy2bSGfaj3YPp1CV3kWys27LElMIkd0ha8Ha
dFlLvPPIZE0vF85Q6eVFZJeOdjUZANVAQAqCmYkBb+udVDUvdWRHbEFk+8ngJtMGb8b2JAUK7ShI
vGQlvTaO92nSJ/ptLX0v2JdQdv27aCRSneCYMP8OV6vsKeaDzFmVk+ijO7KJiqu4NMVdGIFdgmEk
ID9hmJP9N/7SkK7SunXHF1nmRvcTMFUaQM5r63yXFGwZu96CcNMXigScJu4koKxcGliPwwCDVOKk
LPbeQeq3ZGvK3TXfrcTuaybsmq2IVGeDhm2ldZWPOnnhIGLgMU5tPDJkzBvxlPWmWW4G32Sz8qhi
iyfPKszpUhM+wlBQHa2vqWUzCaOGQQvDNdkIW7kg4GOk9gvT6PCFKD9zF8WgOuuqNsEXXRONhjYd
bGgfpWutG7ZBGmn5dii9oXoc2zq1IC+i1iYCzr4q2JMWozm+GzPKUxuSBClpQ3y2DG8UzpoVnbZN
F5rDohygsdlxCmgIUnOpFzyYRiQWyrIPcRo+DkQZFKaBQjYNttB2d0Fm7CUWik1kuJehBbl5JsIe
PFWT09/6NTrIdF168CcFrEBhheaGb5Sd4cIeTUH7bQZDHW27e9SmGDeJkk+ZsLNlXA43lS5LMqdJ
b1Y5lvPgnWRzknZi+g9gRe/6YuYVOt0LxI5y08VI6yNfbq0O6w4jCbiJVI/K58Ut3KshdqYF/Gbe
+yLY+ZY8ShIgrKo6DNUcAaEfxVTdEmH9bSIYH8cJcYxFfYe1odmhzr1MkvybN8xUJ3xndB4fnca/
gY9Yb1vTf6264EHRt16Zg/VkCTT3o2bv4Ze9W1Z650zRdRlkr21MZlaGJMzr5F99PjyPeVuvm7SO
F0jZDh1jE8POt/E4/UWnYitrSM+NXq+i2RaH6yhYMDnn7gzR3urV66SJN5YIGtU0itegRaxFHnbd
0im69kL12X2g8nblxMU7IoWDMSbTjL/S5w0UW7CnM8UItZem0F/R0DN9lSbvxuJnULvfnNI70nPk
jwVGuw48hfFV7w4qhWY19Rkh2tRnXfyoWEm4l7Cf9a7Y6X72irZ/1wVQlox6U+fDS8XQgp31qDnV
PobQQimBeQ5QCClQbkvFFGsPfTD2T7/MHBIDxYLmVbRKqZLBmtfV/Zho8iqIjR+p01z3wLF2SWgC
wjLMTQPyMkUaX/k850Ozk3W14XtgNQodZQm0NpxpHlMFM0bQTCXyOKY5cuzaNwJ/KUMd8oE3UpQh
y7aBgGpNsirb6DC4NmRSGwr0a2kBWpQVpYWu6mrnSu0mAVwH6SJv1qHDX+x5B/Ax2qglapA9jeKF
lhh73VeX/ozdg6jYmsGahXdVatlxTLVtWlhb6pFtqYFDjdvuobfljRllt/ALIFBIUDahuzFK+5Kc
+kNWals+PmFUGtcqh1jZzrpmFvFVlpPmZ2l/1e70AtryAvbdmxDBT1rTSxmnx6KcHpSW3/KNfu2y
B1aAr2u3WkkMFi4wcMjpP4fJvRwHojBxORFF33gTEaQxIxFQEcpoLtIi3NW8pQID2F9lPACKvezd
AtyE9oYY/GjmUYS1C515Rf4kNPDEZRP1QB4vSjrXqyRrSIhM1mJKN5OA7cVXA0B63gxNjMVCt+qt
kfnfa9HvTfjQjUESq1M8dsq/TnytX1BpwTGK86dKr+7SrkWCXmcLzRkufCL5I91Z0445uk6zKw39
mFn2vWjkVa3VF31BtZKYz2nsHdVU7bqm3tY5qQS9fmFmamfV3bQ0RHydB8bBcrSdO43bQHarwnTW
eI+vvDi9GKtyn5dQzNI22+c9WaWijFZONGIlAjONUYrxjbs3vP4ax9nG8aMLxslLYOKLoTBWRTth
sB0qoJB8eht1f58b+TfD0q+dwn8KDQ1QybgaUvmMteGCohOklPBfzcJk606XYQGOWaSXvYhWgXA3
bWPsJj+4wDvRr4wuv42DVFtUSh48vm2Ccdoyidm7bXHRzhaZuqYuoQdIiFURHIQzvqe1fWN0oN2s
CSyFPlhvVK43lKoApzMb56QeL5rMvqp1b+9aql4YZnDnwoyOmuqK3OruVoU8/gtJsv0S6HgKgZOr
pSwtW3RZehn3PZWuBI1XjC9FEhz0tO3AwGgXfRNsGrR7fAvkDKQ8L19nKrrrGrPe0Pa7hDW5DBhT
L6zedABalJtUz+eMEUMDVKP2lZPvNckOlnd40QazJslWqKPIC+zpvg6RWIrHJjPFwotatUw9TW4K
S+D3qHgTXWalXUD8yMzmqdTSLZvagU/ePFnz7cC25/XV28gaZCUP96OsHoLJgRgukvIYQ2rocmxJ
QXQ3pFO2Muy0giHeDFf1hPqq49v8IYfncGiLvHgqPQcvU2ttW2gkq1SDPA/QiGBld4fVoLKeKwhM
1jZVuuZ+DxINoq6TFTK7K2U09oeIVUyAZaCq7hvDU598PN2rh/RnGA3G8AO7nkkpFGdx/CNvtTpZ
aa1emRd9Fvneswtb6BLctDusIXL75k51QfAc6N0MLgygR26DRsFXCQFVK75LWst+jSELGDdhkenl
ZacRt3CVSfBbN/pgTDGxPy0pvX1kd/pCxjkovVzzq2db5NmxYMmWu8b0IXMAHM1rMHJcqCuPr/1s
TReQenAGmVirSPZljjWObhY+xQmdKuYPh+IdDyI0cFMUj7oOm36lV/PnjTTdalzHbTFob47bKDIJ
zdrX1sKvMf+lffRf7J3HjuNatqbfpecs0JtBT0TKS6HwGRGTjUhHt0luevNG9zn6xfpTVXfdk5EH
Gaj5BQ5ychCgRG2z1r9+M5e3jZivDVohl6dyKThscmItizIM9BJqdaXZB1JtpuyVmXlRfXGmWEMK
Z5vum2939o7XN0g0OgMZ5PPAmVs0ItssSCTDLLWauy7QQBmLRIio8NqSLezzS66gMOU3DT9avrGK
YjqaBpSyiGx5X4XoiZy9kZJwGEj9JdcH46WEbURXXvuPftvJfT8a3vsQTPj0wIjYKRmb71nXxTee
yJYHyks6gpQBHRnty9XeRq+eJ4Suu4n8zl1mF2qfqIbAsapo33tDijlSBNERO0jq14x+18qvMWGV
EZUL1X1k0ZAlkV1qyRylgkaYD09phhjea/zVkmGFIlm1QaQS8lcBBuw62RC8ZLwkhlueatLkEOEk
BBHXlruNU0c+1lT0b62tqutrkjLdL5NHqpVuEHCNCOp6BAw5ctoheSVGhfiOhnClqfGktXENO/1J
/9yHceo2dzPD6zsxex7NxRDU+6oc8iVyUdTEYZl2wb5v2uomKS3rubXrF33RCxnWbZJ/HfyhCo3a
NCLhDuaJ0jl9SmNmsWc5+LNYGw16zLnR/vnKvCDM24KIYDtT9provu6cyQaidqyMZGMXIqnJVvKT
7DzlQmJG1kpjn3NpnMexSh6EkNq98K3pp+pNUgUZuetrk828NTvHj1SeGk+d232bPZ9Sp9q1QDZN
7lUrJko3EuZwTemq/GHnxdots/FngoyKVTEA0NjJvaRtssjYKW2/JKfXOBgCI7RRfmnd4JsxOCbZ
Pu66pwqakuSU5saN2cf7xUJY3CwO+kP3m90tT4zmH7A6wMYmHdyo9a1Tm87cBfEXFFNOOLJyH3Jy
ZIdU28b6gP+fQuAPsG2nJJKDEwF07moYAxsulYqAc+9r47SQgmft3vWKZ6FcdgHhuhXiULLEsnWt
GqxXpeWRTDMSmTkbhP4iPbvRRMwZ65bGEXR5P2f6ra2CtS4Lwr67n1pr39hatXOb/Ivbe7RuWXPE
xiqSY2GEQxZMD15baWE3xT6ACuxQaTl1CDD80/DtdTIU37N4OuZZ8yUR2S1h4QQ9I9MPkZzHEZHK
m6Funl2h7WpMt9dLLkLLq58xPKX4mE7mMm8K5STHOlPflyKX1xyRi/S8buWNSEZjlhwqdnWnjXzF
sjwA1f+M425DpusGpw61MtGiY7efP2V2iQ+Ca9RvYJby7CzENSpUsqEGhWAlOy+Kc5g6lmzv3DkJ
fUb4R/YDojZT8dl9gvsc/cxXx9l2Mr0HY/w2AZxnQ35Akwy8asE3J7Zx1epjQAwSPo2uJ5vII995
lcjqDFuW6Z3TEHQVU8J2iYu+sb6vY/uIxeu5yuTJK+awBaTV+/lpzqe7Qa8eqlQ9MTDeeXr1/QoJ
tURIRosYNmYmCWciilrqJG259oGEvWeSBh99A19adstZr/xL6bXYcKWnVNEO540AaHfVqsbJIVp6
HLkMSsbBDQQEW5uvLwmUo6VgoU2WgBqS7zKfXD9h9MT0evcmmwZV57vMiRSvyPua7LNqspNFxrnh
ZDdpSxvuq+YMhe3qyhGYQND2vIoHRbRU1m+EO98lU14Ta2xvjXGaV1Rb1bWiPI56+RbXrNJYM+6J
mf1RiYrgN/O20YtH7rUvDZ1EddWiOsJ8LjxibgPrIbfw3/db5zy41U3vGo9dMnwTvv9FjA4sKAIo
69Y9NKUiZ8vPjnXV7HPUy9InmA1d7zMQA7F16aCtyW/qSCzLnrC+++I3hQh1tKT7JvDSFYc7OiCA
qG1J12VFTeLQpVZejEIH+jLHbcDmJqqRELfsqWzVdmiNXa1Xx0ZMd6LiK3Yz1CiRExQ2SJrkmjYn
Q/69aqEWnbtWe9IcBklg2trKwMugsumJiQSTRDLJpH415zElj6u4tyVXdLpoT4RLnXuZItoQ1OQg
B9GIZGd6a+uFJsALU6bwZNGsPHt8lNJ/0RZmKrq7W1CI6gSKLrRg2IecbeYPS/sNSBfLoHeT5kjY
hDmTFMVBdzcF6TEeEu5oqC1T8DQRKj40PiGLeP0QtwXoHGYOADvFajxCoHDBS708apvqVGbpps6L
c9GKAa8G65Ra6Q5bEDLd1Ma3nq7JYk5w5ZDXkV/VTxMuPmvWPIEKCJFWATYRUT46F9BLdRO43o/O
p1EL7HTnjNU6d+0trME7Mt/WIuiPVNPPM7Vzqd5LUtqhwdGk5CCE2sZV32rQbVwN73RN37g1UJbO
QZ5LFSaSnMVpgFrysIzjRRZ3hmuG/eSteieNrntMzePOc6afMn+I03mji4uVuedgEiFGkc9CJ49B
zidzrM+c4w7aa33OaOOynaafp/JWAcDasRulyWNpXj0SppVZZ6emjLda2d2O7Ys33vrjlxo9vRWQ
T5ffNQXOmqO/SUR39EoQqSRnxqjsR40IYye95zhlNs7VbSUHUuCPuS4O8dAT6yl2Na2X4VVkdFGs
IaomNm/a6BPe1IO/Dcocy44ceAnHjxy1s5bz0xn1vukfZGZv6NFXbapzLelRCdxketl9QkIK+N7B
nKpIN6uLU8kbWZUHTddelIvLftsB82yDetxaaqs59X6U8a5wuoulf0NDbPYEHk9bGUynIAUHJ4wr
WJyoch/ylhJMS56TnCQLkuayoNy7/rxeJrj+GTRYd1sImypt3g0G4EjS3/dNfZkYtAHU3DCV3VA5
HmMRn2upDo2od2lOMHIebxNKxSwuiXahSdacm8wxOBIdkkeTsO6dtSILcDB87vXxAClgm7WU2zXL
JRkrEmhr7eSOOExUqcMpUB4W81TMzaP01txGLB5DWzYkbF5sx2bWmt/1rbYdixqDDlOhbuoJ7p5B
te6GJncOmCkc9CV4cYaSZEEgNVH0hMJqcaCDlucW0K3J3K73UnwNSOAOa7fOI69W5r6Qxm0u7Bcr
pXin+bZMaHlcsDU/d7s4mwR87bVw/OLQ5+aTLud+Q2dRHOSQxxEOTcWmygqE5tk4N+5qgRK3xYxk
QuMIo/RA6F+zcKOr8dbTJz0Os6kK2qOOtv+IUKF2o2ZKszdjMXU7YtRTE5ecGBhtzZ2lDqk+D3cu
i2kjVQn+Tko8uCXuK2JP/T6TzW345Qy0WQl/jbTb70PLZUjiNxHKzmPl9NnXwdGqB/KV9Z2vjdZ1
gJKgVhvVsqcCsKI8b7T9lXW2tUuKXknoI8BofVlk+xR0wr90fZXcdY2v7aZmKu7jpefo5IegWEjT
+ewEGbGRnRWsmUs159ijp4czBF6K5HKVuXFFrHm+o4wxrBtFUKM4dIFnahfTSHXgnxm89FlfyO58
VsylpoilyKhuV5NbOj9wCE+o20cx2pGjF8WNt5CkbTHEng12wGTQ9NwH1jWRJsF45pAC8jPKF1Ju
BlqKVZJ48GfwbtIv+dViikEC//Oan2dvUyL2bpdAdduxEd190lVWH7oALQyf6eO/s/uNc9VYhK9M
i/W6OK0guXwO5mPjzOSVYyXzyjOKV0KZl7PjzrTlbUXf6lLBYG+aUhIOXb3svGwqh5UnYm0/gDys
lS6wBHIx6ThZdSIvCyvgkdGojEytWo6O0rrvba7qb5hxYHgvSt96yLxry5sYXf/QwHXcgfBytIg+
Jv+2jz0qSObBt/nksKVUNqVvchQsT12VO80zHRfLpLz8Hvc+sPriEUuSZTbedSOom8us5IpM1cWB
qYja6nVX7EaGoJeiNpfHOonzjauVV/rj8DN14tduMm79jtvedGlxNRwHIrIDR6aLIl5PaFY2sDSS
A/ihf/LHIQemIkQVelW9dk0NR7fO+GbFIzOuvHJobqavAtsxUgBxfsj83Fy7vc4BVmZs2Akf96bt
v8GVanY9lVQ4xPV0UIK4k7RLtG2ik4zoJN5etoPHOeu8kLxWhr4/xlQ2sApE67Tsea1iQ8bm2iyS
CheqmuQIF2cp2ad3uAaM/c532zw9xxmd4soU/hR6lrxYk/EaJPNDAv86bGjeWDr6sQyKJcRcDYwz
7a71Kvvei38aRY7z/JBtu6I5qMHu8Q5rb8oueMSDQoZqoh5KDeI0DZ12HRuPZMCoflzY5w1N7AJ6
6tHqOCYh4Lq0aJEKOkrmkxmNSe2Ryzq9ulKQtqgXNTKdXgsLlJFrUcbnrGUM53bG94buPYLXnIf+
SHBksjAoEYCMq8KC3sKj55VnmqGeD/TJqp12k+W92rqYz27c7VXRPpFKYKxlnfVfqBsbJliM4Cm3
TopmeYXEh7GnoK1yg+ltsrRX6J7WesmCH3asnWROy+IvpM86gw5LI+Bur2FyrNIieC8zJY4Bub9r
mk3taJsioT0kjjOB2lAl6bkfRE2vsFCcOMzwsk79DFLEdh6lsTNkDj5o5tdpSMAPvf5V+BVzJI50
GoTx0VKJv9JzPHWsutqDglhEU2jpRm/MTecB7sd1fNY64+A6w5sOC2slh+wbxYynR9Smk7/1fUkN
hE+OcmO6ick+zibuJ1kL98AuHkCVzsaAtwiGNDTO6bRdhvzSGw0GvPo1rHUBhMmuudIdiIPVjF8z
VT9IZcVQvGsxEz3Sw2DCfKI0Mep0yULN8bhDxBCLLwYskue0ZjxRzhU9qV2/YdKTXMo2D17kNA7b
xdJVmM29h4tyIXHMYT6/TmrXCwnsTiny/GoCjG6CFwh97jZI4yXSmVIzX9Um8Cm9LsWeYVy+MYda
WzvpnLVhPw/dgzUIfQ2boD/E6eiH7dg5O7g8XOSD6T8w1muefbtw70zilMhm5RBkehjgQTUbWyiW
Yl4Vrp099eY48TB0GNMKwEtg55MSTB/a7kDbVpgGKfKZF3AcV3rQPyk79w9+IMcvqa05c0g94OIv
4uLvYsPs45ZDgkkeaRVTDNS1o456ahWnDHz+DbNG197IBFeiVawsAMlAwampAHgn7Elmv/RwgSo6
RapvXB6ls9Rg+Rl+Wz7+zO9WoBmkk5NGDLyVE+o+lJSxXKK0jj6UXVtg98joZsERTDo7zZy83ZLb
xXfgt2DnlraMw0UKcdMA50e9F3NjqMFLN43DoJFkanC7MkjTZC/JSlyVleNFk92VN5zcy22+dDCF
YjUZHO1NoW96VCaHttCbE2OxfKsYxYB8l+LGTAuPlFuz084iSOSPTHniWFSjYBxRJCedmfpFIxr4
PfVGAL3C3s4UJlsF2wBmSMAqzljB1/UorS0yhDpEyayxZSp/k1t2ehrJJo8yXQynoh6Ds2IJv8/L
6L2UzkJHJka+vS5b65KVTv295XihWnX176QYkxXemo1Yp2ZFg+UPfRrCKCOAB4Qg6v3YYHw+tocq
N4ufvrKs75NRiuNEb8qFQbFJs7nQIjtmmBa4QgRqNu7b3DR3xcQErWIsei4YB71eL6c8VIbPcN7Q
Mk9hZuMWDTCq3R/F4E97z5oQKD2YbuZPxiazrtZiIODjqaZQdQlTdtW+8HtcoOIpxi17VkIgoPG0
ee8XvurCpE2ah9pqAEtn0pqBMuDb3ZitxfJzFiwFu3SQJzPP/MsEn/wtECUwUDcF2n3N1O2tLQed
0RnuQI+zpdrvsc8SAXfty3/qdIIfRdcA8+YtW3Cj2Hw0mUPWP+i21b6KksBwtKNZch6w5NRWqgwA
THKlyHDvrAxOXi2dS0eBS7Zg0XZZmPhjwZmuavsrToHtbTMYY4sxGjP5dao3qmfTQArfYETVgv/i
z+hcb0LmDeg4mKKWC6nb5Fz4TDHtQWYuwLIDeJiXqTi67sifWt00y6+WljXFfa2rwPnhTHYbvGZQ
PJ6sqs2LtXSsSm00acbN/eInVvcjmB1rPOi4BxUbHUvR+phJNmrIcyp6xapNkwuuQ3P7U+kD42pf
ZSmdEcGx0y7xpkqEKphdLCsnCKzHzrZg/WD6pWrqSL/gBNjoPWStXadJ3z3ZOVNsctDTCc/GXG+a
NaVhA7nJRMP/vco6rgumlSo5FG6KVGaPkW0+RTnY67dZq3DfqjAvwsCwXoZkZyrd2A9jkrIzOcbS
F0iwrR8SgOgx8/Z0Gd9bE2P4Q5PE1rKb26GRGwijWn+Ar2frUdJKWe/Q+9d5OPUzeMhSN5SKQxuM
8sask8RquTngQexAxKxuZ1JoUJWlhN1j2VfE19jtINbWGKAWvVq3KWQJmjrAouZGuBjYbSEO2jKs
RtP9kccTXlyZTwG1dZpKY8GALD5I3U71s0wFKKbl5vUC2UKHzMjUrQyhgvMR8tI19LdByUIdCr0N
3AsfLDE+0UT8KlGAtGsjJOa1XGWjgL9IQ38hCauuGOvRNEG3TOLGb7xRUH7VeDbmnzzoV/L19UEE
AgfIPGhEg99jWzXy6p2kE9Q5yfgEwvqSxPZb65V0XxAfQxuHbAItvE+yE36VEPz/p14NqbFwQcxy
JWT/RYEROwXmgVITQPK0ZRtcZgN8bGYvJndsdqe7ClVBGqW+5lSf0PavL+6/yeb/erLlBiTVmdCh
rY+ipBagIJZWAq1zKvRza5rt3orddKuNcRm1RktxKTX3YrtFgJuaU31C/v67L+6ia0XFTRgg9OIP
X3yUlS0XqYV6N1da5Mgqf3Ua16ITA8RqQ07PCjt5zC0e/kwE//3BCFlNxBqoBALCVj8sKNTo6TiP
HiU9VvqMQojNtdYVB2b2NE3z6K49v9Xw1q+6wH3886N/VUpcX/n10S7vGtkwhqPXj/aXH3teZOX7
aRBjtS2nOwcnwmZT6fA7Vimg703cWPonWonfd4+JQtFHLELcNYz3D0/MBwtiV4AdITl+C0D0bLg5
ONQI7ew//WpIdiw0RFiZIwJxPgjq5mlUFcRuGfn2oNzVqDSc9JSyMMVcWpV/0XJRL594XPz+SzqW
5aK8tIla5hT9IPTxRWHnU4NzOcwy675P2me27gxNPBtBj2qusNT9zFfj91PCseyrmg/pyfU0+iDR
8G3R6nlpyQjWsAdzx8IRUC3pxpExnqE2zrmkTSbHAMLs8smG/ftHozPiIESP7X6QSwjOSa83eLSB
afMdKjwQL0gXEaGTeC8GYll1LdQSMhGc3Z9/3Osh9OtRgfoFxoTlMET3kMP8um6XppntxLdlpFO+
bHBLDdaUahVwX2t9ciz83aN8jkPfRVx/1br++ij6IZPNkRSRwVAYDkAxV49AXm0YG1q7+fPX+mhi
w35EQshPaYJa4Pryz6SCX/ZjWqSpTItIzyb31Li1cYRHo6LC7fSDk0z6g5+hWesXM113rXK/TTCa
126dfZqV9vs+RRR+tSTiRESL7nw4lFTRB1a6ZEUU1HVu7bmimmQ7Y+2oQro9q4QcUg6vep2R6oe5
twuAV6ogCXYJRdO06pRRjBcYsEWOD2bjVxu4bsmwL2hp3sxBLsv3ZQQCgLGcmeOqF2MiTmbvYkId
wywvI6vqLcYtZVE1EciO9cnB9ze/KsYjvg5kz/H3m84wGzCFbmxVRFOAOW3kG700aLwL/w3/5//Q
sez6e+JMgd2JwcEQWB+3qMGIhoiDgXc5lTlGmlN+Cvq83Arg9Kc/r6DffjYe5buwdAk2IMje+nDq
oauvgzwzigjyATnvbpG863WTfrJOf3t7PCXgvLkK7DjprA9XpX5lFdZLwxeqvBGdiyeNrapAOHH/
FfL1z1/ptzuK802nHmATci1jgvbrBizIWEIQN6vINNO528UYihdrxxlz72gmTWvs9bYo5N2fH2pe
v8JfTxg8LgMUOTjQXA900Oxfn9pBXbCqhkEU88AtuoMLGrmrhgJPBqcoOWjt5KHJqQIlxFJg9e0U
N3vwlYc2w+wq7sFq9BnJhFdWx2HSzZVtVM8YR70gZDliNNus4thCAK3qzxwJP/44iD+Bm/GswHvA
s9yrq8lf7/SScx6qs6yjILWGCnjHg5gJ27SyNwuU588Sw357HOOsq6cTtQvmKqDbvz4udeFO60vT
R5MoNNgBZu2/Yvcu223WqFn7ZOV9XN80TCbCYPt6Fl9X3senmV7agpj1kZ8b/m7M4/E9aUT8yfXy
ccnxFH726zbidqHQ//CUhPigIuuQK2CIkUVz4/THAgJarDtiP3nVZ4LO34796/NI+6Up5j+204fn
QUyDjAlkTwUoJ/jJQ1vczqY1vySjVRxrQmR+6nXq/GxHMd+aJY7ymBDnqFdKrTV+/Hnl/+2HQX/t
u2h5rcC3P1RoCdU2dpIzFvqV60U+IQurck63CdhIp0yU+mXGmDq9hSN9Sir3sR3aOfrzZ/ibNcV7
t4hddDmguX1+XVOe4xgJYowxKhPDXHvWmJFgX9VhVXb9/s+P+psFdTXORbh/FbjSePz6KMzxFfKP
jm/rMsMnwmt+q1FQfPvzUz7mKGMhAQPUQ7R13ZrY/X24Tp3YbodEkkvg2Yw+E3VNZ1KO3sLlMLnZ
i6CO3LytXoBQAAQ0t4nyJB0+ea0fdNpsUQNDPjqsa8mPsPfjl9WgFnpNVo+RQurKPDAhV6MMBpjQ
usSD3jOAt9xEfLWctDrxwg6Vp76C4QB9liRT/PmdfCiWryUrd69pGv71fHeNa3X5l1pn8bocIo09
RTKwm1Pez9lRTR3lRSpKBpc+EBrrff3nh/4zd+Yv5/r/eypNps5FyWb7cDpWlQuxw3Ku2s1ik+jD
prbHm7LK7l07f8/q+dlb8p9dgAW85vNjOYw37TYkneSgJzPWHyL4Xo5EO1jZKXWyW6uIv/pULysU
aBdPZ8phTuW7Nk4HvTM/uZOua+TjR7dwlnF03puvf7x17UVzF+wsiHLXmJrYgfDWZWKlh9h7ckG8
SV2AvFnMULPzttT+syMREw26Q3wgyHf3WcMfnSDiQJV9bWJBbiad8VotU8zYQizJIQCbjHxhx59Y
Gfz2bXHQofqk4qa9wYDrw47xmYqWSupehIeHgf13YTAGUM46qOZ0nQXpW+lYW90KXk2n/2y3XtuH
X9709dnW9RA0WCh8il+XZk+iratgPsOfQ/uDXrZmdqtBJUHpoYF7Db4dZV7vwTpoxbcJJeZjs2jg
lLm+XP68YD9cRfRVVFn0BejSKcjxvvn1o+gibzJYoQvpO7n53gC9b6HTpJFi8LQp7QDp5Z8f+OHs
tW2dahTZveuyzPCr+HAXaZ7dwl6O/YjVRkCAIrxuhH1wn5nL9Ml3+3D2/vaoD3tRN8rS00lmigJm
JWeB1jEKbC/9F6D1P655/+tqZfdvg6jfTPPC5P/8V91fTaR+lB1wzf77//7nX/zLMs/w/4FDJXgB
WKbtc8eysP7lmGeY/wCC44rirUOxYOn92zDPMf4BdoPFJYcBxwD1178d82z/H/TiAeTnK7gDodD7
Txzzrm3mL3sQr07ETnwInHtwFrn62/+68BfaCd/OYMnWyVAx1h0ZDJXlcWynJuyUvx9b5F8uKUaR
Bp+1ar8ULQN08IBlrSwmNjC021WMxDBkd+3jwjag0Ilnk0H2vuuCtUqKh04jrWlJ0iCau/sMIhYU
zfIlv3eC8ZvTV7BzJ+2OPzjqRbb3uhhZdj2TiOGbx7gr6x0RAOFQ+Q7KpmtCjW4+AkxEhgELNcXM
rM8S5nb6ew/SHeLIp6XSXaeJjubZyKn9a7igjU2WTm+llwFO4H2pG/j3M1BJNCQ7GvTkcJ7KDVzT
0FdquHhLNRInlh5KiskVMqz7pUfNmXvFEUol3QaT163bwpjyRBcAeoFPq46gtfRY2Oaycvru2FsS
U1wJ3xZPARExIctWdO7o8oJcW3WThULBRwTgHVzf+WnWS3/olfwijOq7GyADWdrkZ9sWLxSD5nac
GYKYGZV4GUSxWVw8ph+r2gngt+EmD3F7LbrGjEoTxpxXMVlBFVyjHgnmMdjWxvI1k9oXlDkLUHa7
MbLp0OrzOjDLFLn3+AItcSfglZU/kmy0t5lButDMODRpyeQm42KMfIiQA1rGtDL2YswOaYAHYVH2
aFfjXX31IXD2c+C+s9TAw5J8MzeNPKIQQ2eGTCuY0fh3yMX6uIQrLPxX8EKcjvLc3XWxdSdG/Cea
4i23SEer7mRuPKRpTqpGbk6RkOXXntw5wn2M+2xkCmVW2B5WjLCagIShEqLRJhBY7YNBrN0cJq9d
Z0NYVu2lyDSmbwNYj5fypafgzoFztBqIo4kWK9uJ4CbN5qemNXdaiRVAYORMQqrs0BlQJ3nDwxHW
QzgUbhzh3Btsx1pALajhp6WxWjNfXLm29qPiel6Zh6Ybv8RUhYgQM5OknDc3XQ56O7ehCIaz6uKv
ZZmcUGCXSBbmPSKIGXJnDftzil+V7N0ws0m0NhVvOx+mGzut9049nWOTNKUYyZvnEIyiiBBB30H0
RvtzseIbBJc7aIi5Hos94r0S9dQON4V4xd59Ucy5w0xOggyfkuQ3zMh0IsrRP0LdxP2KhBk/1DUZ
Hyo3XlONvuHeB8+AlI7QIlJpRTYfrO90B90D4VDc72HbB6ceo4C6l+jDdW07zQYz4cx8jmdB5pRz
6gFBi8n3NnLO1r0d6Otq5mTIF3falIOjM1WuoVDl3hfienEb6dzLopojRNtzjeAjrlu0DjluEoxg
tNCUfho6KQdAUaOJsBxY5KbhybWTaPCGrrQypLdrLT1qMd4Qy3fpJM3egqGvCAdZNTlZk3HWrStY
JcxY3I1KF+Ms7O5uFp21Sg5D4xmbZEpUuCgsK8qhXKeI4kPohVOhYYuBnFsZ5yzrD63Zt7tWwiYn
ag8Xg4LglQrRXGs9UEpZuzR97Djz1rrFzLg28tdxEWs77hkMT04Xzr3/MARBv9U9FKdjD61bsyBM
jWapDiiSDynS952DqcZqWPBRMZm1xiI7GgQQhovXsOIdedDnkfiYRuJV4c2XolhS7AmgO1Fr47gC
Mxnym2mOO0GKs2db72Wqi22P1Uc2LRd28RJ5wkcTeEWSNZgVLSUaYUjUO2kBCStJoYeLtn9eArzr
pPNYeg1RboX/bdDViAa7e4AOlK6DYUfhAiuGH8XzIQ8DFX+DOvI0ifHeAELA2b0yTqYmELH33XRA
PIhwWdjGrXIwfbGmb1aatZjQjNjgG4hVdcB0NTw2s9dejCEebqXqNnrn5EeExzdT0lRb2+q/F0Xh
rCHn5cd5lmRJTaULgQTtYtPCsQomzqlhGJ+AmiMME9XayxttXVt+gW5Vg7HqMdryHqtWtOx3XQs5
dSLN9/oLNkw3YnFPQ2/0uyYZ7oC+kEMTLWE29inPen/tOcjDZ+2lWyT5DyMn71C6yyow5fd+HJb9
AtM6jo1hE6C4LjykTG5rcut1pELZqtvXVQBRXdoGnhjeDFFl9DboldAGYtewCxb/R9Zj7oGKiowJ
lLPh8sq6KFclgpHLYCa7OLH8ndaqSzOJJirQJviDgYeMZ60z1x7CLKc/8S6TQ+aggOh/JdE+pZyJ
PRak22zM6n3HiTb1xmHSHLlOUrHzxvGNaNCNo8E6H1ssCxKmGSsSNyBvZ0XoTf0YdRWcYCiJ7OOG
uXOWErrhiWnrBctPyBLvGrr40PSMtVHE9ziDXDS/sDegjXvRIVRWtfdeBDBxUBlt7Vmqo2H1p7wi
+7APjley0VYbmPc7N8QpZVAre4Kukn1hD2+Z9nMKrFtpt9dYrLFct5Xx4LrdvpRBD7vKOfSIKFex
7T9XWoUPqDRWA6qCneEm9xhLlZu+YK1rxq5MTCeyK1MC2NlQOfMsP6XLvHPNeHzwlPNYNYkLt6Kp
0HYLe9dMnOPt4oU5xOIdpnXIioxls/iDRQpphybErLZGOXaRX7fFEWLOeBEOWwHV0JWI6ECsQUab
9d777Gpb38i2siv7dwg5B7kgrjZz/zGb22ltq6yOcDIHIFAlsQRWPW/8wamieCn1q54zKsju2o0W
n2EaiawT/MvY4G1C5hn2MKC4/lpUItlIeKGe7quxbE89ekoDJkMIayuDJ4h2tqzEjdC5fQadZGN4
R23dYg40jcYedvd74RgVNjEOUGpFam7aEumt+nJjpdPOW8bhNBtXqCqDcq1GwpoRzp37KRMbJZwr
xc5/V1Yqd0beNRzwbo9BsoUjbC9wSfHr48IW0BHS7FN7PiyBPu9bs13PKY+rHcIrK7cP9RKemkqa
lCqu6sOU6wF6Cyiv1nbDxr5SUmCLOJsp0e8D2f20p1jeqMB6I+542g40ipupKSB+TbG+M7Ft02J7
w8DAJK8xbzcNpK+zip0tQzTkKgOc2yufc41LGAkci0MKAPXhAM/oUpb6VjhweGPv/1J2HjmSY2m2
3spDzdmgFkBXDShMulYW4RPCwz2cmrwUl7zkjnodvbH+LLMGlQW8h9dATjIiXJnTrjj/Od8J7jnh
J9VW1UeQUGXsIyGGeu4d0NDUTkweqx14DdzxdvDnlyADE3sdSIhCucvBRut+gmCZbIQBD8gjyUp6
j0OHx1TJbmYkhdeyiDHm6ydK8IbQnJf6yR6agigYxrpyhWykfHs8BEQzjIqqPySlJUybJdhxh3x2
1xR7SI9RWmi8W7UmPZMmJBNBm9ip6r/crg+izRXZyWnXm84hKN+WAGOMbT7plj+eKru7s+UCb2pq
b0fcwQ9QQCKvld7NZm07vWf/L1OgVZOkp2mpenUwBCm/miAAt4vtNqAOrMeGTwy1PXQDFwjmCQlq
7FGfxRN3bP/sa8Oxdt3y3DD4j0lJ9fLsFAQG2W8zbP9jf09s97Yg2r7rqALGTIRHe9gQh6Sthp1u
9w2xGNPZVXPGazIk6yyCOB3qD75RgDQD/LVmJAqgm79ro/SToCVeZgsi4CUT0hAttE3Q5bQ9YanP
EfNtnFJGTdrHP4AP0sDb9OggC1rZJPQT1jQCRGBWkqHX7sthKu+osAZv5sRy8U5V1f3Wt73amssS
ENCnXvCmGWkaVsYgQx0WpVo5Z3Wl9iZG0voj6Miowig6572PQ6+UGGtI6rnrUZnpoXUpZAX38Q7Z
zQzL2Zl31gqHAENb7IKgSiYSGvYQkGCHj0YgjNMSoZ9MFDdG3TGrnAkB14DRMIWuO2M9oPsMu5RJ
iTea7I4Ox4fB3RWb7yQEo6/m4u5E1+G2s8ADrDjjzBEVEmDUfblxj8HpWIUsDL8lcinNsLAu+npX
8/PlM37Rxa5OvVtXzCRAAGgTR4OiGKIypXJuSrkj1G8MXsbQDtpfBa6LuB8klyRzg/qhyTQqQfxE
lcTuZA86VaxTuX7U9yX24h5bMVem1oglq1OoiTgzKOfzhQ5/AkpZWLaAJdpl5Hia+r9qeyDz4KyP
qfCAgSgZSW15S+GdkYFYXwMyOUnarIgtqpliFEuI2JV7pCT8IQCxV2kWkLsoA2EaAtuJ5wHgRCmG
Z699WLmXWVrgkuuRZSIWfY6KbbtfHb/fKzdgnV6qG8hFICTy+fmK87L6wIvzwS1jd1KfXt/mx4lS
rHWA2SflYfZ946yv6UtTLtn1EnmWKa1VwWpRWfhN2/ahczglDwazK0drI+pJoAJSlmmQpsYf370L
00u4tIsQ/X7aVWl6XhvreWK4cafVcGfM8tt+xUCzwDvr7HBZNGefC3enW9ktbdgwEfQxMfbMf4EN
EKQjQ4LpKAfy3A+cPUdqAa/fgdooce7bDjCPvuWRtQZ7WK54NvkFJF5fk6YDt1Qp90NjBctmmDqe
a0q+nv07/VnOb4sCyT0u/AyE8xvc3FdSqKRTOl37o73p+6z3fgazFlkGltJ2Sd+EXv2qHc5N2/Xq
n/9GFrQx013pcPPjNrGze9kgzsRT7zO7C46eGkEvfKyWQ4YgKyywhc3j6rIUF4I3Vpfuhqn/cDT7
fagreDTEKlWXWBOtlqYhrySQNVrn9XNcrW8NsoPI+bhVzew0uguMYMSWir0RAglvoaZyCflrfFO/
kFnqaJx6P8ql+ebjFoUfxxEs2x7nsqKSN1vu5660jgQQeF6gIyY1/azC6zWm3wEg4UAcfeXtLbd7
IJCThhYURVy/1qcwRLknfhAtLlGg0qsw8EnTDmufCHvFYSqqHEi9dbe3iNgklNLeK93eV0Ud1VoP
MiFHkNCLBsqCuBeUqNu45oNe+8mQFfjBWn3NjgYJqS9uMYFyizBhqVTiBVLVAXvG3TiJ+SDp8Qjn
ZUoMbdgbhdwTWv7w7J7KTLv6obaAVi5b/ezTjJucP5+1TXyMgraj2TS41JtaeR7Y93Dfvk658ZUF
HOetjBLeIifTl2mCH8/pXnJRpcQVkGd6DXWkIKdrmNw461WQVhTzFKtBYu+EPHLVfBPbbDMMN2go
RecGoRxG3ImteVGDfe+UVF76vXhYvZkLxfDR5gTy/KYjEQs2JyT7wQm2DGfD/6jc2jz4lky4Bu51
R5KoXOUfreaQcYDXeNMDXZ2SY2uWsgpTylmWSc61mj5cepyKxWPpbd46qAL72Skh3nr9N6yeAbYZ
B8VS3w3iuW1NizcmgdRlYqkzPFqZOFnvPYQmMmV4zJ0ZR7PAt82ZlX6A/L2qMkrLzfaYjr53cDF1
U+Jnp3QlaqkFFaXlFLAJLUz769G+aH+aRs3AfAQDl9mJhm4XaTN/jUG6sVpqZYrFgEbgWqdO59yX
ps55mudjy1D2uOqzGbsZAHvPJFCQ200TseDWSSdPvvYoCkEExFyfh3GOabYtc76ZrVbPqnJ/Dbqk
J6zsNlZNfHz1+DPbMhzA9Xlusy+rmOyrb/8Ggtc7Zj72E+ObSiRrlzGJIxAOniQY2SyFT5/z2L05
uKwj5a1npKSnxUe8aUsSJg6/MHskPtkEnuCBNeY91UJUv9D/8se/MEdGxIRzQzMjmUpWlny8G0lH
FHDQ0iRfBjJvRtozK+INJFL31ZcoLDN7PqftUZw49N/2W0ec3h6ftnGTr7XU0l2F9TnBQEv9nDe9
WEaymVecwNgvp7mT5yIY2H91bptSB0u6mv49w/khGuzsHUDCbimHN6+qPqvNvBtJNov5A54DTLCa
QGdtiZky7TtOFKwgQFaTFg1task9rk7FXcWGSQhRbmnLO3Aazc5JBVH8DpiMZv6CwugDO1zikT+J
auPn2L9XRFXmrKzjYVQxs/Y0dlig45bEAnbg7CGVq3fnqGbfGvneg5LJaQMGS41G5PbZw2SXGoeC
suGnnElZLbu5Hkb2+FYlwpzAnIYTHMW3bIFeuM7FU2cgxvjgmG5ymzzKYOceTdM0pW9zsV/9jl8l
8b2ZP08EE+upytKDa9yNPvuYX+pQr0xBL65dXlho46p0stvN0B7AeufnRY7+jqAbg9BNfatCO69a
thybCmfFQprZnFnbQPSFGuJN2G8LL02NGYLn4kGtHjG3DoSWIlxYleIZnG8K5EbLj5w7kFP0z6rH
vmwadr4jtokQYZmcanxIHqTFQpuT1orBOzRH5k5b7+5JqzanUTv6hafBzgtyMq6o1wPr/K6GLKlh
c4wA7sXWOuI8xEe+N4hNTiaIMkg4F2nkB3awQ6nbnKzUxSJtBJpxIeiJ64ohDGX2VX3Ie051sK2N
Xe24E3QCLlZz+dCVioWVT8xXZoMYpnrnIXfZclpvZse/2JsH/qpYtn1FYDGUdA+H7KNunpfxoHdL
5Nrjhfbd5rY1OyT3Uuy9ob0JlFudue0+CltT5MKpI+3X/MbQs7dlnn6TzJ6Mjl2mzm9Tj8CJFqS3
CwZ/p65u0OABb5DfCNntP7ol02NDchArm50gLkvia7zIav4ebYXAPlV3JarPbgqGd6ebQFmNHHEb
4SWVwtjnIiVH5kDQVqwVockliOFKdGEPf0pLRRvVmKtYYTwjciEdDBO/rXJV31QmqAez0o+sW0Tk
pjuzxeWewofrA2iSuUaR1mIgb8H+OekEvKOtLJlBOwNzRsXmvIkH9O1nQyq2MdFO7KiaGXmBIuin
K5Szujt5azO/chvBB+VTTGxiy4bX+z3x7BPVeZLjwrFWL795RERkjsMWGekCvha9JufCwggEbrJ+
bUe1dEitlQvtcakP/goDIEciiwW5Qu6YfRdLlVMwEBgPbQpr5o//U7n9rmvdTe6Lx0rSGesXBPXG
SvuCivTQeGyWmYHy4W8zmmkD5U/c+jM3Fa9zDk7bvqjaHCIb9ESyOueuH9O72mHy0NV13D5rrURg
Bwd13RytuXijqZuKPUqxm0nbNdUKLtfLpr2fmnGWL8XBhkGAO7CwQ524nD6s9W02f3i9T7lsoXa5
WZ55913Lsi0tGkooec0j1EmqdXv1YUqObUGf7b1U6iQFIcuSyA2VArZQ8L5sMrc+VSWSOQ0cB3c0
+Oo8HtxYGnE/BZRfTgCRdBgB4KJWI6Q7fdhn6OYp7Irdij7YDXQ8GeVE0sOEqJTJinx7V0cEb4yd
QbpSWNYMXNW8L4z0xWGNwtDDo2tnn1Zeoo/oBJzmLjX3nla/tJJ7jGFyZNBV+TSlUNnTBTsmXJAe
uIYWHDR3mMOG3om4n+xTDkYrkWPGWx9BaWpx4vY5jeRa7n6hlMPIcmjGdbcjTNwNrWqjoZGLvWus
72Kcl50JcQqW2oLYvtxwHpCRYaDBym7N4tJIn3iFh12D9S0iunTLDkC3o9E9EY6or7ew98ws2p1f
YlwnmjKlmnHynDfuFqSq3Xs2PM6Ig3vOMhB8PjV9e1ZuwN5+fWn9LDExPiWTWXzW9mKHBrbCSN+s
+3SechJYE0/ojKhOZPGuDoMULQYKNKHFqTmjS1CvXlddNJFqeQRZ8wyF9tB0O2+SSzj3ojlWwfIO
qfoSiF4l+XAxAqrMGYm5LLF8tCke18y9FBKJrRbGFMP6uRsLzqGufo2GAaqcx6sFkOmhXgPZENP4
XI+wFzq6MZJ+smDM5bJIILk8OaZ3qGvGJobGB28YQHMieJyUeQ9UitsKnFMjKv3S22WENHkCyNQb
U/+U/9JtUsWkpGHT2tkYChkMoU6cUGfHxRlcLi3MOrhS4dL32LKaIOzLXByYXu66rX2117lCPpt3
wqwvRjH35+NcE96uKnamRraxuw3ezr8xBBDtCXVpGxlSupKHS8PMAHA+cUkvxtviyt0ss0Tyu2eb
K/ZFy8hDmdZbA6TBYfSZijAr18vc1SnaGiSA2vSelgk2EcsBDuCNFawpg4cJNR8aSzAxwtKXWp6N
zG52ab9atDW37zoEE3wN06kwGD11o88XF9hMLX149dX0YqwmkKweHH0uSEroqbaiS5l7FpJQGxbr
bptRBbmJ5ypZJXQE5Jm4zRg4kT/6QKdqQ2O4CKqF8HEffY5oJ8EJHWhfqPvzult4Fhe3+SgL+xOI
Qovsztst9yCICQP0sTb64cSSOfc8KgNdZNHktjRXYvzijlR18awFEhAM8JF0Fc8eDIREZcsD+vwN
5ONbw+As6ZSElkCFH7vcyfdDkCWtKN5zTdxW3a9N7qt+bnfN4F3yZrrTNznsTbt633Lrm5/ciHpl
Pmctd7/Ump9WhpqAN4PveoBMliJZtd4Pi/kldXOPtZI3uPYXQEzLU7uWN5qxstPKyKnlcK5cXFYp
2fLWWbgIB0Il2WhddJL3tjOALb9uV1fdtu1wr7Ze74VAddbI7fWFaLZ5lxvg+AtJ0jO/Fj0bo+6F
xqaiQtuAlcDsBccOrW0BuO0GOxC65tkdjGgVBhxKCQnHhzIsLdjMrqZubVAgoRjhHy56ehltyQ1K
ty5F5rANQ5sB6HFfWyn3rTXP7vgEoVBiOjecRybIqd1KLMoyGZoxKLyseg/BSFp9BHwPP52oP6dt
PIGOT+NRye960mDELhxKAq961b3ePLbpc1sAgKuc340TQGA0i8s1WD4fKqMbo8UAUrgy11rY+Dim
ARONtR6SywTlhLqvOmkKvL2dbYCmHNFuWTTm4Gual+OCu4ybo/M5THSgAKj4IfIK/1ALWIpct8fF
oCSTYumPmU63BekSL6xSoArl0E7h5vYfZZciHtQv1w0OUZwsb+GC92FRiPtQetNPmNxB4kkkzyvh
rcmXZ2so1n2VE8z3vBskORwOAqeYX3+S6NwZ+RDs8Zih/zf+fnQz1ryWuLZmc0A3ljfyX4CDG/de
5O2jLeXFdjl6C7Nf9nZHnwm53FOdpZyEbO2WGMxxWHg3TiWQtS4/uoXHOTxFoEtRv8CWPSuFIz0b
2njoKg5NRrEczbF5a8Elok2bF+zK31ppncUm34qm+7HIvAGWzw1q7NfbkUNWV/XJkGMtMK+MZ9Wu
PpLBl95WOgr+kej4Z+uhffdfzsKRh9gWtNnBvDP65lxqojsUW/MpvIluGtjOhNn03UoGjd5wblGk
EZliUbqZyEm/9mzI46yl963vv+XX+a7UfgxpsEEmM6nLG6fPlgyl5WTBvoIZkNrdQW9tRNWj20Nx
1RvZxD7X6mhSIra84p4yFy9EUj0NoMo7H1q8qDSwNyulE41MArID4cIFgjBlrMhpxmkHqLE5Sr2Z
QzZ3hJq4zzWDT7gMAOAB5RXHbNrAatqmmeBG//Ya9nJrM/gVNvWDULQ/NqR/gxoMXs0YgylzBv4l
bkqTd6DNYVbR76Fy/9OT7kk5TOeWwM+Tipt+YuFBhLsh+7OxAN/mDhV2jc/QzdHPgD6Oa0adBHCB
GiXGIxvM6WI0q/PkciVwQVNes8xfi6eRzN3cnAHw9EPx7OyIvoHTCxqBF0aAKNa3j0roEyi3tmaE
zHXPdTUvduuRcSLxWKn8frfhUG39K/nqinqrGZNXXNxFYG8H0/kUeFwjVtYqaVCkEhef7V6T1WW0
9DSqirxNVCEeyMiw77D4JCZ36Z1NG1IIwCQu6lQcOfeQcK+Xva/ZfGfCgDw7cIStfw10T4Vw6dAz
mQajHsM/9xzxZsINjBYY/zYr0zUbvcWVWz23Cq5Gs3QLE6mJbb1Vy97005/mrvbEZZ2QgYIraVfx
6hvrZEI/tZ6o5tBRO1qAAnpWx9l1ec7YwJMOC7Ao/eeqb+1Y4SdgSMiZzO9LGIjwC4Kc3LQnI9Jf
yTACa+3ycYjcKg/i9gr6LjfMLYYHB+H6bemrYYSdMfm4neDoBBlKue2lzy4jS9F5bYwceGm0FilI
oTAMT1AQRizIOceddvr2RH8PvQCkFQQOJMXtQHh65H1UZjc6XeWg7uHIoFk2RgsEeXNPrmbcQRN9
K4aFSECTAtObP/nN7u1Ag4E/XF83+H2z/EhrlIk5kYEWz5Vth74HB3cs33vDAK0+m5FGfwkwZ1WH
K9tls5w6JmgTVp8kkPYPRjtPeAbaXS+N5wV4XY+GtwZfhnn0bt1cO+qrpT3ziz5UmnhrqUnaZi8x
5biTJrdJs2fs3oP+DLF/NYlXXnKHR8/2eR15MjgcDctOKfiKFgN3k8krVZkQJ2zoLMTqr7Ht6gEn
6q0mSs6fncfj537pI4PNLmh/MxZMb3voxu31OiV77ij2a0+OFrICDifehNzTk2UpEO/gRMUmjqnQ
wGqLSAyZOTW+NNZG7BjtpdvqpLWZMGwK107jM491uATn2xdG/NhpGgxy8Dq47es3ZT8xQrcApGX9
btSM28off/eswvE2eVw5C0hMmdQewSV9l5u7ryvPP7XptKMu74WblDM6CH+4A9xSRBPjGg0wp6cj
bZqLZ70sFsqjmzMWM4ErNA263/hhzIObOH4WubPdnIVeh6pxy109e2UMri1fr6RELs94bjIYbIYZ
25RjRLaDpAoYjmGWtTLLg5wU5gH4VzCjcs88DhKX2AEHwIQ9Be+VkX2Vlgffn40qAPKKlSdzv7aK
KNeVAA9d+VSK2j06nXi1svQTo4g6zyBcksCyPzXLfsYueAIwwPRza5/q2fGOtOlx+MnzKeKhYzlh
jXHMN8cuwEuIMkeON8doY7JmG1bzXAXqCz1VAy1r3dYO7UXspF9rZ2sJ1MYep84sEaTUqczoItIy
+UtpqOJIzbfD9RfE4pcjh4713pfKDF2rrvdmhymM6CiHJxYhcN1+ovtTd9A6DqVifqJth3nDhpDd
G2Xctc0An80NTkqWZ3NDxcf8yPEJqyHjrf14tWXoEBobRCyscry/u3pzQiMbj0BC4DAs24u1Lfts
WI4F7x7eyW4Vr6TiWAmRFA17+lp+OiPujTVPKRowUm8veapCj+OF6Dln3K1q06PMR/NuTUAs9Emx
RNXi0atY8xe2W0M3ODKW67qnAILT0zy9BkuuONFUS+hXo8KdCYeloVkEkn0e1rxPhsFkKCnGJ4pi
9TAHdImpR5oQ6r0jWloG5KO4x2t+rgWztMDkSzVLBsGeS1jquQz2b+t+/qFMxiUtbrAQE4cBxpsS
nLmv/HBoWBVFxZiwDT4dGyNh1W73AIVtLuzLBMSggT/f/dRnDCD6Nu4tEG47kU2RDgQ1mjhwINoG
cdPbVxYbLwjAmSrmZu3WIBnQsqJ6p0f0LuQHATWQ6mRuJoQGgIXhnJo8ltcAJCqjS9hrCsmhwznS
pNZ2lzc4mKjSuK3K7dUbumNfurw64/M8l3clJwFXLcUNLpQYlpR7LDKOL2S7Z0aU+RfGnEvjmXdL
MQD1TmlI0M36lhd/iBodyyRg6D2sJnaZADoMCwbcRJdQPTc33o8nVVyMvEERaFEDPJz96Tzv/I7E
YucAOhG2dy7m4ZWWyT4c8kPlIcY1qjvk7Fc7tebUVaQ+TE7m/jzZReKBnwjzPvhVrwvcUlTC3jRB
w4tXZ847lvi0iMyt+5Fb17Fk5hy7nit/i2CM/buL6kVdVnwAR6Y4rsF8ilpr+3FagR9aL2IFzZn/
wACBdwCd1VA43Zyp32vNCMIVau5SgE/ywMSsqBFYykoteOqZVeZXP4PkuaM0azxmZPxt8gPIq6sH
bkuDiCNb0JhpkWAfpO3ApBDHUbdUXT8I3YVAiScGPwsHBwWfhYouEBCC+7SnIN2nc3Y2ucOefKN/
mY0+31tyxF2Vewk0F7wmEpzP1MS4dDlhwf8JKwtNaGOqW2U4ghkCX3fK6dRr0kchy3Y9rfVcI8Hz
5m36263cJ64MnOnHEeQ0BeKt8wTLmXrqwOKQl7Zt2LTHaekem+AVIY9x/qozgGH70FLHvEcp5DCn
SFHh2Ps9mPnnsOCcxRYRugsKczVJGSkLYX0sv0CoBgw6GA/hdwgX/hi9c5GMhsz31Vi4MtgXW6++
61pBUrWbSJOSymp6LBI667ITftjnzdK4hPNqOwNWZmXjdc5WhCiYyn4HPyuHvXVIDXRt1cR2vvhh
0DXUebclOSxXY4Q5uHu3sHjcanOnL3RErK7D/HvZTmKCDWUU2D6GjeQ7aDfapdqjWQXzjb7WiWKT
0vUpsTy5PXH43Z4C2qXzAbgVM5MS+9sqgbbxO8nRPbJ0kTvTWW4BL6QRNSh8AtAt3Am44aLWkv0Y
uV5KOR8LX/wCrMS7BCvfsgT4zCaTzl6FnXvAMwmKjeZXSVOwBhWt+BHI8cYzhH/lGl5AErnh2NQ/
DXc4M2N8q+E0se6vv7zZO08diPptugXK92bhil2V2rMdHtOUAgcl32tiJkmaehIRNKBxSnE3Kdzg
dSqzx7kFzUVlH87y2v2SHPkj08qZY/vv/TLjPGwEIz0EzAXHuiACBtFWh1CvPVXFlYE+gZzxdjby
QurLCnUIkmUzLbcslYoL1BELN35sZjQsqCPdEKgsQVk0SalxGyxKB4Fg635pThOtI4bm3vZfPCd7
2sBNx6kagphd/ofSvPym1eDzmcN0BLh93YiuI48By63zNS3amqQCbGNeLfo+18xL0PNjaSkeWErd
WD/GB1Oa7t7K14X4HLfmGtpbKcdPGKG3Ln4jTHkYDyrTO5nFKHcjXY8hqJgD9wIi5QaSeFbfLjWA
NGDUdjKANoj6JbtoxNetktHNkts/1cibVoNoGWauGwNAUadp675poEkP4OgYfgsNKhyzzoioX30u
ifMm8ypjYPssK67cIxudeMc/mj1D454oKb6RGc1KQ2Uk4AzEkLYIWtrClYTaHimV261de7+BObQo
gwCWxXilLCuw5e6QX6bFPrFm3EtCYSHDr982qKa0UHQmzPYpNedjRnQ6yl0byyy3HOR7VCt7PAVH
SgK2c4ZtN7ZmzF3qIch5GqsWxW4NyADo3sJawnsKCDhtfeDiga65WHTbdH7M+koQN2joPyCeul89
pmrglWYB09lt8AyM9pWCn8K1TjGGSeQMRi11xhAeWkBQqfxSA027ktj5if4YptZY8WDBRdRfVAfQ
2c8NnU/wNKunlQA9HVUTL02W7wgkoEHNp8KRmLlw6xNU9ZmOXrXUZFU0E+j20zQOR7BUzBssk+hC
SqtdqjU9zW35O+pJ3AzaTdYFJzpYe3qVKAPrCAQwg82OzgyolVKCfL5V4/SRFcUT7TT6scEVvV1n
J10+qIjVGvBLzokVvRotY62OnM2eRdcQRB+e4cLsr1opXTdXAzQT+rXirpopumdNlxuL8gitiuLO
1VLwj0H+SYUso699bbkNPapWUk/2b3NLgY/7OSJj/QEjH5Fo5ipF3Yijwf2leRVruTmad6Zyd5TY
BCd8ZDe9zQS6A4nWbN7TKKu9MoM5BBX95k3lRk9P9U0VC/KdwSoVXC0+pvnSb1t2pMJpgPGlvaUG
zocUOikdLrV+SgumLjWb0trzK2FaPVyBOznXBeZqunnfGBzCaw4WCOSSE4aOkmIbR5V6PU9pjxdx
PmHay5LNospHCA/1vDJvqwBBrtjeTKsJvQbpwscuaLgSDJSNMW31bjzCqCCB7R+czlijOASeOC0t
j3mFSV6k6sDYcQ6lP9d77swJJukvqPvGXmNgmG0cwvPiFcdky5uWUnhavEIdCykXpa3fszKecs/Z
z6aZhaJBUeZ5+dYzFga/t55K3Cjcjr/yha3HarHIkLXj8t+Jz1HT2dIsyKVb6t7kG5xGzUexXtkZ
UlnIeNOu/jVjxvRJlnayvjRqWMF9J6AJHHre2n03KUZ0br/3Zu3nVHJWltsxgB0XjleZhKzSYTTb
jSo7UJJpqfLEzY0404rxZlJaYpp4kPQ2V1AF9y5d9AxYCgCEHNOzyfmxQOBLtuBbdeDLTTyu+oCX
o8obYAzuzZS/ySY/9ey7mfKbWGrbL9drn3M3/xJXeb2RNWp7ZMxpCs9rfCPfgUra7QIneBe0w/3J
xvlfxfBeuob//vP6MZ+dWAeOTtM//vMv/3dbfA5Ibd/Tv/+rv3zQ+I8//jr73V1jb3/5n+SPsNuj
/D2sT79HWf/5Bf75L/9///KfkbmXVfz++98+O9lO18+WFV37r2k6k9zo/z1/F/73f1EP8/mX/N31
I/7M37n/weGSOLgLSUN3rzHlP9N3JjE6GJDBNZ+sGxBuyMW1GFvzv/+N9J1DCJREKAMKXfd8PtnY
yetf2cF/2CCVSG7qJnwEqBX/m/TdX6O3V4qQR06cDCy0DRfOzjW3+S/JbN0uVd03EGTT2kaIzL27
anSSZahfUqs7ER94Bh05RKNyjv/yAj38mbD9P62kNoKirPHvf7P4Cf4lePvPr+xCa7tGEnXo13/9
ykWXdUsJJAfLlb1E9la9cMJ4cfJxb2zfAr9u3Uw3GK1iaBZv6cK4Yl4/pL3dK/I1IQvjiUcO6xat
ZYG1PEAOuD+PD77Mbv3xDrfawe6XYyb3mcUNBDYc5lG/fVBN+/P//YMAdvn3F5Gorm2SMDfgT/Gr
dv4dLLBmqaunrK2bHWCLNspdC34/ku52KefB2Nky+DW3ox2NROaSstmOo9tq+7GzfmZq+rWYfoiv
mJTa1plR5DGcPFhp9QPXF8x/T33PEyduTDgGn5dkWKAVt9qWMgQR/iG/WspF6n1kaQ5KvzHwOtfn
wnJ/Z4HFH+CKD+VSxc4QUF7XV8XOV7UVqinAEK8v73OA8JeXietnH0vrAN8dmBlqjXmjefNr2n5b
P5z2kcKFTzZlvHNDEE7S0QkADowXSTFE04SNligXp1I8aVrwveoNLR+5hql0eehc7czVpXyjd6e6
t0t5L8dfatLNiLKoKSrgDSJkk4myvGfqQSlTH7o7SwTfBYVcfb1lZI8gS1Z9cAnm4WfPBOWk+cXD
8mRbTdSMTRunWMxxa/anUZc04M71rUfzwGTnDTubfob+goegMRy6yhasvaicxD8QElgJmGRQOUsR
EOjvnt9fWQVAjJflzlLtyfKyOuyZYw5gBpnrt8Wulpz77creyw1ISJ2Sj9GwuvBiHJ1KjrHbFzfM
4cnQFJ28Q6zmulSk696m3TdyKInMBHhOSEprUpkSNXVLiadtO1jFFcICODG6PX6sksmAIJLLdGOF
Nd9vL6L45fSkGQIrew76lNkRMQICT+ZDlS+RPtKgdT2TDJQ7hdyQIc7kd+Zg4UHQL0uB06UL3CAe
XP25kBM9nsPs09uQ0Jmys8hw3OB+TaPNH67tcMHZGuhS9GccoKUSWiSRVG2GHdc2Vi9ZA1j6Nmy1
zujLSEfDokkRlalVWBsbv3oM6u6mzrJfVeX/XDPtnaRtpM+2wK43ehGg9INwvsXS+bGjsbfOrnHs
hu7RHkZq2rBNKHnADWGRzbrKh+3GNzDVD1LROu/k4EGs/G4kQdBYxdGhwUmikl6F8me2fANVkFrM
wVu/+ylLPIUWvupIzd59nXa4Rl0jHNWRE5mwGHAHXAfxBKN0KYnZ1lB4vQRTCDExjVEbjSbjkN9n
vXu7NgGv2kp8bTJIHG8g8dN1o1GL6VnRFsZuYHI6Wet8yFJ9N7VqflCU1zdliF3p5A/yZ+WXDGdG
JoFrmV8KAyMG5uSP/6HuTHZjV7Is+yv1A0ywb6bed3JJrl4TQs297BsjaUYav74Wb2ahkJMCalJA
TR4QL17E05U7acf22Xttr3fdtSuN1VhVFxcozFoH5nsydJsUNgvI+P7oNpRuLwFCbJn2dnSa98Yi
WxX4CP5YwLfUJXDEl+lyUfR+6oJ1Ba46e0O876PE0+76Z7RgoF0R+3VCS1HFrk4P5kg4SFxQvZh9
JnJJnFCkTk2cKaiK/DxksQUAehptwTH63VPjCzwIjaC6K6JZBcgQ5K6QsIlBotdYvD08HcgO+EIt
h1Y41iPBuVH+Bf7CvLIA7DO24KWBin7um+AqHXI24Oaf0io+BXX8F5gRCoFr/SL5leuqFBEpXk8h
xHSsPzHYOIlT7iZ/IOjpqUWr8HYzZgNcbPVilmfoo9QVGl27icoK312cPSWkBw1AhCtuLe1aGOND
jAssMDVdAhUznNJbp+63fDPm5Z4Wbi2MYCa2x2MbZs/j0j3vtw7TQzxs+qbFghd+F6jvK5+A8tuS
65t+mag/WyNIePwG0m3VMGHSlfd90n47TvxBBsB5NBMWuokX95vJj/FFnQBQvjlDjakshz6RGo9e
pr6NcEaJ98OvNOexzsnMuXzAVYAh1TAG6oBJTuAbe+kMvydRXN8btX9H5y+rBXidpos3r3q3A5dL
QZQuIlOzc5boeduOfCpYSTFopxajafE+UmB77tDu58B6LDT6OjmhVdKFFtUfR00dzaASHETuWbwQ
saEcuVmNVvRaOSGfrW6+WLdxcrSdwIKDRsi/5yLpDqMzEf8hCi01XuFLS7vAml1dufFTyugs61WW
NYaGHNXQmoS1Q0fFUis0+UdqOUJv2AlzutVtsIFrxdqT7lFsd/pQNvGB9cBH54ebvm2MS0erfRyz
3xbdaqT5M8jF3x7UvdAVxVoEXoI4ZU6geU801bGc4w+UdefgydbDqR7SD84AXITG3zGDNc5bAwj+
/FSrOT5WbePQpIqz2zfQbHsbI39P+mjiOQznuDkJtIsdY11O/PgjsoIPaZI8CNMA+2/lHuXQYRcp
fEGezE/wKhTriL6fqlGfTdVMR5iYjzaljHtQ+RcdE6Uw8dStwvGEUdJIAzZmMsddIbK3yUyXNwFG
z3aMd7hYiCTTCE8X480cp5EHqmJTCIUvNZxvOttWeZOcO5aFHFvKCJ85KonmuDAK8FwXuEx71B2r
ykMgA6wfKiDnUT0GrAdcY0W52EPOJ+iKEMZjPxCsli42mL5pNmWh052FURfZB7mr6vXJZXG1kj1f
oSZAiHOaB2/CQ5NZFkk9X+BqEPEtDIzvIY2yja+nEMkpeO+n4ImlfrqpqhpeWk1O/ZV5jT9Lqzce
zcpEZmHPjGW0466yqUJ1jcckIbQ6PTYDUbSial5SfzHl6R/0n/lIMROPkW9epVAaEXppUBuLcI9B
QWbeu1UEX1Z+aZQ53Imk/0xM66GbeK8UQXqdSeCyXZiXugn7J8na4sTvfD0KIsy9I6GXV7hpKDW3
Y8fYpa5V7hzWpEZMExr6Bue/wR59HDks4Fl3ePgwbfd5OtypZA81QerxKkLZPdHv+BJTE7Wq2CwB
SizEYYyjCcQibra6DKjbaJlxU32XO8AS2ZqsnD4AS5Y82070ZHRoOWPavrLDpaURDcJMh9dAht56
jr1v0Cpno+3pePPuKxWsKcv9sYIp3ia2po41tVhSAxJ2ivrTm3CdyCyqSHkhLkYUKW6WbBy1b2t/
7NttV2SowcZXKOkYK2gnW83EJVEmehcNP8f0w1cVcoY3blv6lrhvZ9flh2EDvk9JkU6e+QoR/V5G
01s3hBo0QyAeusxhlJnDkNaEiMw3Os5uxI7UaRDhASckSjPnmOk8ZWTkzzThqr1O+xf2+xPMhP6A
cS/blzotDuYSHCdgNrW0hMEO2uxz9viE8HmztLiscLCREBkL/6kTS4kZmqRnjLt26rwnWHqYLEjU
3vEmecrDhBcyfR8b2Y5HbzAoyR7kW1+actfNA+cCEn/q2u1BtlOO7tgkGw0K6WxHvw1wlE0QIXvj
AUe98qmXNxeeb8dPs+o36cwGkLzmgVwy4lO4i4j+rwGhobORjNg4g/1rZ2P1ouO/vfL7Pc04OOul
LA9MqMqYkzstPHmap55cBSsct8MBTKXwcRzwaz0z8VrPHNdHW2V81bxJX+YSmwrQ+2fpOsZb4IMg
QRp8d90q3HR51O+0T007vzIiJQWug4BZL81jrlLe2kC8odujwj5hlK9pVH/UuN4woL4NaQ6gYh6c
LXSiI43t35Gc9UrH4if38uhQO3O3Tehp+XCq9g+etuGhLCJxNgr/jqrkR867+V0sGt+Mu8trlz6Z
iPxgiOa69gf7Su3QtJ8mtzxbkea5othwWzQ9uuSE+yQlqiatkLmvIapuii9zdDQ3PBkeywau4uSM
T9YU3LU2G9TE63B9y5CsRIK53miorbMifoH4ijiagnGf16s5wx2ax759IK/1NMue2hs5nnLL/mxC
m2iihGVgJsGKlLvAvR+5B2HQqzqVY7R16d0xZpwiRKJ+9EgotM0TiWspfHdc3k6tGCTzfH5fNemZ
S15pJHfVkL9TNuKdMVwfbKdnTDVNNiEGQ92/v/ga+/jo1Q5lBcRDRtN/UIXZ7IeCdhmBL67XzZ0/
fbhDr7dBork1Z4eIfoYSd8kKZGxIoiIruITMe6Wtd5OLA6k8pKZ5Np67Vtg75NxdERGgM2pWvzJn
E9y7JNUsnza2ZEI05d/DYoNjLucsGE3GJLISxqpoOnH1zPgFmod/A2f5AuDg1CjjZ5pSrBforjXl
1OPs/xD9Y/VlEIAwFepvCYeGt3yX8FZU91mlf42IkEknIma6OYtO2MWjE1W87w79FjtW1cSYxu5t
arP7iisAAp1LFANigvTItUM7XfHwUO9AeXY+8hFKGW2pJdu3IhZcHHGSjTboljh6wI9It1kmOeft
9uzKwlmjSpv73pw/ZJz+bTRTcjNmf7jHsSEFDISFsY+2xLQuGBrgqASRwPo7emtRldW6nAQZQbe9
5jh8QAhRqkisgI2CMctzEQZqb5g25TeSRz8JagIuSXsustp4N6cUUdBQ1k45Tncc0hRVnWzxMesy
ur6X+iKiH8M5ByG0becO16utOqxekoE6Vu1VWi2Rv6/Q5yOVkAMZkMCTQtfGEczNBNwLo5RmAR8n
zdVT6q2PnAebZxLgbgq6ka3PWDHZs9fEw00gjcsFiYrw2RFkvoLk20rObri4x6hXVW70Zunsh2gk
5UwWHFEdvMp8gCNCLx79NsrQ5pFjkEeYWM4cDw8G0vMhrKozd2J2RUXCZE6bMzXmq2qw/K1Qx5LW
8o2ulb+XMFVjO9vV5UA4KXi3ZcrEp54dtw/uGfEy0ptnqQ1y2wRGorJEZNDOgx/WX9Rt0ZrkCbkG
WWU/Feo4slLnfg38iE4pz5uvg5m+ewPt6L1tXSIBDxsr1h718+KK4Nehu2XlYG/beIJayc7yNFsG
k360+Ujecqk4VOa1UD7FHZlZ7ppMO4Rjo2fLKxIS4m20tgZsLTXb+qGJ2j3nD5GzCsRQmZPdqZkY
sqw9sp+VHxUUTQ4iFdZPFkeWL1JarcYnlY5bV3Jmp11waikhuWuWHB5rF8eRKeQKbBCj9Y7+jSIi
Zq5ZoXAPIBjY7kJ0aCEm740yfq+D2ribWdMSj86ubT7gcUmD6GBZ/WkODP8cZ5uBF+khb8o/ScoN
z2VhY3UC97XgqgrZMyNtDbNnaCmkChglGaC7QzjU3Arre4L1HA9EIxkdwLXFyOT2k7DsEN97/teL
jWdrouHq3zMH5wntuunVJQPQm/4zcwSkXKP2JER+7UQHAokyHnMusEdZptxIuCovaUnNBtVcOI1S
7Flmwg54YsV6U61FHqnxzsI3dmJs3Vvu+IpIPY2OlZMz+pfyuclU8gxEcs8/04lRPoSd4bGxwUol
q75dzbiAz//+oYY7/ao3ZL6OnSVwq9rq2tf9XpHmvjbwL/A49ptEVXIHtIAqvDB6KJKq38Q5La9A
FZ6DLorOktpXs695tCrK02Ga7N2ke5XZVD38519i93Vom3RNqMu0DfIyDp3gdPad63EM72ebrkp6
VxQ2KWvfRKZaZY6bHmMS7WPhPkPDS7gj0/GFveKWZwEhFwFwOw2nZ7ywyEl6a3tWsBVRdsf44mxD
A4aow8PvUa3Kxrbv7mktuGgM6HM0cfFeDEq9/eGPw52X4p6N6JDZzLRcWUVGOIx5pzkjiJBoaj0u
ycFGmGV3nRdyDZ7BpBAPQ+f/bWT64k39uOt8mW3QehkHnQeJM5DVknnr63PeSrJdgfuLM8sjJLk3
HQrITDS9ZmEEmQTeaS/ThzqZiw0JRT6IZZL4whpCppgnHDTgwdM4WXRfcrcchLnVPRcyNly7xHLN
Xdi32TbJ+A1VuGksw3IwF4404fhtgAcaihY6YVmh/rEtjc/ZEvRSTQChqqDNYVSBwbYAWIFL0N7z
zEMkSWTRZX2qSq6vbtvVRPj1R4s4v04rNlGBnfKD62/+G1I3Y18SNk+39rKMNBoekayS34ZmTJD1
SJiC0tkMqMxUsx0PRCHXY4/Z2LdjHEFURm4x/pd6+kLn58FjNmk74GSR3d08JX5cy1s0VXebTbV/
7LT4oQN139mtOtPlcygNAmV+M4ptJjDqxfXB6bi5BRQnnukcogHJQZnw7N+lzJR/7TXwSS5VNR4T
nAssz2cuX2geD/B9Tgic5i4Gs8vLOVmcVGLEC322pqHZZChJtulvJ/Z2SGZi3RFK2uUZ2oNjmV+d
/Ncw6/Pyj28wBlC5TKyypQecrpX3lBfOBD5c/l0ye0hnGhXzkiDLqL29nQesj4eV71XOazhFf8NI
feMGMvyPnJazNQLy5zjhOBix5K5TvSyh0XMqshVYa/E5Lr/kDioUAATck62Sjw0C3DA07qmtBnzH
eRjeFdZwaCcBZaVFkawDJ6MFUmE2pLqMtfdSZV+DEsT6CfMzwoBcbD2ffb1j5g1fLvs8km5pYqvm
EhPcz1woaG9ySCzk694V4hLiEKCGzjhNzYtO0+oUzPyi0eE3Ipw2CZ3JfJLGLaTGhfVisPankMVk
PmDSU8N+mF15SR21pUPQZEgUx5y2tjUpmkvGioRWdZx0Wb+lRbxquPtNveh2fjbuq+kCBAFBBvZ4
lmSPWMVvKsDEwL0TIivJdxIZwzR9jyNEJT/Xd6rpuTsCCzo4rnUwR/cTb+eqTKnv4hp3c2tgMwy2
pGAdpWjnzhBW+Hnb3pq5lCTPOAozo/0mo+WuQdvdkxZNSP8l5DFnm1rxOd0vH+Tsk/csMFUV6QtZ
PaJ3RXAVZU+Ru7fLK+8CwnmLv3Of22m9GAPfWpBXxHQYKR0wCGV5cXZZ1lCyi9K7Lrvibiy67RgH
4bFpsveytIKjPxk82E610X169iXYE4uXTi7ug6F8Elnvnvq5eHT9sHxsqulq4DZmX/pjCXnN8/qh
H4oTdJttn0a7LKkYYV15iIv5rl34O039aw+e3ofULWBSw7Vv+uD+jAAcBzhIhk2bC1RKimZueIPY
GDN7JGiohASdmBiDQbfEXdvvEdzKLovlj7QqzOU2bwFygRGXH050PPOprx7GmYx84OC5KIxRLHod
HQF8t5oceYhSz0V2TXBBYWpGUAvohUiGBjnJwI3fZefG8kjg8GAM4bV2nJ9sCLGWxiP+YF7Wnee3
h5ZENpkSZu7G9zG3VtAKq9CnV9BmGDSDHF84SR2/xqEZ4RR04gqkSEfgK5Zq5bp3vuAK2IUoA2U2
FKALU/YNhIRa1cwHsDDuJWIQzMuMirWljqmpvrMxo8LRDd+iBlNoPNJfhcdfr0FJ4C2qvb1o2Zxb
BR9PZH57EkrO6GNvvVYiPBSzWV/oMHSRGeWtcyjyjTiZOvfNzLjImg4mhLx2/3Y+WK6syPZ89xGb
Eo6GMGfzpNzwSAzpjZqmZuVZOdEL/He9QE0PXEJvYaKfgkBvZSx43fXZTc99tmbBx6uxmp2tSZ4j
QA6oF2wOrCHME4FSd1XSv9Vee2KI5OMjxMnuliiFOJASgMs4JqxYPH/hKVg0hOEVbTt5r9vu2rbU
5Sbu/OHTFuf00WvXsceh5ntL+1N7tDFHzkkFms1Tb5jZX2XaEiEqvT1ezvueq1k9DG+6YJGoZ2wb
7cy2JpmekZAAMQS47X2xtmMXo6dL5KHEMB+l9pPvNS+F9LC1O79havUbrdNxX3jmw79u1GZBhDrm
qzVXGqf4vI08RQaAL7XXtzu44LiNSeogcBqnxOg+LUxwq0yXZOgre8vEw4zpKrmDo2Tdhetkx81p
xEWcpVsNrGmuhve5tTQRFvMYzx5uotr8iDOnvUj+BsbKTai5c7ewHLGGDg/NBJ4DKEQBSiP/7gb8
fFbgRBsaXnyNhcQL9AkEwBEfN/WnQU9yR6Fv+hk2x0YYn9o3KdrEPZnFW22Svhhkej/mzOVtEfh7
LxjxPozqPOE4GVxHoockkvEifTEKK6VklLLh7G/XWtG9W7sHh8i3W03J1SgU65bGRqct3IMVmM9F
zluRfHxXGdGKs5AcQTjdJwN7EYx63TnUROqhgLBeHrnFZeh2+KLIiI09+hDPLeutYDVbZAhEaJ80
/UtLcmY5XkrE2C1o+Fc1zVfczuAgi+TdEG10H9STyzVn6SDI8zt8e+UWyZrJh4ivn06A2tpb3tnz
OgsagrnpLVPM+rYJUDmfn206iVZZgUOLYe87hvBnoIvwQzQvZPl9HOl4xTlP/4Lye9AxV7hkCacN
3OzHhAtIGvvDvojCLbNIth+LhbMr5sdWOxSnc92YGoh3cwebs28uw4gcPLJ/W3llC221KjegV0Ga
YBjbumFlnTTTRY4pc5USaNp0nfNtC/EyUivGIJRJUGATX6iKlrmqpZ8Fd4rO4Ve2zkNqwPVZwjJj
PiECJ1Sv91LZJF5BTQzZ2Uz6g9mUmMKTBAeSuLQViSlMoNNqpN5z1uG+A9NjDYO3Mcky4i8KDnFW
PiFoFcG89cxyUxV45Rp6MeGS5OcAk6/Vk9P0A6xzY/0SFTVkzNiZFm7TysxDULpFyoBNuaO+scrD
RBvKR/rvepL1LzQCfJsNs4Y/WTAd4bZPIIzWbRnjGncgp7d3ceUYB+HMJLMNnA1KmjCD+vrG9/g7
C5O/Ul6jhj9Bns42hi9UJUH4gTZH0EQCNJAo3TsNGmCvOzPcVF73G5QwQAZMDZKSxQ3lOzd4GGY4
4J5U6XauxzdzJpvWKW/N2UPG6Y5YTbsaovFVCTLNhhE8YoGmgTDtfhtsY6VRrcIS7YW+3neheaFB
iNvOnq72ul1wiCUzQ1Ww4QdA91rOKj3W8MxXEzb2YqbtNmbVvssmcUKaRynhbAffNuB3JTnJbZJ9
NgUwUJP8bp0EOFHJz10pSb+P3neFzcanjGVMlIvNKcRMVPkm1WuBpXcz9P0rYdA/Zs4PVABTXJnD
9NkZ+qlCgCIIJGN4FIt0YzGSGeHNpYv3OpnuyZ9Yti6FA7ShWsWuo5kOOFP9/jgnUKgGZbFL09Mr
vAoHP3+39yZCVuRGdl5nvKheLew2T23xXHXHKGlvwzTcy9r6Esup/c9N8v/MOvXfDFb7P831q/rT
///gr3L/j4DzlWTpUH/9j91X3/w3W9byP/tPl5WNywr3jWk6QYAPB1fH//JZGd5/eBZNBhSmuYEP
59yBPv9fRivL+w8ztOGYWy43bM9cetz+y2iFz8q0LPjo+KNoYghM5//GaOWa4dJy8b+rBsiYhsG/
mpWIH852iHr+d8dTzuUfwddeSy/6gSsj1yH3xZ1fMVkPbQhmr+MUSZlANkljXhieC2lZL0ShKjZR
KbewGJ9WjazERd0/mIO6i/wsPpo0PI8WVs0+49Vhu/2vW+AWcWB15SGMch3YNay+JGLRxoJBRFNx
Drp//+8nubyRoyo4ip57vWTigQZOBrhQhNosQSqFzs6VotDzYVLpC5uvaNWZbrIPnfpX47Jde05w
qDqhzn0C+Mv2nlp7PgfBgL08Z+pChwX3YWXPBWAvMjfQD/1uIkhRs7GnSHxXtDFm/4oi+lmfyT7q
a/tstSUAJlp4UcWxZsRjdVADK/y+jHqGte9pZKbkRyHSMnkTStPaKoNwB4sngm5yosb2zVUBx2XY
fOVx+Zr5/Cl9dW0yNrap09+nPQ7Wqh5PYorbO7uOb3kogc113jVrOLgVdK6jX7y2lotpMrNeqGHI
VjZl4gBQYhLqRgilrzXOcQ62kf3GgFjQ0WBfOlfJWvYcVmijpmY3b8IBDPRHb4l9QhPYvmj1EgeK
9qUfHM0CRVKw9kFm7DYicYgxKv8XKzgMqFuU1QQziRWvTaIpIc55DNSweJckjF8Hm5x9ny9HtYc/
0VyKoP5TVVSeT6ETsiLj8sCp7B/G5K8fanMX+PJgm+lzOz9V9aBPCcgU7nkhPqG+fBtzLn9dfxiU
4W9UPG3tAfYilsZv+gPuBtc4tslCWUaxsfg6MMKyXclL/0Ai4HdaZgFrOUQCh2nVzPZYnbgamPqQ
K45OnRPAAa/2UBgzFW9DCYSv45WdxYqMpTuQ7Rijv3Frs+wFaxXBXZxNvkHaX4rq6xacuOQ6Ljr7
A318W/dpf0rjZ22b086aoQp2dB9vRBFj7nGxXFno/e9s38OO6dFMMGd7Zf0a2BVgwUOTkS/QpUpZ
Js93U0lypQuJ4fMCWPlD9+6MNqM3yY22imsuTOFP5LQzhPrpRebI2njq31iLXCylfa4ZGH3dkWG6
rr/qqIc34lQnpzbabd5k4j5t1Y4Kyb+2h81belOwH8sUiEgvBhzMN/6o2Q6WMrcPy93AeK93TRSr
dQQexqTekW1IoXjE2Ns75W20e1YVlvVsWmizXtft2xHor4hJ6TOflVKgZVc2kS6v+fBy8TFWVHAP
dfoy58Qg5gnwrkJB2pRT+TQNsV5s9G9WbF3ctvgjVe7SPdx/xT1PglQnYz4PjkhPPqLxXrviTRlL
H+1YmCuci1AJs36X1EV3qMh+4P0jyNk35a5mbI/gtxiIJ/vW6x4mgJx7NcVMx6V0eZSSbpeR5TZ9
kyhmDBS6Yl2+HzDMGU2y723Pg+NrvNVZc4Yc9YzTWZGk2zdVaRMI5i+95xsQ3fsPOidf2zKIt7Ux
zDjmUHNw9qQrO1b2NhT+ZgiibmMrfHxOjZjojsnjXHnmSRFC4otWUtuNtwQ+5rPgpb3pynSnR/kl
wcxsMxm9GYzhVkFGJOjNvVkS1raWyWTSD3IQ+UU6etlLe9fet8aTexdjuDk5dsUltCcF8u/vDnFw
xwYVaLSfPeapvkiOo5PjjeGpycMeG9sxTxmO5xGUTOYO6jyAk86H8dT3QQhwAoW3AKF8UpkUJ88e
kp1rUMnQwcYedM1P1PVyLYparCH2DyfJh0RWPt2UhAPA/XVvjvbz4yS4Pod1we8AfyeOrAfDKuQD
dh92NjYjdD7D+u5xn8OxT1fQR39ZPD23JebJriErFdnj99iApHHBiJOMBEFqfs2h+VoDVvR6LfCf
t+KUN96d6QfNxq/DtzQj8tWNCgU0DBaXfbx1DL6uVKAhNDi+te9l/cmxRii8VeJSUS2xtX2+3jjn
/qA/JLtFfHk0Q04RTeYEXxUgukrvNY1kLVa7lWrzvzWZJ+56nTw1GXj8xq2B7tXxSxokOBu9imIK
Fx6EaRynJYFYBM9t6mUAPRehxjeDo629E3emvyxy8Qv2cKmjgDLKjOYKYtADrRF9/cf3g/Y8qvlk
Rx7sfP/DskZqJyyJQNK3uOJyD1JMLzaurMIDkSVrHRUjb1J7oOMTK6OanJ8Rm8rBw6akZwvx1CVg
oMN4wXaiIg81d77iT2F7iFmefQLUcTPC4jQb4lTPXb1P2JGDb4L0qqieJL6HwVPNvDKr8M0xPH9d
2IdsCTHJ+mS23b3UvA3I5rMTTXhY03LYgvBBLpoBf4XAi1i/52DzkN/CuX5jO5/Y6h6UKe1XeIFG
D8iMvUVKYKliTyAhp0/dWwQna9YPkfdcxc3nVG/dAlh86c9ImA5tBeD3dDogtTYBuipLW9kNlzAw
j7SEoay587mwlwO8bE9zuHVKxpMB8qcR6WsJJtbnc11bmh20LXV1Bm7xM5vxUzmL8exj0GH9APFp
zAWvfFbLQ5e9RpNn7UXffWYG1z1CxxUoQCpiK3Q9cvfO1sjnBzWlpMN8944Z8RMCfrP2gwzo0GrA
FYibJvwYnHQ1qYZWW+rPATkiTUw8xgQIMVnxrG9b3plebjQrX3TzPlXpTxm1PniFNN2hluzS7hRY
qL5YNCfinNsCAvI86HAL9X5Hwd+j35QV4Ehiny2PiK7RPNtCBZeyqK+tR9WD6exj2hXx4ckPWC6v
laIuBYMudmVrBPDrutfKpzrDWHy3zWzA3au++Obs0zm8zH3wMAY8r7J7Gc3paKWYGUaKNMYspHki
WnepfKo8732uLEQkkr0mTq+1akH34Rq44vreShsu6cxXyDV69j/ciJIU34U/ILNnXf8rvOls8S3s
o+CpCeIvyx84oJoLBAzcBedIoGbRzwv9GbBbgu9m1VowBHp9C0nRPRAUGzcQn1e2yMqN7TliRdA6
3bvZs40vdh2bVrTzJCptqHB4BY4Pr6nrn4IpoAEYxO7cjfriV9B/OJEJeU1Ek3JomftcGzllImxw
JhtDJ31ZJPqnHwhSixGx+pYwNSZAT+d5BDcBy8vY9sUiybojlBzFAtSr/WtX5NMWizh/WEPee6X5
YWnQRn5X3VyBBA8McTN2GgnfAmWrHOHCImTO7UuRXn2THoGw8368IW4uobHA03ANERXD5xXarTjG
Pj60JjWv//6CSPYdOLU6zIqXRaFj7vTduJZUPHM6DnTV5iSNhZ5PxpQ2V9049dUqE3pbXEhs7nMj
s1cnm6yH/MaemwuzZefrRIWg7D+MAjNu1jkPcUhulPDWQYRcL8wmhrscJ/XWitLpbuIwB0i5wy1w
c2CnXblVnFM/C6+8sN9nXo77rrUvXo9OjTFl47hLn8/gm6cu8VFadCfuGZrApFNlUUEFbngzWGOq
TxL0P3AuruNJPENbDBIiZIQa11S78vQasj+hrHfrJqyGtbP0MQJwM+wZp02kN5Fl9/gZhk3d4A32
a1hTTes7KwVukXaZRhOGH3Pc65GL2dSM4rXjlPLBi1xgfgFLRuYMLBf3BhuHsU22xK2csj1EDWsy
3PwYE7IWUDCmuA78ZjoAwWHDST/O3kqX5o045G+8FVooZH/y0VHqYtG1UZt5DFo//GHgACHixd0+
bRj8pkMUQRBMJ7GC/AkyY8w/45C1YcYPQR+rwR6f/5ADukQANFPJrFk7aoNjcEsq3zwmobA2Rtcd
0qkAdu0F/CFdVmbuNGKd0ri3wG1onf/6nvs0IfgRGMEktuB0Qg2Nb7JvrqqfYuij6yrS6br2eIkX
hrPp2SFCdDsrB9GtwIW3UmiyxKuJh4UMuEPw5AlEw6IkJYGkSFShpK7GtTFw/EbjtB8Ndgwd+IWc
2W8H+qOmky895kZyzowJsJiFzidwPgHShxI2ets5M1+kTPIdytXRySXBXbACKb+F0jSeGivZ0LT7
WNhgvcUCo1cCxlkUqmNel9+YD318iiyCC6+6t/jkUr+6dUGLnOXaT3Zlfo5EVgCXkiVIeBMyqy6/
sPpgVnxI0/yQKerCYEOFK08cJp4T3+OqMyHeksOMHuM+uaSx99ZN9RErzUM+M+rYFR9cceUV5qxM
zg9CFwmPcnzvzRXhmbwBNIYFSRNJ7pje2VSPJ8VhV+ENZseFg4Mbyn4mchKE9Y2yILDmhl7bsIni
BdRQcAtfkeG/SaYUO7ORFMH/qIHKE5g1DcggonuZsVZ5d271xHvU4inh7Oz78iDh6OhOv4i6PBRT
TFVs8icKYmOdxBuRQTK2oRRxPoxn1b0oNX0bObqBmWAbZKTozeSRd9TN4G7EwYUpoFTXDrg9Y6Wz
ZQC4KGCeRE04E5K4RDj/wyJyT7UZ04j+NopK0JHAn3O2YU76ZXNnxpQpqTC/eSLkK1q8Gu2Humg9
32WBdWY/LCCiNd+ogm49f4OQePIj0qtNybjvvhtW9kYZ0b7BUYnjAcy83pl5RHdS3ZND86m3xBV0
5W34xIaZr6zeW63/JbkLRtaLM4pfmMgkU5xp17PeP1gJdQhU4FDv7UEBLjFM0gdh4iXNZ/clCPUn
+0t0DbIbkfK30nKfghGgvnD/6im7eqF5yAfnBzX+ZeLuUg+2s3I0KRInL/hl0R60aqHtk3KwL2bJ
uiX69VVQ7Z0ZQbHGfz1Br1oBDcG5yJe5kuqpLYHdKNRG92bNqdwiuVZwez5ZOF2NXJ3Un3LCRC3P
7NnRD0ZSFHp6wPL5yZua13boPeGiHuA1YVqwOO4DgwqfhvtoVw63dOI0H6rDVDZiVdizsRIdREFa
xlYdYOl1OmePcBIIKjV3wYhFINL2oSdxn4/8oDm/X4DAy1ZQ3bKYwIldEJtVH7xyg//J0XksR4pE
UfSLiMCbbRXlnVTyvSFk8S6BTODr5zAbzWJ61BoVZD5z77n7JZvdJohk1eJJ7sHd815GT8Quo0xs
/XnDwXtymltVj0fmZt+YJS7w1InD6M1/QW/cbWbbQWycCsXqgRRpytVSHfR5eBMQ5kFEM9xZNnPC
/WfaUZhFw77Spr8xTl/Abx0MwZB46eZXvl6tlp/QxXG/i1rom+54T1wACRbRtutMWCck2NC7QNZ7
5XXUovQo49CS8dNU6elegRwzaiAaemvdpvFb9JF1ps9cIT/giW5OvdmFDjotTx7nPp/2wGivQrJG
JX0NgjdqLLaq9ssQSNq6UV7qYQYlyXB7JZUq3uwJdUuarqFtxVt4Y/oW8zf8GT97V2VQXzMU2m6x
pP4Wqf2iERmyNvsUTxjll0JYgCQjY+lqDOjJE+vBtrnszKAS5LEFJAF26QXl3UNgpI+JLtBbC9Jb
zEesQO4VJ5TYxtISN1UPtz5mWBZpdPIzn9RoiXvdZdqeXNpda3qvefVtSAJYEqg+bXcs+uESYawA
hZJZW+Bze9UigVINhz5JcDBfhY2Dw/qdSQcMlzTl0HB+pTJIE/MZPVEcT5Z1daPkqhB9Cg+tJ1ug
hXrCVMqJ2xN+bzqd6aHM6003tk+tGL76Gcca5cWf0MoLmp1rqpdYtF24i/awzfzpLmP3oTfEre7N
P5O+tazomvC/jztNaTBn8HLl6ruK1YudyZMxLO+Eg+pfTvz9CTprMOypqf+aU/1KzvKpj8Q5co0Y
/Vb9BIMDtY9j3X39va4ce9vEAZgDXd/XrR5GVgXyrGKnhfxpq6W0C7ZQAMOL7mhZhtiLSeFdk7Sm
JZTok13X8U3XmVTZk2Oz8rlrPC0c30ihKg0wSMPekBFi4DzMadwdjR4TVR/DPiS66STqLrk2Ukuw
KPFX+n6cPbclgVB0pFfcCexVBvnjZUBtZALFOOGub7TmUBl69VWD9fHEeJ2MnA+u6hjVxbhFBtY+
HSL/AyGr825IF4tM8suA8Yzpf5qrrxw7WT8Q34Ta904OFIKJa9MHf0QVnbR+PCY+qJwhQTYboMZQ
JdFP6sQM5qnPm7BUTnoO4ulYIIcYacB1KOpDLP4MZfkcPcg0o2EMHc/4qQ3jFoDH2hgOOjzikaEu
pxw5htgM3gyzFpAJ1ef3kHv/iBHi2zCxrROwtrGpHotC5YcGBY17qiLjy+tRU+k6VE6U6RsmYTh4
PWC0wpX3itQmFOtg70oEWtncHxxr6DY2nXpuENmEShKsL279WX8kyElfEydmr+xi/KiNbL627HpX
/sD4cDAVwqA5unUuW+W8POrRufR7/9CARcrIxdm7dXzgp2DzLo3FkA+KSY+KfV9QvpnTxINRtAzZ
uAf6YII0oMAuFbGDENwr/HWpIaxesPB6p7VhmgqcekHHgh/v8n5yaemWydXcqPFupsAM0ZSt8aLR
jHRMD5X1MozIMYIkJpsQQR364J0BXq1NweJHYjh5VYAEUpcQ+mCiYNAEXeei74eigi+LDf9uBlaZ
OCz4k4Yb0aKIlyP41tGQ/CpV8tC6vDpRTruE92XP+PsPmv6Dqztc+pm6gfhaM724obUp361SATsq
7XGr+X13ceMZUQKkhpJvY5Qf8YBhJcGjIPJ4V+rxBV6Z3Pm2umlOLvjL3YadRnqAJZjvjYiZThyB
TyiWqdk8NYc4h62DYmpazQ5pYHweK131KZNN7Y7kGuVrEhSnQA7IYSMw2OtWBLzQ1tdc28/YEA3y
+lpWhoAfHZSpIe8PfCUoqsyU6ufKLz6lnfk3ApLQOnY6wlbfSk5+oaIVOeHfzNLtO2DZVRvhFuff
xa9jE3wMLPGTbRG0zR10Glv9BMPkjHp1jTEA+25jx/umhBuOZGWxtF36L71i4K3lj6MkD8jrvYN0
CuiH8XtPRNVr4B5bgEkqhZzt+yILUcFHVxikf1hgE5SCPMm+XhzAgszkxHXzxrS4lsrity5Ggmpt
2wxR+6/9gR13NqS//qKZjvT8YxA+sfNz0JyYdoamaJ+iWeMTSIJ+28OaOTCCI1Fpxkpk8EgNkgDS
yZwfHX2YmNxN3Y6Okd6+cn7TSulHbfIIJtRBIRskd2xKW7xnBLwc6w76FTRUgDZOsSvNGm9jXeE/
t2ZKVW/CImebJft2BjUEXOD2wTtPhCqKgHnE1UqQisFhAPICUT6kjMkkQ6sdmUK0PQfIQEwbXXtk
t0g/2yetccW2sWkWZcx+Iw79mX9b8HSuFsf8yjWZAeST8c8ctH+xrz9mwPO8CoUTZf2EIkodfFRe
g12S6wSgCo2R4mMrMGCIGLxl9+qg710idFkOZwomZWFQuo86+b6xJ4FkQtplznJ3Xfsnccf3Dpsl
0ZnUhUkwhi3Dx0IH7TFZCk1tGh9HeO1tVT6XGKY2Fi6JheDl3Ft9+AQ7/ZbmDZZFrK6myzQh8Ubs
0ejN4bCmoXS4IdFde+Gk6zdf75ujs6OcN8LCjimAGwitTUrMAXHketiXesqviREMs6K9Xwg/BEhF
rx4X69wFLFVrVr6qcHhvWOkj64tr8djJD5DL0we4upFOfi/n5holVr5vOTlFO2Q31TKsNFg+Ie48
d737l7FYrPB4g42qavYlwGdNz18bnkDVZPiP8Epmtnz1XjS2tUgvqcmiGYt7TvudUqbh9N21U88l
U+dXjM3vCW/AHizFS+SDzZxL9RsUwMZgSUwwiaBCsCgNpd9sqznxl2TSXVtZHniW7gM2CicAPXaZ
uqCCtHBwnb9+CIo95mQmp8vs24/0TTqhlHIywqgSq71wF1WIQFBWNhm/+nmJMnID8aisAYpLJNjX
pd1JBfhxPO3ACONxmAO5Tcj8wx015dDfbTI/WpuOmnpnuUt2QFnsXdwQFYWR+qgX1le5nAiRxePX
ZMHaStgfznF8deJMPFo91Ml5ZCxlFUboSQ/UcAKOGxA0CQfHQco/wy2fjJ6PeRxLImbdBohnR/ZN
Z7wgX0MAmHVXJ2LaoTIH5QuULqIotW+EGY9ENlnhjP+ZAp84OQ8HBcChcpsbkhR54z6AQhuMTOyi
Gtdu2jICGMfmRieZ2UuTy41Q1uSsWL2z7VuGo2qSxDuB/Kb6McPceS4Wsn0M6m9NiJWCM6RWfQqS
FuI59q+cStGJcTBI/kmO6srt7F+yWdki1RhyWODI78jozk40E+aYWN8ZRqoTff6vk/gQnMkUCIMK
Qnjao8yTeonTwIofXMPLLxynl8LHlanNXEuTYviTUOxhUa++kx5OfNL2MC8YViHysDYxpS0D8iRM
kcjvcjX8UH2xSRAWtqlyPvYaCO0MVAustyx05tZ66meulIwYcSZZw4tBPNq5JohbZnNOTqW4YD14
rROA73lk/cx4SMDvkqGlmNWQsca8HFedlQKF73/53SKyTNA1lay09oXUvxOBR6AgqM1BpH/QSdQz
WXi1uQUJo6w4MD3ZP7PYem7QI0AJ5TYYEuxqicXv2LYcbPcTzsXE5/+7xHLiyXLpDgBupE13U+lx
apJuLaJRbjzOjmulQbAfiOchNTCDUYVYLxx4wzc+eQ0qGvKzWJ6CtCTVrDXt6dwtX4Y2jbbQI39G
B5i6SQ2E6rllVSS+XPTfeTGdChGb8BJotxxQrxUdSD269rbQyUswG/1qF2+98WBOpBI4TUdpp2Pc
x+/gbbuuY3QOT3DD2TQB6fiX5owaKSn5Qkt8QpJvbnqvYbWR0FPmRbw2M44OMyaWonHdveMBk/KS
6LMBzLdyB7SkM/PHdeE7j3MzACzoYRrrnlhw4lh19D6pt0ZgfaFzEscORWEj+y5kSYPfYn7vkX2v
VaX9NWPkMk1yQWIOOFNKmKm9j9Fez3eTJYlPq0ErVm0lz06mv0lv8u+ZblGLVvJNQIveamvbJQpE
dgRr8TGYXf5MeEK00Z1Hexr+rNzSw6SAdmV57DpH3mcIYlgR4/SiFiGZcAT5Yi0bVUulF8taXG4Z
x7wPEzucJXTNvP7GOumc+7osL0y9P0w2JM3QsPJUzUQBzc7NUxSNUSKLd1KMLooM6U3kMOlUgCBm
MuwQW83BNeeuibHYiggksZYaKDSb2jxldfkGkoW9DXfdBhBWvMr6azVbBZlxUJyaajxKziVtkhXm
92HrGmTUkJbZ7JKxOXm6Q9ued25/nH5MX8uODvJHhG7J1kit4tDG/qLjYhPrewchDBSl/UTRTC2+
onZFFIxF/lYF+V+VSFjM+vBIBtJbnGd4UzpEZ+Zk9nsUErqKCC8bQHdZmM1WQYedOlvW58rXFeI/
9uMmMoVhadA7yRw2S/PkMCqiYzy9BdvRzd0bGwSeTutDpEm3n01yMJKOIlfAeesrr0bcMcVHRelL
rou81S4BOr3OvVEhLOaPNrQ65uIv9ap5F+jPhmfMO9+LSXHn92KOCwCzBCVDaJ6bEMwb6e53243J
Bdsx0Lyz7XrBufWdt2poFiU8g1YHwUs4IiIFhzPhYTQAQrCtj0H5oJfRdJzuMVP49Jy00jlmYNWo
YI9DgQ5DurIl69is9nHvPukJYGLb5KLotGRDaALPpl82IEvZXJTev9kxx61dMD+p2iHZNvWDBKX/
9P8X0U44sdgLO3FH9FSSnfUSxXeurJOrZ+Y2nosfOeXMTPk9rxIM5gSuOO7W0RVwxNzYVbbKWUd2
1zwXRwho9Q7mSwJ4psayo2A8Dax5+wpbVor6H7ejvjZLJ9ia5Dg+Znorr22HUxvI7qX2kkMy8x+3
mY0DwvHyQ2+ziYNWRobdFmQZnFuGrY//f9F09nTG0ZoTHTyDy4wKabBjIFz2DO1kVkoSo4JMPRq0
alWk9WJzjxjzlhKbaGAdUIk0pPwKcmmCaVcgb2Y9T9Su1LKn1Cpb+lcMvlU8gK7H4XyPAQdnvJiP
sauec5st4ZTGGlR0kT/ZUr+rkd7RyiEr5BayawMNzjJNs/Q8uLppcfapxNyeW8cr5PCCcGZTZ+Ij
nZR/Kkangec3HL08IJbBbq8uAMBdXefDqudZEFpmbjKE4YQ49M6OxBQG5wwccVwpnB6sdu3eL2mi
B8Q8miQUwYofNZXlax8Zxs5cCHZRepYglZgQBd85/LmjA5yM4UvLjsrms1rA79scuTH7hpGRgAE0
uhj67xTrEgew1jziod852eBes5kYutzv5I4HZ76zzfDWneXRfAdgDnApqRFJzMzSYT3ofGt/3PoG
7CP8ktbGtOOvhh/oPAyzfUkKjH8j6yRPq0lyAtdspthPHau/47cHFDlOdAu5Nd1HobRD0eB/9tTD
aIzurQUkNTe6DOfYSPnRfWRARD867VxtkA8zICDFlzKR+xHuCOOBEfNFDMKc380wENvGVD+ojG3n
GTjcHHdaqgdcGBNTpyZunxIf07NoH0DQYPMf/S0z4Q9EvmC0REoACgvlg0eYkJ4veVoVG/Wpine6
6Wh7ENk+x3lcg6XBetPR7E9Y7zdde+xrP79wsiGNt+N1Pbi4d6T+2rhsUUhkmddEUAL0o/YNdY7A
EuZ/UpXUoH6OiGqoO6S2WPs0lpphR7eyKunhZYGj3++gLA07fxEkTALaTN3Is4GThQEWzQrZi+2O
sgJlEVZTwgc/0dhirc8Mfx00nX/ygxTQO321jiU0LMxCYTnhKgFnSPJq9lYy0w3z2Vq3Oqp9WDkR
VjPtedDhgnGAiVU7Ze+9OxhbxW6T9ddatwRXTUFf6w7WEnSAhMb56jz12nixv0kMljmmR/CwbboE
ojM3qrH8rRLb+yvT9iPlboVQBzGVjmpt55p3iLLaC9Gub8kIxufrVCdytLItJBLc0KSVoYJIIEJq
d8NrmBmbWJMBFjCJdiQF6Xwo25qTMLnZpRrgbvJ8CLqeGhzfpfSqrZfr1qac2YH4RaJtAYqyss6a
ZYypw+EojfLoz7+Wb3aHtAGoHiiX2E0iOywCdUvfXFJwGCRQ/cHZBGpLNOiqnAmzyg2UnmYvHjpE
/Auk+d2YnACD9zbW7ehkuzHBHg12aU33SOWgyp1I6thoTcA2XOBVH6Nx2FS6dhrd2tl2Bi86OvSy
ScAMF1ejzl+jyMc3HCVQZa1Na5diP/OJUd4WhwGt4yUdngq4UNhWUPMokWJdHhYkUUOYi2fXj3lV
UxcmD1Xm8IHN2RtW361T1l+pazK6c5ZAS6RvVvRVBFO3V4gr9ihW6d5Fa+71LPukhH9xx2m8TbHE
K0QKkEE27OB6zEx045U9xCYvczjMbfRsgxSChQxJOIMWByBhq1X4ntkSs7DITILfRMU6zEXqWByS
1IoZZzF8b+IuYL1mMPnj10ftOGht/IFmrN345SS3lcn+Uy3fblpCa/SuvBOldwz4hlnlb+QMO7AW
RA+NyBXwSi1z2zaWGHaZ00X0QpsKV9Gt5RYJEolubyD8SSnk4i4jQOyau94wbyLuaiTjXEAMnZDw
iAzDZHa1+pxhRYBuNUYyLnSnZBV/T3AIdwLPyAx3dJtwHlG3DM2SGHcv42kvbQcvleERZNxCrJUm
JsgpIzMZRF3aR8k5Zi0N8/5OHUi8mAUiiBKAVj3DBeNJ53MdEIh+8Gvzyh+gFXOMkdzIgBFO/15G
xKnVfoHbS3zFFT9anqdHTBGvftrMIL30ETw1X6zc+aQOp4XpikNudttA2T9pF9R7I414ZUsDcMe4
dtzcDdVyd8Llrdnfmr6Mt0WZGTszwcqBcJ5AXg/+bxiU7u9oY9+Z+fETRGM25VOfVdkudvnwkWLs
RiPYR2ODdEDWYdANGUj9/M2XXcP0HacGgRHZc+BNO0qokx/J5wruNWEd/Wdt+c91hqcs63gDuVDZ
56Pk5GhUyFfR6gqiqkgb2aDQJICzdzYNWvBTEsSPYpDiVJiU0WVeDGEQzQRN1LaB8ew1t5ktBCaL
hUkUoZPz/rQ087zQt0nz8idiBziJP3zs32vGX8ERBvi/uWlhNjcM81OF7rf0+nkfNXOF5cwfNx0J
q2ue3Y0PIP1bSRO/MHZZXUSovD4I4HzvANpuh9pBJJVVjIuykoeVe6UsU/6w03/AGijJpczCpkwx
9ZiyAZjEG2jPGJUCFW/aGC54bXTMsSKSiDAWkWRBLbieRvwo6GSqcGC1v6ln8ylI5cEilnPv57DS
8OuRkuNr2yr1gdgN8KwojhT3UrvVS0+E42w/xALYDmJu1ULPTxY0PX24+5ISVcJQK5QDnitg1NEm
muet0wlkoVxPTPyZ1BXQnjRs3KOXg32cyBKc3eekd957vTkOvTTD3sIv3dXVV0GoTMCbKcsj+qrn
Lh9PYLAY4isOR1F7VNYFh/XAa8K8vwHT5RevI4q/kF0k2jGf6q8oQeJ48LbiU+vqFXqVAktNB11K
Y1pY9jgdCfCTe2LgGIcu66A5jILgKVJspYdMJEgv2C8on8XA3Pszx3gLkMMSp3Qm/QWbK/ethZOX
ac5ND/iWg/omlJWqQlYR8guNCyJtH2wveGlmSFpFVp2paxhX1bUdGi9dg3ZTJEgNrAqpxODDpBmw
BZ1ganAW0cgVZkANH7f7gvCgJro2KdRuUnoROMcorEbf/bWJTA9TXfCdxpRY1ExnFontBSSxvutj
5OdENzGu2BoWmDRHkkpVdmPO2UJeycz7PHnl/wPcEJFuDFzIwVWpSOdAZH4PfFjlASRzVoDA6yeP
fEg3oXyXdbLtx2Z4rKp5UxLfyqaUCTAAK3ZVvK1MWv7cKf5jJE9lgLod5WG2lQrmePMlzcw92gJr
d50UZIcPNQoxbTfBbLZiCIRa1/+AMATXX2L7GoiNx5pI7rS62azucfsXB7vM8D/2aKidgVrc8+qL
IBZ+V32CPVFr4WR2SErHsVQp0j+fx7BlL7iirKlJRk4+3NT4btxMbQLVTqGJ9ooJWb9phTpU+qUr
qSAa9vL0iqV4GWUUCst6NUUybR1XXYPJm/bUduFgCG/n9zFwtfoWLX7yjkxoTo/oOI24GyqCtEyP
PT10WGD9Njq0gF5ZGcs6n9ZvGjBnpM55aouffoRIUmUmSaCPgK8B/ydy3qFXXtvDqI4xNljaEFp8
lrQMWOF2gSDAzk9kgx/Zu0w5sK6gPFURd4ZwsQsazT+myuRP1cahTfXQ9yi8KWD8RelxqPte4l21
7/pULjG4CVqoxD2iMbxHevniUP2DgblpFO1p/tlo+duQsGY13PSJ0cscSiz3K0y+3I6Tf8L6Ajt9
xhgJyI5D2H8bCuM+B9UTKFjia0VA4Tc9ICELXYs3lyBHlB4IiGQTIY7OXyZFvHJO1fmp0Gsktnqo
Bk5yQA4J2xEWERXm+wqgqvlQGY5aRz2KU+kVLRmScDarXuPdDLRTzCjFtxYFulPtJg4Csyx/Irgm
o2RZTm+tJeaSeV2g6DU+0YzhBCBizC3e3GY6aiRmdDXSk1F/pCTeVQI3n6Nh+vLnK3HT3irQ50uU
UgV1kGd8pPiS/b1vQVlgiuvI5OhwA1h2u5l8arChJ4XcE0O27QfC2Wfzd3LaFV5KRkD1gqeagl9e
tAJEBqfAnD7Ndb9nNEIaMKhDQti+ksn+Jn2HjFL5msTNmU5qVeEUnWdedF/O66RO/woH8InL/Iij
g2APdJNgtZLoMfaGVzHyuFz6pnvRk+LRgOOSm2fm9nfTdb7wICNSycC5ae1zKhi4sFhw4/zHwwEP
uLhdw9C91Fi2V43uvmLrBGPAstAEhOOwApm1IwLvGyicEyEaCSblhpFWFIQ6iZeme04LMgU0Z6Q9
/6UpJqlMm/YU4MmmkoLlnQthiap7nf8k0nlk7MhTwpnrZsxEYix4iVkeUO3GjKZBSehDmaCoDoyr
k7jvCElZ/AR2OLSo9xxwWLWpnVVDSAsDwgekD8bGm6ZflmXPqariM2jArVe4cO+z9MlR5BK0Gt7J
Vv7KnH5BGOOrq02HyGgfLC7crY9SAQ9kGAe23NqReWoljn2/e4XkTIPIQpMwU1SIdS7OlTttyDX+
6QvQRkViH8bSeqsz++JY8Z3RzaImNY9ZHhI+92ARdUFSCtNxkMKAwNYVt/mmY0gxi3ajpoR7OoUr
VI3FyUctFixRJizXyMZZcoNm3ChhOvJ/3rHBjby55KTxvHVpYHhaXPWOAt4JqSQ6+Nynfma+uWLQ
dws9xa6Vhmkk3eSplq6VaXihE5F0aaMPezBKcsmn9lCVTroDTqdvq9i+mhFruXGCTByAHF5HQ0ka
5oya1B6YM7PfytycFHvHIwblYdat4Jk1X4EsWfxEJmhISAEPepsFxygX4tbopaLRo63qEzLl+w5F
FfMPRzl44FL7rW3qbsVhBuMplcWpU+gBM/8fVtueGlA3tnpiADLV7PtAPHUqvFPlkCuhjf0erA+4
l2djcq9yzNJ9ZYA4tYikdzC1abbC8CbLfO34hv6S1Ug7TFg/pLZvKf6yradVF9SjNx6kbVLQOjaD
/jQOM2PR/iOP3D7ke+1U5V90JqRuSyillkUzo9/2YgeEK5Wm0sOPrvW+FKuZBSSBz5TpTD9Y56TG
r7KwomcTvAHS08tk2EtKZveGR0wxKbBKMNV8wefksrPKi3Xd081kcDtIpIiJ0JioYN4cq9ubBvVL
MB6bzPnXg2RbEzn27JMYJwgmog0geqye3vLcyvGqIV1lwcaWiCKJdTNKZOtsTJnA+k7bF0k/Zgwx
b0QKV0FN+iVr1T/iYlCyOWzFEvKfUkXOqtkcSWwHO5oOP/ihd67YyYw7qAyYMKSMmQnSitZ+PZxo
dhHUV85PzQYfe8Bq0tIflS7q6pztgtl34M3MI8lRYufG8ZOUDlF4gfqx7IJZNH0NhzFGZO+jIVM8
SOcrdTvoP8wtHdtwwyjuAUsEkTmfbMZD6pG9RvSpL4ynArfHOiZzhwzi/giq75zGuC6mIXqCf7fG
obNs7cgzBPjH+9vyWCK6jmj8SOJGmoqzF+1wug7Qse0a0BOVWhh2i5HOFKzbm5ySOwUaW/XWpz0V
d5l5ZMzWfEZaPG1i3z37UXGpE/JqBa52B9SCPuYr3P5Ey0eLltNh4GoidwS8sWNshhsh+sB/dUWf
eO7RDvouIZsDt/0ARqY5+zU75riJ3wA/vENyfaXtbTR955vjozV3z/3ckiwsn5Vu7wWTlVUAL3/N
Hpbz2qUiVQJWpqjOla0phETsVVqYnYE4QlAFa1w4QHPpQY0viW5dolxZN+m3rnv/ejYGSA21Pd3j
ziqYkeq5qYXW1GwSwklEkX2m6ZRttVxJ6o+c1tgkrmbZIDjtZN+ipPzWtAQUxfw2t0g/Wn2+EyRs
MfdcRbo5gCXl9z4axTnPmYKjeOcAJHXaQ7mGlAJPQpqhUOyCS2p2MVOVYj6CkYHhyBk0lOId9rEK
G4uOb4FOi8R21kLQhuQ9fgnpLhuXEVS5pb54fvamObwMMngbFqS5BTFsmGV01O13wR7UdDVKmaba
woNu0WlPaAu86aJ7RtgF4hwLGnuZV2ihq4D9G1oE22geU6TNRTkxnvFLon7q4dVNTnYznZPYPdmC
JGTBc17PBnssADQeSlMZCdZDbOm5+KdDh6/dzJ7gprz3TXtxICdi+WM10tQ/mdUTUOvelkc9GjKb
4FvOVPr5N67HKAAGKBGvo4pfDUHwkKYAl3zzk5LmEjUFDFUjvaX8sH3mlihU+/csUPwnC2yVMBku
F6ShMPVNjogEUlW4rPGrqHKIMuT4ijiLDOhR/ph/tSfrFks7jOc9Hef36KoPNMfJgDJ9bIPFJK9f
cmH4dC4cp4QAETdEQkwnWFG1HxVrXjJ/efBTzs663qKXePA78ynJxheBvI6pw7WM8rVBytPNQ7tC
BBUYo0ceCiaXMRDoOGwcTnxLy/StXc6vjqLfjsenObVS9KH4NAo02SHQlY1CslvbHY3RNJJO7Pd3
L8C6X4oigL4K+7CBclMx7CZKi/M64S7t4qtNkJCrCXNPMuuBSuYHYG5FaUCJWGrZwSrjR8eLryMj
Mc2VL7JBtUZwwEvfiGPVjZ+L3xNeE6qM0fLYPH5ZBajnQMQROqSipTye3zXBlZDOGC/0oNi4NIBh
7wJDxknYlYtHeESpkv268+LhQyCBmGRX4nbqcgJOOcmdDfESmwxDCdZOcrfmmL7U3fOEEK3FvgA2
+aYzQK3BfmDuBckvfrSx62lmAI0CkhzRudc0XYxfRP/yd78R4UgpmI0fUNE3EXWyS1FGTb/yOjHv
8zrfl1X7VFXNwWsxYsWVwKecJJ+FYn6mGUxQ86Mz9m+Dyx5ZtLxyzd025bERiDVppkfFH8uJR6/H
0J4I146k9hlZ3kfEVAxYifWBO3Q/OkOz13R5Lmbr00jkPzfBw8PK7nMO4ktQYeU1TVaXvk5Ma9oR
eTSmz6UlyrNvs2SPfLXzRPUKeKyV/p8bwOJ3/GpnL2V7olu3fpjO1qBjfUBJOInXbFz6j/i1d2dy
hqZ1bMHAH0akO1GQXAlFRajNAsORT+OYnxnIH6xE/ukSegRXJ7JbPPgq2XtjdnUKrGCEdZ8q0j4g
pvEwklXeeuk+IviOaePFLIwn6rHfQKufS3SxTsZAxo36PSYHlCf8rMmgwTbTfts4f9J6G5GV+ero
8kPBb06J3tx5pFPs9eQigPfhY2JBLOSttSBEJjR2mck8XHOcJ49BMUsuY20bxul/52gat38AVCQa
j/TOmOKPs9otpb5hQfONVyRnPjZkG82E2jJTVacmKVDD8mhTX/3EvBkNfydpzHjO5wxpkifRfBs9
huCJTVGJIWYZ1teR9WWMfrVW4Or53wHwnQg1biPxhT2WAJGOrZVlvnmU+ys90KjYoaTnyUYPlHnu
HeQdXTDDBcRmWTJ4XSn2WjmsG6lnLn87Op2gCP7pLNc6/Z+cef4tOz9a8RQS+fYFkvrPNq2DOSBz
xrG9juqwHMfNHP/GZgpbriNGo3O1Oy8xqWWQPvOCCGbfiZaRKrzfZfnSm5R0U/dhC1RLBKZjlkcc
zY5l3YNg4mid1/iuaL4xTriiSShWpjeeeOiqw/SueWJvivzXtLNPGZuotjrU+zHnkdx2JXz81pSs
yszp6JC4xbJpT6jasx3bW7/6iVR6yrO3rL/Jgs/TV80XR9QLStc3n1neEMmnuFR/dUUZid2b8gEJ
bRx7BVGJGekqoniAAf0RBMPOa6LyYNjtR5IitlANC++qdydsyNnSarhrb/I+k/EtmvNftk3pqZcl
SstNBmP0ZC3Ep6wlJdBGr7gh5SxsrU8CdbDNq2cjyR5qTRKAuYnaM1dVsNXM9kCS5ho2ltzUgt6b
CwEBUWzwGybmOK07FaaI3MbZQczgtq9ieWZcE6FvlqK6joK9NalDrjbxSEKWASymTi5eufBDQTz0
87zXh3/kepzbxD9GCfg/wEobpfIfrfO2tU2E6GJjHgKivDjBQegG+QSBCVAOQ29wz/DTfAyc6wya
K4NG5kV1Q8URUIzBHZz/5NzVYT2OILQW/2k2YvKzjb5ZdwiRjdlU2xko8MnUSzTUxOJiFtoMGQIi
v2m8A+SFbHUhOcOHuJwQkQsYgZsvSHFkA5ECLC6lcnZEPViANduOfW9C0qZXx2eY67eBpPgWnnQU
1L8yw03kdagXSh+HI7un9dBN446QmVfWkcz5YyrqYHS/e8XzTTr9uu9MBj3liHnZUgWrfARv4D7k
Jl5y4nILtPZ/1J3HcuRI1qVfaNAG4Q44thEBhCIZFJkkMzcwpiC01nj6/wNybKyr2qbbenazKbOq
FAVCuF+/95zvoAHX93TWcUgFM2NRkmMWprdCUdYKowkOeY0qdaaDmGQlr3IS5acZTtQaiLnLmtah
6zYg1Ouj02iTElnrGtTrEXVqo5qfuR0+mXyeGFyi9ELfyTct8OqMR6nN2GUScdGwDe1qrOLY9q3H
JiONiTUyGD7jVL7BVGLS8ykTSaT9a4UZmLAPoD2j2/MCtCmXWIEOGVFA204HCDLTOMaB++xijaa5
ercthvjE4yGKtL6HefpR25CLMjUcZ/nNDhY6h3rSsGjzt/Qzh5LspZL1a92kJCbWxde2DFFNOAo9
t+PizeIMZjUAGAZa7xYOm8ZGjZbDOG/Kj546LbPYqCLe5SAyn0VArmVQaBd4E89j0Q2exro1lgGU
2bXBMkbqZAOuClmbYQ/rUHKZHIAruSf4HNhBkVC5CuunbWYEMfNKl3lyoshMjyOtAiKL6Ihm2BR8
q5pJVWZEy0/4rTFDxs1z6h7LZP7a0dA8Q2x7mBZ1q7r2Zw3PeSlxgKUO+QOE3mIlW1AM9r0Eu1iZ
HKWXrxGutWckDn3xroI8fM8CEycGOEfoJh5NZoNW4q52jPprmXIlCMiwvztajY/DSI9E5tYwxelT
5mvETpBzgupS/Tx2Y3VsovCiAhR9Knekzz6900ST+W3FKE/1ieGNC5NFYiHj3GJ2bDBNm7Sh8HS7
fhNOQWd1jn4i+vNUV7/990il/49ISDbYoP970ty5yT6KX38Jmlv/wB8Ekmb/A/4RkXDKEY4pLWHw
S3+y5jRD/4cAo6cwxNq2KwA8/B8GkpT/sJSQtmPCOhDodflTbbmFzZFDx281XEc3DUHCmSP/GwaS
8degNPYZh1hSHKrr/8NwpND/SkBy84DJeMsqWyiteAln9YgnPzsu8CBOYWXJa+kiqmBswsjMrOlw
2gRq6q77O8wzon4MeRkRlzMs70GJ2UOL2IT6M2QXQLh+/Kf7+vivAXXuXwPq1osFV2ObAq+KEi75
bn+9WEU+eIGCmdV9Sm95TsbBEGUXvVXyijzVPU59Oh+QlzzSwXU4Bc+Ir5ndYwR+nIIaR2T3FDix
ONAE/r79XL2GE5ZgvPKgGXjscTyFVRsRrfQYSkD1tH0AYRKddCUdUjA1hSHk0KXC/XbSi0lekZl4
tZZjZRxL99jbJxKlijPLJ/DdTN9bEyHJgRZ/tgBPdhhEjB0cRYxSLCGwcAL9pEppIR3Of6878bmx
x/5kRQ1Fin1vTmVyxq6Hp5dGwbpHvIVoHgGe6+W965ruMyw09wQVHgjv6vVLCXu3IusJXpB1DvlL
8topH+rAA1rtHmlxshrOo30nJ3owsBsUtIMU0b4zA5BUNMllJa/NQiaCXVMsE1KNMIkZsRaiXyKa
l/36spAHqqXCeW3n4jutFDSIrmRUvTgXmgqEkMPe/fcP3bR4qP/E6FofuhI61kVIXYZlyL8xuhCN
OJqb8tCNoUXfz2llRxrsarMN2+v2D7OaWwKcyVCt7eraD/1tLMCj1KMrSQCyk1MQQLmAi/OuR6G8
dvwo+VJHZwyJt3iaTUI6KP0dJ0BPOu3+/eWv3/e/Xr5tuLRQDdMhVfGv7yzJshFjBmAzsWG15zIr
lgdHAoi36TR3yUpFjsURARK2sOGJ4tA9Riqt6H7aSAYoVxN4IUwI7J1JWJJXlxltV3Ih/x+ukvus
WzbKUNvVzb9e5WC2xNqxBe+nennET3IPaxx/qT2aewvx3nlCI0BazCXtyUCaerxvjbwGNAYfuhr7
QIvAPQu7L8IZH7JM5FcLvMvpP1zjvyxVTExYKdcPX9dNXf7tGh1wjzVBKCX2+gjhWtt/MGsM6Onq
6V3nwFlIDe4XBZ6nlWnkoxrBcgHIAxK/t93KmQNUqKIA0X7WEc/9ZFoQsNFMe//9lQpjXVRNacK/
c/6+qLqaaNG5wA+u9O7ERJ9hI4s5GzkMCqavBzVNP+2I7krUvERVDpQTW7PNkWwKGFUM4XgUgJsY
UdTxIbTqnES+VLsNVIb+v79Uc72Uv3xdykYb6BrcV5TXXPJfH/yECRnbdsDq3oa/xrbPvxYD+iTE
jEXGLZzeuzXPUZiZe0y6Qf/RBgsmlVl0nljXqbKegP1DJbZSBe0UPVxeWJeiwWieLtlbiAfkP2wC
8l/WA2VLWxDcyudkEcW6fnA/P57jIiTT1PhfThaHlovYGWmk81mPlfU1iO6l0cPhGA9l2B+KeXjH
VZa9dkbFGtemRItMiiUaoXWIDik2WvI5B2jFBdW2sTSf0hoW9rIM7e7O6vqbMGt6trzho7ku8oNL
RkEL2y7p4MC09F+8Pizjh7gohB+p8IueFUc9sNqjtEuUjpUZHEixRmWIvu6WRznhO/3so8b9uuCx
fIJBJB9zZAuytE5GH1wM9SkZDT4TiQoYTSTyGgHo3mUMEsjv/vdP3KCq+PsTlzZLqQt+cS1I/rae
lmWHTrAeCryyRX3MlGFfVYyHdNsQ9ZGHuvAW9K7AfZjVkAR1+uw2aCwR5idd9i7o2jV0x28b0ID/
4eLW1+1vryOuVKmz6ptC6GKtAP7p4VpaowVS5ATBFANM8x6BnIiQ2LXGbaDb4Q9YNe5M3fRJrua4
TADqxbTT7n5OEfH/+2sx15X5r9eiMO4py9Fd08Lmsa5H/3QtMGdFGIQQmNxec3agcmIiI9L5rM3u
6/ZvHSeJqzYlJybV80MH5HSvEbQl0UGghOEFoSr/HOdkNdWTc5eRhOAteu2uZMLKdwOtv4aKRNwY
k1iPrcYfaxxYRRX9h0+Gr+JfH7orkPxLExIWK6i1flT/9LPI0G0VJ0mgUVUZ+pDKijuVycss9LMZ
WfQHJCeoeEEZm3TmcQl0eTUZIh3sHgrH+hFY3fJOgij4+LKn+TuSXIZ5rgJUXkI3IlCwFuUlw02N
SgDkWJhecXNWj1AWzhXOW1W55pXIIftc4dr0t7orQyjk43CdGVqE3bldKw8rXqm9aceOKH6SrHKX
jJnzbUS0STFVeLX90TZBzMc20/ifwh/mbIEPD52zcIdnd+HoJbrF8LMy+aB39nNYzOyE0JQKJ+pJ
nCHNCTOhdcbpEj+0CatCG/SA7kcE6dJFUq8RexhjD8WHmkMB4GOwHVAaJdlbCRobr1Y5xsY2fqkn
hzj2nNzvRnqBo9PIqEZJWGkfPyhnP6Sxea+lpAhnwT2xv9IPta7CeZdPKOo4bzVl+rIVqCPElIck
aG+OreyjUcZvnAkFabXGmx5Wmi8nju+hq+l/blC85MdGDSXB7sbJ1Ioc+aa4I+Nl8okMUHR08vJh
LNKPeB4qX6u0m8Cv4nDCPUm8ukfIok+WmuWBMKWf/AzReUE8xVQsrLAcR18hnr3nBvD2DGzjcXvE
yi41Kl2U5oo9LEINtj2qcbTvLdeGBkZ1SBinh/th9mtZ/BBCm2hQBeidxt6hVd3y/7UdnD6L/AK3
pL8Gk+7ZDL7sNYErjwFcrLd6Mikj0qD+YuGiJFnHRRCDI8U8ai6oKXJhmoNaT/GJ2ZxIQGhpweGs
VAZ/fRQtxq4bB9xi61qf1POL3hlEKXT5a2zGi1fH0HzERJA2EMHjHEBA6ZfpzsnGcwsYDIn6sad9
x9CYCHl3QD89dyRDT41rn1LuZCgb31Fx/ICMsfLTFlgC6iPtPmR6TWAAQ8q6JU+NtIuzOweaX+WJ
9I1GnXqLsQigGx5G2x+nCUELqYDh+/hZo2Tf63wZx3E9vNBhRV2NxKonIdh3RpTHNUMdSPswuMhD
YLeaq2PeJOIssAAdIpr3yFJ/OoMASz1qF51sClrlxs+tikyG3GNtsw4V2k1k2WO3G/06Lwt/1iou
ZlE/jJb+9/aSB0FTvti68qPakNeloppfP+45tS9VII+tGu+XED8eFY9xigleR7llg6IjVgufYBf5
qrTy03aE1CLtZIY5zDE1v5n1oMOgBrjE7A8ukftrWOmjNhJGbl9ie2nEGW0GuOX39jvmyK9lBbTH
atWzkczODQBuHBt3mBqK43b3K4b0S5UToiaBbbZWE7youvxIF1CyNvqdykEX6RJxz+fYAJxsnM5z
RnkKF8e6JBUNm57xA6xT7WBiB7Yq49VIaLVs7x+60C8uk1svmJEhwbniCy/aloxbcj5bPKVtXF9G
VV5tw6huE9P0pH+rU+eTs8MdLO3CDycX8KXy2pIlUQXSPiDTowptEXL9uTuTPfgV6AaAWSx8CD9f
zSmKbtmZHGWsoeCxt8/Ux8AYIgtLx0OgO7jdU4SfNDCXq/sT6dium+LkHJuLgN8zQg0taeBQ/CqL
E3uvMyNY3YromsoXi3hHnM/W89yqh1AbpkeMb+BJepUA5eRdjpo6PbrdyHQ5/7Hd/m0lWwKCF8va
eKaRjR9SBo99bkPkDYaRCbxdcg3I/zFMJ+P9EBMcv99qhyTrve0lst3gDutC5f/5mI1yIeMJNSKT
PnGWIVKWiAFkLk/bm9as51kDWuG6Otd89y4tAKhvyfe2JqsqYWvt1rNRG+YPvT4TcOMyBw/KVJxR
UQqd+DqrdbTDuuM6jJYSk26c5Hx7cGw2bw6R/bl0OnVIGSg7WONsGFDnOIswz9Vzv0/FEPhywZDM
6ebmsgniYiTZeNEKhuzr4hQn7nwi1IMwuNg8aQPn/e1DAgV7iiyRQz+NmH1NpLY42mUeoBzO8grr
j5xVo8HGDTXJ2/4Yhw8B+Ll0jq0xLJ4Ke6gv/hyCyIIqKtCHZ0yHSI1PcW9xltr2323HtCu64wPT
GDWDqxEY91F70fFwFEeFDuAjLt9Dy08XkDHvj0qWBOHEL26D9vfPY+inZzchxmgKsvkQ8pqTPgwF
rQ2HL6pr8pd8/pmA6gvKmXh45iI4CNVFpgJ/Q0eqfdgi1A4r+zjY2h2NZeeEs45Taaw4WSHmuQZj
1IKlITqnEo8wLYfzosq7Oe3dWxK/miFu7mGCNAro3nxy3oWJTn4rPCHiAPALiT+BP4D5UseP3aCI
MoIyuFCxtkfi1fBvOTXPL+umxzYWH4hYdYomZscELQBkRr19NkqaNK7l/oz1ClUynw0KH3x/C6BT
a3YO21obCqS1S1cMuM6JuJNzeGqyYII5r5M+ng0cgLZHNVjTIccK4+OPIUYarAhmKZt4OmIqcpeF
fRqNdlcjjPEEw6Vztn5CTm6eJohQfu0wfogNflJ7EnAryXNvl4VyJq0og/qj1oXJG046RKU4ITO9
Ce8TPYoPmgp2eXmE8/rBkF2+2E32iQAOhOc60tAB4K2Nge2Evr0RZOcdm4bwHu4QxYzbnhNbTy8K
kwK8FE6hNjCxji4wzuWeWBCbzLgibn7GJXTjfiB6YelRnifV/J7lnI0WtdzmOCX5Zn3ftiYA6dI7
A6k50ZMBpWE1lUd9NFDMkMaJzWLydMAUuLhi0rcX/VuJf/okgvRkLcxE8n7CMpa2wF/mVY6Pjy6b
s9JjwNcdCVIaYyQkRsR6ve2TVWbF1yGALzrJc1205p3A9RKp1S+cJtHLAlAka5H+FMxRz2kTftfH
Hsx6iiI2Y9fKWqrrlEydPWZPnPUdNI3AQB+dSXc/ZNlBq8vDRKoy84RVESTKDg0IeiMSRGidA2FK
UdzvMOakNygtY/jizOQjcPdrljv7dduyNeMDjRTxNEL54G/XDRXhylhjb+jDJfaNGeLQVmtsn2+q
wsUTMSrlZJoI3jae/5xCLcZyUmcaX0nm3bIydW9NyTKSEMFf3iGTK9bqGVz4YUAo4UNCWBjtGKiM
tLG5ZWjpbSJsLTpZOFiIYckVQ7SSyIxtu4yCUfp4Q5jTW652/2fdrhfCNiFoE4TmoHDuHOjW85x6
20K8AlSOxIo8NC2rJQcK67yuqdvZX0buJ+N3UppgV1tJMnh/WqwkUnkBosG97VaoV4Eqdz20D1oG
WzFmG2QRMawKC7e/Sgjo/mAhvC8LBEYxcIQAl2AWjI/bHmy1bbMjXgpW0bo5yXnwTNUbx6WFW1iV
rt+h9RNNQ5DgY5Dp+f12iUOW3nG8wnipz7e14ZqW5dUMmCy6bYsnu2trPMf+9u23SeD6Lu6x/WSI
M6Vy92Wcn0z6oQ8KNfeEQHZbSLbuwfa6Y0qSh37BemgKOkljdDc6qIgjyqg8DRpc2fF9sG4ZXR/e
8qp17vWvW2Ejyzi9BGb5S3fxhxZp/OjQbzzLHqnEMNnzqrJx/RBayz4rQ8vr2+Z+qJZXTWX1eYHf
SDrZJQy0Q5oIMN68D/tOyPm+Uvg8CqOo/O0B1MmM3IL5KjpE65AbSGxaO0KjlVSn7RUcm5rdCmpb
GxD1SHY5jWqaz92A5ggBOXBp+tB8BBI80sBDARQcLRBxLAaq1iloAQwadfSzWlBqQjKJC3+gq7Fz
MHi8i0VCIgq/zDh3RFiTSRvE97CCv4gp+K6FTuSXdE+MPdm7WCeHQTw3hB6czJaZmnL15kCLLtCt
illzc+vkzJcU8sjIHIvBuLuJJ1TneN0Y7hwAdTUVa18V4U2qL3UNio+Dx9G0mdx2df3J5Dc8FMxj
4NQzr7YG4OwlRzPodT3DSWdv6M3Pss3lboG8w+kHUhkwE5/s88c5Xxzfwn/kNzHOwhYCBo5dOWLu
1Se8ogZ5LvbKLEx7BMi9cdWKlWVSkWxTY5RIrKJCPsqwl5Pjfvsjq7JhSu3lJcNkuBgLo/RAo0bT
p7epC9uDUOY7ajSxHy2RIJHAdYbxssV8b+nDb8nJaKa5wIf2UrRiIDqXSCxd/pA1ZWUdgLofFhed
CCM7cu2BVNjIDSerfouCIroMBKHu8gDcc+UAMKaRgs62uSiYV/skuTPj36V1zYoZ8IPJH9ZilN/y
5GRE6sAmOoYYwjmPkXVcu+Saz+iac7Qbnl6G302pf4ppwHXSTzRdsTzyTbj4JkwUisa6PyPuwWIR
n8zC0Fj9y8QXjn21eb/A6Mkd6N7K68L0EInwLjc1627ObNp3HNMrA+1ZKWeGInUjvAUr6R4q99il
zzQuPhNS6CBBojuqaf0i/8LdwmFq74YKRo0dMKIxPpSa+yN52J4Sg3YBu/AtSmbqOfSRKBLlabQa
3romJuAJhSQwEvAKY3+Fjg4KFx5nz0G9wM+/EwloG/RI01Qgkpmg81hu/G11BCMrm2KOVgFFCz3/
c1fkztHE7KuXkXWqAjL41vsSdo57gHoKWX2J3mog6bqZobevM5/0pB+IBEUzWBSZ0P/ILcAokPbT
yWqJgOKXCQUMTnWpX+0I4WMOfOvRakjWmMpPTrvplSAQv0mKm51hoYPL+TuqNUb0REj2K/17WrMg
p5wo2zqjvRE0ZEnCfs6N+bs2wJis0U6lEui+ZScAnCS/98gFA0xRSKiie/IYCvo2xwmny5mOIYf5
8G3kZ5kRbZ1LAQi0x/0kOw4a4nkhd0T0830TV5d4/AwAV9lN8zSgGYVsLRD1YLGygvQa3YcBCHhD
0+9of4IhJWvJBS3AKgFP9HOlStNwIxAih4frkD8lixSXLNR6mxjPc4LFKHWiX12tAyChSWQazYKa
jsBOUdI0aHQXubf4CkwMEceg3lYnkx4mnsy+SUlWpVu4H30WvCLspGulgnOQo9fPUiQkJRbZjmW4
W6YvujIfXTYlFIFPFJj3cRn+mImpO6LJvdQ9WiS9mg+1MdZ+m8mJnA3dX1TU7vsAX1BJ3Dnwavk6
GUnqU+APDsemKc3Q4VafbN23NEeOSP8ImISBGMV04t+iX2OH0fk1Cz2mqHyKNkcsKi0/mwZqXGxP
dqrLt8ZsXzu39BvJz1hmQDtxRwCpAIB3CMMVqDCiWgRpvy/M+sOUpe3R1bYPbBsEjVR4WfDre4Ia
lcWcqiwS6nUArxig7gQ/MJ0RM+2TQB1VHcGlST+Fm8BnSoyXJol81uBzV9vgN2f1qweNg/WHk5ka
is8wJTp4ttLhUEq88Z0JA4a3OcAiRYhbrGsvTNsuSbY011AAaOkqrHxm0zyMlnleQrJLspFqpnIq
iTkU+JTWXjNASIdOYO7T0nerBksmy4pyHaCNm1Am5EjrZ7ysV9FnWH6FfaoKkLGTsbrq6Sx+NutS
pkZ0qZENGLHryweeNi1ZDq+UKAZJeCDT/ATj0bQdFZE1xYGq8KpdEjoRu6BT+sHKMSO2wVcm8pPX
1SvTIAPy3GEKioYZOiKAo4zMASzl1bvdQ0unfP80zRfTrPHA5zbBfcmxdJrv5Whe3BgU2oIzWIfQ
TH0OP6qYy9nvxHQsUHD7FvJZ8lXDW2o6l9hkne0d9R4Pkc6wNfYIXEfQaqA3sR6pN8b91ECPoZC8
uA4MP2e27ukze5ZZ6BQlYO+ZjLdYXZhxl/Wj6lnxu1w1aNDAJZkTGz62Y7h8dAGgn3+KobsVyu8q
ejVBC22lx9Pu8RDXlF3tlCGhZ40eXzJnNT4gzz5UdA1bazhzBi/vhhKDSs8piltTsbwh2+MAhR5L
R34zyJ5l0F3OoRvoe2iEPxIdYzBUt8swMlzIu2f62A+V1RENk4LiTTlyp7bpi3AQqP+ad5NvNV0B
hQ5JhSfdsU8AMAokZCejKD6dwTiUc/UxJ9UXogxxPObykERmdzE1SS4gFkokgEiOQxgbq+K+8hrx
m85m/FQ6ZKCAgHWQxI/xSVTJpU8v9PoYF1lkJaaJ/ZErVrSxNJ/1mDg81X2iLvjejRAhBwPQvQ60
qBDoinPS5vZToHXXsa9JeSS7LibRLohwpgbVnj7x4k2It1oNk3KXhwfZWQu5RVO/J9bzWBgrv7Mw
HCoIk8ANO2D5MIFvzvM1BcI4owJArI/5XZfjE3slYHshX1u5EtntgUIql5daQRzSWKNNwbx8y+dQ
0K8jh6uWii76yAE5JPtBzb9HNNF6jXhOVy8zoX/oAFYPkMY3SukO2K0+mFF27WkOjAgF/DTT5R7O
0GwPd3nlUkGG/b0mKGvswkSbqQkmq/KVkUe2G8KaBbRb7oQKLrVWdIc5TUhNCkVKDEhBGpW+eI6d
VdwwTI4a6PNxhOEGg5usEnfxJ8t+GsTNHk5NMfxIow41qXgivR5CVImzceEIMYrhowRTarO+lXFv
7/QRPbOJCyyGtzQRjO2rCk+k7doMt3TYHGqHUY7YnAcgGkgE5yzybMKcgXUSg2g+Q1nBTMQU46CR
y7JTHKg84rWwnt8idn/mxxFLVaC79yhscQYSOJHEbuulBXikCYfzpSLAr0eq7NMofgRwPF3JYnxy
ojg/jk32NR2157SKySqBe92vsOqAUPu0QO9XOssHZdMtIKHMAzr1Jsay2OdJZ68Y79+NAxxWlbqO
/hIRh5j3Tk8shKkRXJoMjkE7ZLTPWUTwBFbNj6QPSGt16ntM/hpWeMwiQKBL2iN5Wn9UCoddj6uh
c1i7Q52U29TDTxNWOVphBaJ+QW9NZxh5ddphkWEyfTKs8edSmxDQOsoZ6EVWSBOgDSWLFeu1E2LK
a2nzRS/JVF8EBRjhROjiZ7p1/E3lLgLEt7PwT1OhDyvpw8L8ZHBOgL1/IIHMm1NK1iBPh0tv57cp
S/JDxoeQz8m3KIrPkCH2yN/DJxv/Qp5+NaBekTVDUVxlaGtN1MCqX7ldNarSVCezManxSOGisA6o
Ip0vC4k8F3zZBAiv/8oUXHuIVP20/SLTT/cFDLvV1rgAHb04O1m0PG6/syklp41MgOA3CUGoKWwe
2/UfTTqs1GPRELHlWpgKseePCeO22mi9aRqns5kRylCMEcGZ2J7jmFIRkS+t4IJ9aD1qD+hD49h1
7l3H8msXa71K+guLM67/YVG+na46kSAITi39wv0yBaj48NUPysdLIEjNqd4jALQ+S1XPIRBNZZJB
pYsC9PpJZe+3U31PEmeKcfEW9NJBYQ0UTFmAyZKpQLKcvjfd5OVUJY/ugLfDyOYRtyWT7MJS/p/B
N0Pko6lfnYAlCTNsc86Tyd0DM6iPqabHh7Stpceaoya2JTIoOX3WIt+VuEM9/KXukQj0ztP5T3/U
TvkH5hFSuVe+7GQtw3Gska8aCxWxxTgm5SZm8Jkgg5B+uaBs9pn3YYmzyYVd8t9dg/2DjWnTnq3H
/3yCTJlC1SZ5HAUT2W/FcTSWb8QQjDdac5zSPjhGSdja9IOWbESSUU7XdJjQeJJiclTh6A2GzU7d
/gqb2KR2crqHZVoZQtF8XjoBfgr6OjGlQ3x3MuHDn+0xovE8BL8Xk0CMqm9aL1xN0WXP8ihSo7iL
tJWApQX5pbW5fJHrkRfrc/1oNgjp9ciGGQx9LpP4811UeFnXfaV4i4da86zRNJHdJLcim2Mi2984
EDABI/ubQVZyX5TlL7KyQg+GNca0fgRuybu9tZUqzvZpGL6msd3ci9m0cAObl3Axv1Zp5z5UdVQf
bTf53c3pdNCygPOU0zsXYpxVQJt765qoluhxjL86rXImNCDRQ2Kl+/utDz/boUHjNXLwtzLP2bo+
RYxgwgkSdNOihsAGnwezMTErrcXxUsbnMIINvXUYsbnyCpuBcSMKnoP6jCK6NvITOdUTVzGSq7M2
o8KIs8Mo4BTDt/GLqgIr1r8nvdt86cg55xzp3C9s4hSjMfW076Yn/OXWARthe9Rqhm0YddkSgk+X
1vqVlGgVMucOQi9qwvl+qBVvgTZk/kC0jh+h4rvLTM7/4TjfUZJHlyqcDtn6MjOYmx7hMb7HqfEl
sNWKdpyXUyzUJ61vf2nIc9wGdZXFWCFDM1CbReJTIbFPri1QNayuZzBCtAysX6iaQJ5RmSMmYSQO
H5XBQcqOHrg42mK61BlMrEPZTrzF0YtKHQJmrQhIUk8Iq0SfzYbBT03dTKwxU8FxnjOPdJbE69yF
zI2KYAn6Wxi3VM/dWzBf8f+RSbLwG3C2EvwD4deim0G4d13u23i4+yNULGm9Hp0ITrgI1Gl7E6ox
fMWfJC8Nk1L4+c8Uke6pW5WULvcDMADOK+j0PgnqYm/JlkDNYpyACFIKzC3RKIoFl0idplyjmjPE
5Cn1fE/3UpMFj2DGjZcBptIrLHsw2Dh26826ezNfR1yAcqLiyJ4A9glS53dn6I+RszqWZE7z1C4E
Pb/1Fe/ZhlatlXBjXGyp60N1uZPpMvkwfN/aokTDD4Of4BP9STBrPme9SZRaVT92qBCveiMeRMeo
ZRndcwc8EW+FxbxgiElyHlL7eW2LmlGTnKOUZndv6s4xbq3PplPqaE/9fIqR+AdRkECurKI75Krf
HBChD4Y70w97jxfTvM1mgOGsl+MfcRV9qHpXdk3BaZ8edhDG8uiWFfaxWcTHojRO9jCnl1KTOSaE
7BTMZeXXcELYzcfsUcb28FAlBybJrL5uCvlI7LbeHxPdCvMbG/qSIZYKxJNTmBNJJnxWzveIUe21
NMvoUirnrqkRQ6WofroRlm6qFRe56iuddk0zZgyfgdfo5jG5dvFZUyontgEnmnDVLYgB8+JbuPUL
YYsy773ByqU3t/aLOdIsVXXzq7UhYdS2dlNW82t7aXB7lfsmrL/Su38Lh/zVHQeY5duX0LjqGFTI
3ZsmhI4VVRfROw/QvlF51Q9F9NLihF01Fm+ikTBr1jVECzNMSQhuTxNNgH1tiTdLhURvanPtGwXR
lp3VH2ZFVBVt1f/dE8cvjvCDsHgvytlsbUF+osS56JcKhEcnf5jMta+ujfkryNtzxnAyA9DO0Y0z
N4dveQQ6L3dh7txLkiJ2TRX8KFM+ua2pXaSIH8y+DW+QAp4i2/wwqH0fMJP0lyLAnbw9JJqmxtFa
XWMGo5BinVaKJfliYKy9t4vml9XGp1hl38aS0TcxdS828YNnclEwzE+GuW8y5UBjM8PHuCt/KeOy
SRWw+iEiQOhzpwDRN8My4pbrBF5O7Xdi1MFpUeYTOpNZYSkO4hHNSI69cKQ5EDbV5Gcd2+Qc9879
9qOEQpXE1vFF4T/2hSKXnLAtsGlgsSAQLPIkcbdmfGtPhiT2qsbNWPRIj6NYOyuLYf4wC0KuWu3q
aOqjLOyn7S1AvyWvSZq/m6X8MlLP10TmPgRp/iMcxtRLu0sp+5G+Z/0zb3BPDUmxYAZmiD0h8NMt
/UvHE+JuDgAcHIheYx/h10KAMQaonOMIIJgW/i5LDMl4/CxHpV+7IbgrLOQiZOZ4cN3Sqwk1al2D
ujgOUO8tMxkKYNvTiIOpGU+gQdLPyo7A7IlVD0MSyT5CmkH+KdGsWwW3bWgE5DWQbFzsyPVtK0pw
fzRnWa3E5xIjrxkirs5N5IaK5NeT2zEVU6wb+iq8auLgXnfnz3AMwm86n9ImRdwKpW2Z37aLqq8/
DaWGx3FmVAI6aShV8JQLA7LexFcDwPfQYjUhrzMl+rygN5u3nWcr+grGQoKFDBLKe2IRPNWb5IBW
BOStqNMadbR0hOtVMvrW22ABub9JN7L+DtNhe1a5UtYp6sOzqBSZnW3+tC1XyyplAZCMz00zdow+
epofTPULmZ9DRierw7/cjWbytu0jfwT0KKO070YcaxctXb4tCBQo6DRW0HX06EioojIZxa1wzW/4
dmlxuP1pzKGGDk2snYLGvaO3H17AmOBvKcjKDIboV9zruybuzTsWmYegUulDb7u/la2dh0R80cwR
9YLAq7nH1IxSpO41Tw974HVKYBJY61OS5xlDNay4o+iZMVOZiWCYX+OUFXcTl26qPalrz5FLtvxE
V4YgWfh6mDipkWnX9y0v1oBBx+XsTMRPdQiC75kW/N7mk/06tK/G5teEJWgcFX0PDWd71cc+8MrH
weAe/FENUVCUBsA9u8XH7ZjGtO8GMqRJtB3PpR4+uGHU+pmmDftKAULc3hP2mPDoVO6tHN/MubXQ
jpn4ASDtsyJXFM9M/0mAL6/ItBkBrlLXrifkoR/I+CF6B2bt+hB6i37T6IqvY4gAMhkbb6zW5GoC
07ZfX7fA8mdbhTTAemHut+dqU5r4JMTGHuqP8aBZWfRg4oJKrkkIi7CYytOQa7yFEavtNsrPesqc
JLZvYnIuXYgwl/C7kgQ8uPerMipEDHUsgG4WGDB3TsyQp6zD/n+oO7PlurFsu/7KjfuOMoANbACO
63o4fc9OlES+ICRSQt/3+HoPgBm28iRNhv3mqMqqymJS56DZ3VpzjrkecZ7sZDX4mwQQqYt+gqDL
hHOTr6x8eFHsN1kJKILRFuWNpN4UX5R+2HZjoRxQcVzQmT8KL3ZgJSq3xsRR8UzsXAaqOKOL/e38
oGUf1ierpzUjpomu9/OdXkAk0HRhUcgq91GmQzHtWoVNJhpIXoR5uzpvvXk2JKl02Q/TzrqVUxN8
jDsRhaXJBrLAYsJOuEb+QWhGljw0eC4uqYUMraj6GOMYpPwaLhWPGZMF0wH4/6JaIgkkfcHMLgQo
gdWakvQm68ZYsPX053yjwjoqzMWXOORN5FhG+FriHAIv8pYlhT+o9DzdTNT8MMGrTXUf2vEkPTfG
h4Hqxi2kG0RrZUDAKFgCt8dqa4HcW83bSLyBFRWTdhiUS9T6h6DV9mpQ06aZhk6qkPEG8ItdIDFG
gD1x0yFX6FB6rjMjOFVMmew+bQxDKpTLzXxXtTjOFgpIKAt1aaTYS9VCYWePhrosowSJhWZg2DXI
TuldbYeU4m4iwx70PP8WtsYmqItnP+jPmgHSaF6nGN7k7SKBAZcGf1wxgAYb5GzRlnkGc0S85STq
cTgrKkX/l3KGSGaxMAcauWy8FpHsHpzIUN6OOMkkjAgVgSnb627mU7DXEIFgggHOC+dEHce5scM7
MzKzpVXnFGwd2MkVtdF5RA5ZzUgCmitM9zyvmFB4lVBu59mcMAIShnOH7OHSDsgbTY7Y6akEOunD
fDrtWcCoMBIEDZOYaMU4+9EpXMCbkFZbqSKqiZrj9s/ryJBLc6tmdKnZ0/LBkDGkWnC08kdnHac/
qBuLfVN02JEbauwi8AByeAEioabbzNPBLM5l+tqqhYoN1+zXgK5fbC9ft0qzL0LApORV17vGAMiU
Zx0YuFgzUGlUHWSkDhwWTnMNhyuH5i34h2wvsLLhyaER7idon0KPTUia2cM68GxajAFpWxxSv5mO
0LaKzcm4hOkzveti27X+JRTF3fwmq3m200mJWlPGug8APL4dtTwSTFWrRPxaYqWeGtsKNfhGb86z
H2p+CAbNVurWayez9CMaKuD0UcGZnSGGilBZ6yWe6NKO5VYRVNosl8Sn1r+3AGEnPq5Rt6IXCWDy
WdN8sZlVsEix9XsooGuykWgoCB91HMBfZLDEOVmw9qa5lYxFZV3n+t08vYQTbnGwyXEZCDFe+GHM
mE+RkpbZs1o16U6pVJC38cSUNMTejLNXgtKzC/wlXs9Gt9ep52cHVdAXSkV3doa9aClVT4rzeNox
W9OpfR6p5O4CsjCo9FkWQAwSEqCnGWgTi+m0mU1itrIIdugjoFkG/VfHQ3ofE0u1C2sIs/P5eEi7
V2LtEEya1PmwjaN8lEC5oz75TV2eq5v+Vzo4t/QhmSQdtr8u4cxmHBE+TG+PZtgAiOZnNl1NZeeP
flgPF4nYjoQaqE0EMa6auvoxDzE5bbqndWVErA7p6EfODAQ/ibbwbOGD/asd1Vv2xAiHiyzfpSE2
mpY8z1UJTn/R2dFwHFxtaTEXHCgcfy/JxqpM7xf6XHq/kBYDI8lOCdLllSj1lZ9xOFMmymHrlefA
IWgg0148BcBz2dDdmVf8kXoCdEeMfsFAQZQANA6r8Kl61yqPoicdTdXaeCVy8w657RcI7bRw+2wA
OJriYIgR+NQTGyAKX2jCxJesKN0NwekLmivMmE7+WDJiN12ZObTitVUkxcGoFbKZbC3ckZuAvE5o
L6EMKRihg2bHZ0WrGH86Z2CciVIJzUtHpoc1Glg5I/mbeIRV5XXxGrIeq3kGpb+b5N+TIvNt0oBr
sUuqHvS6q30nOwWYsQu3RbdoeVWNr63Aw+AFmWpjfk9fKlE1Z+mNZOB6vP7IfNxJFgesiGLrqgVO
QWyqoLIz6bKY7+fCkE0sXtXShvCjqNu1/ioi22pFypqx92rIUt2EOmuNl6R3nRtFrynGIPqpGxL9
GoRweZ/YW+q2cpk2nM/ejosZkOa3QoQTvJqFYtxm4TMSEPh4fpTvzPS18BtiEw0gVLjKKaUQ/u6M
VX031OOTIpQJOU5FSifQ1SRT8KE2YP9l9mrelylAbMm/JnprUhA4ElJypgEq9mtC3URtbAojfnY6
HBsjCdgGYP+6LLJz02TrJkq4LCj6iw4VKJX0fFvDJiLesjuJfrAPYzF8r4gZPrMliZYo9bLCfzAO
mKXsfaLB+2C7io6tCzcVEvJjMshlNnb1SuhUWwVrUwG9YVeOOcE90d3g49CJrbtBM13k+cR6wUi4
15mQL1XCRWjBfn54SggbWCsRzlB9rPCq15yakabqbsFJmr7qEI3k/bJbPISHvCF/xcEOyCTExMrs
esqrdSObfeMDB8HrKc1zmkO5KlCigbJTnIUmUBWYln+jKaZzeNOZzpp/5FQID8k2c/ZgpYNDRlNC
MZAvBuKVyqO+LllCObHSYqFnhRxwgFODVA+2QtSgYbJqJEWAOlRu4zbMNLgTqGsOkpAhBQ/koSDY
9aQ7GY4cdji16B9Ut1ZvuJ1kEdR6sdGRcSxo2uPraO3nwCH4wu9ZYnn9gO4G9rnJWLTt3jsAtD/X
lZMsYJ1660CmkM/CjEgnt8NzMJnfpk1UmZbVweQsTki7gt1tOi375o+eosYZPlEE+5usA+jMay9N
wtX8Ow5Vi33pIRCe35q+2akjEsqC7Ie3Alnlvtpuvg0QKh3n7XBttwfkmcrKLtFVjOAb0fYUSJl8
mrVu7r067i1CwWQ/SwhT2+uOMWSBU9G7d5EKqCJXZb+DCA6uFodAiEDI0d2fmppj9Bq03WCZv0M7
EMf5tNmP+k2ZZ9YtuXibUm3wWACBwHHi3dRfjVQUt/NbJCoHZaWasW+v0W9abhoeAMst46lYmX7F
XPuMVMJ6aElfILE92VNCqXZBRVWhz38RINClbYAGPkr2YHPAXiCLtwwDeSa6tE0ZEBJvjKTF8vTL
dGgOPXLmTCHw0jcIrZzf1zKhIyzCc1e5VFA9/bWZjM5lm31PWgFwXy30VdOEQHSz8JhF+h3mH04R
CJ7muQhe90q14LwIJ4dyqRv2Nmb3xbbVRU8IFY8K1bxTbXAC7+LQe6yMAguXHl3mG+03jYtXpH1y
IgtYlRkUp67xluGkuy/8wDkS94S3ww0eskLeSKqktkE7xZzi16Y6ZNCb5ZaO0cNs7Q1wDjk1h1l0
+9u5dK1qclEQ5mFnNfVcqZBlPm+nA5S/KGIpDM71JAepAs2kLXBgisktiZ+eSb9Wi/I3U2JdAJER
5kDn3pfNAfYVCqWKXkKcM6uqSMIVYgV2gQZYk92vyFFHmLi4966J8myeYufLjWr10NMfhNimqDtH
NdfIvYiTE2a/85w2OVP2+1ooDoRi9iCoP8mfKgGKjYkIL2mVP44xfXkXvA5f94BS6JvfT1t6zlDr
2vX8G128AkDSD0EWvxBcGqHLok3haj9Rs8G3mB55At9yQ+A9TaHQAJqndiDzCX9WqMatm+aHniCX
n7d3UaOhiND8eoOGcsC8BK3K9LLD0DnpSWInJWjGP2EvtOl95IhVRvXGre7NjHunTzVBhHjPgYYZ
jjJ2m9UC+F6ZLuezCV5FMtFN5ehPgquopCE1laJddJHLGGHbrg14VQV07i58mieXevrylH5Bxyke
QujpqJFF3/2ByHj+GxvHl6QbMyZ1BksF6H4z2/H1wDL3UZQR+u0KaJJvbowKneACZqCzollJ8EQM
EMgRqDukImjhu6f5BiAoAGf3NiBUNLsE6rKGOjekm9i36OQfnMaKDs3gnyy3M47SG+Rx3gdwIsiO
OdqjpWVxZusyEN8odo9EHCAMn9+HggCxeQeK5HGl6Q0RBSpsbi+Q2QmGyEXH67VV8MTQd2aMONb4
UDagB7T0oFk6peOwiDZzz2ReYl1VbS89nnyaKSGQwL5+ZUi2DL4EAJHfnjIbKZHPXeUMh4q+Zkvj
5Gh+ckKz5vKAEzOLAAWDeYtTV0frjfO2jJipGWepP8UMTNtApA8nJ6jcbT+qJwIA6ChOTdYK5Y85
Pme9s7LwAD5BtcHdocKU8b1w1znwmmn4hrUGRSEkCzGiDLDsGy0ms7D/ZXse6kjeo9QhsMHtR+su
n6TtGmtk2BU+OY8sI243DsR2i21OzslyHMceSKBRnpC8r+btfeDm/k5Y9OoCC/TZpP5uS1O7wf52
S9efSLqpodIC9t0Orb9oVIeVVAmDTesjpIGcq216o8mOqBKCy8ixDckIirI+Fcbe7cSveY+lFGq6
bXqSJHIV0CH1hGgT+OntXEb0HYKpzTEfbhjcE8RKfzvRFHXzlSZitaPV8IygJKdzY1JHxE+/NunP
Idju0btmTCd6U6sb3zePXl2iu4IAZOlIM1uuh3TB2ddBVusLdU79EX4ylWIgTeBxKfC0ASctdRyo
v8OL0seKECsJW4DOS6CEt3OBom2U+rb32pu8r4nMqhWSanuFsAPFaI4W0R2L2fs3TInTBVL2qnDM
I4rGgKyk+mleS8kOa3ddGLQrd6DvEAB4z3Q/QNpE3SqKDRjSBHOMtf7oJFuwt0VjsWBNrBCmMLGe
f2IlvwH+roCuVZs0w4AWVCEo+QZrvk8+e0cKc2HcibD20GxPdRXCzud+CKy/XeVGNIe0Hh8IBYQ0
8KxjEKjhveF19qaa+i9VUn51FOblpup+epqCj65mtvcQkiOohmTZekq8Mjqp0vSix19WGgVJtlob
pY+/+FX6SkvSXNTqsLNMdQ/6h+Jr36VstVC8h9k33P/RckwV55T6P3Ov3JYWo4Z1V33IykR98Dj7
EVy4VMmHWzSOx6arUvuLK50vpiq6Q1SzOctUhAp0VYCiOJSLO4FNji16eerT8MfsHMgrnsDEFyl0
31zN/5eHNRvZeqEeS1X3Lj6ldJqpTMHToaItvPsauzdiNizEBCZefMfiYDcd3VvMcofQLDiDVcMz
oKQvARzXWjrPks3qArFWC+ou/t7bLUEKSmuygWyeOy+r917rEybmVzcUWA8jN2IhgWOtlZGTn06C
F+BK0N4VNOBtnfeSlwZ/GeFsZOpKGoi6V9qnbPreZgLjXtor6FZbuiYhZ6chXkG96Y5BrVmIhsM7
Pw2dm+SnsIHFRUSnBQa9DWFUm6aR7hEyYjk0RD+RTkt6TbAyYp12cJd894082+CW+U2yeA+nWkUo
xSMy7KMetupKOl76G+eLuaNebJ8wDa0AUT2UaddtC8tYSt2yHoSaFHsa7+d5XS2q3KLOYN/SlfLO
lBEACVhlzeh3aJpJfUeG26HSAvN+funSbkgJkrO/JfRsT6Xl6wfT0fKVzImvAcUScIgjmIKWJwYh
l+hPRO9+TH0hjt0tLNYLwl6uOFEPYiBuUWMntzY8DW4x3Zk782yMJPCIPvqGcPMFAUh106LRzz17
OFhJTkALceGcBzl9ko+GMg1TjpZXMM0birjdBOWZ5rUq5s+OwwGN/bT91gpUviIdf4yTV24+npqS
Fl+f0fGD/FCwA8EvYIT5wUb1a6aqeDRi7ZnUpocQ98QWb0+wpmzlLEiqzbaeiDXEwjpG0ir+qvX6
STMLmk6F/qL6Rrir9brnT8k3lSKbW/rS+l3Z6vQotXRtdNazp9iHGfEQ5sYxLSmFjMywKKzRMxoE
iC20VrTHcZSk8yK98ga4ty0Xu1fUBMPToJKwhEKBkYAKfxo5WMjo2oR0pCArjL7wbsJRe9HqDiVj
hLihJP5K8UzmI0nZCnjvat6JpCWSY6vZZSoHHF0lQ8wcEPIa3YNNxpmBWnvegJZ+9c0urPLQGC3C
P2Qe/F55F4msOxn0cAck8cGQxGyfdCINaKIIYENWdeSAdEeqe7eVaZJQdiv6HWE2FAAxSuysEVG5
htl7jUk/OppdXROvLcGfpkl5Cgf3Ptgb076rtJLiwFPFVU58Ip6FDnmybt9ZzQ8USNkW34pYh5BM
pU2vMqqBTUzdsBnElMb5Y+5iPw1ZXFe5r1ccUpma3NCi2gM70+K6aTIiHku+xES77McGzgLp7gvL
Bq4+hCauq7biubU139Tuyp3iEVqYB4ALUflidMip1JMc3d4oRCCsOtP6MbcChQh/WYg9D5EJa3bC
iigdw7DRqvzErLnKagaeird7JZQUkYDU97GVuLy7QH2dSmnWWsGzd3Hy4tHLGIfeT8Oqst0IOhSv
GEW7NNAoQprt747QUoVuwkKhc7EZUqHhA97oELEOzohIJzdHOAiCqb8okpvU0K2tyNP72UWvYROf
D5yycG8k1bP7kF7+tJyVIt92U3dQBDROkyEWG7wkJ4qzeIom6hczJXoHuqwaC8kuB0XNbrVLDzXK
bRrWqFfr8LsDh3ALWR4ydP0y/1qiD99cjUzqjO1tElWknAoITUA3tY0s2vaM/lD9CTQCqnxN/7kg
gWWBz773Jcd5o2y+djgfiOpIH9yBbi0aZiaO2CYETI0xBTZ/nbp7nf25JHp6WTvWSs0FYtkGW3Y0
VA+xMI0LOESIfjU5FyhBjxka/rPrU37uiKLj9LrauvT0z9hbeSAFjZKqsk8gl6NzaXTG0m/ozyVu
RayJCiRvXp0xuTV3WrK10+ZQBTxgMyN0kbbhcRCZ/1AoyskV1HDKhIKc0TT17WBy6aVrgfMw790K
bkmpl2JVh1B8hewrCmnINEsxMCQRG/x8W+dQWGP6L7qW3gDyCohvb+sRkYzttp/+SNbuhn5+A2OA
theEzWTdu6NzM0K1FJPiCbA1yYYeUTJMKjsFnM8KItK4nkEQtno3kzeApcg9glWqVkNtQKAIw5Xs
UWymsRcjRlxYRE1yvEcgT0crgi2Ovct38GQ4bVjssFwkMvuWIw1KLVe957G9KT7A+h80Q80PmlJ/
KVsbOweLFp5kcYht2lXDd6DPA6HZ5f28U3ap27OphVPvKSSVRm5nka7UpGt/RLUU+b8BuLXIxEW2
znBMbEgVM3rl2dBBtZI159PipHv1n/+b1nf7BnT5j7RJbjOiqidE0D+ZM6g5dQwdcPV4I2d2yh9s
FIAWXV+ywC/1CktHlRjsx4tSnJO0y/C5sHtxCLq9pW5rr7paIu4Y1GBrdSPQ5TfG1X976f872oK/
vkz17//i71+ynAnV8+urv/33lyzh3/81/c7/+mf+/hv/PhPwCsPgd/3hP/X/EWFRh+T3fyYsLn7F
wfgLpCIb33rYv/6P/5z++b8Ai7b1L2Z1wGAOtmUSoieMz1+ARdv5FwQuC5yZoTvShpT4H2lW1j7v
gM0v8WugxKDhgDuDh1O98RU181+2TXPAwcvIzpiqy/8NX/GKIWTyhzs2H6ML27Ec1bqCVTV64GlS
qNUWdQrnsknwSJhAMX6C8bpCo719jAZm0oQaCXHkCu8zjAVAwBHPFXFVx4bGi2349PESSqTYsGkX
jIuB4vQfD+GdgaO/+6kmSDs+UnA7rz414tIwt0/WfMKFF3Ebrpl1vztVf6T8BHYxOEjm4img/DB1
unOxdWzzwgb9lieAAJ9tDwWDR71VbvRE/0G8yEpzguemUW7cQb1v8xdNi745tfclE8WekDVKFNWh
rpSvH1+I4O35k/T0dvuweEAY5Elp1vTzP2YArROu3jt9te3s8JduNZxxuKCaZN4aEUACDEbEEe0z
m//IYOe4jbij4MbU7QQno0lhFtSbsZFfPGJ8QM8UurHJgSKHxnHMxJKsB3I6jk0+AC027/TwHrLE
dBv0kl4Z+T2rUmZbrF3IOimBfnJx01P4A2M1XxyoL43Dn1Slfc1P9A0Tco4s8OPF1qXOUH1nR60p
N9j+vmC1v7Oz8DWyrYvgHpOYA9QEoEdtgXggz8nI94lN1cty1oGC8IGwQpuUQV6tk5E25zHP9519
0KS8tJJNOPKEp6A3tjb5cN1gXkgZufGd8Ent0s9IYVdEq7fLEtOgYvRbqrwihSmmJazY4pnpKRr0
kHxss0KZid+WJBtocArGHvB86UJghLVicdahHtdAYFz/Img5LGsRRQTutOuP7/d775IjVYiV1gQx
k1fUMLWxcxm5ebWNSySbksgfX3n6+COmSePPJ2qSyKnq06iTQmrCuP6IIXSySITVNkjXiWofGyI/
9fxLVRDmGAOVUbVPmHHiehqbP1GwQNI74TB7DV6VtYbvIvUB3HV8pP6FsKsn9CAP7H/uO3/ccJZ5
8rS7BumEL0sw5ndElBzFKPZKFj/KIHhwS3K0qgFAX3IPvuqmDtCrxrRpswRdVHjvJCa57qdoMLYc
+6HseBvHc46aMnyNajDPhhmtWrP57gbFy8d3U7OvX6Xp6jRmHJYEVRr86+/D30xSK44jhQSdKc+h
SpAjpPr4PKAcTbXB2neNewpcLFaJXcfrzkDXZ1O98aWtrOoyO3XJg9IDJFDFrW8AetVCZ03p0l/6
9MkGaM4ruiLP7hgEJyQm9DVCdLQDBo5dKnElqqmANti4tIhzaxIMvNZI3WmrEfxke+Sxp809yfNP
nF+gEpVoDcoyvYyWdvLjkvfZ+eI7ZrfCkmMtaiIPeqtmE4yIKMyC7ajZz+1g/4rdjDhPKjcliaa+
sB8pObK5C+6zlK2Xm+YgR6of4TgnW1jkN+LYGVQKa6otv5p+sco1lDUyOXWStJ3gd1MuSx+rbuPC
7mgT+RwpsoJRUSmrqQU1hu2PKPHpK9b3nZVUq9hqe8JvMd95vWJu0jJ5VhVcKNE5lfrK5ICMXqO/
tTvyIKvAejGpNKlkVi70jAKhYhvhalxrvDlAYvpVEfITv6oqMvSC17Ah2zg4qfgH8b6CynVgZxba
1z5UnrPQOVcyO6SOYaB+ZU6L+/wRJ7suu1cc0DJ3H2SJmAPbdCHix8ZskFpZyU10K5EGrEliJdDe
mqqneU6OS2SS+bCs6pByofJgFHJcGWrPyxB156IPdc78KJXZrx6Tpga40rZ0uJB9isq/c+P0q1Ts
lZslNtqeauHVN3qX9CtDwWPZd1O0A3h2IqaO1CicZWdlNM+QXkVC2ps2f0yVbzA29Y3OCyZL/HZQ
Opehk+6Gth8XiRr9xIVVIZJVeNGwyJs7MgE2SZb96FuqAolzztR6T8Ajatdo0+saNHf8tra1FsE3
Tin36ASoWgQZJhter6FETNvpxb2maOePB901ytmcxhy0aTBOcHFBpV7NYVkCkaBFNrqNC9dfZ136
K+rkQQTQTlCY85cBivk+79W9Wph00IbgPo3J5bNdktMtKycN2dtlKYUA0lOX5UBos6UYy9En+pKe
dBqmKGiY4NNsATgQfIetPox9c+sqwMsaw36qKuz6dROePPZnCFFA54n4CR0nhT9Po7tP7K2Hynip
BkSKUCAmbtghxdz/oZPQg3SeZUVtIcxjTaMcSiEkCJ9Spd5IpXjRlamClnVny4t+NSHwiia30S/o
T2XHPR3i8UELMIxEwW8HfsbQ9TuwI7R7Gzn5l5dB5N5okJa9YIe/9BLJ9lx27pOZ4CRC7igbi5Cx
MiN8CuE8iRzxyxiE91HAwAu8+8bU++WQN48U2xUtQR+vbzuW6bEi7hedCVuvsnn8+IHO2NDrRcm0
TEGpj2eriyvm7eCpvTlWRH4WRv4t6Yb7KFSWhX3ERzZJEOmCmt24Uxr7UHGvdefcQfBJYF0trM4k
X4tGS2FDA2viXx9/s/mT//HNHHRjqs5fENP/Pr13mk1jsqlL9LQcUm2aq2TBLfdmAyzFckjxMCrY
X+wFJvddP6Kkt5x9UPq8milzPu1o9KjhITXic49YGwXtjRPJ7/BekbpkEVHl6A2wYyhLtf3eGI67
rvAsM3FGByIPJls4cpmPr0l7b0GWtAc1FmMBBvfqbqsiK7WcwCMayqG58nMSPEIbqVdHsldNoUYZ
MZN7WNbZJC1iC/OozKJnxfleuNT9GmQRg9/efPylpvt4dZ8NXSVP0DbYlfzjOwEGNutYRcowptbt
zLjJY+PB4/Bj4ISk4fX68edpV+ziaQ6RnNcBxnJ6h7A93aQ/t+0O6HUMTuXWU7OXzADHVQnroFbK
XaPLQyyiRzfXzjjvlo5IP2GqvnOxfDZoeEuz9enF+vtnK1kVxn3Q8VIRoEmD5JGE+B2e75PR+QOG
6z79f3jkUod9z0bF1HS2fX//RLNTbKeICh65lf+C97lQK/+2DLs1HRG5dghoDHvrwoYBmFQ/XrAP
VjjKWdCxSPELSfTJvundOyCM6Rxt6RZi579/H1nYrVUirt221UFNL0rCzjCdIALOJSSX95NnfVWk
eXvW0HhVDvkkCBlXV+80+D9dorGogapPkdMgh85OgplktJXX0Uzugfp967rkm534P6Ej7vIpmv3j
LyGmh3r1htNaMdnVS9O2pHn9wmlFOfalgsm1JDnZI3GcHnv7Gvk7g3YoIBXqdFGs7wtpPIRWvENM
9dUK0x+pgizZ1gtr0eK5W6jgHKxB3eda7mAR0B6wOn8zAMnpMGgPFOfhVONQKIezHEssZ3F9K4KB
OE8v3tSBYKKMQeEJhWXF5rF/fJHvTS2ktOqUUkzd+uepXjZKbiMwZVTlxoNFpDhNZe2hQBBbtShe
ItzpHQnoRu6/GGpzy97gi0RtouOjrP3xkmk0Cj/+StNe4B+33SGYRzdVImDk9G78Mc4RQ4QmMWkF
p4/wvna6relUt4Wr76l3P3UYGHpahr0M6k8+9/ooN80vwrJtDj1MsfJ6jA9SmRgRJpDs0TnoRfat
CNtPPuKdo5wUzFyMIeno2vVp0ZMhLJqxK7ZqpFzsTCNkFmkrJhyrXlWo0BpQ9RMObf/xHTXemzr/
+NxrQr3n+Cnl9qHYeqCCPQNqhGdn3+zWrZEEnGpa/+ipIGcFUrsJwuallOalCgBmWDA0aqGLjSQ6
et35wU2LNIyUv5Z1tYihs9gRuX6iXkAKuSupSaEXQJyFnBkwRrxXEu+5ssKXABT7wjBqeBHuTWMm
X/WarR+6vWy4izTbo4dUnYtkSqaCi4KW8+njO/DOAioNTbD1lNpUnbsqHwyVlqpp20x+dcZo3J87
UVzM0L/7+GPee3X//JirVzfCtytl0+KvVnGMpmGBL+qhH782qCGgzK3lQD2ZfudnG4T33qs/P1f8
fchk6MADtrsMmba9TSk8QQpoB3dj5eHeTXuMxuUnN/TdeWNe/y2T8hi89L9/ZGfhjDfiqtiSRMhM
Vh1ICoesxwnX3mrH1Gs47aY3VdmePYnXrBNbMiWRWUWCl8q7//i+69Pzu54zMLMRn2MaUO7NqxvQ
9UHQqTkveIJIsWkxFzBHWUp3LqnzLVCkbwGIHRUwPCSWF9CILXINVJvd9CD6fjnNbDWZ91Tn0l85
dptIT47T8M+r6vHjr/reLPPnN71a2bI66HXfU4vtYLdLysW0w+PTxx/xj0rtNJORmMONYPk0/4Gy
T2Wj95MHGEeTuUuBNFY1XDMtKi5xnd5JRd7XpbuzQvco0A75JPMthq4krZgThn0uQm+dF/0q8wkv
BQe6dMCZCqN4MEvsQhUDufSNy1gY35KixbHN6Z2BVKjhsTRuP74Squ//fK7sgIgI0AR5SvPP/1gL
wn6gitEnPNdce2bC+WYq+QZT2sYnsJdUl12j+C9p5SLdKZf0wZ8Hp0RMIyjsFBYqMAl/BKLoJ99q
rhBfvW7UIAlxkpKvJuXVy0/snEHodppvgQZ56y6RNz6YM870lbUkH++mTIaTbaFzgetwq4icOWBC
uGgTSdvufodlgJ9ldDYmmDDdKNHw00Bd+b4YlwkRXy28GqutAGnBUlhqGZXi3sq/ehWQIRWECG5I
APZu9qw01UMa4qzvyNElU1bdBzpEl5a6SV/3KmBczNuR8cPKgx+2ZryEeroWurvrdMoa9aEotWfT
pCdJSqgKTBv1UcoEBVoIfUW8jptsbwG+WrQKpIFB2WSlhLYDM5dcnb1sR4pIYX6RISUvwtiTeDzH
3qBjz7OPIX33lmVgVZHOsjHdZGVp6TENMN1hXMggULcbpUme3KYm6Tv94gOLX0QgiBa0ocMpbLPb
oSS6Hfv8rEqqc22879tup7fFQ26AHxxKNkcGpq++ThZ5vDHNmrg5HdGnjeKJW5phelkooDnivPrt
mfCNINdBv36l8R+l4UVvokuYyp+WlhNq3vKsGvQ3/j3AFk4QTNKLoPmeENOCdZELDCR/XDMQeDy2
Mbxjq9kzD6EH44LjkJJP2wECQqBJCOykai4cuGr8DMYkBfT7Ls5+u6O4YVFYFaX+0zIV+qVFu3Hj
3HwE4LFIq6/a6IDPtYonmJs8Tpl8bd3ooqjWse6gzcMMdNZdTy6csI6i8oyFAcU0obtQuQrGafmz
7wgfdg0yt3EXrTK7eYq4+KhEYEnSrp6Yy6CKLqJFtWIT66d/j8mooRJiEEwatU+F2YKYxLJREVkL
dU8zwoJIpfCCPbVdfDKI3pkIbRW0wtSVcyjpX62VveMWblUgVoCjscgzHdWGwnYvwQ4w3mtVeKsm
7VkgTvScB9sMb3/UUUKnhiH0yReZPuhqMNtEj9iIUzWV7d/VjOyGqXAS5CTbDGMyFh7ryDHwmJV3
OV4ut/EPWvuUZRUR0Nkh7+Ho9t8/+QbvbM8YfbjnUSab03n672upZVu9EvoFyvDOvIN8/JzZHn4y
44vWFms/dTeYF+5FkL92dfrJSct451xn6zbh4KZg+2/Kq882Sj8mTYWGVDYiqO8jjs8UmcrJG3yr
Nv2TJyAYonkv9ep3EMDrKpxjLCmCVT8GlYjJoVgaT3pVR1vZRrgNfRMJo9GVCwJk7odW/kZIGa0Q
w99nZoKyWWQbfHWPsV6ctEF3Vmbc/LaV/AEqsji6Uty7alsejEqWqzTEnyQ9EBWUVnGb7HmRtoHq
LlzdXddtPmwLiA5CGRLgJjRBp6roJ0/mvbsjwMMJFlHaWrOY4I/1h2jxaHActAtVnpyGPHwtVXId
hUmRuMqeZVF+T8ziQTfpBRIzTaLcAaFDgeUR0fgx6EkrATr/M+amfXKSeO+LmSpbWUiTLI5zfe6P
LwZCXFg1gr1toicgzDkV5c0l7Ih0V286Twyf3Ih39s+2RIjBkYW7Qev572+oqPK86eD8bUmH2xOd
tC4LubEc8Vmbb9qnXY9FllQkTrYBb+n67Ff7uPNDPB5bVSRLrwmOmRY9RmH4gB75kFTe4zi250aA
5IpG45yUe6vUj0b06Qr/3ogkNYkNrmlOqVPTRv+P25tGIaSRXs22eTnx9QN7U/blbWAczCq5HdBU
g28EbQVAMQ3bT4rl7xW6ptAr25yO5FJaV6WWyC5tGgNatg0rNV74Xn/U/yd757Edt5Zt2X+pPnLA
HLhGdQIIH/ROVAdDpER47/FH7zvqx2qCtyolBuMxxr3ZfR1lSuIVAoiDY/Zeay6DZD89hVGlXJGw
Dpg2ecuk9E54/ZmLnzjBWGgXNLqZKCw+VU/bkc7RYNnFOtGNaymCfIpRfu5I7Aszx2WOELU07qJA
/n7mTTv1xFFMGJZK9BG7+KMRpvf0XySBO8aEdIbI6DFMSFxvg4URamsMewTElMpSH2fqMOj3r69+
akNHN1CHX4IuiBbzUaknZqtS61lQrO1ef6QIZpCGNV5R/rzukFdRMtZfkHU8GPWd7X/z1XZT42DQ
Jw0QIJ28QcK9gIRsLHACNuZrDY/fKZNahb+QPPZeCdWPoD3b6HUHCFxgo73XbOrkir4tC5V4q65+
NgUbMhHAZ9DNF8Se8oICU7rQSU6ewEyGhfKUEoNm9z+LanrEQbkpGh8tWPdDqas7M9Zf7Lh5LmQd
+L81vt2ppsTkdKXFrb4IezjMiM9y151sdhL5yAQOSrpwCC3ade2Db4qtLLvFsEZXx2avywuH7rBO
d48PlOGd0Nr2iZycn2jEl+FoDG4XlndffwvaicE3V/vQzVB9Uc3jdDo9EUZhDx6TmukrlNaax7oU
0gqeNwwmy6cIlRSuRHDKFHvrvMfOWyT6NipSrCFS/dxQsFugmdnLAFkcq5K2elPQWYWiXU3ZepKa
/EKlk+s3rCdyC3ogIAs61KuNYcZXnJd+DMW8lS3UBkJeDuDrxR9zTILQeOc8hgT3cpcxJJDJAmiF
avX1/Z867djUuyxyW1BQo+35OOs00CGCGHfeWgvTlxZoWyzgk5bVA50n0KgNzV4Ey7IYvwM5AQhq
GLeF7B2Cit6udqlWIObrFDjG1x/rREdFQUuCYMY2DIMk2qPiSUIwgwoglPmIUAkAMNplOzDQPbbn
Y00h1FfES9kTP6HomK/JlrxDStc5Fg2iZTp6b1OsXehpDnR4tp/eB/z4NNR3kUA4ahmpS8SY6cix
tVbr/nmSRbLruuZZMSgVDI/EteAfTFrb/fquThQw5t2ephlUeEkQPJ5w0PD4pdmKjOpusybZSyI1
HUsLXHiAyWG0ivvoycCzu+h45krCKRq8LdpWpX2CvPyIrXxyKCqcedgnJn9FEexCCQom4xq5y8cx
kLd4P234xeuWOhvK7LUSsqEgJ9VpMGkTELL1c4QCo8Nm/VwZ6VgbyVonyxYRxHR10EgyEj9eHC1X
oOvE+6wtwCYFDZZxXCryridBVgk4dzTGti71Q6prD81cGLD6M02lT4Wsow9wdPclRceA1PR8XcXt
LgQnX4DLwoXJ5IUtNsAvJ7y/u7X5eMnjTqbVqZBTy5gNsN1dRKiZ4owFl4ieM+Pt0+Q2X0dBpM0q
w/RmHB0zfJk8JS3i2TZeubUEU9Yc9abI7U6XAHAKw7W84cnq9Xt4CY9pGP1ANLwRQL6icg2zdjkl
+YOehE4m3XYifT7z8U4+eaJWiZpGv8gq/PGrVyerNaAPsPNKcDtJuBNglCBRgdKJIdUDmRRKy862
rydi3aEUMBWgPJ6b2/4egf9K1Ic0q1d2/XLmg33aes7PjT0YJheFI8q7WOmPrViRdA1qCz9flwXA
r1a7AbSxmkIDTEG5FRqgu2o3Zrqj1OF92ZDHVkfPeX0zGPFDRUX0zKf5dGo9+jRHjymSpBAMLZ/G
D5EO2GyEjeGCAjq47F0OG0UztAcqBdfIFncogldBmG9KLKjl/usPcnI0CcVEEkZril73x6/Lz8wB
OpmdIWJ6CUZ10dbapoFQ7l8mCrHdEl1tBA9fX3O+tw+b8/ne/7im9vGajULsAbA+MDiA0DpLXRhY
iDHULLA9/IeXOnpZPNkrqV1Z2bqGUJWDpfW9Bq3NrXq2AXYcOP3XnCd0AlI53wljDnP/c6uvibYo
DUQwsIZYvQarcaNq2FUN8tbyBwS7K5FPFzC8BVGQEeyQtHwNS7DcEjZNHMJpkj7Lnf9zMGHJTs9s
rh2MtfcSlPgac/aZ56J+OvfN3wFaQArdFtQP62gtTis2eogOszVCks2gktcA7EeK61VRy/t5EulL
3ekMeR9Ia7Mzt0UAWxlUoYILs2iy99c2CbzrKOuI63U03qlRR0k28dYnfRDBTYxWkkd6VkuhrW3P
rLonZ5k/Pv7RsDX7uAM/xxAydHqHlJshdMfKvuuyTSbHAHSnf/KeMOMKTedE9amNHo204ZLIy8gm
knazHrmwxGXl1btC0w4ohN2U/kAOO/PrV0X51JCYvyfaxjQMZSo7x6OqRquFposbDUfOa4aR4nlw
Fb89ELYKFQoqyrzd1r9R4MZ6FWzPXJ4T8+eXlQ6AxcaNvaTCkfrjsO44imRSxF56qDH4WCoCwSy/
GiQq443esrQjO0D8CIIyJepQ4ZfOxDY4451KAhRFeS9pd16H3aQfuyel0LF01RSHC0XbIwIXs8B7
wsZnJAviqXpDvWpK60qdoC7EHr3tCTJUmdAOSke6nK227czgQUp8F+jyhbDLfEO2xSq37dqZZUTN
eAc2c4mlLVvlmrpT9OoKrcdDEAysSNBawAwUrbo2G7EPNe8GVwXVKYZroezqMg2XfptcWB4RrFkM
Y0VBFB9XvJ1VeC9SlHxBEVymQv6RqurjEOTBGvMNZzZf2xqD/FJE+4E68HrMK0QlrbWVi/oyb9VH
b0TUCkD7bkRCtyzk7ND34+D0pgb7ZrhIomy8IO7xAm5LsQ98KGptEux44j8ruC6w+u5SDYiGRG4t
dCpDvkim4Re5r2r0XZP04KYrbxIdwM9Y/iKGgExeghydMazWgZS8WkAn2PlBkxYIUbGD1gh8UNh3
Ypl56Q8z7mfDvkcwE5E7VUU2RCAsV0uql3JQVLcMAFS0JYF+VbPFXCRdpVL+FOLMwYlHuaym/WwM
Cj7Nyh3IeVuN8VPZixfkzneaAm+21KLnYehBJVEUJBQUuMpYv03sgevMkRQ3gju46BIxEFjaQ1eU
DJyWkK8iUZJAYf9qWv2tbG8BfwLLmQ+2AwQ6ox1ydxoAg+cGEtE81N3GGzaks246Ybw0yqNX8rmb
OIGLxg63texLohTw7E/d6BQ9rmPwGAvGwAuRbyiG3jxpGC5qTX6xU+NhJqtlo9iRqvqriL3Lpot+
JF75Im2Usbuu4LgAIf5uhuFz0N8HFNHJbeFyfmjTcjEJDo7NnekpW/AJjBUuK2p+iYb6PjL0e1Aj
JaLQALZOcxdK3qUepoJMou4Z/iAZciGkxrFFhzjG+k6WZMSYNBG1gqJxwXdke4iFNALos0bEdCTx
qBNS37vp5NFkEaykE0wo1xfBLQD1u9g7NIaMYNNXerexFTLN5JqowEbsZM6uyNqg6TfXID9f2VcC
nFYYL2WKYEKGKhsm4bOnK4QFh0jbKiyUcYJikTh3QlL9NpiRjGj1ZIukr1l5C9DWkUpiF3CkG76D
d74iOk/AIKNXA0tMu2u9IIZSsiRbLlzQcqZrL2VPwKiqRRH3j03WXo/KuJTH+D4LZQM6VeaAgpsW
vV3Ds0kJ3y0J/80b667Xhlv8jnejMJ7ty7YDMVAxoOAikGGIrr839au+yF4zk3OXZHovttyQThC/
Zlm+M3CU0rCUfXfKaojp2rrRX9skXWrUhpUypVvW9hfveh3No3XlZ5yg2nrWPcevQZW1nJ3QyWG0
/YZoDhldmSqOQXqR/w20HY0XHK+6b+2oVj2E9a1oYqTXpuUEGd5TP2EIQEq5k+xubTRogjimXLIT
oNuWEFlQxcHVzC4yTXNTwNe80MJsr/hAntVRHpzMa6/b6rIyUtIkoIRTR5BdZvEN4SsMS4QYVgp3
HwgPjzqyFtzlCGyIo7Atk5aBBI0MYRPykJDACF+rkWic7l7bGG2pOWlbEzFeL82YtM7kRzL0vjtY
oEHiaT0RiYGyOVVWZpJCplsMKCVxclsKnP4tjMZD3vMSK3Z3LUeqARlEuux1hlD5a+iUC94+2LAl
CwDuo+6vyUP14x85E6jnjy7g2if+90li+lxIKjomf9BeKKxvlJC5WKueOzczlBc6VlcGwFEDBvcW
fvOj1gzxBQHzZinf51adrOZMZdM2XkHb3aYcB9kjaMwwI18MbgczRF0eGzabXrE00Vq4am3hEUZG
tajr7roIa+IQxhBopArPxFQXRdjMsxWsgyB+JkuKs6RedauO1LmiNdj+WPahI7+b7uH8zQ6iXBh5
NjDs2TrptKaCcN2Y1kNdjsChFJW1DWA1JSTfQfwvlVHg+Dk/VxY5hnBA4EU/gBBKHVUbe972+NX3
fTJp6mpJA7hf9yl5c7otWlcCooqWOK2WAA5BBdfsMvNGAQhd2/JOCkW/wCBEAloqYNqRjnIxprG0
jBOT2KXYt65IkPKItOMF9+gtkicSqLMHpVwZlEkdGKvDkmAFggrNiIy+kDw4T3OicnyblKpf1ynd
1hSe9MZS6XY2mvmzkhKWH5M3iwoVZc/uMfLE91xKnvIYiaNGxO4i7WnKqDUZfdW1z/ML/Ow19duH
wuAnEuYiNeXl04pfhKFZw2wckAfAtIaj2cNFkSkwGPwKe7eMKi4LEwDwob2CesPr5raDcRFH9XWt
jBdRTm5djHxOyW5sfUyXns10VcG4kvPxwlQMCyROsLQwZJHTaYKpGzZoi0OUSJB62vpHbgtQzZSs
KRjfSrF4LCinbSItWMZd8Uu2WZE6EhkXSrsslLZ1GhIX4OK5UFhuQG0zglkrnUCEb7DPdMIZC2aY
fMYIkxebN/EPJO2A8SZs2wqcKqMT+HetONkgJl70hTTDZZTvA8RpCBI1Y/oVbWuARt+WlhAIkKXY
9bim8/zSmUPn4AbvSLTyNLzQE6ZlMR4M4BmNJ1MTs+QVvSD0h1V1E4E90iJsfknKhyEe4NDzH8Vm
/DCODefgyvoVpOFWg+ZLgXOBV2xeYZe+BARYf8wt6droa8eyynHRjFw4BgMYGxQaK01+TjMAsQLB
oWsa8ZVR8kqARbyR6yh2R4zGztTXT1VTPZLevQn97NB56aMUMovUebpX+vrer9lcxQMkqdEDyapv
SCvjbYKkD5KfiF/bjO7NNn+DUto6sj5WEI2iFt5gkbPGh8tsYmKl/X/wpORgQvnfTe1eyYJxV1li
m9ElcPTM/mUkAUEf1QILQO6S2dXgCujuAx+AsN6tcX+xUIvUWMnJsFDYCs9SM+GIrEBKqUHbMoP8
zU6Hu2SC25SOaegMrOeiSDfs0DUnyBVyqNoBSE6hrEPMY8vKLA6TMi8jBmAGb6p+pezrHThWUEPe
zKJpLrG+zOlncbwRIe+dWSY7XA5TwHfdgs8fWcRMBeM6/AAH0/5zVbwSbSs5oPS1haoOeyUBvzGX
IPMuuRYWPkrm3G9qnzTsMmKOaX69162yXtoBW+tA7dhlGDdGSO5FPCU/7ZIwUJbpN12fM9ZlMM8l
k6M/XusR7NHETFRIEdKehmXoCGILdp4evQ216B1PftNhnV8mGawvUBUpUg8s5j1ohZCGAA3GaEaK
4Yhu0bDYMDjfewXCpTOKX7Jr2HYRIwuTjYBCZ0JgtYA4oLiD/WDyziE46HZ5NBSXYYpOYqorLpkU
120OVdZiw9tMoJiRjO1DVCMLOwaCH0BYrc03zfbuCtIJl0b0U+5rY4FfioJAMIyoVXb413d92u1U
vbfBGkkPtIQjzBqIoFDr/vLD62oji+uie5PMGyK54InBV9EBwzCRk9yUX5fFfeY9jXOU3c+Zn+bZ
zULLH0dQL/2db7xMMUw1otGi4lUdIEwAgWwpxxeD7yqYlfyITk3/3YPIpzwaJEhnE27LyQSvkF5Y
bbYds2YbmsHWN8x1Im+jur7AUjVzgtF8WHtW+cuhxwfDSSa3zX2tqgdpyK4GIEpTcZUQZWZ40jYI
43UCdApL6ZWfMNU19Jjp/Q43A6QrvyGOSkSUEtULRQsulETZ1FEO6VRaaww2WqhU2NWtIl23IApG
qNUmpy7O424om7tEHQmbIfOPFCvF3tf5uMuFhI/tjeV0wZSxEjPJihXVamB8lwPhxvEKko8rEalc
AfoRnr8HBbdhQ0fn37gLOyyRRH+l7HOysNl4FkgsTazabp72Vqqib2LoZJ5f3zf2nQneXuo87BTa
la/7d003XShQbeUE+LHZ7a0p2QnomaD4Lk05nY89y9HrnZG2TJzqMHHHW0qIh0Zl9pJg002S+qBB
YwGx/dNumufM7u7Y2lzgrSu6+kILvG0aJEhPYlJM2lthlHu6f6tAqJchROfCJ/Owhn/l33R6vbE0
TsSGdRtr5UWk6t+yJt2aVrEj1fB5qtJvCS+rkvoPkqU9QcgCf5XWF7FGoRS9PvE4Oy8gRo8101Pl
R5wLO1nu72nem0w8YmlH22Qy3+CVbytdW5fxdOPl0qapW2ZNMutgNQU53FyLcg3VRC9UXwuZdJeI
BGHVuhztiTBW/wKmxn4KgxuqPSxlHkKWqyHnuN3LjiFJKy0dFtFEEhRxBp6A65wirtemRclcOBhI
ERMTSiUlXkiMlgnqXMucCmORanZLmfzQSmfOLBNHFr90lXQGCOGGsaUJSMck2iSTtFYqfordpwCb
agvpQW4dYRVL1NSINmYXCpO1pS176CeeWu7jgrXXhgYSWOK6K8zLCR4XTf02kLZ9T9pPZK6ShIhD
mTD1cbwXNmXeYe3ZxTIF+K+aaFSwaHkmWWPGi1/CroY8WPLR01Zd1lK8hci3bNCcxLmghY+tx5Rc
0Mv4101Xl/iQve+IzmAaJd2JRYNQ5l1lmivPqrdE4DkV5TsRSGwcXZsQZKUizUWJdgYOcFUDGZer
e+AZWI12dqBADao21MnXnpndahqJY5ysK93e9rW0sWAe6+zGGt9ntUOhSgJwj8lQy5JNFo5XRsFW
ksWW7qy+IEh4WatItJnFPNbIkiCvMWy2RtxujCpyCiWbyZgrQo9d4q6WvhK4Lblp9gYyiWNhkpgz
Rizphzz9alNKABwqEAM7FeHgyO2W0UQIgkk06qCScVm6/chKWqkbIypXchwt5+iQ+RgruVovXGrv
6xQ9gKOTEV1VHGxEsaOUil1QcvGbLbruNWBzQA7e/KCXIZZ2maZtI3GuLZ7r3nRp3S4nOKt6OAFH
sa75V1aq1q6J/3MN0CRSnx4i8VzzskP4WYWyyhbb35im5lgUKmJvWuZ8ojR0peAiSAAJsbir/vNo
kZNrbszaWFcwrwu2z55G+GcjOamSOKQ2Ji3pem1NFEloEh+VPnqdt269xOkaepDduJvxRzJPrSUn
QwqyhQASpFqSI1mEzke4DdmgTiUR8aW1iHyD9qpPrSB08QwH0b1OUNnkaNG064j4lkC2le3SQ2Hf
ZBBkbVeZePJh7GaFyiG2XHipupQ8Kkej+gMByJLoQAhaJc/MXCN6eU7T6lpeRYSz+/IlEw01n8at
iCLVcKm2mbrlH8bMH7tYodjuwCnIibSmRdkGaCb8dI3cWyNjXbLQpXhoL0Ht4ttxWzvbww5d2lyr
YNGTSoMcN3g2ecPWsObIDSEURJklJauWQTGBSya7o5pUR6DYSt3Wex01yMRw3/2Iuh7OTG8k6uOH
NSgAH1xY2gRmAIaK9p1m81FtV363j9/iw0w4qnZQ+uKfaRuAnIJpnLEhyqm6aDF8znQVDIUbw1+T
TQ6g3BqKtJkqj0iUvAOswgm0U0bBWi6y2R6zhBWzmUTj+lq4Is6asGaxK2oJal278IbqNqnJoevI
D61j2Q1gnA+I1uIyPMT+dEN+91qFPdGKbq3H4b2SThtNVbYN2VRtMTxPlnEFb29Lqs6i6KN5GKwk
pK61YGsbopCT1yVIPlkmUos0Iqp6HAYi8hQJglDmMC6QgHbmKtCNO+7PyKcDQPCNoSmLEnu3WS5b
EogVpLGJIJuUqyjkwc4TKLvMg9JJjlCYLe0Ym7SHpheJK+JLLz5MJRls47gaCAtkue/Gfid7vwar
vWV0srOwVoDQXTEUS7aKbtrzagIt7Ex96TOvLwsCLaXOuNGlZywcOwV8UKGa27qaDnUc7lM6ID4Z
yaqYXdWj08JyzgiDyFZGRCVjAq8ckCWuxruuyu/6gVNXDAS8YEmYRustMSkYR8MlReQ9IdaQPTgp
SsMG5Cky1+9FYF3GBPoESLV9z9tGcrZJyJz1QlR9AJQTlfhjnMnqBnwF6OTkooSPXEzqnjPOdVQr
W8tKN13zltKwL7r0Sor1Gza6QJE1ugeEjxCuBhiS9HqXkN6Vxx4jNktg9eO2iORL4zUq+0vI6iuf
tbAv6KbCKvegWHPIlu2BzdK4Cq7AGCw8gOH+Beqol7rs76eGABasLxk8tFYkSyIiiaif1lUiUB+S
s81KpUQ+epFbaYRBxYm+BbvdQZ5Tm3zVwLKKMFcBXbuMRs7tUd/eEvYFJ72vit3vXwCqg7GT47tO
yUsS6st6F9oBbYr5//3+bRCkRHX8/v3RX7//xdGfvf8zI4ipv/7BUZV7VBj//v37X//+78789fsP
mtiRczEaWwpk3d72Sdd7/3+/fzn6s8ILcVq8/zWSOZpRUTW5v39GTD1Vut+//2//naMfgSO6tbCe
bI7+/I/LHf1Tf13p/Q/f/5swKeXtiKzn9x+9/7+/fo46eJP7DY3nhNXOCA4lmbtKr7drPZGag9pW
N7WGQ7Ms4mFReM0v0JT3ak+F/utuzokOOI4xIZsqhRXWhSNZkJCDEiQHrfleN7aW0jl+DItF0v9+
b45mlQwZAR20ph3LfIIolLM6Zxro6nYH+YBNCO9QvCBthdWiXunKOdDIZw3OrCHDo43sYNZ7mnOX
+4/evsiNPmpMLtkTmm4P/cLzLGYtsmH8ch2QFl5MxqpT02uLtbnv+tswtw5mPCyr7mXSxuXXz/mU
/OXPj3Nss87TyuOswoNG6rUvSqR6JdaNOCN5p9i26py0O0tTKVR1tAss1IJFvfn6M5xokH74CEf9
3VoapCrt4SP2fXmleVdB9GxNLO7MVqWKaWFodl9f8ERTnwvSSEZ2SwDSsa+XiIF4KDIEDVI2LpPG
WxI3u6RcDQO7PSPuOXkpRQHDg57aQm758dsmw1sxpoh7K2sD2oeOtJRgsZq4N8k8Z9E59c5gBTPe
SS9AMI+0CgKdttx49Mk56lLDC+gGNglEW93Fvr/VSmQ4ZbpsJXph2bggL+hALGpIdX+kOWPeJV11
Rtp87gMdKRpaUYheHhBslOQZhImBsoccL6u//frrPD2GdfTTmBwxs6pHOtoERIkR0vtddzH0ZTtM
KZfqEad8uPbwxjFi0g3GeGOp+bcpvVTLjGKkd+5NOtH+nhFtGjg0aJK6OBrGCtD71BtRMvqE7lUh
pCJrpI7wXHHWGMpmFwOoGkE2+aLfZHZ07vInmt8W6KsZEIeWjkfxcaTJEDPUgqyCtVelSxT4C0Pu
wFYlT5FONk42PYYtw2+q0PMFJuaG2mK7YpjnTPwnRDpcHWOFJTSbjzN/zD+mt4wTXZbBY1nLKvzr
vqF2VZb2D7lKDlGb3bWQyzVr+pbIQX5myfhsiNRkC8cCwiAVb4tsH82sY1F34UBUyToZkmWrkygi
2TObDTa0ZSg+Wx83JlGcyp2+qeNZ4d0DNY8tusFzra+DoTtNDedDCpOpiK5bmLNFkqGiTYnZ9prg
jE5jHv5H2qI/Pq8iHw3bQspYlEwelVlb21ly7lnijHbrxPQz60AYFbYNWeB4UPiTUSZwU/I1mV8E
x1PVudQk4er0D79+B09odLBdYgtUUDML811s/sfXnhp2RZAIq5oVV3QUYUjF4ianC17W/p7T6hmx
x8nLAQM00A5D4ziWBE2cVatYoJkEruUMycWYZ649PlAP8FEzfn1rJ56hreIkh0IiBGL9eZb749aq
MJlGNWAKzycOIZNHtQrydPur0sXN11c6MSBsFbUkekQQXmwTPl5pSLJJLngx1kMIGCGliak21v1/
do35bv+4G18dIHLZrH0RzriE3hYWszNT0fwxj8Y1t8HaquOcYWd1NAVg+OKw0UnZurHlRysPf3aF
2ATyKJ954U9+MQh+ZpcS0Ar76HF1tHkH2eA6mTk9dmn0wk7pcub7ARL5R7f0+1JHT80UflfqBStZ
kVjSYoo7t7es+zL1//6UwCP7fZ153P/x7Uj9qA1myS3JQr+RTe1GSkmm/gcjQIcBp8GwsXX16LG1
o1EZtjfvfkyP/Fh1gzfzzCVOfjO4+mzUWCaTz9FOpLDIHqZpxcJPEjfHJtfL9JUyvlKfOLN3PLHc
INrGLwTYUueWjuZQubOzhAkCrduUvAVj504YuEWwh9KZmsZdWaeHyT5n2jh5eyZyZo0th/JJ1qxU
XmIwHjIYRMVdOSFdmM1ZWrKMuu6MN+nUpbBkEbHHoKAWcLSFGhMVCM+c/lFM9qUtUffyFRSO0J2i
3DizXTuxD7fnYwnQRRPwj3n83vZNots5eRp98pi2yn5h+bfm5F/H/pmd6qkJQnBkMJGg4oX9dOZQ
qtzwdZIXQcMfskF6JfvukJrhGX/VqcvgbgJ+i8uV7+pobND5Sy2fNuNaM6Er5kQCVr5jaNU5+8Kp
McgcpOBKZPOFqfbjS1tmA5NdxnXqerbgUC3nWoZ3lyf9Jc4QEGHJ3pfDlUdHwKhLqrvGL6pQHdkp
apturBLDumLue70j70478yq++xeOZ2NbmJxxkYMC/T2aUqa6mSwvYbC2NEomWIsEXEqQNc2CXGIq
0Sg2QTzqqOUM2ndg1OrnGMkLcXtoTRDFJU7cWAtRkseukrmYFy5nxl1L7jpRE7uM0pVkxpsKCcxc
wLdEsfp6uvrsDsGK+OcNHG1s66DWrXrGW/kdVhU2tvTh1bVQfw4aRiFNnWkCS0HEwdfXnZ/Lp+em
4/+UNTy26Fo/fquSmrYGMVfZWgssYlqpIIPXkBBQDPmbiTr766udGqvsn/59tXke+GPiT0fgTkXE
1QTJEBGvOQF/C57/11c5fU/kPs6bZAzQRyM1C+KmtgYe5aCPi5keNcjB2hcHuA4EgZhnht6puQsg
x7+vdjSfdCjcoiLnarr+NiJdMLVxrUuPgXrmrk4/Oxw86mwdBTPz8dl5HT26tKBIaknjUspuZDuH
zVD+o7v5fZWj94j8Obk2DTVDRfuMA5LkhQ7Qpr5UxH94O0fjvcDu343kJ1JQzVHGvSbqs16qZ8bb
yZGAwU2jWCjj7Tw6K7FoWx1z/LyhqddS/6YZUG0k+t2Eb0ulfWbCPzkSfl/tmMWEeSQk+oer+aJe
Dr6NiBH2qkXAR2ud+ZpO3xj7AVw9VAOOB4NRyoUmGyPTnfbcBjA2noLH+V1KrXPWxZPDbt55/L8r
HQ0I6JiW3KFaWI+m6ob9zspbF/nxmfs5+egAiLKfZlEGwPJxcNeZFnpZy2ho8pt5fYGFQkr3Y1Cn
/+hCAouFwi+fXNC+GM3MMFn9E78n7tiiOI3YgJAEkZ45gnz+imA7K9QIZtsnspujmbWOONBBd8jW
nmSuZiZ3DVu8wSrpuZWZ/e0NIheDPkb4Aakhn0xDnVoESqsysc4XQ//12CXFOlCCSykO1ql2ILwt
A1j89Tz7eWhwUcrXhizrKiiLoxkpnuwEQxT+2zyelrL5BK33kkDxM+/wiboXl9FZnQyZPTBHrY9j
w1ZQNJspX5m5GPRmmeYIBgFQh9/lA/olz97O8WwxPVMzqc+UUE/eIWUCQBGyzNhUP166hCmm+yWv
WSPNeFC887j10n5Y/oMHaXARzJkWTpajubAXpAv6CIrWvodakDbuRGdTgq789WVOPkkdFImtUTiC
oHr0JONY9WyvS1js1QZlGq1rCYv7dJtXFxkRhMT6TtTNzDf5KS///i0qtAOYquhD4M49unSk5kkc
RGPKZhi0eC6R5agCNs7OTMHvRdCP+xkcMcg8hM6ajN9x/kb/2GHIk5DqMLbIJvJTAqUgCSddgRBh
yK8kGV0N5icyraZiQzG+A0tERUyEdYBGC7ODGqno1/GRN+H0GhKAu4itK81unpKa51KLcxamz7Me
H5adp41kHErjcV/Gz7okbGyRrttIvRU3Qi9cmlDXqheeOfPMT/f4qWAXUlGniNmzdDS9olZItMTU
UpDUWFIsnRsOJf3Miv75gKDoCoIpGgBzBMuxxbixIqxJzZSuVXvkLX0aSx0t0vdURoU9lksVaVIm
spevx/T8ahzd2YeLHt0Z5RYksgjHOIMDzId9oOk9qmeESBxD7DJ0q7x+/vqSJyZ2PIW8q4xn+P3H
xBR0qrLaGR2XLCqHuJC1p0/rIEMwECIlmepz89+8XT2+RVWwjhjwWaiaHG1nR7sO+kpOyf2eyLtT
zBWaqYUM7lufyiWmVcckn2EcN+1oApo+d+47dbd/Xv1oCmyNIp6oO0JJ13qnCPGWdMMyRIbkYxEi
TeiveeJ/gnPux+LX//5fr2QgNdV4izo1zz4E4TCwvwjO+T//lYWffv6v4BztX5YOvMfGNMoeDbsg
U95fuTnyv+baw/xX8/bXJPaBL+//B+eo/wKMReQESyqrN4XMfwfnGP9inmCAc86n0M2RUP07wTns
Pz7OPiZmVkYv/6TMRDf3So7e0Sj1giqX5lfTH/d61HnLYZZnpoE1XQqvfo40Q9rUcqxdRomhXrbk
j0SphWkssrfCVO/LuJ0QseamRnwulMc8s5GdD+LBKH3SgSFS7qsSoinUuYtBrsUBTfxElubF+y91
Ly14t5JD5sn2xWBMazLuUBzKvX+ZetOvOLZxCE+NuWNVIdJr0g++WugHq++++UOgrN9/9/7ncYZM
qaH/udTbKt5Xqf6MCVWh2acYe9HPewTZ/NZb/WU/JU5UAxu3M8Wj6eLV6nJKjXopq8NDwHTsWhHu
UbTo6K1skBtYBS/glfiu1aGg6JLG3Ede2C7zzoJpGVr5Xo6TYt+S71wHk78Jhijcm53/7FV2TS6a
Gl0EcpHvaAOtrfl3vYermcIxcZf1JGZEXoilElW7CAPJxVAGDWyYbthZoasDXrtsZSVx8T6MhR7u
tNTcFR2R7d02b1YhuHrkXP1wiFTsK6O4bTKVXJ10DvzSD5VWNCvRxdf6OKQOYBZ7J9vmU14FSKPD
IeWb8bx7WiSrgi6xO+rV3B+NAqJcpYVVrRTsDpSRol+615Q7ehxhEplrSeteAfcsa8sDh8c36OiI
ahzq0y8NnQzHlHxybbRgHZbRWzESIkC2xCo1AsMd7YMf8m1IAydYVMFXna7AHxmjpaT4P+PSeMvz
/ga0ADNY9hrqcrSMShXbBdmPyOtIY2ktv8PjEsNoLH14onm2QIpmb+3G3BJMEy6MCWpN3DAtqhpA
0Tbvdx31pDrVyFvzypRYVgKipCB4ltX/S9qZ7catZVv2Vy7qnQlu9gSq6iHI6CPUhCRb9gthSTb7
ZrPd5NfXCJ+8BVvnwKpEZQJCKm0Hg91u1ppzzPmxLYeadMuu2Key3Fsyeoua4i4nnJfgRzwEhd3u
atxSeFnTre3dp2ZlEJ+LTjsWD+4cE+ieOoc5IXmJEgM5GN3ZdtDnGv1WSZTqBUrb2zEng03fEQQB
TWnq+03t9saxG4ujtJW2M0Z7o0+jff75gzSCL8asHJBwvR7OFbmn/dFyc9TFcXk7xJXFp3vz3vdf
rS4XG8ONn8lLyI769Ue9qEtXj3AS2h50XnRVz9mAiOyRwI5Fko5hpQSkEnFvkyzDg1K+MD8K8l+D
Kb8a3eTsHNwYM0I8YOVpyOfI+uQw5uYPA0/wIXXBWy7mztTyDCwlLvcyY/pxq3gOIm0O9GkOl3hg
i2g/VRmwjaqxNqKST4y6U9hJXe5NziqL9SN1gYpMxkkPW4WfC2vumRgJurW6fqjiGCeSLi3K2g22
2sorj2bPhTWxH4YE4GC4tJ23JWrwL9syh+qKTrLckk3By2QkeAIb61Ouime+dRQ48cT/o6xH8BD6
uiKKsiITejuKAuEswu2TENEaGxtRFCPpl9VSE2eRF/cLzap1R+7XKskhcwg0eq2MstAai2CaxjIo
S4wTqRqJbJ6r5LQ8QnAJJh0xm9SG4dYacFiCxKUBbCNtd7tNb1ePlUH9UoKgknoUGPYXPa0OQ7xs
xaA3W8efd3rXpsijcLCRxhKAbGyC0dWw8DZEb5AZWKzg7nLcRt1pKeYVEVU4d43qy2SJC6A8XINu
/bXPKshNuMz0jEqbUcLgbLVebrKsJEyhYChokjHoenY03kweZZb5G0JwioCVDO3zZKhDq3Q5PLpB
/G7EgTfkI1fk5hR93KxcVK2BnGMfZ3Ox1kmt3eXC+aGs1g8diyOOtfssm8reenMC49GgXBVzEibu
yXoA/aM57KNwYGwqO6cm3fF+Zti1IV0hgU2kFRa5ceIW5TuF2921ovtkqs4iHUjF9prn0tNQyVsS
c5y4w9g8hVW0xY6ngB7/9GXiFynK+IXtTE0cCXEFSPyaAkPlAtDfLB/GuuUP8CU0bkDa8cMifL6O
flPEXRTksNrW5KKRTZKl1CbBUeWjz0uS4AU3/BpeESL1Eu4HIRfPuUluOlJ2GYC+WKWlum1JvkZp
qZLQna/odAHnQo5etXFHMxjz/Gvcmj3pRQK61cz/EKjxlr58ydHAD9GUhMSlNAEEgR3W7nkPCvwe
jm06/hiK5djwjKblBMUgV+HUIylIcnvZ16ZJHG2UrxJYWcpuWm5Uf7AjdYJn+clqSerynOWhxlVT
H6KyIuo1EQ+dcLaIKRaG0V6x56SVxLXWNt7w4l0Z/JqdXmqruQIV4suc8yGOb2OeT1fIcW+nBDic
EOnVNlqEuTscc1dLghavr4O6tKq8aJ0U8U2m17uYgsyKR20POHoKKB4wszVPphQUf0dvCmcH5xyl
5xYDZIhF01mZg5oOaekwhIPImKwcKHo3hjh+qLDOhIq6810zLTLgCTkO+Or3iTVezIzYzSQycyTm
g37CxALTyCJ6bqrjfVdqm3mSLfBVsonqXN5mrnyr6eAgtW7WvfUa9a0Ja5Z40Cq1T+4AD5Crwl2b
1dlWNCiMwjln6Ialai5sna8uLQVLY8RLACATl6YzPVJNQDNoYPt2shyEcozVoWO3m5Rveq9w0oxV
GfpZ7K9sa/RhRUhz7dh4QGXK0+jRg8cQ3BOesqoTS23mGDW0bMx9D75/K/qYdyUGVeumxiYrbxtD
xcd40G9ijaeehiO+k3zJb7PCWpft4t0nr1jYq02po5x2C0pfywRKq+vI5hF9vltA/XPPXuU4NKiY
6ZmO4FZKP46pWwaRj4xZFB12kmS+lNN1MfZaqtLENmC9pnHj7IkeeWzr+uRq7jeXCDtiqrCVOc0N
IuRvdhOfs8aY1pFLZortjNT2FAwFHeY8umNrY/Ss3twutQJlZPc4E0lWceXTkPd3SV8uhDFhv851
46lxubNjrj7rHVODsZgWD+Pc8JIOcp1n300D61lpEapsT822ZK4L27z97jdxSiAvsix/pEPf1cGY
Ig+3oiVbM9ZhbBG1whcTvzbz4ASLRbxLMaaYchJicrv5ltWPfbJs/Q4Vd0YTSycyAkrxZva8bdZ4
ACPHsl5bZoRxOE1shpPy2cVzOGGLXWcRlkli8h6hnfO2ZtPW86ow1+cjtaA8gFiMNrhdXq7oDVUK
zIy5/YUk8HxjTRJxuVbfW5HpnbNKc4PExs2ER65kF70tI+ulLkVMaoNaWX0yrd3SzBES2SvKOsZ+
cfNDq7yYpk4OwqEhkIqdxzqNyyNPNIUWHDCtJ+9lIu5bmX62clDGWvQVrg1uyIRgAYTsjrTETuXN
11y1+FaQNrDCvprk7aCsTdyHrGeWXD9YPdj9AY+SU8d4o4HHjXLSggm+b2WYhMlXI+Xw3rshg4h2
qO7kwdJkC5F0lb5KUcQbBtT8xolLGgCLsTVlhVB+eBELxn1SstcuBsKozeJ7gWoWvGJB9pPpBGJi
5aFToJkattgM7hvO7VRjodzlBYuGboN9Ap/CUrhrV2fuMcczUvqFYPf5KWXwvR/KlNCq5o6xx7jF
rXNTx1OxRlxMsJW0viczjqLGzIFyZNZ91OIJm0A0UOJCnpX1j9Ln3Rx4AEJWUc69KccCNwhzSD/E
BDTj9vMcPCBpF9q5d+mG5FzKeLWAet/bQAU0436K5UEN3YydhuB0r/1UEZt+r5dhL6L+3huit8xw
yfAjy32eh5fEbCFJJvsuq82DP+CBL3FmwjOXTwXgAyMvTxrbprXZutYq8dKLRbj82hu9dp27aUqv
cloljhnt2gQyjTfyhwkh1ZtMpR7xmeVNNS/bSJesKarqdRkmb29Gdh+QxiwpolgWfv6KVWXIi/69
m6y7qWlbNiUm4fBgXxy+zLaw2pdS64uDhqY5H2bsWqSasDUKjMGfQ6vH3KOnuEKdFnREUs43RqQy
8BXuHhg2Bp/m6vIq/aNSr9RfMXenGCxEOWxZFXxOvYVkNgH4nQhoLBP9c+emOdVLTlhvLqrOMRK7
jhuIETp8FKF6LBNoOFdWb4fuCCv4SS7LHf5+0MjVJe10cU66CTQRo+EwNu2DXy1Pva3Nb7FzNzDV
5oaWvWZ+ZBDjwWKhw2/h63m8NjQ5rYZZ79ZVpnWB6xUe47ejAt9ozlk8tE9Rglt3Nqruq4TX6GDH
P6dJUa5GXcPTwKb1ZmZ7dfKxW8Wq+NF05bhjCeDcJKPr3GQ/f/T4xwpIzUFpzl8Gzyxufv6YE9pl
hmbUaza7801SLcbGKmNjRUybrhm7FufTSqOxew9Sfgd278KNTgkadAUbGOzCAwnMhzmTp8qZPsdl
sm2afl13WGPHvmxulf21raMMi1qx7EqiHFZuGt21c8/eOMt/EDPIrsyZXoa6iTexuR1b8Zil3qnI
5dEaooCcChBiCaHkrexv4qwSYWIbV1pXPbGAdJ8dXTU7HawDzYVjgfL86NFBCHgJNwlrBIkZcduN
mgx5DLIxfWaBcYb2U26cKXpM81FbGVOUr2fL3hq4f/vGvk8NljEtokrfxnzL+eeRD0IE8ggkG8L8
2nmZQ7jKLInVBhAW0bC1uxeAsYSLow+4kJrJYHcMbe+0Vz+TndWkshakzRFhvi+MQPeakc0YC1qq
bCfPmlXIC9OAfA9y6oShLP0dums7wPtFGv1gPctivnUdzD+WPu0Bez5NPcsmpWPvSqxPVHyMi14N
zcqgT+LlQ2BIkIsDMup106s56GWPjYi9FOPXZ01ndt/MsyQn1psbNr4jDuHutWG6PiIPRA9huis7
/uJVvD66TTyfZnfP8Juc9Ox0zVFWw6bEGNorLyVwaKoJrMfJl9gl5xqZsITECvY9jzgua9XHxOqS
BrQief5rm9/mEDkGLI7bNGap0WlWhQ8nC5PZV0eBk9Hzi3yTiCVib+BtYx9HsRjgkwvXAkleEZuY
sx7WSiLmlQ+8qYmZMjKz1baIO7tgFPpLZdfiJKMBQ1fRGMEkyQDLY79dO8OU7UdHf5sr+OOqbuMj
4SfQSngTV8X01tGAuPcjL9SsaWs5Y7NzpbU3YyxSescCVitxdcJsy6lAEPT1xDqelEox6mEXK2ff
j+7NIPxyH7VLse4KMa0tSlFeXvlYzppN65oyXMYLWQTTPXJvUEgTe61I2iKYZsImSosPvxlkfYA1
eSlrqhJJciq97KmSTHITrh1AA/PabrkgQ5/fzrX+pWhqAiNZeKz1jq1NAtCRb+TjUItZyfskNXaL
i4TVxdAl510KMx4yy4NvdofJ/2an/FXZMOB6DYmnI8QBI4NjXBiiDD3L2GiC+2vnXzMxLZu8Vgcv
QY1utsaPTCRfF485u37p0uvSQrRTmMHlIsnCNEgjmIroSUTOKc/qx0LMX2wRnQa/vRilOiTahKMV
2tMq86zdMr96/YDza9zHOR9PsVwR5TDqqwW87tqMCCqsYr8JusiDnIERubTkru6588ijT+PoqzAn
vJmCOcAV7H17zRf2ytM1f6txZU8kxn8hTqln3RCzaVwWEED26N7nS3rnlNDJs2XTtSzslogSEH5H
rL0+QBwC8/DsYs0clPzUmGgZMdKTbLZQv5PxCH6AINwWXEkwkxk9deaRhSny9UiBkCB9Oh7hJ+X6
E0+IZnyDZqGHrtk/Va0+BoYjbsZ8V6RWAewnu69mDzl3BEzM1quHmchdWJ4rlqMPNGopBAKHqeug
ynSwMxb9EGF69mqirLZYp6HN7lUtT9enk+xSQAjqu63SYMSvTfbwyrEHrJoDb46ZjcfrVxjH/jVz
w7bBFhtZQiE2n9COe0ANluUHhuHbLPbuUm++zNawKcb4s7Qpx8jBvhmr4hzn9Y8sSa9XoH1plXwo
8no9qPnO167YFbOBAo923bVB5kwAGialjin7OOmJG5YfMvSo8xkjiD353YTrF5pRa4Z2r3+PJjMo
Bnci8JMS6igXEkK7amfOmblh0yBWtt6dexx2ToLjHVdpVr3Orf2JKWFrdS5BKWZ7mZTzUCqlf24m
YvistrtFudHeRppsN7WVOzdERVBUnHY9RAdbxPf67N5RpAC5YyPSsjQwpcrtwjYVd3FdF5sy5m7X
lVWGbLyfo8QCHHIlGcyNAB5qj12gWfVqLP36Zk61z5YesZDRB33jyDHe1FOUsEflZmbF54UPJe5m
RKQPzOscYQwbJ+MpckDQJJEGbtyZmx02E7yP+bwjlvfgx18GclSLUjbH2f+RJ8yKWW2d5vS10KV5
a2sjcFP1ban0dOe20QUaCaqB9EBSxE2Hx3KlwccwxLHNWNT4rQPFxRwvoIhCabb1NjXGi6Kcq2Hw
X6lrbcifnD1AgMe2mH7k0QCOQwsVeT4GwS8k5KSPGkZXr+o+j+awj8R1C+NRjIhicbRZzka9uIje
+JpGkL2MOT+jfmYLqQ4Gvk6Sd4caLoVZEZ3SmN7DsLBUbimO2TX1GJVEpwnc+M5v+y+lt8fBVwTV
0l/KzEqDfM6CfFIY13215nHY0WKYN3FcnWeIJf4c3/tdl8InrFg0tM25MBYN4O1PRdpOjBTeu6K/
uDCBsNsDDeaVkDxpILLYa2ee/TDMOI8mbfm6qDt3Qt8jLGae8ViqjKLd9zgfD11U3gjryzCQbpII
/l2Pb72m64xIbGj6h5h6laBdtMpa4cEhIemmk+Q1qfRqJXLfdPvSSGmwyVhutTYH4tHjrLZmztMV
M4B6n3zZJnvKe/PV8fTdotKbZRI/TK07lJPxQEEWF44WZvgvQibxr5UEX6GTB1TZDfVpmhOdZYfm
THS6Ms5s2tvdqKZNX7t5YEzyzRNP7ItZ6jrfsnbedvp1OHQeIl1jKByAPA01yT6aYbAH2Bg+26rm
ym2Mh60r48+abz1XxVp6E21n13zAefkCTCj1ipfUIknOKfWjY6uze8i8ZzP/ZEmvX+HFvCyRT4Ol
qM/zFTaWM0LikS5lqKUz2LF81SDiGuy3mA4MEdJtkFmgE7gdcI2hQzTUkPRivHHJV4qB8a1aQ146
PbpbGoKUGOvDOBdP06hepvZpENN0jAyq3nVWr2EiRG6kBb3lv3mp9zx72Q7OxxM49JWe5LsRf4wn
men6CP5I1h4x7TPjzD1vpKk9tNH8VSOQl6fKXCeDOuTLcMEajHSTemYgKMOSaBKIwmNV7hTEERWr
MoaN4+tQ7GZtZt3bn5ZuOnRNJ3EtGM520cujk9WfxZKwmGij21bGu45yxcorGBrmNL/BRMnE0L21
un83ZuVeKBNWW3zKNP9+HoCzuLbBHGEZj0W2i0fKIqnm1Xgy1d0C4jC3ESNFyzAG6pphZdUu04FJ
w8X4Ogzzw4hsYz16NWOlxkOU3xp5cd2XIc1WTvWCvm6/0NdYNUuc4iGvgS3F/f1kk6Uy+A8CckCf
OcfFotq6sOsqUyfdaLZ6SntrrUvofLgy05WR9+Igp2k/Alc2x3g/tU61zruJCMKBF9YqO7Zd4Coo
HuVXtFrOoK859SUDe2QRdrX6ae3TNCgCjv3QWjWo39RcDWZPSPQQH1ul7zLNDEsbZ5bhDkngR1Ud
TG3xQEHrsiRiPSQVNsLr7D+CgRhH/UF68ZvMiDBsrnn3+fBcWVaPZsQ1gljlaRC17c4aICEhmNb3
CtqbW5ljKBIgJrXTIbaovjoea7ys1laOWm7LnBeiiZOvInaSoABzTfOvgA2kdsL41guzRZ0I/Uc6
3qux8FilGnuLxAoXS/kr6IsjyVufSbFnV5E4p1IM276b2N1nyFxUhUGdTKw+pe7e0DCw1fK2ONUO
5fPQaOFQQvXIC3E7jsYTdch+EvQTdKe/W6AUON3csl+mOuBPacwcQgoymZEU9tSgrfysPE4pLl4t
Fnu/0vt7PQKpY772VQm+RKiaXhivZtxTlwESOFZUpd3oaAy88bmR/jCmVN+IHhBAq8QZRea3pS8M
5CFYfYsh21szMyGxg+0lEdFzVUXyM9HuLLgpuGR8gfYKylxQk7SFacEXwK5GIFa88iuD9O2s+FL4
U7+xG7ITJO2HY0Vy2AjsubsTfmoBSYFvZhWzGRaiZSNDY2BlmHUe9B1QHLIHYYmY9E+m8ppYVcKG
GLX7aXAcFOHVU9J42WnAmr1NB5u1KkB0tWQnE1MbNuYSb7NGD454cTa1c4EGhH0lH3fgduurTvrZ
TdSUy5r0xoGCOxLykRbDJYuveC2dXX7clz8AW12ceSJCJLfueo36mkskL3gOujluBbM+mcx+u0TJ
Zuhs9WKn8JWHvKVlDu8G8tf1K/fe1mDLQhEjvqV3zhexqHGWJWA9suXPMsl29CmbtT1SFeuIMWKa
P4pxMVYtAXwrJP88nWMPVSubrU2SkXLbecPnyZvLQ6doeXVJ8tSC9ViVTRGdWRtAf8kmdzc4Knte
uvysewUrwWVo7oXGgNhZVkC3WB5J7wS3MdAUN4vMC63pTcxRS2xZgghs4pMHQyqo2tG+GLv61FdU
gm2D1SH5UcdMFM+dUWabznfnNU22t4TU8bHH+qgvXbatDUlwT2nTH+VHDVZuqDIbjExhgU8ZYxYi
1P6NwrMPLsnzW8wD5w5+0SHxarwILKhXhrOoc+eCGKzTUV8vXs32thgPnkEbLmVtEHQaOXcudFJw
xWJT0zEem1HjljXVRvo9mljC6ucKlmrTCLAt/tJtovKp0igqLWJa2RT6QXEijJrTIyxeizGUZgwz
/levKW0y9Go/0CK6k5GmLWu7Al49LWpi+6JBrSgLahcpFQB151htG9CaX4I+Lh6VRnJcrnrAy9Ut
t2W+Mau4JfCeKlOuAZTpZok5SPdeJnvhfSmjzVJB9momxEpWjX6copIfjKr+PDTyZS54PNUYA6Cx
e7jiWFc2rd2CJc5zpi7EcTv4qRTOWfE0RH2cmtZiLDVmasIgWqZWEmYIGJGolelbScRQWyTb4jry
YsRwqbva59S5pbs9PE6FephHjUatfS8U++40oh5quzPUGkGvqTC0jeydFykpzE6TKdcQDC4WLsWV
TMlZYA9Cz4rKIhbJAHo6iSRICxif27yHdYb6oXJdltg9xcB67rd9Zp5MISa4ciZVEae214aeH60O
lm2VNUmQIrUg89S6LeY0O0rHvZeOPm2WBXyYYxQPNnqMQ5P/lLKxa7HzudvJRqcjT/s0STs7FE+z
lmSHAYHKvijCuI9oKRE6caBD+zmKoI66+kxiTdee6uIRabVGb0OtB82LVrRYAQCZX8aiYOnUlFvU
XdqmgcQaVoVa62V8k0yxvYJ/Fq9dNnZandJ/8U3aky4wN+O6tUYMZtTWpvWd+UACIkKWfOX3lQpl
msClogS0Mt2GDVzt1AeKq+MSRDXInqjIllDLdXM3Mu7DPizCSSyCbq3kJaC0EGpdj469tttrgsu0
Zuf0EgMWOvz8gXnU2AmhAwmr48DE5MFLI5JjOWnUhSAQc33B7DhlElCduOmTzjv8/GH0I42zogtn
0T0DndPDnugusL7lZlR6drRUmx3dtKFW8PP3cthJY8gOfanodiphbXvWI6sstWwIlYg0sob+8+Qq
M8j1CoGMybTR8rpB21GsnVMJdtEotm2k7J05aBOAofiIAWYljXXZA8ZCC9IBjlZ3/aKeClvITVPU
X9LobGjnPCf1TQJg3cwih3vM9/V4fRQsPHxyB6mrXV3H1lZ0yXgwrz9qmDt//XD0kBXAvtPHeReZ
YjlE+knVY3XQRVkdCighORO8c6wov+PwSNneOhQDDhrdj4PFE7MuhDewTyQdCn3JtrKpLlmp80lr
xUMxO6dluh4Pp1Pr9Ih8GnWVFLShbVIbbdSQ3ctGnJzBJ2Fe1Bn7qChUpX7XwLXObTYhCFrKU0I3
Sm/nu9ZKN4vHGNWjOVhizaI/SGoixaJVWnSPk4VmBZrSJ9eZStY7KRdfXtVMLs38uT4YJiDtEsqq
RkvFyS9xy2Jcb1z2xop53pd3pd2+AA5Tq8lQF7oxO6HND8JkFtKi+biYVL0yRX62NaeXpvVIcJBk
T8/ONziblI3LxjMRSZmfitp5kr22YTD9TknFpOcPsKq0vvsaO3paWc0qrYGPCePNq2njTMVyp9fZ
Ha7ewExMykd0HOayvh3o7TAo4BcqtdcuTfaFizS4NvwvpKbBdrLSfhPP+tn1zDdPo6Fk6/mTGrzP
Pn1/T3shAInVlG9vZe21LA9peWgHoeXfCrPe54rr6abZD5NVb5n796wan3RVo3Mj/SIshp8lmmhf
u82nKJW8BfSnCKZKV/41ZVY0txWMMHI7h0tRJdvMo49o0zmhBAX91VgbRb0bYpOecM7Kt4iiXTqJ
W+Uvz6x28fO8KiAAQUsz/yo0aANsEeEwL3cgjJHPFE9ls0vK/N5klbQyO+eTrqkITBdPSMXbsGTg
hacsWRHbeVRVtXMH8NrC+TT5+oOdpnS+/LBPftRVA/9L3VGC21cDmhrfP/eV/w2K3QyVzzvKE0qe
T50nD8DTOQOWrGvDZ/eSuM+ltIEqmjX0DC1/uVma5pjnaLUcjwZQzaQ011cl9sXNZvJe4wRqIucM
UGxESlKX6UgWy7oq2KFVNpGtM2izRoGTwX7DkrhApqWKfTaYn9w02dLHNleyN+31NOBvSs6pNyGI
f9BH60em4v3c8JZ56DbQ8Syseq65aRY1T0pAXyMvZqWqRdY2mu+cMRoC4cWP2Ygusa2Ti52WwN18
7eha5t6k88Nld7NNz80Rjsm5ZLxipj6HhaTwUgP+lw2v/k9x6H8koj2nr0ib6x/9/7z+s9cazVEa
J/3//v3X7q/f4+91+K3/9tsv0FDSfr7H4Y9ctRsK/ikf9O+/+f/6h//1/eenfCB+NdGl/kH82n7r
0uJXsez17/8lftUM/18G+lY8BTbqcxNL73+rXzXX/JdPwCPiZUADEIiuqvd/q1/tf+G1EKYPHAc9
9VXI/X/Vr5pp/su1CcK86lbJ9DEwuv73md/9Jcvmov11Jf79+39VQ3lXp1Xf/a//8U7i7wA5YH/N
GsbFi46i9p21g8Zbn7qSZAVUDfIzUL0W6qCyYTpKa+2xfP2PfBYOcnPdcPkveAVcVMb79KDBMOqK
6ApqUypjce0bHRuy2bX9IEYPFP5yH/7h5H4X3+OtB03huCYniOSfAKd3J1dpZiWmkrjDpanS8xDF
7idf9cnZyfvrHKJltFE7685DrPWBKP5q4/jr4u/fuMg/j0xcnUED/+qZec9faaF0GfGyMAJ2o/M2
DXG89wViBgoq/vDBsd4lvvw8GOJpk+frqvonLI8v84unhCmy9dqY+WSWPrjZ1TDBpkOkOibeualV
kt6QmP0U+5h2Laf7RFhjVqzcaKSelBda5e3/fNV/l1PzdYQhfL6NjzKbBet7rlPTOrnrDxrNLs0R
jGnKO/lp7T7+x0fBNYmAyEOzzIlf78AvJ23ng0aPJZlWltZE4dy73XlMq/jy56O8syRdTwaLPG8Z
biScMJjlfz9MN5udINEA8uQ8DSfPiV30MDWsP0kh52KwOiVrxhvXZqdLdIO1WLs06m/SqvGCxUvr
D67t354retI6cnikaGDZdPN67X8563iKJrWkEUHHMVySYiB/chwthyqmmj54U38fGa5n7l57LzYj
EzArYmV+P1TulJ7NBoMiD/LosGtrf2UK2ex6/rOthqz5ALrxD6fmwsfBLWozLsCG//14MeXgvMxj
YunHefnqR5G7z3ytA9c1fnQVxfW7//Z64gfUcR4A38BT/rfX09NA51Y9j+i02CCh/XZeT0vibBMa
axvE5OXaYY95J2t2uRnxdAhI0554F0pblCjocPtO91Ee9juHPbgoG+QD5idbp0FrMHb9fgFSb9DR
rHHBiY6/r9X8pa17ETZucqrZcWddj312idajSOn3GB8QLt4PlRwc84OHntPF6WW57++2NPqEzgbF
AHChmyjKH5GjvMI92XdR1aK7Z4hcCu/ug9frd+/Qz3NmkvNNHH882AC7fj9n2SLjRV5AccfHTJEM
vd4EqqcmaTcNtMZFNuepMpx1QxrNnsxkit+Gnu49XY27D77KlUPxyzPBQydM3SQ4C8rQNQPzHadi
iUleBsjYBfo8NmFveeOhtfVi6zV0DqlLJd/oK9u0oQHOWw7fUC36/Z+/w7uR86+vYJv417n9vHKs
FX59u+WCRloZLLeQRTa3Ujen+yGfQb3++TC/W6YcDgPFBN4iPmKLZLL3xKs8Jj0J1taIViqjozZm
pkcpzanbL91SV2+201fOftJ8yPN/PvD1Cf79Ev9+4HcPGQKFesgKSvkVtwFl9ITRgzS79YwO5DiL
tgWZW+r3ZGN1l4Fu/AeX990Icz1vR7cgSOEr0kkafbccaLLW80mZBg7eI8fLTKMllA61g0PJ6oMz
/YdDAY/S8XDT2SJP9/2dVFdKgT6Wq75md0KHigaiXYGrh9MKLPrPl/XdSH09L5dx7OrSvHqZxLvz
6meZpen482BxfU28MYkE6htDb8KsdMoLClAz+eCY//AMcTRmCdsG8/aXp+qXiUgvrBpIsKDPk3f+
uW3TQ5ZNeFVGNz9L2PJfcx+30AdX9f1K5+eZ/nrU65X45agytUyGc+rSU1s6K0I2wdj5Vnzo0dF0
Fe4aQjJXdIiiBhGlZ6l5J/TY+WCk+Nu9NSFdXd3eNkBJ13yfleymI81wx4bEUg+CDb3KN4OEaR2p
ofj/PNS71UdkTpMDKa5cFU1qBAM383tmCSosTdR+4Ez+2w3lrFyHJSR3lOf26rf79dLaBoakdmC3
O1mLIKJDiwgqK2faumU8NmiVu5qe0EInqfvorl5fht+GheuhwSo4LGrY8bwHEfWL6ebxDDHK8LPl
dmgt+WkuKnczlpUZ9uWoH1MrmTd6a2efF3euz4t+pkq2MiP9I9zMP91bHIAMwVxG9lbvroKLkFKh
40dpoMOhhUVuYwmICDDqSQvqUGT++c3924DPmeMFM9gZkv/JYuT3iz5QiGrNq3mrqPvkln2kdWmz
1nj681H+4da6kCvIouR91Q3/3WBUNdjePa1EE1XnzafUVVHICN+SzDlkj2bqDNRyZul9cNR/uJRX
HBjrSIAPLoSE388tlb50xBiT3eSjiSV7inghigrrth+jzZ9P8B8PxR4bcADIjJ8b6V+fXVl2ieUY
qOfj2iCYPqWHJHvw5U5RfBSveR1L3z2rmCA8HKPXvaX+M9P1lxGosUo7q3Kpro1C5/sCNSDsF9c8
uSW9FUYEdCSa0vGzRODJ/3yWf5s9uU2sTRi8WS9dlwj/h7PzWm4cybboF2UEvHkFATpREuXNC6KM
Ct4lPL5+FuvlliiFFH2jH2Z6uqZBAInMY/ZZ+/0DjUPTySdhTzBcTSqwASUjQWMUS6Lqd27VunIZ
1SIsaTJUw4TZE60Xv4hrisdf/45PHoFzGi4nzcPJF1rS+9/B2676ws4YyLNwT7cbrVyzhkWgO/lb
7ijhbVQ1KM3j5btD9ZN1DKsZ2AYHK6O650TDhmaPWllwEKREyxR34rJarpJKof0iR0rtxG/f7L+f
PHKuyGYITpZ96Tw8TTMzc5mjYg07boeLRI4Q1gqBqveUKsu2xy5jgmavSAvOrCny2//+pP+9/Nkb
b5wkFzlmhBgrqW6PlHeyEr8xOtoNedNOr1Pcm/jlOWH9hC8orh//j8sDqCIud/iUrbOIOHcZNQy1
k5YSDRiGXmhvjZTOgR0eYj54v6qKpy4jBvj6sp+9ZkBpYGuJZbDaOEsEUYe5gm4hVnV4e1oebY/p
5+IiIoDIJeqfRVjHd92YYUD39XU/7iIafV6Hb1pjw/qQAnVRSVgKwApx4aj7CNRjppLjelOOWrn7
+lIfPyGNkpTOX/jDGfzH+09oiFItaee0RG1kxI/MoU7bJbXz7SCQILQ0y+9rWta7Ypyrb5bUx4fL
lSG1kmBrJBjq2YkTOuk8MeuI34jSqM8dU3+Po1ogd+9mSTNiAqyJb14RjuY3T/fTW/6/C2tni2mo
rTZMYk7WsAtny8uUHEXYPObrZNLUjZJgvYLUjplo20y/oX9/dmmYLjaLyaZkop2eyT97di+TbpwU
TiJQmzaRTEqOhXeQpr2q4Ty9arFb/kkctblpNJOC0n9+1frfndLB0VL7izj49+LoPwys4wVdBART
hseJGV2FTZzcwV+ekKyj4Tg1MnGw3Hx94U/eNBd2LNBA8D8/4B0dJS2doYZePzE/SHsux8fL6yM8
GuhL88881aoKFwnFXH8XRX2M00/lSJICCjnkBgQf7594zMSlzqwF5PwZR7us6sJX5p7iWxxcUguV
UBum4VObAlKQhXuSTyq14atT9M2J+cmLZ4lTvzINti+4i+9/hkwGCod/P7Ol0g6yyo5RqIVHWLko
0Os0fHXz2rx2auYTvn72n17YofZMMfZUTjj9839W3Fg3zMPXbNxp2PbBIJ1kMw5MMZpjm12UDeLt
RknMWxrc9cPXV1Y/e+0mWwqpoE4h6Zy8ZhtKQgspWVaxbbfMZ81WEjKMJFLN040om/B/UfF/oqBF
qjTGEu+ZMT3JUWMtmxfPDLWZqWuDCbqLvNKYmotRaTwzB13PB5yERLoKG0Zgv/7VH+NgjcoL2CVH
5Y24f2/qn+eFq+7i0Jo7uZPCyAzqWOmnHTqm0Xr5+kKf7PGnWJQ9gDTSMs5zN9cmAq00OmfRWC8q
c3l6lw3PZUycg3+go8jimwueF5CJhsgmbAZeSHB0iE/6+6WgxuPEzWnzalpUZ2PG+CWN8ZTsypO4
sJK9unGFFSPVhKagMEF4nVJlvR8Gy7gcUpyavr7/zx40cQx0cCYHKPedfZj5UsOWa6uTTrlXumOV
YjvItMmsKN/sPmcGGxSZwLlQYoWrQifL4c7f37clE5KNnO0n7Ret8fvI4hOPh57BmTRnTBsBarvv
IoU5J0YWw6epzpfLgXH7BUMvF2GqrtHXbox53jNoU9yEISWrb/aHT1bDu9949pkOoY4aMS9xgGGA
4JeKDMGzjK56qDtQHF8/+E8v5RIzkzqcSk/njwOja6bndUbn6TNsGIAuXpISfQf+F+hq//O16LzQ
8dJo6zkU798/ejlklorpZumVbtzvMomJUOiO4U3RF9F/Kxuf3vKJfOdAZNeZ9ATF826jy3Cfl2Od
MbcMt/CP1hn1qnSzmDGGqlzlqokCXFXk1kTw5n99k5+sZJMtjmoe/GyFrsHZlXUzZoSaeCJFG2Wu
cxnihaTqVDC/eZp/c/53Kd+pjkfnloaLxmd8ngRUhi3KQjKBpCPoTAZ9TYHg5CPIeNiIFtuGD0GT
JN5G87UcnnXtKVefQg2nbMbzx8G4KO14M6fSb616O3U3IUbliRw9q8VZ1zWCyTGPeWrtncV67Bd8
2yLoD9SeHtpB9aZE/MrAcFiltqb3RHxmrBphrZA9oy2l91SrKOXby0Sp1rUTX08xo71IMvs6D6IM
41I2lBKhMX7c67i2IFhMK6WD7YHzRZ5iNIz4OSnkluPgZwjuwCX8HZMwkCOAnqPS/F7cG9SnPssU
+8vHCVrP+EPr/vR9iu5gwGNOYAiLANiyAqdUg2xWMBFGaQYYM+S0rxDpVdqxa9QLTZ13PTN5Xy+D
s+/KohtG0+JUPEK2ZcPNfr8MChXPU5zKX+KmTIc1oaRze2KUIQitreGbEtkp3fpnIVDIOEHuqa+a
LDd6gWdbOXykYrI5Jb1aWEVzbFxzVoGeIZq5nEWURr8Yrsdi5esbPK3jDxcFuoj7kkNWdB5K0Ssw
7SjELNBhXDYg1lCeqyXuN47JKHFihu120gZr8/VFz0+tv7fK7kH+ZZ5ayufNEBSVsYsT7gwaCX2f
Fr/B99iHrXxoEnWfpP0lUKOnoWYGU8GlM1NjpFCdbL75GR9eLg9cN6mREc7QJPrbxvsnLAizJdSq
ELdozM2dlaAaFxhzLQKGzpdvSkhn2wk3TD2XTewkSwAnr53tmXWiZFa/pDOQi6G7duuuuFimfvzP
N2QBRybQYbckpz4/FF3T6FJpoFPn9AcaVU3yvk5ISUpHn74JPD65IS7l0CsmFCT+OKsdpEvCvI1T
41RsF6oWGG691IERRbP7zRHw4SUBbvyrY3FwPeJ8O3tylHS7aUJ7utJqptMCJHdlyGhzM7BJlnMy
7P7r0qSHc4rgTsU3bss53fg/i2LJS2ZFe5MGDvEb2hviUUoBZTc+wAnH+Xm5BaQFJTSdb2LLXGex
0gBtmf588zNOG8u/3yWZ1WkroBVPSM0GdHos//wMyl5ur1IS9kDo51lgDznjRyil0x91bJNFjkWq
5CuUi0hcOT7zH0texfdt3uJu/fVPcT/8Eoozp1iO4i7aAPNsC8xq4fZFS3kXbXzp1zGy7dNqTjwo
ofJK0sjDyZb9OV7g0CaF8l1X73wBENKctgmHzZGPFfOj908iT5mKHBQmw9qFoU6t7cun1s2cQ+wa
/TcagfMdmNKFfiqX0CVQ0AicRzZ2XZVaAruAmlervkQpXtMWDaE7rRrin6ECcuLrR/vZ9U57PTmo
Cb/4fMdPI8ikKCPGFRbfw3UCgQ4HYPhGiW7HJEmy/WZxn3+0mktdhj4eXrRU3djz3z/KHlDAQJ+P
tuE4m+tS4lfpVuHw/PVdfdjduQxVAZaLww5hwLp7fxktaqesiCFNISJRTc9ojWotxMC2pLZQExp7
CVobslNRCGZWZ7Eo5fN0wuGbBrS9YWiL79bwhzX09xc5imHYZN/0Kt7/IvLSgu+DsbGEM2U7Vuri
9xYF5MxhXP/ru//kGWsMZ+goWwz9FLS+v1RNy3boGX3xeC7lDWaj1lVNPfCbj/L0CN9tD9wQWSak
StppOjHq+6swvJRKFT8KRt/kXTcJvJ4zCtWNLMOASf5fZtOHd1/f2IfFerokYjcqxvSe6eyfXTJR
kobpZshUqiueCrKveyyRnZbCuOxejQER4vrrK55LVqzTQjJs4JmnCxKTnn7SP5ugGlcFQ0NsPb3j
ypcBfaqviQGqhkLFKZQMpE4sqZ0I6cna8/SQZhDav/4Nn73OUy+Gv1g4NO3e/4SshMjN0DC2Il0k
sIxMmCxVDfFtSeuzp3sSC/F8/+5Bp13431vNRyerZqVA8izZYVV6jwHAQzdGdSdovZiLjUbHNY/x
pFA8tRoGB4MMUkoQizn9TZlOF3vb7oxHxKTNhZw1/RrpZfKtGvCzT4mtgzWAdpRY5mx9azMJvhqF
7JF80g+KktdbiyrHxlYLdOqmHBmHSSOfRme3K82RCVRk5RFakNzCU9Ygt6ggoNoOSih97Nzg69f1
6a9zDFClcFaRr569rp4RTT2cqcWOuY5QOakipOzd5HJgLnruf32x04p//xGSGnJYcFbbp+bp2TuL
CM0HxkfJ72ke6j7cu6nYREXYGddNR3AU0PxYqqNpNzOTA3oYmf+x6s0HQrZBV539lrLLh9VZWHoW
aRZVEEiQ1nqp0qLDjNBkEt/taoThSpQGUY8Rdas091/f/IewgAqPogJtP9Vf6cOebandMNgyJg2H
sGDrQZFm2TpDubDNZsyT24apZyHi2ht0JlmVol++QXp/3AC5PKEnwuKTkvk8oK7GMlebmTvv8Kg9
4Eg8BxOb4k2mVzNzxq6y6pxJ+WZ1fdwM2NnJkrgwga97fs8WvFo1MSm2j3ZvXVDpi27rbhDbr5/s
x62AeOtEw7dJGPAOPFvDrVgqdaxjbaWGKUPlcwVAxmSoBR7r5A92n3+Td352VwhNNAuDXJeSx9ky
huIzWqlJVIAoYYAqCGsWV6AUPe/u6xv7m0yefTAmWRDaSMyu0BSdBQYj8zlNojH/LeKx8xZdqFst
7H464EtOPUgH/t30KhPtIgQtU7cGAqMsldtcB9IRmy4BsHC/+YY/W0cW0HaEEif/RPP8YbPKq3o5
NSFtMJxOPBnrtAyROHt6XzrVA3ixqQY2oVT2N4HCJ2ESUR+1W5v6EmWuc11VOhVd20OKgCEwKKA7
dXlpGnFPtaZZfAiKz2y/UeC2M+PdgKb8XsVdlqF8bV1CFXj5+t18XAT8GEeh+X+qqqIUfX/+lPqC
j6PO6a7XYfEjZuu3fJN5kvab5/23G/Z+Dby/0NkaKN26SoDsocYZki3OlcaKwuUh07X7WAd5ZufY
sw8uUKRYibftUP0Onf5ZK2BUlEj5QU3/rFv5qyq0x9pdSkq+qeBUhu7pMsMU6FVoe1rhziuOrtYb
FlX1Z2FpIN2G6yIW33w6Hz9VtDVE6Ijw+HTM82AvNZu8HGuNIlkXg66D15NcD0KbT7Pp+QF61fzr
69f08XzjgqdXRK2QneE87suploqmY7mGjKWCATJBmlER3iStNd98fanPVoRGRRIxBkVQek3vV4RW
DibVc0LMvFfSuxO0G9ulcfz59VXOniCZFmpRBVs/Wknoa86zSycapzi2BA0z5Fc/Ij3RYWKXytL7
DXacl2mYj9V/28U/XPLsxrp0boWCe5vXK5k0g2au619tkzjTN9kdowJ/JbX/rPbza50Hza6UXR0j
Jgjqzr5OWltreooXqUF/tILjqDtrZI7MfMOFjWwF+GFbwUZGeihm8qVBRgwiMLWnVc7G7lOs0DIZ
2rz90m4g5bjZ6BTPcx+1GfpA5vgNmxpMFSeFPywcxB0yg1bIbjVWUpmOGjpG84EhNHC/cDumwaJb
3cEGg0sQRm3l+mhs8LFe9YteMRFsgsqii8QRVdWQWWVZQsqcgZFBHe9HGWrH0jLa4UQGG6kPW2Mb
Mk+9ONngGRGe0CASIIkKIC27FC3PxVxr+AFLS6T7sln0fWN21qFUgBsbGozrfkqK27kchh4JkqG2
K7j3CvQad7nVSojPIfTMA0FU6YMGc6+kdBuGuTVlVauU75wGyMjCbr6Hka/fOqPSHvKk7wNagzjL
8CNWEHnDXTMoxTq2pmEVLuCirBxOtFFr83YqbLFjxt5mEluWB8F45vrEpAD15ZoXJkkdk0RitN6E
ZmZrzAyXazb1Yh/1DFb2S1sFKrj8l1ZX0kvycOdlmsbscrEnAHi2Kx4WCmUjgM4+HX2ltetbMYjk
fmps9TUtu9xXqA8GgnEaCnfMRnu57BV/cZTxsmAqJHBas7gbgaz/FHlFzD0l031MX2mdLC6NRnuE
uG8yF50MnfKQhIv0LVXky2pY0hIFE2bNP2y9ifYzhk9Je3FSo9tePQ4AIGbIGj/0MYe44arhsnHL
Tvfou8SrodnLufeyqnde9blnRsNWGvAY1Il8KQXGAbojL6PWVXaDamTXRVE3j+bEpxTWMjnQXlO9
Oum6q57ahvTiTi3+iFpJHy3cwmDTjG13keainn1LUPewcPz1FWF1Xk490dOzvDjkuQ3rK6U2a6qT
9sogTH1phb1cu1lo3805GrEuhIo4d+pzMcGGpaQf7104gQND+TE1skqY23hZjJdFhZnu2IySOiGz
wVpjx34/TcWlkFCZqMSwyHQ5xBBaIifQRqeboetE0abqzJuOWc5ASTsLhkXcbUcqKHvXhZccm8FS
t1DyW2cZowBk3WTCplCnp7LsLBC+JyLSooRBUjrwRRt1JIfToFspMHqAdWkdQawaD7grNa16G84D
k1ZTdlSNlM5x/6dQsweK8cGwJL8Aim+bqt1iWIChVf1Q582bnMVvSqfmX0zn1l0KSvZxicQWNwJv
0prTwEdzL8zuobIRpycTZG5OC7m3sFW8NLraE22feFLNsVRp3UcRMzCvONmuMsZL0AV3SlyPgV7b
TTC5kDDnRjGO4HavoTVOsGGKAHHYSYDZko1zNWUxQQPK56pPHqxEex6w7vAa5h9WohMkhuAdYegc
CMgkZOjllb3uwejpcUVqhF+cbaESiDN91xDNQ92OPZC1N66VvuEKdZ04SbRmpLkixi+YH66o3htx
EW8rF0eYsVFYkkgES5wwNWHpayoC7Wouk5+otYE+0THGKjxO/bLoGWRrXB9PJsSEoTCeQqCSVBqz
/bJgFZb15nioh+HIir5sdY0LSi1ahWR8vo7ND5+ruu8W4ENLX4CDL247vDIcnrfXUHpj02DKQ5gF
fPLRioLBAjOSjClF3GI+2R70oDPwKNe4YxdyNsS3iWpUCWBDEQo9F/V3FgMAbhun9Ga1XMNfiddR
bQDRtZzYT52WsKcMQXbUeVpvbGQytVfAh/NVvZRXALKmY5E2iEIQ4C5HmBbudSMyCOukyKlvO2+w
Gi7cwr2e1PCaTPqZbYS1TUXHY+bgdoycrWNTIssbenWxPLb0MFcNc1qbbqqtFR2PDZMsHhah2zk0
TiyJ68jV97UZwtBtA7dvoY/QhYhGixwRAY5nJTimJuX4K26WfgUvZUPl4j6N0hcAKvvFiClrmNnB
hmiZIg4kcV0OEgyBLtvLWqtvGJ+p/EThX5cjImsm4awgNVyAtblo2twf0ComjJkGDJ9fD2kCzTJ8
wx4i9uhlpwTUzJvTBAvcYT4WsrN9qsFA50W2HgvyDzhScEUsBp7jQQvKSlw2i/lcjMUr3uorA8YT
lJibqgZ/VZf9SmRwmSLS7bybn11ZbUu8UvNc8VUb2VEdTw9MO/E2oyb1Cmt5i2oLOEDqBkOtvA2w
sAanq1aIFvCDt72onw/mUGhAaqw7NcmfK2sZ/cpiEm9yk9u2yKQ3NglQmmhbymzLbu+Farw16xY/
Emg5hctaRntYAGIDDl4mh1no5MAEBt6ixL+UeAk0Gz60QOy4KPqmmkQfZH125dbGZd+3ae+Zc6vO
G8VMmGe3egFZ0er0+lpp3epX3icRkF63uNAGqUFY156kBD/KCpFeyZ+AmRse8B0NhkHsF0yTVi2O
Da+5McNDHuElOMm8Tky+LpnBn2iBuji3HV2Ybb8A+onE2K5lb+FUK2RPDaMtVq4aXYB9Lvi76Erl
D2UqLr9dCEdKL/bEL8CWoAG4WVCnGsu4YolhEKsb87bKsN0w0Slw+uRXcGDXbj1cyjHBQ0PCahzQ
AKlXuVIc7dJqCMWiHPQFxosuZ8mqbxlXr2NYVr06NL6SxhvB4AkzCq7vthoIa6pueZJexZGb8qeT
fUvJpYfz4zbbtkr2sLWC2nT4FzPLR/MApMtAN3xO8v3iRgcjgy2R2Tbgrzx5UoB7iWagqyKgDi1M
Z+Xyue2t9Wi7a9fKiW9y81dUttDuZt9e9KcyadnnYZc4youqzOt8jB+g3rVID3FyMeFwDcu6D3Gc
GGcMKjLspBtxM1vWumite7fSOAngh4K130ZatGmrELYvOI1+XBvCuCqzkKUcNr/BbP6MTO3RVCab
80EmflyrHqpZ2l+Tcwx7+0nVl6suBbRqJsZa79q7bFRv0ctT/EnI26MHu5pfCo0JYWNli/bo5O4B
soa2MtV6lzr1oYHc78H+fm2z4QawRtB3hh9Njp8tyApSbetoXQBb+YLQa/bkzNBYokR3k5K/IK2S
3qS8VaH2NMzUhqs8fInm8rioy05E5irUxpvC1Y9xNJmePk6reNRe09S5gq736rbgGCFtIFIok6Mp
wzeGbYm9Zu3VUVPqvbHrJ1IcS0eizJCnoUBGjhv1B/9wU6JyLKcXExPNJjQM3zGLg6kvD0ssd+JU
tO2qCcD5tMPo6Vr0v6NxYAWrlzVaBwXdfKrxqGc2ij4UIPW5BJNjNQGvuh9iCdMCAW1lHMsGUF1h
bl0j/EPbF+MV4LGIvRoKIdlboSQ/G5cPm3Hoh1wpn6IQZzSr0K6ZG3gztXZZpWgvssrxXVxLHckT
NYtG4AICCQ+x8koujLmUQhVeriabaexzr8EVoxWEWIaRepNp7DEFTNeZoVzKdL7QUsPZSuFezRk2
MKK8SIv+9JjvxDJs9MHcTwA4afIEJj5TY+PAhFqGC8R3bwrUY3bWeG0k1Z1ZKcc8ksXWzZPfNYyo
VRMZMKcK9260YbXq6a2pgwtZRtizsN3qeN1AwgoJEkjDmZX+yRAnkZZ1x4zfa6TWe2B8cNRr+D1y
J+PEn9sEJAjwR9wAsrQMVFwYvL6ybwsF+wfOr3yeNrQsQs8oLJpT5q4brUBv+sCwm9cihE1tQ26Z
TT2YcvUiHozADN2rMZdbjWGwmqEE2gKMCWHkZSzs4tiLSo+BqvXQJ34l5idnPl1JsXCGKVksoQXI
XwaQ83cm4pZssn53TRjA2tx2dc9M/YPL0dXlyo2y6GBGXc3XyszezFX95AIw4LyQT53F99Au+yKF
bzeZ+KPMyx0tIshtsruhe3nZM73tMUwKXmSw0NPro88YNjsHj4ChxLy6j1vjtkEno4Sl10byOdMd
tPe5D1uaslxEsCQ3Zmnel/gS6/wZzuu6dzDqOYHE5FWV6DsDPlnktFf6ZPvzjPdRiM1U8cYHEAw6
UyrW5MVaA4HR4W1jWpakGyep16jvbipssgSpN6n9ZC57sCt3ZpEHVblgxknNx60vK1t6tby3Ik5a
fbmfjGcx/qjUuzofwQPWj13nrCsCsB6CV+U+mvWr0v5s04yHZ66YzWE9Gg9Jvyu4ydzqvWR6wXg+
mfJHfYG7lNS+DRZ/zhtPra6q8UpU927ssGIAlncjMOLSL+tfbHcbXV92yqhwMD4ABt+GIrs2yGO8
QqgHYh1vwct2kIo/tG9GqqxsoMglzum6fhQl4YKSXxmVtUqtQ6z8wIooIGRcIXm968fpqsULKWt6
X4JhVejhx8MAXPMZg59Aj7R9A7+rd98ipi5HbNOi+jaR9mHU6mvRPYbhMV+w5GnDK3BECKMesZHw
KCcGdoREAdgOzt8+5gB+LjTSAgjLuBnBcdJh1CHE95weepN6c8IYZQpxZFHsWrAvXU98IHAkGdZR
/2vhCM0gb3f5whc3XCgKZ50brqcwg/mFk02Js7iL7ovGjkPylqIHo8ywT/Ubo1sL2r86JmK6eluJ
nZo+9AkQbtJ0t8JsLF7PJDgNO7+1VomoRfS7mGvfXIa1MHZVfaXml0a2p+nCIBQeRTpAQ7epfFcX
q8l5HQzsSJXQmzMocbm6rqOHyLgWmnNbdk+YkoWG5mdyPdcvkjSyBXTnScPZwaqiygAJy4vbX5Z1
U5DatqbY9JNOoF1dyVxZw9YJrKTZp8MVjm/7Rif1KewL6NUHUYJ2nqbJ76vu3p7d1Ww9hREsqZYh
g5cBS4swb+H7/KSjT5UjCZIUMP4c9/uSbV+fiyArHtxm3oVWcmOWxt0cKeswLZ9ULG8rtwmQVQcj
/CbsZYjB+1Xfib1x4pdgHFWa/SouOTVwajqNcGfO5djsFgFzsZjXyzjvTHRUOCCcYLb3QwsoIrp3
xrdZLwPg2LX5vCj4/WTHyjpG/X5xFt/NBEp561IkG8tILlr6x7JmC61G3gesWNjFp4RxNOO1Di6w
asYNcl4SFGdvm/JC4yWEcRH5iXFnOsNDP/CrixHlbRRE+c+yuLb7mcJSctBZzFmj34gRdhetuKZ+
szTKMXq6NgnBk1zCdgU2Ho0XVqzetzjHjU2xboYWTpy9KijGm25A4/Q3Qb+KhnY6MsTzY4CquKKm
cUzU+keuVLeymcjx6WDUNZR/IfKVO6e3iWP+YC/YjvkJx4XVh8G0pYTIjT9NRIZVEZNmyZ94rtjA
MZLm9wz3lcofVsJm8GfdutRCa+s4+YH/TtiUi8sY8G2mXFJz2rZ0Mkqyg6aojpIqvUGi11u25yZX
zQRzzgZPiFCes2wlTXOr9tMVDcp1hQITRisnjL0xcFqxrSHoStze8nSfJPVBkjFTRBn80hp8s37J
ymMYJfd9OfycwnHVOvHWVSbPqltwjdC54z/6tLDnPA/hTPCWBnVjaT5Tixd9SJDLghwNYma5M+ri
Mne1Qzebt5kzrssc/6Hagq8Ks31V4MDQWS8tho7xgjFCSmM9tzgI+j+ahYhfvAlruRVuHuSc8Cr8
rXAksxj1IBr0DRmalxvpoa44SwWJV3OvZr9TNgvZuWuV/8fMdHrZm7cdcFIhQOo5vxpN5ekkl+54
tAYbBx2/LiYqUyqAlxvmHvFC6XnrmtP7YVoHUKbWPZq2tOScoC+5mbrpDpuNfak595Mt9wTgd6b+
mMHja7Jobw+uPylxYLh3C4mzhooUKKzOG11qKkRsaqIaL7FieqTQtM5LHUnMQ2LyR9WuORo6GO5C
o1rq+hgB/Ygs7d5qKCCpxKGZ3IqUvpkeZVD63Etii62u1c+mQlyqxz7T5NdadC8zZeW68a6AWOxK
1zPMgEKhN7p4Zdgheyj6aRuQI76LVtas0ah7OMJotbkRDo88YYrFSladfSeVKmhVmp3arqyq32oJ
83+bKRWY1J9pkts8xm7rjuru5D+UL5pPKue1Qm6huuCrgaLYCn1b9GCADwi6cvosI7FiCbZPelb6
ZPQ9S6eDhV95xvKKrYkfjsWhrLtDZsUwsahTWBQQzJ3knTUJ1Ft4dEJ/dJNNkkarKNrG/I8MkwPN
A9VI8tNqv5EEegp7lU7ST9q9x0LvGRwHVYL5Gd7AJnIe6pbTohIvzST3ozn4CU9MV547GFGTUK6T
aNn1ZfZc8W1TRPPGVO+3KsJmr9fIeJPSema67iptxCFrqJ5Nbvc7bOPdhKI0kO6s+m2v3TZz+ydu
UmA+SnYFrgpuIomxYRm/U8V41I36Fm3hHUA6SOj2eF0zJQe35lbXiysH001Rq7dZCw+wnR76eF0M
3dq1ryKlv+utWwMXsai81uznnPNDti+m2pGgF36o5rso4kjTXfJwGNbGhbsAm3dWXSwulQkyXGts
hthdwzjdzvJPH7p+YwkoA8nKhMZCSRJDDjadX9WwBAXNEJu/NUwEDRwEjvBi42ccauvIfOnB/FsO
uInUXzjJErZNYf/pwkclI2tAXmVx4FoxrgL4eir4+BWRvs8k21WzpRewsdR+71piUzXyNkqvzSH+
EYLrzwT8P8GKqdNtl0+eJvtia1kzZkIRDcmKQhT7kzsdWcC7GrMh0xXrbNyOHTD85SU5ASqVfj0s
T25aeRigbEjud1bjbq3o2XbDPVYUF2mcMsnReAyrr2bH3qTZTwg5tEq0VRrb24KsW0w1PWNzuivi
5X5Rs/3ASL+e7mOtPBqQL8z4XoTqhWUdE1A2cnhbwmsXkJ9NqESnfhUBwG+6bZqyoSg5lki5v4z9
1kmpxOo3GnFzpqFOKy/b6c6OBEH2j1Bi5Abxqhge4yZayeEuIU+veLAJHrEpJYrshqXsJYvj5bMC
P4d9qnnCl3QlnYPZ6Zi4kKog4Y+3udie8AclPrTa/Jbr9wDhfbwLL6hZeJ3Gv0C+lUoNiPJPWU0b
PJcO5VL86EzUgYXtp5Ds+y4KciCPdaYj83DlblLM7aAfy/xY2ABlq005UMaU+E9EXuteleaDCZC0
ryjkhxtbuK+jXfsQu4OTeWgtMTBrSGCpLRXmhTM8akVzNQ+UtZzcLwpsil2Epna1VbRxI9o5aImW
EzrzSdLtxUADJU17qrMg8xvnNhxbyBwcIZVTbcI8XpdWtmMc9i7vzK2WltvMErehVW0KjUZ+3I6X
sihvR7w9vXSMYQpSNJBKyz6nGjT7qRQuaiAU+k9lbVwgkd2mdZlxcOMdh7YwuYzliONAGf3KmgbE
S/SUds0tAscLa7YCTbgB8NjtPEX7SVF/DDXOFVRitrgu35s5iaSr5BggJJhElJgcYkFr/skHSbWu
crpfgzIOOwYewDMNjDxkabSnLbuZChJzV/Q14j554pS216pOPK1RlB4T3JkyST1ayuYWcW/ndW6y
bBUZk/rhRUJAZm6NKd4uYPJA+qP10txwC6LhfuhqzRtG96E2MM+yS8xn3CZfTxgAtVI+F6p1bXSE
Gq11XYXkaEvMG6l0PkhhZT9LJ6FZAFrdVuk1VTmERSNqFUrYlgrGNOPMS9h5xwOOVhtt0cwVhQKy
+HCHfxyDo7TFCC3LK/xwxxVGs9ipjP/j6DyWG8e1MPxErGIOW5HKknPesNweG8wJIBie/n66y5me
6bIlEDznj8s3DWCfXRQA3EUyv7fKtU+0ZV/6YNn1o0PqvVC7Wx5hQug+Uk5ld0cryvLd6Oivzicn
YGo9dZ6G9j8WtjCm1lTGLWwTyfMSb2Z/lwbzkzkE3mNmNiekxM+RVzDzehQjkp/PbohKgAliIHGA
QmTCFsJps6YqAhhzPMgSp/ZxvTVUwUh8IJP1HJhL8zpQlxPhTJrGN/o1h/G15JPmkNv2cOQwlCiV
OhXdmIrizBgxRS+DNweKBC5lwvMMANaewGQSie5f5KUYI+ow6w7kGntvdVC7xmUdx65+AOZd83/5
7AzhT2u0Q7FzlU9Rj8szcaG2zbn2IcdqGdroavoTiSIm3ESmlPkhcdQntgpZSlkpttAr2QmCs/20
R5foUk1Cu8B58eSPedpuZFpRLRq19bXMaUZiP1g3VT3JRyOz/KMwVu9M8890cOpC7kA22ou5EiRi
F3W+7YuRMhBG5GKHNY+qoml8Gtloj7lgUYyaynmwKJQsNiZo29aw7D5efYpal0pTJRCW0+8U9QWN
XgNjchDFBfLSsw++c1kH7oGKItjdSFz0thoqb9rVdqiOQEoNIRxkpcIzo6Kvw+olmKEyeaaWDTFC
tyasMXssrNkMtoYXsomEwZxdpsy5dZZh1GSs429b2oLg0VE35dGJZngSLcxHt9Ny65Z2/0zmfHPP
+bUTU5OPSnceVF9mCTARF26nteppT0yzAvFtNEt4IA9l6g9UFEbpJUppeHH9jB0uTGvqM1Jhvy+3
IzpVrNF036RxYxXFQ1Td7rkZl0pp4wloHEOfuj6gl5Ukd5Z8YS3LuSPx+K6m7sLcDFkkfUY5rhu3
t+qjCRi4rbssoznYTP+lvgPJStKMfBUUZ5yiPLOSm2d6u5BnxDg1Az4spg1pZIaHlaKLyzA21t7V
mqKmJcK/7kUKCsuPTo0BoEtqIC+UkEafjQE/cW4N17kKm9Q5OoMtKMmGfO0iD7aLGOkwKG/rCFjz
jo7jcutopl/qZYI3z6u/vHIKNmoc6FD1bOMGG1ovnqeH2E4HgMxSl2+2ItguyRpytiCzIHDWoa1R
hejqySXL4C8PyCymw1TQAdK1O7Ob6tjugStVQdL1QiHxuVCCwOa6QSjo6LobSKZ1abtgkuvxtS0N
HCCJOCEWh9dVWveqbIit7/Myu0aGKP3u5vorS7gyysCzJrGzWUeksJu3vjMHYL4TwIXE3J+dyjHV
d2Qa5Fq+ojChJZDI3aYaGDKMWlfvfVOb7jc6dXLcd667KtUfhbesFaRR0PTvq7Gm7UNXGEPwstIG
xP+InFRVjDt8Efo9oAbU+3Nt5c0QLaVhweCFqwqXE2lNYflYKtJbTwXVqxHTSOo1uyXg/UgLlVHd
mKGc4A864NaIPpKkKxEtwKYhn6s+rc73nF/hop381xoimP9b8VezIjhttEA5+cQNMAanjpa52HZd
6apvgI5xuGq5DnTLWN7MtLZZQmWsD3nr1tHJ8vupJSQsaufunV4Jn4z7yLdsiojpexkEh2iYipak
34ZasSABfkvrzxKPNKAHF082/hoBtBlbemZK8z8OWwBCjKyEH2nTBbnqP8eK1rtH39VzdDRcemkI
fbckWfCBsNO/gKO/UMaWzssH3n7pnAq/TVUsVUBi/+qOjXcQjR5oj0s7KkhGn/6ItzaCrzv7LovF
lhRWOnLkIt1hB83BU+OYU9B+erK35RMVUHPHIDAjmqtHVMpEE/gBfJlC5HQn+57qrKnHKrPN5Zg6
SFBCEextsRifi92Gn9INAzYXgqXTfFvYq8ygwTMXSTw1hBTWmceQLFCgQ+WSGT/t084IGSGsyizH
P37l3t9iuwog5fAE/Y3mOOrfYY4M2jhXLfTwSUewxTDpzoFZgzukq8pfDXPUhEOCWPB1mF3nf4QR
Fz4QXZ6v/VGp2WQEL3xvdV5ap83+k6E998RQu/MT6TkjuofOV8V95A92va0pbKLLj4xfY1jiLkSe
ElDCvljQzLYUGjrXWFYhbx5Qu/t09cq12gM/c1SBZViEN23XUcVMrnBLdSD6cYvtWwQLfWnCDp4F
t2CdyEGbvyTPLeoJnbmd71UfOf1pIiC+/luQsZPlWFQ9peo+YlmS7wMtZxxTaZWzpNnaiDsxWs7O
DSTD96DtpThTsmj1fDhja/T/ujpsclomiJ09GyRje8kwr5Tp9boN5sQZaKJ9i4S5pj/OUOprMMCL
6Js2n4ZwZh+RtvtlzSk+cfDANUwZbtlmlABUnfGLsTEM36jEnAWTrgGq/69V3Wo+w9Gs6V1m6jG7
VDxU2cESdK9swSbsJaG8Q6vvlT81PoKm4PrcVKtOB5IOzNojBDta+r9UelH5jJ5rzQ+hj3IU3SGK
y3xAa1R1DVAZrS3jvaw8hj/i4ov8fezggT/EHMwefb7KCS4hISL6xWsXn6oSatIckujqyuy+rHwK
4qkRtNDmo+plPPOV/FdZmRR7/lrP3SxTSQK+Sy/w35qa849bRtnN7WJ9NHKIaMqxM/swV9nkHqMh
DM9rISRp9VVK9rjoUUMZaramByMSRAClaRPeZTCjd1yUHnWvvf0R5XDThJoOaQxfl73peVB7XzCr
VuHoUSElF/yrluwBf6rMIM0hHFsX1ZrOwzu0aowzUWqeiTZG0OYuZV7fF2Xd/Stk6HwQoAEXYcgg
+O1uYf8Nj+KjV7jlk4M34isrsRoMxgBYW4a6ZF7R7Mr4TiQMiummd9asF3lE8Q8sf2t+eu7MyHDZ
R2g7RWUBAxBTckRzgpWV4NVNLuSPTdLPtHFIlI8QE6TOjiwTO87TRd71/ZhjpS+r8NFXnV5fVDXQ
uDRlzS+5OblKlHbpWcnDdpVUNlvOqZ5ldk88b3+fWcawNdL0wxXjJ+PXWxdQaSUlbelN39Ex6uIj
t6bpIla5t/zxzatX5H64YJlKIqo8lBPGtWe8mzMEmy/89zwKxstwa+Sk1ILxRgcPFTG+7JNzc0pL
xFRmg/C+XUfxlnpq+AFvFg+NITFbL+0BZ4Ife7Y+VrU0dgxVxiYI2uxMMse6523YXCglHb5YLjIG
/v6UIsCLZUFvklekYFQ0DBKE37p7kVrWW68GeRi6yXigWdI0Y7Mwp+ouKFPrinyJD7HC51EsFLyN
npFfifs5hrKvHrWQ67X0su9woYvx0PYsJDLE3hJKW1KOY5budvJSbR1DxaMWO3NfXxEWoPSpOaQo
kuc+eloM2zkpnw622PJRUW8QvMgkI9XzHXUJdQ+t+s1V6yer7OB19EqdsWv96aYzdgWNAmDrLUAr
tokbxSZ3TdfYseTTPs6+pFg2HC4ZGJdfD3hXbj+iYYFSLTiU8SBDRDiydwjaoSmt7cI6VouOtrQi
vXvD8P8KLO+KAB5BO+/Why4D0Jic/s3uQTvNoF3Pg52KJ9Wv+W04pEvMdq50QZ3NqGJvQaYfd7VT
x3PmU3zdR4+r1V+YdBAMpAHXWjSvb+MYIg4plj7OUsp4xkEkwRxMBK2QvJG67HTWzBcw2tkDHZ50
1GmPMvl6uHeH0qOa65ZtedNtzBX6UzR2txrnoMdjFHpJNwb2WY/eA9PJt1ExNAnoR84qTfYITUkp
KztGwoD5XmOp3njeyh5oWnyqBdOcM/kk2tJxpJpGnHrtnEbRoiiSJZ3AZhSnuqoBrJFt8LRvrLAM
kqgxzdPcrv7O6wZEDXqceRUBJJA23rDvl/SU8ezeEVcfwO+WWVzzVkJm+UjDA81rPU+0Ud6ufOij
I3035c6fSZFEUH+GraQSZrVS3olUUJFOQmF6mH9ESgFgMs1uaYlvqSLrfyZIhK4J5otRui9UZEp4
Y/k2+qsTSzPzqC51Z7pDzPI44z5OeP2opBSd2ufl4p0JxjP2KASm18C95fIYt363OTh3emIMoWRi
05fTQ5XJLh54R8ddP9mb1rGP2M7a/Th4hz6DBZlp5VmLmiChLIeqpFcpFywMSt9KlwztbFff+hok
yackV0BjNXzAWFXWuHQr+h0q8CcX7UtsCeaUuqz26DqgEXJ9CSMPJgwoG2p2uLgpPTFZ6TlHThUt
EjUzU5kV7zYeOyQQvL/F+pLRR5+4lTq3tfEc2JDqXfBROKDhcOUHcuq8TRRkDyi+XkcXyGKduqe0
dT8yBvqbbIGaOLfXj6LtUcI5tX4oomLaVaPtJOZgJelcz/EUNe/cwA7lRtzaOVUs2whhY7x4MCym
UOIoKPXeWvw7cjJFF+f5re5oZFmqb0RxtZS/o2X6SemYNPdhc0kyFfyk9nhv5csnOtyPrus/h3G4
t4fwLs/Ge0CNXcOEvFGkyvqNYbzlwrqvA3qAprBZiFoPgYzGN4uG0GwwnV2wWveWXgDRcjn/tVMd
7h0KyBSMq0mPBxM/Y+NUViYLlaTLbbBBQajUimGganrxAG03LbWw18AtFZock2MRErk9KofeXFWY
W0V6JuCDzJ8AzSREg1OdC7z0D+AP+slEtvzWRHJ9HVxXP5Gu5ex0pJtrF0Zq35Lkdpm1nQWw6C2i
KGguL9w2U9Evj2YneSj9yaI7K/KbHsFY8Gqh1SFlfiEOlaXRV22Srg2VU2VXc2P3prxKz9kLx6RY
WJdoFCxX3ZVzb7wp0192YW7KhA/yR5gebGAwsFySbn7UbGJI/qb1pMx+iUsK8DYtiM+2ZTtIfI9y
vvGmifIXapqwr8IeKmp1WcftQ0Sr9py2H5ggyzhHZfpeD9AiU7X0R3bkbjua/kCfMdt+WWZJjsBl
l9NK4TrDXenNbuKpddgFo7M8EK3pblPDmnYAPQexdsC+ljrmqUAQAoxQhA1CZBaM/dIEdIE6tTqg
6rZZjepvKKr1bhwF9xoFc1W76thcw+i4AJ6eTOLjr7LkY+FTtQgup5OSi8Z7FQMZY1QOs+za2X1W
jndAloi8jYLnTg8oIET26K5zs4+EW90CBfgL/QsqQNZvUqviuafvSBOSgkR9dpKGr+u3GiVI+To/
r5EzAvYFA2IWdzhaVYb+RJnb4IaEtha49dB2Be+58o65HBhqYh/zomWTTt3Bm/HIpupYmnrFLhB+
SaV/OrlA9TJF75FoIAzKxK/KaYHpi2NXdcehGnaO0ZQX0iTu15pyQGwuyLe46sHn0fQAibMFmbPY
qul2eyJu8taJZOgoigenfLIjceKOTsbM/ilk915pkO5Krg8j7vS480Y2g779DOrOpSzb+7XmnHb5
wP1pMo7QOvZmnM1c0N7YH+3KwVcI66RvipJ0ehEpjW/sQBhLvcGaUJJk73S1pbFAz4mivaneOs96
tsIaOVkZIV9clkugy/dykofaZklfRvNnMstt2FYagV0v3vyUCxpVR5F4IgKtUNVBzdUZS6txMjUX
Q3bTrExuNVzCAjKFMKlHXrFnJaYlbkp1Idbw1DiMvs3SoVQY4OJsmZ6qHGwrDL840bEOqqu9LPEy
h/dmkb5Zy/QwVvPBdmG+l8z6dqoFVH8qYZjI0tthZc6SoCMwvijmCpFzgcebwk7uPZrSeZwKyn+I
xvEaZE65pX20Lw5IHoXPZAEi5fACFbzOgbCo4/NT98SwTflBhHZgHPprX4aSRiW8hSXddrwUgksd
WPs5M/Jk6DDhAKkg/C/LN+BK5GmhhHypVxehSoc8FA9XvPLetoqaXWo9gzhR3WstJATpPxoDb8Vq
qC9xGejYn9io0m65Txlkada1Hkn6d7YezaE9SDHSjPl7ENWY0EGAG8waf9OoC+4xQ5NJmurvpVFf
ZQ2DYyPlp9SW/XTo7UcKYB9FNeyzFBeoOUXPuVkAcHjhL1l4SFUCVcU5goR4pNCe71QxtuTyY2a/
zCWO6cx1EgF5dOypQ+PVaPc7eG1jM0obLWbVb3XQebspqk9Et6hTeCvTclJr3ZqYeM6qowNvqNw/
IjxRpYX2a9e6zq03ODaz5q+xi71VeNcOih27BRhnKrLDuGQnltP7bhb3UjAIScD2Ipi+wix9Gtgh
t2uf/9cwuoN2Nsdh1Z/2WqWbtY9qrjgKS61BPBpox0KjuZM6uLi29TcTbo1Jy/hGcHfkHkQ/4Lm7
qgBzzspoS3hKEI8LsZuEjYp++CdCBPKa/oN2dYanYHX3Sxj9OFkexdDyxIm07jtG/wenKq9zpMVZ
5uozz2fqEyProwA9gzdhu/fb9RNvheZTCQ8pQvpHvUzzbiQHLDZD0tfq/DKxWjxi/nGuITsxELBH
o/t8Vm1DpWwDpy6ABCNBTZcV7EiU2Q8jNm2uJj6XxvnPtNstUZ7GPgPTtGJYR/dczeZ/RSA/xdqg
nezql1VkD62zfJgNvgvTpMc1M9SjwX8Xm2O+L+zqGMzFWa3NmQAMGWMMMB9EHR0bg1I/6lmRbWlm
jm6KgJA1rfYmUNhW96h3yq44FZM6uq1l0wqLp1oG/lOWtrz97fA3Ladn9vg9V+N9ahkzxof5j9j4
W4WD7Ryw7X4P/D7+hKKBd9XWKfUvr+G7BmpoG1XMhpOI7gi4Q61Fm6awxqRqm8dANSquehS1rG+9
Tr+CW7z2yIFksqR01ZuOlkYSavTFgYIiH0KoPaxiMDepV4ckeKV2Uq/qN+vpsrXm/ksZ0xar5RvO
MIRk9r2Rjm/MOdeg9/9RtcKSPNFMPxjoVkDOjEszYfB3+2yv0hoytiNgEvII8wr8tw6zZptjQrxO
co0Yt4orzYknT9goiqYf+pc/RMMmncoUsoCfBSlOEQsQ2Jva1Y4HVnUuTlAt3aokABtCR492pVwA
Fzu7fCky91Gn1qOddnLTuamNOpXjG9B8NpAouMkYzG6y6Lrx8mNWhApCmdvHrVn7hHrL3IC8MeBP
IaojoQSvkdGejcE9BAp9wGAfvTRNSirTyzTz9kNHZxr/xKuhTexK4XpY/U+4ho9okfQ3FTyS2XHJ
Qd2JpdbIKdZdO7Ncomh5Dv0ioyQuFckwMG+Y0yFvbRhr+s8Eo0DcOgbSTtQRavAus+/d/CULoGLx
07aWv6Eh6tgM9bChbsQ8YivYlyOZb7xiimtYGb+uP2LeGeULOA+N72SnpIZ/lmhTde9gGURY50iU
HtOFR2DrOeZ28P+lWfdoqy6J1PxTOf3ZCBWPnH1HheyTBu2NlN539vqRR2ILXradGwoqPbk8N9Q/
OhW3WmGPX56dZnEw5afJHZOods09C/UjKe57oCpK/gp0FWkMw7o1SnuzovycIMhzgvx7PyDLnqvV
yU/V8htRgYWgDQsar96XNpw/rJSyOT17z8ob99Ik2Trvb+qAUS7XVvV31JQEsNscu77GszD/YTXB
6ggxHYtipbBveV9C6t071ASe9M4ucSR7yi+fFk5RTO7ooaUrSQEDYufw7v08gCqrr1IgpQgznELK
/Qqb4J+nvA86xoFFXA4LXsRt5PoHgg+zTQtaDJJs1geV18ehBh1XAx3vnf+3WDWP9K1hnhvKNQ/N
GlC5rF/DqjkUk3sGZb/CBHNI67s8apJa+XuqRkq0tv6pz4iSsiwDGZwIY89oHqzRbbapQNIR5dN9
tKRnZTXHIvUuzs3giUYGnZE/fHlovtBlnhoB7l/Nd2B2ErmP3BWcWEONDn2F7VPTDG+dox9SSwkS
om5WppSs+glb9+gU+3qc0f61jC3hq4eWoLPvglUfaAbezm2FDh1Bem70R9/JL4Opj3RYn/nKYdqD
R0fRBBwZ23EWDwzOpBFk4WPWjXvD7mIRIoMk5ajasARQgN14b8Z8s5Pl2Aw8Zr62nu/maN4tc7oD
1aVuWiNMWEmwTrj470uB89KMaqCP4ieQHKqbzgSJYCTR2jPppbKiqMc6i1L/R8n1F4kiF8et3wxT
P3nrvFDRHhiJJdrjGkzPjjfu5M1S79YfRtknQPxb/FDM6CqDKbTYqC3HOdRU1AzdzZult4vvotXB
92CG6YPTY4pcu/xQ1v6dTqfvNZpeAHjZiOtzZ9cnGJ/ToHBdLuGfyRa3sVcajeWQIp3Sd4o2irip
gzszMLe+43Ntii/Ddv9mrZ59HEQbR/vvQJh0cJr535pzRQ6hBQluL7TmIjQkv01vW+mcB4nQe/CC
k6O8fls77rGf7V0XlLtl9SAsyxjr2iEzMRu4+lN46TFX+Snjkql7UEQvAM8GtQgXRFPD/G12zsme
b32gapcb659Vy4RN/2IxUQylnUy5cy9s9ofJ1zud61NhLn/QjN4mCAtaIi2YIMSC4t90E5bV1HLn
Sh3Tenpa7GfaEN5d02SsDhMfh+RNf24j9Pfk6sVySr+6nvrddjoLOjNt0lC4R+ULib2P4HTwicVI
0Wu1zW7dttMNrkwFemGokSBGVYFWLkXalU6jTHRaH4G//hVpuR0GakOitnh27RRXBHXwQbo+RNp6
mzJq1Zq1O9BG+p9VNGQJiuYpMtNLaFZ2onrx6pVsgPVS7VTWJf7qM8hp/xou6/fiew9ReSvTjRq0
Xjx9HbIkci5XBG+WBRjRuKfA0kdkhuwpDc3jBHiiNtJ2VYPzAU00fgd83jDS9wmj4ROxcUmGnkDn
E5e5d81W+7sT1j9BC/cSUa9KkS4neJ/7iGzVQFn4aLr7EqZKhtY2nCN4WZ53ylorn3YNHs5LEFTh
toLPUYX+ybr6CaPqXYFXDj9Bf5ztNCnaIJGzfGvt+kis48ADmpkoynoywNR8mMf+39C6N4OQc8B+
ZSLVwsJqyztzbC4hfmtHPWlJN5lY7WPmL+eo8B6NOv+aENn0EcRpEd574mOuKfFKu3ONL8O5/aK+
uxNTd5a1C8wb4ooznuk3OBndfKC144o3Otv4WII77T7ZgZlk7sDQGxpHxuGevutI4blDpmPVZrmT
KIXV+qZgSK06PYeic7ZTXf3lZfjik66aNLg4kkAXy84O8YayFjRx24KIed0vadXlBoENBFDD/ObD
xIDeDvFcgB7a6fKM+xkbOAaCvCkxPrkQDH1a/oZdeLdGkChrgKCdO6Yqrccpjc7B2v2OQfHpNOXJ
tBqeQchYJ8RC2L+bIzlAvX7oR+KV+YVQpk+5/VmMEj5DkxtY6XobhFiQcctDId6MZGiFWQeQjxXG
+mxY8kFabYI4FnXBmP6ZE9qxuafkCWko9ugo9F558Ld19t4Jc1/Z4SF3OU0h21Q+7UEkY1yfyD8r
i4hUBWDGIlsX/2wHAVpnJ9IJcdv5E2xF6uFeNJtETK5K6BzO7uQakB0+g8+iOvBhMlnYLFdzaK10
vtcZ7p7IV8xhTdBee0Ep8IiF9dwvytmHvpS7nvrNR9lhtcTR/KOF36G9bERs9QCElWk23wFmS0KS
qJ6rBrtITEQ/V9MeCJcwQZ/SFh4oE6gIarElJvyvMtoTg96By3kbTP/mbiIgxt/rZv0dCisOQDNE
vYdCPg6QQfQ5jDgokFHgXeT+toKOUYNwicI+LS1Roz1MOEgemPk1UwTIt2KM5Wwf0IcdO8wWZckA
1FSop9JB7r2q20WWuiNmklZ4tmQMiJ5uby3tHFjzoSFxJOV5T+vuejPHk/+Z0Kq9dcLxwfz/+qmv
KgN3dQkqKZukxMTUlHMcWJNMjKI6IhTaFA5iJqG+OzPdT7r7rTwsmxhvatvfGFX+0kysgyorLl4h
P6LGv/Jw4O5zNim5KEGLVwYriCNOQuVngbw6ZOEyfvRkcum6sSGsKx/WJa/tQ+fimGU1QHh/CClh
zUPnvRbuT2T116bot2AfjPl+S4m2U5Y/zdSOMVx0sRtmuS3taFdoGwXbwPdlJbQ97Vhs42qoT3T5
XmY4GNxQj4144KfaNTP8xTK5f0ZhHdFNxUqNVxd9Yyr4wYz0rRfwbMA9gSyTCXOvN+/LCvwI8Cfy
07fC8NE1vrbTSzv9RAXK+ACcUFYPJcAQtBDFQvNH6et4bH5lHryI3qc6Mbi3ZvXqF2qXrtOvUHrn
ICn3dL7VIw5kCPQvIgJgaPGZADPomzchf/LbZj9a9cFR9G+DLhSNVTLUcYi78TMX18bM9yNvFjmP
P36rrjhFk0owK8BuI+pvvXhtzH2AyOvWgbqGLBRRcIInOY7luNfhK7930pbLk8apewt4WMbvMVi2
ioPcj/k5HLq7oK3PlKe/ZXX+3KziGo3zSU3OmfD/S7suV5yzkZMxKgJ1g2Kqcjm7gUnETMvXOTkn
Jr57U+TEPYeJ2UF1ZPMzBlh8bsWpi3hfGvo+cxdyH7wrIh4LuWlwnV2gbmM9p2v4r0IRJkiujzBu
Gtha5Wy+yMw6p9afuVZHe/XPI3N1BwhYLoR+9ARbbGTHFRjoLx6C38gzGEKLHQPSfUUWs/8Awfmc
2fU17eW1IKu7a5YHfBfQzqcI4CSkFni58Y2pvc/hCJYIFG7qHChcYz8E8sEZnFc7YE+6AaXhFPyj
bPmnq1LMcJ7fgAY0x9qzLuVY/6vC7oWLKZmrcdcStrb8v3fTojUn3Mrc/L6xp2Nana0ie17yBTcU
kK0/VR9+W73bZWjFqKSuVYqsVBnPUU79Ws4Xs6y7buQNRovM7saroGCSGyYS9I7iTJICjiX/Lvdb
do92b0GVlGV7bonV9LoyCeUIWAePRCa/xJHN1/PA8blU8/JX+ZULy4VFoTffGqorAmv4E0gjNsYq
CVvIvmwGnbwanyfweUJiD0ogLZ2C9SX1eG9lNtG7fvre3+A8T76QyAfNh6O7l4ccwRaqDXvfeYSx
1jjwcvB4xDNPozQenX5+gA3eFq71GERf2l0xu7ekdntvfh7e/OYIZEq2BsfjdsUbSC0Pf5hEbP1q
UokscAdMMntjmTnWGEjq4Skdy2/6LuKge5xMh2ejOlkgKJJIQnNYEiMdth0q/Br/fg3r6qfTzu+y
s4N6ewxPY2GxvvTp3dwj29LyEDjNa1k4pwV3xJLzUonGnYFINV2xvxEP4cAHD95rn073Q2B0Mbhh
uNGpuYMg7S3jPywzMbAI1rH8d3bdh7mYLmb/rslvFaXgS8wfTFmd8Ewe2CjvDHM9rLq+0/jFosXB
lkzwuevflg40NBA8LA1RRc+IYPgtAIK1BHYuqx9NdBiweH8c4RBGR/4w5p1ql/mi726OEPfdsfR+
sBUqe+PRtNdjnzVvvppJNsFTh6jXaLYzgie7Dx6DYT5g8EIXdsSx43FTCu4TogiG9W+tanJc1t2g
5m3X0CO7MsxW53Z+40Vx4iXxl5I8YndEJ5mveRghIkU4uLBD4E2L+ug15MXF4pwU0aK2fmG/lbPe
Z411KBx19MdyZ8gytmbeEvDZIdOHhQWKKOeMrPVSh48u8MfswsIP30W3JnkacaLDK/PL0ZPpRqR6
69b5N7PYxpVG7CDBdVHZdoBmPZNg2RhJM5dbr7N2GTpqEz2vtbDmdTNlimb0qgzzF7nIvqoZkH2q
MzZUsZ3tKtplAui8nx6Qul2UB6jjobwhv+nQOO6Wiy+hXx43Ok7wdjUurRu9KxS3Y9biFvH/m1vc
9uOaAE8fC4POJ3yi4Mj0h63eqSzhGQdzm0UPxuR+ODmK4HDE9UnweWDsAnuIFzIhWhHt4DoSLGGg
xL9sBby/m70lnT89pucByNMwXkMiRxK7mx7cejm5qCVaoLYGzegGGendFOiL8rvHoXC3mSovRYtC
v3X+u1Eh+Ww/TK71PlvNgVKovd06+1WOkPUEoZEc5c/yWE0R5sFmW6C3Xj1xIgn+JNPvdC7veMFB
85FQ0TUMjd5jZFnospstv/a74+ZPgJafND4NGxEApGGJAfB3txXrfz/Xu0BIUjlfFxx6s0fggbei
wJgKTAvuluaIs90TPghpLFPtMnAMAskdcTxoTkv0dWJ1IYXHuAFRgQmtoWPywnmbicDcQAJDHnPs
0s+uwcM93t9ET0OmTovNI+y/kAX1P4rOY7lxZQmiX9QRcA2zJUBvRRlK2iDkBt57fP0c7N6NNzEj
kUB3VVbmKQxYiubiOF47CAVats1lvXWoSDu0Ns+3zxpTgaY969M5Sb6q5p9S5a5u/9PhIRmcS7pf
fGkjPdDQqN6sxgdSdp/h4OzZ7Mj8Kx6uWaO/F8KkpMPRwO4X4AHTqYht1zKPmdA2srl1pDUM5Rcc
0qVJjXU/Wf8KghBsGQc0wygNlEVet6fB+DZigvfJuI6BNEy+v9LDf1054ZtumYX+o4cjwVv/RDHp
Vt86mezsFE3rZU2FABaeU4pxGzM4bX+Y61S+IK8IbJ2AQO7QeCEQcuS1SXPwaa9sq94m8d5XQg9D
Awc4L5bUjlPz3taZJ2pieqnWvTDWY8l6NF76VP82a67luSsulMEfAS7siaOAE4EIrG1QwZpV95XK
+mZAW6vKypW2BVLD/zZzDGwyrCiLzMLtwG85EgtgykethJkbdDExxu5pbJPXjD0bXb2o1QmoCOwu
agRRqgkfFf80q1yvU1aeAj7QQcOXTc4dQwuSBodZbdlkne+B/11GH1xMrrEM8KTNzN/A+MTZ0s38
XHM3bWUWLh/q9Bgj9TNEeV+Iw3+yUvDRWgsngxR8GFBNteVXrpC017RbJauPSLU/ZfeGbK2stcnf
+rGyyWT4QHT7DO3rmCf/2ml6zbNtw71O7MLRow8IZRuNRqiMnoGFfShDfnLUxvML9auNnN/GLznF
jizocOvU/xOKvstBcEmr1rZKC6/IhMvjOoGTekTbudkyMBLJKfCpxnIxXYihRXd7nPzPenkkk6x9
jSLdxlrInBAb2YQ8rEVrO7WLp7YUmcdUY/JY/BBi0dEUApiNfZSlbey1sgXRAY5q3Sb6EVeTr/Eq
hLy+4Dt3OYlCrzJaoBoWvT0WckATOuSPxGqJ1qdVcJwUWeH5byt3VHUCJsKY8PLaX5jkv+YpYYTj
lJ+WxpeXqYuirRX3rCqSjW9NX4NUyf05DALFSLg5Hy1jFU3Ba1eZ/JfoWBivVed5NLttZaCANjG8
0kEfj2Enur0UuH9QGKCAL3SntgIqiGp3G1TG3vBMUzfImU+YFJS9jDYYB/hrMgZZmCKv/WTf7T6y
UFEznUqsWvsa6cOwY0tKPOXa1g7nk4lwyEFLXLcr+m3fmF+48RsKTnYQWQH7bQ38dI0VIA3m36xu
Ameg8hsYgHJJPGfMm1ZaoN60xHnqJdq1NHcJa7tcVrmFpCaZqtvds513u1Lhn0BTZV/uxrRrb2zz
PXynLxudxEIOiRv/JgST02kJAXX6yam7ZW4lXlLqybmyPMbfDQJR+42xkRlS74aphqpD0MrIL/zV
ONv5TANfj1ZdKQmttPN3MvLC1HM4rueM1nZQoamEdsawb6xJCSo3Q7P3fD2/cKpMophin5vp0wAX
qremJ2SyfF1bUK90CQcAkwfialJupJaerAJdjKnmy4DjUSbjI2rQG2LsiO5opLjk7G6fRbPDILak
HnTM77qfzVuWFchefl1Aa7cCF8aMN3McRVDDWN95tBWK1iZsflmaQ+SPFtqdjfRFbZM/1kac47Qh
r9jeO015Vuzi15in5RZCFgN3TKKsL39MXeCmz8M9WQOvrI1P3yaSYUgC8U7MkCqqDIzD2Z8amSo2
QZILTUFhUOQoykZW3fPaJLxIssN05r0WTvgHwEDvx6i6lmZ4xuj+OxuqdqAr/eZz/WFHocICerLY
qnbDJve5aFvFUpWw9hn5qXbDClIDa3Ajd7JUYKOMOoba9ldwcnt3CIfQDePhU23nR0M4bZznr2SJ
gld+t6k0A3CQ71+KIjlrEcccTUy06rMIalDHSh7MQRvYiS0eBJiGpTrGGy2GR6FyKrsGr9Yqbouv
1teeZ17unBebbxEqVavxMoa6ru47HS14wMbPKBDvW26A5BhN5S/Dxb6eGhIw3JVvTtlYK2xkuARj
yDL0u+tWQ7kGIg8xjFQaZvu/KMdlUw1WhRuY4JdVgdbK8FewVmvXZOMfAsCwqxuNcFbcP0HQ3zHo
pjtK9gJzIoy1wWsWidNIBdo8thCQMwfmXl+pYa9L/gd5P5wrw0j1aQjmFOl0Dq2MCLwKrcTvFSrv
ZaQ/aOpJQmHy5rwfOBQ0Mr80zlbMgasnYsNwZxP2CrdzKo+xDNqtP5UvxZh+2Q5h16xUtykQ7FU8
Ul/2wUWvaODgZK8GICluoGa0fEm/MX3/dZ7Ma5ubP3nncEkVXprmt74uP6sW62MhmEKy0tKLYloc
TXsucZRB1MkNb2gksOnQF5j6i2OV+Rcs+ad61I5xre50o7NQlj9Ya6Js0sl8hkH32tv4LnD+3POp
+0m68Dp1cNJj6xzHKDwZFvglzGWE6q2OkEI0Ld1GZXdtVeOzyYLHPPRvaqU9kPUpQxX9yKB0o7QC
idn51fDe7sOhGb1JQ+WNYrXbzTb++HTe6qHyx0RrFcuF70iCm/wzeU65moqgIt8PhHBsAkgBMXUN
h6VvdPumBNyOXfCDJkwneUQY0NSrrzJh9qTEnJMMxS7jkN3jeKkOZ9ynigawL655OGJZX/PEzjYO
A8hIyxUvsbhxBAYDxY4vOJaDlZXBXNbaCHu2NJzlFniHtBOvyFR+aAER/Bmkh2ybDLNyS6jI6q1N
UFeZOxV6ta7DYc9zargM6J8rzcb3gJYqyRCtk54HsPAnXumWvA+B7GAKbhxEhybWvu0mOY0J8QCY
RNCQUqdf+1Xus8EKG7Si4d3RxmMEQF+1y3+zgjY/WdSp4DpxsgNw2bNN89zw//cNY49G3/ulOe1E
z34JSwL70iswqMswbY6BW1UxsrrI2+ME1NKLZHMdzPagA4eaeePx4mxhYkQMIPtjppvZGpAZCZ64
ZrUKU3Ep7HtcaL+sHmPhdOdwe8eCMtRfpCdGBbvW5I4ues7ZKWk5nHJoQOiu0bqT1j0MOWcgSexi
h2eyYeLjY/jBMkVtOPbrsHE+GiEfFlAbP/LPJJp2VqQ8OVl0kIIhQyFSprnsoF/R2t3ZsHocIJeu
+olGtTRTL20LEA0aik6FGEToCJNU9Flhv5hpuEUQfCs92KFR48RC3caHqe2pwhnEjl303NpgRlIr
f88zRFECa+uOXz1bPLpT16PVpMiwdIexOZFzn/p4w45u3Q2Dpt01DmhPcjv1KVB6OvASY05v4ROT
g2/d8IZbu9ovFzjyk6YZ6kbNzVcnthUy01DU5tYET6iRcSkiuJV9Xilemxkx5m96e0uZS1An/j+n
A9pDbe7itk02sYoETOoTW2O1EBIQQUvJSTPUgpOsvdcl+9rs4C1GxSlj87Mc0fsNTPksHNwYmBVc
Pc3OeZq84aPiq1n21oUQMMShU+mOdGwCIWc+NvB5anetJV5mW7v1lvHGVq6VZOxvz8r7BMgqKSKI
wpp1Viaw922+GepkPfedN2UsWDPjxb2+bNDWIT1WRfkKXuFQ1mQjZah8tuWwZ5/GXq+s92qYPth2
pcBU6RjKC+M1SyCTGrGm7iL27uFGCRZ47MRIRNX7tT1oYEyc8tTD62ZhXLWq6+KDWcOlRxteBYz5
AAAqz0lIgVia8nUumueGqsDIm72wgHw0827pPeMiehGhuJDffoX/fPYdQXvfHo1QP2n11ZoQoOhy
FtiAq5bFURUgVHq5JWg6r0pEW7cBcwSxb2PU49nMSdJF2fgVFM9OXL+CMN8xyD106XzPi4ZOB9xG
wt4QUyD4osZlLbIlZVYXWq88U7U74ETViKMhd/m3WU7vdpMPJAnlP1nBpQ3owRQ0V8YSMJXZpmfA
LefRDo54HKvFpP3ap8F1SvxjyJiwg8wCcHzFpeRZnfbKRobfZAo3vpJdWmSEtvtK2ulsAI2KE/uB
InRtUwfXKiOXttl13RcD4FVUKtRxdIvGfPLTol+Qkd8FQq4nNHFFp8MuGz+wfbhp/jlZALAm9VUy
do+U4VRU7aG2SPsAA1vlHWYOrNUkxk5Fo3z7CjYZm0vY0NuXrjChKgNuhFMQDBSkTvMPEbru5R6D
5cp35EazGq+YsZ+NqXUUHKYl0WY8XJegT4/TEJ0yJ9+GrOKti8bkuDUguvjZm192D12YhxR7TdiL
B2w9oJvyOlCwIOfavKs25UHWYVnKG9CPdR16vqFw93eT3LaSdjZvt6GOIFDHDx+XA2snD6HTeggm
6LClK/xyOw82UMJPVg3dCZ3tCJx++ovlCJv8PkYDsOD/OmJ8MXD4GfmXgpimlpiIMeg06gxUw9QJ
OeBizoJd2vOkTAF/fvBY4e2JOUATyd+t4uZw4wZB4BkG3IT2pyCvSglcYmSfo0ffGl8INAjDY/tN
1fBMttQDi7wlundvLHtdWNatSq1fwhdgPqZD2Ys/ytZ156OqqfZ9gCrYd+0mMx2+8NyT/uhmHMMk
e+e1ORt7E/mQ1pK6CatTkPzTEnLbU4S3FBljToaDxU6YpRl8reijuMs3qtlvVTs++AY5LkvcDIzD
qWAmnPR4NpXnPtcXRZgTAvqEysrwTYweAQBNsnzBH06tQbFZTPa5ZaLfF8oT6E6SrkbC2Hg+WZz0
zM4Tr4p54vkhtn0KX6TQgQjOFGJzM3y2lbk1xEylKOZ3EiEotdpO1OJEKvppwAgRkCpjGDuFHozP
HUbi42S1LtssH8GIeUzJaD76fzr1gGuO2AeqKtuFpX9WMZORGzsWTnGsHZitftbSi6vSYm7RxV6b
QDRO2N64sjRrJ311Z+vEkB0HXk2ltK5ap64YCaYxCoHOVfM05yROS03AMcqPI6hKT5va96CoH2Ha
ceSMVDjsetmKlGvRzLpTqMX7isqcZXFonCD2APOvLB2nu4rOCLg5WaOtv2XsSluZlnQHB/RDlkza
Og017UjX+iJVg6A+/jNuHgJNiRsS+XedGfN80X8aeXEbrAkvd73qbO2CTbVZaTnsvbCqn8rI+Zwy
Z3T72H+JTLA6Ja2AE57LhVNOAn7H8f2KKO35llyp1nRoeuNO2UDzLjhWxcrJhksBG5BonaWCoMV8
OYjhaOAZo1f3CuZlA8sQC/NbghspM8Ag+F9mqrsCW18CN8N+VrJXwBC8ZTZJ/vqY1zT7jC8VHF5h
8iB8AykJQRsyG2yjgm4pU4pdPzdH22yfHdxw0IM0tOypviHtxGCDQjo2uF0j9RRarOlw2zpZcUfw
LFYtFtApjI95OOHD5CtCMSAwWMqHLwDiFvDCWtUCnRW+Uqy6aquve3X6UKl1cV5ysukOyZ2+EtMe
6+E2wui+ysyQpIyEqxO2zlNAwsRMxKOMszsI5YFCU3tixSz8B/NnUqN9XzNvs2DEMugeKMVwf4SD
mW5tu153ZbdAG5m7jOztTETkZtYfoHNOL04Zg9u0TJJDl1MtaJ/MJtdNHaMO/sLY97hgXD9VTmMF
RI89beu+XgDb1tmXMfJ1La4z/KKVgz/F80M2vypa95CWfp073Dm+Zdyc0qERNwXVWewfJAPmDruu
16r2xhkqzt+ZrtB8VrTwOWOvCGPjBtSICclwUkoqtNH4NkduZjzJHnwQHuxZoRI26ohasbgrto4j
W/2pUel1e1iTVGU6SmxpJI9eV4S2E+NSsvd9K3z7nk55sKYUvYWpvVU6rFeMDX6DivgZcP2XWiQ2
SIY6cessBFXDFtmhj558KS+Y8LdxGFE94ANDXWu2RkJN07X0bRHbaPOWxY9dNr0WmvPHbhx6AUSn
Bq9RETLBDSQ/WQHsC6O6DEgYw6kr5JOJbOsWCdqJZXTYLsIXcmI/YZpuapBibWk8a5n1yqpJLEt6
CAyq3kGsvVrLwJYWk9M5/XCE+jJZ+nen2JdJjJSW/nEmVYYqQvR9IKRhluxY8FG1WwlKONZYKD30
wy3q5AtjPoYHIWmBzPwzxwvBC3jCNbmN0goRmf343RzlU1XoZz+K98QwvdzEZcicyOgHbPv8DIr6
6CN1l3JQB+0y1GhqGjc+HI1i2W848KRYp7axUQYT1gGgoGmaOZdwouTenKkv5UzcwPKbLUF96nvf
CyXtBKRhZag/cIKMPFofquG7dmPvmHsaW01DMOqD4BTOKhdigKTNMOaRcxVGagilbzqkfoZ6r90t
o+ABYoXxXFO7jPZ8DouFy2peG6M9dRVOK4fdAgUT8bQb/2re5XyO8VWpCren8mh0rgK0h3c5s/JC
a8WFXtLzFYF1Pm3dkTz2pNyzQXMROIrFx+SKofcGLrUYn7Af9mc70k/G4OxwQniqAQZJs26+IXiz
TY7mhOk5snvfo9lgL4xQvyN0ARoLdefjOQuLbmPr9xDDf9CDDdE0alnf0t/I6F6RyeITabLi6DTO
rxz1HRH7AxlAsod+QmQCB575o1fTdvQBlLOKez9UMSVBcgOS8ofxg2te+O+9gVOSSMrstlH96Pzm
PvvvVcR8Ix4fQTrc1TrON5YGPcMW2S1uxrUW4LNLdOpmpuCDohzNeszQ0xK4MoXtGoBFtQynOlkC
z5/y2ZtmklOK81TP+ZqgzHo0LL67IVpnU/+smwT5yrxmnmSwbkdvsn+62d2bQPW3lT9SSWCGJYqV
YZnGlo/MVeE6nk1qVvMeTNWPEnEboNPRpTuhucJ5vZF6fgrs5jvQcJQ5duE2gZXRhvD7M/p2+vaj
6tQUgKS2pnHfKarKBigcjmWWfRIBo1isqCd5Qp9Qv+98Ei4AlUO3VB86czO73Vmqc1xcuAN7qg0T
t4oj15qTfwrssUrb7YemOjlt9IVqto+KGkWEYRebDENPF8N2asoLoOu9A/29DuUd+6XqKgSAmcAL
ZYP28FdhxWD/UUEFW247Xd0Z+CdzRp2iZuhbOKMKZKT56sZ9rpFbUWde2oDlJsEA7Kffm7J4pFO4
MEPw0k9sS0kY+CMa40+BMRxb9aaq7J1SboyAeK32o/r4BfmN5A5RiN3DtQRxBQZ2GgT+BRCWnfE8
DnjF2+wS+MDU4vqFSR/eOsi9JGtVnzT1OD3NunzGabsVVrK3ApR+vNQdz4qTTqdpoDCTkf5HnBfD
8HDtfBpSTvpNzKOq1DgDlwovlp3jahO3Lt84CQopCqrVcK3kM5cBC1vsuhdA0GN+IBYjIImbJBtt
oudz9eWoGtSAMF8AwQ0XXJnzyTGk1qhu4busHAanTAXgsWUc51He/EnOZcYQ2oemdv+qARpu5r/Q
v+3aWV7nUD8L0kqQ9AU3PKWWIKvjqnn/Xi+NKY6bh5njACJm9RH1yCxq+lw6fJNmwQzH6leYyKhV
/nS6liYO5DYKSD6NwvUz4ki6sB7FxJIUCHjfTdGuh2jwUt/n7u0j9liIghg89h3YguthhCDWk/YN
K+xZ4XemYTOMBRh+poAtd7FqKW5gqdR85drS47WMGINMc8t4GtefbB2IwTVTsITLVinj0xAQFCrj
6ZRO6Xo22CnccQPXCV/yoJ3bztgbUGO0kN08UQID0q+SYytwCk4GpaHOLhV0MfurIiXUGf0Ri1GJ
e6SDTx8uTu8871YhlGV7kM9Z79zVkmM4CLEEs51A3FhV4lAn1CeIVCdJ/q8Y6kOnEylQKpw3v2jZ
rlBQuBP1k0YdX5YgxgOP+T5q7U9eFzWhYvgTMhDv9mg+Z+VA6dPI9dSnGxK/WOdyDOyxuXUoOlfk
zmmkeuuXBPBrMftvmdr8TD6aGArLQet+ah0h2EjC7cyE3icjqfXYLKLIZMeGNvzL8w8xE0yw7eec
DiR3km02y6M+PGcW95SKe7yPaIktRz3xB+5+Sw2PbeVmKsNnl9pv5D5xFEEk2cpo5DmMlPc4Ua/9
aAEb6P+FLMThlLaLg/TlS2mXP6NCIL1cxl86n27gw18Iw2M2ELQ0nZ1Ns9HF5BZrZjNFq2/CXHsD
yvFHyvaQ6BdJzD93jlCE3nN0Ba21fv1IXHI+5HocD2ZsPMaSU7tO9uwcP0kLiQjmaRMoNytAhxDZ
ORoYuFLGznbjQU7mAUTgimpPmV9NBuvsYtwaLfK9OE7hlaVVnorjMaaGcgaSGP4OHtJy5JGDtFwd
K2ZcVPzolxQu5cToscCUmuGKndMdcR0iZeOmIW4/hP2eTZ5e0NCl4WvuVY6suVprSvriLCYZDjmV
zm0mGZciKucNM0tGwa5et24XGE8KEn6exmv8WkPw1S/BreJVozwBWsJ7Lu8VK1VayIo8MG/KGB/m
xUgosm1i4sPXx+DURV8yZjLMa1WxtwDttSvFzhozbjx7W8j8bMzG2TZ+CWPwzcerlHDrpNPBWPmq
tt5iZgemxDYX/Nqz48KxeplS84tRvB2ki5cetiRLWHZ9Y23ampS53SLJad9Mob14bLcJKocSfOcL
5dwZvDBjzN2+9KhPEzdgIaxdEkmEmoTWxN8mOs97Tl2laF8mtwybePjRQhKHDDJQld7gV5zzvNxM
4Rf7uzfSsjYjmNrF5o3RHepAtm7Q/TKDSablLJDS1YgWbveaq3VEe6vsIBhQpHW9rxjzFwvWN5Do
S2Lfs3+rRmLr7FOMa13F39c6qCVgvAaG7czwcKzQG1Ablfl3ruNvCEhjIhgF/gY3HmHUYFuL7qAp
HzLHIDDrqwKYUqTjjWw+hH6CeMrXDwOgf5kIwvQchgTIKT/3xQQ3loQo0DzY2pzOXPGN2mwrKJww
Vi9d8cY6Zze1/dILw1NTGzhr9d9q4trjWikzBHlBw80gd3rWulM6POfDTiHX5gy7udvHY+VJAcQi
91FzuHasdBv3yboIfmz0iQQKiZzvbLnYKIK+YcGnmweQJBfbyDcmZgUnDD5tJThNuf7PgEk+ObCc
hZq7ndZ5QRcAL1VfZFagItcOKxgsHE9d/2twbgb4kZQ+Xau6wbneTpusQrgfNZK5NbsSaEID0oHl
AczwSbftm8wmGqiEQGnxW9fTtRnPAvyO7P2jZor1GLE5HhBZxAx3nOptw91rDM/0C7H+bY8ho63d
iDZXDgZVmLoe4NzRYwOgoZ4dKuKYiNwZLzbD3HnRgRp2WZTdHjmS8QdbMvFJanN5gmvZGsMqCSA2
CtWziRsVc0ZZYe3m9qt1ED6lsx+Gp6iF8IarKSGcTsGEvj5XG5W3yG6yU0NE1LgEIYy/ih5fba0n
AtcsSbi21aFXXjTeRTXyDLHhwEGl/4oDuMfqoy72ImQhz/A0UF4Et7F5zZNLa2isUFjmFj8YmFYl
4yBbXQfL0MA21mqLwU2+xUxnSETKMd1pA2P6DEJwrHhRZ6xGa2k6WS5RtJsmMNasHUSYLfEOKisF
9lnAAANiEa/Lj9GDFktIKi986XDa6p1yN3KWHlgnxdrQJS30ejX8nutHSUMUzEh11JBjyKcbg8ci
uCawWlV7mwtCx8M/6JtF/1SzT8x1aXUqp68cG3VJxGsO/tmffknSM7rkdKdIwTauRZVLEGIAQCFX
wqYw19b4GSkgt69MV8xxw3Qa5Ywg3Xaot8Adg+psLQhxIGExDDNQhyZNoiw3mf3SpC9m7fX4j00Q
PcS/6RNOMvgzyP3p7CdrZq8XWGCcC1uF120wHthbvRIGGfkkPxTcFG3msMagRnMc1zWremrd4Zwg
xUMmMdCJ+DCMRdBcVyF3PfUne/so4vZss3H8X1OyPi+5sFV5O9rCzdAwbObXk1xcvuz4m7OT4ex5
5xCeCf9XCIFkAzTz4YTgWbVkh8v30ETwn83kr4iF2xb1XyckNEIFD8BYtXj4yI9nmXpfNGuWfIQ0
Y2EIp2Eevo0AsH0BrZT9YWSIF0R9Gr86GgYkacU35vkgBaDYgNGIiIEUo7VjxZyXIRdQ9nl6RO9m
b1iPFk5PLbyhQn8xSlx5BBH6fDVrzynoylqJ1xCsCf1DnuzMQ9jorlK3N4tKkinEo5AUBcxE8zDa
Z8rVVuA7vrTyFvRnVKmVRlssZnbXzJ8jE6nOEOek+OhVkhBYAwllZTJ6NBNnewnAzSyPsn8WsVjb
2CChEHrs4z6YWBphmNE2eYN8VwgSYEQBY7TKaNLQWoxil5nvoMEtnzBy7eUonXnx0YpHg19EjZq1
JWbMNMQHYfkGbKRSlreM+yJ4LsM3qbwr5rH2L/0QoFdeJpjOLam9kimYF4PyU6cD9appMb9DHTZ+
Eqzay4gDXiYDvBf2rTMUSPZN72y0hHeXlTgZsVfJVp7UeOnmreHcC/YgwRzFGVnsNQLcvfGjViPZ
14sRgwbastjm7MwfA4FWLEhrvxi9CKR1RwOO4JnLy4TTMXq17H2qPtvFO1hTaZrrAfKjae9i/9nk
AZTxflY32HWQITB12Oo76zHRLvCXMFc9LPbDxeM7BLt+hI7LSqzXyLmYDNQJszhd6o3dBtlNxhsd
P6/OyDMiy9vefRYxSYykTnoKK5ZMrBtWx/CEDsRn/cHaED86lVyoICOWu3qVQltgzR6andyo8XR3
ik7AfQY9ZupcXnZgvyMjDKxW4P1BjvQjksvYcgnWOq+z3j8pIDLVHpFOtIeuTg7VQF6lvBZZQd/+
zKT+AEr/lsGwCQvFHaPZheWDoFCuQuafauJ8ZhgyLSpgUJAI+JZnTGcGgUB4VRYm8D008DOjeiNZ
5YdUoNdvFbyqZt+wQ2sWt8E4BdXL0FxH0pDpNk/zja2lP1HIgyra4jgKIlng/5jsujreSz/VtzBz
PycW4rBPzdwkSrLN8ddb2OadHrNirJ7aLPlnk5Jo5PBEYXcQLLupSa9zzTONUnc5c7IBdTxIT3U5
HPqGrSoCYW5Z/mxMLWziirjU6PL37Fvl17AVT4lMiFgUQeX0O+vKvc/7t9mOzmozb02BoNZXnLqF
/h1YJIHhfM2ZXBkC3DVjdiIqsIN9zheL/TiDP2NPizVidH+BKG/dtFaRKdqPkVmv6awiDQwAOxcZ
pEz7tCJL8uqX1EuT107VVR9H4HBPS7MMv2bnT/GahT5sitzN2fDFRkRsJ3iem3wtrP6QsKAgaLOH
rUzuoLKVchc3PcfrsKrz7tbEAKx5W89QAFHSMgXlT/Ea3J4MTN8zgd9fl9tOgapq/PXlcabKtrLz
PGtbE1HHnk5CLdd9dQ1gxgyCrVhkG5hd97GClbW5pISbWGPga6BkD8LfFDSFyaSfcLLuhvJKTJ4T
hb1TLeaoGXtAJIdnnORez9qoqkWKS5Sbag7bvq1ewZydJC4wtcHob72Sj0yX1ZW0uBoODKmLp9IR
b0bHUIuCzNfCXQIOLB9uBFN+DeHcinKkRMzgkrBXbwxc3QLiNfGwgm6hYgIugonN9yiO78xRwQIs
RKBwq0dgpmpjj4a/ZiMRSyH/dYiSYfOuUEGMRJzwijnhwRDvObObWvwMY77XlF8TYHA6sMABRaIu
z335BjWfl5sy3/APQ2SeNAbFRGu30wAsHcW9tzkz0S+jwXUs9mgvHHjA2Tl/LJxjCBnTpjIwu3Xt
LhtJXNfhnj1VL7Hh36P23JXzRgt+OYFwgBO5GLABznRVJpV3yj0jTtIw9hn4nK5/arkklOe8tva8
+4r9o1AMZu17U78Vku8u3Sf1a0g2PqL+jH2SPFXw4uP+TfHgYpFYJ3LAO979yxc0whBSQkH3pbrF
8JSCHK9TA0Lq2qEvN8sSvbVn74LpVTpJq+GDAGeoHepA5SoSeyJLY4lMitfbKB9T+DYHrAkK6EVC
+sLsxjIx/gl9XfE1A+G8di1uhBlXvX1o6GAiUm2RTq4xuZOb4+tJ1z75yb7nkxpGlkeyQUl17qP0
pvi11fZ9PtGoP4mC9lQVW9Cna7xUlmjPWYiXN6N1l/rD56PGB5rn37b1ZMPyq/Aw5MV1ZCzopG9N
9dForEE3ebLH9yE+NDiqSvbCMWzgp5n+cJGTK5CcINZuuXPtuN6xSnnpuahaVO7uZqy9acDaPAwr
CTKNkayrOBCnSGNFU7MpgRC3E9M+AqRscyShN7PzR9stO1B8UWxiXOa0+rRScAjs4pjY5baszS3b
4VeKrpwxQr5wS0CPE8yJJ3xf0X7o9HWS+G5XobaEtZsTx1pGV2RKPPpQ/Lxnq5NPETBuFfePLcdd
xgtecALNgO5mobEuxjiQVttBXjlhMNwrPmVXmbyRP3qO2BUItdcd596rJgccDMIvoKyQHVph3a7Y
tbqOUsIYvG2lhoJpkmrltS/6X4Vyl8sFf1Hj7wHWey3mn3gmW5CoO3jG+z5znhTnU8bRNWR1QjCI
XSkhjNeUuDrYAm74ycjoPRU4s4qXES7U4wiylE8acfKqwH6OLc7GCCqLH29JjJ8Ip+5Nwtauhf3q
OvtMg9UcVwtllxnF771pIXFYdAvVxH4MxlXBqrVT6IRp8lcBo807OId9dE608XXGWJVYOYs3q6tG
1jLr0q3R6V8iJu+Tv9VyfknTvzoPMGsNj3FgQbGqXwLS4ZUeH5UwuA5Ds2+l8y8YnUfIjLYuFb6T
5fq4gVNbB8m9+c/ReSy3bmxR9ItQhRymJAHmHBQmKOlKQmjkDHy9Fzx6Lj/b0iWB7hP2XjvluDTk
H/Ynv43SrWxTcduxJ+6v2EHYB1dUIj0skQG8shx5oTNPR22KtnoC/W1N60q0LgqMla2n+65rT3lT
vqqxYux0EDqoYyQDDsQsw/TAz0tSB7Ql29nMlcJ8vIdM0jRdWVuWfG1JCp0oXGu5Y+6r3XDVrEGw
McJ+L9JLZ7L2d3Yc2OidRsUFX+6Zfe/qQ7fjPPkWEb8jBy/kuF9YBmcR4sXEW69rPOnMHmJ+D5sS
JemyTWvrR6HMrsKj0jsdLieVGhnOnfQd4orivbI+JiTtjfpFBZSQw2ClPyOC2ySWVuGQPBsOk1CJ
PwB0cgjiKZEDaxHBljP5T8bqG3IhBhy/jcHK2EpoJCN6McPctdMLnt7/Dc844D1UxCn0XfS+vwEf
fd/KS4NLDHc7/BBqa8uI1xU+qxyMSp4pgOX/dcljIOSsM0tPxdHW+yaSRWIIdDZatnkcxvxc5ckq
Lk2shBhu82o31TWsTB1OJVEaQ/PqsI9lsn/qp8JVmKVyJx0AEa+sivlaEV5URhp2Kv0yynwZ4hk7
P1H5jCVgp75B0hk0bKWn1q1X+nQeCwMfWwOxCCCdLn8VGveZQKtuKLgHeNsnMJ8G44MMcYY1Vqvc
yrzSIlXFiTfcIKt+Ij5QdIcoUneiwVnXXxEzbPXwOcd4kDnJRxtRnwkXQdI5ShCUt4TOVO+RDFGg
HYiBa8A2zMOf4CBFrVsKBx2Peg1EuVEZzc8YIr+jMxqhVeARVqVdb1M9tNrOiFjEJiGcK4eOmgpN
j2qybygFaPrB/RoKZVNmeyY3nUR2IlFyf6DyeckKN0lMQk2mCOf4TrRI3IkZKvPANQJMMnDSjm1i
4JQXrlNo4DcDD8FM3RpAL5jZElw9pFcmXzfhN/gFrIeZzIcQO09+YomArTZ2BnM91THXyiR/yP4M
mTHYAMJokRq6/Bgtn+BXaCS0zGmrXGUj2clt+yumGrxR9y2w9VFNgzIKB2QNQwpnWGjCXHTt+A+Y
4NUZ2lPPb7lMpwTxBr7PWSFPQS9NMzYCFk6aGl5lVSMfgkgeKOLqczaO/jks86etk+OtkFVkZVz1
aXlPAGERfdR8thr8BVLqOCIyH6me0B5jGPzge3tJofgFBvJiDPE7TCG1t8LpWfYQYiIC6FyrpH6N
C+W7bwfaAo3lUD72rauVPeblfqoBmwtjDVttPwLI9vmqi6pFEm1UBZ17nqwdA/tBNJzNMK7xhkg/
miYuxN5E6ykaWG75t5TuZVXzwS57PS8weATgVoT+VHsO37HHuwrXU1k7I9kPxqya1jKf1Bz+zORD
k/SoOC0GIw6Islb/CoGnLUg01Ctdf7Jw1TO3tLB0yKa07HLFQZ9e3GUm1vNU6KICaFsCmuRRMYyP
IBrXtvAvbZZ4wZTvmkrehCqnb6Y+bEpKJdPW6mCdcPVbK0WBY2MKtOL6rdIY35POtdD78i+XQZQH
6isA8YqdPoQ2jW3UkKVdWGWPmqJ3kWpgI/DraX3/JscCeI8Yn5ocPdNKN1dZa3KVgyaMgDcIpd3j
FQVu2qBjtNbZnDgurOBs2KiLHAu2LQvTXGYnaKQSQ3ELx4c4dMTcRmN/MKtux8JmA+A6X8fp9Bbl
uMOB4ON8s1ZdQBfZSR7CtFufMHr0C/THxpfdlxcMZa4WOxd5YGg0IAgBru6L4QNFyqHIayYwiHkZ
SWqhRZxb9SIt4Zg01dVQaEjxXOJBl62DOkwsHVVvIEq7mrFSHHHMQ549I3ecL7dcb6AlyMqmrMxN
r7NtYEbBfVYWfMJtereD4NpFSE0q1d7ndfIdRgyOa/KZWkYA4fTHLuRTLwlb7ttVoxVvnUEIVqgx
SxPGPdem+ziwKoO3QTaFKQ6Sz4lDRq5jagr1l/9GUtlVU0aG0uJspumrS8Jj3wRfM1pJ64dDxfiT
6I1tkE+Fp7Wt56uMAkq2vZns1qSJaZFyKtTgj7krOK5ha8j6tkY6ihU0XfWDVizqhpIipdAJW4lR
oHwSis0ppG5gy2BdQHtWcL+SfVtV9jZmU5tKww6i1aYK6xX8FISBDTUqWwQkTAdJAgeQmM/SZvmg
CkxNcxtT0MSlo3UeVUHrFa1r4AKECRLFYbKmzbb+qOzI6/DsIoG9DjjJAefI8oetjyxuk+p7WQER
o/tXRqTW9Rs0Ce5Q4Pnj9iOOcJHYyRLqQ1dR+6JGZH5xRGq+Jjhpm9vq2TSaB+yn7dClV6KeVwZV
ZtCmXqtIl6T8jZCXdQYqcLw56xkvHPrZ1R6TMyfTRo3a/SBD3GAdI+XWqxXSpsrv1vRuYBaR24cs
Sx7RBJ+2NCcWWrdevQAsPgUaQIIu3vds+voYdyUtASL85TRa11ITbmimwPWIjDSRPUwohGK72Fnj
iPQ3XzrOYaZYkRy9wvezaizMBtSBmROtVcmiMCQYomy533VkfOYhiL7VeUwnlTsN8xginNr5zkaS
jBpwaywfwlBzrZECi5cxA3UYO+zMHH4fhiX6bQrok9js5c6bzHq4YmbAEJrnmTRyWd81vn/MbI3Y
L8go3KKtWaxlFXuD/5u2jjckuldq0pr8pg3hFm5mYdbWVYZG2NQd5uCCyd3cG+XcktT7fGl/WpF/
JRI6rHa0keAeZYuQETyC8KL8SWwCn9m0GHmxiz9qx22lPNU025BgsahNxA+hWybiUIF9l8WXyF5F
rSylUf/QhsOIEzPA+GQQ0C5Q/ZOQtMx6SuiSQSTaIq4WD3IdjppHBDA8Qy8byeTcs3ppamwJMcyQ
XKMPZGwMjbFQYXUlVXtTEVfJCvjzZNg5Y4h7YlgqUkrXViEkQPAMwMnWDnb6YTNRJwmICWjmQl4I
kqsyJWuZtk6baWVzjEjSMyfJqdGAIOagMQaq3KxWvVlqU/Uc4HgoRsArzT+zeyrzrNe8z6Om1ibO
kZy4wHAOhG1sNFlaTk64r6j7c2wkAeFffvuvVPaiN1Y10j1j+kc25TKQlR+VAPtFPDEyZLtW+myW
GygjZroaleBbEeFNMXo3i+JDNJXHdAKWN3DXV/42c1LXDjB6R39IruK+uJpd9U8KiJTqHaqBmFUu
PhVGU2RH7G2boGP8WvgEt3ahrTuUe4N116ENwS8gs8NCkj54Pooth/AfZPSexVtsCbBDxVcbvqU2
STrMVxREvSqIiHCuWsaZKMAYvKNE1fHnQcVBBXCQdHkXhPi9O47VcfzkCFtxgx/KOjjIrKjb6Rxo
747sSv0bwFNWfeBr5cAbautVxsNXZlpkWBb4rbWXMpp/nI47KMoAHORjnwJUYmOlplel/zPRqwS0
MkAy8VfP2ganPjoYF6zxLlNp5fPXmuebbPRdJKBuYjwIX1r2t1IKSOA6pgzDTV6upoBvC0AOEZ2q
PAcpe/mV/K00JUZqPDBoKfmTtiWonAnmBv7X1oHvwYcFM2czqNVfL6n/gGiM8cBqKmSYSpQDhwVT
tViQ4zTtajzTzGMS6WzNwbGIlHu0YSXDx1rCjcJ5ncpIqupkM03zxmfYZ9DqRw0QCJvxBod2rKVH
GdmZjUiqKyssSNWKcEt0wwoRtmBmAOn/xbqDKrzc2exCeNIbHsGUqOkWgxMxNzzqLzHhC+arjVhy
92U0u4BeBNvwWjLdxrVH4DfBliU0h2TdASdw9Ged3PDB9/2R2tBGsSzti2ATNYcYvS/8isnZCLoc
NLAEwZfjsUB0F8RuI28YXdbNlou6B9NxNkGvOO9q+TSn97RDVId2d9LfU+3XYDVi70zjYuWKy7SE
8ytKlg2zUHxfvXYBCDlJQLvge30peO5MDxspS0JIJHCzFW52CwxAwuuHBABFDeVcPUd2DV7Fqajh
ITS+0/E9YXpS/4KlmeI1cwDlItqD1hFe4vIuzRT6+p8Ooh0eJqu7kZ7QHJ9gBMgduE8GfCsgtsne
17GzUWuuU7Z1kRmu++A1dJQg4dGC32UA/L7b2vcQo3BYKc4Jqd+mtj5ROmDAVQGkpU67DdTJcK3k
3c6eDRcmOVRuBI2MDZqBDWBYB8FeS9ettGN4ThS4m8cFzeBaBw3Y2SPZUg8qr6UeIpmT0Maw4v6U
qqsZ/eXDtTSgXMJigxF3KtuFni7KBATpoqh/JCzt9ZuZri35SFmYTv/sZNZRgl4CFkJ8lnboMwaX
xYPI+zi9ohCIJWws/asvECW7mfETRfREBwOiCxFwSPfEOnoDgGLb4JxmuVC5B6pfGVviZxJ7pXee
Wn7QvcqAHP0SwCJUD7Kiq/wFYMHKb5YUw8+mb9kCMQWFgDgrRaUGQwzAu5thcBz+LMUdLgU9lVWe
EkA5yj2zv2Yxu2Udx4r973uCGlTuXTX3WvucqK9mTqF8gnaZMPMgwpn6IwjGIv2S55SM0Y3Y8KvA
t7FMBDQJYLJlLPvrJLKPaRdsTenSpV6uYGQJ9AtjVO6apQ+/e0EQU+Jc2gFIM/mHGDyJ7oqorNaZ
+TnoJBsGANvyXciUIuEfapgNSSx04sZYOlpAIDX7iasyvCMOauptG97J9ODVwpRXfWf9qsNI2a3b
Ek8bKAx4693ZzJ8Y9rkuc5TLmCgCVvwE8qLE5u1pGNm/F28ZyT0GJ+s/mhzsU6cRdYmP+k4j+B03
K1OXRy0uPCkWjhpHOzN0jgv4Z3NCipfQ6BjUbT0YP6yyOZlEDNBDV632cvqm8tuJ8Cry3xboAdWG
dDEKIPHIWMLUC9Vt3G+b+toPF/x5Ozxdpb5mkdJxiYcdAv4fQJ+RtdEgFQPtZwZ9wAH2AE6vzobH
od9rfOkOxb+oZ3ctfs6ISAKkVCnMFSB6Mp9VjIdqpf2DKiQFOwA7ynQa7KfUEf6wQmEUniUUYAlw
c14cXLMl8XAtcJpNL9kkUh7r8aox/VLoGSoxvQbJ9edjDdtzkR7xQSLDXBt4Rpx21X0F0w85KVH4
x+rEljpXxltB5iK+84D0oMtYb1KmvADU5ycLtcCqn8+94uWgbasU6kL1r1aDVTgibkMzElDrywNb
hwceg2781KS3HiVNrv9q0xYpRxV5meVmRJWP9sqmCquDo9JuAcQI1IAE3mo8IMK+KMFeye8pZqgG
atP4L84OlXqAg0ezcIS1WFj/RqbtFi90eE96DxcrPz00z7bzChJPwoDJmLT/E7z/5Ie1dwf8qbwx
WWi3hxQ5FIWWo50QUddWP6M8gPLDfKBUQjE7HkfrFZGArnASelkHbgKmyC4zvpL6wyq8LjiL+MPQ
vMin4QYxd8dAhv+wSr9Gnkx9zf+VTysyJq8+Lnt7G2YsWtKV0HdxeOhw30n6ZkCuMCnvEBgah0Uu
RCYCcOwtlHerxWDNTE1WR0+ala/kKKoYiNBHTa8MeGEj/5MxA9b70TiStk7U6Dj+9OF3Q6wBdyfk
gtxZj+oS4VnYU53j0yTBYHajfzIPN0nvsQEhLuYJCOefcbaxWhCXQtN/76J92W7IDNRjuiLGGEyr
yBW0OP6m5MJIq5sOrb4K55Xyv7hpGKUup4+hRF+24eUMumWquYyswKkisjYDFuVIA1vpnAavtHgv
QubKbGu6dDphay9rXLXMDDmgneAzVL9l55ElwA3m22gv2JM6T0d7TAAqLXdmPUkhaMzIS9JbNb0H
LKUsqTuoUbgK4uscPRTlXDfdd01rFqxEsh3joxls7GQNid/r2nestCimPxLA8/JPpH2lJXoOOrU6
eGuKD/zJGEuApycZk110P+4QbNV6PQTvcv0mqdHOVuUlzj8eO4eF/6A9BTLOSudP0fGB5I/whwV5
fYuHfmd3eD3HRd0d0vybEmhlGF+TeNdZrCIuSv/Fob9iVALb81xBNlShgpfUWYDWfeM8mKrHJtEE
Ho5UtHmEEG6UYfa7fQTdh9F17jANqybBIRYyOkHmbWA/gKrUTI+MgwtPJmxFTmVSlErUV+wGe2LY
LAoI1Q0g+udoOS2aqCpDn2jAZj8B+ZrQrST5pr8lpnpmbZFL58zwJAX1lfY0o3Fh6Uc2Ftq7Jf+L
eQ4T3HiZBk8I9S0M5mdou9hiF7b0bSEBAv+ixg8z3dRi2yYXJ37q/hkvEcqMBPyP8jTrld3sUZo7
rIQ6jksORfb7MsIlN+DkjYAvVYaXObe2BXSj/Sl8NQx0YIbu1fouI3XMjDvsRvS262lwFmU/6IvG
+OPDC+OzTuSRbrqkCVBRffBzo0NL8iTiH8c/+enVd56ydm2MraKcevNSFW9pD9LXC9J3fTpWgPFV
l1CIAZ8ElgNBCthEg17kBwl0Q0V+ABnCMpfzRh1XhfXMig+FojNw5JUN21Ji3sj2WCXEGRlKwx0M
RWsRWruuIaO82sbNn9R9DcEVmAXiqhU0b1D9LawdtzNc1D4CqyT+LCJ/l/yYMbnqkSs7h8h401sC
kcg1jyiVCN5El/ZXswyG/cXjhP6q5FusthKVdF5bJzEyzAWgly+lObWqe8rSlf2Pk51nkavPWHte
OFwzUGeRbBw1W4e2jBFoHSuUYL8y4r3ks7XgP7GXm76V/sth8x0a2tps9nbxZjJCkV0C80qMZTRg
FIT48xjB6NA24wFipLTOsOPkuHKwolQIr+OzH5O3zQoaeg1cKX0dcmtMzJrvTfiuvsEc0U02FYRd
GCqgTWyQj6JmJ9/8TukdPEWT7Cqkccx7QkJaYrD8BU7gnzFe983RNr8NLqX60o/fLNSX4fiuj1vb
dxOHMpR7ghWqNL6ikFUODeeylwB3MFaygY2RMrix1G077GUU+rG2R4XgDH8ZRAOE9TVJE6zRfFLQ
IkI1mFQjIlvR60ClHR2II5uSuX/EVl1Bd48eM6hOEoLmUcYWNi5b7YWaLAo3czzFwHw6J847n3c8
VUFvgMW134yK55vPQPlI6V/RULTob3rxl1bfE/ZPxQJFA0qEJS9z5FaCY9wxaTrqxUWBoByaVAs8
FhNzk1Wj/gwwIo0UZE382TNXKdV1yekERtmAyRtv4vJht1jCir1ScGv2VDD61uJ86t9wEIykYk1v
jAVAq+549lh5Zto1ZFpXbszy0wTG5zDnBSn0oSiYV+a/An4iNk28i2RejIxhUbGuyi8RE/B0GnVv
6rGzdx/4E2ZpGT5WF3RwQBhU3RxIvGCyPSxLwF8+VXyTgS79ydHpt/GhZfpZeYg0FiOPQQ0zUIhT
7v/F1H2KSDxL96zioqGLgpzNsWHyLxtuH3C2A9HGBsgO/a2JoY4+SWEdW+S02svOPlSaWuR6Yfmw
lD+1uNQOIPhiMQdX5yXOlmWNjFx985l3YENgw0e4S3o1iXNx+CsWuhn/meLUQyCeAV3okyd8mpyh
H4RP61G+YnUZyaAlMTQUHJZJNC4TiOOEIVTWJrNf5MkzLzT56KPqqQ3/UuiS1jd6AgxYV/sDnpkZ
eGVyqqbfoKQSIH7eXkbZZ4KgtWheQcj1zW9B0+9MPfVjsJK4wldKeK875hsYXrzuVvAEVKsSAUhr
YIbcBQYyhgg43cqs//SamK+tor7X+IkNBwVhfcqs1XDClric1ZsKGH7gmQFXPeCw1tgPHI0+LQIj
iyDdR+AVpv5HmUiTXknjISbaiA4H7CXY/D76jUMe2b88+1cgYSGeayv0X3v6DP8ZqCNUaZton9i4
PCONyTBa93xt1fxYvyH3tKWbVODttbhRWCI397j77BAT6Q7qLuzSx3E8E5ZFtLKBJ8nyiXfzZKTO
oJU5VhT5j9VJIh19aVdKxCLeaUM6ttTVdGpjHGcJAekgfY1w05bF2olJkoVCYuLroDtQlF+TFDD+
GQxq7K5R7Z5NrGmYmu2RGE38YC+NIXRm6a7Jcc+P4hwFteZMnwm2rKr40cN9pxz61l/JVCVRsorw
JadhdySjXOYPJMReQNObjgD22n7vFBc52PssM/yXcUM51/TvpsS87ZlApTNGLwtputjSfukoomyk
cSb5U424lz9kz8GwCLufHB8h8x4QgMcAgSukVPVFP9ICTTA3ts9cdAnuMO1mNspikD8V8zcuaIRZ
0SyN7mUVP5Xx0OIt8MCl2e4KXksVKuDdmE5Q4p2YCe9RYSXg65Qh81escffere4rjr7I2QixBWud
Z+QekjMwRLzyLJGt4dUn8Am2csix7ir2srC8Pj0aw5Jdcs2gz9hyiU8mfhNoIwgBBYcpT8eYb+lX
8f+Nzqqtb4Y9Lsrhc+J+4tOTOajFEU50jTpWsIw177R4JK0IButqx1htR0arB+IR5dzCCT1RXBGm
MtE10/0UnXzpLcw/pM5jkqaLe5hikso+u4T1w12W0TmuSSaAF2mhXK10z9cvtn7qFBcqU5Rc6/HG
SqyL8JM3vwJxXYf5cpx9TRyQcReRqLKhEjfUk6gPY/OrFGJTcbuD9lpNxIzmX/MBKFLM9BEDvfKV
z9Z0RphaOQ89aWzTTyv8LhSxM4tvmxEr1ja7YwWxzK1LRvOCCYw8RTbqXFBIMSpPsg9ly7xvk/bH
uCU1nCQHYttIZURl3H5BX0BVto3T3/+LtqdiP0I8gzrj61WKKbPmzHU4mkzU0yC4Wi7uLqdXj1+6
hpHpNAPne76eMMRRuwjnbIx/ZIOjKjqS/6ulGye/1NK545gmUaXjoBkPKlHCBAjYBsf9TjWJjdtF
xo5AzP4Hck9b/E4qUBlYeUA30DSCCEeJgAJYvEa2EuHPNP5YiAJaism0PKgagtSBYCb2nS2LVF5Z
nsp1nV8sOszY+AmYVcsxdsHXKC6ivvfZplaQQ2587Zo5qCAwjefaQoohKXELCnSuYBzQ/+SrbkBp
Sp5ig7ABq1mF0fK3DfC33o2g47cHRTC3eEw1JChXhGqTyxAc4a1EjN9xgTlTd1RebJcEL1+7m+mz
KFjofHCnmih2WSpkqaf/zvsKzY68mafZTWiBQKE8hIlBcqmLPYuEHko5p3P7btRHYPbhtCXIrrBf
SbuDcY16CUhVSaecDkDUtYV8wfnFc2Ff2FO2zQEE1UhCltaeOunP0k7RS/Jx1GBzqpDFsAqNASkk
rMyLmrvmBJ+LnAQX9xmNlV1z3S1mfKKtAT1c5I+aYXkTR0uhsMuZOzwiTlEYNGx4FpRgdrVhkYo7
E4HK/A/U6qtI77k8u/pwN7iN9GEORAetQ5s+A178yEMzrcgDyxAXcE9Cd5MChNu/peEGwz6oQ5S4
A/eMq5jEfGD+vvvCxoEEUvtL1+7FsB7ZE2AK1BlcY1dCOYVKUCanIue9QJW0GI+x/SCxhBpiReiq
Xj5R75DrUSefOZYoeEI1nH7hTQkdCIzyteag6tboEE4tLespEF7TXUGEUM0ciZEteIGyG3s6aTBg
bdOGsJNWvCjcFrw+4XgIrc9Y+wr1t3r6N0g3p/9Wiw1z3BY1NltNp4U9rlvsWTkjqk9FvYeNz4Bp
yRqAgR/CW68u96Zh4MKAVHfW2ZIZ0S7DyYvRxyA+2Ma3bKl3h/13VGwZYBC6CiGGv/GP8kqecwHQ
LGPlX4toJ0/avUUdqSgzxb1aYLBZqMo+hWeT/OQYcmWPUltBO76z7hbCn14fN+E/uTuWzSlnA+iX
vxrW344BKU24zPZYQyS8DvRX7y8oW1P9h49r3fI6mfY/mBPxhAW4L1COX7lEsO5Pyr5vn3GLK54v
AF0fpJHmo/4S1SVKT4M4Z9O3jrhBY9NVYFfZhQxXrL1RXkcHsyi3ccxOCKVLt6/RqDD60LAYXgr9
ZtuUZtVGNXZF7fowRBq2ud0mKC5d+N0BCy4n4JZt50LPWtvQ17P+xxAbXBudTVS3fIjRY8EDI8iL
CQY47Cx6NOT3JumfPuxL+RAmfFrORzlum8hGT4+n/ywX73VeuAA4UNDLNjfGNuKdy/sN8e6QVS4i
Xg+IRhIFvAXZn/wKTnKSwArS+ehbu9syM0uS26hgnjHO+k+s5Kg3r3K36ybCE9N9SpKXX/DGHQQb
CnmbTsTgcB0N6rVXLvRzhbhEuLgYoy9NOij1pPmeLVxLaCRH9UvJeWDmxqYFFS+nCudOnlyJI7HA
2EFCIRVTCCQkbV45pwyyzLT8U3sXYZpKBz5yyLd17cr8b4P7JybZRw+XKKgbErdS/mx0CKShF2iC
xRtFk8ze1v//lnd5/1qNTZ/CdcEtVs/T/4I1WW1cU2PVyPY+HL5SeA8d4OGcWrJF5Vej7H52wwNk
h+cQ7qLLS2G4wFLBHv7I3bdhPFLraqJaRfZGvcRsrHoDXKmVF1Yk3cxGW7KPbgklJWpjMqMVCfDr
VDCoQGtR+zAowyN+po0gKdiM0i+/OhjJPQE9xZi54vyjWvxAu4KVPIJEg4XMJqmOeqjeMO3ugExz
XQR/Js5LJ8QNHTA+OxJUQ6qKNX3XDCsSf690f/qPNZ4V0zNVt07xL/Cp/MK+HQFZJmIdozgerxR/
GsMW/WFWh1rwtK/NjjX+2aw2itbjmHabTN0CIqHl9IIYQx8S7rwSGwdGZD1VDzRJIAvGSFtxIw4E
AcY1118V4ablLB+XcfbVxPu5EAlT6vVeWWTqro8/42wd0wZy+hB+M+ovsjSNWem249erKdsMfSuj
gtsSwVlDAdDsw/BOPpChLR3jwH7I777t5ALAxrDAPsV3YZ+V4sXyDqGsbp57GXgXejF6DL6CvZNe
qu6m5kTdeayPikRz7e7CgFuz93zEfnSzjVuF6DXE+Do1O0u+SPKp49ZH+MPuxmZap4p/vYKZAqUY
yvGgOPYBQO0Y6Gp7NuuTYMiu1OeoPY4AvjoGDeRPyfOZRG4rQ7T5jl000ZYxs2lTzSD4gF2nEEJm
fKhGwdANiAd7j0q8KSBQhfmPRSV6MbIJt+QdetgpWBySWkUk7j634Wy8mvaI3x6OFUuY9wKONuSp
hW7w1V4l7eJY+NIYQeX6xeyuRnINqBJU9a6/l8Zz6r/IOFIJpqSHyW9h8pgXsz62TP1HD9Z+44b5
d6T4m8wAgFy8lcMrzG49YXmkHJo0kNumvI8+T7hbOOTS9diRF1OIsYGcX5phltQS6mEUUP3FZ6Cd
uVPLIhNtQbL1mb7aV6HspfHYOxxoz1rXvRlMWQGFTCj6f2KbsYviJdlvImvHxmDuxfgfNfwh1ubY
mt5VJlj9OCx9ndbZztFA5l5NeVjqUCD/5rGKOm4IN8DylPA5cHYkF6u/xcpqlC+Rfi6UA6gwirmY
CF+WK6mGnJFkiGYZax+oon1tVXYAfn5T20sZ+lLStCjDdUY6BY++UrwRzwmRdVuHh4zaOgRbUNXR
QvcfpuHa07JGA1lH7w6nzjhejewHf7rRexNSN7ajKOrV4szav8xDhOWvNCdtaO1TI3E+11wbs3Pn
lCnf8BnwXQYtJKJj9zMp48Ixp51eEEw++35f/J1NDQWhhvxgopvIUEvg98b/bjPJjj7Qp/D8A+q0
/Wfo7GW+IG6LEAZH/FfMRxRveRX/pvknHyp74Sz4bBjDQVaxZy1BAaAwPai/Y85GlpsI7aiGrlNm
2fw06UZ9lW0XKwZcS0wedhZvmM407QpB1Bo5rvBCSV88mWJYE1Ji4TMuN455kxhYVuq+LNcyL12N
ZzVXN3j4BObHmLwMMY9CD5P/SyECSpoh0VLLN6VA07hCiT1K3H4MngMACW1XbrSe9ulpFf+02iRQ
4EdmvjEwiui/eNsgWmj6HzuHMt3bGVIHRBq8qXsGV04M1vUD3Qj9GpzcjLlfTlLEzmEdgi9NqCi1
Ga4SHaMB27jXuJgBBivOuW0ZTndEcHETdi67B/UV1s3ecT6V5DmTzRIF1K8dL8dTGJ4L+m0pdZiV
laCWW7eSz1HVrobit0UwoKw0axvDQJ6UtwxVIQnHS2l6xeYrHi4QXZzKy8DI1K8mpnzMr2HDEFbs
Ih0Aa/Eps57IiOQwm+bQYDeMjUNl7YoiYq10rwRBuhoNi3y32B3HLy184KO2ZZbsp1oSK0s+FxP6
qRvSAKfC8XrxDa+d+wz1AlWUivcgR4+Bo8k26T8GVy/GNTtBG75YTleE7JaW9y2yXirTuBFwIkED
Y+9a8ZscnBwsN2X5WxEKwyfAnMDfwxbg3zJtDh4Yli31J0O4fAkBfxPFtxCPXNq9W+xnfOQu5stG
p4iEGCslF6yg2BGfUnBVy5NevuzhKkavsLf9KU6PNDDgQfrIm7if8r8MLVUutngZmXL26UqdrmlD
Wd66Mu4dUMpix3orqTfqE92ZZm4mc93kN31wU4Vm3x00VgU1g2dklnn3laJICbI7Gak42q+ZeWZN
xaiyY8WxywZguKtguEJTUIet3j769lMFUh5+qeLkJxuNyXVQPnvDYVo8LbkoXEOvt6Z+GcyHDARC
dr5ygSnhJlKKicE1RsbX+F2WOsGhlGvV30hxW9jPpDgJQh+GrTb8pP5mNqYYo7lSos04/Dr47lLE
oPwEvDbGKRvAnXE2E6uj4pMWwTfKC+IXBhOB0ZryV3IQffc3LUHuTuAkzh+t3mbhNyrYyLqJub1Z
Ayvw9dNAYc0HHMd/VfeNvkpk23nOGaTHAbgIU6PQ8oqB/ht/KV7RLjln9kPurz6fbYqIX0eK76Jj
ZbvDhqfbBr2H/8UnttY4NqzmYmbKFeR7TPCfDa1piO2hI7ZWAgUSJpcIlT9kVT1/t6EYpy6IP7tf
o7Zv45sV7LH9RcW3ZP0zWGIjGGTVr3Nc19E6JII+WurxRtXv40Th2KAfeOgRdl+v/SiIblAvAxri
BmWJPN9sLaFIXh9cSxjamOS0H03gr0LJygAc/QgNYpvc6/DYtRwhzkr278wwdKskP/WWos4psH55
abTB6TjUl67xV052Gk0N2/4fWqh13ReouOplqzsbGOyrjlH/JG72LFGvP/XZK/WplfPYlvA4wfja
17nDf6r2VdiAoW1+f1pZljWLkQJco4ARVFEpv00j/8fRee02jmxR9IsIMBTTqyVROVtyeCGcuphz
/vpZHOA+DHC73bZMVp2w99rqncza4ZBVZAwyLPuQ8UdPyVGGF8Vmi0rWYw4wkMFjQO9caB/VTZcs
hZ/1PYnQI5MdwUtKz8nlJ1pPUQ/t8Kko+YYrgGJe5VBp1jTNEEYq/09nimQvGuNkTTzfm8qCR+GN
3+G00QNK/OkTnorC3r4fvoX1CEArEVtAfNeLY58V5eAMzzksZVyH3UoxvREmN04RcZ/yPTPSUWxq
fhDjJ+x/OnAlcwR40u978ZFGW21892GP1OIoNVK+LzRCCh6pHksQyjHnmSOkLM+zCTv9V3+U2bCo
UICxwNLbu4E6pOARpOlKwtVkHYV1Go1dbL+n5DrnG/TcyBWMBzNaP4PivcS5QRELuOnFRlM+8V46
c9bqM2NLanPbT85q4nm1MuhX7Kzgnyg2xgKmAm9x9SpshnBfUwL+wf9npAfV3AuECdihO1SEwQNP
mDE8dWOfJdSiPAKEN9BMVxXM7qPJixFbnjP/On+N/FDP87h6j4syCW4GNjCdwmWgwolZLI7yNpT3
IjYpYL+c9KzlpNjOY9Z13O6QmGD+TeEjt3I3GJ9aD88wXVrfKqJmGCvNeI4wL+bJe5B9R+7VzHfi
XTYLF14lE2T4bAInLeMALUVKjshQ5/OksKyG4AVkgrRuajNTs9BpJVzQdMa+vu+7YNeBkos4awmm
0RAkzsr62a/YyHbZqpvR8BSIZvkzR285iquJJyBC8a9nqzTbK7izoDaIhf6t6xuNNi7xzzHy30w5
0zemqLSVGVT2U7ZLdt5jRl2AiI9Vw9kFQdYTd0p4Knng7/CX7M8muCaTShIYwE10XCCWiJ9q+9Rz
xm4hp/2kHrTut1RupBGH+oGPFQV2O65xfLxUX8q8/+jQzjL4Y7TZ8iA4WNbMcOmUP6m/snoqHPmn
DKte/DI8TnzPBOBgaPRcdDiB9lOU7ouF5KZlACHeY31RBswVHglXBNJzDwOBdhQZQLDHaKChKZ62
8taBWEjkzakv2MQYRJrdK3ziWj5j22bASQPRbgaUDVoPpQEXnHSXkq+MTHA+A1cKTu7O+LLre9by
rSfHLj6CButxjif+zij/4ei01G9nXAqSdHF46a2nKYRwTz6/yd+hPYNq7LpnB5Z2cF8HyjJF/wz1
Ym0l1xGjXYMqN+BbIShiETPa0mYC3yxXZI/pRrh5lqpc51G2UvVH429mNpS9EtP7yCyzRrfYUr3m
h2zwXBN7R3rWYcrYG1HtCD3jBN/b8T4QJ/ZGePi+S2LEJoM1MTEvk3ahA7TEMW+PPaHZ6S4uloq1
knh/1T1eQ5F/1gwyY+cRmHen/QfUobAvQ35HnshhUKYHruQq4jVejRXl86Ut+TtsWqH7kHcL+3VZ
l5ssOJS853WaLgP9JtCWwxicL6Ii2IzNPWvu6NWBdB7Kctt8ca1yDhWkFyUPGdDVvCQaBOYl2pDU
vnXDlSG+MwGuv6X6kSuq/7B0VHtvIKgW5Z0VMysNVpghd1hOXganDaEJ2M2bDaInQSCLfuvyu/aZ
xrem7RbNW8amU+VTJQnkQ3O4W1tSD9V4pRHZxXGMyj4M7yiIcn5eRjnsx9H3OneT3mzOe6gRase4
WXXU5QnUo8w19ljveLA/rIPqrrPy3CKbD+Xdb7e+tszsfdI0F5Bly5CJUSjhIcIUJgOsRcetsxhe
Y9UuBQOpyZt1+eOzsiVS6xteZjWh7PHiasWFVLSr8NE53R1u6pLRTDaxXYtOIHDhzvndH9yHuiIZ
JUQ3SL6WcVSmq9kCF0tvansd4G76ezP5jgGeJMNfbl7igjuaUVLlOQhoAPISaFqxEO0ucfDhj+8N
EnYOpPcw+KsEIlNnD9iuIK3YHZZl4a4VSj/lgxLBma9KLL4QU1MKF5XFDqUgfvociQ1mWDbeafcq
+23yDEI0sUIAKLuiPqI5VpDMog8bYL6itqnMtxFuR4ey13X/hmw3scVw/N9efdf1cSWhw1vtB43y
WIDYdJCXQIcK0GIIhlBJyLka7RRz1T0smKT4uIMdDiGGtkWy5HIvINih+NWY5jtE7q766Ztxvdn9
aigqBrK3mbQeYm2XWYeS8nAwH328H5XNwC9IHyGDaWxAcnPLMTOZ8TXOGINrC949UPEGP13QvPWk
/TUNBa0NBeoujGPBuqq6KtMRnNGCphpjCadgFngW6BZ4SkR9++qq4zOYxdJiFYEqrosjj1zG3pCx
T27/pZRZTBEgG9UWV0j/XdvnITkJgrraqODoJj0HwLH+NdowUBi/Nyjm0qNevNhUXiNqWKQJ5ZoH
XEQnU91Ken9yKWnKoSeUL8x8autTe4TRD7puRV1F5kKV70b1UUZ/AhiySibtNC8A9eZZlDsXnmvx
qnMjY+5v9mK48EuGqCDc00w66dnXkzZOw18ygkuZDle/hQGrc68jGAFk7m6sGj0nYsFNBwoL5qG6
901y9lCj1csGNRSnPfOFWXKB7p/zpeA9SAakB90Ti8qyiu+xNXlWR1LI0Dx06xsjmzeZuJHAwsqF
Im4CHbTIm5dRAcg/IGXjz2a6YPvPP8e8PEx9RNX5u42YgeykS+kUixyGdUc2Oqk3ramuhX5Pq/dI
qbZm88SbXYUffmZyZ6E2ta+d/dGGODiZSRndfWQem1BGt762npALaNGprf8RbLiqEdXpFAaoBAc5
boxIoMUOLiXh5RUfv8vgEDRpUC8UIBUFwkRBeRabn3G6bfNLVR0l1oMQMrERZY8E67+L+a7UPMW/
JOgfjXQVUoC7MHZGkroT3WKuNMubGbWI5wBenZTLRQ9Qjrj7ZdDoLwKuStuRguiV7N1UwmLRkXaQ
kLCEeZP/byRbLfhyocGxKmRjWx8aQrWS+p4SLyE5FR3TG6QXMbMFBvzSs27E8QAviQgd9CsOe+gp
sthjsRjC+NeThgvUk/5hQ6TUtptIqPJXDkEKJROMqOEMo8fB27QQPToKxiwGWVhuGa9H8RtaFmWH
jv4F3eLoVSOrEmvC+cLEZYmzMmPLJ8YQ1SIOf6xTjFAHGAoWHliX6keHRAp4nUfoiI1sFSHvyoY3
QmM2U3QbQvaqXBwx+h8MBoirsY7p5kLXsOWThybs9hU26BmZ2U4YLgLMBH1r/a358A6qOn5hXRFF
25QAlNH16tmU/5DjX+tcMVjhrrz6Fecgm1vYZCK7usqH4n+lzgHO4mIYH51/TbQPUX5UQPPoDqZT
lp2C6FPXrwXhlZIXruLWGwdWkCxXKEcgFIzwsQLOH2aGpZ5y5b7hmV5E2qua3EXzOUXvmnusWaON
zlNFrcPKM2LVbZb+QrpMVnXm1DrnY8C9RV4k+0NGLtPknNKhXAdMvcL6OPvvCxUVV/UXR859nFWy
AamMafjjFtSM8AkzumpoCS+VdlYJn3GufdK+9P18g4H1AM8ZN+fAKfZEjrrBe4RYXjfQHSrEMwV8
BWqDLo02CTPDDp8YeXCLlEGjjrrPwn5RmAZgkfkX2j9VPP1uxz2j56tBUVbsFUB0s4q2GiaY9C2l
2BDowIWhIRf/6SpWZHUjObGNQ96XLG7Lfw2QOZunAkwZFzVAdSMEX1WuyrbaQPBehQgVh46iJvSR
Zm7M6thHgtC2+K5VPxGpjglpRFX1VjaSGKAbUSFms+mHnZ8V51DEeHWcF5XlVGnQvHbjiiBqxjmf
+fytzx9G3a5G1+IuyNiFWy6K1bmtAtoSMsDQd4Vu8otoAMI23b/UiE61qf0pqJmC/n+ByqJldqk4
r4Z1JrsAFA0XDLwQ02gQng74qNtlghqBqanlYqPzuPaCBvcdi48IaJQe/uKMAKpJzRSgT98Kc6+z
OUCS6ourb7873UFEHLf9WtTJvnzXqW0mFsk5ptfGNhcy/rS7/81aRHkrYHuORHaXSAi72gBiTFJL
HHkhlVuvBC8+Tc8EGMCtMSX29zTmgtikTNMsh33hRASSoPhjrXmotbk3vArrEvYuO2PAeFD0+rWL
hqZLF6n4yfPfSY1x/k/wB72KzXJdfKNmPCnRe4D6XPlwKOmozyrHa9H4ov8MJcIilqJbreIx2xcN
OCBjpzbkJulHVX6p7KsLVCrqgiHdpTDM82imz4xVHY2IyHYt6PsEOd6kkSMaH8xAzJkICxVNoINt
x85/7GL02uEfiJkYc0SFQI1xDHv9GTJvnBSx7tSdYxn7OLMxXPVU7ga/7JkMBjSAmsypoFUON836
IaJtQt4Dzx7/S918G+huCLZlVb8D2mIwOhz6e6TPCNaXxmD4ZpLpu5Es7gK8P0teAgJ+gh97vFAg
68pb5GAkYgTioIpJukdRQnpQH3kcARqj1oKTO6c7MQHw00Pav7p6jDGP0hwhir7MeZpqfgla+F46
XCeknfcZQlkHUqgXJd+In2V764qrKAH38TMnCwc5ABa5l8bGCo9WW7AxZx65NDQw+8vefUdOEGXG
0mAjupb+w1EABupLlfNbcToPzvZLxHALhkrAsoIjK3aWGRSqYBtr28C0QB4/Bx/xGYROtlasY34F
z3qJHyG3a8/EIklCJ//SCMCfyd8Q312L7rPn07qjfq34r9LfCPWijvu02g3/UnB9zqgsSuQicy/L
lk2rL+RXov4g+uqQZ2jQL9OEpIO9mo+k5kTTFHUbDcNQx+BvCJkaNKe4/xVmCYgY48De1smQ1vhu
f/KCvfTMLEuoWHuvYqgl0gFE3BJ8JGYo27RfJOapRJ1WttOtY416ihjhFMYgasp6NYLW97EHzBSR
ztwgf0uRBko139r6I0S6PyT5cv4qKcOUvMHHFN0bCIFyXTbHsd0pDvOkbfrIlLdWfs8eA/5XIugy
VpW/S+Fl1WBhplcl9JBySnY/Bo/AFZ+OU9zsEO0kTPOKSEdtXgGC1DKAXOlYOUbkSOTwXTF3Hn3U
Kjn7j5FxdEzHm8nyNMXzQheWaT2qHmooL8Byn+A9IM7ua6QJaLp227gJLnVmTRrD2CDZ8k6RzWky
qSwvMm/XiC4THg1JvN6eKe4o1nM+AfA4Uql6ADpnTEuB4WVkd6ge4V5uvE2GlZVcEhIU5YEGgpCH
WYiMUVwS7tkxb8fdSAirgyaTGeawNBncN0A1X9tiDe/FjNfQmrCNjCxgis2oe7qBbuOp4HK/6+U5
1xcF3p6MRBk/imH23LlC2wlVxDf/TldHHyrbV6l6A4sWdsD4XlBmuCRA18Z3jou0aM5Wu62ye4Mm
YPirqbWrksuofiPM7YVukeiBxJzTM346JuxDNXFbkNrR5MeERX7Nga3a/6NFR+NjUs91zZ5CX+vS
PdBNM6ETnBVTsBYiXJbVtEavjrvBGBQUMk+dFiiO3sao8/LqKhO2SHJbkLEVs52F1Juq/nowqRzO
Usey33OVDEx18Lo2N5W1syCymA9Q5wMT5HayGU8ZFz+K7t8E3raGD47jnYicUzesGvNeIvJvnKej
VpTfl1gemvBoUwfqikuBfQiMs9tcTJv1irp3s+dgJ8uRTtoqPgwNwqpK4DbmVpyQZQ5aMZHeDF0Z
kmNqXCvjX8BaQtGexYyy73culkcz/RJtygwuQ8B9JLKZ+OvIoBPjT9SkYBVfaUFoG0wGyqWTo14T
Etqwb4dvebwhyYgpDELezRgVO6Z0mn/J0UMk2KkU+9flkBhpJqv6XrWeAVYYBwggcxQ3UMXAN75G
ttfWcpkF8T0nx027DOExmD4QDYTuPFFvzIpsMrGUNqml7ns7XqV5KqnCYch7U7aBxYKZyTBx6CFV
nRV6Pr71lFz5t4kZR8uLx0wdL7UkWzVeKVbjod7sIBGETMH9jOIY7xYqM01H8gHHWv+ngaaJegf3
5lortmHAdl7KnRpegv4nRvWvFzolRbR2TDYIylvDQa5habXk7OVECjDzp9l8tNFZTSh8PZxm2y48
Tf7Nqe42cRBWhupn8LT8zMAMajIKT9rZhhX3txTzHAlmOhKPv1BfJsQk+W9Wf+wypEMIgkwXoBhK
9UjclHfXtZau/IiI8Sx5V4SyQKdFPJslsG0uShZ+GVuKYJPaOxvqbq7pe6mwwDZpLHi3o6ujvcYg
G6DoeI0yEfTceEkNtKvSmCEDmESAZzOY1YxqXUYVK7Zfh0YIl/6LjWiB33Xc4EHlA69wlWBm4E5C
c7sCtGOhUbU+BPiecNj61q7034ZhL0rlj/35PaszVtEWPnsuEWIfVHJRJUcB4Woby/E5X6B/5cjg
FX5oHb+2ug3iXy38aFmhDfa4bftdVvU0oZ1H2Oa609lLUMuH+C56BoMFiRN5CpG7TevPSAkxP7nL
JLwUrgNt0LSRpjOh0qxu4+judn56i8+a2QCp5WiVC6Zj00N1aLzVjsjq9G1iN6zHXy3CmgILT4oK
RmTUG0gxEh/FW+H+Od0xGlq2hJjYtIAVjrtC3PkVMobzteDQGOjKJAM+H/Jv1R2nZkRZApCfiXiL
sUKa5JcBpvFdbipjqPe99X+3ShYgvZj0raVNP9iSqaVkFeJ6fDT1UK9L9CeWjk+dm7djz0vZFYv6
PYOZhD9g2DrEoumaAEuAo2Pg25isl0RU62J6Wsx5KZfl64QsxiUdSNPhXFMiIm+MmOMbOi44nrTE
qHcIYJZ2bW3CCR4SZLuysdFLz7ORRziB6Q7slTSJE8X/rXfLSr2bQ7AioJBW/jnw+OtMBzti4ghD
a6w/CAzAOsJjFpOHHrGtSbP+HyY4xmm1z3KL3Ghhe2OeYD+xR09axqeJozVhE+XclZyZbLLusZqm
HB4xintfwsbE6dMMzB/BGxsI/kOHV9ve0o5RnbN2xbji8zFjhlvYDUdRXb0raNIqrOGtv7Pbb+4t
ifglx8CQZKS32eozZP8FFA1Xhb2aCIFHa+6TY6uI4ppNBsHS5RvO2nRsfkoLsv+QQzPIsSeRMYgo
Mg79pdJ8jSqgDWEcJG9n5szqYblNOGhyM6UzxPTAI1uWvRc0zOfZVURc5x0PTV7hEZfbhhl633yl
7YXgoDOp4gsisV9sTN8uMiuzGk+Z9ZwhC6p7SNAR9JOPabddOAlCtyaG9eQSLiGQekg3OFlsN+zy
hz94bXNjq06fXY6hk/lUlXoNyXRuPj4wGrDWyWaS8SpEaORrjCxxIseVu3fSvQq+zCrddZuE57Jj
1pYqn0416i8dwFr7K2A9KvFipgywImNhgKxVIkT1We7FmNLdbmNlhw5FxZBujahdOrzK6rSR6LbH
/KggHXEZ3ulgnLP+p6BzH9HYaB1Ob+DgXOb87GLV6mfYe95UYfAlhcGG9lwloK/ze4NCwp8/3oF/
IkaZbo4IOMYW+fipQJBOjPlL5Kq7SE1JkYkWmZ7ukonpClpR9FN5++Bj2JJ1B+OKywR1gaHJtZIe
CL1hvAbHvCgnLDEzkbNdhol2KKvgXI24f7DJtFA6LavZaD3TXzOj5K0uBERu9NnOqye31B42BQYR
gagxZ3GrNzeL69HVaHY7uvsyKIgbU0ip/5eOyfhStd05DEjDhCHnqi4t3Bpm0dKt0yWdxVoxqJLo
RH32RdRWXct6LKCSNB8+1kK/5hQNnW6plcaB/v81DpjWO5Adji1kaoqopYv4IWuLhUGbqmApSMm+
GVvItTDdLAMkbOMsFQNmO4YroEstfGvDULYKnW/LAfI0+nWru989TarPsxwJ7d/Eboy7g22rWDi6
uWRnjvlmoWLhzg3aAyN+j8ziGdBkaix2m1RnZtF5DVYclJcvXfdnw++bSgrnoIQWwVxfWmetj5YD
su8EoQ4EZ292ZjPH8wzZs/ukftDWTbprc2tlRq82Y32FBMZk/DVDyLzGz1ii+/gyHXA0LcRrIzq6
qJoVO3kM1vAxKkeEfYOO9tFJSHaDINmtM7V4kiiCrL3vcTIK+ZOP8b6T7qyPXWZF8WrZr01uQsap
AWPnEhIGjJ/m6lYP2znaRo5869OtiMMa8BxKON2Ncy2a/moi9va5smvuYQOtXfus0VgRhhLDuk4f
vW3vQ+luUqNGFsCplo7nQHF/xzKEnIc0eUASUwU4F++ti1kzp+4F7kQwsG4il9RnK9U97xRm2+Yu
bOxNH/ls0lE2lKDjSHnAvIsyv8GpF9L2iF9YrYs8onWdRQ1cj3CohRnR4b7rxnvMdEqPv1ubUXtk
/pEtS/ekAbZh2Skx9YX1Jh7J0msC4lgj+oezxnPftsAXcHfk8mtCzOvLdmRDU+EvB40UFDc9w3Kj
mEsUI/j5s+yHWflQkhWZ/lau8+OGs4SLwBatXwqWiawK2Ne6q5zh2oiFra9RVONAs1qFkJFza1f8
rjcKal+Dl8dgTJH32S2Zsz59yjVy9rr+WXBUlh1n8Jk1psr6LTDuIOVL91CYVC7Vw8UdFNG9BHuj
RRhDGEAumD9/RNjDDekTP0IfzPY7bCXrsKNrz1vtWV/Uo3r+G8vvSoBUlZc0RgzcYwXmvJ5jMfIR
THULHoQgII1J3WB7cO5p9yM6XyAaZeiset24K/AxJgRUMLqXHdvaFL+axb3spyA9/XAzsc0O5uUv
D0bN76wC6aeG6sPHFNDqKlT1HmGv2ETEjimlfZjCaAevkFCx+eUm2xvs6zmtCf7wOSojNPUCx550
QZxxlbiy87RZYosohz278Vcb7QuO0dKtVlPufHTxkDLOstdUfgTBxSxZIXcSgWbBmUaj6prXIWBY
wOB3slEF8TDqGGWH4FazXecv8lx+kzy1DRs44DzXTGQxzO8cCERVA+BcfRf0hbW+7FF7myXZ2Rns
nHtFDkmN1bDAiFQ2HdxL+6XIvicTVyvj3dpwcbuRilbUnoV3wU6h6zu7CAeixnpoSEuvwhOtptV2
NCNa1nClsNgu9H0yXn3Z7GvilNNKPRrYM0SeLFLz6CfpJiQiHTLfp9E1u9QxgGC0RKPu4jmHzrwV
qs4qEF0qAxq9S/8pbBVjVeHmgYaezsnC+5r3rDQReSFH0nHE9Iwdw1hsepltqw79vDGuUySTZMas
Yuo9C0mj7oTrooasVZWfY2e/JdaISOsnZwKpAa61fX0RNR9pbhwjk/Uzh1XiNjfiypcGW++20ll7
TieAbi8hA4pShYXQ56dZFR8D2MsZOICru0H8IATn1TFpkhu2iY225DIlNNjY607rgRWo8sugt3Pm
yO+cnTxQz1bqbYjai0bNk002RV2zrlxrSxr3i0jKRxP09BVvePdAryYrm6olL8uVJrrtSHHiNj7k
tOcsNVOoCh3iFnWquw7bWlzIbW+Ne6E666LL1uXc9cCso5wnIYb8AIe3gx056cQRiPUsVt/ptlCl
qF6EsFDtw9dQPmWqnU0XGTAzvWYkYemaoAUoqQ/T8earxOTgocLnunUVcGecXSMHWoTrL/P1p47N
lv1E2JL9yb5MJwqWcD8vi3PP/58Xaq4oennRu7UoUFj4xOdO+TlisCWqlcMrVihfbXoRVgQ0mi0V
+aZ9CBgEZ+ConsqacWCV/hviyStolhrN37tBuHaS7NxX2a4EzuDwcUsOiALMUVa9ozilG2hufPgR
GimBaK5rp5vID52gBHFCdtcUVQoUMqemVszcUyP9o2/HZ7t1lslA30YiYonZlW1PFFfroTS8iMTC
RI88gWjVjVVP1+ydDMGo0QarDAQ0bhJM8LaqH4HN5vWroJBwH1GIfdS3kBCR41DQ9FR8m78scxw9
XPT48GtkW6wQF0OZn3ucmhIgT+aT1sDW0BesBiiKbbYbW4vlQVEMaAXx79Ouq7ZKXEm+zuqdg541
wWRVwMwycbsD+YByvPbh0lg2PJbsLaBBDauYq55REfdTVsR7h1Qqu5JHCkkUdf4pxOwiumwVhOyr
FLnRRntTN8WqoC4HtI9ct741vvKocN82bAUGDNATo5Ix5Sz22xWL/r5jFqIGcOa0lQ8/Rc163mG2
siuD/4dIsIVtJJtAMFfp/V1B1pFlQWrim7IEVrKn1ZDfgPSTzyDWeEfw3RXoyB3MqOLHLz/JD/Sj
N42JQybVpQuKIQMu5eYbKqN16E9vrkW2VdBzd9IHYfU2je8KUFjANr9XX9NsGavo/OATdqJc9BPF
oW9dJlNhREAsjQn8BwXHrBWxR4ZcGTguAxCx23stg1e/kx8NSZtxiq4xrXgVkDrDhvCBf1QIK5Ab
bMSEkD2hFMOvI6Jkb1ruryG+45yqWip317COvTase2PAnK6tRkr/IVBeFZdQiqY5Nv6/dvxNw2XD
5RjJuT7S9rarwED7rM1HNLkrqf711p9i+jeV/mKe19flP8PqFxKZxJCozGONXenQ5yTVCgTf0sBp
ojInSPlRdeOqwyUfUjbHtJMxRwQ2XoUdLlQ3IHsturga+jD7Pqw/ogSqiTSpmjY0Q69W4GIIw7rL
lLh2Ezp5fxnXQCucfnq3kTt1mEZbLTyOOGGKYFgHCoPNUuw0o9kWSbA32asO1UPUp3Zg86MyBvR9
gSObNSp2BwvSEB6rEw68jaYqSDfcK6xAGNuYKynFUTRsUtEdJLtjJ8azEGKc1R3MRBn5KP7WRuuh
qUhG24y/lNSrKqm+pnHY2kxWnK5cWxOaNLvluuDTHslVAIQADP0wduXTdpJd5ExXqTNDs8OtwAae
Q2DuVOaVU7jv0E2rI1GrFkgGK17DYV4Pw5t0xleKPiak6ip2odUaSCFEDgciNDP0CwkOdGfnwppR
Mb9LLJitT3ZGXoFZHBgESVSpLGcRJOuxBvS+vo3WqaVnTkjpVf3sXw01/SWPjKtkydcSXFIz6Uym
cp0V6iVG4tC6OpGoP6F8sCVf2wp2CciOdVmh/p13D7BmOguanLGv+NNKjXUUnBhrzn3DykVwRvSI
fPsBykqgISmPT3URvvLSn8YpeHPMmHtCt7LFoD01pvJ6+WTYtLFzwKsIogp2VCliLaX8zQn8Icx5
A7j3byzW8Le9AJFf0HzQCVK9yhcKfYxFyEzPfUCpbVgoYjJQRnhqcRkl0O4je59rP6XcVtyNPHN7
c3ReNdLYK+DQ6cAnMEcZ0iX407Tv3OG3iRnYY2+LyWYJyKTUJKck+N6RusUxP5siXOdshsccZ+vA
Ykl7meNwapvbCD1fEJW/2UB2p0XTldSJN+I7UBlSdwH1CMePA0xOs/71jI+UUR59uAgVpIMi1O6q
NlM8aamBxpnijiwXT2m80MHMNy3dKVoCE31wpP6aCL6kqmK1LLF2wF8VxmVQq/U8hc10q12Tdzu7
scDWSdgXr0PzpuKtDeEB+eNOK6l3VS77AnYLm81DwJtaluaTZJAHIs6r3+DNsdL50A6h6YUHGp2L
HcHCY/HXGEubQlUhtIcV2YumMrfSGRlkDDf9wFirinYcOI/DEUxkb/8Ls3mFyxczsUAI1s7AMj4k
M4EBYV9lom+HvDMq3pDmt9JlvhSM24j1q4uJN42ynRRs5pqKXXO6aIgGq3EcKFa5TTWS+fCYjj29
dWD/6Fn/rDhuUkWn4BLo3wz7mZQIHKmv81jOrBcWYOXekLcMzkkmu0syiZVTB+8SqKOTJ/shrW8d
GwN1TLZKxdM25z+U6GWM+MGXudf2VzkNx6CyGQgVCwD7q7znVW2InILHpw/jqmf7r88GIdt5EwGN
61DsMkARZYI8xXD/msQM0ay2wHbsGxGEIZ42zU+fFccNUQQIysPpIGKwfnyGuVQJ/spWRe8eW7xi
6tS9BhTe04hvKgb/UwDJyz1ema09SHwLzbQmup6Cnem3ZqmeajwbQQWnSfwHCQ+EVaOX0yv1Laqu
GM3c2NoWfY5enZIw0ZIzKQ4X0X8XybPvpn0pOB9L8+AaKnfP9xzmYgLlK8RSG7D8gXVWG3c/DePW
Lkpgcq626hvGSgGWfdm5ZAWgU1QbqETpqYGy4CYutgfK5rK86xmClixcq0Ts1THSCIf5adPuDdvi
CpEkmbQUajQNJopVv8tei9HaWCqCXwsAUWnugvSp+khR5hQRohBa273n4JLKfsRDMC/6KiyITKRQ
cEnD9GL92E/WU1bNpjaMUxc6a4Odo5kFC00tdqU9eKJq9mmTIwNCYsbI8l/pp/u+5DmcL8G+xjuc
eIJQK2NkIWJbXl9Uzz7+kun31AA3KXMPwDfHEFumrPOMSe5Std+G8XTxi2LlontmC8TkO16ICdsX
zmZjOhjMwPzWXnExo29KYRsRc6l9Ni7Z6u7SgU5aqvZJr9mTxOqmRa6SJsfQ5zKRHfm9vzwUGHpI
z4NiPEy0UNAZSXfnDjZPMgJTCcm9k+a2d2EpsoTJIYaUmo02h7HhGOucsf3NYeffk80ShOFaJ2sJ
s4Sw565hdrlaO9KvAICzEmEBGJBmq+Y97jL3CJKm6fKrj3iQu/Y+1u2yz7ATmJLdCKVvBTBoUr5T
ulIdGaaQ5SEJnHUUWT+yR7Oh1htNTByIKye6zz1IpNbv9FusERKWbS1Kks8CZdyA2HtS+10RVkiM
/2SDIt/GqzlLERq0L1rRnVMVe4qmng3bWZtVgZNr2A0myP04IAmC7bdia8fK9be+Ya/Mrr4pmoVx
DnIHE1V7lBjSThbJ4JOzbjWwdh+Z1q2SgsMUpWLCxLDTsNTmG1mjhKXkNsvqO+0/KyTSmftlMtqG
PfvqTqy37XxNeBwpzknyGXMjB+GIKWcI9kHPgDZqvi0ruBes35eJ1WLx8VnAC62fbUgxBmjVfNrd
2Smyo3TjxZDe7dlSjynRCQ9qmexSHMIdGyAgCEzYeNf6nvPRus+kkwzOXxxt8vI9maK93VwFBJkw
Ho+YPdYlngbXGs5JNGHpxAmAaNwQPabvehENlH8zWKB3PgokA0bbv45jurd7/a4Ts6XK4ikCZmSD
tWrQA72MKjxBoK5WjxqSwtI309nxP92CYAKm8R9HZ7LUOBJF0S/KCCk1b/FsY4PNzEYBFGhWSkrN
X99HveuOjqYoW8p8w73nFjfTq9EyVr+iDln2DcyJ0h9TK8q/gYeu6xywOen4jsqONKSIuZBOfIYd
dhMSQxXu0oQgJdIsPeAVqsp2BlqUub7UU3m1TDKuUJ+UafEYSDgE3jmLEvBVuiD+LhMUI/Z9lfyL
So9uFlFfzJamdvItE7zjiEOyV4BcavMtLphiTnpRGwPBgHhrZwUhGEj5x3+dzTQdWt3GCLujMblM
f6pdNkUY4gGBt/Jca/xCgVqHQyTR0VClzcE5LvubjQQ45WgTRnuJfPdaZcnFM6atzJz9UHbcnx0O
C4/4mgdHvczho5goZ0bvofVNrP+4CIrqmirrNMX64OPemtEYaykehe9hlWQwTNSl1XcPGcTpJobJ
H8zBYYqQNVqArZeZM9kLmcCCSTclmu4cQVZOFlogkDyI0VzUxSkbjVXTvwd5u4scrkjocYPXrFpS
EROOIf48lkyIuOP8tBjR68qA7Ct31OcL4tvk6Ip2WVccHOFcBJf1EEU89USdg5FKCoCSZAQ5I53h
olfnkk8t9LwGg0m0EuNMgRc7K10sWnK0c1bKeLHFzM4BbkaH2vg3ERoh2avlqXEIoKBkAIvhz5De
bR06Oe1rwY8sJCYL9GcO/IvQA9g7xaC/hmvs+dFV6e4PEd5eJ85LXCea6QK9GKZc9KkDCkeovZ1U
r/4S650i1uyQUaVLH4x7qQ2GByo/tBaYy5yAs4uP9SunT9OL20Ww18hN+1OK9r4Pw2eh9C9HycPU
OJcpVX+2hyqoRJtp0Cu6MwSpjL2pIiO+9wPJoEcyrOzoGwtuCFCqoG29mXvbTyxe6O5bLQJsXWB/
lKF76rIKwK6PczGu4xcGyetIRXizgAXfcafddRXGoeSzN9+b6amu5l0fZuzpCEod1GGJbqKnvLOs
eOt5028bNZx6lKp1UxPpCRXdLKmOuU96SOiQyNHAaHrAOSFsJi0OZpU/N96btHhiGooHy/YAKsNH
CqEyeUhERk1C7UDnKny24Unj3zIBKE+mx56zaoLt4A3Ryc6tS0HgDpgmGzU7v3kCiK+P6o+pkq92
QBw27b4ovEPe2iBIYFeGprMrfLFngLmixt47UKlS39gJCmHGe9tBDs9pKZf1Hg4GDF2cuCLXxySd
WGC4DJvKdRuxz8zbJ82Cbxvz5pfDsJ04SiOkB5O2Lxogfuupr64djqZLq1046zmvzgXcPIvlbyn+
QvWcEYXHeBafNiYdWRLzOyPwIfaI5ouBIW5+G7WnaME24uYsUxydVfrckePjKEVYa3nM4mHv198D
dX6n51XfP7nUNnQrOMsRvrXZrcK/hScVEM2rr8Z3NaMFGog8d57oej8Unr7ElDsLa7LIK6Y9Gu4x
7p4IriT3tViACnRYfXIftUjJ0kX4sR4AdYY2eWBue6+j6palw5NbmjdRQh2eLaAk4B4N93nMhy8n
6vbVtPexR9aNWFcdNaBD+oYIPyrtrmZ2sz4DB2PA7MmYKp1MZAkT33RrMm3I/yXCJxZp8QkYyT+C
yG/9hP+8M/2Xoeo/Ndyyu1gvgHTzBIuTVimCazSX1g3h7M1LkcSLEUefQ4liolerLBd8lY97y/is
cUjnfIAFflhljjDfZjw4dfWo3exokm4kvfAHAvw9i3i4v9EtwBzS2Xyb5XCtLe+xtohbIdNIIqpG
IXLlYhiZZDHREihfk+KhcNTNZK6XTlowKQ93dqNOTknaZ0V7qJBGIzNxRPDZWGirDeNZtObZt3Cw
DVFLwFGys9DEzJZ9sUt/F8XpTgdIiZDrOAOVViqfgfhDMoJNxsTmMhpMNkuXw6GL2X0YCTUEzBup
m6e0trem4b+omsamzcZt00XUiDaqMrJWCuczQBGAt+s3oTwhfuTqdrGLiXbC/QxzvUhNh1oBCUsk
CHsPAVRHS+5QlxhL8ja0ETtla9FEzYupo0c76J8GmlAGmqAXJWC4USFjh5zGZ7/TQJpaBnf0wg8F
QhAji5li6vuAr7oSxXw3BgTi+ZGiO8x3ZttuXGpanYorUwsiAnvYwlgBp+FNaXpmjOE9DX4ieyBL
lH2Zw6HYpjE9y/BGr/lLh4pPCIVZXTEcqyHmo5Bn8siM3rNfa9YVOb7LfNT/ZM/uU5KjUs+rMUdJ
Ho33kl2ngF/Mh0OzXBymeNy6ZbAxbAePobeJA59gamAVUGZN2hVE0usZAoDo5NrF++NBebWRqriM
u7rEexr6vF8X/hILhlalCt6VBS6QssPVmv1T88UN666K2D90Zk1/gVM8GYMU//qCpKYtXkDaOjKe
+hzNbuVecOIRfhviJ1OAMf50ByOrfC/bipLNum/s6aQr91Tp+VIV+bXos11YwB2TjX1IrOcYFpDV
IoR1GVwgQbfZxq6mRiJQ8KS7ZzLyqGNrpZY5Y1CdWXj/5hUYXA/slkpIhivm7oySE419kV7qGIR6
SQBALnz2VAhfFWfnZtb2k8c5G4cKWWWFZxRLMoa7IoVQpVBDp15zEk177ZW+EHS3rSglgEZZ71WO
XKJKOzb0IlupxseP68LXkBvV1/SpVvnkDkxbh+qBqdgFvwtGAfO1kZ2BJotj3evonVTq0ksWX63l
VmRc+OxrjfroiP5NTeV3kA7ruXRPrZXcGHEzUwLPQsIkcN9oi/v9pw9Y27c1YYya1xCzNv/gQURw
PPUuq/kYddlvGRWEmYlThjbdqVweheRq90j/+Y8sL5hItTrcmh6joiI6OZREqY8ssRYsIGKG7xpf
IgckMSMSqttMVrDOWDgZWNKimJLWpxRTuLLNOvzuivIeff++IccgspDDyvjXyIbHSgL+VWLemRkK
5mCyn2NffvUO+MwUOddEmRb3HipFKmlQ41PDPIYcKW92g7uxY9JZwoopnS5d+8Z8GKyBCGpMZY5m
0RDAJ8bPE2JVq9vyIsPq7I7FX+b1ZH2Dj1VRtclkS7CfU2/LgXgxkR4LYom5btSROhVXA9IP0z+U
9DRu85GjDdRz9NAY8K09SFjMt8yc1Po8WNle+lxnxo6gXwp8aM82ad21bp5ZHW4kDG/ClXAlxcZj
wS5xtru1MJEHme5FGtSXasJSIusDHx4iMrEZFmdU1ukt46XTMMtLmCCXoWBtyv4sDetJJRz4RXmO
s2BblMZfJtD11KiBfJeQdakjXOHVNoBmiOQGr6jJbo0aZfDREXloVJlmSURs+dVBWHY3sQ8tPBZt
TPMQIOK9n+fn0YMcqCOBEd/wtzPV9YhQykyTk+exjsrY/BlmjaB4fEqa9pIGT6bMD5HRn5LE/iEv
bKPc9FQZXMi1cZYtq2+LICsPfRxwyqgKV6NffcRB/FxHE6o05z4L2NNPLNSJvUVzAqAAcbhdvhfe
/Lx8VGoA/maoLa8B9lisPaytMkaXUTRitI3+mhDQQiXUQyf6hxiTpQi4IlLr7EBxTvt5l8YBHYzE
9BL/9QrctrQtC4PfSM2GFidWl1E4z5o9luhYlkichaMPeQQNxZ3Kc2bdPn1SL9EjUGiBXpOnyTR2
VodiaCIAzuYmiVvn2k0Z1xSwlNG4EdJ7V/bOmr353s1JaaNOviuJ6izNDmA6VQwK8r4z38IAgT77
ZCKqA7x2uJUgDRduczEcBhsKs1vo0N+O1OmYrolSbJ11XGFGmZLiXhsYoVsHdV7bY4QsFwGsjo+z
770UKYF2WDQXjxMilYPG4dMY5nttjs+duyhXVLgzgnnTD/2n5wr+7HjnefElh7eLbtFcN7i64PXc
RMfyXbv2UxnW+3aGv2VGR7fT15nPXTmoUgpg0LEdI9H48R3QV8n05Fg+dZcsWezlL13FyNUNKNmG
hzzQnIDltaNXcwHDWWH51EXps+HGx6mbX4pZsIjCf1NlTwXYBGUDv2B1zRaGkTLYOgPgPXFz2DkB
MGAdGaIDwYQ0uLBk0Gf1Nwe7P13X1o8Wqrva+6mzsYb87BAaLQOgeUYXfPr0IIJDPu6cAAIcKs1x
+NH+G2fGuxl2T6bPgJiAEMd8smd3lSi68EHcOqBIE6Wp4zZXHweTW8p3dwoeY0ZuBaHgNV0KCoCD
bK5gZrFPNBvLfsnAp3D1wKliXYQ2UE7iMo+IKXqemKrwXhKWRy7WFNeuf5FovcVeim/zxRnkFZfO
r8VJrJInttWXOnUOzgjXP/lwct5P5CDK4eatIQfbw71ZoH9JSn0yrfFMiCHu0hfbzNlwJujLMre7
T70l5gWVeJSQJ0B6WWAwbLcRgarpuw7ZAOFttaC1CEyBbIAfx4mHynNXo3oVjsZ1l9NLg4ur5aGX
4SES/xR8wLZV+8kFii47TbEKBWLWfLstrLbef6nV+5jxEUXTa9KjjmZKagJiUTkJyphLR5vBlorJ
GSG4aeIW72YcdUEBnQheSFYCwgAVvewa5o8kRe4Rur+OyVlZArDKQAUSKAgY3bdxgxlfDd3wgMc9
GyZip7t7lYEab4MzhsdLOLifFtdCNch3vy7vGjgOg5++TKZNWvvP0KgXLwJwPbSwMpEDsysyy34n
8Dl5yb059ziQsJJZAQqILFfMTPOjMgUjqmChi20qgrH8nEAQl3CYMT2nBsgI0Rh74XagFlllJASF
jiEkqJlKFS71Q9qgRnP85DpE+uJESEjNziEduSOakx08OxhULTuZ6FOCu9azf+Zl2eK6D/g2qM++
69H9l/ntw6yWMTUKgzx2AjoivE4185Rh+JkQN88eEeeJsK+V37BNn9YhZAiLNQmMac3u1cIb1NbJ
P12VSCX5yoNuupC6sR2RqzHtP0xIr9uE5AQeEaP130DFv4uGXCx8YQp5Z+EES+qiuCs190Uxufdz
j9a2LdnTt+UO9ZSxbiZWJymb6BIR911jqRL/BpjprEg4D0uQN7DbhfjOownpYRDuvanbG0l7CgwO
ZilIjy7m8UGMObgjTaVW/AjfNe7Lio2ZO2AGViV60SwiP7APNJmDFdYNQ8/vrWHdmlwfqg4HraTA
bfQfpo1bXLFmZeZO0FOAlidvemIYVICcpd9hCcUzlctfe8KwNnnis0ERTwnoFnfLw+HT56B4QLYw
AhMpe4abpsX8gGPyNpea2EDvHlEJ/oM4eWgWpJhZswEzhovdVzerY9TOWAC0Q3saRsghQyGP3Db0
KRMi6sFlzzDI7AJ0zAMgAbp9LuZvoaoHWfq3KmUwX9f8zqj/rmlR3cuo3NsV4daevtpOfBRkqTtt
9qpBMgxYiQqi1pAGBB8O07CGkl0PAuBXQp/s25CBc9fFaobznmy/JarBhPlmtXzuaQ0dYDKqw5wj
QheeQpZvnROjeAqi+itAJT94BqYIC08dGC4XgBdxWq5FdnCe0GSY+T8wxOs5+/M1X6nwjwDKbuNQ
fjE9eCQIYp/mXM59+gMTydp2no3cDLAfOyRG29wnAYuKJHcOKZf33RB82UCaHUgFDSYtz6n+ubb5
3mXzkUnk1RmrXdTGz5U/bwM5kqgqmHdFvY89LTpmuUFFJHCqg6giTGQVpu2zU+snyykeagWEkmoV
VQqhxSjH0pkodkwBI3qPgOszk/Zn2kfrOnee0gbl80SlMIGFSrMBZR3K1NEkO88n+9DEIurL+lkm
wUsuoVP7VfBsG9YLEQ+/A6OOUfuQU6FFePEBiMe9O/VwzPzu2DjGYeTlj/LiPqqaM6upjW/gc/XE
ZQj9lW/iPjfafZjAvUs5vymssaTSRrv2e24DO2knbK7TsA4TmrnewciN5s50E4h4KbZpCwJiWJHH
LsJ9puKTNLKHSZpvWUk8nDa3xB9ApFpwiGBcLY8psIvMoOqbS9BhVAUfmJjpevAeTHiII/MfRy5B
DEZz7QK148rfxqN7aKzj4DgmoJHcPrsmxLYyfiQ6elr1ZFW1ZbeVY06mFlNNlKnmhAbNQYE7jA2Z
ElO6nSyHABq9GfP63spYe/PXJKE1fuxyWJahZWwwf2ZEeMG4lCOdQzSA0J67BdtFCFrBjHkewMDU
BoNP6pUJwfmkxLOFwmcy0/tGgy0uI8QWglqwIhvZoQNcywl6XybmY9+YNyedD6VJ8s5korbRWUNM
pvPTd/6lbbrn0QTBqkvjQ2rr3S/oA+sFEj6gLHUVnq9AZxypFYrvMVF7Xc7bRrGwlUmxDzETjkVk
b4fGnddFHL+0vsTxxjEv4TSE40s65S+WJk+EXT2HkC8W2gynlFbdwYmtzyGlJwP5+5BQlW/NIdjO
HESusKkCIDoxl1Abhb/gTpvZt4rcn/+n/HJ+TywyY6NZ/EWB+1wZgd4ogbWUGMyDn48nYvrOWTJ/
+UaIyGX2X/wCr3rbxEfyVXcjZFJuPkxQI5QzFXtvnT99VnN0Zca3y0mNrIduH9OrIazsniAdhWBM
w3VXliMsephHBqZlZVU32y1eRNGbqBH7T6a5xX5Jmu+bwUB1NRyihsN08JfeOkXa0Y7MtCAXs3lh
lFtkBSZFo0Izt9DrynlVyXDT2sOzKlLM4ymsiL5l72SXGArjwrpREy85c9VT4TrsbZEzaeuUDP5b
P2FxDLNsWKLVONta86nRLV9gDEusisqzm/kXOx+cFQUFUR3jwLJiwicDWtMw2NB6PV1Euphga8u8
xUHZ3A8+kHH+5J/BYrdb++6r27OfNAfq15ZO/04E6rWAQREMEAX0yIdgCNFsTdJZgywnDHlo/4kC
O/aAAwZADyAbv6u/UYk8J8Zkr0U9QnGUN9EPn2VaoQEz6bftKN5HQ8YwqTw1MbKLBJX7TEZh8dCF
9Y9tU8JkEud3oIazNp0PHtRvqlzN4qcGjcSvRkvB1zr6Ew4EB8hglTD9g4TwnNidd3GQwuOfygXX
fw4OzUtDVGUJUCeZexCcO6M3hofCjKndxzBmd8gYPSnApZTlrmTamyTZXw9qTpDnVXQdWQzkBgHK
NCoWTB7EZ58s7nOkXkl+3Dh+cNT9d8P0ImRwi502Can/0k8g9mybUpaUnyBmrhG53EFJ/zpz9Aq6
967TLHFKHpMo2pYVFuZcnY1u+vJIQMu8CsB8x57uITCNy6iHrdGpB5HiXkF/FPGF8XOeAt0+GrVz
Bym/0tNK9+Z1mvqT6w1Qpr8gZ62NRbrBEnuW3pcdFffEB+8qTPE92QIDwtu1Q9rEUcdmsavR0pE6
2n43uv6lKMbhZ5HJ0uMn23QJrEod6/I41i7rUYBMftDVpxE352NvIjCxNXgyZkoIIICLN5U7Hb02
T2+1W1cYiBWarJz80ugxm8HjgvNvK6a1hBK4hMd2C7xj5IBpca24NJyxEdyMMsQDrORfMbPzymB7
NJBRgFzhOZpuFpIzlFqsVvlI70e6Gf9SLZL7T04fo9gVAGead3dYd/WlnS9mu8hPaCKcfUrweYZK
aQVWr093Xi42kExXaf8E0j9mky7ZptQvs3dw9LvlH2pF7EKhNn5TrkP1pSL4o2IrAWiPJEF50R7Y
5NrMik2o4QMEa4TDA1ZgEn4679Efrh0qBf2JK5NdCVufu2p4xZTKADJpt/DRqu4M0spSIN73M+u4
JTpjYf/zDCF43Us8AqxO4/LJmligolJdUhIuRb+jacfzm6EKKaO3CBp26KLHvo1643dw0GD3zIAW
4PmoHM8sMs7kQsGY0+9bznmqvhK8VXEY0G7+CeCTBAowDvqN8BL1fbFK0de5VvLAaJNXlq6f09Rj
zxfw+FpRukob1uSCa6Ll3RXtJUf25+I4TPgzE2wCIFFQszH0Bbv51bPbIp2wvbcaaMXqUAd8HtCn
P2Pr2Io3NvVEgonwZF0xjq7ZXjN/J3uV1f1KersC4qkdQwXGFBgdFEhzGDjJ2+S6+7FBiHYnP/l6
zJoAZH+jEFzSwqGFP41Mxm0uUVZ8dFoqeViW/3X9WpEcELOZZsuoiOxV1IeEZQB6Z9d2yMtNYqNO
ol6h8cbdwqXTL4PnVYnK1yheYTqbvAtElvnNRxwfeYy7dsfkhOQzpz+O/RbNz13DBi2+E9RKZfW7
fLb6VJX3jrnAtFT1UaYHq33UUEI67BsJE65VPbIeqVZeee7zx9gcV2iwzN+GgS7oA2k9EHJhdN/j
jObjoodrBtpW7pzIIKFsR5NxZ/7zaOJdhsKmt1fNtkfHky5bHiTK2cUrb/jcAoCCtLQx3NeSwAvN
j37L0DO0yXHZ02NeRT5bOq91e5vq3yrDTDL+VqQe+DQWAfMeosUavsKsOrTphc6swZYQBggPQOmD
vizLO5v5C/0OspPilE7DzYTDqBJxdGkKcMhwDWJOOPn8RvNTnZ/KACkpLQPwoJq/B3wCD7+w+4aZ
frZvjQ/j4FVjgxSbKjiI7tC0P13+MOvbbJ2wfyAP5a2IqN5uwJ6IUyiYuYl6bU6cwSHs0RlmYv4s
CaAA9cECkekRxh8PuMUX5gYdv1IRL3PweT/YmyRajwrB935ud2NEJdOjzr4bKuMOkwpdKnr33SLM
YuuRu9wNPH1lwlwZ+aJcS80s/wYDwoJe3n+F6ZPrnQpT4le09+WCzLBLXDDdxmdzqS99+iHyfDcv
UH6zuyOoA62M1P/bWpdYXrrvQpwrOFB1cG6Wx495irs21Z9lXBN1M8YPPJIFjlWUCMDYdhzqhHxk
8VdW72vrhbmgw0Ey2jxLIAKyR/5t7Xr4XxRCRxo4rB3Z2UggxDb3RUj++tpgrVTRKbu9vw00apSN
icJUfDl9+FTIXefwA7D4TTaAa6oOXHcsnu6S6TKxlKIN2+gYEV0PLr16wm+7rg0cGDZLpISsKY8M
x50zfkAi2QIMWPm43yKHAsall3xsnKtKNlGwS4EwzPJqjYeeqce8JLXplxCVbDs33J97VyxLjw8u
3jj7iv1tPcIXrF61/aoQeInnIltoEngcVoVf3dWRSxv8DQ0t6bcp4E+3PbncMQvRjFhZ9A7WHsIH
+TVSbCR8MAkkgt5xSsCswOf39626JPItYZ4gYctk+YW1GAqTo5hhmRoPHRfy2JF0Za/79gdcqN2e
xvjMAjtTqJQ23YAAPmE5s2p5QotrjO6a61EG/5rxPp7+aesLZGqNNlcxacnG+1zdhkGirN2nixN2
PNYTsL34MnbNNaruq2Fekei2y1Jg+rAYw3ObvEXxvwBPw5h+RLxWHFs9sAmjuu/kDthAH7+g57Ef
UueRlJuAvzkQoEBtTfyFEZ9PY71Z5p9BJTOvA+udFta2tp48GeMDZEk0B8W4nXI8Mo8DisCB44hX
jGjLKXuTEeNCkt/GR6+kpuUTyQ41bRWpIrmGYPPWLBcGk19mo3cZz7cKt9R4B4eooXhfIdGZLvXw
YjKOd74FBq24I7f0CQL+ndUs8IIcYEMVXCP9WE5bh4o9BFwHP9h618Q3sSBvJEpPROTOEZdL0dw3
KAAFAEBgpF27z7EmF3PAsX6MzVPr/DTi0xOHnjiMlHw7x2bzsjE/Nc4YA3WjPpjJPxOMTFdchX6d
hYX7CXCNw+WB24Xda8lbYROcGbcHTT6sEMFbNhG2ASwznfeeCzaaIS2lcxytTfs1VXAIjo2vN4P1
mguJuOxQuu+tfqzIKjHeSyQ2Ie15Q/gamrSeKJ1p4UHcj4ggccuXkgSXm5Nkawu6pRseBS8vrCAa
tbXFBZN3l1CiiWLYxdFSbGXQ7HQJyJ4nLrkt0goeTxlZGBP2C0uqg+PIGBB7ejUgacbrAOi4ONb0
5DL+IF5N5UcPIGea3tLgpTJRcRkvsl9GVkxv44DIlasB4oE1OvyCPXskDt5Px8iBaVmo+M9N8jwW
717w2jWshfYWSzmfg8wZuHeHT4dJegF6H2sH3U5FUXl28woBUrcmFG7b+s0KMSInA1TL6b6berYx
1a7N2IZujSA6aGvaTkxu6Upp9d8Vz2Ez7kG272Zd7IbyYtuYh62LXzp7LYCAW/vWRrgDbD7d2977
wttPodehH2u8dzNLNsgXVxo1LG7cmTBFX7Gz7H5M/+JggUGezsAJ1TwWX+4/HFIN0AMwaJ3/JKKv
VuLYwogZJBA4RhzADYBCnNeLGModXj04TkPs7aWqb8qMP0MSc/xa8vAsRjO0TegITCTjvk8IErvg
UCn88fJOd8GZLSfxFuNR1OKp7RmUB7g58sWvkbjJAe7FLiZ5zkxQFgNJgcj7gWKX1q+AD2qU4G1V
6HB2O2uH3YZBDHzM1ZMP+aZxF1Ma0Veja1Rn1SgJnTJEzxJkz+hDAPECgyoMuUq8YN8u8qIyjp/Q
LLM3RethJThgA283wWnAd65PhgOUbly4B4KF8aoOrZ0TervcDwk0C9Nf9F23SvEA+W0eHTqnfp5q
pG4BU+HHztHhQcZwgacoINC+Gou1SLrqLW1rDFsTdHbErRO1VtAl32Pw/wQE+kg9BfdD4B1Gq1r4
hzMGa4c3wLJ5oyvyI7Qzx9DgO+cQleLR86JsHxZdfew8RGuTLhGSOsZZ1e6bb5ojyCIeuaGoGLFF
rskpDr8c4oC++Py6d9ngvhGVzJLRG+ytOzrhKzIHFgtWC0J1ZCcLAZH5jXecC6j+6CSp5+bxEggM
O0Vlecun+TgouzsZIqpXnk38lDdgo3eleWHISz81n3O8DoHVUG0M0ymh0MsLiVnGf7ACBokxpdVK
NvipWSzuK6zEbWp8WRYuyo77A+EAHWq1MhrprouaRY1i+1HYvLIy6QYG+dBFOqB/LuEpYAYyNR1L
H0zn5Pz4Ap06sEyu2RavuK6t3Sgda4/sZD8mSzRRenQcDxBRMGKtsPn71EV/Ga3sLWF4gtfXP8w0
OxMC/cms2eHhDJsW6iFXrWZDrnzAk023ZBlkLKkqKI2G65JjQS4BBikf08oEND6M0z/UuKQCk+La
OTdJEqdIITEnLQizkpS1CUG50zE8UR+J7d96tH8xFoS17vtdW3m/5Zz9RDX7EX43Njoj9BMtvsYY
e5/NkqBsja+2Xezh4p9Mo9/YEi/KAYcSUNpb4pyT+9WhFdCyAXinzqmdHNqYb1wUl8KP19UYk0bJ
GTdbh5bCPrf9V8Q7SB+D8sx+S7Jhx9HTFgcch9veoy33o30KHjhJ8VOTzGa7GlOnPlqe3lmG8VoM
aCWR/yA+S9ZpA9ixxUAxu3hL3PJCcwwRzk2vRUOCedY+J5p+SQcwViAOCk0DIz/zULSgUUzc6G3o
WSQGmx60Arnr/WkwfmHSjBg0HF06w7dhJbb7FWXIUv+ZfVd37NZA/1sGyVi5QfDjgKEBkqcl8oxV
RKn6kqJLuarM5DZqbMVN0op6BrPE9cxqNraqnAWXDkApMcwgaIW8RI/yEa9fFFdCPsTKd4ACt0UI
unBllWVgky+pIWtwn3pNhRaWvPmGcRZXmsoZfs3FIsJuJF/bHcC7hshj7LKNzUpzZjf9PSU0On8G
yktCHLxZSwKkbNGH/XvI/7uMBgIz6rxb3XsFrK4izdlZof0NO4oGUUyV/xGHLkIGhmBeXD/Q6/Zw
RJWvM84GDwjVsuTp+KrsdWaLloYfuChNQ8tOgpnIPJuMg5gqSe4V1bOgPA1Z0Zf5uvYKZ6D0iCj0
z9oi+htUm9db1Uq7ESkVQxzYRycb0oJbaGBHsda+VcCiw0EXk1mMuLakJc2QM+afOmDEPK1KI1aM
xzLkS+F36LCPKDaY6Wxm+QlZw9xMRZfknbeO8jHUhBE5IfJcYB8RYQEqDmenRijYD9Ye7KSiH/DC
inyNleezFSx48JB3wlRoA0Cw1TSqv7mWpvxUFpQP9HJGGmcTasqmh9Jt53PgmfcIzMbkwwcfRnSi
GFWMEbAM4igSAIwjm5WgEcZj/tt0tQuzXxtpNJ6NrM/kgz114dJ0p7VP4ZnzkxAvZ7OzhJREo9tU
n1mKkA91ihshrS4nD0m/msXA2puMByamd7Y0fYed21Cki6Q98dKnzMJJh3fCBxPRbfC3BRNdfDIV
EzwV07eBCEayToHlUuTEFy+oQpDRfWBkrEBHDg+mf37S/I1umpODKho1AZeLI3NCpOq0k0Vchp9x
+g0biPO+++xZEhcSuwE/sQmGtSY/sFZt3xYUC2WQ22JGaVBU44PnUV8iOzBNB3M9+tc83+bxNPPt
4YP3wvHZLqt8mfs6ox++t32aYLiD4DYl/xLPT7Giam7W7sdFUYnRjLOjPUy9mBYvqw4ak4WajqgN
N16MnSMeCLtnOenhl2RGKPs+08g12JYmct+W2MmHoyeFIkVrilOPbXIn3AQAYwGNJZPQ463AIhfG
0NIU2y6o1PjqYOfASpvaaeaiQ7Iqz6O0GVGeChTgATFsaIESTnk5N+EYR/u6zMMe/FDU9qinNUsa
9IluZcYbfsXG38t6rlm3tK5YtDwFJtSoB2my4PgjBFaAebqyoSnF+KMoG9u26SHrNWjx2Qt5Mphe
C19HWpxK3aXluNFiiHx9NiwnL9x1F0eNxq6TWwsWNJxyu/rq/S6aE4BPurY/ZNZrpK6mYRQGE2IQ
g5m95o2LGIQgLmh7fyOTJpFPWoZh3m3qUCvDuuaQxdFwCuwB3Z/JdL8rnkqXjWP5a2sRobdNeUJm
oPpGUjJTaOPEz7/s0M7M83+knVmS3DiWrreSls/NagIECfJaVz2EDzGPUmh6oSmkEOd55o56Hb2x
+1FZ3S13D3O/qptmlVapkAQSBA4OzvmHIAlVRZ23sHPwYUMFCxoNHFEoqP6ToTNvcfRtnO6DnwyJ
nM6TepDeCFykCkEfkzb01MxKSH+KyGyUzr3v1UpemVmV46Qo+ZTvR6svuNLCPeOlNdBbeolBE7AY
sigOqk+ghFhpqwqAYH/rg34Bf9YmW6Re9PvAtLFIGhV90MfQDDGymGado7rfS1SSiaEgl7zJW1LM
sKP+B3osu847F9Q7MDu3f5UqtfH61LjNjh+nZixx6vXaSXJJ6uaqFj9opwfzLe/GUojnIIkeUXks
1I1li6VqgPoIB3hsxnNyHqaRsG7sseZYrwjj8Axjh/tQ1XLH2lBfdONbQ7lLJbCuPeOmpys7XyJx
3KJmyB+e3s1tlD7xiaP4OvJqu3/RQo7zpVlEKQpdoYCwhNK54z9OFBY0eIhW5BfW3GUewiJt7nXn
KkhNVNNSgwuunrMIxcWyDR3qrWPsVk+QyQxUDt0iNyOKYXNd9RcAI70WbdoY4hBUeRodH5o2b+CV
GuAevQ0FUxWuVVvPrslBAj3uizeXVE9ZwhY1BmmB9qYiMc3xD21n2QADKgqi+h244IxK4uQbuEcF
MnGrT0OjIrJpvpFBLaQO5gG+ZOr7oFiCPBgi+kbgFC6yEX9zKOTFzNqhjrng63RbkNBg52anMSP4
c5H2VwnqNL7A07WnQoa4c9D49OhT0xlvtUct+4pNUTr0LvoaFi8pNrg+sqvJnr4ZVY8LfOAZH2qQ
e4D04rib9bWh8kTRfUjyNEY6yRsDMM3jOCF0jyYD+m2bIPIrOqQlGkAs6Wmj6OChZhkg8eemM7fG
wpvKKAQ14gYeYiMVthTFqJXf4KyuDERbszrqIkAiRZ8iR5Q6YXI+Cpf+d2YTzLYWTlz63IXOYbyM
XRJQhRtonZ+3OS6BN0ZYQMW3sgnrEU4iEJxuXiJkqRGx8G8MT9E3N023C795sMQ72i9h759XRiCn
a0BZffOMlUgCuatOcpT1oDKO4KQs6RM8DI7nhynJFNJLAiNQildFkhPlSplgdh223y0W9K1sqkJ8
D/OmJtOqbZlRvLHszuwQbXKLbFspEzKYEYMyoS3HNex29pAdeGj6xhXX5WAMxAvWbHWZW1Wlrqtg
9kuqHIFop1ffr3V6EVnzREkm53BcS9dgR9V+24AyTFpVYxPSkssaas7j57DO8vaZrVrEq6ExcGxz
I9ENd0TsKb4CSOETq0d7nG/alj0uRl0G66bV0F6hqXTv81qh7JO4ySgx5HERJBtdJ8KAkA4Qvrhd
WLD2DMRd7fJqGAfMXzP6UeENzdGuhTBYoF4OahFwjpPY0XBl2WSKZ6OtdHhr5hVtmoGSZb+pe7r6
W+Wb5nehnHk523pXPQjfT8DWlz1YHvTUnIDLXikwKBpyKpqtmdX66xzJBNZHrof+kSJs6p1nSmuQ
rFq3xKY6cUG1FYY3pJcouHVqY7NZ1CqxS8LiMFqFzTIsEE6sZC3RvZ+ShMTNa+W30Kn7771XtDxO
aOEJIKbeQ9MlH8QdLxPfK6nCCjsogvzaaAf6JpMGa4cFW23E4DOGhGJ6gvYQ9cLZoDynWjSIJ4D7
2AWFHu69EtTWmR5mKLKpqQEDgpMOQHo66Cxd8UkqKGZFObhLgdSJ75TORntVIgqNlWfrtC9JoxSt
PgSiFm8ON0spBonYO3erDkyaQW9cPMlIjuAUnMRTT3M002UVAujUfYIIy70s/fgzfBHEVaw2DlCm
r7IJRIfERsYGO/6lcurpUfsupCvRJMGV9jXV7oCAAmQNbD51XqsqcFUKNK7rVYEctw+39qVoZJKu
Rlnk/Hvqp+9A40kwGqD3yTaGmPfZlL791RMjxH0ay/jtJtUQQS0JCFTIEsjuBVEyFyGNLARQOlFI
+jTRVn1CHbH6FqUlJjt2mYdw6uqoAGZGaonAvoo7dHVAfGLYq5wQp03AstGFJRS6nIanJVqTKCm8
q01nxrquhVWHKhKKc0vOziowbEulVCddBBmNejCm9USU4S9uhgypHCtpAQk0XkGhkTg+bcZOYE/S
QmbPIfpo/ISD2pQcSIYLg5HB82CTC4GOQSQ9G6F5yBTmBn4nGqtTGNGXaYYYQ3oHRQiYjtrMe+p4
dft+NIBMbbJMo0sNy8c2tkRzx72JyW+HVWwHuXcZBnb7HcH+Psf2G64ZtMPJ5mrEujI4qRV4VCME
tYBQVX5VZq5GJBpxXXTjhsQJn0heFFo2aW+hD1xILJcDZSPUAuJJY1WZhOgQwkwkt7FNaqTbqU/N
6hl9pbzdtlzDkk8syLy5h2OUR2tPGSbo33DM6gvXGIz6q1MMeKi6UzOEX+qugzgrEBKPvqdBSb+8
6AS4HfTOJpnjl4FcV/LgIZzGmp/B7SqXdKWHySISp3Iv0Fyd0g8eIKyEc6t0+puW1tVwOfpmEX/j
+ExZJPOETA3Qtz6kYUpGYPg3feSAJODCo4uetLBGOo2qDri/nirZIs0tpvlhVBjw4lM4TyNSuE1c
bHvHluWjW2ttYTPgjdyE0OvSCZfgCKZbX2nnh5zLeCbF1ihKs87D5sJHryf6XoomJz+oIgPvgLDE
7MtTEfD5JHNB/rf5zK007o30aehLA1zZVAhwa9Id7XsMJvR4jvpZ9pT0jtRPymoByCJ5HXwlH5zr
TU9nQ12kvXKC5wC1UHxtWtMs6e2EVU5YGEc/9hEWU8UQnfeA61CG7GoHxQYvHW7tou+ijSrDIrsD
2UphNIIkeVmnoyjZ5Zqiud3ZaOr2VZYk19VQ6/Y8ApQyXJhjnoSAfoMMWlqwxK25K3IkzWa9mCWk
Y1J4q7S2Bn9TcsaFHzW4QA8an8rozyaGV3bPYFEa0vYAfgdtmLGeWhClSiN8jJ4McrnKosH5b34U
Qbgsifmwt9YEULq73yr9TjWLgmS36uG3BKgwqhI+VgK9ql5SfBtwRpiCVWhbqvl1pc9q2uJmMaII
TeFmTj5UbOMODFcagpkD8eCpcfXnH//+j//4Nv6f4LV4KNIpKPI/8i57gKrTNn//U/35R/nXr15+
//ufjnZt6bpSW45UlilsbfHzb1+fojzgN4t/QwmjS8sQXnSKLCYqLbYIo3WW+K11dnwgfWKg5UF+
GSgW4RQANStARSbkqq1Isf5pzJFSXJEUNe6t3EwkfoRNEd8cH9qx3xpbaU8vbyq09nbHdkmQgtrj
UBXO0FD+M4xtafhoNeQu3rQhjiVcBxaRjwQjJ0p+FOzlSo+edZmqPtmGusRZkqVBPUV9cNkqD6wg
MvEBrrEn7PiqA0wX5IXeTFwjQftiE+h0CA0aWt+TNV/TpHmuWvXOKLlVonQJJBXBZnL0H30ec9PQ
IHvyxCDHT/pFp+9DFjkonHN5F0kuuC/DbZujoL8qFf13SurEujF5ibvyXVwML0IjpEkuDnoeLXIL
tmQ6WniPh6CvHCip7UNkZa9N6m2TPAEGUuHDZ0OljmLzsQvrh6SxPxKb8Fqzmqfjcy/M43Pvit25
p85gONPy1LFbeMg6+sGA22QIwIcVnSONAPjpR0jGKOhSJLECs4OQ+TlFVTbc8WdxDh6FJW55XJ2V
ZbtkZbuPkrUj+kkpVdXSjBZFyda8LS0zPsdHJL9GirC/PD7e4bKzbNNVUpvadTzHW7bEL0veo+tA
AYD2i6jQa8Mt4b0xYjMxxNreHh/pjTdjJK1NB5KRa/7cAL+M1I+BNg0ye8AUff1K1QhFjoY7S977
JsXwKnh/fDwhD6dS2w5SMNqTlmXK5dV/GbCqo6ox0K8+G6t+ms6gzL8AnUbSpu4gyAT8iq1gZnBZ
OcPeeXwP/Y9Ihq7ZKhBzdeppljW0G8QsTjVLUaoXtkApavdpak7VMLUwcrORIT+z/PZHYaVwCEpI
2Bxw32pIFj98E7XWPBDmRdwg/1RwvzkRS9/4CtpFXs9BcFdLae99736qbG4nkGaV0bif02aEydsq
bXG9RTUQGwzD8vwTX/6NNUZus5AxtS20rZft98uHqIOxjClZWivfnCLjfTRqKPE118XyZcDhZHo9
/uGXSLk/0/SLtecQSC1P7kVxr25i6Kc03qMubK6tLAShGAYlwMUCyk+H4L8XQino0UN4hD8vH44P
/0Y0sSjSA3c2aclpz9z70kYn3axt4U5CRBOvrnYLwF8co2VvmxsbkP55E4zJegQ5vlSBZH6ZgDTc
HH+KN74zD6Gk5yiWHEfK7pxjECsF6SY4U1CutCUdqteiGOceVd+CwlgEf+r3R3RMMkXPI3SBV94b
UdJOzWn3o0BcT+eWGiX25Kj0Gn7X3SN05J14wzdWlUtuIBlOoqkm9w7MHgwmGFviicxoLhV9XF57
0Dc+mvzyl+OvdpgXUAwnZDm24JgiPu++WpjkThlbZAFNLbpv8VCL91wTrXPUhsG6qeK7R//j4/Ex
hXu4jJlMkJvSEbQX9pcRPSSyQYuEgP5oex3GqJxZCOpv00XO1ouS8RwkMLyjefqkQ/rQXu215/YC
XzNtuu8zPSDAlqjHIzDoXA1q+hGFAbJCXumcyF3eiLTKNCUeSVpYLj3yvfOzDZwGyBp5Ey2qCU+K
goPg1hYS3Zu54zZ0VhtV2aMEqJv6PClncCi9QycBKGWEE1MZVyAIFeJXL8fn8HCJgIdXjpSe5Biw
979b7o9jCvMZ9r85WPftnImPHQXys1A744n4vgSV3aADyJqgKjlKldDO3hR4XcwduWU1MgFTsw7T
GDSinNquOXFgHy4L21HINtlSQbzhON1di7XXI9AEKI82cUM7q6qA4E8ZlcuYDA2lm6nbZhzo93UH
jvp3p3N36L3AGhlRHbqVwQ27ktE25fCAgUNJMNZGefHbQ2npcPZqMgYylL0YKq2hq7k/L/XYFBzz
2MaPwndjwCJ+fOJ0OtzcNrNosXxtm7Wi9r4cAkcOpyB449wqNMSgcTQ/D7TBnk13hBlCMRZBpawO
Q/NEqvfGtllGdpZjGIFqZ395WoUjwVCYSGGgRuy58jEcuEyLxrnWi2bmiG1nMr/MVeVv7AKsOVX0
CsTG8ZkWb7///z7F3led7Tob8mAukf2bgquoq+bLUefIQY01oru27W3stGnOsXesUXVSiI+ZfvIk
+GZUBrwASxoH4pxv0w2e+xIxgQmCr4OM0G9/J+Ig21nSBTRtkqndhU/qyCajdnfWNwIPjHJWD9mI
2Dw2F+N1pRvSuDQEw3Nieg7zNoa1OUjx4XAlFaHdYZ3BKMywA9JaOqWGsgY0zzozMt98UNg4PNm1
aF+KUsQxwhUwuwGO5wn6C3BFETX1Yu/EojlMbhxB6gagxGWGD1YrnYI8bm1IYI14D7ejuibLhRDK
PzBKcugALjDTqaPJrwf4cCcmYznodqPc7uh7k1GVXTf7CyMM2/MPdjXGN00pm6f6uiunAZeZtUUq
s9KJrDegGQQYLBLYJJwyNDJOJviHC9eRlAPIorTgdHaX/P+XtLIDHB1RN2AqohZcajWaLFLYClPQ
nptwU5p1PLY0zI/PwWH8ZVSLhe7ZDvLa3l78dTsvNKJFZbSdffPaXQBufn3nGuBNHWF292ODEU5m
6fTE3B+Oy52Qxjj/W1a/uTcusgd2iZ91hRIl3CCqup5GlSMENdR9ayuNtGGf+2GwwvNKlV+gf8Cy
Pf7mh/NNHVchegpHUzmu3M+CnGE2qgE7Z5UM8pxOSPOuc9Hq0H6LL6Zd0jaxez2ciE9L+NlZcg6p
heMKixux8g5ucVjsCs9q+mhdcX5/AOvWbanmFSdSmGXh7o+yJMuANYRN52nvEOh6H5Ad1hlAOyvh
XHtTgnR1HLgIAcMWDZzr35xKXkq5LqcOB4Cy9fKxf1m6xRQOBc15qlhDj/fLQg4Ms5gedj85t2No
f5MzSvHHxzxYQIxJzsVl33a5GNl7cd7oBupBAbZzCSivewmCgtUDdAsZOPM666X3Ax2u4MbQXfxy
fOSDu8jeyHtRw1EFSBpEFNbhSHmDJoQZuqiN2W6xMhYAAvRAAzrl8UHfel2H25+gBOAxzfvHhW0H
k5QA9EJ6MWfUddAwmVrgIrM/JI8ZSh2XXZUQPYY2tPXq+OBvLFpJhUOQfnLbV97ecqJ4hk5a22bo
oTaok1Yqu4OZBTDp+DBvrFppkW8TFHhBz92bWLrf0H+tCenbSFt3lAzVWk0mhuTB2J44fU8NtXzj
X1asj3QAiigdQvFRht2lqH3Ql6GECurP34+/1RuTR3jh5iy5SgLr2XurUoY12uG0+oK4NW9o7OmL
3nPF+vgob7yQ7XCI2hqmMgf7XjztVGmlbc8odbNY9+hp6K7gJpbovgFj+v2xtAL1xt3AZEXsbXcv
bCSHpkvkFDpDDnahoNlpe6WrfDoRWd7Ya46JgwcZC9VD8pXd79SZUWO22qu5qlozuHBlUgCLJ+yG
zoCKkUGOcxjeHX+9w4oHfH9LeZJ0fblleXsngzCFbNw8wzagdSxUNGcDOWdaiHD1rU3Rg2SEvIpM
DprjF5T31YdsNJPzEw9x+EEttABcUwjhCpeUbffN/cydp6gAfzxkdQwK2bHLW5R8oEaopLgZbMv4
6oCX/QSYYbyFDGo+qakp7zsHSlASg2UGX6ZApmTeLfCJ/On44x1+F+jj3Gc8dABMx1N7izqyzM7y
0Lldu4Sj/tIqrHz8woKReOAgEW5JhI1kcurwfGtUam5gY5cykNq/mJet06MMR8xP4cNgn23GLvJJ
RZYtYmagWRobH+AC/tbvvywry7FsXF5cKgO7n2IQQZDQig1R7LVkdavMuAg/4x41B3dpF2XxOdVQ
LU+swsOwYTG/xAyhBKBqtTfoHNiAX5HoWGe9DfuN/vFwKaBVJic280EaRJnD5OyWSxWb5b63znqq
aCPKt8G6RbmQtGsYgXit52bGvm0lqhzj3FXUUCMa10ZPl/fE0fJzB++mKuS7jskit1lJBzcAfEHi
KVKoTFSiGQAR49sU1TksxJnliwvhwh1DLNFvBIIZ86JEhE4EAiTk4yce5Y0dR9oNtVpR6CQb3guh
aVka1fIwaySiELX3DR/2pI+WJJin/8+h9op9tIdT3dGhoZvchI9ZgSE5wA7nog6V8fH44n3rrSxO
HpQtqNJzgdhdvFJPINZyGk1D3aOq3CUoZsRdbsOD4H554hT6eX3c+5qu5VoW4yylPntvDkEtlQOl
ReCcubyyUENbzyN49rLHBA8JScg3oCWvW2noB48VfaMAOwKvs+ElGC5KjUVZP3YLT791S/3725hd
DDScr0zVfv+qg9sXGrh1hL1dXSO6blnpdDshZnMjuxafj6hHuvu35p45IJ1hMSmmhNnfb5IEBSYe
QO+wN+zLalsARbiyEi/aSBdIwPGhfu7TX2b+r7EIyUtLgiPLsna/8wDRXooQZqqLmaET+jS/HCSA
hT2ytJprPcI/F2KNEp+EC+Ktkb9EHdkdMSUM+2vh/m4X8ucD0TYQlnKWrGf/DpJgVREFzSL/jdT9
eQrM/1G6FR42MVpUfdqU5zrqjYuyJWqDUM6xyDw5K3vB7a9noMjBOQ7W2nX39pmyUn69p/3odzbZ
5AT3llOzmW0kV0uP4o7nLNLGpvadE99j76j6a2SgXTQPlOCaspe42GpEKssOKecLtLfOEuRvm1VK
K60FIKbEK+kF7ZLja+Ctt6XxyeFoSap/1vLzX5LaDLeYwtCQKcbKLePr2kz97LwOsC9a4QmX49M3
ots45/iqHx94L8YsL0vlQFLWl5JisbkXYyZe34cCQNfVz1Far8ao2mCENOILnAThu98dTJlLaZPu
Lhmv2H/LCLSVNzT0o7okS67zAE3xSfflZQBd4EQ4O5xQhuLG41CksGgw7p2NDrePPM8mbDiEr76Y
SeBf1NSrIW6502cZj/Ix8ZCz+u3PyIqhm0XiSwbKDX73M6oKKA3pMCANiyA6W+MnWRdPDszBjQfD
QfMw58endHmP3djBSqUf5Do02ZaSzO6IRpMZaDtkAKCyDlGGJPG6AoSEhfLu8YEOFwoDWaa2uA+x
Kfab5qXlggx2IRDJvsUIayrbNbrP42PYQR79F4aixkJtkdOckLj7TpOahZ30SOaYYso3ujRtSmkF
IFgw1//C9GlSqOWUNenN7+27eTDBTNv0Zcy66S9VkXWwUZ34xLp/6yO5HOKWxylOwrQ3Suf5UeyA
OoPTiojMqs+zKFspoMzdv/CRXJsLK53INzAUBrGc3B49XtCw9qcAN3TEamqywHwIn45/pMMoyUL+
Zai9JNebSaUrIJNnjeOOK/DJ/sabuxBvSbLtvlPh7fHx3phD7bG+BfHREqzD3UWRBL1vZwWkA517
KMJPtpcbW3dWgIeOD/QTeLC3pVxaWmxUFPngwewtP6Ew7+gnRJPCCXg44onTp6ZVn5qRylApY28V
UIr/2GTgc4wye1riJLpxI92JCNkpYLxommUhHmmWO17VUQ/6rfP6DcfYuOncwt0WNjpxgZ1WeB7j
Pl9x917rSn+BoAbvBtoB4taOCe15+CT6KET3NLhSo7AX9J1DcwhB6NQs8alKBX5noVjZZnidGB2m
KdZr6flY6bq3Xe39qNzEXHdA+q5LmbnXGG59KvtkEXGoqHqhyROYk70aTZnd5m2LOoZKrrwJ4WNp
1sHKnG2xqhqAtscneFntR+Z3P5mTKdJXczUgSxLj30N5Mn8XQ9VYV5n07iH8QloxTHkCEyCWr3Yw
KlVHTjrKH1Q6d9dP7KVwyEqTbmU/R8kKuDYpLdZG7UYBzd2ElszuxqHQax3G4UXSjeWie1+9n/u8
PS8L7i0mzBQY/zO8zjiw0qfEyzp0HMDMYO7pWg9pUWan5uqNqOuy4E2qMuRi1DV2n7psJ9edHCRc
imnwL8OB+yAUdEgqfWOjenb8wxxuadukCsPZ5YFj4PTcHWxuh5TGI1WaIZlNb216HUB9jdc3Sthp
BGzXLe3ZPbHd9m+RZCC7o8rdUYOGhKGlT0wgCYmNlMSRykQx7IJEWV6iBRpd4H0Ms1hYLRDbkA0x
SxmGq44m3ImHOZxu1oYA4gBcyyZ32JsBxIvxHlp4cn2FYwXsDTDw6CVsE7jVJ640bw5FI8UBZedQ
KNi7bpWqbuqwRP6s006L5lQVIqgvhNPG6Ow4zomSBLhNpnF3/ZN06SV4wX8hqO3Fa4wCwYXXtMwb
G5I6ytfnk9GghLui7M9/u5pizMe8/JRZuN21333UYsc+XBsBbuAa3R0MCzlM5gny5z1g1DOjliht
rHsXAZgB2H8EH+h9jSDNPLc406yq4AtAefa4ueoChPvTp25+cAtzW4+YAuTJBsoNENAUQHJ5aSFH
inILBguojlbApcQWSQkzuoDVs8qcu1aMiHhFKyqkN26zSM3cGAjaezAE7XUe0jpwcGlEgmAxHUEK
EZVOd6GVoYpbYxVSOqijjsjG+256M3RxdZWF42cDREtgfEFJPo3qlfBjovOXAEgcdEiseCH+dPZH
rIOGdqvDC/IPEh3xs7Jyk0DmFPduh2iSr9YzxUwnlqsCnRlEz9X03ndx4HgOkW5gv072Byg5aDM9
qx7ePM5oGbyU9ylmvnTJSvnUdZAz9NWAtfhQWWfVfI9nEaSaMy3uEmxuCuie4zNuITB2EdyCb4Db
nKYCEELYd/1vM2bTlvMDt8bZusO9bMYUOQSxkKA1QlSfy282taek/Zp05KIbDxX+DI2t3kYn2KxW
Rf6x9aor5SHalCT35LBnAvG6ObntsVHssm0OOQpUttIb7oOQe64SrJ29z43tnvFp0YRChBQHZ6Oj
4CMvpOVfdca5SrdJJ1ZufFPplYOsjH8X+s3dmJ4PyG4k9e1izBmz1eFGFMEzsry4jwksJs13Q3WN
4oXpvRRI6iXnqHciANRdhXiCtP01sP0At0qEyEXxNCp0zvoHvz8PvHYDmxMnjQeFGH4RIsUIWXjG
6/aDrNFRTN5Fw1dstXBaQfJEIEw2vAbzc9HeSFDsIMbJatsrJ3nCAslOH2Wy7XNst8kAGhROm+rL
SHiq45ca5GTVYtUSRRsblggNeQyw4ETMQA60B7t1RuZ+YQDclepSp8kqtNG+JYbnqYPwGtpL7Re7
u8PwIUNHJ4JrO06fZ++16DkH36XA4ZMkv6SPLPx7N/1iI6td5phKwoK3beM5zws0r0C/Q622k/EK
gdOLEuHW1jnzY6yKunhbOle99xiiNYEXCVxReL+TgjuCG2baXSCpixKDvak7c51yT2idhwTHvz5z
b4FH8iOSg1xt456v5Gw8/14Wa+gmJlI80niR/viA/sBG0CwT7E8gq+jpHT+IDnO93Vi1d+pZU4/v
ZIRCVdYPCC3l0bAWXu+eiIlvRUTaBbSrbGF6hxUGZ3LnPsBPPQaUFa/hJHTrMezDS9/0aGLh1zKL
D9Xg2c+//3YApzj3oLtyx9nLRDgOPBS+icR5i0ohcOP0Ai6ef398lJ+Ynf2AT+ZAxr/Uv63903y0
46Cpa5+b/WjfqDCFCmOtlGpuC2VhmqzbZOPAcv7u+nZwEzYNRhiYBc8wJc96xHJP3One+qRIP1qe
bYFIZbp3T3mj9mWcBly4CxlNN4GRIKJNI/ZEz2n5Ww7e2eHuo5dTlWLm7iiw04IhE0ytFQTlZe2N
8YVuR+SB07z+ilQGtMA67nENsTAdOj7fh+c5kHWTi/GCmnfR/dkduoFe25sFFIfIxyO7w3/tosxg
TWV+c+qGcpincYUTAMk9m24j9bHdoUwYydrHgfRMdTilhJ0a3s2x5TyMY4mkCp3l396OoCkXLC01
QW+Z293x3MhvxrlAgjMca1jD4TR6Nwgme6cKb4cbEnae4r6vl+4dhd7dcRbWjV3P4L/qTNzMIdx0
tBzKeT1GKGBh1pbfFCmH+PHvdrgwNTUii2xPsgGYzd1BbSoNQw9ZlIJqmF8Iv4bwWgfB5fFRDm8f
C+ac4p5Ha1DRstkdJZ5LB35UQHfXzp6RILjFBuhjBwJ+XSO6bRv6MxcivS6VOhEGDncE6HPSTGDD
NgBUe2/fQfn2uqaFRz5D9HsO01De9rZoaDGiI4cD97AN7TDcYtB6qhZ2auS9II5GvRU7ASNbNvTt
OkPAo/KxJYPsbF3EISagkET1hd943YlP+sb+AJe24DVR12Xa99ZRKefEcSLM1wToqS+tFXQX9A7w
HBSzFeeralrkc49/330EJbcYumDcHEDRUCEDCbb7gRHvMuJCt9VZmtBPtCLEoT1RhVdNjTH7CB9v
M9hp9MXK+mlFCdgFHaWwgR91sy6GNt8cf5zDneQKKplASanf0nvfu1zUyMqCxjN5Go9OrulX6aat
TNqAcO6ofb4POqc6Ef/2W+8/Z8ChQLO0d/lnv8glES3JJT5SsF6RdrPc88z4kFy7NMC71q3ugtbj
YCmkhX8wErHH3/dw8J+lQrYwxWyQuvuhgz6j0ejSQTgWzVC1cq3hKcn7ZxXPISxMx30IygmeDQjf
9JFSKjKVYmz7U1jhg1jCUwBoctVSxRfefuMfAKYWFFiQ3efgRczZCg38heOyq363GLYMRIGPkxSi
LLC03dWmuwBVhprOaw01M9h0qRM/dWnep+f/wrz+OtDesg7ggbrOgDZ6bPrNtpmKGpO4PvlWOFZ8
nTjoMHZ2hFrnNOFh6CBLO+RoDx5/iN3F7LJHaRUsH9ZVRE9wC7svS8kNl2yRLdrSFFzQSXLQzoLh
b9BYxrqSfZ1EJysBu5/y56BAtUhVhEM7mSL07qCeE9Y2IlMk/wJCYNKa4r2HfsTF8VfbTRoORtnP
0SAWm35hWeMZNeo4eqG91JWvKZjv9J0MMTd5/e3hKJrQEaH1ImheLo/zS5epUGzPIqims6oElHI+
sTnNK0fiaXtlsxvav97u33foss1P+uy3opzqCOe1vf/8x230rS6a4kf7H8sf+5/ftvuH/nFfvubv
2vr1tb39Wu7/zp0/yN//z/HXX9uvO/+xySkGTY/daz09vTZd2v43sXf5nf+vP/zj9eff8n4qX//+
57eiy9vlbwsQGPjznz9amMA/I+r/EIeXv/+fP7z7mvHn3v3Xf+b/9Z/B1/Tgz7x+bdq//0m39m9k
HFw5LBC8sAosvsTw+teP9N9AU8CBdF1SBuA5rLwcRm8Iwdj5G1cD+EUU6SD/0Nf68w+cGH7+SP6N
ohWQE/h0nHoU8P7877d/+CtB/uvDvE1z3mP8kKY7pAqskeV2QrnI2Tu7G4Esq9Ebj3hclXdCRM9j
ZeDmgm8RLC4pNmGP/h0IXBQ6S+w9QBuDAcHdCkEacSNdhGXsFCYtEvRKXfsUTs/iBhb48dW8tMZZ
sP+b7/OcFHKXBj0nPXU7wsPugkZarUoGI7wJR+M2ks1D60fjFgeoz7MxoWVfxS9I2S4ithgYBobL
//FK9H+C4V2nG0zOIoALWWC9FzDoL8I2/Z6CV99WqXyuVfaM4T12QC52QPTluUVjRF25P5wazfzU
xeHAm9wrFU4+JZH4U4yFcRonzXuVtp/RuLkAuCs2gEQGugHx9RAksHS1gVqodW2ZKSypOVcbH5Pw
7dLeHZBclItlkjehmwbBC6mWbTvkzXnjoBXrR8l1XGbIXDgwIxTSbuByFyEzs7/AruVd4T8Eg9Ve
m25xCaCPp0FMlQ4pKrS3PYfhPBQIUYC5vYyXylDbDebG6crv5tTKm6yuId4HWb5pIYKsU3d+DC38
v1E2ucjz4XvqjOhYRRPCmaRyqD5hQIxS3srsnOxWjAgQGOg8DAO3jyisv/je8DhPdnDeOhi2KmoS
YF7rLf6OzrUwf9Tp1yAugpvSx4RLJhSVyqla+bhXnfUySLa+HO9DhPnOsSQfr37+ywnnBTbkxdus
aFfN7JWLsXq/anxP37Wh9ynRFKVcA9/0HO2FzA420uEhEQ7FjAqZP3QfkM2hjoZHyadId+GySL5V
Rrcxh5DKoUq2BQL7Dpp9wMcxp3Xxb8uUcQUZHuU6A5U0ul3fK0RpAluiRW1tawvpMNA5VBlV+WOK
5i9wWS+SFTjb/qwXaHoNHdKKcRO+OGVubfA5R0CEEuKQInuDukJc1hfU2j5HLbpkdv8aqO7cm/1P
xuzTdNL6zsD0Hgv0/P7SHJsLx6lw0o6nl6hFQTXHqraE/u0O9pcCe3g8taaVO7n6jCQVAeKi2zaD
9yCBb2T+dN6ijHZVj9Wzl972sH4vTN9gaReVuwg/IccBih4IAiZkOlvpGiPwoWmz1VyH9V1bLKqK
wNgSVM7TAA8usr8PIaJu2Ejil6ppV8n4xSnatZ9Pz3g8tVuUGFGuxoEW/OdHKYNNXfTGdQnCMK7z
jyPew3adX+Yl7hay9kAMKWpu4K/hrLTnjYsENIqt1JBFfYntQttTnrPmlB+X3tecRve6NoZ3xINt
NMUhfhCiQ3v4I7UaeZYns4vNd3ChAidfJSL8lEjqHlOKnsVkXAe4siojv6v18FpM45MMxmiFoIe4
ctqn22URCHO4nhKJGnaIi+1UvWgjwWisMs7K7v/ydF5bbitJFv0irAWXMK8ESNCzHKskveSqKqng
PZAwXz+bd2bNi7pvt64MCWRGnDhxtuwCu6+7LTskP0kB+NYDROmlxKjjod+w6ABeBYZcMc47LzaP
PpibxUD0hfz6rxxgYlKpXSz3Sx/afWwYf2Zf/yqHJccXWyCDsjCyUYPGBjRpONs+V0ez+AJzuNM8
mgVSwcCkVFdPdi/inlqVtrVZ3nZgVmdG82Ea84do0zcAHt9ihFeeuNtBQj1gl+El7ZajW3ftVsd9
XomYCBZ9xora3weHgNWxz3638UA6mEw/ikcSjA47gR1aFeAVPzgpv0xulsi8M2mhDcRONZAUOlbt
thycs5gU0/ly5nPYwwZmfDKu066z/VeWAv8pkcqdyg0fBAnIl1WZ0PySTYsexP4etEt81kcuIvTm
wvmbFM8+OVNbEizfqwZ4dEe2Iqy1gUT6fvEIQ5CgdKrfdsNGsRp/QFM2Ef7Rs0N45cbNbBW0zRD5
o+8GhcOEwi1hTVn5TfbDuW59oFM47wcF7Qpe0uTDtZ65mnq3grwtbTaqZECHmkWk+XjQMg9FkTMF
y706TLT2ZZ76B7fPRkFfCbeSkkQl2/2omJxi4n/2XQxKdU2q5AQtYeQmADtelcwX6woYRzYfZ7me
5HwoBx4o6borCUD6Lzs++GSwMEbRpo2j/WE/ZHyKU29TNGQlt9KDkjGa8caxYFUVnvFvBLPYJsvO
zl1GCrZf7nCKAd7QZ5tNueIbe1+zWxD+2vgp7TPw0XX1KWzCN2o9/jvZfbuvSknuynRrSs6mNd8v
Uw08p6wthGLmo8snIUEkMPm4gjx+XYLRXXAY+gztsIz/lVUWyaoiXz2BMh/DZgXdPfJMX1YDIjpb
S2HejduunU5kTotwYT0oWHsi8zTzkHf+C/n3XJevhVcXOydlmU6be2AYmAe6Zeb1GbswJULuYX+a
AzUtT5QS5xnqBweFZPNGdRcZW1akUHfJxrz7LHCczFaHrpyzgzyqPsAiAS5qDeGHQM1ipwbIR5dF
ecU+ON53ltIqdwR6ty4E2wvuwaRKQsfoB2ZdElLpg5Egqp4o0Zikx8QH+qKvMtlbXBpEeDGNir0D
CWP5UzOw+9onwqatn18VsKQFuGGUSVLF85j0PMla3K3xVb0FVvVXkusRWq637XJf3vFf73UU7lqz
oxZk965zaZWZZhHAszaRWFnRzzC+Me4pzJtDxiCIvj9+q4jHTj5kNk3bSlQf4+TP28YHqDoQx4aP
stlaI+nxeVXiJbDEg3nPxMa1tV+LWz/iqoj0d1MOO8GLoxeihiBCbnHG7MeedD4wLXtf6/admJEn
eyKOPTencdu380vhTcXeq5kfmZNphM4jaDEnNuzkEMh7JV/nq2sHtFaXSAfdzt7zYVW7qqj+aYux
npfePKlhzXaWTKJUq8S57OV16sRu1KUZ0g8xR9Gtl4Wb/YWdU5KYyYyCNW0dUpNspNzz9p3NVpIx
PFHF9c///ZDhqtiOfhu26XxjbJBthIqbMHbav57HdKMYn1rvLPzpa7DJQBdqUxEBqkF+lJXtR6x/
b/57J0e/1x95jlQjg31YfeLbVBcNWh15w/zVSbAkxEfeuvlnqfy9cI9jNp8tnbD1KX83hbZdciuq
fa8+df5pybQfX0iy4NWyMcb1LZXl5yMIFIcJkfeo7Bbt+2TrZaAW81ene5QTc03qfbvsCVcm2b/l
lVo86xVcjEvKIDWrfM305MGkIwWgNSgmkXTacSsXJrlmI55G6OlPzIa6uYCnM3FfE0/ELvExtpJr
zGACp4V3jI3ksq78yw5rKWHuJk9ZMbe7xp9AZdWrC1CjhLA6hVbt2RtRzp/ajJ3IHosn0VnPs0NM
lFNO+7JOFeSH/hfJaInn/RDZXh6z8R9ACeCagicA5dGmgk76ED/7m3P06vkmnPbDSt33Ye6PE+/d
AVvFt5/KM2GT5ERZvb9Zu/xsEnVaERe4TSZAmuTWKnWbKrVXQHFR85x425TOX8ubjmutXWovHzaz
Pc3BhKmEXfT4aYq5ZGaLo0cs3bM19q9pyoySzhzmd+7v9c7Tbt7sGLtymkC5VMgYU2aHDpt9u3rw
ibzrT20yL2ez876GtqKO1comLH1iyCZpN69Nk9vcJ5s4HoYX0j2+PKYrZDSMYARbdSau4UhW7Rgs
aYy7gRDap/bSQiEOxSI0sKbOlp1mP0hj/zPVMTP59p+lqMwLnrWJmlrNW+WvSQBMaUMI7LJBy+NC
a536QCwPwKlaXqVWOdzTZOPHZRtvsbfYFKW6PJYSYkmSiseBBmJCWXID+NwLCVElHNy+WGkGizqG
wkkCC1Jq1BEsGuE0JMJ2aYKqIAWaDTlQneZghhXrlZGSoWU232we2Ps69aA0kynapFoT5FXFB9QT
dNgcSUrGD9A7JaWhpAgj6dWSThEkfQXnspg+VQKJNOcU4Nn95tBnkA4EN5xJubIIBJ/bcgn++59d
oZMsCJGoyW9op1lEv+Huvcn7yqp+R9xZ+cY620/cj6BQjEPHuY8Z61j7D8MOUW6bNXP9UGW1Fuok
c2+F/YLvlOz9pub477NnAlgpE7W13g7F21LbCT1b1cK5JxCdusYm3b5ft9kUp1E5+h7prvm3MaBZ
50FnszfoOcWxaYX3UcZ8sDqT/Hodtso00iDLpQz0xAezBXNSrb0TefnBJhRwa1ZpEjTdeEp7MjXj
Ov3X+f0eRPAItw/4llNkkdLh7XVqcMjiwxSCaol+a70osfCTNs4qTobTHh+wzqzrH2zt9OQ1APF8
vd4WJOCKzPhTNPwsmoSjWslSB+mVHUiPuxslri4lXRm5M3tt63TvqPcMkA5EIrehP419kGX6bmj0
25z1ywX1TUuaNmya1A4WGDtpQoIgX/nelO57lXicZkB0Zv0SZ/JK+Lhz0ZeqvCcVjgGdUJBD34tg
sVPnvZyCisRpfC9mxmNd/yYKtbx2j2gzM07xdeMxN2KcdFo+ZK9L8tPPl8RJbEL2+puu6YQlacaG
/MhHRPsfb9KniBzvc6NA6bCSEjYVEXBLeVRJ9YYYS2Je3cLpbcthSzY/0bi2lh+dQjoR9uD1KcYC
xraY9W0YDaQE6l8zXd8qDRAT1XhZtz9NCmd2TrRnh3jHuNzE24SE70v3oIy1pEWT1Ey+H4EoGPiz
GlReB6XZaX+Gpq2Owi3u9kqRO48e6egqvwxNU4VGn5ShtWcuSfgTlOJQSi8PZNvNARh0Gfizsogz
BvWQLr9ikb+QzHtzNacnixsLheCw5QP1jp0Vn2IC14jHM/hbZyZ+BnZfjGxBdpEYKyby8mqSE/WW
NClH0fZzyBHje+dUnZ877VHBuWrcNv2rnak/HeHgjwyKCNnzx4Tn5RM6vomJ3U6936k7h0sjphst
y9lc8nEjhmrHK/N7nHl8iryHxzsYQ0BA5sFBcMc9KI5lKtyzx5FPFssWEkAaJLbYy0KFUnS7Onco
ueqPuTSmKGmqWw3xhrwCuVzwxFmbagp53HoGutqfnCBarLPxpsPEHfkMXHiGafqzpeqC3CKVcvDU
dmHaBOB+4VvSBsIXzRZoKVAVYgjRPYbvyipOPBL/NMcLrZWjdbIIjceeu5U6v7Xk/th1AkMEgwZS
15R9GjvgrBUeRXx/PJc+8XL6MoEd7N8zah1tFO95yy5q7K36I2qBnEKzMTddLiiN8udYLlbA4RRN
K87BcjJ2KZgu6rMVKGFqktbQ1iFnIvUFZhbiRjdTpiXbYZ5sOg2CkasCS6ZDyUOH7/5FDHkC/vvX
LVy8i8k6Hhph3giKBF432SEl3BUiCKmRSXlZheQelNU7upcVlC5bWpKio3Zxx9Quad9KQ+hwy/wP
eI2fsoJ4KiheyUd/rzt198C75BSylELlbdVyHL7NNzkLIiwL8FYVSBTfmfZ9CqSHDTTgA9V7tYDu
LUpeBsNnxzkfUyYGHoPPrOUXBu2wTb38BMqbB6ZuCn7z1Dzr8fgloaDYlfbIuWXzxHSWf4PeiM3s
zM4uc/P9bDp/66yfIz8H9yGK+kjGux/mS3Pqu3ndFpkkCbKPlJ3ttVQGlUWQKGaayuE6NApnuw68
B8mgvgf2vcN1pISwVAe7tu7sHcHREd73neQc3qRK4gJ7YOgXS9ubnJ1Pfa51oW4XN2c15z1h9lf6
qK4stS2YKN2b8oPRaru8Rgqy2eBcqVoiZeBq9Cfrp2mxYcSw3zMLGgs4Zx7cSaAg5v4GTAXJSQ/J
iSyHTfUIaRWtulXt1zAMf+3HqMqkoox1hjCORUg8UZz1IG4Y9M4ZaJIg6V65ndTbUBEXO6bkQ3pg
YcwvrQAtape1HwlremUH8oRcCl6mG6ag84yX2oAuZPGKzR5OqxR+Ino0yEB4EKG3xCfZu7tUM69t
18WbYUL64nbnnm5i4BaV7YWwQLAgLPCIyIorgs6Yn54W0fhnQwiMcBPPQTaaVmhkY6RXQbfq+M4S
UpbU7F+nB8SA+Uq+1TT1VrKUv7dd85zN6RsR8QnyTFDVmYEpzP09VUO9Xwpml+PQESNMqU8Ir7FZ
FhjPZWGs+9ntIms6p7Hz3thNvc0NXCyaGx/n0W7DxCP1I11/KljKsKnsD6eetShtqw8i5Pcr+/eZ
EifboQXQ8+5EmErBX3gg31p1SbB65snM2NHPQqnNO1fCBpoahLzSWX40cRrT7HmYdTKl69IJkrRM
tsjJu64dtW0Ktgkft8JK6RySpTGoGUtgUICcNt2IGuyDt8ACSJTF3O9Y67uJ3hx22gO5MsREqLrG
rQVN3Q1ZOBjiI2GPxKE2Fnz+WOvmzwFcL92gGdMm0r+ZjnXTbRTloniTYMT9so43RiI+tNbdOFP8
Fed4OqWZfMa2TRlKSu4wY+sqJu5nmMeQAXkaHWKQPYAxjn938MNlHq9LLMJO9HQnrR3xne9WDP5E
Yu+4yYtfqUd1Ncgg5r376ygdWVKhKc0ERnobjnEouSbfdLlAw1mtJz3VKdQ8H+Yda6sVfE4LEPE1
BccUEjlLa51+MsH9aEnl3wwCVEQsgc9k2nLUqrD1uu9Fq551DXy9NVg/9mjdzLb/5CI3zu3S/rZ7
/0X4wCFQEoKeQInt5LUQMB1AqZ5CwSqHNdn8M91H9ns+39dS4+cB68WEywWTMb3GRbOJ2TTdlD0B
gXEjbphMZx8AndHUT7HL0NHhCCi6e5dQ/JsaLbeFVLoC1jNOpeUvrzaLPx0R9zoOD3bdOcrUZD7E
ZPtAaX+qVmyzq1nE+5RVcIeM+IdR4ifJ43yb9fZny3YlcZt3qegntMr7rgv3T7kY/2T50KNE9eXm
W2t9UwbwqPXD1wD4ThV+Yrny8IzWiloqHWzTeuuFXfwbVWQIzWY5ep0GuBqsqp6NHnGXLMv3gmBh
2XXvghpTVqyexcW6UlD75vNQ/niZf10wrmzMGXFzFiNQ2tjfE0Ia2ZDJw4WmggsauA4BERll5Mwh
bd46oD/Hyhb88dRdzkKDgxoAYsDMrltol3NyGxlpILcjitn9rp7Tj6HEVZTprbkDZRTxRh5TAaML
6ylbOopU4DYa2ajYxNhJQmX7J3tm9lTpvoMDM/4lHfM6t6zVuCbySQoCdmbLAeT1pVvs73IxaSsH
J0SlU0dntEC8WvWlKsYXllzrkMyeJmAa/DV7FEtTVh2UVURsHl0BUYD8dXhTMd+SNLMb1uXNtNvn
1czj/azD8Rwa763vMwxfHr1I3eeXuLQiai3uAsvfu5Qo5sA25+qryIXJFgymE9lz+TXWbRwV1nDL
3chqkmfE7jVQiu0QwC+b1O7sUwwf4wIy4N0otKs/ItAonwPceWCGy/LKNNy9otpuZ+FMNJoujdTY
fmYFc5IufeuqtaKh7cugM81bprvN1n34QecVUGgBhs0kE3zrtV4wgmXt0iSJMqAk+Lz6H9UgpBDT
HbQmHljN5XYebY/agbiWehY65hXrZg0FdskxJpVZ05/UmKRn4Bbfi2unWJWLT3Mq2xuVEGNBCVVL
/XDaeqVQgdegljqlne7rvu12YzshDcLlIa1hM59Urn0rcHCo+Ygny8IhNKbNYeqqL7vT172tiagl
KDRprJOhCD3PGomn6hxnwiLN0j7Hqyfw2C6XxtSHsBAaacZza4a+v77iUv/OgBvE2MIPhWHeB/zt
vAN7Y3TG3TJYNy9bfHrh4jXRHAQdzd2v2AHGvP9O1ulSKNZ8KGlwWLOBnBZqZ3l8ZdnQX/Om/8iZ
PbA6j67G1MxDxtuIcX7OcV6ybmOtG7//yxgroSnUpqgb8jzIe5T90tusUK/gVplFkJKIT8UgQ1fn
SOpbHdHZynZaHY/hCvyCMGUq0cUs5M5tGkwny/iXA6IO23pCxqDzk3Dil6p6sQ0JQxzEyaa3R3UD
2xDVuuhDa+Y11tz5u/VmhoKOWPbWbH87g2Yc9cnckhQReEOavvq+wk0VGzu//qsXVEgllciMuB/k
jv0u92lVmNC1GUqZw/QdP6E6GSetAn/natxtPpQtKs+i2Tpedp2c6a0lclGxzweVTHXMZsEca4X1
3hP+rsg0P7LgfcrWjbKSl0Qz+hCF+oXIWkC3xt+6Iu99VfDoRIZCnk+M/6xns6fKxXcdJg6kCfXe
OurmvufaSPOw2ll6Tltn3Jo5BqWR1+9Ucq8Efg/2y8gS69SDhjqluqaOncG6SwwTMIZkQQuDp+9W
okTfYqjGyi+7izPLeq/Mi/OgufT+Or/Vme5jovZ3nL3LG2nw8ZNMWDVAr+mJO7qvrebe6sz+kyXd
+gFqi1uWz2OD4qPtXEK8f8+FuZkasXySyy5BqbPRVRG/+2J4w/cSTpprMOerG0r3Sr84dqJ2guDs
QE4pNnK1dF/V+MXq1i1Rtnqu53550mXxLRPH/WVVyobZpzf7Buk7wFTUnmd9T2ic+1soZ4kQ6epo
IgP2nrnlsTCjR2rvl+YhyLhNVZKfWbZXxhQAQdyy3uta5xBrhsHK7X9MIX9PhEB+SCOHnmlJ++Co
BoKsLvdEULQHe0r9i8/3sLXzJnlrE1cwrRQTgsYSn5mkZBvcpeb7w7bqxvYH0ql9IyocMrXmkjDO
XE25/rQj8gfifG3D2lCdgMHZFIhLBJR7LIl/WN3AjIGV3rA2i79A1Nq7qWULfBlgMlY9tHd9HnTQ
qBOA4awk9GbyXwzITy9WGQ242vjbdOmWw1HbAquBRM3oaecJUb+WXIxRN7KRMHbFdxUn3d4utZtP
WM+GadoZoe42ebkKoT0cx8VTR1xTpL7Iizus6SE2Woen1Yj01bIOBvBaCuGZvtf7M+b8JxPrw0SZ
/9wPSCxcrdVQVPv+VXg/hkZ+YQXAaEcU9HNteQNxHsanR/WDJKSnkSiZ0MAZYTDHl8rSEiOk0vmw
1oQXU8t/0PT9jVM/Bqf03duha6IHopC9pyJoPe/VmOgfjNY9ENYDkVSf2PWJQRjwoKdJmj716MSl
qemHdeDwyYeU7QmCb46N6z2q2fF1fERWEzkY6pQ9h7yS6xYGzWfs0HcBeyxeqia/6sBpB8d+8yvf
2Y2W95bHtE1JnLm3XrDHoEswDfMQX/2kvvPU1lGuBPo2D/kmZlnwlI+DCvNRv8ydPUGOTi4mndM5
J/IzHOV6JIuxeV8USsgwBEvSkewOm41hpaieZqv/C6D51DfcH1OetKxbakhHrGy49pqdx+Vsj5MI
s2ECcM2hWnjbFHPBJYe8tY07796RrzBlaQu9Sp3TLIHN0cx3E//FDh8zKZmO/UvkcufQ0YGmWe++
tJbIWJc7nCc2evzUj4acWFmz8IvALeimHL/LftNn11157TNP+168P7aOnLSMTXbIl/ZujUBlPJkn
gXKXaj8Yp2mWxNinlAT5VPmvk2KNVO92i9VDWyx6FXYuCC0k7a5xkijp4iki0/2t6QgjhHvzx5qM
/spxwNiqcCAjtn5+LiamGVrrj9siVtbJabN+l+lHOo7ffTKNBxADVQRi7cmc2nOaGv6WmUcaWKVz
dt2C6UsD3DaZaAXHwQh7dz0yqTD4JLwYmCNE4glRlBahQUdx0G3EYFnH0kAVKyrAD2md7M0eCqal
KgsBR2MuQ6VD+wT3uWvZeZw9ekvd365O3W8fQ3ojiaetyee2HeceBaCWFGyQj50hvlRmutcbpv9a
P98qg0rWGfWXrEwriAXmLa2SfF9lEyO+4jFkJJmmocJixPsiiCM4OvP4u5gbKyxK/Ykj2dwy9L1Z
jFlYZzI2oh+9fUvcU04Gh3UpK65+qyHMSkkoxH3Kz3r8kLiDl29ar5qBp/cvzBD5CmMOrGaowUaq
uD7SOmm7ye/P7eOfMs+q/vcHg+lvTgnF26eZ012HvOZ4MYOlwZi6Yy3dNeg12h4/p3x/pB1CEeXt
HdoDft9NGuv/LKNMUTEYLebyYPtpc1znrjmCI7MgJHWPstATx3RdBcAsVIrB4mkeW9EdBcMjBv5L
8m4CjtkVWj9wUD1+3/9+8wmA0lH3VOQx3+Y1UWVkWPJki9o9Mif/9Nu62TXia3AsSv9qOtirv4fG
Wu7nJcP+oGU8C1rJZh+AtG06ucapKCF7yZW/MHfMEQBfs9d1g7DQRtK+qOLaGiYAbmau8dgkl9xd
uwj74mUcIEsW2pQ+E80Lk3wBocZR3S+s2LHR9M5+KyDuofG3og21njaoRVbcxLi9ykVui6lKgs41
p/3olfq9FJeW4gV1j8DkhLEvp9zyxh91Z7eGfUhF1pxTMEsEEMzmzjGMn0FyFKJW28++Lz+a0nyt
4067WQia7z4jepXehaGV+97xP7vSY7BTpOdcZ3VMg2NeZ+tFF6p4DLReXENfNwMQpotePsrZ+L5W
HOOV67S0re47K+rcYMt0TwVthKxRi0BX4CzBU9athbdzSCrQuty+oDQvkd6tv2slaOwM4GKMRwZm
eIVizG42W1O0YmvahzhFw5lYK49GW0DFNoV3SDPvJeUjO6HwMcL7Anu2U1abXgdZRdIz59CpTJfr
pVMX0hh+/AYX4OSdLc3b9z5bi6QFPXbWrwvwjG1uZ1T5GhuXayWPvksXJuB/I/VPb6NlPUI7c/sw
JcmT3Zlc6ejqBaRxMdj6xs8lt66OhWtdkshs0cgAeTiRWEprO7owk017PVbKIh1SS5lvWZwbK8I6
6IjupJh67IpaGuGwgMFk/4kAwsZT2G7ivRLuenBKayTpBMMO6wkKWaDy9pXtzIGTGvLoWPRoIwV3
tTDylcTjL9Ln8HuxZc2jX4t/jeaIoHczpKCkT57a2Gb91CwsAjp9ZOZRLKGv6IPawSh3QLxslstP
TtL8W6xSRKobuNEoQSpGHs9azR5UUbRXxbO1sTJt7yc6MqeTPmez9mTkk9jFZmbcCu/cZtl+Yff0
qI8I1hAZsnDM8nuKh+w4IPQ9bFUeNREaAIRNiOgaJAtYTIBdpY361KsjFuuoZKHvJUVnDJYyOXh8
4jtzcGpWMQHHlegSCzdqo0brCaM378+wBILkpaey0c4rndnBUB4eg8adQRjwULmPcaM+S0LgBTOy
3Nq5M5aydsyDWTV3Rc7aVpG8MsVCHli4RtrxHHnE5vyNinVtMdWgykq6eFsL+PsFwNyad3Oc3ryi
Li59egdoqLB9b0nbu8qnSm7bWlzN2elDeEAM37ruuhTJw+qYoV/GFIFebSbRUALiI4v2vS9gE/WJ
0TMkMMVuiL1mswwsgdhF9mdmDW0zsGrI8JZhdZPchiSmdzVgOiuXay3RVpe1/4RL0nYOrtGxK7pA
g9ZnyIWp5QWzy+z7YX60qhaO96JFiWGebN0pd0l/xa3QHatk3adSrnvGtfbJqZ/dQv+yS3s4p3Mc
YXrHa5fM+o4h9BZbsIgya3kpNDq7MtOLXQZr6lKx36k5xUfNR882x1+7B30OqkzRPE/1pQZmygxx
uCm64N2E5TASKegyGJ07FmVMSOUUCb1v7gBm/xRO0xEIwn5a3npwXVjQbqBmQnOzg2pyF37NBggl
Y0nffVBMgZedTW0vk5U97Q49UWeMF/h88xSM+Gh6EEi9brA/uY4I4Gyp9nj4N60Zl1g7hytxOdgg
MYZEMdszdxRuBCC3uveKCKnJ1B/9vuNvRwLH6hEynJvp2rk3xEtd0hoaJV0J+3YbTdTPqp3wqjkZ
A3AGdJ58+Ir5GA4tW9kPlHc+z8n7C0kvJYYZwSOlox2lqhAbd2XnSSbfueohvsuRbxqZp8cGZi+s
fhlzfJPu/KXMu+drciOIteTW1/otfQbdp5l8J6affcU2tlIuu/7ctfbbxAiBY0JvTm7SvaUdB6w3
+VwOvQyLurUPDDYZLS4y5CWEpqIlxmaNSxhDbssoCURuKsZ3VhHPazxGjui4jO3sj6s1PgEu+Kdi
NNo2/Wnmxd1SxAaakzLZpzQ5woK+l778qVe4ehlLj5uUWR4qDz2CpwNNZUweqdT+SC1mS6Yh9lmd
MiDLvUeWifEKyIGblzo1MxWqgISUtXS0dZlfP/ujuNWMGCLdr7zbsgwNR0X2SwxDttO7h+bE9c+2
uPXmQ0orRf9C2gsHtVtYm3gxgtwu0D0SvlgBo8kssdmxjYVzfHxOrd44KNDu9lr3oeuQ6x6T415B
PKWGorWLeVsE5sguY1a2yvq9VWtzybzkWpWMq5yZXHxNq1WYpjouC/RoLg2dSIM4Vfzbq3uN+/UX
eMj6mObWa9GX+s4esFVlxnPn6fV+ANA8a2c9Weer5nCyDI8/BEfwejKqjCmMYbKzXWIpe/yw4oSZ
9//9V8dKtrIll62kPUTuLLSAAMlpX8T8Xg5/1GP1gM/xdLTJowklUUD7pVidTzE3LEX8Lb1WBjb8
Cao9R+KwdJ+0pGjoJj5Uh5PU+Urn7rfsreUo9PH/fsB1ojamHCbOe++B/eY76Lwp28u8KciTghad
GD6FxeOHui37o4QkXIARMpG2yavZVp0rd56V3FDt33xyeqO2BT5caMxgyQY6/vfDf/86KsBj9DXN
zDn4P7S2747e//+U//6xrlcE2zTeWWtcM0HxX3CdMcdCa9L8D0Pizaxjttz5W/D1zOWfUcNoBV0y
aJb1LHr16WaS+aMs7365QL4ZisCWYuX6axktm5QU6beF/lk4uIDgkptzeuxb+90baSm84WRVcG9L
PI+sx2w0M/m1WIQuOOk4HDz1ZNnWCg1i6ihGmhZ7R4E+U3XF2QKvpCF07Vmnulgjg724gUnIt/7F
7MTYLx6eikdi5s6duC+9vqi30uoYYPXtm+aXDvPG2X3s7EHbndRpzNtpZ41kQtS1i8/GmjE3cZ6D
BNN3PsTrqBp/S2ui4nfy0IWqwOthWbyfGpWPFBempE99q3ZO+dNYM7Pivt7NOF2jeDK4C1R2SMqx
+6eYQPgsXaz0DFFlKDDPYjPyRB1rex7D2qkinD1+ZJgShlph5dfGNX58twSk6nXnxuqtkKQk7dg1
T8qnUZGmyCJONyq4laPCME2DzmCxd8zZnMCLxVWAzIH6vOtnkgazMl5DK8MH2PvYwZkabGWwBGXi
/W4bp75nBslmVEJpSGLXGUJle2efCftUmwtkhlmjd2nkyzDjFYBIUPnDqU8Wn/yC5leVUvDpRIgd
vLSJlrSxL6J5FnNWRhh17hU07nPOLkkBk5U9YN1C+XTvsjB/LerJq1jhFGTHPtsEfZINgseJzv/T
KI3+JS/QP8bmWE9NHHX59JJYpFMRuUvVZ06w+7TfUFGIUDQ5HE3M+YeyLH8eggnDu8clyDJbxdtA
x5mPQZyxKz5O69NouNReLgcPq4XtuSITwUjtMdAfPprMBQmZ+oOGzap56vjzXFtND4W/bxyB83nV
OeCA9w5GX+7iDhf9kk9XzeQ+FY2F5KLp+5j3D9vwr7gx+Pzt6cF4W94HkIbAMPxzktk5DHnCIE7N
gPLpG+mtzbhlXNvG9VK3W5UhIA/9/1B3JruVI2mWfpVC7xkgjUYjuejNnSddza5hQ7hc7pxn0ji8
Tq/7KerF+qMiujMigOzqBGpRDSQckeGS4upekmZ2/nO+k4SbxKv4FXJj7ZTtvAtHDneUH3gQaSmj
ilEeJzpP6V5ihR3KkB2LS8AlWEYg7qapSMgnGjM7nkQ+q6ri9AjRI4OXsK+a6Y5CZmqOFH72r1+4
UAjC1AHSAM+tQq3og2w4vScaP6rpdupuDPO3GS9Fm04vZBXKtJlQOFdJhyaFFTU5aVXg9sUOAlzO
uEHyjva+PX4y18xWTvBpmu1E2UBcb7y4O5SVOGUwDXbo+fwccdsPI7gXz7/HSvyhalpfbfAYZUbh
QxEZd6Ly3jAVziQE8u+lX6WnvC7Xi7SQUm95oIYay5rqX3J8CRxSw4+M8nKeVxaZEMmkuVLpPVRj
qj49aljdaKbYcHjXmvyQ2bPu4XpXhl9uW1aKCJVjg3c440uWE6yHhcrOL5UXy6M1G4+UvW4NTQl2
OYKQpK32zjYRcOHg1+cSCOIqhsnBXvNtZiSzauKRkROITCTq/NUe0Oh865Z68JQhU32JHCIXk2Fk
bO265MT87aJGLqx+ng4TCGncsFm1Q54mWTR293Ft3PhIUJwv6dYcMn9ENRw2ZM+yY8Rxjc51FIEY
rk4h9G5gEqj974EsuCF6TCgxvZ9Zk+EYm+3vvkt0KQ3wH2n/p+y5o7U5ni12LmhRg7x67M0Ia2S/
xniO90wZ7E0IoXft5Bw8YWtGbCv72+UoFBUJKLxWlpsm2cW0HOx4lLHOBQriT2oVV19svr5LRPxG
WVMRlRQxOE6OUm7soidyVbfWwI4vmW8pn36n1x29U7AfZ8cimfAhFHd9biA09NTWWILCztnfAY7F
OaSlhRQ7IjAF+HDVKyGo+pQ6rbV2dUlT9kw/LXGso6rzfkvKwl6lef5Sh2Gwzoz83ZKdXmOQAX5j
nkqo95f9aLNg4de3Co6xZmcw2eFsumoQnlbhElFIgzG8lNGDoxveGt759Si6alf09qOhw4diiH+S
Xk93eBfB7dyAmowOPbaBbdkjarg9U9+qnFeDwJo8JixB+Swo/sAYN1ky3rldj+vXvi8xvG9Sawr2
nizOWKHKTdBzKBhsHoPTawRC5lgz5aXQB69zEOOkWeqOEwGaSYqSla/yV0N9agzDPg5Lh3M3hQ9V
+EiT1NoKWd+Duc8e0LiqZEjP7kVbdXMp++DYWOKFijJO4bhwkZJ+lpkR7caJbBVclWjVmmZ0zBji
6iGlga6zkWgaUp2Q1PYM1H54jcmt13GU6QmcMiFK7itAjcyaI3BBNeZND608iuzHeLJvbFPc8d+y
VTpeqr7BbThMr3E701vpDOXZt7x7nEvNsQ8NhrRd+CBq4ghkZMGsl2m0qRcnZkxj7TGKJ6yPSX92
ZpikcZJ8SupiOZcGuy8lMoq6jmOdfW/my5k6Y7wbVBZ7vLigA7n4YTfqrkcfPfspKKmpLzdF7zwO
ImJe2uR7xPzxphXtjcjli8ScfChNAUFQTOQfrNsl7KWUZWxGMoT0GrmYcNLnMIKhBLXOWNUG1llK
hC90LuOtSkhM5KlZbXP6SCSj6WwyUzoX8rsQCw4I90hzXeFNrQ3nyZZuvBGBb66hzaxM5cx3kRVH
e/zfl9pmjeM1hqcaPgrH6mtmck12ttlshwiZ8dQaNe9jFR+CprDvpGmy3xHfw2xUmHrxqI2+f1MG
Gvk8iHeQlP0N1ywQ0qa5pcPu0ROTc5j1vOMWcjctZXLryYieG6IcJ0RcNAEqYtbhceQt7bmIK3wo
PDDtM57zcWUoHplpgmLjchDnAmK04qqWQ4g5WUdfur8wKFKojt8M9xs/o7T1PtK/wDWUl66nW9mL
4kdcJW9BVfYHq9wCF5o2PJmR+JSb7LF4rGsSABgYmq0dsifLgpmIUUYEzFoWnqnWV/pKeEDGFWJk
koYX4ltkQtltMflGV6xYl2nP5FkEY92bImhcXrueMX+5TsUewBx8jvY0Vns+bi4wUcxOMbRytq29
rdkCKTNLK+JO4M5yoMes5aJQzCywq8D03q1m0DeVAicwxDsZ8+CTo9Wxe7fDdTbMb50h3VVgZXcE
5QVY8lJu7SttE/nFby6cK5LjUjFSdGG7r/zxeSJuuaEtKz4lTfpNTUxuW6gGAGqb6qmj5DU9VFYE
eQtrBeK2ne7qNr3qcZhReNHb2N2WZyB5PDQTyodUGcK7dMR4bxiMZMd4VdWGx9FPQnSL55uymAVx
0YJKV0PvjUG9m16dr7u8fmuwpJwhoHQB/jZ2EUdnsNQ6rN/dFizj7Do/qSJXqzLP+g1RT3lggEQ4
oSgveIxQ5IlR4/ZM8w1F1DUEtkoBv+faxdB6W4YGopFonhSWCN0zjWvOaTYOq3LU+BjJmPpNmhxr
U9RbS50ym/RIVXX+SU/sX1N7eiXW19xrw7mdUzdY92JePIzJuVt2G5iSmOmF3JX9jL+EVXWNdl6d
7NBxNzNyDMN7NtURxCUzspt9aWP/ie2ex2+zj32y1BYNlZvZ9JaxvSN3oGk63mMJOz8PV4HQ7T5i
yIyj9DFnKLRv7fyYM54+mhR4noaiPCDchGglGeb9INjOYfdq9GQcVQcfXuW8T11UEDUJgL/Kfcox
9iLbVG7dwjqHYfRKKj1ZhbOPX7JzCVawwWGJz7OzNejs/PVPtsSkzcoDpYTrqm7Z1MQT1VIhoeIQ
pbKKc32DZXld8a9jJ44eZOTfJd2ptuJhH7QXQk+sjqo7Y7dSzyQj6dpZsKV24x+G2U8OFJSZNEH/
TDNCCbPCFumH7ksYuO2RI+9BmnO6c6ziafjVMrrej5N+nlhDN41gtKt6/0cZ1xmT+FZeqvhOaefD
yZEGSwbLiCDRfetYd6jWwXk2guje6RrzqAz7rQrt/Vxbw05FLrpCNZzNIjPZKmMujHJtnTIXMbfz
jGNkh8HFTLNvtV3dDwMRxlkamwFdZIMZ7qNw1K6tGC2okAmM27XZzYSDGr8BuhNxH8SqKO7In9E/
EZj+jW1d+pS5Kundb+xgbTwP3muMpoLdEHdvEhp3yWg3O9+0b2Fzzbd48BHKKEsi7t3naw75D9E8
cdTpgteGBuOLaiXV6Kn/nMIgNNtoXptuy55Rxleja76xjHH5HWfXfKKEiMebktdhWDRQvJB7I434
ha1YYS7hmVuDuYtGSI91Mr+YWWbdoOjikSZG5FoR2xq65LaaoSuUwgYXa2ruxZybD8xozwPiyckL
g5tFgjZYFd6KznI3dcPiLmoO9BHFAY+jEJTTKx7h+Ph3fMtm0u6Txhe1FbnaF4OVn8gP5Kcuda5M
8rCdj9EBF8qLCaBpJnxwcbmROodvyHLnrbVpF8Ks9S0vXA4F3SROOkcX4ciYrsbZHo8ZA7pUCXHK
Vf6oKvvaqvtwan6Vg/dI1qTjrtdFJA7zaPgrn5otksIsHeu5qV513zo8nr9/jQBjINEnHQflvIZf
6O3HGbJgkyGQfv3N1x+BIDaVdONLumhCY9uVnLs9NKGvf0zSLN/IiOCFGDoUpCwjeDC2PGQT97tT
58+0Ys0nENdysX6G669v+vpJX3/Ey88sDCLwk8d0P+7emiIiY5QHp1FM9yNSF072BDHTaJoDHNOD
n8iHehh9NA0+wxXtRUQOlO0T+a4foa4MRO2LniH38o7TxnLGV5DvMZNUh6n9PlHsMHeZQ9JXPkMH
xj1BOJRrVKtDsQhNX38Mbs+P/vrHdFrGduU555Jk+K7D+fz1xxwsT2R8AmUmUcJU8xopjE2t1fVn
2oDKNU8injE4mM6mXZF4S7pjGcV7brtkFWjsgjWmKuk2bCvQ/wcT65zV03zeN0u0rW7X0p1bFO1m
k7vVqa7c515PB1mM0a6e9SGYYRaUtSt2oRntU39e8KHBpUpJuRtJQaazLAjUkBrkKnrFIXA3cuJd
G377EExgkqpW7loz3rUZ+w89eIeUNXVlLQ9MBegLSQ6as0uwENHppyVZcUypT1gqV1NDLtIj/cMM
jJr74jDFmPWcnMJlhNOpFywiFsFANqOcuSK2gCuiIkRL6R/YippBVFoRTdB1RVBhcM9+vRrrh9gP
sF0z7261cUxGSJMVd+E6tnq9H/vwucmY3STk3zjPPc+uh4cufcrj7C2tkPaA9fg+RRqDhh9KecmZ
1/bEw4cEWvZadqRap4gtZbacGv2Mr7M4zPp4XV38vfBUTcbXs7elFSQkkl9tewf4xOjMt25tv0qL
JEoX64vDUrurTcc8GNL8FhnaphETylWNxFxF5MuYE907mYvbVr6OXvO9cRu1GVy2THNm3s1z8Dwy
e0xzuzpwImvY52jC7wnGL6wOr4zANdO2cJ8MTE5iFyixiWlP1vkmmJlJyIEquzL/lugQecurnv1o
wdQUn9LpSNay4jfkCCwnojsRfEGLJWHbtKgYId6JnfDKozMWT86gym3phepkefFT2IQAkGJSYXWV
ddhR11PK/KysyvCYY82wyEhgfkHf7kcm+wyVjLm9WIyCd4utZ9+E4SlQM7K0VrwZEevNCpGblKdq
nzu/DQ+GqMlW+6QWbONbPrNSThlfq0P70wAkdZA6JacSdBezb5rjGLT7WjRsTwaIsVGxVpm6L0Iv
OJp5fadcMoVE7bOD02DWwHW9rkI857HahGFyHcXAuzswlf5CsvznEH/+C3J8bLBP/xzjw6377/+j
/DPDZ/n63xE+vvjNAskNO0GCG6NnAgTX7wQfz/vNRUEVyhK2SSrPhe3zB8BHeL9RswFeWmBlgIS5
UOTa8gvgIxa2D1RmH/oYjiGTn/cvAHyEuxDe/kHGoUFJupLeOrmw8f6EeApxb0u6RgXDEKzwHJqI
wK1jo84PkQcDRNN3hnW9b1gtPNA66Uo6SmEztnOre44zL/3mRSYA7KAtnV84DMW3YMJwvp5TwrMo
QQMmD0YxPBNyVzNomPmxJNMxhb6NVhW9D4IR84Rce1P2aXMjm9xP7nwrC6MDzDhOoJbdW2RDeyP8
lTZiXtwtBDUuhhwIT4XI16SGs6mzVm6UExkMkYnZUmds7nHViACHKrsucEOE9qkqwv3JAW4ereDS
GDB2ty7GtWcLC/DWaFy/2kKs5izVqonRcJ/7tFMTNOtMiBw1mr0NHgjzKmM8e1bFTWSN2btWIcMX
Kf0L4fb4kE8zo7J+pNsAuVeVH8Ap/Nu6mYc9tmwcc5ab9MR4vLTFrJiz37E6wR6+tvLyZx4b6WWG
frNxZRWn+wwvyaEwbf+dIGz7s7BVeAM5mqlVafv4QbIMv7/gZAhbqVtJm9wTZ2G3uJ2dekDz8WK9
t1Eb0f90/dJlTClr/MLpql0IcBnTwPeiH/uHPJXjkxn6eb6AANzdQN76Ax+C+pQyw0FSWV6z9vxS
bCYzaR+8yezx1OshuZs7RsfEUmR9OxroAS420CuGVnjRRerb9A3UJE5MMDAQRlRDP6hKJCf6hK1n
o9DTS9fGW4qofIgSf0IVtayjq2C1rzD6s+Njd1Xjh+mKkxsszA0nx+bJdHewOffUXjBsShJbZGJj
PZJwsnU2bkwjmxWZSHw4+SidX+nU0KkLkd4Uhwijnr1qpepeOhON5UBrQTCtwyCzFuRxTSDGcumq
1mxsjG3Dgfx7lwGPXDlOQtlVlU1kMaLcuvER7GIIgQ7QIbZ/RN0DRhwbjNaZu5OVa8BoFvIpXmIk
zO3JZhDEIr5uGVb4y2hmV4IfF/5XfCchBNk6yCRbLHRRvIVVWeBLd8WDTqsKKbKBxLk27eVK7ofa
vDEIUN5nTuw+xKL1YA5gyGMY51jyJF2zP9bAienJ6WoOwZEZH+uJLEuP1eFnDiMLe74b6h8kioYX
28NtTYwmdrYDZ9Jua/udfg3sfsSbQtTUfM35YrXXRcmeWpll933IOigOkQU+aBvQUkFPSRA0t7Xj
WSEhEguhlGtHpHsaWccf1MxkR0XzBroz3pM7Emr9EdWwYkoDXkkTuw7CN2E75e0sLONeOto+GENO
wIwxu9yKsQ2RM3LFJCvBaUXGDkAnpjH7qLUTbCR6B24CO7TeO/K03Rq2Ziy2lenY9bqowaVGtEde
dDrCc8qqvlui8hXgpYg2V6I9uBTLCWGeFbkKNyE9MkvHobijZWu6CVSNsz4rStvibEZ7uO92Nedo
spZEEvJu3Fl27lzI+Ct/XTh4rOq5mO6oi8x6ButV+e6PkcNxrO7zexLXah/OihczFBmnts44gk1r
2GGT2z23o+1eTW+KbycptN5YfrRAqYLpoWzFswhvOq8NXksnaJ8rj/tT54q9NLMyi5T9OPzO/vuX
luanMud/f+fr/YXLt/9ZLgy79u9f9F9w8XZZPf/54r3N/u3xe6a/f5bNn1fw5Zv+gPB5Lkuu6Vo0
IvA0F5YHwfb3JdzwTVZ3xCxHwZxzQMj+Yw235G9SOiZ/wb0Ccc5ihf1jDbfs35bKZuh75tJ4avr/
yhLOqPWvDErHcaSA0WhJfig4ZM9b/v5Pazn+5HFiXXJAsQdPncw+ygiQXfviGepa5li3J0gcHDDE
tRuDow7kNcd8tsbeBv9lhv+fZPm6yLOtX+dyZY5ofKxd+5YjOmAPoDDM9Fc6qbDqRSGcDabJbhNN
K+hrPV0z8IGaOenXftyfBoUxPomFwdgH2BUPYpWMzK2cT8ciCwev8DoaASQt23+iDfCtUJ+zpJag
bVoi1Rzyl1/BLq0fhaUQUiGGhrguyvTEasAXVPxhMZAAJkRaoyAx219B5/RW9PH1d6IOn8fBPcbB
MosMXIBQaQqzZ4AdBocAPBnVgIna0g/Hs5AuHvYN/KSksja6LDc685+8Ef9IYufzrmt4jUN/Eir9
vryssePUklrOcZ69p0zX6PCiJvA/He3CexJl+pFYpOHYSiE+htUnFrx3kxQoEY7W21ghbKG0ndCP
h20SOeOaxfIjQgJEymNh8vGeGc2Shc/flSKB3LjRR16BZAnshNwi4Vfe/MZsKWJw5h9BwRhj1AA7
CDZsOo6TdRW+qCGPV02G34l44rsRy19f/6b24x9G+VZrnB4lT/aaayUP9UM4i9NE5njfY+prDDpI
6z67TnqJqUVXp3eZpScNOkNCPqPpui1b0oloaooixvrg59lB+g+lU1xH117oLtbOaUKTAS4+JJ8H
d9UEn1NgXMKWaZFpBndu+YMLmMhgLp+8uX9F2j6KLO/QGoZnRvAezQlvJDfB8C29gjYYngVyNPSM
dAYvQiTKA9Ziws+TP6IoEcvZdZhoqLNvSPIO3TGeyJN4Br7j4WgbYjymQXYsdApNyy0RFSvm8mUt
kLZSXPVTzhsWGPKumc+w7wJySBauNyN8YMC+Ghw0adwulB2ZrFdt9ZEt1z3UaMx4saShqewVzK8H
lSTuWSM25j5iKENZ9nU9Q+moTaK1BLwAmMw/Wk64w4r5y8QOwZ6AOYLjyjftMDwIfestszhe5gWb
rSRjLl5pLe/K1n4EkHFknxHiY5oTiB3WnWOOdx02hjWfBwirxr80DSfyqIXXVps4BXzv3mkx8ubc
oms1vHi+ehm7GGO3md4n1WeyyBiRsfXhcpjRJ6eEAvDBfMQT8DZG4ERgSxxjBV+JmvOjJYOHcfJ/
5G62o+qDSzhm0XMZ3UZ5dQy4gcTcbBkLiY2ZEXNHtIAaNNy4NGgUw70rvOhRWcN001Yy5OWE1YXP
vWGj5hj7loZ3rv6RBc+PwY/U+Rnf7jFmPHEKgji6aXBZ8qljpi7oyMj1+FTwJBor89WaISl6Xlqs
A51/knDSS4eFd+5J+0ShH9LI4hCfjkj4Sndx9qITgm1Y204x7zHbtAecUFxkTooXB4d5lJRvnZ7y
DfbCp1FlAw4AroZ0iULwgTiQsB4LsyJH6jpnxGGkC/1I6VK1MfXw0qbBu2vvqz65je0MrLfBQ7fD
OoCpsHwr0hs/Gd8nJ3uD3keJVbgx47HbEBDdsbkB4TPSVhbhG/OG4IkA7W4sAxKIO9o4mtX0bNdg
2zKpP8AD6Y1j8BDzkiVoR/OjyRgSljz0MG/EVVsTaZUxeVq/Gg+21zxIj7y+DQKD4JDt8H3+obcF
OoqBQuMFWIUkMkvhaqL7lruSIv80USlIeddPnceUHRQNl7K2TzIonhNdAXn0unsvvgtNKkuIXbnQ
uHLN7PSnxsLHUGwHSHGrHXRUEeP9E/IXFnvIzLmxQ3ShKCmbjxSYUToBSkIy3QgtGD/SLb6pSAQX
RZXAJq3jt7Zw3lumKGT4RoKuVZ9tutKaVn4W31cObBQVgTMCmNbDSEGm6DEs38UT1kwClTwkAE6t
iBdQbgJoatyb3xFE14YAKiSoKRorDz07IqrCLLRc1xJiRZ9xjYYA7sZvtCuEp2HK9la5fJ3ocbAr
6y5y0Opb0cuF/nnXMF63E/s01EvhlAJspdtuI5c4CEOGAtaVhs3GVWSa7O8mSIfFD1gYgxCQawgz
GF4B6irCspzG2EGHbr4inBGq8Mv2OnvMC+Bj3DqNP63ZnoDrzIfLYkojxRqeo2oqiNHgh8a0JPzy
lA2flXjoBqM7OlFqXrwoAWSYTo8AY1+xi3tgDnW07wFPQtwQD/PE3CYB9blWkyof0tDcmQhvxKWo
bMq662QOz8piGBxlxo7Qi80IPMmgtyy+fac9aifPvvljsPWcNTHeFE2yfpRxqYksuih/rmjPU5++
U6tYHBqz+dWEVXlULOpfU9t2nnNejL8V2o8OpEuh7nm0B2XFDhvkW5O0Z9q/dWA+OsxNjY5IEMPb
Q2vwkOt7b68dFkpcEJenRsXXtkzviBbcwBv1mG1Fbx1AkS1NXXsGhtaJGcuxrYx7Ebd0WqnPyuzA
XCybhFZuDA7u67FCFOQgk65ww3CsesL2C0RiI2svvOIPXHXm4qDFDT6AN2wtudUBWSOrvjXbEosN
sv3dhBc2tZqrk3fsXBw4hMGIwVRORHN959JxIxOvCY+TA6M8ILIKO+I9jQay3PUOhKV/8KtmN2Oo
msoougQRaEIBcAgHeSjXpfwxtoO1hzNrVleGGA9C1RXLsbL2wM2PpcjXZUk8hpR03hq7OM5zNJoZ
HZfYm9IvKSSYTWP5r3MDTrx6aNqaRXhEyRXTTQHibhUOsLmCwvefSasxP2cp9pBA3IExiNbnWkxE
AE+eiYUicUH7RcQmj1WAmdIIaYhwkSc3WpTD2m2ZgZVhjk8yfxMdDUBZh9Utqsx0bTYBMjckzP3o
tNtxindZV7q/CvOgWoZNtL/Wd4MKMI+wbdwAHUk2jcYImoOfvTiJe+iDZ88YxnOOsu52RBMI3B0t
l/lUhzWo9z6ThI8p7HmqONexmp5CZvdriCPnWJu/8NgDacYR6hRJcAqKyMEuZV37ZD5yoz30VfAr
KfWLkZdvUBVXbeI8jMMA3Z6qJwRw8Yl4cDDYnG2Chi2H0/yk/OQ8Ipft+mzEEIjTbnAoIgvZxuoe
nEgHjQQi0PQgNOd/A3hPzOI0xPmH72me7Daj0Frqbdrh8HLjlyGjBMRsiX4HlffQlNl6bPj9210q
MWOFhv0us+xHYz41PqMLMXxC73LXXlAO7IIUvmrr0Z2cuyjKn5Ici7dQ0dqL+QyirA152uaHQT6H
xUioLidrauVNAh5MrEEKITXgUKZC28YD4e+qbr5hsvTTT79pBvoj7SNKKGyyXPmppCZM8gMDOCxJ
VEWbEJLIthCgTIw2u+aq/pZnjC/4ama23kt/W/Xxm0vkG2e09ziPyYf00gvUmIOfXUHG3EItj4/R
u6OaK0LdbZ+7V12V3jHxUiKW2TFj+psBelu1YY/IEfDiw+AXyLmHxlxMf2ytSkwAjCqj/JRn5o3b
K33FuT8gXJVL5KsmxWnpixVRex/O9UVkfXpKa/XdyqL8hg9z06vsXudD8xTYoBFM4rMrR1Wv/l3h
NsEp9NzlwoH1Z0XGXjftt6qN1A1Rr2EFR9fcp9Eb6RoAeFIj4fgiBevYEO/p7zXTJcMCpzHyGRPS
ZYdVxe4xA8UTSE4BESyBdcu5w2/ZVXGPJStD3wzBsNPZdOj9/MxUL15uNEBvg/1SQr9ezgpiiBPK
LKYfwIzZn/OIAX4a49PFH+GF5ocVRnxs4ExWGUTBYSSzkrpMp0QTboPAide5SwQVrspTHWDKIH2z
CcLRXOdd7mNBcJ4RRoq9LLsrEaflGV8yZLE1nmxeJhc80QfcAbB83F3D0HKlKwnURp1MBhgb0acf
ZSAQPInaR23P4FjGOHb0IvVCdW4ydNEGw+Fy4Eos0bLfYOtkdiSAfbDaVu3otVn7Z3apP71ry3bI
CCVR4vo7MY6vr81Hvu7rndB1R6KygEgUf8xB8zaUw7mK4o8wXGIBFUu4GzzQTG6jEPI9OjP4HPha
ZCbGOlPO2kYOu6Jd9GpCe4lpjjnVg/OjKh6ywp3vG/JfTko8NbbAUWuwPwYIAqsjwS9dASzdSj+c
xe1LNqyHf99aO2b207mHphQtR4IAfvIDie6rNicblBhZtcwz7rJR5tusipq90YOMW7jSEP/48OZn
WXje/ZDLS+7zIZgQNfKOZISRa1hbzkaQln2uNPmGDsJLSuM9ZQXbWpf8KAivm56drRmSHY7Yw3ZT
9vF13uw9KsWWQxVJn//zvtN09m1gCMXgNDpMHWkfV3LN6L7pto2FCOv60SPO3k1VT8OpnepLVRQp
59B9H/XjdSIzSmDimPQU7hXrYfKaG8Z/UdH5FydrbuyBo3tC2/YmDGhjlxOTaiKWMH64T7DPubuM
wd/G0TGL6WBP15KqQ3i6KiWOHoaHEMSFxTA8SsJXNcGtdNXFmQMDgWDSa5XMp3FhZVSmd/Rj3pxw
uicyTlhzW3D6solmZQ3gxEaMW3zdHzGzPRbfhwzJovT9J+L4N6VoP4fk0+oGBTKUW00LcesMLlAF
LhkOb+1mci8RbqOJTog167bGdselw+QABvYAoBUe7iYmYEi0cRNTq7TSvNV5yK2+vM+e2ZP5r3Wz
bvksNphV00uYSr7SZYYYIaZ7TzZwMXjJxlPG6QPZ5ToXKA9yKOxVEy5JfI9MMam9K7gphtzfiv57
YDEA9qP+zgmg+HI8sFmrgicH49zm675ILP6fgGuDzr/jPetB4HtPSayuxMkpsrz5uh1MwXOkb7MP
t1VHUbOCxnVyBExtr/qRtFE48WuwBbJz01kvv9fyXnt8bR6pH4YmMdrU/j4dUU88zI/rzCMQNZbH
PiDb5eL3hCXUbgYprxMT7TWMh2NeHLMpASaO14uLc7kuQXVzcgq7u4QgdljslgeikczXME12dRnj
Uw84ZDAbB7iMduRolKXlR2G+uzEWL7hpph8mG5zfX04wK44hy1MJeafSxjZfNkk8YREsChDqHqCt
jpR3Dw5mdDmFJRJ1CDt+i661NuCCQKlLMIfxyO7z7GNysVITHzp4OJUj/PSrMvLmgxHyLKym19wq
3a/3xrB51An5Wic5tZIZz9yvj0Mur7mIn2Rvf68JTH19EHWrnqwB5EIaEl1kyl5apKQ0E4/OdV+/
JLMErOj66/2dFsVsHnD04PTf5V1/HZ3xIYFgm+U5LDu5LZIXv06/23Nzn8VjthFKzIfMI3hS+nhP
HMbhq0Eyse88divmMmo2jVZvqcO4uCMXsRqbedf6xhPlMr8/IL8e3GOIez/QP5SLGAQxIF7p3fLx
fy0Bo+qAHoYO3ldeKRk+VjCvvWM7epCidY/o98SUg4HBdcvBqDQh45QyrTepLMIDj/OWdRldcrlN
xijY4bOC+x8hmTHZU/ax5lG7Khy90Hl8rK/6e1W1z2nFOvQnAfiPmpN/gy59VzKGb//7f7PRev80
FF0EVdtiMOpC3sF7oChJ+YugqhoXt1YgnR1QmhUw2cPQ52eG43iytw74H1V0P2IuODm61yhh/f0S
DbMqeFpemVHQiZuGr8tDYLnJpJ99et2pnE5jUd/ViXME0LuNe67KCvMhz0S/MgFAcOc7obwmtngQ
/1Fl81975f74jZZpMygu5bh/r1WUBl3OnWM6u0UTzgd8PCbKmBN/0ES1L8f+FVs0L0G4x//7W/lV
PP2P+fLv/2HhmBTOCMEAzf5b84ooinjiEMRb2dS7ksg+jSjXRQbuEmNrdOoqeSwvT5Fq9q/WsuQv
I0AmOR8OVcPE899stg+TeVZx+y3qu1Uv8p9y2dz03M3EcDFGlJueF05fz8eyZ5jglCSl+g9KQO2/
lsX9/otQHaMc+iJR7a2//SJ2gqE5mmJnNwhuvOWVL8+/IR3vW2PBFX1Uurnlmj/W8C/WbsojDOjr
h5pihD22HpKnQ8zLapF13RE8dHldHvEpT+DeRvtdHnKT9WN2WDPx5a9ciB0r+39vhKTkabrsY1rb
ewRHiyRrbJfPMmLv8vWR/WcPgP7fCpv+PxoTCT7xfz4mwnX27/9Tx9//PCNavuOPGZHj/iapHvN9
nhuMdcRiAPljRqT835S0lIv9QzER+jJz/OHzMPirpVSSfk5TOtIy/zQkMoT4DZcHNnjFgEmYy/f9
C04PR/71AlZoVxb/ccwjJi+T8MvSw/inKRGoxUYQ6jC3bOfGcEEYoTyRdYZ+clOEsRie0MUmk0Dr
YLD7jkqFUFBacvpwpk6yga4C972zuiTcsjAsNBYMIdi4/KIDjGBOpf3eCZV/BEOL29KEd44Tovtf
1J1HkivLll1HFN9Ciy4QkKm16LghVWjpodynVUOoiXHFK5JWxQaN1WTn2/0vr8gEAu5H7L12HrEF
RcXJMN9iAGrcdmUI9lgzaqEz70EZXrcy79cEiYQ54MPI//lp02BsjmLqvcZhroyyo9+aLCxIrxA6
CT7ToBIY5lxF8sPGNSVDFuJWQRyH2nCrPV4nRPRRVXtuLEOmh1vTF3N7nNCEdUcQesR2bOYEXtM1
wl3pv4gABxFKaHS+jGuhcwATJ56J4joZKvzhw4jKzL5VrT9bN6jvjeymZhJUYFG2gZUg5W1W2PaU
Bjk4SWeysInehIOb+veBGmD8Q2rkdERIPXaElH4zHxu8/JgEI2b7+9RNjBnpLnITCxcr0gOG8bIs
28OKnydo2elldE8kutXHRTHa0VWvUyZsjUc9Sh3Im43PI5PExgw8f1sn05hBCFuY6OSTIpBy17QC
VMurUyhuT3sUCUpHZ/SzcyFyFBtLqWWD+r+waeVljUjcIL+BkRh5E52NNSKiqcJ/i6i/S/q9o/yb
NKPLvJ7bqO7uirTwWHw1hYq+orQD6DVZqT70oFaq+5RoH0ZXQQjSLpgtdHXSrUKXoUqd5vkzLzXF
QuHYknZ1nmnczcUnkiJkF3RIOBnXP0vocTGGfG0ma4rpHPM1vthPOF7XJiLZQYhfQ5uifgRJCUv8
WXZFqw5sxwu8wck0wix0QhfihuqcqHszRFBlJ9RyiQnEmL/ztODeAjnfuQwkZwOpOPnuumIp3wGa
t93Z2zppJrvy7Cyg+lnqeBrVMw5Ps8g+kpbRZ0yKlAOMJDJz9Tz9s2ISMyORI5iEorjSjUjfmmzs
WHko+Gi7BeV/t/Nrv//oqpnJTDtZ06c355He+MtiWfQUmUsKq0J26klhfLA9QRdNphsRYmjL/Uc5
2Cns8boOwqveGxYqRtexIYwt2XAC3FQuBwSRqvyoe/TYBzJQm3RfBZFko8GmpI1zY1FfqUX4FlOt
mgE9vxnBdzmO4pMmQUGhwJSNFWRM+kuqYQdcR5UxXrJinIZDi3sQaIrD1gFr/pz+5miXHlnEtqTp
CB/11NQvdsCKwXJNnK/efNGmrNE0s4Dk/UbVotbtSGX9EQJL0ItakDZsq4r3iMgc7TF8sj0cuxmN
KWeJyErGmlLx9qLBcQ+BN4w4oya4k9e5iOqLdLu8ZjewgNI3vcUPcC3yEG6WATU10O3gzuwdF2bk
oPoIM2cAgXNuC3O+nqqSmXFaLQmAmioKBzraWbPGmNLyx0vyjJ2Ay6CZCX9Pm2OZyxAdlSHTp8ps
2SZo05KXsG2j4okFho+gXIUjohjLG2CE4B4UKMHHvP/Lq4b4M589V7Gb/ADySh3BHmUAQ7ZCXCWJ
J1+6bsB17NcpMxED3JdilySpJ3ifQQNEUFKCw2KmI30Y0yoHsZ7baeZwHXI+nQAZxWotODigcVFI
psUMG0942LtjbQujQCZQAREJciXQ3Xpmx0CJDOl629apaPeGl6r0iNtTMNZrXONJ1rb/Fs0isQg+
kvhhA3YFf0zJmTcIqBnY1tA9JncF4+L0NAvF+pjo58I4Lez23QNxHbyH7axyaMe5r9qz8OwaQ2GX
DxH8VgP2vmTcumwhNaHOTsRUf412wieQhTUYIpLAqb1xhYUC6mI7AWhb8gJ9APZ73P3QtbNrbZhh
epXMs9vd+kNZdexWrfKnU6Mebjq3tY0zL/rMrB++43Keq9AfzyRqpQ2waYMH7yohVIIGzEPWe4/r
BK+5bBcEtK5Zw8xh0dphJrA7anttRgYRdoR3GBiek/mPXSMoC/wJAJusgJXKTusA387Q4prA94Vp
FJGFE0wHgflj4GCpo5U3JaclLhAY3mF/JWzXZ4kwkZx9VzXW9OjxvOe7aDSqawaFi7lrLahELEN6
F0F6vUzmNwx8g7lfn7DDMGol89/FSxKIoG6b/DSTSSW9BCHwCd1qKu8oyQquEHtg+9Vzczq6C6xY
YUVJb9gTKGYGVqrqZxOre7tNqHdhGdrRzOZphl60aatqJfMiCXd3fYrIAwAFWrTrpWX+CCBHVPJ6
GUIx/pZ8R8VLW9swT1C8w1Rh2zBUT0Y7VuG1GzBzvkheXoYCC6fSRqjRW6iF55L4dV66DJ5phJy9
Txf4DeVkzw9EbabqFq8RHPGkbVGWAi9qk13ieu2wA0jpNneEFJrDGXeI9dtDvKlw+PhJtFvSWnYH
QlqacdyFBNTqmxovWTQ95TL3jfJWu1lg3hP9jBXcbQDoxTTnw/BQU8tPG5ZCqt61fsDgoyIvrL8C
aK3DLaeUW52MnktpF6RtEIBBGOv6CdyFga20mDC1xKjwnEsO8IM17TxhJq2GujEfmP+O7ca2e6JW
yN5goKy4A5YbLtJsOWeA7oobpBdmfpVMYfU3rGnFG+gFy9Ow9AYatLJBYd4jp/P3PYZia+f2HfBU
CfS0lJBLA4E0pUE4uhcq4CMKJrljh5BSwewKGZjhS9FU0XCDB62190HTDuUjnLngLcXtLp7YyixY
i0sbjFTJ/i97B2gJU0wzg4E/WY/sokyW290zHbsBCHiol0SjUSzbEhhOr4rgOo+qiqwfVyx7M/MH
iAMJSRGbks0XMypWaeH8mBCYJ46Scs7+DtuVK5hNvrRBvmtRh3tgqxN08IA3+imcbEIHAcQA/S2A
yUWUhAHUjk3XTBxzJcWgvEuMsMVlsRAs95rqwIr+aicpOSmHppKrSM+p+/eeHeKfNQumt4i+OPKk
Zu5427RQTx4lKUtzLMsWnCCQtDQAAZUGbN66ocfpKoVFSKeGj3soc5m983RjJRbIT6H8WmWA92GF
rpJ/VpTf7mBWLYCQeqUYqs5lGA+wFOSKlghp3+0gmiwY7NZi3YeKzAJQYHWJf67sh45tiLss3k60
AeLhblGFha/RhvSpybQ1SQMaiuAQRf4grgyI6QDVXQ0QrkqQoMTuLGr8n+46jA8T14leIwv7z9EK
0RHu5JwVAN9cY/YimJ3LOLwHfQhSgLc1c462lYa42GdkxPuFe7GC3F8kQfc697MZ8t0TlGahykzM
wH9tYBVwo7ZzqVdMmTk+IVHiD7LnKa5S3lMNldKrrE0uTJmcCn/wrZ0ij5VABeXYJG7NkBn3tms7
b0S0hpC1F/bimGHCyj6UJjrNLeA+QpEGqR22Pf/9bvf/rZX9/y57GC3i/6Wf/fd/k3V2MY6/vf5F
MpLV/7W15Q//R2tr0aPShKIrREDserSk/6uztbx/odF23MgD+2Gt2sj/bWBwvX/ZWJmsALGtbTNx
ohn9n+JH1/6Xh/GJ1Dp8B2s2sfXfaWtRIvGd/adhXWBbgWeFAAEsKuu1wf4/hnWBTclq+06+dWYD
7GX1J7KxfciS7gU8TU1qW/eegAradz6aprYsz2qe50fuWecGouw+SyoEKlJGV+NCdhZa6eqYFG2c
6gqb8Gh+D8AY41w5/XWkoOxgIjt2kZc/9pGDiivSa6eZmHcNPIbVlJUq03ucFxqczHGWc2r37LyI
jm3D5jXwi+8+qjBWmIKlxR3dkPdU9v1X105qS5XjnIqSHMZiepIN4h6BmhqmYr9n4Te9ukMKHrxZ
4LNXtRPbc3u/dI2+0jkA6jxc8KqxPYPPhToKejqFKHotL6eIWGDaNmGIPFzBq+4pfmGajicvi/a1
Kuormg11V0XZ71Jk6sBI2ANulySsKtGDkscj74aRtDSvq8GFVnGPtvnitc5vUyRvup2nt7RCI76u
dLLir5/am0LjYQw5fqi6C1jDSXem7rpUfKRJV03IKM3BQ4/ywPIMTWXVV9Q892A9tsWSmC+VeQIJ
Bm+9qclocbg6w8a9L+oSBkY0HsIpYyZN6wP+sVB75H/k5nDVUKP4dNrZi8s/vTHC6LmKJHGpoYBM
aT34UKk2lRmdchV2x8DSAwNcRIOYQGPUmz9NJuadGRTltUlUZTgT3ROUk9hj5ZMECzLSzRaIq9j2
64BYm4z1UhGsreCKVRU1GyPQKBAN26rd5PAxufAjKoZQyrOdzFe24//qhpuqkt+CDGbCURSgBcFK
MuwyBvrsC2K/UsWetxHQF3fMjkTl6ch8BOlq2xVglB6tbpqvrbbfBY7KwPT4xbabzWcDUAB+7RX8
wbIort102U0T1FjoI7ukKY6SIu3OdYBBDR5CFyfw18H9uGVMQ7hFgEKBgkLsHafMYbujrzRwax+T
DI1PCp/Hyctm27RYJaeJiXGUw62dIpJWurTTd6lLbSEHglPaCXydq8FdUebiJbB2Mmzr6xyn6nUz
+OW+nhpzY41FSLjxgvM+Gs++T/8kTBQeAbdoQACpkxDvKVDAX6XCaGI5tvcuCNrbPQxIuOEpoW+R
lN2OPtUgTpWlLU3ACN2+k6jz5U0QLQekwqQXZ3tSvMdLyqrNCAv7ww8m6h9WZRrvRx0p52C0FWo8
xwXy5RR3OEMp7/vi1DroWxZQpCViqv0w229pGxJHgo8J9MS6ZdcMRpzFewmrzoxL+qLDnJoMDaKo
OIUWSRuJurgTXlCj0AxrJv+zhNuTVPJWJSxDuuLXycMBwFHpn4mpiKeu+/JEn1wt8309mHCkYMFi
/t61HtCvoB0D6J3uKj/KH2Si8os112dtwL9xqq49eWb4OmYOqrq2fXXHwEfETI9twPY+jjK5Vwkt
BBLAIZzr68pGZTqw9H8Iy/qjd6YTck7941X6EWBf9WXV5a9PqrczZd2jtYxyB9Hu1WPZdQY7HOCK
kid3ZTMzCk2oyarP0Mm+3TIuABG05CEnwAhu6GCYrgCJKnpZ7IrE6IEhkMYH4K7bEHPdbBa6Ts5u
Amx0cB3lBWWNcAKUVIODlZOANySS53qYd8sC2YM2iu2YIx/QCBUUmdavdJzX0avU/h9ftd8MZw3M
5VS+Oys/zxcWEidLLfxj6DzHv2WcIeKaBo9ytJ4Ja8aIzts2FoP+mbvbuphj/rYdLpYVhV68FgEW
N8Br3nYOTSJa8VTCG10LZ1Bw003eEjyDGIFI0L55SbvsARRjtItEfhfW43Ec1J8S6ilAwcrgsj5S
dB2rvjgWffjjLllGqzu82/NyRMf7lEfWI3J2DdhtA0FlzSfQN2o04Q33PB199uiLx66d3SMoMriZ
xJJu+8YLQa/2z6azDn+W0LouCdehuMZJbM3zEafaOsPc6OwfCra9tZn6IBh+N2tCOQAFi8yuY6HY
B6uuAVdIqRwG6YdQuFyVjUJBH32tePQCfMBMvy9hCqV77lati8l6axCHmtnHNqz821yuAt3ROUYD
1H/dMhXunLV5LPa0SVW7JyfybGB55OUqjwTh4Xy285gkwfbUHZKFw9h6c8em3dT9sG5erYtU4SVz
/CuwYSQCdwNQBaf6ln2XcdnhNzJXUTwtGcF1LWnELdKfjcazBuSKES9zwrifMSAwlbwnooRIrD5A
+DF/pTM0WoZsCLPd8b6lsLhyK/d+Zssy4TsGCJ3pU5LrX6x7G0TTPyCzDXTZ5G9pUkIZoAB49Ja3
1nD2stNPuYfPqqRT64boh4CaL7u0R+hByQmFBFLWQVwC3d14CLRiFrLZzjfELXGWkFlRWG+Q/L1B
Zzkt6GnP5QcYsB+GGO2N9m+yhpeIPaof24X8yJsoZB3qzUzQufGyrn2YzA4CTc4DPnWm3ikXz29P
To+H7YjTxeYB9oPD4EX1aWBsxxJKng0fzlcynYXk8cK1cMA3sCvDY2mxQCaHPVa+Ihu6fx+xwW9D
gFiESxu/JvpG1IzXedcVTzIkswtiQmOUSMT5tMaWOTAS3rEQZYi++OghhPGi2QNs6dZeM5TOvexh
v1QjJPYyJ0+qHo6Fyur9pOXEuTsjYk10GpuNuM5zx6RW4HsiljH2+u6VV+IOVJm5LWb3G4epDaav
fK3BVKByRvdhV2QXRwrqWek5v0tUcadCXiPNUh0Xc75YZnicIuz4/TD8lR0mid7ynnqzQ0cyg+dx
BMgFHyKXqt9pn+4dFJaiQ8CS+ekr2Vb5tklN/dTVYIT78b2SA8M1iyXHuKruUNAh7hkAMuhuSOJl
amE/DcWLSIllNtpUHkI0EKXs/4bWsZl+59OBGmtLFqLQ0gZ4IAvkKDaYA9KFwkEpSFCAD8shit3S
5GUNOZRYR/hESduHDLVo7zlvQz4y8RidK4bh+dkBPbfBerRKKg6S2e82SrAJoE79NGt7p1ITBYXV
/6aoJfe++YuZklWPUnrfM4InThjLxuI0NLhJe8UN2O9FPXyW6++O9PgdKSSloCwYkn8ICrLFrred
MLstGjR01gtNoVXj2anxZQaYdpGRrkm7bcCcsZi+PLf4WmH0t13VfTo6PDrRcjOJ+YdRSYJtlNw3
owayPi/PPR87JL9fnec9SniXOOX85zBdSrw+FpQQL1OoPIYfMTU/eUWT21gcgIhZXzD392fUJZR6
zp7Ngze8F66XHZo8P4Xh8uY5+ZO4libpwDKQd4a2/4rQJAwAel7a8OA64iH0zVijJwcXLW79XvSH
iZJmCVCuieQmRUUd9WHOQLE8mQuQY3ZvN/U8uTfj4l6RwXGfO/2ONCVCX9ObWY9+nCqEnixB4KIA
O6zzv3GIE2QSKPLhxvmAbCmQSissEX4g04oq7x7LB5w6cSI3QR3qJrngJhv3rqEfGPrcG5Gx9wu9
WzhFMzGqbdvbKUQW63PVS2Rzhyq2I/o9eUiicsecjpiBAVMITlYn+i4n4uE7/TUPxV230oLYQmdE
EW5na9Ex+0g0w85P6DBXjHT0pVf+y+Sdkx4hkJdgm/KL9LWQ+sHo9E3qwbsMEdHtXfvKtJG1ZkGU
7fGU3iWUlQ13C1OakbxFRNk4XMjE3Ktcv8DEvykqj58fnW9bE7/Skn44JzhWGj5QJA9cheKS8O0B
wd/k1Pbocixofnwxyxywxc91NGBajsSJJdj6oIkH9C2fk6Bt6urLWIdfS5c9B25/8CqokdRCGUc7
CuimMj85JR9UA4fcMxB4GrhpB+F7JzQEn2Mgs7MpPuvcWa5wvQJ1ZA8DPT5iGQqanoOb+l3EnqKm
WTq8A5Pb3oiZcXSNOSCjgd1MbjrG/Oa/AaYScQLzQRUHRDc4u1pOAhqzR5N7fpcjISclg9YSvZ1R
+lns2fnXzIps25tJwQ9OqqylLoyJoDBW+gm+w5VVEIBZoUazRts+rhNc6FKskHr+Zmy6IGgVF2ji
BFfscdeMwRfWlVRetTxW1kIwxBz4O+QqarhtM2kRaog5O8/viLkqYJeGjwtkKXzJ2HLa2xrOJTcF
GJDqyeHeDFUldiZSF8gRye2s4BcBzeh3U1jTS/jerRB1xQaZFPnR4Whzprw8kI78WhTyPlXDl7Ok
y1ZPwXOD8foqsaMXtM2oDlmPxtjRjF1r8INDlc/MCMqrgDwExhbQ47Bp8u7WcFW0IZOGcSfHIZFz
pFmG85sufP3UlFwkRR/dKPSIbpKhFVJgQSBqIykPoOMl/lGCuG80FYwjAYBYbpgdpqpOjzPT2G0Q
9JjAo4SZWxT91nbivs5WVJ8rDQC9uOm1sRz6HgtMKRZSAP8pXvsUbTvOGR+9VWaBCfSbnk3MGlRr
gccO+JwPoXU11NB3gWThYlPeX2OgPxuwZKJqm4FPrtdM3Kpy2Fuc+3xncR6ImxVgG+NuRp+HBar2
xpMyM9jKpgXTk26LfMks7V/cIaPIK0I2kklAwQK6WtgYMOx8NUOvK+w8oPru+kdvpB5l5wvV7Cic
5EMEQFesLDgumlQc9AM/aa1IwDWh+jJMPdY9CzMvyjBlg4k1reUHIuDbHNKdjCDfSfvGDMdnGgpl
qr+cngsIfgJubNf9tFUE4J6xDT10fd97TKarnmzKMGrfYVhuxo52qyRWs0X0i+gYKBGl/57MFR70
6s3B64RGwN6vR35U9McSdOEwYEZyrfoPtR93NSY8b1KUatWuKljWFukKgDHUX4OntcOmuC0bCAyF
aEAHJTjmbMDpubPec+2FdBQWEI06Rqo9mcSVcPCSkNMkHimtKDfbbsQZQqy87dnpTUoyNMNvlfNg
pk3wWa+yhMaVzfPsDyS12jQlzSo/JDdttfJDBzRN+ZOk2Je0QAI40wrxXQOlIPptWzTrr1wSJsMa
fTD9ClfsuMmWq0iXTJNBHWxKuIh4XEB0s0AbUUkJ3d8wqiU5ohJ/LDMfrIruuVuad/rDY9CNDtlX
0Ujbhw1zKp9rMjT4MrYyLbp3f2FSMVQMiAYPM4F2xe2iMapi6NXTDEm7BkuB0OqaVwGCpnE95iuC
dcm4Z4Nnfx7d/UL8LhDXbyHprRr+TN2pdQ9ZfHcVgQo0xVTIPVK3HI3ZZLxBv2R/W6ibwOKQlREh
6N7yOlUCxmxOWrEN6XAxnLcRhl5hUzJZLLdlvfCEg3waVUYl4fbvfM9AnhCpUAgQtz0M4jrEz3nS
iiDvYsqPPPv7xoBkItoi2evliwib+aZd69O6m676tD9OZG/6GcLVbCnqGB1WXIXYbroUy1E32Amx
CN++zxyinnjeEj3tA4Vef1iNPyL9hJQ7MM2AjQQfY2+ba/jr8odgrN2nFE8bB2oUkQTPSRm0R8jq
ha1P2hgO6YySc3AGuQs87zy02txJq6QH6h7a3jSvBNuf7bJGzyZQNMVcy+0oCvdMDuFZO8S58U9u
cSXCWCSfRlvkQke4bfYtO71TAlqKPc8aasZiNb5G8E9o54ojxdNNUartLaG/xcHXKcY/pC+bfERT
rAJNjGb9F+pvc0IODVi4eEwi7E7ed2d082HIaQJ8ExruUGRQSXKNxkI8h05v0/xnH06aPlZRofd+
62envLIgsGNFzTTAy6Fr4XQFRCRDsR15HTYdQWm1BLcrrhkkAVBTGZASBqX4XoZ4rigeE5tcySXK
dr1dXkZW4ryR/cmErgV92MOQlmKva8rooiyeJbt8tZSHMEVrJjF8l7kVvdGCUXxXpwFK4MYm2XRL
Gt7BTs2e9YVs48IorwusBKzG7I05Ga+WTXSgYbkHAPDYQNX1HKU/HS6F23r8HWdJUUVwDkxwHJCu
DaVRNmQSEQxVNrwdoM62U5Y85f5dWRQlwe6m2q4IFa/GToo1MU3nS7LueQd6CCcLX0bJT9zrho7e
Ld+R1oS47tuL7G08FhMLLklQZYRtEEUrsHAMGSbDRq82fuqpFzsouprQu51u0WUbkbglDTnbGwF3
qa3vw64f9gCyP7Ik+FnJ3ZkG87gMmIuygJHlanANQEfQUcg7Jr90T7M0NzVVllIG01symZjWYHvD
WLeteINUBfq+N+c/nzskoonyk+ro5P4BATRRqxPQDzbyjAz5xwDwtsegqvcGT0gcOsjO2QcTd8LF
ywUcEuKYPJcqeQ95emJZqc+hw74y8B72FYFVoMnIg1gYvinrXK9SgzGS7yNFXcB0aQuhBjtofVnI
Togb/PW5aX+YSYrdmR3ZJqCac8QrGLC418mbS2dnp490oFjURvpM6cRB7eKBpa4GLl/eiYj+PTe5
cBVqGyK30k1GARQqrG8zElCkFjhs6K0ucjrQPuAWRzXFUrKbYIJ5701Sv9Vi4YagoAxzgl/6xPmw
DYoPyml3O03qo+/IYA07guq72KzG62oIb2lxYLKtzykkbjBGOOEnkzKslWfZRKhgaMdDqHW7oBpJ
+yMDm5k1ToIAvCxStZgA3esRafJutr1vLG+rPkTtPLX6KUOii23T+86KZ7hSGAQiCobFJVLBpkUR
tQGBnzokSebzP/+T+6vAgo8/+mvm0Fn2W64TmM4ufkSPe6l33wh9z3CHUsKhx44TcDC4EFZmfsYD
Y3M+LuSxoJXaYo6YY/BMAmVPw0BK0wBHecDWdY/Cmwu5m6+iFTcxcNbHVW2/I299GgbiaLj4Nn7J
568hWHWThm/KI9F39oHlzU5N9RBcoQL8LgaidR28cByO7VXHfQ7OcnjOgvlJ4DMhlajK4yk5w9Sj
hzPhanbE3xJugNu+u2cayc8wUdsS8ci9RS1Rh8v30geMoMMoTnK1rlDqr87kxxMjiVfCu4sKosGc
Hi/bgAAvnfKnzKgD8kvncusV906RPERZc2Cv1IKRS+TWj3gYMdQJOPdVM8bREHct2hdR583WnHCA
ELGyUeE+Y5extWBxQ2pmZjxM4hzWcKfLLiOekTCNmNF8lwGjH3rUfbtSwWT0J5CGThscCdx+sJsS
mdhELm5vGa/Ya/m8c5rpgDerrQ1SZc3sWiVkO+gaJoWmhK/0tCsD+apzyAlG+5PleGuDhUpEsrci
qdzdQkd4Qnf0pFvrLJPiKQ943WYPb5jbHoLJ/R2b8RAVfLKLpuBvrCbOa3VrIADauP30g/p8N0hq
UmWjF3PejIWcMhrPi+9XVxhx3ywECmy/p8tcuKQuk9w2hVSu87HAExszDvxtw3ljk5+1xSiEI7zO
HkYw2Wy1s0NYWHFSDMt2Xj0gbtFviND4gKhck3Fn/q2jA5eB6SZ/SDxGmy5rhK2B/hPx06Hto4tZ
5bhsByRq3RJ3XvEhqZ1q0KkbsqNHnl96OZZmO9fhyKmH8GdBrHWPnKfFYph/Iz3FWoJqlEPnt2kW
JpftcBElCz6XV10kmJIrHNq+5EVDPoE2xXFvrW549sSjSRVDohRP6sBkBCEVctFs+qvC9SxIyYND
Bnztp2x62oCL0CNFRvp8LVHZ82yl56LJPjtsNcXYcu0Rccu8ltS4SnyoiOy7oIPDrzoiAZu7MhqZ
HqecqhSU8ZQ5uIfL8Av+0tFdo81b7o2NyTQRTi/jbeWCwsKcKiQcBJ2wCTKLotkTdGOYvNHUyo9+
Ke4pxp3tFJXXuv90LDKglqC48tek8oxEp+0w2G2Mrv3Kaklc0M6PyUaZKSDurHwR5zm0hr1nEPoE
N6NjgvlgutxytoSg32vv4IOwp7DAGhbq5skw80uSJnfoX8mzV9yTVg7Kuw+SG2x32ABfgMZxrHvV
X+Xwi7TlqzaZRNhsbvAEAdtsedPUNKPRm36hJvKhmLlQzdwgbTW/DP49b63NKUxSCcl4JK86aN6M
8o1V+P1/fH6civRHew8Ei51BV//grYGJiXSCYDfnZVm4o8AvlQzF93nKU71IyiIJXiP665PstwCM
SvqbfU9A3pciTcIYg6cxKT+aagxRb/BvLvV4orYY14EEgYlIbw1yKt12iTGZcFjAWefeZZSRrE2y
cWny5G7k8SGZo+SAQrgU5Q3jH7cZKa/s28z372QexEjNJpiQMPF5CjnA1jeLTeiGtfaH2Rrv8P+d
eKongtp9arsSz82o0Fcg7sDO2J8t6Kxpl4A6b9fnOsTtaabGzUyWhKmjjyzitCYXw9pgEz5Dfrmd
S0Lr0H5wEaOFCokQSCe43kuUwpHm8o9addXlJrMn74mI44asEJZrJe+7tZifcyNzSmJnid31abC6
5cSyIObD89HNrLGINto2awM34y9GpotvjMjerW1Vj5WnMAhaFJvBs0gBSEs+Sc0whLvCMC/mApDA
DES6FyWv88xpxWTmKZXA33JOLADkIKoxdI5mAuyN/8IzXGrni6aZZr4gSshXq1rUZ3LFLzIfjJ0g
1TCXnPCW4sWpRfRbzs8T8Q3/fFzZWq85xDXJ8rJ6ilih+mvWke89DCkZKkVQpHtHyiMLemOvzdqg
SYOOSNPk6chigMkKbJ6Nn4bgiv3iNntj7o2tUHzoI1ke9Gp/9KJgicFGWqBm6XfSpjhFH16WMHdw
0reOqIaG7mwLDX7Ziah8aAElqPG+qTnlE5G8VGJ5QJr+YxbiKRu6+9BuTLog1hsN33wmDb2r02QH
hjvZugEtcmEkF9+ZSGTJrG+rIV5EJ8aF4Id9QGDjRk7DCYm2R7HR0jeF7qtvLkiWgV3viE9YuD3H
nLnO9D0u/hY4A/KoUL0tE711djI7dmjcknRTuQOoNXsQQ3TlBvPe7rG/1a557I38OZhYnlrkU9bG
N5MKggLyu5mmZVgljdrBRUAathL3MqLGtv1pv1Ddxl52Z0MzojpIr/QU3WSgcoJJ3Ok2vEITvSvx
4cqUbK3M/mhDaOypcQ0v277iDtv1lftbRl6AoRTzrvWBTZc5bkqCmbI+xkz32zR6DTuqOs3sx5QZ
+QiKT3FK0xjUj2HZGwev8I9W72N1CFBdevTMtd3SMJaZJuw3ZPa+GYyUnDq4NlslnVtGV189e6nY
9fInuKz45KCjY+INPq0Jw1R7Z9m9pl9gH4oMkTIvHbuzbTndwYdC5+bDx2S+zvT3G2Ns73TPhxFd
2MVpJ+RjuJRrt7xfZts/pyCNULMQbt5SqeU2rnTLwDtt2fdW9YUWg0KOx5TPAdU+kb1GhGl1TA2A
R3xk5kGqYy9pezAa4JmmnnbD/Im99XufKIlo0OLZl9kjOgIyOJtrWVUclFLBsIIpmpKJ9s+Za/p4
D3VGADHahSYdaJW9ZYKHNL/3fU4QLA4FvAhfhEf0W80cJA7w81YCtO5AvNSmzGo6DEewqPTVtrFf
zNB1dlFj0pBjzwZoQyyBmqFvY/zgxOtSvB9ub82bSZt3XjKe0I/z46cYKJP23GqGZp0iyyYxQWQC
/p1qvCQ1CZ4bQc3pNsZF6pGTdQZew2gBiTIBffRgJxm5b3nOBN8x4MMvCf8ZawDPCrhUBPeZDdTE
pH9w1yxstyPQSblBG89kam9BU+4VCQQnevHEQBRYVK2Og9UB1oy3KnL4ONYhnwCjO7hELtLil/2u
mv5gHlHuCjZXnYsgVCBjqsn43FfMXTZFqwn44TB05Br5Z0gmu1gpyStg+PQ/mDuz3ciV7Ip+UTQ4
D685j8pUSill6YXQUCKDM4Mzv96LbcNwG/CDAT8Y6L5o9L2lW5UD48Q+e6+tcPAMb3KUEB01AtdR
k/1fQn7/BSYIbJD//HeU4L/8I/+jR+//IXBwNsL9z867JdhERTj8vybJ5l/xH3Y75x86jEEe375H
XaXjYmf79yCZ9w8gwg4ZMcNA1HHIlP2n3Q6goOZSNeljV7VwxDl49P7Dbqf/A8e6TSbNMzSexgYB
zf9FiszRffdf7XYEY3ED+f6MPPRBEJv/LQepRU46VKOx6ULvLMpqk1V2uq7n/IthIjHApcNwvfEm
epB62b4GSb/JZycTPdlc8CMCZxY4Cu9LpyzGMZrZeoEXLnRg3pdkqaIkpWwDwcVQVLtP6Cx4c/4C
FXkFVUpNbUUfSuoj5DVGy/dYigXGRJ3sTPpSuD6NG7Vah70pMeNUD+AK7nJ0qKSrw5fM4LuZcsmZ
Mqt8wuhE0kNvK+poQZyEfzA/8/x3gxP5il1UWvuyL2+6DeCmsDK+yuJvKyhG7MikY95eaRory2Ay
JNXz2WGS40eZVH/CHk1zTDSgRhS6WC3VyujAOA7waniW3CVT9qgg38i46AE4oXp37J8CTRLLMYdl
y/pz54180UvowTuflja3oXQk8zcdgD6oEcvA1iEPzdJxoU8n6T7aZBoXRYk+JX13PXQZ1prK3uYT
MCgKClwK95bYs2hbqA6BMX4Wyyis2F7U8J5FhskJwzS6Ni40naYrVm2Ybgw6txx/ApdjZvgMAVMU
zcvkZleLAB0WyTiE4UuXk+IA0/XrgE+iz0t/J9Jgo0CVFa/E6KKCvsts+vJLb25bjl9T6X7LntZs
j/unat5Y48itX07sCtxw28AvYzdyVBTyPIbe2o8th4+aWnaRqQ2DKbS2Iq627I/fXfrX12SKAmbk
WtuUAzg3o3tNjVyeDE2jDLf7tkazXOkJEb5s9qopP7z6Ubw2pXzOiKOzFo0pXHRniaT7AQMzvxoR
YDXxmfmM9jH3phOvFFpfzWewwKYk/7Bkmd8R8dVa7rvMHJpWlQnUuNae7PxjNNHUSWH8CqbIvuBY
qyhFxBmN3W6kAy8p8abQ1kQt6zDk71GeSuJZ/PHjkVmUmXbR580hsxI0jrZ8Ys0CCSvwjvDnjU1R
DRGXhHRf0IG6MGMtXRtGvCea5q1beiAXKL8nY4D8FKvXgZNxxX7tPI3JD7b0pRdBmGMH2SxZags/
u0Eu27Dz+izLfN+H4uiA2Ffe2qohydH17hfqPoWTtXbY9jeO+ipp4MnaYt+Y6a40zZulBHLsQc6f
984FnQlQgwONjTussSaxqHCTMXgTFM91gJkxhAJsJiz2JJpPUgERcjcdZGXw9OJSyRSpnfs0yzTs
SnC1trVqeU1qYydHHaoVlrdxhj1bKmdrH5GebmCNw8SaG8BdllmZ+Cqs+I5DbO/oTbPw7eCpyrmx
Et5DBrKuxhTeyN3tUxrpOh99f7QptyROwkLZfZJj8zK4AekgkRwIjPJLYpsi4MXE+05hZVxu5yID
OCXalmYWH2cuoAVoVqw1e387FMzO3WsOFM+F53az3XQXZ2QvGoPg4GBA0VJgv/kGGfQnJxthQJoo
FOvc5LWg3TmmjXAhqugQmQY3L7pbGxCICaQB6aKImDBEu3iCvFEN/aL0fR6g/Bktydzm4GOgbsPo
Curqg7HZ9Zn55fV/vLq46r17RsPUbrVBjQr0lW+G8KtRso/KNNM7dE5K8Xgj+0Pg1e1iem91nlNl
0x+xmhwF3MpzakDXK7qLMMb2V2cv5/AtPvglf8d2jWXGagMA7DlUkJetUWtpbbCLdSd5M/ssxPii
u+G6ACnLiDRyCoTKeIHs7i6oi2s+G6unotEoThY3+DWD15C8ErOyH009By7DhEdQGxVrz3OPdQJq
OymtZy0R6ol7UrVJBqps1TGcPOc4xJh3YczKAy2TN82MRuCc3OgGXSUbs6yKfdYlOykYqPUG9WTQ
dLFHFKZhCAcYlr4634Tp2D3n9csAERAGNt9gz5c2zkoCaplLs1wxpRcdR8xSluzQ9LExP9IpfUs6
VL0sME62ZWpPYvxGLCJGk/wxVXW3o1hf9T2bSybqbYA49ITzGL5fWX2B8Eqeg6RlgxCF2SJh3X/F
F/VWbfXIzjbIctweeu9Oke2bJsoPcnf+2tHUkUYNb5W6abSJrSa7di3TZNUFEarmhCAdmvqFxPWP
EO3bWDu0Xnh5szVHbt0gjGLLCmm9idZNNX9y6spZOlr1MIn6tABsOYw1a53VN927OF5KjMiiprsu
eMZQwnpWBvcNH82NvVyttsonLQo7B0qKqK1bMgDMtpQb82R03qvonKl72vIEbb36rQvZCoTuX3fy
aaFlc5Di4xYshUNCfp6YD7m4XteD6axco9/ZBuEln1048UvOsGzuPJwN7fpPmjjzL/i1Sv1m+yRb
sRb/0kdyi6mdXjvZcM+7aM+W6bfxkBMHyXa9UNOJ/MoqqANKxXKcFi6u8SnDsSjZvaQ8E6uajo8G
16uDVTpPNvogvouo5fKWZndNxT+N/xGZ0V1CGVoNzgBd0flNQm/lgC9RP8ng/VFCPkAjNgHCTnWD
U7hz7HGtBQjrGfUteyw5UBq7ASQhjeMtTjWXLkTc374rbgZYNEqyDCpBOvGVlNxdRDZZ2OfJ4bIu
d0k64PvkxfCn/NKASiKqhbu+CG/w425pmH5jTFnB2tpYgUrxEbhnXIJPjnt1PXaWScqdRBJ2rgA9
ksKMejoaMEeE9NAAMseb5VPD2L/YmcFT2xkeWtwtZdyBPcPuouX+GSYV0fTpQPwJi1y6HpP626FQ
2Y8KYvA9V7kGa0FU8aLDr2khRJMRzbk3xXMEsvPCX5N+myV/n8NCa4Mli8dDFyPcFhbvEbjfl6hq
x0UNkA9XHb4y89KN+SUhagcMozlWaJuLpPjUC9S1UeEYgES1Fp6ereyg/MYASaI3wMOEF/FgILcv
usJBRGeOhACEphYgWJZWf8ZADbmsxgpezgmuJp7yTdGhNNkAvGKKgvPvxBxfrEx+UZb04TTl3Suo
asSyx7iq3/BgfWtFKbbVc59rYjumPsljLeNTS5rJK+tDOkT3zqzjrYm+5vn1m/9Pa0hkchlFz52C
vx6x8nU81o9MIBJJLsyh150dD9iT7RGqalwWlS3m63GyPzo7/PaZM+zPgrNsZZlByFNjkSb8fkjY
4zpgy7rUUeKQStFKx/HReNUBQ2y0szUutKIf2GvSTePiX4pLkwGreJ80+VAVZ3uIrGXDysX+mt1N
OlMdz9jrnvNpjKxhnaLmtsmnR7NFT/Dr3RlgPWUVf9GdjzHnz2TAG8ut6Yp9ENfTMzkVsnHT2sgI
bWRBebB7bJx6Y3dbxiVcFLYEQZ1dKCcDIRl7H73zpHckdUix+MywPa/lxo3zeyL8L43cZCFdXAV6
sfNthooF3ICEN0P/airxbSXwIx2e1ypzaEoskb6rkAKftZ33n1rfUJLYYjQbvFfdTt9h534SxZ4z
FdpXHRXXREORpw0dlOqppsppLlkm1CeoOM5qJPh8uCVI4Nt8LhWTQlxVHLgn2RUY9J3pT2uVB9Te
HmV/vCqO2WWINuCZ6VFBw13UpfYypf5K6WZJMLO6ODCqwE/woU6RYyBnLkuLwIUFAvKo0y650D1G
RgtbunKNAB64dwVGyOeUgoKIVaSvgC3ogLrq0PpueI2IhON3tbXDkJhiP+GbMEBVl3iCtzABnnui
hiwNGYIHyRmunxDcAMtuW9N+pByB+F2YvVW1091EnNIaIFeHeiAGPHnSSOKtljPE0+sxedmW2e3e
ttpz0eDljoP8I9ap3xrlGCyxLOEfy/apTvikJ5bF4rnA4Mgg1Wv5sHb6fjsVDBoe1SKC2+9KKVzD
qdLKrSiYg2VTDGuflcKGxuO/SaxZRxMTo2HiTlKWx2eIuPamcbXvDt4j1s1T5ath06fg2ING7k2n
paSXjXvspu1B1dU1Dc3LCJpg5YPLItKirysQAyhHs0EixCQZ9u5l/q+0zX4tm4HQTh4kxzQMj6Mb
mUTPeTbDBriZxbxd80BRF82FNrpqQceMu8gFXy2QksuJuXwBDPfvVItTlJD9x7CGbZXQ49YYWM6E
+iNgsFz5FuagHPABV5+5QYP2prkLdsL+Jsd2l5ewOSxVPg2vrMy7bV+DHhigPywATvbrqaN3VNow
ykB+UdXdrYA8wKzF/WJQablqtOLDEDxAchzdS3FpWLi+s7k8l377DBvmZVTj22TwBrmhpHHqAgSB
A9yG65q06HiBc6pszuDYcG/kqukjLjFlJc0jSOsPe/Cs1VifKAprr7Tz0kaGCrAqMVmNhdfuwizc
EG/fV3ivb0ao57fW6JOtzf0GqXTaDbqvH2IH1EU1ujkFUw3JJy4GTVHmV35G4EQfEubqLnQStckr
dTWb4pLgLeSmXkVLSl0fOXV6jZQMyCX5iqRaYuD1V0NOcyJQ5AWfxZh9u4rJrIZNCcDbpQRaq6M3
s8z9mR4WIlqbz5oHkIM/dZBx6x/pomFQzNsN88NLmvt8yPKcKFmSUuwVeALLRdC+BF3rH3yZnqwx
OBVpn90p+Z51BWwWbZzd23SnOp2rteE4m4JVEHhA1e4n1SWbRGqn2otqhFxjCXuDj1/PVUyvjb2v
96+NCYgEDudLUeRso3G5g0cbdyiBE2yp9MO2QrbkuuTTSRshK3oKTABd87iOGrQ9oFEzRTyECW7h
h3KbaA84Y9V3NymrG61fzRlD9W2sxzd9GLgUxfy4Ms2fsR29VV3krLEIckib1KMKNeEYHHEKSZW+
d4JWbNv063UJBqBodY6NicbpakT9jaCxDvVltOPwWMJSjnAwngoV2md/NLieFlcikvcSKgLDD4Wv
Uxye82R2n07Bn1axAe+CtzRKt4zAKaEb/VqEcbSjPWWZewTjAzv9KI3iEjXOMjG8Lc7QJ+LAGDgn
cz1oJBHJUwgoL914YVERkahb8LR5QUoJAAfGEw7ZxGFOBhXBLLAlAba1fDrw0IXpFPJXrZNe4H/w
5eZzQ63Fko/llQm9Xgz0w3A7NC/1OJ1ia3wYKj1jizhXnl2sXNs86kGgwZtoWOU0G29I1mGSUy0n
4MBEVb+SvEDYGq5+bbnECFN/3xL5OvSdyUeXL02lvgfiLE/UBP/45l/wkVStl/sB8twuGOa+39A4
dGF7JH9br3Fi55vh0ftCraHilcfGTk5J6f4mcciK18ZgOoBNIfeprkmmX0m/gB87QBeMsAOH5LeZ
XoXOO2tVbzTZUyWgnkOiJ6vMioujyjZqHpRro8MM1J+izsTkBLpo2YHn04Y/UDUuvTs5HEZyYZjD
BS8jy18cikJBsK48vCAeEGSLYpqxtx/YeT/ZK7IqaYuPFKGE6xRRr7DpN7Rbt1scFFRHx8NRp9gP
/cv66sr2UJM3SKr4pxTxremI7QBPOCRNsqlZNCwKux04P/JPYwnJLjqyrr62xCNpNHURvtVWJ+C3
4ZvK39fsZKv7G82Uf91Br7e2/6F6PvOAeBruyiAAAu80xYyi4VTeawECBaIAetfAuKBdG5dLZ9pG
+ipgUdo0B5COLmz1Xl5Gs3DWZklU07fCDWsK9o0xR+JIVD/2IMYCtYFQ6hkHow+3yhuGveGweS/8
uStSX0Yjfd5Ame4p0b2F7jroL/jSOtlkwB+k8dzlpv48WfdpwnLLYYPZpvpILYabmT+Q2WbxlIn8
b1kZV5kKm1S8stdt+w3eNF6HBo87HJAaC6xwBdMK9yq0CXYRziGoLMRSAsCLzm6YTWi63MV1w8YX
rOI0+cdAye6eyrjdkfjnoeKb5mZQbAMnqJN8tHj84A74LLOCHaSGIYhzvFghGJPTlckOqOPO6Ngn
xWX7zNlpH+DhEp9IqgATxHRJ3WY1uDS88xzdKyODuVSrz6oF2CxoxtixmuUENbiQ2VOugQDEOcmu
asyytZbZxROnV7KlMpqXhWWhmr0OdLuy0Bn7lR5rh7iyKEzM0TazHu6ePT0Gl0t0mHTHsiX1M7jy
18MYbsYTexjWeJhtHn42ZaQiRbmjYuKJmgh3O/lsjUXFIJmns3cn+Ft2FkhvKMkcEXwXW3a0LmSc
RTxU67HGZccyi1vJbP3tzHJvhrJZ8wi6RWALFhWUv+XoGV+ZXudIpUtXIBMWQYn3ZzB3A4TekHk9
znAguXHVr2kiydKKqUMbgqVWVh+Fc03LehMbwoV8Wl8KXIBL9m/42dA0KIF2D30UsQcPSX+1A3bL
1kF+rUe1yAtC7GlH73eOm4+hmRLOwDiHOovDJOOlFEmAS6uXT06AKw5YDXDg/ejT91L3JSHGjW9w
r8l9og5m+aO0fEch9SqupmU2Z+Tz4VH0BchD+A5Wy1tbAQmGkxOPa8ElQuBUK0Swd5SBK7PGpU9H
EDt4/d0fq3VQpT8ps+zBJCQb6rPXe84Pamxc48bd9ZKAoRboL2whiYV5Pd/oSh7cFidUUOg4ZWWz
EQFbP5INz+PENt61BotFe878AsjFzNtLJrgQpgFzO/+26USWN0LCElt/PFG4TeGfxSsVVc9jiZbn
zW3mMjuYo4nQlRA60Um5U8QR3esioKyIGgevtbiuZdUGB0+08y2EiKmTH7FQxSY2e4oMa/bvdK2s
EAd2mjeUy2E4FVH2wrYa56MW372czvEcvs1z09NrHmkkp7xuB7HgkmRJT4FH84ozYFxi3O2xyTpv
o60zHui0grkjYCg3eqmb+stus1+Tztt9HJ5cPX/wJrW1FSwBoznbQoZ73+x3nWNfU35RXBXOVpjz
Ja2lL6JgOGE03WeF36389FUGQm1qjWHMGFaxV1fPhH25XyU3wSpnSUXrUXfUxaG9z+RJO9EvFydJ
iKeWbllfcfSmGp9bUifkUMxVkZanxra6LUQ7e2kfHZX/IE1xR7DczZhk4AcKWjc8GFKchCYGKiKu
gU86Mc3yD1nxG9dc5g2qfeA/47u2TcdadcL9GHysiU7EF4vwmLZ0sQWuS5PinDpju+tHZBRCOIG8
sk8W2tyqLTscQdUfnOQeptnyKzdjBuPG/ShtJAklq5ZY0Qhl0CBUzheF+Z/tdsxzrEXjhRulvn1j
WneiuhWAp7fE5Nn++DCYhiE+Klv8cDeancjdRu84Q23m0U3UXWODyV90ifniAirAmpMgAhDgYzX4
2lpQmcP0J8b6vOE1Q+kzukOR7eKOQd4makxaJXRenCx9tpr07ERpurczcst+AEjI0sjl2BUBoWGc
Q1X0jLB8nzHf4h3E3sCAXx1jO/wJuy9ef3Vs0/JocJNb1QrzPFbJbmsDmX6jn/NJlLV2TE0+hd2A
ZOCYKCI2nQu5OVLDXnfPrczzvTfqRMUxLOQTQ4QXUmyrKrEURf3ORwcNXdFjHEu6F7Iips3FpAEq
LDlWAyRGsQNxFK76iUuOYnHEuM6ltUmGv10Qjssh0u4U6tVtdhhLYnVsgHCEDETAR79/0t37yKMx
cftn0kvawhxSzOb09qymBDG39nGZWMOsXkw0N5NGwI9Z4Ttxu4PqtNfeYFsuVcKI4GcvQWuGuPVB
0iWGSWsG0MeqKN0T5tqVJviMD2H0BBzuif4cebJtPMW+kks2WhhstZ6jXlls9YlSlv0z8vTcvDG6
K4Jmw9FIkRyDtNtbLQcq4Amu/uN8pDVopV0135G0H6WntHyUHcxdfJ+OVC2VmOLEnPqTWWO0tQ3/
b+wFR4d3swoUcmBRIPaE9J/WFs3sg1TnFD/N2m2NcTGObF5p7aFak9Skr/atXbUrI+YL3gRkREyp
b/OB4dCZuXgWVL+N59kEBPQVnam4AKbhHow8HQbRuQsvrrtdNVKLpPjqLJO3lIptnF/+QL2D9e54
7EdkjInINcx0+2v0mrFOBQY/x09wkO2MxEUO1+1VOTlXU1E1jVq0VF2F8jJZH1BZKjQ8YlfS50E2
BYQGXZ0WVzJAmjnVR8cf/7gFG67aiugZDyhJsLR3ehhZMq5NDR9nh3y+U+JbAIHm8ptEu7SlLVqM
Dm3KgHsRjLAwihaqXIdOlRuwBKDnk763pYmzsDzHkdhGTvZnwLkyTWThm5yj0KOva7T551j3/jGH
TjCYVemmEh1/GFRKrUk7aqxQG/MS1ZU6O6y6NnWqIi7eh6CErtJXa7CfkM79Kwh3Ywf3l8Kx6SmS
sH1hPGeblHEE30Wfr3Lowehl816OaDWW6U6uIpeWNJsHVt765WrYNLZLUAsDVJfLdxOfIYAvXhE7
zNe91WKyZTgnrZ0fvbjZdkWACiHjs+f6WGawcqxdTVJHY6FqeMbwnjd2sdd7RbSmsJ6lR/Tah6g4
ucQQeI+tKCRC4YtgQ7VltaZGjb2l+i1k9xHFCa9Gj1Elr3R5hgJlryRZCLentC8DjCdUiZ3FG36k
llybJgPIV0KPo1cHoh5HZBq328oWL2Pm96tu3rorPsk7bkPb1MLC5uQaVkakbrsnxc/VF5iGiVtv
8BkGPFEcpmnwTvYTGsVzSoH7AmvhCTtxu3UdWB5FtDNqTe2zNgrn6/eeFMuJSanecdsbWImJRwdu
PoxZVE4Gne6jkOlywiRnWC637KTn6jS0FCFkzmve6y/RxD1KMLzzGi9z4pA7Ly/uiLnA0gP0o6od
KK3fS81UbPYG2BJJ9sYp4/LvgsbvtYib2pD/FJ7db+ApHlk0JAv+DNGyxBwPpP6QJTatALm18VQT
AQzUvifsRljEjGpXOSRa0BYaNCIvA27dbZ3mT0zoJzOC7iyyvUt/1rYEibn2yPTESXNMBCBCWUfR
2q8jh77A5NrVEyybkrxwoEf7qtd3g0eUimFabQN9fMOMOS4nsHKQWhqMuzVrI9bnh8q04Ur3PoVB
bbdz9EftDjSnGfPE3c7R5nSlMJXuRr990A3TlPyJOuB5GPsZpFplbxWmuE6BD8lysdGtEiKamx80
1MxeazSe3MUxURzVaIePuH3JisnelXMDtRviDOd0oXe93EclkaKSdT8t77aL3mXCtl06wibGlyEf
piXtwxZGma2GMsc7GwVrKHAYVfX8T19Sb4NcSm+swDIS9VeydLx1keJa8RFY7sto0T1iyz0tEaAW
ETjhlZXtSh/Voa2NA0o6uJhD6rKTy/nxGIn5TDAqZuXVke6HpbjQ+hsnO7Bbc4t+XLTIBJJSwRIy
5QrZZxWZ4pHAikNWmB4GQeTCLPYkHG/snUHCyP5uTNYjcvi0zLSpNnTO1WhzprTfWT99EXNFjzGs
17aiosUMs98hI/tuGadZZa1b98kqf6rAk9yN+gPImQobdvWOurmsMcj6hcND20ifSOvBrsTLze6F
7zuTRto9OppN8J0+z29MzbMH7f+TqeYZ3wil9M1uXlvK2SRuZSOtWf4VMX7pj3a3wt9GWMM9qWq8
mlnTroJ4PPCNeNP1m8LF4LzhzKhYdAMwJyK20YazHXU3JyzusnFPuexvprfH90F6o6hvDHvrKGrr
peaXN44t7GyNWJK3fgmaryL0l5H2NxxfUSKMJcUixbKW1lNSHW3ffiK2AYYVA8iWrVayzNmBchGI
XtFn8GESItemYMVzG3kiDV7ikP9RlWM/m8wRz7R2rqTpTk3qr1kQXIEg7mvKiMheJdy4QUZnwUsx
Nls9RVh2BzCbtPA8e8nLWPEcE3YA1KJn5okQEoSqqjXeVn/eQ84kHHRpMFsVGxQTb2foOXvKlddA
m9E6AyL49KkJlwDPaN9UKqp1g1eWbazjbVSx66TNA980ZnM2bg4nu5ojNTMJZQth4z+ibHqTtthF
xvAhNWIaNSJ7hSi00k32aCNuYj1J7E0lYfgZqlprStszz/JutikpKfMD7vAD7wWTdfNkus1VG9G4
a4vizzm1bcgvPTqOZnvpzG5cGeAo4DVtLTCnaGuvfPlYvLVEnPx+33bBQ2TiOvAZg87JExm1Mfit
I4ItNZVH1ehdIkfeqJ//8BTUpiDjGxElZPCmiNHLS36lBVQpvUXwnXj4Zx8N1pG0i+gATS9kqpZd
62x0EZFZ1PppIybiOTrztA2oBN2YylqeqznaJAsR/l/8DI3JHFzSHFHEbL7C0j4Zns0oZvUarBdF
5SVTP6+I5T7o0v6sCZn4YzatlWO4NEQZ5xY2Ai+0iWmG76SmZ6yos+eUJzxbOY2TwPhxmDkyfl7o
mNug0slszHCDlkQ4rV41mAl7baDkLTXlq7XwOUj0jnRP3Y73Oo1e9QIJPDfII0hTA9/K2To1mHFR
PQgxXKGadOtmbE9Nkb3HjtpONopENokr4/gKb6DNE8YmWjkzr4fgD8n6e4dQx96ViElX/iqz2fOs
O8rI5iKhqWUZBNfEJgUY20wjachx6Ob8ePFdnQu32Kgmq9BfwDiw4yNJQWIRg0Z+KUYdgFdbnzyr
/DBsqIzO5P0QYd5qmlia6ZxHdalZqWftjihSXRS/vvIvZHMIULeXlo7wtTbpb2PeWWgjmPVNyUaN
s2hFER6hwyR48mdzqJPXFxro9lHNaTfNpZueuvKWsPrIKoaWWYSwR3RnpztHdQ05qmJIrtRHzM/Z
NSOblCb33zh0HQSUlxBcHeKHOazbp9yRxom7PFsRn7t/x/q/noZzwClCDdEDuAEHca99+v34FMtK
roKEyktRSG1XDmLHNEi10gCvI+3Do6o9mLWpB+dXnw3g8SbzAmeLlkDQPMgvZYs/sD5nFaAK3cPC
AVTHm7X1ofpBXe1WdT/ydVUAgug4pwONaFNfX1N+v0vwvjAs9OZhm/LdbTFHpUaEG+lzmsbToIl2
KUMJ3NRMDiH8OfjazcKB8bUohnQ5agzQzfjlB5KogKF9h8S04I/gtw5c5zVTGu2irY4tzP8YI3qL
mZzrxWtnxFR25Xty6Pscxcazk5d8ktFeVOUZt06xMemlXxhehZq493yYXVQZpRt6OS9uZk/c9OZz
wmk+zZoxB+IgZjl+Ft41VWHThN90LsKq3qLpsplAQmyFRakwcib8K29NHoy73ni2EYqX9JMZe1LW
J4SdwONJARrpOezxhNUR4FgpjO8yKn4I/OQzuSvTOr5OBR0x0visdIDpTpW8Sq24dYmzTvVEvdpG
ucmon1QSMkU2+Z+UMcyOeXND1vY3TduFcKp3rdDuThhQz4KVEnZyesJPwIQmwjsBmxcrh5mNf55m
VCuGI56aX+D6qTI27xThcifHts500K28gHddmm67Id254sk+m45CNhXmsW2YKpR9tZY130YelYao
YRUJDF6AmGWMCzQpuCwSBqDUMppt+vSKzuqSiPp1ZAfPPa1CCUdLGLRqozfoXxlvcJvRiFJm8Rov
HAoKhitTEwsyIOkylNp+0rQvNohfcrK4LepaeLRl9JY7qb5XDtWhMMGRJPxKP9d6vdPC5otUy7Sd
vL5Z2s2007UpfnPRuFmXL1M8dQMUfgy07T3WCtKneifFnq/GqPhnNFX9KccImbQtzEOhcZpzRSrT
AIOMrVGfBksAh/IPGHNQQ81oHEoR6dBwop9YxFvLGfwt0PS/Jc17gL1aWhqdJ3OS7oZWdhyCVOmk
oYGpFCMN3qH4mJU5b3O/ijzNO7MJzlapZhWr0te2jinSXYZwhLKsiJl419DwGLXmvxQgEpdtPWKK
cV4b9CHiOVzPrJETkFDdPm6tq2LBDF1LwU6qiEpk4d4V8fuke1gPEyJyihtw3IGZCTrj4Xi1vmMl
FDZeeJ680TzrpPw3tkt9pq30S6ZubsVKilCjPywh5RpLzD3jKva9bzYrdz1kCPPKFekT70wiHHiJ
mvyzprLnek7a6ibxMs7UXeQN4iAabd+WjPfUfEeLsaYWV6b6jg+0trDS+ld509UIjiGClavKO5w4
8rnGEozovfOSZ7euae22xo9ChwunXPLhIPVC8jJfRmOSI5jgxwWp4fHRbE50xgMUeZAXvwZxu0Ke
P5gmeZq6OUsYpBm2ULxKBDAy7p/J9xQ5D16FU6U5X5gJDyb3bi6HX15dMtcZDVRLLVr5vfgdPaeC
p0ZF14DFMAS4PlMRSAQ27DTLcGU4LnIuf4mE/etr+o+QHc3bFqXIoyr/JDHUtNhzvkofraUv2Y4U
wd1rA5hSAioCCw6vIDkLILQFV9Hsk7F8D5l5coNrUpdieALINaRH6jAJSxaxTTnR2nHFW9A65vm5
M4Es4lQPW6I9kRdt8MsxUpTWT5XOVgiM2htA1a8qmJ71uGU526OnlIKpJO1eq7D7mUTBKRKEcukb
KHC2sazS+KV1sQo5yMxtvKcURc6Yj1/p95DhSPK5ufsc+f4hrNwn3dta+hrUKlkohnmd+HYTUvEV
KpyvQdTha/CeFLCTNoc6n0Iwx1DO3d0kmxu2HAGvwN4CwAjBLCk8cNNjcdxPTkLCJiKOZ7MhfKvy
6R7B4GBbwPq01P1b6db/DMK0pnzCqHlpJ6/mAxI8E2wDGsg1tQTCtIyDZCkDNrApkM7AV++hJ86D
39yDFE2NC6mBDBU8G057hyVNPBEUhENn0ewPO/RiLonZYpYkco8DbFf7zrFJ1Yfsho3FfnXEQR1K
Hn4xQ2bj93x9/o2rM9utG9mW7RcRYJMkk6+r79dSL+uFsGyLfU9mkvz6O1gHFwc4D9tQVe1yWVps
csaMGMEAYTQWXZPhi+t1n1RBQDup8b6Fn3lob9va2BRBcQkzJvKUjMK6xkyRkEfLc381hexthM9g
P2DQ2yZuvyGpxesXMzJhpn7t59ZnM54VR6yhTT+TxZ5dzdtoeLIDTRjbZMffsBak7rxI9T2RFU4X
+8mNjDd0Ke80Fskt06Sz+x5xQUh769J2Akmdbw39s0v+SM2i0ze4oAUH+VyQWTZVEMJKC35EWq9o
uvqL8Z/yYkWiMweYYLBKqUue8d70l2p1Holxd0ja9uSchgT2gtHxMMmhlx6SXKzMQb/BA9NrxMUv
02A17pwcO/xMyv4nWvjaWXyuCNWj7zuHrvaA86n21MHbPlDzgdspMn4l3esw2I8+kIsffVgv1z3K
EborZIs+YX7j2FG4xXfPu4pkp3Mkt+FtDXTCpav0ITKbMjGdnWkRuTp0RYIVjG59BT6CBwuFbJdw
5gxHyUyypbaz2UZtuFciP5tA/dlH+VyHVPGuYvh/5KGdYE/LEfpYiK8QThfET6c6lR6jM9bbw1Cw
FwpLms+Dj9ZKf6hfn0x72pQLyip2zR83/rFzl10S3X4mzQbr0O++oFIxGddtuXxW91mWmwSq4wOK
HAuoi2pvDRCqfehOnwHgAA5+4tsEIUKEsyK+IZ5dVT8HTf1RFqk468ItV2xbuCnYWq0R0IOdThqq
Vn2fC7comMYLEWwcG9UvDGnwoFMbsA7jLxhchNQQtOmUQuCUiUsofIJLaMcY07Jh3oV1rnij+4/E
IbuW02rWDQghuqKCIeIyi6w+3fvhh1lgGXA6IHMRiKxiDiV9jjkG5oD46iLLwOlP6Es+2XJgKu1k
xuWe1mtRzMehKv2dHAzjHLcxCeCyv8SWVW2jInQJDsevTo1ByWlSmC04yPbDhGpLXJSJNfS3/UCV
CXfll4xIcLshQilja0Qz7Dax0/IKuuqjTflPqUT/SGWFq8HyyHpyAhY9qrBcGvVm0ElZg/dxDKL3
uTAlAYbmoQsS3XOPAw3mLMBpcFxqaJt9IZJTieyvGC/WSRdQ2pSlR1Mq/1njAwzY8QsJPLWk22eF
8zYeo2FtIY+RrK/u3mizi8z1pqfEBqcZZVDRE/GHYj/7/V+l02bTD9ZXJPS3TmwfzaPHwmKj/CG6
OEb/jZv+3tfRxcud39ngjtsRC9DaxOU3JqZ3Sgu5m+z0M1Lt38JzPqVfbYBpCXyPLWZz90Gf8oZ5
iHZY+rBsuyQ5NX+orC52NdaLoZWfZYKUn8bM1Tp7d4WLL7Bu3+B+wSwmCtOh8J1I/78UbQeWi9oX
WrZ+8fMFhUpD1AIIizHb4iSN8v0ol5gQwBm8g8upM2KltUHKAgHnQ3+a5pMp52dmdFstBDUOaZdB
2nIjTeuGFXkBfbdH3Qb1yWjkufBDypW86SvNFPY+U56waEKsgEhT48NbtaU8pzadqu4bJmlAVu0v
P0Mxrsdmpy+BkXWXzK/xxdWtRdMgM5wVB3KDiYG6GvEnCNTe8cA+hiGXRQMcfDXHwcdYhts+gzAD
m+/q677ftzbp88x9E0MfHdzYWqgnhBpRBS62Z3CONphxE9dFP2sCZkich0lBQHJ0jS+rduuNgza/
HpzmHI7pM3Sj5FJF8T+MI7/p3YN46qHxrUhiRNc+zF9hRfU7ZG9ir2VzAVjMM5sLZOXxTOVF1EaD
v1egAPOK+h5DfcNvWpyl0wcpNAIgblhtaxMBgE4FhCWLtRUIAwxBMXWvuLtM5TJVC3faYJust02v
HnOYP7cWGNQuJyAGhc5YdwO2BqC7FbnToN46ONs8arouVan4w6I/tPymOSayDS2IKwau6YKrcq2N
ZD60/AStqJ0OvY/dXmM+wX9FV/hgps/AJIbVL69SxUWQz+XHzrcuXPu3sKdPK0HUhkazKe2JSdNn
rYT2x2oqWJxgPAiwKKGCpeT+IQ6uBh/yXCJochvdXq6jrONB2W+MLNVnZ4Jo5g/ZFtPdv7SLTjbZ
7iOwopj02s21qttQpje71e4+KJg3OQRYR+snqqwrjnauX1NbT00EoANFnf/58c7teLE7A68/8BiY
z8dl/wnU7tGXPgIgDoyqfpIDCXnwWM9Al66Dp0/cI9Uezb8/luz0+2sQpftWGe9O5wCobXqYiXJr
xGpby7ncep4GZAM7ec9c0OBKbx+k0sKNoYiPFwY1wjgB82dc2966AK5o0EpeE0e2EGZaolQJLkQv
fVVJx7txWufl+FYJp9/x3viYzq5f/PU7ItlsyktI2h70sxBUD6WWG28oYhx0zJWRl2DvCcuVdpuY
m0M8e961rWqqlwk/8uhmPhi4WNwRqJ1FbROmBPI9tJ1hCRMIbR78bSW4yDwiBLHZTAiFjbOuECVr
Ho6YIxC4uWPx4t9benqPAJKeU3/Y8jL9MgcoF0qxy0tYubVDeJ0r/Sgm9e243ruXDl8uKj1L8+Gh
5HZu69Mg0Fdhg4BTHeu7P1jbKPJhLBmwD4EsfvuiOWCO9NeO6WFuVvLTyUYOleWLJZqRzIWEsAux
YtbZhhY3vqcy/qrB65BpFs86zilTr/5C/X1pA2gZlnsyjMTbDDm37oQFLaXkzTP6MyUP4yYwkDQq
BLag5DlNSpWPJf1Wkbu4BoGNq6SmAILzLyFwbDDdcYp4g6SyTE9KD/UGyt4Zwrp19Njqr2IhHinp
Tl5M/iv96UTm8LtVmk+cVP/KDNgilZW7KVOCJAgzGL7KUeAs+027KpnYOis2TU7pc8aLxm+Nfw29
WXvb97iqfLUTDvbjPDFudh2iJuJygg4UyG1swbmL5ItKQw6Vef/XGxHS3BTOFsQDlO/Y3RdT8do5
8T5qmjfWmmqrUBfL3po3hJPSdeMTEOJxV+xE7f0y9JywBf+xdP3j22Le6ZdBuv5+Cmf6Cnp5sBRe
YDr8vLVfpfd+3vPuZnuV3hOt5z3wrKt2xDZr6C/IYx1vJ04RcHlqilrsC3Z4uG4YHnXT/vYK+buO
Q/zRYfpmc28UXMvosxy8ezLqa8e7mY4GH17buCp4+FDjlm8ZGjNYf9ul1qcN/4mhuMFsZNAb+AQ7
4w4x5CNw0n0WhNMNNZDsJp7jbRlkOwzZR3KOGRskdvrBJP0dlDEat8KerrP6mZ7OarusrTZ1JV58
RWDSmMW34E7fTXVxG1o8S9Zsfi3VYBuF8QM2zpm596tk26/gxa5caxkhR3FKBnDoKFHXCpckKGU4
7qUB8wXFB/9LMCTQEScTXmCTXzHGJat+yKc1HZtM84tzOZWAGu2xWvvseGRof1p1/yaXJu+I9fcq
mj8IPN1qNfG1B4LX63gBzDXcuTYLoTCn8l5YKuBz7uq9NeHbsBHk5HIDdGW+Lx3c2jSwQY4svhZ+
DlwUgo0WSTNnsjyQ9v7G5eiFhZrttYs5XgQlBVXOaD+MaP4TghMFxRg2e1pBtqLT3/BUIR8USA5x
Vx0ALy2TO8yeWJt6P4bOa2KYnGIgEuomvmXJgk9o6O9xI/vZekobniNYx7/LcNgOvbrEPuZy3BiY
buKLkkwhJd12INv6/TqOuYemefwtKvmprVButfHEuBsjMmvJtrMvaf0V24Xcx0+VZLcfUczE5mab
qgDo1CLGd1l5Qw/8nLQyGWL7ay1Jc1F4hEW0XxK57WnCEUkQq2FESc2XjCI5ykDJwRkdJjYfxQFT
3DqU0T8vqy6jbKeV4EiyY9hgPftUl/lDyI5wh+eMPFtuHd5dzADMWX5KcQacWto5zrOr9U5XNpiy
MZy2DthgYqrxMUy54YIkgAtcAGkemulO/RHdKGHkG+smGV3gbfNww2t/dRsTRils9auMW2dXDfa/
mTqXU6TYpISmRVlN4x/Ypm/J75n7pohYRBLtJpXy6dSuPEs8PlDBQriuwIDWVjRSxD7leH8cjgZE
O3syGcT2ygPn7mRPtSLu4vRDmWm3tn3wTOzfijD59DTkr5n3DKrZc0/IGp7+SAcE9NRyJorvsOlj
TpfySPnhL+XzWkrD7lQE/u++89+ZxQN06fKnISRB5lqsCyFavBbiGg79j1c26XnQyb70zGNFuATl
VYi91babbuQqmTJ9beg/2EyZeihjdrcd7WeHQhEisYbhXnqhgyDMfMzbxNgQmw1xxlgLNha7htVs
W34C+GRvqdkQ79XcOYA63VXVyaNy0X97LPywHBl7oonPcjYxLPZacafQE5RjFChVCvOqsXg6eD3q
RnQSk7ik7OpaANDrEtFtG+dNgbTEL64ej6Hlxkc/df+pmK41EG2b3MASrOM5PjPc8j4pTB9Wp/Ne
ZSl7bI+3yhx13MGzd+lSFyahH72EovzxkJIxUxavtfNLaE5fY2M6u0iw2i+aTp0ai5PhVKRrEdCV
VlCAGE1w4q0lUwHDbmfNOKhmn/ZR0Qh/j8eM73VmMURTSr/KApkSZAsplvNsSgumcWdG+n0QMX86
O8+OVQ4Q3C06nAC9+/CUN+1UGvwxSIVvDQtjxBSn9IIl+Xfdkmgz/AqhKbR2cV8150ljkxNSmPsO
F0fo2cM2alJjQ+5cvcRxffopVMk7nP+XX2E1wqL1TXHjVjav9kJQNinR5KRcfWV6+sH2jgCXk7Oi
ymC8eRN4WFPWXHhJnq+F5f6KhvzvHBO+L0vrq6HCSWbpiEDMWzdRq6zHq1On89XS1t0UzyUmz03V
Z/MmquwdPEV3654QuKx9A9GcAHn8WzrNd2bIaKtbXOmzdxq0cx8jcikYvNwtnnFwy+6S5nK8rzL3
D1zk52psypMrKF4zEqA4ka22mZ49BlCn2w4Sw0vvUs3WVFuvaoytxgiRUiy7x1RQYxIO70FinIAv
ehB4hk+ZsoPJDCzMNe6PD0g5WAxdg9z+zN3WUaHS44i2ZoyJXlL89aLuGTUYP0rG56ZRPyKzxmJ1
ySJACJlvnyGJvuJ6/YRjioGsjcjxVwiEFdPK2uApOSRmvemMa6qJDPPTZvCGYAEPVO1jhwWNC/xr
tPlv6qT+NBWv9jGvd8sPqudhw/D95o7qXEaAPfiXMnqvLH89u1azrmMoOAQIXtsBurroOGyTmF7L
kQyH1UH5hCXJAY+w5kDeupK2XlhU3pr7fNiPffCnCpq/voUnr3GKkIcOyGgwe2XoBYz44Wvpl8VF
U47VB97KiYZnyvnecRagl1rusbTplUlxlFD8bJx9O3lZ8KATb67BKsB/a3mGO7BmfXTymilDWRHw
IX3vGgZHC1BSEk3RpouqcyM5L4YlNnojK7/MKPjbpTheC7qXsQLhpZqi+WWmDYxUbiEhGuzaOqK2
h9wT9SRfEQT3MuctmLXpG22SZ7/BiDMNOH1nyToWTwUHr7EnPGhC4mAo2cxtcTUZfUbcYFZbn8sM
V1cssccHuFvaAs1YdmqNk3yvjXpfpWSGHS+BskzJVuM3f+2SUAPthBVPsgyWq2seQOp364ZSn3Vq
cL0m01ye8hgYejNPA8S+Jj/PbN97vIuycmAv6quSuWb3WR+ENboHxqsXm3KbcCiXlRfKhI5+PI9I
b2fzgRaD916akMGnkYILM6QRANEw22LOJqUcW7tBp8Yu5AoXxvTwCOFkBpL96L1zcCVW5r77QS0Y
Z9EfFbv+GLcKG1XprxurEbehIX/vTQ51Ve0asdveFeWc7iOT7hNw/BUFHeiugeWSJdRHWXvvkFOf
3NMQcuXQUXrJ/RNPEMK99SlCS3qJ+pa8ZUYYg064u29lPK+KCz8zSPq4BMwkRQcEJqco1m0M4O/W
sqmLJvVVKjqzQ5HzI8JwZGdvDi5pXGZ7rTT54IRe0Dl3eEwVJig/z8clHbxx5yYvogdGGQ0z+TPC
SNEU00oUWK8F27l1GMTfnYWTp3iLMoImJshSHZECVbl/VYFL6zYKSLbx/fFRiPwbdxQ8+uYnKmKc
Hd74YtXBSXfwb/BMcgyH8lCRgV+PGQ/bwiFSHSZEkpIEdzRuMN0DX5CucyiIMOJU1wc78RE6caNj
rmcvlhIBsG3q3rzpnZbaH7cU73BogDtXkt33DKgq9Hazw8lQRIq61Ax8LTHiqf+NnKHvXT1TZsmB
3uQbeMQcOqEADHijIwkpxtn0NAfS6fJEMSRqVGb+jKN/aGfYlQZQ6VWb6s+mC+qD2bdP6AUSA2Ry
9SYzPyROsGlkz1RmTpc+rI5VCDS1bNmbd5TDM5Nae/KKjAC8N+hsyYMbr8tgYwDFW1eFuPspT8IK
wR+q9rk246+oU7vMG1vawudNGlvJri0cZyOs+S5bHJ1dx7STcWxNsGJQAL4CmcGLYCg8lt8jT06e
cz0hK0pCloB3gzhpd7F9rtzvUuB/gfywW2rmTl0jtnHotqdkKbXN7f00ZvdFQi3czt1nUyvO2LZo
patTNInOO7OG8Xljr4TG3RDVUfRCxBjbkGllv2JUotq0rkGaIh5irBTCRtbV9aMO5HtuKQ70Mf3M
+gURDyq/7k6Z8e4bzluT07Fp/yTgdrtl8C/z5lgs0e3Ku4eVfxoxwxud/eCj/j1ltHN5wFQaBb2m
CXJM/k0A6oN21DJIvydwg+sSOwNnDma9oCOgaGm5M+oRG3Xjp2d8P/zDgSWkFavfAaJdb3ALJPwG
wWwbG68LYozpOdiVUYMOGeH6CkR3PJXpsbFB9qU9fcq9gS80E9NfL/tq+vplJNP/DBrIQY6HFFEY
Hhcs2nPYTN2OjmhCqab56bb5I28ZBWlx4KhjqI4xtUg2Yin6rmLb2JLqSrYWYZO5wKTNAn9dBEhL
vj2GOOWwo7TjaxqzcQdludx8/Zhs/AyeChEhjASHOYj2Uy92mZpOEed97uNJAhOUDRsqCxCQ7uZH
NjFpdhrZhIQ08Nui48FvDOd8iN5m+q3ACkDnbGOeeaVUrBTMZW1lqni3fdHOiG2YG6N3Ymquuo6K
hokr3q85UZqi+4Lg/OkguZSZtevNw/J0KOf4eRB8MnkhPgCNgpuQ5V9in6AjUlI4qUsLQGZ6YEgJ
il4NDNJRh8DKoZtP6lDR8g30dArPLp17BUcTk1MPZ3+I8LR9uQsSkuqxF46x1AMWhCOHdWt5mB4b
+qRzGzBWPP2h1GPvS58eK3uJxc/ZazTElEHo9lNa/obg682GfzPm2VvCLBwr8COkXGd+rJhpAZmQ
sd73sXj1R/4ziiT9KPrdEBKoqYs9L2JjMxUeaZShPMSa9b/raC7M5K+vqrdUeD/taPxLF7UcDql/
rkyTx2GTdpdqLtpVocDoj5XEnWtiqqW+IBiYY3mi4fkB2tCUxh2bQLfV7jsBimMbYWEbTD4G6fz1
w4BR0CORj1od+Ygo1gC/Knbfo1+lT1ddU3/OAdzoDsFo7h1jA/m9fqRW723tPMCgRXtO1Vrdk1PP
e6u2U5oDeOy2RniJjO4+WzEz5MwGdmDYX2G/RcKkTt1utpiVUIx1VB1MJj+XmX3lemchftt+/Wus
JX5WA/EmU3Dm448ixdrkmLRWpO67UgWmZs6JIw1jhn9mlfKVRhYoUOc95VMYE8GAhxy5ZvTjDm/e
UxaHiBAk+AvOdzpiLNeDSwbCil+J7W4tKn84Sqtm7zt45cYJ05FZW5useeoG8zQYZrhTEv3BMagK
CrB8xqHFEw/bkEYTPHoui4Eh5waim8lszPg6l8RPlT8IjlUMj1YH2ZTarnyTeDo9ZXnLjYdQ3/N4
zUHPU7reIbr7Ahjq4CYP2SZYBDiBKNSQNQGuAGOEm29kI+Wj6hwKsvA3uT5Tu183zIwuXexNYq4r
4f92iLb9w7644yNu8L1y7U/Z+Fv2TrW3E2huDghOoVKC+MuWw2f/s9cNPQ52oZ9Hi7oeHK/TqhqI
1oZquuRpi75BRogJ0YN1lOAf94nzf9tT8iymBnl6AHUHVnl5sAKxZK2YsuMNsvtyrsbU+m9cOhE8
XqNWSsSsKQxOojQt4dKSi1Wxf0si8eUaCXSD/FTo7BBPMEpF77NscQjj8pIFZfeLzrkN+3mWFSI/
QrvGPGAROhmYXzgm4OVvWFQhAIcvtc2pvDCi4FjzuXQUHqDME+iia/qUebgrQgH/1Fy+yLXYLBsB
QAXj20hjCVFG5lXSv0/mshDiQzz4M3pUncfDqU7GrR3k/BxqjklesvTFcujzvWTfThyPb7npv5dG
Up3BjJXrUw9+dZ1lhtiaqXPvS9oK2M+SbhbfjW/88cKG369ywVv22NRTXGWEpQrLkzdrYjs1RPcu
njJcv80rIBKeaR7fZiBLhPc0TPfVND01GBM2mUfZH0xVcpFVTDXKfG5tbMltBRCOLimkM9f/qQXj
n6zJ18/lh6fsY5vESByyV7S0pY8oZKUGexiLmOvcGGRh8eAFw1KKURnH+Wcta2bIwCjY3Y8l9has
N7zjsUOlx2JiT1ZWP7bPUXVyJD9+Ja/mnHP1E5OHr2Cv2np8DOKPGTPY+Vrs2biyOwopEqw4kikT
IaCpgJqwK0fGdAHn0nn6lYr5QjX7S9azVRmL9NILkW8r67G0oHPJ8VQ1XfPdkGayGzs8aqN+CyK1
HY34No7eZXbouWAVhBctfZETFQgGGZat12BvSCrI9d3AywxNPVszQ6QJRjWjRZijkaZcvZkWThKy
Jea6lg6sb7yIhkhJlgVQgUeNEw76AK+iog14NkNUqUEmwNRPt+FsGbQxYISZMOQn1AtuEGNwdrBk
m0O9N81Rr6yIJSHlvunKcQETq1IcXNIq1NP4N6UZC/zKSo7EWfWpdcSTNLB9DaFzpSeyfXFb4W6Q
VMdNTZH93taKhvh+We1TwrqlMB6NN2Nnb4jk3nude26wSSY2Jh0RQoFz8qJ7mp1qm85RSpSKtiBr
hICJxILG5pffXTcLeEu1vKQ8Lp7iSoOjGI1H146fShLCswxwbQNPShwE9jmUhXWZ5hh7fohZI56R
tUG7oLgZwBs9rVB7VMhCIOnKvT/RXWth16XXqcLW0FYdxiY6r2I/8NgxzeQiuuZogS4qNv4Q/+hI
0eEEImK1kJbpkLEudZI6b5PKAagRkEfUcuiIn9SFokZ3HSbwQPK5uznVKJ+a2nmO9TS8W+a4sr1G
fDiOd/Iir7gaafDbSEl8cJaDTdlKan+9EBOcTqlOqxT5Xqv4SUx9MCqCscM0sPsjVLOaxciA3Y1J
us/RDke60TY4MOw3d7LedUMN2rr0ek6FwHBeUogDR2RmlMr+EDgQryMDadsL+/iaRi1nzijeur5R
/4pDPrHZia7sHsRBKPVo9ZDxRfwLaHeNORabs9GGl7KhtiHruua74tjN4dbqQ/MuoEI8jZ4HnUN3
WtFcKlg2iEztGtIZ0EcMPhKLEnDy3UjQPDLYw6OCwFPuqQ8w4/JRapsHelGWZzU7Z3sCDZ32IWz7
TDxqWclnU4TdLUkFkGvbYrGaoLE7ZXeqY6zCmijNycmr33Qgt08lXggSns0dA+wfK+eQzPmQOVza
zT3h/bPGQgU1ultiUs68RUONjgTxgg0s/PjoKv97oK7jEQMU3JhNae46HIkXYEBbOOIWAhG/LM5e
muXO/tIJxxwf3LL/vq2c3h+mShDh8Abtq6ccuQ0KvRSrEhUc0QNeso7qlXBcTMWgxsT04tn6D6Zs
fKZN8h62g0HtXAVGkjZE3w3lTQcE4Ty7qG62yVt0qp6lB8eoVxw1kuRA6IJkUdUfStGKm7OAgURS
f5hOX+zzcBA3wy7xwPb1h9W6L33Fsckxuuc5iqHt2eibMrHyfY736cPunKdx6i9Gk7aHkXrsx9zS
3yvLmx2PDgtSPqlaEziYU+nvPUkkxw3/oTz866fMeBuFCQsFp+yWqgjiymEzP+Pde+a8Nr0JwEng
m2IrookzcM/FbPJ0MLFJ9KyITy5sXFQhBBzRyZau6ZkFrpsk31FLh0QZbRw8GB9pREoloyDx3U24
fcK4o3ckBBqEYhLcy8F0d0q0N+kV+uzLklOp37ZfJpXEKpiHf5Pb7n3X57Is81tfKPWKTdZde4ah
qX+gppv6xnuotf8UIMDQmPX0318MDj48eMT3KiheIeSrFx746qVzCKfB26JzlEBElU3YKv//L1bK
uSTNT1mmNMivOLtHOHIOpNJGNkmAimwVXV3+1MfY5L777+ZzRbJzSiHOuIKdmxHADv6fe6Xzm2PJ
M4BQowfHZ0p9/6pNVmlFMj3sqBovdTzvBUHOaNOzcCB1n+ODpikw9wHcLTmC0q0vBoA6amxw10xO
EcBg+z9foiGf04oy3cmpkRaoXhnZvgSm/EWvH35DZ+RlmHJO9r18eB7aGuj9i1JUFihvPtJYhkl0
KO+RxFBbYJSlqdfeGKl+pB1YvmLJtPvzn4BzqY210mKgWPmuR1M5C3izwCFvzCh+Qi5FbuR6y/gV
A/0tR+uGK7txSvlkYLGGOcJLzET44vBRWHsz4dymNH8PlNEixNDeOY50eZVNf6jnRYCigWoViRAD
qP+tcUJyZUJdcSJiVD2IwNgEEEdxd8++gGdtfphL+BGuwLWOjybesWdmNiCJm6feK0tTHiBZsvi6
fsfus80kfk6U8TZIwuzvxDh2FCSSNu8//IhDP1DboL6ZAcQWWYaC6ehHh0n0UZYIm5Wz5dIoDmEX
Y4fuF32xDZM3MS5+W3y7tm93Z16qYOuol0JP5T4BKyIHzeZ2mPb//RsyIs25hOzK039/nQuQv5Wb
HSCtLQOEaKuVY2k6ioihnEg+4JryAd3ESOpzVmFC6YnmuBnoxa6veIxKBE7h8d5wKcj+33/w31f/
88t//vY8/PIgQxznArqaqKrhCD/TRH9wu4kjauw3p/++siaDR0etuDZJ2Z6GBhnHwCWRr/77kocR
6uEXkf/k1lLb3PVseLSbyL03tXtOzvVRqeFnI13BSBhLpzxxkihPNsuTfdrYez36w2GGeFe77E6S
tvkaDeL9GSeriUkLw8lhcIaX3OOUOCIR8sPI1mFWn6uoGJZutX1raGOTZ4QkWO2uDJcVGLH9ZiDC
A/8y3OGH2jsLQCE7RpF6yQSAnuXfQ53eFwt0Ma3nX5atwd+yYRo7rD6RyfwU5++QvtgwYHD2c1Hu
GjUBSZts2ssKPAeOjZe0qg9+R70Fq01UseJvOUQvypL/BM6GLMRMNVdssKKUMq02za4skKxjl3pf
rTc80ZiMMsiFXDLoIn8BZCHGaQzktphUf5f5eCLLTQz+JeSFiJ23PwuTsoh+7n+Kcb7qltJewAUR
YMdNP9NxNtbTimsNz0jYPzLJvsHoZ0xT8/tEYeUunsXOHjiyVtmzTZv2avYE/qDPEruxNkdWuA00
fySjvV+4X/9ldjxIj2XCc1nus5gSW3eO7xZq4l5nNpjk4YZTdRiHdpPZvbszaS9q7Q/kX70CIn2V
lYXvznyPnf4fwfu7zrsd8QgMgrH1BVaWRxPbXddXDyibL5a3BDmj6pTm/h8YmUd/KZ+xHComc1K7
7F3pVQAmCHSwci/OZwvXQnXTFjsLHe8Vrud2Vr8aY3xmvflJdzzJ3pQ++YjYBSf06Fr6AKAtSSXA
yFFzjosYljP2I5ke7eHhWtCxJDbyVYHzhaAGk+BJyvyZvfkT4zNqVeZ+CY8cTrQz42HnL2wc12zh
UM0f/NSvfgFRCz5jEqzNZ6rwTJw1Q919+qLeM4twbjCATpfgdg1QrZTN7KeKfXeUPzJ42hbG6WJi
hAgprvucMwRunZLv01AMpENRFUGnCwE44l/pCIjR+4ft4GEoZvukOC5p8zXuLpda1raqPoMIE9C0
B9GmVmLC3+L4Wyoq2Mnwi+rZgsF05gFn4l3SuHm1qx+iUa/gVaEXhPX36Dn9PvcQKsv03E2Ao5Og
degdMe5heDHzKNwQ6iiIw6uBJSs2SdNgs6eYZDBN8T4wm+BH1zXKTfrWaDT3pAXaXLEPg+X9N+CJ
VWnosB1Hx6rCxmlH5oW04ijZpkPx8KXahyaZG2MOTryxWZLYHcv9v4rt7Z2p/nuaK7XH+l+B+iJR
z1OHCdNGNqibW+niwvVKRcLO0AAJ+/aZiDo0/WkcGKgccj/pgBaV1IxcFm2+rutcXSO4DeQN2BSj
1jdNdQIlqFdRRWVZNAxLI+xCbB4IJ8iW5/ALcD4YME3FErnNj6F8Ur71niYEqGNUgJVE/V3zssK5
LcZDqwa10RW+/Xh+SJUfpqklB0yHD65Ng2ojoDLsE+5+lbxBryLd9XeecXrF9dI5PlrvUfWnyeWH
q8bxgNel24hcil23vLCMKL9ARdRmcDW97I1SLBopQeut4hHCoAdTJvflv9AK4Cj0u2Yw6qXLHR3N
halPXifRwT6IIKn7QYLevByoQGGhGtA/xh3P7/SdS/mbYqI7y/wnTw9/2yNoFU7S2Z0aK/yK+oD3
jorF0P3NIY3Hedgc3Wz6FDxQJW1d85TwxwFNZ2bTr37axY05byEQBmRPuMo9h+2EZQCcaMxfdcvv
6HWts2/cc23HXJ6j+6fu5FUtGCaXLEzptZB1o69JZSgHvT6NDo6UtvhqGrmZpgUBMXkHpa33UBX3
5RFozGRIK/t5ZDvppyaR3v9s6/Vn4dQnUtQPT2Na7Tj6/D/mzmS3bmRb069SOOPiAYM9B2eizd03
krY6yxPCkiz2fc/nqjeoF6svqETdTCfgxAVqUBPDjSxxk4yItf71N8Os/FCSo2taj6rrkOxWQrUj
qNOmChPT9zDN0ZuW3UOXQStOUCSASM94MBMEi/DCOesRTZDV/kxa69witce3aIYbUMftnSgYfud5
fwqs/mx1qBgy871Fx9bU4pLDQ1Wzouc0cTdlbG3tKsHwXQ+u6F+2cxc9ybQCtdOx4NlneMwM0Yl7
fmdm5Y5Vcaqa5tsgvWZi9TSSDcSE4L2j6pOctNxkWkkVSmIaATJYwXlEo9Cu2riJTFPzoDvKT32g
YO+0Z39+VYN877c5VvnqOmkHHGBbHA1SC0EJcxrChHEeeBzMXmPt8sZAfUHnAR286MttU9rvmuk+
zhEvYOJgk9egD2jc2zisDszfPyyd+Lc5wAdA6dt7N1SZXEhfxXwWH7HBfMdhGsJ2oouDoWbJfoKa
EIWhp8ZJsa9jp6YIslF9OnoAx83KLk1MdHUBLrXWhhSQRteqwwj16euXQP4xnPorc4wHBPwS7M9b
byTxEHEJgr7KgevT5jjjLgXSKAspaEDs1ctvTTRnI3NtEuryDXk4ZPjELcaLeMMwT3Kj8mDIXyIf
sXmvo3wKdKiFVXUcGBKxrpElGILLytWO9gHC6mH5JdWgo7Q8K8Z6lIZJRMRk12AgNzn+AaUkrCcD
zhRGnCt+Ux2WX1QNnljSuMRjW+ZtViqXAUUJSyle10nxrW6IvJZSiqrSt1hXH1zNei/nUdu1ao0/
YG0aXt0DgeO57KmFDldRw1imVe5bOecK/PCxEwbddkYrGFbfHBXOIMUdJsim/j4jlKXK/KZn7YOr
UxWQNqFcmcwkN1ECtOZPXbgOe1fHDC6WfDg0RRqKrW9KynbaBJB78dHX7A2eBC9I4cEW2Y3sMb1t
gK7AIMND3M7UMtZwJevYo5jFDrY8kWVsQyJnFujoT1oXFfeqgzQ652yP0eK7ygzGbTzPM+hgPA4h
SefR3kqJDivxO4nDk58nqHTYwIjwUjewZSDj4rdBdTcbbu1x8vB/cD5XtWxvufppnIGrDXpmttrj
ODhns3EffanCajC/mIaY6sHpjrGv/GwCjbCADwGzGHv+fWiQ6BYTou0/5S4+zYUZbcPWOFvD9C50
8Qyg+2FSHdndADWlMrYIlreKsqujDlFw3T3MuU7rpse7UQtJiTcwHcYVd2XwrqM7w+wNkDMca3ej
jO23ieaKR81OyCG0NlLEkPUY7ZGCuetaQxXCZ+nQ5WRtUO3CMH9yCbnCIGlk/Fdv8VVmPjXyUvoK
0Bw7q9f7fJpJV09lYV1w9Yck0iGGzbX0sxH5i13QcXGk4PPtNgEvGJsLmS/jSCludUNyxq7p0Zqu
ps0TUakGOgdzYtFUDOiejblqEGAYuBiqOt+Kgt7OlZGWf3i3UshGoxHDn7abU+mYjtf3xV6Jw+iA
xCEHS6cUVPqd2ZkAOcMAFRkHKdyLmWd73Vg/DO0pdqPsqR7HbSX0ZxxbkbUzFYzOg5kzy+UHGEnw
1k20g5hZkeKmQUsVUeb1CGI42iGMDfnaDObvNrATlHbIQwJeTlE6zAORrYFDrXQSC5nm9zdllOqw
FfqHIjUoMZnezEFtXZKeTLuBat3E1H9CrQS3xwFSYkIL+0xdKzXjtyOacEmqgDsjgL4qBR1GFWFM
XajBqYyNi9l8iKi7zroKpT1tf3Q1/YNSsdJ71V0L3bwGhv5kxvw4ULzErtAYt8aJRLcH8sOtbZsj
GmzbD2bQjxZUKk/TuKSAvL0+1t8mIwCasC7+TPED8TpwEgYwBgM3Awfm6kcFdHSDKvz7mNGX+ek9
pr3EbOdeYvKFZYchy2CmzzPWiEj2NYaXvIkmlVo4QfA1RDBc+snAzRopTjpWoHNFsc0FjRGy+8Os
KLlnlwQad4O61xtj4/vu9Dgpqdg4in8upuEBZfg1zrASrOqPVhEJamwKgrnnmjs8F7E3Qm7RfcM8
AzKDq/3s+hAYUWGOKTSeGNOtZivy5JLrRAIrQ/HoR+HLONjxOjb7O2CDemdis9aYFepPRcfMYCTo
BXjmYoS3dZtQp2kVx2WZf4dZ/X1ymMLoJpdQVtgAdrJYl1AWUT/CczQKkHgmGE5mjmgNN3ruSjIp
sgjLuIT7owsd5SRlbs0wD0aEsi0ycjo0cxxgxiuXyKk9a0bdAuPKOBqTo2z6iFgCJeSQtqsdNhQg
sGWLiYRp9txmJ1+rCeNgowPVgIagFj/wQvvWz7TqtRjQz+rpmY2XgIIoo2IdfP2AqXo+0jSGFCB6
hSgq1ulODdN4dZRmj5Un9OOeYbejalgYYs/rxSo5SQBst0r2PPSNC15Hq5pACDfb8R5rYjIHtAg7
oYiR21DZP4sJLwsoWj/bujtSsVf/L1PX/j8MS7PV34WlrZv2f/+vPPrx57A0+T++wtI0598ataXj
GKajmcI1CSP7CkvTxL/xQcHuzHQ1kFZTJREtL+o2/M+/TPffwPS6Y8Mj0JGzCRLW/ghLM+1/m8IS
/Ad7+W78038jLE3jZ5QFnWGR7z/+8y9bVTHCs9m5hCkwhNRsGaX2/uMKFbr5z7/E/5zDOVYSKxBe
aUwQs8ig2pZ99y1mRAUhJpk3o+Fupwb3HFR0WECPT0btvGBAptPwdVItat4CLIE22C5+xBlz1dCS
J6A1YGxAokXmtBuIvOOdYSX7qIv6fT6nJ58YVU/rcHbofdLD/3T7776u/n8gxb1jttNymWxNf/tU
ugowKGx2UIebRQzdnz/VYLfVMHaVShGhPmuoExC4SFp8KNAUlyoJGkrTn1zfPRiSKanPzq0qXmfs
Z7YYXyse6CA95nb50kpRkfaK6IEQoXnTY5MHzGninlPS9KLkmTdOpp0n2Oer0hVrZ0SkmhHbugmK
Ep23lDYaSDg2toZcECIehvKpeUgMctfyAAXM8m3NKtdv6OPmTTUCS1mDWu6kB3ZbQRq2CzZ+My/t
dUqc2Gh2KPs6i1CUjJgPNXO3GlaCeDMN6k7VSrbISGxyTHI8aAdvEbRZKEoIKxPVZZIfR+CZVf1A
z8eoH1iNKWhuX93SNTDFN38yhIjWGI2CTsmfraqGx0ggX3DYVTrNGHd1mEYbGA22VTlvLAvm1qjl
P5MeSpeZuFsCKVZTing1zeH4CW2E6RmfHLgO66rMXiiWUbk0DVYA7HqmdElFLEBbg/sVgrTSm8r0
gn8wcfNJ9tlDLJmUx7l+7n/kAzoxSPDHotaqDdriZ2dAZAzPmYZR3rapObmTrUC14A0MTESHGmkb
Hk0ojk5FS3ycgmprjGXfg38reUj9gzor38Mp00GE7Z/LY4hxJocFm7vbEPfV0Sn7o5O49zXrFOzR
7rdqy4Bx+YFYDDBhSgoAmZk22lCudIRvPkZmXhZVsFHlLWTGF4DONoSa6f7BCiHEpnWyMwfhQQe0
cC7u31OODdTq/G2jvRSBDhDTZOrRrLh5jh7vwYzf9UZZFy4dGLB0uJpIZUNc2xFCjtzygFYd0wRa
g3U+Zk9RpVEMI8jfx/hSQwTU3yWOvnK0+A3C4htmvfI5HjC3RcInvw76/bzRavqUaii8FAYBOi2t
3M96T7QTHhgo2tytlDGxT7iHpEsOYq7eIyt4xKpx7Q6+OPUtvLPlG8GNbNcqFnhQeDdpqUwblXgD
baSZ7warpbWg8bb1tjkSnAA1pHi04vawvMt4Wg5xfnF7GC7BwM8MxwExAvrur+UbxfCRl4XZWrtA
aN3W8Qc+TFlxuEJJ40wkASKnRdu4mLtHhLXYsfOxvBJt4ewH0f3x/2NtdrZvRVYCRaJM8NSWm1IK
/hVw13PB+zyUnNRy3Y8GrcK6tqZ+tbyrTROtaRvu/utrlreXbIIGo+wa30+sor8evsNYbK1oKrzy
fSL/nWHQvCmx7iCXTF91bWd4kZ/eRTk7KvIHEhE6EDpiNXhVBDtVFCL4mHP/uDz65YMvv0tLvSc0
CMDUitzzshn58h4Qc8Lfy/du+WTLl9XDlK8SXKUIncS1ElHHRtVEdB9RGtmT6hNRZl7nLsGEBcWe
pdbKOtaRs3dlwQxRfvnyre3EjaVqruPnAgqY2yKB4oyjE+MoX6GAyT6UoH4Epuevo+TBisjlgf/O
XSst8gosh8mz/KPK1gwaopF0xQBvaxvb5apDRb0EpoGnRRCg1+YVdHFyW0GQesOl8GXi7FwPxVPQ
Tv56WdOWgP6I+dK2C3U8wZSiwNEX8mCqoLHrLKhScF2jGoBJq9wNZ51kxQEKWmq3L7ICg7WATSOi
moYJRXZHHxgbDiYgLAiDeL1vl6ddQOEFGUa2zduYmrl1ToJjo+QNVvF0N6PVbRO5Zdiufepi566S
W4fu9j+IBbgyxaFJebEICfNQ+7Ddd8mTPk+PUc5bm7Vl85JVeIMGwcRkKJkwxV44K7bAcPeUQrAO
p/I2KdhR4uaYy5XIBJozRzRMv+WiF3Wzb4PgM7J0HB01cHpCh1krw7MF/FiVPjtC7K5jt90sd7ma
ciBWHQwNHSl0PGx0wwTRAttJL5pxVSmzYBasbvoOZtroszKWw9zvmUDEc/WSK46D+KPFJj611knK
8jQzgcGSEkE1lx8eTn+p2NDT5cZbpkO8mwUWdl+vZ6HfdG5MgR8W7EOyJO79x5FJO9ZYBU4ixaHh
7QoaDtY84pgw5NHYGCAAeTXeQXcOvMgwzrXc8CFeONtGm++yRvFBaa1LXvOmlR27qZVP2hXn3LNB
4lMjj6paIpOapuyWlbEcXEM/j0DGkJo52OTPHWekxoM8VJ0KS43Gm1yiymyLzUBj1W58S5znuePb
B0Pnkau6ErSFfVWNlxI7Q8ILwNBy3g127Xnzw4QtgjMYR5ufZG8zvLmV6TbjRbgzHRsH3KrrE2tf
V90WOfVDZjvRLq6h6mFTCLMBKQ/+kJKdb2HVjEZfuwvNMwuyYmm02EZmVs/AINx3pZ2zZHDxl8u/
tDKse/LMxpKk8A+xq7dMd63HpTIrpl7dQTRm2MCXMvPCyr7KrhByxGEAq1Er+wVLfyzv5duVovcr
Ynxaq5dJ94fd1GFOozjjLjNlUNG002OTTCtsYmhYPpftSSE9WqokaeQYdbEl9dJDyUX4DuV0qCF6
MMkYXRWishwzMfdENMlEqtR4RvIZgEcmOaaQ+r5BNOQh+QFql8dpr9vYnTTfQ8GJImJz2I8RFoas
M44JlVlKj09fJw/BxjAgiDkNAw/2/CJ0xUnYRHkQk0RUUClWkZPBZcFbYbRelhuBwdawwUzwaTn7
FBuPl6zYJA7JcmXLtkoK1do3uvBhqCYOMFlh5Jj6gF6Ti+uzv7uwGVdtAPUhCMdveGVsRFftEtXE
Go4PxatOK4vRBBqm2eDxCcyWeC5M1/AScGr8hzLeQbvhbSAG7kb+H7Z4LDllFS7/FCCsJNcM+nKI
6aSswizbfoxkBZpUzeyFaFVXSyGBXKJGjmPGABzuY19+T8YAAZZ8nssiXH4XhoBGtqsB9MkPMwys
VUBXUkBmtlqr3rcd74eDptkjwRLMZtC7Ta45vVfGKs5ydX+cbmADPC6noG2zOUa2/hQ0D5F1Zsrq
gstzwaDKOJ9G1SVMKpBTzLyQqk5PaMukcwyjx+XHLOfnIPcaV5bnxPKq6fzao93CySLSPMR52wZd
KgcR/2wmgKO5v/StD7gVXiqnfqvgcPOG1mvi31DtEXGGFY6qI3aJMGzEwh5/4XCktB/qvSEqbZ1F
0WcE9W8cQUXlDdYgVSCxxQ9kZm9e3opO3oOhsz6HxJ285a+WrcTMu5dKr6/NzGk+xrgckAVzVxkf
EwSdr89QhfqPVo82jcXWtuxWEH/b9bL3CFlyFRR4odzUy3e0FI1HQD0n5VKJcBJ30oNpOSSWTZ+R
4bGEPIPymD1x2bsUrFU25A3BsGuzYyIrJPJvXp0Isa1SGNjfFzRAVRWsGWEdptl5bGRVkUuA8vcN
l/Zrv0W3BQcCuEYXEFRt+5fA7R45DSagNSGesoZaXuQKk4QA/jLovPESTmkJC0D1t4jcM6YCMUJ6
ioMYF0dsE5i7GFDcjIa9SjU/50p7sUa2t6wxoCUF+S5Q69vaZhT2++vWjV/6RPwbNI5lXWiGDu7t
0LX/uU9kiGW0ySCCddMZxzLLs3UuMG230G3z4Il4m2EOMZ8I9ONSz+M4dZ9UrL6mhW5Q4mq6xRzM
3Q6CQsNU4y1C3zM8WLZ7c8h2dEI3DfxhFKdQUBRmmDji4/pBzhOCXmOVROKBpQvt2v2AZR5up7B7
XcriOWzWv/+smvX3zwrpjDR0BzzU0gzzr5/VpVcx6xAXGHVimYUZFboS0BNg5kd1XzI3HENEGsjP
6eC1P1pbE50inB2In7LeSdSWlNUy1hgClfo6g+9iwQvDiFNaTI3FbnnyqmjJl8GcoZWRcrl1JOy0
/YdPo8ur/TNuwZPjpSMd1DBcy7AkQPLnJ2fhmOoSP4SRXO61kfnZLRxWzd8hSkYWPQR3oiYvXG3w
xy6KPtovG0epOvvOamyvmNJbeJ1PuOH8scqWtZ0q7rCzXFDuVHud0hCUO5so94Jqo4fwxBtsGsyh
SHYCFmEhK9SWsCVPipPlTe3UycBadNuH779/eLpcQL98XKzVkUaBL9uWaUgY508wzeAMSdybVYSx
PqJlAQlfyW51uMNNnXXHogFMqKMSkQQBQVNM3AhKtBtNECK2HIdLASe3uOVRZA7gJZRVOBPobqcG
izIc5bA45Y+yMIDES1QODmx6vXcQemBx5+J2ITcYgKRpZfXNgwb3YnC0z99/TvG3zyn4hMI0dEdz
bRUT4l8+Z6vOdMCJ5S1HlDNhzhP2HJATpzIyEJxbtZ6WMuw3ozhMbvIwKMF000PqWItUef791ei2
xIn+ctu5HA2QzLSFcHnV5P7x59uO2ISg9cTwXEt8dPB0txEcPAxDZQ2NP2C6ZcLcrcU4dWjFQtSG
5TRtCPW21qZv3eEJmR50X1zmwAfXaNVg1zhTy7mH4B5HAYZM/Me+OS/bpg+brYkpgXPVPdGmUj3J
A5TO02EW8lUe9ZXqoHjlrNjGE+u2LJ0J651ZOglwbMpqT/FBcmy/u2cg9kfjFuNkqGJw4Wm4GULM
B2qQ33lZ/g7oipMd1ZoJJ8FKOhQnNKh8OxURtPMjMegDI7ffWGMQrirZAst6PY6JXCiCz4bcUVbO
cWk40ZkQ/gG3T57jhTxmAPE5+3xn14w44gYWRxWkW9bTy7Je6og6vRqBNFzhTJthIk+FUIAtKV/+
YcEYVXK9toZzWm7QAjJofXT1C+qRESdw0oL1dVzhXdz2SHckebnU3cdUUdejTt0B5iObfXRZs8+V
KCObniyJgiEezliib+apPQwGjU3VNM9LI7bgOlhBX+aYTmLIwHVGnyUCbfpnkFhIEMxXnRmJl9hg
pU0c7NMQNW+Z+RBNzb7dJoU1Q0srNkEbPgXWdjB4kksJPBZinXbGWw5OfMpUUk7rLLqrg9FkpIlT
15RcB74Z3MlpvMw4qoySCgWjsN5rVvxpiA7KBRON2jyEqRF6mkM9gUdQS4zNdCDZCWixDpXHjFKf
cdJjoFEByqdFwU0GHU/as3rOJvx5xrsmoELD40OJJgIRpckScSSbvhmx9KUfWJG8RAl+Z07s3cJy
qXL0YjWQSyRKCEzyDEhbEl+KsMR6A+tm8lEQUMuzxBqxOa/m+GPZchN7AlNSqq/iSWCdvP6Z1cBw
jR4T0xtxcJL2Sy2oVkxwokc7ghinZ1iFY2o139j2dA2myT4Is1tVeYxQ3ieGAifT/YArCdRL+rUe
45hGwNFaTinm6DhYgLktH7ZtCJ8h632DZGo8mE7vnIyPpciMyAbq8YlZ6le5OZYIE7yGvVUHY4zz
8PqFW8v+k+Soas9GY9QWb9FUUGTG/C0BcKKF/dA59n45QLDAuS0py1emrF9M2Tayq/TYaxJuMwyY
gLn4BGzRhuM/A66SMORt8dfA5bB6gNjIDE0HkwjquFvPspZqDfIXG8NZLVu44kD0LCuiibOcBKiw
PsSmzVMTyU8kzcjTg0FgYKltBgcGNK5XPBrAAplXmttGcLZqaF4T+r6leyR2XicHpPKXjlulwvNs
EYN68hCDYio3HfGTYUdnGx2BsJD8Djga2g3T+kz2RMsaxnvHU4qKVkC2F18obsBxFMbti6gQF8yw
dCGuIcXBU6mZN0uHElMwUeKWm1K4T/SuzMaBEYrYvS8Lc/ZsAm43Tem+LsdAJ2knWQQEi+3nxoTN
d9O0cbZvkV4pmAzurBolEMGTfDvzjjzCZC2oFRfE0qgHolbtrAPldg+5PCgVepOVQsjfLM/shDQU
YF0UaqWLra0ja5VoBC8bA+ukzvatC9kHOe/nAjOSkt6uO474wKmZ6ZETu9Z7EhT46IPcJaKKKboT
m1t8rKWwe/x6uwa9FseGQNq33r9z4votkuWXM0Qv5Nbulrd2qQyXFRNMbDwKDdKNpY3Ghmko9uyW
OC2NoFFKrWw8b7XKfOsgmG9/f+YJOXX69cyjSHSpEaHS42Aq68g/nXkw311SVhDrT7YqTjm+NoTw
eYVsTlvcWb/mJ4Y8crTUP5HBGcD4WJ5THtKHF6ie8XgO1ZO/ZisrgNmJSOI852V2poYvYJOGAXW2
oua514hktZtLReN9kjt3rRjJGl+B0wIdOUnr40PB/ugKKrsGCqFVPC0LLQ8fyMl0V7IBBTvDMZtm
vJOwZ2f3wNloUX34RevlqdhKgy8BWmhRCV52Wcra8jkrTrolbBbPT9nmEXe35bgnqLgq18Qh7bUB
w2FDe1GTUZwWGGrE2MC25tHDgPQ8iuEhy5onN3KeloaMMD+OM/baL5R46cFG4B7PHIjmcFAXKYa+
gocRnW0t3DE633d634HwKFuNjsKrDSbVwNPyiJJ3wxiUb9jpoxWTQ5T/+0/E3EG7WxBtF+9AP7LF
6gsT7gL9xsbufHkckFKAoeqc+m2rymKY9nbwCKVvr//wzvytGBeaY8v9wTIphFzH/esrI9wJZUYa
2J6uMqlaOlwtjR7sFj8Wisbl3Umd/nuvTu9KZ7jUm/hg8XnojNghIx+wpe7T/T9c1t+rN11VdXBk
bHccWxi/TAEx4B+H0e4tr2KctIIxs+5749HAhRDKu3xT5FOnHF2lA6ncTRUO3qhp3eYfLsOSM9S/
VpE6BGEVgw1mvA4Ts7/eHjd04KDNAMA1cpRtlpy1uFU8dQi/FRE6bgmVLFVHkFGo+KTF4UNsyvkM
5xzNZR8kIZxYgQMZYyxZoi1fPWP5p2sO6kcr3xnhh6JUyWYyk++Ziigq5f0QT1jzrpthVWmD1NoB
zOIytsI9jpkZNnOd9kTjCqR0DixAhRa+KtFTEPNd9dI6nE6C0OQ+E+UlIPoxbqdLAJQaRXV+bBlt
RpO661F30uFj7UoAiHkQ/vTUCZUdN3dhotgK/wNkY1mxBOqA9VY0wQMvM95U7LM6E1V3eJvslgQV
c3oeM/3JQYFuKjj6yk21J3YbmmV8heOHi2YNo0peGNDmc9vB/dUL/XUEefnqU+18mzYcTIOcKQuC
brE2ZEqxzMxEq9LZY6OYRtMVFvPo0QI9wkN0v8a8pOOSDaoHsJPxbNFcju9JT3AYrtSNUNWfVBwn
uHGbnJnHQG205S+o8UTsb5bRGv5hBOxM89f+aDk6bgsnbQTHX/aGMgoezbB5TXPjfumSv5Zo2b9N
hfghwRmg6p9KsFs+9lIBLmNfNzy4wcguO4IVKj5mHohnFth8WVWBjI85FSprall2ssFtKvKOlwJ/
adlUuecNGIX4U7DuKVQ6mJLgs/y02CI3GptpVGYtyJTMWF0W5DIBXS67sYZ1XJs+dGeGNw1GNsv1
dXbwZk4G6AY7lRzTNgi6/wGc+TuoBI3OdW1YE6ZqWqyfvy4bJ3SDGRK65gVyqmFaMVT670KpX2L5
2pBWxFYjH+1yVCw7ZOnKIbCEtZerDObwpzaap6JtnGd84/5arxAOhBDAiV9+v9z/xqjQhW7D54CI
pQlDt7RfMCU/tyP4871OaplNtyE3GrhE9OdWeXTrYIdMhgZymW6Z3XVqJUAhD1eslpnttMZVIzlh
Hdr+47JisLKHv+zXhD9ISBV42M7QLJlyl5Ajc6znb1F3P/nEsS2DWuaz/4S2iL9v8Ibc2S1NZ5ph
GOYvaAvC77zDSs/+GmEnKSV6KKw7JSLq3hwiUj+MWvEWWL7JTaRAFHutMO4Sv2ZsI+dFyqQ9NRRc
3u/vti7v5l/3VsMikEPwejgwr/Rf+Cs2bMI+TAaMxf3iyWCuNqMf2bjOMiEvN2BE46Vl8h/3AD1L
v0nK3tucSL4ET2aG+YzSF/4bL+M+Y568TT9l/7QcEAv8ukwxiRy4H0JMwyeJxi+l4IKaC1OlFEzw
PIaEcvr9ZwNq+BscAuQDGAIKL4Eu61f8gSyFqQtA+uEXpBh7xTUjvmLYl9JAHXuTT3TfqE8ZSaku
+mMj3uKAf48FZ+klBPDUefYwjE+WXTw5rYtIneC0a63VO7VHJdaZSFSXX4IBE+WJhGp/RIkdh9+z
Qvi3gjidsoaLbmxUtTyNaW4e1EMbdPbFtogLrSxc9dJ+0+H8dk17htdi3LpWMq2N88RMasOtgqo2
scpEZhEd3BQbP9OvPact1wxlGl6JuUK4WK8MBF/7BohgxtZ1TTIrvTSOqwlzkcfClGIrpqcj59zo
wx8m8elRTc6uwDarUeoZa8jh1jUkQq627onk5bUfIm0pOi7AReB9o1bKhzD7e8PKA9KwomOtshIL
O7bxufCQH5n4y1TxflKSc9RXxJKnxchVmQQcU8p6VbdhTudB81QShUwU90DbvU1U5VCT4VLjt9UP
z5kzbaV7aeReIwOLpJjEI9vnHJpvkyY5twBphLVDv0noRqIg/8CNdeMY3efM5muMHeEQMgAJP8Ab
LRgIE/t0FOUxDsgn69b2wKupY1bCgRLEhuLpNoPLItwjX99izJHCO7pp0vY+V7DlLMUIuze4YVSF
E7Vyyif9tiGOIqrcLSacaGvw376Z43g3pdMhU97bbF9lOSPQJv2O8Q9hAZw5kWN+Y/iOBCZ/gTgB
rXrCKwyXZgAzDMayhwaacoxcL1VfxpZ80kia0QQEz5bmNizsc33UPjsMJdQRhg72MeE4riuZnFvv
uNQbvJ+Swaso63Pro4r7MxYsVjevNoLMvTIxbs5TfHZLlBB1vIo6/eIrKnLRzrPHjbyPafDct5k3
kO+YU+/P8IEH0X/aA6ZG4mTb2BrP9sqqMvKZtZ0hHdoRau9nxAwFrol637/xE+vC5fXNn5J6mx2V
QmbtkZwoK+dLy0SfqJzLhH9T2PUbJnxIx5QdtzhcQ6b3fIf8Tb6lsKbL3DJPE2m2dke8gSvbPQdV
doL9e2RwxRzdOjb64JHAwTjNeDOr1FM6+0cK0d4vPlC/rVISySY0I33i3s04o4+BxojVHB5GA8VZ
grmcLfo9IhqvsfyzXZMgHY63ltbuUtd89pnzqFF65LJep6S7mnzaFNZykdyl8bTKK5OI7vCb0hBy
Fjs7DGqtm1nTtkGB+eFYU4eW0jilKQndNtaxyDdJY+wQkPNV7aVitjE6MylDw0bA1GbWrm3VYvKg
ZO/UTAacYNOW+8OBmfBaC0FrzYTasurDXeGLVVcT9qBV16nYQAI6mSlZyql7H2jqPnPukHjfDgMu
gigYIarhrH5Fk7sateRVNZRTXAZHEsFvILVatksjF140pcEEpLz1lfzV1C0IvCnRFkzMjCw/jFax
xWXmVkuZvxbNuVV6KCX3ke9fcryjSgfHzArFmHpCxnobpcn9XMAqtvw7N8dJVSVMxVVu5BDfcI5s
JB6HPIUxjroREZtM20OXw0SpDTL47iZtpyT3JDB/T0rx5kYmkha1vQ6lexzdkxICommWpxUPhdik
erwW/Yse/hTh0zHHyCci9EXDLaJKDU99iBzrHok9WQc/uPTRD3alDtj91BlPfj6h/PosjMHLgRvT
QDrg4pqMChmrPg3ktTwB7nszfHjn3GLk6WoPqo459sWfrlr9rpZ3aj1CRboECku+nfZMbDZlCFeK
WA9/Su8TO0ZQKvdPBEdgvS7wHKWK3xVrd449ra0fOvC3vEtuq9G+kdLafti2bU64zlEjqIXMKUI9
oP6UtLFktQbJjYPNA+YSt2NzqFnQhA9BCUBxB1ky6d/awLzac3tsjGDjhSMaS//o8IQcW18Prb0L
S2h+BkYl76PSkXJXX01r3DU2ygYuDreJo2Kkh0AO1+DmKaLHHQOCevBZuTKG+jRXrifIO8vq1nOj
euPYr0ZdbhzkIhbWrq6pwSBL1p1zafTI601SkGmTMWDZpjn8CCxoayxdVP8u9M9gUDs8XEgeTE7x
tFWh6/tOialNttcF3hREK1XzG3FbCLbqvQ7gqeO3WEfcgzo5SC2DqZMEjF5vIJuPfKmHDGybUxwz
HH+UGXbOvi7SbcWcWsETnYD7my5s6R6Q3cGXM25MhXwO9aphv8DwRWE0OvR7Fa8B3//Eu9aVOwm2
XrOOtMv5GDVUQgfU0KsKX1Afe0gQcey1mUqa1nunW/vGKY40zyQSPBP8QAMHyT+5FQOIOFxLa96G
0wuuQr2SrHUStCOy2uzx01ykLlh5zSAswnmJXIpR01/j4vLYcYlE1AT4pquQOwBWCFA1GLorMDtG
IDbYputJ5E+BOj1gckz9rTBQRIhu9jORS+MaDiFrDMgQuYVa7zDAQMOqI4ZW1dsi6TZ6Um0Faecq
gl1MrbeZsutE/9rOvoZKv0plzubRV9NbVdfeLeB6VS939WRwOBOmTcg4TSMWCEe/YB3pdnzojLsy
TN7HJkEtjOHkSuT2c2ITBeWOQr0ZgW+LD0PFRiPIcw+Z1NXo7JfBLZ7spDuI0cIdPXmYI+DoFjqu
EPGd9pzFmWcp17kdPc3XL0RcGdKn5wFFxV2tDljwu8ZHIfBoDgn9yE1e5rlJTr1q70gKvnbDuUNp
EOpPvfVR9vlRU7Alo0bVsP3u0Q/j1bhyLYiT5aHJXzrSQnHYIYVG4+TcNABtU1L80Hux8SfrtXYw
FkS+wOuq7LQkuQ/6236Ojw4DTS1Ldoyr72RqQIO2q4BGkununeC/Oq+2ba4T9jNXJWfpCKPuHOnJ
1uLWJ351F6hS5wR0MRdPidOeCo0KBGb0W9U6b5XfHSwU80cLx+c+mBiwhA7x81Q6VE0zIK25nupA
XBnAr4Sfqq8zDHoooZRtfd5197GxE5xBg5sgwxAEQdeayt4Si7c2lZ5JQbCKjbymDgh1SINeVlvq
D5iBELSIESKY2z8ENr+Lpx5LwjavTwP+JuwdQ34sLbrq/0PZmS05jmxX9lfa9I7bgGM2k/RAEhyD
MWZM+QLLIQLzPOPre7lHSbqVbSZ1P9yyW5UZDBIE3P2cs/facVwsp6yElVkteKoEIfFPrQdCHODr
fK6bNvrmOKBpzJzUO/WnTq5Nd16/nMdiibqt1gsa0jlMFvmjoU0Y/FrOiGjlv8ZVpV9qcymwUcu/
nC4fTlJB7UXys29IfPsGD4QNmHi3s99EAoWBYQacjKubLvRgPjiXdonKl4WgC4BxwHJNvN0v+jT0
5G2DfZrCvD6FNlHE82g7+7bu7UD9FZh8QwCrqjyoF5jp5bJArO5xmtfixU1Z0DpS3c7qT0058q0m
ymv1pz4Y9QXGF3WrcDL0cuGrXwlo0A3zYMBRqIu6LT3KCeYPJ4rwfQmXnx0c0qgUGym1r6sEI5Bk
PDymySp4HGBnL0j3Bnc5MjeaIto5y8iBf0wCY8p/pTeG0TzEKZLx1KkPzggZ263G/dTZZ8L/9iWO
Gms0nyCWmBu8CIyCmWq9pajOmGwlr1P3m9bxWZ/Lp9gLAVMPrKQwSFDSfi7p5O4QPGB008CyaOsH
btSt/J/RNltYQjHAANhIOuSFvHbtzRIk4E9b9F5otFrebA6WUUz7vBWBXRYRwI+CACzjrnOIwpnm
fVLpjOPi6Nk3u/0gugBO+DFxw8emg98FHuc8VnfhME8HiQYBv4RZPYoO/TqcFzBnsb4Ph9XZS3Ua
gbGQBzH6QBQKV52jHiQ6t0alCYEd1avx4HvTFgrC1YWBnsbnUZCq4jrRuxu7qI4J10G6muzKqR8R
vq23S5a+s+ac/al8MAunpsD1Qbi1PvIt1qiSocLa7nt0UInFaltV8b2NXl6HG5WMHV3w2rkyxUSy
x6h7mDy6pNqQnvX41Wk9dn5mUijp5l9kyRMkkvkED9wJp7q4WnNf+T23BYSjHpKL1aGAbAVq2dpt
D/k67xtGzDuO8L3AgVdV5R6j7EfJ8cBvUmrOUxcT7lKAkIN3rWX2S4bbopmQ9lYkFAjnprWJd55s
clWIJ9P7J6u5j93fNS8a1dYH02W8jESxJu6Rgve5LIs9fssQC5d2mCMaElPeBK6WHIUwcUPT18qW
YuadQDOKadLqzYdoAaC2bgp6mbPdhEswXthvTYsHOrLRC6cxIys2NGvIbqcE9YEdFkVQmfWbxJkF
aHHvtWWHzhVjfB7QXh43BQnjmD6Bp8wthQnkpyW6MfH7Q4mOn11crEvdna0UaGSZpiCAX8xcs8hO
wLRZVrfJIDDnxkGRCf+qOawRDTrCK2qR+6F5MJ01PdmLTTYA7o8bigw113OEs9IHyIkVF84FU36y
XQvNO/RGnxywREK5LcD+S4sc/MTlyHRFUEnu0K4+Vr1WLSe/d3uWoungCTzfWbVclX51lWMKzVlf
w6QoLrlHhk0YkbfSlt50jabwvJhYqvOxDWHNCp3Ybtx88dqBH0ZneCoMLbrouUlGdpMlh1x2eQvT
bq6Y3knp8nL+id0Cg6lWa2cMeM0upnbddEv4tCJmP0RG3Rybor2QhhpeGozQBhMUajbG37SbzEPf
6Fj3B499e2iIwRLleIwNMmmY3lTH0bPgwVcu3OIqvYfnx8Ou9/ee6X9ksXEZTGtG0835fEwS80Yr
2BaTzHog40NDsGuOR9WBJaLTPLRldFHXFIIcrKMNfsg2GEAZ09NfF+TRJP3pdJk3NcnBAevYQ+UF
c03k4pdoXfUxvW44Eti0bikbKjwL2o+y8x7KJcQ9mtZMJlE+YuD/WKPyibOJvVOXskacHSx0Wiqm
AA5+KxMqAmva9KzsKKoRqgQMLqyGREPH0XO4tFympvJve5lzm+ehFoQOBaJJL+HrJyoehsaZzYDI
L475mJF3aea/T9h7gSN0p1Fq2MbB7oJfhXI0ZKaxW6ti/Jqs6Ql9hChe0MqPa3hO8oLHMBsvo28e
cxNdqV5hg4ApElQdv8lDna88HV2L2BVRQH+DytGX4zkr9rFTNy+FS1yqT9pJo7UTw2zvWYmaVIO6
IOUF1KKX7pRM16fDtOG0c/BLtHd2LI6s1Yzf5ed1+/BDlFl5mQ3rS9ys5vOONn+46URd2OVE+vBy
6pcrkYaSK/xXo1B98qogcYzo8q/Zlnplscqo8XIM1PtKRal906P5agPSEXJyl4OMlMvJV28apRqA
5AbjDeOiQyLaB/YnZmJfggv1HcQG5o7VQ+XqSZm3JuVZGEsaFrgZpy5WBWg37IbGDogZnoy0Lne1
k79CAcQKBdtxlD1+NemvTP04xXG7T6aTPUTJYZ5/9XJCYDBz+HKH6BuwiVWQETqgOptyplobiL8E
DrfMyqwAIf6DZk2cn6VuKBLRuyi6gxJguDjVGJDqNOvAw/rgGLw5O7tIhsm7greRuvo9sQJKCqu1
S0564W5mmdLS7ESIOcZjDihT96YUCd1gvKzdekn9pvjSKGRyQJNgswLd2L0qm8u6Ei8mYzEY0aqP
qHq1oq19/o5+UOuTmgREc/NEJ8JRGhiAY7/HlNVfXbHI9NsDoQGBEvAqBYjqtkd4H0yiQWnkoNBV
CgI1rVmACyxtRxHjEyypozBXEhIN8T62BNqDLmKYrQZ/mocVWPIEc1mjRa+UxOpyK09B6K5EBawn
R7MceH66g4bS36uBtCYxVzNi051jx8ykSJrfdKNG7Ucm6TwI4nXleFkNO9QM7MuXo62fTpiQh2No
30a/85QbomxTkiU12t4lxzukjmktEXBAI4OxsU5yi9rVOrP8iBi3KkT+NLKMUIiReB6T2+BK8QqA
U8ZEHndK5ZXkKJjTVslLlO0zlO6osoxPo87+CbSZE4R81d7GzU4A7Nconk70uJXaGCUypCbemma1
3NHOJ9GbyZGaaM8US41NCRvXDEmGGswA7emtuh9IG3S5AZG2jzKjTTt8TfYcAQszanbja5d0JKDJ
WaIafzk6ISplcZg0nCrFofWiDFhRIbhhuG9baoyD+h7mAUVNm3xTi4Pjy2PdQJ+61bjr9PK4xO3v
rqcmtsgWYXpzp/w97chkXw7Y6rm4rGvVg8KILqBF8cvh6NkK0z+qryenR4fpB13v1yZsio50+sn/
evxtYqbJCuj2MDkFYdslT3ZE+Cdu+43d1Q9tzVpE/qx4XNuFVYZl+ktpo2Za2YynMj6qYZA/d78H
sG9bOYWrfP+bPtjfPLLIo44kwFTq0zKX0DgtmzH7LIivpXGFAKAOIRevyaCEqTvKTqm9KRf083oB
LNRiQZFj+69FUzr5NHZir6/aIM0HzsaGJAuRs5KSEMMezyJvtW2zyTu3O6gbvm3Y96ENqVcPEyyk
9pgBF07JCQTzwyVNx99RZb1PkUPmduZf1TAlTZfH1poKLkP104A5WBf1u0HTKvbbtypGHZ4IhAK2
kV7CzHwyxyI+6lYTQUqrd5pe16cG4dqXgaABCUZ3dq+eb/WA6ZygToIjp7qH9IiSXh5nxjwd9i1n
vyESV7c0mTYI6/sQOYRHD+Ss8HXUqKCkv6zHLEROAxQk6ThUkn61TKjbPBWcuUJss7pn3CrlWYze
YjdAud+CDlrZbomdTJorgR7lERQ+hzi5KTnzneWMgTJJjrmD1Qlp88Z0bW/vNXW9VUteVhYWyjQH
Wxu3MPrb9dhA9zJjK94zMCC6YmxulLVD6hAOTBHfa3mQzzxcqdJENY/G5+Q+N2NLi6G1f1la73In
DN9bL9mXjiP2IAi6jYXKk64yY8XYy6CELuC1LV9UOzt2UAGa0R6zLW3HKqflRsrHwTNIL1YfRD3+
6iHUNUyDmbhT8iptOTDMPvoRacxqJS1Gi6TFyNaZXqy7Xoob04RbvLW4LWdp8QvNH8WwHqA3gLqW
zy0kHuJtin0mTbI68bShx+PG9fypBnRqCKyWC7Xkqe9F4PIIzBb+oTRoFFn0WzOE/XX4Vdor00Fn
K95JatZO6tQIFmm+FbjBUGa5t+qDqLGs3AwdW5xqpCYoMJIPx7FRRREAqq/h8yBVlA2t73mIqitA
3o0S/qVhjMWopIWHwUkt/2pD0sHp1hHZ6dJfEgsbnQQ+Kq42TnWP5Ci/ZGZTySG2mtFnDv487YGJ
ymNSJa8KRm8h6VRHhCyz2b1i7aAljJql7vJrkTKRjUyLTqqdxsPuVjU3fMGhJkIfvVFXSd2cSsWU
l0Czdboy56E9qiOlUu1OZfSW2MOn2mbUqpP2/oOOcuNr90Gg1TPByla0RzlSSymj84xfaRrR5iJP
cPWdPWBp4tk4eiVm8layiqpdTX2DSsrg5PHPMqLlqPZefbZZ5J1bTumP/7UZAx7eLV0yHlKiZgkg
nI7KvGNKKRkhGngUt+Tdavt18GnFS6+2lFTaiXWzUDJR5SNv7EjZ2VuVdZVrpNtFGOzbWXK8+Vml
gUbXsCkjyPy0H0Infx8x3R0KnmPynsujulZpPS4oNeGVyP1spIfGuonIF9ceKR+xxVi8BO+lxB5K
3djO1O2kOod/GZUrkpYgUD8reZ/SIOYV3Tente+M2A7PmbTVT8ngH/QU/2C0JHujntwjgIKdZ2qX
KRWPC85+tbTZUo+q3IVqd8lJcNiKu0w6tpX0zav5otEC/3bTNA50t0Bph9UmLowNyaRbcGL2Xp2Y
1pYETRdaZIKruyfncGsVwsckyr6PrL3j/K+d1BOGlrMOxK+hRr4UhcmLqaUng6hP+I4e6HfTKrfq
zlAaOdfA8hebPuuUvMDE8Ro3uivps3GgXM5Sd7OOnHaSLn3sCPuxJMYxo0UjFT/mnOLQL8KDholj
mywh6QY89v95XPBQQKwI0+fOJ9wof+aThmcy2CGqzN+6Ne05DvA2nbB7Xai6BYGrJ6mBLohK4RUP
loBVOpKsgUfql9mb/YM7EVOhrKaRh66+9KJbwAmBb+CQmETScxP8VlIL5ZJQF8QdAScODGr77G2d
BsKHRmQBtSw1UPPeJFbK7Sflu8qzp240hXlQChRf4P0rXBCn0ZyH79GKG6VdD4A2mG21w4fSeQ6x
9M+GKNtNvYwPjanfOy7d09SOGRW0zs2Sudcm5F6tdAGoDa7+oieSBrTrpEJKfmSzr3HqwJ9RN2Xf
sxJGjfvNBplBKHu/Vdfb8oeXsXOOak+TD4mSLapTUhl9s9aKNcxoNeAG39WdoY4G6iKogzYEJfTh
8klbKvvRCx1HaYLUlkBXj870X8okQdS9U1dv6k9CoguLJYcjOzbGkR0qDNSiBjVY1j1yJ9ApW9p5
p/vOuXH7J92ID6nh2UrB1JY6+pJ2+NQqjqGLLSWg4XCYpryG6ZB2ewYBPMKIhqVm5msFkw5tb7D2
1ZCvF00XN82wSBIsZ7qxZSwu5MUiU+Xr/KABKaVzQEhTki6gOSlC/MyyoeOUUOzlE6jW8NQtkkDy
jaXRuUuGKzjQDvsClky4JjcUeDdOWtyG0melpCaWSF9Cm5GU40h//aAnCBBxNE6G84CE6q3KelJG
4QZLYRPjxrcmtA+hDXLa0yuweawO/dD+VN+cDO3IZ+NoGo3Lc8pZTElCpf3KXytL5mJ8qHOVWnbU
OSLtgcM7ZX9bdQweFgbkUkWltLlwj8BpTPjlpaFUmUts3MBojYA8yQdZqbD7URpw9eai6lp1w6sN
DKjqvRfVQWjrL4k/AaV8UT80wXDezRExfXNufS0IE3JbgITBM9mXBEPI+yerKXfpwB4ysziEo4nc
LEVOk3T66xR6n2rXwJKmbQqDOYanFYGq3JVQPdSLewJ5v68lRoCk7/17xiARMkIl5NYl37der4nT
P3LLQ1nSPlvpBSdu8KS+RxD3+CfwJI7LhZMKYC3Z3ghHlxM134G6dsm0H6rhwZVy5GGQmEgi5BhP
BOrGkEtTbbThWWSICuLlbY0WOrJ4TAEex2DwqYtE3ukbImou6qNOmkcEQ/rixMQo6QA2A/W7yMEj
csZ29G0rPaNzx8uob3rs9U9IcJTO9KzV0q/+c+NHnFxTAJvV0ZbLoKZpUJxG601LL9qkN2dVYNlz
jvk5OaSrLvahRcNxqJBLKB+zxcIplwr1Zcn/k8paYJbOipr4homZV2tFT0CKyfKVy7MucE8w6/iy
7aqFBVR3RR8i+6QheUXNU550xzirC6eOkssAwSIkpHHMIVLJaZX6tJEGbbDE5IC0nxNqOJulzJy6
0QsLuD+B0KFuc/0jtmwQh5XHehlW87LXxqeR8okuLjj93h61vTXW36KxboihMB490lD/MhVTUVK3
DN2mStQghqOmWsfVTa/eX2rXEcdEChQPSuDGi7u3sA4Kf6EZDpSLCsf6iNbsvclD4zGZDnDpx68q
ynaqh3lNzzkZADLSkIBqVEqUeRgfs5ZAY1cnTt7m4OAgnGIsT+RrM4iEjEzipmKSauP+fe1zVA0O
oc2R1e90ELTaTEpb6tWPikNAqTBd7JzmqvqyHA25DAxTKnVuOaU6HVK5fvneXWa5V7Xf4lyk7Fem
DOzgk5Vv29X81ljJc9yJz1i3L2oZVzWzuySI5hOkBWr5qFxRBG68EmBDZZJ5fAosuRKzrt23IAYR
OtQPEGTxcJQ684CafdKxOOdymp0bZuzsvNY2RHK9qVL2GDPoS6yubv0Sl4YdFEZyiEdeGTIp6e/M
NdV5DDzw2fNp7RN1tp05lx/huGHQGLvHtHefaFNxaahXyVAI73op+WqyWuZo4HJmQEXuW3dKaY2t
7MUkQRfAJpEniQw7ZGkSYzpkAM9MENu2EQ8HA8LV3gXytHOgMNnoCljYSHhsCxbhiZGp6Y01XhGa
fMJ1ikC43X1eNxI+Hv0Av+/uO0Gnv3SPpccuUEzpzzAMpx1m7HfXhkZXiuI8ooEZGtBAGYmb+6G9
YEi7UHKx3HlpuGNSehdViK+1ODsQtM54ttjqLRn1cdRHh9Tk8dIce9gZ1jDsmoWYh2FCEEAIToil
Z2mGhsSGHCpydhYtPeB8GJlZY4IatCyiuYvk2vSii7ekkD5Adjx6keOe0rX9mKYlRAAAv2TqkksM
GT9bOghGgxbAaQ7WZGaIZVbaSXAnbsMSJ1sP2kPANdnSkErWrL4ZK8mwyur7rvBr4n1qL0ijAAZg
fw3NCoJlaKP7sB/wmBQU/nSX5pIk654CY0ck21nE860Xz/HRODVtU+yWVTs7FXf1GJtPPA9R99kn
5a+45SkZjZkcjcm67wGBr6FOcvQEwkH9o6YDU3U1q7DQqn0ZT/d0mGhYD+bnuqAxzOp1Z2pgC0NX
3xedgc4OpaozkOKBVbMIugIrLVcGHGI5Qe2IxHCaEbQWcZ2y39r3juU9dXbt4h1eYAEyH+/H6bXp
ipvSpjkkXFT8ndDeajeC1mXXc9DiS4xdb/ju+c0PP+rqfeuWyJtyznorCmkxZGAp0iE/dr4Adc5Y
iqkbLQcT3clUxc/+AuLKQxlCi1ncZ2UKrtCMEfiGCydLuDeu5hBAS7YcsdM49YbsR+RGD4zEUQMu
+GGITHjCuvYb1+ku94EftFl7ab04CXxUyTh4pnzjdflLMw8j9UI6b4iji4uRfuHgM262idzrD+m1
nwHlpNTZgZlapHK18ueaxJQzEtKbRnLs3LRA9qrh3/Dx5s1T/k6xYUM3bl80+qzrBKSlrd4sRjp7
dHp7yRCONP/JjH67iCngY5rIB7354k6d/zKIH35j/rZn39zHUfIz0WdxTTDYiTWMb19QGq+XEHNk
h3UIHBetLdOtdr1H7Y0+HpEBhQuZCiNqo1M8U7+trvAPgOKfBqYAq+/iO3BB7jaG0Heoy3zgKcvL
YLRu0KN3LIEznSzSlu87HM5TaxCf0xgj2cvbjizGIEuNjZeCLs59q7xxa+ttpodzKUfZF+oYkQDs
W7ZdmP7ycy05WUXvnV1zuhtWMiLAy9cIQig5pupHUYtoKxraeHrGYDmuPjPAuVgahhO9sfQyNyMf
I1ky1JsYLDW5tlFtwu/wStBtaLVkVVAVJWrGiGjNMdNvKtMzkXOS8NwPIujs4SWcG/vQOaCVMJUH
0JzCG48eETHZzWly62dacQfTQnrr2JjUIPg7GIzj6ADntbum9Oi1zlzOjkugOPBYjPR0O84tvMpx
5C5kcUNjkV26hMwOTF1iX/gjKh6bC1H7UY0sl4TOSlZGLinCShctuY/RR3X/pe7uFNTwV4XnkjSf
/o9//fdvgFyq4l//xor8+0/8+zX5xcmq+uz/2791+KhufxQf3Z9/6W+vzG//693tfvQ//vYvQdkz
NXsYPtrl8YOkv/4/YIzyb/6//uH/+lCvQr/749/+5Vc1lL18tSipyn9mSlpo3//3P7/8Xz8m3/+/
/cv2R/GzSn/8+QNfEEpDd/+Bkd1FmomI3IZ38R8QSkMX/zBNnI2OabqeDw/jPyGUhvUPx3P4M7T/
nokZEG39XxBKQ/+Hpfs66Eob7y9+Vvf/B0KpjFj/JOL3PMOyPA+IgKm7Oulbf7j+hZsTKD6P/bFo
xopJa7ihgf1tduf0ZqAveBomGEsGKfQ7L867E3WZvnVqiopRr45tY3so5pB5hN5UcJxB2gXTONrT
pr+3W2ItZkJ2eWpmXmilQweLmtS7AcVtVa5vFQ7M58Fe7Ytv+MFizf4FClIZlJ4LMZjqmfXaaXgI
nJPp1smBdJ6B3AY7P3A2Quwb969Di702tI3/wThm/+FtkJfFNR0cbFhguDr2H96GYWQwkTRxd+x1
+xbiYoO2xIOxghyNXWFA9C3pFaCO2l0zefZFXStChe2LYYzJQZaP4xITF12TDx3j118j6uK+ek3o
DaP0bs9kGpqBZVCdLbpx248mRy2bZE/iMXHQZ8ZD3IfFNfKYOFLMJ5hOG0FdCWUZ8jO9mjougwJn
PFrq5eeCfIpMae1t9LX8xtfHmxk9oGebp8hKbOS/M3zy6GPV2FiytToVZow3Yc1u+tkN/unW/2uF
+GcCqJCX5o87ysV/w02F8w60yx+GFb4RFMuR2x4t37XRAZRzoDfbOIefj92iJsuSAZzDTOO0lIBe
1oF1i7N4qYkfZp7oe2bYV8MFcQaI79kPp4gsq6MsyGDDSZW6w2cu6WDsYCBXmIlLLyAijnwYXIhk
P1X5/+BzkQ7Kv38e2/J4MiA12pZu2n+YclEGpcjrjA7jBL8Zh/2xcXDc6KJKDm1hvBQRgCbgq8ei
HY3b//5iGn84grkPbdt2PN/kWtkGnNi/G7F6MQw98XT9sWPiu9HnQqAfzr+V8otXN86yvoGjXndl
zHkCkrAFmdnPGIdUzXEql0/EtuUpE/OeAnW8ls2i78qBeO3/4X3+4fdU79MxwaP4+JQ8y/njfYbp
bEflyvvkQglO89p6igdsScSt5uEaXuLe8yCYLHzP7BxoJYunBcrS9r9/Gwjz/u834ltYPh18YPB7
gVT9/YI5tRzPrUDL5yg/6+UtFFt6zq1J8sSspwF34X3oMImaURo6Bja6mKN5O9rLLjXsW83unyAB
5pvUsYiuWw2OsmO4a1AZbJy0fSs5ypPebroEWFQy0a+psSSijChc/VRp4xukrrse7SvTYyRD+FqQ
30E4FOKcL7Ch2taKESk/s6OTyVHn46mrnT3iV87/uQlWdjZcJO7dqzOmsPYIqNvFUfrckBqzJwiN
5GhS1s/0hKdzXWJEWrymC9CONUWAXo0KV3Pr26EApUAt3OlwFpu6oX7Bp3QyvQphNGrUV2EvBOZw
IEun2j0sIs4DCAZwHExR3lU5ZXASAecKSWe/TLY+7uslzvYhbual6C6u76cP/jJFL1U4BRlb337x
nQrPLMkipCqZlniynPh+ZZ0/Zbr1sDjRvcmwNEAT1G5SvX5HMVrsymR+y3U64vZPaArM0ej5sDjQ
may4V7eFpwHfNDTSCCqaVUlsW9s+M5JjnDomnNCKfo4FRcRC8iJQkuMlp0nVmVcvBp1KQ5Z8RdmE
rjV743aAK9KYGEQL3wwyMu+paMWnRUOVhkiElrT/zsaGzwJ6McYARMO5zsjGNn+m1SEm0onaR2zD
BeuqHmoPCZ/Ocp+W0H/Q0Pq75kLKj16R1zSagvKapdzKlmvP74fIbt6hQiXtWgSEduFike3xtAyP
6dR+6A2EU9efadAMJ99moRQ4eDZxqzG6DHHJgXy/rXTI9Y1jvSbNwSSD6jaNasT8fiPd6e2tthIQ
1Bfak9VXDNbkvBlNi2Uaz8LontfaxkBWH8P+ZyjsH4Xv59vBIOQhIgZZhONt65/aIr4r7OWInHXd
FP2aUqoRxk4ZEZAJeAGsllzTufzhmbNLnpDzXRtXVu9+1/bLDVk298awXGOtfV99v9/qGsr7cSqf
7XoaDtSnWhnfEE9DDIWfu6e8+z4sdI0qyG1mTZjmDCyuh4OHEGwsAqdeuy298nhPg2pbMeK+8g/E
jWXMeFz7rk/4GnSBxJ7ow/h+TGPrEBLjunFNWtC+39L/iqfvwNYrslLYpB2MEwPBTscoMQQd1IVm
uglgLEIYZsUMUVAo3tORvrjEIrGPEsSnrTwQBAzGEy6gCuiqaLRoMxh5vs8soz3Cvgm3ltlvIq+z
7yIKNOZyxB9ojXfwYuPWdvL+RgddCjNowMRjkDErsFjbTH1mrWIOzfvyC9qBYkWvUDfuqzWiH2Pp
mUChkk7FWwK5PN46COb1OY+uDSL6eHTvQlD728FHB6kP84lm4k+4Wc2+S2uDMhr+Q3zCt0gw8Ly1
o4pKOQlbRGAbsjpeYnAgsmP3K42rD/A585PBUpXHSDZafX2z5+rVSmRkJs0uQJb2+F1j7lYdsy4c
SF9sbEI+2mwfW8Y7An3M6lH6kvn5JxU5IWKWnh4HDyLIskKzrGxs/Sk1uZcTnkQo22umt29xOgqM
/s1OLwrn4FXjVfNIYY31Ikg8Q9ti1KtvMY6+M40OhFin331DdEZR6Q9OSepvOhrQdK3hdawn0pVX
8JxeJ67hWmwzj7w/N21v2pb7pn/LAdDukl4D65LE5KJYlG+DQQ/d1SJ9i50PPk+VfU85xpaDiB9E
fusvxngxS7K1SnuTkeSnt3lQNCF9H0FhuKy0gNssnvcrSIzeTZGNkomyNbvxdxUSfFPoOnpKl8iH
U5Gab91Cpt7iMzxg7AM2JSmYQD8kZvnoVtqzayS3HVyj3NlludYexsQkdS9GnzqaOF309mFZ0DQu
drjeT2DN+W9gxqBu2hXU8zbff6vy0Q0EzcwAAdS+zG2Dy/qLo6dH0lJ16/R44YYej/lEMo1MAxYa
/bwxNY6tljV43HqMO8SJ5QuIobAiLMhe6hN7ZQtCBXpn5q+7UFg8pf5wm7pVFBjpyD6ITjz1CQ+J
0/0IV3hXZjIQx4teZ79h9YyaN+xwjPnOSxC6SXXQxlbfanV8zFbsOER/b3vCkIHaPKcCjvaQv+iu
++TW4VPhhz+a9jYawNaGq/M9c/2Tjwz/nr0h6EZa1UZEM6FvEd64mrWL74iB5sGsl9+MXkFe9MV7
viQ/CFAMt8uIKm0A7QZ7wBv2Rul/6DSVA4O+o6B7A1E7IgyZThXhpjfFTBrOfdEMJmpvbrbxbCO2
2Sz6sMMO+aIJdh4/yu9MFyA7kl5kS1r/zXb6axym5LRN4VvjYp8qzetc9frFhR4q6qChA43wWhh7
rRQno7G/9Rp6kjyyEBNOJTI398kyl2lPlNt9tvzqgfe+rXZBZImNZSSRbFFBobEmv80U8JMrVrjE
YcxUZZamqvixaub2Vng7nCzz3u7KdleXdE6GlHA9kmcRy9i0GcFjoL0fN2vtf4/tDrBXSSyKcKQe
eWrP7d6vTHETMR2d53h9xhO58+30FRU8eyaEh5MBYvpa+bOLfYrbmhugP1UGgXWdg9hrrsQlbfwG
YqgjF9HDNCIXYqhC4osxXOnWRzfTqNGVHxy+WqtN9qIY7Ms4rdYNw8DvSb0mN7HDbDevu0OdTcVh
wPa3S1KR7YrBPLGu//Jj+/tQeeGhIFUDzL7nXPyeU9M0179yF7OES6qynp0rYXwShO1tU2aCqFvc
06LP1bX1hmcPKS0ZrE2OiYpEHMOU1N2BHlpdpccms7kfVxPWXtpBibI+05kNLnOc70iqT4wQEDYl
U0OXsOsCPy8fsJNV15rMH55AKuR6+qRzde8Jlqo6p6/sfjfm4bbQtMsAJ+zQDjmqTpNbtjGiQ25k
9rkEzPMCiuE7MQEbDlzaTZLKKCay7Q7DxLECDFFVp0+On9HVTLBhUiZvTCd+bgWdw9DXf9c8PZON
qQ6wCEg+JKVErmCOJnV5hq9kiWNNoy/XH625m470nOBl2tG7P5tnH316rzOhJxsyJ2N717Y8klA7
CastPQcrBJ7OCN9uvBAWBHgaIrt4wTDjYeaIH7yK59ha3lIOKkvPl1F/eqP52joD1JTBvdHbtUUz
y5jJMe4bvbmLPfEdZv5741XfquR35g8fhhW+9745sWWZdA71hJCuWie1r6J6wIlFhNCm7EprP7dv
oUPWuwAutCVgXQ/aMfwEQvVLH/r3DJnYRu0RKGTORjohEIiXIEeagMh6uRgDkhlrnm41w7CCqSGX
ovU4rDbxnV/EH+F6pxnTXVEOPwutCZH9al5gVCm8sxkuqQ37ETLaRJB3+tL4F0yBzz2Onc4qra1d
5b+o+RfPfmDOr1Fo0GnOcvqdDBJgrcnKRyIA2o0wYIiF0bxxM5lmznhBc7ryZEvM4lw2HZlG2Z3e
MNObKkIEqvaQ1u1jb1QJlt7hqQGrl2ri94ocKLens+8Mz/oSvs2rpUPZk5huY2UYPht7PBG4mT1f
O2TRfG97TF1rXMmF5blMKpDZV7SE2a1vkwjLmV8g/CsqJu65jeFyvTDlu1ma5WeomxC59Kfcmn7q
rnEeVxLMfWBuDUnH9MPts0EJjM4VEULOgGmXLATDzrOZbgG3uBDXOWcO6XtfzPth8G9c07saqXnv
+AwqKlAHR56BT86kMBaH5po51r3mZP1u1Sy+9ewGF4e3KfPpLtKIZy08991eKHvS2sO7m9juthLZ
su/R1yOp5FeN4nmwmizodATAImJIQML1U7068I5m0B2OxeEy7spveOCrYKVYfRys6ep3yAJmByDd
yNh0KxjFN73otklnxkd/yo54r9wpz/aMKqkYFrell2MxI8oTRnAFugsEwoHv/wLIZR7L30uYXMZ2
9LFOph91plMmTc6h4NnBOTnCbxhx07exd7JFf2nybr4u/v9h70yWG1e2c/0qjjM2HIkeGHhCgj2p
huo1QagkFfpEDyTwRn4Ov9j9oL3D12ef8D1x555UUFRViaSAzJVr/f/354B7ltwQVBwJ216bdhBe
Jx2wcGScShx4LGLekTGKj0JgCUKhMzzb0EpEoMUMjMFMexsP9OXWGjN73Zg4v7nuKyTp28Jyf+cu
Q9oBv5WlchzFUrui2mRGwfEAX/8DRryXrIpvUtbXFUyn286Vr8b0CKOm3qKEPxoDhREa369k3mRO
+gU5bxGEAmrvqsRYZ2W382x0cVrfg4fI26NvWztyTfNzbvrrvkoqsvLSo2VZUHUYMZf5TeQbFcrg
TKekI/munOdfJT+AvuluGsUDIq6WE+B4YmmEKjfzf2cOgaQuIDlpe5de6kxZRfbcJRO2PT2c6S8S
giOd4TAxbSP2Jb3DVvjSeYST5hNj8HG4CmZTd8XikGRPIZCbGU51lFnFfuNgOtE3ZW26B30mWsHD
RGANg4e+X7+bDRAxZYedH7EiMWLacZio4i2nwNyhk4WS17DjGQ2czLr4SkPCu/gVHhBu7qJsPDOk
fLIREGYMYeySvLAUEJkDZzlajMT0CTLoIsEgL6IREBdbllpzvOOofQ1dd94m+LBy2JUPplYhqzAg
MQxL7yFpa0XwiaGu1rzWSoKt5kHmO3ROCiua3YJ49mj95SpDj4hzNWJdAcCBJQFf2kl3cQmUftOu
mUfIfYVp4E6VPZ6xCGGxl4BN0I5jNWob9PIOUAoYEJYd3+FKpKkwt15QZCrwZpKhm6mCyJ6qY0iA
716L3Y9oFOU2JYiaTzVTu8YJ07U597Qu2abPvcX+1puQVQhv4oZQ1d7rzc8mZ93MGCSRstBc0IO2
e0T4lxGL126ME2IbwuxaDDHTvdFjGScmspmPLo0FTr6GcVuJ4TEvX0s/Du+LQpdQLtPxOBfqwWrC
Gxq3AAZMwnszOqHojMhYNwb3iov8LLyly8bMPJnsi2E6at0nOF2lO+77kcM/K4q/dmlybOZm2NKo
QcsxUgpXkw4xm/VPsQH1tAbXZhLeGSE97s7Xd/TK4TMmHnaq5KAV/MrshCFUlIbw8Wgm+9D3Nav5
ksINg6JrcH5q50KvdxNmERfnVqa1TCu91AsenQnfb5MT96iast96RoNufv4NGPPcJC2TKxMhksmW
QhipudasqoHnQsWeS+3dEPU9HWkE7BWRzkWbqsCfQS1ybz0a4L1KAnzyOKYzOy+AFfixuvFgFER/
I8U+VD2+gqLEdRfV1VNsQPtqapBoYVU8uFpqsMuE7w3NcLjE3tFg1gta5I07khkqruDAHA1Jj6xJ
doL8wTixn5piHINZDBF19PTYuc6JkwyraUenrKXwrsMfbgmgA8vVmo2TjsiDcz5iFnvKWBrFePcI
7pVIMM0hMzcaB1zcZAbAEc1ZdRJ0QtwzziCH92GO0qCwf/gy9JQGyiuOa2wn5iEXWX5UMdIGYWJr
qTKafTn0Emusb6WEWucte6/Xil24sDQcPb/Jmu8CQTOqPUEENy8BJs59nCCypHsTja67Cufqw/y0
UKGskXMcmD6ToYqgaBbEUlpa3VNFFCKIG+ctJgzkqEfZ+4BIbEmb4mBDbwY6en6gVMXyJuvu0KMc
XbWZt4G90Z/TMe33eDC6FekWG60CjGBVeLfrsNh1FnWnLJMjudoYG6q32s9g8QoXlNuxrwSJJJKu
wBJf5Yobv4dhmBsUvEYzf/REmdBJXPioqj2wNnT4nNzHQhGDGA0fuMmyDYMD2Agm0Y7SGICvGvK3
oWEIrgfznpl+CtxcketY+J91p4DoxU7HbEjItaq87WQ5m1RdB715jSyM7d04PcezySJxLaYSxKtm
4COtGeG6Y7mthPGkd5aOFN76LITxIPOWbMBQ/rbLUxlOd9GkLqNJKIOlRySGa8W+HWZjNVDlbYhE
vqmd6aEjbXenafbRFIjpSoNOHPuvmHrYIFXuLw7iI3fvTYyQ79yV4pfXjBwI8ijQIt4f6nMWTYqM
YCJhaI1aFbMIA4DOs26yyThYCLHpqWJDidFbpoR4J6Meb+qi+MyHwt86WgiuS3bWlkhoxsQNs+al
hM2hjjjtXtXuRZu7wEm6x1nSX5UltkOxD2OPArtiG5EVTeFharZ2OeCFt/E+YWme6vsutgVtCa7B
SjMeMfE8GLV1i5b3myRplgKNb+vXUPQ+Fv56Cph3Y2oesX737qMF7sb0Cnc/jzHu0vZXW9pbx/Bf
id4ICTJDssH5uEtzGsPjjKjdRtYzO15gksa5qmfvyYLet0aShVQnNm5mk1+z9DX/dpjSX6NL87V1
fGtvKOTN7ji9ZQD+xGA1tM+K+3zO7xWdoFVs5ydV3WSOGJlsuWQ3xtqia8+J9lBrNEcTbStf0edJ
m5Xtxo+2aVOHTOmNh2oCYQSUCImTwSCmQPNMlDcOQbmLLtrROCllPj8dE+3EfaJhWujEG9eOzZgz
jFhh6MrtPXBX+yquboxMrYWOQdi0iUuIZBrtdGkGJqyW1mzJ0yZ9+qhlJqckGnal41IGgrC6z93x
UtrWDDMaSk5bc7os8r6k2MwpNCN5HUYkk249pdu2heLd4vmRgBmCecw/oriY13YXnukCYAoqrWvh
2E8GpzaAgBN9/ZhYjYXm6ERHrVzqUQesarSoa43WpYQRaHyJWNqlSbirNI2+KUc8BK3tPrFTA0BF
d5VIKmiYf096duOp4aypeFcQchkQV2zO5SIDHB46qOnr3jT5vOvsc4qOY5Gc7H3S6xRiKby2OL1x
7O6bzkKJlmvqOVG21bU3TtVylJ8tqq7Z4ersvZQTD0Wtz0taIZrOQCLfLS5WOTIHyYuO+LIZIAlS
Rge6BDFk/EwbiGoCHzSw3eE86eYTifGfvjtgHvHOYaX2lncgrRez6Yx10CKneZWXYbuGbl7AyIFw
JGh62/m3Y2DkyMtvMITM5mJMpd7Kaayr18IVQGprEQ6rjMA++ml3P5SNDvaIskZ3smDoPRoDpkR7
Cag90yrOh+K+NKbhoGZEKqOXzoE3pC41DDb5PtV2TiPoSLr3kDevWpPEAfYuYl+yXu1rrshpHHZN
0pEqxnAxQKO1Ymiyj6xha/bk6PUJTmp7b/jo02AKu8CbLr2AYWCLpyWJmLQylP9oiVZuBCQAHwaJ
DvNDZNFUIusWcvEwBB529Y3B9GJmTrhhLcXab22IiSDPitKO2MOS7OxhL5zm3kw41hhGNR0MeaVt
y2whqwf80KA+PZdlquHKD30o23OHJnhI+8em8U2UJ4jB6LLDGOP11ipPts6U3k/zjGE/c+71xP1u
OuMWmSj16Oi8pdjGzG4c9qY5HjuZ09gPMR1OgOSIQXzRa+caWslL6NCcUt5pxkZ7UnAIVmhfDpNT
GXtP1dc0gnPc0mNPSq29acWwSUvMLkmow11q8nJjCHSD1PR90zYonji3cWd0W20GycZkuuSoTE/T
lVNQukNB3MtC1UBga9MUoZvFjEwl/rqo66ccurufftmZhzJpJMYc9RYx9xqS4HwqegS0vIdhBFrO
mJMp0BRuoxAD5p75wvvgp9ODjVyS9s8e1jxKtEoWa8AVJyejLmma6dkU/i0XObSehrXZcQawDjkT
0gKdqg7kAUWvh+6tAlQ+uMaF7cGpXByNSK5XyM9WIejZVd6w+juhOMyeC3YcE0EPz5KCnCu4KLyN
NJyD5xt3Iva+qUKmrTdl+LU6OTEbJPJT84weRSbFLzkX607xgVcaEFzbQ7Q65zUvKX00OcoECScF
s87HjVvsE0Za22wUt73+LBtGL2QLGFASsJ2HaX/0+yGwaouGCxeC68jXTn3lwGPyUotfZNbfVX3x
W6lGvHQSbARcree5rOWasy72CnPcgRuoj3mmP5ASep/K19BSj7IABZe3zrH3BnEUdL9dcMzoRqJH
yD2B3dfflMLQi9xN7VrlXWIyANMS/kf6PnT5+4kmx2geC343AfAIZ+NO8as7kijjExMuRjoBnQ1Q
dnQxEIjZy2moqUNR0QYhKFKs4zoj+moUWFO8p8Y8mOGiEYwfQMYMxJCWLu853y0QaqQOQMHa+5au
JcHE9K/o4mPjqFf6XN47WDPxWHcrvXPpTBa2geISdkmcPcbKNSi+6Zu5hF/FukHnFdpNr2t3VsWp
uBHDrp1vbIXz2esz7UwkJG3mmv5rCHsjXNgwRXoHrR7+E9p30YXP9JIgnY8mxi/Hg1S0L8TInEmb
soORGh9Cny5Tmb86ZvsyDIjiDXfEiWUwGKiciAZeBGE8J+tYK3ndGSGuK0G1+LJUdEbIjgcM8IJo
suINxeAwhlw+jVkZr2TxaMd9uKuT+mGMGBAxB8NchrWy6EmEaBcBcNqd5kRuuOe4UVCnYY92Tp1J
TLJgB9H1PtsQG0shmoTvspA2dy89G0noajNM5ZsWv/l5gUvSz17zLOW+deN0XfXy4hM1uUuWl1HZ
xkxJBAaw1+JXr5o/gUrRvys4gGG1dCr9ufBR83oJCM0JtCFgGGNsvoQWnQ3Zii2+Yhd134BVp9NO
g2Ey+GEG4vgHSH2cTUbKYkMoMsdCnEAavnDNm521iOZ834UPwO1+0+ysjv50u0DKodlYyHLn3Rzh
LdVJrQPIgp4cqM4lLl4TDX7aNKEVnbtwN8x0CAfzFywQqOL4JR2mPbi7x32S+w0jVEBFXuof2KnN
IDX8N4doRtt0A7D6LxYNEtFpdK3sYUcQDTJ/XT37OCqmSnAyRWK2yjjOR7QgJ6B68dC8WAWrWD5c
ys5ijmmgEk5Q29FLn4e9amm7gUiMV/2Mm29myrxzDMDQTtkDEQvF7eQM58gZy0smMyp1gupsNnnq
W81FCaNL/Fdzd60N/9gNDuLM2KIHBlvQChcCaUnYguNlr0mPhrGJumzvd9duHLMdEXfjGrvJQw1K
U59afNk6ImfmJWugmtw+BRj4emIa1g/qVjch74bi1c8GtWo1AjoMiWi+acw3XAzeoehzcmHMlvNl
ihIirtauC6nIqSnvTBomcWwe55aCjgQAiQIJ0x6dwnC1sZiQnejbDZvQ/ygQbe6HCruRpS3sM5r7
CqxC4LZtRpNWeqtQb7dWhgE6CnEbFW5ypGfbbSsdSInVASqLYggNKhLfCLG9dV+MHXi6CT1ZWL+p
8KaZAAaN3qkV7dX16B4bNcKTEf/WgNWYMpBQLNuBNI9bzub0Rb+sHjdmMrfkA/HlDDTMVf3HLPiL
JNEEfRSD8/F1sYksGELEZMQx/VEdyNMmtgsWfnXvOI5/nJ2B6XiRvHEVgISB37mq8ykwB9mgJvZe
PD5/3rLR5vcRnV6ObOY5suEWNfcyi1+c+DPvMu0QQwkzteIx9cpXmLTHqNoWEfBGa1laDeCyhtDY
Qom+ZpQlngoG6+tu9saziG+w4cNzhU7JWbw9+Z6iros+BiYgq8SayMVwpism8J0K7XuyKuNAbZiB
XCw/fk6vQ1+pa6yeEjAua2fyGV6z/a7sihDekhsNoX58xuGAJ9BVz53BkN0bCoqELNyOaUmaBt32
dUsyS1xR5QnBBVma8ccsv9qctWLsuOoTj8rYR8hYVKsMghcAVgk6QLMgaBTmmYS+x1p2/sbJeLuA
jredRRqWTYXQOvqbpPOwUbgydpwhAAySvMhEdniWcUnU8BjaQWjVN3PCgFZwhANhGh7yhtOER1Zj
K1vrkGjWxp6a3eQvu18tXiKl03R3/C2g23QD9GQJ9+m0nR7qxHEm32G6sCALBnqJH2+HUf+yfZdh
SBERLhNjVApDGkvzBNvTVHeaV95nHb7esmJAx0Fj2yYyiDsUNGXOjW9GvyDBcafE7vNMyWsOqt8L
5jLUjrj0qtwcAj0Rv0qBx6NI8TPK8ogIigM9Ao1KdER3DoTACF8dWpeOg0vkjrTYdxrAQbsWRUaZ
UHGIsT8XtPTKiJkNvNa0775Er8KgUoixIS6tp27JkKSS2+DRgcVbsgwXNh5dhl2lftcSRoLoSiuD
Uoij/aNwKnGDF5OHBsFjG7br9yKejp6kMkpste8hT6EqKc+9CSAMYDmEFWtk5MDVlMG92cU+LUBi
ZzWnG05Z9j6lLBlNX8/rGrrKjlND0LjiHlPzOddoEBkjuV9WxmQX0Shnn4YE2P7bHFy5bXu5wceP
Q87Vey7HnolX0t5pFtc51cPUO7QvZX7JZeOj7q72Kht3QtH1MVG6nEx0aErBSc7Mbu+jG+S3PTz4
DvHj9VigQ59vLBN6WT/KOwfB2cb1orXPQGnbmv7vnBnwkOjf3IYgHnHgmlGmnaqITnpHzIGFuhIp
wFvksYXWRb7JAfwC9t07sZiIrcI8tsQI2n36idXQYSTMjkKszSq38c+MXL9hlgFmm7EBlCmA/mSi
3mw/c677nTX3aKkcePmz/YBKgYBnKWm/1fQu/GKNkuPdrRN9x47kc86SC74zeje7KmDbhWMbDpCL
mTm3uv0moI/iz+jFxpptPGizH96b6D7GJgpkiElubHkdhvKfEgcBk2GliOIXAJiGQTKS9Dy56bj2
nvxuWswnxLbOYUOF7LgMtchYRqdIMDNnize9jd9FVnzNhI3t2+bek/KmGRHlSzwHa5ikhzouH5vC
hc1nN9RZcWEfiCxcKaX/ltNtK6SD+Jduq6ujsiVMGF1wQ4rfqBfNWQ78HBD46zarnGDUfIQfHcQ6
T7Qrt/f9wH3XTAadk4X3RwwjaC0DcwAHgjeKWAu1nb7zYb2vtRS0ryqCrO53fsyxxqPhyQUH61pj
4ZUJWJEiMvsVv7dNq6VA8SSdCj6w9YSxkSkoOqi+wXsXUifO7qDvssOYJ0/s9/uuNcxLKpjplSwL
bgw+lkppr3VTSbk6HKvKyjdmCxOma933aYQWWiz5bLX1OaQkaTJaVeusPTDq/ggn4ETeHL2ZOc4j
mwljQug6tRjd8Fk+Y51ndKPo2k7AUon3eR1pcqCJLj6jjjNqhtcNxN5H5+qk57kUGIK21KZAwhnh
QvPCgZKgYXKKtmXVGtHHXtjWG6ju/ABd95Y2NOPsoSP3RGu2jGqgJFvpZ5nIbsfVHAikiJtFawLB
YQbAnGh4wEsqIL/wKShTpg428js2baQQhRswrOrWTZUNvD0moLHMPzhqHuw0xuSVE9o0SFRcDiIn
c0LdwLSAbs9T7ETtvRozwSQGZZil9dlalOGDnyUbJt1zwICVAC9+rDXmD1Ry3sUHAeulJqgHUvfK
/C1M4eyMNnsKy0h/5KAYbZAEieE3uLNkLYW4J0WR2aHtvzHyDDDcpQ+4+g5YXq7ggRj4uPVLOzv5
ho7ewWoq9n7wWdbYQ1lJrEfK3AAByk53KxOtsEo3k5dcgMuZWz6fi455NOiWosbyKixMfgfk0Wtw
u9XFdzJMH75PujcSCNIy6t9+Ga4gPO+SFpxS6ogwSM3s1Q01pAto5pl6sZ5/02p9aMbwA03IpZBm
u0MJjS5vmp8Tgmd3lZ68xXAznaL4MeswP9dw77iABY2Qo0piAfGr6g9lVlNAatyvsUyehZXku8KH
gFua2u0ME06Ob4Yzn6yqeOmn+qwU5mAV06gx7S/mhujVq13j6kxzBafN3Ik5+bdstJ5jPxOj1/YW
90VzIyQCLKN4hoUfbUsOolxW+lE3DGDsrb5tsq7buQUtxZKlwCqgZg4txEf0aYFKut04oekpbftz
sqIzLUy1L+RMJ8xO+o3Fngtn71ftKWM3N/5rJYG11H6RP4fyELZEqfWJ4a6gsL74A8UABz34NaEH
Kt9hDuL5DExJFsk1vtebH36bICwr63c9+aUs1ts4ows310czL8xNHPMPh8Rdzb7SbhxcVu7QPnUY
O+DzFXJLxPgO1wb3qgcOpjC8py6Cgiuy+Yo5kqjdmYEHEOum1Z+7Zm9KmMDYx1bK4FjrNC9jYkhi
WZjn4XDYchun8LvhWy1LBMcgaYREQ3D2qJh8JDYnUHNMCyz9uDBFBiejL/ex0e0cp9r0tQHjOWzp
zOmrKkndU6/HxJFlxsH+MEjLQpXEWjqq5IPog3xfa4rJqpGgy0FWgzM+5F/RoM99ucmGRTAd72ir
2RhewGnzJPIhI8DuxR6b0JvX0uNgVrc9c0PPj+MlMZC6OE5Oqd5465DggZERWUWO0LrEBbupqvA7
mZNpI1B/+naTbueKbi/eWUD1jGBWg5AeS9MEdSrMb+eKTd/xGdlBbN6ZLhkZhqAybR1GWxItgowR
I2kXmijDSc8BToLd2WQJs1FkXSTzGZR9SIxpbsijEeWfBo7sVdqCMoE1dQglHTh3Fh8KEpMz6BPI
3uhNmJ0eeLzaoHOSaJ/bijMG9nBjFORDWhw0rL1m61xGRDCufZf1PqQZaNXJtRHxfqBiQEurMU3q
nY/J7J/R9eEPfTQbIz179og2Ej7zGugCnpitJyF7ybxxNshFj61PZqLb41pkskFYphUvio3iRaCm
Dxj1wdMOTeI6GSPYptac+W3yLptcbtBUIROjMRjOybApySjbIrxkccIaXya0o0M2uSQf/NumRqlc
i2pL7BE1GIjJAI1XeGJY/nsOEQct9g2/VrcKC9FtblXdWkN2tmFcPwbxgrmTZZeelnAKI95pwjbu
u0tU9PqNm/zOZ7u8Gd0OU60BpsO0T6nqlyWwRxCQGAliwkMV+/YKD3hxaczqsU7wYsvRqHcdhmOQ
PZ392GM69LMjv+YXe2ZjIqT5rTNMgJsxx88+Li8/f/fnlYYMNE9GjI5pgD8eJ9wZCJaw2GblganI
iFrzB9wzrPVeoaWIUQx048VoUYTXSo2HwY+uMdfe2VP9rmgBOWrdzCgQj5Kletru/SRO0Jhz2HZX
MXAlL3YsGLIlNPU4PVYRvscubg+NPn1Bq/OP2sjJySKMvZEIozSJI/vHr6ViNhPfiF6cpfed9Mra
+FjbF16qvkaTvORVue25ABvXgwxT7MQIz+WljB75V9YuRvBIjZPOD00hL68ZJpWbIU4lUxBSZ7su
SRdJGG87ot2qoh3C8PQeJPW16BO1o9fJoJLeI9I9Spm2CK0z2rYFHt+uy0l5QYnkM0hpkgZZ3N8B
h3ki1/gJD22+09TJVMq5TCG8OzWmzabVm3ltWK3cqqGoA+b3xroaXnVunDvUlfa2HdNP5Xnnvjbj
hzyb3zXOXyecEQdRpA9ZibOjSDP7HgMtdL0uv6saiK+V21XHLAQ7JxJxg4HKP5ZWRZihiA4gjPND
LSEORbUFGqOybkIo/b3WG5R32Yqw2HEjBZ6JH98bdISg5a9f5AKz7/CekzYbvQrURbqJo71jDarg
SpdgwwOnsQFmkDoMUbbYyp5omcjy0x1IWfMkDYE6t8SrCyWqIEOmKRkb9qj70Q9JbRtPjNLybgym
kMkIH55/NxXNh6LxP/o0/RrB74OCp7Pa+dDMNncqJFj2I/NG77q9nQjnqNnJolfMu61Q9NPJ+qUA
ypdAMBvzK+KSVWKG6VYjxAsR8UKfrfII8gJHvoWiMtdDgRZxLA/24vmbbEZqnWEdMFEjRtFMsgJ8
Vb01NjreJGfGWbN8tjA4EawjAub25ehnb6SP67xbPtB++R5cbHMrk+H9x9PlL/5ECNEQy9hhUiuM
rn2T7ZDYJYfaBGvU4M0M3LqvDqm4Y71EFGOz+pZ6i4VAtz9//mPV0DwpnVLtSh0/eoeFbRVKf9ol
kk2yg7idOZSSU8oWWVQIwP4IIZi4IxJrYSeYap9jvIR3HJeMVEEycx7vtdk5l4RtDwnTR/j7jG8s
+tuVM6iNXenHEozuxVrskXMKja6YMpYSu/AOkQo39DquQ0rdXCcfWBezqw1QTlMcN6OwyzctQK47
6XpgXwWaX6u5+iXT/h8LY8homUZktG8a1mNi7rdq8WaG5HCfituSlv5mUmW91o203Gt1dRbsw2vb
rIdT4Vs1TTgfd2Fk73X0yWnBvAyGNU8najqHzridnYQJZp5dAXIWaztWYhELTXC8B/3Goj9aAgW4
cXrG9/B/b2j1bvTcce+5jsHL08WbBiRWKrV5TXX6NWeuHhTL1TX75KzEQ+gQfYCx2839D1gfd0Uq
kptIj2iS5UjCK8vc/lyMtbIQRsfG5kvjojtBf9tBZ+TkrPyrPdLQcZPnMiXnhtjSGHBVzR6b93du
axtnq+mYFSON0UYkiGM02sd8rE8JeHTioCYYHj5XSNhq475JY8GxSN0mJiqLzissGIPTozm1v8pM
cgIM3zKm0n8Y4v50RP+vX/t/8mvrOr7A/9mwfZBfpfzP/2iTv/Ns//yjb8wB//43rKL/JgwC13BZ
C9dDzvO3fxm/l+/49r8ZwjIE0S6WMEzLxLEpQSPG//43G882jmHf8y0SL02Mm/9l2tZwbfucNwWN
GcM3XMNy/n9c2z8//+9NqcIwXGLhIIO4uqv/NfYTb7Re9ZzC8PHV4U7QGNsJNGIXbt/sz0fU4sul
B9HXyOSdZSrt2I3z9eerAjDNPm9mSZYJpD+k+4D0sKzdxTZ/aL5yThThVLKa5Pymf9Tposwxpuma
9QxarRAJj+7bv1L+1y+RUdW2nuTuiHyIU2391fv9b1Pv7Bc9zH61UtxnWH1p1ETaFqCyOg0iASnh
DgB4C1PdGxEnYpFWzqsdxc8I3AiidcoQC1Ao1Cl39CJgdKufJrPQH7psuGaQyN8zeKUBwmD9NI+O
eBBxd7WnOYGq4SFbw135Is0RT3uXRltbDHRwEpe29fJcVRq/fWxHJ3BDNzEr48MEhPvhB9RYAYdF
553F8YagaXMHHR9g6PIInV7yx6P/+9wfjyKbPlXVqTUWL3iFgz+9y/QztZDUUOiV+5+naUqcZ5lC
VYtaSqLMyi9aqREhtjyaNPPPRz/PAWjTVz5YwjOKbD8dsofW7IvHJsTDEQ2wb3++bAuBkrOzyo2O
K2UZ4D3LhV4x6mX0/vNIGx3t7b89ytSz270lxtjeRssf0Pba264GT4JEDMz/8hwCmn8Sp6d7/+Bj
FtAFyGW0XBz16B3+ghlgxtd0NCTxuSRWsi/0ZqvIOnqbM48JuamYQVSReaLR85SJdjoVCpC2KHEn
OIUqg6bX2tNYG+2pWx5VM6dBPkl3/fMNT1qTz4RxCgQDY8YMbfGryJLmtSKOHXdCpKp6Jwa4honN
oUr6Zh/wCelvaGf2dd6MtBij8D6ZING0HJmvIWCdTWn51ygbjMMc9uaRocmfj36eU8tz6fIcrfhi
ZWYwpJy6Tm5KoChBU2fNy1R0L6Odhe+0Qc4H2tjZJ6f5DLlCNF5UX0wXAJ6c0men+Lz+5dsCZsum
L5EeNFVlAzjw6HD5SXTDb6redNU8PuY6LFdd1s2vujR3NOtpJOfTW+/aOzX71odDGUPnwvSvCM4G
Er+UvQekttFNrb1qWYIGsYgxYi9f/vxR6f6uTaejhXCtWWWO7p3JGTKeEry3dNuDNBrCQ1WkwxEV
qR9Y7q/Ohc5ygRE9gZO3qscwfTf9Kj5p+O3uzPTTSJPxO7H0715mxQtVNnexFxd3VUZIdwQJaUWH
TyBkQXCTLjf0rGOwc/yhugdahEOnNb/y3nJvPcv7TXTh9Nq0ebTl8iJgYvQOYzkg9DaIWJUjSeAa
xfFRGpjeDBtnm1d2Nq4Z7VVEWfJLFMQkxnPi3ynHGvaOl6MZUeTE+XN7myx/mBiPbj0PXffy/M9X
P8+X1UHObk4fDcc1Dk3uPb1Vj9GyUJaoJW+pC9CskefnksDDUJzXKWItYRAh3M1SU+zDHL1eWGO8
pveE8E6K4OdLL6KXMNRoaXvO1ui5R6ChfTLssUowiFheVeq34x91KwqT4oYYOXXIqfn0dG1MTfEp
qyiopkw8NuQU4FwmBXAcQ0LZrLk5//yRV35zttXo/BOvvfWPnAedpgTMIc/STUu3/mL5Z3xXUihq
ajsSKbEvQi87FoX/IBnanqzYIUERTH1YOF8Yx3/psxRPYwTkuxrH6Yh96mfB1XV/rwYjvv1Zg/O2
/j3PYxFy+cl7BijxQ1iFBXRGTu9mHyN+twJ4WM6NCfwmgAmUbSVmtnvWM+OuJH31zkga4w63TXuH
Bw95mA6aGUVDOcHvcRn59gyffHHO+/4UKqJdN0B7yptIxPKOGBPL0W7/eJyDQvpvFcafldjfcTH+
gSNBqLtlCvZqS9i8hL+E07p9S9pQ1ZDdR7Y8ffQKv0XY/sr6/o8HyzOMwBY6YK1u/uv7KLtfVINh
MnWjiPlED83bkYW6zGOZTXBKseSlJmUmRe53RxP2c9DzJyMV7RO+7edmZOh71Sf12KAjfc8c+v6W
3Vq7//e7+8erwSEuzfMM4XBVgKr4y7uDYdtmFj7sHRoKY4VMub9EJKcGppqTT0B/y8VaSZmSJZrN
0Jqt/rKkLpB55CvCuIxOMy8/6w1a7C9riqe9Q6pCiFrC5XqQ3nD+YVdokVld/6BYoOG9aiP3klwe
SdF9/FEzuE0PwMBAQkK0rzMGZvodo6kMBFfcvUnmJqUTDkx7LA6NzNLXxQhByyu85ijN70rDfJrj
KsG9C9U34Te66YWRvCYjMpI889J/gkvxFiDF3+FFXHSlrk5aseEzlwPn8y/V58eVUXhLHfqv/4ew
89qRG1m26BcRoEua1y7vq715IWRG9N4l+fV3kaU7kvoAI+CAh6zWzLSqisnIiL3XbpQhJMeTJBYx
L7xZwGSNW6d91gqEgW45XAsh2mc3Lx5xeqaXqg3dqYiZBLwBSmK1hcTY92DcY3mazyq8mRi6ZbSX
7Rs6qeqpY4xDuPeb4ivlhq2YYOKSMw7xIeeqTfKm4rbbpVOLS6nT5Gjo/alDJlLfvjGDsdoFNh1p
QzTGc2+QqUij+JEElOJdjYJDa9bBBRH4hLNsJWyevHxgSGAjhzXHbzXOuQwlMZK2DMEi5Ljbv7cb
LdhqbvzUm2DqxszTiaUXLpJLopJEHT5ZsQifSrv81gYVcVYNIXlr3F/GmuW93WCDQZc6LaqFOVH6
EX5BxwvJ0ovjcme79G8icCj0PzTWh0TTcQFW4BEgy+yZNkKnnuopRTrVAxzHqTGePgU+Oo7/vi+c
qbD58+PV4bcQ12JQpTMD+MQj0TqNJrD0402o1eUxpSlxtJk13s6yNKr2A+7pXy8VekYKT8SgnjCl
6gRHE5fh9DkQnfojcQzrYnnfg2m9QgiCb0MPh7v50o3ajqFz98UyiX/10AmdurvKHWzSbznMr44O
sg7dnxr8jV1fWJoJDb6YUw0YTZWfsO5piYodUP9mP1iTFG4+TYucARZV/9KA3kuOlPEl92yGDqP7
3cNKczckyfAU2KGxRkLbMUjNlDMwNuwLimJ9hL65avTI/Y6N9LutAwrMWtS0iaNZCD9Vuamz5CFN
FesQT4fKjKvqzipMIAQBiU409IetowoNqtlQ3XdoVO+dypW319TmGhRq/SUrHGRPvRO8EVlSL5qw
yB+DsSxWGL/9S4jMaZOWYXUIGFvvSap2/7ICzoibT5800BnVNgWbMtP9XOJGKUI0xr2EO+mtstGr
zHgWHeIgU+0xwGp48cy5xMi1Cpow8cfzpTLSkFd4rNPsNIprUT+50y6lTKE7FAAQooUphb2uGMRc
Ojnyd5A8FRUGIA5kzMFX1efCCpfDVHYwHf4RVbhfsIP0FxzdPdMM7MVJWLAn8OXwXcV6NNSTV8Hy
/b2+mx8k1RQcNR+i3nrLRrNdp9FEv2wncJ9Dvi6queEMeLsgvFhVT6ig+Npi+jypVkJYoxRgv/Sm
h9gxILJQ7Wi4a4EGLJAy0A0avzG6dX9ocU9iq5F+wYVB0y8R9FUKskrx3vX3pjDTtRHVBBFXvrsF
9xv+BVFk/++daNi6LUCdgSeyzc8LLfstRffiLt7khaYvS3J4Lnmk5buIKGCQ+dwC02F+PaqxE704
jvugNKbx2krf3zHuNpfttODk06ivnKzv030Z0p8sLUN5hb0ntj6CjbVm+7fXx8I5hxhw9kzOtXM5
+swSpkiuFKgIRnW/mkbqP1+bfyoyyIvJ8FB1I4mfavEETM1ZmiaaiB5jwtnW5VT35cAJdO8hL/Xv
meYEX5F7QsOXvXbfRtoT2Cd67x7z0mTIrmOc/TwAhN56ha0/xUNHy9cdnfVcEwjt0MNDWML8djbq
tCEwbaEsnIzY3fkyMsVAjgz+lCCbwsvD8GtBGxXLTZSdS6b/5yqu4Q21/vCXm8o1/2f5BJ9ozN0W
6FKson8+Hatcsvgj+t3gzI7Pc8vdrXxadyoGx9v9QV/vw88MZsnTHqJyi29t91RMK0U/rRQl+QyL
2EDFbDQxO1/TPPG8gqTEfHihCDBLNVycg60hDYvqKrx3aijeU5pIr1InyH7MX3GSEJuVQcfgDShe
2eh/9FWhXkBE0PAoQJuT0Bo9uGUg7+LMb3bz5XwYGuIg0JRe7XRSUQhXWxXe6J/mw8Bu4rTJnf7g
kLhxTppEPI5aybcz8MRaEW3y0PNE3th2qQNAtpPnqqnhS0qIY2SHTnj+Ym2NWAkEX+9XPYG30hLm
cbb0ND93vszPpaFeqyzXdvPV/HpkECcJHbjdZLVrXS3HX1FZiEcaD+ZjnwNjyPJ0cgS6Gtoh8rJi
bXyIS+sLJUV21lwI34XBcHmkhg588aZ+Hehwf3GrvgVHosh9UNrywS2UG3zyD/bk7xW0MZHW/lxh
TWGbqBZNV9BG+7zC6r6GQUzF3ko+TcJO/WPsQDq5UdWfI0+Lx5dEhW3govG50qcdcTqbxclUkuBQ
olsEsyXLx9pF/j9atbEySk0i3rJIJE7V7KoqaExM1z/puYt5qA71Kcma2mat0NI6h1MTLVMwQxcq
QWC1ZoXHxon6OxPp/DIedeOVjn+4BHpI3RUVxuvAMDF03/+7ntDU/60XedTxlNEsneLT+nxH2F4b
DH0blBsktcMKSK94ZNhlHZG5f8jpKqro3CcZwgUziENWqkalk9/rA4hHnh3tMIzsw8d+rZtITeaJ
i+qYgCGskdw0ofTkdUwVIl9VlMPBuBxDOmtkRY48TTgbp9fmtkdGmtqBFcwmhxHtMaLRK5Cx6lIm
ZED3fj58GOU3UQdvc6lIpxFQD4G8cej5rJFVfjYJx1pGdaIuft0TyEf6ZdWU+LHySac9TXcMQxSb
umiHZea3xZJJkwHljNRDhKzmfam6577tAjANssLn4OMlB0R1cixyLcemQuAg3WFd2KVzzqbDkJ2y
WP8SkURul3VxTKJSPZRz20+GLeXP9GxI0fygqLD8tVoT74xsTVvc7ih9WN5qdUPJ24XwPBgPcH8R
viFoqBApJ7o0ebZ4i9FhVUdBRG5oXzBhDXoTeUDsLAl9fozqYXjyEYcuS57uZy+qbIzKlKyRSU2n
k+C7nEuduegRsk7/svPQjInE+Of95JioLtmx6Q4g0Rk++NvWI9LrXmJpzDd6AizGK3WY9pIxitIN
kESmQ9WMPxTIGYvMD0mwVtTviuPxbPMzQmhyJt0RBL77EQGU70O7PNh02BjVqCw+3HcrqNHMsGuI
xXXTfBlLjHYxnLNyjMHhTlWnneEcy5Wm3DYFuUa2LGGp4H3r1rLPla1ps99qHTm8tTHagdt6z2Ry
MU9jvUzLrvOZnkvCkpwQf1cbHhnRIKzofeN9PouG1ngPSnSesuqOYloZpTYoW1mFb3PVG7iNeSpr
B19UX51K1dGfU5gGiPuZUmYJHcWRIecazM/b/MMYb/PK6jtrMb2k9SqjxMFKILMb/anPAnnyNevq
2MAhMqyJZ5Mky6VHy2IlEyW9ApgiVc4zkY0byNrh6XdPldFkZ88un+ar+aDKo6aU8hFAVI3DQiOV
pW/yZVbnyWPW480gJcoA9E5zvR5Ft/cs2lZh6tlLDb3Oa5nLNyRmzn40FG+Ci1/c1nbe2DOmZJ7I
/DI4NBU7nZk8m+ivoVMBG20KlS0vZ5neq5s+3wJKm6wNFD1OoD6po+Fc7ZGM5QFXSh76KUk7cX42
oIIcyaf27gwzLF49CPVrAona9XxJJ2JL0+XEVtb+WsP0ico8/luDWf2fZ4NjqubUWnYtuivqXEj8
9l028ernzVjRhUvJ/mnsqj6yTILSaOwTY2L7pE2H+Wx+TaIfX5gJQsjCeFY88d6lRncup6u6M96r
vIwOiRtt+9q3HkekApjOOrmhSy4ey0xDqC7HjO4E8VHF2FjmFmFLDgjfmZJuiGGXnIGOR/COS5b+
qP//Z046HIKKAWGWFiue0O171yIcsqsxPAxxfU/AjnlAHzbyVbLhENKV7FEyXOYz+p8jTo70HmNM
uyoamN/Y/fNXushYOzDMnio0f68l83WrQW/Y5SBYbUTcY9ugJfXI18nMIjhRPGBHT5puCyZwXPlO
+qx2nfg6nfTY4LajhzaBhuSlHtvuoRj94hphqIE9qhxjFN0LlcnBFo4/U9up7HLVt3zow/eIZN5t
rbU0nNMeRalqPvIUQzOup/Z3KeDgRUTGyLmp40bpAVlgtumrfgIkFsah6u3nbtJVCER5WA8sKrGi
4rLwCLkJ9VdvRA4/2hIGQVTuA+bTK6AAzl8qDfHp2+QSP2wIFSiWAbKZb9OnpoxflWZmp3q7N3hs
NI+RonWPau2IgwhT0mPHDo0udrzIhdYNRJOlfb7ulMkEbFjnzrD4c34Lny3qSYio8R5qtXNwwQJp
d51P5oaXfcWSkT9lUn4MWu79MyjyThYq1AfdMjF+OMO1GUDZjK2xbdSie6TPilQgGtNvuIiUIUg/
1IjNoyUy9SCZvlAHxA+K5SnPFrlmymj4J6+JqVz7CQOmwBXaIJ0znqsBn08XK9pO8M71leHi6qT+
C6BZIZ4y1OV8maDIvZSv/12/zO/cb88c3lkLtjKjVgRkvMHGp4Ieulbhmman7x1W0Ii8DqGjdw2T
V9/r3tzcV/6pXUY4kd5+3BY4cC0Lv7BxjUWDdf/rzCzEfeCFr4U3aZfKxED5rHYJVTMMqirZi0Cv
Ly074buA1sIqKrHPWOB9eDKoP88CXvMDlfgzNbfiUytRowciD1fOmKsfQpK0MvVTkwCZg1865aXp
EtKOzQoQqeOSE6EBNhjJ2sZmXzH6M5DLm8ZxPgRmYB6RnjGjMlx/mUQD471+eqpYyVNqZfJYlnnz
YADxPelWBOzeqdHZIVZKw+Ra4mK90xqvO0g/KI44zUFjObCXKuSN98x/nC2xysG2xle3zWkuLOdH
y3woOoiMptPt2Drg+2GZ2cLrqS+ysT34FOpLpeQoTxONyUHRtGvV77p13sTgkwS2NzsuXlSZ90Sx
1MYLwd3bXmQl+xAkZ5aN2E6wTZxcWeoFKJ4HJbwCf5YELrP2fyfy19tX4vdqX/u8pEMSpiPvagLu
sqHatvMJJN0P8HfFECJxkUFwQSbfrhO3cFkqbYJeFNWIT0h7nxuQ12fE4wjYSh0ubwGPOapa9Trg
n2AQA0miT9tra+RQm5Qm+OZV4CQIu1IbzdkOaThcMd/le2wXH1rVDFdjOtSQJ7a3eoSJ+QLZyzFC
FPvqE6qxLtyCmwexMoRZc+/pTTIQL6ItK6v6HuX50tWKYh/KJr+vHVS37PJmWkG/mb6F0srdM7EW
U/aY8WiKtHqQuWKfbTmJ9Mn1eI/hdC6LzJ80fJOBoUTaL9UhWCRp8mo2BdlZo/cj0yrBU4jngIo5
fqs5ZY1f0CHcdphQGBkWrWEYitOYtJcgqHdQsNRnBwHVns5DeKvPp9eHYS0qxfxWUZ1RRjffaRic
MV67jw5ZEXd1FTDbjg2dECMqiLu+aN2lobmXEL/rMmbHDDOD6M1AVd7ZtRAVaaj9ziFDBp0MU/6m
aj2ApY5zQmw57m7TdRHEBfnmLfsnh/SVO2JN0rWqfmv0aX0tdYCadSj/AvK2/mwm0IQFXKdTM1oG
DmdK909fKMsTTJktV1KNmsNKj8v8jAEFqy5545u2QdvnM0RZxEn4CGmgvOp5KV6sfpvFtf8iRKPf
y8Iid8IQL3mPu6qtocUW06Wup8OULkztXMS7vHbb155lBsSB+SOj62N0ivVuD/htowSyZ9cgBB/V
gU4vaNRd2TgZrR0KU7YLZMN9BbVKnzfVr9W0Xv97Vae6/utKlvV75/sNyib05daADAl48vBm6BSH
sZb+8AHWHWSaIRJpDOtINxzLeRakOzYEJZPPKqXmp3zHEO8sCjuyXmDTILuPLflVECmuRcPwlzpt
3p3+Wv7nj8B0BPIX3eXWRrryZz/H6zOr7dJxwCDu/mM3QXCaD/Slf57RIVy73JdhRoAGouNn39Po
/sZq99AlzHB7JY2+pxj2S2rij4EEI5xqVnPKupCxHn2Tpa95pI3moHA7ZdKXS6xziP0tWNYjCWp2
Uh/jDBmcpQftai7ozdh7GbDMQBmg9rcFNjcIH2fir5MjcdIAEQJqxWDKaXZKf9FTkFsRJrMy1h7K
6aDrEPniyFRx1DqwaGX40jC0uad7qD40BNRtB2WoiDbqm8VfVklresd+f0cF4ac2y6Ot6QbDt8+r
ZFtgQUZZK9ZVfsmwb72CvlrY820OEcvaDHWubKLBxVWlYJSp26J4JeXoPXCkccm1gDWeqE8HG5ew
GJubrlqv5k5aqvobRIL1C1Roc/fr9aBR1kNLqmWF6KYD77v2dSPehx3+nF5H1VyLR8xsxWMLe+8J
wEpAxJXoj1CjuqcYd80SPE65sRI25pZfZqcQsBD3oO1dc7z4OE1Yb/2u9wiagugfmFGyqQQCizy3
6G7IqrkyIwGkg/hbaSp6ckbYPXWlNZXPOpp9/qsK/UxyI0x9d7u0pABolVImtfLBHpFO5HZif6/M
XVBCE+oZEi+96ZuhlU51O7B/Q7JcQgiPpmS7QO8caIMui3Uhj4Bu97UzUMs1ph0syJYZtz27MHTk
GEn0ztKfDRxJy7IYwAwnA/Vig9sgSzDwWvMYWpKSdURGPs+v+9RHPCXpmI3zZ4arCKaed0pC71tH
sfTcJe7Va2W9Q8f9bf7Ozj//9ypKTGdlWZ5B7oyv486mww5yb/jwKoAIvTaEl7oHjyYqzHAsk1jr
HGx8PewJDCkU3UoQrt2g0N4tJCtrs1LrTe/b6rsM6EK0TA7pBlx6Kv0D4YnWQuFB/O56k6Ok1svz
MFjGNnYQJTAGvhqhKN9FBy6RtS7azn821AgrE4P/UEUWOnQ0nF46Mrie9g4yBQNUFumzI9IHQoO7
RQmm/r3uX+b2NIB2svMwTW2VUZ1fJloy3Lmq0a8spzC2JerXVcgm6k3rgGyqVLBn5FrlE5l0m1Qv
ur/UsPbn54hAfIfmQdeQ4GG0/Jwx0BaNwl4w8tZpBhOpqnCYTn+P2hx84Iu+twUTZr6WUsVjy+vY
DX6+nsV+tCpy0WFqYYbg6L6xm5tyKYv9MTKC13p+AM4/bU3MO3gZ9sKwxjfp9Jt5iM4tZtzlCYKz
vKq9A9x09a4yhvBbnSMpTnngSA83qNmWH2UL7kqWfCsSTNYYXikzu7y7zl8g0Scn448r4ByAyjzu
PPoZGEwyGixLhZCNh/kMNUn+EMpQw4Wn5A/+dBY2bbFIXFsu5+bxOAZQXPRBIM9mQxG2mbs1Yeks
ZG1sAxqlV6a4LgYMbf+r0ZESNeqReHPfTZ0QdCu4njEgI04Hf/2X1fJTOAlOLY3PziFlVbVoamrq
FB/xW5ugU5yOrC6LeUIXSW9Nc3HiGGDKi8HzekHSv2EOxZ8N5IAkhKo8QLVak6EAgi5wJzZ+ojya
k3Uv72L3uyj2bY31h9sapi6KtAujkm8Sn8QCbrf7pWg6cAns7fpQMvHP87e2Bng/KNn9QMjWxY+G
r/OHijLsNahM76kVnbURjsi3rekwke66r7lH3rEQbrr1ytS9aHFZbVx/YCudS/eihLVm36W96O9y
tl4bAAnBMg0K3BWJd0ZeVz5RRieHkRHIch5MRYF/yUOxGpBsnvBldE/0IAGks5nez5dBjYED/b2y
mi8lwsr9WPqIijKGPizRyCOVAFNR35dHxQz/yaaFuTMCOiNjvoUn77ACGeqqdHOEmNgRIuLknXoD
aG6kiYixAFBTvC3nuWNLinkFpWs1X7IE7OhQVI9K5H7JGPJ8+fcEDftXhW3UmhAeE5W+YPWtQng7
NerIWMcvYBda8HVM+yvrcfnMQEDfJlbqrLHdjW/AnZdaij82Zld9tMwsXTE4Cfdm6LnPutds57Wo
12kaucJ9qAPhHj3hW4ciQGmAR7x+nqPvDF1t/kEZhgzT8L91DYF1OVui+8LKki3hN+EOB0r/l16t
/ad+ku8tvQjbUlUBRUsguvpUNzVVVRuKquYbGUl1W0xbxyGxw2WvBvZ6vqwTmIQWWTHvbkmaXt2W
5GXoWXup8jzZty3x0nEffzfgNq7mETMDcv0aatsUQv0+q/E/SUXW9/WQlgt3QGqEOD87YZx2p0YG
b6yLD7tOyjd7tAgrs4JT4BjiNJLdxGOv1u8ZULlLbBz6fR7WsG9yQHsqk/lI/sP82PrQZnWmPmbW
k00oaFW48q01GWY2bQN6PO2fSBzEkmn0cmdN86wgkWfVilDf5hBGjQGDqF8BbukByUVEMm8CepCL
UMPD2ciWFllX0PeCJoEeYCHSEr/zVDErCsyW+TJzRHkYMiNZ9rZ+CVFr39dNivLTqI7zwcFzs84L
mI/zJbhQ5S+f5Ce9z/xJ6mi3EZcz1QS78KkBUgXSUD3Lyzd5XhfxKp/CVY2pVxGrhDHmJPZhKXTq
k1/IDmlw35yISf//s7yvNvnzr5//Opv/pC/Fg+Ek+ksni2WsBM671rLrLdqE0UsruyP6QHGTk5Cq
+kaAYLsUMKCOtR8eoFAy1zVZrRWvk2dY/xgQc5uBM9RQtRPqQ6ea/trQ/eCoFTATZAQM1cUovY1T
gyzJqfM998A1UMQbzLpKsxMGGrVmsOVbCkNL0ZL4pelacxU32hcSUSD9QRM8IWZ1diph26AjvOqa
ubG30LmLTuTbvIWTPDuGYkbfrcSlW0L+vg1rAmjheGf4cZ6mu0TXfWRImk0VmltbAgfyu1EU2j1h
Hdmhx72yqqfRtVlu6sohwdTMhmeWrx22v+ztvx804n+qcpstzrzJYVipGZ8biBiVPUtxVdKknZrp
T4UNOJg6d37YPtSmXe3xWCKzHSXyHLVx1mUTldj69PHBcgnYtigF3SxSAESPTLmsyRJm9366ZOOo
L02fqE3d8R9K3AaPzEn6aRWfF+tKJlih8+g8X6X+HnFTf19Wqn0JDPuHzrDugWHFEwxC2PMQMrYA
6KlfvYlEb4+7T2fs4tVdRsAg3GoMoiivaI+XGgA1KzM2aZxiNeRBLyIv5LbJyhWtHFS3Ja0wVUeG
mh9KjHkXYrfr/X+/w8b/bnzsSUsuBNJTx1Zxa/z5KK+wehZBHdkbN7D9s1RdPJSh77zM+/ouKcSy
7GIHiTjTqNAgq51YlZY2RbLQ9Va7U4ny3M3KZ0yGERE9eiifAZ0pW6ySztOYKytjWm0q5kq7rA/W
wZStPY8LzMDTASMmUACcVgx3AqUbE0M9VOH5mdh7gGbHayYzJEXYrbCXflFudbVokUZjZfLryiBH
gAqLXj0NZjfUeN94ZyXLxlr3Cw3J4ZCvOsY0mOlIz4qmw3z261A7FsoCs1BXvdV7S9enaazTI2VY
5Pfx8bfTFC0Pt2qwkBXSauYk8cqHnHCzSdgkkdu1bn2H+Hl2YkoUOREF7N50j4xiY3TUjCR7P7bv
a3bud/MqYWbeP0qgCaRzsqbRlQ+rOCeS6DYJGWocYZ30xnUQp+aqnHoY86UScRlpZDKw6pXbeWDc
JgMomrZ1wdgwYQdiHx87N0VqzQYv2QADHS+elTzMkxmYcMOlcLMH34bfn8jWJpHKJWTV0it+g8R9
98CMgzplfyNRmGplCn+USfEJi657DTO8EfMAEzU8g5kIo/6fP5zr+F//VI/uxwpHi5DX6oUazTub
eRAdaKJWABYjfZvHnX34/Uxky3FWMN/+DslYkEkXhtqRX0c9spCjQEbQYqw0xRfmVmsh8cKNtcQR
Dka80cs82JlN7T8yynqB7zEplNXyca5Nij76IoacIpy24HGUOmHlmVtebh9k3s5sHJi4lHv1Bimk
POVWjdMvyH+e5UDkA+ygnTTqjfAj8LlwqjfGdCan12qjP8KUhVA5fR0R3eqsUKU81IQq+0Irz37s
qgRHGQXaI5Lk/D7/ObOtVd894A0eyHSm6XGMMIRvQ/RUpi+eBtRMD6mnRmtD9tnBBwFxZspULT14
2Ju0GN3NMYjd/oMeu74yYKnMDev5ENnWx+R0whcQrmovc891Pr7oAXDgyNDHteuIC7Gu7T3gve28
scn/uCJAsr2vYnsrIgDSzOaeaRDWhxDQymJ+LtUd9FnlA2BwBomhY5YQsUFAgsv1UOpfKOZTJise
xqXc/EH61zrogxjKbJQf5tkUjy2YrnByd7GnNavbh0ZyO0ba6YOvp0Mlw3KdVfXEI+cyZ8XZMEhH
edKMzx0gkkfi5KJjEPxodbQN83JSiXJg3zt9BdSgW7oV+dAR8IUPLwo2pVbWL0xcTSD2vN7oDggP
VenXs1qAmf8yRYlwnq/8lkF275I7n3FrbELFiU4ZWxRbjC0tgbwTJwzqN7sBkWZrLDck5BS5o9Gl
M+U+amGhMxRd1KUdP+rjuBp97Pm3jQDfIIJ+Gvwk8DL9/bwNT0ME2AUA0Jt4W0+LxVgo/iPaOG85
pg48qGmoBz346bbdxIMMvd6vJEbkujwpJsCDISeLjuhpgulB883ym/kgNSVeu7SLa8sajtT+JRTu
CRU96ZIaMxzZ9LQXMSnk5x1FqeJj7yod7o7XFhvbx+Uzvy2zuIJ671LKrD52veuz2y4ral89vUZq
a9Kvq3xMonV2nU0BvFvH0IJK2LNeMloVH/NUky0hDwP8m633fhtsBrzhu/lZKRK0yYaWuzvHYcVR
Q4O92qxK7/Xx2S8BMaHGGo6p8+jnFXfhVEOpKlkXodmJ5ZTqdVHb9fwrzb/DfIgR4/730/SzoZCy
1DFN/mfapkkwB4rlP5+mHgAIswkruCdpSHaSVnxp675FfeC5u4ZCmXlBoX+MEpZ6bq412NBMlQZr
rZfwqIvOJxIMg6sdp+6LB+RoP4q+Xlp9q71Hg/nDHkLAOqSAHcjQa08E8Ny5uuqdZSylu9Q9MJVx
yt4Ry/ZZGdRmq1iGd9DTQDn0oh3Rt5rJJjPaGMYErpDcLpPr4CjL2RUyH8IO87PMVfpZSnUNe9U+
J4NjrcJR0mzgGbsxFbiDK6MgR8KK/XGlF9Lcir4oMd7+kzmJ9uoUFEVpBjpJSerbGqiJXN2UnXCW
+vT9snz1HjoZo43Q4wFWlto1m8v4KKqgKvqVsSxoau+hxJ1cBWlEa0C66GNFnFXHoSOtZuGjrQMh
7cnD21RSxC+alxE+Rj3NmBHXl8jTJdS3/CIUhIQ1yK1tLp3wfkjTjy7MEQTPMj9tbN9m1VmujfXW
IYWEri0iNGGpJc3Dlo8wCV5bHj9qHDbPSWKZp+qEQXGMevYC2aqJnPTaTYe+zNv9Tehy+8uMMDfA
MmZZvWyZwKdZ/EG7JN3ME8taZbGV5fk2sCRhCYJiPML0j8mfU+zrrBhlh2bt1JJ7pQsAPv7ly2pP
pd0fPW+XnZMKE9WmukYONzXofuviFCR8QGWKg61vlfq6YMx6YQT2rHWW/vzvFWNx41lFJrinslv1
ZtSsejuBHOCaw9OQX7swBVmSWN1p/pNlimysqXkY3B7dSqd/t/PBOmUix56UkjWrcRvHAyPc2jbP
IaPhp0Sm27lKjDxIZa3W0hoxMhutPIbHZeBbysN8FvvtzzMsSQyxE3WL2WFja2AY4/BbOHWg5jaU
CrEpwztB3lpRbAkmRhlCmhP9nuY8fwNLq/ggbaY5417Vn6crUUsbsEPYLRV7GFcVT+IXKemkzZKL
3j0kpkABlCVIRefWMw9R9UgdfI+Vt9j2fZfSGLEmYJCn0Aea9hoN2O+7qtSCbWJ7xjkbHefOiHqU
/qbf6av59+0YjSzC6NmpK56EcWbcnqdC6foF327CJZmN3AnEIN46JwyWIR+HWo76i2qTSdM2h0ql
IDMTvPB2mQYnp3f82yFWRhPTD7z/DADHKZGOuy8ba2VO8sSomBz0cfwtLpN0U7NcLIy2bnZGC/zk
Ql+4upMICuKhDJ6TzjQ3RTYShmsXwUqf662MuMjN/AgyTT/a2xAuUC510Rb8Vb6UuATu2s6kiZwM
1ROm7k3s1tFjjaQNJGKnAKxnnD53HPBtwpMacLi0kKfxO9JIKVxYEtOZhxQc/MjBt+txbaC73AR0
zN5131t5UTY+o3vOjoUq0GZ0vF7FykqEQUpaC2DaX3JdI3ebn1+tZv4V6Nv1j0FCktTYoZLIyM+h
EdJd05atuJXn8DjgHWBLhHPR0M2nmZueld51IQ/2m9sz+b/vSF04fwZmOxZaBwZRpo4wF4m9ir/9
j1tyZNNkGkHsbXQqnJ1rY2BEnBKs3Y7CcD440hmru1/XpklclN18kXHydd4jKOAzz6kMv4aBZV9I
GWYS7pjxlibc10xndkCGoXIUBjZrszYZls7aVafE/003dtm0rcB46HSPLRXz3HkvDYeFgU8tV0KU
CkxiL4xxyTOfWh1TTMu8r0kBe88dMV8tvVWebsIhZaBvC9NaYxjI72C1PSsZ41GjyLdzsYGjul3q
0+VcdvgWjRSn9i6xgiXYwLm2Mms3eGaeBfctFoh7cCTzO6oa3bFKs/Hd6tUX0dCfNwlFvRdWG2wF
lgIrG9hV/mtzMXUTtpcgrnR+bQpjWPSKaW4rdH4kQWgP4/RY+vdq/m2mK4LSGEtOVfy/P/v5i1Or
oqUEuybIGyW7/ZIPob2aRb30KpoHyTxoETimdw662j+NtHvuGHsFyDZnhWzTuvR1QIYV72ahW2/6
2Ow7D5tnG5gv1uT+aXFhLOEYM9bPDet72aa47aruC//kW49e4W6IEm9tKfhzs4x8KF+RP3LhOffW
4B8lIaWLguzBh/kAjF9fjFqXbcaa7fxCTc0jJEk8yVpgo1aOxC63gJCWeV3f29SnaPom/7LutubS
Svp6P0SMa8XkHk11trO3R2jraSs/bdyJJTbFDWg+kW7tKrRFf5p3mrZByARiZvosdb9D6Vo+USqu
RKLwiGWkegiMBkRoWb2BC6WNp6T3NRypo0IwyE0QJi3zHT+AdiXGEAwaoIQdQqTwxU6Cbcuul0nR
9A/6IcIgZ179RkXZSYArwK982n9fb48THkENVPKm28jOHp41O3ti/qSsZQRpFMG/WxCoZHWHSkcO
u/YLf+BOmD4iZ0OoDa188pTvpESYy/9nTvajtsg9IbJEuRtqH4CZO7jgp2Wt3NmTV063Xm//YdFn
4x5mDLyTtOB5NQkhrayI9onEgV3NMVFaj1/c7rGxZD+ULKMEG1KH4LH5QajnrSSJKJHXuFBeZutM
4HiSVMsuXFErVBsSGpIVvqIBaRSdeTF9JQavje6BWhL7zOej/h9h57XjOLJl0S8iQG9e5W16/0KU
ZdB7+/WzIlTTdacHgwEaAimpOjMlmjjn7L12hmEnVb1+m5wnNN93CYBka9XV4ZtWR/WxyOz0MsXR
Xv2C0DJIvLSn5aCUmotlh0fdXQmThAhLIpyUXlg9cHt7KSIiAkxRNsfB1+ezvqTNbglE/FIQZIzG
zugfbxqgcfgsmzJ/BBlSn5zUjndj1QoEzqW7ExWWK1aF+XvZs3ZkGBKc6YJ/3vxdooM+Qf7RCsId
DkYj0cR6mFFMj8Fk3yFvt++crvjzUJn4OgGq9kl7Jp20u29lX1s9+M5wHrBQ0oplLIXVhEEIwWZ3
wNKJGu880vuA1f5SvrOspAtqIGCEd6YV7xpgta0TYiIaQHnSxuVBz5af+GbrM7dOtGshghTXZhnO
8+1FDc0xK5NlHeokccqRulc53qEoPWKtnEqSF+xir5Ys9dftI/In1gK1nl/SDDmwWzqaJH5bWDhJ
cPSW0j9UWh+SGtpHzWvzrloMzICfMZdF2wpt3DtINyEVLMasi7W6/jcsx9TpYLQOuOB4crdqt2Io
tb/JwTPDs9rdVDWAkOU0Uvi99UpuBykuNFHDdBQvTYOhy6VwgFDP6T4thrXSvaY/Q7qAk59P1lYJ
UCrPR73Hd6kjney76nz7wwjTuldyKlkdCscobnuCnMIpSpa3sq/Jv6rsU1sLBBeWncRrtcZSD75c
bXW5oZ+G2/LQi9dqaZY8hxmWPBsN3MpFbrUVaBLaT5tF6qbJRHMpEwfcox7usf9g76pIrVmlqZuu
W82U2mq6hnINKKQ1l/HcryzlsAd5Vx5jnQODDDSb87wf34Yu/A1BN77OUe62u4F0TvU5l3G8o8Hs
vUQkRzPnmpnTJr1y8R0QZugf4BJvJje36X656vhNSw7xJuLiDnNv/uJO+oyE8z6DcH7vJsFw9vq0
2mYpa8OB8f8Zk8ZRaS20Sn/Xy7p5c+x74XXtWjXiQq14M5r61Y6RABeS1pEWpBMAMH3kwj2RzdIC
lxHsbwcw5Wt30d2D7pb1fkBc9CqD80C+6y84t5y7Bq6ejipqtAoHFwBmlzSef6Qp5mZh2vtODoO8
ytPXmJSm48ivSEuzgBQg3HNcRV9SlgVdjIeaUPN1TwxL+8kFepVJrckoB5xmHVfPZKGqS5XeAIOs
yr7fKhGT5TXpSEC0c23nSRzVgarJa3mP8OYy5Y9ESuZXUbI0auVxWLsxmntO8xXarWiVZRauG8PQ
KLWxzgSpjczCNd5HcBlMXVwam0YsrthXo9tD0KXf7b5oT3hrBffMbjqofrZ68KtVRQ7pHgIjjShp
hHMKr7pPSONW3jinrdpHM/bJF1aH3SD97b1f35yktmYOxxIjFiZVudKJteqwaGm7DyxWOsFYFC8j
4tu7LjYYzWCdLgdO8ty351PA7UC55Bq3rC6w8BGxE7H4roe+u0sBr+0Sy7uwAAselMWojNBKqC3m
yfkmqLjAhi3Kg6yirqnkeAGcRnmxtOEX/astuRT5m2G34wbZkHtJ835cN1kd7NTn7SYy4VuYZCPL
eyoTAvRgfQ2zchCPelODgvhnS28s43C7VS2YwQlldV8S+RHn8iNWD4jkPvQka6405A+9EMUP31j0
Ve/236osIZdzpvsRJzl5a5zCYM4GIrNj8A0t0+q14A5tiHB8UDMqu5/prZX4l4pFUE1GTbyJiQR6
MOwofp7mJth5M2fUaBgPopsA9ha4l5XHNMyBDy3YrjzNGuDS6fYdgxFOQVnxT61b7ymyxG5EpATD
19ZOIsrLE0Yv1lptbz1G4mcQNSgB+k9VRKqduPlyFv1nSdF8Ub33kciOCwozpFm1eb2t9hbjNybX
apWkNQtUOaasqWNuV14md+HaoOO3VcuroNPqq7CMHzV8lB/1cj/OnfcTXABEu2l2IEjLeadhtNU5
GGmw1nb8eBO/0MzfQUgA2aoMaoTPHm5XqtFeaR7TpjH3kGdLG4o7Hjsz998sehZ3LdlKpW/hkM4Q
IriN++TY9bv6xPD8cI8SfnUZrMR7yrvy9nzAlIvfefowwV/u1OdXa/V6NN3itSyFcw/M/zviOe4c
Xtk+9BAn9RZlpK8bEew73bg2eo/YbTxOk6dBSPW8J2b+DsLdbPohJfwaF4QXNwZpOjvxeI83gMgs
CPRfboYaO1m2o5+XL3qKQNkq07fGIzAZGyULLJiUIau4XeOy+mmkEyUO8v6AWqWmJ8D804i1GFox
oKqG8kTrzKeKfAQHzd01ld5lPP9yRYsdVe3GAWFcYTc3rNFoOMVR8i50yVkPLG8/ZZH11lfNaRoq
sscmqnElRaNu8rcleL+NU9vcKBpE4xgGwmM/pajRW0TxLLuY0rce46yo4zrTmbDx1b49a5KY+h6g
VjpzhUHDLo9tdfhD4yXAi87SaZJ/gWlloDflW9SrlWLqdSC38uYVUx/8lqQKXqvpvZWGFrcjeHEu
ocuTUZnfk4b6q8+9jCGzu+xqYc0fnh99hsQmPogocB/TvMAzUs0f3IP+/S571sNrsjD1nmwXu07q
ePfLP1vlqP957u9WJAR356L/8z5SOKqrJfhSLKiYHlFopyFtxd1iUPdUBEq9O8bw3seoGnVuGle/
7voTNh3yu7q2QEqHjnNfaNUjneWLrefluw5GdjcN1I7T/INn+6uSBDfO/E6gpHuwZ2IMuOFilKRE
jXbK2BxnrHFaBrlQdri8q6s6HUhjpVevSR34Zz9FRzPN+Ys6I+oQdyq5D1Dnq8o+Fx52bjXuipy+
WKdVJU/5OtpOOREA8B9yhg159jgNdBbVlnpOyOeImM3JHWYr8aNdJMgoUz55hxk7gzc/P6ndzqxP
UOCtjTtFzSaROCM0VGAnKIN2YSbooqZTi59CkDgqGQI6SlR/Hgh0x/24c+pAPBPggs5aLZxmEGeh
J4bnPHeHZ6uevhqdCYAQ/fCs2727ryfAsupFOHEwSzVCUGvmmJK8nvxEQ8e8ZEDhAKZywcN/17VD
fx56In+bMrDXWWUY+56A6I3V6O1DntWMH4vZ5kCebfqjqba3wym7HzyUBI5vti96YDTctgM07Gb8
aHmjeWZGZ20GKTPQsg87C+JPxt+jtOUC7pl30WLyJ6aO/WySYX92M/1NB74+Iqc6/bXAmmIwNlNv
NAQmoAap9UWW6806AQH6qDnm70Yqp+YGTzuXc+Yfdm1dFqJURWy733D+EbhGQQ5EAH5ordt7vSUW
WiRtss1wQhMfxKRVPfQOqs6MTLFw7na3urWqRhJq1Cde6rBUCy/+8rnZnbJ//tUInm2z2DE4BA48
MWB1K72l2fSghhifyf1EMO4ofe5R4G7Fdygl/HzHh4o2csqQu3BgrF6fIqzlEk49gS0vmw+UYyOV
lO+9gihYZegXcRpM+XlEavs+DvbKVtJSCqPDksQ+QVV6tL51ri3HBX+itQ/KRJ9IJ32zhE+6Zk+X
xvimjJ60MoDFB1EEV3z8gzzJ7AYXo2UW9xaubYJ12k5eXtzdn1Y42jZylfEIgbBxzvh2SUukvTRW
3vCWRRPD1/hJDb0co6z2RtKOO3LkGO0zjj4hgt04k+Z9BLBUdiPA5IM+++K1yO3HsOPbucl9icG6
KxONRZRc2nDV3oVm2Z7CxdfuWZlze5Kid+ZiJvP7vMYF6qf1FvNu/H2xiXDotCS7mrPf3ld+Q7RH
41ibNHJYiy0aelg9T+85M2PsRf2rJwcedD0MZHNQcLAroHaU8BBs5XtDBM1L5RKbTsINYKUxf1Hr
hXHxEJez1zlmBLwr0LfOPPGlNV30LUTslfij+Zuo5RXnISr5OrU3GklTPzHCfELE7j/5CEMZDlg+
jDoHoLwMZIKQsiGwmu0UmlKfbQ/fB3j3O7QU1GDSCKPFlJuzV4sLcU7eK/HJW3pE8bFnNrAzBqq9
vBm0x2YmZHvJrOSs+T09mDkTu8wS5dYfOm9P4XMZpBYayQ7cJzTip9hiKMRxlq0Sg1t2KQVAUYqZ
Q1hD/47msg3pG6QEmV6gK2Skg/V0WSTCqradq4Hq6g3Jrb3TYg2lnXCpv2raZBA4rEubTwcK/U0Z
ERuGZ+TX/9wQwruEI/4eTZPVpJF316Cg9wLbKz7BRPly+RFnaBfdU9iF3R3MLEhP9YB4ktVgGLvt
qcKuvbMqrf0gxOHA0iL7kQeY9YXGRU1EAq8bgKRJSATXqPf7RW4J+ZzaUs9FETp8Xas4aYfA2IQk
oX+6s3dSUhDHudZayJ9YdQ99mzVPaVY+iNYYrkjqJaqds95AZK0HCXoByydP3XnHETHAj4ycZ78e
Q8niHr+wQd77QeYRK0zOsD/1XKKy9JmWQ7jxs0A7BhkmlCEB7NzIhT5pcv4dnVNaCM5u6rmwzz3a
1aYhj3JOYCqYjCi4JDCWTQbrKbDy+KJaDnzjwbYXWEtH1yMT1Iyh9uECWmc+IXpiGP+jMsIPUe5c
uxrWVpPtmFG1P+zOXimdrtPbn13vBm+i8n71JJ2u/WKab2NGA1rTPdqnvU9qo3o3lofvk9tPb8EC
sZTzpr/auPhug8aZDJc0R1IVl7C81WnU+TOYbNdY1lY1vDicdc9M3ZOV5rT5E8Wve8p9dD8trvEv
03m3rNcxMtPPrJ5IuJmFuVMlM09XQZJ91naVHkoqkHUchvHR/RlLbnSWmQC8PMJqhUsIEYzEe8I/
YjqFWvYZaFi8qrS/tih10I7qv8kEGh/TmPCBJaI/zcWmP0xuSlNWbi1qK0KHfutdyMHJSvQdGipm
M7+LqYuxKkflkze42lE1TsOlrdbc6oqTl6LLBFpD4zIqg50dFMut9PQ7s0I71sfI41m1GnPtH283
HGH46MSnWXLtWmFy6+tZZaxaM6HE5rL2LMkc6qMsg5YTMa1+KWZc2zUhfn4RbZT1AhBl6zcGiIHG
OZS1/6SkicJkbITHtVqXJKEC7sz7s9pCN90dOmcBJ4bfiKiDirP/BRkZyjg79WSYbwOtfPWnvZMl
3Slqowmb2mwfB72NQMKjfyNsMSDiJI8exk745zwm6TANq+x7TEhBphnfUYUN3DLR2AQtBvyAkI0/
L+geB6Rdn0XbG5vUmqNrqjfVtoo78mxlByEpmOllYjmZTKeurNiAmrYHdF7l79Kt/rUxZc0hCbTw
Yvc5WMBcmx7sBmFNDhBjEyCzDLEIRul1aNy9S/qOAb/+2kkFWyMfjNCqzk3inCOb2CwCe5a9qjkW
T8AMGZxlo3Yzy4+eI59wZSdrzorwcdM0zuDNaJsXyNHkbMJK7PasdqmVyUkZiT9TzyU9+S+qg4WT
tTvXNnht/PLp9KjPureOki91eFQOYi3izezi3LJcpwDGQ87UulqYqAPn5kvPneEpsXE+KjCIegil
0K6tCNql6N9FOnH3VkuCmDd3f5YpAwfN6Y8mIO2slY+pXfVW/nZZnHBqVqFtABFPmKy6o63RfqT3
0cT2eI7djjg41fxguYfEwLto20kLg2e9MKKXlOOYHJWOvt8sxEsMGX6/yO6JepUBdnyfEeuJT3G4
j0QLINQwjnULo6l0l/hhSkFj6SV6vLlI3kRUandxnc6g8LMPqKnB81Jj55sFYpicOvLLMYhE7Kpq
Txo1SXNU9ScSXOPV345Qzbx7QyRtt/IhL68LPx3fLa86t9wp327a7NpIsYlU5Vld3vxiPplZmn3R
EyF+0RDzkbIAWjAHSWXkztYys/l2DtuyM+BFyaUewKKPrj/uWSpDPhWpcfhD9desO1PD8h1Kvlls
EoM65P1Onb9DSRppYjre2teAvExdRy8FksGGS0/11Zk4bUzJwVIKDk8Zx4OBXgcakpwbbj6+L+M1
Lmvv7ragqgSeCDWgbaqKpJQgEKuq6Y+JJ24yfx9zyXbqQzIxzFm8yeeHpV2b+HDfq9gvts7QcUEz
tdtrPSNhLBhuvHe4WPDB4px0wC0WborQqh0pBWP7wbVG+3fYu8T1msnPOetapsqa94JNR6YYSrs7
ver1wrjpXlkmjBmqtpN5xi6o0IokmfYS+ywrSpNuvLJN2ZO7i8e4ejVqrb9UzBzWYem8k1UQPGnR
9Koljv29GNt/b9TlmaCPFdJF71cBdcGuE4bUDcsyUrnMn9pUfC/H0vownaRkvDZ3z8Txod4N7P5c
hNqhyPMc8XnrYs7TUN7wVwO+lhocuRXJ52L56r/fl4/BATnOa8LKaxd6SfhQxeQ6ZPUoXt2CMYkl
Wv2z1CvynGrrZ+4ZW2RPoGXC9uyEGQS/kVSkJNeGnYMM7TAFxI9ie8kePQDSB1YXzkEwl3oYQyah
7gjouEhsas6k/8Uq/KtuSNiJqmTas1YO78em+LBU89HEU0BEe7FRu0mNkSWu6jXdyekJrzMslnpK
fsROtu6koUfTqg+5g5i+unYy66IOGYu2TuUezGSipEaof3BTSiUhpNDDML+ZGk0QidarRPoYJ4Xz
WZeAA5AuNE+kIVa7jKqmil5qo3/t/W75tkCNW8VlIe5nbuh3XgBEoBn85VsbzvekVMRrT2noqftv
nO5Cy7D9WOKHFrooKPPiYnYLM6W6RPDJSk+cHatJNsPssXSe7G5Fxlx4F7Z+/XizXQ9R/qz0OUwF
gmsVG2e1R5O1e2IZeM1q7dyXxZiuabC+DoOfXgyw8k9lT8EIqmgFGZ+5RCR+hwzH7600Ttfg6MAQ
O8nG9FtNkprqLfOb7gxk7CUDy3Kmea/frDkwqV71PmtevB61+1DM4YaWzl09DhXFO7f3Ji7Msy/H
tGrXwkPutY69VjTmQVJQ1FbSmpQ1BSHRc4qskgx5PhUJSlEvpPQlmZVmH9MyjABN0R+1bulvKO+s
d0Tg8zqiz3E2hiOUxODFURkPva9d1PDckrvx8kSnojon8uo+9BgNW9uKd2o38/v27DlE4S1ucUVZ
Wj6A2l7OhI9K4ge4QAtk3Jbc0XnvZGflIyFHk8i7wRfJ0Zn7I4WbezY63doW+UA/hjP0rB4yr3Fv
W3z9JQk7ub7VwhAP6jJYxrke2v/ehI0OExk5xzSEBdxlc7jCZCUCPg61l1nIRPQsLH8aJeHO/fBz
9Dz7zeujp9kTy2fuAsisky5/MmqsMRlJYpfFzwfkIjIQXnYrMHQYZ68icnqQu5jRzNVcQxhVBwyd
bBAY4EHUkSOKWdtXIfM3zTVvYsw45waJzJldqUGIvQwneoEvPaKlyDqme3bjJDyiMPSJteqtL6t8
GmM+u87SyDfM8Y0wsFcPrhcu68Esgv2ty+zk0X0zZMcma7dGhDmRoC39qQ2irRI4NHKvCggxkYsP
TQ/zXZPjbw+04VHV6RZEwX09jsy5XFYcRdvq1yI2mFRnZok+gbK2cJMKVi7Ta22MrYORBSSv0wm2
iOP6ncz7zmP9hyQnf4pBLH6aE9MsCDXG0RwWbeuXR1bs4tmW/as0cO+7aDoq+YZ60LVyXOdVREJI
Yx3+zDAXZC7okK1j00K/dK0puKaDbm4JOg6fHPL8iN7snA8R11+zOUa/OgM5VV/hnaVHsDWa/p4L
mXVrGjuWS8CBaRFvNdFyGgxHoxqD5B7OTHpFVT4WfCmXOaEroAQA/+xSQIWHrDfnNYY89yKko7s2
J+21xIrjTwKLskheWrlKlntj0CUv+L+Pt3tbkXmfBImWxzJugk3nQ+1qFtZAfu2S2UYvbKOSpvwM
aJxoll+9HLSRwg6nFiSSPiIFKLkDbOMbT6cMUR9TaGR4W3fqveqBL+M4Nkl15zQ0FQukDnQi/emh
dYyjTbMRYRt7qVPMD23rNlgh3XoNEpjoTq7ieg7NVNTjQ2UsXrsei2RX+niXuZ/+sJEwgqOQy+2m
p8HVRb23mdLbb61+9uwtnSzEEgqcZrzerqlRZhkPgWHkaxvqMBUXPyYyEY2hYQHXVVQxsRIe3nMM
oV+DLe7VUaDEx0FX95d6uhA+R8Q8OLRYtqXi6aKZ1EUmbfq7FKVOL5e7Q6fnZ1I9e8xErAxxDhef
DPhoYkr/6cDh46GctirWt3xtyTbyGqCsUsqsBMyxMKicxrTZtMq+I08OWgs0LE14iOpcYRppHisU
/UZKJZ+wJqNzHcgeHX9Mxj0Z9BdJH32LFi7AzekFXrI1fa0iWgpwZKzrMYYDg/xnw/uD+RgXU7ut
wxjhiRMF9EzImj08aMk4bf9u4RgZHyKwedu5SknIq8I/vMVU3KFOgoOdlTPdUpiOrHh8VJuAV92Y
6EfX7ssHKvPhjpbcgCasFoDeY73c1WO37AsvTLdpTvBdrff5V4QfN4jopRHd3OAEGbynJUfI2/h6
fmiX9nmItfDss+pc28PcfUVOfcmkpTqMMPF0vvaRjdYPp2Qx7OQPSo5eSephNgbAESFOFDHYghHg
MO5lKKKz3NJs7ihRirBT7aoX1FvmoeswV+XiPMqtv6/Ktubtf3B7X7+8GXh96RMgEw2tqVpNiRBH
8tqitRPzVSTjQFFHvdofnLBkBkjP4UA/UqahMfO20WkTuBI9RXo5Pv9pbE6MnAPvwZmW/u4/bqE8
pVVPZpNico1q1jHt+GEPbs3AJ0ASliMY0sLa3uVZebs+F/7iYL5YyHivd+qsj8cyOhoB/qZhKMeD
lQ7JRkWvZIP+HNCuarA90PsYo/b3JN3Rdv/gZMPy0wjskbi37k/vtZshrxKXeU8gdLsZGJ68Ox0W
GAlVqeoVbns41wZalNRyrO2Y+z3aC/hzo82xHtOvvTpyl04AZUW+bPGKLXu319tDI1t2A2y7V9Pv
37qFCA6x+D/G0Z2vg9Ve1DfLMLfZ9czD1o05UGqqJ/WCGKrWGK+p7IYH9KM57fP4mszDOQjj/FeU
T2fO8PxXG3bnlC/tpkdD47ppPGEfucbAZ2vqN1hhpPLQ/nmr80f1e08V4SxDkyMUiZ7UF+fnkQ51
IXxkimtuXKaDp6TCYmQG3CC6mc6kiJ186wSp92F0iJhknzjjVGOhlp+Js6+eNeyJOMKYsRcpuVda
xBC1uKYQHDetR36G+sl6QovaZw6mBfH0Zs2sntPkiS7rL30knMOVPeMwo0BmbZZcI7/oX+rROBq4
m2BwGS8TyRUn8iCooKQipapFfPJHFhnqwhJn7uM4aEz61JXdMLGRNdkIfVrqzUbbq/fJwF/1HPaB
+S7M2L1iriHNUA58ofl5m0bE28BO9UMkmSOlM/1Wq065xMw7YHBoaIY9ucPc6EIT8bW88wrixs5L
i8CYcYuxceKp2M/Ahh6FDaJE3sPUnsv9qzcX8+qFA/gNb442jsNCMfXT79KI8dvPmDyjLVsFmvXQ
kMh7Z9c5adlkTGycgGWj3xEsZo3Mm8VEWLHr7ypyzb/j7yMtUr5hgjtO8c7g+X+/obFiBtqTffzX
mzRjl2ZZ93//X/77Der3gNIbXTtfnCm3k8tIp3hV6432OdnmiKRESLm3vjzbPWpP+XwCoGKbW4V1
JDLOfu/JGlLv9xKmM22dlXuGwt16Kk0DBoARPBLAvldHZBwv7Z8bHzS144jsjdJR1olT6dL3b+rP
RddomyKWuKQeaLBgdo2zHccsu0M/u9CYVV+75kDd1zRpsJNHAU7e75rjk1dYT/l9miEAa+R8YyLN
UhSehd3GpultDZfZiMLb4o7crnlfVPmf3Rzq7L6BMzrHoSTL6DEaFTLQTXcaPnU/eI97Mf0CRkiQ
LK3SFbk4hGazmIrn6cvqNevcegRZzw43ydoofczHcUg1jC6UPL3gfdCda1U7zU+j9971LAleg468
AICQtEk4Ge/TmMlpigFjPWWABeppIbO294snJ3Bgo09eehEIFc+Y5XHlhb7z0KfpBTgzGiY1W2j4
7L3lyxDDgVjli1oS3Go+z+V89rAp6R251ZXdvVn9VJ1qCRujCm7vuoUiS42UrNoKH6leIkgthET3
chbp4xeusRsutlFth8Kbrr3F/ygNiEEpYvydSO1ztPyZeFNblPrEv8vncCnK1X+5xhqELQY4xzeB
xHdRhe6CIZYsxvanOSDBDeqyeMP7uF7m6ktX4SQorocrcMJEKwFKgEKBB7mvW438ldp/UA9t4N/Y
IT65XPe5sZyiqeiwCdCdUwt+j2w9aiL/uz4bkqkoX3UpFrDUpG63XEk4tW7HykIbVes0+z1ewu2s
cZhQIGFP9fPs3p7A96RJX33Lu2njSsNryIJv5dmJ/hKR37Rz0RHlflRidERZi6aEvyTDmLYOKGd3
eZ3SvZaqrQ6D9lHtOkwD11pvAeWfqucuTvMfGO9webHggKgUUX83c3wKHa+5XQhJMo5P4Bz/7Drg
9W93h1jX4Fyk6aPu8Atrc8P8qmTpjHvIxEIgXASx5VXdOvAlh6ckgb+rrtwl0PVN6sS3HyAC84fP
+O6qqq6wXj7LBT6kj9UDHvzVnucCrRRrpwpTELTrGDNqsTjHiiILrCZhYvpEt/b2S4WITdKJzqi6
iOs5UcQg7f5zNytpMGokNESViL+KCMGDliziz1YZXLkLDY9AqOpNDt7x3gkS4zA6VXHsCtO6U30x
GwVBUmviITUrjV7B8hEsZvuk1tulk7hrzjTEwngFAHT9PywGyzf/jfIBPoqVCMGFaUEV033nf9oW
WtoB+Aa06Ni6mrM1pjp4IYfV3/UNikNIQsFL7LUBEbg0g9SrSIdnNC7hN/UiTGX3se6RNcl/qR5a
aKcLcM6dgyZro55ayG6Za9e6u/2boMDRz5TrpF5kIAZGDz3BXr3696erVztiuY42iT7rXkaUL2Mf
UMKl41OGRmoyimf10BC8u+Hm73Gw8Fwy0Y1NourAZbS8vcPsfWT1pM/c/lVFtvolbcKPv/+PEbwa
a5wmJzC5K5/xSSanJi3nlXrL1CdURSWYut59js06vSrZjo1c51jrKYkeStPWV/az4S7uhqGrvR1y
zcB3G3jnURTmwZJbk3yO5plszCO/w3VzRNwTuicgChm2y9bdCwZv615SYEVP/TCEfnUwGj2nktSp
UELF+ywnBHtaYx7RIrSPNfeoYUj6I8q86UrGHByQOEl2o9yFzkkmXKkh1f/meOH4zU9aaxPR7KdV
2Mwn+sZvqGras874/rGR4MTWbE+5fh/Z1vzFyCVcKfgrBLND7SJNRHVkvJPq+ar65Dqhu/1QzvhW
yPzOgqZZlaGwCBew5GGbUXUz+Sm3jQYn0a+Ccq8w/HnXZtwGQGjOAcMZWWYsWXDqNd350gc0OR5Y
IZbshCRC/dR2WV5o28E/+V6c+PuGPGySC4S7sb32rXBH4qv1Hvh5Ef7nFs6i//Xcf7xPGpLbsnuZ
u6J4jXPeOmITvrGRXDdm4tIScytluRk3E3mRGRHWOpiwAQSkV+oJh8ntdLiR5o1k5FAu4eCgfuA6
SFf2cRnFcOXaX9+wIybhvqvMdT9KzydYvkKihd3pqOkj19xiro83w3PZa2vCpPJ1ZVCClRaaKotp
kxSH61r0LYGb21Q+fYHEBEIFkPhJMXBKP/zg8w3P6il7IV1KGMfWJ1RLDSfHaNaOy1B3HA8mBvep
0o4Fo1As383PMjU6k+oceiB+j3BL5LVz/3crqpjndbU+nHRpM3R6LWUJMVsn9O03ubc2L4C3WD7t
hsyqZPavjhaB5zyC9ohq/NbSvwP76AWf9bIFqIL9Owmw10KBvoU1JJFHRgRX9Min3m3ieT6rrb8P
euNNR83vbu/4+7y75gTRLmYjzE3XOvRN/2ErwlbSN8NC0IXvzN5dF1QbJf5VgjEkqtj46WTiRS2q
d5hOWvEO8L+678ryR5q75XvQJ+IowFVt6jkr19jWfQ5qvdo7td9Sic71J6DQjMNkClkY+N17aha3
56sy9LcsijfKmamH71CB2xe1k02IfqPsro8qugEDEhJtmqEWwCH8expaA8NH9VzaecMBuUUN35fB
y4gRZGWNNW1veYZPdfN5c20mRpevyooQ1Jbe3JsXxI+LUWWfQIclQ8sBdcrpuDT1/NDLwWgvOv+O
NtXqtiefqubSWWsBbCeUwijbQnirJJvYq9sxTzUx7L1oNp6whP1e6E59T2eWP3OYaI+q4Z0LWlmm
Gaxvx3KiLYd6qHtQKEg9qaU3yNtnZDZx+2CE4TsSwf7O4blNz9AlzVL0OUnX7C1yutBG8PFWpn6i
VVW8TK1eXVPtecyTCumOCytIa15QlC9PWqJL/cTIX2ID9jUcne4qEtJSxH9OA3UGZJP7niJBLtVU
VQl6U+p6D3wi9gUGe46t7bqy8hjttNUOBITYsE7486fMBZp0FmaByJcvrR9w8ztdsHFIHz2MmQsg
OK0c1koekXp2hSUurT3IkdY+zevht9wQsXvbQJ5w21AviVHbmEa9asYf9kBeIXSu6erKh7RPvWM2
VOYqbPJmy8eHAVolDLV9wNXVHLDXFF63EX06HpU/C3fbfY/29zEEMwZ+k6V4Qh537fp3gZw9zmle
nVhVwWkZPP2BaKhdY0WIsTwiKZSIIqjD5nQ7oOy4fMBIYj8XQeEdIMJxMZejChcl1HOuHZpac9cF
XAuqSPyiqzJy/eM0BKdRJxeocR6w4aR/ro+DUbYrJnnlseP8ZjTL5SdpkviZm2V7CZfuMzBMTjH1
qqObEGhy166/060ixlZe5dwm8w9YWsn/lggw9RD2kkkKU2MzedO3yjKDexPO4z3Ne/Ps5vXltvfP
88Ho0IrVwgb9i7lTn5ie+mLHmqVhYoHBLTBtosvDzLnrosLdAtbJ9j39kx50aApY5a7MbPrfarcs
uZ0XjEHVq7m/JDjPXeakTrpXf9uEE/BhWsQ2nCJwHUuHZsLsIaiiG/nltVv4AfDxFjIAa8NtX4vC
+siSxjrGbbxWR6RLwspx6AjYUI5A9w6fb/iotouutE9gJLjXOIKpVdCNDQNFDSBjhXet73/aRSaO
VumgOg24p0xZAk2nWDEc7VKacvzXeLsY4AW/npSgEr4HTl6g9ZhWbRN2/8XVeS23jXXd9olQhRxu
AYKZEpXDDUqWZYSNsJHD0/8DVFd9p05fdFnqti2SAPYKc465s+iffjcL/fplnXlJmAysPrLBvb/9
H7dv3WpkJzf++w122i/ndkQP+XiLMkX5vs4m6uYOIfOynxFc3OqMbp4IlRrtLrw9A+tCTY4NXTfO
TH15LiqVoguxcXMD6emGru5vpUOtG80ljq5DnDGnvpmChW4zdfU6eY5m09owL62/cqL3TATaZe0w
R5/aiudwPdhUptYLAAfzDktB6cvciGm8Yg8nhzwUST1tdbexANIAYtSk8mkJsB31NPfHXxBiYSG3
2pSR+dZinGPYVj/clB7rV8ZEjEdu1NahWXPpbRelgdVZzUYaeRz+h79HNosciKVAmdnhkOXawU0m
+wlT7/tN1DhYMCAnG5hArJXjQVNSeGF1HpIV573VRFncDEVOVVw1Vvt3TtT8QzJYb7WlaQ59Vcjn
yY0h8NL5yhnWKzL3/grgpt8A8pX4gLSANyK5K5BaX2/hed1K+pCLxc9ktb9+JaId/NjJ1D8gecCx
UvJeB8d7S1jJ7FL8hL+qSZEx7Chbtl0RGKrN2FYc9SmeS7tSh79qnAftbVlUwAmv3KX9ivrZIYi2
1p/kmMNBU6BSWXJR/NsjT7u1zSpTmc04MclykfQFN1WvQ3t6E+fdvj/hVTiWSepwMNvd1hSte/C8
wn4AytKvZljKuun59tJu/8I8Ul7TxLsMCnbpxATN1QjM1GmOisJRM+MB0hoaf5tx+dTMzCXJcmqF
W4HA7xLvaE31S4mBIfLNol2Oq83Zr0QiHoeWtZPVadkjGACUNSsAwVzCW1GeiKy6VwlevR3ZRKp3
OxM3pP9blJupdjCM1hKXOeHSG03ycoq0g+h04ye5qXe5sT7sdRM4dxJqy+x0R2VCLbEgu7w5sJSm
A7JriGx3c2cl89pDSn0PguReruZjEspCmyBCmAmawv6+ijhq0+tS9zP0Labz3GzdIZYM3G+/Wixa
5Brr0m7x5J/bZV16eX5XR5PfKKhp09QT942jLPeThRby9xVLuopLFnfxU8Prt1Kp3FUqHx8KipIF
0yTv/79fAeEKCptMl7VRP9lRiTm3bNE5FbHXY/XTcWmsC23Y6dlFmtm9FxmvN5muqif2th8LZSv0
wXupmHJUOtECcTr+W3/BmGz6FwsctfxzYL/ahLU1a+gf8R/cXk9vxHeunpuBhi70YEJOeOwsJobY
gNvrb+hqG4k14RkhOZaD6bvTAim1DIEhAQmRl1VXvbFyngbuvK1L3X0hEO+1bajs0f27w6OTiRmr
qbY82Ouk+GbPaKpkF2sjhqHYBDrXFCV5O27tG1A0Fi2d79Ks++9fy2jMd2hY7xaRlcfb90F1/fcf
Z8RPx1L7ashzvFWwpjS6s9kOja/F9d1NpAshgB5cN8bHXpAICpU/Poq1TewZB++Ix+x//f7d4l7i
jJ/pf+ydXwAPi66gz3rQ+6L9+uWIYBW9m/X+iyZJgBdF2z53xxpP6VPZL+4pcfTvwStLZs9MDpcG
3afuGNrmFgdt1SB7tQbozbS02ta0S/OFbiK47aPpCtVDLY1H3ei//8f4SRq1vnNyxb+t70bN6f4L
ADYbBa6wg4EsYv5yr2OQOCkJkz6kZ23Qx1EeyIVgZMd0rf0QGcm5yYtVKqW0BzXN71KUA7+coYKx
z4awwHlrq0qBDLBf7jO1UU9CGYoQov3rby5GzKNPa546gCffVq9rAPKd4c4rqnmrSpSZvf7UoWFG
kCK1a79owG29+HK7WjHDuKSKtwjjTIKHYyvNzqQe/CV41r00M+TQtEYvY5fvk4Z7orYE+JU4Uh8y
dgaDYschyLphZ6wiggj21uY3BDmKoQxQo/0//B9ZahTtbbSrbHc63IYTLrDJIvKss0oKK3RrBSHJ
qlMbJi/ypRrp214aZ70wSTIVAlJQpfp1qZBIXfacWhS0fjna96b44/Ude+zYgnziPXoDHGR3zPY2
pUBXVk+p5p0hWj9M6CUCRv82NtrlcWLqZw+Vt2mK+gSbmUsjRvqhIetRBnsOjZEzqZ8IcR/PiPiV
jUyZsI4SWhG79byDk9D0hkfslLmBogmG3NNt33a9rRbxEwv0L4HecXubUf/UNdmEi0HD79fdL7rn
bJysEVsVXWEm9P2cahZWEba3XY+XJWVd3E8ukcj8LedJ8Pe6BVAtd3liyIplsfbgBMUb4rvMfT72
ViA65Q2K1YPIS7EZJuEghpSk7sbl38pSsSljEq0TD4c3S9CC+Fo/Tg1mMLAc1BJxdZvMT5bXuTuv
6GBojfqWFuM4msZ0sBobEXbJ6B4ua6B6xkMixsLvQL4GST3HwQRIyedmfi6WlG1G1f6pegTm4rPX
P4GbQiQQW72cAmk6Z8KK0g3Aa9LTWe5iKdC5RqIKNYjzCZBh7xTq2/p+ERcMYDDxoHKqM30X0xaL
wiwsLIqkljnGwYn4rah/H6wmv5hqP2xzC2yQo8rQq5onDp5v1JLQfpDl2eU34jaSAFn0RhwUGBhR
cbrNkV3Wp9vYd8Rd+xlXgDYW8EuU4pgBuAmUZfxibObLDP1SWzjNdrYWCrWZkM/WikkQmZ0r04Dv
sSvfqtS51qsJ3uWoMrRcD4XeMLF2hhFesXr1GuVIJqJykcN8iBmSUDxrOJ3n4W2gUQ7qxTmqsvix
JLf6aBgbzTb/9KV8SpMSMHKvbYslelaWQm5Md/2hDBxD0coImeA1m3n6VEotmHnQK5oRw55Oa95o
BrsS/ZOlI129tDVnWbbMgIQzTQQUmuXkeYGDt4js4BzeualF2L6bJ5zq6V3PI63FSNl3bIlYsALd
USIDD9Mlame6IYPwb818KQdomW7Dem1yVYFertV9h+7CB8X4YcFCOeMAhRTm+CSUFnyoEfeuln7L
ir2+YBsbybQIcy056kn75OotmtgeDiWP47dmRAxVjDmWGeYDkQHnOSWdD9ZzA5ydozxV+08jB4Cc
MCIYUiveG81wj6KmoS5KH0uDKEG3zd6xsW9x9syBndYzsvV1ivjN5igJlnTmdZAKnC3a+5Sa535p
fqhkhl3jxA+mPfBCHGZfOrK+VtYYtlxUgVFVLBvUnv2xK62T6s6S1Jvu2M8MH/U1rnrJkzB38P7o
9rkbKaqmWfnR6gX+wSyvVjegoLD7O5ccbJ9Io4dadfClDRk2jHH523Xq345gVN72IvaxSBzilXS4
rNjMsbvOtpJCfoAwUfXQmVXxyoMZnX4/I5hk1FG4IT4bKpgq+vSKtj1kGFf8PG4WruU83nSihLWl
prQioMtHSi0Sw94ypheIKAwKWmuXyebecfIHRdM/FHuJaAfT115QQkOJImMo75xtVhCQMszwWao8
O4k029m9S8nVKiguFYS3eHbjdBEYFsiG0LHhaZ61Wxr5Wkp6EyVGCqrEf4tkzGhk0dG6h7EwmR2Z
l77BZxTp5TuR8fdmr2SBzb0xGE0bJoKYIV2CdIiWnexacTbi9y4CkYNeJFhI7g0gJvoFCELf6emu
MOGcqtLkMJyUzLdSfg5nakJIb/de177nkBo3jSLAFXH1i2fUCcvLyoJL6h+DJLEdrt58I5J2BDgw
/bixkW6W9pok1hfvbCNk9bos0ZlEmMAxxyJUFcHB0j0R7fXEZ9kf7SRCWxAvE8dN8dVpOu/TsKs7
Zut5wuIdb/ikPeBC0h6AziLgi+aw7ZKPUqqjP6nGh2nN6OOi6L2LHbmTaLMCxWDc14p8Y1iDeqnR
c9mmyrMHxByRf0icSWPCbEG7A1KGKYKC/XajpMYYzGD3d2lq7ReVdK/K3c6rYd4dADXAsT+JBg+Q
7Y1Pwrw0YzZsvUh7NaTe+wV2mI0RaV3Qz8pWBQCOsbcf0C706b0oE2AdGMEVK98gVWYTUl+lGaGQ
i1uHPV0LV9GYuPyaf0smHpacQf4wgCjsfIEDe2PZ9sVu+4dKWPtMm5mPVvY7m7mBEeyXBromlGNf
ESWTsqkx6W5H5VnP9HdVJvhP8Oi0GoZGr/GIFYmcZ22piaJxSXNIvfHYD1TjM5ipoZ6Hs8P75hv9
+JFEMpwtHIo0lixQdQZRVSSfosiP3FnfpswOfUk4dERUztke8x/gP4+lao4hGwnTz1Xcl2NrkJdi
L3FgGvWjGIewF/bVpV/hAcSnJVpCZjR143ZVfmFDf6B/jU9tC7oF24Hud5nybVvLY7Ho11FFXMWO
7LVHWHq8Y6T6XZXGldjJ+UJ4+obAry9MU1w7JtwBUgph1L6mY7vTZ9blVsQPZiM39GOGiJfM+oh1
9dTUfR7a2O79CSA1b8DZxWSwaE6QlfRyo6VyCE4SVE15p2o1JlByaHkveb5yE4FVO7sV97skst23
8NBtHMv9KNd09AJLNU9F99kW0YOjMrnWQBYNBo0g4jlSieOr6NmDiQypRMOADHVBFA40a8D34oDz
ZE/55OwRcz1wDxLOBayNRHLxz2nTpz6NSszTZeuPiwKMEgEoELXpGtcfdTlWOPsE+dmTOuAbsEhQ
TJbAhM0RNrHkPu1J3o2zfJOnsPJJuwXWbQ4LDoblUsjio+ihUFlMmYrWfUBq2WgfcVQ0cMkpEmtc
P2k3hmKAvjtS8bh08hnsQUNphn3WazCnVEH9Mb4bYwZAT6TORUzttZ56l5j1/pXh1bBZJrIU2K+T
YNaqIMp0Svt4iF1/blxjw8z9KMAqsJaLU99AIhAyDhQ4RdN8i90pVBDkhG5UkoLmkCroyQJL18LC
si4r7OVdstFlAYLPGzkJtPxPx0iOLQdySFupPmPeYE2Rz2aqSJ7tVu8DGjapfYqdalq0kkZihAL+
erRADm0H4z0lt8YsuPQNhArPGJTb2Q4dJRE8uWLcnZJaQBr/0sJzmbtZnHBMJCc2CpsR7lPOpJJa
nLm81fHJV7yFtbGCWJE6qBk2Ls5gLp92PIxJKJzsSkBMexhGiRQnqyiaMfVOZk7kE2+4NBHSmkq/
cSS1ml6mrKbmGcv08jrV7Tl2cg6vmbt90O3PwY2PClP3c+alP7Q1BOctUhKhwzvn9eYTQSzPXrKm
z/6ZKpy6pa1kG9Pzru5KF2PkhrsP3UhXlZzMXb5JiT0M2sVI/XbQK0A6isc9jueUajzX1XyrEfEZ
OC6ujfQ1L3HUNjrSqMlE3lF3BeVRkgcT+lCgonjIYvOATPRi2uybBK2XP+E9ZlhfwwDjoNWk3vHY
LWu4aZTEOV4UU0HjCoLWh7613phtZqQBMcwI/OrkmqJTf7PzoMRt26MZYApXYaEbLuvdMvDyOvTq
aktesxK/wBh5z2axrfhYM500Bj3Sdk4CzJ5VA4LrSey0LiESmq2HpVMukLsUqIM1b9SovqN9ABN/
UgCy0S/Nrr+Qeypk8dfN2FDpefuXAYZ76o2/loIW3okTbcNk7URBBV/SLO/ibNP4ZJxR0sREt0kT
S0Sp3dEUk8uqttpuZOU1Gnbqu6j4Ao/FDxI8HvGxP4/OqTXtlm96yl08JX9tr7gQEMtWLlUflB7x
WaPIi4JBiZi20V/IQNywgf/TO9jXipmrNALdVJeHllsh92CcWBW3sK1f2Os9lfkjRwHLAMpCz0ir
48AyHUt1S7RD/mSoMCGHPvVhf6Cq98bXnNlFVW17ew+w9U8UE+aqMFTfuqnpELDxrLcLmfA6Nyt7
N+YZ6rW3IQS0FA5daKXOiw1tP+jRfbfO4u10TVgI760Nzy+uxvVGVt3x7zwWexJSvP3YDdvCTvWz
A5NckTELomIpg/xhRZKCY/zEEnZ0soXgAmqe0AQX44/xXQ2J4Do07MlhiOvsYsPG9uj0qs4+CDr0
R7uKw3lAobzQWC3Q4LhmFA1xEyG0tIHfXQQet42y00jPNzeI0eKOv3thnSHq8o2UxCev9uzAVFgb
zmNTBHYDUHwUUHVMtzv1ifI2s930hcHYz1CbkdoZEU9RVMY6THKORlsVWztNPuyREZTt6VcP2e7q
IJJhpx1h+kApkmUSRHH04pnuR1t276RgBLqU1a6w0pcID0wwENnpl1b8aUv3ESFBDRyinTaTLOQW
Idq5A23rQ6O8SIAHFCUUvojUsq2HrQzZIs//MXK3aJEQ5LV3iP25RtW9mLMo7IwR70pijL50keh7
TFfDpmyTrYhow/F979U8IkRpRVGSHwGskWckVVpJYqvVB1rk6b6YDNpSHl6eRchy3tXvbUJWUuqM
7IVZZ+2HcrpWaTT7YBSmd6f+y4OUQ7bggdXSmTku3OkJkx5OvWQkyAYxbZ2wyx1Ejjml4XHujs9d
313JojFxzDkfuAuLfHDDLlevIlEK6qG/zTKwV4dMiKoUly70Dj/KiukJDBuO26yBecLx2aebSnPq
IIW6c1GTV3cCubcYksUwcj+zgI1irYK9aMCZOC0ERoq5fe2kgAVOfygK8F+1GpqmHmLSoZgqcnpL
x3tCozcd4hUxIQr3exIE9+Dt6B7g0AVmhPgxRspgmhVFbhcfQBiGGrrXGedjkq7ogsJmy1O+5fQa
PlZlv1/P8WKOPpx0vWhVS4WC0GPFLxls2xhxeV4sHIN4K8pshTD5bd/h6qls2CGKePBIjTEssSVp
RgsMvG/8GVQWtjL4RmvUGy+vwCHHvXdgBtMdEaX+w0R5lH3/hTGetSltb1DeNO6LtlWb0g6yGHr0
BGD+YIJG9PEPOasswW+85h/uqW8NHsqm1MwrOWv5kbXBeaxtFrZD7YSeBwyTnbSJ1VoJ43aBMBI7
rLK99p9mnWgw3UMSdW/oVB8bJYEtb8orzqiNnUz6Na1r3dcqqwzSovnGjs9QS1NxgNiwyOou23LY
/mlZpg1NhW02S0IS4g3Gxf/KdnQ2lPExrLb620NB6iT2Q9xzEq1tsNWYcWj32hvUVVbyceRtSIA6
27P6sowONHQwoDFAQ0Z5lMCF8tzk/cuUVk6g6vO7jkGWG7O9c5QqP3lE/DCnXR7KOT0NFmWdtMQ/
yZD1hKDNdz2roBZU22MfpWh9kngKgV0CgmSTgYRBudO1fPJdG12iPha7ahx9RzfOJfKe7QQVydZt
/Fd1TDKYHp2mST7kSmKikVCfh6nnHOVK9y1lylm/si6MhcTcav2Qp37M+1fwS97GBXkfdPChXCCM
AZS+cpMZtNDoVng/RvVpaGtjC0MIDWi26dTxuP7p1mTV28U68rgXDKEKHqkDNo0eH1CpkIvdctha
3TaeBiOs6+7TVf/hbmMahJHA72fwwc1IxSoSmGIYPv26n36qoS0hmRDx1iZ9zCTUaQ72go1NZdq9
aQ2KSPRG5mZuiUBtV2YBzm9aGm9+BEBHobDAX1kyk6lhP70gEP9OGZqi7e8CrSOFj9MCpNw5KphA
Zn0MSYIpYdGQWexN8VeOAi/Q+4bLeVh26P38yBvvuVMaTk+ZkA2oPQOTwwCu7GytfcGrj9FA4yYy
FfMFJqxBo6Y+ltnyJ1mdunZBgHrW8ajWJxAw6zyGzHTYmAqfv5KDDbMSH3d0ghCUMZhH1+mo9pfZ
efNGOvXRGUmZnruMk8ezyUq0p+eRMS5tyLc3SMufvHbYWA2uN6K7Hc/7Rifd0YA/MN9hix1rO5DZ
076x89aPDI0f3K4d1otckPwfTK8IkYPS/V2MzATYTngs5xfPB1hH+x4HHqnrR1WrTqyyF8oRbowI
dgj51dOp0Oowt+IaNFRMIDAcMmgTzRPS2Y3MsjumFgu5icuCAcI+FLjCvGK5ZiJWQ+kZ97XFaGzC
Bbroqs7szTN8fUoe0QCcKmjIgJFsJofel+30T61TX3Mv2gCoxZmbVWpgjipzZEqIhHzncKjUb7Tx
hN1JR+Jw411WyuQToE3IJICp8FKhfANmApWr2uBQ3i9VA6nSSfCkDcMT4lr2h3VvbHJqaZRPSKON
luSLLnvHalHQjpCeAxH4K2v75sHsd2aD5XOuYtzp+jo10QciHtkJ2AX6hHw8oP1rg8D2mJopVIlj
Le+Nkm4AXDGDbEduI7dBv9bYhFgJ72ExFi1g1Jv6nqCPJ7EvyTDqTBytBrx65irfgytBqqYvWbqE
Srlq0lqIAnGZvhSzTPZeZPl1Q9FFBnYZRt4Egy+IiHEMGptPJ/XSZ00DjZxOjDLU6YE9+spBpKpP
yv5lwB107ON4RGNooUkXQg0nh3TzNVMNsfFmlSctnJ0e0K0dffCYlt3L4hg7Tdb1GdS6wwgSA8zU
/LGUFN9PDeGNzGcZOBzhGoaSsMryz6FVvtTJe2lzAsb1Eex6nsoICRRYDC/Ci65Y6cktiMqcsndL
AB+uoIHAodpZi53cxRp9nSbxXA2uT9Y2CXhDw5hrPA6kymxJJikDQ6dnxcE6BRqVqe+WGH7rrgyN
2aO21syHzsFeoiGe3xZj+pk30UftdA8Z0K42rfTQyV5nsfpyBMXSvCRb6fbx/VDWRPM6gcKNGzJT
KQOPakev2MGqmrggdw3UNn3xGi5qFzNFWLTRGDBO2aWmuW3ivt5orvJTLMU1kThKUoNnn26Jgxst
zJM9oDyO2ppbuaYikqBNwVXZPwjr5b5Jx3crQcdixOqqqS2JMOCZgwbqX7Hq5an64ZxvRq1Tjlk0
bxlG/liwJ4M2au6jaa5PmsgEaCZXMAjbgWDCt+SpvT+5zkyKOlwMLw9HgYh+SsSa9kItob+JhrxD
hOT2huUeVthS7o0azWuDf3W2qR56Xmqn8sJME6228dp65QGi1GsKfoCqKyG3pWTHLyykRF70Xi7G
R82b5Q+9u86pX0TuWoFKam6AI9XaN512HZfprpxsDrTB0nZ5/aOCaC/Heo+pVHmMMPzuSrMNF/Bo
fkkkdxoXoZF305Eq4COeJysgYDgP3U4iGeIzLBdmXVKBFmPxRWt/8eOebCxnwIfFJvGUE8dETC0F
Q1mu/pb4s1t6ui/P/afioG/QdJa9/reb3L0u4mOOWNaEDnLEpXpvN6Q3uZmZbXXtnMzUpm5ptLxJ
aCrG/LvRPS5+ED1+U/CcB0+6cQT7KkHgDCTCctN0/U+/gRoygIiF8+9W2low2eeqrMi/G79UJF24
UvJTX0YfWA3jYFnh00tpXk0NaWhiYpqOnCmULQspBht/cIuRYNPiJcklbEV3ii6LGHgiYrF3ayVl
o3uNOgNtp4Ttv2QwR0k3IvoCWccCbNBy4zeO42Sq/w24ZIFFMEIglCAgXkej5KmYckTLYy2YYvRt
b28nmypdt9BM2R5e+JizrGkG89rY0bfLGhRJyMD4hE4W1Kb0WzupD5hBHdSDbEdGQ60Dk7qJQjP5
dsdi2MRZrPCUa5FpmfOXSGS363hZIz4hAwGHI0AG4lpihrZL1bHfIfS0UHoiOJ7YYvspmjVq8XOK
6cUBU4j2ha1Zo1h7ZEdsYkcqvzEqt/JU5ky0e0SJGTu654JlFD5lrll63x0B2oe+5Sru+6hCr9r9
Ud2YXsBzP9ZYVMrNeJ8OQxxULQ/LJRJXB70WbNKO7mig+nZC0PrQARXHCKNau/BUK7cZuLS5WSQr
wgRzBkVKnKs7Ltr1nvS8ME2HB3SoA5muBSjCOXsH7wM+3mjx2Wm7BfjXQS/FSWTTaUYQo+6airbc
6E1U35V4srNtMQE5NlVAcByD9mKwHYu7M04l87CMxMNb6LEZ9zNcXUTp12O99Rz91ZLxS6YGGdld
OzMzfsyCE0/O+6GbcJuMCRsAuCDS0Aj0Q5Jm6nodIrp/LCXCA+ir94SbE80n0r1keh5IRyfb3HED
qy2JsLOAJ0SW7cCA1RgrGIC8C53MzqQMMHcxSe/oOwbmsFM7tvvIHViqTIgc9XGojwayr3Tmqa5X
LiC++nXW5h/5VidDtIeXSpMldMfXa69Eql6WF8zEx6VRnbBbS0JSK7SWCe4S5yWFLKKpBU+mL2tU
qLS9co7C3rNQJRDQtu2coyand9IPiBFAA62a7rfT4d4mMSpz6y9z0r+RhWwhdi/+JOXOnQp7n+sR
G9zJCqF5FaDU7J1uR89aO++jTjW3wKkLRgaXflnjMrCj+toQHRpV/1Q8Wn/XPTd9SkIVCjyAmdaL
KJrlRJ/3PaHQlGkOkngeu0NrFvBQ+NHpG3lncnMOE/ufnnrfWc8TztQp70Wh3Bk1I9XSKj/rLqat
QHu8TWV/wDhLGFskkAar8ZYROE3P/dRj2wfK5fpeB6glnv/1NUurzOvUzWwPZ9OjnLHkiOMuQ4JZ
yJfGi5INo5XPumJRih6aIaklFiwUX7Aen2wwvptMJfQC+CqD3vap4UaictCplIy82Ez9j+WCsoUr
iDcl6CpBhIAzv5k1Kstu4Io0JsYVGvPPIQFKFsP82wyZ+SIQpCSN/s6O4atq6obBiRIidDAd0hZ8
bwavR8NyafLyxQayA4jdDNFQI09NP6sy/RYEEa88oQAx64KYhfn/NFXzRrevpQ2CMCkexpLeZVSM
ZKvh+jcqUl16iT4MMM0pYiYVFBlLmsbdIWkvdoWt7gZy4ZH6sjRnVMXunseQycIORGJQlyssw8tF
SLnppwk3hVlx12U2L88rEKQb+mnoGB7rOQ/jjr11ygifwWYjV4X/VlHS5d4zFgBSXXJKRyUsII1u
0yr527Il9r1sfcSDqfUWRqmxANChIs4xyJo4TSw7gLGtxED9ouWyDwrPPnbVMIYlqzpF2F/FSBYw
06x3peFy0lwuGpSHgIhUCh7ASrGufyuD5q5HNUgFdhho64iu0OtsT7t7mFowhiVyDZO6cTON3oc2
M0AsCJ+4uhPUx2o9c1LZbR1D+dKd6svTjX+l+WWAOA/0UUW2LponG5mMArCQ879nKQ6DvWGR43es
f3a93TxFnlofakUNjagY9k186mUuDmiEGHMqjcUE3yU4Qo3+pmJiT0AGSKPeEQ3c7yIyFZDODnw+
vBGW3bfbueieOyCbW0iI3FpRmBf2V8QdCZrFfFwyfNoUNAdX1+Igad1nZ/kDkO0P22r7Arwn6swY
a0b/aGdGsZWo8rWEJ4xW4EclScEY7nOiLW2H869u/KxwddpFHJw0mJKZpj7vzNTeOWuUmCtbvNgU
g2Lp8m1mVUcGzw9152QoKsCs9sqPXDelNWh6TmWG3FHB9gYlgbNRFOXcoHQHdAwLgjH1QZ+aT321
m1aOWT/VYBVT69Q4UJ0trbVDPHbmzupia2W/GIE6JeWHG6UPJaLDf1VmgiC3rTuWy4T3tTyQtmsr
x2E3/nFqOFZJpR2SyTgIRquXUdTx5QZ/9VxuJqPOWIo4NrB/DUUhBUaFT3V23/V4qtFa0qlZLDb6
DGV2c1P4N2LalvWajlTm+aPWdhvkQtUdstEuELNRh4WjlPC09BMwx37v2Fb72Mfo8TyFkvH3yzUS
QhZoosdS9DwBFHVfyUjZtVLVz//7lRvlH7baooVY7VnlsMR3zI7uVCbKq/QUxUTslc0JaP98IXZ3
7yURGgjHgW4MJyAcuvV20SfjbZ7KDDFBHZ+hPhhvri4CfIop8uPViiLZ0tY4VqiGdP1ycwn/escn
3dibc6ZeClSHPWztS+litWVhZrIaTAiUIX3jSdj3DMUM9EUOKwzRdeWuluN9swZOjzbaSEd3y+1g
mM0Bur3cOPjpueKhddO3V/eziRDsxuC//Qfdxvsn8Axcp2JGBx/BLxIWMYMW8gRkyQSw3v4eApfs
C4G58Pu1xrifF+S9v4gQNm86bD8U7lyyeMbS9Ll20t+vGHPxAtffmbGwUTI33fcR+eGRq+RbZxV0
3IIZ8/blv/c3VYZD2WncPlX6c/N5YmL7/eomQr9p0qMhf01r/Mc3x3mZGT59iPUpE+X1948ZCUP4
KgxS8DRt+SMzy/ANjqinHqkFbheXvIK+LU8ICcM5d045XROrR/y3uqTUIovT3Bl9e8lN1Xo30I2I
tsEH42h40pLROTd6QWYGURa+DbMyrLMYYbYW/2086TyUk5nxQG8HrE4gbNbv98K4EuT1hlHTC2/m
fGsYSdQiB/Y3w9toqIFHQ3yUvabdK2a+HsGxfs+dC2KY4ebeIl9p1b6L8yJJs2FvytdFJOk0b7lF
gzWcO8Z2d0M7N1cnAt5nebhzB2aXqSur8JacggSe/CdlfKiz/hxP+qeK1edzMSctiBICI3os18EN
ThV7RRHKoSl/8SeLqRb0q/qbtMeP36gwdYIFKbxkOcW1skppoexCw9fQcZvHUsWpj7243ZaCpJRf
hX/ject1oZJISen7Oxts9XTDyV8aBLrIsVP1YmSFOHIEpqAl3eO8OlaKWzAIfjre+v8IHAuE5ZA1
qr1nr4jDLst2SQFYVEkwUXpNxdJ1DffL7FUrslBaKJUVbTvFMI4MT9ULYl2ybWZpvbo6NVUxz2cj
XUHaKjJy4M5DlF2zWboumitlnfVzFEZWPB+y2Nzc+DYMa06q6nUnXYzeTpQQQdJxUq6VxZ2utKg/
WcrF/0fYeSzHjW1Z9F963Ii48MCgJ+ktM2lEipwgZOG9x9f3woVeqUxEvQkigSQlMglcc87ea28E
jSqK0FDaeiEO1Yg8bICsuXCJuhItFovgYhvZJIXrnZ1tCM1xYCA6/oMZFMEVxQsUBoBfKzov3qYA
Xn2I8+CLZMHYOP/3bDjQJiRKejdJNu/tIH2Y5jN5KR31H1lHtvxIvWlhlGA8flU0HecVXqZTUSXW
TnWn7gUkCy1mz2pf3EGm8vYzRgpNId0uDUxFAJO3CbxqH86nqOmjlYrjfx/307xRB7fj69GNiOjo
LkEZaomcLphz/9Qx6XZFja5oGeP0P85RzfAbCwJAiyneyuFLtbT8aNmYroq6Ki/LR99X7gBti3bb
LNGNlIJdCi38awu3l7ZM9eTECU62uHEyUKH1Tzmi2DEiZ9vlKcMDLVZJBjPnTwikpu/aU193ZDiP
rEbU1jiYasQnPrXNi9e9djgzbstHMYb8k11Lv8dnLMYmwKvIdtcVFvhDwzhyq+ZDAexkrfdodpZr
GN02/JTuPh/g+qS1W93QbOlbOy+pow8sYCSYBf3DmjF+/NDFZ5sdfxP1YpWbTfTdNb5L85AVTN+I
mShfY3fMtj3gF5pNNGWkcFsfzHctrLoH+Xi3gfNuamm9blyLnZTE6lteGB0Vk3FEPqGKkz0OdZE8
pSyi73aZf2nc19rX1bu0/2MZ2SBNVI7LoN/34fhIXb1PdbSJxFFoONbVBpVBpaYPgD+tNSXH9NuY
nMZQzCKSZjxKW1OTOdapsKY7Yzn6v0BxlGNjsSvEaTMdXd9GvFOE3TP33UHeYs5sA8zz0qDuyi2W
CLRYo8e+Gyyw/9VN1OmLXhXPxDfXL+gbTGyiJtyy+Xr4EBVF8yXCmLBVEm085iPNGkgA1dGct/au
4esAW8aaHqAqEupE/QWyWXZn2frrgCTOWkHC66kxqPuZj70FGzcuYyG7u/ZJOO9weMznxB+LY+eP
CUvYl4ys6S8OFQlQXd5w6X2HijALoUM3m16lmalCtIv+bVhFIEZ3MuFYQSQBTIvYNGkocRpVR94e
VQ8KleXAUA0KEN03zR/dYzkWYo+gy3rMqpL0t9FMvuaBO8Nt2scetNwqIoJiXaCNujTEH7xi/FtF
XTu8LdOCGTKNeUkUUWsp6n2VYrYYyAH5DXequw42mIUjbUb+FCM7DhRVLUmTSF22teGojx02dYLZ
zOdpPngAJVkYZPap7ug9A1paS07egs5zo0sTMX3Ls4E9IFnZFRatl8lQL25chl/HAA1/i8j7QQfN
B32mo5A/vxFP0b7QQ/1N0Kfbg7NND6GixK/zd8ovkN+ZuUjBgqZfwbILnzpbuUrjqVIb4hilNDOV
0tXfYKajusV3oeC62zTsaYHBz9BcrUV6GYbF3LdvjQdVC9HbsmY7TIF2bWdPlR6zz7HDWd84Vt0V
v7tJRIhrvWYJ+wk1ueSMHU94LqunIpkuckC0q8Q+9pWSbhzKAduy5WcPKuSD9NA8wk415RlCw8Es
ipH9aEWOpQBFmM/WEVdhFDNJSLo6hrPqyyB7KRv680mbVpdKb7KXBDzSNuPG3emuSF8yPgHovOz5
DOeDBqP5TIXTfC5GVvsTeGFJNAwEq7q5JmpMJMQS5who17+KISzfs7iO+Vn7civzOlUh3rMySTY9
xZ4HJXNP0llUGt4nravE69BCn5oYpD3T+xKUBeK/2W8oQ9ty0AOVolc7lEUFUdsJWUpZXry5hv0F
gpbxs3zNDLP7aerZi0av+y1lX78Ruttfc/beZ1OkRMXPCJrF5bcs3sbAuvsK1KGKWuksR59evMgB
FwLD6GtqVmQlBgCLxqTYhlpQfbMdbSc8kz47sB+sbsZuaoqJkBiGkQ6A+SqwFHGlx5LT34d8oGtB
u9URCQBRK/RP5nxKSo5CfZvaF0oH/+RSwcAnYhDPZsTT5zQxNbITIA2mbmQbB6tQLw76yCs82bSO
q+VEXsliCorL76HZbA5iK5pT4juQdbkXbeSpPAhTUU9QSftDlPvDGa8s5MAY+mjPEs+JRnSArRvu
Jrn60EXPijSCgkSv8zNZCA7NuCK5VkWRXCj8vXuR9TH8Yfu2xzg+6Fkg0AGw6fz9Bq7EuKbPXbRE
GGEkRjUyj849MYrsXmDrD7VzW0ZdPSlRmudT9ODXBAtYbKveyiZ4ixvD+1HhnQKtZp+gIZjUlmH3
qx4x4EaVJq+tq+4lhkVet13nmEz4aOjygEDtIrp6PuU3ucqUaD0LaM5ET3cK8y8jo+Xa0LzwTu4F
CC5ApPsccu56bGcF3mS2/l4vgOWxo3xxbTrZELwEoH2je3Qb62erW6ziLWwFKJiy/ixRlVWnmCdn
8ujdzeRKpzDwKoxtjymXmhaVw05A7tNnP7abGtnm39Nj3Rmykiejn2fH7//3P47lGLapW8K2hI5V
HBv4XyEslVrkSluU6a+E0d40asrjYXjzcevvsj9eOZRel2sND5JrTNWngBWB60ce2PYgu9HAQcsY
mOnj6Kck3eUpuqze8c4TO6mtMQ0Eg1qxXS0XUUuqxzk6IhTOcFe68i7oSp4Xn2OLGHcrjNLYUH9q
V6LwMyh8/X0AxHfr5CGJJxa86LXK1L3J6zFRgVcrcD8c/udnO1fjndEJHNi5l58rS3d2kZqlT5i8
n/I4fDVM1/vkjDboyPkVXYhs3aeQVhoklxtCToC1AZOcD2GNStOv7OoiTzVPWBvTSLe5R8dCmXT/
GggO8pUWqK8lts9rJ9q3WPTmQ2d02ieaSmTJ5QyhDmCNlH3yAsF0BBZKw2weqx50ZdPTBLPqtxxT
yY6wLkzC88FLQuPBcgS/sR2/tK32ecEI2niS0argwA5FTOuoAjv7X+K+Defvtwdpw64qCKYHgm/9
g9HTohZIQ2vsjmZnWA9aNDMIKRnqqR7cjVYj89lQZ19fECMgCPWw2CpzmzPA6qWYrdgUZMBsQDRS
aZI7wbKInNWy9kshR5+XRYbXOJ23Mwe2jq1aflPNqDiwVIRkoCnIP01Md3NaQcUGhWQ1uMEdtdRl
EWgi2t32xUsdR9OTzJ8Z7LRfCyJVDtGcRJMR9UaaSLobEr2GRwlVoxh8uAGotU7hfKr2yZNd987d
osX7/O/Pl2rP4ct/ecAsTbUcE7uTSvioasx56t++PIWZX//f/6j/W7GSTVXDtY4KT/9aRDk0YtEU
NDTwheDQoo9ZuWZwkUGkIdP0DlELbVoXr3+CNw6hDMluxczoTN4kIkBXo2HGKiOA9xPkOLqot3YN
d8uMYNOjOlZXzMre1ylw4OmBtsnFE3OGCQQj2fAc93TQ/rO0FKLHD142r76OeNse3P4bxRaypK3v
LOsR6LDBWA+Yj4+oGHj4moMDAPZW6P8hHfjuEB7SfpZXFbik/OlBmg99og5WYZH5N/aQOlEZdGPC
zkAQ4fVsiHEv3KL5AFvLuBga3qXRTT7DRSfTgALK8qpwTB6DZrqrlIN3k98wPcZhcktMOnqee/Oi
0AeEPRg3Q4NrZTSbqJ0+4Q5pHhv0SY8QxV5Hi7gZMivVVV756MRr28XgRptm31aDfbVE4lzzqh63
safG02udVgWd8dS7oP+9oHaqHmOSQ1a6YYSX0bcuID6D56rVjJud0r0AWSqs4SqLS2RCug9TN77K
M3alR8/u6w2hmu3rlNfnoLWDr4NiUUIt3Okh7FqGqMm8yGqJhajzAjGHqVWem035svA6IVCUD0o+
pjvsvuWN238sS4MwozDeSuhf4NZfW0MNHi2hhHcfnflKmxTKgWHob1nFBsR5Nd2l0JT4XGepv+9A
SDwB+GKXF9j+PiBb9RB67TYeOv7sivpTGTzvxRb9i0efdu3BnjpYgajfSJrfTX1TfzEAMG1c15zO
tjoURP8B94Nq8YUFOa41LVFv+uR/C6f0Khq3uyAH7C8YAYajR8ayYC13STErzW5rjJkr+TUtVFtT
r9/L0DuhKcs/2ZXRn8KYm9gz0EYsYLR/fzot7e8PJ1VExLiEwwnbsFTV/uvDqXa1XSAZy06W1+eX
ojTDl8FAtKw39V2TefULiSQfVPsssT6IRoNrYrYpf1zkaolfbhfTfJu0JhW3kVaTJDunQTEC3qP1
VANqUtnRXqSdfojZkI1B3O2GFCqC1pTDHqGAeuwq8OjaXK2Qp818GhhBtRaKiaVp7oMFMO2e5Ctf
TcOnelY1q2pwLwqfvLSiYvmAnOROZhk1zASXvdyiVm1nrNsQgRirQgAiVs7/E5vupRhIsSNz+Dvu
O/c5sYv2kJYpOvIe/YMP93DTGFrwEMxZ0pIua2WRwq839v8FBmfOg+BfBklbpyOgOq6maaaGbP6v
fwcGzpRQwiDDnFkHq85IX3uNFbqhnRh6mOAsJycGVIu/FJSnOfPKF8e2U+wN5H16ZgYHxYswlpcb
CL0OanEqbymrBubEAphk5KY3rKgbSbVBFviRJWlwkEluhqokx8V5r1WmchxDY9Wo7Eh6+K8HH7bY
ztbM4WO+7rH3W0G61A9k3vyQpVLPznRqPcFP9rhQvv9zpnixvbYIhzhhc3TOU4dOS64p5QEI1g6W
XXf+97uZWeMfH6NtCFuYjupoCOP+MddEqqjYsWW0s5qZ6pLWpvVNzdVfpvNioI7QxQS5BlM0k7+C
+GW5eXMDtU3e289mOClrf6LjqDZEmmdVx6NMdX8lt4M93VjS1UhfLyf/Ne3V8tC25tc8pOi+CeYI
JHnNDZ2vPFc/VdmVWMAlGRsBJLE5T366T+beizwQVhRcKeqtaoTKT8SMfjYGW33QOzrlTdBgMpgt
83jsX3RFGXGHB8M1aZAWmoGjb9vM8XZqUNj7RkudPeUXHPGxeJSMEhHm7BiV9DNBX8HWR5O2UWq8
3GBfg+c0phMKWLDZaoZaPLn2LpOlXGplCNyaK+6WV1cp8LqlFIw1ZHSyXyRbRWPRZgfaeqZxwDUA
4ouP0vOUrxAvK0rD4yWzRL8qw2xEtJWgCg1YLV/kAWlytFtWO0T4WvsR8WPNKFjFl+yPQ8Dul482
3C635VQqX/SBPC05a/qWDcJz8EGjM5GHMq8JHeOcj6EJxO3C7J7KXLj3rPuKYgHf4TwsVB4izqZx
EJUp6UNc1u4uKCxCSkxXnFmpHLFD6G9KUtcnUaNzIGGPMoXidRvGO5+SdRA+1k6P+AVB2sWcok/L
6mtZ1LE+fu3yrsL8QFn6N0dB4hNqlwiiun6mlTPtJRRdfsEwfz1+ZXel9p1/JajwT28GQ3sGBBpd
5Jeareus//1R0f+xrrUd2xU605HBpscU85P0p1UZnd4Y0r9ojq5idGvLLvDK5qOrAv1iNqiRj5Ld
kezlcDy4k/tIn5ZVrjV9mg56M8HTwID44gdRupIVCfj++KqS6bFl3KMrkRjHmUk199eTu12o/sbz
y/qzUVaf0szQf4roU+tNt5CFlXxuxNxNkK+sftoCJew3fayhgVTt4t2LH0t8RP/+Edj/mPscCD26
arO+B/jjGH/Db1ISDwwz8oZjofZXt1PN15zJ/FSVercui9x8tXD17/wKIKo9v4sHP9yYghwK+a4Y
HPrQiAWu1DnAP5mgnc1R+5CgHEsPEKQl7ns3wB/qMO2hbFXd9W/qj1OisU8GZY4QoLGRlNav58Kf
fW1IWd/iSdXf2cat5xMKgbAHeKEXJp8x/EU8XohpdCe9lcGELpSb94sJqzxQ62BLJzVAj5qqF70b
HXouGtHyqNUPoj+iGA4eDVakSLPHueozF03YPQZ7mTEyVchJu1lzF8R2+hK7oXWBDfWt1tv0pQhm
MizzBIiYujlOpYeSw9Mf5EFYk7G8Mh3nv2zE9H/AUikYs1hx2avr/Fba325Yut9akiEvOem9kgOT
ocPgKcaHSMNg3eop2TJB4e+IrHdpFynFSQTo70S2z0oQ5ozW006SzIo/0GVJW/9I6TIXSus1R7Xt
7X0v6EG5aNqXtZYSKecsTZzv4aQeE9YhcEwpJWNrKsFLjquqSQCb0zsKU73fZCmtin+/RVVN+8fC
wLEBo6KlQKWgmv+4SWMUADynKtXToQtPGM7rp2GKthYNLWoiVbHL9TpAXc1BG9CDL21/YsD9bd+S
oTXpacSuIBw/Q70lYKiKtL1RI4V3TNJCEyut3vMBaSWZ6F/RtdOPdu3u4rVafOeDoBmX+NZnR73B
OBjOPduHqswqZNMORw2Tw1ke+MHzPfmI3yXjThCPVFBkvSHcqB+nAQadWjq06QbZq4Z5CQ0jIPER
x797ieaSFf6/o9pZ04fu1SSuVM54z1WevsQr7g0onnWvKl2wbdHS7eT5TFTZwbLGd9NnObCEEl9J
S25zAPhPmaONxp2kNNURalCG7vAiTyEzENepYKgqCtfaFJVRnvC5o2D0BpzVgQ8/R9DMmkTxbqW4
FqbGMy+ZN0XHZdpyvBy7kdqGX7BYE3YAeDnzxxYhUHRa5kQe+QmgiNNfU3vId3GLrF0CtuQ1nDFW
v/FAsk2WOt5lkh3jEF6DroqoCBFPXQWiuaKCeKTNSb2sNNW/vEuD9GpmFsVCpXLuaA7Gk66QTldH
anF2QpqcV41MkG1qBNlxIvF5z2refSoTLGtF2Wivyy8STcNHMDQpM7xKuzlW00MeG8Z2qmp0dHF/
toOpOveNTYV0zgeRB3mdxKfz70seZPBliZM4OFrAUsBk1m2sFwiyx1UDq21jG2O4dyb7Z1Uk3kuo
gv1RG7y12GXdh04frksZxGig8bsuTWM7snczn3Qnb11NGZ/hwDrHZbqXMz+r2183u0DeIxivnxwX
nplc+pjGbYzIRG9ZC9ImHmif0uQ8NUnMjtVR20ejd9trznIOgxc4SfkGou/gpJfGcKcjYF/csh+p
6s4WLk+DjiVzYztnTFlVip3kMEYtwH0wxJR55vLpENNzDw1zDxDH2iw3Q2rqONEtlP/stciXGTyb
rZzZmzfFXtNJeFlWLEGwmsoJ6S7C/FVejzSySVNw/fZQFYehUMNnyRhrHBPDcBE4B3kzpyGOkiAs
zl2MUx5rjc7e0mmfOxtKigkAg1kawCvSfI+W8pjtDNv13nR6cK2MnRDG3u+qa8E09N1FfDQ/iR3u
HezgzfRJAGDeimL0KWUanyXvqoJUevK04kOewfHWDlEZw6zVKwUqQpPsyaqMXkelfPQLhVu3TKez
aGP3iPy9XZs0jB7HkKLGPNuH83oZFzidD/dHoVJxlD+sXsHK8Dr+72Gwmvc2K9mXK9Qeay0cPmkC
UZ2MfpY/QiisgpIZ6xgtrpQ1XrB6JwGz8g1UIs1RJsYyWSFDIZN6bxbjCA4jGx/wJzabNCRt3m3d
AYp9l1obYTdXNbAqZD0+5iJ7AsCD+XHlUbxZ5EJN9Vry5L1avWU9tOaPIu+vI3yIizxQTvn1Su9H
caHqQ2Gzeoj4/TdR7+MctQ3T3uAJzc48OetZSivLJRr48af5TOqq5Bn6ho2snqouFaz5vZ6xYB2G
gbfvlLa6yIPWdCyxYwBHZyye1CpXnQVNVw0T85D5ebxLiFXQiNQcXeND7sAl2g6KBCCxdpOnUfMy
KcRTDjqx4rnG1neaXw3zNfmuXxQ/SYTsb92olc+zv0WbKcSwP8tnjcaW6fdrRemcuxy9WoEGXQgN
0nTR6atSjvb+SPjgshkQVlvt1Sz8TBwSXudeJO2qHeJy740ayZpabZ4BEVJSZlWUqTWxtr62kUOn
PAAPoDldesq2NNrwGLfu0++xSIwJvKvR/tPw9ATxLIP0S8c3cf16b9oqdku3+qJFWr18jMsnKD/M
sTcqkMnNZlLcgQ0kt1Z5lE9+TXPkvMyujRsna7lhILkYfqoXPTam0J8F2FF52fZULPGRx0ZF9xWw
zEW68icx3EZAmFsV2NQnOxE/NEQvV7eYrlESJVe1CLptTTDippVtn5I2O5CR2aJUXnry7N9sG0sL
o6M+1bh1PDx9cIaDDXKX8bNFwQ92tlFeXDbpzHCIQ1IntLdk3SdHKl/BtSYYhEROZu/QAmHdJ9mO
aquOQKgaLmSzaVsH6e/jQjlTFO9eu6HyAN+HoMyuUR6IDdRXWSZuErAYOqZ/9gO0W4Nq9jh+EWxO
86shQEEmX8lrPmbF5d2htf3tLGzd/P5i+WoIUweRfjfTFIOZtBR8bobEOIRE1+2kFg5F9ZrIXBtF
94z+Rv2qoKjbyiFADgZ6Ovi3DkOfh4dZK8VVjjASqhukNtFQLOLJVpjp77MB/o9XxGSotPg6ZHnl
wF5YnJ1y7JfvVrVa+bUmT4K0PMiA1jpgvIKmAvLDRBaMSzM8lGn4gw+2fiIHzX/Mle9ZUMLS0ovM
2tcjngLQoBg3jd4hclDZN4q/kWPf75/RZw7tSxUKs9UpB1S21q33UbHYlju9V8OwLJJKYkhd61rO
SRBtkSk33bZunutBvLUUi5aqj9Al7/J9FNFBl6fyMOCH2Hb2WF/xDfeTnnyOHCrOZDN2GIpEu4+n
ycFIaxD9S9zqtSlQU1mMgfISrcPVstnNJ2xRfoWOgz2ydosVVdli+QiNKHyw525FicjnIazag5/W
CKpjOFv9WDwz4dASpLk+76AptjPDilh/biydaA7CX18Fj/kJ7jTWc5ss8tUCee2iHkPMPAzIQ+oy
KGtDQZzMPDJ45tmxzP4xSfo9Yoz0G5+0vmLmAfBYKF/kBxw6PQZKpZ47LmbyYH7VjJzUsUEne7jg
L4SnXpxFN36Rfz1KU81ThYRwM/LEMq+3zVVEGJDn37PXElo9U+jv6qxUcevPGFpFD5Or/J+ctCLl
3IlOQY+3rwgFWPrIti+pcVLkMsipgz2bwmITTmH3eQalBs1AtkOm62t5G2dewgxlwRKv1G2ZedlR
4LfbGYRVvSY+4d/o3A5J76uLVMxDSCxK8EN50+sPGUrICB7vtzSvv2BBhTqt6eoOneUi9CTRSAUP
iqF0FoGGQaA+52h8AkMERxIPVda7tvE8RvWTF9QYjGYliV8WBuNRKAhWN5502esi4NHclUMIrNhq
FKQN5jbzIv+lSHFB5ZhtuJ9APS53YgmoR7g1ZY3wI3UhkzEnfLA+TbdTpk5nBV4C+kOQAsV8cFok
mMspHpo3x6LUqHusY5Yaro/HfqMX6QiKoNLeMzW9yTpCnZAmOQ76t6CI8JxMY/6oCkhjGXCH3mlC
Zz81IDfDLKXD0WEgqDLE+I0yJRdPraZDUYD9ahCpoNiiw1zOy3ZCPyzHMa6SJW7lyZqOeHP5LRqS
zHwdJNFmgaw3lEq3Dj5a+pCBir3Rd/MN1eNqi5aeIlmpFF8pS5kXQD3+At7MKxujGYDYU40wayIz
+DyEs/2NDR/CBd27xqkXExZqmNcuE/dqfuZtrfNPqeHvypaVeaijTC8NIKDmTKll5fiwaAMiNm0r
P3VR3ekedcZFvTGamL5j9FG/BI7U3pVdJWxwOKp4SxW0ObliY8ae7xCz1rVDHk4fLYHta2iE7qEZ
7QFahc4W251edO7Gtd+EuF+HNNk7umlfDYbm5RXSJwzBst85+J23ngECz3WpVNdKr1/1XmUz7erj
tQxWS4kUh7Zxb8lA3IJ2M84G5I2bq1SPy7vIZNuTE9T4G7050sCdww0iQp4gR6DcJ0lmPBMXCzRK
77o9P+hdnv2+/vsUcCpyw0n4aCsmSCeVPEJb8wg70EFKZetmJDOgqlnloEviS+SbZuFiwh9L7yxP
cQamREgzrNcjvFgHIzlq7wd5qK2JSTHwFaCpqtbsl3NasUcPVRs0HiT9eI/PMoWx8dzq0Y/zZ8sf
rbMyptY9zg8iLYzjmFu0a7HAf5CruisKr36V142AzAc6NR+lYyqnMVHGFzvV8EmYT1Uz1cff97HU
TDTxwCoOvEdWOPFtxON2BDLmg4ic0kenQqatgu74UkGiXdQsU+bfg5G259b+Do+lvHtGPN7dyQRQ
paZiNShHq+2mnSzWFeSWLmU7WcCzIojX8t22DLyjKOrA+pyrKPA1dNqTXvYgLXLnGTzN0leq0SYI
QIbsA7wLYk+2u1D5DnkQW+XXHF/mverFQT6Vo8RTp37KMh9TDU5q/uQwU3lg//QWTpICjhQXRTUx
XRYu+Su2nV+VOonAo3T6J7Dc2KWqzDuFjH/wIM0jDeA5Wi1jrKvnKt38EHbyeZxKeraEdE3bIMJ/
U/Qd4kTbALXeHi2o10RAjfY1VcxHpYqKx5BN7VBl5aewN5+X4nA06FhChqrf1ZiX1r+zNuWr32+E
cztYXiOI66nNiwK+tmtfVbc9TZaTneykaynAzP+fCUf4qjl2vxrH8glAcUOP8I+/kuMLlBpItee/
WeJ14z1kM3rRo+am6+besvryJscMz6caZBstK/4BQsh6DOw9/FB6rDkAfGGa2qEa4TdPswwJvLJ4
ystYfRp7hC95ZKoneU2D3/IgkBbKN80wdc/xaH7TDCC0th7Vx3HM1Zce7PIuVDWxlaeOXUXQHTN/
LU81UhVuFKtvhMiprE1pF6U9e83BNH92uqafopm7Lw90nnSTXyyYrzi9Se08HMjAcwhnUBXKnFiW
xG6zyIaW8bzwPlUa9D4YOYwcngUd0AHvsJMfQoIpDCgU0ItlHC2c7jEHifHrEwKHuDwXKQhYBHs+
klzoyFJVjcfgo6itF+JLgqlfecR5vtZ2ugpbTXyu0Xou39kFjbuVbgmnpBNjwjrby++XpyzS2z1m
8PaMDss/+EZ3DkZfIXFLNE96pWUXaxhfZd0SAG+/GyPgY3+6+dXgtRonqJTokdHSMB+UpmZew6y6
KZanX9Kwui33sryt5YGI8a1TKZ9VVe8O8ntUrZzOhJT/FIoz7lFfzvqrrASta8VGRPCRGexx4Jav
JSNCLhx99WvuS2zrHCCDu/nQIo6DUN5TO1HBzM/XKgpB67aftC37ezwPQRUcE5DIUT1DSqtHrHjZ
Y0IMHa/l1YJM6sfxNM5fkenN1tMTSJ6p80l+XpZKByevezz7CGNewyF5oRJnfXdxV0eVmD5BrdhM
BYu0TtjeQZ+QqzalDhNVGz9ikfu7qcx8lJ3z6AJezgIzMMJ+gB3yKF+VATr9qvH39eDVD0ae/ooY
B7WAFKsll6Or+APOKwVwDQ5WQvyX8h4LXJRdNuuTs7Drdu/aTbWTiO158i/MFMtyTSubwibTcqeF
0cny0zcUrFql9G/F5KcXPyDEW36PV3VbGIHFieSczd+GWDnsBnUbXjKg6kB4qm1B8PF2mHeBpINX
Qzhh9B/ii5U7D57VPC6ZctA9oET0dJIwHQCzYIuyCnolZO/PLCw9AiZwo+WvmsHOOjnO8FgB+bks
/wAlNta0vvtCzdi4Fg2mYiP2Dj4f0l7msGKlkrfSQP31QNangbXtkGHHA0PHBaOGlpT1ByWvrB+B
TzDyLL6Uh9acmJBllISSmc1B3qNyJRQbHibTGHchDXtlvxSQ2XBnp96D9vzv5XaED3/vH9M0BweH
kcHSXEvX/t4Scs3CCSFDHyciFr+SMABvsB7b5mEIeQ47JEk7HXvLCmLQPsX9h1GYbC2dpf7VZ0k8
74HowRLY0EQUpPDBhVXFQJpZ4yF3uW1jO0mPwi+uGu3Cu7xELbDYqWb5Xo/ueFL6xLl34OtXFoKg
r3pqf5f/KrgpH5k1bEgzb09wx+hPzzUYy4IuDrZzi0W0perRlGi9cCuqPDNbkmkQQJUB1sTYLnBH
soSubPpS1B+IAgH1VwigKJk53WOv+NKVdEvVUI9m/Ph3xbGCYyR8e15Up3cgswcyTaKfTCq8AD9D
VdrZ8s3NKVOUYa9k7NZkeSnIjXfiicqj3N/q+bCyHToTMZAAONw6A7Qe4PcVcASzIB1fyEt4cQo1
+Kp4OaUdI7N4zNKRcRztvGH75L4UqEWSAjLVQLz9Wx6RBaEA0c59uyZcgJ23kXXFfYTPqFSjcsn6
9EUPhPbJaOOnVnHHmzsPvGVMR4Gsmo5gEqYUKpTGc9MQy5yP4w9njD/kD9wrBVGOYATXRW5/jECV
zg28PLkz1qlr770ICK6JUjHM8vFDMZxw26diW2Hs25oUpfAcFgT22fFu6Q4k4osSDvbesTLG0Nxo
t1Oaw+6KSNYm0EKsM3knDXAinhxYYFGu5ld4N5+xFhsP5Vi7bJiw1jvzqU13EkFuUK3ku8ncfDO8
DKyOkly0CHc41Dvkv/OQNoGj33kBNCXccO9WyyzBDhNWT9O79jbvBJCruYmu7iGj/khn9W3OUvlR
mCEk++C9g5dFVZmCR4XHFA+794145YtO1u2Datr8a4BGZ+8GWus8c4v5xwRVJkjlU5P+jUBXSG85
NvWGaJx9NwlnnTv8YeGXN9iCHEz5c9spQXW6imJhn/AqQkeI9GQDY7b9SKJxl1ITvqgCSHkB1yLf
KIJwNgrFN2lhKHpHUEsdCNvrfG0H8lisu7ljEauWOkvV8BnPrYscW/fAGg2Lw3SyYgd1wlywR4i9
JwO6PFg1XmfFEtlLHDT1ikK6dncm0jjqDrZAhPved2K8iXNcDPWC6e6TsBXRlqCUr08vUgqv6iTt
TuNUHg0r5ykrR2/HYgZui8kUjrEfJhPWgEiEz76LaVzJDeT+jrvKe4zZa5Ja4oelG1RUzgpkywrm
v/3JzcYnn7HwIY57yPmVfbQVeLR+b9c7khgwwcyLXXkYqQTV1X8R1eji72MifRqaeKogVUoY9t81
NYRntlYGvOWY2ea7C6uXELsQiC32TGpM08q0qNvIAmNOZWqDj109sM88qcK3AGJa3raAiT/twfTB
HY7EhPfa/qlF+U9FG77KVVY3xs5pPiuUYSVdo4ozfFW0wDgYNpOSjox7Jt0TSFFm4X9TqLr/EAK4
sLkZ7HVDI4p36cH+SQvhaFCbR1Vzj8uQXmjWM+KGfIW+un9369m3mIzegxWpv/5W1Bto2KngMfZo
4AahFo8QbqdrPmQXsuvDfd34Gnq0XmN7rOP6rErSFWZ1hFKqz2HYhG8im+ulAts6QVx7embQIqYx
Cc8AEViJ4ui6+UjhV/n8dmiiXlF8LAm6X41Y/P+fsPNqbhvotuwvQhVCI70yR4nKsl9QlgNyzvj1
s7rp+/nOnamZFxZAyZJMEo3T5+y99lM/scg3mZY8LdHMACNraW9NrbNbguEbBGx7E8r4yA7I6RSn
MTzVZj2TbEyNQql6aQj4s53xVc8+SgexIoQOmBYy/c30a+C0tExOdk0GGN7YaqvSYKaseQ5tiGqo
pLxLMukuzDqOov8cYQ9L1zgsnlWDTnXz2yTkhlTBsKwN80GJSUa3aQ8zKwyBy7+QJdDzIOZFI2J7
KTaWRsMmHRqyifw/cCzY4OHwwVuZeS34ZNaqSMmhkuACTMzdY+HEpSpvhBTEy0X3f/j01VVGYkEg
1k4nKkfvNWcbRhA/1ZFG6OXjVNjO1jKrD0xuRJ7Ls0jjeQFQbG3E3g5VFjor+QtpvIcbOp/FLhyn
nWqymXkl5U0YiXQEX//lb7+viHZeZTCFtOIU6JRzKQZ/gCc08KuhfPBSvHL8tTfonNmmJv6bfFAu
vTO0WT74ve+/JczX11FTEFxsut6XgbqbxoqLgxXK8haQn7u93y4SkVtXS6Om5OMb/5yTn/jKxWqs
lz+MVu3j1PXAvky/faQVlKzowWZP9z8xtRED37tNdVoPO1VpaCNDgCJ418YkRwJqYnApEEfOtO8P
aJTnR9pH238tMDtC7sMSfga5pZ5NCvNHNbXpeZITbDLlDpmViZW3oHnSUmYvcLMe2HTJIJK96sf8
e1CNmtJEYBC1g3Ey1a1lgm1JQ4T85f93kWf/nyJBHxmJ4bCW4cN3EQD979InkgMh83dZdLJnd/DX
tpP+7ULpWdFvvVybtuFcDLfWW6Bg9i2pBgwqfQvqAznE1Z6BdrVbIBfS36Fbfn8lm8hJ15mdwj8g
mQDss+iLszofuJjXSnAOPdPYuVYF0RX16U7YYPMNDIIvdZZ46yVHd5b3FVnf8BDUg+18VdkYP9kt
NBUrwfXUejWofSKjjxOWQvBnr3SrsJ2Uofbbrq9aV1gXA3kzDaIoPjVZiD5W1vaW25VMpHzvLSWa
ZEL4GGGs2TotWdRuZP0km6R9c1AvFba5nIQ03ylDXhWL5mCjRPUDHzZenV4912E3Tj43Ec59TSRK
N/1ICpi+5RT89rMB/IpGWCGRy4xspf9N2MTsRHgMzvkCfpYXLzp3UWrhIUS3ob5lMTSIPxUa+nrE
85XM+QGIp0emAHz1oTUtNGPZwfGtIwCq4aPs9N/wrofPQF5LlaQZyH82d415cdKkWrn9JPZG6sbb
wqmmK9aw8Vrl7zOb2Bvb7ebJ0wkuW+xwI0C+rO/C4SZtMXAN10TYbNEKdIC691DkcQHTiejX0RDf
1JXCbdJeO+CkWDFayAlD+1Q33Vsl+un8n6fvRpFUB2IBZCU0xHtk285O9+dpa4/FMZbLmJJ2FrUt
JwCyBBAkhP23NrRlt3tNaPWmSEXELwIrM379vfUw/5ur+eWODbDBlhfYFgn2cm4J/LqpSeeHRKTg
7DyqXU+bQTcS4AJSe1jAzA2mvOwRRDOVxDfs9BM4q3RCEPFVBo67xn/inbwug76IeozUD3VF4gzl
fiS30ok/Q+RFMh0xLb6aBheMFesbUdsD4x0/ellaNCBB+ZZ32T1x1avN6jErkldqv2GldldD6Vns
NLSSjao7ro0kMYaNPomh3yUZjKgudb+sppjeCgRsMnYtPuWJ0e/V+KvuWyiTcW1DG3JXBdS5Ke3L
5zztNUl6sr5Gdj2+OeunRIPup80E+sy9Vh0TRqawStjAN7ZeXxnv+l+Gv1uWFr2t7A7KnyeMELFd
OBxVkvT95pynDuQsZ0EqxNDac5kBRcLdEPibQH6w/S+PUKqjSo7uSjJAI4R7XgrkQ1boqlYPaUt5
Lasa/aPmqMXDqxpoqz+mID6H7PalJtMsfegXmwxPWccixtQIh3NessahwZZhchXc2Vau1keUu35/
EEtlHEvNg8jG2b9v0yjEVrZZDicNvs1t8MMLHh2AlEP0uySYZUrDEVA2UJmp7dO1utv4ZeFda9nS
ddzmNlZph5R3gWg0zje1zSK2zz3o7CEQTk3ZFylkApTxls9Lgmu8J24rKCkaRJsf0ZG4G6NIflaM
OV4berAoYuatGhGqaXwfslsz5+bs9ksMCHpmDYmIpru7B5KkQRPC8otyLeT6XWHoiR8GlgI0Mjib
DCIXy3rKj2MSHBokKTn6bc/aV7Ntr9ukTC84NOaba8CU0hnLfOEe3d+3QEOVlQf1d2TMZBmaTzhL
HKjwcqel1CJOTrxKN3NJ6hi9NmDx3ff7v02S4MfiYERvZcvKa9zyVPf1t7Tyu2sLqYWgDsw9bF6O
hfzj4BqQuJXYHU7b9ksr+2MIlOqdHLn/elp9w2jRFXGhr93PpvqlaknlSPIHVR6rByK38nUT1GuP
kPe9B5XjwGfAW7ltuHd7WmUY6n/1CSSerC9XJp/lZz38prY5ysfJ+gQolnn9ZujYDql2JIoPc126
ZbEHhD8mazWBGbPSOCUN0oFpMatn/Ae7pvQH9HKhsVMWzZAG6x5t6FFtrspIho5lLpmN1uNiyFlC
Yn835m54NTVIFMIBr+eR0eMNnU4HlVzQdkjsHXnBzfbeIiASBC5HbGytdDkwEB5AWWVgP8xsJihw
sbdqoBi9T0mtAUsFkpIl+Tn2dISuAUAFGuDNrS7mHpXkNO6LqOk2U1BX38Loly5vfx37+VU3F/Nl
xrDkOKHd7mq9mfbCKKbdrJtUiOToHmY5rbKrvjuWtojWSmSlhFfZrhWRxx8ZNRjVRHmGAvYSBtOu
HsLurEbABItXGz0ZBLCa0roaIwlUw6OLRuwYyAooctvpjBX0vdcLDGpysOPGWJUcEc4HpatXD047
BJf7a3BXoTroZVa+rRVEt1TiHIq0vsD0oQXiwix0aMn0hpmeVHFtY/VhcYo2YmaBUnNl9SAsePjq
OaWWcPv4Ac19flavq1tnXF7+VH1rwmA+YhVEbjn19RFGq3hxZq05Nmzt2AuDXGQj+00k0cFomuaP
PMCM56HZGHGwZfALrRL384D5YqsvlbvpoQeykaWc3pfJW4Zqk6YydxCD6K5VQDh17qf6OwGTey8O
nV+VW/2Y6e6cp4ieLoAdyPKF7pANn0TVizoq6vCzzPVn1vXlLISRbwvLK79rEWQ787VaaiLAIP2s
yInZIxQYDl7pdCdjYPDhOqP8ZIn64tqRv/OCiNrf8ojnLX2kHENgnDXDsMEi0jLuXPuNcWd/HQRl
tbuAUi2RBeDEFl5xbhv+8P+PIJ275v+5E/Usz/V0GpC27rj2/yhN26Hsh6mIg+P9V6WlfJXg8Tx1
Q96dSpRfO9G6yWoqMosNdZ7eLMf9laON/ARVm+30hX2nOs0z/WEUXfrgl6MOeRxplfISjG5SbUMJ
RK306SsXFXhg2QOvmALuc1D+7O9Kb2MCftiMfRddHLZlqgU5GPHT5Az5NaWR9bRYBBpLsoHo/fyF
6Ko2jBj9Yeo5qtK1G6LmyWnvdazBBGeFc9E8tdYIxNaKuhNhnfZ2oOO3SVF+H+AyxZs4NPuL3qFY
pomEUyeaysO9+VwOg7MiiLU8wChNgUbDDSrcEtFwlpZrdYlWel4TQr7Jhuy/wmDppDFwSyZU7BaX
eOIHUtGA0dhsfaYWGQBQ14vIAzRywCaq7otb8cPTxSebKvMwShuVUbr7qqMLMzDWNaxlOZrGCMKX
/BuJKEk26K2yz2hc3pn3Oc+BFn2idm4u6iFws/Z+pJlBu0UCxCeIpVbAoUnGtae549alaw6XVQsQ
vgBoUYPUBeTGyof7tkdvQz6UCP4EhYHspQYo21d5fmTwm9+o4ZqtY8TcqDyrvA7uWB9bM7suWlde
A21u+g2R39B967haF8uA8riJ6+Fimp/SnYH/pdMo6Xo9z7CvpgZkU+zkIuqDE5P/J3X278GxBuLr
6XOVj95SnpPe8FeZZQBz6oR4tbVlwbDrXQ2gNs+LvVjPpqGdlGO3NfdlZ3ePI+1WUm/69GDaMiVc
umgLUAePnnWaHegnlblwHxqSiT3SbD37aZA9WVBGX0TS7U1AAh8+rlOQRMCpTW9AI6J8wvTH6k1b
GdNGi9mXofiD36V0N5Te7RbhPhd+URr6o8anA9ePO7yQJoFmdmyWI8KIUKtBOktjVKEpdZGzKQpx
SWpR3PIKG4SNmNjWAgSBMmXYg8O519uqezCL+jsyG/OtEMv9TNWn6muZeDOwSGr+66DhJ3YS82xC
3vkMfUtschfSA8NC4yE2mERKeVThN97BDWi5a01/ZwbNvq4zPAa1r0r9oGEHqU6n2PrMk95+Bt1z
BcfovvG2tIes1rO9QV45rDl7HVcPyskc2P1vpsfpWzKSJYkpilV4Fv7aH6R2CNwoCSeZ9d1zXK6R
DulGRlGhZnDUvFjIypU1z+MB8e90Uw+d1TSoxiIiBiXCop9git+1GklE9LAas6oHVw5ccy9vWUcY
Ga+xkAYfoWVYhNaiuREkHl8dmiF301RdnrKJm6byTZH4EWx0G02fhQphm1cyD4OmwCNNz7e5T24h
Sp4vAx9uIbeebdG+0nb2PgL2oHMpd3xuk5+6wSlhk5Df47XsU9Rapztze7vfXBFDYmoeN4bdfWOw
aNVfCNrcLJz22TLV17IrJsITOfLlc6UXuMR7IGXQUf/sQ0bl13/frA1JuveN//b9/77BdkrsFbnW
Had+o+Uu7d/Krx+7PHWfWt97L9Om/tag1ZA9dPfAoH8Apur6J8u3mcY2+U+RaObK9zztFlr2cOqA
Km+7qNYuJlSa1cR2cA3FYH4IxiwAf9jNa8XLyeLiYC4A8GHLNYeyaz/D1A5+z+jze/wrP2HqeKs8
YDpCd33Yq8UnnqpfKAByyqGVGyzdb1P/wqyV/goiYlEyK2rpnBOQVk/Bk6jb5FvefmTLOH+3MO4C
Ri+zA/Dnkz1UIHgNqR3QcbflOjIB9fqTC9eRo5ZNh0qYP91msI7/blB1YmwCnSlBMmn6o5mWybGp
2/ZAKI1x82P+X11fcG+yCMpTqMmkyZ5oDcxH4ndw/td2P1/YrDCNr20kXIRNTZgawXyhPXUAvjcW
2c6ABpNJ2Eyyy+qBJiRpR7QFbH3gwa21a9q1hrOHQ++S5qh+ABkwSO7mvDWPuel8ZGa6vb+h3jx6
5PLRMsi04ex3PR1NU0MrUMDJlojQ6hTRTd7cJ7uZx3hoFOaF0QCWMpBbWW8lL4Xwn0PSETexUehP
6qjIF/1ppm7Tst7Eo7KAM21QZiJYBLFyP8/zItm6dtXcf/qfqbTHz6DB32xnQ96sIp++b0CYEL3i
Yf4+DP4FQoxxvQ/cCds4Wa7xK8xGwM1+Pb/w2Wl++zZCymTOmof77WoMUVaUY1weYdP7m0h2Qxgy
ypuH+Ms6WXINN/FCso2l6S8d2Wa7yQOEhGWVzoWRtVtq4u9encVMo2GDOKJ8Juxqes4W6xxHzvgG
NFa0uxF5EmskERoSE+XyXl4SK/cBp9TAg2Zr07Ax/auUK3A2Hqux+Wp0EV1E2BaXQFhQ+hfhv4YZ
YL2gALVvDiiZFjrfG9fK0pMak9fIL5eK0BFN5NXrmOUfsZl1X9pYfmiJjrvfoqzV/qR8WklkRCHs
4F7Yd37xtjSIWut69leiSvMjSr/iwdDjYUPPNf6EarGdcT2/hovGzDGOZCs2/iQ4VdstkzvtLHlq
LO6x13pA5ksOLA2Smhp5AObdVzbi0MgX2nYuzf4UYfV4wqr8x4YC4ynjkKiKx75C0mFNyDYT0+vp
aDXToa6YxTM9DM93+kxmkWLYemLrJ0JfWW6TEhljFBZjVLBQuY5ufNKJ0OmcrnpJYAyKCiyZowen
zjQf1WaiqbGzLB4GmkXCVYXmlunWd+g4o3fcuLNjvCHJngASEw1XRWRFCoftp5p7i7lA12kPA11z
Y7uE/h/yud0b7M7yAHCUBpjw+0cvY2BE+AVtFHdwT6G1sBYZADqb2SzfJ15lpKYkVkPm3FtTw66p
7YabZ1jjgf1qwAa4dx+dafLXohHBOi7NnBoIrb1Z6p/Eu3SS5NXvmq7UDqGBSdPS+3lfVnmAgVB2
ReVp4jNgULtEukhNvJA2gwEEprVpfTRCKrdzoV17sRBQXtGWKa2f+jx7T1VixtfCwfuQyrUPQ/XN
qRf9XFlpw3R36OvT/fqhZensA3qSb3Ec7+jGV9/oPs97rQmWnRVU+s1NkH8oTNusJ8xMvdg43Oeb
E5Lk9jBkQfmsnijT0jm48eSttMXxrxrhXZtEouFYj4qbp0EwLbqOHJgCGEOdB7rkzjUnpNXYn6WB
s0nr6jke9PuZRrPt/kc6qGJVPe/oOo0Yu9ZgAEGPIakCndbMJrkpxXo2uv4RY0x2ckvEybZnepe5
5L/nkZm7wVeQ/WAVXsWDTPCJJ+2xavBL+XVAjFyje1ujHgt0K3y0F496IMcKT1Pcuaoj4sr+HiUG
FtymQAxYkbOcVdr8wL+GIpTl38LB0s7hZB2YTATrhPHkywT7hcny4r+o58IJYCmAKko+HanLeoA7
U67DnmSXcCyRW47lAO09mT+TOOOonaqNkzC8ZYJs4aT7rjVYIxZRlfCG9Pyt9aPHdvCWHw4TtrXw
SWeIhqnmVi/9bXHeQLjoY8DrYaC9V/STJ2IjmQnX7XNf6PC0eNohNvOCodpcDV3c7swWt92chhC/
eyu7zfWcnpneEL46euM3K0q2lrzn/4/vEBb/scJbRfqQf5cg+XqOja9uAA0bxYZ7VQ/YFW0U0XzB
sW2cZ36OmxVOcOPQ1un7anxii96tyAO7DKqWFYSFozZaWmr2NLhCLT+rXh86WLTDKLZI2+DSi+3I
2atPmfq88d8oSQxoDyPGx0NMfMSR+J4KgSnsxQCv0mfWNo8Qa39Mk5heDC3u+TmV8Urk2Lw1lqW4
tiyCpz6jCzMG7wRiKRvU0EHfqQ2PG3ZwRbRxzWYtfWXwyqrJyCn2IdyZuXuO/JEQFIu2Uu1n2pWm
6LomQYZJtA+u9V6LWtoy7XR7ikjcobF0J1dq43sOE/o28FYjInHMbdzn3TZsbOtWtG23jeVRKJ9T
R+o50qXHRyTomzmX8YxStKvku8BZ06N6ThU2UT3yzpmBjHOBiKqRyHvzhzqkCY1wmm6S/tbHzWdq
ABAFfH4DNkZihN2ZZ+Wb7bRxnaTshmJAhpvWshMcs96zlBi8U1cXO6TN+gl/nPFoM95bszq5Pwuy
8khayAmdOSpsZpcvnaSlk2IhKUdh8hGRs/TmGtwu6DDfdXCpsQSHAPgoBBzd3QFaAEPj0zS8GI/d
hAfKCyFVBPLBTUhBXiUdzeMoIWLBTWPmP1VAe5G8NPogD3fEY7Kw4uhGhjoXk5Mz9sY3ejvP5D05
z+GYO4wxWdCrITRQB3FtDm7fYFQF/xCkdP61xtLer+qxMYzyZmVoRvU0/GjHXiBzxmJboTXcj77I
D16GWZ1N5x8j0HZtU9p/Fg4y+Yz8UurBt+r8ZbwkMcV95FAg1MFo3GpEBnyUvOgrL8hL0l4soLxP
TtB7z70/n1OHOPWyyTLiHBZ7kxRa/Ln0Cwkirhei3h+ZEZAEt2qisl0tfVG+4rMtduCNyRKVwfEm
+Kutrt3mKo4vHmH1T004vi1T+MKmCz9GU5fXlprzqo7+PTS9VxyzQVxFnB/vpRvdzfwdAcijy+D/
dyuCnQxM+0FDtwWfRH55kG7NMo/BTOflFfyYu9GFASi2rE4GGvGDrk3TKmbuHAHjjw7VREeBsHft
OwHH67Iykl+D9MtiHS2eE4HUwqXQ2zOFHB60ik1TEXifGpGhd/W17TjO2YwWmEyMH/656K0OH+sC
umMf8Al80PRotygLJLKCyywfiERk1QxqbDVtL7Ogg8ccdc458CaaLlJzEGUeMR6kcD6MIxUblY2c
2AjnqWNnJGIbbZzcGRFF6B6oROyXmOwAcHx7QuDadyOwxTHpelpQssatR5h6/3neSLLfY+a80kPE
s7IoCbkJvT9LqitW8N/FZFf7PA/EvjddwlmW8E7D92KdUFW//qC9RR6skX4UeV4dDWqPbT7pEGJp
o8C+BbDgqzlZZw2/seARA+QyztfEezz41k0r5r8PU/WTxkH/2JiluD8djna9AmGHaq7v+qNq8reE
4KHTC8rtXZDdETNbTvOz0lUmdmDdv8iYt9+EoT/S0y0ZVob6AKVxQqWmbFiVmxjXwDl0UmHGLSi9
TvkI2IMzN9OCYxUt72rqpHBAePSjK3F596GYFBOppx09/2mkZcgI0oTJlUv8ZQHmYV8bCx4/i+hd
jTFJG5AW3tlJve3Rh1+ceGBoOOPohGZ/JswmOONIC+5H6tQKo/JszJC3X0JJWZsLxBSuyPxnCjFr
n9bIbe57cyomc2vTiFxreht8bxxtb45R8Dv26wdQgsM+yKjTlM4kdHGUsHtbdgqwQbn+6GSedpg0
ozzYk8E4Ku/Hx9GBhVeXc/AU6f4efb//qB5AycKfdq2eOX3/9zlsrt35XvMus/Yriup3lNcWi6nH
jKJjw6xOcbET4BrNNPsj7TJJlUfW9viKFFWCXSq/NTSgaOT+11RY94Phvw7klyKbfQgZl9//798X
Eab2zegaLLXJA60f59fS2E9AovsPUfcN+a1pe9EysBdtH6BtdvLi0+izhzHiohKIf2DWadOGCV15
ynUxfGbZIZNXneGn3iHPoYRozgb5efmR5EO16VqnO3Z9VcFrzL9Vmo9TfdCbbde41X4U72aeWh/x
GNsX5YtWpwll3SrsdUprH1dyGg5nx3jJ5clf9I+f7ccihH8b8uF8xnY8YZQjX8IkWlsy5tRDb1bh
KegIaarldA3aqHcuIMJBWXApt8Jpxtk+1XfgTCUOg4cyS7TeTUkX8Y9CmjXDG4XXvBnY8Z3xooX4
ukn7aftRPDNyxfzQQHB0UbrU4dSc0ylvn6ZqZCNMIszKTQfrm4/BWOlRpwGintcXxcXv6/LYScVi
y/STbhjFWYfBLoqBVc91qRGrEb7Gk53/bFzvjwXtfIf3sNgYepAhqyfPsRsIROntUgfuFhHCyOgF
tbyfP2PsKqnsHulO+Nv/cRSR+XN/LlFHtDw3lbG0By62s/r8iaHVgEOToqlOjTDBqVV8d2q/+sGv
2Eey2wMi9jF2Upd7m3Mo+swihtYOD0k68i43jAspO/3r0hnlB2lEK4bY4WvRv5RSPGEzfL0uU2Yj
aEIzEXrPAPIIg6rGazKzr0QIgHlKgU5nL9OQdohT4EzaCT87OkwR7vUugmEpz6yymzd54SfEvTXl
sfSBT9/Hvf/OE7stMYyRx2gsL90Q1zf1HkWGXu3vW9t2QlYXDKfQscff8qCN7Ukd4JkNLjXSwjua
pMkL7ln/gZQsi087oAov6nn0I0dmCe1V3ctS4qwIvrS8jbJd5HOcweTWSS0CdYz0pu1/B226YkVq
f+ZQF9exXrlPAz6NvUDydbQq9GVj0VrrOdXD/TgY+i6zxJ9F163v7eT+Gav870FcWHwSm1u4IAKO
SuY6qvnrFL9HuwveB+I1L11IQol6mmwea9UUWLG8DLmKFObcednq0JseQ1/fVUFNGUqCKkhqPb2I
umPFBpAybODxh2QEtWzrgwHJotz1Zv85DaD9P819sFVtP3v2lnOx6Ns7zizvLUQY/YJUgRxFNS/G
RdS+qDMprk4LH7qCCLPpaRzM4iWofJLqCgN3b2WRCUd3fytilNqLCM6+fFBHnRj41CTGPB4z1WXz
/OEPgsOnxfNiJMw516e5T61wo+D1scPoUaRxeHMLBGKGazD5RUS7HgeI8Z1rEaainFpaDD+5sQPj
WM3avJ5N37uCiFtQbkX0RqXS2My785BX1CUhc3t5X9Jg7m1KOrprE7z7/Q9UX/DLJ7sOKNQkOEAp
3MaKaGUnJLEjclAZ7hPLYQwYzf3vJtFLkq2GB1c33b1IhXH+97DYnVWv6krSqgds1so/yHbrr5NQ
nRqmSA6Bnz000AuRUBbYP8zxrxsslEdm178VFTvP+0tGts+wionj3dKD11cKIqdwcr5FTFOsBAhZ
Y70U5HuQg9s6fNTT5rWw+pceG/8PNl0ymciwSHT12weNoDXopOh4u6EWD62dfjlanzwvANQu5eJg
usW3u2d2N5KawR1SVMnZE5V3nuWZsvp0Vuie8sjBQYDmc1bz29ok3r0rE+dsuwIGZNLlK5rcfrur
Pu8fHCMjiFl1IxOwc9umZqT/zx7UGgbTMlC2WzWMaOgxdFojjt2UDufe7IZzKx/UkXpuwiJ7bmOP
3jOYfzJAH/smECc1s5jkpGLxoxE3itke1OCCV5BqUZj1ul94MalqelAT3HsMr+qu3HD2qkbX06HC
+kUQ57+SXR2pWt53/fScT+3ZDJwj0X3t9X6TMe1kj8AXn2rxU6+CX0viuaxoxsd9GeuWzvmyUAmF
i+X/7EenW1l9bKGQAlzZpUt2QH569JeAHUzvYJTXi+0cieY1cJzsQC6Ivw9hyr3ajfWprhRGvj9E
O6MLCDL90teymtJ0ax0rW2WjJ+RtkTAUxdDKE0MUWz8IXnzmPZA8qn4/+YFxiDO6wIZP+lFg9ul3
Ng+7Geap+vldHiI0s+vpVul068h2tbYakQDf5Hfo8/KrcNPsmZfJJ3R97k9mFLdv1jydLNR+sPxa
sgap3/CrQCgj53N8qcrQOORCLz4d7qqKxIO1rNhx8R97fTR2M7vsZ8uNETwl9vj4t6nNmHoFxuug
/qoozQ0aqN1M7k8NT1g2xwmT2GqlXx1jO9skSQOuMgKsGsImrZlOnJyaNnnCLBm1RzrV2tdSj7+H
Nove59gnNKtBb9cvUp6WdfFR7c2TySSkZtbndZbNpNAkMeuQSI1mI3S93tc1ypxQJqqYPRL8Oq+r
nTUixVMJU7pGvCLDOjauQGfADG4m2m2KliIt+C8e1+7aC+13qBsT2Ju2euXW+qPV/O4p6/VPWxqL
WsIltGiQhheSs9KK/keV+z/K0nJ+JXG379HqfozoMgcoGi/o9KYjCgxrtfiZc7Aoce8VeivLdHuA
jmUGwRGgQERAZDPuhznISO5GR1nXnUACOD6pX6uEUmDvuTAMPd3XYmxe494B620+9i5cayjo8ECl
O7wqQadqYfaQZQupFzaJXspNDow5varTGVTGua/jZs0dItzagV6fFqxL60XKTyKzTPZdaJkb4EfB
WimrnezytwiP0uZqG6X/WAvfeyzist5bUCAQFI3YDa0MypceYD9RqV91TfSYi3WLqbe1Azpiv3Cr
bZ+shsakpBv4SRKe7j95EkDIy9D/nsSe+UMetH13P9BHO/kksB3PSLkzpc586fP8WZ7Z5MWi1k5X
OnlFt4Bb96qt2/CghGGqnFXPNf1Q7ZIh36o3euzK4AYucO2hQ9rf9wi0xN2Hcnh1FmwdhlxP1SYk
MNrmkE4IYCYrMB6zkRTb38KvebsU0a/UhmabO4Q9O0bxFC5heYylXZjRinvtpElYHRkl4QGJ5xnr
rm5aDJmGdbjDK+x+V/s2i7wBgxBfvrEBdpQ+q+fAbnckRvfmMYTcdaPv8pxbg7OuA512ArBIjDki
XeuZPW3x7PSPox9hd/Li4X7UyKM0ENwwu0G8T830kDOxfmNp6w8IV5N9UgCbvr/++OR+EAMvQ6ur
D8eu3CvUZeKmpdUrJ6xvT6elBlOKyCmYNVhfduHhlEHGDFT3hpVS3NRRsmjPUQEZQZ1ZiygP7pSb
9ZeOb3/nMKNgT/qshvyJqM4tic9bXdPw6kugiEZ66c0uO+3aGCheHAM+CDWnv84oQJAO2e1zlxE+
XQpb2qCpGupi/FmA6pUUARuUAkttnfXTphgDNE8ZNw/+fX8OE4JNAmZJ6DVT6YutUC183N8D8GJi
/6/rwErtbua5K9e+/pos8B2SCIbMnX0XVYQ5aQ3TItmMTFJyraMsKUhf56jM++I2ed0hGZNlpQQJ
jDXgl1UikzJUiCfQto2rWnMyZhadHxsXfYYaLtsCqjfQuTEaBds4Ah1Y9m2fUU7Jz4wQwj4ZifbT
lWpxT4MBaDe/KO+1VQXOHfJkSn6GNNNZBsMhzxncAz1L7FW2FfxludBKYbhSLHtTzz2ixxYoaGUP
p8/FP8/eq+xerZlcYLmMNCZSYjVsumP+G2E1K4thCcpe9p5BblU7j6RGutGT9QFrp1gVBt1lxZsg
EtteB1LMHDo8WMIbD38vc4MfAxO3vpJC5q4L2QVMHWfrezHyHcjOe7akh6aNCYqiWnE3baGRfh3X
H3466oRaRdNWTYJbkXD5x4I+hdIRy5ZJ6xrhhWQG+qRUzU0GQu/ebPIjsBxNZB+VRpCAr+Y4Qb0B
9/xZ0+y7VamGv6sNHkq9Ha6svCF7F6lr4dJC+hZkVyVwcTorwM/JjTZMinmPgjVfK6mqaTMrQs1k
0C8m7K6ENvCojvDoz0dp6FoVPtHPYjDf9Dk1r9J4xbA0vtxfr7Z+pek0HFBfW09zgA6fqZ39a+u1
3Z/766aX3xZpshb5wHZAH2lj0JIh3WPcOsInBUhOntiN5IfJHahK5SnOqN19hK73LGCVE2/UW2tT
5K6N3mwvU0lO1V3mOC6zh1ZbBvy1vrYmUO9PWuvVFXBXA/gqplvZE9XHqvPhT8iI0ybpN2kexytW
bvfEa9qRaFFPj8ijtxGAw4f7xNApsBGxIbpEYWQwb6+NSzlo0zmpvpLAfi4CawA4w+5XC8v+G00O
2fOke9UrLWxn1/7pnkkWkEpwQjOyr4oWEGDOdXkfLwEGXCdtXR4wvbQXdRT+L8LOY0luJIuy/zJ7
mEGLxWxC65TMrOQGRjJJaOmAQ3z9HHhUF7urx6oXHRaCXUxmAO7P37v33HoSl3h5b17ei6LpX59m
Qbi+T1xgjsT3f1OQgYuRKaPSidhRu7LrQ48m9zYwstzmdeOxTxFSGgrN/cit8dUuR/2XGbx2da69
5Czw605jeNqb+btVRKw/6h6Io/FiqIuotysQT5nLuSH0rZuvT+E+JixjZXelfXPg+l3oWa57eFqQ
gsjv3t7Fy6cSkN4lmaz2Uv/1jGRq/diH6GvrZxVHNsfu+BoZz2LRP4mxUy/UJ74czJU7V81BK8ti
b1u8tPJaPMCOEQ8xMTpIFZehsmMP2ZObayUB3c24tRu9f2uklm0dI7b2MF7kW0IY0zr2gN2qT7tg
LFd1NIvrXJb9W2pjzs5jnwz01kFKGJhrh4n/OiWN9qrlWNi7MPulR4nzdpd/EjGwMzqTs56U81Yf
igC2Qv9a5pN70dnLd3a+85FPI1wGPqZLotk4Qw1NEjAk7IKDQYn1PJi0ab2ueVCvxKAPhyqCvz0W
338LSbSQwUXSxt/zpclU1xkKFN2s6Vgm7wJ87nuUBUT3GE5ya8MatkA+DOipQsh0UjxnKHVxxln+
d8h763Ycwp9xFuxHE+nCIv0rjIxp11w0F5JiCZ+K7M8qdDCjR61c90sfEoX/vNasxtrWKQBbuy4+
f6cPIkH/dtevJFOFJq+ufGOn5TLZRC7lnzb/K9DFX3j/UwP8xB3D9CTbxHw0HWNHG4qBnF/MD8SJ
4xZq3C/UC9NJ5evVWPlaGd7UepkUDXkxYY/VvAjJgS343SppsUoryQVNbbir6z6DGFuNo7YJBg4J
0ZI8E/bZdPIYG66AHaPiFJtJg+/vhnJe+yYenqzN0EU3BvIfu4CT37ssFybOy/sFf7+wjW2mzwaB
eC7mak5EmJiyAnZr2Y3XzkO7mphpgld8BguDuOkThcTKL6PoMmiNt/HIFt/IrGBAs+w3ItMem6ST
BBoNcJW7uFq2ixpcd9RtFKyumbyHomizV/V+vrxfaCTIlJHhbfMgman8ZXzEUGe/WnX1IoYxAe0c
YX22vXOHollNQpOwYoZaGfe5aFGC21KH6vshqOLGuYDv6Em0KN/8CvrR7weY6//+Un0wVYQEOgU6
yTKEaK6s6UKCtUdJPAFDa//sursD1maZpvT6kA0epjJI1gnqSHbGikaoySW9rPD3ZX501nJALKoW
V7XMDi+eM0u2Qpzgli3indRDGhnLvb9IJw90mspVbEIwzdNQLFkn1hdgkFjBXVNe7ymHf71Un6JT
/fNTcypJSpcx812jo8uRRO99WBe3tgYxQVBZ9A4ZIjvKmlxO9anMS/J4hvNdTY39wjh0Ta/EtpGN
dXfiRwlAIUUdISRLbhphUL9mC8FMn4IXpoGNhGCpyH+3ORw2i5UlzOHgN66zowkE+AzH0VNvLIdy
2mvqFYirg7k0ydQr2nmHgMGFkfYX5YZESB4fm7bAY0xI8tkMZL5Rm5zt0F+NtPFFvc+oDSt8pXtn
E7I4PayyeeL0/2DZSf2eiHE6DfGkr53lZSoY8qee2Nidi9aphKizGpaoKKKwkGWF3Y07iNlG1Pcb
aYTRPg+CFWD2+DtKX4F+iZWkaar20bcNIE+5ra38VmvdbjsAmGRVoJrKrIxYtqYnIRthzrAhBcS+
1OVLjG/zOHqRs4oaYPvF1JcYKCxc7Bm033oKL6xv8YuxBBnZVvls20F88lGIn9Qzcu3x6U0PiKMZ
NC9iGjIcSJtgBbwZkIAfurojKoV/2KvtNmeV4Tx2/oeo8hRgaOGjooo2EdfnuY6Lbt2nXnuxjMLF
8ehX70kz+uSsU7SpKYdWyWIdFZIppkluRpkmYu/HMIgz5AYrg9H0Sp3VkB5LpmgNI26bnUW1Kns/
6Y6cbkO+kBojyRLvpV6qhzBwV95bRm/cca4A9v+8S5xB5DuIZsTG9+63qtZ0avbaPgUVG4vWjdbq
vjOFmZ/fsLI15wxTIHcmysWC4pik4KuedCfXsX8o9KYlZLJqE1Fv7HT8Q+WuctD/5mj06O6X+p8l
TEvDMFzONUr6b3tNeQAEKldZ7/z4Z1ft/8e5ENgA2nWT7BKHI9DfUp5QWGn07eitiPIFV0u1/z0i
TiB641tOH1Vr3QYtvCO2L16HeksThgOtmhuoCcLfZglWUM67OxKyjX1qSztkvDaIGJ9b9ate7Nd3
ysry/l13NqaXluHNqQZ+4W3mOTqLkUJO0oy/DRlVdZG9Vi1XF5Si8RRbuPCYofrb2mNx7gspX8EH
TScnDTgXLp92XfOojc5pxi9/bcx5PHHM2qsTho/zhLGrYj+VSattRlSHa7UHkHeZoHXo10wYAIwG
LO6tmVDhgkPB0NjtPOFDRhxH7iLEvrc75LAJZ3T4ISVj41TuiuakeHJbo33yIjns//kbs/W/m00C
nfdsAwe07pJO8Heivt5WREC4FoG59Ej26A0xR4SpfQ6Dar4mQ2PQCoXvkEYyASemI8abA+OoHGV+
QYeuncqKKLdTI4ynZmkc2TLJb1ndf1evZGlnN80fvpdp+IrCsfoQ+oKOYK3mSda004+q995FOtSP
EaqNM5naFGQlvisE4gm2dPSruenDjEF3MTfjN42c703SRfqpWbI525H+tmbuEED5u1Fm4zGBjrD1
ZPo8hbV30a3hjtkShsdRVQjANQSAPkwFUbgO+hjhm85Rid66DsIhBJMGL7DlLdQxGhxzuAgG4Emm
Q/maSi1Zm8BTjraZlq9G5mS4663uSWputG1lLalWUS1n2CGuDvinFYIrcSs6X381qplC91tItMGz
8pjqKQ6bYTKeF9URg1N0P8qXxd72g0CH+gW9tI4S0mtfkNybu7btk3PtB+mBhAXjIomCPpWG+UKG
TvkIgdC6zlCbF5rYNVT6Y7ustB3KPbJLl22t9dLgbMcxmkVAS+UwhpfUdNsLU5WlUSq0k2kTAJ8Y
TvGo1F3FSDpEZo8ZPaU4WSMUWQ4scXWlfmAZWyDEhZMFqxnnDWFQUcskNDN3vTZrT2UXYHLXx6OJ
mHibSA+GolkwXOllz8DFtcLz4IYZh1t+CxrxetfSHPT9/Zm+CAdLE716gIfzEDRBuy/soFwNXTZd
28L/GpSivepzLsaViw72en8ddOWZgIiNeks9mPc/grMZxv9FTTHbZNyPjRxPaTH9WgZaZ2+u9Cd3
zA7qaymr3tlVUGBW0TBgTY8t86XSOaWMvvP93umBuM4RmsRXvR9lDICIRk9vaz/DOn2L/cb+mDPI
/lkWxUeX4cV1Nro3D4nvp1ajnOpRD6/MalXDT0pWYoi3uenKn6HJpu9PDeIegTEgSOV7q2nNGr8b
ASqN/3XK0uTspCJh3sIzM8GAloTeYV70NYozrtjjfuVFmCEWk1pTB3Jv5u6Hk7jzIVYx2nHvwHtX
AzRc/vVK2k20JjqyWLgOiwPXcICBztDPJIvjAT8ZPLlFdqle2tKVG0m43i1x7A/l8q56cl8HawqO
ul4MWxsR7XasBv2aECOpOmbqwSxDY1vrScD4u/iiCBpTR7r5mH/3ZuoiKz1z1o5f6qlD8Bb0wwrS
O0ulKfSvXu5amznUnbPu0U6uy+LDsfSO6QY97qnt7I0h+0PvWPg/teSHGpkKj5Yr4OSbrjXVo4iy
9UTMCmuMU4BMiCh0a7RP0mu+hG7Y7px09k+9lzYHGjkGNyoTGQZd11Ev6v04mDNyqzQALBUJTJY4
kArRHyvQiS9DS8llBm3cH32S0ZHFpiht21fFSzHcBxkj1v1twiy0+KNNAP4MmXykAEF13HWI/Zdn
UU+cQa913i12u2fbtYYHhQkPffk8VLrE5oScvsBat6cXH5zifITsZ2f+lr85fq09c+b7RNx27ytq
2dheBN3wsp7y70nLikd72XmQFaoJY86eDfC663Ai+ESV3N3A7a9eDkNKBrA6m0fTXK/U8Y+OwYJp
mZkm0GlbRwIn00DL8WCPdX7x++FYEtyCSA/2PVzq+XJTGHyyIqP1XctjRvm8UdMFt6J4Mbqpuapr
y2PUvurtHIlfUW6x0LL/xNHPfIFR6UJoULMW06Y2ieVXmZsIWQgSibhoyXYIbhlBaMpYUePe248O
sE4xO87ZF8NX21+Ltqw+QdhG62LsUf7mhX1IWXvu9ZHVDfkHRUkMgxKFBl8L1rFl1KIeUA3SlyH6
D33WMKz6KtcfurTLHhjxYfZQU6sJcawlAVQvK2fNXO4URc1HpGMgJlP9u4K+qLO4qvqJ3qUJbZli
l4Z1tHGiMtinBaNXzU7wq2m0GogSyf4H8MT+733e98ieJnV+CUYzzCWg89/wRn1tEqmDv/00luP7
pOxO6JLsTZkXuxxECblNkfuCO017ymu50pfxCDYI52Vo9G+J92Smo7fTs1EHzRrat0KmY8jxPEzP
ig+uwGjqmd+kDKTtNtkroZXIkvKjQbWkVFuukx5ETzwtzZLXGZ0KyAnKG/qjwSkLxq/qVdx/DQhD
a0k3Kw8ed9Y9qtggg25R0/xzBQTe6W9oqwCoUxCYPv98V3eCv9ttlxFpQUVtnTTCZrYDOYgoLL54
ok53spcI6wz3V+6k030mjIz6ZlpBDp7TKr9OhjimCcIvJdyjN58+VTHTqOnZ8Z49I4ZY1vWEYojJ
2MoSUItB+x1c5C9PoBJekziIbs9tm7NjBWLbmiL8I7ABshiHvIwr0CY9ULOqbE60ON5K4VdbVVX5
VlYg0PFnPL1tuopiczxLGFvKYo77vUGk63bXucHvSwvpx8gTfK+BehJl+76OkZNlHTESjgnirk+j
NbsDraRswJAXZD1Xp+0j9R8GcU5TO0RY5I4UvDmpeaZBePSIQMfCTXcmrc5610BjcgH5r/wyYcLo
cM7plXESNHr5KuPm1unuEkvkaw/Cz5s9QOgHVwGrbXNXaBU3VZT28I1xUZnpXD4IA0P/MkkdLXBa
EHyctZq1mQJb0oC88KxWxiksYWJZfYeoPcBXV5lxwaALOnDcmd5LZRMHEp1aw273oyER6vsFZRgx
YPXHHHokG5KYsav0ILypZ1GWM7b28CkXFj1EtJXd0dUy/7Fr/JvrFOl76ngXpfBqgJRVk/EFL0b2
dYysdMWWS7q2U3d7C8a2csJ50QUMnAFMKhkhzmr6KYt6mCHZ3D6SzgRnWxPi3bTEZzfbkm0Z8ybK
1dZz/XTFk6DV6hfajAHnib1PJ/i9Spx++eSvP0LeJiVI3ceIM5cvUE2whrm2+Hn4au87AaK2bmiK
H6QbfGtF0L56sUP+b56+JN3grYxkwiceyuxxJgR11U/IAvwqQKzetPphzGkFqDFDkfTxwYOTtr4n
FIWZvjKjwYU2TbO1sHt3lyqdCqz9GX/z5t7ad6JGbnM/vCcDGG3gXHyDLpvX/hn/siAeybUl+CKM
fk6oolpPWu+mDNHa4g/bINi03guNoOBkQTawmux+6wVlopHVDcr9qPSCFaUOnrQygJNAt0GGxMLj
SbDvwaBFtbQX6/qgxuN6MmxFCvRPmQLmfDoFhuY8O3oePWt6e+sNwrJaeCRwt+hYe0Y9rnHSvDax
p53HRfCX6L73dSRhM5BHWab9s1oHSgTWa6+d3ZVjF58ciCtaK0vs8L0zTw5dvBpG0H0Oi9s9dD00
h+Ihzasz5Bd7N9med2dEB2HVH1ILKJRTxQDEwqk5wNZqLjFJIVuPFB3UuNYNcx6Kj8Ztd4yI6OJb
hNkcBogQ60lfkbzLhBp6SlloxY7T9LRtY3iODZZHyqxqvNwjdnXUS8+QNozD2AM15I7/dJLMfpex
KeGSyemqfk/xT84wHGfH2OG3gQli6DwTYg28hIDG2sUdxq+5A2KRKIRph0gpAMPp/kpMzzkKchO2
KW7bTUNP8VDofneO6bevY+zQ63RyTaLa2PQpT4jfC5Bw1mX1U40WNBeL0PKqNiPtMJDzsE8S1Mhe
7n3GffZqQ6t9cx3zYdAinFexYd6/VgOADUZGw73i8oxeBdcDBNd4pRmFuVPO5GCxJ6sHfMfvorHs
SwaIZdXZaXlFSjJszMj2DhTFcjtLLbp7SOQkvjfCtB9qYX0WtAPunv06RNemtfyOY8f/gf0xPHBI
yP7HruX8VyQccYU6hGtP1z3HtPy/5xYiJ6vF3NbzKUrSz6mP6W/q87xWAaVWG+vQxaw/Qt8ItwoR
S98X4akP7WMk0O7iKRcyR4j4pMjCYzWTH5Ub1ywwsm9LS9Ja0jRohINUsh/u+yBtt3mDOSJGlAEa
/fcDXtw3rJKHuy4vCPJxp+jICj1P+mK1da2p2Bo+1nkHjP91YVi8EoZ0lhPBjgAK+Cbw821LOe7M
aQ4AEMfi7KfSeZvhb+pj0nyELSrutALrzLIsV8bQz3tXJHTp+4QptlXGLN2JCdMGIVfRj92dOiEL
CXqkaBFREY31sChFK0PrNzqDrOffz6I8AKfjNcgwYfwrPd4d/K9ely7326I5XOJC/koNb4DkHOLZ
ZhazvKd8Nz2bz+OUmM+102gn8BHBlrGTB2IA1YA/mMnXaACZKepbOnN1qb5DRD9xC42NVJEmL14a
ojGW/17m299KXw+O6m8MK5u5i2+/qbI0GqKTjAIyvYM82ZALPB9YGoLd4hE8giZ3GP2xx00u5L05
KuNt2bf+OWTtvqkPMiNnOhMuzoXKZJik3qyWTF8FLkgyrd1HmjC2ZeSEN7AnqINt+CKOxeq6NLlH
A+YqMgPU+EuDW+cr2MTLy1i4N0h25DwJME1tZmBP0Evn2MxN/VSJ7FHxyaKx1DeWd1VSeVW10Dth
WIVsF+6hZuPfhRSoPkCKnIYEwSlfh6vB/yizr3B49H1k1fleIXR4m/ExVb8EyyWxyB5AmsAULyau
1VaTPzCMSTrB6Bnlw12+kvhEYaJCt1CBHBV/uog0dAvgIbeAzxFrONO7O+jlUSHw1INwSBFUIqUo
kdVRbTCNN9F8Mg2uqPRZLzV5UcddFJniXHnujybuBQD3DBUsgLB1no7BNpdNuLdpU/3BaeOSmJxG
S6N1zqEd1Kdu4StwIApWVqEN+z7Wx8dpUS0mdSX2TbdVIwIxIanTA2fctIjmlCMAwFu1iizXftF7
2Fx2pJXvnEvbvXAqBuooDWmvwBXTNpqk99bZQ7XX+oa0FtRjF6c2kfVzKgLD9r0uw+xqp/1wuu/g
jBrmrZQDMa9TbB7V5qvpTn+8lxfx8FPVRIltrb18yr86AY7ljmlSOhJUWpkJ3W3NemNW6p18EGqv
TqFd/jTqTAaREIABVJbO3YZaszTfgZ6qyFOFH3oQRhamWR4akMNJWuBa9gf2L7LjBMGdC9vDMKuB
8nHZbkWnY5Qfinan0MWjlM7GskP4J8vSFUmPvTfAEK+kbjV5NoFD11AdRue0cHfe8pIF+ECcUnDF
XxOfQyzv99leSRy4Rsd9W5l03Kiwa4otv/6oJr1e4Wf5WfXjtFTevG+SyOXJgt5lb7tbLZysVTDm
h25s8bUi0d4qScgkWnKnOj88JiflKwhp9m3YumiDUitt8kjTP+cuM/d38YBMYva4cT6rX6Lwyy+J
mLqNmPTuTn1WDQez7Mx1Rh7IigbGV/UXKa5bVHU7V0vqp6LJXofZq+5W7zJLXrVm/sDaJHbqT6sS
raxjpPiL7Tsi0PW32sWIH0ISYi4oZzmyLzAtytbyuY9Ppi/0D/RGPgKvmj4gzq5tCzdlg0liIr3F
6h9UoXnXT4586Ue17DBg7tDUZPUpz+twj/qwXd81WAnIRAYWEAfvP4lrAwUgrVPskdQXTJGmihQ+
9C9uKw1C1Lx0Lbz+Cb49hPzFWjJ1RnAdjIZhfvraB2VyVXevWeoWTIp0rVY89UMQXp5igwoONLvT
J1Ixh40/R/ouQyZ/zr2yRzbR6zvZ1qhe4pDLKpcDYJah2nYiGC74mu1LyS67rUcCj1XUWZSZr5Xo
g+/V5L5WGbKN0kF5OJOWcKx8HRMDczXTokPBGSI75oaML3mKfFINm41xRg86sGYIY/z2pxwq58JB
mPH7oQ/TJbi+uRWzXx/LKf1iUuV9H2lOWiYEeUZo9Urg49oERhvtxbJp+mr/lBzytvcOS4RFp7Z0
bxOrSO0a1dt21P1mUxW6fm6c7JdKS3GTltNcTT5rNvwM7Fr7bsY+i2fbWg+kkCj4dtpGy92DIrOs
W3AOMxdIySFt5VvuRW1wFSxw6IT49Fb3gZXv6cEmbY1NmYIYDpdcLVP7QxUoCrxawbs7VxxB/QQd
e+NXzsFzuM/70HoTtv/LjsfioYaOmBmeeVL1iXcZAulfqCnGUzDop4ljEACVfFflDkK4JIPvkWvV
mnlYW+tfAmZSf1j61KEMG941jpO0nkaEx8PYbif+QUOQ2ZvWRoPeDHLbLWdfN66qM8Z2rLhN5a4z
pzLXPfSU1RQ2/BTcVWv6D8R8wxDb2AuSXae9uppjUS78K7p6sZlu/7mrQSjwf3U1HG4C1wXV7QAS
C5Yk5X/r98Q58wb8BmSdC8dd+ROLXaKywVz5wq4sTn3JmKqtrQUvSuynjkjopSFKOGa6wYSh7179
enDwJL9x+XUPDIVebFobDtS1sDbM1zxkJoG9FIm3HacPNTkAoV8N35jTl002fKa9gDQ6N9ah7xdM
WJ6+5tJJruoCQm2GYSHpv8OajC56OXc7aacSEAKgdkA+yHYD4H6uTyNj5tyajeHaDcSwaiH0wYGj
L9VW6LvD0ox26iU443LdzsGrurTuRRrDuMot52tzv9A4v+2AIsHEWYo0r3fyNd4mkziOHPnmmGfG
ivk52JDaJKfMtv37s3h5b7bGaY2OayXHCBkpY+6d0rIRxPMrAfq3v3c4qUo78hiJ9MzKOb5GsU5f
AP0JsYNGQ4+h9XZzR7CU+huR26yUUKYEE7HxjRhmniRKNm7Tb7YO4zEVM+lWPBuSxv3oM5Nm/3/a
ai3oj5s6pEpBPT6gnHS8+9ncyl7u+jebjL8SndwWC1v3ZHdRgihGdDRNPPlnelLM3GPPNgcfmjVu
R0YuPOTGI/+4ppxSgmc/whcVZ1+IhC2+tOMGuCCptzxd9s+YvngQ32TVpe9j2HH0zXWW3aW9AJf8
iwV1Zx3mZAXWEZidLvQ/AJoO69LxxJNmzC1H89A4NXOKwwwYZCdJMp0H7OfqofKJ2fAr86u6Ntop
6a+T5Bfa+i6mfS98KCcolbTd29U/30POfzcGPVqmDkJyDh8sRX9rmRahB70WG/Ip8GN9O+BbFG6p
/1ieWKF5f+KkbfFu9/U3n0QHbIrylpvmfOyj2l7bRpxfnDIktYQQkIZl8JjGIOssR7/49sJXXTpg
U10zu3CDn/cKiDV7qwhEpOZEyD4rQifAtjlO376or0KryYcxk/al9agqUKHif6qnt4EG7ff2X08y
Tb7F+PDXSHgI8l3uKuUgEtm8y71BXNRb6kEt1g3vA5URF8aL0f9Yixz/7+EBgeG7gWfT/fc4r/L8
P9cixkVhTqp8fk7b8U9QeCSMC46plUrXc+7+5XxZmnunrijR52Q3Wq2Biy0wcRNCTGC7Ipmq3LUJ
61kblNoTLE3/2ibaEVZh+GTNQ/hUzqh7iHcDtL+8px4ietFLAsWp1aaZWZwLDR/n47YBVs3a1oJY
HbnquvpB9Va9KX2dl1e15jUsA17A6SjFSueY8JBDk+Rnhi8Xv7OSC8IgZSZXB92wwLygTolZ7ehP
xYT2xiUu4UkGRn9I6rrZA/hdk6ecngkwa27zWNebNgoyaAwdn5FuYqKdUxBm9eDGBAulSNvvkEUc
tVhJnfhJLshFOibpxls8quVRTcLHGaZj72VfZprpTZflx3xu9Hvska/X34RjlIRwIIuqtO6LtYyE
yy7LbsAJ152rrbMYbz0Da23dWSnPMjPatOrZ8qlVeN/9KoZbwdv3P7D8UdsWNuYaqyFz1NwZRtF/
az3Rrsu8xDtH+O3e64ajDZX1sYEbeNcEhEW5qjhjw/gobtgi+s/lyUy22l7T3ZKdsuJ7Rpm5V6M8
rQc1SBIfpAr/6lmQGGlP9Vu3/GWeyFsDZzw5cp3YULsTQTVQy47AbP8IWIPYwoVWNWbW2ZkxJEkU
GHFJLzmKC1JiN0ZqnW19/onKTWyKKvs1jvHRG7QfpdnY6xw0y+h4X+e+KQm56X1cFsE2wvGU18W3
OUHx7ugbzawpYFrzzcRhl6JCXCWkjzqLw1T7ERkGZc+Sslu48SdkXqgJGRZMOQUnbl2NDQ0Js5Xs
ksba22LkvwheaKJRsEefAoUuJUDSJpseoUwEKbPfezas5apze5BI+mmY4HnDLs42Hr6sble7nKCr
Jv8ydMFLwuDgkEVM+HHPOyI961xkS6Of9q5Htmmxsoxm33nyVkfRbioSZ7Fpttts+AIkRN9kfVte
cDJxHVB5ExfL+TMnhZ4VKMyN6bJEKa8yIaJnztYh+BFOM/PEDK9+Dssi2g2zuIiG2OMxqsyj40BO
aIOL11rByq9Sm+2GGabPKL7PyvGkFeWr65r4uDhdb+zBndcLMz7qIdSn5bgBvrMyCjZp0iGPCDn+
aKj9WFvnS405FG7lAVDj52zT1J31r7bxiNIzW5kg2CRUsMITiFimYT913mdfBlzpad8dfIj2abvM
Tb35JQ9S8jhj8qqkYR8Z6yOHjkD5EObRv86Vc5rKhsrENa9GqX0CKAFlFa8mmF0Pethf88I9eymR
o7jDL43kfu4o81eDVvL7Q07U9d050BJzbbRki7L471H1OKuF98i+i9p0hCbrjz6IbO5bvxFXBiYv
zmBu56B4EuUvnXl4aCG9kObHPGXudmzxecXlawCdFrmvJQ52oJN61C39oD6++Hr7PvwVYjEtzzo0
ZUtOu1ETpGz5ufkmwMTTH/uRtFNA00nPd7U/63uKJvmSlsNpSOiLWH3WbY1lH6Mrl5KVRMnoye7L
ZOBOi8OqfuqG7i0oh1tujNHpt5uFQPvqLOZunel5fYuXNX7AHLJvUH1Uxa2URbnp5mLPJxAIwUdZ
XwvLgTY+Q6fs0N2+U6xu8DJuNBTJkmTJkK9s5NdVEDqeAplY/jfJF1heRJlRck79M8zEG2zGdei+
pX2+6qaZRTvnWIE+Rn9Mkq+1hYbbghTdXQREg7j+aVuXAYaRXT7o7kH4hwgolATzU+i7cURNmqzy
CAyMu/eiK8x7O1zlyR9D768buDi2PoIcAg+59TMod7TIUqIMktOk74r2ZLQ40/wQI5GGHP4NsEaw
jvR3RJLfSxaeBz97VuLcvi+NdWOHCL1r7TlAfHwOezp5IVJB34lAiLv52SgXCYl1sfKTPvrtZiZu
5lyO1FODXfyMeifYALiNHwyIFKXx1RpQroH4H1KSR81wWMW4/tbQTYnUtTMkJlGHFc4Mn2UYrmO/
ADWLDvWUyQ/fQTfY++FrK8JiS7fnfTJ0pv4VwTS5/CKHrLnmvYar2ffO3H36MYnxQLbLcGOaKzYJ
3TI2aJsOIR7Ycw95SJ9ZRqZa5MfRhRFQLiEzpF/4pFTsyGapru5kP5g6iY4NGt8++1ERG6w126Az
vnn2RPQIUsdVzkRm18NNmtpjlM32Eb3dtyx478JKhwTR/cCUxLxe5sGj6uc0MXGwPvtwJtdDn6CB
MkV98Gu9QdA2Hlw3iy966P2h2kz0U5FL+YW5hr/loraU5WHOAso3fBnbdDDL56KqcTHNQqelSEyo
20dQpC0EI2AXLQyaLdPgyrNuFmjdHRL/xUrNe+pTVF7Vhnmfk10HK30dteGiBRRGgVs2t7sAVNQA
PHKRkLKQiOEdOyPNM8KmFcr8/n8tAtEfDKMJfLhR7Ayw7LAXRdtABDGKZFxB86JBtuuppZ1nhgfb
8xFFoYYr+3RamwjLtlRROvAbGIhqutYJbdoFhW/vkkVfx1dm3aPEp96IQEY5807ZwEBaxiCjUpRb
yuDmQjWKcQDunTE5lFHS3QUdDA85Bi4vq4x4agv34lZpJ+0BxWxLwpswS3d772X8c9luqOiWKkfB
XB4//+//obw0FlGj7jqB6zsW7db/LDdNqmCX0Nn83Dkc2Kj1xqvvd+4mo4O5Ji0uPt/ncKp2R5J7
ECz3b22nf6CTAWYbTPNuwGJwHYJhk+MLfZF691LOnnZwHJfIQhbSa6+aj0OcfjjC2fSpLN/G2rje
j6tW9WnEz6p4iYeBuRh0qnMA6OMMNyeDFgcpBTBz+FKY0GLrmtSpUQR0M7L+xHSMOXWkVxMpoNpr
N3ITWY71LXZqmgbgGV4t4rN2npYWmwLDH+sSNNFa0LFS5wku5WkTecGPYcZwRXNqfhl1I9lUgh1u
KDbg45p3zVtmuoWXXePett7n6hg3jXfLEykeJxNM6XLqzps0XWfS5/cjy6ds9HQGwr27GZbycwgt
/2bNV9GMe9jV5N0BRQiuDL72UVkSxh40V9VWb/Pmmzb0JG8smUA1u8ougCfLACZu1i5ow2sfddjD
pC9ATSf9eUo4CCtjXt9eaw/RfK5TSKWUsrhymZrHF+VU9Psoe/D6L95oidu9LYr/t7tm6H0exik5
K2eJzwDyuXDksZtdWHqNKLDLjPZznlfbu/ntny8/0/iv0w7CRNML9MC3MRrZanL3b50X8hKGNpKs
/ne4QVKBDQgncF893VgrNsVDUHo4yDz/oS9GubJqLfmsHWr33vuUC7BnbEgKK5x2PKphD60Drrwx
PVSttVVRM4pOoBsWcaGu/ohl62pBnomYPd7MPK0uRtC6G5mSVXDvu/GVo3a3ZmzHXbKOFrd5jZwA
Z7uk86G58/D/CDuv5baxbYt+EaqQwysJZkqisuQXlDsYOWd8/Rl7w9Vut+/tfmEBULBFAjusNeeY
RC0ADslBeF0lPSQCFHai13000whxLxKv9nMtcczooVl1eJUvk2vk46W7Fku6KO93PAyQwAVRXb1b
i3pdfVppDzZMwovkQPTl0vKYYfa2Aqe7j8esvWiD9rZS3o2lby9dQPTI/EUzlW3r4rF2On2C45ui
9nBb8zKZw7iR7yUTTLOduNVpnmFTlS/ul/Wt53curAWTvTXH8ccExuyQdkp7rNLYfgUxfr8MGsY5
2pUd0+Imt2cmfEkvcsS2b5WUGEpwpeNFuDddlb/xsTzaTDAZmMU2jmqyzI4qP5DJwuLFFS/aZJDE
uPIVh5JMTmrG/qD0zbV3CUoksvBs9O7z2sdgPqUlH9Su39YR0tdsCtzvrDJTz5S9/EdsQYjkNzuj
5jCRxIeayzddaf7Efaxd2Aipe7oW7sYzwKtKIlI2qXdr0ZxO7Bd4tQRVBlZzv0LWTWh36PIjoFc9
LLNVQ1KNOHjX2ShmlULBCK+DfCFoGsODaJHKUysGxJQ3WQCphWTfdtJ6vIFCEiBe5LWsBmvWdc6X
DurDSZs08yFwtOZszeTHizO1Cy04thwtukXWOXIWX54GAa7stSiiY8rd/ug8LPXQHWL202sdjQfu
1ieWzdKezTWt50oBFkUU6yQscgYiB7gTeeZL35vahpR6na4iGorVbEJtnIiL8iUpd2VqFH8T0kpd
baiMqAea2iaMQqdIOIXpTdENDQGcYkPSweuwPhZtxzNFK7gFDegjRzn9+7BiCevET5MaKh/DcCil
eKrL5PaPGgqVcVcr1aY9GxT00iiv2bNH4HfEkauY7f1CN9N3UW+/dLWl+2ZGCxcrtv2SddF8WMp4
9jVxSo+luMwj5nS17G22NZH+kHX5nfxRJ5m6bQmaUn+YGTgbxCkh/JKuP48EBn/U/XyTYVqZgEKZ
FlAoVgVQvTzWHNXY7cG1G69ExEyXBWYbqiVH/UQjjth5ia2HZGy0W6OMRJVFlfaZodRHQUP0wjoQ
B249vI+a6AZAs1Aclq2kabbPRlnM/6GfMESGxs9vp2WqhPyqUINNE7/Kz2uEMRIp1NVcnkEW35KI
nZ5rafp7iBQB+5KRPJQLcHRCULJNlFvtsZ16BhfxIgsnYxaCIA3ZCTVOf/+jYjPapGjZVY8GrG/s
UzOaRJZqtrJPkM+c7dx8KpVpucdfvlsnzcjJmxM7N8s8IudbbsB5xkO0KIrfxInx+uNUamDaBdXd
v99YmvlLp4DpyrY9kLUGmZvMWz+/FUaoYmEAXHnWZmn7N+anuU9X2UgzJCOLnuISwOPmjtHnt6Tj
7ajT3A/sHJVrFX+Gafs5zWX4mzgIqy7fNZne+DI4sejY3yk5GW/5ZAjZIEI1mTdTjubE2rd+UoK8
vUxd6j4QIZZswRIqu6EmWNIoqEeovRc+gTysjrWmLseuFzjLglkh04pdaJJuGetIwosJcW7Jv3Ww
ELW/V/3I6txxbbpoeL8ii5ZSiJN0GSHZqNRbF8/y3krlT5kstbjWrUzRdpFSHT7jdB5WuFxrvbdQ
ElCljcapaedsr422cQzVOv5IM0oOSlVdLZG9PMxRf99PyRfYBNPJMGp3j+MZD1pZOwf8dN2TtAh7
01dLMy1044vF2p/AR1JdaBEj3TFYL/fKUwo3OYo19UN36+6oQqbx5tdEo/PMt3GTwr9R2PX3Twqx
pE+sHCa/V1WdIg3y8XUgWtxW2S021TVVCb+GqjJ/0BbrN1ahPZXEWL45lftI8zr/fRpfVMiYSbCw
J7ZsskOVItpKRvw8UBzSUS56VR8/0LxhIJUvLSK3S2JTKB7J+12d8Y0aLTusSgtNBSu5KbP1Kcnt
g+eWxyDqqh2GjuIw2e64tWl50zr8a7Gh1r8BN7NOMnlIoZFaBLmyD8s5vY+j8O9H4zJk25mdENpk
hIOzeGHyU/+j6m974n7/eWhwDEulJYfA1XN5Ln5+HpCQTWyEoOLHjhGfp3LYR/V8H8bjYziTsWkh
PI9yvAMG+DG7K5abnSD8zCvV2uteH3ArKYRCsDCnvb18yqMyVuf1KPrrmvzqxFr1b98XpsXv9Em1
i+OV83XSrXrbiEwIpOd8MFZR3o2K6l7SGNMspISdpEpn1gziQkmZiQVkeii95Whrge7L094YPR95
zh9dg39BMkG6EasnYc/NKvZhJ88pTghYe39kcG4C5JQdpe06KQ4IHKebfGEfR7YldQzMHrSlsIx4
D4EwkwK8AMfT4gNP0xh+uDj1iLgCOaFr2KXTEIYuoEEZweOaY3hKmrJbE3kK0/zUmricHgtA2f8I
y3GpTF8b1XJ2uDpGBXbPdNbbor9Tpu8wNgz6O8/ue+LLyfLTlFaHQpsvPgzL9KRKB5Eeau6GyhzN
zQiFsd7MDp6enj1d2HaP8OM3CZMtm2hjfGZnmW6XNkzW3yfjlHN2Yt9X0ZqIVi1qiABgadNLBNuB
oA2n8h0vI860iPRdm7fBrq8zGuaUJx5ltzfysu/XYNM5m9kIUUqgdrqDBP73lw7WQRd05VleTwCe
MKy56ilaWireocBTCzZOpqsi5zCszqNg49Rd/KTmPf38bItLjHpEFDQXpTCsN48GpwTNZ7FdHknk
JJQPBxI9F8KgJoHNyW2KwsnovihKbHa7RNxD2CEeVDfGmwZC05dOrR+eLWnh0pduueAeDy0clKA4
C5k01j5oZfbWDSqMyMWaboqZzjet8Mada2sV4bnoX3WGFLyofHXpqUa4c3xSZKZZPaT6lVv4ZgO/
Xpbpa+RUVJ9StyMLpjWenKD5lgJOv6LsVf2ppUJkj+1HiaPcZ9507nNV0U+6QphcNLcfLUnI+1ZM
oEbT5vDcs2zvtOl08CL63W3pUuMhyOFe8dT03cRqL/TG6KGmDewRdqplbNxl0MJ900jqT4p/Zyrv
6r7Ic5MlOZ1JO4rbtT0pT1VqnpvJTojpahnNu7HhMUwQxI3152TDgyKsO99HbaudVaVS/SxykJ6G
3XtDY/tQj/RAqaePH2Yb+66ZqF/7Xl18cBPqZe6QtU1GSkFcUNOyEXnpunSfxzy/6niWATrnC+8F
QE6Mbd7WyIq31BP8Aqxj3/nLZYDcr1W053hsbR9TpHeUwn29XJ5x7KCQCLkZ9quOCohoeKb7TEAD
BQnJCpNc37wgZk8nP3Yn+VbBlAKcadppZ7OYOmWCv/PjC3gOph0lBvMBrdaGeJr0gcDVBmeOWn3G
M9ULp6/wXFXN+K5VGA173dsMDbuYgCbko5lS4Bxs/XW2GltgVPtNp7Zo1TUoNDuJpxlgkDIMbu1M
Md7dhqZ7FKjtRfKBsJsDWw3qK6DXcsvyIPYtkW6ECYQEGIjDdMOuadLue9086mjxLg5qiftVPU2I
ImgSEuG/L+01e7m4hoPijNCW9K5UlhyyU0+1H0zLMXRgQI4EPR49Vi7moJMeOoPoSK1H2R4PZtKD
Uocgems566QLk4SzPFNer3yjJqwKKT+JNbla3LLeMYn+aYadrmXqZ8tQJad4q277fRmSzePjq8Sh
PGMXakw7eu6ivHqIam6wimGKxUr3QmGnEuvnrknxN2uteue19m7NNYtGmvxhpJUbM8ovDrKpjezI
ITd1L4aFOCt3IXOHLdnztVHeybgpZKbKJVBpFECbX8mcCol7DzPu0Jw1upmV1bNMZoD2sTVit3xG
2dBvGqsHXypbu1GLNFHvoy9SFGqY3cdo84iVyrNEvddY9VSqJs8hnYfnkXZsL5jvnlEAQ+o9hHws
A5/tEb0GljKUW+V0CR2d58tx7mBmDKRIkIFxaeTGmVr6eyY4P5nA/gCv5kGYFXdLqdTwwfiRuiUk
5k4wdNdpnq50c+9LW+v/SGhCyoPSLvedF/hZqmc3Q+hbY1StKhlDN1ia8baTXhOY1FhESJX6zbAB
n2PFfR9wopFoDJteKdg3OZ45bTPWYn6KtfFuBgN0zVAh73K6xns6Qf1xsnUM7SxjWx66PYXUBdI6
38a4STyDB76PUJo7ua2Ye7u72IpJJJ7Qr8gX7O3ORSP0HBe8AuVuJqKhauutlAVGueYPCBX+JO4i
qxyeMUe5ZSFiWQtt8/OSz0/iZvss87rb1gV5bUqNLb9qBeZepUs9zu+6DvJGqtBq2pkb4PrVVZ6K
h52e4rAdBqN5MDXiwdy8az7lkZY534/ktRHeLtPsF+a04XHADXun2/TWI/F3qw5mKJx8gIfC5kQC
h/sQWzpa6VyvPiW0Ojea8qyP4XS/GvaK3OlhrAFM1PSMSA/XeejH4lblxndJbmU6+Z0xQgmRhXYz
Ji5sEaneeMS125h2/W6cLHhhKGZ9qbUY9EC/WYgrmzk4m1b4h2QFhqo27pJScXbt4pjPoK+Sw3dj
bUJpIu7pUa1i4m5oocNBW9rWZdviFZ9/x2UojCcUOhV2zdR0KE5ZovhX49+8urajnVZDZah3xMU0
dCD/YqSEyBx0Vz9LbwMQqTAOvd9hkSZbdzF6P0OBAVuVXcvcmJ8Dubwfy5JQTB3bw7wY3bEKrXkr
/89pxt6jDblDHeeE33DxCS/L95A36ofJqqhUSFbUtORfosB504WV/G+LfRqODEx4/u2bymwKr2um
6xs4xU7BJvFO8MwNDgizjpHfBVls3kOVNu+1EIs39to9oGnv6o3jbohnk0c+JMwVJeKIeM+qh/q4
BnQ0wqpZOMtvwWymVysdvr/YepYSqsw115gOk8TeePXyexAgQ5XjLJtaks2lsrDsjRsUp93/+zsa
4hH72Zrv66RtNjJMLRzMK9m9TwryhNeiTb7Oaa5/FQehqmv0GAfjJAM+2tJ3KGjfYL3glA+r6UQg
PVZ1Nm8zB6XePq7VstSiVWbbDMVzMwafCGpucPXbEBPgw2IW0bdudn/TlXo8601TEYnD8lkNI2Xv
zi00cHGa5S7LZ3E0mma9ScWC28ib6t4JpsOS5d6dXFmqU6PADHAQ1prGV7kwRJmWn0K37RHWh7RN
bdpvPUaWo5kQkKJagXVvNsUHu9n6ppWJ+gLbz5+SCqdVwIwkQFxeatQX5G/hyY6W/QCn9GLG/XyR
Rz9eirrQ/aCPvv1HKUL/tRThUukwVOFnMcQm7OetV0edlZIN/cdVR0NDdtiqJfHv0RSTBo9Qdbtm
FBNEph/k+hy04Zl1QHhuTbPxSSi0fLPp3mzN6C7FaFxWXSsLt6tSeAVNR+ddfqbyXYxKLgWL9x7Q
KTqhWSE1igjOUz/A4hU6/EkI7yUkOEbfS6imfVeaw1kb4/ihbJVpB38zvtaNTu8ysSHoq/hcMYmM
4qGEbjmhnB7Uy9C6tp9EDVRt2o1bZIHZ2/ejP9capti/PadB9cWK2unF9njCkYCf2qS23uIMLKbI
W0uqaDr15b5YNPVuiY1vMrCqEmdwNb/RATde0wwznRqF1kWPtIsl5KaIgokxEWR7NrzevunA2GdU
Gun5Kk9J64SUEkPW8GIP1RbVVNJrLJGqhvisgeWy9083UjsgpQRmHcTnZrCfkjRNTxZSyB0IeGvv
hk29czMVEtHIBs3QxukaJ8Vj3HXFPe3N5bREDqK4iGYX2gZ6zCGArskw0HEX3SV1p68semtfQ6/l
1211ROAEDk0U1Dx71g4WBLDPHvs+Md0UH8nerNhAoGolW5hnbqwfnBQZf01C12Ljbgv76YueAUxy
clV4m/hAnM86b+v/QKjo6i93reFgIcaDauoIBdnN/HzXNvpoILtCwlhVVQKBcb7A3aV3EVc0YaqK
sB67d0imzl5CPNO5UtUX2ddpSE311yYJGxTnbmAzMwp5ymTDjeHuyV5KxCRxQWJloo4MwRylGPS2
C/KbrWaG8XOT44bXm6zbBxG5aUhnvLvAEUU2tWifnRnKs5uiPWgjy9H2vWhzUB/wrqkx78mSqI/Y
iqjPwCT3jaU0iGdZlve12FcReb8LdMqgNgJidgL3luAFShKlPHKV7Anfyngwg+Em1kuzaapPcr0k
zjpcAE/ynhRn4EMPbmIdZEi0FDKqHXiTjDUUDkawZYijfzgUUjxS+cK+LlUAliVKr19xCYC0cBl2
D2sBCHozz715nOLvnqZm2hKfpu5kkYO3yUSnmx517MXXxqz+kP+xwRxpUnKmI7fdrL0ZO8auDL7U
PXgYA06hHXk3IJZYvSIGX1xv/bXRdESvKu51+VvkaYrtG69GvLyVZAHuRy0H5eC0l9GdEH+rjT5X
myhFbUVFr8yPrardyzUbQ0q3b6egB7DGOm4xdHe/DgJWR3PY0HtKjqk+n2hTam+oNPYSJmSxfpNT
5bpHm5LF3NTzFL1nYXGS4fZxAiOxXsbsPkFNdhwTDbWxMbq3KU+EgZOVajIGH207W7QqcmeL1nNQ
nhePfVdPZqfSYQ0PxUBTd9qzEeTuPrAN1WcrqR6VZLKPSlNGt9BTbECohvuJDkydnFOHZOHPJGvB
LZEzFky9wdIOng+3/YfmuPk5GMOLZDkAKBCc+fGtyM2PjE3dpWxiMNZB4R6tPEug0gzhST6r5VLs
7Xqi+t4ZN4lU63KIsOjhngS05TVk8qIVEmMeop5LmvB4Dc0FjLyI/6lK72O2PNa3ajpeQTWYW9UJ
WWxiJygAdN16jckepFvc5vVxtmHzS8IbGlUqNHnfQKxggbubMSbJX6jq6h+VHSX/0YZwDYaGn2qN
GNex8AHWoVXsmZr4+t96xRRnEcgrcNS1MeDpTdGGd6AX2aE49KaKMGLC8u6NZg6vXYypSw4saRQS
Ihjkz8hKUBn+dR2j8qtqJPGp0nN1Xf95zNSYgYf8LHnXOFqmo5njyaPG9Ex45deWg+2weO5+dWOk
oF6uPNQssLxxU2VL/jQM+NOseU4+RxjhOMygbRiTCH3grNXT79czpzIeLdRL9N6KtwGD4GnsLOg2
4rSgrHLQg+n+RyBSDfTrCDCahbQISQI3bEBvQSOm9RWx5B1e0WGJ6RypQ3ysgnL2Z9JP/VCAlFd8
Mk+DcU80I12EQ5s1zm9jod3Bi13+cDW6Uz8dEOC1XtE4cAwKCbMbK/7Y86dSiCmvitk1RyVEr/8f
ixr7Fz2Aqdvc2KR+OUCS8WP8/BkbgDHbiXCps0JI7Akvq3khc3wrG+exO0HPqnsTQmLWPS2Knfou
FM/1lLKtcg6Ra26UHiVo12LpKYxXTnI4NK85ilOlvVsFIz1pr0Py4Zg9bdHOpFTkRgCxzK5+MtLy
5jILPupGkz/35KVDhklfNIKWFW5KsPCDda/arusHQzS+quxVCBsJxt89Ssce2N7nss+bbaSTebQA
bLyUZhDvl6qfHiwrAvxQtAwX4mhSimrb2AOquNF+W8sQwN1bzKafbZFbwNHn7WT2tMYd1zt5JJH+
qC4FavAOexhmlthDpfMS3gYK0khuHoid5WPWeEwb6VmXJj6vhz9q1QkUq7F9UAL3nC3hcDGF2B1L
evsgj/opOOvGgFamZG/2qYPF0Kkw0A8KjG0/sHjYyGWNXODIllUasDS3MNimdp7tWK8QYIMLcH0J
IWH5Y+Q8akU2rj8pf2j9cSmJ0oNFxABH0X5UorNXgaCdTCV5Ijgo3Afcf36qB326tbq+35RZvpwG
JTsgFRifyZBg1qHTdLU0N4M5v9Xx7FyWKS8o0Kk8EXln3eVFpz41ZskysTJpKyjxDjqsgWC1Ug/E
gk5rvIg0MS9qUO5BPoUbeSpf+hRt4Fodb1LI6nIpPHuztjepXWzBOAAy17vYV0rFfJ5G626cNP1e
Mt9aexBZrO5m1Mb0Ls5BgRCfmN4pJgIjqqz1VKWv2tz9KXu4RePsiD7u/+OZ+rV7C6fOwZahqvQr
LccT3d2/DZsgIjSuqua5HvKrJqqEljEqe6pS/U4+Ir1dKXtFD7+fhmnqR4QSjkbnXAgcAo2gDNHu
r1OCAo6hrYNKyGlcJk5HjKZ4kUeznjjInBhSBmsjLy/W8E0oOFBzwsqPzAA5ppk8VgKkL1/MSQee
EbGjkqdKlSh3/z6sSPPJTzOHaRpim8ScYWr6L54KHEtdq+uBd87IIttVRHLTuy//bKwwoSjROi9I
Vpo9ndL0Ys4O2xZV0/zSciGrz/0980D5p921d3g9rY+oGmY/jovo3nHgexONWp8NAySQ4GsZhj7d
4NpuSW2P7uyBejP4rACKMf6UMLXyg0C68pdiid6YISFAp8RKuIvTjC+P/a50a+3GyncLkpWwr6Y+
6b2TcdOjg/nxommN6Q90m7YQKrOHssn1QwKTdEPNJqMiSeN0EzZMiGbLj4lrc+Ei3TCGGRjK3DzM
ivan9OMRT2segJXrO02Aujw4HYTON54/VxlUkA69mxtQnlSRKvz8k0WdwwmxVATXTlwc8npOfc82
MoNtuF96OaKZCOy3M2jU4MWHrdfjdILBPKx3grwWjfnsF5YR7S17NI///rFr+q+zicVkIlYLaBdg
Of1jxTB2WjbCfPbOq3ZrIkfjCjHsD8c1nTst6jxfSTVzH82zskUG1hBsg9or0rDbWG1NXPkS+gOD
0oFSV7Wz8L++1l78/VQ+O3CN+s335NwQzf1kOjPqZvaWmQr3w1T4JJ0pfqQ9SAyBEArazNA994Za
lV+LDNh8Ftj6Q6so7pVobmiNSOmf8klIz7MwPZFCrb60CNbkqpXyKEuUvpweluCFOm2yrt+xoTcH
sMPAV5EZKEacXmQPoskhepKGF6/ziKcgrl7L8rqVrfGGmC/hHoEY2s94YrfLaGVHQII0JIUTOE+H
+pyn3bcw1OuHAMN0bzn9M7xQvJuaMJeI04EI2yvIgC/rGSbzZyOa3/qFnVlGS+FgLvnwQnB45QPf
MA+2OAWfXx4biqtb+VVdbfB+FVmyqUayqDRyscEcGc6prqbsEDVhwKYgpe9v2AMck6hBT8S73MOU
vhJPCCFHnFadcRwaELDSz1qNMbQbayr3eYS71KZZLpEzLmsIysTzQwz/hkauqOYQoPo0auH0ylB6
kstYSt3hDppIDU5bP/37rSmJIz+NSBZ1Gwq3bCRVBqd/crQMO6dG6BjjBS/tVBbBpY9ml77MXupg
VYfQGjzUG8MRKeRyMCnNcwoC/ep4dK1C0mg3JN+VlBPd9HlR55IppcyIc+6+H5UwTEq3KO4aC2bF
uPTefnWoayk2Cxii2yB2mseu1qOz07fxZjXSjW6OLyVRfFmcpSeTkzeXPuPwUY6qF4T4qVh16CIb
bEqoETiz9pzDUTiFWFv21eu/v0/Wr1Uuy7IMUehCf2ThGBL1hL/NXjW48A7kQX3JI9o/iz52FyXX
9Pyijk6xcQTq1QvicKOWvHdEwHW9XWCP1LRXMmp3Y/O7a9TcvhBLaLD76+jLHHTrwtbmA3cxPAh5
B+t2mHqhP9FDh9/Yl8P86p5lvyeMwjfLxEwd4ZTGzKSX156W8hWXSrSPAsLA1L70Nh4Vr6Z8jFUb
ICV6B1yuchOOhik9TQLYYS5FfWWvugtL2/WBFUUQSSz1HSTaBi2I/am3JYLgLnmDSE931U3hOLf9
o12mWCOi0Xxq2/S+rhLtOLtq7dvCEVmX+yka+qfMbFtaFnpNVGUX7ND1Dpe4W9w79JsAc1vKo5WJ
kUNnTLvo00SVXWz+NCW4S+wyP62b6rgYT3XnFvdOPTbHsBx/swTdT2akyuuZPXxb99T4SOXK8gfM
LgiK9LiOhcaIjM1wu9AHH4AOuWx3johCMWEbRfsiIAetEj1/KX1kU/ZIQRI2KF7EK2GnA5kUlXqT
R4k4KoPqow6V6JSo7SkS2TP06oqb51jw5VqamtADkNTF2m5ikox2pm59o3xLg360HESwkFvWzFkH
4vJuHQGXSpv9lWVS14CF49TaxiHj8RKpfIH66YrcT1UWS9McTL6USDcmqWe9EYNOKcmkkGzOyp75
O5f+ssYTLQEqDkm0HEkgO5JQRTICccMiXFSrtu5INL0T8oEoSTRda4P/56zaGPLIy9IFSShPUmuT
ZdEXN4in/ap9S/JvDvy6w4qBaIoMocag2ftxAuvh5BXxem7/EhvBfF3NBgEB1ZsVNYFu3N7IlXcd
W9au9CKbIJasO5P9dvzxAcehRThqoA/bTGCybNHjnRS1vit40uQlDdjk1hP2APnbEuERqIk/8rWG
xB+t0ls/nQPzNIyzeo5y/ftRmylkTpvG2j9iPOeBSNSOOhkD0FhFD4qXmydpeZAlTHuIPkE6X9k6
9LdmhMPkLuzWaiGcl6dEoR6WOTzJWk9sdaRiGCMyW8x0z/UwvjgD7VFgDscICmb0iBH5c4CPcYRc
uUOVExLpN1RPTfZOYvOzlO8PVUSMTJ2QLdBuwTMHYFWD9jaoI8jeGMnSuoLAh/CHVrK6lRtSXC/K
VbT1ij9k4qY5wKvp3DpeSxI1uX4nAEZv7qS/4fzbp4rTvfakkFCSnULbZTIboQaJUysfPpBRTfeu
AxwIAat6qsKkpDTAACWUlIgB2VXZSfuQIEI9eDWmLlzwM5Y4y8Y0MmrtLhTgtRTDyz5O2osjhfOB
7a+qk9HW4isdXcZL8SKS9/KezjPVQ+2BPyfdZ00S+NaSG9feMxMf4O5RDoBVWffndTALwP0jMyZ4
T3IEJAZz1MH31qX+aJVdsfHQ/x4dbvd9Mg/uhcJzd1XpI++QbSpPo4MOjEiY5kVJYvZGYzsSHRI0
2w4fPanjxnKQNqRBnHa1peGk732JAg3YXyJRNy/ebEX7oBk14ohFMBTJ4exXmvkqsUNWZd1HCqD3
RhfZ9jj/1G1uoGvJ+p4pkwHyLo3iyY/rKLpivNFvGglUK9Z/IMxdYWGuKJPxlR34F3mglMGXQh2M
Rw3ZwUaiz2xC7JY6mc4jFBfewixBnxhTN5Tbq7hgT1qoVB7MgapPBtHsdSk3LfEn6QY5QZJgOGZt
v8nkwV9foglrZe0L+7L+pR6JRY/asT2FYRK+lxokOP4UcCRJdg5qHcorKPWdJJgVAy6zysOlDINI
rmBZPtoX8vIa89Yp7t0s5H/RHJX3zIuVj5g08eW9gtMGPU/iXkUlIcEDjxemna8GICpMIhGO+K5+
GPCqHMZewD1H7b5qR6P+LXEJFJM8uyoZrVtW7pURvZea2/lBMvYyGLvGphsY2/DaTwfezafVSNTP
ob7Ho2M99xlk3yZovxPSSdyON3bdBgcLxenWAhDry2WcfDGxosn51MpoZhFEupX5uHKYlbm5fWpU
O7eZXhsdI6wIqpYvGPVdTO46EQV/XUucNrtb9/SKsCKFuGeHzIrXUFf5buUYy/CW/PUVyVVh66Zf
wjK/E+DZQ4Ex9vtRrN6WJLTPUuSNFjy8KwOMf7xjLWiI5xBKxdbEgn5ea7Mks6ynGBALP1vIhtFQ
nT7Uw5sn9F6BUIPJIwNSzIZ2DXycsn2NhsF8WpiQKWj4LL+jYrtYqG+6aRrQd4Qx50FzDsjpuZff
m2bZuG9sfa9MJIzKVa3twjTXsMq29jJcflyPkBH9uF53KPV4OhEewoy3EyzZgVKne/n/N8WpN6fp
XhaXAwRdu258JJ2ez5lE5C/Jn/Kf0nOjwDhgTYcyL8TVrNLwyw+Kcc1iT91BXBYJRf+FotBkkfCn
xbXt2SqdY8sBVmtZ7j86o0lhmLNZWtklbPv6VbVQqalaGr7Jo9KslfWaPAo9ohTd6Kt8cgF8MW42
rrk+yOiw2ksOKH7D4vy6uoOotydQ6kastOwpDpIKIZNngeil59yIn3UBRJNjkQwc9pBNHmhU06wY
FhBsLs97MC/EjXqqCqS6nHY/wIrUuDQXdTRLrHPEjbgn0a55bWb399AhubuED4Ti+XOKZ3ujW050
H7TR/KRV7Yu8DpSy2CVD3ANp89xX9gfwMLzD3E7T84A29pEgiCep35uh2536WHukLDJs5KYjNhtj
Y7Qx7UIxtKyuoHXBbMQv5lIdw4VWviwgoiDHlJUo9ZFV+H3jaNSER6V/K5pnW1AwG1W3r3EJQYAg
p/13ELyElo2u1RzsVIO6UCf3PwqGcwawTavb1M+RExhNhIpbzYNpr6UEVMslqViJDsUATQgH08Zr
q3oT1J7xXqqxu5+Lftg3UpoYGpC3ScQr6gjVbmE22MF5Gdz53UJYsF3Xf5nqfHGcvryV7oTzvgAc
JmOF4iTGm1/Ez0rc3QxlVAURR9+WRhv9pjbxoTRi472yyhoBDAn0sVfdo7kLRYpLn6j93aq7mWLs
gOo8aEw+Q0ffCvOsHjisv4vKfTBtch5Xwc2/75eMX5wvgh1isIyFHMLG8p9+Ohd8h6JCHr50uTv9
vlRkmREtTkgLR2Y08nnbY7ENQuPN1dz0tYjIMsLR1h6bhhio9dMeS826VqbqA0JiDQm3269aut7y
aL0mvlrIaz9/H+IbGoVKWuzyAmeA9GEk5Hhd03Z4+Pc/1fyluOOwJcRR6PGckMb5z7pmpA7ggg13
uICVdU65M7OSEIl4easi68RrNcR5SsvWnD9ygUtOXePFojV8VctJAYDmnijoJ9C1RGtLzA1p7Szn
fuyfWSV/vxSH5Y3nnocRz+rdDEOKrW8zf2iDMlLxZddcKMYt0Kgqo0mzr+AUx2s9ptVubhoV8YRz
c6Ehj+AMPxhO4eWnxbeZ0MnCLuKXf39DLEGp+mnYc9g+EymD+cmitPDPYU+zbBonszldKqzNFKEa
tpViOxE40wmQufLeeO6Xdhq/yFVd5ybHtMueZi1pHxOr0c5O5X2TG2qjsOLTNDT71PTCux94AnmU
FwmQUa2Ld7Pt2PXOGgzk6jNlr2Zs0Z38JWd29UE9dIvnbOS1ua+XS1Oo5IfUlf7KfTkYr/LwGBYN
qyKvxKsqWhFyTA37+RS3sXGRg2tQzQP10ng5s6G72mIrqS7tM6275D13pnFHLMd/CGzc/+PtdECd
I35xbFqW/yweBkGD1Q9S63lV0ZidGiCZIWusSCFPS9MGRJSPGCLaDZNd5q+hoYDGsuOsjFgTF5fo
OjerREVReYiIwI1oUD1D1qiei75jQLffFfoS18pIz2XTmC6KXUovxLp6vtxRBMVyhihd3IVKj7jY
0TuAItX8wfcHy6S+pwWI116fznIr1QyW5ceflaJQoqy86SOO2qcpLv5H2Hktt41tW/SLUIW4Abwy
R0mkaMnyC0pOyDnj6+/Apk/L7b7V/dBoAKRtiiJ3WGvOMb0LPJPvXYmOkunA2vYZcSZNC85NnlXz
mfT5W3D/6dPAm5YSGjCE/H5Nm8gnD5ZEggBy7WnuiwuUERElPTizsf0H6pvHsvN8Oh9s0GxDA5sy
O4nsrBFrrVTJI5kvgQKMMGFqH/UbGwXbc0b6D+FKndt0Puy75/lKVlX5lfgPte9iejdAO8p2eNZq
zvE+uP7790Yz5vXA3784gtqx5miU56Eu/emBR9fq9AqK2yNPyvcMhNO1a0hVt2N3g1yl3jiEsM/V
ksql4wdx/dUMqeln3fha9823AvsJWwzvQQJqSc9I1y6Oq43iMN+PvTYtJU6q1FWMXfNK9C5jMTV3
r0z0r2WfWljaI+NzemPrnB9tEnkK1Xsm5do/y4P00XtV4vwSwTSNDvAB3AghyzDGP0BudBl+rZSx
KyNgJkp6ifIi/VaA2gA9X52qYGblzJWz1tGR20018+gU0wMt3v1xSg4Vy2uUXibCRF/fj0mN3w55
xa8akZr14UX601EsPRleT7zlYH1tIIauQ6fxoOcoJAyGhsBlkiUb+e1vTeOpFbjYhtD7nqhFgCuZ
Nl/RjuMFD9y9yZdr4nCfguie1gdZY8CLqRwnQ114lmH2K8KUffbRmrLOkkMCIeIaoMhd+mX2kDdE
QtuBGxyRxbHBKwzvNS+Y7ByP35xqi4WvT9USZDK8NTvLDqQ2Eekyf4zlwctC4AOWOKLYY+1gFFsl
N7Za4yPgV4tLHI4PgDGVlyl1xyN2UjjcOnl6mqJGW79F50+QUHCN3OI9nwaC09Dr4p+uVg1UsjH1
1JcmyEgYggB//xQrhMmv5ScjqxxSIGaLt58V5o5R/HWaq9kToav/4WD8Z4CDqwrHNSiNuZZms1D4
ez1VT0OnNR34udXgJrdwTJHmFoguIw1CSWrqX4aGn0xry/g5j8iyLwcGXNCXNGgHx/4ljUfC222G
FPrpXIYTyt4onO7RG/X0SVbnSHykC6ImAXvN/CBN4pjG0VQJVz3eg7uyHrxs7N8UKsnf5Ene3DqY
zldSZ6yln2vRk6EHFp76St9J1cwskcGnX4F+KuoLuC/jP1ql4h9DvquhLqFLZdv8X/w55LMmwIpV
wavPNcKtiuZz1uP/Wg6TGmBnRJl8v85qGn9KS2ATy53+JNrmpUmDFqsZIBI5gPk4hI5NCY1EXgJh
ae+XmrMlWwzUTKhWCw+/3ZNqUCEZ2nn+mM0sFnX6GI7Vq9dnylaJ0Mj7PSnLmuJje1WcTEA8wNtA
IcBjf4+tAdpN92Q+dXRoq7WwfFITM/K2id/8nOZJi5QSvgrhNxZWMnjuraF963RTvShdOvuQI+U9
0Uv4q8SlxvzBoPBcaixavMkIzJ3zO52qANHkNOZCmkeMho/FFKTV1gWn9+9jsa7/Q+RDGR4DJ0s6
HRkIQpC/fz4jCG15Uyn+aTR5eUnUAzK2neQUj4j6hhgVOZLk8Cvv74vi0FCi/AzLJaSixaqlOZSm
+kNeyenTT4pqaRUqxFHmGFMVe/wO2aUSjjhEIWE/PU7QlOTEn5kbnwqdaBHPzN8L5ZyjAKMjMBon
hZrXe4+2i2qO3d46lnBrnC3KKXRU1kEFWbGlHr417pwoy2prckmEdpQCU5fS2gffoJWOklJZjRoC
TGsmyX1Yo/U2od0yJxXqtrOg2sKTvSGEdNb02i4wGNZg7+xRLdUXrODOpokKdSnH7mmYdqlRBpfM
b4HMGMMFwbW+UCXc+V6tBNvGuwmiClHXJzuv34PZzBNNOvO+h+Lf0cmmtKKS4hz68aOH8CNh6Xvt
qfasNRuTXND2yT4XDeENbcgS1moolcXmRceE0tW68YkZdRsPjXmPs0tp7iVpsQyrdoHQs7ja6mge
aCcidp1zM/eaEdZvfeZDhRwj29lhiK8fCythM6mwpY7tAI8iqKVFEmNbpPx1SGr4m/f+QzYaW79k
66dkpbuom8rbSeR15bT7wWNmZJ0QA0GC8WePLR1xXfOugj3hoiEta3HPbVB0YsuNwXUooDn+vgSn
+TTaAInUHufVNLn6kzMce4U3auiD2bPAE2LnevcV41kZEFnn5go20jXhN3WUche5j3UDEGpT7eIp
0FR/NdlAc72029jQkH5awtiTMRe/uzRxCFyx62slsl04gwjjqDV3SWA1z8UQ0eI0+apJj2+T9E+V
NRbLQVWYraH2b4vQmfaaPykPRlaVq7YLn0SGTBqJCW125qiPUTgbWXrgmVXPKkSyja+G7ePHmeNU
V1evHuoMAWZnq+Qn916779rK3JiYyXtR4Z3KiGieI+Tha34XUzw+lpXWfXIQuVpGcrMq817SUmqG
ZQ1s/1pDwlmk2WYOYj/Ucy9N78AuqdjhDtKHkFkYSCsgdXANrI20b8pDB81wXYlKX3zck2dm1ZZH
Kql7DQjaOXLGcdtkiTjeVfj/Pv4Y/5Anu2QbIYZxmWSgRLh/KAYKR9QsySb3CNY7W7M/sp7ZAxsH
IyVRTK7v5D270Rauva+TNr5/m+VXukGNsYtVk77t/DUn0xTdmEP4lu3UzTHES3a3WQ3WJ6dw9Pud
orE/t17dHu7tvNo9+RMicJylynoc4hI732STOUa/RPripUMeLhjB14qPCyc1s91oa+z+/mMsdmf0
09+WxegmLDquRFoKOg7OH0NxPMJRLQz0xpiUL2PWYYXEV7OXO2rNniiha80nHOgmoyWlLHl/0NFx
F9HY7NM8QzTbOB2V0NLZS7eW9G25QTp9ma1cRBcUn+2KcQx2LNUeQRibE1rDYzTa4Qbm3gBIOYg2
8p6fEnAZO/T6bLsG9aBT1crSZ8dL3SvNr13dFsUr7VxxpFpDXy6LiZWYGgFsJs3pGVtAw4NJX9N3
Ug5ZlWZnUpIXweD8DPT+l/ytiggThU1ObRcP9lMXiugBGs6SOkKAmY1b8mA2ebG2LbKsP+7JpySh
to+iCUPa/Fy1UBdYR9uzDEPTYnv4EscAi2QimsxG8zyKKmrPrTBmm64TL0ml9FWtydJsCNNWKwuZ
xdzzkQdKmnR/9PSz6wzqXgfWt+fqS2yYtroK7R9djXEDg4bebQekqQgpAIlZZaWclbA8/PsXRXf+
AQXhs6FqlqHB/kcO9We1oQtpa1RjDBfOg6cooap4V39aVu48GukQ8+ZoJGe61atdwp+PjNQlsbo0
X00+SGYCttCnLfzssExcybM+oWSWU1iKBe070/J+3f94xsdZTJYtvgXMvnTFckRfJ3rkp2amwcVm
21+qv86QOf+6h6XxvTCi6SCb8RMBfr9kQWqTv03UN7fJBA/fsUWxjeYzq7zJRblIMNyH3puesKb7
m3ybcDJqLJB5daAbQG+8451WJQ1slcHC/76dYU/m0P9hBwk5cGX1bfyaNmOx90THIANnlB9cdWGX
WXW+DYLMOE/kbG5zz9HPuT53/1VcpbV3VVg84e1tTLyaBtaIyoO+VuB0qJFpvrVjvO6tHN6DSpbH
WCj11mzdcC3rPVNs1tsEiywSiTn9CzpasK6q+LmV0ZFjSrprPL4qfTE8lpYzXfSw/Cwd8fkQt2sf
A/Euz3NtddfL+BPBgGmKyVrNwqtcCySA/73IT7aeqih4JIGkBK591dlIXvKxe5BRkMKZWD9JHzyu
RZZGMxTb0vF5lkqpbPIwNyBvqOgsPUHf36nWMgNFnuVYwq2EyCe57hVREB5AdpDK1OsnmFvEWTA5
rX6LUR6s95jx5ZgIbIxuquZbXjFVY6PNnljHjQ90Mp1F1fIjk+tBpzUEnMw2DVyUpy8jhCankdJg
v6ByYO3cWoF5SQY1I29SrmWg8cRPv6LxYW2YN7JDQBjU8u6ppumOikAlSqdIbMrwQ7UPcL0fMkwp
d62Nzjdk7ReFs5R0pdoCdAOhQF32qfY2up66sfUIOpPRAmMB8HtBU7jSnRZ4hIZm0CuLN1ZVxVlV
En7vpY+HXrXek1r7JGNmBE6hpdG0+l7MbqBQNbtNFobRSiHb7fmPsyxl0tIGlaK98dTNUsaWX8AB
8OC7MqFdjEycsI4WAsOdlY2xM9IBdbAoeZpFpZ597ribbP3FMLxr3OTWJ7tIkKSlibUrA97MwUcE
PL1lAVUWCb3KLGRIIzP6biKgF7yvt+/Gvj6H6EbJAv4mh8RCt18QxnTX+44Zw4OyE/ZCeh7cIUuP
cQF5OMhyuq/ZmYj2+lNLYKoUUbhVQsYJebnzy2cJ65/lKy/ZWBObhLU7mOdjeYj+OhP9hohn5XT/
qaQiQR5IZZm2hl38EKlbEWmgiuU46f6wUJUmP99PIcodMsEUEAA7WwW66rc4x54sV61WXdxQYpeM
hVw/63GAU5lZR+7+RXRRyjBeyljRAK4wuhteXpGaT1FaONd/H7ipav19WserxpBt24bqmiSjsc36
+w6LrXwWlq2iH++bBF9FRi3anP1H4gbNg+kLitoU7NZpA4nIBKKCKwGRoJHVYC5TftudT1lHgzKO
n4x9k2jK+GTbU3z6SwvZDu34kJdmvxcOomndrvMLNH1AaUDXjuSIt0u5bm7m9X+DUWbVojRbZ1TH
zkXbraQuqEWiRjDc2krAyJI0/BTPOYEVPLaVk/b1kalNXbPQJxoOfvBi8i1/L7dGDvuPnW+lE/b9
/OLHtv4NIMDHCXRHom7yGFhNRFPWbWyMb51mvURFg94my6pNWeTWi0hjmxyDzNmPeihe5tzyhTLS
dVVLD15Yo1mH2HNIYQm09NPoOd+BqSPbrAmlUu2k2fq+3Z3zcs4XwlYlrJBggcRottKJ2EQudo/K
a7ZSLloaxjv+2nzXpOUP2E64GlI3T1cBQdxxgfnH1Ctx+jjkiRmS98DO7OOePGu08bFGKbgyMOBt
cgedkWxL69SbtiTBOUtyssyVmNTmtTSclxj/ww+PoAeDNczB76n2Wia8wNl8HE1BuahFoD4naU1d
2Wb3p1j6Z4Ocl6ofwq9AeKnx1KZ7AhOS7oXbiaM/RwHXATuqKiqI7psAgmlkZsqSVl2bjCrzpWwl
+zURK2k2CVZ67Q8Y896PBEm81TXf2wCGVtk0b70Hm8GZCUry4M1nmZmjsR41BJ2apS4qFsp7WmLR
laD6+Epq0bIoquhJ3qLJni9Lqecli+MdAujwgszoJ7iP5Gcilmncmz9h3X6ZsALuiBQw7hhUbBTD
GYcoepd63Csz6TrrumCZjPz0unB01BfFnkRWplHIWSv5A4VKom11I4dGOFfwnHgq/yMh4B8MMr7A
Bo1tVVj8bPTAjD/2KFTkmkaJA/tIerrY3q1Io9LN0A51WitjRHepDQP6s6KLn6i7+cA2DOR6LEtu
97auaww/ItUMdxB/fKi+pXrDBXeLIVN6CuXKeqjRLdfDRhb4ZE2P1X6E5zn8UiWkeX6I8GxifQgf
CxfB1FarWlIlOioz+zi201uZk/KERqY/ymkMqB3s9KCe1lWqfss730bfYiXA0wnCdqRgSSRIrdmg
wwEvcvupEvTQEkjwAk2EvCOGyX7SxhInduYePm5Fofo6pmJY+hk6nZR8xOLh/t2o9BOLpQOxcnvq
PDkZINPvbS0FGNUd+si+hYF7HpiHJH+smFXsHqyarX+994xLK3hLC7c6BSZRCPLQ6nhGpkGQkCz8
cp3OH3zppZn6uUVuqP1zJPCI83WDxVYXPr3tUF81FhTJshKsstr4c5B4P2gYKu8jIecgc1A2DdNP
xWcImU9G7ih93jykc5vNncusFsbltNYKCOJUYOMciNJdn6CK9hEdXHzK0S+fEnxAh0ylH/7XLWvC
ZmwI49Ll+JSgiLcPFf7Oh0yQgNoyRn31UKqWmFXd9iRF+qUZOo8jyyvVCqiGmpHh7SiUouzR3u8U
0naKwx2SZryRM8vSdktsByGhpktf0611FWGrYHgdpq4HGpKkUO1045VFWfcf5W0263PQyG+7VuTZ
rsm+hPanyn/Gn7tWA9GG37NoOGNz3ABWiNi1hiTF9VVx6OaDvPw4yHsO0KflmBKh5Y+ozciRKPKD
lvmsNRCc/37TbP38QIwhSEN5+tvz5bU8lLn12Fr9uJF/z8f9yTYycg4JkFx+PDJV9f/+xftflrUi
Yn0AU07nU4tWvbgfmjAoD35jgPuWN8k1Kw/yprwkRBbMPMhltKHZIRynjGSw/50N4MaXetkUy497
8ikYE/nXP579xx/+41I+T977+Gt86t/bmt1Mr4jyoJTjr8Ng1WCtdZNFLSE/h8GyMFZ2lR0v5Gla
4u5fJEqZHe6nvz2hUSJzq3rRtkXiyHs1P8kiZGFa43TjHdReMWXsU6GfXNwsSy9wfvBxQD7XmdYK
Myj5G3uzSh6tsJpVtt1jAoVv0UCuHx0oM4U1btPCXlnhzXKgbWXhY6ozjdRRi5LSD09q3P0g/mEX
Zi7uEPRxuA7XpvCOdeOkmzFXwFHAGSIVoW+WSg1rJB5vnh2jM7LrldFYBsiwDJySue5KSvAqm7ky
m9ZweKBUjLm1cKbwbcSNHufYx9C9JcX04gxzEDFi/2WRas950ry6gUJ/JtDFWi/1leEHp0Ep7ZWT
U4HPq+hUayMpa18xsocbwlbWidl9zZrsC9u6YhElrHgAh/STeyCN5VK7HWswH4U5/H21Y/gZ/C+F
H4TrOVfLVbt44XWdtqBwd0sz7eKJo9la+WqsPCyOe/dVWBQcA68813m391yy4JwlATOsIPIftquD
AGQVyPcibPQbBoMF0Itb5dCyZsmUrbqe+TjXTgWpjovB0I+RtlRC5YeJvdOgFLjq0uBTllz0uWNh
7SDAn9r0OTbz6sAS5RmdE+V6n6Fssn6IcrzmiUPgov9kEixiq0G0tKmAej4ISRCDS9MkYU7VF65H
hZO3VUEfDVhvGQUCiW3d7/vEIGpkTkcpKSOY3dUMpnKRT0T/IT0EnhCWp8xXl27FooLy3C6ymQ29
6ksDBn6lpsSttCiUKw227OTtCOsLFmwyyOLQWOmXin3qXOshrtwnvpcqn0xbwycEKYsCPkKjjq1D
o+FJIOv93c4wDJb5UzuQ8+UPrD+S5KvpRWJlkeWZgikGXXRIHeKC24BwCNIjKBuV3ybULkzxVy8K
n/FLrmltXXDyDJhCbjQ3v5uF9mhW73rs7uL4qNLGwdElXhwbdWtW7luzt5eJa2aLSdde7FxdpUFX
b1KjeAHv9rWbpmlhGpA+fes5FbewR98Kn2dZdfnG6NpwyfeaFNkaB7tBcERVp8MyisN92KFftcMf
aX+z+FjDYnkT2O/W5eg/V9ZwjTLmjVJ/yyLlSWlYj/bqGyZZErUa3QFUTXKk140vpI+XC7WeMPmG
+bLOdKJFbHzsrvmWZwaZBamxGonSSgxxoCWbrcoifKB7RcG6eYPg2y1axD4RL7EawwVxgz8ypfpu
Dm4LeXCsp+XoFv0ug81nF/4wsevOCkjLXn5w/GmnDMq47eukPCDLKA4jpI9k8XHtdvTA867dyLFJ
HuTYKMcnefbxgBwv5SXrQm32HBAQOw+Jclz0NYchUY6D8qY8yLEQDxSqQXn922kEWdJLVWMXCncc
aRTkXXaQh8DtBR/lxCZWz3SRGmtpdtDmKUeeyef8efnXU+6PzpfyLL3/DQ1JkrT005V8+R8/SJaS
7Tfr/7KDPNznhY+bLINIR5UP4dvgp5Dvy8dT5WVjduEiHXx/DfKT98CY/3UHr/59rpBnH/fkpc1L
QDr913Pkw/c//fH0NrO+mqi610XN5vAo5hm7J8Hh16mchCF9BXRfUMz2UOl3VgVKUk5pwRQSpb6k
Iu0x/BNbrygMacG8Hgi6MW0YE/nr5LXfxK8B/eLFQB7qwqxp8IA9MS+aWnRoF3El6OixVlK8GOc5
RSBZ6SMJylmgpmidcmKzqxLG6dvNwk1DRrrRZ/irmmJXTYzprAQGvOP1RLrB2C39AouxV/ba1R2v
bAwsGHDcyYLUYDRJYvTH3BPlF9XJqwcrdBdkn2Hln03eclkbEhO/IIAGqNq8HhxtJPVqbe/ZOQGa
dSxHbJWAcHTokdOq833c132SHAyTNAlZcwubElcZYPO97FakHdkc6MSfhTXah8nxcYbN2x6aHWEz
fEogn3zyh2VANA6tuUX+Kfc1NguIcdgTJL80JlJtIg/ynqvliDfmt6s0agacCR22PUs/rfngi9oE
QgezDi4Bhq9dWQBySlPRPSeW6h3c1sB+VaDKXDqhdiwDsChDZCRnc4x+mopOrhG80wvTA5FSaliv
eZfid2ZHGzLeV8WO6pUzDSOWBbd9LCYESzhbFkYWu7e0rdWHwnSf5ZWqpOFzj39CXt0PeC2oULkX
1e7dmxNH78CuxCkC226N1i1xHcLoaiCl5IcAHvdTePueMjdSuUSYD4UkrqylvKTRT3GqzcIFIs8N
TZSUzDajueBY3phdkxLhRQUdm4Z5lX+bcKo3MLbWWf5TUyC+V0GAXWAMLqSY8sst5u1ANh9yJaSc
ayU+xdbuiz/U1vt8MiW29T4M9ZdcFOJ94gTN+PBGNuoiSo0Ws0IoHsvI9R5wcxgLGSVtmtOvB+r5
AbM1dk2uHBphY07JPEHhiIJqO5erJcgAa9dxNNTmKY+e+tCKX8IiSJ/0CXLLjGftxszYj6oSzXil
RTsN3aMkr9rOMME3RcKuk+/2JO91emEfQuG9yKt2Bmdrfn7Ly+5B00LlwnLDvkLeOOC+yq5hWe8A
U8Jc6wL90A3l6ZefiVt25oy7PmAFMVAEgKAwvGKZL6nZTf0jIXQq0Mog39vM8Icoa09lEkf4IVQC
h3RzQhszeetEZO5zOn9UzdKyQTBYN9edGm3VBJpYTDa/NY9F24OwylRlNEkCXgkxDL4DoVBeup0V
PPQtPQloOufAI1m71CCoBm2jJsRVaa9m3daL2nOVbd8kzlOepVR24q56n4yQ9Whu+pfWttQT5kc8
tfMDhRYe0xZniG1m2Y5+BHngxP4GEY1JXWn94xghrFLwhN3wPfN5T9me9bV1yxpbu41AF3mkTt2M
0mzeLvHDP2osSR+aWLS3wtWbZa/Y8V7aed2o9XAiEsg1DrBKUj3zV7pFfk2SzHkI88Fz3RAPOhP0
fB9ibLDMM3Ehw0CcB4J97jia3CujBSshbFtTJc4CHu1ysPnq3fmig0N+iaxPT4T/9uRbsfEeho0b
Z/FmYGw+ywO6hbfKLt1tTc7s/Za8X0cZpiC/A7uObKAhN4nCCOu9agH9iU2r6L6ok9bssIwpYO6V
RjuH/avkqEAH2de1g93ZDYJljwXh3A3ddK0t96bUhnhLxOiuaNf7BzUIxtcWMRDDp/3WqHWz5fMI
ttVvrrnrEo84NMWz7ihEe+VZt3cq2zzcvXo+bOLdHV9q+haVUBu9YJMN21rLyvPHmaG2v9+zkh4V
XVNrYmvV5KsbBYFYaQOqQCaga7l3bkQ8Paoh8CuSHzDqIdxb5FWbLubEjNUf6oAPnUCOnnVlpDNQ
yS3xc84R6/ecdatozo4xbWQIe+cTJN+HwmBFSSA5UuzsFnpxt64azzzDChr3TMTqbnIM5QHJjbVC
HL/Ie3PaU0Hpbk5FkE0dx+gZ50t8vzFREw7Zwq3W3dyYBvMdJ+l643h/X63IgXGWiEtRi/Kh7LBt
yPc7ID1wmareeE6NUL96Qc3ald9DJEptSS10KabAOpGV1R/zMKlBDRMuZCrkUUAkLI6Gi8x1Ghxo
wqoDzQVDRDzjdqchLN+Er7dLtDDdXi0TrB5husHhF37Oqr5c0DorH0Q3+i8Ne5wCes1n9C7lERgx
xZO2KK+KMr0PU3KVYF7X0899NpWfp05XVqJhaxPXrOKj2oGS72bfTFH32ypz+rPEzcnL0Mp/ylvy
MGG62d3dxlGNtY4X6l3IoFHyJLmE84UxYpC3QnGRD7khQ2PgOuNWzcgyiYX+rXDC4ZTnwnruY1BC
afncGwEXPyITCJ7tJe4pint66zQ+9N4vb2bcCHaW+Zm0oPxqpMIsvzpOW+x9WBlCmMZPl5xg3HfD
N4WdFtpHt2YfmH9tlD5Cb4koPex/oCxDZVzm7W20hpiZ3LSP48QHl+SdJeDm0jpYafzYK1GxL9OX
QM0Bp7R9UK4ySV1PaIRCzmJvFFnZ+BTqeQxTm9SzqkNCa9MaCxVjrWrJuLP7onyL3QpvYlG+DkO/
q62IPW6gf0cWED85eVk8Vc6TLC/fKf2TrgjamJba/oi92Lv5UygWCqyry8Tdo98aX1ty+laypUnE
gbKsWCQdJCW6mjDUE8cZF2Nw6GdOqTSpDcYUPkbawkqHBPWAFa8D3e5uozPpq9pOCfUjK+gWxgN2
takZEZfyaF/V5hqVKWsnFHNLxRny96YCtT1X5wWOaHLDBvUWQQbEOixqTLdj/OhnDQgkxdkIMyxe
u6RtVhq2+L05X7pR+g6fe3iM41Z9CIT7FkEAMI2gOvuzzEx2UOZbtlZVJF4Bo78L2w3FpUlAheD0
kasc1JR30Li845fbDP2TCOhaTUIYTzCTydrpszetoeX+cb803HZFjdpd3jn1XmZdpCxN8aHJmfr0
ZpcdbjYV3p3ni2YfddhDx0T1vo75T/Cl9ueZ7Cf1HMbA9wpwgLWSlwmztG4G2W+hsGk7AWSNxnE9
9hV1X+TDS+oZ+nbAH8Nmlc/12FP5SYWwTszX+WvKnDuqVXLT6ftsipLIgSRtxzX7AuOE+n/k2xxU
G59ewS2yQ3RulMotvdCgEBfZjUD1jiSLwNnVvZveKg2onmLMpPmh2VSakr5WBrQCKLvqFVZXf8hz
tVvTy0xelErZS/iANU3+iTikfiGb46lunFADhAtbxkXlRTHzHxKCWrUJ3W6Kutkf0HEH89k03/s4
8/sarc1fz6PEQfkx2v3xhFyQMjMMGaHvpnasbQzMupr+/2yfXPlCsVk9hijkl6VquOzOO1aB/JZ5
G4u8Q9I2vsOeCc+yARAhn1qX3aBu5OVgUP0VSVvurag3H+WB8eZdBXT62y2Nwt2jU66M+Un2wHzr
wwzYIvZJl52GzUQzlPoKZKm5zsGDkeLvA1dxl7VvVAcb5z8OjEp/EFWWr4VX2Fh6/GAZer14K7Xh
RhNY/emCeXDVR3zy8aWL3OopV7Sz3L78dWVYwPNog9gb36SQoOs0A5BNEyxq2/AAIm3c8OsMnmNX
C3HSWQu5K5I7pWIAgiifIe/JZ2Q1+3OFdCybsNW93DMUqn/S2QM/yT2DbgCPGIoG9u+844hDvvOT
Yk87+WhSDdGmpCcBVjept1mP0Yni59R88cUI0a9SNRZ4mvJSF5XYFqaJC2m+TJOsWok5SVItGuds
kRqzoD+0w7+avYETD9b8GtpTjivxrLo9S4POdb+YlbPMReiwFWKypkk8kGLY5Fc3TSkzK3SeWOBo
yARm/nTthd/dOtyZY5hvLI+lQB6i+uN1GVe+aco6JrUWlpiNnQDK9i6iYvTAvXzdAqBeK2HkQpPI
lLMdl4+V3077UevQMbmkra/CwAHXPT/aJD/xB+f8CCNsYidDwOHRsiI+mR5MEpbU+1p3eMgmt9rw
3WQT0pDMxvC/mbpiPNJ9+XUwDB/3YBYZA7Js6zFEnnj03cAhpqA/3UED8jKLm9NkjKuu9LVlzep5
ibUKH7nZ6Pb5fqokDzQgF20VNidoscGwAL+Tn+WBxU5+rqekX9mtpS5DwFBjYCqPUsNHaUtbW1Mc
rKWuz2gQFYjZe1pNlXnpMiiuU6N/8lPDvIyzpE17p5+PnSC2jxL+KfkPTW23m04Prgpr7EepsFTN
6JrW4G0myoYPZuy99KpykY+XsyBz4Nnu/OwoQKbTt9ZNKOfaVNQXU5mmBzamCQuzCUO/2VlATc3X
NjfznTEjbyeRWv1K0zvtkMjVpt5kj0lSr9X5CwlRlAXuABLNbisaL/M9CJIY+DFZtIn3PTVb+1yJ
pFiEtI9XyN7xSKul8XLXIoSKvzEDk5xy0ihGHFhsFKN1QpZk6bnqBRdVgskSkO7sMQ2zqTmQjfrm
T/onBXq7n49fTMoHG1oF6Ua+FvkKkEMs0qRoEMpqxtHOmx+66ylrVI/V3dCcFuOvy6D6EqtFdlEz
c7z49VH+eXkoy558GdlFdlJ3pZMGqhG9MxBD4pDGK2nlUvaVIW7fB3X+Obf85rHnK8UkBXGcFO9k
0G5OYfcXxSpJ+GQRuCztCmk0t5BPaLeaWOcFtU1IbDDbF0WuKtuqrykPkpJOFAsqzXXi1FdM7SkO
wzI9WdbonFt0WWjoqvK9zLKl4hO449AEXbS1BQ89DfVNlrMjh09MyUuPwb8bHbaNanyiMXtOaZf/
dkCc0K0zXIvLrGweGWni7387oSCQ3O/0M/NU9bsdmghUT6VBUPJc/WF3BU6rVJRdlHThKc/Kn2L+
wspDC+DzKESzUeX3Vd5rDGd8KCriyLVcedRsM1pLoLTotfHJp+xx9Kz6cr/Vxdn+TjG/9zuT7L6/
7UjZ1s1jgLzss8nMFBjj5yaAB8iGH4kQ689NFyTldgiDjg1AmB0lzTulp9SimcM/XY6UxhRrR8Rt
t86HUCwzJYGvMVluSFgRtLyIujO8jwSrhm2GX02iiXOn998MffRRqczxkMDId4UFrlY6DtS4cvby
shyz/KHW2RnMDdIpRddmN+ROSpzgxz0saufWiC+mkx+lpeseXNtW6NftSKf1FB1puVLEm2kOlTPO
Xx8buoMaDcEGd8u3UOqO4nYY97J56+KVf7CVYSPxe/LWlKlMoAH5YZEFdSfG/nhsm7C5DsX41VGs
/n4VY6japKgkVl6BudlENnLQi6lYIDengxtX3f8xd17NbWNp3v8qU32PWeTw1vZcAMwUKSpLvkFJ
loycMz79+zuQZ+z29k7v3m2VrSJIkAQBnHOe8A+HRZPXJ7E+hmN5O+GMcfle5Bwrwnslxrm4skHB
z0LVQPxZjG6oDcC6tudjE/W7T9NCvA4NNGmcYlU1UoeVCpFZEgQvKWYg13hAA9kA2s+0sAP0gSW8
mFnCrvoApJEfl60+zeJrrHk20m1vt/MroozqKp1CRC7rOL7t8Wl0lxeKJmldreyBV+ltT7rV1uuF
arbIUv5wAHdmjQSVrHwD8Ks6dka9G1Bte8kb5D2FPvAkydhKOlJ/FfV1em66weWk0Egw6ZbouG9/
Pvrx3FACG28nEyUGK7zFCQWf4LkMrtBVS47wJYpt0wbShb4+VGzgS4dSrsH3WJJXdOX0RbVifx13
gMeU2oluwlTfIYmRgH6JrYtZzNJJLUCS5hV62lmh3hXylLu2DhRoqcCZS5wmZw6NFCOXdrNeXemy
rzxHSWQRG2fFidQCdgX8UcCSSClnTtTe273FSmlE/Qe8FlZi4NyG1qxmzLiPUaV8//Njs7K6/sDK
IU2AiBCngH9dvaI59nV5YPfBTw8qKGgJ1SKlxTgNZbtWwHlz9GEYdYF9/1nx0ToHpRYqAJuhT2Rc
Xo1s/zn2jSgPzhToUEavi2ENj7c8Q0g9LVKctJEQl8jq60WKE3sgCXzM8JiqIEQWfGQ5BM66ltTu
cxHIxWaIVMfGTE+gu9MXRauhdBZAM9pgN2Wz/8U2pdmdqWwZumxdAgkCR6Ia+V4Niv66k2zU+5o0
IiGHAB9IWu5OooS6PJICfXwhJUWeVjzKTTAqoobkoQuFIKCT414Eu8ZbJKXNrkRxYB6qY2uPSNnf
IGE73Dr9ZH6KEEZhWbpJryoo8crJqfZJH2Unu+2UiuC0dwLfLbQy3S/E2bABUmjU810n19cUKykn
KgZSkzpY23UX29JNoHrLnkknbkhVuc4gT+4/3S4+h2cGpybssI5ZxMg1ScFVNvVdZ45teBjETHLr
9FcYQAb4KIntrJXadSqRWo1B/v3lMrDuIXH2ew0nqutFgAbxsn4ur1EyntaR5Fv7RPJXNAvN96Ay
SGTmmUplF1IbY3AtjPG5GpxNOpA0LeICdqbB0RV8JexSvCxiNVLVGVUgS6hXpT72zKpOwuwQ/Q7t
/F50o36N+We4lwYFR5mZRbBtGKpz5UxrQ+rG9bIexkoUnsCCBSfFMCiPNMipd4bugnGKXzWfCitK
e8G1nOrDAXDVF6Io1WvkMD0Pk+1v/uxRkao/v1q8hnonuZ/y8WM1RIeQnuxCEimgp6DsN7cnNUut
85IU0sN8kLUovU6jmtEqHBYihd7l3KXqdRvZ0Z5COLR0pL4vRdC92bV6G1hRAtMEu/vlUY5WjFfS
4j7NfXtaOGWDFXH6smn+5JQtBYDlOVWiBRV9rQTBEFJac8SOLXS1rGfyiVFXmh2z2c5hPe91NUgv
1AE6r6mIStpZSrAI8ykjSV4vKkm61Bp3Yzo63wt4u2W5W4BCNYngzm5LQJNCDa7Uq/70iQ1P0SXx
RiP6xjeO28XSx1aVcieXmrIfhGueHpmZp9eNDD+ECdNdnpTBPUz+cMhaOPPLt9f1hJqbhjtiLmpc
aYcYRdma9II4quVPCFKT2a/bV1IrXbWVbe6AvqFgEafVs/nJvtbjO+CryFiwRpyodTQ7I4D8iLgl
zTOQq1spqs27SkY8qh/6HMGhrN51PSLEBhrQV0S9/WNvDK7cUTrzswenAPKYSLwbva8MvxbdvKMN
gQOCdm9Hgfk+A8clEczfDEWfvAzdWmCbs+pKBetkXmjV0/IIV5z6aeiZL6VYwxyg7iFDinXW4b3n
Hh06eyFjK01jnD4RWdxNNsrUWbtKG4iUiOa6se8oLwP24hsfZaWNMqnrT726qg1NNBS1Wy2n0zFW
QB0lVbKeUfE8mFJZY9yufbWjKnhAmMva2FUi7Tszyi+dpZZeB9D7qzW4QTnpG03DXpp+0eCiLdw+
L48GFYmJdsrPS6hjJMi4tFSKgFYn2VVrojZt8ZHgt1LYJCYqaQW+bkc5mW/lzpI2kZ52j5VsXpea
I+2NGXq1bqDNNtkh3RodLQJI9bB+qnif1gAuJBv9Uqpv9UuHrNzC5x8zYyPBo9otTyvGnz49dBfg
7v5NLhf3fVpHt4nsttSnoEfKKggCk6KSCfVmnKXwxunjmNIZtoOwXqTHWtGldUZIuV02oWrEXt9V
/dEIciEbH146H5Vc+nvmewoCIwEc9qpjWuRRi06ue7tqD3kzaJsYk/D7H/uq2FWxWBevTqrSbKZW
exyFZXxu+M2GupK6yjkf9Btp+jion+KGg5mhgzfSGlwaRlSt9V1oI5xilOaN4yz6H4tVX/XZGZkx
HKzz/vxdt1kFSKiEIQRH/AeZ/ap6PWbYAVL4FNJczkTWOFhOeZR0iSKtEEF3Brs/BhNrZgUO57As
xLVWN9x+4C0wSyZ2lcwviVHdFpLtPPh6CAmnHqxdqgYl/TTan6MxQtGdRzirk9JdKG1Ac/yndPSM
4N2+i3E+WJ4zDAP5xgQaSjhOQj8ooc8Tx9SAEowkX8KwvKIgMd6VA6ggKI+gmds0fElztVx1JHgH
JyzMZ+vixEZ6yDtSIDlTh1tEujzJlPLec0h0FZjIN5Bn6JmpLebMGG9cNaKDiwyDClYGQweriL8t
IibLn+VUGw67TjIwyyWnwOHgS6WpEuGDepiSTDr8tGoJp70Yl0DXwP5vR++rv6e43G4J24H2iM1I
dIcj1f62bAUjTg6jPp6bTAtWtWJa689RX2lVdVCz5ksMV381ZWCiwLVbWDOBqfU9azT0iyHQtMuf
1jQeSsuMjj+eyvCuFKLViSYn7zXzuvDKy2doxg1CoOt2DEiXIlgpTmaUm1YRI6FMbbpEmuhri1RH
MjP12DXdi52woI/pPJyWJLGx/QDLBKk/LSJihHvfX/2x37ILcvjD5y7LC4HpoGmlVdbZ1qjL2H03
bpbYBf5TcpMDhFi2ihJHjO++SEh9b2PjaSzalm56UXnzFNffojq7TCUt77gsSM2tWn5qMcLzZmU0
76YxNVBhKZuLncczKFLMZFPI/Ts7zLLvy9jYysm6ECWWVWlNp8Yw+8NoZQACTOGBYkwKCB0VG09h
iZdJU7mhLM68YWR3tY/jWKaqACTG/E5NJk9qDILLgei9xQTaq0NLXS98EOrMmvcZBw+zf6NXCdB2
UR1RLbx1kesOPj/JQlj+c9NHn/euqxPP+ddTyxuWPX68PwhzplcHioCTYylGhz/bcr88xEWGfcDy
nIpZ7LYRhuQg0cNbYu6HChGxl4oW/npokWWQUqckRQO5NQ4rA43+VynhbPqOheidD/C/xcF2V9SW
doduLmAfMzG/ln19bPQgfB5xZMPTKE6PUNu3vWkPW1NF7XVGgv3TdMyWu02TOtJzCFFgHUEb2ZhZ
BnmN5alzF2DNAg0J/M5GbFB7KYaxuWnM4bAcWdXEcAibxD8UqtI+RRLBtzhiBwwIHcq436WSlTWr
1P2sKMQHAFr9XaDJqIW1+s0ifw5gD27BAO0o5GZwdQgt38scXYl4H6vRbrnEgdiMen1bUJNZG0Kb
ty1oWych8uNia/mDXQUGvKVUbD5TGIDYvWunSvlkGdNKp5GDgeDMAl1RCcg142NhuGtJqNGHtj/k
IZyOhja9LaXMPy1qLq8YoXVWasvjpItmM0NcE38QIyTwQ/F9eerHXEByszI7pURcmOlBbv0Eaxz8
uPwhtrdRoMh7HAb8c8WtvQq0ZnhG+QXHnW+6NkiPWjX2B71IZm/ZrKSs3HS6rW6WTQK20gO6YezA
cjcQxSxUP31c6wSaJ8R/1zWUWHBAOiqHSXmP2uQIiVVtbhXYfCer3hatAwJIzsNDPdbGHdQ7dZcM
Tuv5U+hfBdbwuBDKEj2aYDAG5i40EC7xIrGtayU8FDuY3HyaYFCm9Sdf/wdpP/OHn57XVemkGVEI
wAuIRtGjfJPZ+uMPhAZdhfSfAA5860uwGguwY9kjqmyEATCpX1VOT/MoiRq4wxo6E46EprzZyIdI
OLdIKBlc2g7jQri731ILNlShdMUDENPOc1iEPh8tz7VxswcfWgKOrKgLoeO1nfl9B1OnoB406bTu
DVu5R/OldRMMi7+q2DIvigOdpV1bpTS+gBKcPSmxMBdWc82LdRzHQHmB7BO2kWaJnng0GPVRkQfj
sZkcV984i5KanmQp4Egz2i4VIM3GdjVQjZXTzyFiC4SJzBUTTpNyiTHn5COAUsyH5bnlT+PjAuBD
J5H0eqPlVMBTxUQaKCHIO/ttjC+jNl7CIJ88OwjHgzbpXye0/e5aSPYHup7aOlDIt1BBjbmkbgQJ
Z8vSaTB/YPOH6RW92GW7a4dsE0iVti1JHM5ZghqTpQLN64tg3i6bP16I4GsJH52v8FAmDHGn/LIE
oMufsgOJrBKRpdj6LuE+BvTBqR678lgqmhcI9elBC7qrAeHSZctpWQbTuENxTqx4QeXv9cihnbrc
h6ghUQ6GWCK1GMajxgWd9EeKuTyyu5y6l4q28rIZAjRvpcw/1IAr8EdprpbC8md1ecASJUK11A1A
oHlOUkVvtD+u8sTKHynppbskHpqtYeAt80n1acN+VwNEZO1RqPZpTlvtsnb0z6mVff/TZEmKNJmM
7SwN1mbT9FjNhFF/O9BoWf3Zo6JCP0SKRmVHM7XMcIp10Hqr8gcKFaLOHYVgZzC/ssHy8CDWMFR3
FfnSjAGN38C09pOQf0rH4SlUO6AWYsvKgZZEM1UTsTVa6ofT9dMmiir9Ci10+VPJabKsL/D3ylut
DrCkpG0Bnp96y2eOXmWWv1HavgdQWUrWoVZUd4lsUyPcowE+3iVgxTcaFMCdpST2U+M03iLAlYnn
FfE8ko9YK+rn5YT3mtmsSswwV0s9PzSpCH/vfFRmBcGTk1jp/ls9Sub387ycXfyUtXUu1y1SRuO3
wFbV6wGrj72tEtsvC7LG5frcrGLTX0NcUbcKVbg1dgbpdgmSls10TBDndybNK2O/f9aHnkJWTeAi
JCtTMLNXgSlZl6YHzlTRe3ntO+3daHXt1mg07SDlnJzlDYYisvjoIWtydCjqdDM4VbVPqBk+4JV4
Xff2/Go5Hd320onPJW3Xa9ucMcA1aHFHVp+dc2xshszU3sUDSa8+H0zimUGPTshk6e8TD9AqMmiK
Ji9hp7SegoLx0ViwB0l4Ailq3cwQTu/jCQc90XOvfN+6ytFmdDWxl5plVEJLeh3Lm6JwbIlv+wzD
67HfdlzWvZnq4b619fKEBkVFYbAvb8ysTVcD9b2HPid1BALjfymQpZ6wbfnWkp2UIIwQNpeenNIC
qKU78zEOxunSyTgB51nfvyV1fe3Eqv0wSqm/1bGC3Kag3g20Bh8MQ75Gzqi4UXs5e0iQfe4p6DwF
dRScTWQdPzf7+Lzwdf/j6/j/gg/ERdMpwG75H//J9teixAEvCNtfNv9xX2T8+0/xnn/t88d3/OMU
fa0xePjW/tu9th/F+TX7aH7d6Q+fzLd/P7rVa/v6h411Thtguuk+6un2o+nSdjkKfofY83/64t8+
lk+5n8qP33/7WnR5Kz4NiYf8t+8v7d9//81A7vM/fv7476+J4//9N09EoR/Nr2/4eG3a33/T9b9T
fzVUSwNvjajJ8LE8q/1dVRFbcQwL9TPdFH6peYF9xO+/sfj+XaMWgH+XRQPUUIQUSlN0n6+pf9dV
oSaMQKCjYiZj//bPw/rD1ftxNf9Gcnsporxtfv9N1X/RzVCI6GwDUIoMnFpzNFNokP1kaNHTcSpM
iVTACPFl6WsJIl9M7lHDTyzWuAKeFVZpRAlMZBTVGNuGOWFp9l+csL8AUmzcEbNIdzaTNwPbrFTG
MqVPnftZzLWzEWxQFGhWyvSVsjl0ZTSBvHAWeVECMEhOduE8HHsMP3C4B18dhPxJp8dIo2kW+TM5
bj7dVMis67L9ZuqgYqvOaIAZWb1nJRwYQKu3RO5iN9LZu0SEMoCHFSZ8DyZFAqw43/mOcWp1bKQm
aFfLs6Nq7cU7e0RcnFBdAxNraGIJVhZqa2j2ZbkduUXGR45q43j07cn9k3GjxoDGqBJIqDRbAq65
Zr05OEh4u4o69h6ukG9tDsnHqq5HH9ZRVOWbcZzOQuDepHoqdpjTqkXrZTrbStuul98ymo290ufk
1IxK5i0/SNXgDTfTy2zzuaNtgLE2UMZD9u5dfMjy6Vnaf0AYWOUYP+DrSMIo9S0FxokDj5mOigwX
4yB9M61Kc/PKTN0Ej3lEcu6tzPTaqMPFEzM9T47DN2cu3x0zvqvC6I12PVK90MtWo9G16w6xrJgW
ygbZmH1jD9e0Btb6GLzRs45dU63tVV3JFjzFlEWnbla5xIJoY1yB/yRKv1gamj5UoUH8SgjQXtzp
KKGJgyJFei4HBX+R2rnvYuBKYWl5c98VK83noki0f0fwVG4Sz8axUuzpJMW8jzy8XYMQPlggXjxz
07UazZ1mhVa+RrmQe7lp0rflK6ohuB5qYGniNtHb7sqWQyFcuhJfKXV0UxVzDVyzgR2ucB0TE/qe
tc3M1vHCNH6bODlVs4qpqxaOdshiH5nAYN5YEyYNSgXoTdwnjVxQ5pdMkhbjCUKPG/mc2Mw20P+H
xCruRfEqxh5o9gLFLgPe9PlOFC8DytMTVX3CBE5Y55SnIOBqMcjsVY42IjD85L7Xz0nZogvSU8WT
urJxMUR6M1vQAwOdc922D0i7M5QpGNPtJFGO2+fUnLnHnGpVjih35fK0JrfZLB+8nG691r6lA2XJ
+copObFJxihYjgtIbuw2U34t69fL0UoFQxnIxeg6ymbZxS9ait7wFlq/uTf6sf0L0adf2LPMTgYV
X+T/VMu0ZctS/zg70UGrCHcrwyWrQBY0M/eqQdo2SPb98v0/TdrfZ8efZ8NfhFc/vw1XVMU2FYSc
7V/mQnggzEHEWq4yMXIHxg3ep4lqeW0JU66wT1Jv3Yub5t9/7S/CVv/la8XrP03BYzI1jSo8Vnrb
2nPO3yKfzL5ltP/F2VwsSX8iI39+k4UInmnwX/71B0IpI0Bvc8NVNWai3odhHzGw8e4qsApGP4Am
2czodxgGg66fs6D3ND25zwNn/+9/s/KLstlyKKYCGJI+iW0a8i+qAUPZ1IGi02qJfGffA6zU4+rg
9Ezb4ngw+IUaU+VXihJ8w5+lT8i5Av1JHF3mRzvQPGbJTe4042Mmw6r9i6P7Rcz7vxzdL3fCmADh
G2XuuyypdPRHrhOaLHQOuP+r2Nh3LHAoDmluXE5IFY/FX32/9mcHYOk2FlMonqm28cvpcWar1GRh
p2I35r6pG83tkzZ2x2ZipRTDNBazCxfzPapniLLOVePY7400MGXFTDU0HSAW5No3LbdhFYtbGGSt
0jJFxXeGqd4rrQ0gXlBRpxILeVTmU40VOyE69kbppZmjCo7LfCU3+lFjpczFMiFW+diMvKErr1Ej
PANB1nBdZ5puBo4uqzraDwV5t3nOLaz3IguGE73RLqRNFAXDZVlSFAc9ClkMMbHUKLEd8vaXArse
F7yexmGD7m8guwedfq3nTb5yHN8Ts+ggzoF40CWvrV5/icRPjcVih1DuGfuZDbWrVzqty9JRlx8k
+LdZ2m37iB60JRarZOzvZ4O+pW7eV+OHUMpy8WKB4+H46ykrNsnQ7mXdXMeZdI4ZHnKQrhEJfZwM
ZtZl6ZmtZN5MM5tUfvlE4+jI5ldq9Wdf555YvkbcxEtEJQXELAGQbqQboaBwJi1x44bi1A+GfW86
VKdYhp2m37VMLZ/hjdGzhqpPQ21QGuD3LmvJMrdHDl+JcAPvDlyJ0NH7fBdriFndLfv9+7GgKmKS
/WXWYJAyEdsIkJvKr3rUNmrM82hQBF0iwa7HCbLRgpsZXwa3THpGrFZ5ZcAhlbKNwk78Zg3WDby+
50qsXOJURPP84TfSFiHMz5Atb7qLjqvBBOpkh7Jd79Uml34Z+zhGys+NgVWhg5CU3/WubznSGtmo
9TRF4PbF3NBypls5O+u8VRKnXbxVBJ60j48y7eICwqIRKecgYUEtIq5wriMKEcN75Kr2WfpGbxiT
pSxCaZQB1VbcW+SWXxx5XE9QS8QuqTjb4pM7MDcuQr8XmQhoZPlZIsa6Yq2MKB25WcNNGPT2TZan
z1nPrYwzVLMqUvkWJ4kjU2DkLTf3NJrrMgyfh3GjhUiTi7vZFtOeFFRfJEG/V3B8qlFGEfe6UX4M
ujm7Bh27QbZvl5hkdBLNrczbVGWc4HXIz3Oc+0k27mVxSUSUUWvcnWm2MupNoRp4rPP1DouXZcT8
0r5cAYu50gOxyiE+tl0Go6oFb2K2GLBrdsz2ZuBIaLETc0xcWmn4ioI1t5wY8mXNaekG5PvxBF42
ypipJevH+7wOD8szgMFoH9Rbu1KOfSnVALvUNzHrKCi/IUQXviVO8D7iQxnJ0qs2P0e2c5fnDDj2
Aa2Tbw2p9cyp2QsxMImWnls4mIHlAh0ODSMD3s131j3CQ7MTXqPG5eqpNHtLFAOT3fKM8bk1mBGX
YYqKGx0Goq9SoRTUBmiFVTG0diavRMxtiS7+tKGL7AZy4WJ6Hamfu2GLIhQECKnTGaTsHYg0oaEM
7Nl1vw5k5cPUJK4MyzXMn/tlZEcazn3F/NGGYE/A3rnkoG9tx6Vy0vixrrW7GsRWWnBXmhC8qyIj
JGYjGx4h9r2CBWlWy3nAejWfktMS0PYxU6pfo1NgxpQgcIhH840ypLhHlzH/v8ry/9sU/v9gdi6y
2v8+O9+n4WvzN+91yl7/kNOLd32m6JLl/N1SVUdDaxXVRk1R/5WnS7YiEm5V1hWgXI5lGsSo3xN1
hXcZZPCyZtm6YpHM/ytP5yXVVPFytbEeNmWD7/pfpOnGL1k65QEUL4lKZV2lJKD/qiJjkoJA36nB
nMnTkZLCKseSxo2aDiuVKby2BthtxZDReU8vtdJ+saf4gEVj7hVFLq+ritTNoYFP0ITbnDLP18Gs
D2RIwxUQRW1tKmENtrYLPLlMgd0Bi7fpENd2fNZ6bjHVGQ9I5ORkT40HzvDUIBwiOyagXNweSKU6
5Gok53EmI1rTO8fUxjRCTx0UHTGNSOQ5ZIctXdqNqeIKZjTtgzHoLXEdU1nsY4xjtBeEm/dzc+E6
3atWtupU05OsaZvzNWlc/0UA+kvQLc6oo6rUQ6iy2IqqiDP+U9CN80AJ/8WWN0YZr8pUW4117cFa
3/x0p/1JSmH+yZVzVAddIIo/qqEtIflP30OdImPhl+RN39HvAzSTIWU8v8ZZJy6QNwz+ySaBbVsr
86whfqaT4FZGdGIKWAedtS9QkkDzrt+AtPlobYK9Gt0o0MFX8qw557KEIBHZOo1taTXqSBxNufQF
capHooWVX5Q3lppv8L9EeIY5yKUdt+2xkdLm/tnX6ls/zbdxSPXcjnRq4036rupF6s1N94GsXrah
+dZRJwi3io2iV9KD75xU6Vru8BqV6bTixD7TVALcXVXQhw3NU2cYMJZ831I39VqlR825EC5KX8fE
AFvu79EkNN2hy4TIOCzGPfyd8C/iZ67kH2MWLi8KCprJlbUseHG/ysGqhmQOkm5rG0UL4ZUm83ZC
IUTLrdeoM56HcODUA0W/8aPIp7Az36QztWlEV/0eF/FR7m9923hVpWCtqNmL5mNR0UsRRNIqedB6
Huih+arKw06SrbtpuDhM7QgobNIi3TY5UMHkLOPCXnfZBk2oO2lUn2hl6K6FIEjYmy9BOG801Mhc
C1WCjTZD6Cw19TUz0KAekcwCfZ+niE/3ZgwkJ4EBkdt3AdCRcXZeOE46kQmMl/RZOBy1I7DpMj+m
Xb9Hcexs6XK+dmRtO6O2btJkZCHjN8ECGZp+XSgcflaBGSxngqxYyV3ZBrYAOJLatCKmjGgLkHCF
k8y2E4rScw1fLcWLswGNDjWhwl5opHmTToS1wpjScwJrOyVNCzV6RttK2P9WCla94cQEZVnrILNW
SkZBQr0LkbKVE3+d58W2ddrHpLwpy3lXsogZ+Mn2efnYxdYNZw7IOTdKmRz6AMp5QMXJ7yGIjCs9
QKyzJyAtpl1lSl/moLlKnQcZJUa5etEA+cCBN+MrEzcpGUZ2nu1DbVgLa88udlygXGfgBUFzB0Lq
nPXvyRztMv2kzsPe6Cq8WelH6G6fvwVIb1rED/qpHCVkkyzqLObGgj0mVyzbxY0S3wQY5/jy1pQ+
HCv27DhaJyJvNL+lcrCVDeeoAZ/Wko641dw5ZnKnSe2x6MstLtG3cKPRRM23Kqo3EyFbpD+YaF2g
krsKgxOdAA8uFCgeakfkTAOaxaWRbToGZppJ7mjqKylFLHLWaLsGh6409npApy1ELioj8urWaQYU
FWTiLBXcEf56AJBb5rnHirevpQxgT7WOVHUHwWRrFE9+SLsqhx44214kd8dIh2rYvjZSBSITFDg2
v5gNUs61V/GQPikmrXihT93jnioXntSqmzFpPNxqPWWEjEXjcgI4ZGaH2qzvujB3VR1puvSMOyVe
NkJRHJ2PhLhnWyCYVSbfHOjmKsZvnNUU2VIKdTbw/ijZREyMvcH9BnuqwbMu4m7SoFmB/ZcD11L2
MYJLFlNc1+6nlrDcZlJzdhL7xh2aGdlB5tmO/m/kM0oQiujF9LX3McItKmftPwagHtKrdHpDK3R6
k6ZjzyHNe+ryblAdweTAtgPePh9nHzdhJXJn1MdxgBgjpL7aXeKMrsLDvgXebCIDANpd2Unsa3JU
tbPLOMDQYdnWtpr4Uj5s0LYRS2nJs+yQ8BVY4rmzehlyCQmAJwPEmjL6J+HaQAUZGMqzNk0e0rae
ZdeHwS8/UB8rZ3OVRyzcEXE6ii2B+pqG7TocHnBhpsx6UP2UqdiV5YcGh5WydVw5OqGBvAnI3HCX
Xc2IxIcFA0EifL70Etqn+j5ub2YQKw2MOqvjAwqokjpXLdppuCTqqFHZvnJ2FPJBZ0BMpS4eB+Nd
M85oe6qAEZ8dBkKYP1ZkcNN47KYbNG4kaoRNRxduuJ+ndTW/+2gvVI+1A0huJIhAWtG+aU2099X4
ImsXRdnNYbOHV7dr0KGrUFKJSgMGwrMVOMdmCNcR9BwmB83Oj04wEKM7ELmvnflrSC/VsJ/KYtjZ
lenG3Dx6ou0SCWxXObVu2+W7sueCzS+TDs2vordwP1pIBJPn0Fekg4wlFRJUZgx/mck7nF6SYP4S
Jk++/w5hCHzHPpy+GtLX0n8oqLIPX1FaQBUE43p8HK2x2EaILQfMsDEmGmUDg+JKqbgpmQrhZK1E
4bzPRRnjQG91q/pf0DHZVcAjHZZNtbq046Oi5at4vPW1b8VoRW5F6csCiNh0qNhsyR69iIzSSsZt
D7hcivRV6jv4bt6gbLeOenVlp3eoIR8Vg3hiyHZh/qGnpHRvavCsZm+olAFTB3FMsbnMKGXX3Tb2
JapN8a7npq58BskYru2YBSRf+92XKApWoQ3t2IAQhhBWO8NfQB+4xDzVhPAeBJ6pPiKWl0lPkqFn
WD4h1Ekv1ML5yTb2RfDaGoUHd2FlK9axso5OZbtEv8jp54/BtK/KD5VzC53QNc27mQvVOVeDfAzT
veZD0m+fjLx2K6vaKPVFquyHgV5Q5HO+iSfykjlGKNvUdr3r5wLUNoneFKKRFhZerlcI/T73xSVO
Je74FPAPYA957YATqOVjH0jozWVujIA7y9dgYnKQXYksLUQNndtG6W76DIQyA1ptvo1VAZubC9uv
AtT7q4HfjIFtMhyGub6Tq280fRG/umrtpwAD6hGxzOQpSu4jY3ZD+WQLooNWeDG6Thr5LGymlWys
0748DdUAA1pb1ZsVcSKWIxlLQGkilJQXrlxiWX6daC/ZFK+q/CZNj9OIJny3mYbbkVGKlIsb18+l
Ze8wN3HVSHrN6mnVSu2LUaTv3fwlr24z+T5jbTEoiKT59eyfplZipXwfsQbKYq+0P8q8F+4qa+yt
MExprXVJWVpT4i1SppspOEaN5GWUGbPkNeTnBwxNDVE9LVuLeENN7otE37WauZfTG6WKtq0ubcfi
Fuf4NWIXGxzWQqIJE5sgqtXrltk8kPVne8SvDEAchsVXqn8vh3hrITGpmulqzvBQRT5W6tVtMd5b
0EGTmczGoZLpIJeDLpiFqMyscTk0r8bkpsHsDZR4UeLhWVgQe97adnazDHUpIXFNNBRRMYlTed31
J+DBTIQ7p8cCpb401cjyfSdRn1IsciXjklnqhRqIOyvqTlXkjWLfj2N8wGHjAIfrypmZY2oEOKpv
OWNPpYoQWvfK8KroVzrVCErZbp89FoRjWujKwZNJF7BE0C4ZH6V4WIWIvY63GBh7uToQIB9QMFZL
igpcegjsaB0Mq4jRZrbnBjJTxmGaWPjI5rAayoOt55Cm6P3Q9evDB4sIiXK/l1iE5xhYmfW5tDHN
awgRtCZHzAryyGShqmtvZukZZrWLnwA1nTugfcl0Y/hXefRsWF+k8XqauU0qba1J92in7XXjrqEE
M4/BHa6t5wi97hkZPnWEa5O8S6VB9BNdik66b4dqrdtrU91Ghr+C1ugGFp4VKJTJm86K1pG5KWjN
lQBP0empLtT8VqH5iEj8xqcVJgniqXMGRj6nEkjLu8mqUAqEPF68OCYcDjRYNPQULOhF3capWzeP
5v0c6c+N9SV3whfJzlZqXJw6i+OFOUSIPlsZkGyiO+yDOh0z704DJNc21fX/p+48lutWsiz6RahA
wmMKcz2tKJLSBCHRwHuPr+8Fvago8j422VXdk46oqImelBdAIpF5zt5rx2X3aIzTVrTwMNE7XbXw
/y1CfVRjeBJy8yM3UcYjm3e1dX9raPlRDMl9Ek0h0Du+DgSQ/h6htVGQMa+MMfox5sNpSinCxcZF
XezlmV1j5C7LiCvlsWou5VxAfX9cDLIngAzKKhaMi6T9TmfLhXvNadRdPX917Qmpx4ho7RKtflXW
imsX5Ve0KBw2A15jPDbdT3MZNz2sUwsZWARk20wWhJw5g6T3RAy/LGBKnFDVNKcnitPJwuEmTO5g
R58was3dKVXYxIyyT+ocdVUi/0oZCQss1lDtWLpDN7bKa7m6zuTxO/JRjxAsHyz4QQ9HOvZ1vxd4
F5aZ7Akz97VDUSp7UYbbJAPcbo7feEjHL07WH53wNJOmnIEOQpxH49SWZGvqEGkbY2U415NrkdMk
Ss0NObT974Y66wYV2FzLRDAUHoabBE/i2oBhUVXa5ItywVkH8q9jqy7rugHhY+3+vK9KqIUc15DC
tU3Q9660PM/Sc6Q2jjKwEusW0lm+YWybPr+8817c30ZdD9NvahRTlRkSQkBtIx+Qs8sXo2+4+jHd
1l69F365CZzOLa+hP3v9Fwd18fcyDOd0XV2DTQm6o1Lyfmg1zwNCRMjQGFfh8RigtSVtL0uuYlwt
Uhtdq3rDhm9lgg7rLu4oRLJPzMjTc/ZBY/AFsPms3/znTghFYVYJYWjoc97/HAs3RReCitlMKNk5
QPcApsPhECRftHzXGfOmpXI+jr22/97ccTswkzTVMm0jshz37q9i/vH5M/3ovr65EPt8IqE2DCQC
FDeSejvWp0jcTdlfUrB3SrC33fIv7pV9NmuoIkl90nENpno/xfF2YclmR7hVltvPr+Wjl+LttZz3
QpN8Al7HHJmlwkuXxRd2ygbKQnU651Bie/rZg+xzuvl83PN2+d+e0tl7Hy7yYtQhN7Hxxtd4V2+h
6m87n5XZw3PtJ19Mvq+e2frnbyYFiB3aLgavYdvSYg36o6qHXgzS+fPL+vi50Xtfk8VQApxVPqt8
Li04Saiqiyul4OzX3rJP99pi//k459mJf90+8BKKTIGcjM+z55bMtjUKckM2mgGApXjC0t/SykmS
xhFtte3L1k+yw9yucpJDaPzCteNB64E1xHlxBcHZJxvwYq3fBuGplk6JciMPX0ziv5dnWWQ1FBGm
rduaZp/djByeqBrX/Maej26Ek0yVTpL4idAYt+8XIVUfPt83Y62SiDfPd2HdmVsaajiE7qr8poKh
hOnm85v+4bvyZoz1z9+MURD6WhocUTY96B5VJZgzxxFwkRlULNTHurhrv3o7xcdDGiYLOPcRLcf7
IWUQVYTLltqmOGGsjUE/OmCRdxRZXPnbcChPpeJEu8THpr7XHpLt5xcszpQSf80y3ZRNgY7xrx7M
2ytOiNpuCVhhlm2z69wfdk+Gk15ru3b3nwzEx0ompIYQOvVsqsjDkmBo6/hUufDwrgh72sLr3jff
vxrpw+K14HZqSOToUKzS0LeXFEGOoenBSOEvxNWb9IAaxycNwVcKX3jmrv4e7Gknb7rFN+8rClCX
8i7wP7/cD1eJf/2GP7f9zUQaJMQjCUmam5IDuGksD+EkHOqla7Pn/vOhPnwv3gx19q2ihVBWQTKw
IC1PxvgYxKAIQuF9PsiHX9w3g5x9rXotQccu1uvpOFnoN7n+6/MBPl7u3oxwttyVQqlDkr3Wr4Xs
Lh7Ql4v8gsPvPj1p3nQ0/fw03We+fMzc9mDc2LsYUNPm8x/xp231t43Fmx9x9sni8NJJnMbWSRrc
tDtt2+3VXeQRFulikDyqW2k7bCPf/OLufriPezNl//z5m+nSCluElcnFa9ShQLo6sR94oEy37X56
tR5LL/WyF+s/+ZK9udh1Dr8dNMOmKRAJbZQFdwvZ8CLYdh1H0TS7+uK+rtPjs/t69vKXVoQvv/xz
Xyn2HEvCCTwCiB3hBsfmov3ibCO+mq1nn4pJwnocTq2GI+tGHeFFyB2JKI+k1qFVcYqe072qSU4v
L9Taw3sBlmwJ403dP39+3R+tAoaqGTTHhSXYFb+/w2U3anNhs1fozD3Fw7FcnLJK3CC5+XycD7da
JvAAm1IP557zxTWKVHVa6Xub+RDfhsfajbwnwqs5srqp9z84d3z0PN+Od3aD7SVLC8ueuDDPaBxz
U28Nr/VIvlAZT/L+k63d2+HOVvRxgfyDroa9MiGBanqXl/mum+8+v4kfTZo3g2hnh4poTKrVYMcx
VZPcCN5dZH/xUVjvyvlb8HaEs+mQLqoRGYIRUvVuCF67BsG/ajoG6r242gn9Kx3mR1+Gt+OdLdrp
ksxNODGeIYlDlN2MRbs1xuvPb9uHx9+3o5wt3E036SKV+P7oV/QW3fZG/O524ibcxvtyL3uZH39D
IbmFmfDw+chfXd76QN+sXyMm+Qa2Kpc3gIVV4Ah3+i4VgfP5MB/uJ95e4Po73o4TRbahBtxG64Kc
ldHnGt3hSH3oIDmtC6iLLYQrXMULH9tTfQ3dYqvvP/8NH1+qZiOAYEuDeeX9T1iqKGui9VJNa49d
vG33lfbtzxD/N6Kld16lq+ql+NY1Ly/dxa/q/4H5yGBZ/u/lTX7d/3oum7fmo/Uv/FPZpP9D2AoH
G8Qn/9Qo/eVAkmzxD9xFa/FsDZhG08qq9E9l0z80XUENZWM0sjAurev1Px1I+j9kEIUK1RqirTRy
YP8tB9L7iaELC32Gyf+ZnBINJsbZyzeU0AfqpDW9YEqHkzqPyaZa42xGAGpfvQfvl691LEQPqo6Z
YN2qUGR7Pwm1RRnLSIMgp5R1f5yHTj8oWYpxN+G7Vs31iaAC0PVjdIsJh16xYb5Wk/UDdyk9ZGO8
g1KJtDQsnA5yq5NEPUJEO5kPttrSFkufgpYWT5zHE0oeAC2RBZgsspVUOLJCH03K5Rdy2/vbN0/7
A4nRuvX416L856qEbBhozXSyNEkbe39VcWDwetuz6Y2jrO9iktp9lOtrhhc9RQeRa/eit1Z0+nzU
vz03C1GNbskU7zg4U4V9PypxbrVudgXPrRPpZilz3YXMQwhhaVj+50OdCZChpCgaUvhVREfG8xoS
+n6sGcBvNDU9VxikDTgZpfclLE67dsiN00x4KijKSdtNRBI8xNmcbdqOYLURH9cvJYmp+H/+e85u
uG7qKipoLn4tWuqGrrz/ORBm435SJIpAKrIDBU0NbTsDEEXcwNwWfXYFPznd/FuDol83DaYtEbGq
gmBNPRt0HuUl0aOJtC1jNF4WRH4nKKi1Z0QrWmZKLIKDsy+f8vmt/2tYQ16rI2Q/sFa8v1azm0er
z0rFjwzSorShbf3eENYxQgG4w4bcwjIZXodEFvu8wu1nA2TatjawBsw04/Lv3fn115jIKpkNVGct
/vf+18xRnKdCTU3PVhU8uVkF5au1nqOgGffBgrIqUrzPb/u6MXvzcv0Z0ZRhJSsWix6OjPcjdpI2
jJadEJPUo/Iy17TepSdnKrTtvYZb8nda1MPvviUhF1qhfP/56Gcv2V+jKwyLhJSOwHmZODPViYBW
wjyDPjdp0NfjuDeJrFB8cPtT9MW1ns3rdTT0chqLMVdq81V4f60yWr1EX4PoGhT/Vw2QDxB6LIwF
9k6lzH8jqPxqVn80vyyG5BVHWEs18mxfMINo0JecJyrJIn7RwNQccr1IDqith6eiAj0y2Dm0y3Fo
9s2oZEccJS0A76q5I0jZuPj8fuM/+vvzfvd7zl6zLF7QCiJr8lrUtIsoYO0lLUXBkQ/S5EVlgcqB
ehN5tN/iQjn0PYqdfPZH+6qK98V8X/RbkT5WlXyZW8XGKKJ9QnMQ4Eb0CLHNiZuJ3FO6u7w9KUnG
Zru8ahPdyOrXBEu4wxZKZDgeFk3etQFaPLn0iad1yyB/MuKAbr99UdrsTNW7Qo42YY9JYqxKVzPz
nRRxMg2HDUYq3+rFIW6y/aAhyqLAa5SGX/Pb6rQ9yqI9hlr5FMkTYtJoRoEX/FLjbh+RB+VXjYLF
vomu1HJ5nkhQwdhIZl6idTr3BPZ9uVipH6BMK8CYJJkFwcTCWhu95pwE5iXZJvPa6g+u+OZvk4Tc
ypxddDc5Yy22WnaTcKgrJOi19PkXc3Jx0m9iU97UNi7C6KEHp6qLu76a3amZvGJACEwU4FIMgLzp
Xy/4n+ryivnr5mV6ajA5xJXkVyXJGqF1VSbZCc6dCzKp9tIsQWmHcqqhLcl8dmoUfEXZulKTk6dT
7prU3MZL78vkdzqzWblN2NyPqrg2guBn2DwV03c1fCFM0mnm8Aa3L8ZX+UHiP+DCfgAPhW2S5X6Z
9j96lez5HuSLEUYen9/bL2amfLZ5+fN2rtV6nbVIV9iavX87CRIox1gSptfWpDcqNlFx+fPcKsel
L0jmI+NLCaXnRCHPGoMfwThbkk6AlWtOMBd+pvwMtc4lYcyBp+/qQ+FqPIBxuJU6koPKaEPaQ9c/
lGqwASsLOUg5QN5GuvaU2EfDRu5H4o4te2V0CqZTGvp5PWwqpJ1NfbS0CwPtI2E1zYzeVa6PUmOj
9ENwG6e+gYC5ug8mdH2hF1btfqjSLchsFNH2Rh7N12Q6KDCzw5DKBlLmYxzoJU6htPJlK3+ZR/FE
Rj3fOKu/I5XoCTPVZU+0TVn+iJpw30uz0xiJ16BqTGp2PVZ/lbbQfitwHGO2mXvJaUyK0ploLtQq
QV43BaelxAwSoXUCQsZLfyBEycmZbxaSeNLPgXolxjO76ghDbkeUxEM/IZ5kzroIjHYFuT6k/CDi
smrEDsE1GZM3tZy9SHa1QxG0/fzhq9YHD98GoWXjKKDGrpw//ARTQM90s7h/Bj6bWiD6FhOWr2pk
01pcEMC8jzvZI2Vki6PtsWzbpzEwvwVq8r1JC8mPpOCqVCXIlmAf6ZuiAqyCG6IJmQM1oH5FZXUj
ZEQU2h2eYz+Dcuj3bQ5argTWN2575Ce87sqtQgRxK5MBsMi3NgISbuBMPyM0HJWGRtxdiFFDpUZb
KSV7SfBshNuAR0pK4eTWEXwPPjIJJlANFfFA3WcboDwG4PKtEt1tUr+o5hWcbtpEu4r1sODLmmJq
MDdqcEgasOGoEo0HLRVul1bf4tl4LPPXwAz3Ld+rwGqYxfFu1vOLTkgXua1vwjRGG8CLn88sJxFW
wRhDIVKxhLUxlyhug9yae483DyR7R4cxPIAVIlcepBkMWlde6TTggUy1u4ztlgkIAk7rkBajr13i
BymcH2FI74J03JRtsVnyaAet+hYM834OEXZFQfDEP8RvF+NN1me3WhdMm0iixT3a4vfY6ac2i06s
c9/sjtwdWdNurd4g9acevSSOF7fQaXWHWvhNmtN7YzlKya6zU8kNiuU16iSYhc9i3Ef5g21wpM9n
NGuqt3QnLEd4z7geguBViOKNhHxSaXaGnFzraf2TfdRmWY2P+oxItD01wb6csA5c6dxL8sILyo5J
2lMYqwhzkO4ViM/SfZLrl6Ni+mpgPBBejQiux41CutnjUrRu0sCfHwxnqCxq4It+q5uQATId0+6w
nbRkJ3jvW7Tkcc4HbvIQWhqFRKRFf9/Ud6GmnmbknHOUoepq+fqgDLtabOkSg5sbiRn+gO6QkrGb
yEoa4sYJsl/U8pw4a5wlYONwQ3TMYr4q2V0goq2mRZSMEOHwN+ipeGFa4yvtHTDuYJG0yzGuHwsV
8n0lITe8ZIcHtiKhTbmEr/pqbJf50dJ3vZ+8BmSllmU7ErfJPoSMhrw4WhCKE0BuJiFy+MBtgnBf
NhnBetJBLA8cZ7ZB+5zkj9wzp5bGjRCI7/SNsuZVV8qtjn6vn8VFNiF2ruyNnvOcrZ5N9p0u6s2k
3COPQJ88u72mbEP7NseCTBIeGgmZyFodNkKJVK31bBGcdMw0Wp66kyAjOkKbqhvXLRMCFDecL6c3
f0jGcwzwILUGfzR8MmEQwyue6GVyxlV3QdczhvpIKHP7Ui4/cM6iu79rwAmy1uh4FBpUGgMatFHX
0UNNgJYudV3aLAXbRIhYgdZviQtxLCP8ZuvUU+vZy+zl0kgtV+3ZApi/cgNeGTH35ILCjGLqTM+L
SNFHRrs41Fk8DE/J00sVW4YVjX4wM5Em1e+bZkc4yS1xRzyalLgBtUSDZupb9sQHI8gfJX2+BPDF
uiH5A5IAaybQAdMud51TuJb5qhg4ryvVC4lWOw35OgEYpT/OEXkGNrLx1tooWn+ZRMZLsaDc4j4k
8wVOXLxJEcy86nsiZK/Km21FUC2xEn7UGle8kC8ZiC1jCrdZa/NGjyGzttJ/jngi3cCQTgXPNsEE
oCF7nsz+G3agGIT5dDfH0Qbb0ZaD7z2RHo7gi4JB6NgudeQV+FcIZ23QwaNO//yDctau0dfNBM40
w6YOAumWIM33m4m+q6cxzai6dBA3rkJlVnaqBmCpVo0SD8VSb4dkwXwrxOKQMKzvQks1sYiA/chD
uP6IEIlfTDOz87pe09zPf96fU+XZqcu2NVAOHEVMHHZne52JmkNsDgnnvBATQt/SCOH9WXwlbFSX
JEdiXk3SfdWyU297RVE9HBBETnfDCymTzcW8YDQzdcBMQJJzXvFQOSyL0m/JY1uwUCbIHFtgol+c
Hj44K7751aZ8dn4Cu4lRFHqJF+RTcOgGHeolwNz51zBjDHcqHFb7JIuQCtpwATnDNbH0xYHx7z/B
kgWEW5xtFP04Ob5/rlFtEcU0WkScJFj021TDBQAamhgzTQYDrKxCXDV7lJKp3SpxVX2hcHi/TaFR
RIvIlNcTpIkGAXnJ++FtoL4S3Oa1mGcvXtfhWI5ovB7rwoSAJV7lMAlcXHf17vMJ88G4eLnwR5o0
kLCon82XXAo0LSwlw8ug0JLEow8/QS6x4oXETy2tpR2qBfn3sOjj4/9q5PP6iAWFVSp7zq/LbJWE
AUh06BdDHMhdpaXUUTljIzpGTyrO44cvhl7v5r/ekj93G6qUpdGbQyRAgff93c5DCaSqlaJeR/Gc
GrEvVXeZyo0Ou01mGgddCXZFR6BhOV9lTQIjKoVSb1/P7e84qh157q5gaG969t2iqt3YSC9UM/Ag
coNzEdsgKreAifGHb9LisDqDsPEsGMknUgE5C22XwDhZFVEe7I2WaHlo1xZ+3G5UXTraUotunMjq
6TmJb0qJmlysXNr5vLcTw5FxLs4geqAscchuT6Id/VhNjsTVOknRbCL1VY9iN+jsY1e227EnMkUX
mJWek7LeK/ViOWoaswEjeNzaEPq+TRPtJNcno8mcLM4PadOfzNj8aUwaxVDxECtQT2EpLHLldr35
V+fhv1XCnWlQ/vYkzotzak9Ncl49bkGttlB5iCnfzfasHGRTrp8NNbRBnEpoORqW0jabWp/aVfr9
8/nwvnTx50cgFaGEwpquoOxaX5I3XZ4UohMR5lRkUxW7FgeGxpUirF39XOlffT/+PvXUVZ5KRRCC
i2GYZ1PPkFT0mhj7vEprm+sEgT5nPU3vFLfGP5lgOyg0nrb6SpGjnQ5WFuJYsmFbfoW0WT9U794B
vNm6QoeabxgSIPlswSsz5gYQZg6seaxeJHPX3beZDv3OKvMLkWTFFyvNWbOQu7y+bpQeTVPYFCP/
/Pmbu5wtuRKwgVPYP42Kn3WIHvmJ6WaEVPTSJtj62ZQTghElibIFv51Iriylg+brbV4+yp1vQO80
MUYhOLtVdMEOqAFaDq3z89lg/HUofH9vVIR3tGjoqMtUTM9qa52V12aZ9yFQ42za62qnySj0u5SY
kakvcNZkyzObTAsvRZJ4pVnpVw1J1BRbxpL4CJmUUhl65jLcyfEwQZsZG1jMamkXMHeIPXUHoDgP
LUYtH/p+9mz1UCWcCItl5fCRYrfVTLkNbdZWC8J9GlX9bXQhNCEtC57idtG3nKiUW6s2l+9JEYpj
UaL9cQHHk75ul0yseA5Hcndyeua92T5QlxSbEfI81lMxlk8S5PSI7DhNw45WqyqcNlrStdONYQQm
USSkGklV8c2yK/o1WBiyZ22qUmwYoViOoSTK3ZyMwWUbVOK31pIUgT4v+WXhlPiuJPp821WqCgzU
QjKU1I19OwND+m7IQeHXUJnJtDPEfojj6aGsU+00B1Z51QoNaWOAD95Qa+u1niGgBAE3wJEL7jMQ
erw7oL/Lx6jKi4uGVfw0pgBXi1QkG0tY1U2nkZ68ip/hRuSQoZxkMbubLp4AmJh9kZ5EMZojXX54
AS4nL4zB5SRvyYEQnRNMsvxcZypuJk2vWn9S5GxDeFx2Eyhtc9lrUf+71fWcEAiiq6oiNy9MKcXe
KHHe67OJN7Qy2xk9dqR7XH+sekADSnK7R2X1Etqi6PYmtLDW7RWAKOlF0TcC41IatcXIOVkE048U
ezkyeX2eui7AxaMav2hvhOqjEq4aECLUOip+eWwH475QI1wROVFbz1Epg1uVkrJHQFjF4ZMt+uqn
LMnSAOtAHWeKFgYu+H6pfzWDoSVwOPXgsmym+F7NtLWcaS1ASNNOYx4Ck9oRdmjisivDTSe34hiQ
aeA32ZjuCNEk/LdVlQv40NKBHM92n7FbIAVVCw8RCVOeFTQpmBel/SUiXFRVK5HlKJp4q9d9vhtA
+PuBriAOJw2GnIXKdIbabB6DXhHHyLRjnG9SSzwRfOQb1aQINcxPGr70eT8JXf4J0Kwl/qEmWscc
JmIv7FHl6BbbXGYfp+aPXmmJdDMHohTMsDwYtWSpHnmL6FMMadgUSqZsk9Rqd71GmCd9v/GkZpnC
49NX92nFTiRjS7TEdv6TOFW8iJ0RPrd2N39rE6VIcTB0VYzonk9q3o+EqBDxsjHjOfP49CNca/Ke
KNdyvI4nbkeWxsF9ngbKMYG77zbV2JwKBT+8EzX9ctePdvV7kkILtaCpkRY3s2VJvX5R5+Pc41z3
5EomwH7Ggbox6S3v6lFPNums5LdZzjxz+orYlE4yte/yINTHZm6tU51a1e82NQNaEJ0UqfhWK/O4
NI24G0BhWU5fDuVdjwxsm5tG/11lL3IyG8U8ZLwct+Ugt7ddTA2LlN9sxlVbip2+gOtHEtGGbqZZ
0zeNB33Khzo9AWDOD7xVTGBtrdvIxtB9wynaXmWKCHy0O8shjgoCJKooNQbMxBXu4rKJpJ8DIO4r
MGaYzgeLhCtz6LxREXwMwpaT/Yom1nJJexjTJPxBFX64KCQZvFfRUa1XRpgYS23kP5rBpHJaq/o4
nIJINY5yQIIbj3bYlkUXeQJeK4wByAo92dSrH7HIjqMpwU8URJIOVObIE2NTFJS3KRnDcKX0Sf6h
L6p6iqADnaKcaIgsSEJSa6TiueFcDZqf2OxTyYO5Lds8uQ/SAg9xscacpAGUB6AFdfE70/ORZx2U
JqFM9NvqZWLLFcvEEakx5YEuCvXfpIzFdyOZ4/40tRXscrm9brROHBLK7RTH5WG411VZ2suFrBzr
1MCObAWEBtE2L/RDiqH5ejKL6QoKTn/DKckeXVtuaPUuRnlvFNVVYFU5Z1C987TebhCUk2np0Lcv
+LBm4YYoQ0s/ooggayxV1PjXqKnmz5rSXOjQUmqw1Saa8Wrq/bDtwGZnLqHEOt6F2aTUVhlTvM8G
uKMAGQuDD5i6aDA25O4eoBKzl0ajOFRJs9x3gl+Z6EtGfZ2CxUjRaA4ui2AqJ6cGHvw0A/ymYRgs
04nCbac6QhsENio81tQgA1gFwkjszcRT+SZLRX1tTWN3VUfVct+qsw3tqBWUawsxXvdWNCcOmX9Y
4Ll8DhahkFgnNTo/YT9YJNGJ9EKWgtxbrLDeJ0o48j3XTLeJ+2ibZlVDRcK2VqOWZp2MsBRuSqbC
aSCpabvGFd1Yi2gOaS0Kl2+c7uPXI/QnCoZb02LxHIbKPtjynLjyoqTfI6OsvqdTQcR1OtV+0JUz
9cBueuA1pseTBNgp1VRzl8Gy9kpvmEBJFu1Rb6rqVlkz5AgsLy5BNAe8H0Jbi0Ghcm9xPa7SGdyZ
pqm0n33LhFfwXVNArWJo0sVEfYs8FuFPMLGnlsqKnv0ycusqNHA71sW1Jks+pjzkFjHFvNtBk92W
YvZo7zgyb6ykOEY6/wSreccXKf25dnYkoXiaLvi0TfD0DnJ/UZVXi6a4RXdrJhu5ulfS3h2kk5pc
yeq+0E52e01dTiaTWYaDcU3FSp6f0/obrkYjJmrmWISHis4BIU6Y0Xaa9qMihbJ9qSs3wzgczlcB
8LMMFPatEUAAESdddJ4KMGdhlobiJJaXVH8qF8zRe9ijqzVhbKd9X5PpZci+MCovC2lHGO0DzPGR
WHK1cyndbDsQM5CCHGXaFTnFSj7xXmGbrU8okHU5tuoNBnE3rhM/UrMb2STWmxZZTCpE+DMNVI+J
7Zl5hytZcrTuasl4rYPcbQs3TA4tJNayUDx5OiSK8C0NM7qKakyhGt803M5HJfue0d3L1vapthvt
yz7ReQCpq6es7PhDZ527MkpPC1toOFwv8PYBRKggbBM87ny15sAPlZsx+h2kdyzdA9s3/jkL62mx
MSX9nmwzPKrDEdHJdYynQclCisePVWSQ59xfqF1zMRVwKnhdRJK7Y+X3fcU1aCxPF/KYfssJxYsA
qik8m0bOH2ayTxSRnYAaHfOmuSRO89am4d2N7U1CNW8JxitVmo4Q/Pm+L2BqudNs1ue6PxFO4aT5
zzxu7/K8eUgs2xm0YqvJHX/tvkmANs5Tcwqh+k/Ra7bUl0VHOBIbOnNKtrIME5jabEoYid1vbRzU
WRQ501J6ugZwxU62iqx4Ullvqvx30lyH+b1gb5C18abof7MT9S3juU/DC50esc4Gvhv3VPJetPR6
lq+ikoYF4QlmbVC0bsiCn5wkpPY60l8QBkCFpaNScBkCrCGjxhFFu8mz9CbCbA45/9JIojvIDqab
8J5hkbkGAodTXbqUl2POUXYBHlLEcF6IO68CjN2ZPl5ofIGyEP5umz5FNaASqduESbJvuGN1ZjnB
wjLGUhjb18JutwGAhhZm8SQezeqmLeytTPlbp1xq4cE11MJPZNkt0xrGrHm5QElUJ8sxdPXYUcGv
ql82Z4xUZVWaTIeTsdsPV6WMYjgervnJjlQ/xMmzKT9D6NiKJeIGAGe3JjqA2fUwUVmdxi3dQB/c
whXhGXAoMVQr0VWkNROcSW0bT9VF3nQUHgdO8K2rhSnC69mLM4J1xnVX8Z0ixE23ULUvTU+WZ8ew
ht0ofWuwaLcpeYpJSKss9Nvijn0SlfHSG8ud1HU7U95m6QRPJNqR6eCKZtmqY+fEi8Y9t0HDC27y
IY0gfFx2drlLLbq5r318b5qgo1aKyjZTjlVyCkEuaOljPnP0/a6OxP0Zvl2w+v0gW2VTUg9HzAS7
i34d3wXLylMcvj0vzXwyAVOtcdxjqNx1Zg4J2Qb3cFS00ZEGbnFQk6mxMvcmt1lXC4AowDrs8UZh
amH6d3MVY09zUw93eXc/EdyZ6bZvk04zBrR9tewUKWJXAzIi9MJVCJwOMAyO7O85VPjt0ECDlCjY
5ui60LjTh5wIKjHgY9p41NvrsCHThh+SiJcwvDLM2CurjKOzvpk5UbGLdOfsNccCY8lHIpOEdWOv
lKG+cEcA2MWzJZ+C/hdkAaO8GMOjVPeOsLZmkm+MZnCqhDjpFf8cevKwiyC68OWylUcr9yUKh03G
sa8Um8m8Zqu66/PHQfVFcAime/qIvihupvhnXe4LjMcSIfU5KJ3+sZgkJy0HZ0yuavuY2ruQ9YDz
N5jQJGkvldqDEXRVWleJcad086mWb+Xsx2rAl6NjWEDE5OAw2t7YpduQsypBKWvFzYP54qv0taWg
88codhrW31LwrdO5EPAVFh0T0of8mOQVw2q8iPNNPzhG8qPAS07ii2vTo1Jy8ByklGblkRI+DdrK
zXFMmFXJW1+7RmS6QfzNjO7C7NYUt5l8XWaUNWpUB6mjc3tIDOE1Ht3SJsb3Xupm3xDNMRJ3I5AG
qZDZwTyP6ku+si0gsZQLK0h3J+QUZvv3enht8pNJd7cpYdBAj6qAfuvxkX6oY6qPWXMfEICa2BeE
XB+0sCbpHF1hDtUlUjY5UKIuVPdkRu40BAF2czNrkW+YpAH3iBFi3Vcky7fDpyI/Tra+D6gjTNld
1r/0yeiLOP6Wx6eJ13aqaAm3xbYN28MAIHJqn+rQcqdx9qVGRucA72F6jqA+F8qvBbDAEp00BS+9
7ozzUy7vSHiCDl84E6SYgk5SL/9aOHVVLBGlbLomOAo9JmBQ/541ugOBzs3tdKsin7EIc5Gs65rO
bijEpi2UbVGo29wAUwWXyyq167w9qLD2UjRtdFp6nrUxJr5lvkw2Xf9HebSQK9QuDvtJy9DjqH5g
ESAmOWX5vaseNetlDH5DA3Q5czsi1b1suaALUU/W90H8jDo47DKl1vU5qrsY/oeU38F+UqMMPcHs
6RRoB3y8IrG9ihNEPPVewPFhfO6N17UXS4VTCX5NOdPFvK2V1yp4pCTjQmcgGjK/IWeRI2B4pRAG
ZFYpax1xkKPqsgsmx+g+sf6LovNYchTZwvATEYE3Wwkh5FWlctKGKDONTzwJPP18Wt650z1VEmSe
89uf1vD8btDXmuNSzJ3y6Zlr7alM5xPlyAkUPjM4NU7X6NjSVpJawai8JSXiWuYnU/kzq0dEqfz4
kudkRyn2inEmdPV2Yy7EdGlLINo/BKFZom0hoH3NCBXkmbBu2fROAMi2Z0Gxu4X2Yhu5xGEkGoG1
ZkB0RcQoSRG/qvMw0yMRFyuyc4g4izc5zSEFP06yHqaTLvQNs9J2Ue+O9eu2LK+e50ccIDrHUprY
m2p4LZYPpYMaHrIajwmT5kQTGFlUpC8wm1B0BoIWN6+ZCszTlvbLc9Nqlnnf2NdSyTDNKsEUT/h6
3goikHVXPTfLyI7irKlmpvNeeTfyiQei2OjV3en+a4uGKJgGZpswUaXdLUwopUceLx8qNcJxfEzY
l9D0AV8V/U+tx+vSlCFl1F4RkyE2B7nmfE7FIyaNQyw3a9Avo9f7DSGoPWhGNnpBRdBuZCOZ0ZeN
B2mK7GdP4K1SYsASXDHyYyB6KdUCxN6bWt0k9Z9ojM+kar/mmiStZSssUi06b6135YlAfr9SjlNy
o7N7VSaQsW9GtY+ZMCqy75eJofzZLIRneJD0BVE2no6nOL0NxcxH7nhHy/u1IloIzSWgdYuwOEDn
F2WhYLhadkl2bTsC0SLAO8hLXf3wpuw8UiNeWdqZauKrNunr1nbeZWZiSUbBUkZ0ohL4lA4rvZ0C
qkdXMf1ZUI5BkcTb0kUKMfcvLNFBTNGlTPtDMZsbD2VAnjYP2iGDVDWpbFLTDzuPfrXmc54u2nPs
7X8nsZfiz0GnKl16tHUqJbLReWhIdyr5XXr9vpLLFvyQjg37NEf9Llu0QyXJrdLTaDuQLQMSECq2
fQReX0mVO7Nw/CYd4cz7ZQ8EtW+ScefFV9F2gZW7R4OkJT2tzkVLYprEMDYTnA+jUthZiN+LgrnI
L8x5J/HRF94ckJYWqtrRIYzaBbxw3HGF9pEY4mFdJGiszIWKuTHs2p+GCL+Etzs2TiDzm1E9twvf
EZ2TmkKQJupJh9MU7ei+6dALjgxo2hJaSeFbFhlrIFsMu5XJ1Jt7h6J8Jfhpqrx9YTqbweQKK1QV
dYU2NGttiINMJBQ5cQ1JCi5pPb739Z+tsJd4VQnOSPchIU+e3+tsK3Frr9XKDBfiKVP9qmi/Xb+F
Ug+WTGzmsQnEbHPm4nhxFrIvKxKh3LXJha6jYc8NZ4t6b0uoIXdUFcBxgmLrK0zVm9RJt0q2bGYy
s6ZhuHD5nSmaRAFvBAmFEY1u73pz9Nl9j0TOfJrxcm3cyEC1oh3VefqYNbK3imeeoPBoxhhOjtuc
gSzXjv0wCt6AkitkdC9jH/8NlaTsR30dXZtTga+BssE6+7QLl3wMmSGQ5AZM++677Gr642cSXlgT
Pb6gqHXex9LSQYQIN7MEx/HskEBVJW8kirTORzYjtOsvKUlOklQnPfotW/Vd10Z3VZQEqAxmpNH/
FH1jALEurrD5LhtnCpHc/8sUhCm4gPvurphQ2PZvwT6IfqBYN+1gMY6px7LztkXlvNQFzv4uR4Bl
7HL1YD3Xqtq7JjyiEX0m67YnMhlN6WEW6Rv45dbrNDphHQApSmR6uwpkm60hXO6WMH6k0PjJgH26
vofejq9lYu09LVdD/PqG5VwV5ohpSXedPQVq26cbCQDTJMs1R3lSxPa6ij3iskmO1Op9NGZfdp3e
zZ6hDWHt4j2DBK3Kn7kJNQmUHKfEWqLQatKwo8Eq7ZFPpTH9WUSw4jffUFxzsp651tnylzI2Wb1H
NW4FQ5kiCH3YzsRDZIdNrFLgEZ3NqaG1LdpLee2E8ZIpTdgYx4kDjzyoiWBA3m7xtIK51L809rmP
f9yh3OjNH8Kfo03EmV51KxNpUGa5oSq/J/QQgllx4eDmUnlJmKMdhbz8Zl/1XM+ZuwKv3DXx8FdG
dTizIulTe8ii9JQ2dlgXyd6d3aM3VS1TfF8T2TMwf4zEpJJcjSZG2rtCpgEDSxDxZuaNSrqowB9T
ANQ5CkmzCv3sjnbxMOEGCKTaY5UYydZx5VFkzo5zZqVbI0mC88GFVwiU2P5KVBH2PRQbsU0pSI1I
eh7qUvyotq7djNIrV5Vh7pscWTPIKtlH6ImoS5TtxXDy6k+bemOdJt430sXsvMzPOLOIjzlzUbcq
JRSFnfd/laVw5SbtS0exRKmXmDqntJbvurCNAKksr1lpmACXnAaqMQ9bPU4V/niSvA/Uj/FSj//R
9l0N7PdWdYwLaZxNJL83EUfedSBB8K7ndbV9ejJ6NHzOdxPpH4PdBE5dXqJZJb9H4y0hc1kCcCg7
pWZwMYoRhSTNFt0aNv88m4XgV8/aW2yPxqVzrOyg1S5WQ6+56gRhrOLM9NaaqG6JCTjE69IgdEnP
bRzdc6LQC1Y6aPi4zciH05zv0fNosxuyNQGH6UrJgWL6nDB7Y3YqYJ3EPBKDEQF4ire5ERvyl7n1
8uWQCFsEHJ/idUYxskrR41qGvOS2e+jSwSQMTVt+au+JLcU5lZHOhz2Sy5HHNcy9cMdbEXvGu8T/
TRLgQPpnQ4Vjl3HVygZgF3ik1ovumBbFvB2QM1J9Ph1td7gZU/sg7OqvW0Z7vWREaDrxKc6qS+rY
fpX1zYu5DDMYG0HJ3qLmvpVQiVQTAzkXSek3QK5fT8/CaoqTatXmUc67jbCG0Fw2Pq+2AzSC+SZn
0SBox/Rdg5xqg5Msspcg01r7IKeWXY88u5VajK+NlZxybs5WRrfStD8llQ7lnDxzrnZtpt81o3CD
MuYubTqHE8pwd4UXvduiU8OaVV4RxX+jmmdAhzAp7cL6r9rz+6Do1iaZ9d6fiAPW2+5AQB9Hl7Zx
BodYNkoFTKXYzDVhjplLo7Sr9NwP06Rt5bNfMe/bv7wnzjRN29Gvs/Kvb9R314movI6b2q/59Mss
dshHQpVaeSY5H9XRS/iXPfIngzpOX5zEPRUcRYS6wo/m8cF0IBGUlODrgQpINFY24P6cqTe3zaZD
SZrrSm1HfbfMZX1R0Bmve7ZMn44IQGZRIZwTz0cnh/ldKXRox2yCMBQaJSmok4G1OPkh7QjjW2X6
nFL1TB5NkJta6rtEFYMZEw+MVJx6ENH/GsNCK6BKeUHBJjgV2d8kdVGFyayaH5ZHfKmskR69VAkl
geumGtNHK5qa3FdpUmqMjdadA8MuOwAumwJPXxtttrTSzP5r1ckC1EiK5uZIUvKOWj0ZoSk170Vr
k7Fm9405a0ThSveb7gAlZdLyYmdToKsH+O3c8dK1y+CLGKI7M0Zxl6ln/SFHR9K+1FTnAkOrgdOO
GqemyhZEUGGH3jLte/PYVS7v72gb6cHNnrfekx/MHqNVmjDjsF/h5D53ailNDX2IwwIZGYU/DkxK
EF8HUqIGRjISUot6P9N22oj8plmt5Hm3+0Ode7wIUX6bx+GfLUyiea2gzO3d0kybKedSS4U4m604
stielXy65vZwhCX5rmV9tWLlrEzVAdqMLNoh2cAbb9NqCvia/2Wa/kbC9BMYiL/cYrJA4Uja9VrA
iNIb77FLc4dSfI5q/HxYA0vvNqb6l0ArEf5+MEuMJLSf7HqHVM1E1QkTz9EKc9R6vk2DSuUQwWmX
NEirjtjXXXGt4pINxthYcbuaI7Sy43hw53+aVWKW0a45oY5FZIIB2P1HNljyODb6HBqe+5v11neK
e0Sv8SxUHSBAqx9giVbmxPiVdnfio76nfthPXU7n+TB853SVXWPMkhrZo6PO+lCONIQkQd5OX8iu
2nbTOS5/m2K1M093T/oe4PBemUcd+05lrRGXHsjfC6gILQD2IcfSSrtR4qVQQyd+qxl5uQYQJGwy
GAvkG4EbDxcB4IleukcewzF1bkqKVlckM9a3DPgBeDjzlD1dPqelaXE05v/crA1MbHWBEqVHNets
iujdKtCawfZJM2Z+t2wOdUAqVCvDhsOiuCgSK4NBN1Hr6g+nJ7TZoISd5cJBDVKrLrNTwk85qD+e
Q0ZzHpV3xqpr5jrzCrvqjDLfPffmtG3n/7IWLOkpJ5dtfRStdzar8dzPyc5EXeo7KuGnZaf5UQTr
nUdnT/Jc97Nza5TsQjwvEub64aaCeU3LLDTJUQuponbfiq0S+d31dYJNKr7VvfYRtxGRXks8+lXU
Ysapu4Fm93h6/qHlYWRzhwI8BbXEevsp8jpMBlntCitvN1EZETuZGRDTXn5RRqKNq5IPwi3p7CMm
W3WBpqF6UEZGZnZX0w783Aa6Nw+Gl5SSzJD2kkRy+TBKffhrjVoltah+Ru5ku8o1TlGELo2uBz8e
nTDqKVZeinfJ4FNOy0HqLyTDkr2EU0x9lfEEKmdsHDR3II5h47g3lYRM0GkRqyGF9Vzjw2ES3FeF
FoPvKONz+oe9CSxpWrdE5W7IUQ9w6yFnmSobXTa09MblPl2SlNJp6Av0bCg08piNVPl2xeDQAhq/
jJZ4rVPExJ45BYMWQcrQUj5pG+wRm5GQRyfnspPDpVeqBysl5y/p6JDAYnpgj0aOJ1mJQT+HbKdU
5Ysp3jka1zKrzvGILCWxUm+nZlHomUJdjWl+aeuGnHBa/iZ7503ulonzRQAzzsVIYvl0TFWFqmxe
mhFBmk08JnUHQ9ZeuojQbbf66KY0SLBHl+2BGtj90OuvQ1IfpnJh1qyjQzoVK7XrA7VbjsTOc8RO
oY2rS3Gt+xCN1MAcLQzjoiGNNjN9CwOdjiU4SxeMFLo/13Egq61iP1Q3/+I0RkYILaRi0s7fZd6d
Tbhs8d5Xh3KoGILdgIb11ZzNSGdCwf5s0YJIiqur3jNvky6fRXvv9TfPCBuKt4q9x10t510sCevH
EstcbGIlaO18/YzR7UxCKUti4eHg2p+KknuM9+uGavZyuuTV+8hRV3r/mTYSRrY8D/ebK3eyQ/DC
hpo9oQ/vMdZ6oDL5GN7FdUj3Pw7tNhleNX2nwGhyaMjiiFEdV+wBusoDr0var8a9t8vLiFWgH8G/
SIudk6/Ow03Rbg2GDEyZtBn86c3I6/pSqe8TC6VKmGeVWfSnt3uSRPA6YrWeb97y5qaN32ZPg88u
7xkQ22/Te7NoGDHATvrcWmsJL2vJvFp0mxzjR0nD/LtqsNFFvgc8U9wIIreHUzPt3KdPrrkiT/dj
IlcKI+DSZPecaHLCEiIceHc6HZ+N97cujdZVT/Q6nHL+KfVLXxEdbOxHWghbTM9J9hXlil/0fzRk
r4zB4Dk51SkR21AX8A5Vy5cZiXBevj31CkGzVSa26F0MIOcmext6z/xXeTsPCL0b/zndFgl3KBDG
aHwqOb5E5klSnEFCSlXFYy82NVCOe87i8fmX+268IwHXlY1vKkBaYGZMWHy5lfyrJgRm7j3Jfkab
kR6ut8iPzwxjont0ARGA3WW8AUavCheoG7LNlKChqCGE1PwUgZFTDuAy3caBB+v5TUATcH+dqube
4hXAFePX4LxGCloE+jayDT4XBVEcsXWQ4f3QR3efinwTzxNZyODY3gLBH7b2ObU+DCVssmcROPYa
As/zt87+MPJzgSzM/nApXll4xBhjJsHizUeH982TK3NpV92Q/muA9Hte9z7ZyfxLzD8Lh4hWibXV
bI1sP3jbyv5OFcpAVI3XINTk4OvGe2IeBhv8ICHec7jmiheADQOfUvBJX9Q0XxIj/87ardduarv8
sJoTQ0+g0SAqcpJYRhWcOWNWDvLO4BggHldB497/aA2/2aKDLRrr0m6DojhFc74b3A+XivuJriT1
hkRgndnm3rPudfxm1NqLqq8tEfv1op+7cdxoJcYO/VeljslxRJip2banvIGEfgOJm47e0Rf9dMLJ
TMPHzKEqCiDrahxPaoNfchmxyT/h2G5nMKEjczyx0VArL8NCwh1PHB3NUh1Gs9+bUshd2TY3HTmI
xYnTVM+XvOWTeTA40a9NTTsx6bCVer7VyS7Wnd9MNiFQozIzEtLdlUd4XBGNpInWkZnttgweyO6Y
ToKnDyyBvp9Jsi7pqig4RCUG4Brr3ZDMG17lDZKPTT62fmehsHB/ntC31n26nOJtd4oxT7hqKCvi
q+u96e51TrKcGUm3rkW6FYmDpO7bmR6aFDfDmX0Qp6B9yrzaeGumTqBFs68wwmvl3ePhRE22LogF
T7x+q7mkFtNohgqQ69pZlyRPc5ta3afnTdeaY4EP50IQzkYfyJ0vkT3AL3Q1PARuQ7I1YBfndQSK
HCnwP4V1HeafFr9hNZG53XWhlhrUqEAQTt05qS+QGa289s6LVdxdk24D/FKFywZ1q2bQOA7ZFnxb
m7xVif6wkjT2UrMYE59dFdqq1o96zz7yIdWXPHJXbKPUke3yDgWjafBjIN/97jLUIzMiTMmlqP52
Q6jkd3s5TjBn4sabWPbjrqIpQZk/h/yjJ0HdIz49Tk8U7Kwi4O5Grh3vZ1R+vOf7DSddfSrCDSyi
n5fsRUJ8T9a7M21MJFMGOetd89B0wmNxOELnNMZ2AgjvjWSjTovfOa9mPCBECpJ21wytL4qgqmIg
zIfUPpuiPWecshEnwXxdaO/xlAdO3LXU3hLlz2j/tajfunTr0IvDYlWMdihoIlOpxombyq+rYU+G
+Fi5e4Qcvur8WfGO5RCaf9tAp1dQoD3iPqPZtgO0oXdO0kBtXp8lytb0m6JqaT9F4WyUCT66/YsW
99AC31rYidDasJCtKiUQGUA4jaRQDbThgAAj/iN3mvNOS/gIotNYUKAO91qzkGs2JaGDuM60WemN
uW6RLpvDvYFhsBVrL9SDxg8VWa92AusOyftPJAgiylDvPvP8hR6LpAfE6n9c/N2AbNHiXYmJD5Qy
jsLSlvuSJbtSuy+qlK6kkLB5R+uC8YAIWoxkRFzOOfnyhn2zCT2FtA08FO9Dlb+KJAtmKCC3ULaS
inkZKSj0OeVvrTi7xkfSlau2DcR4HdN9SUa83dy75d0xXgvroy9+kC+YyUl7nrr9YyomCg1/cT9t
y+puN0TRIFvTEeUY9spmveGGlvmx6rdjBDqp0Wj8LmmLaMpkS7QOnyfFGDduknU7nOtGX+GleTPi
boWkdJ/3mMLjHWoFYuHXCRd0u0n5LjodGTiBBZhpISzOOU4S83chw94q15aB5ZCvZEmMdazaYCLc
zNXGygh5d3X/OVPUHaJxnJem5FD/E+rH2F9L+zwOl1H5LfMwbf8zvWeN4IUw+o06PhbzVNWv7vIq
4XlBgk0IKHD3dfbLdre23TkE0GSj4mQiE8Pi6On9RdPgmV9sZx+x51u8Mgd6iQHZxyupQ37nqmtt
PjMoaNmxcLYu/cVFs87KE/VCk/0y6kislpx1JhjyP6d+b9Q9Ifw1chRRtx/l/CiUIdD1F4APGxav
aw6CIo6hAsGM/pTmlKvOqkv2XaTc6vZQDR7Pmk5qQVjVOaWkLNFcVZ1VYLODKR2+O72kN6anFKr2
S+OIO5W420tLG8CYE4LfeP4EKNFlFUfeIUrLrSgfrq5sOuOpxqCWgoEZt+F2wb1fOSrPQBZES7rR
7benIkjbdhoSXExYJYNsQU6BVP0ZBK1MwCjHbp+UhABYVzc7TfYfTdncqmTGCaSVg86G2DIi/Hn6
FExIkcZ6h+KW6fbWgJ4PCfi8lq9ttPiC0c3NXk3jw3SAqOwA9xUKfo6BtIEUNrZYNtfSTba9yqr8
mXrxLqMNro0ODqSFqPfAsNiaL2KafS4d9hBG0Gb/rGJRE7EeJS9yR8YCOuyYaIyC7oX6nKdnVJLh
aItQj6e1adGmU2DqS+BFuCz7cwfKanu7QcHG/RkVQeMeU/54qz6entRBf2/YrpYHc3hb8dO9c8Jm
LJn29Eer2ejFYRLvcTWCJd4cCpmX9QhlriPtaZe7k+PhRAhKnRLGtqB0TzoEezwyT+s5FPdEVVBo
Z9QloWjm1Q7NegI0ulFHRoGPX6n4rOqvobDWZRRd7Fb/yqvTopabXjOCocGlRCmCShtG+1AaTlxp
HayRv4XKR+QXlkSxgcQbETLU3rise4rfOT3EAfF/kOhdmCiMF8XwTWb2oekWsRVqNawFzq/SxEkN
xmqhJLTBkgrD2Kmu/GsilB1zFm2LBHM6oQkS/xpq68ijUygTyJ2quxT0nwkpK64oHG6ZZ0lmwe7d
imhbYX/eNe0cEYjZlkwVafPrqo659qbltaRSBvPAv8zUzpMtqhfkbUq4CJdereLVLoFPSkzeE4KA
iZ461S7EU5b3ugjlRAYu11b1Kon82aXLszyLznitCFPegaQq/W7xPuTsHUFd3Y7zLUVlZQv8of1F
SdC1jmQ9INpCb7UE8VTuFdSIEGWQg3I7Sbyv+EhF767U8lAUpEhQiRY4QqNfPfH+c9pu23llEBX9
qTX5kLvmnFZFCAi163hP0sr8xJP0ahW8O1159TRGM689QSfjpo/PUYfIsqm7dTwZXPALTdeuMfuD
5byVKeekzqeO6gWNlfef0VX7XqX3o14efS5ftVEpASQxqbs/Cza5HlrZ5S00+AW8mqyVcmWN21Jw
TV/6/G6ViDfrdcb38KwNSJmE80xfDSNtIGLXJ8E87elv88sl3srE9s3K/FazEilTuuntg6m3LJuM
LYQ5QIIw5VGT7NGaQ+1IRuWE8N0x8gH4Cj0oVHw8IN90qCSrCYbm6Tfo3hbQcDnBleXkw0QYFPp/
3IwQNMp0rXSsDS2nPyyl+0DtPqLK49aaewt6f13X1xZPTbWdoHBxANJgRcN9om30sVw3nMgEyCzH
uHugZ1TnM3oUy/22xDqJ/3XNnr7UtOc8PXfWiUiTKjnJZYcss8nfaiDOeeuNIMJds6VshrJcKMpL
0X9FXZD3T6IpAAXrBcmSzOevguMrfh3GUI8+RoSN5cWOTupfiU5tfpF6gKBQ2mHqHrvukCCgIdWg
o9rZ9TlfOuvFJZGGH82dV4w8McwKotNlPqILgdmjExFwISqDuHghskA2B6qj5vFVlT9Nc47JTqkD
lkLvt1D8FF2/TUpBuvzV1MPF+etovPDIQpvq+ptDNgCjUM6b2VMgpfn1g39EosqA2ZzNO3tM8l0Y
ezXZSnubswHblHXxuyOm7qy31tvpQGmDbzC9tp/KeDOGb6P8HZLzUvEXsOj0myXzTQqP5n/SetO8
92Xc0h7C64HuVAeN2tmonjzvn26GVRUKg9ZpdD8sUUHpWJue6yG+d/q5Lv9rO0C0u6AYbVSVtW4i
qtmJ6HtAf5v9Ye8ozNv8EhXRRk0Ri8qrglSxAO38NsQ2Jz2CH2lUaT9G4mlh90+nf246I0dGFDCt
PYNOcbR1hvFqstpqjQ7ZqTE9bnSDq3qT0WxlopubxToVv2bJS1OcNGuP3zTK/O4DMZY3oSz4rshM
ohrO7kOQE706z1m4KDur4M+yX03cwKsMgf/YH7xBW89xgFyXnZTYtRjZh/hjhZJq7WttSE1NMm7U
5pNMIQJN6JfKJYtZ5UMzqPnDcdZef5aV7o/lIzOeGuUXNw419UTdU17/JZSEWVPYuX/8Wnr2ojyb
SXd2tfOah9GdB/Wsdr5V8J/KNl19depTSkaAbj9Aadz+C8NFhU5MAag+UffkwRng2ks4Ckjl4I5A
eTAuLpK8o5WRhsD+fbHFCxcGfAxCXcN11o13ihjA/4PGOBhQroPYuAm5GqoH4PzWJBCnzBXusjPL
/ZBxZOoPcAgiSxYnREayPG/p+sXSfE2HNggb8hGAg0luKSlmUrz3zr4b4AattZ9iuhQRy7xmZB60
CHXaVcxWIo96+RVz9M3u3oV4lodFfSzW29JfMlQcgHJ52JfbAmlmCvfeF6fCuxUGIg2mOf43GEmm
n/IMIKb1CXSC5IqH0OtA+8hnskPr2SJBIdVRy/dMOU5EPTM6lOwYgcy4K6HRwbQV0b8abrRG7I4U
1bN/RxclOCt6dK/mcktI1LovaI9iRUz9rP+q6nuGnG6Jjtr4o0gqduZjjqLJGu+ltinqwMEl9zxq
KFac/y1xkIiTgDc2/mie4hjdVarrFy0VdgH2mSjtV4Cfa715UedbMvNop9UaIycY9X+89hPtPe2f
yWCetNTVQcwVI6r/Qw68nN5TqF/gga54NM4GTlI8l9WNdVQFgN1H5db4EbAdgevkHibqUNHpZESZ
XTaggfXWnjAThGYUIujQxIaALKDMc5t+1ePFeRB8k/WvA9leNHO29SG1t2hvcy6Pqr3lxiaDonVW
TnlC3lbJzVMo2AaagRrmXHcnXF1+nussI2Ev/w08Nc1pZPnM8RK6HfVi8+9MZ5fL4Vsqld/GM5EZ
od4zmZy6GvCsIHHjYRaWD/xi2YyKM+cU7yVXwqeX7eFarPFYmryXNpkaV3ZhE5PqsnWRjkikaZTP
WXwi2inRwgkglU3asT4T5qO5Dq0MqTEaZ0kR8fwTISvqiP3MhyGQk7fNG/KRynHND4YAkcgVV/pN
ab20rvxcAMhqihIbF2ctOqKxB7ge4UAFzZam4iBmNjZuZF7s/mlqt4zQLZq9kxW44ynlmwrfaMUe
yw8MbKP+Oo08FFZ98kpaboYDhhRZ/2VwyYgXSEDaoFpBTPSGfy3sQP9NqPiKZ85oQmp8drlHHdaw
lDj9hyCJo7cO5ZSuIdvjIqfaE+6pDUtMv2pBiTzdGzE0eZ2qwPftehyIK2jtD92w/otKfZXNx8TC
k5MSMSBhBLRbkSWbBcc13C1oLq1lfcH9OGAN8PY6wH5tAUDEdtBbAmbk03EjP+X8yzm9XTs/OY7c
QzwGQmhbkQ+vc3aP1C8EX5cMpCVHgU+INSNLR7qZerIBrTVa/ySN0QbYe/WqRp2fu3BilNdGtJJ1
Ezr5LzXaxsteUTmH9Ql+4RzbRD0Z7ibuoE+IkYzWi/Efa2DelYeU87PkPbetwo/Vh1r+Laq7sQAX
Z3S4k/ImU7lKhwWx33JoeZsGB0lolm9VBU+Lnf0kZb4160Os/i4MjzSGc9+QC0MKGH1ZK0e1kFs6
aFj3kiRnsMOd7vw3ZvU7bVxBlluUk6JTJqvLkHe91TYLsJkikTDCg+bsPGm5NkGZSFwMaxNJjwqr
REfJzcrkL17VcCFuxVOBHb2m8EnblGwcPTsMQi5Pf61N99Wd6s/O7fYT4TdiUE9dvPij82w/PsoO
bR4JSw3CHg/vQy63VhyHOJGDuS7XE8lEDcZRFQNIZ+T/EVAdZD3DqVS3Fbupor1adRGk0bFpXtL6
tdTQ088V1I64JMlA4F5CQsR34lKAmT7Mzj7mQq5zDAd4ybeNmDExLLuSbcQb2Ja8cRPlz6FVDY16
oU3U205oKugEPxSyZfEpcOxqVJN5XPTx0/CMh8/aVM3TIJJseoSB3lT7gqKmvBDP/ejVGNnMCi37
KZNhY5BgoZT9Jbc+ugRNaKce0yXajVX/ZlmE6ePgjJf/3CG5TzltuuRD6FhK+zxa0curIPWu1v30
UjXVOiH9zi0HICUyt6yPycEQkWj6T4IcvWnwZrRkHwq4KwBIgWECtrr33iJnHTtvgm8Txfx2EPGh
oEDMzmkfZNEVhPxoReJPDDq6vMthM6u7pa43BUVDLhyC4wWzG68V2rmbmns+O8/EdymlQ9BQHcYS
cZ/xbraH2QonjjKTbS83QQpUiIkpAziDW8lhNyQ6rRg2CItvl6mhqsKdAtXU7pfZRNekLEL88Qhz
gVq1PjAH+B6booGnCJ5gBc+D38RqNcbqh1XZaxe0KI++lea1Kj6coQ30qNpnmukbHc903W50mhga
9rDENO5CODfdg82SnF+x822nbNEVM3xsgibmW8mhmyOaT8ZnDl28zVWqp5XkZBqQIBlrcd4kH7VK
nxwLqF2cDP0NGyaPfb81daiyCDvpfE+XnuIgj2/nMlKOx6UuZLYbRgIGnokETdRT4ocVKrGnlZXS
blYB/eW1PzKe9oO2XfR3N+X/sy3rLa8Z88ETiBrekXcTog0HwgCkrnA0zI1xlZXxpZpADMhutlM/
hkXCmYGlQUHN3jYPfU72Ncedw2wAQM9sGof/E3Yey7Ej2bL9ojBDQGPK1JqZTMoJjOQhobUMfP1b
qDu59/Szrp50WdUpFsmE2OHbfbkTassxt+7BjOIB4RnG0dqNwFLRg7QQw5bwNLOudwK0u7AG/EOY
OuKhVvwzxcYi2dmdXCn+W1mqoXWzl7NtFIYW5KJam1mLahC+T4mDP815kraztQVPZ8cb+QNUf4wI
emNHtlwu8qK8DtQsuqXA3cx34NMtHobvZqq9BYP/DGVmEdXRjjqPx8nlFD9VASHD5tJY3TFlMeGy
9gqq7FSX9lHyYGkipgn6TCM+VRUGJ6HFuwFNyPankzTapxA1kZzORgcco/nhRg/lpSv8TYNPzWz0
XRwMQOLCQ1+y0wyZFproPXVjJqBvH5LYEMI1tutTlNdn36lnr+5dc7nB4o6SGMaA7t0jioTZb2tJ
FntusC5Zyo2ZQxMmdevdY0ziscjUSVGya9vhc5RHx9puFrIZNihmrJ3SGZe6DASJlWQ6Zrwrs25b
t7wGo5uhKiA4MEhJtFtqM7HAVTX319CuXIJa/qA2Th8ueXM9Wrm/Mdv2aJFbG/P3YAqR4zNGlmyn
wfbXPWpYWHjkbGLsWJ3548fWTO7S1c8d6NTCs3jO0yoajquGHuY6T5Avg72Tn+u5gNb213kJ1XVq
OCeaGD/Nga1BG8U7M3G+YP6choHJsejbuym7zVSJm1mhlAxW86ZbPDhUnqP5mSR09ZS/QuHCflBG
RBpV/122Vb8UZsksbOS/XdLD9E47JHcTh4Prlrh1MDI7uRn9GJSX75EJ5Z4IsXjSEiWvjTO/wizk
fThHJ8dADivwmOrOyRBiWomePaaI1Gdu4JDhSF4a3402B0016yWlrSXSaszBHmh1XbBCHDqOdwWB
yVRUHn3lBpHhrn53bXcmf/YIfowTXvntFQpXa+9hXJq0X8cX2oIUC8EzxepKjJz/RZg4e3qxCc33
5iLvUV/tCcsL+G53hp+57K38L2usvhvX3hqxeEyZjeqw26vasx+Cxn2N4+SMWLcIKTd3neg9SOUm
ZAXe2OLukv1+8B2ZrNohvqmyYcFDONJp0iPV3o7/0rblys//GBXb+2apkYQ3gmDZixrgscd1B/EB
M4BVMTio+DQ4ExmE8GO+fNUIlqmg8hsrT0UueIwxz+TeKot/+lFfZmO99dRdL6tHmXTXpvqkbDaR
I+cI3A3EFB07epr498se67+7t6q9ihFX7F/aazV8r164Na2PDFRQX3R3HeOutO6NVIytq3D8jSYe
wMRx23Kjxz336hhWi65h8psmKDBMn49JBJOvHFZZX5RMduoXXztiy+fgRk+ZPJnmPtNwbzKjFdgz
J6M9TD2r4DReSc+GJ/LkeeR8o1VAQkW5MCKL167GfVxTJX71e7CibyI0iXJgz04PqU4wFVxOqS0i
BSkgX/g8i9Z2i2blGHgC/3jZZxrdNW6GJNiJeN4aVrdehheWQicd6KvRNq/jeEg5clptujFlvo74
+YV18ansxgjNM+MtdKrVSG+woyGz58PdDD14HB57Bd63KBch1elEpAitXssx/tR5fKQkeOYJQmfo
GhxETo+NIruZGMyPIg42jU820xMmZjJ47CFZ1W0a2nzIcY89V7r6cIK1goBrf7rVwdLjRVJTRI0O
5KcvsBXZZuzkxEzFOdf3C5qCnReR1pvYJriMXtk5aBuhyd/n0dbbpExrA2viU0BzEBLMdsxZpPj+
vctwEvC8zlJxsDw0Z2ItZRAA4c2PU2TvI2IvdY8viieYmsQl42ggCV/3B8EcHOpPqXjzzdd+zvxc
o0lH50XjiBZpRvIZPnlH/H5+YEuGMgO9r60+1ZC/1VgeJG4TrX5PivAdmfoQNCztSy3fuID8uQ3s
p9GiFpfIFFyhzzYZf0evJftl7Dgerfgijz5+6nWmagSx0n9Vvf2V8K5/6Iz2l55dMMwab8TcSFY0
jcCqjKfXUOdjPbedDq5D1YvZISEb7dTDExji5qJwSNS12HsTyzlBDrb3cYRoeOwJ1REUfphtpHl2
BDZ5agvzSSA3jN7MlaHiua9ObV6cs745xn6/6BjalXgXUIarhCXd46D9pDyd+/4nIYaeTS8m+n3n
nKzEura0OjY6ReEtEudDaEYclpJTA5VWUlXtxd86vqFhYKKzw5Stcp3dDVTF3CUU3o87jTgQd9+S
MWvtMLz0jPQdCk6MUKmKcQ/2Ye0FOi9YTD8F6U6+TvToWOMlb+un3DDYTKLaunb+YINJ6IC3VdI6
1gUCOUOSQkjgsjXrbo/taB/0Hr6pfF21GBC4R6MhPhim9gYO6S1gU92TqdDDckV5waFyo82A4d8J
YbbEwcZnuK0K7nSMW0UcctdsBw4vRaZtgkzbaUgHhY60VyYDzKMAxVbcSSy/jTZypT6x0cIk268I
OrwVTvxaeNXVr/mRKrt7qRzeIuwPQvZs7h237LmM5sOH0flr36riTcMpdD5EnsGWEj73ku9xyt46
X2c4m+6jlyxAigzLrkmKhUo64wSeQzsPWX2zW/dlEsZ5cKpg2wEXWjXJ8E5wYfbarN08/wmoIfL6
CTVRMOamYMm1cGCPAG3oIumN2MgK3cgYy6+k89qHvuZ4LqfkpnnjazaYt9GeCQQ1ZWzAP7ssWRlC
H8/lmD36LRHX0PBeOql5j05uP5tJ9p3ECB4wRhr2xSzxDbpZFnJ4LtC0ecLJkagLynr3FSfjuW2I
hbWps8UVSZY43PsmaTyc9zCkWelTzzg94149SvZNrYZkb3LFq0PBD4NhO6v7mynGRcB6DC1Vs6KF
ZHPRtFuC3uBmJh5uIkVHKBZeV7w3bX4O0s8B6bRV8X70OEXJaxbTiZIN/iZyybqyD6kEHVtM8tto
zLAzWZvaRA50EwoiMR61slkoXN0aLmiPtZunB7uyTFaVHm1k6R2aWrvlqGBlOLz5Xr5uvM+khzDm
twRbi12ds0xHdTL0kS/B2MJf1yNEqcH/nWr1HWkbNWWnmVbfc0ozKjpdLorrjlBhTlqtRafK7lkP
+VVg9KmhR/fNH5zIVcoTOUuWg1Ovo9xkOYKNVwwXmRHtD31xdCkonRqQixJDX8rsH6/72H9JmmgL
dn0xEJhwuEjafAZfuBxntAMdXbA4hr1yXTJV4SKFNxBFBQpAcOi1y4w5H4Bao8E2fBozAMxmPYTR
cOT9kYX1quN5nFEG36L6xKg8GdUcFkt/kHNc2OzjYU01Bv1iiJPyp9DSJfvyjZl9V1a3Kfz2o/be
ACmsu/aUsvAZ5w2M/zLZQBOQKjNWPDp/3SJ2Wsa1jIM9mPe5tYCodHhJnG7dI2pDZWWaxONnabum
wM0ZMXKELXPWd4ZpA1P8sg1hJEd82qV2QsGven/bzyBjMqE6iEqoR8jBvDlKbyGMdYTFJ+Yik9J6
HNg0SYHTm199Ofq7PNP2KAM3+mgudYJHnmxWUirMfdaO93xSgumZmLNbvKwN8GbS4hd2mvgi+c7C
9mJpJ51VzeR7Px7CaG5wZ3KzxkJs2jZ+jAktJ8XbwIt31A9ml10CjaW2oR9UNJK6BXVboQFb7Upl
96C8Cco/wrF9qKhe0HAkuZ2zD3V36Sp/a6HmsQxIA3UYkYRi8MmjAn7jmsw3KGspFDwr23hM+AzE
x75zD077K8efkONLMfAuBR6Omz6jjsgNA97ZLB/yftGK+KgZLJApJQpquScJ9KpHzHimQ5aYI8lc
YqR7tzpi5RE4pJAr9jXuNGokC8VurKsdHM4m/PDBkBVm/9Rw+Wlt8xRQWlDx5239XIBR8lNW4k3/
Gs5fjgBfTILEoZQ3njhyBPIyetolyLF6duUi8UGHee2q91g2WIBFfbmVoMNczCIBrcIGuWRH2A80
tq5LkWx9ogg2arwnh1XfIUey4gRtvVbYHEx/eKpdD1QDxSrVqxN8AvxhPfGSEGBvKdNM2Dnjnar5
Zerz6YskGphbRtxg4cLXawY+KbgXlquvHMTwml9LyqQvjInMgb9m6cuvl9E8vDV6xSCO+BCqRQvp
oanWfg8CRvsZ8SBIIVfSKR987MYpkoSO42IadB4BLBlZd0zRzWGfUdVnT9BlUKlNOg37gQwO4Cj0
2ZrdxJE041dQN8eg6Am9GLCU0l3lhm8E9IKFjhF4cqHP6xFbvAFV3uIMAUn9JWWitbRy29rWQzBh
bWvkwsCoEyJujKAZpgTOtklmJ3B/han9tCI725Z+l4531obolrr+syCHaGCxdnSC9aZ8ptX9PZXd
sq1pxFDmThPfJSFaYjocP1gx1uZ4tHCFQMgF3xnR09BhDo/VugoRIgI03zi2rhOwFULsLWdzBhby
CLB7ALYG5niz0ehD9u5Zn+wGbTaa26dUzewzr7pHBr8biygvq0c/sVdx1O4TpZ2sOfgKRAokN1ZB
9zXrRnKHH22OQUs4q7Df+sS7h/K3c5/q4c76FnNcQzQIpzJQnEgeEQWD2fiAkFpGS7/YDvrjbKFt
MC3GHVHgd68oFmPGQE8GObponociHyLNSYYqXsacJVJJTUH0wr/V9l8mMG83glCK/0a+S1dg/eGI
iQsu7NYEF3A+Hul2YO36Ab1iWekYi4tkHWfRaQASMMYvRV/hPmCWdmnrCVGCsBybXKIepPbn0L06
HQ9DHIX4aSqsUx5SL+0qDy4+HJqVtviDS+TNyOUVctDgIfB4YZCgyGtlm2xF7dc0/Wzss8kniDEq
aG8+N2EFJIOxRH2HAz0XcwOI9kxm9jZV3zlGdKsCbybI4SYbBburwqfcy2kjuEvcdZLdIpd7swTH
64b0vkSPevaJlmKkOy1goi7Sg+B0puAoh67CdLfXiapqPxF1C/xyjBn5kHB9ojBNBhtjJzsMg1hw
Bl2Z8m75/kMf3lp7G/o/ef9OgGXiVC/NMw+afHqJ2QXB78/epYNwQU9Ze7frlwqaWHSzhhvpi765
0T7UCsK79TMxK8/klY31gTddz4E0+6UHhUV25G6dHFMOMhRqtCrvWfgS91hZUWwwdZjW5wSSWG07
54jEVObxCsjVDD+S00nTTQDsz6Dwgoc+xXbd+5wk0Ll56Gi8yQgKlDjy6ubimtZCy3W+HMH74G6n
TyK46f45gqXSfFnk4LNni4dWbwdLp3s2nKXB56OQiEhLLzLODYlJMxDMe+YQQ1tV+EQ9+54REjXx
sLJmWo7ikdjLNmEskire1Hw11WKneOdxuc2St6BmSQgHoexfGefsmJwCY3x3tsuFwS6k6W7J+GGq
b1/tegMX91ZFz16IubhdZ/iLM3WbA1eh2MX+KSXLP5wSnoHjNptIrD/QWwBHavI4796S6GAMnzAy
DHUzvNeCG7I8ujx8M3FLYWdqFxf5zYNmHu00nBkBe01IVulymFATRo435UfUeUcbx1+M5c1A4XDF
RsOaTbSf/dChZcKP4rVtX6sCcyqvsondezN7rMRDjpHSAuakdpW1oUrtIWV9rhh+i7Om4B5BsrEx
BL60nsSPSKJuAmxX3pzgh6RTjcc54Q7HlcZjS+PUTJ6Vq2gv5kc4hsj2SfY3n2grsSJQacju8Ht2
rG1g5AzLMHml1QPbjDN9m8OpMg8T/i69RHAxaDxa+7G21jo0H2QdOo1mezxUJ4Vv1YFZq207jtfu
YO6U2lr6iyWPqnxK07NJHDDOOA6sVfaD596LXrLhsazPgevCCtkbilGXER/i4nTr3I8RurbDkKLv
smqfG8VajPsCz5v35qiZcgoVrWfXsVLdn67/xfS1NlCJXUx1GYFRPioskrPfIX3Q9fjJaKylUTXP
fW2u7NA5jigtAJz3s2uE66HIprfati45pAuWz6+1YdGton/MdH9TJAflzvCW9nGMYBb53D63jA/M
xiuhE2kHT4afn50vya+FEIK7/lgZwVJFPMbfVEj4pWMEvE6ogwH+uLq9pghwE7C/jNuuSA5TPs8p
V8MbSJA+jsldMDnPHTySA36YxdyiD8b0bCL69SF4V7kK6EGLgqNgMZRPb2351UuyRPHT3O2d1O9h
/9mIXcRKzKrY/1kzbeYy9W/CJQUhoUqUJ51ZDG4qtuZxpTnNsimOffEnx+PjTfayDl+9tOJo/9pP
D0ovz0XO9WgRvXYfyf44LKO1BJzDMeflHE5UkdCZweel7Jcs340hGehsF4/31nizO3GNqSbJMDh0
5kc+8Xbndkv0gNYrh5Q2+Ki9gc3U/LGHd4PKJgQy0FUUTBvHvP0MAn65RLaivjnpNgQ0cSJ3Ggxb
o7ZZOgKIfYwCiYELQdi9hHhYE8/kRfcW6LxOIjpd5+MVFRiOhgJhtU+VWa5M9rw6ZVkt7ohIHYxZ
Vk55oX/P3R456kBY0tBE9Zf/7rofdbyJkicDknOB7KxZtwqzb84ngWK2DBIMLSgd4kAmm4Mm5zNM
S473bKhkURj7jhVjNp/AGWtMeO1mlRGx6N5YUC6bgDwGv8ui8BbKvBr4XTLSQ/Dq93qCQ5FcgpP+
1Fm5Cyv/CDZ9n+hnIX4149ywU7Q5nchijbLh+AF/xyOqtM8xnw4zbZnlvaZ6bIU87RVJ/dfKW/tl
sKqdx7HFFtOu3XGXGhia4rWsE0z8z4H3NjTVMit5hvOT0oa40Mcemc1bhzMFL8ciq7fvseEsZMTT
cBgWNvn6tmRoAbHQ8CSt8UKndra0o0vpdoee6R1G1WaKmV1MOkfLgmUaQA5mrLEIH2T5BNHqELQb
w+VTr3GPe8S/CWERxfNSBZDL2EGAOowg+kTYrliv8KydndwYJoiKrto2eaQBaqGiTylhWXgIQO4i
JN3kiWtAwtLSq9OIflR21xIqH+KiIaxFYdkrgJc5vUgxFrYy8lYJIS7BMrfCfDxMBxYFy86tN/PY
kyFuTjyyTcz/kj2JPadnKKuxfhn6AEZVxDTTJ5+yuxRAThzvVcUzXA+PYZeuDSn2rmGvTGrizJkv
VckleeoteVdWehP0bUxhCSb5Tl83tThBhFpVOAvCzl/61JjWWDVpJJIywsaLl6nTjlr7lqMUaPFz
JHcixdSQ8phBTGmsr4H0ndlUNISeCodfmEEUGogVC285xauC5ObAVxqceMNi99BVvM+V/qeqhgtQ
bayEjMrReM2UCyiGVBpE/0OQipVjlIsGpGEwXFIuLTMQOyajfQTChMfV1pfu3vSPMHW3KtiRp2Up
IGE1tgtTqKs+aOs29xY1H1yVcUrTgqRY+bazsX3mOe9LT8afKUbHwpST0hP+EBkOJKcJi1CU++IG
Z5WdimHruHt9n1EuoG5wyNk7BIYnDqKLyKuXCjUzCer3lJPfoS5c/9w7Rn7rkiKmNMH0X8C99V9a
UTngTjWH4ueQu7jUYrkwoR1esilKmbhMPhiPfkiehQXLlFShBqjQgviZl+s6VX8kT8573pP8b7Xp
BMzoj+tMoFZdc9cnXOmipyExDueVfRxHyYMUglaiSHj2meQY1jgrMtn5CiJcDNYMFVmtLNy2GHba
CdN5HNUD/uTev7u5lm3abiZr5XHMU2Koi5MjjYhNW+gvOvox8fL70V61FWh9WL8bW+Mt6hFiWBtZ
BIMvnunPet7U61LXg4uG9PrgR5Xw5xC6twydwNyYxBDfqZzM8aCMFhrMGFe3SLjrokrPpawggoMa
IaValY8wyw+StiIvxE4U2GQykl8n5rG2btzWXpSZ3n+5WQurVRiBOrtl2bMFyNNma0SstnBYE7Iu
AxXAvuHAABp0wnBgGb6FV98ItiwSMohSbaNuo6fGDenG7FY1XXcoSM5eRCbnNVvJKz9uKu3M7ER2
AnbISrT5hCOmCPd1lUYnaSs4DESH87Ue8rvKYzdYgjwqn6rc4DOyamzCuW9d+YnB+SUgo0iGefOO
tTeHR38c55dhgZGSIAelS6ov2FzG3WR/o6g6/YPjmmjIPSxpE5UgwTCBJospsm7HaB8LDUZsERTB
PbYQX7ksWDT+Dw+tNDhtVm75SnAlXJpZ529Gt2DlGnnaOTBpUJiUmd1C0bqsMprS49HfWycjFAIg
JHRmmrZiXoWd34JWbb2mhWDjBmGPVzZ0XkuERe+hcbN4x8cQ3DW/dCmsdFIiFo7LDO9pjdOuleaJ
fhV4GZoorGT7aIY68aU+TzY1DTuPCYrvv9Tj6P9Rm2HSyOBJdAhH1/jfX40MpiTOl0xUdJij/5Y7
XJhN3PxRXbcLaG320nrtGNhWSFU2bbbOmhBsD+knDCVwa08Os4PWMEdTfdyO5RP4zJcRx9u/FEf8
R6OGqeHvmhsubN009L++xyz3J6foweb7LWqEP3hkzHhKUV6NhxKMzb8UavxHa4mlEQA1PEOjTVwa
8q8mKn/KgsnlCbTETBVeU57Du1yb99d4O9b//SeT5t8/2vzfMqSUmmMbhrT+ai3JNeVkZC8puI26
OcRDxHpdTCQCcnjX3IjAs6gzTNaZPhcL5z2hNktQQRNG2cp0Zs256NyFLYvgX34J5lxT8n+qOv75
zujk0h2Efaq8+ef/q1XEmFx3cFKPc2HNKZ05sm1461LmZDM4dnW+i9LePQaliy9kIkg7NZT1lWbq
PtL01RIdbq2PQljZay+j7GBXkfwsnbHnSBND0zYwhmtuk63icsreC9kAI5oBI1j6HEvv2QHoAz1R
2gxPok7IqOALAMQZ5SwXhNtc1c2+VXz+VofHDpFMv6caEmyHpyMzE7K2Ni5I12YNObBcfdR0D1SS
sPx4C7mSMSKNxq2DOLUu9LT+odCQvTeLB/wb//0T/o82GN5amu06jDigGHTvr2tXYsPQWocGrqwA
ism2HcpPe0vSgNArdqB/qSmTcxnwX5/a//nPzf/8f39q80+TRGjSkPFdsFb5APCO5zpJslXkVlce
9aTYh1tCU55huLyGTBO7d87q5b//3Dj5/u+3AixIM3XHmrdL3EiO/tcFVACa7KpO85edwEc4cfJF
We9m6q/odqqItpDpMepeR3khMbdRLcth5jlwM7RxEdj6jsMUHjNBu5xJtT0lSM0G2zUpviBRY07a
ufVFQ+RMCKyVobfqimlRss4nJzakqFDn2KftjLphyc9p4C31MNxTP/RpdfWLoais5HgIAZ8Xz6/l
PEt1rM3TEP9AiFm5De4Kf2Btg5wkwDAdJmscH8qhpSADuk/IazlucOkCUcgPFaDnMFy7Cvzzq8Es
VpOcEMRTI+PRIG5B8sFhsCjIY9Q9dcvJzdd7XowdfAT+Ngf1RUskifoMIFV8nxRn5Ryoc3fleps5
xIyEI9mGBupIrw/9JaUQBweHRtYkRxMEZzHxnu2pyIt+Esw2vKSquXh3n7jrALp8ctXEaQxfIxDh
k8VsOo/0CAWpT4VmeUkh4nT1oWa+C9H5HMPbOB6bIPk9ireZN0HNBaq/uDO4LM3224FaiBC/SslW
dxxz57RrpPebMMWzjOuxJ+WJzkfZ6J+p0W/wEB+Vx7GtJpM5bP3OXtBzQMw6PGRor4ywSxBG/yw2
8ubZkR9V+6fs7XVvc73oTzmqNNQDIq/PDfPPVFj0Rr8ZXDyQ14AuV+TldUT+q+1Gq6x5IlS6CJtz
4T273jqtHmP5J/QmzCwnF/9uuO9YqbW4XUi5s2AfTo06N86vAE1maLixtxHuX61aOd6Hyn8zXSHD
msuA44pwJRAfG1dhuMrAufu804GFeBVSRh4Q8/k0DHPTExojkb/s5z4Izq4wN1cVujjCh4d+pIeA
zA0WRGZyVQ2WMIZ+fOjxpmfwK65YbCjo+7CA4uC4WtI0fJoDMfVHPR873M3Yr4QNkgV6C9gzTtPE
nbFRnpXzjU99oNsNwqAvtpopaVIlpFuX6wbMOF2OSyYAxF3M092mTp+dCQ8xRnUnqtiYMZd5AW1V
FLN2E0Ad9ZuPWCTL/NKZb6p+EpOxGEZrJbX4ZJv9vnHerYAsSb7tg9lUSLkui2fce0X52tHg27Jn
sUu5CBQ1a5TW0qrW4/hg+auX7aJx0lMX6Rs2d2uk+fmc9C+PXVP+9f765/Fj0KjiwZwxXe/vx088
6qFp4qTC2VQQQCsWtcTLfq0Us6+EuZajPwzc3ONb2nkoFI/YvB5GggjAKRZ2LdYxgAk8lVnYLvIG
NbNN4qtWyKtZGs0KE97BrSF1du4/diV/YbTUfut/OiIKEcDvzjzbOq/n+K5HXzEnaR/W7+jsKS5e
DuPV6pqHuNEw+nC+nrkYL5XKqW4tgatQSqxB33JMDrcUp6AkI9QbLf9+xM0a1NqVlqNtrPjDaVlu
Wg5Q1ly0blAQZDz31bBOSIgG+spGfgDlw9ITowsEhK8h/Gkk9Dzj1aQkor4H4j1AkE55SrmbLngq
MPDmzsVrqEs6RWw7C+LMLLN91oUUBcAIAqaCmCvmK392HHjjbmx+gRxum5CIWzUdHau6Zy7ftqq/
6yw+ZTlaL1xbc6ixpbLXMpzmHSUNTsynaeFDLKzD2ITHxODhX1B5UIRcPc5TAoQpVelNS7KHnlbe
ZgR6EshVNOoYOImXtZygk+I9md21Xrf3i5ajebeUIHpNqNR64W4migN8z9rrrftcd/I979Ndi7jk
GA1FYRzdes4U9q20G1C68VLPXp3SpQ4F6bf4UGp2T73a+h/f9bmWdx4s0TjnBDFsRPFpNS9p1Ry6
kRATk5qNdV1BYrYTdn+scVQTPdYahcd9hUBD/0qkw3K5Ze24G0xMz+26pyAHQm4NSNqAzADcP+f9
UqgDtYYLGbzRUPQArnSTSuhpcmYN06iEupImd4uDTViyg8Oz4fb1gdJFRLgBnFa3YX02agp77xY1
zeUPDOaM+oqXkXPRAFK1zj9YIxeYfdvasE13hf0z0BA88cBvXx31Jflwtfo5htushj3d5StPkgbb
hGxeXGD8efZd9hDPOfJP5OUhgq8q9cdjyCgIjDrTpwMuWtD7laK8KevC9y2sQ0ZuGgWRxCCVQyo5
euobunGiNqXGPUZS2jfJF7Kz8Qg5PRkg9Y3wSvJ0kcas7UmtDBkbfSJVBckjh+gA3MP5Zd+Ev4qS
GWPgE787WnZMWPgvBkpPqNOu9gBVsViBVZd3w/yJxHlybxMQAW+2aoNaYXuI/C+aQw6mI9i1KHRJ
vbSi944SATK2jQ5f+8IMoY23iKWBCR+z/C3NX2XJS0Q0tPXtSwtHIBCrESeRSneTQMNm4ii17yHm
oV0lX+jESwmFwuvztwi+8MQ0VMPeYZI15r1EtSy8hkBie5/SmC6AiEr3x74y3pQ4Jj41AvdSboQP
1rI9hs77qHBr1Avb/gQ8sshmMvTwTcEUNvxKHSrimN6VWE1VXGs7Bei9dvjqE5EA7CKKxwj8voeu
thZ2XOHHwexMD4btk959c8ZNl05rZRJ2nW5TEdDNkBL+eFdmvWxJIuDm5+yFJ6z1F6IgIIWJvlHz
SqhBmbIq+grGdd48iR/lYMo3ljLDABx9TViJR5Zd0j1w180XSxu9sUEIqfrlvV5dVXmOmfFwB5st
qvBIvv+VbMzWj6er8KZj7JCIXtZtTsmEx0WN8q68epNBPQn/ZXT96/z3P28OV87HHo/yOOOvAkdV
C6xm1RyNt3N5AFcFRUrQPm7Wibb771Oy4/5//2PIttL1pGfq5l8Du1BuXCRTCC4qtnY0olyG3jja
4zIRLyWHawaX2Ljq3S5mxhImCb0Rdc8owSbxpmBjlWJv5wVM1q2SW6dwdw2TCfx90Vb83l+F/qLp
OyqsWl0tvHoHeHCrkwrMa3TbL01Sk6q+PJB+uHNknm2gKhBIx2o+04T8hzrwyP+h/fCAF3sj29H1
5RnHES8HiDQrPxdk9NhqNvx/3+96BPmcOaTNtXXAVwJUia/6S7Rns0lZalOBXBuoMcOD1VyEdNZG
9OXjFp3tRImeL+YViDP7Ezptn6pdywiiEx3Ibflgaes5WFTO8hNq5RyBqGYIiAWjPzTX/Fx4O8dH
nnt9+lXTwaiN+bKvvWXRPaqCd1w6BwWurjoaPeDMCcGXP5TOkT1MEbHtMLkcJPL4DLUew72DF2GA
pTM0bFlnV7tPHOYhBCDsEvLNIBH4O6k2cIwM64ZKtzCnJ4fTeZhvs+C9HL1VBZzCuTREWKPh1yaP
UDDIGv6Hm5UHEVO+HJrPsencCnw4g21sO8Pdj/kJD1loTGcSbRxkv2KqeQjZsT3xDloc0yxE7xHX
RYe0mJ70YV2MVzE627J7cbGlBtZI9mhLpDPr3JUj2cc7O5yhNVxyt7TgcdBKHzIGTmRhloF9EBYS
FLtuBnx3WiqP6XYel+e0F8h2oh5F9/xP1aBtcncraC5sO7Gtl3p0DauPhMEtdc6FOMhk24UfJrtI
p6BkyP2Aib0wNblrLOcW5rdSKUwIOedSf1c2l7Ksn/lE5pL0lLPOdfDaA+N6zW/chcHc2o8+jgew
S7lz9H5SPHRFgp8iXIHpIxsGKEjjh0Xx47XVjbeZ0Va+Shaik0mEB/q5mxCb4rFNATOztneLdfyG
6uLR7dCMgp6i5xZ2G0dyYxtjuSirfWnjmhsoDwsYKbpiBOgjEuvBkgQwRz5jOzx0mly0TbCzAXHb
A24iA3ZAmP6iQUH4uqU2ESCmvBqPEUUapsAyk77rzs7kfMJpiwO5hPVAkDZV1HaM3C/xBcGC6+0h
M54Y2rTg103WFiOn0UOebW7e9D5hZpAocmQjXW2pabucjL9h/fl/hJ3HcuNWu0Vf6KLqHGRMxZwp
kZQoTVCiWkLOGU9/Fzyy23+1B/bA7WoFAud8Ye+1Nf0XkMGNiafE0DeYiJ7YFD0FaIWkl1ELuHen
quY6KeQhiAKQgl5jHLKaFTdsXALKR3NXxej3kRV35Saw1gHwR1GxLCaMi6kgbNCVw0pMuJwpb23t
o7zhjaFbT39B7Jth0iuHheeuBDomPwQvl9F0n3tIVgYFYEoymu5MsFeEEfm1Ly5J3M569b1JAMs1
3ETSPZW4PlI8dgZPq4FsBAGxh2jOiD5HcdYBOrgaTpSGexDh1bLqPilt2uok4cKzy0hgdmH/mvJ3
0upqIfWnMcyw80r0QApwAdhpEKMt99RVLxPjUtLCa7jFPZ1VVrvsGrwLgTmPDLFS80dpR1BhJPtY
FJ/kwEGruPnJexSdVQeQQ2RRR9VrH3aBUUI2wLqEbhSSk0gwgmt7iq+utUGzvVvpF3t5gFy4HiN0
DR7k0AKfZMmQm8l02YEm33lqNNE/URd86jlk/37HwBUtTjBrBVIp/6ZRphCR4ye4AlZefRxYW2YW
6knxOciHpJhymkMUELywlf3zmOIxUXlw5TZW4nWZFO+mzkpg1Dd+39/d4q8sjVvQl8dYXiftJtLD
BeZV5AbMHQf2Rjr6Ddaiqof7SC3RRfxUKr+ktoBks8yjoxHJJyF5cI2O18+eRwCG+HE8cdRM1m3l
1Uczjgbaildpt1MhFQcjfvulr7wPHh7sLKLijkk4+TWEO796CnjnDNQfs97bFSCOCeZizOynK+ii
SN5NsCubRCEt46iMtxxtRqC/QH5xQQdUxUjLom38BuECbHPg0mWxKdnzD6Z/iFXW8gF42pwoNu89
7OM1RVfVPEGQY2zECgR26NJQvW2RqwtAxiPKJFO/5TRLfrqxSYep6JnS7jBi+PfitdWBX5AQMY7Y
mJlAYjaBMlO0YEUa4Hp2gATtK8FzHcCV0F12Egj3IUYTnwRAmPLW4rBCO0qrLDs6tR4+ZXhyaboV
Flmq99W29TYo7+HkSbZ8irGrPgkN4i/bV9c6opUYXFkoqXpHsGXofyLqZGaOvLMvXrUGNj3LzC83
yWeG+mwZIFG6ctlXVH26s0oHdZKWcQ3NPAezWMathtRRshZTIekKa1mAMSTkpHmpkFkKmsu8/i6K
mw+btfC/Vc9Z22PJZvRdJkRIXBXxA6m5M891dEey1DUNKBGGEdSn6F7IF8w6jGYkk1KyzlqXZNON
BK3idVuuONf/1SeLtrpY1ZVsbOQGh4DPSxfac+Pk5C9/gTsGHq/OeT7ScBtMpghmBnH01rKJ8CHr
BzwBJp6cgTyQtHhr25vG73vUHKx7GBBBnno/ur0L3B+8b0n86aPPHZFyN5KLLrx5dFY1+nduEYth
QGSBx2k6mqxnksEQWr5kmXbtY3heCSCnqcgEV8Aom8v3U4JKoe5cxO5ZtphyYfnE+bHiE8FpgxAS
MNZUa+x9aMxqgKYkAFzEJrnVgg38uTWWgCdFxJty8q2T00Hz1COt7xDfO9ai7iFFJliS6YVCXd0K
iOTEVFTUP3TFei+3fjjMRvPq4H6d/G3awJgQKdDCSIjlUd4S0eDILacmnQeiW2T51mR+F+k++/T+
iZhshux4/dBkDi9NIxZ2tG+MLycE1UXfj79PRg9Ex1VFmm+2G4erSRlf1UcRh8smq3cs9DaDb6Oq
wLgpg00RKQ+3DTiru88ua3+pBC3YaBL0XyWqhRHuQcEj7Z1LeQi4EPphw56dBiR9sv0SmJ5lP7oo
XzAxWIy//lxb/7Wn+dss/K86XhcGOyNbsjqS2j9n4V7vyTgJsftjW7aQuOrtshywLbiYkB5lHCgL
x0YMWTbEd6po2/bSfmb0nPxK8lCCowzhQiiwISHhs9nzLXfxH9/g/5qQc445JNYL0tB/H1GZQZB4
zE35BpMhXSA01WdeHUX8cnt9UcsIT3AvHHmSoaBBK+xKW0h8eeBzMSo9FSGE4z9/R/9rZqabwuLo
dEzJEuyfv7HAa1urCip3XptkO0mqxrMQhfnatj0Ck87RYalFQzv8xy9Cm1YBv31ShsYmHM2FparS
+q3jipVAVnpCAk1f2uVF9QH7tm6v7DOTHMHaNZyTWzh1CZQSb1+gRMpsdEIT1rqrPkdE28Jtw5lh
FbVFPcNha2T9sFRCJouOsEe0F+WwanWtQEVKee9HIRJWxe5Oqa8i2bL1ald1LWe8H8FPqy2FOIGQ
6KV82t9OR4TajRiqU734yFFIkUtcfFeFCRSvnxZywzAs1DyJ/2Pr+fsuZ3p+DQ1vlKDlMdkf/b5A
aWjnmIo5c+m7I/QAUE++bz1MxaguoU59m/cpPVNV66uwB5AUSRjTKJ9YeSltefvzo+H8r89Il4bD
slhVLUdMjezfNks4O2wj9CpnPsJrHV3tyaQqKahGDZc0aCjcZrExzO6hxEQE28amdDlE+3o7euOJ
V/Eum2AZBQ1w6mZZEMuAXHJNGjxznWcUh1dbpEvdHbmRm3ejv8gU/3aIItZYVuoUT8S0hz6NFM8Z
/fK8yQvSLb15gT4mUIcli2PsfjiXCB+RcoSyqjBSwf1D8CUHPdipKrsA4F9a9aWGeRThSynUfGHQ
+mTxs+XM7S47tfG1ZgGPMJw3EoePfCmaM7rPrXDX1UQXZeLqO6cei0DL1pPqMyTPIsQOFJ+bdCcz
sSDUre3OAVaTPssXvWLPzbzZaO5OsMkN4DOaVnhoso1v7jDtcFU0GaWbOusFZTuec6kycuYCf3Hw
Mbdau8/Ytv/5k/xtI/nXY/X3D3L68799kDZ8CvagKKpw5OtYDSx1BQnSxEgXpcQjQZbr/mOg8j+O
FUOHaTmtA02DE/mfX1HvC31oA76iaovukEKDuBld3O00O4BAVOWM1rxIf/nzjzk9j7+fKZz6lm2a
BlbO3w/XIVKywe5iZz7IhrTWzGpewpDKQ4R18x9THPvPX0r7bYaj2ibMvypy5g4UNamQqCtHcRi1
+LNmajv3DEyYYTh+/vkH/J/ng27bguvD0jTkA//8tQoSqm12uiQwpiquHwHJB3Z7uOjzNF4oOnk6
eleEu9bqqRkIyZ73VQ/2RHPAH8Rt/V/HlfPvj1lFLGFKy3HYYPGv374fPImOXU9A055bVrbUmgrb
RwA48Nm/LHR0YZPAasUGk9X1dzWUBB14+zY2FyYNm9vqC91jwdXQg1olY59WP5KkMEml0CU2IaSx
tmM/mXrQWGtS2zxjaycg0cAJjfAiki+Jd2w0GjAgX6YJvsM1YNJ6U2hW+2WOckZWI3CZbGX61dxJ
ymUnMogRGBBZXEnMtIp2hW/PiXIsWcN2HP9VQ4ODBR5a54aS2ulUNsmYAs2CWKxrZBQzEhRXraS4
o/FBcRaWd4xVgPoRycBYFQmefh9/OMvGCjpm6hD0ph7acmL9v4mpzlPdtU+Acp/cLW4yva8I2wL9
NrH6DDidxCPk7IjDLz03WG9SoRE6qADbMQGqaf05cHwWm8NSTn2Dg67QIKEJCxpGVug3IRA8BoJV
665sXVkGtrJo3G9tSk0FJ5V0fH0bg0kPPYmYNeFy3YbKvGdJkJcfut9zYPrzwO03yrgzWNqq5JG1
9UmFQ7IQwHR018KKhJa/ZGxMrB/sTCTgRmbPnNB3l2VUrEOXdkXTFh6Eiz5Ifgmccaq1FyxcxVi+
ZqHAdoVMwMbLOyHKcJ7ChgkWsoPyNdQMt+vkOS36kyoHPqJoQmQm6IvJSLmObJaDz7R11sTPYMdI
9pXwl1lcEDnX8WNa50TYlzquP2P0xUUazMs2JM3vw29wCfEZq3ga66Q5ivpYd/XGMTmZlHnr856k
d6SCc7XBypoQ1sSvSrPVZTjIeYwBBC8rtm8wlSTSlmuFRzDS+ZhygF+TDhii3H+87dPb/M/zbHq7
KMu4gi0DXeU/3y4fwrqIXT4cO1SQEKhDjdASMIAfaTjDBoyYeVDpd0spgp+498NrGJa4jdQqr9ao
2yePRy3Lw5+/q9/kS9wlfFOOZpqWZegopn4/2QfDi3I9U+ZeYHdYNWoF+Gzeffz5q8ip7vzXz/63
LzMdwH+7sjDVjRSGOR+MifIfKG2KpKRUkiZa9br0X0phZs/WoLl7Uyg20Co2NSKJvYdjBep/CKP+
fa+oGko5Q3MsoQrT+u3UHTrDyJqWz0GCGqGnxHBFuFbFWK0uxduff3DV+F2GNf2GuTgdVTVUvqJh
Tfq9v/3o2N+GBNWVOxeTaj0Yl6N/i0tQkrzNjA2ViPVXs9GJBMSBXDw1aLBU4502Z2tyaCYD8Ap3
U0OMIQBDDQEOIjD1ks2UVuql/Tq3CbcEtWZGUP8A8mSAM10fG9rIqh8KvniyA1zt2b4OzjEsFIlR
LAef7zGHktnC12FoBurOnGiXLNOh5Az6JcN7UPlsNIFnF2wHeOMZkHxL5dBVzoosOiY7DrQX4E1M
TiJkpEJnIuvCl8Bkp03KfEQ5rJ519e77xHECm3DMn4jxYx1j82nFrXDZNrGtdmLuV/clY1nfadqs
FquiKLcVU85C+HMzQ1uQTWA98MB7N76ZqFagNswsuXPZAA4Y0BUuGC9logNBNoTzGmIqYtbkoaFR
YfHoPe3gfXLVq8YekOy+IKRWw9UST5bnHFDrjQZOMOqNGVj7g0RTm9IqgycJSDKco2KXYitxbkoh
ly2LXxAhYIyrWaxRbKVikVb2RsMKFGILyP2tMPZB9m0zp07gz3nM3UsI4v0+9z5lfJPARmvzs4tq
nCtvAMeL7hCbBR+txuyZvYp2M4lhKMxu38uXvv7JtZsddgxmI0jrcpVT8RnDLEX/oodfE5E7Yrvt
4K+wUoyMrCUqhCaaiYVpitM82QnEXoJjbCLkGnRYWoB7EI+L5ylPorunrK8NZanBC3N7hs4WS0V9
mdr9GlwFlO7PAWSH8WjJPR1QWTTqMU24QARjuWkyvAz5vRbyxffugXMgAR4JAQZPrJCMZiGU/ozJ
WeNjtQewjf1XkT5HpT9lugHv+lAtDRaESojsEu0E40rI7KidfsX+d+p96h1PWMT9uTKMDfNGM6y4
E3BDI1UU/Mg2mt26/xzsm9sTyUnecYvDcuAIxxJo8B0wg5krw4mxP0xKCoz0W8WX5E5Az0ct3mJz
i9o6N5+D9mRAH4nMGQYK0itRbz4lbsE18AgQjAxfEgV2eqnke8+14VugRT418+awW0mQd3AHjYAt
wxpAcr5gC6eEABRZqxB/AxJvZ+UnwaAKQBDkDwmvd9Vki7B9tZi725cYky4eVJvZtB4ckuqjzG+Y
IEuTvw4Hy+RGqoycqCSqe+bqdoJtnyCT7Gco1qpxJJFMwCIIhk3Pm16VD7djFQKM6cf3jpnPGgMl
HMzCECiBd07KV8VA9hRqIL9xnU+jMz4tnSljfB9GwflPhjVhfBHLc9vo+c88uMsq+8SHF9prjRIU
iL1FZpEau2w4mWE4+wwtWmgcrPgycG3H+JK67q3JMiJYTzh852bTzrKuXbTarkqWiEGZvbr0hTAJ
AbbER7UptmPxYuOw65xDTgFR9MkyxzVt3vHgpNwHBW9aamyZ4EMdvgbSZO80k8g8Bj0FJPjQ1Q8f
nb2aASpgeTBl5yKkKuth06k7NTigbJ21Ma0YqDT27nGCaq5cF9ojQ3ngKuZMzWG2psB9VAxk05Ly
UomFMB66drQmT3W4YE8fA+CoDdSxbFky4phyBvbKG+GjBnczLi6j+hAYJy3/tWKYituNucVqaH4i
9nX+lI/CwegmRNW8h9XICQIo232K6h+X56YhmjwfXz0EhJObPzrU3l4juCnGTqilRH6tiJIR9tHi
78gw2iufwtxorAXKt8TCj3Vy9ABRHOudoWVefC7su8Y2gOLTUwgrVxqGpe2Ti69fUySf5SaQ+jao
zhH2wRatflM5OwM7gSOXlkp8M68rApCOUFDlvQ1/NGJLC8R3ePzz/tL3R1gmMPbYHlhzsz1DkQAV
yLELbBlA6UySU1BlGDuAWSIa3eYtxq4ALxs7Lr0cl3Vbb1qBV5wwtD7QkRMQjEeQZPOiYo4LxS6M
H4grF7ihvnUWb63/PHbdcRSAt8ncbCbHJnZhfcKGC0L0nEeFo4jqkCk04kkWxY5yk6Z6axA2+VSg
Fgsc17rzxKv+MEPLM+v1awkNvGQx5CsYtloeYt6ZUf6QXHooNTBxPfvvgncuNw6iBt2rop/C1C39
aKeN2EoknU6B6Tki7hPrTVDGV9kn686otuRRZ/ztVDVPfAyiZdyNIdBTXyvGIhaqJrU+NJPe5xOy
OU49PaVuz8BoT3kgT7pJapG3HZgRZoQHOvw5HyTfGjC7+ehY/MP0gy29shqTh9WyNyWltOKhxhPM
Wa91P1q/94yvoCd87Fm69AQbG6GH4ZNPr640wHY6NzzW1ayU2ExRt6Jd95K9oM1AZ6Qnm64KZjrq
o74OF47yldZ3WYObgONFn9RSdIftj+g1wrbwEHELIZCJEayZDydjTXZWpsJgIDuKlZPNXTkovxS5
alRc8S9RRWBYgLv6mcjucVyb+WskTwZvrGaiRtwpU1lUXHvxZqGpbL2jMSDei8eT6/1yuew1owIJ
hfTOrc6aTGn6eDtctvxM1GRDSAOnhQronKM+6sTGG188nXsM/XLzVpvVwmTYjxOdxbB2HrTh1gH4
Fh+Dd62IKsrN+myxBMnVceuFHzLPN9zpaP5gPDoSsiSZmL7k5LJL3LC5Hu1UNzq0Gf2cmzbfIXyi
OtfmBrGZhQNeq70q0j03CT1MiiAJ+D+mXNjFDUobA1JLCNWzW5XiPMDCi1l/AwmBVZmc9Qrd5Tbk
3CgC1NQKcBJ8sGhl3E9siTAufgiTL9mRmu81omo7YDlHPj2rNJJLnEWH/zVit/1GyiqX/MrHtcqx
q3vvTv4MnGjZqaC5IYr47GL8mEPD/ewUFnM6+NUq2NbeLc4gVXCs0AxuEnm10hJEXzYLod+UKQuu
Ehp+q6zzDFctd1hUUf9Fb4F1NNgn1+BycmsdqRs0i6577/WHFh/KjKa440KSkzhi4VOFR5PAEchX
Kq9GixmbJgxy+hpnF6LPeRDf5bDV/ceEOYRauhu0uW60G2GtNeXeIYL36bMlw94ooxzUIcWkixpz
S06ti1ttiwS4RVquDwXWRtKNEEOhRB69eYhbCzCYRdlLcjb6u5YaNRgXRrxz6JOHAXIAK6QEQaHZ
E+SObNsj3wE9ylDMw5YzRTnr9lfH4jvAh6Si+OgXjHjxZWWoDdFvtTgY373gPVB+FDatYfI2OKe0
OBv1t1veAu/cTG8U96Gs2FChRSCGEAjdV+tsKueojag5cVOSs5yiXbbBKIp+HwY/7GUKucmKvdsX
vFGbgYPdIDUeTmBA+YPeWeHaCX3c5Rs3dBctpt2oMT7xzj1FwbeGXxxXvbZy1XRNjhnAaOzxvbfW
hm9U3buxTp9DDxa6DLtXmXXI9VmtoXBCCIfKh0tw4ZVriJLsnCHX6b/GfG1G3Wbw6r3KXTmJXCrs
n9HkNlKjPdFEZYJGBtmG/6uJb0l8ZYPo5lNo4zno0esbr8zfdmkRv0bUGc6EZWrhBJhv3nAJi1ta
Xvz6OYo+BjUjVHtcxIKi13CX6GRH3L/s3UBEMxhgFSrFRzKMK5ZcFNLqAivKolb5u7LPPAHBGItF
zoHDHJk0CJjKDOQDJcuRSU5G++COthhZPXCGDoYnPI4Sv7HRwKnFHhf43V7G1S6uNqJdA/zUnGe3
I6dn3Egi5cvBPppUZ8IHVRBXp8hP+VFfesLlEobkov+K7aMafNY+j1lzJVMP/8FnKz4rP18WDQQE
GCCa6b+MdGV1gYhLOih+Xwz7oyO2VxF81MiTX6TBWbCM1HOYI+ubZ+j0jpwCPfu4aimhzjkr7LOl
wTD7XKFEsaCn4xH9jPKrZs8UIsK0OSAsS0WoDBOLMAkODwOiPNM2cxY//OK1sn7hXwrwbhqzSN05
3ZFI38K9gAXx5LIP63li7oMJnr8PeSrzcd0hG8WWasSoXu7C3KvIdd3PWOzSaI8tjlfIbwkarN4a
c1vX99F6IT0If8cUH4W6XsveA1i04t1ub1VxBqOVW48hvcTRyYBnzMHGWai8BhkWNniJT1lyVvWr
KdHNb3k1MF+gFXCj1TQoG1W83nu7WOv2RmBlTPpFrL/7vCPiirG7A/Oak631EliPcthUCG08Z0WO
MFxmoW0BP3oBOVWMoND6UKf7OOXBJcdvJP/Exj1GVldazwNCMnXlMlFU5wUwPskxkvEM5YMx76pX
rZwXwSaH1kgke+e+ac3KLY6IUbTuHCGmHc8Vw8QE+7+YdUDLzW9Ve49jdAsEwcGC/ubJ1hgGa8gG
OMpqJldqOofXQho1bc4FE9YUfFjR5B8UwlHTeaqfoL9mV74kAsR8eJLgEApEvqTE5jzfBrtnwhsW
ekrsIWzAgw3snQO2P+DTxUOCRnusj0jyXK7zyWWAyG9cE6fX6aRLvTXqmqlZipSiQ9P34wcLlzgg
m/YX/aHtvDNeQsvyXrtbL6GMBHO2qpE2hCut4VJ6qqJXsz6UZys/8CIN+b7iPi+3ispXmPsVZcou
qrZ04ZpCvt2GA1p5CyFaZ8ovt1sY49EtP8TwTo9HW9RoRE3vzP6CYsA1jm20tlB/R9sKmc74XAkk
BA+U7Vzq/Uc3XqR21YLtBBJOd3n8MQJ4w5T03fAkkewCLwjYGZmmsn2nNh3sDSKAvH2uwq0tJ1o3
9yEJFHR3Sxcvin+PJoPPZqDq0Awafxj+C6Rd49qN3rz2lsXTwnKngsBv41fCY2Kfi3jdQIo0LsR0
5DWKq/3YvJaT7GxpZyjH/lJU80kBcOvmIxABXPqaiQrp7hBm4u51soH0ZQHef25g8yed10/mejQy
zSQ0FcDtGy94hyKTAHbPnJkN3PrJOfBMMkwP4A0fsL835d0CIsACJ1qF9tUrLnawRAkh5DofQOws
FLQ+6Vaoz2ROYGqB6gmjYmWpqCJhETw1N30aoy+GgMCnaK2SSyUjLA4k0pvPSUfILKOkGEq2OrOB
s3CqxOAl+llEudbmR6SgYN3aZOcy5o4XCPKo6IZyQ/KEYR9RpQ7chMl4KqfOLnqzgd1B3ej7ixhX
NE+5Ouu6pwRHCtP7wOF3e3OzYmHIFyebU5qZwOHi+llNV4GBiWjvAY9StmnHDMDbVfovZouy/VTQ
qtTOo9Zew3TmVDuK1sx577O/iAZqjDiEAFw+LpI8aC3avSREMQmghMOle7XCW9lSkNBjnhBUFDrJ
QaDYaQ/afsdZzlpzKkWF8kyfb5uHvLhl6UHzTkp8dLHBOdEvDI28vIvQWhf51Cw8peJYKGcKdD/4
1t2VEx9Dj2H71lOu0EtqM5zLjvmktw/tRYj7qO7e8Gxgcppz1KOTIbCrAVbbTJjwkYwfrVIWhfHW
0tENCzIT0Op4Ou8/C9JZwEIgAkLU7ZjQMetLyk3C68tHG/rforiwT6mSV5I17GHSkVbE3iHMjiDI
LngDKC065tEm//BwFPXWbuZeQ2e/9jvoyfkT1hUo0aRS00Gi2lrlpKJQ5WH4TdaF+2Z4PEoLne4d
az26c7H35EqDI0K3rKNRfFJJOf0qtWMmBgbyM/LyyvcOevRTXZ2xChK1CuWli3e9vcaSUjKlROcU
b7tq0ZevafzLgS5AU9Bjal/6zpZ7nJ3HDCSuOTzr+pVFRjrcqSiljS/3jpKPWGynWwttEzi3Hn6g
uje6TzhMZiYJnEVigpmUfVB+SKJDR2+JuspUr6ZzHTLQGFus8a3yIfW9Edz07MLNkQTrkB+Iu6M8
OO1DGyFcwV9q1rlyqoKTUTwXOZo56splj3+KWq2clRRFVjPzm0sA/cQ2tyEypWqWWAer3ObWwXYY
/1u7NLkb0VJygwEQZTwJZNBe2wAaG3GCokhRpkdbg2t8RFaKkprkPcrs3jnr5lcdcnKfbfJobDSJ
6OZ0ZJaLfkJEJo/See3wRRJLkaxcGgv93vYXrJtq/zzE8NfWNmQRNEgSmAlZd+mHbcwrRpH1ig9f
L45KRNPcfWVMtqi9+0ec7OPhXaafefArGD6oxPHNZdPDi+txWxK7mDTfWKFyfe2KjayICuJ0MpZD
udWLt26YC/WRsJIJsZxVr1jjUBpl5ia0dyhMJ3Seux4lJgmml8MSrS+SlpJNW0u3Y364HkF6c228
G/LiQhSSvC/rgEBGpO6+fLiY1cwZkQlsh4x+i+2lVz4IhiDHgO/Iye+VuWvNFwupo/+FKXPiCWgQ
XValPFrqktB519xiHxixnihbgz9tjqM2V/sVrUj5KH3ocSvd4Bc8h5E6nkC7Qrxu8FKAyxLdpTZe
EmsJ4wtbGziOpZN9tpgCnM2QMNv+8B2MQLfaOpbynpkHtToKBvggrgPvyqNObrfKKZNiLUvTl8RY
ih4i4xQhGOTYrtdZ8apN6Y08C9L7qCb8/rFj7hNn8zrRGFuserSETgKjT+obh+ffrOYpKsasXJUZ
qtV8NfLsxSYCz5npojw9dWLb8UWscRsjDnG6d/yaSX+LnKXevnrGLrUejbhp/c7KPrs6mntOx0IO
bduq7U86K0MR3DLzh/OAsl1rGSsB6RkuDb21JU6mSWlxF22xNfpu4YIIT6mZyYTvb6qyV50pjmGm
vHkdFcnGk7eqfiTexafyJ0mtSC5RAoT3tSZLoF8aCD8cwlI1Mk5J1DY0QJI8mNWR0x8+BWMcN79V
9ObDRTHXiNU8fV0TQJExgKyfqu4FGJ7T7XRyK8f7CGwn05eNSu+Osy43gdWsa4NqYtqJ8Czh93jS
aETaLXPvVn3PQgj+oP5DFP9LF3pxOi8q0OFsvflECmPD4G6ydlUgKCBZ2BaRXNB+dxUb0rBFNPsd
hy84FpEYsABu6oM7Yjta5+ZGFasw3rj1ru9vY3QGCBgDb8vDo5d/6eM6ESOitkfT/0g246KY5XKf
F1f6j5FJZo2GHxvcNN3bQDqJ7b0W7BJz7mAjVVdJvzTxwhYHh0jJ3KW7PpExw73YGcca7z88ynzf
xc8YRWuW0DBucRwJil+1fLExa4XLLsP1N+8j4CEzrGhRt1SYQOTZqQ62PhwRlomsVBXEDDxX9CnV
KsCXQYyQj2380JoLNidPgYCGu7Wao6dxA61cb22iAgN/25/5kSxAgUz4yuoeGr+ChCtk3oi5bHe2
fK+85679HAdElTT6cbPMiuckWWbQ6Pr8J0RQbikrD2txx3AZzln4Tt9AIzxi9vJ3VXa2m7PnbTMU
8oL2WSchas4IVktfMyask9bHAkIE5l7XCZXhMI/eCh5+lLbmrrTxu5BjtgrbBSOOsdKfPEi5dKBU
QMlW5Ct83z5xhN1A+htUPchRH4UBOXqblFeHZ9G1n6bfVo0dA70xQ+dcHprmrfP6CyR8LJXwEq5Q
mMivxzT1OjneGe5p19rccmVO4GWFVReCe2o7HtETI38/WCFu4sPwxEardoa5VozvERcdj7v35MVb
AHPpsDMRVWNwSXfs8suUE/SB5Fph2kvoPGVqXw3o6il4Fg5ZGYQpdMazRpJ21rEWmdXeOQe0LPG/
rmGwGTZJ0Gs929XaJmXlmPFAksOE4ABYPIYhQAGsQSL7gHlWh3Sfxjfk6FGLWt38CbKM8pSuYa0o
e10vZqm6Ve1DKdcGM79uKdITA5qci7LhZEq1HfqsstLeQ9QeAjGai58j5zK/Ab1NsrWnGUt1pGE+
Bd6zz0SaNLjM30WQ3BQOabAEjCztboPFAXEDSug52Zt2RfzIssfah5UTNGpLL5WfXWrQdh4229gC
6YaXQd8UQDJ77ckzLg1ZrVaOY2AxQU+Zw3ThJWYV1jEVze2DSOjUv9uG/+/dpo9N61tKfGaGEbEQ
u8Tl2OCyAZLlsRBLvYKxQTN3/B8hb+541MU9IujZavG82P7cQ3yWBf5Ceg0g1EsTXGRjcXPSsITf
TQGf0suOcdMefUYUZWqveCTGiGBQeMFWQY7jQSOFuvixADMOt0E7ld5LhlbM3YbFK4+1sD+9ZmtM
LTz8XLpi71HT7HomJ1yTU3njmVa4ttw3rzoL9aU37pr63NQe67ARMmY4VyoOy/EExpXcvTT48JjB
ucpuLHjbaw/spnbogntdHEIExPUlktgEfmrrpSarzmbr0n325jeDk78uOtbwYMK5adyFb5JMRuyP
yK5eeYirX4XzyRExoKGXrgfPUGcJe2N+pI18wXSZAyHQruS4E9EcDN95+FDkPiwhOuW0OxawEINL
n7HQKaBTz/G/yW8KDSg4c0v9Cd11SjAjbOcnoMREZUCoWkT6SaKR9Jtk3RvfWet+JpXzbGnmJRs2
wvSPUaav8nrbqYB6Y+4R4VUYfKhmAidpb4necaflfIxfiSvhTeYtEGbEMI/BdHFVlqqT7KXvEZ2l
dhSN5rSWBafCqizLCmVmSE8QkFKYxILHXdSebaXFQzxIJ9uWbWvuGvoMVAzsmFG4n0XBe+3GGo+j
Thp3ymLGYK6uzRCgMt2iwbeK4ptcnGYLBYxLrEbcCWVeJ24XZDiBFlcraFnjB8O8DzWduyuzzm1R
L3tzOOo5U9L0VKkr4d8UFnRpOqG3Z7YTLww6eisw1yJmNWH8xPGXb891jEJJiLEQDDTJCZgEM1dc
Oqdh9FTj2Y0ZlMGXmpsV+SbKJC7Cyvrord3AWSlLZ6c1tqA/glkGPVRpjAWRDA1DMk8ybGQHzWLY
GBD4klsT81Pa9psLQMcIHbxgX4FSrXlKF8morMgleAKjQPONoitbZprxqAPKJ+9oIc23tXpdu68s
2tLZ/8GhxMNuIZCVBpGTsIWNRfs8Vp+Osnb+Szr+b8UhWkpNmFKHeqZr9m9Su6Rtx8ISBaZFM+Kv
D6V9rry4wjCQhvugHEmD9GS2znJF+w9g1L9FfrqGABgpkhDotbXfpDhFV5a+MaR8SF2OuC+sQ3sZ
IjV6K7wBhmXmly95Bc/oz0KY6ef5pwCIr8rIFQmMpaI++E0F0yA6h1WYwzQX/0/ZmTXHrZzZ9q84
zjvcQAKJBDrafmDNLM6SSIovCJGiMA+JGfj1d0E+t31YUpDtJ/sERaKAQk7ft/fakvYOOAekIE1G
qIlhxwv1hS3F+1cU5q/aJq7p2khyXJ+gUXki9GH+R2CPLnbtEfJduPN5RUCuGQFsUN6Rkh00BLlP
4+ClzaK9m0z3bnjrZ/3X0GVTJA3ryjb12gntbTD26GzC77aQwEUhfRcMjqFrb3vp3VVxj5OZwe04
E/V0MLJ2reDF6ueGHlDalJcjMdZhlxFbqnA1OZsGp4IfVpvCWGjR+aqQ7Uscsa6H3S4iF8pThHQV
M3NVD/aD9prBcc0CFmzkxudFRF4P/G89jMQas/UIly3SXVvSyOof247FPA/c5yJl74OlanbjPQB5
F2gl+bbzGL9EnOV4ErjLIw6k2b4ZnXs7Rjjikiia3cBe3ol5IYqrm6Jqr/P2itmyDgNYNMkB48G+
6YdDR7exdByiHKZ0q4ArzAkstFSwVnZXvRg/waV+aBoon7OPbXMiwIMzaTt3R+UmG7NJv3saQVPf
s+nI/Hmnzewqx8KoSapPZYnNHIuwZEMN4bCpXwORrTNmGgEurqe5Hvg3CYxoQeCXMiH1NPcS1Y8w
M5CI21TfR1o9BzOHxCxdu5yiJhqkebCvLOPJsZI9UXafIxRSQUpHZ0ATPvgXdf0YdM+KBhmi8J0Z
XpYGwhyIimAzZsQhAUYxl+xaEs+2IK0+dZzYsNREP7LcPWIDWVmZ2g3Ri+mx/fP3pNRdxLipK6LC
jPJhTtKXOKtp1uxLQx8H6yVABxU05l4U8a3BDr1S/ab2Dy3fdde8ToRvD4vJkfp2DdrIGvczIsnG
FjTmXWTCjzlYdbvoVrL6ErYPQ6rY71OkcMFXUuLxO/W1U8hCKjDYGc2bQlSP6HOOmpfMR3ub5nAo
jcf3x9xHI275+V+0bvg65rDJmVsKHJFoykyX3UZBg+/9y1iLVPJ0NhGWhS7cRpH+i5Whx1hvV3h/
1sqSXY2RxmvWST1xiLbjWOOJok1v4O8gQcBwzid3qei1URg9EvQastdpqfK8/5F+NVc4No0mKRdB
ocT38fbOu2RssWCipWVdD5Nt1iXZV0di2u4zzMp9qNghFBAyjkni1NfR8tq//wHE7549ViQwgkyv
NiL9t5+gCHNRd3mvEHd4HOz7kYJQ5CT1xTQEw2cLGMye871/mRaLgUEs5N5UdNvOtQwajGJYObka
kZj5w7ZJLX1ZTm7yzZtCvsIpSK6dyex499p0Ak48SVx6U9UTitQ73nkFSnHz/u387m6kUMo1QSvg
ADsxMs1GOQsksWD15NhsyrnHXBjSRX//Kr/RpTq2tD0T4YojTM89eWjKqxLhT8ATXbhKiKKV/WXk
oL/34xL8Rm57UNfbbKNbBz6QjxRvTOruRtu1vH3/k/xufYQt4UgP2hpegJP7Tdq+6XhdFKlRSX47
6KwjVDbH2+aaARb+svtodVwWv9Mh9NcLngzVEXei56ezWqfMUHztUu4yh4jADHzFpRm0zGk5Z11T
01NQaGbRm5icHXJoqN2i2yyIw6ROAECpqjwAS1VDXb82CENpltDDxmzXSWy1i+CuvAA0a9xrZ7Y+
uIvfPTUPda3tLGpe4ZwYrPqg06Bv2axM9UBjw8SYLuHDYe/2s32Z2O4H1/vNrs32PI83xlK245za
64x0dmWbs6NIMjltM4vOW9wG6caxk2lnF9Tdstgs19Kuk/1/+n64gDzZMrKLchkOJ7u2HpyJbznK
g0SXurtg5Pg4tNZzYtryEEf9y/tXW177ty/HcjUXtbplm5KJ9O1cEgHhjnXF1VAW+4QezjNxH7m5
yngmH83lv450sIqOw47UFwoz5PKi/mXN4LDae3HVeeu6CjwKmQl+U6gl9MUWJH07Wy0lDdJGtZzM
u7SAUt63Ll+xA2MBd0y69ScM1JVy0vv/+CEIZp9lhXFNpoiTuQG0DOv4yAfrG5hMve030DeKaod8
Un5gvfn1PfZsngAvFtRSDDgnu2OTQJmwocq2diIiZCtpx/SsqsUpUlPn1K79kR7/lwviRhTCISjH
Yfk0vRMvQt8TnjTYgPgaIxuQrEZaXooqMW+GKUq/2nXgeBTmOfHSgzVC9MD2iPl+isV5nKU9i5xJ
VTnzB+8rMd+UoSyZaVyDmDg/cGY5vww59XNBW8a3IhlJngzxoi+BsQ2xvZFlG96aGYCnMC6bA8yI
BLo2Zbs+KdkrjUh4Ap/qvO3UMIvLrBO7ruhUspoio4c0WRGuntrO3h+98nGOO3ksRZvcKxEVDzLO
3NeiLDOoN44JB24awIesWgbiXcUauDIdczyO9tDeGTntyrIrEOWWXYsWx+jox2YKwmqXOv2xqrr5
6JW6+hJFZXeZdS0Oy0rWNy3I51e2+XOwFq6iDOsVmj6cnZt7z2ghWnNCqm6brvJRUGTF92Cq8w/M
Hr8c/YB5olB0MaGA2+N1ezvU7MK3eyeBLdQEQX7HCUfcBeE03Um3QoNZe+mlMRrG9/eH0c+X981k
8hMhynfnmWqxmpxc1Zemjltm1E2bR8EV8UPGS1nAId7kDD8kVwT0CvbEyKIR4ialCF7sUFpX73+K
X194iefDwYbLs8WJezLLGLlsEaTyGgk3MC5x/AqqZcYdh1KiPHVp/acDGsbtcrw2l70Yx8KTy1WV
VtTIZmvjtOVOB1l8PrjxuOFITkK0ZWzevzn7N1+sMC0PCrFkYNvuyfyRLahsDrCCNsbYP+m2XmgZ
lqofpYcOux8aF6tYOQYDlE+DorYa2wG12TT3HaXnQhyKxK9fpF8wwqCKQLVwe2R1ha7iVYh2bYuT
2r+r3Sk3UFhG7fVkw2mq6xwyTk8f12VdRIIZmNvUyuPnuSZ7NEqGjP42zg8AO8WGrOd5I0KPv6Cw
gBDqWuY2EMC5/zIOrX+PSq1NV+8/F7E85pNXT7jMqw5bcxMjzsk015DNDL4ldDfxnOO5ajU4EIbc
ZH8fiBy/tQYfrZ6esGrUuaTZivaMkmCDJtRvJjqLpRwCmErhSOY1BnHEepl+dvqlFVQm5VLWNsh6
5JDWZudhaeW3VmVXpEC2kSNITsHJfXz/jt6+xp6DW9RxpMQR6zqOjV/r7Qg2TN2FXs02MZR0jI1Z
b/OpbHdpHVBINOLxg8X57dr86+VONolVVI8dWQFksBu5urNyE/lWHsRf37+p311F+qynLvtfx5Mn
e19g+b7SBvpvo/TQ+sGrAefRqg8GyQmp+183ozAUY21kw/GL72vMPK/vU0DOlZf1e0PFz3z74H5y
ICRDGeh9XjE6ufoVxVtONhIPoQ6NfFfHSuGxgD+c8TL9Rxu7n59KOgsgAIg7hItTl7MVWmQn6B51
FXnBX9wMEwmhxaiyMkW0IpJ+X32wCrxdUf+8opTwGkwA6Y538rhHNTRBXUmuyNIHoyV54jQ4PEwm
W4/Y9oJNpjq5bgGFf/DyWnKZ6v89Hj2+XbVw6uFlEJvgcrZ7+/omrRosFgp3M/Z1TBeD4DJTN95V
Zctig3+pXenEjzfllBJrN2Xk+PhmLQ4NtSVwPNRDvqXRSAxWVUHpnCMEeVbq2XQySAr4MldNdT+5
7vg9kK150Snb2KpxQEJTsSpdAQVDR1fjwYGWQ3Wl9d32up2UfbTaXtBNphzlmRSEIuREW6KmhivQ
2N1XOnQ+PtuyOfdC2ldOmlh7bSBUylOR0kyiCEQip7X1LJlsBSEcFdIL+KWk0iFw6jkgJaqlBTy3
CVpP7bCpwwnDgQUqWgY5lCgB/6GsZ4Jn3CK89wxR3VPLTL5ACdI7WQwzf6auq+YqthBEG9oyDnY+
dsfZqutx7/veErsi69FkKg88BPpToAg+maYbV+t2jwEtifYJkzdoLtMvdn1RjY9paDf7MKETlWEz
AH4nAuc4FnXi7TKTmKU4VsyElgJEsUtHcLiJUwQ2kUamERycaQ4vsyBCokelOgVOnMjHenyxI1Ef
EMDHxF2ImrYqcu1a0H0YCpWjrBO1WAWJKO8JXIfmYypBcqm2UBHlYvE9lyPgtrHLJa3GYNJomUvC
dsveN6mB5dlm8AIkD/gyetr25kjaU2jDiKGNHs6EdCY6PerEZt+WxdO2BchNrGk67IGKdgctIu+u
zoBclyFoMumN8rzxJliyrU9kbxYugkCWPSqwmB7hAeXfq6wznwKRkOJiKEJ3sjIZ4AVGcqdGgn9X
kW1RrEyXfIpqbrtrYjzJeRhC8JtTUSMOJZ2UxvlouPgkdfAlzDI6GgN7j5ZGk1W2ABsc70EQr6JW
yRxZemc0fvCQJ7H4FI+l+mCqOal2/Bx+LkctADG+D5jEP5nO427qCzSEGL8RWPcgptTEwzISWSH3
H1qqYwGGFXeS4sfgBM595TqKVtJIzkipyNN8f9pfBvvJZOB6rg/9QGHFscTJpiVPMeWkNQS/NIT8
2id5X51JeCwOjKxpPmcC19c1yJLrYejQczRZgPjy/Y/wE+zw9jN4piNdIS0O855tnhx0h8SQcagN
f1MEHl4H/9yImXSJ5UZWmEOFNG/ndNylU4dqWO1Kn9h0mMGBIgPqJzWg3PgxWrQMOCMCtSqBL0sw
CYEcSNAge7vuscJITnIuUwvJJ/SQ+5KEzfxsQd0rmAnsSg8/7+m/Xsb/Dl/Lm399+uaf/8N/v5TV
VMdh1J785z8v45e6bMof7f8sv/a//+ztL/3zunotPrX162t7+a06/ZdvfpG//+f119/ab2/+A7Nm
3E633Ws93b02Xdb+vAifdPmX/9cf/u3151/5PFWv//jjhdNTu/w1znHFH3/+6PD9H3847Ib+669/
/s+fXX3L+TUyQbPX03/++q1p//GH4bp/dyyPow9bf+EIaht//G14/fkjy/T/7jg+yyLbZiq3kosU
Zd1G/Jql/s5P4PsvxR52kLwdDYe65UfS/Tv/1ncJ7aU+YPum+8f//2RvvqJ/f2V/K7r8poxxkv/j
j7dLsgtZxeSQ4AkqLRjxyQV8uy6qJBRSD6rbx1PkPhBSVXlnRWrSZc/8qQRLHsl7sNrYUNoCHPEH
u7y3qzKnQS7MzdCFVIpxcAomcMZEJtlYD4fAt5tDGkRioweUo1bUqN1fvpI/b/yvN3p6GORa+Bak
51hLccn+5U45BdhymSwPrKiRRBobREh9HJ+cVUYLjjmqzp9L0mS68yQo5bQ3Q40jqTLztN6+/1lO
Dk3LR+GACVeeVwCB+imdye+iyjexRB/YrUOCDExYEIMfvXLb9jquFAYzO/c+OBiezMHLw6blSh0D
DAScFXVaeUnbzI01dprDIJUNUUgV44+w9wr7zJpa6D2WRwpXbU/JTSe8Au+gNZRPnazLdhtNCarv
//ghLNQHVgMehc3r/PbNa7WmQVfP40FatX3fov1YsSELqN0mNkLw0T6fK+19cNHT151nIJnwBY/C
B+32k0Pzl5LfwFLnpCmFkbKLjXzrSU49uCliklIzMqs2oanZ1M3WDDXc6IXz8v49//q+28sRaqlw
+p5piZNJfw6juZ+AGBx68IbnpLRHmLut+NOIKuKDBea0U7V83ZJtvc8VCVDxxcnINlwndSbXmQ+C
CCn6JwN5ZUTsNF8mtllI/OykPNeMCn3RVK7ci5ica5L2otIGJQ/bYcnUQcL1/gP43fNXpP4t9QJG
/WnJ1c4l7dWsng8Uuttbe6p80iYzm+SEuLNf/TYE2WCPFT49nYrg9f2LO+LNuv9zBIAYou/i0isD
P3Ly+DXTDTV9OaPrhfi4bjN63egHS9IwGmvOie42BoLg7WoIfuStzJoVjl582uUUJ1+0FeBxFVG3
QKplR//XGSVZLb3yS5Q9OvC+2qP0XundFNj0GktD3S6JRiN5Eb4Y56k8R0kfG7CW25h0yFXrpFaJ
fTIkYRr9EnLX2cTYzgIdDqSDuPx/S2nUc0FroCvuakHjtXANGzFhL5BJi8KD3Ev2NVEcU+xe4cVo
odx3uf+lj5eg9wiYvP/BEHq7efrXQ6RcLoFG0fzAG/t23A5QlGcvhCU8oHnFdGchLm76fVx5Tzak
e6P1D7G2vjVyKJ/f//5+N4XTLvNNRCvsm9Rpc2CMKrrpGKoOOd3Xvcwd/b0ferpkuWmCqtQjAZUb
LSYprzI4jES7syAAwvAdO9h/8Fl+8y4pbt9fzs9Mquby87/MJHbqqVHPXYelzoy9ox2luJoMxbrR
Fikm3XZMODzY/kh4IIGlDtmGPe48dLbjiDO3sOZDYPbig0fkvq1o/Px26CVy8GJZtWihnHw7jdtS
1zJh4CtGoLeihk3Ma2ssFKygNjJOsPQ2SNcLscTUWdd5Vy2ob/KcByfFsBC37ZU3RjZC8sLLo1Wc
o5WuQncovkrAeCuz71SFecLrg2ft6CC9AaGHliUUFZAXUm4Q3rshx9ZWwetdNwnIrNWQyi5eS51E
PbDDREKDKNEQ1nqOfXa7cqE+T7GfYX5Le4W1CjEeQswCJG0f4QgGiZv638EulSjOsjJ67EpBbn2f
+/kPWdnGFwgaxTbP5n2X6WtHTVBYDTpitYVhyKDzzDGx7UNxTSoU3eYy9CD1xlnlPAVFgrQxB7CG
fs4C7OvRduqvNQKojkBb0HCHbs7MdGP7OsD258tur0Sd4xUtpOl8ev+dOi0aKvqJikIbBVW66LTT
T6bsKstLn+8I40qiLyzyILravXMCimuZiZ7VHocjz7ZZtykRS62sPjdJcLWETpRmtzMlieKd2WBC
5x1EhVkIUZAzOWNK0rsGFsIUmsTZtB/N6f7JpP6vj83NO1JwovF/2cUJI2uzQOR7C891knYXFJ0+
ZSaJHglpG2dRi8VriLMno64i1DgJqGNg19ppzjnXLgR/9pWBy6EYF4Wbtvt5QBQ7aJPo5yJFr2yU
F5E17y0Z7v2suHQT92hjopx8Mm4De6BWSm9F5hddZVxwQSJpyR5BL4FJR2P0MLZDbhs0YwjXyjxX
n42ijdd66tRZLYkVcLOLosqJPBc3so7SVaYzWsusnKuyNo5pZuWgx+0fUUDaeyVZDtQMurqK7Hsd
eyHOS++TcJJbZ/BuzcrEDjSm/oWIx+vKNh/Y0ukdRT1rJxKXM1yufuR+ekPXEQdzSKCtPQmS8IpD
EbR3FfzeSAzxnhRIzc3T7CZpckLI7JXbZhywzQQXUT191cLjqFp+tZtqrUr0x8147O3iMnQ0AT75
ZWlHaJgJgDAR8ebav661vI1NrHgi2XnZR5XEn7jAfx9mAYy6NA9ZC+iyIJqwTpV9yO6iaHAs61BZ
if0qEJ3cz1Ejp3U3mZDYKeW2r37nLmthGKonp6c6v4xzD55npvpjWvkzuOee48qqc1sKTi0LJFRo
2T5FpTbFVVRGDdb8tsCH4Vn54qxJZFNTCZm8F6I/+CIIGTaf7cSdrilBthNJwD39BN/NOCfrPGdg
+DK88Jvcf3CqQDhr1s/o+v0h/LZKvjwITvMui6NpUesQpzXVIesKP/ZYHGOjtlcQY4EDyTTb5l1G
IpcVmR9UVJcZ4e2Dp5Tq0Zt3HIstnnWyo3FkIqkhejOWImWdEXLUX5bORAa9mYsPDi0n6/7PW+MY
y8lhCTZhdnq74IW13S1xhHDVYzOVNFlYNrbUT1Kx5qQafGK7FTzFyoVvX1A7iRB1WIb90a7W/s0N
e5TSIRHyIbzTN22QeWFMhmMexg6q2WYsrH5v64lqV6mtig2bKU1zlc6xosbl+km9LYRqi41L/3Oh
qE/eHYrXBhrP7I0373/5J2vv8oQEKy7pL2TF8oCWz/6XLUFIs94ptGsddFgshH82KdhNp957fP86
LNS/u9TSsmetQHfFV//2UklOd4v2k8BoLtL5zBg0ruuuzoYNvcYvPbz8nUOAI5Dw3AYzNcORQpsH
kcDHWlzN4jzL8b2ORUiOcIB9ykxZuaeiG3e8b/1mnIVzPftphhoyuZs8jfV/jjUWqAHsjGdrfxeF
jnpMIhWRdeGV6tHoMFVDrG8PVTrkx96U3gNH5xjhjllvUXrA4TGpsMF0ENu2d5/bMO/x5OBLje3G
wVXpQWYZcmM69NMw36DwJszbrOcbjgP+obRGsZ2svr8NHcwttl+SBiQQlY+ETd32tv0YkEAGKSLR
GDW1KK49i7RnH+YilEYi11a1COsLqM+6WqegsDd9A2qgzEvj2fS6aOsCUoE56rrroXPEl3Y2cfxG
s4vVooSKKTsLaToM8K8ibMMXS5ByrFLTZZKaqIXbWtm3ZK+AS83pRh+ge2DDcoueRIJJqS290w5j
9TB81qXvhzDqw+qys42oh/9j+qAA+xkZZSDUU1FlDnDKDphwMAdburzgxqoA2EeEiuvMr8p5U1Id
vY3t0TjXnNiee6X9Y0hdd9v5EYkmOdE+XWTtgzJi3YnN8TrPcgr2eeLf2TbOW5GHtBwDl3NhHGCH
gaqzrEca9mEeADdtvIjBUjiwYwx7Ojd8/7FAR/2qkPJeG+hRolWTVi3pUHL2bWSe1vc8iNTzoHzj
0OBaqAfKuY7h3BdF2P4YEHlcMXDM+0jBUbM4t1yGlaRfkfVh98Ircd6TCPqjswlUaEx8GGtNSXsn
5Tzck2ZbfQlsh4XVxImaa+fGlUHcr6cmw3ISZzHiS4RC7pXZ+4qSZ+7CNYQswIYW9wCTIx6ZYibM
yrG+ywYXRpigr69pyX2th8JH+ppOGwep5xnnL4SdSYEToIJ15GR2/GnOEKkhP7k2XJ0+5nqCOFEE
jfo2WO1nOn7AENkG9OssUi+lp7G06F4QqzmwAR/OxiZ5BTQHzMUllMIJmo6w8wzfeziKdTuNRCAr
zFDg3UAZ1BNx9nQRnXVB+WfEKhGbnwsko5D8bVH1m5bU3h5okqe2c0okt0OcMTg7otkKPU0HDZKL
9zvakoMN1hPsXtnX5o5TR3EuVCi+JE7YnjOukoNbFV+9dgy+iMK+kIZoVqYZZDgp1VVcd1+SiS+o
ztQCHwwvporPOZDT9JBz/ELPW34LaB0R210thEYP+bVpVQ4AgNLd2XnWfRmKkTaajGec7kHVzLsY
PdF91MZkyie1NFYV6dRyPcnmwsk948HSPCsqkfWqT2fx3JhwuIXGHWOYkIyGkQLNmciakHZYB5dK
lOBGMh1/C/wqefRkgGuwMNzaPYtVOD36QWhjUJQJQaKljXg68fr0EgEZ6uWGOicdD5AEOQ2JG1cY
LvlwaQI7jj9DlJ6beBlOnpYcuiamPZOaMDpRKq3EZOuvXq0oj7TwuPIGhEDmh8mtXbbufnQGop36
3lyTg50eiaPAlcZ2/hwhV4ZwOp5eomF4GYMoIreNQC665/VTLc1kXfQgQphCB5gs1sgxP8F7i6Nh
24G0R4vGw89HhQu/r9nFrDgL+ds+mdzrLASei3euWDdIW5jhE3C8ceEOW2uuSZqVHVFXTLFJuKWB
ad1YVQCtyJCVvrLRF10ZnSPhMpVls6cqVW8Cr5fscKv7wQyeeFz5ZTW63TdjQFc0mXB5kk43Gz8k
u63jAHuAvQOkxpI4OoXjfePEOJxzTvmaY2MHOCTQr7FJxVQdBvo8nTD3M7elcEdQM+GfG62d58/l
WUqC4cWUqOymNcCstU4uVqSnTQfHx2VETy6+4MUHgMySlQLVRP6eG8WVLYpL4GXnYQQIMsxaPDXJ
yD466wE8tKSKJiEPZYBqOkZGvFahXZ/lRbENk8E/q7kL1P1E2cSJFWwTpvuNibYYr0KY7qmPQtMY
8IOHqXZ2HI2rawr8QPjCqcBRIVsMuRkZplanrXUkC6zMfi43o4tPlbd+uOKNBGmf2gheupGPFsWN
t3ESS13memBDL+do1yW4pYyCEwdL001n40JLS4kFApT6ulIlLF6RqwtqOPpi4Li5bkLnxorVrerp
cEYzl84j1W3aCRxpPtjzE/FQ86pmScZ/rP0nexRqPXrAu3Ky3FqaAWe52wSHhBmamsTYbNuOb2JC
ZQ3Gk2hdo+dKmfw2VwLqifrhRgZ+UFV/dwGLnY1WD+4jGM5HL8fi0bZ18VwreH2dU33Vbo8xigr/
OrD8r1Peh6ve8F9kIAn2QVZ46wqgiXloym1v51vkOOW+mfzyWCrjR84afoUW54dkkB9xiQ0b4UfI
lywNNCeLnlilgyfReYRvjkPd8xDL7DkZ5maFKEVuIoreazY4WOF6WcGW8JqNsUTxZL5bkZyY3gqT
zmcWoqzTtnxsvfaGYxZe6Vh+TrQMNlMm4GOSTRw4Yw9sz8ytqyzNcCAyOwe5E261T4xg69BNtmIz
PI7V9NktWHmmYQRaYwqerR0QgFz5+WOEUPegx5a01dHmwEUIwyro6TSkkzTO5gnegPKcOyn6u6LS
D0llVGcEbBosxvA6ndnzl6L4ESngTJ5sDN6E6UBdG4kId3XUYf0b4H55jPI1SyK3KY3HPsbqUvjZ
LcILd6Gl1OvIyqaVykoLQK7I1+PAUDCrC0sZj2UMmyfO82WpqW9nPTfgzTJ/0yLIg6M12s9WEtqr
xqIGWSfy21TDuSg7ae+qDqdlU7G4FGYSbaLc7w5MsuivCK0Mmd1JSnKP2rcAJvQ/7Jj1sWaFPRad
fEx7TJO+RUx2W7z6Lqczq8T1X8aiv60tIIQDve7WQ3dOENxnq5usF1OD8au8BIBQRs2oo6V7AI6G
+MC0NsxfeFSC2V2sSODgjJh9fbnMC526r3owb+goszPXTVEEKHDqYQKAXbmdDf4gfWjMKrxsvPLJ
pZK0E9Ggt+Stwgls2d4sqZppDoMuDmaCxHqQvc0U9NuOBWV5ErBWgCV3DiQezh3lfirG12pgamES
jT5ZZrhrYqfbuKkmsoK4KJxT5GIN86WrdAUyznGAas+f8oA0Rm/QB5E0A8nXDRyEGoxuXBdX/mx9
HnzLO+tQfawyg/y8XDS7WVB+mP0yXhMZZawSjxxWB/CgZ2kAkyaH7LHotmhWwGnEHpihnBkzGoL4
iIiLqIgFnh/LJdu89ctdWHfEO3XGc2XDmLHdPrwJUsygLqH0XFOgfObEy9/FE53N3afKsBWebfpF
heZvzGX/qUx9saLDfU5GwHio0yrh8Q32kb29AZeO9ak0qq9JwRzSWWz6ZzSAK+lmzreQ/st5EmOT
ygWN9ria+ENhafM2MKCAaIsnb8SaxAiBJKmTL9Bx+yunS9MX7anwcz1Ht6ZfPeQszqu6845V29kr
WULotDpRb5QublTrEvXqC8roc0WsutPetdjgIZMtNB2rDdd5pY7DWF4OY4ejlvBkiQG6cTdzi7IY
GRSbbhcLWS+NaNOXIwAaz/A+OSozVmyb1X6ogIk1eQoetOfsDdW7uaJZyo02cXjopP/qhuK1pXaE
wkEJnBUVnr0uqK/cNtOgQIghW8P8sR8q4lnrEXCYV88/8orMeZVXYglR0/UmwXGwaoyCJcYvAkp7
Y299qg1YeunYYRvNJa5u4hwwOYZpmqyXbd3ZaCSY5qvJX1MypuVQVz6Q5WGxGZrNAPIVQ1m24rj8
A6YTZeCGawRp2F2EuXocq+ayjmV5mc05gUYYbVd9wV/2uplc05wAPi/rnKuUTKbtZNRHJ3ZG2Eh9
v5cWR06qVSXM64IExijyVp428ejFGaKl/hZlNEMrhSznNW2wLRv5UvjVnaYqCC9LPpCqmF8px/hO
nM5NMsWKnV9s7KdmeMqTjvivwLmsOwhfiBbDHtUoWZtlCv4/mPhEQy5ptVDGXttmcB5b03xRJwDY
IlhNnuhc0FuE9aGhZdUvYkhqOUw7y5nnc+W0nwwy49IouTJHzmS5SpNPDZE9JcccEzmmH1gXHhCl
W2f2SbMprYe6qndT1g3ftBrkZWaG0ZHRA+smCQx3rRqKdQ11wzM0XQ6ksznd9zHl6XbCPlLOFUHg
2tU7NxPexlV8ewhbJ5BwmbWrhQSC7cNDjjr2X3zZ5c7z2ocgiDEp+7PaGi0757mxoFJ3M637LIdh
QuCnYHPI3gmXt5OynwpnI96Xntlt9Gg5R4r4lyadm2vB+bqORPq5MOz6unc0/SSH1pQdBd1yzGFT
xJZvVOV97lg20jz7ya/Qu2vb6q7i0tnYFb6/bEDT07jBsM5S7IgZqXlr6QMlPUd/nK1jk9QvFF84
5Ubtr7yI0ASq6N52NmB5BpXecCSONnph8volYBqjlEzpkd9tLZsDTOUtOKVAPlVJ5K+GikfZxKO3
6asmv53bOccnVvELTQLKNiVnPBpBVA/pjxx2aVm7/dph7SPMk/nKFjXmx8ruObWR1OUkBHQIapvr
QKDC7XtABuM4jCBEnBqMbDfDZ+/rg8jgC4du8kS/NNhyKLmoexYbNbF1Sucx2pql+5TopMQxwvLr
uT2TBswWyO6FXFOTKNfMxz+MsoNBLf0Yd3xzm3d5tHeYxqSqrxWdxovCpaMVpvKo0/hHOhsZr5ut
r8ykrtZT4bZrhZeY9RtTvOEOUKZmIHW27lYhZZ8z7DtEc06cVabOvxNh8tIFHWkGzUxctB88GyX8
+dCMrLVgyxMOhLpyVXOj8S1APtUA5Qp5FdZjSW02o4C6EPJLRTq7cEdiEduEsemKbDsP43ksOdt5
LjUUu0zlIczoNqVNO63bbhZni4X8WqviAtt7uyNP5kppnW1rAbHLq61j1zIZ2k3zgE/w4v9Rdh5L
cuNa130iRNCC5DS9KZflVROGLEHQW5B8+n/l/Sfd1Qopvrijjm5dKmmAg3P2Xhub5iurcXjTNLQ6
qAjYHfrhUi/tGzKYaGU7KmM/42cOlZuvUQ1SpZb3S12zxIIzWE1x9EjykgeWYvpSTBnoP+NS3wiI
946Is1OWWFfpYsyZuxwEEBIXSL2KCKmXPqLPLHkzku1STe23scWe7TBQWVFbRzv+sjgjEignnrg0
Sav2fuQT76tdc8zSKiYJTxN0MBr7SEXNMbT0vRcxT+CLdXuZ2I7fBlo+RzxE/qUfeQ0Hxmb0qQpm
vLQGgfEIqqTh1OEy21V9LdcZTTHw68j8NIkk1CuF6G6nq9o7Ex58ndxdbgKv6WFyRh9qRiIeLxUj
kqGHdzCMmLV92gwm9a/vPWi50YjHMkoQGZBLXLCIv1BmPAhRfp90eONZrPi8ZM9D1GTbrAm/kRjB
gV2qL6VVfsPcnkPvx46eTxXBgEQjERkqwZQVvVjR1bq1fA7nstLDqa1HvplugARTVy/DwM7UWxN+
7mRSB1MV1pPrgsBMFOGrDpk523pQ0S4OqVLnOrZuQsOuatPJ79sOAF5c304mSva5M1crkwDIpC/4
lveTuPXGoDug7KOsQ8C5RkrrsG+6HGb9GbBbukA3yiP3IVfOk+fld/PskU48T19LVX5BMx+tmFd9
2Cn50XPufit8z4FRR4vJH+HYcDKnGZbVdA/8KaJHOHbHRjndbZIKTgmZs03y6KsluhEjAzHjtP5c
bNiHcZmTbetPP0ZZvfdtlrKt4dSvr81HA8yIqFCJlH0mS6d1ir1sQd/gHqu2/ujHa6vtHsqANy0H
i3WSHsbWeO6P8WBQpvb6Ic+v/EEGh9uF9/dJzvl7xjSFaVZNdGJgSVoX1WVu1HiPcv4dNMGVszLe
O7Qviekd6A/n4ynMKBJL1c0bhCcRefH2xYlFwoYI389qqjvIwN+7+fqX8sAOjrSv+f70m2aUNqQA
alMezrpL5Wsk5Dnxyxe2kB90uO4EOIVVAxDhwEkH7SYK3nMy+sMxmALAUEitTqKmhB1b+y2DoxQ2
Le7PoWPVlQUojvzKyUUHbF6SAGwdWw254DkJwFPnAfzw62LbFsh2m8FED23v6ZMIFc8Q8FYH+Xc3
kFV6lAv6aiAWMHK94c4EJKBZfSn/N0x1tOg3ouSAjcJokyWEIdYF2SseWPopKr/pYFYbI6nlYpvS
0BrnlGpQP7aqgy/QdDB+s+VGeL33PY+AeI+9rfZeNbW7scjidREhN66G1n1gBdYbbQO0KxtzmlUO
nDYNv2UBa/RcCcScBcfr+p5cvFeJZn2lZVPfcUq56av0ZzRrMpFdYajPO9DRuu72wluIph6qmT9r
Xfp0/jUpqgqGyVQGBQdrNxumQ9PLFmySN28Eg/zNWDTjHq3Xc5nTTlvk8tialldcCzjEEwCQqNMN
J8uKMpbW9QbbNuCcQd83fvnhIvLk4AZdf3KpgrAu1Wxc8NNBvMDcKpaHJI4uRo7L7SBS70bNRXPk
l3ILrl3+NgT9PlfxvWiIU+iM+x5N6bwaS8fflIP7MeWKLImZtOLIj71NVTnOAaHYsi10X23mUL0v
JZsjFoHpcQ4SIjECd3hQXkZHDr3TMWrGKz+4mu+cBNrNPKLIJjmahPIsSHeRiF9Zfr4GyRWaGqQv
fuqn+25pXtD0IFzhzpBnUQZISAhrpmGrq+d57tKNaCdz40lAbIHpj6KE3RC7UtCNWN6FPQHalsyG
UUddeYLyK3XJk42+mirbIr7CGGAT4SgILwWpVlo0BgpN5DT2iwpOLJCsIjb2KXVgh1fBuHczGQHo
Y34vOxyviCUepuqa+V6bmwBv0Kadajq17l2jRL7T1Bk7YXQBMkvnV+CUVm/ZMNJR88M+vA0ymKum
5SrW3Dk8gnmenjoaredeJDVUiDZet1mvnquEzhUn2PypSGOGNKmErBqCTK2stjwsPi8WRr7yqFpm
srpM8wOde/K2c+Ll08gjFqJo6mbtdvlCl4wgo7Vdy5auqKvv2Qd9yqsx2E8GVnXSMoXaEuno/NSZ
V946cvFeaXJZ/DcGo38EQS5I2zvlV2+NPddv8+jQ7V5qFSDG6tmw6EmRZcmR0Ukf46j5yVDQWqsA
gl5KINnGcwVU9loDCiMQHUCX6atuOumOOfek4HmHDMC+AzTy3g1f2S6RcfK+0KihVZwgn0GFoPtv
aevdekFXbzkOqrNTqO5cl461jogm5mUK4rdKKJTybjktl8lT4tyaBQfjmEBFtJn5HYopoRYfpvyj
RzEJ/FSi6e/n8Zm06O4OqFS4zSuJrYG+1iFu45AgMF0RYdB0915aj184Q+WbqpmGk5ODOCIBrd2i
oBrgnw/ZiVVm2SYFaq+kEL9stDIrkYM3t8gJ3seey0Gx8Md6l1TUNKYWGU6aUex6QizhMTbpTeZb
w7PJVE//QiVnReV8HIyb30xsVUUkSAFuBN6QmZIf4DrcQsSvDznxvHuaUFf70YzULVGIFOxKvtDd
FscopFdUy4KdOKzynYl8kLWjj3citrNn4sEHOlAk4YR01L8EEx3ieOiORYQ8BRIQap+UYWQump9I
6txt6I0gACyMmLlbErcXS6DZqFncghY5xekPr4bQSuAfvsGBQl62iQuqsbaI1yaGMpNQ1Kq2Tldl
kOanaPKJB++BzyDp4FVKkVLYsQAavJCKnXNnNwtyKPBqy3K06NaTc1HSG1/saSOTgCVrwmfTwl1Y
z0Wf3tmomtYR7iyip2x5TJmyvBYDPCo6f/RFRE1wtwqrbNvzB/fWbDcc5SLAeFajIcQZi1f8qubw
c+c1cUSxGemvcf7przc+Kh+8jmRUW8AprUbDolzgKsHj/J1qqFkhRh0otektq8LrHhxntADreJwE
MrzB0Qh6zEZD80y8wUB8RdnstHOt7mJ/gQFnejJC0uQwLa286aOmJnXEVX8RB3xSNF9H3y6adByn
SLpD538CkX+MvmdnCepisJajcAoyULwazwpTsFXGerGXQg20hYLkL2KL31zUw9FFK4hWW2B/9nQV
MMwEakvED9IfOFuaGYAxjO3SD67uns6iamR68+fh+28UF5h47ZA0PcbuyP/+PXlXJkuyCZz/MW9c
FERZo0l5KhlueBuqW+/y56t9ljxebyxCMtR8XuQhL/us4rXqrKYnQkhk16TjiWUBiYsq6djE5EQJ
BtkPFB/BlnJ9YywOiH3b/k2k/5vbHPhX704QOSyJwSe3zFRVfPJ24h4nN7F2hiHGYeLYDJcwQq3j
FXQDZkhFf/7hv1GbIJNBJ49KGDqD/0ngIMewR6uvveMUuONt2WLvykY1QNlfeuYydRsW30C9piR4
FEpPyKiK+m+ypt/d/AhWgfR5xwjO/axWrvo48jsHbG3Tai5dEVRVbCs3mDnxaeHuIp+SgtGIfGJy
Xor1QHkut9Akovgvt+M3uqL/7xQA9OPgCPkk64yXJfUav/MxrVvtizdZ5qXzEFDC9esMLYVqxMX2
5yfwm8fOkdO50suuQpvPwdpq8dM+DDJ57MPZ5TxiXWcqebF2hiw/SZZHcPTt9v96TdQ5xL9a6OPR
QMpPChpQKkHf5pl91KJNiNdSlbWRHP+BwkaaBKkwlQ6tVhsqzF/YdP993/595esD+McCluCeHqyy
so+j7tydo3J1LkYiX5EUd48mQvoSNCrY013CUF4o9Zfn+9+bjYLYYQlDFm9BeLn++39cHjKpaPq6
cYHE1fmBYY/euleKfGfS/qP17emchrTD/ny3/7uUXS8KicP1QuZN8pOiK1yyQgccm4+LhXZQUNC/
eHOeP0S94/5FsvTf95dLXREjTEltybX+/ftIeE27EYjqUbbBdOE/89dlBIQ1n1JxTLUu9n/+addV
+N+6ON8KXLqsAW4XGfnXf/+P+7nUowGgOljMiizCmLohiMoNcbmi/MuFfvfecAOdq6eDhcr79MaW
spJd2kC+hZCH4iXv5ktdznLlzV50oTgttvm12RRItwUSGfR/eW1/8ztt+xrk7HGe5/X5dHkBHg6p
ZGAf6XvQCEMKQ0x1FUt6M3++ob95Qe0r4UH6PEb8bJ/W41IPAWsQQP7ETT2zm7iT1cGparT/VQGT
PhVDLclMarDJ/vnKv/mJANcCYCwWnhkWhk+PcvEGLVGJ8yi9MafnmRffndErvvzfLxPCAkDG7GFG
Cj6tsE7S9H7Stu4xA6xBEgFCmvlQT0Aj//J7/vsp4D2luY5HPXIh5l2/yn+8mlhBexlUjjx6rd/T
L6aNxCyVixK9XNoIeuZwsvPNn3/d7y4a8fx8GbKms6f++6ISYxiqvyo4Tr7TAHYe2+dchYjos2DM
HoXpHesvV/yPKFzSmgVDEjgBmXtUhv++orfIWCd1LI9R77a7Qor2ZqLdsrELb7zObJPbdK6YT0F6
/Ruk77+XDiwX5gYAKXTJ+DP+fWmRoMBCBxcc62IZHusZIOVKOnGckfa1RBzde+qtdaFKD52GSs1f
HvB/lwRqURu2Km8taL7/oQj+8YA9U86emiUv7FItSKri96XO/W8+eaYV9qqDE7TWDklSfarI0frL
d/rfNf3fF//0oJtu5viK+P0YGTWj8BQjl9CZz5FjmNjC/vJbf3OrbUvSmQmvGClwef++1bGnklKP
nn8cPO1c0kkVBNrmJm1pzFMyQUGouidaORkTCHRDyV+4Dr+7vG2HbCje9XOyr2vHP251mEiBCUj7
x97RvbexFlKH1wUdDHet+RoeseoX+AiHBAQLqcLOXwS/v7vZFOac3u2rm8/5tGbQ1uk6dHb+0RPj
+DWRMIzXGF7acJ1E9TL85Yv67xLMlwQRjO+Ks5b1v2r1Hz8WwfXMvHzyj22x5GQ9SnWDX58mJiOn
baWmtzpL3b+8Ttcb+O999HpNfKrX1Rfl4ad9O0zSwkm62KdECHJiTRoggRhviiXb/nmB+t2Pk5Sa
NmCC/y0Y/36S9LyTWNZcyO9GFHYllTVeO1JsTJHRQZoa+5lDdfb+56v+7lO9ehYCzJKsGZ9PVyDQ
o6JAqnyMxvRVWdpa89toNl6h3LZp6ue2I/fdVBUZRQ3smz9fnTXpuhR9ur+cHxzYCBQQLNCfVknd
xtiq6GkdndbtdlMHkWIcYdumVqG/RwMrHF25IfPXed/MzwI2xKUsC8bUpR+OqyDEQrWCd5tsfHsg
qIRe7TMwUNAJqgyys5boVlY4wyED9wOikkBZ5zmImvdBo7Tagod6zRjw31qdjhib1Ogw5JgzFcB0
5UyE/uXM5QwNRRDFYpz7aT3J2KOUqkxWo4gj+Tn1X+KeifXKK0MCi7TbIMsPHdF/aMhFBC3UYQgT
xBOk3Y7frKWdH5IiJqOzKSUyNCJPHQbBthjJM7IoM1bYGUJGQ3aD7WnQUWF2NCjRQNRNQnrOQDKI
j1MEGwcxy/TZVl3LJA/92kIeSZMm09nJYCch+ZXigEIA+0lbZumpWBydbut8boZVCW7jbUFvyhzW
nv0bhW8zWrt5zDTXQJ2a0TAN5mkpAJKjrWzHeSMdNd1GfRYfBnScGDpgnRKhqUxyF400lkgrVTCH
G2aw8y6J9HJnu3RCRGmym6WZJrlHfeaRVDrEcth5Q0ceX+82T2k5F2BiRxrV1aS4jSrw25dxjNOO
qWJE/y7lo0N7tTjF80ifgYFVSLpH6Ezxulx0/10LVA2rNu2L1wkj1t3i0zorxiK/D7JsJhA9LKwf
9pSp+2z0q6+B13mXpKx0eoMDyjn6lctqPYxIJFuw52tO+kj6Vcuwb8kX7LG8RCTlNWLn1cZ6tR3K
3BS5G874Eicr5grugzP2ZEJUUbD14whiuRfW5ePEK8LQQFlMwNPBBnDvuGmHKbVuxDVMaSo+nDkg
da6r9Lb2F6K2poFuV+N6bx2HiGOTyfi+8kC3uPiCEVNjWV8bdPrNymsWZ1+WMvyulsx7CPIgLPZF
3AdPHeMehrWDePetRZxH0Cw19b+OmUxbEWlsmZfG6Ya/q8NQEv0wfjBGmN9Zdwpnjz5cRXdzHucL
aot2aXcY09HaJHA2jykMm5+8V+4FtXp2H5iraN7NdfAOOT8jBFlP3rtbFi0derQIjLKZbfD1AOI9
Ugr1pOB2xuB8Ui7+473JgxLwdzq4JBUP6a7o2pBZ5pRgUUO6EnytRJM/pMBuL94cRx+4nLzvZZih
YLebYPghvJi+r3KKMd8NvkV/0uv8dcSnsRoMZ0desvank3v9ss6zUoGp6bzilPHev9kOjl3LstI7
XGKEkIbMm0gvwUU5WaL6Apnc23SWFJdUy4SIsRlMXRhxMEaB225Fil/CRpK1Swk/ZoxEHbahIDKP
Aks/fRKbgzOEG1Xd42deLmYZJIj+nrDwQz/VyxleaZNuCvill66z07Xjim6Dj5Z03Y5HRVdNG4vc
bAf/DoEJSfbG0Y02riZUuUN+KrP3XGtB8KTXzccwKMiWHqLoFCMCR7rCGMBp+gJF9OSN3ilJS5TG
WFNOKsiCdTYLtQ/TFF6jKsSBuSIE7MY3WKvtJdkDdc8Pme0V3+3OYloDhSf6mUwWwHQrI4pmQijy
aKVusCtGxkeAgvzMX7FpjW8VZ9tj0YS0xsv+Z9HnzsYeLP1NM8hAJ59m0ZHqLCSIJ5bQlKxqBwbi
Y3JCSE1qKsTr4qCau56iEWf5w9maQN3Zdlq9utLNd25s60tohuYQwnjHnqGJdYM65bHCRYqo1JoP
a+PTUVRrVRH8EIQaPqSC0e1HSbAfEQesS7rPh8ZVDcYJpqQlL+emgsF70OXQHplUoVvvGI8QQ2xm
/eR1Ijli7wKEPI+HK3HphsTe+ICJvolJ3xmSc+xZIUtC6iGhlHrMSahzSSsf8vQuZQh3H4mmucBX
Ih8jQPWkMY5sixb5oxlIVA1ChSNXsMIhAiVlB4gdpqXZWrs+qgEw83Ahmd76ZoK0iy009WVJpByz
jjGDCxR2S0QcY+le6jjWNyyN8dHq3OxAc59/LKf4u1D1tBuBbOwBEJlbFGswpZqJ6JsMA/feLlr/
aza3V9eQrg3+WKs+stGOt0J14cpiwrDtUm9cR4uVftj5EDwrljhOvK6HHk2Fzl0hMRrYueHXuAP6
42jmf2sd2eKx8BjmFtFkIe3B1phbC4/JHm2Ec2l1YE9mamT55jkZLPsEfE1+jEsVOfe2YoZ2ClRT
/pinztr3I45RqkorebQg/aMCbqbjnHqkX7SkoRVaEW3nxPtGYxlbGcshsgyBxgaPT/g0T1Ofr/lq
8209BTObpVaUOnGnop+WIm3aWEgDg6Aqd46zNB9LHg0O2Z/guREpdpuG1fMlSA2Ygk42ksyztuFD
4w8o3GRVHH3N0t7hs7dDcwSyBWqL5vm7Tjzk+zwbb40jLN03bWkfknBRd0tfVOSn56Jat7byEABb
dK2nec7Y/5JSbbNAkh/ULvLQ03t7m5ts2AQqrZ4Qsduvs8POwnkidm08bwmpy6mHAn9A6B7Mgfm+
ONTHKpXBzzqH7QcCISW/K/NRO6puAdJf3QJPpK6I/ZJAJah012iiInqgnreH1ez25XEhiGJfz4S4
mTmmy2wAvaHgu2oozbTo58HvckFHOJEXC2dqtlmscYFbGWr7BjUJs7Kr3nIjwmL6Bac2P2acR0j9
0L8yjkorO02WF7ts2WpJwxbIG8h3CNUQrNktE9ZCO34dLUT1G9I6yr2A5rAa7UnsU0OxY9oJcITj
+gsm6AWQ/0RQ0TIRxhvChiTet9ao8KpwvKSyUi/2ECfbpgKriUr6pQ7QnK/9FmukPxCVMpmMoJGs
/pIFEfphs7hbEUzZjyDrMW83+aIR9mh1WiSYAMuQKecsYdUfFwSjO0NXMjrb3TLjJPKp/5y4i1le
pROuquxKmhoccZfMLlL9MLimSaLyW3WJabfd0nEfkiZ4QuTDcxiBWr+xRNlqI9Mh3pAohwbRk7Ii
3zyKMEnNGjMJwGDMghZLIBN2MoKWrCQiFp0GfzngTuDAI3eHJqIjnxy7eoGTGwnntmtU3hwBzYvT
dYCwyYh4+GFQvx0mSP1EyzspMwTaZtjqkdkweQatDUV1sGaHXFrcb8cldYp7FG/FyQvAF6KuDxkO
Av6myFw4b0sMHNhdihN/WzHD5BXN1kklM72l6i4YFh8J6/mWh3X81M7dQzE66StNV9r380LjcLWk
pd7jbmh2jNKWenvVe+xsvy0fdDQ9w+My31U2ucyPcQJPqyX3KGWNQqIYGErbxRj86QWz336e635T
6jyj+xgmI3JzP2U+5E1Y2vUV8xjXrUROlUzuLVW+ZjdNX7rJzY7YhLbWaMg0qpAxqLI4Fzn33+ll
RkzbwvZXZcHetZpkUwvxnNTJY9Qmt1FrP7le7KwccpXXKEQz9v/065j5B89hXENb4lG6RE04A7KS
tJo3Om5vyniCd1zjgcQr199hYeMFnqz+gST2p8lxNtRXBHD1ySEkbSsP7QfeO70Hp4hEIPRBZwYc
t933oSZFrQ+KC9/9Zcq8aR2l7k/bM18CW3wNKaDWzjR1RJZ6PJZRUOpo75XhaYQvPG8fqWxQoHsy
rtZOR8pq7BAxVvoyBWw6YNbRod7bEYGGzVD+igU6YitaJJlrBslza39xcTT0sVXu63h8h87yi4Ms
BIyIIaSojjmLFbLnJd+6xP4aZMiYxchLq/pX37gjNoHpa56FDNCN++CNEXEaEo8BCXbJ0hwLUTTb
yZ2I2RvBB1ghesDB3efRiNm211s7uTohi+k7OoZnCqMnSrmHpk+uEV1qu+CLP4ydPssl+EJBdqZc
qKkLHEDusJk2wBHEBnKsfzvxxe6wIOn7mR4+elLVrbrKrddZPd/JGJ/f1PsoHNRd2ExPWG8oY5z8
ybPy7/5SOnw7Jt2EgmSyCabnyspCxeZXOxsztV8skI4bBP4ua4I8aGm/1YN/53b13qQjn0fEI2sC
KnQfuuGhS4l7MJl8x3nxdVH6I/ZNu7LzZg+0x30wIrfImNDmgP0MVZQ33+phJK+gLtFz5hUCsTJb
OYvr4QGg7oJ5hddVVq9WPN+V1wxM5VNZDJ56Cu1UkEFd+itp7PLU0JndWI1t7Ranw1QNggehJZKm
wbN2uAgw81lje4ZabFOsk+CKDemcaO9XRRLFSEv33Kf11dtYIkjvE++UVVH1jX5s/OR3GrMxjNUD
vZNoOyXFRynKnwXskevEP3kow2AAZllvgwIOEQcZOt3alOvFInCm68pXO0RpmyAjdspfNkkZvsV7
2MXRcajN90b2eqXY0E+gu+6BDV9Nk8WNqljQTK9xzbrU7V2O1KvoMV9EjngOl5HttXS8c1fYp64z
d51XfuntBPSrAwg3hlCyjoM5exMmzl4hYxBMG4QvsHQ4VMbqOTHJ98wrvnZBgEqi5VIcTS8gNB+N
09G9uSYtFrazWsrmJkHEs+3rErWkW/uIr/J6HSXAMqQmRAfbcLWRWRVSiHsXpAxEKEzhY9xgxEmi
7i2dRbzvu6W+b5Y+RMxY5Xd9Ut3C6foA+8L/n3F/QkBqEdHPQFDCEGegYkwt6hchOSfQpGz3+ByJ
qHVRBCQyk6veWshXRgDVoM9YdS62vNH2300YEJ/Y1/NKeN7yUSfEmNlKkVVecxAG5bet0uXeZNWN
noMzRejGJZ2tXzCQllX2o+Z97WJDICtBK2hKGcsWLXRqx+7a+9SeqvsCjgmpiJUmDLUeDwFHjx0y
7f7elXXx0pPettKiSpCm2MOPsqWamqKWUFMZk3kmRXrEU6zx7xXJR1tQsPZUUQyB9kvRw4Qs0wdd
1ThGWv0DP4P95kI2Xjc9ttVO1NeYKH9vMvutApbNUas/2sm0xVdwzAg9YX41w04QAxY6+zJV14eX
qAtYEjT1ZDDvhNeRVm3crzrtL6JvXXge2WNqlcUPkTU/asMtbVUSboK+JvoPgeFKBtpc+3mXOQYQ
ay0volnIpBN6D0af7wRZp7jm2eXJF6BoN023ALPCBkmbYKlJHepJlKdiRl7ZI2JMOTfIHPMbInpk
PdQmSohTreCXNogpe3nvi/4BM+YmCKgQ6Nf8KolcSleeSe1DOo5QboOzXaDPRo9zbiVmAzXdBaHh
gnP8rdbuKSh4e9150C+q4oMUSfo85/ph7Bq9VSMhSYE19UC9yJEtByrHwex1X9/GExW9sdXrwPtu
sfyAiEVSmHfi5ABQ2NRaPFXhNXXbR2SHYFVWuBGr4jnTXbUWvCNlCVRghqFTN9F7KCB9WmNEGex/
VICWmHXsi7reB3J6zdP4NJnxlrXrm4HgTIF+YsJ7akHjNIF5w9NDZLi2DjNAPS9cHscQsaPfELeL
rQEoPt6bBIVUYoJzYYpX0ufwrVzJxnl6Hj3vIVXiuxM0NiKPbs9UKt21jb4NhmRvg2z1nOoXLS0c
tHlm7lTQ3Thq+WWlqNuFS8lMhNSd4+K/6BAQdtWznRf+yvEctUdvoDdBKpAyXd/bNlrOtSB8tq25
rwSenivcXIOD1ruPli2RSh90jPeZCi9pRfBlQhCXzjiiGs/7qBSgRCtLbsu0v5VNwr5Z1I8tbxPE
r3xHBOSmQwW3kaM45yltlzEiJx0TyC4KyJsMCT4o/dndROGA8JYWjTtTHiDbXmlNXH1RTBtl8sek
ZxWSaQ6DaDJ0RaO7KiB7dOSOp93R8XuOGsV70YcXOLG3+H5fF1fj72qrh5nmZSbic9aohyaWt9Yy
ngITvtZZ9tx0+d0S09/xxxeMjvWmtfReDjR3EL2+VbI+Dfb8RprDK8coi3KBtNMoXX4ss3/Sk2P4
xLKvvasuGS4FQGywpqt464fNKwPxa3PgaGxy3MvB+2YnyY4opvbU9/mlcdzXmPaBZZHe5oRk71j1
YwWcc8V88EhD7mtbc/pXyvrJHvws7exWDTWtTleRTogjhcLsdSjaAyvdN/LY8ByUsC0EeA4WVLRA
Dd5xI/HGh0xr6Y6460j4P5ymfGbMv9WxfFGcA0IdQ6sGzEw2FdHsUnWkrfm1oWvl5Tf4Hg4JJNLB
jc8IfMUaViUhkOFHbBXVme0YekEW38RFjSY7O1DoU8YY1uwgitddGLzgFbtb0iTEiDqb17ii9o9D
igF/TAB/jGSZulQMCVnrva/is80hiy0g6c+1U72khcDUV44Re2R+E9UsN6iQzDZom1My9+/YzJ6S
ESFtcU03E4rvCHXGLugxn4xJup+D7MYfi+d0NkenXrqHSs9qPyXhTihCgNNrbucUkQLPa2Jb/bRr
PToNkaiJFrXeJMWQ5G+1l3VEhl5/UQ0x9SMmNihC7jsst2GDEMBZxSEmMAu149o4gDKHuu1Xjp1o
HNNt8ThiQ/IjSGVePY07ZbxXDx0unAFepjGqb+LAQiw+4HNBqKvWAUsYTbTkxprydcwxG3oDFhMZ
1D/pyzjrtPTP2OXP7ThuKwkY3UdyVw3L9KDLan5vA5/QY45Ya2SV41aLBFGvFe/wJSwr3j93T0ha
+TAu4pLE1fKh2nDeLKmfHxI/mFrOska40PISdV/HlYcwFrRASOn8JIybPoxTRFNPFnm0WkYLnbPC
MLJSFnHkpS6q21G0cpvYzvJMuBTJpDVYDzl78zrsLOfFvSISZok4luavgxi/tvFFz8O3WmVokj18
Mz1RXCubUbjXxY8Jy5c1qRQ8LN8ZUFKaE47EutslQ/IMSR9bZjjvOLRd8CHdstVNWGPTHSeNuzA3
ciu9qtxbvMQwR4btAoB541s1J0gd0HejLQvtvh73uosRUjg/6AI27M7Agqosvs5MAZmj7K+frz25
q2c4WYGOaTd1iic4IdlUxVNADFF88ojo5piNA6i2LnnTZcRaJOdqsr+MXXzJ6pjeqskONkpxyC2w
Ju2YAQYYh9Vci7uM1iL6WIxrfn2RBGprZ8ES5oUs09dqqLZuab8wYPA4m7Q09eevdqnfBPDxVa6d
BwRE9xjGCbht7BOykRvmpLi9Q/OlrumF4bS6nXHR7Is5vAY4qXfdwoDQ7kz67Xxj0clE0Iq/ZEyd
90LIu8rrd24T3zFRPcWt/9gs5qZNYbR30XRAmdLt2xG2BtgUQo3dKiY2uYr9tQdLbT2lWLVNgkGe
BFgSsbIQK5KyvwV5+9Rih7Z1S3O7zcoNM+qN4IjbEmlJofwLJvpLacaNPQeasp3g7iJ3731Y6v6c
EegHWa81+BVzHxV6fBPShCUW844z6kdFu/Iatt5c2hK3jY07s6jdx4KmNrTuIrpNwmHPjPbGo6Oy
sdoQr52FK6AjFAATAXE8abx1s+apraztfI3TZGZ2zIWkK1EFd3lqfs5FcIeEneb8eB5a6IXZPDcn
SPUeIx8pzokpOZtR7BDs22L7Gqqi3vWeVd3ALdQPjRuyWVryYxgL632wa9blxHUf035kVlermVBJ
3Mqtx2AEhv/0Rr21bFOL5Gg6mf3tTGrBOuhh4wyzh5W8s8SOyCizUTUPTmeuC3lCPQX6/3F2Zrtx
I1m0/SICDEYwSL7mnCmlZtmWXghZsjjPM7/+LtZ9aUuGhHvR6OruQrWZmSQj4pyz99qUlRkxSetx
DF5pKLG29+G4N/VwVyU1Z+lYxHS7g59hNLP6zcYVuz7hF2kdrdyEp87HDynpI9GumeM9IBxSQWuh
9PXYDc1j0C2H5Br/Tk8jlPtMYxv1V7OOO44KYTsu4AXE3kCd1d4aebi6kqDJeexvBqs3OF4Uamdi
4H6aa/yhA4CSPSehYL/Ex2xTkZonG5EtPOA5/tXa43xODS89dRGPaK5ooIB3yjmajYJ4S0ijkgkG
KZ3ge62qqtYpx3KoRhSws+9AUWi6CohGGsTbOm3mDd3PH5gn3mP24srBQjg5qbmBP4yn20FcP6Zs
VIaTBnu3j7FiYd2jKNTRzk+SZ0YRjMIBniSgnxr7YLowBiBhUE5VUGxsPDBrGB8s3mV+HwVJuvUb
oiREYvxAL1tfZUUYPXTFaNzrro4eFCgc0kptc1cBuNrToAhJf2042XQ0HdeWnU37XGuKa6bhW4VR
i+oXy7k/cdiSdWrcEEDn/gr6pDn0gR2jjaS33EWFJGyo7jdB7jxBL1RY1pdIvIqbErSNs2oap7uy
R8fGg23BQvVoFuEu4DlxzFfAO+EuqUt5qrTZ0qlecm11/sOyJoueR1fsSAegaxri3Ngxdr5oaKYn
qzmU6abHcTys8ibuz8o3na1AxbwqMyn3o2DdDnwrW0dJm+3DyfhTcYw62hBi8HnZ9P4jHd+EgU0F
oYOnFjrndcaUeyWYVdHvyBmpOfJMT7zbG6b/S0tj3g19f+hp1zBjMx5qmyRQTK1eu0KP8aPBhp5v
DHjSl7EmLqwn8D4oh4tCNKcwjd1NpfSuNexLPWfZdlLNtlUQAsVATmlat9dOpvdZk1+JnD+aaG+q
43hrkfyasjrvhmiu1q4EBOpFxAG4ZnEaSkgHqdlfzImVryHdX5qQPVbOUG4kmJUNSBLAww0h13bf
BxtsTDySg+T40zJL0WP3i6kF8KHS+z3DrKpq+3XW4Y/EKsato/szfLPL2odfUxTzpVcMb1EDRQcL
5gVYtRY/iBluPBmhU82CI7tMslYMlgn/pDFWhUunJcUB7J9tuzgaFem50NqIeBoZiky6xS+mLvwS
fi8rxm1WyYvaznmiCSkAarijJOC5mZaHp+Ss3oj4mKimWUs/HDn3qwXtZ0Ys6uMtPc3qFb/BDWgW
e0swIgPBuv2DnWdr87OTN/kG+mLfeM3BJMk9bDn/e7M6F0NJAZndhSY9q7IKTTx31ha3xHPUpncc
L+7hIyA0KFlFa2w/cuazmWm6xe0wrLuhvqSyc36pwYclWmqHpYSzbeSk0G0dMk3rAZ9MouNTPDQj
jOfyVjjZTdoS1uCUD9CQdoNPtG4dn1PFxDY0q6sOYdhKAQSNW43P394qk0xgBfC1oMZYz05doBPM
fkVCvkFAPBqU93bGEouU1kZC4Z5lQ3e6AfLiqPgHLY2jn0TAg3Rxw8xRrGDLPouxu0p1snWc4TSb
9W9PSrWrOweKotHtZUCdBDRMMgIvkB6Errkr4XSucLpCYbLmbcyDfw44WmwVeNpVp3EH1k19kbrk
DYeq3zqKgmSZTwDxvckGYz/xMdu8gQCSNuCWurvK6PWKPfIWq/gPzCX3dhrfIeK6qeLs3SDwjhYG
ntUmoruftJexyymNbFRuqINhWWGMWBP1i0s7z1/6oDrmVu4ebJ+i0Xfqbe4KqNC6eZa1fEHlwzOZ
kO7Y9rm5Ij8rgHdsHasqu+zzlKEstCKYIRSljdseM99cQyco1tngjet6VpINh8CZoO6u5lKBfx3Y
pmBYEUdNPart8UfLmhMMrlgLyt1VqmGqj9hzwuYBKNcDpi9C5odjwCsoKm9HBLbiH2KqxD+9k7U6
U9IWSGvybT9iPcbvjO/QzE5uVrzUWlwmGLWmerZOAQbRBbB0LHuXbOzwlogswqPy3RLnA3kelYxg
LZkocteWLjFMp9dNzP/g1PintwzaUAtQadSYlYCDyKI+FXSVUMZt52n5fWx5HUXRdUb/n9VL7/zA
Phhu/pKl6QW1AL2Dfth3dXlefAjQU/xb+kcvpEhd57h3q4lDijE+0OL6jQ/qhZCX62qpABNygEIB
nIOpLpMx73Ee+qOVWyc3d04srS/lJBfmjoP9OL/2cy0WzdG86dzgZ9AZNESA1MRSXrSLC6pwQY76
xmvqNz89KThY0dQg0gNXd9SdQ773MLI6gQZgKtaSTtQW7a8afWDhdu9JwHg87erianImfzvYgomx
g3Myg4vgZdVtaKNUCWtjO4tknwTBqdFDfWOhbrmcivIaRn127fT1zypxeOk0kgBv6I4hAxbPcG/k
TD02adQZgX9hImKwguGPGZF8NyfD2QOcWpfjwdHZoSbRaA21/Ta02iOhazx9XvjDqmpsYQPExzy0
twOs4E3XuvMpt/sXxlv0FjCsRr345YVFT2kxVfuqZcRkNf70wDti7xLXuKuDjqP3lJGDFDPhk91r
WQCBWx7qEhGSPeXEzHnPoE+qbR1DfcQwWa1p6urd5FBG66Z8NHX3bpJrRbTQzi9ZBWXunMds+BEG
zk+niFFsaNr6kwGbiAqS6pgfnh+P8lheVBVbIhTXa/KaaOtX+RO5kN66V8kdmowbyzffPGe6Eo4+
104ZrJXj/jAURk85s3bmoPLpz1VIS/xH0265u617jyEbCiAsPp5vgJQe3dQrh2KAGb3HmT1+sEt9
6Y6VRYOujtZegporYpjXttOfxq4vUWT+qbQFWaDJfkTusPdIRyPOFeRaV+QXJmDGboVCR+yTTrxo
Gy4UnrJV4yJYqOmirvDAgT5nauRbfofpb7pS7XDEux2s5VggHJ9+dpDvFVW07ZjoLxKTUjgSz0km
NgClSf6S4ZPEIgn+A9t3WbMcJwYRhQYoLTijoFzCnqYrm84FWYsnoZojkK9T26TlEf7imwyCGydn
zrjEHY8JMJVRedk2GfHXKtryKbhGKJZEEyi2QJTRDi06dTJhQkatwWJnjSvGuvfRZK+qtnpSwB3c
mJlaWChxmmCLr/CVdTj+RbNm+o2rdnQi5uAcKqZieDG84oqq7xk8+qtlBL8g9QKk8NxobYi63FUV
U1gdw97pnA6Dcv6chgh/ImQyXjdQsyn0aHGbHTIXRI4NMXHqrGoPJO6kax5UbGYmR4nxZ5SG9rmA
G8mGX+Mj5y9u3Z1pzvxIO/tde/1JJ6BWg+y9FWgDYV2KNUfHTRW7Ry+cse5SMuYtgK4o3dInEadU
ji82k4otztoDYqIzLxHtsSi8a4UEHiO7I3XSOQj1mztFP0aPkCyCasHqGC/tPLSbFP80SkqgqgxC
KEtBo+jx4JnhVjVRgbu02RXsQ+Q8nlJnsjfZFHQcqtnNacBc6pT2dx/Ez1QXF0iIjuR6nfN4mjcw
IoyVpq1idtPDiAICd292MsFjLPzitROCLjU7iW9eaEG3D/5SWQ13s8meSy0S7Wmz76jrX9luDp4I
83UGOp3dyvkZKObQUo/nulQPqQimVWzDMaJdf1eyAp+QibBZMMzEq0x/IVOURQYTY9oh5tkKnfxa
xubt1PTNgaPUQaXx/WAFd2kDE9Zk7TiO1bRnv38vA16amozTuSqrHTsOMZ0m4gFvJInK+omr6In9
Fxb2iOt9ks+jX1z1UXqX12Athzbwdqlnr7zevZ8liaVFkvM2sZOapjlsI055a8FJL06SuzSP3tkj
t26Z/jCjWQBJBcWa0P8nFnwNftXbFONwEfPHrFo2u0EY+YZt+rdVmACRemREE8MUxWB3PZfzM+P4
bIFDM58eGfhGc3YFzJ4eQJ+9kwvibwS3HNkZBDXfDTcm5T01+h09FBpu4MKQTlN/svXQYAVf3I0/
qxrmSqqAyDbLh56o69Gxqt0yOYcEhBzIHG/IZL01gPdHHRgfif0pyACbJzVjMKP+mZc1i6bvX7Xo
FVYmTRjgY/17WZrHhLaU28mb2QrPKu7EJspya2+M9L/ExMTR9gHgOMXBzJGWOE5ylaBVXKnYfsfG
fefnmT51Q7iw5zTbXcPkzkI2xuvJdwJxs54qcPQyP4o6uJjm8NlyO3sBC9HdqiREgnR49H2nwbZi
9ZcV0DQGFyD8RWAgsRvzDXoherg+PSTljWhR3XUBugVOWnwoSw+mLc1D2i/eBtrKdpjtaQ8edjqJ
CsCbtu0LrzLvImBujEG8dd5FB4jdP3nlTvYIug/L4I1VNq84ba8qJQ5sXd7BGe3NWCINGcbmKl5Y
FxGE35VZOHvHwt3BoG+XK3Udy65jhZQHwtS39PQWRQqN/E4DRAF0VDsdqJPefrL82Aco1iIvLGBE
Yu2nYzOpPWsSxsQxpwfQFPQKDJ55mOh77A/0AEG/WGN9EoBERYfXPhJ7zqybYEr42GV3DZgCHl+R
euewNOZbq5pvKzsgUaOCbWVGNyAP9vB5eRUz/VoiZT0k6Mnh9oWP3hx265QGUFShhw01TGC5bRMZ
HiXOvTXv/bHNIU6Eanqd/ZBqy9mkcfbs0PIEvtrdhYoRhoVGY2i6E6e4dBXFals5zKo8wIJK8Cer
y6Lq7ruKYEk4a8TUXOdCXNfzwKGof4NGpLdJslSE8rmXAQdgfzy2nArZtDnnLLxBA/VPSmeoY2Fq
8/GG4cJt2qEjIApbrhbWBcbsTcnpd02tcGVl2lvl5XTCX/xeC+uqRh6/cYdwD1z72WuHq7xnPMAz
Uq0KHu/IC/GzFN4hTGhWRYxo5AimBUc6VcIyMGTpqM5+nUBAgCR2AX+WAwS4KjTX0JuhM6162e0D
yeAQh9tOZ5aEAp/uezd88c34TMbl1qKuQJ3ovdUu/UQghvuUce0+pHJal7TaHvFLTZAIrX1LG6ID
473Sc/DbL4vLXFUDuK4WyZrv7Cmjdya8mFWLRhldPqGgFtDpMOPv5COSyvoSeM/wEvRDjZ0apZPh
KxhStgMmuim23eC853V5nZjV2cuTQ0ecRdayGmB9e4KTmezGoSh3jRQp8p6cbmVTldcSqAmz/vKZ
ueLWz9zb0hbBaarlfcJOd7ZG4x3h273lNbciiS6HGGBAnpbizhizG3dofyD65An0OCcqPbLcTeZL
IesbsiXiLT2A06D9/VSKCyDEJafEKb4oZfiIDrAHwdmn297KBib5xsYo3ehyLHhZGMrmqIODP5lK
MyjOpkJ5DKwhhR+7zgfIGNXMiSZI6z9ODz4UoBtVl6+i361vdzvfropDWluXGQ0kBHJITbIpX3PI
JFeGqWg5YiJz5q1hqH3jk0NdVQXHCgByZsvGmkuOPGVQ7GkSQyIeqieoO4wFWrqXBsykeUKtzdQ8
2QsfHQhqaWDDOl5XsMwogbwh2kZuuO5a7wF1PCyyRDSbYIEh97qc17HIxCGJqbw9mNs12hnymFxi
5KIXqy12Vcz/pej7R7tA9QDc1V7OQBH6DpduTFowW3XV9SAFdHTcFOQabJZ2HY8KHMPROTVtDbmF
2Ex+hWEd4FtDi4AZ2jGz69xg3+6s4c6qkN4M4zjt01bsnZCTqm3l3aIreUwa8y5vqCnn1pdrBc5p
xRAJJk6I9MKQl5WbgEA2OA6KufwzRsldnxt/IE8USHVwI7hMP3fQUbelFO8lCpgkHJ4Gs/091Okj
1qBwNaHhmgMIMpP4TfIM5Z3lvaLOgxQ15oewbwGo8MOKcnrus1miOs29HeiWcBV7DpNzdImnyue2
9pS9kJfKp1lBmLKi4i2y3QfpjL+YwvDwMU3sAdCilGYpt83pWfrpsZcR3b6wfIF5yACp7IK3GVXD
yh7VOx2w8mBP1Qt8nyNS/icVVW+RtE+dV5wbSx9UEl2QrHtHYWHtZ1poyz55wABD/T+Vj4g3KHp8
+aiiJuBYOpiXfhvuA889Day2VGnFkRyvOyn9Tdua/WryaEq6ffHqT8lvyW+aFQppUT/stGHeuZ0+
4FY79ozhobXQv6hq5yC8GFWfsWk6pkpIKt/ixmuh7sT4ajnY6i4mGnmMf0cLxbGJ3ewyxaeyIk+K
CakkY0ClFUuKS73rG7BV5SI9NmqRoqyNxn0PWCryKSfJQ9t5/UilkvnXKc721WxSX8I430Bhytd9
yXi5TN8GGm+zX9zLlj/McJtrQWHgjcFTVBWn1uNUw/z3OCMVvQYE8JPuz9rQnN/KMe7AlCHP6D0X
hGjfXJhdvxezoLVSj6jWRn3MW3ngQR3WvgcmNbdeWl+fasO99qjOV7BRDxOL+Moy0OHHJmwkAc2r
USJe2VV1UZfNVluIoQW9+U1cxqdmaT0mNYIjwBlnRa7dKnUQUszp9FIyYFRhdpa2QWAwS26saAfT
3NjnExOBTgVsHmICYUCjtUOhyIKGLzY6URkOr1Y0DnuffNyH1gv6NRkuMRpy665uxqshIgYYEPYC
10GukIBFKMn86OkZz1DfzqNRDzd1LbwExA3fC8PxdBrhlq+rlKy0UnsN7OTeZ+iKW4bnwizf4lo5
u1Bk1dohBPM1qDLnnBJac0cbHpVSFtxDBh6gHo81822r3mNgDjYgdMOjb3vxHlLXeOclUXKJJq31
NkNDExPTK4z6SXR5vR0LWKeBqijuSZ6MUQubl7FZ4I5iDhdvwpouV8Co82g79fBIXzTc9IElfzq9
H59Su0CUWSPVCy2regrnMDsOXdsfm4hSorKaFp5UDv889e0L0Q/EaXHzC2SbWVGhyW6SC00ZYq/d
PE1eaxVQb6UBQ84yLl7mpM52Uw/AuKvbZh/aTfVa+Oi1VzMMX9jE0mfe64Q3SYodMLJatcaaEl+k
FbptCiyNl4y4TQg+sY3qMVx6Z4Lym1GUs604vOxaf1TnarJJXQdt6oa0U9IcaBqs9+oK7T59skY/
uypvd2AyJQ5s0SAolUGyA4zSrhUYVahfvT0eJiF/Q98FZVcRcmIOVctz1YzNelADAHrGVCNJ1W2+
rxvA1qwKDNOlLi5pBTjbkjb3kaZkzVE97BkXImukhTjepwxktor9cCMxlB1oHWV7KMIJ7G1DMriZ
iRzkZ2lvXCQLnKW9apdFpbpLcLXsksQO1pSGC5uzX6Y1XfSm5wqxw9AbLbtHyNJkM2TbBMQ/3tJ+
UneQ05uLapzr2zySBNGTmsPDWQRXxswghxxWGMMpmJkVsQOISuwUHXBRtFdT7M9XTj++jbGZXjqy
cBeVBWe+MJ2ZOtq0NS1V3wx2MFyrhBS3uPKzfEWPfHEhBxRYRoSK+r+B1an0KRtXwEA6CEWzcE8m
PdEN/q6C1bAffxspeT7wb/Kd8jCi5aqbdnKYgd5aUCKfevId1KrLEU0bLmNgM43rP0ai60fJEHIX
dsm9UzKDqCM1X85l5d9PfIdNmUa8vV8bOcVCP/ho43SXWCLMwITofrRxlopzTBpW+qj5nSu6z52/
t5g8cMAdIeldI3LoLyf4H1eNqLsDq1nzwKnO+2HFNdxpagDx//GRJG0a13YE6Qv89H8bakuNGKMp
chfSOT7DFaVF+KsJ4MqyRPaF/TxHYXXbOcbwhp7CZULbMELJ+9i9b5OgpK6evER/86E+UwgAcZp4
4k2b6EhpfoRIGJSCdtO5R8cyadQS9HJbtiKPEL427OzYUIgp/PrW/MOi7WCX1vzLhEZgfbikWUuC
/rLQO0p8rn8QVHCir/z8klzDbwAS/6WGf3gI8BHjIlZCk3FqfvDCt0YkTZR77nEuIht+pG36HMK6
mrF+UZTDXaLJOQA+gGeII0sYvObWnL+z6lThVUxxvUiVeyYkEevgo5dRk8JZZw1ekWNe0eSDEXVf
hKV7Ubije0jTJn7++rf6lxv5Pye0Jr2M+MiPbKsKBRTArdE9ZlYV37F1w4cA+ouAK0y2YTHPuLRQ
U0LdK8MLhqe8TZYzf3PH/vGQuGA+CL/mtmnroyebJVT5vWi4Y/0grrWZIdTqCKYCvByvrSxvv7ne
P54QF7qTy2CYdvOnF2VGw2Gi+neP4f+tEeex24cVzoN159uvX//C/7oWwSmOwrYiXCE/AAMURXKm
KV2PFUA/IM+Viraa+3CE1zkH39jLhfy8KuEbUlyGu4rJ/OOzD/lWkl/jHXNlJVi5XfHYa6Z6oPP0
QRIFtgYiW+z0WA0387KZuvTNVwbeJIyxdMT59/8Hw4DONusSiB8p9MdVqQo1yq0u8o5u1elfFPzu
debnyJZU0BzSLKzITbW+C6j874t+eDOhp7EGwARBM/KRReKGGm30FLhgIpJcrUbRuTtNW/qnjOf5
tomy7g8ChhYzKKFCF+aMOhnE7yQvYzXW1/jSgPcM1Rhdkqpi3kYsjBEJDlLfeW0snu0wCF7CxFEa
uZQwH0Is3dkORZAT7smBM+1byMu+PNYkXqWkcKCt/emlEzIkoMEg9QOeQDj2dcmRZwqm8Nls+v7s
Kg/nhTAruDAitIZjaMr6mcAlrIgmZU+K/cma9LmM68jZ4Gd1/J2KnOrc4ki+niwtr+OUd5nosCmc
iNDoyiVuzYvNU1PmCHPLzDZvuiRo7ybUe5DG2dezVU4dpG5JsuOfG/pYqTVDJRQeMVUZw9axiq58
w6/fOjnneqPb2ur/399HD+YdOZLekmH93yL1P5gLjHj8XAMnUTeJHAxppOswzImjcTwFedN8Bzb6
16LngV+yuSgEJ/cjQyRoRcd03fCOghUGMG5EK0YgByCrm5Ibsj5ycpGe6ykSu973jK0/i+ibGMd/
7R3kKkrPtOz/WBvLq/w/X1qKsMKInfnHIdTdhYW//o9FWiqGakYm69bx3W1n2Ly7nUo0n62SZraW
c9csWlE935SyAi6sQ1Ruh9bOrH4dDE76yzYmCfJ96rW/MgmbYy4yOe1+4DaKb27bP1AsHjcMhAet
CszeH5a2vK4zmVmEP9cBAiwAFk4An9rtaZlWOUjL3J8UctUaTj7nJ/S9X6+s/7w8nn3MxmCi3I/B
my4JAE1Oz/ho1RH9PdI0VhGASEi2g7klYTy6YXKYboNOqW+u/Jlc4pomaxkR0wuH8uOhBqFoCCyV
yJ5WpDMNvCBkzqDcorkcmlDLXWPQF8d3LTmhf/2d/3ll27IElCNhcbT6+6Hxxrni5+z9Y81c6oJ7
TWLSXKIBqiXBM36vbluJ5ubri37enjniaME+yX/Y0Kr+vqioRrfLM1KklG0zFA57x72dU06Yeehm
eAzzbyCfn28sJyneTscmVdOBgPn39XAcJa2iI4l41u9fjL7QrziZEdkjPjQxDvbhzCR08J4tyjT3
my/7GX/DUcQhYJNNFFOc/nCka3rIywMn/mPVju5zjJI3O1g1I7zd1z/q53OBK0xHM2hkGQLG9eHl
8axK0gCCD1Dn1fiM3waAXJIxP1yUnI9fX+s/KtHfu6ELiMYxtcnPKrT34RedZuIujZBMgobaPll3
45ReDWNJI0Zs8Lx3r1EnaGT5PHWPXqdxiDRJ+7vqw4HxTjxg0EdhW7z2Q2jjiwy96Q/j8O5EtlcL
AcIOvDv8HqTfhJqcm/XsNfPd19/gX78WmCAThJpFW/Tjucah4p5sqgeAHLL/HRNoETJ1nodffhYC
ov76Yv94/oTFgyehRmlkCB/qqFREhDoBUDyi0uyLU5E17Im+HpYUCWt+FYnuwnWFvrVn7yy7bzaG
f31VxaEFJibflQ3q76ffd2NMNS7lS6iD5BxTRq5yjuCM6W05XX39Tf9xLYtYGte1XR5p6+MpqcRs
NMYxC7bq+4KpzxDcMaL0TiTR+d9UGp/fKzYI0nJ5txaGrlw+yv9sdwP5tZZD2XoUSHef5nlq0MoF
bfXdzROfVyv2IkvaJmQ/h5rmw2rl5aKAM5nro5MwjNm37BA2uSAEeW3qGFXlWlSB+oGXsKzXiSRS
E1lUejPIwTEesI1pdzVGUlKZkQMHY3u0HASamZgZKiZz80118PlR48PyhLnCdkA6foT0Vbwqvl5g
alr7DWJF9Lh5bHTHiOywHYR7TJ0pqlUrAdb/9a0X/1VVfy0KDlNB8mGkze3nt1p+yP+5I0zzEzJN
kFoZielfhe3knhpFNCbBOUOOJAGd/rrq6+StTisbiRqACmtFADEOP1yzoB/zSVpXcSLyN+AS+skY
SIDaqKBDmCHxwtL5MX26TLCVqxc99O517NrEWxa9QdYHE7Mg2XAHPRivWTjglDFhEyCKbsVVRuyD
t2qMcJ4opBXRXTKlb02wESOPPmqTh9ixOnlITdRQKw76PkkubbmkGtN0bsmX94sjvt/eOs2B0ca3
JvHoOXKy2mFQYIr+xrQtkqIwo4EhNz1QFsg7rT9tUVK6q8Crniyy6PJDjLsohHtfAT+iu+OjybPg
WASQ+Xdm11gGiU9KTnubMB7yNUpakecED2ZwXaVog2YU1X9kmYlzbjfOYneqiIytQ2zR+dg25w6W
SbgxWG+QOyR+V6MvzOYCm37RPdRTS5tWTW5FaJl0yOGDEXCRZGHmbGa7n5qj6uLo1DNeIrKRTMJr
Mx4yjCFxTN91qJHDks8ackephad3Q/pYblWJ/pjkQWm98VmyCyJQqEQ6WEqX3dwn7yRLqnmb02i7
mTB9/Bl9Ghw0cRVgj1nHWb9lzN2k26ZK0Ed2xFX+LMK+PueEZMRrnTXW4kobzWyroFSdkzxBxlzI
hRYPiQJ+BgZtN4H6nqf3hsgGhk7wxTsCpRtoP7bKS8TzhFSEm1oOPcJh0eb5xu1772TS29PUJkHz
qmXJ0AAe8/Dr67fi0+Lh4Klk4bUhcC+NvQ+LRy6BwdnktGEdE0R1ZakbXzbtUNJWrsv0sW2b/Obr
K4pPRzouScdOQviVSwvpw8KokilU41T7uFJxmG8whJPzZXdowvzcB3zm9fZ0AcYWy2Q0RtkfByvn
oxsF+ueA+ZYQMDX6F3WU8V/TvNYYsKQPbEiij/41upZ/+fXn/bSO83FdGl4unU9XMf/8e9XQbjNl
LmvUkf1Qw+rWqRHsxqhlDPj1hcSnzclBMseRkq4JjQyCrv++UtqRxE1N6pPvagzuyu69hZDA2tQ9
hT6mTIqKlEa+NUdkxA5uStArm3nvrsh+HAHSzTJ/srEkohRUjglFre8Cql1KhPybj/qPp8ZhS2PT
NuleWdaHT5rPYGQtOwlOedfYe2KbaqbJwxjeZ+RwARETGSGXX/86/7gkzSTl0O6VFr/Rx6cG7kTv
53NAIo5r0qkPYF00Yr4lSRxUuif9b673CZtIu4wCwGK/oI3D+fjvm+HlQWGJ2Q9ODAAIhUMUdenM
or5GL/Gr1kW3cuwRsWPAYjLYpOh8/W3/9ZIsBwc6yNCr6d19OBTlQ0dzbZRgtoK6P1VhnK7LNp7X
ee6hjqZxc2i1L/fhElUYF0QjZm1o7pDW5esJIM8VM41kI0hvpE+z0mRpZFEU337zIZeK/e8NFaw2
XEeeV6oWztl//0aoXKSdR2Z4gtcUP80Eyz/YIbvVSgnf+RM2gb2PHRMpmp8asNlK31A/0fcEF4Oy
rdPQYkgPkjr+5oz3Xzfj48fiZLXQvjnjMSH4+2O1aY6rDn7NyS+G9pG/yHvhDJw0miDVb2EEcGvn
ibG/7ouwfsnm2j2mrmG8oT8O33DIi3cgFuqJ7cP8rvFrf36MtTKBI0OZZkVh0/37s+Up0qTKLqOT
LmlirV1iPt+WJhBTPjrWixBO0smiO8aotoGQQkw0Jm3ASP5kv6axnlCRZOhBMPbazkPSumCP8inq
ltjLAC0gbTW2GKeFUo1ysjEuvLkToLgSp4NBIebpV1iPCKpjq4GY6ZM+j6STqRa976CfMtowKXZZ
ARkfgAEsXfJi2mK4HrM+JgoPG9LjPM7s5lrP+bPC5YEqVAY2+ggZF0y6Zp85eA2PHHcMX4K/g9LB
33VhmL0EfkS/v+A1PjZezoA6jJICxhwdlH2mZUb0zkDw+roTdkTs5lwNmm9l1jfONGR3cFwEBCCO
Jt+doD+vuxC/HfqmHqEDuJk+PMY2/a9gMMfoVEkb+EgoYRxEjgkEwUIc+/U784/7b8tl9wMm7Nis
nn/f/ywPA2P25ujkVbRLW9/iJKHIwm3TybvPbfnw9eU+d/448Jpg27UH75nG24d1xO9ju0HPConb
bVuNSFPLl9I0mgwIV4gQ11SL2XZMYVwdHLzIOHazjLD7DNJW9c2HUZ8O/3wYXPaKxidl3qet1J8a
04tHTx9RQFiLjlAVK0O6x4Q+wBLznBVXEaaefN8NmcSUA8i02pYl/pYdw5R+3OZlQDRUX3WW85vi
rRc/jLY3nu16gH+H1W5COYXZ3PxNhDgaSa8s4hEJjM9cOCsTJB0Vxi+RkPPM85vKK2N08ffYnHoc
jnYzAamt1Yl7Z3T96CBB0UW36A/yCd9pR34tWwYsoUBkZF0rn2CSZ4YqXYLlvQhf6y4yx02S2wzA
RVQ21Rr5tn0NzUNGO2VEdkmUUTF1e/D1QbcZBUfod9otE9le39z0pZXyYQFk76LM4xzBGOZju7eU
HWDYojKOU15Vl4hzzQ3dwe6g5/7Bz3xiqyFZ72yR47obi+5cJ5xTZ7//7sX6/LDT5TTZsXnOFRkn
y/7xPwUX1DIs44BtjgWf9DCwLBywOhVzl4I/m7NvDpafz5VcjT4GxT1tbs6yf1/N8TvGvSNkyn6G
Oe93E6CzRhPvqpNml0Z2tW1s9f71T/35iV6u6Uk2wWWU535YOkzMOBmZS5SURJruzJD8Tiye+U1N
dbKd6NxtO48KxVqIqF9f+Z/flmMiJ1PFl/64kaQG3y3HZHyEAgWP0sS6lmXgsApseEBz0bTqqNbH
ry+6HHr+frAcBLkevWAORMsC9vdPbOsJEtpAbAmuRsNaG8yX3LXhWcgOv77Qv35XuSxdYunSePaH
Zauhjk56DtqnThoESMb6HtPx8KKxYKDis8p1+n84O48dx5Fti34RAQY9p/Imld5PiDJZ9CYYDJLB
r79Ld/S6bqELeMNGN1opiYo4Zu+1Qd1AZ4Gz/+8v/KeP1WOXiBmQEdH/vMOksEJ/maP0lEa4rkEq
oeABz7lfSkT/o6OzA8IH9y8f6/9eQHyc1+c2dK5zsN+fIh9bjkJSkJ4wAKMvmU27cIRcByRha9Xt
32pL+0+vF4ekB5CzgyjJ+e3THQ2qjSRbEhJboezsfAAq4RnYhZ/fS47t1w5J21XxqCu9RgHqBYie
B93sQXM3cGK0cQtE5mnC1pwqtdmUpur5lmYxvRo/7n+OzI/VKg9gVehJSnzGlAK/7Lnzj24gYbnG
nK3IwDo7OsE9zZ69oHegDY75VEAit8AFAtXAsGh5FZXNZBAmbhZvSTC0WKOCLFEvX7LNwFA6XYvI
cFwAWnkLHmjMCj0QymCEdH4WRORdVOHM3+ohRnxhBPFOW912KDNF0KB+1kUGSzJCseKtHNME9wN1
N6G+EH4rvxtp7a3mSt4mCRkvJuFIOCaBrH8QADyggRF2E64pzq9E2EjMHxwRMkEwaQd4V2YMzMsk
xVOQ2vZ1N1UG3dVkHNTf01Qn1cbxYueZ35RsN1xAwR2B8gvjgWiZxcEYW3/kaTfzsj4Cmj1oKq84
ErYCQDgrNInabZJjsFKZga2Z1lGCDXH03suqmF4TatzoJkGZV+/Qg6AlH5umeYV0HnnHAngwJjQ7
ib7RYFoPEVcyfnDlz/BIR2EeKt60jQwd7cqW2YcA6CZURricg8QIhiUOt5fcYtW76ktEVzubQdRH
gJvp33+Kf7g9PGZ1BDN5HLKgE/952HSgMCGONdaRLFhnn8VT+ExX1J58rYYtQTvZ+7+/nvjfa5MO
n/EkigzaGuJu/vmCfTMOWYnc8OQYSB0u1IgjTJBnOzbDOanbX3ogtcm5qu2Q9Z6SLh+g5kZ/02r8
4ehDlmI7pC1cg5L8387Y3Codf9SINFnmJf0+NSA/z5mTtRcQjldMit+035SJUwwLJkz+cv794UP3
2Te4Lpea41Az/vMz0NQzzAzxd7m2W+DEzLL3aoFChe0IBBXLcZX/ZU7+hxIVhSGvFlzVC3bwe/4C
rULrpizAT10lyTIsA0wrfkvcWe5bm5CZ8BbQwdIWtEzIWXWJs/nfv/g/vWfeKScv1ygRG7994spz
PQoiCgdU/+RNLmAoBtDzck13HmCpSdq/JBr96QVDJ4hRa4UU5r+f94xoCG2JTHrynQzPUkoUZOy1
N5UEcVQuwBf+/f396cH20eOw5kOggejptyHfFSIWDkVIreA0E5Oy3pZmO9LzfoLec25kra0aTMYE
cbhtrIr+sawbawuAfr4Vog/y7b//QX98/8z/r5842SK/14W1KDtb9F2KIzJOdmTZTIfEuB+iyKsN
wdvE0P376/2hbGHwz8yLyT8CqN/3uVUVS0c7mtdTHYS9qxqTTtt2cv8vb+yPzzK1gx0E+E4FDd4/
fz4heC20TjGP0pVZDholSj5gqpM2n2qnOmYDSIYdmobi15goU4LPq5gCd7NdNH+ZX/3hGGH5eV1i
sz2/jmf++Zf0qcfFV2TMZma6203sW3jYutjJyD0dLPtu4vncLXaavqB37ae/fBB/+Ib5KbN/xYEU
sPf9rfLvaQsmdBEUilHzaxgYL/QTwHyjGua7jGv/H084uG2+WsgohMdEv9X+wrLrBORueoobR9+V
bLnhqjesD1kBQu2uR2ctryarBnLrWhL7AaXDwHmYVP23P+X6Ff9WIwcOeWXIka9ftXP9aP5P0wMx
Hx3u7Kenqe0NtsGyJ2Ve1aQvc+q+68EXD+TtzQ8j8riGZtLBFd/6PnKsf3/o//QscpGR/MJzQLBN
+NtRHg2OrxLU06fQBjWdqqom+SCx7xHN5ntt6fZkxcWwrnDbbvHALatK9Ag0//2vuD5mv38ark88
nWAGKNBc/vPTGIp28M08pCdn9tQuLpLsNcR3uua9/y0q9U9PPDk+OOEZrnCh/PZSMoFpN3QIDLIG
5I0aTLC2cKRDNgnHXVkFu17Z09nJw+4vjeef3iNMUWY6V2kV9/Y/32Nh2PY4M8SKMattCCLd4Hsn
7lj2GnTddfmX+h0N8Z8q+OtkkyEizYpHpts/X7LCk5WJAI0h1OpJb6QIqz1bXJhCcVlgNc00dCsb
U8D+mku10Zax3yEsO8DTPYwyCSH3Fsh2KmdydNpJiIPSkGrtqGTlUHn5S1tgeA/9WuwD5ge3KTfn
zZhH/dOA/fkUU/0+qKaiHFngSWCoVx48RQtmJrhMTPpdpdufOFtKCmhUpiq14BuMlrtNJBFL2JC6
nY8d/mPkh3IHwokMYorSjjTl2quv+Jvc2wdRMTJi7BNrbTlwtMFo59NTM4nktmusAa8Z6NNvRGKX
t5DP+cHrYrrmrycdMOwOlLHZyVZlZ9N52SWXsH/6MRkuBdKPg0bSf4qGyANKl6r2ocuvMH7TWxgz
c4x2iqSh2Y+q50V5X0WWlOc8QfFlQ+1EPerM5uwxI31iWToBEYRk2wz4+yoLLw//2OxClja7XNrZ
jlVreUu+TLOFNfxkLbBwtBt66O/y8MvFe05q8DL8KGOUeA0+kQ2g6GQ1zJg9m5HhlMVI4+e1LXw1
Teg/UJ2432QxmguMguBBhX63rSwbk1meEdCQqfanE3uddSgi2z9UjjU+6cQilyJo5x/KDkckxzkm
Ibn07S9PKuuOoZR4RnxkVv1QRzdZJ4cnAAnQQqoIu1Y1fCGlDzc6Bc5MbTLSWwXxPmkBujYSzlMz
Of7ZM254Mzod/L2ZXTbOpS7eZgPGO6IHyh2thT7ENd4WptPtelq6mGzzAbJVo+enpEm7u8qq3VsS
aKy3zEuWNZlUJGdmrWj2Sa6Xk6q19zzaQr9Z85U2RTrI/VJV2Y5sT43DBLTHDFHj1MT6GZ5OevTC
CWAQCCi5acC3EQs/XcWjdfGA8cjf6LmEPTsv0QYDPA+NAiNGlNO8c5ukuGdfKqynsgO6u+7nQN4R
niG2LYneGISnZBMmBVaUWOJhzePgMaPpTMF512ZFzHp19OII7F9Qc+uFWfEiWB7dG8UJFFL1wAMc
MQynogWeiizr7Is8f6XFbX760AnWwQw7sUVfsK8F4r4ix/XdGZ/R4tBfAxREGu4zvJIvDW73lzTE
TuonWXmb8vHeQx+DizimkOqcvjg19jzW3PrNsp4kMNI4YavdN0T3YgDHnjaBw21IvfymanB+cUjL
LabaPi6N6NcFmemrOlQkIIfzNLUXlNw996b/5i0KKu0UrbvQwqul6vtSdayuU0usKsuJDkk0hdBF
ieMqYtUdSNLEneFAjQkqlbKv8p/geH+WNha+Fk4GM+cl2vldu0MS9dQhgF9JCQEXyGCyHWtrvCEm
IT1cV46bxTgpu4EmOqGn41Ov2JdvOfniT1p87zZ3i8HeEGurH+MI/wOs2sw9eoWKHk3YWC85TcWP
0m3nfNvoxn1m8i2gXBERcltDHOPxNbYH4whOw9bgZT3qOfbCdcBsWhJBvGQkUitSRtZpNAPoM30/
pLtoyMACj2WQVis+rp6cKyv/OTWduhSe+VYbBC5272O9KvjQsD7125o89ktWB2AKWv4acW8XRj5F
6HimSwuwPCW1nuzpn8tMdPrBwv/qXgq39RHtjtZsO8VRp/SlpGSnIGG25CyldzFY9zvfzhL4XUNm
vnkdCgy4bURveNIdsWnH6CtSD4BkoWSwKn3PInqA0QaohMy+pBUXzbaZJp++PwYKWcw9EFEnDX/E
Waef0Q7PVFW6ep68zv8a+lE9AJrCoBTJlr+3wlMcEYO7W7CQrXruxfusr/znNgy6HabF+Sl3hNwN
cae3JHO2pzG+0m5sV37rhWn6Ve411gZKS/GjmrDC6oEftBmm6tgBLiD1Phgh6lF8BRAZLYvFM3qB
VWoqIlqCoKi4DM0IkSPEK3xNSbyJiPmC6ost4i6wyJde1Z5uP4pyCI6T1ajT2Af9yV/4Y612LA9R
gfCkk87wnHUeNUohgJd5GMp/QM6XMAPS+j0p2IrxVM/YZR02i3cwxdVLoq3bCHcrUPFrijg/0oKZ
i92juF6GKv5uTRZAFUzW7jqn8AaGEIV3SEvjz5pU5hMjJh94F7++okRhSG6SBYB6SmHg2FI+VmVc
XaKhKS8+SMFDB9zyrUBD8yrmCB7XbOkEe6yruu4a/tlCy/eW1wLQ6bFrfVSyCjt3kjrN/cL99dxH
3Dnovqxz34bhKZuj+QWISnKYDeR7pf3rjGGcy0OBuS3aMa2nffDxV/Nbm63oZoyznJmRtvZ+X5lH
YQlM3TrRR6gR2aHA1suVkLbPXRb5G9W0YPz9nvqzAquax8raMr8oTk6Q5CdUDdFhvjLbt4hQIGdP
SUE4GhvZnVOqq4dcC0wACKwiwJplvOnVkN+5wlgPmYJ2DntvMN9wA0sbtmCAsYOHQ7xnqCfJopka
sINNClkzwWsYAgBjPVlWHbbzvr9ZmClS/9f1we0qfgajfRFTmt6AKnLuiNujFW5xEyRGMqhL24Sn
YQqOVY3SiA8j35Ck8ezidcGB4ATglI17IIfNfsuw2wI7NuqSV1X7qAZnIsuqbR8HlsFvHYsgIqVq
INojP9NOk5KBULxfi3oAQ9hb/g75HOSbdE4f06r6kU7lcucyR3iMgK9vlZkA1Xpj+eR3Xf9uFmEu
M3kpm76U/hO5RMseITEu6qa0v7cBzIDczTsw2Xo42MK4R4uAQ7NJyhCSnCvZTBnTODuis0h2V3EA
nfe/7L0iuvg6idjOZdff0hSftTHwM6c0Ws/tmF86IlOeS139ihsAPkDr4oM1+nCCUvCzC+LLZ/pO
f22qcNg6ZQkrsMvIcCd5cC8j+IC1bRjiA/raMh9mw9vk9bq0J7UqIfd8xXADtnOtOxTYgbcb3MHf
O0AUvyWUNisBqW2LWA1xXoN9Sy1++2Z0UN5ezUZwFf1+PkVqIucs9ynwJpXPd9mVHSAdLhxJbbcd
Wemc3db5KstwOjBsvoak+f7eA7d4DuxefLahcSnebBzNrOdlsSklIKxQ4EsVKG1gytn2wXN7665j
so/GoZkgShPAgElmQ7EYfIbDs+V+RfDCu7EivVQquSEGAwK6WqCZNZULEbvk1hvhRFRTvXHK6jo2
l4xhJrJpHsdA4AhO63jnM4oHukCW2NDVapt40r9JojFcezoMf4xFWF3snlTqunfS+3RMEkbyPl4W
f27so11ruUGiU94gYArXCwXObTvM/W4OFOkOGNaBSXhh/+VxN1JMmKa5d8S4/FjcgKjNgcc7mqsW
8T1jwaUEq0hGXAQvxpH5B8IKMsjg1XzTroAV4DfyOylUIBXTKTB6Q/hGxJHcIupaeZnIX4knhJ5p
ej/gjywTzxwc7sgbugEuWC8JbXulIcKtR1k7AcfpnF4UeIFqVYoII1np0EpiMvooomp5dyAWX+fj
9quV1uRIwVQkJ2TmtTAqQsMFSkckoIF4ELdY8A0h0EAtnKG++MkQbvk33GCgXz/T2iPFmQypYxVg
1cLz09yIsHDuQmO5B55x72Aa3/uwcpbofVoGH6aXRu2GXOb3jKyqpyBJ9F3UL/62tRz30Nt9f5GA
1k5Si+EcWTPHmWbu/FKmVndbwOj97oLQhSWtJJ6Gygphi0+ELkg9A//JwvGh0R1an3zmPdj9TA5j
Q3Qd4KpJ9feLi3kNeSn4aotndg1ef/o0hHRlqy7wx2cUa3JLUW+vcxjX9ylSQjoTttd4jZu1sLrm
vhtU+5z3rrWH5eB8VMhd1iPQkBkgTwK/mtHGRUOtuFlo4teBdLxvWdpftYjj8FZBX4HF5lnTUYVA
C6q57D/dOMeM1fid4/A2OOAtq3NBzBhSz6gXew3SsJPbYgI2PfMQg3WUy4ZEwuZmQXL4VRGr/OiD
gnoMsnDa9WGVv9VjO7IpCaYMr7wzugQXSL3rx9q/iDacHgQJKkhAnZgzBqyqeCWhUmxdZn7P11E2
B08Q98AoOKEDdHH9gNoya781ZTaiSinzjfILdQ7apXiwdOrfpJHTPNgYzA/GGsfvmU5xtTsh7Gnh
JfzMwfJZHD42aWdUCjDbuFheIQbEh6YPeSAs1exJpQT4kdfTXRYhdmFdw8ZbZukMFF0ALcqFAyYG
y5K8OuMgBkFFhekqQH8vh4mVnVlT8FUso4YCMdAkynqdIa1hRFM5xa8l8hA6WLVZfoTtUB5R9Tt+
TzKNojmtBh58IbPoFPlzesxC2OWpmcCeymDMicspMWyHyXiHQLg7DvFg3lKb9EkrkIBW7YCkKsfp
IOAs0J5Sphg3Q60M50ftbCVsA4D4c3AH5kauyWVyfpaZM4P6d/offdPWZ8Mc5DnLVXXUQTZsyMwY
dkNXcX/4dQFoKPbIt+GeqF3zkyXW7AP2wasu6gDRhmPm+1TFYteFRBEwyU0O18hButChxrdHbGi/
5juPf3R5HnjXWQIIUC+ivFrgDVSm2fUVwCW7IiRMobHFuYsWmOAobdfDOpGNy4FrO/ILnVF69lUj
CICygIZDQGn2HLLemfdA/pobWodlAWKQZK35voAGuvSMfRF96PqEV4Fn2PK9bZ+AlU0GMK5z5v5g
GtLvZZMS00CNRSymCTYh4ulNch1skAc3rdUSPcw05vtpiZpza6iG27hxX8RofRes1h+cUsLMre3y
1eqd6HmsFvFjwV65LiE47VPe7Fp4mV6ldZ69FWmGyq4eoYUMsTqngeL5hBoDl/6/VDewejkA3zrn
Ry+B6Y8sRieSct8J5iHEcAiJ8ZlcAep5TF/FFPefIQTrx9QKuousgprDG/EQkT/V8ALdnWzoGV7o
V+Ra9o01Wv5DbltElGjWmm4sAb8ZZCBU5p4GUw0aCALMLOggAbT6I5EL3pVkLwjL2lRTqa+b1KrY
MrEPt268dFAx3OkHx6+BnSud8+Is3nMDYWEHH4L4hNko5wFbO/8h6+JbfLvtxqVV2UCh0FsdGHPT
gtQl8FbLnsPbyd/tDNoWU+Hkpk7o+5NavEKXKVetA0jJJW9hRdTDe8VGfouOGMB+1n4Q4/NkA9Mj
Jk3dwDxIITtMbxGjJ4TJHnI8XYoNWfPBZi6reNcDWVmZorinveNqKcVn5WgCeFN4QJ62T1HZ3qql
eYAF8qPW6CGpxkLEz6uoF49ONN1NNrxhSptuvciZ7LmUfBxPO/4mi0gwCYEYbS0e7DrpIoxoao++
SqMnAR8HV/DimrihKhub7RX2TbMnEKCwL4aAzElcuxauPL3c5ddYu7iIPiPKvUMX9zGhDH2/j5dq
ZzfLU9XWxcaBVk8jGHImLT0wk+jJFfIlL9zXIiV/x0/yZD3OfM8cmIekiD5grvzKuoS42Wt+eRkr
gpW65plk6AeQ/V8eontQf/rc9emhm/F8BSDASm8pVyF+gm2Y+i9DjzifJf+wym0I7NOSqR26jB+s
tl1GCeOPri9vO7esVuOAEy+pHLIGgP3x4wSbNpXvcQC6Zu4akucKnAxQQvkN6kxvjNt9mLZ6odDd
xK3kfxBN5H9HmJygFqVZcpNH9q8gJWI6q/PrOVy+9i0KSGpKs9eCFBgpxLSfsuJnmQNh7qclgEyG
n6IOirsBmgeyOTvYlNoP1ykwnVVJwhW2ChOt/ao5ytr2NtY8fh9VepEBSQDk7kSHXHFWhaMsQdm5
pBznqr2J5/g9jCwQIdIOjn1bcGyF2u+/k6xtDjpqxTvLou5rTKIG3VunD8SFAzELm8Fz12xWx5c2
9FqGkFa5C2Ts4TmhK3kgBFrckf/RbpOpQkLQduocOdMVzVYheMD45p6XfHHv+oIEtZWqogFSXBCc
Ih3ZGxKTsUOIelyPyWLf+FlBf9s1YXXPMlXAZo8FiPmCSCzgldug9ee32Mjp3Czx0pBGl6tn6ObD
oaMxu8k0yV3+WOmn0crLcb3M1QBdyUvWLjv2YMWsdxhWFvSa08Ku7jOo3PE8G8t758FHjGKFgV4L
UYjjBIwWNra0Dg3wxv3UDT3oNb4uXC0QJKQMnkf8frd5jRBejpG51SMXHxa6EoRVnW+hL8wPOs3R
Skk3fiTmBAP5xOrVxlr3gofc/vCHjAt2RF+IroIoLxJMvJ9pAcdNWVa/iYzOjhGRHmuxRCeWKtOG
7AKLAks8UAh9x69zgVtzaJOQuEmhaCsSAqERdGhFBg/I/FXTuB8yIxnPqmNy2iLx6A5AGkP8hit3
8n6FVvQ1ekVw4/mMnNCp6/Vg9AcqEFwPEbmBoINXxNJA+ea8XdftBHRUiJXbMzzD8vKSZpYPjqZ5
M3NV4mSJqqOblB/zaGYo+0JclhrhoROicE2yQuw8PiOjYdw1oINsyPZ7rAXE8dUBNM+mvkuiinZj
6D7CIfwJf63edZP3AnX3oa8pR8mbDqJcQRFPDmO4HArlH/1Bsv8rDmhvecPl9Eh0CpUYZGtLkMXd
Fs3TqJaPUAxPQ+7e2QOggN7KL4MXX6YxfcDYBNq1De5rDj3g1c24ieWkbE5kUPEyhWUI3gkG4ah/
lpV8F5j+94waA1rU/hmj9sdAs4LPJtuZ6MpyRk+xyco+3IIHF9uovTJ9MeTtiIVwHhenEhRp8kuC
OV0jBZ7Ig7MfF+B/e89vX52eqrYloSgLK2eX8VtG+ty5VCc2drIL/Wd4a7WWdxPRWnw4VZPc6156
m6WPw5UXaxLptQy2MR54RjZRAF1yePbqDMS/K+uLpRZ0uHXzmDhQUv12JKLQjnfcNp/DkLy1Fa2b
xLO1Gtv0jgr63jGiXlnLvK8I992UCd1gTuAUliuGfKrXER+Fop9YYDH+zEMI7FlsRy+0bkS6Lrl9
ZPfio6gd5uc2MO15aDUZYvHgPzG2EpfKTLB0s8EkPpPtsHuijmJMAjd0xwQr3SlP1FuMbmBztWFE
MudInHz1A9j/FxAksUJE0q/xA4v94hhSfDjoYbyT+nEtiZAkmDcnauJjjZWGSVqgNnXYqFXAqmdN
Hm1Dxb6kPJWoOAUN4Soc69sJgf5GSevs5zU18zXn2A0uVcD/0GpJxsStXe2TrO5OvnTeYQ53B2O7
eodhy12hy+XgzZn4D0Nj70QwsR+aosviK+xmbRuvBw+8p0L/fBR196SW5asZ2s/Kn/eDFSaPjtL1
VkOePJcNYLLyvyhvIH+7MdE2Q6XqzmG0xg5tegQ7OKxZyqZnGRA2J0CTFg59JdvYb0wQ05e4x7zT
REoRXTGzJZozBrts65dDajUfDV6281iZeU2c5hcOZyLpoOQeJpOKDXDw6yQDRKevB+L9RmD4adDr
XcnXu/a96alMw2ijJh/URmfrTRqE0wtKfvliwmzY+VaX7odhrK+0UbZy6IvWFROxLZRhstM5DB4Y
Q4Xr2LvKLFt5MCr5hP+dnvMpeDbYDDZLRjqtvGJWEgq9R9CCmuQM5X5Uo+OTrwdr1CF/GAczuvNZ
FRtiFieaziXfCFI3U7Qq6yiq5BlK0wXYfMzyb3oWvsXmb2zusoq3BOfh6lEUXzjp5L5zTLSPeNfH
pa/SLcNBzsMh+Dkqh/zSySa/IkJx3aCFfQaTwhI2qzMy1Of4eUnDX7OSX45iukv42ISObYb5F+Sf
pV9bu8ER5tSzpt4jITgH05g8BrOYN3OAVIb6Wx1EX+idAiixpf1f1jEkvg3XHbgKB4pyjlGa0Xob
ECfBqjUAtXLs9PVIzDEJQThEsOrDSeSgv0cz5+9FW0GTz9DqVp63j0vJw4j8HrQZ25+mid6btPqo
Q0NaQi2R9umMgR1uJEacXAVcWXpLg5VvhoDFVdS3/nZAC74Ny+WTXSmdm+7nPW/d5WNyir0MQ7Uv
zZDsyObV23EgwrWxzRoWqHhZFKFDc6fjFS2cfR7Ij4MIqtpqC1TV5rPzWQvNVXzDzkYdVNG2P622
pz3Pa+KDSBOorUge2JD0x6org71h8LXFsFkdxp5Et1RlAHim/IZ1a33Io/ZnrMOJcVdCaGZwrWiD
hcl3WoxbFZYduy/8LYF054PvUpFiHTmTaW0frHDQlzYCiD8H9rqfyANOI6OA4IMXza0OEzcn04rN
Qo9WEa9UE7bsi4omg/I79McAtTJJLSqAngBdm6wXEaDOSSdzHwYl8HfXyXilAOaqoStGa/gc8OgD
Xau+IE1Xax/92ZWRVx0EgXzboqyLX7FfNyekqNmhIx5tAyEHECzM6o0S9PVAwEA3RAKiy+yb2wmk
rXaceZdeH3c9oZfNllJUtI7XSOrRBLtaFsOhIPHuRihYRpMNqXws6Tt0HJWn3BuWh8lE+ryoyrnY
tbBf6rpgwVpBj8uhVWEWDsj/IicJ6w9+q53Qqj/mpjFbD/LPfeNW1OB20G+AzhLOLElk0lP7Q8gF
fLdqW/nCILEDEA60jvD0BVWrw+KaHGpiJhcWzJux82GCO4xWGwe/MsOwZetZFiM7Cd65iSIL/QFF
WScmtSPPUP/iDK4+zFza60VU/R356O0RpcjMbK4b9sDt8yOddXNMZeG+5MbzPqoKvXGbAuHtbDZF
K9IO2LmBvuVHQLIh4wKuj9AhgU5aoIbSHoJhNAMIDpJyK2skN4n2mOkWS3DHBpfnqQMfMvKj34DT
yJAscx+3EQ8Jmv75iPeTLaVpCszSCCxXQ91yIxM2yjxgir8Z37C+ztr6mBCetiJwnBw82+dnb5fI
dicmYxErqoeMNm4D3XkEvsyDXDRBg/EkJeUP7zWDPbi846y2OVE2JLmTL+5ViUegnAeSHlQVd72Q
IBdGucGtcTviN6kg/Opp6xBCxoiMYAnsUETBhm77sDRjAg8yYPLQizReudZ0PYtZEBwrBpIH+qGM
CDx+INyT8SYbgh5KLaV5KvKM4zVIL72FzUxGc3nOAPFsJt33tymKpHUvXUbeorC/M17J1gsgD84X
r95k7kIaAZfuPsYo9riw2d1Mo8m34eDo01Ca+aQXnLt5kcnDlPXyBrVhcTYJ5zEozDBci45bhpt2
XqcTMpOsjsRqJAxiq7Q2eLvp3e0lrdjylN7KzkxPCkXW0+B3RFTMZPqQm4MTu8pBmK415NB7H9nG
E5kc/a7zihgivqZEnAZ7YFWF5JqBPIoYsCPZzZTVcInVpAB2FkWx8Zf+hWujeyXHuDn60teQnJfl
3lR+/9Znmdw5nI+3zTLSkGopf8yl9vbAnq33QiGTSFzRnLuakAZHT8Wj0wP9tAPyggPacztu5H0a
1z4ya1ObbRVreQafHrz5fpI+JDOp6lxYDqoE5CafYRtRU5SGtYQer/2859braZ76O2cJ7DfkdfU2
dAgidIogPDLDFw90KSWNQiTz7y35jDgkBu8gTVZcWsREu9InFU6aUt/SVYdnegiyN2ZPMkYJWNLf
SYZGn0XtqFPXeLRycHs3NVuNrZ9QChKe4NVvpaXnIz9IFlZVVDo3PpnVK62K9ETUx3LXe7765WZ2
8FhbxE3QeefR7WA5yauflARUKx364Dljn9ZbRwlR0lE9frOTLh4p1kT3MeRKnnxndj8rOI7r3GP4
Prb2co/Pr3oO9GJvpMqzg/RA7tfC0neuPcC7XRB6rUAxZfWKj7E+9oTdg5B1rgE+I5+48TvMsR1Q
6QmJJ0kH9XgrxnICwFukcJ1V8erruj3NuIdvRpJfvlRgFUwz2f7VYLIxA6ykZaFdIDjbuemlNdzZ
zCMx6wnrLiKyBpRjE3zvlWvu3KiBYyNGtyB3ADpsO2fzg9ss1YHMJgC6/HK2tS2CS60n5xFblv+E
NoGoslwN7F/1civ5TZ4sdvIbhvDDEYsWgKzOc08E57IlWgjX+Gg6eKyrmOKc8j/XI3llRXOyKMBe
myVITo0T2k+2ssa3FrETGVSuw1iuH/bMgsWTHAVrnTmXPV1qG3wQhpvtommcHvtxmfhOES7sltHL
D2UIzTOtq/xbzOrhRnb+cBb0sdY8UeBag7Nnp9qR6R3VjCEK/9Ehe+3N5UZ8oQ6pvvgyuwNOUfXg
cFvgTUC/P6OlTuUNzhfv3sThcOIYq58Qq+S0mrr0sH0MWbsJh1Lu+OIJQ+iua/h2GLOnhrnUtrU1
ITdDp8nh4DGGVBB744FhTvggKDJ+WMnY3FCxJPCXO4dDIGO47eRoT0VV9R/K2NdQ4Tp/kSbMt6gu
y23VeuUDVxRFc9gE7VPUdDRKfugPj62JlrMm7PBb5TrmO0RodOmAVY5N1HHbl561M2SOHcYuLs6j
43L5FNfAudYPv+yyni5d7tt7q1TisefqhSakc3aXDrm52pZYHbMgvPGcPrtvGPCcEVi4RGfkBXnO
wRR9TyH2nzgEy20ZXneZve1Wj3PUIGpKEpcKLo8/O47Qs3FEenHnQKy6XizfytJzt2na8b2LpHjS
hZxeDXz31wl98Z3rpAXxGkPUvMWusb+X2iJvaJBZu+1sQrxSpYZ3Ecl034bID4zR34tOTe8mEMnB
mgoyL2VXuq//4ei8lhtVtjD8RFSRG24FKFuWc7ih7LFNjk1oePr9ad+dU3tqPBaie60/WsPAdT2i
JorBVVJOdUkSg+HgJjXJfNzpI2mXm86WnBY9QlgKrjI7dFKFBrdwDX2Hrzm5wwDd/FsRDDkAaBk+
IDMhUKSy53xmn8XyIMfZPxqKnsqNzZMKtSQBssNOpPZ541F1Z91Cbaw0CRHMlRdnNZs3h8yEkM4c
82WgsTFKGdrex1Kx28bZ8lWjDPlYJmRysyrx5qyKakm8xj/NivgRmMQomUzN+uxblfZgIkt5d1HJ
HhWpdIqqJodzR8TaNZ7MNFonuqZnw5r2lrCMA/CWvvenrr5MsDF7gyyPu9z3kyCOb0lxMISfVW51
D3hRxy+ti+MoHiz9uDK7hbXJdlrdknq61VpCnXV2Pwo9O3tgcVz4LO1jNfSXbFDGYY1tn9OwH0+Z
mSZfFY1kYTvLmWmrrbajIDVVMKxuCcRNzh7XRNh7BTnlBFWWEVsje7bbOtOxJJZnK3tZ35EdYRFm
Lj1/nyfSiYReuP+IMVmxgZnt1RV2fyfsuLzS35qcBOwNA2FZ8rmPbfy+NqW1wwHpbytvqYmnUsmE
Z6Izup1k3ib+0l4e9dX9v2y5hrpxQUeujiyKoyorWBIOhscB6R6MjTXMO0XiB71XNFdGflmnwPy+
epIt2eapLKa7wcAgTq+lQQOXoGCv8ef+009n4v492UMPiUYgKal1jjTTM5ZzuWrUuUO+RC3gxC6e
k/5KlZZHsJQGQj7Y3VWI+V2RfnU1at/fuVUNUjZp3qte2eYbwjj3nNRudbK8lFD4LK6X7zhzuxO/
L/HjAGU45W1P44WpvadmQsXl5i7R9hNzyC7t6/kUG+P81XRquIyKlLN2Kawn1AzrMZsKaH4/rsxQ
15Z+x5jgcl0QNl20KD4QUCVnW4AA2HMviAKYdZPbMYdEdnTLj6o2Ng+a1JC6lZ6KNGe+pZr2tc52
kDUyiEvL+bbTnHZb32sfF0+rj2ysyDPTqba3CUHXaI0an/BbY2geRx7/pgWjAQkwoO3Y0lRIiy9I
yFQaD7eX9UWtFElXDnIWJGWD2nh4Xy+z1NZT3JnJ3You88ldeyxpDrEZ/0B0dLhLq7X/bnaPwEuo
KIjmhkGcCCFKaTTqW89NZd+g+WJtUEQWVfuVQ1gCh1baWRH8+ODmdfFLFqI8ZZpORe08AWMTvxZy
fXQwccCogZ2RlEHMa67t6cCd9v2QuldpzjaHDpfDFXE2pvG0rzxqeFVL7JKs/vlqyL8w5oH8m7Jx
/joHkTyVA8jk6RglqWBTzKQDeZlqHldRWydpL+rcVlRHgtSNDyJ3PCY1IJPhQsS99yGoGw3bhUsb
MJnE/QJ/+mEgk3Ur4E8LvN9j+WJjDaBStCqWQ9YBOyjRm+8myV6Us2jlMe18vt0dIVlUltRz9ROP
aXeLIZrHt6KPSyCtEQEnmFw6HQdXELffFmVFG9akUuNOWnpuhYygyULTLB7Dg5RtRm8e5R2nGF45
PpsoEn7E3LacBbMph41+06MFsippexspSchOZlL78mgQcKNOc+vU9ndsLgsyLLvgCxUWdFSLbQfj
k17XxVI3sCStI5GCPzzWPo1pEbw4smgExv26bXO5PM/upOywRKkHgkruhUtWDcxyRNQTRcN1T9EG
fQZk9oWZzZaEBld0ySHRPdjvOhfDABnbFYQSOGzCm6YH8OUmSDTrxXaG6tuWRU0zu+NP1t0iOkET
dlLOVshjX+Yz72qXsfol8bPiZbD3gyl7unrWDG/vOOaNgmAkzecOph+RAeTArT+cDZ0uM3RH4GeV
G/envBPr58y5R+alBR56k2Gg2UnHeZ7PTdvibU8WrVURXBm7lBh9kye9NtW1NaiZAV1jddyxXWKH
HbKVxGnAFFRZkK0D6SzllBov7aTT4VwR617uKYav2xN8M0lkOlH+1QmfDVShC7C88vJh7ojAUUYZ
gAXN88kuTLsO+r7NvdPsozjdyjafYD6l6ZX7fJra+F7OngdKUulU2kK7dsZmTssiJ4vCMNgaaQ6I
I0ohdCvSiAmAzuQ7TQiTNSK/aUfkFMTty4LAkYKIlRfiwPrHGLmj2FnG3ENJMEJcaFrL+j99SYUR
IGa0UOktHUrIqJiN3g/aqeEecpwEytLQCgwKce4SaFiuK6QRfG6vH7UGT/vGSszyF4VnudJVkC0G
orqxRi5WS3CRJZYZNSm+yJfATa30s8IunbJek7+2Z3LK/eiW4Tbh5utXTGU1fDRWfBIhA1M5FpVU
eck1R9kM8tV1KYHwyjmXxpZ+3+qjT3pEAzFSzoLqvyxvmxcCuSj4BOcwtfnWlzha/CsIDydfQZQs
doJZEASQQ068U3DQvctylvDiJvrw283UGvC7EvQ3Fk19rpPZfB3byvajNdcaEVT5UKW7DOhGwp/W
Qt/3QMTT7Q5lOM5AjzhwG7n8zabW55zn5awj0B4+C5PDhbLGprQ3huE23YM+IraPGs/OjYsJx2+r
g7rRonNgiqVjrUEftDjIcjpnoFuLmo7crt3AES1foU2VqrohITClx5We9cbcCYWrZoM30GspUaAu
I+6xwW/L1vcH7oyh56NzB/p7fL9F9e3EOWC7j1F/3Q8wniefjo90O7rKqp/mlbalPek6hQfTE4/u
KUXMOoYuPQlA56zMxM9umKMKTdvYs7/qqMqlpJnN1ZKRKLbcL+JtvTRxvk3lrC3vZr/G7sFTtYeM
zvQaJ0ahn0E66Xx84rVZa7BhZ45rtg3ULHHo1pKSstVpRfyzYoVC+1zFaCJ00nb0yGfgs47I6Eix
Ae9nK/ARVICwdjjMT9WaeX4fUL5DL32wINfJM3wsceLx7ht1G8FXsrpjTrB9BGudAWVGznL7Q5Ai
CAaVQxs7a1b/QOp0ox0ctIfriwJHJRxctX0T4RYv08eBnCnj4NEJMm9QzWTuNl9j7Z3eCvXHZ2Z2
7yI3daS5Fm2eJDaiXHRhrKfVekDv1qZvuPSlvFvdPHUjk1KWnB+V0oFhaFpenahrnwTbpC5tHmAD
qvxbuMuwBJPoUypjG2taPwYS41jgLMlviOO2kUBrpsVdBHAE8Zyjitql7mTM/6x1ltjlJSstGU+D
jyviSP7SPJ01vcgmdBwxPKAe50Zo6lpfHE3PYgAIjBpc83vh8T37ivHn0KVz4yNLITEbk3lseT8x
+OLGY9jTP/2pES96PqDBRHOW3Xpe4qXeDXKsv9ClOzkljNQvsrkb9M4WUF320ZhbDZ6mYJeNOj5e
jaoP28k/BwKgqigf1gZEXrQwEsXNMxNomkfCaVu5naOhC6Iq+3dpUsrVZkWPZ5CiUOzOCizFgM0k
Y2UjesBkxDWEUe8ts7LEac5KUFV9Tvz56IK317s5KZv7TGhpTykDUezcyegosRPVDNxNgzpm25Fl
6CLIuDlZfIKRqPfMYuenXd0JWdOcjfZ2LXzjb1zhys6rJgCPmW5U99FaSePQ7No2gHn2bH+jUSO7
Fl1Q3uxNjpP2o1JkMALE0ERcv1SlYU+hRzGfftGw8M9ULPh+eqYznT5nq4hxLJSGKMYn+uFc7Qkk
lQO2p6DkO+uZvCEq4iZ/AO9BEDt40D2UCnVjT/ylYgtmT8IpZElpX7reV/8SYhSpsvXn2gCtojyP
6jziVIxbiR7u+Z3vTrI8Yn1SY+iM9rJEuXvbWJI1abIgTbV6upioVOmDATIqqBrTqLayLHMuH8pc
SBd9vNX8mx3fnGlUgtaIchAsBLcdbEswleyDfEuVK+78bppoIrdWChb8rhceclaSgE4exjGC8oU2
QpcUkIKUyRZmhl2yGMcD0knGGAgjnBbRbJTNGlYjcAPdQVxFfVn5OvI4BIsh57xewAuMRh5N0p4o
MM3Wm+AEuS3TkZ7wpekgyLPIW9ohOxHAU6COqf2luKaGEy8P0jf5atYrfbp1m/XffVMLM0AIzqrU
Iwy1gqnKuiScB2oSP6yySWVo1VOtohgztQxRkpCUPhFK20aNky/qU5PokkMqYGEeZVXY3VYfs5bB
v6GuZ1MSS4pczCnavxTq6XUsgS/CRnpuhVmzd72wEJaaIhqfUXU1lYMXBOiU4xSmWi8OCt31ROv1
gsDQ11an+CmBMLVfVyZ59g1T2+f8USCa+YGuY9b4BWy0TxkAZbbeTZ1Aq86LI62H0smAzP12BRXt
0doW23JY01/PNHEDZJOMi11dLuBsELA2XMzUzP330CU9nT9FnEBvYDD1SfwhdumQjzEdfoKQsWfL
m40PmVSx2JeJ1cZb/X8Z7Oxr/ps7UkIf5owwGLKQjX/n9LqlnKX1oO4w/lBWU0OJEVTUMwntpkpP
Kh5AHUMO1ExviAmqOT4pOVJIvpKoFb+wP4n2kBWx/o7GfDA/F5IF/YjdvxD71ZCVdtRiApk26Dn1
p5LsykOWaPJZcxGTiljMT5I88u+5csQPV7J88mwXfUdbZSNt1fgIDopEjvPaS8SodUYwK6ddxt08
Vq7xPhayfB1TKgRCuiVXkkZkcnMW207yF6/ouTeu3zH9mfU67/uSSnGHvJCrWeb1a85WtrXYzKuI
/Y7ntRTdD/+M7KkY8QFtBukomyu4xBmxLFy0y9zH6LaNxAmbYogJLZktpMy1UvQYCAhIpL3olhHX
Vhqsyah6cvGzkTa70Ce3sjhQUCmmiC+WhPul1XmXsU8hbMm4/WLPvSvEwEY/0TIDM4koKA59f1k/
m4ps/43rdMm1mXKKvYgYoNSL5lUaDWZgyQAbBZHL9kxFz9aN55GOGsMejg467nU32rX+Y9l+8jp4
Qv00PeKrI4p6696gpW3rpaZkWFsItl3QArzmnTvsuqHTj6S6EDNDqoouQzZeAkD5gXF/qPrV32m3
JHygrFG7kprXPiLjK0Nwch3GlsaOqG6QZqy+hshN5zfcKnvst6UxGwfw++JYOWX/UxBVG9k2GcjS
s9sv/lcA6wphsc2pvrMFn22s7k0GAkCt06ruHDFGBN7QJ6Z2/fIwENnGMkZT+Rc6681CLJ+dvnKG
7xP3XKHBSu8dbHQVq0Y5m+d0Ukd9uZuS5hIv8V4WENJ+/rQm2TbjPTN7+e6gm3P8V3dsd71BT106
3JqDTzLrUEN1oYPTtpl/HLs4gITdijm3mWKrhufqh63rFh/FUJxbSrnb8l5lCDGkBzXbBD7lW1AJ
77lztTWErBkqS7c7wOHQiEb+NOzvb2tDMiTphzeWT4Xrv+ZxsR08dejm995izCuWiMrqe3jQJwLz
t0m/vq5l8cB3P8qKJRxKRUqiU0YqFm8TAqe+RXO9XssSZX8rtpoEtZ26vauGJ2Li4avzoNJ+Pb+G
9IlR6tLBA16qLT6KDtIwMomPQd67bF9Fixc6jY9mZz8OvnrFcvxtMTajv1ZI9oxocT9rtLZTk14H
9VUwv+RoYYb+J7Ze/IGkZsOqzpMe85OGYBVF0OYjCFBHl9cLndIbod01DWHUBhv63GhNsJI+Pa8T
Jl/3sPjVY40IYkN0ZqCvA4/cREDdVGGPHgbIcAP1shkTEaCPP7M958zSK2sc7hS1JY6osq8974vM
Lzg6QiRZm67MWD7ERlhfDRFiRuoFlLds9PXBmt4NA1klxY36XAY+5IhwgN3KPaf9zqU2GvMosuzI
E823b6f8X6pD3QkpH/Wq1taOX9FE+B3JkCEiDfArHYsGWSNBljy51DFmTJO0JeslCjIROPO8JdWU
TtRwqLSrOeffUtK2YFrWwb99Djex5AQR3Y9YvetiReyG9B/R0yye9PTdGZMNNRVB1tjvqneOWS1O
dapfiet+oUbtoUtWtF9mGOsH3NFTx/1/zOSEORh7B04snu9CKjONgjchoiouRpvTQr2COYk92/E4
nu3+hJc0Tj4p4cCNW7xwlgLXemFjcX3RVxNK/DsLjyU5DcPB+E65v6Tf4ctu/6b8tIIlWJh5a8j3
etv5uyQ7F88LldnowizzwUWQp/X0u31p8Yfl7vr4nkzXlv/uMK6iJljuobNL/6lMkNwityYRmgrY
fIOMoNKjNg5XiBN1assdhM9qHTqIs+p7NYNcO2vd1Xb3tI52cWRS5ViSjnVtMroTuVeSR+4Hw7pv
/Dv0XW78uyL9EsGYAcV+NMYulpshf22WV6e9Lup1XYOxYLu/8KX3jQ06PDePDGernD1OfHQwb2V7
35SvUDS9PNcywBAWZZ9Y4mWH4CjgGWT2qeOEJ5DPE9csgZHX6fmG7M1aHOl3Tq2x4EVwb3iPi2ha
cLjINnLg04Ew8ezVPhKcLUed5eypgQRTp9hWZpfRNLigMyQH/7DK6O1xvbfr3fJAhaqRPtgmMhqb
Wmg/xWI8o5fmAJ227Cz9xh7qwNOyT+dOVsMPLOlGM1A7ZHTJtPojyTr7cTZeYltH+1zclW16bDt+
WbK1rzWTaNL0u54/Tzdv6MXxY9qLw6rHkSIzuEofDPQnzYohLsl4e8t9Y/0DAQQJUqzq7XsGSM6V
EtoZ1tSlizczfl3One9WGW9pzkRUJude+2mFG63ZRRYOxgfqdTV3N4G1iRhWqAssQsdVngSpTc2S
Rm1pl0yRDs5c8hIbrbPrunpr6MlPm024UXUqxXsod2LFBMxn6uKAjw+pKvE/GSfh/cOoGd56EotY
RLCLWwbbx3lqz47xf3VrUNX9rhmN60B7qZu6BxL2X9EC3UZxCnnKcOQmBfqB5+PTH2JsMzJQCzGv
K3pAA5FHssOMEw06IKC5HAxeR3cCxELUnE7noWQew+tg1G8ZwJzSmUhpxLaZFblLt8YwBmQ5BbY9
bmm5DNfxH67kg6v/dvNv2l+zKgnaUp/WPfk7hCvEi8GNylVQwMqvJd/bHjsGaTgIoMW2T1VaPCiZ
kqdbNJNphPqgMPk7eul4V2tZ1fLMRk5Ftq8tLfkl6ZJoETxBMW85hJN+nyDu6j79TJN/ujXAhLR5
sjp3bbzW/aUWa6tO2lSi2Xc6tLZIn3JbL//h6mybg5E0XRrhvpNEOiciqf9czyd3kHMutm8F27NP
PgCPs9JQpSZE4W9bD32RP6G6FJ2+ckx26DItPCmL9s82kW5hr5qNifvcoVy3fMpsb5uP61058AUn
sS4Q8MfolQBouubLGM1n7Nb7ekYX46/ipfZp48K7U3ctPbSlQViCtka36Ysxudqw5uhBtXYG8jJE
M3M1cXR1XgySzIIwDVVgKOxDHjanwrf2xMCfy0Tv/mk+VdRDbP/0JA9tJHVjjek9QqGe8lreZ27y
qjz/sWVADloiVfBFYdjyJIn8o8cCNCNtSiYdi4D2nGjjsVfDg4ZK3dEMjW1S38+DGUndfR+KdghX
5FuBsG5CHFVs/KW3gma1z8oyWJEtNG+6JT+9rKDdDE8CNa/dpnGNQ4XikDHZODve8N2bbpi2hCiM
C7Xy1S21b3LRjyXICynlkIfaJ8uixmKHK/SFBNIX2kHfHchirBx9kHped8ZWUGxK9D8bvl1HAL/f
UVJJJ7w7VOyU+85GSoNq9ZqJkmOIQpiNmvoDpCnPP+8edagpkImn2rJDFASESEz2pl883ksQgiOa
B/bgNr1UGrSH3d9nKRG/Dm3Vhrgw2e+bztyPsFybrO2vsTF86rm2ufkeGuOcutaecfUzbcYtpCi6
4/FfQvSXpYlIjN4buQ4IsGpE+o/AAp+OWbBs4aO27U0t5ijV/fuxyd55i4MZ44iZkwlBpFci1pDA
4Q3Ce/ym6h6okJSrZTgkJU1v7adfTvtpiUFcnEckRMHKxX3j/QaSKNi2dNDJUc94COpkuviFVEZF
BA8B3S1bvRt6rgQevFKRfW/3/4C/zwjWg3lOd6RzRKJeLm4Tf5lkaS59aoewW0FjOr8G30v43naT
xwf4HMRjbSjSg74cXPGeU5eu18jCrU/0lABZ+RoSDn/w8b70cRUBcYbD8leZc9AihUOz8sgZd2PV
A2yMEYG8O/TMd3P8jkFs6xVm4Lhqm8/PE968TkzHgl/UdsDcvbDW9ra4FkW/jfUpaGyIbvReLrGU
SAQSku5MCkDiLcx+1A1bkbRBTVnKyuLVPHrTt8T5il9DW7tAq98TYyvMIoCNIORkmyAMQcVRj3eL
+94yuJGJE5jNKfHf65T+5WRfyT5QzI2TUQRexdEhiZEnQcH6cOJ9d/P/xVcA5eDmrbLcd3L3g3E6
2pkeauWdq+nHBjeD1ttXolLQRh38YtnZs3pfsXTF2npfGzSlqK3jM2ZV61MDuJzPb47oLyOIAJrF
AANZ5GJDTSYbF9O07wQ6MXyIt99z+NAZPuI6fVzc5Xngm8CShfmev6RynqUinGRAXG7VO6E1Yd8Z
x0bEaOgYiFtiIfLn0vypMEYaEINFiC6IGMzvpv/MwDaWF62+JKh6a4Q7HlI09ADQj1rjRwuOKzf3
btRMOHcV50MZtTi60vG5b89kI935BJ2q+cEk+GFkm53bi2ke0ib7wjD0lpuIAUvrQTTNscjbC7v9
RFjL0vG6UgrSQzfnbBXlO7S6kK9Zs1+8f2Lc+xKBY+P/3qS/cXqvDJwwct5SLhJYrbcRDHdyvW/p
veuIenRwTlct6kL0EnV1SifvOBpvFmMz4quIHIio0CEAi0uKDgoyzHfHqNeDYd377RlRPhQrLehx
GiJFdq2DNK7Z8JGslyTvwm4h4CFxyIRdxSPVH+CJ3IGIu+lzjVNyPyCFXLa3S2JFFlmJMG8hfeKH
OP7ushcBLllWx2GGO7C/ZrgjKeAUFOqD4uh41Ea7ERFIY/ngrj9z89GvD3XLQsFlP3JnoPl9y4uz
icxCPZHxRfIPvSBb6EK926XmUypOCYDmwEj8WoMjpxyaQdc8olhRxgjEFfYDPS2h10RVHeU4nw0C
i86yOjlTlBQsXCCUZ0XQiShJaQrb91nc8Z88ao8wS6XD/SqPfnGATUv1U46ALjkLbBhZfl/l17rn
00h/bPU2ZH/5q5yDGSuRGeY3vdy7JX/g4gfnxOa+9VwLKWR4C9ybH2TxoNnRNL9WCT75HQ06i/E9
Ddg4I0RSm5t9PAmq7L51zQO5CJ7VH5XaKPut4tks/2rrzsUE14Et7uJkn1eR8j7m9dgkuE+Jibrj
/dW1nUbRuMNjRpTx0pmvJlS3hA3ENRiZOTf2znauZrFbQA7XgBwCGt0z960xT8gyPS4dMtid9qP0
+jOIWNCyFMTHKvsiUnej9ztN34vh0ysuVfWKjmszUGVD18dSRMhCyIgPOn2JlvQlbj/z+RfMQaca
I6UgngOEpFjOW9wok6vtWsbNtr3qY2QYxxR/h7TWLQB6kBZ/MSK5bKfa33bZqfxg2q8OI3A20VuA
5rTM/2ogZqe41uWhs/3ALb4SVByynhmpqXBVGnWnd0Yclf0JewCz5C3QAHCoR/I5fxmLGbKx9P5Z
IYUUjB3afSYPVrXDAOr6XxIeKyvPNZ3Vy6fDhtVMd7RnscjdZ60ToI6LcKRXDfExODsz/aRnj5hx
yyFFN3wvxEM5/sh22Oqi2Alm1iW9oNpCl70Fcw5RPYAOnEvrTfqCv+w60HpRYGaj7jOwF8De+S5V
x66705/t+e8mZMaV9OGzOZDSpS5kPA0lXVyYK3tIBbPXtyXuDFUNLy0JD3b+LpJt2TvIrJJIlnYI
jhdYLMt8Ehtl5eFIvI2YqDiq/4yJT5i45mLal1Z7Z1XPrlh25HeTDmXjtPpFD7wzlzzyUIJ4FQaF
0g8prCAbntumP4OsCXopdAWKRD6ZgcCTyD3sIF+pvsKPkFUscZ7klzJrwH7T7L4xIBidaufR3841
BrLUREuynrO6385LTDf8qv3lPGi9Q2defyS292xlnzi5NsisTv4wbocUrn2ZqWQS+wUZacxYj9id
Tzq0FnvvGfUho6wMTV9YlGcDlAw/+ZC/aT5dedomU9Ze3mYlRFbkXP4WYxWM87BN1fK0WCVOdkKk
JG9w78pgYRlNYztsuke38ziR2V0S84QyjNMF7YP+hP6KJBDspWkbZJofLt5Xbz8nLN4QgPzDEOXi
gmNRwp1O/iA3iDvH5NQ0B3w3xxR/qUWJLU7CnTNV29h4LLP0lq4NTUowKx4fVDnQr1zpnXm0e265
yuXjb7Zl4t/V1s5OL75xGIgGgl3i77onl0kBiflOCAGIfaSkH0luVq3c6FXJdn4UZrxZ893k7xPR
hVWyPmjeg6GvXzaqBLneCf8+Th8Ti8AbtXDcHDJ5xJjO6P05Z+/V/NI0W3ITVwZx07z4869FmbmX
qI0zUjGkwYvFz8bybgAlrGNx1LvmpcGEvyr/A7U/Evnf3vlLnHmDZ40s8V2h+VvbTvcWovSiyO+9
hEXB4K7EAq3Y6ToOz5G9wSbyLMnn6Fb5BHAYWgPmAvvNnGYclEAimEYnNOwSAXJ3mpuvonpbgG8r
/V4z9wmzSNHcJ8A5N5s3mRebftSQRS2H3IuvLS/nzYUZY3HQWwYR5PMDRdBexTpF4niO/ClW3q53
XyVdK53FWep1UYaPUTIsDv/glg+W8p4T4Wwc/36yCfpEde7RrOLGJOvAeunLSwz61TBzLkwxdVHs
qiwOO8BhMmICuNHQGsdtWfURG0XQ6nZAgErNt6j3lwcBZOoW3WOPw8jmpBD6s9C+vWpAccLw4WGC
rEEFtJwM1wfYnkCrrs3yrIiZcmMttKZip6zlkAAkd8AHmnR32XIdNFCjj9zmx0k+3fTN6M8tiv7V
JU68IHKZUH+hm6eK+D84rL2hXn316DG6yIEE9uLIShUSF0EQlbFvYGG7mKUb40J/IPVjX4vprunf
JJ7A7ID+GM8HJxT7gn5bLcEAqZGUCjqMNZK0DKqpeFWyvUMWiSDDA1yssb5b86OyDz7BXXPy6c3n
PjtwYED2Yr1X/PHb+o+AFDIMY33pBmmpGPMFI3gjtSsFEfuGH1O0tHXmxTthYu6mHuRpEPLOrMVD
0ieX1nRf0swxASNkjhULjw1qnQdVD6HQsq2VAoULrLDkQIgNJUdXHJYoAb0GaJlNZOwXO2xL1jNh
mfkGYP2iRnYtsf6mQ7JfxuQJt94HYtgOKES8JzeLCaIHfPtrvFOLS4bbbO80pzqqBhTUqOydA4KW
uX2Urs5jUldbFwu70buc/TiWgSUefMmqr482zg37LXNxRBpNB8fZLUfjZgRbO9xRFpoqDfdbAWNw
U6fpRN5ipMadTRgLdRzLRmQEveo6pIJmujmBWN59m/pyjxGLrz9i70j0/WdT3JB4uQIQzdsm1/8M
kLTRUM+5qve3PTte9GOukqts8wcdU1VDpPCGJKwaLgZmyGN5kyaqDx9ZygTyg3bVhsl3H/I8e7Bz
cjsIaoycbkQHMBs7ShevPbkFWwOU2xMsHrblX+mhYRnx2oc4r5BAVhZckFthAMFAWZjlq9kgxal8
AHLT8ukUSqfXFNwssmtFzN2KlMpZGuCDhterLzm/x7WrolaT+yQxnyWNfrjpvJc6w4ul/MfMmL/G
uv4qOzR8SZzfN0X5msVMB4Mur07HOR5bzZHk/m86IEjvYOxtDByUvMEm8aQDBaqJ3354ufXnDMSr
5eM3CUDY5zPzryvXe6dvfDzbrERl989gae01UAuiuLjFzW8H9Kjp6VdaoFgq0/xOQL2CJZ1fEFlu
9dXD2jG9tXF1QXnzm9vCPk6Kw8klAilObRUMJtRxJuwO4XD+25JZquN4RVz92Gb6T9xk11X4lESK
I/E1F4R/IXmKP+T03NOcg2R3eGBQ78GXWwLAZyA9xFfo1nQbid/kbdFYnLo6dsjPgXdCtnkrZ0Ld
FZOH6Y/6blLrW9v53/aNFS4XcBIQkqrbpz2FiGS8PSkDdEDvHDBa0iskdbotSO+8glUXokgDTcXs
wFjQNlY9XDQnm3fpvJ7Wqr2I3ILmvAkHhqw4oAIgucOTL2LlZEot1ObKOS4EhEWGTwQj0Rdv+eps
6diM2lZcCMM5mJr/irLv4Gq38inYiZyvaGIa+CFHZp2sfc/7/E0mAPiaIT+yVO2JhbusM6dWa9x4
EufdremKGAvcE6zQ7tlZTAIwzYgY3j8DoeGksMaixYjKQlqB4SQ79OHZZvKZhYq8/iM58CBaf4ci
/K/O7Wtrj8+INtjhE/VgNBjGCEECAXAxIEpcrX59R0ozpKV5v6AxixSXOS/3c2J6Eemo08Zmdw60
zHwpBjL4SNOkChxFW2BL9fUfR+ex2zyyBtEnIsActiRFKluyJacN4fCbOTfj08/RrOYCc8e2Aru/
UHUq7fXXeKlukh7du6bv9202HPR1/YhEtx9jEdqlGpCSAUNvfQz9o1BN7c9Rtxu3WvD2dwBinOYz
RwYUjGN3wEm/6crsBzDiMZmQNbE3y2DDOWrzVTczSyZd/muZqnlZzIhPLZDtGWbiMCmT6MsAIrkQ
vt7YaNPG9tOR++2VrfS/LJO+rGp47hcQW6Kz2zep14lkhUpFSEgfrInyXnXKHkWAcbLzAesMAgyv
N+s7f6dXKRpz/5S5whBhRtWqGzSx+2K2h2SV7n273lmcX5DZ1360rOE8o52sEFO6eN3eiqq/KNZK
TcP5jB/4n6BhcW12Llo87xoFwFwF+pceggkEzAHh9ml6TTOBNkxEhBpl74iLCK8U6jPrUSgr/QVD
/nGa1PuimoFZAKoFKdtY8cHMxu+8p7qGu8rGe7h3s+kPFCtAhtEaz/JB0dXUtUppl4CYBdbT+YbF
ny9JHikj27kWkHsptlCHbzLHOagjiZSm9NuuUGcNOuBSjPwVC/0EFl5w1YdSm0w3tZk4MW62Nuao
PzvZWPkIXBjuzP1Nf/BkIxwp3ArNVbHmrcZFU6cN/Q7m62VUV8J9xlM/Gi+DivKiG6G8InRJPTLL
Dn2MCrckgUczkwMmLfwn0vca85VvVecyObYaEFPb+FkW37DbvQPleBdO+z4oXCwTi06pt1D5l9N+
SBjL5MbWICAXjQfZ8vgkXf4QfwGQ6OmSuKhl8zYUj5NJ6Hvyb59QzmMBcEJd50GOcl6JhTajiOJb
xDSe7Zfz040IP9T8yxZUOHPzVcbpTbKtfSXskzlH1IqKsJl28RGWo/aP+N8P7inm2kwqWdSIQLNo
5WNrMzbdt8IsQ8QVPotyt7A0rQ15h5D0RRPZ8sirPthtswSr9AOoiZEDdFCFHQzTOObBLs7bXV9l
mDCPERSJbL6qNOm9bh0HzMUZV69E1gUAp10nlVvbhAfZRkzzAHukuodlCaCy7CdVs4+wExqp9jO3
fRZEOMMfw0PwhST00r8OzONTEKra8IMUO5CaJAK/UsD5qJxz2lZXc3Eoma1/Un0noc2NKaLTNdo0
lhXgLfBSoE1z8ROh+l1pLiWw+XADArmQkFT/IQb207QL55x9ScXzE1eYb4yZJf4JLdUZ+8Kbw0bF
jqErtfYpNUimAinWsjzO7o2kMe1D8RQKHYCWNsTP5vrwEA0hN+XkmQh6Lbn0FYrjmBlLzELFBamG
7upZSYzd3HWHrgrslnjJbA3AdPoACBm1sEFTbwCguTQ/JOsXmJkvHO2SrdqLJjHkNdUgXs3QGloP
eNu3ZSu+1Rb7Ri/ZCvaXasBDhe3WYdC18gebnMjkLobAf+9a+bfWliu0D4brV3t6VSuc3SvNycAx
yHQWSXwgzJ5jjqQ6KdI2iV28ZVMAdQvO4MKYnQs6Y3JK+LeaMc9nYQ3nyyNMrlkuGecCyEuh2Kgm
OMdGYh1pa62F3aP6p6x/DdwgBukoaBbza5bPZjZ41fBe14q7mvc1207Wp6QFUsXSs2yOUztjM1aB
kNVhZAJa4LHP1JJxM2K16WUYlIPc0Q5TAgC09iSZAWTaohLuTyBSGYoYQWR1p5HuW47qs6KniCkq
Ssi2IlgheStKkCCtZiGzLNavpVhQaKZPq472N3ZeIT18pwyu5aE7wK59KVIwBHF/HTV1L1QuWXav
cnUWdsy+O/UWMo9dYelHCU9vBT8ta4gl0Lcw1Uzb9FXuhGLArur4dczEUi9hjs+f5fxJstMmYzM5
m7+RFQwDp12Shw2K96HHyp2mnkgKP4Vz09f2to8Yp5I3XgLDS200282TJcB4S+YB0WeIqDocBk5N
PrR6KgMCmv0RLSB35q7hhYo4v1pxco5m1GJK5qfj+EtKNQIJjV21ZVziQvP1Xg+JuNtj+QSFewWr
iiQMVLVDNmxehXU67LDAbCqZUcMy2Xfiok9zpSNNtJ94Tnexnao0hdEVDf9jauXVxSUFZOUU2UU4
01fM0CHKnm2UCGxakHr94xM06YuG4oSh7Exa5V1fbk32kpffkf5Z4S4QjJEmhj1JhQZoyo812dIJ
udx5zvOiDF/UngEt7kGeT0n+ugC9L9mKu1PRbKOq22smxML2qbNfl+JZBTfalBd51PwlNml881Bh
z5KjSUhsc2vUxtVgMUFbWYwnp/vhOvGzxEGFpx3T7Cee37pB3IZGvjrdo5CMAJ7duzE95MqlcFCp
yVb1xaj/CQzrkiRbezVYz8uIaqVlT5n+DKuIFQmODCIqfTNqAgwvFDxf2JSN6VtmA8mtsWm16pP8
AAbGyRZFc0hfBQIjec6septrzCpXk/43RwkugNTaEls05MxebAH3Yl6So1hPFeORiAGnzuJwIVlV
4Urg2yJXLyRRV+uwHaeKaQsjR3O+rkIFJ/CTTRzp+uQXxqaYuxB98r/RKq6EV/rNkPiYgWJmv0lM
HMQ8bUVCsYGwYmQFo8hvFiMK1Kqu1PxldrrDozNq8oYNGIO7fsNUBf0REyWI/CjmgbcMHktTTFjg
jZGFm0fgcmhn96mxy4rer5K9SL4ccYDtwq3EaoqZdzHt7azaqKzIuvLVAjOlOsrG0pFQKBnBYmGr
fLH3TCgpsbyPCIR0eouIL38ae1xtHmCHzTSgAah0rx3STTkj9WjYW5moM2AlKR+s8PlBb5mk0g5b
h6y+Z2Dke4dsZtjxb7bFax9pRllCbMG83Iqs2w8i8iMbD1Iqq14ulqA2Z91L8+kUwz4BP7OVaG30
bN8YeqD1L0v+kmEOk4prwqo/+jK7p8y+mn0TZOM/pzKOsszsV7/r3butoAMNJ33b0eOCONrAO2OA
iN/HBsKzmLwR5idPqpZGr2q0+DjWdqvzgzeQN9NqPxxCB52uJpHKlDc55XldMtLCGnGrRqAIdS2P
e1I8+dntcF4J03MN0e6i+nEMLH6aK2Gmtr+qwcbSepmKv246CRVbHt51qIfNd7SUbiJYZSQHoW0G
XjZhFz/MiCvYiJ8qypScG9DpyUcGqINpyZutGRkyciLpAFgNU8ROLnzKkyk+YJFFtwof2JjCuApN
sckTpLqVsu/SmpOZEuVpfh/RsK3bdd5O0z9gQm6lb4r4MDc3GiqG3b31PRIYzYZFCWzrzDbSZvSa
eUZ/FPrnWIUJ2rYl6K50Ry6wRXfSv/r2W9I8kE7jyDHEMdx4ZRzgeC/gQ0vEgt+M+QzOkH3gcHMY
WRr6i63tELouMUYIL4v2WXfqNIbf12EKpnFnGt/qvLfZbo1Bo3wJG+0pTgub4XDxqhTruc6eoL+N
rG3i6pDaWD9jcBQfDYIs9mTYIDrQPE4guoxH+s9cfKf6gD+8liH40lm/SNnRkmDV+ZFgMqioQUXD
Mu6XZkdmAjdUIGsh1OnJDuhPlA5ewwXpEWSdghk5G3PpMuBh+oc4qEZV6WBhXovPmu0alqNQnb4a
5QzT/zw3vjR6Gk9i1l2z8q6jebFQqOwVQkgL8FI3nir2ucwOO56oOwuyrpl3sXpiohutR51zYdiU
2ROATHgJ6fAkPyIDFK9ZviLsCs0T30NPogGVPhL1aM7f2NJAxbBUmTd4Ejaq+SdaJvMcLkwoOyNs
gM4zLhJy+1DS7qoGrRovbLiNTHN1tT2YQtpla75ZiumpyJVrIr3I8GxT8+70byrHIxRpFz/QhiE7
DIBGqt0BjNZY/jnaZ6cH6vzWKO8xX3nbQQuAQR5Q2sHoLqWx0YGGKmGNkmJ9bsEsattpDhR1z+Rm
NPPQSLlHRgZ52jO39TNGcmflETyWxadCFAbHpXhmHKTOByonWuteObfsAhh8l1t5CJtDaeKM35kq
6RjDZkZ+ylwedHuDA2RfdwhC8Dp5WbMzeLPFyWQhxYdjIbLEvB0uAN0hNbBgIIKYCUSRXe05AFmZ
OJtuZl28T9WzlRxBOjYOctIghiyUe0uPhXtrVcelO6k1VJGHo5jMTBB+r6wRDQgvVGMDWCfIG1mw
DKdmcXO0ytlN6Ccj/ZjUF5vnu97pYGEWVoo/JnxFTrQFlubE5+Bl4oaCQKk2ve4W+slUXhPxZ31p
yPaxsdomNOpfjMgJAsT8VtZBpp2Y/7otuy1twwCYpaEab7BDiH5rcbQ8a+y9ca0YrLcClWiI/Ows
PxyalAvT4BUst9J/in1L2Gt2z9jT0/ymfk6EB5ffvfqc1aFhHx8gCo6nkUEIc5qtrR7GjEN7j0oa
Hbf//7oUJgIbJaTzvjEfrehiDEfWy9yrnPeg1vZyjBH10Gqb6o9iG9un1h8ai9IV3ndYwGvD4t2F
TbqjQVK6Q1wiKp2PCsOKImKYtSeAFj0Awn8p++kbwgxCx97EaVi2z5Y4q7CNkVyCn4294QG3xvEx
INSzr02JMvxtmTaK/FGaCBg3OCaSBx6JYQ6KJUoBrl28ntFeK5/b9ajYnnjI3U6c7Pl6qKz32r6S
mKdI+3bcrPq2MPiNKGCPc3/lkS5RwSpPQ8WGadOYgcF4qfGW6gR6Y1ACqiGgrEa6qyTwUOCsTwk5
4OQvsUZTkeOfaUS15aJNTLnYabkdUD6ktCOFqWewvBAs4FzDfpPanQyAb95GRDqrYaSR5kP8hIsl
E9G77SWDhwiPLToXbYdscYCWsYtIgQJpMu8zsUFqr5UMQUP4FKRhwKCkniMQcDs9niJ6UZxuyIg4
OypmJ3/o1B7uEtBAa8BYaUXUBy6mO0bmvKH2QpTyHuunRZCo8ieDfaSwEdgHSRbn80JUIN4r7aw6
z7bFbbeL5pOs/WjTELB998BFZrwXEGYxLCihpOa4SfLyLPS7APG6Qs6TE+0Im3Yr1vUA8Mszsl0h
tj0YxQiJvWARmcuGXyjaOVOHL7MftlFNEEEqP2vyQsZNuWFEeKoFWT44nI/YBJ6pjB5HTvOrl3B0
TaXZW4nShbAw2PvbvD1yvN57QVfvKNPfUEvBpJMHb2h9400PUnDUJQ/3xURxhrnMTsawmKOg1BZk
qvVuQZniPHaUc+bOtvFrU4xlVJlLVtHNnUYnDSwAQ91T39qAthsila6mwASBA4VcVuYDv8lwaUsS
IEoXeloivT0GHLPt6w9KAZkcQVbsgelK0ouzMOMEfJtXri3dHe2gpO86nyzCZbSz6CbaHcp9WfMw
GnPpHu3mJOu/WnKyul9dulctTXnlCy6Z5S+e/83VN4IIKPKr5KL0RC9S8/7S71Di7ufJ67x1w0j0
/UHNmHwkX/CZ9YpOIoiQfcXb9NaxL8085M7yN2MUvk6w3430BRVvVF0TyAfG0/qaClbFgVp6YFen
Bg1bQH0TQQHiDas2AnXZD74rg/jhE1JawKO122zMj2rxGOibeID+5EP6bSF9RiN4txkUKR56ss46
dIwiX8cr3zt+HOKq7jOyqLuvFJ9MDirgAlDU2+OjHLCgYvjNXQrMeheLAy0Fe4kUk/0hhuwabyV0
SIc53lIMKQz3Qo32J9slKEpWPvZg+MehgASDDKrBp+AwoFC2O6LAl4cGHB6DfMpekN1BdKHEXJ7L
P5RsFvPVGsoQ33ZGWS4WJp7W7Cb9Rie58qHATfuGXlB6oZBRUXwcsyP90cpl3yNqcaFPpRDw3fg8
f5L5EAL5sHlJkEN3scIchWi3SzOfh45bGDP91v6eP4pXpLWmhwL7q0dsVrlZOO1hEwITrD5LFNSJ
B86BNt88LbviPvCara8pORHwRcvC+nlZt0XKcbitEOawWSEb4IylLNkVF+BQIKYFwvn37J/aHfE7
pNVOq3HFsggPFhzvDul0fqFulT2Ra8aWUKzsNZVomEK2uMyfjPoyh84FjLRKufyNg2TE8X1X7ECg
oWWKqtFjMZ55noeAvXjNLYA6t4UVA/FulxKu/pTfTJ/3y3lztuofluH2D2vCuvr8QvGEPBqx0ISZ
9UKBgPBWeak+I8qUbEPlsKu+Y7rq3+QFmQOB0MYp/kUYkzAf4g+ZfRthHevFC6KNRb5Ad8PC27jR
kwNK/Wc+W5y2BVQSl4sNjjndqaa9dXtheivFuHVAw6EiXYGEo7jLrZ5/R+OSHZAdKijuGC0kOzV3
URviSEdgNEElhRlw5MvbG8DNblazsdPXLsUQd0iK6zqcy8ldX7tv/hEjc+pejdmjpG5e1SnsL1Ai
ykBF2m2GU38YWbV7uf5Us4ryCBiKGQRTFtfug+j6rCN9C0VQnp0ti2vEwTwgkuRib0MfdDA3gsRl
jwmNuekBFkyu9d5/W//YKrL4fvk/czvgVCuhYSO0ITxGQb++zdr7eAUeqNQBgzFw80m+cTiPn9m1
p8uT81M4X/lzPj49grpLl/QAHC/gTj0mR3/c8JRV1YbNb2XtqRzaTwbQzje0zJLBebzHpcpI0l3f
MTpJ8V+bBs2yl4L2dX60i8j/Xf0wz2E8XgYDPbqXbMsiSPtTz0+Ld+aZ/eHipEggDjUa0139m0rI
07wcsemNG9q+pbfqUP6q7903WX84BNQfEzcDQvX7pAQJj/qOAXKP3QIYHisEsvBWk0bZKwvVt5QH
1iCcsoNRvrcwoPWFU8sIiP0GRyw8zLZeh5sttf9kFUiScbY19mUm20Eeir7foOIlEphH8ZVZFEfu
uUoCjSETcGNn+G24DCfk9OQndNbnaGiM0r5xCVHbhdhzAa29NhF7QMa3TLRdMz9mOYFaGRM0sbMq
jO0XK72xIGyqU0WU28yX/Ufrz1rDJ6TV5yLL/a4Mjego2S/8D6v/J3e2C0YUhuCXXh1BxPimcKgu
adp4uBXaE58hQKXulS6g/wLu/9FBdcRbX2/sxnhzUoPoB/tbn/+K5LdCjSJpL4YOLqD8MgiJykJd
OUvitmoByFSJdeUD5870R9/DpzwBA6Cu+Rm2SFLwM3ByIqqjdRhzRsLlo/pqX/UB2kj1D9UjNKtb
hVBZ2H+AfoiCzMNcaL4TwXjA/zLRSI4/ALfhCkZh0tHMUndnBxs/3or2aaF3Gp3XorfhLIjXxvTT
p4LXT5tDPPLNVjW26Y+SE9qvuCeosyY8DgUzbhg/vbaV5+3c4fBCZSEpdIrhg1dJhkiswcJfzqye
Ou5U/rWOqrCYOcXo56zLWO31FVYraN9B3la0qXDhEKAXhDZ2t2xcz/ODVt0374lSHAn+G2lkVKN+
6YiLLWtC+HSkvrD9FFbDms4g3yk3hflZwAmOkbuP8F/Xnp+aZoGtXPX5KGTptVepWqf0lKqqF+kH
iA0sAfotSBaa9/IQqXyxx1XZYYH353HFQiuw58B+mTKQyTaPFUFfEeI2LrnhKBhoEohHyVicclPf
r0J6bvsOpR1HDc4Rv40yRO5yM/Dfmh86FkqnoXZj424CJ3QTjQ0jJQqirhA/vQzPZ/2EqvKgQhu7
cVSBW6/GWavrTYJuyxLtS0ZHV0uyt0Bm0Ed7awtiDEBiQq5iVoX6CaCIjP0nYWWHwrzjvFXNp2H5
1rlJpAw1HcA5S0afh3NVxgpmEa4zMOZlQkqpw0ZDG6i/ral8N2ItqJJqqyi/Q8evlXQT7fP029sU
L5lE2SSctzj7MGMK6CbdNpN5khy0G3yhmmzdO5NebBJHutVpfyNh5xXcsxfjw8W2wkPGqrSWuEgj
eBGJwBwmFHz+BVZjpOVVK2OXhcJj/yKqZ3r50CamyqmrUywdPGhyH3Zlt4+dFt8ugJFcOwgQ6LKE
yI7nshMGop+FQVv1SxgMjh9munYUTEPq2RkLd9p2aK0X6As6kKD2Bmph15GYwUlaYmBwQKaM696W
7L29ZntZm++6CoQv0k8i6neOVmxNq9k6swpLUjnPVe+vkJ3JwMVbhjgG1wNU2XcEhT7AR0oH7vmm
fV2jJZhzha0SXTgSU5YsCuylha7L0l5MorcgpOS2oGtzjr0of+LxVORvhdO50/AclwhwmvwIOA9q
NjNseOHsctXpXOtUU6nOzgw9YZrqEidlPIeGpiBg1zTIBjr9TpJkT0aTKLscoLy7qONrGQm/YKbs
yPN1HLAfdjMFGCj9uUc/h2FjAAPBT3WeHvkqKqJ7234t1X+cAkEfW36esFMtWQW/YZbxbFHttaHc
snh3IVO+pSh1NLJU8pruZTnHy7VVr1kswUlENLiaA8+ywjoSXzjRe2dUFFR3TQ0I++wwV8xa6NxY
DIbBoFEm7oanpSEAYu5J07QhJLlli84dezxRlSRJuUofh9bYvUVzuZeV5dA8nAJGzHR5clQcWaaN
k6q6D5XzQyjKLi3ysCg+TV5vbyihxqNaVExZzEDC6zQVCtBxsliEjLKnQtkzPOZmQjk2KbFxxmyS
vdo3P6kiOVhr11CLU8OD2vFZMo0JccuqQZdPO6vUn6GB9LQKe705ACcwaAVtGBITxjyJeZaIR+w1
0sEpB7yBK2Lx8bfPzGuvkSsrhk1PySgBqo26HvWFvUnA07u2ysk0kCQN8rfdR7RVdmqdlFTaFb1+
0kV6iuLyNPF+W69RLE5s5ZhyI4ziVbI7eRKZfrPU4RW24n3OiMe2voqUuVBTcInZ7sOlsZIxUPGW
sak0sVOSUPQjuvLZWZ03vYz+1ckUNC36ECTve7SsF6jmAI+amwI0rwMVY4E3VNAityrq8rX3ZEXb
tIN5Xpj7ojCnikADh12MXh3JpfIrMymfI5Qzxg+olg4EOZiBjcH4USotdLXOoTFuNHybqOEJFQuQ
UWXEvDka0mPNBYqnYpzf+SqaYeK0nqalDFULFvukgy9IjrFKtUfmjt+bZTiaycsEHQZ5xKtZZjvi
fH9zOrdsIaWRj00amVn3TNcgOb9Xjr0d7fW5QyFfWGiEMb8S7PWksvXsmC73RH0sSf1SKfh6oRNJ
CykfyYvUzD98TfaFQp9VQV/rr1I/Cerk/EmSwKiycLEhodU4gZfE7bAaKOw/bQ6NZb6RhbYZEIVG
dbioKYNqNSCrlVpco9RyOGsk3ACYxZzpDKUkbG0pzDH8zCJyh5qSPif0RMfZRi2XvKZYEY36MKQf
5sCStPxwsD2azamcv2T7PE/fUnkkIJgnStkWmG3AA4cVnTMavW1jM9Rgl4LE0dNZbdljHSSjuc/0
N6BXS0KAllrjR+GtRudEAxgjjYdOBdxcojnnpCB+FzkcZRI3YmpjWseQEHHl2MabyTCB+21f1N2W
289vm4tRNj7OQb+aFsRzEX539Nq5fDCZ7OTQGnI1/84GJOjNoF+hnz4eiM0EStE0nHBJND82BNnz
Nti2Jn0m2RHOK/56t6bGmuH+JCtogRlPXUP1rZRYbdPuqOEwA6B1NqzeT9rmLPOeZA4qe05E1h2u
wzgRyyGikPyZYAffANY8O9W1RnBhOA+xSQaCfw5SOT08ysXoNwfUwzZjGqrBJdsTvFq+Agz4h9N3
mznanpLt0KrECanrZkwek3aVJT1Xb85qiSvVXE5okTcT67B8WcgnQ1Fpaa5JFFEi74uBmapiOfue
iYjZTztUCKDu5X2CCXGq1YCiHAvPQrU39v8eu0PWKX7rnFKLE4y1TmWyi66Ll2KRDppSn0TrvOVt
9rpOy24ehd8p2VPDgHzMppPJ3M+QQd0MEEgxbOdrcbcU+3tMKc1tcbehT6i0ERM6zUJLDrbVXOOm
fCb1amcxLzWzaV9E+a6aubQS4eWqMPwSYUKvmmEWcQ7aLdV3b++Qnex70fg5yzL+CvDjFlEkPgm2
r8B5D1laIAMftynxijLny1INRN53ewwVR2gCULSsi6lOHwaYFxyi04kVxUMuFuXRhyk1qIfz4mCO
KiueuNwTUkqllQ+vZYYWG39jC7y+Q3kI4g/B/Ef8GKk3/b+GKs9hnPb/ymPBf5BsxyTyYqHswBcA
x2SAl8PPRXFhZup+fSAr1vqlsH76ns80h1NA6xSLLxk9fz78rjFP78oXBBEFrrvF+ejoFx8py0vL
xr1GFwrgObn1D6vfCrQGvA5inoCkaJy1gBwEsz8W8erMsJ/JMbkh/FimQGYTDmRCRdP81Q+Ni0Yw
TARhVbyDukh2EuHcnj32JGCXtDboppyWAlI/2w9pwgXVnbe0zUcUMXazwWPiMEy1Xdmbvt78y5Xv
komOgtEEfgMHaU78jKnCU8WGwMBlTIy9bfIXJiMVDeNE2zeNTndbxuIFiPyvspP58s+pc2lG82dV
kuZeoNV6XfJGuXbodi5pXS6etoxz0C5Lfy4JT/SpQnQUWxNC0XbSz71hsZEcrfjNjiyU7dbgfGog
4phUrMC8FdRhk6mSOcA3DALMQ4siYRxFdJIg682VSd8bXWMR7o1i8bmseSM6cP+7uUnfRpv2HXIL
DW2RxqHaq08G3udNaa7mtgDres4kffxE7sUyX3RM0LNVPamCuZAW1dV+TLgWrN6JaWF12vZ4Hpn+
9oe5RvRorNcqiV8TkxCypTPfwEUrG94bLhaNkArUug68fHW4T1CMkYbDu9qsNeluRq6aG4UcoRdr
5XRw+r44FouhBZPZPOLRLRseUQKOEanXcmot+XVtsk/V5DybRW/cxmVefZLHzL02k1lW9vpWL2Jq
OhrJgFlwxBLFWtg+jFzVjpYyidM6Lcb6FJnHhDytcwodkYwX5JF6TAxMNi/RUbbmn8xqNcVVHvxU
O4vfhtFkES6tFZ0ag6EReBd3Wi+MrUMAotuLwcQ01DabSCknTwODiHkeHFiVzGZIjmjJgaop5s3K
I3yGhjkwlatknEfN/GeYrAklWKNhB9fqCR+6hDNPsQC5kiaEIX14Af+DaKqUOuYWCFCdsIuVcS/l
MSespOchgsHmDpW6uHRrjrsdqTXTSGJIootDNrPXrH0U6qkzwyWZI3xzRV/6hdXxpNQR+LTOuecR
/vmWnfgmb1Peg2xsqVhmbFe9ZpOSYIAHKnrRQTyY1hZpGmZrLbLrszOn6RjogrsYAS5mkYVyCCPx
yEkTKRtlnZkF8enveV16EFH0cc/EX/wCnL1wiz2Dq2mTp+l3L3IGQDbkNGIcDuSjDD8pkuCPvB/5
hQ3/IV1z89FGWg7aXrSE5wmNL1xSbEvZBOA9aCPhNPhQ1maZXjgAmI/EZfvEV3kiqmkEkAN40+1l
8Y6FvHVtErc2st2I44Kvl3WWyVRQVim7kwbRWqd1T4K7bxP1D/1cl/3oRWJ9Z5kCS0M2m5eFYx4l
K+19s6T1XoMSD4BSlXbVBGyrGInCHeGWIiAb5RB4O5NZCJbLhyPy/lZJqXEgDgqqF7ckL3DROP1m
bLMkb2ih1BjzYciRdBpzUf7YZV88EZgdHZDsY7HX+yULEGogTyeE5yOKDQaPLcDTd0fiS2JMds8A
Ma2Ry9kqJqEVi0uK0+GtFK0SDCn76WUYMSbXOVf0otNdK+CWNnI3fc4RNtEVYO/dTJLYswk0PpDK
HUqLccJXexy0WQvt1Xq0UnH5k6oSJvC0/5wyeigzHRc31RxoIDH/3yJZHL4NqAZoxdwo7nJXdGN1
XiA+ulM2fMxaejTBw3KiDChmSGg8QsfC+Z6ywCqxBGCHhhM2TJeht3h2OBRxaUnV37CwoSGiAMed
PRinkfDsHR/AHjTnIWcOpbaEUJrWC7R40MDx3cSjN2UwrMcG9sRDT05i6AtClc+4kH/mxnzRGut1
iopTtw4gvOUiDnVGA79lk5bXGsQqxnr+/KWckLX0keORtmd6mqPdcgLPfQuarwuHMfEaVCV+VKkf
UepMEBfoAMpYEV4zlB9abL1HYG0Kq06wYxoz4rVHZgZgCTfqKibUGnkF7mj3kpuYQ+gkAyLSNjOf
1DKxT5WNY92qpmdLXiQgcoi/RgUfuj1QPU05qpicWCZ+2ey2CrvWQUs/gBf/kTQAQyvv2Jgn9Up7
rseBowAq0Q3gcNTwq0f+wMOAxEbT1KwN6a9d0ONp2bRLZp1ah60UT4rsEf6UbA0hAEBZ45tQxj4c
E0qLcSFAq03rL3gSPVmBFfB+yM+Y34uvTLVqtxM9OqyKb00v89EWMh+yQ25TBznO7I5jG8v406oW
RYX1BARtPcy6xJ0F8S/UxsUAs2Ng8p3qf+u0Cpcj+wUvvxGu01Ac54mx/grHY8u8iCxqmjUlUlpf
WVb1a7Qqhzt0hq6TxBFT/RXMTwQVIiXYxoMspvjriAo1t42KeVRiMrwqWuk7W7RvrbKXYMyHU7Qa
L2WxbpravJVI/i8tJqOtIo9Y6A1n2qyGQIa72lsWivYeXRvXcJxsSVXiYYVJy4TbcIC2aOqt6KKa
HAC7Pi5C+VKVZIMto2a26wC+jMevgehqt1bBeMSiem6YuWl0Dy5F3EjlpMJLMgS0NBmpjUwY905U
LIe1R9hPHMd8QeENeKNU0CcU05YJ6E/k0NFoU32UVOlX1rsbhhGBrI5kDoYrVSCX8TUxOAyimaQY
KbY/oh5r4jonA3tFREfwtWNizWyAY4QiojYyLvg0IEsrDwAHa1Y8S7Nr6mAA4Y9+yhMxwRL0C9tg
KoVIswI006V0DgoaW/jIF6ehrtXL4ULihu2aChF9whZfPUp9X4j5bjlyvAXHVHqg1TJc00hp2REj
SVowf9cZnnaiiX6QsjvglSJiOZp29qH4H3APM/iCSIGGM6u7c2E8/H/JBBzPGFMXffhT/h9H57Hc
PK4G0SdiFUiAaWvlYEnOYcP6nZhJMIenn8NZzObeGdsKBL7QfbqcyPYw25tv0/4jmmKsNDhvwump
ifTI0eP+aawaqyzP7R3XUA2nun1OJWysfHLFCn0nPvw+5PHx0GqhY0fhn8Bp0svZMA0prhatkp+O
PG5EGGTpGNVc7nEYLX1p+iVmK/8n5uYzbjl37RKnAHT2eF94w4nAPU46XSCA9vgs+j6nddPqnLBP
Pg0uKB1Eti8xu/zQMQ06ksq4GoBV+A65CwR4TJKTMXubWXi3ZOx/63h8lbXLiKNguRiXF8opyTZ7
frQd43PgoVyl5vhnRfaZdL5zAXE7Lsxf1JHiOWoMhEMasZHqWHVyJnyVfWHuMtIcIFqQ4ugwnFlN
/Oo/rS2DDho3QW7YDzKJjo5gfB8Yi1ugfZj7kscvDwmp1ERsqSSB9N0SjjKNV7dG9DR0LdtzZ/6Q
Ne2xQPrMBtR/6LBUA163a9bNI83/NKFEs1xG1Gr8tB1WSRHBvz1xV4wkqUAG7zwDp0eJicxByP5a
JKRDpKhNSFl5czGc7vte/GRV9M7vF6jCgXN2lXMwbOvVCRrNosW3Nsox3tA4ZPdqRC8vJ3fBFc2S
KxTuQs/xAg4leQmHkH5nfIww+8dB+OSLjpfGSR+r0Sdp0aZvtyu/fCWcMd0rlaabPJinoweN4kE1
lX3zk2662ikNXSXGI/x4oKHunylb8gIqeDTQFlj8wGNqfx2nIGTFLOu19CaWKm2XQ3ONWxrbILg3
PO0daXndbSMQ2Q5qaFfW4iZEhIkpfY6G4uIYPZXBYtKze4090Dp2JP9JR78VkY8GzS4+IpmFWzNr
603nsk4Cb5Q9+EOsT+SCTStqqRUJcTQcnN22y46eb7K9dSY+v66I2WA3FJ86Sj+F44/rKLP0Gm4b
WF1iAD3RQIoSwiXyyQMulkZL8Rq+29TxlSF+poaNKuwS1kn5CN9liTTiji7cXRaF27y8WC4cWSRl
LV8+d3wDSXd2LL59CIBbv+Q6807xVB1w2EybNpquTVoeTbpJJRM21xxNce6c27Z+drBQNN6rL7t/
02xcQ8Qj/SgRF443e552mU3Y7lTip5iTzz6eWV2Xu8YtLgsUeLDJkqhTSiw16V1jwoeyEogh4/88
netQzi89tz9/CMUOumlISpT9+VRt+yT6lFF6BDP4HDZXjSW5EVvCmtZh1eCkMlddexyRE8w2GbwR
G0EADI21mUZm7mb76yGSk+JhBMVRBj9kmAE0fOwnZG/M8mB6AO/emPlPArnPd8F81R+Ffkrb4lQQ
v6jcD6hOq8B0bqKnyBh/2eZdhuhvlCy4J72mvtx1ebMy3PKErvret+5bdseFtzWYnJlhvqPCZTXv
nssOn8wrhB7khjiO1nb7lcud1juqwkuUv7L3T1T4adnfnfrXkuiXyU+IpCsw+YzlSVkz0rcELJrR
0Z8P45rcti+TGUrAsmcq3FtNNyAz+pZN08vVSC51Kve6ea1tIgEDsU1Z0TqIf0Zk46K7+dnJornL
kEOSFURvnr2MYFVUpS4FPKUyl2dq31WOsanFsg1DblU5kC54FDj7Dph670ZUkNFAdQq3UlS0nQJi
kdntbHOf0oUadO8B4rXxRMYBP4i8Yu8QWQes0wtE/hraT5P5nPKcCl1jMTeWl4bORB812I85vRgV
UhPgRPFr2bl0ZQlT46+mC5CMdmcec2aGULLlvAkctQsqcyWXSb2tMGougFvEfhR4lYtDBI7NjNyd
uzmEEAcff1WhRyUgjj0Ccijj1503tYnDZOf1T6l/nMm29/Kf1GdWqSO+IuDSxidi0HjNdHsUQykT
XiD1GIk+FoB/gVHOakwAFjhw06NieZ0H/4b5FTPVCZoTw3LEfkp/lMRs1uwu+iw8KKKtZjoz9E05
H89VZsHWGKqt9hsIdV8jyZAhwWsJwz3XObbFNWiu7sBAKHXvPJaJCe+5le1icXODU9YNLCKeh+ke
4jHyn6eA893yQ175cNAcQG7+Oae8Fts7OSXMS0K9jTdoz+u0vhganBL6FlF8k0K+Iqr2LoEcpsr2
NAvuH/ufoammnGzrExIxesb9rG4+bIW5/ICl0nlPLfVpOmHnn74grm+zEiWd+hMB/Tqjyx5ceL/I
8OD3UICe5pSFZc5wCmCiY3NRse8PnA9iq9HDpDvJF9Dtnv3JXOskonML/59qwvYFt/lNEXEpBVsr
C9hevrhJ7no32iZt8t7WGs1i/5m6zSpzzc0otmRt26jU4OiYstl5MV9tgigsoBZ2h3qKJjuOh+M8
/Yzdq3SPWjKADZ37YZmBEIJoOtDMavbRnL9pE2571e3ZQHD2ICV3vmFu39ocsxifk+H85OMziQUs
kZ+URa08P+Q9mgH1AfjwDhvEeui7R0KobAG6kYeGXKt3i3OpSngZZb6bq0M3XDwshKb7W0t3X4sU
LWmHIAu3TY3wojQuTAzWgtnqjGgXdQWpz2yhBrR26lh5ilw+qMAm3VHAoVieTaE2YdTcJea4I6Ti
ABsersi0JlzwrmdEGCOOMDPjpNq3CDfDMP6NWB29JnrF37xtpIEVnHNDvaT5wVVPA2h/NyTGum6Y
gtrsgsJ12YObQD9B6glqBkpCqrKBhQlCcWqssmYomrgPfQvHo7yPmycXuJn2bq0edgXqh9BjcGkA
nyuZqiHfdaafbpjgmSCXMuMXEZNWPUcopgK8F/VdHnzAnVxFI/NBWktLVNtUMblwwyPOYiIAwZRo
4wBW+TFzOwwg/gETL6MI4jeksyrs99jK74WxcCapdBpUT823ze/P2DQZ4j3w631bQaHi8EvCXzb3
ewmTILWaQ+u+1ODH0jo7z8MzEWZkd/8i7DBNLqhiXzHFUDXa8Jvy9437ZNFk5jhBBwZ0zDxD+wCI
IkjOaX8KAGbKE+EynToQRJ8iCFLXNv8Zkg9h3ULkRD5Fq31f9bhmmKshxs2xfAEHih/G4FfHT3b4
MzYkBdbrgmZLfeLz9EO0dIzPmfW709dkIQ6S/zJsshXxILck+ZgsNNgv0j5HDKPlxDfx6Hl4QDjs
3PHPJYdwZtmw6cpLV519OFlQ0tQzeh+ZHrW3N9lGek/z+DYMz3GArIePmkRkH9geXKLHNnzv2nds
z3dh9dQN/bP0LmXwi2KHiIS7aYJBQqNFO4IvTYHxZVPqXwpyFaev3uFHvdERyNyATbJjATBVzzr4
WcBZGsFbAnY9PVTTOkVRPPRUWRTEleGxZywuHT66btpp0+YcoeiLUApMn3p4tUyCWPPHuFmPhAJX
yR5CMf838SDOvii+mol55LUBwtrT0VDAUpwOR+kRvsInh0nD6M2jFxpr2x/3E3tnDrBuqUTJJeUb
ThN+CPPNZKJaRXJ68hPUzw9Z8GsChwZmPIiDave19zLUWJHW1TJqwQl2M9yb5W1RZI16z3dMtAAl
sBZNR0Hcip+9KOPbzf4JRDbBpsWqycwbU1abchXRK1ZMidLhIsRzhoAo9Z7Jk12b+EGsEmUlcx5R
Pfnma12mew14WuTvCqBvejUpQKY9BWHBbRWH53hET52dbNbTc7uL02/L3Hfjb+QC7sn5SSB1zUh+
9AjW8oTYq4pjpNLxuvTpqG1dHYYKxTeYkZNdsLVN+3LvR2gjy7gu13pI4U0jdU1D/0CRm+JOgXTm
dk9jyLAnEOD2/0duxDZpx0TZhChW41asFYnDMQPKLIlvjZFtmLzBB6H0Qp2AotDsh5ottAJJgHoD
OCS94Hpk4swHjK5fHRVypST4jFx/p12E2DX1sg0XyEtIiksQ2WD+axHN0qocDY0LobHhCmKGEd51
oM/27Cc6eGYC36EzPyTesO0zcxMG4mTYyFQiZx/H2VHQy/iuus1TdN+PPXJlZAe0LmvL+7bnD4I0
GKmER6BxzzmaKdOcdk4jdsQI7ntWnisT9W7ZYyXr4y2hw4xOpw0MU+KVaNuDgyXyk4AS5sUny4Is
UMxrQIErDiX40M0qLzdC2Hfe7BDpE22HuXzwo3/EFvBLf6tBXLz6x0UpHDCvkE3iwQv08OZOJxhr
70BtVuTbMnYuHgWWhNhs3lOqM697s2cfGeJ8HaXzohPzjIH2zurKf0KwVbV90sUQ8RuDQZ5zytum
hvo9IipdWN3aFezOho+RR7u2qi1t1rMP7YQp07oaXVi9JMoPZbDLlEVu4LzKAdbFchfAy8ryV2on
IlV6huj1Ph/JOsZPoauX3NLboMCZhDTMggCAF4HdBCWnbK5DUF2a0rnYrNIEl5ODtpkZ2GMbPyUG
/5i0mPULn+FmeSy89o8MdhAN0yNAg6Ol9WbmggpKd2db1V6Hw8jCR77JxDkR/LSuxHvI+zZ51Vok
9VFNf+S5kfGx0nn70PGUhLb1K1B7gosGBJiaawg7azAndwIRHJKeTWdCRTIvHVaOsoQ/ooKdYzug
ZPDuoF0WFVdNyRKojc8aBWfu03TTkyK+QjrDoCpNOMv08EQoOpNvc2UpyYY6I2ep3ZByQ+Z00JMC
WK3rKdzVnfU2Im4UTOYQKKBjRgjrUUN0xoeJ+xfl5dEJE6o5bDhh+JIt4wXfWC+MWO6oPW/gKu6d
iwfkSkV4dHriFxR9LWEXhCARX3ciOOuuJkHEqZ1LDfByvJg2D2gO7MTZRsGfnWIYmF9co94i0dhG
jB1yQJJuMD/FUDjKttsLxFqefFQcKD3FVw0bNw/qtRM/Tn23txpSgdv8Hc8rI2JqJbBBU8N6gFMP
YjuLeEJBvz3/nx/UlxQxNfjngba+RcBNce5BTeTM2CzVfD00VGyv5Cxjq2MbwlFDpTQy4Kv578IA
hDVf6MITG5lQ+8h3HccAnpDsxjZmEILb83YHqm8Va/EmtLdJ8O5VoCsIHVoVQ7iVCNhJt7H2fpm1
fP8RRHiQNQMEvpV7kRXAvwntRVQH97GjzlGbUfuCoELYQtQCcQcfLYJR8B4SeruAIbHWsjyVfvZI
itWtn7x9mQL4MAMGFvohaxgGR/WUY/u2xJ1lkT/gwd6brRJh0F8a86m3o9WyHy5/soiEwIeqhOPH
Ie7rjDgtSqm0gUTrPgYU5n6pWMsWuxAvcOiR20krh6zRGc+R+hu704Aqf2RXmV1t3MzolJilwliP
9jJ6aQzI2ANeqPi+Vc+pflINtpNlfbWvWad6aPbq+N0folsv3nXxG8llIdfd5w7y6bK5z0vnOnkx
TPtNwA2b1OHZmbCINiQsZFeLv8bLxA4g6oaJIda89DKFauN5x6n7s1zcG9NnoZCFmfKx6Jm+O94u
JfgGx0a6MNLC6SjVdJ/HBiS0hJe5xBSEP7XRPJrkF8L8UY176FnY3bkREocKbcm1qE999KADb137
itOK4rX0jISJLkLd9CfP4w9AC5sIi6TNKB8xw6dlpK9DGT6kvr0DJndA+sKV7H5YXb0qc/LVM0mS
KFq6luySd/KBIFOZWEnHU5LqTefUR0cTVJ6enOYYCIJx5vaxiiFKMpsR3SF0uEUF801nRJoMnbWs
qwdnmOhbgCnjqc5Hg2ca13WL/tV8CDDEFTo5ByUUjzj4CGRwNQX2TC9Yj7U8eKLY5u38CP8BbWWy
RZy9G3GCOvRNfhOAFDm2XUetgjY8QwcaPnmCiPPmnfUZagI+Qp7kGMHJHL10DJ0zhbeOHDkCNDaZ
/ucCBRgo/UP32lFWZoEBcutaNm99sOmB8NtvA6zjgDXLyK1fIcsMso+yuzrZW8Mbp1x6c2/rJZ+D
/56DMzShDRorH4KObi7KvPZwcbWL1Nl+Tq0XMuygGr7r1GBD+TZRGDUd75SNtx+xPpVXOa2S6Z8f
Y0L/qqej31krtmlIrzdT+Tk21xgKiVsSTXwLmxDhKfCtg5Xdh8FDZd6IesMnCJEZKw56hRhZ7my8
Jd41cB8bjAmNybyuU2sdIM5yryZPZt1Ha+zikn6XsBpyuugr+3QVoY0DCQ4W0gYmw2KZSXdHUFjA
XzzMb3iPViNGRGSXut2PyK589Rf2L7R3PaNjUCTgo1DveX9AlnuPpQd1j/xwcmdjiN8Q8RLPHcX8
Q0t0THhEVX1n0GJLcIJUXAwNu/q+CLBC8sY43jGINXhOSrskDIDbQrHGu/baLZBvFNXpqTG+A8K6
QmQOd8Sp8nF/F/rBNm5Nes8G+q4eD7Mo0cYC7oBCyCj/LrVhytlwgen4GLbJ8ZGMPCrUYW3CEATJ
Kr0j7N3YebSnI3gStVhAk9U09tuOaPn+Fk4eOX4cTKAO0RyvWrJdw6VeA8tbuM66bZDRscz33dci
ctYLdcuZ+dVAavtoW1Ikhv4XxGDprRGQ5vVVDRspu003QtBaVbPR5HfYfW2SoXXyb9nz/bmAg2j9
3X7BNlnFJZotPJwtAWKvlc9ufZ3MCwDKonC7b0l1BsMLUH0ftUX82NggvVh+Rn9m6HoutqEh/inc
eILChzoS8eWYhLsudhE2yF8b72g+Lo7a/qkLHzL8H9r5UgmLWiICHAZkZS8OYfYtPFiEY008cbKO
jIB4ovzQhM2BqDbUat1h5l4v1IQGnUwVigtcsWhOmOvUPLvYsPgkct2dBKikQh7VMlYs1C0ltiu1
MQYXL/Ho46spiecYtzmfGQv/ZX23MbBiYNdb1eVIst7MQoJ1KXruAASjg/m3QcURUxf1fOWN/rMp
P5os+den9S5V97395ikyfWJcbvJmW+3amPYZvERNwG5b/HYCf0zxJyBM+kQfgWS6UeKsWEQ+uuB2
5YTJTS2BgSYYwGwdjooFX89zyVHpU3jhjoqWrHfmE8P4gwNgitib+O69W7yQsw5oAacJkF+D7/2k
cEC8ZR4gIWZdmXXf5zix5x/FbL3ylkKdF18+ZrIG8wFEKSRLo0AhCAVxyDYtS4MZ+0/+xsVXNs2p
bQa4fdEpXGJGl1mb/OkYWpEcxtXLGUyVn2v7lUT00wQAb1IrgKgIrx5A9dzZ6q3J7Ydae+x2HqR6
HmsW2iwphvS5db4GBH11Gd1ratKYsyNQmAgBO03Dj+P8mvo1aX+pFDNESQMhB1qQk+ff0oi7TS99
0kcn/wbXOEu2mGP55BCR4GD9kqQyBjFVeP3PQRim8RSwAdH5Uw/VMDD8NYDhoHC3k4PQH/WGH93b
yXcaAjNYXHrT2a0fcuNbsz0I7V1OJd5SYwyb0AEngDrLlQDj040oH3rOV02B2FKNdh+VVRyR7TzP
/VUbNyIo3rjs7xB4UIViJIK+0fI3ZK9RLtDULAkvfDK+eE+mgBuHKa14auJP9Gp3s3LR0nyNJLrX
DOc88DOR3vgN+4qYfI+A2de+G+7B/mU+e4M34V8URg8Lc7dBHQsCuZjnTZzQJntQYgiNtpnFWNjd
/Km6TcmA7nhA7zcwppd3CW2HHhkpUggsWsveeTWZFWLL9ZiETPm1QwjvF7fcQ8enoANgMavqEG96
hnF2lXoRdyJr88z8rDHdEtLwUATPmiRGj1Wmyc9AzleP2c4jWQUhG2PtQ2fz4ebbtsUwNDINId1q
Gv4AozEI/hfJ7m9o661hWAc7ZOkwMRtBV16jc0d3vTL17xAypvc/Xf1qcKNwlR9HdZaISBV231wd
BuvDzz6yCM6W5zarsGvPCN7Zg5zb+b23fmuPRml5H4hvoBRc5RPm/vKx5sauMQAlxDhlSm8aGfCv
lctHv8lc61rO2dlug60e+k0TyjstX22rfiOh807P7o7gL4prVKQElplT8sZajBXDuEFev7XL8TqT
T2NTFbnJqznOZ7f/GMX8HdSYsRoBG+A3dT/q7hOM4MkKv4yQJzY6sRM09KNnYGS0X8gaBlkzbmrM
XyUKzXIm2bp07kf5mtUEzZWPIWMIww8OSV5tFLCthgWIiNW2gZeZUHfqfj9Ow4fgkbCFByr+J/Tl
hnhnBAdfOUMsP2uoN6O1Do9S/i3fdLP96OJ2raZyM9owq8JwZRnduhqW3GCbD4/VU692mgKCXTQJ
GjwiMInvO72vMAqgYTihAEA0iuoDXG0y4ymKv2a2EDmWzsQLLy5aySoB3mY/KwZM4bJ5JQYdxbuL
za6msWua4jOuDPgX7Ktg+qJHpPZoHAwAclctQwSnhKkdDfgH8CYUyY/fgEoYzauVGO/Qt/ZGzM7P
8aPbJJNFgkZSW/8DzHeTBjs4wvRzEDThq1S1uV9UnmAlfcqMZGYkz4PYq/Hi+HB5aalyNe3wFoDu
b1bIjtmFFm+FNW899ZlPTwJXOXm1O9P7ZHZ86NmslO1FYN3M6PFz3hPU0wYbZWPP/vsgIZ9aUfg2
F+mrQWJ8mJtEwlFxGsVmWnRC2XPrP5oxCgDW1VH7UZc/JVaJUQ+HoTm5Jc7+jG4O3/qdhs5U4yKO
SsnQ1jkRq7cvTAtgtHOYIW7keXvI8Fbk2vsumwTzSfssKzlu04EOu4pmboHSfzCbbI/qELMzEwPZ
Nv9XIBT1ab+zq+ziR8E5kfnWzSAO0BUC72dBPKBWZBXD0pgwU97J8V52nLBmZeEonatfUVo3v8KV
0oOjo/Wtzs6CyCtyLtsI+MHo7nKirBC24S6p3iZVnvp+tjix22TfiVQSlVNgnXZx4dY90GA281fE
hpvY1UR0RJdQ+Eya4582n+69clmjETpnivI5HvJjrMEz5UjoSnGR7ugiQhZ/6ayjfcWiyKqTUxSX
iLfDAOZY8NxjBOXkcPEZRX8CNfXa7+ttqOYjWTfEVvj3RPsiKUMD14whJ7ycTnHbQmqugxPSjO/J
w+pn+Qkq9eYnNZCHl3A7Hav8QrT52Tjcod4EdT6rOmR9NG89i+XIZzQIeQZRyNy9kplxy2pCAotA
0v3pdR6VJwdOznokmxOjG9dNQRZTWdxYBHBNVwaqzxGH1cD925Sw0qRhfCDfJW0pGW9hPjBVLJCS
DBVdv50zoMbJkpjQfWvjmjRUl5IacMs9bKwLM37WJvvVxmqv7QhfG957g6pIkQ+Rug6KpPxeKfk2
AZgkHXAkr2vatp17GGR3GIzxOAnxJ+rxe46tKxGW19zxTgoyYsZwwgxInq2D97ojXbDzTlJyxyjR
IvQ3r2k9fsS1fFII1wA144GrBRLYFA0N8vWgiu+V0M/KJrRe8Xz5hMDx/S8W5AEjk4l4Pcf5R5r8
OujtjTdoMIHkqkquuGbkoGHGj94lovEZsvS3kFTwVTyzvi5Km9qrPQ8T01Htp3uzJ6MmmexX3wgr
xsPWVmN2RtUHzsVYZyQn31XKOmH4eY+TBNMrqFeeQ+LvytElfCI4+yAPbXpjWUzo9AtX7wQsA99v
9p3n/SMri3BBhZG9OoJb9hGjE25b568ms87MjCV8QO/WmFwbikWTUfis87McYaPkvLIFPQREDtNz
iXVqFk2eZpEpuuBtdLJNGT9VPNRoTmsEXP07UoYXk3RtM/WvENm2WnrbSkD2iBf+IokBIj+6YviQ
BfOthZUA3NFrwqPFVp8+HNWevynCFhxHutb/93DgehMH7kesAHNk8VqV4n1mTwrel1vaHpFg1I1W
61b7/4LFzVcymYbR2WysvDgilSLPB9vMhGAvn9QpjlBRsQ8m40NvAGlDU0K4ETfhXyGpvK2KCZXy
7yOhf8ppxK7jU/Pgq8RH1he3eGCB6C1dTlX4v8rKviPECgj33wlYPpC0fN/YyH0bJojQn777KR83
s9tdLYitsrtUrb9zEw8bjgIxWtCLkMfbuAAonJ7lMFh7ZXn5tigd4tMC+i/Q+6pCBJynPiZpCA8j
Ex2L7wbOX89nAMIjhjTb2uSSoBKJvxENMmSt4F3PHrgq5n5VZAIAmLaBDwZBOC+N67/mYj5ZfJ5j
RIfjNnl18Jl7UNOCcQzzmWs9+7TJzjaRZ/qOfe4MQWwFsRhxm2+Uyn5ds/rDkwPOYIZcFDs0cK6u
d/iSIuKJqoeqrf8Zfryz6vwHqfDbKGjDuU/+JXW3lXOPFVN+Gpa4jtFyqeT50mgN94zjrnrm9heF
8eZ1ZMd1oXEZfC6o0i7+/Fo/+BPK3In53NrQhYBGNjwtdxH/bNtBbEMneB1mNNGk6iDbe7LgQQLy
nH5hqSyDWpDTXS3JpOHdmUnQobdj0V9zfWxjlbXrSfjWqk0Aafc9d6lUHviqwH1FR0rys2eXH3aF
56gxnXCr0uHbLbD4j5MNs6Bg1RzG3sFWtNzJCK6ksCKBV9DmR8evpMN+xWJ4JW1LQQRKT3XrbizG
qWYpkab4JeJ5wK41WqWZc4gRse2ND3qG9OehBQFgbpFYYvA0BEFHogompGEaFKkKFtwDXEdhAkSl
6Z5JJaoQPPPVCnLKCrlkHE0W7uyY/thuUwf2cxLtifOUd1PXMQksz20fjJsoRhpRIKUCjuiuJVPA
wSi/jGoEdEnVN4o7Zc4sndBx4DDB07cKHQ7zuWKozUwitTeFiH9QYiFcZ0AHaYvJxJ1LSAGKsmPB
PHI0MH+m7PED30YGxO2am0fdVlCVewePxcaWASKpPENGSSVHiX6kVSZiQARN7CGjT+d+a5oJ80iz
tfzfZpZ0q1hLkluJM3BjukYyHW0GZnBFdQYhdvTG4dXxO06AMPZz+ztN06zY4bZwDHYeWgUn/uDp
ukieL3lSfQmHjZ1XIOwePaz5wjXcrRhxTUxl/dipvjU3A4lCR90bz6ZDFCAIg1Z+6qSwnseSCHpd
yPg3z2zrH9VAfovGvt8J1ULa75CfZhFckaahu5SIXqKEN6mTHR25w4iiMFq1tRLSsHgc/+KZIZu2
lsd3sD1OWgnE3eQR75NkOGO9O+VelVydooFMY3JIxI1mAsGKCFs3qMfATxkxZ6HPn8T2ru2FzTbY
dDYWBsqLKOJvO4ABoVO5QHLJ9zZcIwDMR3Cmn3F/pw7UMvRNJbbuLv9XpIZcFVmOs9Yf2t1YWOrU
BWO38lzqSSuO2K01fV98qhlZbiENFzYQgqRpIE2yTBDpS5NPwSP9fDWOTvsIZ6L8VykZngPXWaCM
JsBhrEyHTtmoue2EJLg4qID8if7VlIQP9PKxs7qd6DggohDzPG4Zww2YF9rqeR6Lq2HHTNFj84QZ
9QUw1KpVLc4GOtUBioo1VE+zZ54JvFUkZJJCFI/wTmo60jL1eNO7bBvl/VuWVnTyhgGSNjhpIksa
MHQNicGKc3A91f57k0BaMFjiLv4ZbqkZEFtyic1g104L8EAzBZwjH2ANDKbcGg8FBvqwTj7aBbAw
DuvW9J4qjCFmM30UvMXrYaE0IcfHKIhHXkYcIVyVd4k2V2bGdMSZs6sZ92+BASW8S+Jjb5GuGZI/
AcrRpR8DE5mDve167E+1ZCkgNSc6m7sHzxq3llleg1ECUUJ8y67JOTSleMObQukS0dLJdj73doWc
2WZsUIjpmPKnjK59toLi2DjhF7vUiW1Zfgtbyea9xEBZU/MMRY7xplL7mYioLDeebOTNhWOQCTHA
HCkLgF+z3kRaPftGf5iS6YUx+y5wWf4pd00WMQyNnsmPa39JN99jarnVTvbdpJLcBOLq09g5Ey2B
VIFSTTmHviHvrNYkfGTHWDbPsk0OaVadZIkBMmG5ZgiUvlHaPuQEzA7MVeyYiboHBQzhwty7922C
ALvNfp02pz2c9+PY7jjK0cSnD6oyNm017LsqeyoGfFaQEzQoMH9m44kMMmNYljPCWvm++9xK1d75
uDbY2ESsbBIWMwBALRsSa2r3/Xa2We7ZIgF2FNv1IRyT+xA4E0UUfCzyCZgI87oZn7jrAvt8Wkxn
ZMO4BRQ8WHyZvUivfsPeGjckZBuBGiMONJbZZMCeC42gc5xDyr9ATKi/0dgJFbJHUh8ZEKTJZ9JV
X0k7PfWDPwNTL6hwY8bfI5TAjcSrnAZyYTGq6pg7ggGhT5/sG2CDCcEhZoiBjUqd4sgB9umO0EEr
BimrqKESTi1Kw9kKPtvcSY6VNqCRa58FZ8j4VbkKCHdAXk41M/vpu7e65S9CQcWNNA3Zmsnud9d5
xrp2lHsAeI7FA5cBjStjSpECaeao+ocnnxwUeBY2ClnP74DSeDieZC/GBV79PMbDvSvrcWWXMaoq
HdlgMTR7j2U0zkSOac9n7RAUYzu0etzGmd1u29F5nEwCe/wq2Hp9bTFydchZc28z2WVpZQPmpumx
Mky0FhkgKOni0DrEk3e1+3FPitKxm8WxznMMecWSiT2dvDj7HVU3r9wWCTj/MwkdhIOxEduzMHqo
ENOxBhvesX7sZS3ubUl1WOrukNh6YxIABE4hAywBY762Xc6jkFxkBGOdO30ZzvTQTOMZ4U6EZoIJ
X8OYhe0gkuY+Gj5MK0WQnVxqXuWtCu3kYsN10REpOHI4mGSDstWWS26e5bEj0Maqt9WLrHh/3Ebr
tchNiPg0QM0Qf1cpo1ew85swjx4ZcdnMrKkP5zi5pTX3bDuwJRgyu9nMFOSMX5nOJRFCocBG0JfU
nEVDjXxmsJ+TKX/tZAuZiwO5Nv0jUQy/aU8qZYPPM2j4jUnyW5jZBy6IS92Yp7mi3IqrHMHchNOv
s1p8lMm0KeuOAI5s6cEP5GA8upwti3oFxgS8lx0UCGdZ1P7w297t3HuSLQMNXOC28H8lazESt1Zd
hLrS9i/WSH6P2fIBMbLm0HfN3dSX13hs/uPoPJbjxrIg+kWIgDfbKpjynlUkNwgaEd57fH0f9G5m
oqclUQDefXkzT24TUdgDlhF31jj9UxVt07EmpkuRXoVGdIYm9mqDDNgkpF6zKLFCCvkccZhg/z9z
ju5tIj8SGIetFm6xjtpE7/GYxX8IdTh9jUeY0LslUAGDceHYBOOnNHY+U3B4lTUMazosz64iVi4B
7g1yhS19u+nlgiBPcbCgsXCR4MfDexy0IKl0Yyv3ggce5Yvyn48Ety9hcShlPrQHZexJXUEvnLEs
GbL2LcrNq1jIgRW7OQoWP8CIe3NauqNhsZcvgfXMwVetUujBYgGc+GeLq2I2xK3VQWZT294jClEj
94b8VoETt7kC9RmdixGsQ1uuGYM2SLGwuyw8prnfn2Jmcr8Vd3mNkaKqCMbhaPEv2TxVyHexviEG
g4BOogpIig+1eLFY4XJCIOYdXeuV+GbQUJKxkNAhLPR54vWZgHSsqWfd0DQnsIJ/IhMkur3Xtksf
VHjI1HozEuIRsa8Gln5fJA9tFv9NgUSAMflrq396FO77qLuVY3oRR7BGkomvl5+SK+KvFef0Q4ss
L8fzyrSIXRdebghmN4JG9S+kMLRHPJIr/DFDtS1YSVg6kNSZ2Sk13Rwvb0k6Rp34zov5oxfxi+bq
pqTfcm6Spx77j1nXfGAL1olXCEA13YJYX9VQPKdo1uw0lXOVidxquaanSHRR3XxRT7tAKZyBm8CQ
Zh+FgT1bAYzA83ZJO21XjepH0FDAMSNAplNEhygb/bz8EqbGQDQXYLJYuyJWwOb64SEsWHGoiZvE
jMdsThHA8d0Jq0b9l4PH1PAUlg+hw70LFqAnqCmpn3063KtwuufCeOOWy0NRaA+tMt1alZ9GTPGY
QJZi4GyuO92eR8URemInrd++yZ32aExl56vTktWkKkZx0Nl/TL5+ighVXaVJl0iaYWG3CsRxK6WT
J1LBYFJyhjkL73SzTU2VDAuM6ILjqUyso5A2u7LRbGJSuxBaS5V1O0BLh5E73IgvsF1a55OJf6tF
YSUN5vhVpgifGnsAEPB0q7CYNyW+roG1mTUuoUapH62Oj94oNHbKJkaUIN/kOPR0AXhsIW0DnzV3
Zdqa6d90ml6cKcKLnmqlrWOmGCTtIMVMwhNnTZTNG5X3oaU2bkyNpxwCsJpxl9N3BGTLJj5kk7Xh
vqat9aD6IE645tD1eq25LUWwRvAvTl5E2UkaNetO+5JQ0vmhOD4OdCngMyyj62Isr43SHkoRVEvQ
v7SmvfZs30SCCjmUmaIYwTJxi0CH3nWI4iaY7CEaeMZS4noUAVAg0m6HGAl9EH/I9rkBvM7MCvhM
5Zu+LBxZQrcZLxHOLB+dZ4YJNAMAr4UFQ617Vo0Fvw7Ar+NiqOkaQK8ezahyckP8h7TEtZW8FQFf
YRfJsOnGJPpHku9V6blKr54sOF2SfjSZEDhFEj39mEDrGCLYIhejMQ1sqA3FuolFA+qXMOlYwUYO
aUGy8uFryPPwktGlKsQV58NEsQO5R7ylhFDHeqbcwPqqjHrTiKOTz9NHZrLmavhXsJDi9zmkMiFk
vzqGsbgVUvnWl1AOhqnAE8u0oxic24WAHSOshOpGPhvaA4I3xZRBGH5OfQITPUNKhk9jK0tFdSng
3xQKEkt+jNgS5jSmlKpwlTT/UqSzR7jrrJL3WYGtMIh74TFNoNQKYz4e+gjcTIHXLo3qfAP0aWtZ
8LdoLVcaDKiCWLbceQAx4vYvzcLLOn0rEW1Y17Cnx5xEotQn55rnzpUEFkQ96WZbSrtox138Lwvx
TvhdHnjNkAgbdEZce0b6E/f9FamPmTFBia4UsafvKNIxaPftJkjBbs1+z8SYJRQM9tq2xOVjF4TM
VzrP1kpW2F0TeamQjUuTcQMJv0pofhqIITAaNwzTy0iBvS2k6CdpN0y5Cokepdxm4lHg8po92+oY
KN5s+ASsWT1mb3TVrypuIQUD/tCxYV8Yt6cJAZOZcgEVdRjSp/ivYg0PIsaH4ujXP3W4B+NFUPen
o76qqUBycWZrNzhgAAUuVnNVME3RUWebRLxa6Tsh6jqMN7m5hmD9EHxKfWs0OwA4/fSiiqwszzR3
cQedSPqln+PggnqcVXZZx1DjDCzpWDyXIobp90R20vCnF444IyqwvVRLmOUpqN+EdPlPG2F4o0JM
k4Cj1zxNBEdegLLSkpHXOBjkHdIg5M8SlnYq4sSEpVadizuLLNwRYoo52hboSIHcCLUwYODH8OQo
4SVWEEBQEwi0KxKumtV0nfakUxK+5290QKrTNgPHCpVE29DPEaRexaawdnvd4SffbbUCO65T1Ych
3MS//B9bOpgmbyazqK/L8o2d/7QE48nMbrSSonC3NfaxuAtI4xqb4RCR7LC4C6yzP3CdIAU1LkeC
3YQ23F8G3Z7uUxA1WnEw9G1KLDX2qClh1xDmH0urgEDcIT4ONfXnD8bLmJI+61ePH1qHBfmkt5Da
oxO8JZXNO2snmoHSu3pWqKBgMsUQo9lMciyy4XXINLdfAJOBuO+iSwAkYv5u6CRkFSG7KQYa2aa2
iBQRf3yjZp47QNY14CTI402n+i5BI+MK1FjnKfqWVA81u8tXSu+E2Ug3sFPpx7j+bJ/qXQrPoXil
fn24sLEa3/R0zWvOAVNvBPzyEcfWIcRlxsYoc2ZCbiN8Bxcibaa9j3QAYNdBLagzkKovuFppcqjm
Y3tRCDvAfaleCd+M/l+i38lJr9uS1LlS4/dha8Mv+uiqzyy/SfpZNNhpRz9jh3OuPPoxn17biHCw
MD46+WjPAoLdWpsc2pwkdodk5aIbeKqXXhzVnwGKIgZqGVfCuiITDQJu4kr4yklrh2DD18mLddMc
2NltED2x/JmepKk4ErIMxx8LKSLoSFl2+2hftUVjLMDolfrbHXWOsWKNU0rjud7m/YZ1CqgUsbf5
24OSS7KcLYKCN8/lbRT/GvCkxKlGuzFIW9IT4sIZI905g2nEfEqlMngbMqw1p4/Dvb7JXQHrqj3+
WO8FgQguz+oRYxA4ZHRb69c48470/5b38KlAEsGD5mGmlaxVd/Nxs3yyYqqgqhJObG38+0T7LdNT
LlCXgdaIPntp/jpdPd5m9M56Op5tHAGAy+7Jd5Vs9X/5i5yXmZ3j03Ky8x3EncK/kho6mt7/mjeo
6yruecvO/0KalTkKKFh98JeFBatp7fKJJbhrdiTE2KLdKXNHyxoMDmYe592Aw+spYFOZbaT+OHRa
XHjYTQysloB9XYESyG8Lrw9GFl6RMxkvAWY/bt3BicEwD4Qj8eLtwy/KRnQd9JdNowFztjq56V1A
tXiBmwGlRClzI9iomBQ2VoGLuov2Cn0OTw3a1tpk9Q+C7Rr6dnSoCWyKex54ofmKwh3X5DoEsr8O
DywPC0fF1w8Mu9hVdEVXn9N17DdaRCmIs7DauzXrcAy/PB6MSqKwCemfV7Gucz3f44phcInBVDI1
weLBYgFra17hhfy0PoLQXXoQAIMkNBXbMKGaG3B7LBUTxCsHb/aC0c6c3rIzhydufqgF7zZPGXon
KRq3lW1y9LroTuFap9EoJ0HxQh9RXsJbW/BH2MEE0wyckdQDM0McgMGDCzmlFoKvJzbnZjjIyVWb
vPIHDiiRtgJmE47lYidTVaBjI8VNs0oP/fIry+WBMtIS9hWYo5UJmnp5PIThQRMJ2wFe+mA/fqu0
z/trHNFaTDwIX9JKOOBWwkXZx3b+k8t79RM+WZJsUt2VeHrCNdFybIzRdzXb8zv/djB/I+HFyGl/
0GuA7dVv+NAabVuY7oxp/5umw3Rcz5BAdlq1sdQTfiPUA37FhIdlWoZvRnpExIPebNQDeOaS0f2V
vxOtIhaJj1flROKoqQ4MG0uEpdmG/VlteToUul9Ub+ypA66+IwidOs45oJqmY16NBy+KppxAm9Iq
j+16+DSE3wJPbMvnhZP7AAgvUwmRLVhkXAas/GLNQVozLt0f+yFA6thI1PRvkLcS8fja/4Oo4mnd
VcBEu4xfp5ILW02OgETZK6s2xgc9YA7FhNlS2Lrq6bwTj0r1kHiFRe5eF6W8mC8Fuy77OMkRQ848
bF3XHHc1VTI8VtkCM0aW9LrB88802S1NNcWmBVeD29vHEMmjfxX9jQ7tMOIS9NGYH5N+yMadkO0q
zSnTw8RlUcN+xDP9JZEMNXb8fOJP1mQkm4gmgUKjBprtU4Wm/yuRiOEKFFE0WbgCdW+legnwovKk
l+JNo+dtvOXKdpScsFtl0w4p5xRFmwhtX1G/JD6XWn/R4/0UnQROrnb6bhRq6LtHayrISUuhgUNf
juE7SkKH1T4/DrulO+KuKD8V7BZhrbH3IQWaraR3xMbsKb4xQei8nnCUj8FfQgwLMnq742Eo/8C9
lMFR/UUSyxEEyekvNIOVSJiAaQuV6k3FD/VLs1E1uGq4Q2SlW4Ks7bIO4r4+sR9Zlcj7mV3fhpf1
J8BMb86B5Rp3/9TQiVseolfRuJCtChaxF8s8BcpK7XCcrngICHC0wFmafdl6eXWdtxDVE3Urz+ck
s5X0jeSh2N562DHPxN82Jk+kB81NKQmyusK+p4YKAxPoy8wJvtG2pi2xv5wh9q2bXOkp6XudLUK8
X65Z8iYqnh0sZRAhv9EMAmOdE5iYXCpiZh4vzau6Y9Lt2DiY2jGXDkW9bz4IhalYxuAUsGcIwKyv
QQO08rMYPkXzjsE/bHcTQ2/7Kb/PPsdTcpetXalxI9rHHY/ovYclEz7r/tm883vRyh8Daoj4l116
dfl0A0Vj0z3UjsZR7mJeTlakN1FgWerNb4F2JBaK4N+y+pAfBdHCM25UBiTji8SL8mX4N4MmnLNG
f53wKrsdMD+53sqHObXjFt7FEQSs8Jum/Kb/NYbL47GA9wQickySgbwT5yMkipUin9SlJXi+jeDN
y5caXTNMQSY0+F2fHBU+sC1/hOyrMM+R+VafJng0fGoUpix+b/yuO4Iq7CAnQDlUCA7f/r9q1teY
AVXtkKf7qt2WQr2SnuZyq0BfPuTGDytAThYaJMf4YMoHQ92ROIyKAls4XN9d3R8lPg5c9BOAn/W5
Y1mfuyjGaPCT6WJMlzsX+HHEI6N/FNX7qO9GCkNih+ZTrIpgIBT5QR4p5TTq8fFJkAu9fHzLwzVz
E3yJsrcXP4L8MFnVRs8AgIBhW9i0gAxMbgiVQf0luU0pAMtOTicyEnWy6b9668TETEQKT/tA0HbG
hwhvxsY/muHytYgEnPWIkLEtqZdC28ugLTGKo1UEzU/ZZptI3hXY4qe5fw+J9snxdgz21kz8Cu29
fS9QRqZzjCet+2LjjP5as05xSRgvbDZpF8sbjJ5kWSJFvkh1uyqtdfkkL8y8jO+TVQjY8E/D+AbY
3XPNanca2opY8R1IjtpyB6Fq4p7jqlN+DflUlpj+7ZT/kVFFPjCCN6xziq8mvKiQ+qmqMKZdij0F
IwGC9tN6Gsa6xjJacEhvojsPVk/yFkYOp4tMwTGze9R/tsE3a01gR/rJYhicrbshPcbyRBpK+2eQ
QSQQteVr1c/A4MSD+sdituAOCDGc0BCrdV4lnbtjm3nprYpdeMekDtjzctBIkZfzhmObHe9V7oHJ
Yh6TFse1O/ItE5CaBSg2f6Bah5lf4UKprcEh91MYV/LIMkmF9iBROEF7jnyYaNxYUjzeXD6JU1Pb
gSGL4VA7ShNzmfzFbCsbHtMKDKbgPRf+ZtEFyU9rLzUrxYNpQY7PUnxSff4EVKwgII7nMfgBNEJ1
QCM9O+tm+QedYR/LOndsI6b09iET9/WBbPrFmxg+qbvnq/hmVInTSNK6KR/MgYqxr6YTLO0EA7M0
fS8iWRzB8waitVSJ0g5eoE7e2G0qNbeoPaUNCuQD/70gmjM5kWgrkptFNnOh8Eb/1orZdXELBAND
Gss6b/ro4wcfKDUE6jhhiuMp6VaFf8z8T1pVMdtYhp02p14BZcT27H3gxOXZg+2kMZqBUqmOgrqb
fuQaPtg+EXYjMwd1q4ENAMK8c4mY29PIOYntQburyjriByx+E2ulTHiqr2OyKYgTBRJkHLvMbBH4
+IP+LnN8iUjKonRoZJvRPIhuKC598C5KJ5o7euVMiUIjcc3NP9GpkK/B62DIR9TXO4K9YrrBB7rq
0GKd5oWEJDcWoSTgs7mddBGIUwbx7izS9Y1hH0m0scv8NaJtFjVyqhIymE5M4ccx2qgShTV4Suf2
r6EzMOuP5YJFvLPevuPpOJX1ZRQ2RvmQso5yJQqTBm8Y2CZ1pZvkH3W4qZlaaI31pL5dDWBtFx/z
QH26MIOwKDF18NHPFWNd8apURrXOq/aQUmBoNg8NAJdVf8nWzHkBlT3bNxg+cE/nV9X/zP3orEj5
JpAUu0SfNKGzr3Szuk4xLd3TPVG/DM20lyW0WAq4TtKj3pInX+LKWILMmmDgr+YTPp+WYfKmt/tB
Al8pXVQCkhGRUzClLVA+Miszmf8gJ5EmPY26+wuAt6XTWZW+qvFEXbDRci+Yt0KfbVPGHot1rnUq
uk1gENOkIWeQ7VIk7hyJf0I485b5P2nWeVSyOxb9cnKZ3MrpXCrwd32DHqcCo6JkI4OtdOWlV+pZ
7YbHBC5y1cT1t552rI2nKzFXnnmu2mXXYfitWUCJVfbbh+U2ycOUy7f2iqOEErMw5fZApa+k659i
oD3BOXEdTZ4jZnocN6rXlPJ2hivTm9ihQ5+vORijtj6k5pKhD59sMSlgGgjSTrL6oQjiRSh8txvb
ZK92o7hWugIVBKmtKssfsZvPXQfsxjKphxoGRXZZ2snPDhpjGrd4/CkiYhmQh/Qh94yQ18lsNktL
sM8cSZ4lWSVYn1I53AOhuwhD7wqY2bU6gyfSeAOeigC5Xmz3HU+x9o0nhiJuCANsqn6G8JiJJa9d
4hBpqjglYUxVmTvV8IF3ORRZIiKEgNM6X42I7WmWbKLFWH7Q2x1nFyARx8e1PInX0LD970ASD91i
0oWFwPIW+bTZlirViGdqVyQJGRMGxLwe6Haa2q941JwZHoMMw8iu86+OzQrZQe2SiydhuBv9my58
DMI5Fbw8oY3myu6+0s+huU97p8MHtbBxNlw2yuJtni7FdJtjN4pLe24ejb9NsKOPYMizL+qeMC3t
ZAJj9H3ClituCffAQu+3hWTBr2e9iomBFiUWKUJyibiOJaIL7QRT2nuDrD3S3LrPWLNqZ0Xb5+qW
97hjKl7+YN7IlkmJQO3fJ+ted7c07je5eq+R0UZPqVx92jfmV9O+ZsEBORMJ/OXugXlHohObIliG
f4TpGQg2YYeA+284aPjBsXKJPxYuX3MrwiLj2GwGYGTu3K8t/rulHHz6Vo14q1d2htcTOrRbfdHT
d2eFGa4oaf6s/kC/3Mp3dkDAo/VjVXrC4KlXjJYIMFs4QH/6UdyNZ3033DRxxb39M47X9K67BKvH
XfGEvZhuWzd6TVftXm6lAzriBaiW3X0wN/Ee6x+087z7j2JPNsFcV984A+0JPAXdlXayByP7nRxZ
79xh9byoe/fEPRBxp/jDU2Qzs2CtOA9PQ1nLDMBrvETNX9g4IcMdXUsZfal28Yd2gq47E1pcY5f4
hPpJyaV1i46SesxAFMT7/ltH9nPNn/hLORLsWw92fstsOhQcY5kWIQleW0c5dnZ0KW/p57DnnugS
GXDiu/9INsoes9Sue5J8Ec4miueuOqIFv6m/la1MZEU4FOdbcuCRsDHc2uYKWegwHaUDqLw1XUXR
igZ5hGJPpVpq3OffEQCeB/qy+WCDA1oeQSL4zr5rm1P2LlyM3/qdys92K/6Dc8znUVsTvt+S+Llr
GzSkV3wlFkeE+tTagAXdstwxexHVMzaUfk3+nd8mg5L/xdi7z5A2cERe1DMYycbVrox/dKjkIP/h
1P0ED+OTLeiaYP5beDftJj9TZ7TLtsDg/oJHNLnTu+zWHi+ZWxzFbelACc/KB+ImEq1/ri7DYXDN
lclIobvWbvgdj2jckEv5LnjtsfiI8MPjMtwPoUPpWM5Ju9LdYkebt80b2q3LU3UhaHHRIWdUa4yV
W2NPnYnm1AfhzkzGX2uxTtbSaUFL/PDT1hb51b+b7xzzh/Zo/pSnGTAULSQrWu5s6y0+SWwg0Q9W
PvsYRztSJHkWPlEVNArhaGG5IlKiuyyZ40MNY9tBdAbcgfdk5kflkYZ02oNi484MbWKLa8vt3rLN
TN2zl78qG7mR1GxxoKZU55Zwmp4zczWiKCO43ZyiGx08DsPls/rRET9cFLQXHY0/83uxEb3BCT/0
v+mrWVdHVhFsvcq98BSOgaN/jmfWk/b0GTnRJvyB6evNNqYzl9Fc2lVbfZ8ei31FWGjFD2QHa2tn
nIpN9uy3qc3h6zFM8Sdd09bjcd1Cmou/eUdPlOHY8XWObcza8ibgiD4ED8mp8XauadPeYkJmu852
5d/ID9xJf7sb/ZeOjEBafc3v4wF4FkvLT9P+Mc+Kh+Fzs7jQnNmxrspTdpdKGNxDdzz5iByrimvq
mlijutVu4da84vKb31l8w3t7V96Ve3DiMa1uBOLB6SqbiPbLDTRLxVVsac+7gWl1F5+Sbe2MK83G
JID5yM3d8A7ha0OFpRPa4R8TF7tFNnk7wQse2SN98gvdxJ3Jh0lzU1e7TF6zqTa8zcfy3TjkW+SO
Y/th/fIxR0WcjDXV1m75iwBv1/dxW96ztfkIHIAaUKQxQHNjezO3lNP/LY0F68ixHPrUohWjm4tY
RFDI4xWG+Hqqz9UtcnybSZEpGysjRojOHn6Gi+X0G8MBS/NbbAhIvZcPHiw05G41XiRkukO6TU7E
hFztG1TSHjlx428xSmHLXqF86k7nBMt+dtNU62QzLDHp7Uy8hudYIrt9HGVHcPg5sQjF7veeftar
S37X6OG0A49Zg3o4JMLyQvxlOIQbnevPL6GUmO5Sm+eZk55JlR3Rp8E/Ds4kdNR8X26Lyl1Uq13/
avqj0T9pFkPhRWz3H2gd0W7cR/8Kj0z2Z3AkvQsU+cbwbNriGVmeqxb/4Ef63e7VrWGs6r2/4W8L
WfcoXJGHuTjTf4ETnd3CetikG37r2j95cGWZxTbBY5xfV5HLyzcBXiNyRn4eJ9YeJ+CZ/NDvsxtt
Kk9wSmRIhv29vvW3lF4EHr1hHCvgWpoN9KF5R5K9eSayx+FgvHOccmMbwYDg99JsdnfdW8eLJjiY
oGTVUXfijkw9zRjYtvgM0WJHoDhAg932e+3Gs5bvg62Ev8vFtyECS+J+h5D0x48T2kQQOtCadrnT
/xNQi/vNgEwsrVMP1XjxK9mTndljhVi2Ch14Wt885GsOtlX/ba1ThOyv4mFCf96Nz+Zi7GhPjCys
L+vkpjROua25BGMiWmewUPWjbjh0l59JwmPZ5ZMnP3DMb6BDA/aujosEyOnBelhdt40NJSTk4UW8
deS7QkHIigWcO2/wLCdvyMoIo8zKXvDFRxHB+704lZfx3nzqlF/wt2Q6Mv+MsFIRdY7y1j8IxIkw
sH/nL2kf3wdk4/XA+yDz6m8JVHxwxe76NaF966/75dJI2l1Gtm03uJOQ320OhoY2D4+Lb4Slhgj+
Fu+QVykbQ3LH2Ek9bSlLOPGR45HZ1df+xJGBfriV7faT6xJv6ngvLxZ7iy9NYgm2kpkouq8hXU0O
LtT0kj3VXRC4OBtiLJqEhJ/h8oveqJTK1B24Ua6vaGur/FxQe3Ac3oo1zrk3X1lpp/wcnvVL85Yd
2bmxVsze2Hdhfxkrj+8pMp94iQ5GanPvu7W30QnWKFehp3roNh/YV7bVAVcwSSBPdPH/aPa0yS45
S+a1teURd6Eh4yd1oVX347r0Ri8RbfHV7clZTsvQtKLRhIngLd112+LRX7nqPjqOQ6pFOfiekvPi
pLnNbnlQziF7I1fiszlvBmbHdcJjMbNckamTX5W/1gsgix/uJmxZ1+xmgHKiWT2xmyuHPJSfMzLg
qmXomCiHXkeILMGae6+HZjof+DqjDf0wrK2FDbjU5ZcpOFeKI3XUy9GtoDS8Md84iDp88gSP92Gn
eeYP7K7DUuJCVu8xnsxf8mf4tiZojQfjFn7zcdAclV6hVbIHS223+9QFl4KPhin3E26hq+y4fskm
MweEPpbvl9LLbBUr8oYHYX5DGoDMA1OQzRklI49oS2HShrt0ZBPL5Hu8t5hW1oXioAhkaOjAQ1YW
TWCrai96hApcTsLQEy7tG5l3fGoYKAg2gBaU2KivgNRLr2AZOfiUbUkwbyQ6jI8+vvNVwpePSrfs
DerOarD593cenJor8P+vaTk66zM5zj10ITyRzBgQzVY8hBC6+Bm544YPSEZPzNJ0y72B7SpilP9D
yw3OSUnaNr/Rez576jegH4GPwpx++0iGC5aTbSjG3+wqTvxrWb8ne/a/BvWvhoOOaTCxo9HXe6tz
QgwoIlsDux+90TggXAPp7TlVX2m4hcrPFpGFU9RhtrNjPkhvA6uTTX1CLW5zj7Lg6X2GjssaPrP7
P+mv4H1+YEqEnQKJgKBDyZeXC9l6yQVQoU2JUniZUbV5NSS2R0svb5esaSO60cervzN2VvGBimQ6
NzpqUq/Y/zmO+i+f+Zt0+ztQ5ajcjSziydgbyp2UvkrRKtxPw3wXm22EQTrkPq+kTNbZjge6Rlib
/GLXkStSJMiLGcekTEeXOW7rGp2K/ZVWGivU8/wWWke0kWJAqybCwQIFyJA2Smu6WLXgNOQ3f/D4
r2n03ec/+OQnKjbzPylkmixsokKlfDRUMnQr/q8TxthKecKjJKJ6iNNL1Jya8RRN12J+R9tZp/km
Ev4SDZOZA95V6GEhC55ZcUCxZ8MSziKnelkNaXN2ERo115SsaaarsdGWpvJnbru3HhJB1tx9hGE1
wGiQwgmRMi+BslXRvdkJf4vDpbKmezDqMMqkVQajrGeFiE8NOVV9D1NSEPNFZiZqNkPNdYusTnvq
WQhSDuQVYv0hUpa3spIxJFOT6ohXBESUAZ+jZsU/k2jsCrH8tJTqc54R7Gorw6+E8zCT6MwmfLQP
xWaniK0nL7IpDplApitgMuldNekin9BPG4tEVdPPGj4JTCaWUJ6UBojilODTFDvlVzTgfhmjIrjg
T28gk9bNKHtwpHhJo044UZip/KUK/3Sclqcc7mhWjb+CCCRRiEgThP67WTavXKR8WWjfep9a1kYj
TBrKBaQTCRJF1h9i2kJL2pIiBYerptX4FSP9y8hY+Rbm4BU4vFajOgN9mloOOhOXgzJkTge1xQ9D
40uv2YqJU9LZdJnldtXrd59SDVAmPWcC6TGtZSTrSIFMRDLVRvsWhmZRQCVMn1QLRcMl5WdPiJ8K
02EnisI11jmlSMdtuongVj1POE58jmPTj3czPtexMCmoNK+Jmn5nMmqInyifPf2QQtxetXLaz6CK
9DhA/NN8jKD6NGKV5BtQkHk7paFe7k09BI3XN1RfR6ytLGuXUKHm1+Z3TNZXokBllPp/qjK8EqmH
5iwi5sbCHSD/zmpQZjIAMAvuZ8RitLx/PXbrgOVTgN8jnSu4jejY4WejERiegQi3orQdtb+SH1MT
/fUBHHkOdKFbkBNo/tq9aFM6cwO+Ue05VDkxCyCcKQcuD1XMZixpNbSXy6Rxf9elVSor2yH6VAK6
kapy01s9pM2Pjr6xSPsWKYlpR2szjBrGVvAMEL+imUsGu85AvCjCZ2ZyFLbCToTXkzQWtkif0HtF
TuA3NpEJiERMbDqShs1WtXBkiZNp/FWShJ9kE5iWyXsJ+0QzeD0KDx/2KuSGIiAHlV3hEGOE8qJz
bWSX36a3ifUkxkic/ijAqDjYwCww2CoeS6Oe7T6mcs8I1mmy0YN/ZconPBb4Clf3ZBoZeU5ZZW6m
eV9IrsT2uxRxIqEZlNuYTIbI7jjwXzWfFJktSsz2RMjQsLQvoERvlb8A6CwAd371p5gxP4SZ7IFc
VF5ZdWcjgSJTRUqxxsL8XqUxWxHzzLft2IzTpp6E40ANPdG3+JAJ1VnRBbuV233cNGtJC+/yiGmU
wzKg3SzLwvdJk5+4IrFOjK9S6j6JD/PpZrZIzVdbkeDO/y+VYtvAGYDcfU1VeosHEAxgafc5Eakm
F2mcJj897pMJIqK59ZlJfPCDfqcxFO3z+gRNWM0fM8Rwq09dFfonbiI9+J24EwnLVwLPaRpaX4ZZ
fRm8gJ3xExAT0qA/UNp3ilRIW0w22Bap2zpKPu9/n1DQxwAZVqe0ulT8BlLtXlOEieOfSzEAW1W7
kJzKWowrrLQT4WMkVwQOlfjMVk/4O2QvPavzpV94uhBuZ4ZjiryRYIlI0uKyKkNjbQi0PfcVFXmo
YgU35FjaVAaOFH0T6MT3IC9q+bEmj8edI++e4OLcolSg9Gx9Lje+8utn1l7HdCDqR4mLSMq6be5o
MP5JCzLFfAWK50JDqrm2JWO/DvAfJmPHF5jpvD6JmPQi6rMl6SPmaG1rzt4Mqc1adNvgrVSWY/EG
FkiIFbvKPhVWA0xi2VvfQKvgios0qPdsXM9ij5eiokWd+bn/0EIi3+2byNbAoK26E3liwy3tNuwS
QXeeJ24Z+WHg1qYgRfP6yiEr0UyhVOZD4pwTcCRLyi5jdZXqzzjBosG3JRn+yTr4ZO28LGZL3KZL
AzlxYe66QYUykSKutI+EiIjAcCsY3acMNlQYsrUiMUikMKjZd4z3PNylY/GQqFv0LXkTDxgLCv5a
FNYl5P93BXyqJv6SUA+RwuTwRwSca8TXgZFh1Hr89kcBDQryAlr4VuFWZxT1uYHAOAY5ATgwkCwa
x+Iy9TFZoW959iRscULwESlAC9uT2cKt6I5wWh2xgi1mvqdjYBNMAJeh8d5NCFZJNRN7pr9MJBan
VgL4AUTVctmZ+L3T1rSJ9vO2MjhxWCZ29yyuL8OED5VASPkfR+fR3aqSRtFfxFpAkWqqBMqSbTlN
WJavHzlnfn1vetIj39e2BFVfOGefIPx2DMonxfrQjQ7PWom4wozOCfVj3+l44fBLXYi24zRS4AYu
sv4Af1myaQeNJX8+QOHRg1NR0vBgVUabG8XHYnQOZTK8a7r8Ah3gRpkzr2SGbbrIGKmEyMfy6D0x
cmhn2DHBdrOUxOThxYkPe/mzGohvMG0CkUMvLacTSI5XI59+u6h8GqbYazlnM2zuFUzHo1326maQ
7Vtt41zDymYE1UeY1M/Bp53UzWinUl8WAExauoV5+E5QPSxM1pyECXISSGpQ82Zrko9YMj4C24GI
o74BFSCf9k2iDMK0+9JCxipDJq5xEyHFPREShgRmsQRZwA01AVvzlw6oFvR0dQSQHloRptlLP+e8
vU8z/K8WxjlmvVvimJejieuVMgzGflt+AaRFmlZtABfQF28GLhHOrJyHyI9JFvBsUoxS53cGSaWK
tzFFLNpyWtFxVOg+8D62LwYfYLCb2gNyDdwdxAKTdNF2u9K5z92rJV4i/y8khosLDXgmy1YTc/6e
eS243zHA6I8wCySgxkaHdd/B4L1c8rUBrB0S6RIg7yM/YuwVXyvcwOanKtEeuQD6Vg0V3EhJi1p0
vsLg4DMFo+X3OVUXS4P4bXYusXENmDhTMekj3OjrxB5plh8wiXwBlohw5CVWfhjfigAwQSapP9bd
BPrzRsoaVcqmL5ElHxr/lEuXpAU8FAW7RrS241vOoZuzjjQO2aeVHcDcD+UpkXBo1yHX//ysrX9z
ecgBsdLV7yrGhygkdIbHP2gL2vBAx2Lr7yOMQXOtVDvDvCbsBNgnWK4BTMYBZ8WbZVmuwt8ZBBtH
/Iug66Mx1VyWhkZH7kGyTbqTL04EfW9t/WgWD6IIVm1BsIA8GspHbbwkEyZ/T2sJLzoCkh2a/3SG
uHlGqCPKl9BC+Qo3KefxYeECi0pyG7cz7LRkAdLKpVr1+W7MtTYee+Ub0+XCXp52Ax8iB+aEFtcc
PMRHM3VlRdHDii5kdcAhXv5WCDXpKGe6hMKjkWlgqqV+tsmLq8bqIDlFoafTPGXkmxK+iLcbY81P
A7iwZu4qOwy3xobg4g2GsdVQX5rUWNMysVNWxr8hpPT3L1GAJ3mpSBDfEG1r8SzA5Rh3wbzN9LcM
Guux4degUKe3A4eyQp8n9igNeaa7iTePkV+zVcbLYB7t4aiaC54UJDJVTfYu9up/8TdoE/+OCtgI
0dzACdsbh/A8f0aogy7YeWSCe+qCp2O6wO3RmVCjqkAGWXnJ7AHcsTxcVBU9NCP4DL4Ss18+Hn5t
w51vSI0TF5Fjd0CMTWlpb5z/skP+gamDaFFUfBAA4m1fvgxPc5NYSOS2duO12ju/DxogxKacDjpV
xDfeaSdyibbCwuAEWBNWzb8c0cuGTtZy+REGaQ4fI5NX8JnzvoFehm8ajxCpT6taun65zpQtbgYi
684pyQF4xJv19BXcuov2W1+df2DZWSQ/ojPfjnIvEBvmV8Lb7tZ/ZQdpmvlv+IeAiaCpE5pMxBHz
FaxHu8/ugmvWxXYkt5o7fsK/NTfaTYNZyYzihOSbkfA0I5n/Zuc91/uFr5en34pyzZyNkW3Lbmua
LmGpMyJ+Mun/GwghUL/y5KDrp7SgDFzZ6mGhVlEur8azjo9tLdnXEAucwZpzWZ0HmxkJAfMUhsbf
pGqXX4gGW2VLmjIKIbla5APjBiC6pvxkhBOCF69WRD0F4CJ3HLJB5hEjCG/8wGm6AEgPi7P9UsN1
RF26LT5DZRslpzw4t+auTg5x7irKrVavxJszjEg4mXwXqRbUr5bdL/SM9/FrqVBY2aV7EH06PYlK
4UjQ9QVzNdrOgoQDx3W+hfkiOBQv6oQ6hQBUkIJb6ZE4TUEZEyrhWv+Fgct7wgIFgi3LiPBmvhKR
HKwJfHC1z0X4/cv+x/nrn9pJ2ZcbZkgpTmuG6AyUgs/kGv3n3+m5mv+o9h20+Aa5FWtSMAuXgTdk
Dr7qIV41fwg36dSI98MoaO3FoX0KwrSh+MU7X1tnAoEuxwj6EgUE12/3zomZHExWDM+K8oWM9ZeZ
GjrZADra11/VH7ejyfj+Gf4QpekiqrqHjwxC/3+hF96rXfOvU1dIemGp39QX/wqIFiLuBfUEQ7rq
a/LE3kG+tyW+Ub3HXk7w7prfxt5m+4iyGLtYsKU1Mu/DPn/0P86RrDEm4hKlxwohIOcKoTMkV49P
69rsgzMOA0pXhzQ8/vMXjc/tzKJOvoib8wgXaiH7AO2eYChdB57w+AcoYKplaEoGI1GhFLM0Yq5+
FZ8Q3t6ZrPD/Pp80b35BYOd8FG/1OfsbuLpcEyME03vYor+w+R75sd3S4nk4jIkPfgYs3HJI7MOq
3fJRfI+PwFXO2nl4WnITf/ONaq/yDZ63VezhApx4Vf1bs6OuiI7E892pQsKf9oV+Slrr7mNk/sqR
MD9Stp4T5p6t4fkIScUxedjcrTTuPAA8i8bZOIy0apgocC5vKblTDtAN72j/ixKNOQN5GvAHfZab
nkGiwcG5DdHJnNfEIO7Sg33zvY71VXWo38prduZvP7IxaDg40LleeTpjyBnFChMOpyh6VFTdV2LP
99EzfMcEu0hP/S+WOTrK78N0iq6sEJR1eGzmTfMLSgxy/7n9sZ4KQlCuiy8SnWavfDJSRsYl6p3m
5j/DJ+7iEIlxtS3u9b8F0nyQuM2wndzGxRS4QoAdnVMyzqBk++fwX7mzL+3VuSkJwKs127Bm2pHI
yiPP3Bww4GxvlOhNUKUxq/o3PBMOLo5a5u1EVzxCtPqrjmxbIrF9lGwudhoN9s0qAkzrHJidMm21
GDOWLoWqmDZB8YIeq8zfsuXBYcSxKqeXNqFN9CBUbEjAJUGpmk5QaaLBWQmm/uDJsOB32j3t1zXe
mpAorF4gq3al9BD4JvLF6t2y/h2iHRuKoNqpKBAexF6vQoOj+JA4j6z8g1znlyO+CaBaOxQ7s+MC
jNn00S+02rjamQNfd7oh/nxxrzGJYZGbbEzcSd3FCv/6Ra0CufQ7mPdGeF2IwL2CmG7RTbtWczYJ
+M5RlFJaMT6Xb2r/KrQHBHYjO/up26WfWs4ZwWEYnhs42xDk+n1mXSNcAh235li/VF1MObLRGFoz
IVsZnbkdO5VRE241dkHsbyYDafF/0Htdu6o2uLHHgi1UT+nIKLdMbrhlAxZ7ukZUUYeRDoUIa8D0
xVdKqqGzYX9Af0DCeVbkS93Fl45IP619aOIN5FzCbDTPGX8wm2hxdQi6MsUP0Wls++AXMEs+Hm21
2WRi2BSkVQw16uKJLltU+BG0ct390ZbZqTvRzdWuWWHl3ketS/zQ+EGkAHduQLWGmhtjzpapdvR0
CsRgn47mKQ0M9K0+bWsGmUuOAe+A9aOabzlGZt/tqMSbmxF7SKZSlRs9e+3u/TOxPArxUd1GrLDY
urUjFD7SjVhEBGe/OkouY6c+Fdpdm5GasvBbgGt48CzB6VkAY0euHbHyAklOTms4cfTl/r+Z5IfQ
yDYDfyh2cc5KFlOkgBPzfMiaLwEp3Uw3ZTRvQcO7rUMfbueeKslzIoszRb/Qls+gPpTMbbuLYtwE
RAhkvnW+8X8X38XvlO2Y7f3iRwVmzm1t7ukKfc1tvscTfiCI3xjlkGYUGZoSt73LNwT2PrOzZWLi
CkTV0UbZ1zuVRJZ3Vte8cNV/yifxCvk9x5sFwcB5pUpNv6W14aWfWFbRMN4QPWK24ReP9yGPHdPc
P15xtjmvI5mjD3oVQCrMJrEtkQuzGLVWwbk5pffuED8CHHmUcUdqKWRg1b51O48RYyQI1AYzvm8m
XMAQHVBU2O/jB/aTbK+8CAbieH0egb6R3wGWxPuyL/dKlyp8vKieuTHueA97ZcWVBsYCX6VrHYqj
cWDRgm1h25muSrDNpdv5n72LTnMENvUaHFl1IVLMqSBxNiw6X/YGM4VAfmQFBQryELwXH+iVkmeJ
28cKVuMfKgKM/toGQA9dhr9iYJREa/WenRCZNb/s7bIvg83IrX3v3fS85JYhWWNE46xIS/O3qMQQ
6HZsE47Opf3t4XtenK3h6qqHqrvB9btKH02z49og7qnh2v+pXIz2GISuzJpZl9a40ad1eUNXsy+5
XN4542ae9TuJmmCcYnTorrWFAorAiyvp0Hj5CU5C8+R5sF3j1frNzotBEhJch3BDf9L+xcZOnvN8
O3wyCmhX1l18kc7wwnO/40SPekxXeB6WdQ76vUPBXGWrn3s3QnG3CtDdwk/fDJ9w7pEEu/7RKTbp
STnFb9M56DY8WcW2Hdf+g5L/XoKuuLYXfxfcYEXSSO6biwNzY129GueE+/9ZXiI0z+voznowOZkH
MuQwWOJbvPZAHL5I+4BCtGNVpXgVm/mV/h/bcLIH9/4G8c09vmntsX9VCbBfdyfMiMojOf//Q/jS
6awpPeaPcR9eOzyG2/YQ/jKKYn1u3FNvYgS+bg7zAPB03WDdYFSS3Kg+24dJvBA4aUqeRyyOIDsg
XosSk4LbOayWd+EDH2f819/TS+qhz2VMAFms4jXsp7sozFtrEPzHqCekNDShAhaVc3Hm2U0wh8d4
GaLgy4JnM1TGSUWR4DuaK5LxURnnyL83pbKLlh+u2Daa9IeRv9PpOewiOSnwqpwAIbkAWYhyz+ne
dYCQU7HXsXL30DhaSsexZ4HaBxT6UHEHUV8c3X53gnTnl0gpEtpZ6GjFLg25WFf1raKFApa1LD8t
Z1syekTHER4G/JTQdvEU2lrKRuDLigny4KGLd7WK2PYU8WAM2wEyHZqi7DMsvMC8dKmNJ4EDkraq
IXRk073Yjqsb9xhxVpjtelq/GR+AvNJEJtk2ojsyud42Ux7skvK9qBn9loe6OagKzdERGpRo9mG3
VZsH9vtSX5vM5+CiKDxO5capFPzxAJi9JDpgGRhMJtkvqgGugUyKa59enZLIkv4SVodRZVBxmCxM
eiCw1/oDgTVV9yJd1dYAO2qA9fSOxjEb98UCT7tH6LoQMQIz90faJXuv2C44xm3pH5bglyZAUewi
rQY4QKTrxAqAXpcZbZOzK0Cci4t6DbIi9d183mGo3xEwCrXzE2KETHcUkTRSGPkYPOgUSJLwzBMS
ZyNZXC3zkoPNNt6Rl2aGqrwyg59Au2PqqVi2ZhmhGUeDAl66IxMHhDZMSYb6mcYnReAJxF4lqjum
/RKcwzA8EhR0hFEk1i5SPUm8qxOTdeDZIHB3nWQcpAnUpSLR/3VyIimi3UQOoN88NNxkyThgmwAJ
XUEck1G7F9WZ/Ix1h8Tal6x1xkywX4kIcF1Wvkb4W2uWufE1nfUMfNsInIFWWfyhRvUTpa1OrmnT
/nbDXD5rBZR+oATyX0rswFP6Rb0fBt6KeJDJrdAbwjIS4xHUU7TvO2KpbTsAX2A1PmpZlr1TXP7F
02Rgau9NYFBGAHJ6ojK3zYAUsMowMXqVWfFJRI7vqiMJYHUxVdiaYIQuEeFyFxLF8NqMLCCjstb+
jVlXk+fbEVynUSB2qtHv9KBCAhNh4UoTlYg5u3Pe2nbCcF+AEtGqqL2NWcF5lyldwDyzJRJC03Xj
ZGdDMKwiG3U1WHG576sCCP5chBDmJUIbYdN++SPPgtkKcmojdZrZxnP8d/qsvGeZtky3CkhuDAFt
rNdpF34mcZ+Rrzg0721cq/SMk+3sBAFtW3tInWtcmRnkpNTGNm6AiG9s5ztqUm4Z2yjVfZSRZBha
EYO8MteIgnXMhlo0zZPYObZdwYzMLPRrbbUIlgAcM6ZlWsU96jBk0sfoHvsyvaWCkBBLE0qxDuDd
sfVqDI+ocjYAXYCleSTJZ4jg0Y+xlr+qWc/kYGAgF3R4aNsFHakn7bQvZQjFyZwegJLHiEutB1CR
ZcVbN0Y2DZlGLzUljDaIO6iOYStUfqkuLz71NAF/ayYNPnlh9KgF8+ml0EoU/irIYAbVef6rBDyS
iAvGkP+AulCXRlNpKrcwpP2Mxim9BUOL62YqIUHrcUJNUqqS6nqy49fWSmmzSkG8BxAPtfquTWUx
RRq210CVl4VKlaCVkqIhFfQn/A/Ok6TNOHerasDh6Hd7UCgOTnXWUO9NUCkMHlNgebrTYfad8Tlm
qWWdp7yJHnNA/GM6Jv98dfidKpangdGKV9KgmM7XRbwRRfciwl4/zr7TKfgpyyrbkJIzoC2POS3y
xFoofqSifuUG67VZI623jlvADKPC30p5GBeqN+la1RwiAglOkCU5reIYbCrtTzIxQNCLdOs4Dlep
IRj+hQ17KriG+k0xS/+eFyXzvmquppeQJ3nbqC0poS1OZH8GjMS+FuDgwGoRFPUH3x0bGRWk9T5V
gJwwPRY7Mkv9TePk8S0spU8iaAr+KZ8C4vX6Z2WwUYEfyNq1kO2uTGZUX6BsRiLP3tQIemziQ4jn
8a+BrCxJhWajXvqpia51AMzBLgbJxD0h0kO3ctKhJ6YOQSPmc1VM6RKjTWwOiY4nBS4ypjC5eNCH
MTn2Kt+8nCzxHBotf2p+QF68ZjF1w5BCMm9VLnpqmaYeYUNcj1aPbLlTCIZTOShuBLIHF1tNh/MQ
29ohg4GPuRQTnhE1g6v4VYMek9dNmM5wKC1y4RrL6Y+iVroLEXvtm9OIAt1KpNtHKYcO3f2EpxAO
FsoXalVfJ2SNyZ0JqAaEFMlvQOuEX+oMAw3/c9KAJqmjxgDCpqfW7MQhccxafoaMpCcqBXgKvNh3
jYy/tT6AgyAjiZHaIElWjCaBjJIgjnrfsJYHoBunL7KNxlfocY3kcux4gGoEJGVRUDB08WLVKUN9
35MbjmqP7Gpbb4qXtiyCizqjnfHZDG9GNmgv3ACa23dg32H3ki7S9dq+1yN0V+BojUNqRcMuSHrj
nJej8TMaOvJNaeOrHuZgm2fT8Izriae6CH2buXXdI8MTDnVnYc8vvZjrs9VNEGWnHI1UYia0VZ3m
OW3jOMg00IGYVZNdqrQAXD4F8BvKdDGaDRmWVU2p03M2jEyYcFOCkwEaGXtZhVRvHuA7RoZBZEKp
Qg+LjOArKybGqKP+GY6pv00I8tpO6oSKxe+x76ZhVGESRjjfCwNSRg8voq0bOHyBHhw4Ohkk5hO0
pVXVBgmu6DmGA6X0FIkSiIWvL1GCSSnQGIbyVoRKSdsSZcNLZQYo1waDk7NNiXocEmLMuCQoBGtG
tv3kO0jswiKC9U1iA6jFknFdlSpXUfYWO3ty0EXSIkNAQTKNQfpXt1GR7IBsDV5oZTA/CnLczLII
74pqoem1SI6zDX+k1Wlhv3CFBKCvxsL4gGm0YGksh2lQG5fjVu/D5DxaoURVk7LqHWVpHalyS8zO
RXqlhmF72ZAm3Osm+xArgYUW9CaLyGTQWehQL3W3SVNTG4J807gybNpdk6q4BjPIAFlPzOMatjvE
AXtiV7kC4ESXpyRgb/owplWG+os6OlGQ1kS1hUTQ1yt3EFhvuxrQF9KGAjAB05gYndXJrwOka0MQ
uEPSl25VQ+YlREDhlJqQ++kjK1SZ8FYGKRajoZzxniNhiRi1ZU54diA6b7NBYA3og+aU9x2W8aIp
TxCweTVn0njJNR/Un7TwX+BvJQ/h28Yv4e3tJ9D3cK8qcPpDk/o7oCRwfQ3tUaV2/FvhsDSUZoiD
PyUQAQ8ffOmV1gCEWyWkVYWrutAriK1d+Kjj3MT4Eg7VUatl+K77wX8DOqilNMOfmKb8dCVZnwXR
8NUa5qS4thjo1C0WKBOpPimOfYsxWRA84y7Kd0EcR65G2swuth0mxHENmUtXe/kgmkkealF/O2Yr
T6SLBp7Rh/3JsCJ8WJ1kWcJExAr8R1TNDmMXR5JA2goHM9uYoS3oB03faGO9KB2l5JMu2qk/iTLu
/+kN7+q60lJibEb0IH+IrOKtLO3vODSrTTcMoNPU3qSb5ni5iGiWhefDQsIJmJBH2fZsfVRwSXGI
o6ulwTA2qL246Kg9WBDqeBS7rsxO/iyanVEW6q0oYM+x3ItSV5fEUM4BBN7USVl4ZiPJE2u/1nQ3
Dll66k3o7Bmx2QYhbxrizcBM+30zmphoSiTlRZx11xEN0soqSYrk8R7uwIb1e6W3nWsHeXyw+4FR
RjzQitTh/CjLMuPFyOIB89YwIQtH2NkVLTmwMonIx4j9rWqYcmtBGwf6pysnXwIjyWM/9BrTdm5x
zkIM+lWxG4FK7/julw1C0n5r1tgBxwhMb44YlOiOObDFyZXjbMCssKaCD36yrF/CqIp3Iy3gY+Wj
8Z8RV+JCRFfmotpJv5uRiVBqBP2ZC1p3tQaglZMm/aYc6uwghyZ152Zo36x0QnQcju3aBIOKzmmU
Z9XWkkNmNMlRK1mq2t3A2IZU8obie5x3YaBDKcae+WEN+PR84unWPB7966wNP5U5iE2u5MYzy+Pk
YAlTO5j10uYY/F1g4uynYjIPrHQHqehs6QGR2rLZBjWJS5UOaKZWwGOIxKg2g6lbZM9USyugEz+N
rnEdF4oGRmzwrxwfiFBiNMrYXVFDxKQwjnGiPNRRSLRrTfrRJ8QMJpqjHEc9ye8zRMA1KRavAaKY
Y6uG4VaIJPCSyVaOKhGuu2bSaamr1DI+OhmGn0S7jm8pIjVXcRz7GUYTOeGB9D1eSbi0ouSr6kdU
uO2YTZ4sJ/8PpqN2teplyS3zDpBQlRwcZLG7ye5tJuwl3T5jgbe8NskO1MXAykHvDJ7kahy5Vtjk
T3nMhR6WvfGUQWxd89nkNQ/ZjZPnSeeLpVG5yqJuiG3KYADOmYNkFTWYqsw0jxa0V3AoDXseNQhT
Fo11rbzkJmB+pBiJvW0kk0B0NMNx7PQJ9K25oCfFiJYCv7I0q/YYVuhSYzPyD5bSvE/hVJ6HIBpp
++3ZhrUd9vs8BaEWhuArVc0YdrDcdVIsU8qoach/KdoOaCuJuMu9OuhunS8Gt68jUOldNTp3Es0m
OBT5vz6vle1gz86/JE8DVwUteqzDQTswM3m1fCV9UTpz9Pq0oA3WuNHvUSuz5xAnLZNSiaaqpGGt
mOK2f3XYhgh2bYdJfFNEn7Udw16gEf7hbAE+ovr5xacL++DRmTc2XykmB2NAWWYsthkj6w+EUJan
mMSATUuT8inSwj6ORcQqn8J+QtRbgjGSEz7Vsl/WIo62jPY6qif2HpZ1q8wqfgtpuTqexZ3ZRiHO
Z81/82N8EYrhG2Tv6uV11hR9P3ZZcDFKyboqVmsgRipEjzGYj/6sMc8itBNMR5x9OIY6m+w/1fEl
bIvx03JoUywxF+5Q4XzrjAWoMgmNOZsRfMyWRQJOT9Q6KGxWcaXCeizSkEH6OpO2qjF2gNcwJjmW
5tVGQWiYpoZ/gR+RFBY1YIBE3f7H1y5otqBWVbVg/Wd3KbOXKsHxLhlCV8RZrEPHJD3VMgKEaHn1
aTRK4sXqbBDCHXBdlub8q2j59NZUrEhzUQIxN4v5nltw+/FZt72JQFUFJDPOPetQqwDapfnN9Jpm
un0oO6nfuDgvemmO/zlJ5p8dmLnMxicVDS9li5g6Vv9jgjB8R22Q7hhuESkaaRjl0Y6nLzxjDQL5
+W9MEXsB8sWoOpMFos8hJgnks6ciktOL5WSsINU8JPUGWEff+fbZ7yPjMxuH/BgPWni21V7z4qJE
phlnSzgBlYG5cSaSWwcy6rd2Z9dHVXQcAi2qT1HwF9bmVH85YxUDa10kxKbv41AWgHw5kRkbTDBA
mPgrjq3/9kMXvEG5tj5ka8pr1wZAfBbJdt701TtFluk2VY+DT9qmJITIKB7CMaKLKhBpdWEAqTQP
691Qd+GuStTZk8LETAObtyw2Sl+CYHLitPh0hqZEfpSLH85zBi5Vqe+rBG9IlWKuAC7BWLnVuHDR
/2L+NvDshrPxL6cRXE8pSYHxOFj7evJx6eX1bxIUzqYbK3CEQTs8FYNw0iSmxuf4hZbWABDyS4en
Ws5sPi3ESU3L4lkvJ+prOz2Cq5Z/lhqaD0Xq3dF36hqDC1QM8r5IueRbhoVjMVlTNUWcUhlkGF7T
EULHQgkF6t2y9BJEsJWt/I0TUxwZQdh7ch0wtjqS5Izm2svwNTP7PxHV/9RZ49Egp62skwGaHrqZ
uUAVKlmaWkngZq26LuxuN9bcj3ZKlCSY65XaB3jGxI5KfZ3CvBpF8pHNNgt7lbQ4KJSEqSLx4Gza
Oer8RtoDhUQ9nqx6ApFTdvdc6X4KidKlsHZ2gLNwDsW9SDuocwO1BWVUte2HmACsoUm2Fksajbma
0fgXi0j5JkneTEIB1qJFNzTl/rWN8l9fR9TKg9iZ86tO2I2lcZgpDkQa9ZDCKuYrHE9KOJ1AK0Cp
MzzCxbY+Bg6zRvBpKlSCzt6xSFuP8WLq+k6zqz2+hTc/iPatZDhWah+dhe90lnvlMiJVDJTIG1C9
UOwQ94BYQnfcSNHOydxx9Qyn3kbq2bBymFLi2RPkUpPZ0gSx4gohIvr9zS+zlyrDsjixemPFZrBM
LnlHRSfubWt4uVodlRS3oF0zWpeQPZFN2C6vNJYhkCfkDF2skeNdhPpRLedHYphoCuO1b5lP1Iku
Tc1azu1rsbRoDlsrGztJOO06RL8GBjYmNjvmCN2PHTprWMB7Rl9UsIsuxB+uLa4BkbbXLOwONIGv
mqj/LDO4JQgL1BQL+Zi+6HMQ4C71sYcaWHHl9xA2uAtiPEYtUFRNvc7LAk3+iXBB41X7Lu3BGt3i
VrhkNeJZZry600FWBWHnKqiYSvjFyHp1Zt89DFLRWwdrJBHJeJDPE6o3MJINlg3Fas8qijxpzXtb
sNMkq6N/Y1wBU8PgDZCbEc3E/KmZH436tHKiiJAoHqDUKNmpdbaQLmBmeh3p6/3sWfQVvb3FPMKS
i+xL7CIak4Zs/BvrfzVMNfue5g+AkYo8OgQ3EGwcBtBGDee7Rk1koGNqK/EVsixWcwkJZV6lLdBI
AjXVZHYlObKZ+h05hGV+6TETaOs+Z5DFNqrqtcGW/KKVlf5QQKMSu5bam856IGYCnW6xVOnqS0GQ
B7Ur6XflbwHWNPqtyh9r5oIYr3GJwULhtS01RBvwgZ+JzuaqL9kax96sZl86ZFGK+G1X+8i+DTdG
dhfg7WXsTU1CKNvaHJgMSBZWY/afErVbNqVqAM8S9ThjmoM0u5PmIxFkbVx8haSmRzDL2KoOLwVg
FKof7YODfhURzluOJcUzawBAdaNJtlD11LXhXOOZHwNUhQODyNl2LVTdDLxiHanZsDjaqs6LMmrg
ZcOBxtUILuEI9u0J/NvFhrPRQDD2PqqM5T5LFyr1j4Nuw1dYSRvGNQ5/7QFvEcoH57qgLZYogHZY
uPGw8Km2gvxHzPohBwMSsL11Ct/Vs0S4alexAZc7ShIU0YHHqZRxEDHAbOr8b66MyxSB+8FPdA74
Ok2r20eQhy1n+IlgLfixvvEVlpvI7OwuYr0aESvKO2z7WA7I8goZYiRcQ4yraZ87rjkfRJxBuoP0
GRsgkMEUO064eHTzkMl8b+vDRVLCD7PYZCoKcLujxs+mT4Eda3QcJtX6mVjDr1nTzzJyjlLFEdvM
/b6Tw64NGRpM/Gs9+M6kxu+QmF90xrd5QfxxkyJQYtrdIdhfU6CLrVNaxjEgGx5ukvNOxju6NbMF
uUP5jBnc+Aob0ERJatCQzByUWqVgB2WjASZ2LjFbpv58JLd4mRXTbYdrv8Up6+RgrSPrrNsOV6Wl
vxnaog61egRV3I+9KeyVMvk1QjPzaLUNy2uzvgwpMYJB76z6nporMzKvdWy2zFWNmJIwgyV6iGNv
BKIWpSBAnGqG3mv9TGrsOTQsucAAHZp3ZQzcchrYQjE3ikaxeIUeFVZCZ+B4DW2TwWwoYXbSPfm9
E+6DvIKQ3t79AuZb3X72AyjcMZnec1ucRdkefFIFaT7h7wu/bbg9zC0n02+hxVcZOLd2Cl862Rx7
k6ApZiJeAyg4atnBqULc9FjZxzLZhjTrVAyeqVQXZg0nYSOpikhqJn3TLiqknSUGzNIPnj5M1QHS
jyrir9TI3oJevMcEa6zGvHUttfREi13JHz3LiE6ktm2YrW0skkdUI/8aKC94ToubAaRwwnBQJviJ
rDz1SDXe2z2gW+qo9XJ3VXa/ScR07nvU5RiEWp4d7hOJ4DRxQAJyKcne3wnu3ZSNZ7yoWXQbTRJ5
lIxNyE9O38YAd3NRvoZVgWlEtfbsADyHx2ql9PPTmQs+LfFW6MzFfUK/1UDkTGJNZoj+Rh/JSKHt
5Y0WWfkPrQ4CaxHs2L3sSNJ8m7vyQGN+n0sHAh+iZIORtoUrMwYlbOnm66hap8TEGaIRGVnKCwnE
rujjfR9DwaqLU2MiJChDN8sAylFh0F/trSzfNwkROzm8mWZeEn4XYkDjs+iqH6FkHDuhpqlmhsel
/t1H9pnKb8fg7IeZ9DoV+i8VlGc108NPA09KVpxMgLZNmj4Fx5cpqo30tUMdokvwWcQ04Nup6wsA
u6JegLtd++fI5NUEwzf6KrLv+V7q/KDDNU+UJknrxXYg1umQGKA3JVNEbrXySjQXGtExuTt58RtN
ZAMqff0/js5jOXJcC6JfxAiQBN22vDfy0oYhdavpHQjar59Ts3kxEa+dqkjgmsyTzyYaNhqheNVP
9oPKWe26PP4wHJwuqQgOloPIj/DukYisRetTaudiTUW4plY5GsawzyMSg0uelIycNzr+b8sgQImc
uz0xgtQ8JmntWXMnPIeCSKAXgKHNWm1vetFPPmCswofGXVZUqyoq/ubpfKFDfS287qluQ/zXBpSy
ASeEl6B3jhlQ5DWJaITG7eLMXNTtLZgwvEYD7CBb3mcK+tqpoDVwkNnWh2NO/+ayvOUZCl9SMXZV
Wo5gJ9WP1T+2SpN9IEH34Lfq1UlDea4V5A/J9m8ZO0xEVMcQNQrjejtwkvCBTOtM8B3ZDJMw9jFI
aLuUPlIdrWA860SuKhtZiTdZu2ZKqEp8/5cEr5zQKw5/FmRIO3BktAlJfsq8Olr062F2Llmc0tmy
Px8fra8jPoMATlQQwWCOHK43ciiHRWR7sB2ro+nl7P/q4T4WDMxFYhy6pkLvYQI1ihCW+lC125S9
r8I0kEro9mFhbIOZA7mprLUF/YeconPCgILTp42e6GXMn2HuuDJbftwyY5HqwU2BZ5RFSc/kq77m
vfuSemKLJZWlQz98M+G7jmaARywy4hWtD3d3UutlKdJ3bL1LM4FcRfz5FAVrx6t/XF4/N7I2ZLB+
pEi7pBiefLw/y9ge803NCAjs6aDPboD/PsUw7Wj+tNRj8IJJgx29z6s6j0dfIB+VzePrnJzzYDys
zQPWrRiUw5CO7yoVxqpwk9uYA6rK4jPtxx9ZJB+mnLJlX6EHbqj0M0kgDf9Pb6d/Cqv8N7YqYATc
/9F+e7MdfAiEwvF5SZ+Mh5qC9gHntoZrH8qdMeECJ48S7BIqWoprmAezemZycJ7awVgUHiOgBwK0
nAbcMfN8d2yB0F9/d7Wrd8y0TH5Df81zNB/ZZLNdn3bhAGhNMukKI/SJdXcZR25xaSafJbRFw0Cz
IZszD+w1ysy3KmsgZ1vGxYxmk05nPpOzWP4YGrEaiQ179kUr8G2bClmmUj6CE3c+9hamzNYJZgB4
/TYbxUFb5tHEkigABdN0v9gG0KqQI9xS6MGTyu9xABc/hRH98IGhRkXJqYL5ZBj5LsRH2ro4Jill
JifbCgNzaqGmXyZSa9uZNzLxTW7pxyh2TJn2GBKbkMzulL6HBstLPrt/SSm9tpXc9zH4JzemEsq9
h5l7wjFQ+UAT6J3BigAiyeLOWhkj60Vlpt+1SUtsmMK/BjOjCfahuA2y77CvAbm18pn49KMHn26p
qHCycdh6xB4wQ4atOj2w5Vb75njIOmfZv5ZEzKj2wfdvHLwYNkYGxqlLz8Xv3vveZk5Ef+at91aR
jxotbeN1qnBoKAirIBVzc0jWjovguJ1bdazKdi/ZFjZdCAAnM46FBTbTCYrfPHRvBtPbrZbhZ4q4
h2TnWzjrV+NxFFWTficDee8j4uCJu7Jg4CgIkjcMm8A6RJDciZT4g7EN3hK29rZHHF9oskYzmCLk
JVYzkTpFcB/j4BCq4UPq8kc9vOya3rWs2yPL/9sMURV623gSuX1IKFWdmm23VWP9EZcwy3/Yxhxb
zXxHMbeAOxgnoP3aUK0SBMxZhX9TTVcOs4cP34RkLPN7xAG+cDGcmVF0EsHDStgg8qmtVxX4z8FI
ghlBARbKvFkjqqyNGmuDRlRa7YJWH1Uj3tPB+ZO3yd4IYUZO6XteQPzxDQ7owvojsE3V2Cy171wM
klVZCe/0MBzCfNx5nfuFc3ytKuOrdtvq6movQ6Gjo4/WBNNsQnNdpN5jpQxraiTmIuvWhTbhKRKt
mVqoqaF7BC4j9aaUG6ZP6Bt1h4sRK1vcBz9ur/4agZyIwOPf7jYA2WlJWVMhi4MUIJeGYwN7ZPze
+WiI/VmuW3bZXt681IHzSukDRUYPLdKsER5QjqaOpIKFTT6hDMqjX3RHtkXmIiauFELAU6Xci+/O
11whXhyK6E+BqlCNAkIcGE5cVzVlAdIH2h4cQWxcjwGmWbOIXh3UgcLHcZhaH76khs/jh6nGZHIV
oM8emH+ljrFqUmKJyBNIXJtNknpKO/j2RPoVmhM8xSKJP9n8jnBn5mmE5tVf2h3ZM8q/VE7xTVzS
V2V6W0aNf+TggWz0v8rUvExzt54pYpIaPZYfX3wHcKmq77bRvNrRW+ZbQEyxLfnmT9JBdp+43brq
WZMH54nJI2pr3IlWH0QwHGt0fBXAwpDoakPa+6po7m7+8I1hx5TYrueRKULfPCXGdA8Q+CjiDFCT
rElgWaagZSZ0SX3Qrix6OcWDE9vJhrZ0y7SNFzW+WKL+1LlzInp0O+PZjGpJuJxxVO30znj1wxtx
imX0tDSCqDEM4sWG+GxXEsNKDn0m8S6CUMSQaJqWzr+O1HIesSQazT1Vo41I1NhnKvuekvBPa7MC
ThKQE26wSDv9NoPNLspq1/cUwWZPS1zWGIOa4WjY5pm+D0dIH9xxMA/LAVNuoWrWvY4kLFA8Z4/8
iyo6daN1zgdxkAmaXAGXLI72A1U6a42XsMdfXiIMWSYYGPq2vZmcGYUVv044n0ZBWRI8Nu2u4Lx0
sZ4I0yMOROHCMQEBtQ8TXc02a8+aaI1CiJ+Pp3s0p2ZDcHOyDWDpl3kG4xqjj11nbykzHOFQEY48
KMiM8DkOOZGm2ov5GNL4ibVMus+13W5t7Z+FAwOrcfPmI+Vfb2ODGkgqO7odFL9JYKio52g/p/wz
4wa1vYMppu45kbKxlCi6afwD0/nlhkgOuQTbXyakvNt639WIggnnzBlSGI/P3Him3yNZIhL9QXty
oaz6NNsNlkyUR7B7nYjsiaBaKynoaWLmPv9LiqQsnz2NHzs366NnUkfqNPs2iMeRY48LzIPt49ng
cFv6Boek7Ix7SnXlc9/Sr8knlHmMwDrkVd2EKYvp4F4m6aeNNiJJMgAbWC9CyDIYYWnIa8qpuZ3O
k6G2BPqgguBKCbjXxkF/dd3wSvbJLqafy/ph7zKQGCY7fE68fJfP0+/YDLgPfeYsqQ4Y+1RIQLVG
1v7Q1YvpdfQtxUjZfTf9GGxGH51Q5VyccrQvjce2PsWyzHLcBKE0ATyZIwMhcPqaKuSYRWMd8gYD
k2/i45y8r65yLrbX75KpOuWYUnw/O3HpwrdPQbEkMFyieP4bp0GxJODLuQwjCD3egQPZ8sk6L3Hv
lYGxi0aog9rJT5YAqmOV+WVGSgXWYRsJ9rwMFReVZOjFxK918y+pSWBuffMw5s4T9/zVTRhilqgE
NoYKjEPq50QMBzAWtVm8seyr97F0b6QiWezgcbzLWp9TInsIo9x22fwZo//hIMbcYCmrXQU2ZrF8
DMaNYxjLQLhgm7QCeO8+1WpaPQLupR3As2nNtd3gb6+Zn8ajcym0fA/M7jXAtBuxOtgkyCpblI1k
ah8p9igKe0otpeQu9pBNe10Mb9tEwQ5pFXP5hLeANlopEm67gr6wIiOsFkc/KJsvpC8r08FxRbbz
0tJ1fmNd4m7heOxDzMMeDqApaO7cGF/Ua5+jGVEDBM8lv9o3vGLfBH6Pl4R1tEk0Jmc7K1GH/7FZ
dOM4Ssh6sqN7XkVIHY3a38R1XuNFRsPW+0yM3VFUS/YF1GnTU5vp4dgkbrNRlnrPbHxdmRHjxEHy
TvL0b0OPAS6ITKEqy4nULcl3Gmicw6YmdjUh+IptJpt5hMmAkjEb5Rt0tWvRogbogDh73nPTUHNm
feXs4jZ4Uy4OtThAMwIzYW9PYt306W/WsmNpowFwcHGXOVsESh9sEvhZa+s5RR5Gj9Cs6gaGjLR7
DsMax7A78QIXbconjWz0Hg0hfzShk7On7n5GDE6a7We7f/UFZrAmt76VRkuRlRsEh3hspfHqZd57
BdatK8jL8Cv9ajn1Hs7ItJJqOFh1+0hVL3LgJ7pcuXZ99oLuVnVsa0YXh3qWUYor5byM2fDiOxGp
TbkbwxU1T77LLMuzBFxIz61Xxex/FTPn3lRxePet/5wI97k00q3BtiGJmHXQntK7DdOu9Hw02gNq
3bELPzjQ1jFzdrwYZBIrflJEK/qeC/MaD/3FZfZFlJR96jqhCVkqxiMtUACwpvVI1C2/S9/aK4ux
veRS4KexL2WACb0kOCJQ9pq/Ve1ZRFtnFE/fTjB+RJYF+Tqct4S+e2uPHfHKjKmU5/7k4vkhF1sw
RKoHdKAcQ/vZ6A3KzhqyPO++OatgM7vzvzn5qKbgloOJSdyRhcrMBN8nGhatC0MRxxG7IeX4iMfu
4DA2UA1LzhKzdVX4H/WMKTqN0k+TElTEic8V37/QJe6cHKT21IKaC5x5nT08X3E8RNfCabOtZwgA
bjM0xyL2bXAY8jjDdPYholMiiCtl13bmuAVXTlYhUxg2bCisKUjSLbQIzjqSP6rMXQelC0iiKopl
JZHWpgXOFaaUlOoRktnYfM8N+WK23av6f9BuRm/jlBz9UL62ZhpsRaL2aQZ7MjzNFSxPRgdRkE4r
Wuv2nw9uXZb1c59jSAykzRStvTS2D3sIVfkiDzhYA8/49bweuzCJPqGqGWez029ThGkR8sVzlLjU
DCFTnrE0Q5DcUrMus1zkyvyGoGP9aUvrV/NFLKww/KorMH4BNsLEvXRdBq4b06Fy0nejMjVSCTBs
xYOeSLDfNnPnbyJtX9LR4+HgwooDvvWx+vRKzCxOjDdZPe7TQXocqUQLxDEzLcmCwJmjQ/xIEQ8L
hHbY6Kb+2WmiXazKXRvEX7VmKcOa9zbEIxJ9c2BhaEiI2dap9qP3gl3ctjBQtzdZxcjRa157v/TJ
X0jMtZ6GXfM46TxkpeUA0RBx3bJ2ApS91kZ4BsQqhOiRbLdW7D2ME51FOlzMVKBU827ii02zDKzM
BNuubZ97PZwTjClOVTzbpcH3XLzqdrqWnkfkX4lxMUnZ0cMwX+RkcsMqNA9aTkTFw4QK4a+Mzkea
O9fyQf/xsWEomH9V098404+1hP5hEwkV+QPKXrx43mTvssqP7pMpgQLLl4xsRb5r6IjOfPDJ8cno
rSIfq6MZl8e+K7xNo/LNbPInidtEEqRR/BjGBP6bHbSFRntV5ZBmpBUQi+GPTxkixm6q1pPdEhkW
AknNeuSBqguTJanjf1K/eUNG9sOnjiYr22UpsAIQ11kQvaadp1nGIKyrmWCExXtLiIgeCPervdeJ
lRGeHil3j16hy8ZtqtK9MbY5h5F96TJxtyp+xLKzKDI4/hjAIhFmtpihkAWx4E51trJAwjyVzM9W
vXafzPZ/iDe5hRNshqqGckrxQHmwc8ghLiOKJ8ZIN9+c6BJp5HwzP8RAv11nxgdnbUPEM3HkvDP0
+EA/l4HkMlakHpNrE9jlEoE3ArIBizzeMgeEEEKsjSvpynyZrsKRXzy38c9cKEChbKkiEBftMKxb
Wyy9gG2MgtdgemoT1MNvmf9tAS9Iy9vUvdo3BihTHd00w3npq5Xf8QbPqEald2MHhQVVSAo1HleN
Woi0CnHsWB8lk96HNq68Iek/vCy/dBMqxZK6g/lGtG2i+V8T9RuJHL23IiIeiRFNm+i7N2Mc302Z
r1ODDIemZ2RSd4whm7zmPGNR6SE65pqFofi3VLyzTYljW7ZQJpUJQb/H21t17br0PeLD8IB2UDPC
PjhXjfoyzMcYKjYPlkeFmamztBjA2QJ+sS+ZcZmNCY3GaQ9jEl5my3iVNa/z5K/KkcltAYrAG0lt
Hlmue19Nf0wikmC7vKjxOUrgHQcb4sBQ3nUyrVBDqQGHdHemB8cCRnULlrXvv81prP/WceX/Qa0j
SQYdjM2Ato8pi+p+8yROn5C70thGYRaR++ZUMGfxlwBoy/3+OUdms86G0Hhry2r6yf0Uc68ojPZU
hIb4StEMHJ1xHvcjp9rF6hP9OlojcOO5bZZGXcAT6W0L86cp8FzJqie5WZvV2kxC6NAOVvBAhOEe
ShJ3Rowpt3LYD/k54Iw+6bvbjAVnnSo05l1Q/hOOzNYsMyesvTr+U1YO/rIKhWHbFdCZtUk8S9y9
twXwW2NcJz5OkjQmwLIkFXspjQAkXK8wUE1VdetbaoWoU+imoL1ZBnyTgVEzw/9oDN6TMf3QyOdO
qa8wYxsTzSk+Gbaa8DPY9SU7PhCXxTOfdotKnHssRo7ctdF07OZZwL5ISbOt8CnljyjnMoEaUhXU
TZYDCS8iAJszpoZpmNYa/UfDSM3nNy6KgCBAVzk2D+HQEKxIHE/XOUwyWerTuJkP6UCcJ2s+n1/H
8eebGEw7Prn248/ujICOGuqflwWw9SsjgvopjCSblnqYp0skuUoRU8P0oRDy4eoxQnDTB+lSGPSL
CODIv9WdQLIgPg1O6SKkTpwMxrXNY4WiPSoTxRSk7hiIm/6mJfd6m5WM/GU6i896pI5g5lFdpsJ8
SlpbrzPtXZOh/rKQxee9vQ+0d+lBdfZdjGi78v7g3MHdI5l61XO8R0D5EhbEKkQYJEZ7uFVFX23o
TmB9KJLsEqzYnV/gcJefDpKBSdQm6+fiRhfxZ/LZpYASJESqJtXayaJL4oz7MIG72VnP+Rw+zzL9
CtKOIljv4ih/TnzEewScZxtT9zvVx1zQ5ZpbJtkKFKaxsDb0R6caf5zy67fShyPi+WcrI3alZ9s4
DdV1RuCJrvajsK2bMMtfFwEURqPmLnVDn9Vw3vvPzczoPTWttzCTSKusiypBDWUWRcKQsB9ouzu7
uPm9Ctq9nfhodKzwtUXrRkAVHGrAHUnQAoqf7GldUqCtQhncDcMIt17tPQ8mO1X6urcsGtd9a70P
PUEwSftcUkYtOhvPs8g58dOI/LgEyezJYYbExcQef07w5SS1b6FL6OtFFqIiGcon7pFFyLrGJN1Z
ORXiE4vVrvV4w6owZQiLUafsKUEHZ+2R9aXqgi9anoysC6hxjSUK2L+RL344SvzHNtfaxEScxh3k
Wqu/G7YCoSMSNmOm6J4zp4MIFaevBtiREaG7YP9Hn5piQvXQ22EiWOUzT6aZmOhvyVwqum58yzKP
yXsrQcub1sGLKm/LZ7LLgv4fqcXNqfH000CcI2PHdoXGC5KC2sDk3NWSeALMZ6sUtqQsDWZDKQgw
g0cqSDRTlX6fWP4qr+WnGOILelTKjdLd6yzvLyhPlzgHA5bGRGc+OrhSoLWLAv7CvJer9hFIFqXe
Ba8d4nKjjLeiSn+niJMg1gO4rg7Pq7ajpT/DzchxIHgTJVGFHmxwxZfs1L9OUmtz4qljb4b/Jkfe
/IgJCD5IjJjzw3hvF/bKETVcXtAWcy8/Epc/1S7Pjt/jj4+qRaLHlRGYYD8s8yMwUZK4FlpmslkK
j7+O2FZtcvjn0WvnaJqUYR/nGKSC+Bw+FKWAV9dhDs67ydy7TpONPVZrpvGfQz1CEGrwQw9uQ1vR
1sOB4n/dIySfcywOQuKyq5iRGcJwd01UCmYxWjyboYGKqSq7q9Xy1ufiYYcw20vKwdWwGxiKeRnz
mJKZsqCKWgtlLS2yZZxKPzsO4Auf+CPJU9AxR2EJszRFdlJIrGoz+nHS6VSGNZszc5MmNgzQTx/a
hrZ3Tdj9Vn6TLm02BxVDW27uW47tlPcLVGDwkyFs0eJmzTDSydKay/QsUZ368quipEojgFOBD2jF
eYRbgl4BB86KkhjcjwkjICLwfSlxyUP4m/zmiiZsTVm01hpGQuguUtfcaO+fNog7tP6oWr5INESp
+80O5nHoRi4kAHkoa3cDC/FSDZiPYYwYHlpja4RjiiiGLWAXkt9BLBrGCG4DWNwjLHngU1MJ6toZ
T7oAgiXBOfAU1RXHQUcIla1PkYrZ6DerJGZKi60zhi3AUCwgztMOzFODiCkcvj0y+qg4FhaFcOwC
meWXVX347U0ltyhOdQers0bRFyCQtRq1UrJfT7VJroD8GQzK/YA7VNjrvlK3FjQBT+umwMuRNXrR
p8XSsRQA4Cd+ZnbBqwqjOaKvtvtrAdfC9PiQkW8aaFlYfBaeLzZxuULlDh0KPCVdAqp39Efi4GbE
IvXuvnW3if/CLox92LTxSocBzrjO4X7rV89hg1G/Ng5afwsxybzCzEaxfBZl/RpPy0TxmFpEFYGQ
YbUeMBKwDkWM/SC6IuZ9eFy5DGCawGqmXCvBhqBkrueXZviqCe+SuNanGZU6fx3q3I2dG+SbGu+h
U71HUIuiB3eGUytq3SXYw01IHcC6c0v0Njp77JlgK3RubvzgE5vc7pHI7VbGt1ufIA4bXB4TO7BI
uheJIiyDDjLj7sylBdUXiiGLhwpBKPlPkNqcpV1oJAokKDWvksRBdkoVWbLRzCc6Z5dSC+ib7je3
87bwLs60n/yjCVXORtnqdtC2YMSxesLUHJAZnA6Xpsj2qZrZaTCEiffa/jJnoClzsU/n7thOgtEJ
uqqPkMWLQ/aSdzA6Ru+rAN1GNr3kvJ0wQlwsDFZ90FBA/Rc1X3zoHh5x3TncVuQobnNplFg27ELl
8Bmkb3XZcf0s0/rVxOjhsVMmtdLbziA2MvEzwYji8XvAiYAMRKQCBQ0OhidOGdE/NpfEkPVq2z6s
rOR6mW+mLCFAHyOwmLK6V1CZUDvo8m9OYh9fWP54hkOQZfCm//XmU0zFaYM+g8W6ZA+pupcwps0B
jKWMh7gX2DmnX9fAlPxFyLVAr7WYi4El9gNRUW59qOYK9JYFvwi7Hs79aFmOJjVed3U9cQ9q5zz2
3bEfu2Oc/M40D206r8YEIhaXEU43knCjW4Jwz8DfgJt42+dPo0tSYcoy37lEEU8RjR0aBp5xJHZE
lmZ+x8gVNzMAOEfcE3jCvMq5/E3BK0zyJCEyC0uta3QUAW2fNXnbeoggnk1PQRfsW4PLvX2K6oQ0
LRirCStPcMIF8c9GbnyVY7Cri2fq9bPSgHSYVWv4FHHPHvUtT//WkYmS35HEBqcUZ3bwNvlAvJAE
bbXLTQXyGemp3rOiOszR8DHUxW/RyjVOaCCy0dkLgWGOL1NCVBmmJwMNG1KS8zz8T0dMwppJPCQY
RpHRBBjM/aUYWYz1b5WYC7tlDmUOyymOf1Rrb4w4+42G6iRtgNF8JLRBC/R2Z+GCakfuMo/DbUyZ
fjjNEj09A5Df3h5OTfKu2l9jlscMpcSIbhfZCLGmYjeiqyvi6DjZ/tpV7B2Tv42BHm3AO2sXl8gn
CCahUAnaH1/HxwFobs8oxu7Sv3M6bSThyH7xZWoNcSxbuXof5P3OgBzhiIeYGTKUZb4FsP50/0UJ
c5zjYGdTYsRpTTpZuLYwIPNj8a8QD8WmS9Eb29hg77WRrq30aQIp5jH9VgN2nO63ZrFtle6mdv6O
zk/O9S85IZz5xqjzCepxHT3lsdiO1ZmKhIuDPbX/2iHYzvuPsrhgFhtt4kRXpd40zJ15+C+WfXZz
9BYQa3vjbgCskXpezNkD4joeGYrDs6gWs/9vVq+iumb5t4rxOpJGZyereAR/ey/YNxASpChbc4j9
LkOpivlkEJ98qNUJlEH4G/XLDNPJD9jiIkO23TXWsmXWnE0I3kVCWHmNxDgkMdfcdoL1kx+A94Kw
GyE3BhEBdxcRn78c8XMspGLAF3YpvG74kjRWaN93jZ+zvm/YVdh7h+Jzprpe4kWANw/uIqbSDgYo
gWx/qLz96K8PoLvTd0HzT6OwQL/iUaI732n0XSTfZc5IN6kXDnPqMgXOsq2CUwibuHUeya5QPaae
GmtEK9Q61wY/LrqSmsVOwFedYTsDlxcBcSETVqsvHQI7EdlWZsHdVKwL41T9iUk2mdzs+rBx8w41
zrTC/IUrjoUEZXgFL2JR62SX+ijJ2KQrPNUzZIAKkk08B0+2vfHSH/Z00DuLW12LDSiEtc8cQwb9
4cGYFuanOf6LCYOx8V8jzfXHfQTKpbEPmGBXM7pOvCMcRbzyPQRnktCYoW3aAolyby5D0W0GNBAS
dIKBG6BmyGeG71EE31oGxDXipqJ3w5ZishWlWk3fO5ftR6EAofVqR2ol0zU7JGjMTdgr1fzqGrmL
di0W+sX87AUTDWT6KXsydtGOWCMNpuUXy5h0Ub6tdTz+ShH+VWiPGj4BR/whAxGu1Ethv+Yd6m/A
CUZ8yVx7UYT9fiyudXOck7eAgywGS1P6EOUyGKlUXtjf235cMCcsJ7qSl96CVW0BauNbpitZjgyS
vJQRHczSQLlnUDyFBnIHEwB/qiZ7Xj1sjab+6hXUgcAmGkXguyMdNwvPg26vbfGpEM/MdXsySZMe
o+e6Sl8LY9ggEwe7t/W56bDrbtImw6dETIM0EIsyW0t22IXY59qbzIn/GozAeokSRARbw2HL6Bdr
zpIUcKL1XVtJBdOqj59buAp2VDyXbnHWOPk8hl+uSJ/97tZa5B6X4CjxH6EHPIfof7CNnWrx0fmQ
kyPrXnfqnIqX0f5rU4S3zbsSuGn9W5t+YGRjPLrO66PUya0j3NhJja0pna2jMUXSQiQEEmaPNCPH
OPURgYB8FxNpwUYqP8yKtyZt/4RtsmGyRxZAHrwOqINp8LegTADsU0dGzEoItLBxaZeXen6eERn1
Y3U1CGBrG3Nd+H25CBmT9X28MpNb1L2X4T/EeNo6loJktZQYTSxmvdduKPtXPdiHWVxt+cwAkdd+
2CeVXgtU8r1r7IDTb2RhbqU3rXqWHGgdKlJJThqFuvLD9yk1NmIWe4cpZtX8Ts03Cpx1htmstaaD
ygRbiw8dPXvF6VHuRojq5oEIXkIM0W8avODwMqVEL6+TYxHRnilYr4qXbqZRkQF1H5I/yCQLCZWh
jv4ggF+xWcJnmSJmZfI+PI09UjHGcIV90iRRSefvNP+Bor+XPclOSDt0/NaSSpIjnvRYZbgYCZKZ
vWDbcscDT2iFon9A/+8p/slkAnVnDwJR+QjQ8ZNt5nXX1IUTO+bV3o6eZ2hoiu9uaqjgxGsNoqoQ
35pQP5wu3n1mDmgztNyYPsvv3yIDP6rfhAe4afqyxLUfz34X7Rk68isA75bXpPDOQ3sHWU+BtlDw
s7v8aW54N23ol1C8PfSjKJCzkYnigPNob7Iq4SjwMH553yRpzla2jw0MORmGD2/ENCwXpdm8mFWC
x0xvMHUtFfILV1zISMZRq/xbJM4ZNk+SkdoPXvXQ4ZtZG96by/smRlY/xIYZJz/9qtRnS4dl1bCu
uPqabtO1PwKIGqXQwCg85o6i2AovlAJ1/05noxlFoISEKTAhBT6ieROsOdG/QsjmvxnZBGwucHI1
IOd9NBVBiDcN12Dj1eC19cZAcsog8KBdookwWI7tE2O8ZQz00mMK3BukGRXursTogJccGyHNTZjd
BAQLU9za6KHWjlEixZvMpdsAFe+0P/SsKr419Q0P5boh0VtAsxKbitep5g92y5fIuSJIg9PbQpXi
Mo+Gx1NwdHy0CnCV+PXSOBEh4VhHWcMnnuSm5/lFUZvyvqUXe4QJY2Wb0ljPjN0hiQ0lytBj2D7r
7NBXa7wXTnlyUTUjUgKp/EQ3stLTdhTF1m7vbApk8W3y2cSo2gf+WonAS5pkcKNinVi+EEa8bClx
jeEtry6Zoj7S/QrZ/D4tHjGv7BCs73CmBZEzG9L3UZeboDnM0IVnhitxSb6fh79mIKk34Afkw8tL
dORc8k6Orr8mDexI6AsrvF3AI1HmAedhtewQwcYoGUkUML3+N4+PQlSbnuXyhLo+z6AK4D4A2Wb6
hIBkI8v/1CZNIDo1zlNd7TUZOyqB31vKuy4KrGSkNVFi50DsQ7kXKFxGp4BrNN1Mo8Nfq5GBjudo
WmUPu4HAg/Otx2CPBXljcWGTWpkYwcoJ+ULDCODwDB6rewEqtDYS9M7S52L3hgv19MJ2uODJrRK7
NnJYV79MzQdKK/aSiwZyqnDGVWzjyAZ+kIMjFzbGHtxIgjgfDArc02o5jPOXR3TtVJDWxBYkTINr
4pyz8PV/AJCGhT43BBjLtVW/2zN6BGrf0DsWTOatiM927C4pPXopoeFcy/oKqMUi6IZUS9SEB5cY
ggB/aoqrhwXqFungiqEjj+DJAbkPWsDp3TNFAeTc/MyAn4Sl7Go5TzICTjYDyxtlCBg12JRlR/yF
hcBr3Kio+Ylmgw/ogP5BANVRY0FwFcowLAhQ2NOBl8w5u64Tr7BUBIzio5Mb5Azd86a9jGXySEUZ
1EXlBhlYWf4LAegzCdN+XTxio+MC5Z2BGnIJXABZxMB4DeEKnlqbYzaWD+y8eNGNcxsHMEh1SCJK
AC+wZbHjtTHaOWQkGm+rqcUWoexj1+8fxRh+4uImM5KNis7tbWcnB0dG+xR1Q9CRJQqTBvhiQNyd
iIsroj1euOTQed1WBgPlpITZaM/6Os4Tb5LCeRqoCcq/i/yyT+Zj6uRYOYqGVECrLtddYXwx2NlV
DhPe6SEFmFzywyKPQpOoceGy9dfCxmJWF5i6QLkwTbPCffHoKQ3raJnOIbamb2Ni8uURot3Z8tvD
24o8jpKLIVrBhY0hZMRuktdAVq2DVXFiFdkqlt//cXReXY0jYRD9RTpHObzibGMMNvlFBxiQ1Erd
yupfv1f7ujMLjJE6fFV1a4DQbA3x2sHKXHO3JRdEuah0HhEqL3YdvU9TgmaD7aZwzBQregpd18D+
qxche5x/QuaUBBW8eTtG4w8D1dcoDL/jdO7wFWHQDJeMl8ZHl2PtXCURE2XMBg+kEi5c9axvHgba
zgvawpKm/VS9Dx2DmFmk6NIcMZqEfU7HWRctpyKyBg1ODDTkQkMgz912bbrGq4IFjziTqeBcp+YP
8uiu5RYb4ICqXBsci9yOWfasfINNghAHNSeuxZSG9MsUe4cU17gTQIfALSvCi2lANKzCl4mSLzzp
ZDLwHQL/SU3Kpg0OWzp58Er31A+PGYkFV/LCLvEgazBZ7LDPd5O6TTGufKJSARqK8S+lR9vwiz1D
9q+uMSF3ginDKRpeweTZjPe6XRg6MAvFOvB5MsORVrige4/jYDvAi8MUbSM+Ys2FwRjQBuEIgSF6
fhy84GrD2U9L72wU3IuZd6fFC1GLw5hDijAGTopYZp3pgSvVOmvak+09m7A1cHnSoEDFAo6XjAs8
CT1OIg5CFBeu6DNX9aFw0109y1ePaF7BljgtonrrHgDzEFVjqA4EU3D9a9tgM0qSRkVMZ1iKG9Ze
l0saNpqY7txoUuIk2K/tJNvnlLpwNeTEMt73vLS1Ymbjbwx+G6EdbOb2deiuXfICTSAilcy1MK4u
3nSas0e7PTfApAvwUjWTSqqKZh8KP6ItEusWNsNOYTPP8edYDBqnkmBJBIceP7OAbetDkvYYbg3u
l4SGoV4tXHGx325w+mzUWJw1h8XC+F64jyEOk2Y8CSbgCOx3dgkGHwdjW427maoX7v8n2XyNRrfx
4y+/ZVkgqAvHTWccDkUMHHlvMYahOYLLEC6KHhJfipuh9OZPzfDYpUOzX4IeJK+qmne12WZNTr0N
kNFumRstln7CWG1HiCjl9sMgtzK2VhxdwS3x7Or0rTC7S0lqaHmjK01ecUEAhdWBJ/HQmP1zRWja
Qw0ug3GPXf0Uzv8kDPBB/WGXv/Mh1moJ50VRV4oW3JKIznsoR1heLckyZE4bGmNWWcVLY+8t3PbK
Dp5ktARWtHx01W7uvufsTY0kvLvwwcgINl5CHrWs9bFtu/dT/5lnlxT+NYbMO+G1myjp+GbT1vKH
fSlMYMjd2iPe5yCAAJIhcNCvei96TdqlEc+tHD5lDpR+OP5rHHqfp7oF+pskJ9eVu6RzfkdR4JA0
70WQvbaSRtGCeGIes7Ypu9frfip3k+0yY1YWnAsOjvXMcYm1lDnaeAS9ceukf5a4G1KGWgL8etQX
e3cSfwFsTBby4FrE02MIbS6JO3uVEpUwsBnhcTbPqbJIZzoGa4C5MUmVp8xlzaJGNxo22oOtls6U
Yy95Cufe8SQxaeMrgsDCTIijT5YpE9xFcQIXyckpy3YoTJy28+qYGwi+NlbYO0gbkJaL/kxE11v5
uTkQloKE5ZoSdjBtFdHkHodlaw1t/Pi5NP4l1rh3u46m+3wDACnEnIEMk6n0jTDjt4zdBQfy6duL
jU8HbwVEztVghTElWFBCPFRKQG0x659NPJdmsAZTaRcytJ5JUey9qvlUHsRMZ+bvFMmzP2EkKuM/
mYzHpvdwX7PmjrT6ZMm8b0G+95Xz6pXJRaVkOGP/u3M6Umn1S14PX2DzpkPfxbTcmupSyy+DoW7t
jfzKMTeSGfV5+xmc1bDiR/tS5bSWWQCSk/lBz+WtxujjFfS3S3sbyHTVTtM14ZdPiHEdCw6RZgig
Vy78ewtPm+WIHUrQNu3kVrrsmYX1ZIdtT5SHCX6R4jwoVPVpF9AHWvfUTFQIiHS8SgZSmICSi+c7
z5mRnSxYQ05SnQcll7EfIhssCpOxeh2T1hH2Y9f7JD+MDaLd0Ujqv44+hShMdiYvusBFydiecV4a
o4zzKBurHvc5Eh1AyaCktlsRpPQVsfGw/NV+/yXBfmb5SAVbrCVQd5jMCkmp77IP04E03bBCR+JR
9RGiZqGnjWcVUAm88UkNmP3NjgKjUjjqYNj9tsxnpMm+fksddjfRbGsSravaXMJTHjRcuRzoi67/
wJqG8Q8D6w5m2b0aI/Ky+XdsgLxP8XjpnCJWp9HBuci4frmy3SUGlQVG7D7OMeDceCk/ortwq2e4
LoFDTWKtLu1gTVzb7JmviuezTTmIK99aE7Qliw55aTYMboEuU2KeO9HdV035Obvpgew8Osz4HiEm
xkn7VuS0qBuYAsk1Hb1SDOgDEWuTsWsCGj/jhKR8Hzp/vudcMqd5xJPgvvEFrkHBGjCW8mpNQL1S
IpvMW8ELO6VV0INA0HlQ+aayh2o/WM03HZDnQpb/7FSe7MQ+O9bsrovIynchzk3RlW/kY45dECxT
u2XbH/6wv20T3/7wJwPrgX9fdyg1k4y3ZPa3ROfWGs3VD73TJK3T1MApNuqHUnt/5hA8tUN8bG31
Edqcfo20tQHAc80aR+ONtWMXNiOAqfQYwyV3zfK1CVseAMiCOsgezCz7csqZIam/tqi9MIR/GIp2
V5hM+oIY26Qn3ueBT7CoXJztoQOCMlH/0KhJDS+qi/XYWH3zEKjsHPX+LjDtT8AiJTEk8YkH6Tgl
cm241gJ9vhtiAjbJSzhQqRlhElW12OH7WbdDvs8AO0c1pn/qUWs1f+CqWpdx/Go7S11CeKRmkyS1
y7RAxMgJJXOZuDHWaWrfU8B3Ax9pr/wmWpeShpqelRDA7yO+wTNNk+gtnPMGCWhB1HpfRNzfagvq
PIcFR+SnNipGcPHldWq7hxkSuuEvQbYKKm/Uttt6wjNHLqpkCTb/go5chUQqJNNA0M0wqTSwYG8D
VcRd67MiSx+8fgKeuZiv8wQ2ps9OUopbVovznLbHYAiWqS7MFR91J5ijhzR1X0Ao0H/eW7cyHR56
E5q6625qN933gc/pQ66sKDs3JkVFY2KihcDE4kiafXpBg7WIrS8TjB4diV9QzRZehZyoi7YeulGe
izgr1sQJQS1FDkd+O8zWWEMpAHHc+agD45/Rhw1ohu5xjAJ+DBv+GuEpMWR8DrW6dzPuuramCWQg
pI/7+NZ446sz0j9RQzdeYQP8Ijd3hht49kW3tIT2366F1Fq0+jX31XuFfF2n9GAAGHnK3AyLjLXu
JIp9YfunPqqtjcWqCvENY/wUCiySIv8xPbpBPGfcJJKcVm6WZ6Pr8UeiauEqICzhVp69AQ7HdUC9
j3jImGgj1BnzTyKDY0b/wj7z5wZ918m3Y7H0onKbEJX/gmtVbRrmATh4cobd5hewWWoMvKR7wd0/
rPCM8+8gtbO2anSquacJq25IlRnGe1o2rECzvpctZlNesbsKFt2K/B2ripM2O96Fl0xybrIYOSBr
5JfJnR7VxNmr9vCa+85wMJuU1JixZ+E7hGHzpGMq50JkXcBOS3EOH9fBz4kI5ZgcN15BXLshhLjt
IYKwA3SnZqYZ3JnWFj7ylT97x8bIk02rhbkm9LQUziTXKQ4yqpl6ZqBITw62jA1OSwg+vGue32Dn
jaht6brnNAs4kwdwCbiciWQEdOB5V5uOZM/gOtYiP991ZbLrRuRwUi0cJH2OXwnfI02YhVox02Da
cp07c0Qcz+rxxRvxQPMd370GpQ6zxC42abRK+3lGPmrNs0hKGq2E6d60k1JutMytGBjFj3iyOcFk
vw13xDx0QCLLM/sA7eUZSEJHtzAJgAVWfDdbVMW2joxqwRK+C912/AOrtzBFEstciqEjW5c7P56I
0CYRXKzRt+8Gc3h1a83OP1DHkAzos5ztxwIsnXkf9+U+tPoAXZ0rbOzBbES4E8SP6/CSTdWSox/l
NRmMnZuNQJ/0+M/K7C+dgiwptWA94YOxxuk2sXC1KkhgcbCt2lKcJZaQV1A7LOdjwIPoav6MMoQE
2zu2b/Himc7LBBkDiQ7foGeVf5MA1mJBhOOlQqtLDOSBaFT9ip2CC7jimNAMNFHXSB8m29GdN5TU
plsfTUShTVDCg5ya8C0Ku5eqDsSWLMp9V5dADebyjRTCSbvjzvKq58BqdkURP+f+/OxW+iEZ6utA
XsmFOwvZ9gPM3EV53tZI6Lu2RgT2wAg3ygdVGiuymkH4lLTxvqvqbWWmt9ldOCk53kgRPjSknMuI
MxV88e04NSxH7HmKex5Rgz/oqcYKU/9F0u4dD2zNo873vW/htBmZ6+fhAbLtqbIAZSA+s7kUYpuq
RSdZostTYgTk/CNGfZTaznz4UU4z2bAkTHrnAQvpY2SMP01aVkwcvItZBxhKuT1CAcl/KBXlssrY
QfXWKQD4FZLMAGCsGZrF26mHX+xyOXFYd0iy/2XsNGRKym9yTY8ijj+ckeLCsBUswsFvGzYX8KIv
4M85lrn3fkwmNqsYbSbykuewRobwcZpp6gJZTxOhjeeeZ4+kDPYDCxDllDUM4m2X9a90sCHIkeBD
gmoZm/hPQ4NXvm0lE8p8R76f84sY8EeVKWpHwQ3QmaM9yu7Bm9NzUwxXK/RIeHEyR4ZYlSl9Pjjy
npSbn9y6KPduQfWnP8xnvLoVnabmDRbCzreHAzD/x0rPP6qa3zky88lgIUKFH2NaLEpgndW8cqzU
OEmWG86nnjE+mmSG3+H1JrceOPC+WdoBIoV0kmW65jhNufJ2smBeQ20u7x0rv82lIx6qLG9WdY9Q
1IXQsFKQzGAiL3PfuxufMQrLDne+yWSyY0TsONogWElx9y5uzZfMLL88klhkiVuu+9L8xeaOQuB1
h7odGdtNzd7zvPo2UMtM5o8ktBR0MPZD0TH7M2n7bGVziGT4PqYmiLIC7y0s1r2vuAoxyVy1Cm2z
t6KbaEkkZRhN7vJiuld6XJL+BZ7T6CNKA/YZfzu5+GeKFjiQXtZmeseRhcI32wke9bJoGdY/5lCP
MpwhoqQRrfDNyHfIhiup+ZMwxmtcmafY9R4Y038mk/nCoY6VjeBXb6PoafhxMTnyOzkziZy19607
CjigsJ5hgPwjqfvaVBxBSoqkxsZ6A16CjpJQ+hHG7V9VMBm7AweZQm3K3eM8DN9pEHobNql+j8l5
PVJKyVs60XrVzxsDIteQ9AGLLbIY+0J7l1iEBVq7Y4Y+OjhFqHwQa6OTsMtcdV+p6pRFQCA8pqWc
buFsVLP7WXI727RQapjxCy4wXKuU0iQxfJy0Qzh/xiW1n/w5WT2aa0Jv10S42yAwfrDbvAv+5SBg
XiAkPLhQ9AzbHvdTxVYLGH87CsaRKa9QP7O7TyHYgerF0jkVbXD1Shk8+B6XY9xfXCCf47hniaWJ
JWuewWAQTLOZ+iTGY889T9j92SzCTwtGAJIQkH7oSms3tq5OZT5Jx6WdYpabmJM3gmXz6Of00Yzm
r54TpgwmDl2oNxayn06o38v9Q9C6qCTzS8H4nZMvwxeh50sQuLexX0oLjPiXyRizf/KNfud/ht24
4TPY5SGQHTd8ZAm4yyqb2KCyki3Mle4eJ/XTpBDzJrwSG2bSlF41mXHqO0YbUUh0VTFA2nY21ixk
QrkrtX7OefuKCN9DLwgKJv58YX7lATmDjJU3mJCcEpuT75jdnWnIeQeZm/xBFL8JA2ZKFeHj6Hge
Yt8n9WEXO5+O2oUzwxZ2aPJmNxjw4rWlv8IxOLnh1Us5OleZ/zmA916HvC57F9ohB6ll4ZNgCU10
PsjutHQBV0jEMSaYyBGLkRsBZ3Q3k50lLbRxBPUHNAV2c0EYbgqAjaUpKWNS9uapc1Xw3KXNhPOL
5XbAR8MZVJpMMkvM+bYTrSYTi4oxLsVhDcIK8W+erEUJjX4qz4lXBt5DW7r3RAnfG8ssMWI3v+jb
BNrI9Nc5ZrYsOZU8DKvUYaLb9kT3bVAmDu83wVGxMhIupHHhf+TUUa/Alh5SeKFUnPGheRiieM0p
6sgSb2tjZ+JjlCsOMVgMcIessQR7m67JnWOHy7cw23++SP+ZbrHw6W9NQt83f3frNv1WMF9pMgrV
2qWyYRg3s8Ximzs3S2OnHWX8zy44yBrFQkkL41044QgAO0uizsBxEGaLQOySFknHpU+odfET4yhz
2Y87X2NyM4AuTXQUol8vMKWFXyO39DnjGawWSpU9XXVEJdLkPYsZqIkd8xYKKHbwyWCmVvvMdR7T
JtvI0b5WvfzBq3yEEItXTFafbWvOy+P3JxoUk5TmFyr5dB7tq4Fi0TS0qr1s89ep1sdIdW+JM/32
PW927kU3QP6XcmypOcpSrCyNXnnD/3BEjnitqp/phOD+2G09FNYpQ20loQAJJqy3qJV/LZ3M/Izc
kykmyjjKmrTuQa3fEzFGjWYf3sSj/KnY7VcZSv61LKf7rAgqOF4084BT+AHF/Uy+8Q/8zXc/tjEN
d85BmT4s6YimFiHP0VjvU1FtuYxzDe28h8oMoExEnTwrL26e0tQ8g8G6lGkDzTNpDuxSaydrGJ7x
tYkP3boO9+6cZQsg/yezjXhTh84hwP6MnmHyxIftv4hr5zxhWPR7VP5q4sJOK1jT0aaJT27JJb0F
ybkf7RNjHA7oJv+GmP5wmP5yX4z+ghuJTow67UMY01M99w0FjXnp3WOQZfUPoqsAgUDymTVoIp3U
AlZ6MPxK7RwPO6djWa9hoJ7mfGYMTlE4jDoeDY0eR9mS+2O40RVc+rYb3CPoDubiuMr2S3ZJM9re
ljHyYISV0a0hDGY5ExEbPhqALLvsKLSy3ubG+QwHLFGF8i6hYXxIQ1kMNWW3zREx7jJRf8GQz1Az
csychFGT8WpM+WuQzndKhgeHQ7UmzUvKL76JRD1nnt55Zv+VufbXTBkE6rHHPN/9EVN6xfxzpa/i
TVbDCcwFTdCpuQpz4JGCrt1ZbzrCZTlfNjVx9mhvF5XZWkmO+cVAJKgZsmvv2cQUK+Ah3qY11ama
5l0QozrYw8yUnHhiGzv01jZf3ZCCWku4G+kRDQ80VS/0azjZx9iaMLBk9ruGzlY68SYto12e6VcR
59cgpduq+g4NDMdecNK5uMyMMceADp4eXuvk3xJwj5CwaN8L2BzpXyw09t9o1/KGxrL7NHteRJsa
OoPDJOIgRhm6pCRbJEKzmAOkRSxJSYdg/2OOX8SzOHJ2B6MlMwoulwDKkc2DDsyaZvv+XJfzRcw2
U1T5pjPG4iXbDwK7qsu9dFrKyfvPMBT3kc6vkpqqOPCOXmZuOnrTi7w69dQQcNA4FJR0NMp+y1Fh
W4qJTKbBVNG2v5n+zWFoo6Q9RYx1paC7jKrfeRGk84J+NLSznQytbV1xbbND/9pbeARs6i9nI73E
OnlL635fskSrkn7glnCrdI5i4JBvwgcIHXOr6j+r/qpBltZJfh5z/F+tEryBPKmbug7OUWBvRW/9
zPO0DTi7hQH3W2U1dH/GdN5wg22Lvz5093WaM85aRvyv3DTuOuleC0xZNfpEpp8iBiexoseXB5RY
w6Nq+60fDvu6mzZt7ZPXnTGTuis12i9zPa1lORRroye3sdSNO90LZWxvWTZfrCx6qZPsHGPxZvl9
iKjiRvKFVGPADxHHMJMbKmxucRoBPVjIG6zJ1KYVdBjIjtJRr7cufTNPe1FyH3MmtsQcTq3tba0B
+YseiQfDRq0xqdWeUv1dUiRnY0QBw4Q5s0mbVZypb9bYBx0xnmgnPocgmP9EMf16aVCA9zLAIAka
sFWG0b6Eg5TAuz53aAgHhyAiWYkiOgURiAA11U+MkaNtPgxnwws/tSybFdmfa1iSPrbxHcZF/TTX
+O0TKkQ5TLrsm0gqhgNVo4EQHiSgM3Wr33kcvnpoA7Q1bLlZ4Q+fCT0CjqR/R7hwYU2xRXTYTqXY
+ALPGHTzMxVc2dpowCtIBmlB2l+4Mtz1pjxGmPo8xKPeL0+CUHoYlwf4ySenpvMN1JTdg75woNhS
i0Egp6JhRXhyDYkeWzDhjgw2+Z1Kk3fgymyrpm8zLDf4my6KvJvDKsKXzZTahDLBsCGmd2KG2h5R
stFZilQLyL2cQPbzsgprppd3tg9/0p05vMxOiKNqerE56zQWVkpdHrkAXJZ5mQiImU1RQEao3XKm
OLYGRCLEr87B/yUU+GzqpMy1mBjj5S3/Bwexbu0WElQmDH4MTLFJ6bDV2Od84vrUMG9RDtVRBaZM
g52cEId3apaocmXGBIm4e+IFHLJ7aVunRI98wtQ1T9XB59YxGfrebpaGdPfFmv2X2LdPRYtdQEfo
qLpu1tgG0LGcYTfklMniKEDI9BRtcH497J2u+SOWC76wwpOgTHZDewvP7X5Qw0PpQYDoqYXQzRKn
QN/KfPvSdMEt1YhBsdIHhIz9BPabeeGWkQl1Es5pELrahH6ExmSXv/AuVr2PuCjmVxM/R2ekydrF
IZM1wO/xG6GsroIYbH+mt+D9zjpuHwOafgNXfyFK7a2wfoXz3ZMqbg72KJ67sPsFZ4Xn24wpKcfJ
yuPEDo5t0T/RLLXpzP67mDiCY4675RrA8OT8jWn6EeE090tvx/mO6vm8KdfmHJ2igC70eDi2DnDJ
2n9uTBShfni3fGgXbmu/JHq6d5wMMlJwWJrEuqBv7loaKHAKWue2akJ+jMVP5tAEmCnjYoY9Vvuk
/ohz5ydp00WzXXoMZXBl4hOvWqvdEcLjwpHDcXX0o2NWV9Bt33XNP0sxUtn4A/YZrhC3KKifujYv
t2PlXwdgCGgEVXJJ6PhxHJbjIIPARoLCdTOydRQ/oZdW33NT/BoRP7+IiMGD6SUyuMiItWjXlZ/u
8nbeoMCA0spvHsMTo8D6OuE+HEtCCH/tchtyo+bdQ2710/lklurWtZwGuQM/uRDIOtDRtm1AC8/J
cOXzXolhS57h2PrqAZ/zrXKxo6RcTfGxIBXoDcVZzE3kTsKQ4GyMzbIsKwSfYp0DApw4ha/6BiZu
6qwCZCgxqGObssqRTttPaX0Man2VrvUurOHs8pemCBlXuR+K32XtRwir8ZPIy0tKpEaP46eeqF/q
vYqLpzu7mASiJ+6qH2Phbs0Of+HcYDroUeeF7d7MJRLotW9942+Kltw4VYk4Lwh8OTkHX/uU2Q62
RqbBaeI+IOy+2kn96ITeO9VwENHoVp+YAmKZzuNpByX6pxijI2iARytJCdype8MuXrTgmBcb1xrX
bDAjLEzlkaHz3vfGx6EarrHX7KGLHh1aZ2TCyoHnZuqoyjCS8jCP40EwsIp6m32C/sHRvnluhdmj
Z5jQHXvpUo2SHo0U34TZXFvoHVVpfNEM9SEZOph0CfjAIpGt42X/R2308g8OLTc5FI/WmNzyEd5I
75aPXVWt07xeKVyHojZ/uwj6rNc6kLewnGKlhNfI1mAxNcOp7NOAN1MVzEwLD0kHCTfIPwj2ENAc
Ot4mjAQw0mox7hoenFL794kVnNN4fnR8slVe8JcU0U+P1IHc7j35A3oR1QwuxpPc5bRFJjAy6Y0D
wFhDjAZ99GCOyT0i4NJ8/c+Q05OF6ZWykZPu+Qn0mKxrnHIqmZbqxk2aE0ygPhEHdwoTVsb3Bd/T
TWK0vekJpPVOEY2vQgYjQ7zT+XRzYwSEoZWHsQvOfeWeQTd+CfS3iHt27WQnw2nvcxkZS8kNlpLx
3k/SfTCAQA3lLs6NZ8fkkUnov81IfwEsuRuZNd7lbFIJ1xhM+3QLCUFler3xOgMQmp4HGPHxM75n
b2clkJDyBQlmKe3T1pgeJmwDscoAxLI5Y68Kj8QQMyYW5asOUNSjiA4VrPwGSxCWg00Q5wxvoFEp
t7cQNKg4GAz9hnx6mmtGUWJEBZvu5ehs52J+m0z3LZzEI1OddZqN93MzbswKTBdNivS14RQGGRbM
GTd3LnwYa+G2hrTygUbL6RJAv3FfvW6ZK2T4iyJAnpu68EBsDoyC1nXpZheIYHLBNkKRF172Abqg
Xs/h3FzwWCQ0PWFccGz8kD7e91MAt2BlYtt+1LA+7hlRLGGvSXzgrQ1/7BojuWbd/qUdz0ZKtsm5
FP4QrpNRzB+hT/7L7kMWDxksUdzSaaFr6M7ZaJcF3pNE+APQK/dVHnpH4GP+ZTQD8y1x05gi+cYO
CcDN4AUSDFQS4AhuKt6CxLOIJgzzza9Q76ko9z3G2kRpsPfO8AI52WtuTxEZNu7nrcPopzFW0PZW
Kp9eyV1sFb7RlHC92XWXMHuy6OvuffNiYh/VjjyYEbHH8b2okR76BfqL4cddGpIgg/PfphjOz6ju
ogw9Bt83GAp2oPhuBGK5OLG5umEZi9oPLjRYst09sWL0fnurFS9sxwQCA0ZZ+uCIy7toMO/6kjFf
5KxpMrxU9In7JiWDsnw1EnEiUnd0i/IwxCCUeYd7Y+Tc5Z2EP32WI/Co1n0ceMOS4EWGyTFTyHYj
6yWEWWoCt3P31+Z6U4GGQD9Di6ANkalUF1NdPXyzhu89jrEt+2TRfnr4ForoFX7l1oTyEnjOC5as
dRt1v9qa76VbPiWSPJ7ONvRp3WihWy/DMhL/e6/vmfwnZzX+STPbt1YHSGRaWc0Z+8rK0xRK1FSj
1xGnSYTyO8xhp5lCZUyad2E80ucDSVr6q1DcoJcw6aNhVNYbJyNY50X3eDFXCE5Yzab8bBvli6da
7xgPbCiGGYgTMe6tEPN7DtD2ZSgoZ5XSXAwuRAeJLTBBJjDczfPZrvXZddRJZGAFRkytPI+OuEkf
e7BTvLnYAU6izQUNoml5xhfV7+LUNHl6Eq56yBWYyab2KcRpx6C9+B6z4jcCRASCZ0KAtjnwE8C+
Gyda1mBYGDeh+uFbD2WKPD+cxio7aN+dT01u9xs8mxeu8byty0fip44ArNs8N6kav8K6/bLb4cee
glvTgJ5Ne7SOOSHChkXWH91fxpwEugaQCZZJo5zPLdeqCTsHQVc8q6RQO3uARpVSQLFk4sJ4uCGh
HAKPkrUm7HBehqE/PERGlD7jBjE+w3H0j2ZfvirHy99DA0cJW299SgsqlXRlA1K1fQCILPqOKdS6
TKV/7Lr6hzqrq21IvCahVxxENvkvaNq/MLn/FWYRAfAUUC6jmCZkWs7amvA/SanqyCR4PDUcww+y
rCrI6eSDEH/8T2McckaqCRxwvdCF2SYFZnjy/nKeQE9Lb2KsGQOxx8fwXWc0v8MVOLFvyhUEvT+I
4v4b9wi+elGH932of4ps+stq8sqhfKkciqlYHrCnTZxneRV3Bta9fTn1xodWqbf3M9VSpZV351C1
41OTRpQi93a2qhtm9sJma6zrGW9ZEv1AzyMklgXcRThUzIyzqRgofDCEtUsyyDe95rEK2+7iAGVe
lTXXu7QG+yOHKTvT65LtEh92kJsfVa2ZOagFMOZX1vxVhtWvKS3vkvdNcy+i8Wl0XAf7QV7+hc7I
ajVZDYKhg3NfDWhyTkJYwrewc2rBk+95WFC0SpaYBT6cWlm4M0b6JCEcM56q65PPr43tELWs1qwY
QQ3SBhBTu6X/q0cqi9BKLaG22LltUuFW+4LO4m+oXwT8rxqGxVFUpsQ2E/eilRsSy44OVmzJTQVB
8yo6uz8EEeVtDHlvmXDpmkhAKfBnvJEqfWn1+NFHhHG62LYePZOIoAsKhOPo0G9E1Pbkz9z+1IgS
sIfVlvM5AUq8Tef0RJgaRwpsCbDuvT6H0u3W2GS/AsMrHubABIqbmuIljLyMx6sT1NDZb2rhh/e6
md8bXTTw9VguwRTgTYo1dZDEkDhAxvpstbjICpOr++xgUJ0iHiCZAu324pPTljbk/II8b+88w/BF
5lQuVLeSkm0/0e1XVwmOHDOThTmInedQkwaDuKkZMEbXtFvEngg+p0lH1MHSKDvuxKXOMuZghe9o
WTKJSyjGP42NNYUiewAEYFJ3KYGtdVNRUeuPrUVgA3h+Y403Ez8JXZdh3/2LA9wwkIOqJQLdEOq3
1XPC0XBfGancUOv4DVg9ouxEQfvJOf/2gQo2qV1md2SdZ4Z1XBr9ROHpwDe566RTnuUcptvQaj38
cPVnAncWdn1IxZIeWJLTkiN61AwXXzEk1F6bbcy8SG4RpMWNNdGImRm4ZUPaCu741a5z34vuGrP7
8LvqElUM8CqbXDyQkn4f2KMDFdP1T1ZhlbvcwhUXBzYZfBVizckEPHOFCpFNAFWH3Pvs3MTZi1ar
91JXPV7l5iPw3S1sjtNQFuhfOW+mFd0Po/owHMb9RYImWBukj3NYUIfQogeyNXGiDNAG7xiuXYxK
IGlF9V+goYaPQMvukJ+tB1/2zx32on0hxQH/FtcjwuhAxeCLhEl/HTWOYgZRv3gO36Vq3h0jfOaq
ekMwsO9qZjuY48FBDTP94WbuA+wk8TQ6Cwi4T5ofiJslY74MAl+/MA2aWa8LmzNpW020hg6gB6H6
qa0LyITRhOFsXb4e2CJuvD29jGZIZrdJCZ8MRXgc3ILCxOX4jKP8ri6b7N7FiX3HVdD7tmMHks7c
wgzQdPxAybI32KgQUq0O+WF641M6Swcr6WDjs49Kl9BQXeIEddvon29QvRtby6YYMpPXs6eOUadx
q+QiO/rW/MmyEd+Zip8Oap3x3rInE2ivVs70H0fnsSS5rQXRL2IECYAkuC1v2vueDaO7p4fegZ5f
r0Mt3uJJERqpigXi5s08GRPuqqst5UfPbELeGhAgW82zDXxg/mQAZPlbzp+dVXn7aEZWSZChLlHM
/CEkU2+xNhXmqNQBestWTdA25oTGWhuK7X4p9SOapn2IqNngiVTsLo08V74s9tbEiweVysMN5nDL
rugxirESUGBEFkXrtyEZl5NU6swdjKekm++wWtRklaFV1u3CBq8CY972D7ifbhKu50cc7/2pS/F/
ai8yPBXKOoQFtzmaL7iLpmMBRJubUmAnzoEzw72haH08dG2ggQwskTqXVVjdZNEgjtXU+9Rg5FgL
6noG7Y0p55wnhHdTW+D0s/gb/uSzYhtj760n2E9G1A1OKG0TnWUe67EABhT2K786+C4hNFMVhEpw
VhyGwA0v/lIt+8hOWRE79tXXARWewRSR1YmxDuBmd1bd+NsdVz95lP04ORszzqhh75hCHlzdzkc4
znzldITD5JfYXEln8GwkfftkuQQPBcJO7k8PHnkVCD4lC7i+ABOW2Urd5Vq6v7VbNGe8r92WxApB
rWwpdoyt5CGmUeFZCvLzUs/JkxMuf+s+JVaIW/RlHJb40bMbXkxmHbXiPrQ5LXAJQ4BMjg2TFrd+
UhWNZXNPD+jY8hMPY40/Dh9qotW3ako6OqLe/SdV9+OIND6mbQivhjKXDU3KcD1hrzHcOJrla5pf
ZQBtJS/5v2mCk4m2K7OfdYZiJ7IxvmQt7axeU6hDDe1rk9LysidSkbx6dQuaMXUJ1TnBWxxLyquA
PgjGuNUYNOfh0cpA5MMbpxaDk4Rms4NdwMJNeFswPKbvbV/BMq8GIn0l3k5Co59DY9MBbvnu6yA0
W+jARhFm6Ntov064oYG56oEGLmHzRc0bk2HTEXnwInz/EMr3XiOrHUBO6tWGqr84Y/Dp1eHwJWuw
7Vp4f11WyZR/uM92pD9m8E0bbnCv2JNdIGYQN+WU8UrBQH5LCSwSGl1Cm6knW81WW55It1n3XdT8
Oiv1uXB1eubPeuyj5JFWSDY3iq2fIEb/zBjaHrw8PtFI9601ctowAMdIpQOIMI/5oZAbjgYn/5cU
0XRWZfjsItkCK2JpoADP04k1j8+0fAK/Bd50LsKJPLcGpFDDD8fhK+6GtvsobQeK2ADQpwRdwUPy
7SUjWyYGWJx8CsY8HRo7bNxvepmgqibNiLdCYk6d2ORT9WagRoj1PEuj1znQFyS1EUtYWp9MQeNa
FXAw+JV3N/GCL0oyKvNEjKEyTcxpjIUCmw2r7rw/zFn0mAX+T0gxKT6EBXpxFnKSNg75LE8fKlU2
J5T0as+gDrpUUavWDeGTq50QIYQmxMn4JW+0kaodMY8fndM+UKvqougpfZ4WGoyygkRWQypwZ3yC
eLmssRtP3AUrHVr70p2APcrW+J86WZBqiyy6ARHMbxbw3Fvlmo7uI/26jI3azJMBK1uW/DSj0nxk
I+Ry1t7Tpeab+xQ4lBaWrLz4wogNfVdxw7T7qnquXFgnFFHiaJqiK2A+xZlUspg3IbZKGV6hrF5c
tu7vC9ZsIA4t44/7l7gbFeWdfceBQbmHIquWY4lsea9ym0LppEN4Dl7skJExB3h/hi8L2SCmCRPI
bHmJVfJt0w3+OC1kjoXpnzFsQzvqbdQwWbxkQ83dQ4ywfMbQZskRJ3+kHMMDggQLpzWmm9V5QB4T
oErmxfmbjxBHPde4m53xlgHw2wlZoCe89YDqrBrBMJHCqafwUpR5RTrKu0/z7EdJrjb+1CDqpTGL
ozYyAld3jCpQ1TXTtc2ry4JSthWp6//ACPljtIOjcn5C9jMnJfNpR2kDXFmOubtmbL+bPP4s+jl6
jMuO1hunvy3S7id1xUuZxP9sU1L7A+0tJL6zDbqepE/y1+m85y63H+2iosBoKO64eK+Oc74wFlP3
BeaWM1ovj5jtHViUsxAqmoDi49q9eJH3w4snOhIXxyLHZWwXBnAj2nx661HSg3h5EL5zC3if4PQI
D6Ny3+rB/yh9sDdzDkh59G89f8RNje150824s43v0yhghbDcwrz8ymICvDGLisQ03q8Y1Hjmf2oT
zxOl2LxIQBmsVU5uKh6tKB+O5VwaGGQ2QXu3oEjITtbplq0LioupT6HTgf7Op6q8QGLwzhbU/dO8
1JTtWktGcjXEzk1UMjvO+MxTZKptZ5WgOoQg5OxMaDMO4QZVB9PFqabPqvL+oFn8SwT1jSueRYjY
uh+42brdCnNNMTvwWhP7/63StJEeLRdnh5uzYYlSrySZTP7IHvqPrCC6ScRrnINHPes7Pqxwx2p/
NQ4Gf4OqvfwPxE2c6smjpo3VJBCBIWm/MKLE28l09C+a4bHK/L9+Sf2HkBEJsblpHizbsA8VKCt5
7T5ba7VnYlws4hTTnXFoO098ywwywo1PtBadYlj924HWDYz3Kb5wYffbuRLLoZym6TnClcOaXSVb
zOYoG9p6VDqwD/3UVpRD8Tuo8uYLG1L1miwlXm78Lig2NIWKaIBDqoPmnGDjbTaQjZM3O+s1fGNL
XQgqO19BBjfH1RWvdu3Pr8OIqWnj0JO4i7x2egrJhWysgs0Esyr7TRucllIex9O0cnSFBxjV86z+
NOXUkCHXymcMHGLvksHarQzAnQWQmUwG1hIYb2wDQw6XxCqwGMZz4z6gbj+S3ppwnJPdDmLc2SX7
sY2pbPG74Pe6S8eW5A+cXLZyjYQGqAaV8TnUoQVUnO6hQFoW/BGEvZ85ao9u77pfllNP/JrbB9OR
g0HNbNn5eGuXGqdcq/GGBGmVcKr05cJ7ym0RjnnQ+PvghUp/fs4YRolk4pCNsfBTYVcOz41ZyAg2
JQZNE/F9qEwMjxENQ2wc89vYUNlnz5H9jDeUoozIgl0zV4RJp9R68nqqnFOnqClvYmOZL3HHq2Ro
DuyP2Wf0PgE26gS2rPpfWvoX9lJ4EIok847qYP5bCag/mMLmiIZh7ath4GBpsLME7CNarGfYB4P7
OchOpWyvyvbfurIDFtjixxVq0cfUhkAAs5FPLgGb0LrwcJi/mZZNle3GlcNerHN34WGPMO4E7cdt
zi21BfxMqVRN1U0v+/CI0u4csbvdMeIXTwnT+24sgFAW4fw6+brBBEhHC7/enQwz7zR6orgIvR43
RLCJKlVIuS4I2I0OvL++R8nLUK0iuYPZpwmw2Gd6vPqkIagXwETW+GnE+hpspyvUL6Wg3g1sbBpR
KCSCzezcuq0dHutGqRf0UX6fSh0WiXOwIqN6IZu0PCZJ/2mJ5L20yFpo0iXo9BwKqD/WA4W606FQ
yAo50temAKrP0lXAchY9TbER4RDh8rYbm3jZRW0jaEsiNUQ4JgXfHv2zPBotpG/5N/z86SuI4Tr6
afChkZhZstC/gjyib1sowcQS+RMqubynIfsjvkVcbHPU3+TsQBBFyr9TrZ9CJZ/7OrWRmYqc5Hpq
Xd0oQuYQnYVzO0jw/Pj1dRbd1+i4Hj4i4Oh8sD1E4fg7bwjem6j7iZus3rXhRA8qO7WH3muqG6mD
lTChymssvfZkZzYYUxdDSmY5HQsRCTzLYv09LFl/7JtGuaidrn0dO7s4aFFQGOyW86G25ualJY+5
b1EptmXJGFn34HdTLH2JnAEiBR1Z+hqLhtUX1DJNY3FVeXemgMSk+I8SeSOED7ohVko81kPvgJKp
kAq9jAswCc3+M3RM9+iWXrVWcAT7RkLDKKNqYG8e5Se78vwPZbmkaYSx76vcai/4bsvTlLXduQRN
RLxv1NuCKy1uBnxrfeIG9yYuNJTHyn9OU6t/8W1VnEOaUI9sR6K9bDxNh2gev3KB7I+8jbmq4Jq3
cSp0ffcxS9h0Ga5JWCIh5b5Ti0dBtdUxrBy2ukR2Tn2TrC+eBiMEUva+o74s9HJqgxfzW7axdTAe
8JI5QqK0BB/3tN5UyXXrh9RMq5TFk8YQXNzMtZqw35DMFDQe70oTfXQNSKLMJfHFv4I6o46AjSgJ
RuXFQjwxqV7KINL7ZF7eBq96SHOrhrzjhoAIWnoH2Y+R9BBIAUM579kjurtypOKq7pACCwKss4+n
dM6bnba6EHcnVHnAmE+zdr+GETMXZXlkGAgZQgwaHodJn+eg/7ET3W47qe9NzSAy6noHNTh7M50V
PIY+EaCoGzGA6rblQAO/2iFaHy3bWTmjGEh48tmV2m3znQ/YesC4IyU5aXaIeHdAYSKIR9CpP+Rj
Yu073caHgrl55Q0lIFjC5qZdRPXsDe5819E+4OKrYeAnpmrBapmkktRVivou01HwnFONwe0w0vIP
nSjcKTx6XwhB4NX+R7LW/PCOBE6o8fgcooHuGjLYjvuixwS/V0huzNoPQG864LrzgrhjBfkLdtCY
TWlLXohOWkKccEjr/nWhV+woiSKdwnB6UdEiAUcv5bMQbQYrhpKgY2Ws/xMl8sSbZNx7dR1dGddc
kCVWeGsLLGVJkLm7rB/uGxJ/25rVwAUvSnYKp2HhBTJQgJiQkw2RmzdOZ1dvrTKk5iy/59vHLeBZ
fGM0x6DrYOi8z70w3Bc2GGG/BD9vpciwbscNIaosMjAuv95AeOzpLNb7iQDC6oTG2deOsh+tkS02
XRLJSacjADneFvKXipn+revkv1JrntY+6a+Tla56ByK1Dtph12a+2DZ8ogdphVQEFwU1dZAhEITi
rjiKyK/viSKRCe4wwnK5TglMNTFRVxmfa/oMdnbJC5B/6nsSxzm7DK+/KvCtBLTqW+wb4cbSsX0R
Xgazy3X8Q+jw1m3tjn7cFD0qCPyXSQ03Ssv+t7D8+L6YPf3atgW0TKt14Krk9NPiDIyxbcHMIWNN
CXEyRfE+QsLTfLDEG+qBs5CQlXdEqo1hS3p3VN95h9zQpWEx4d7GdetAcenkVRkCYEkWAO0I88dB
SdLp1PXggIu2Q528YNF9JkXH1hM0AZUbecJXZdk0GRq93ES1aDfKNb/JVP8TQR3d0El/O1Mf8Ixr
ct5y0c33PkhxgBz9KcrauzAieKzYze7tVmF1mrOEBdai90IFM92iNkFfByNVjj63Y/3fnPIJBr7D
HnC3AGJ+pOnPWkVrp4DxZHeX2E0ZDXpxmbrwlbUEhJEs9TH70HjI5/KIn/1bKNSGtLOzcxJlT3Um
vHeGCdz9K73GqKg+d8XgbFoWsFwXg4PVArUOqafiPPDD/WL0N0x+arml2k+sUt5RhOKj8tv2SOSK
FJ2P1K4J9Vb+mmgzZfsZKGlRbm7Jaxb7/+BypQdO5htKin+ywndOwdIDmgTf8692w18eU2ZSdUvD
QXx0RvrhPZN/NSHiOcONTXxr6Y95nI4nPpf6KJEfKZpzyxMP64j+ww4XnJXe+kHAjrTlKMUVNO8k
RQy7woMx0c7AtxWUblc2B/hF9dEaw2431XP4JpOe6qwBJ/hoa4tcd2s/pUaRYeA9hgG5LcqHJhge
8jLkR8DxTMCiPDUuCBbLyb+6Lv0DATMnhcfhwnKm3VWlS60THT2vQ+3iFhia6pLMRl2byLi0xsHD
yj3w+eA/fv3YdY91gopKr4+5THPT7woE8nU26nZNiztmoH74xiUfeKwifpbpCqrtp1g/p3KpuJ3L
rxpHwFlkxAFMDgF3tAvug6waHK/Ir5ZObABbIOKjmThYqd/peSVtM+UkdubSubr0c+3mUPvXaozZ
4kUNPeEB9tm0HgfILsXe6/ix2R5qNddS6Ny1d+MhxxP69k9l1D1JLxxwauaf3kzCYRzqekdg6ykK
QrXTJWPrnOdvuW4BQPv196SqLwOijfEreXBdA2ghR2F1V5pN+gNxot/qGMTtMNGv5WbqdwySf8KC
Dshm7z5pQvhcgNyfrAY9dDFE40B2RccMqDQ4eOh8w2JoxqH9hMKE6YN74AuAq0819vqY4Hdl2QeV
JEVxYSPAmiJBqENrUOagICueJb7mDRW96PwBYn/vB9fMW33wbK9PVYitz15qDIB5F95VJiWTFcN8
sZsmOrRtAk4aSoNVMsYU8lHEAslVJFhmW/me4fkXCmcvwCFsFQXp+IkeOLK9X6j+uCHRQ8ZCA/02
PijG1hxBUdzV0/hNjgrACIhpChzZUpVV99P0Lh8pexzMz8O5yPK9K4JXv2zUJXQVf9aAbNkpnPYe
lYIqXA1ht8jq6mTUasRvA38XLnyb5ZS/xeiOn3qOanazGPp94nXbpQ8eok4EDFO5+MkW+RRQDfXC
7UK/UwbkH9SAKD/TTbTHudJyZlLdPfrhbaqLdgeOhdqISL2xFyJ/KOpgx1iAL6PNg5fFk+8RIY+N
imgud0bMNFmTFdekY0ptgoYnjh3MjS2xX6Y2J6aQfXmjsvGeogouDOhKHic0/kqNWxHWyVJ3v2XQ
NWfNwuQQZAZInmczXbfWH+wUKyYYFgRaJE6bDM5ayPNMOJKYcmhT7NtjFRrc5SbREbafFG6X5772
NHtboh3vpI1UEdoJlb2if4W29K5TCfoj4J/JhL0cliCcbrxupehCPDhk5dxt6PX4HkT5ELsZYKKK
K0GjvPFUWJo4XYPLWyygeSmbaBL/4rvIpVj208NShd90SbOh5GLArIEBrppYcVtclbdNw32fwZeP
oRqLF26tSBgJWbtsMhdaXZJL2yfvEHH/VhaMHMdWT9QC2U/cOwjqU6lAdwDUGgdrsuza+SlQ3t+C
GxU9Jrzb5lCs/czN8FlPyLoRiQMM8zRPUeMleNw9AtTGg42YkR8h/IEZJrVQt7LC2nMis713O/tZ
eyReJsuqG97TZtyVmlsEfpH8oVHwJqNlkCAiDZAi+yEz6NigM/bjOLybKj7JyH1ikKHre87ldcoI
wg1dme18Iij3Xt78ujOGF19U3tayAhb98qetuNIrm6qOlkWGm+lXu4sEfHCXeE7OPJ8Hvk9ssI62
WQmMZilvQvIXOPqKh3ntHSqtesS1VQ8s5lC4Gl9f88qcjZcnB+SIQzm01p7VYHGAujxt4g5onFhr
SnUeX0RSgj9MGohcGaIC5ov3uS+/AazsC98PH1y//mOmBYNThDZz0X5KRWSCCD0HmC2aKS3PqgYE
sDT9cqqDCIBYMJXmgSGfXWaXFlRR2OP3GMTtrUOhOGZkZb6MQknnRC//LAatN4+gGjMJYe0J0n8D
liLYNiCl8rzqdpq6Hn5mZXtKydcc6ALlXlBUwZUBfTgpY8zZgdRFWx2W4bJ0PmxuOBQolv/6pIrh
1OBzLOzYeZvUHH4krKW2c0EQpJMmP42ilXeM6BQmFlRQ1DFuviJKLLh8vsXOtLUf01RgHLX76FOy
1nOi5kX6K5vc0CIYG7CxkzUbwG4MWRNS7gn8CBXapk33SPfuronFXSz7D5mWzzk611Zg6b6OTUQG
Lp30aSINtM8SOHiJSv1rx7/bbhKBQ0+wC2mYUwewxa+FNrFj5VieAlFU11qzhS5j3nVZH372PY00
MrFxfmeUpxc5VTR8D442dB/aLB8L8ugbmn7U/UDJCUQb45xE2n1VS+ZeEpxgBD3cO9W2JfKMXb2y
R7s67DO5znXps0z0dJc5XKDjLohPRawq7D7kjx3BLrJTgTwkU0vQK5X3skzGazS3+jjBOaX/xf/i
BwzrMUS97MgFDSSBhB+fUOC/5KSfMGk/+SL6ayyCe80iSuRYwD/2QvPbOvjnHTEIUYTfU0/tTJw1
zv0ILe1s+9MTA/QP8+q0k3OKZ9+VewparLODeWofL93JDuK7JObYQZtObywv+114ZA62qICOl0V/
wZiDJy9rybEjOeGFxps6wiyP4ZW+956Q97GV0B/GHNdFabeLVB7cp6y/OR+c7KldXXLIjVhkHHLp
EZf2Rgwd/UwR6KcBisctzYi8VGOwuY1hG0+mg8qE9NVx7UcVqYcMi/8e9oi7qcbwPAmQuRrKFpAV
9qGRJ60TG0GannV7Ixr1sqTje6g5qNpxSc447LAdQu7mjTsd60DxzISSG1TDraPo6v0UlM+U2NMn
goF43buibAneT+N6Ta5z/1tXoc+aPL5Q3bcWjRG17SM8+zbr27rpKPXFMhKEzovqwquXTZeqZv3f
5XQZIIzlmzbEyDFG5P8duqQCX9M2mGj/YmndbcXY3GPGctAm5iPrzJsRAYs6RmLf7dg9yyBT+xFY
wrZ0k4/BNs9eVs03fhNAj/Hbv6KyyEmshlV0zvRYLkhyXd39qwY2TLMtQBOwOkacBUVd4d/ednNA
kU8YT/ejNx7bKZlvqmh+TGf5iUEQ9TPEY+B7wAKzsuenmwIcjyCOI9t2rOzdJ9erXlPffoorDNUc
djAge/+ZJwZ7hV/X98zCjBhc1NB3cYOAibUJbY78NcAGO6fVXOOM/wdq6o2FuL7N6nk/DQ0Dal2P
29Cq5KmX89kmN7tJ3A5NEavwNasJBU8TVkwcSOvCkIV+ZDM4GvnRsOTkP7N6d6CarPiRZDs3ln/K
DMdzCWVgwxxPgw8q9Yad26oAqvOUqdesM1DrCq5cRsALSoAp7YIctdVbzQx5/VlBMkCsFcwNSfsI
3huZgDBZwAPJ2mIhIE1O/pivhiA/lT/KdbDMDAaYhO1+9Kb8cchrb3PFMaNldKz75omdxocnF7zT
S25vU7e8AronFzTOuy7HariUvoDwjrEoJA4uvSmjXQdtyAus20m131Ue3LEbwVHrmBuzjLgLs+m+
0l1x51W0idIGwiaNtTXNkX/GsPisQue+dkDLyEVzCGfFxQqBiJL4EHtW/AhXHflOAjBQz5ee50jr
30mYuyhL+CsRuKchBl86yOlYRKokRdKcXK4mtHNQz+GaH+lnLynrHsrgnd+hk2ibzjebVVKPi8tr
sAc3FhpmDWlHb7WtcONZFDIVwrByWMY3MGW3dGN/tpp8VDOxPVytUcMceSfj1a8LdCJEQG4CRUzB
sqJpxKNK0Yu7Zt/P+kTFBrxdwZHYJsGexOWDiTGvQ4u/1LHzsjRWc4s0DUWQ+jOHJ5If5lX79p+y
J+NYRON9QpzB9WZQwpjbiErCWYWegw3IZ8OBz2Iyfc54mMANDb3qGDvU+mB4cOg94J5W2+N9bcWf
yWjejBdBhEzwBKRT/6/O+3fPd551tLwAQXsj6XxD3qDYAZV7thZMsYNGS1yq2T0VjmZzESbybLn9
nUm8oxHxV9CX/A79pjvLuKOzyhEv0eq/wtiJNmSSf4iUlHdY0LV9buW/NucjP7aCvYKnIy4aKiKI
Yfe3cdv+1CZ555z9GgUX9aUqkKZhr2e0yChU31MSA13nqCd8wg+oT/mTHdyA5LsoUx7sd6alcJc2
eU8HyUD/eO5Xd2kSWXheqNGM2SOfI+TnS0O+aUf8i+LqjI2Gb7oZE7Zzh1x2a1T/Zc/JMw5YWih6
f595Hln9nr42JVy5xYi719o/61QlD5WyvYuE+3QkjwOvP2DrWOIGpiczC47sCloM5z1DjJjfARj/
c3oYRU51ntvIOi6w30/Ejbyts8SoSEiRaljPeNihlzD1iQpXXs8S1f1rDy1SiOu9GgzzjNNduvN0
8KdGubofSuu1xH+zy0bnb096HKtP/tzjGr4PJP4HVQB8XGb10cUINfhj5/cuTt/AhKEAZoUHZB/+
nySNUIfpNcT5uCugO+z6mNgJ+2DOrUyjrsdT0G7yyq1+IzxG1Nqw6Fvi29SZ1dXR5W2Dfs8z211q
b5RnzSqZaY02t7HDq+H3U/+mkuI0F7CYklBeRl/S2bXWFa5foZgcfzt0NgSQuN2zy6RmESyuN/vP
qmu+6Rakvyw29cNSN2grHY2aGF9YNdvyxhbTIRmog5pcutNGotAbq41hc4yud1Prvv3kInUKurT+
afPeUGAfT4+D4+PwU5V8F0tPc5b0l0uC8/2IrTj45MzEF9iasXxeHCs/wiJgv2UaPEAJ9QRlR7DP
S1UOkAhiZoSf5QAVBbJ/bZoXdDQq7bAkos4VCn+9x3dWGzkfcqnpkXc6/Z4BQrhtIQVRAYwZwRL2
IyNz+zPVPTJelorqjzc5Yp9Nzs9Y2GbXZILMb02daj556tWLw+wcjKr+NRn2VkokXqiltC8GiWTD
8Lz8oh9guJhY3NQsAiBFuNj4TR57n24h/Buu+4Bv+ZymXTgD5XSb+ofC49V2CamSARGKZ0Xb4KiI
+8bz/BLlVXb12SLcWK7Uj/i7gb5aFSG4ynYSjD9R9uVMbCXiSsLab0BeFKIP7lXMw74R7oQwxiod
hdCPbVx5fdv/erkgfxEOphovTILcVuXwN+2l/1ymjGPDOHnYfqgorvpkwfFFZiqFC4fOxE6oJ7KF
2kzpLA+mAwoNo5iXcgueILaZVciNZCYw5mIOcZKaKora8Fv3V0u4KgQtzfn8SNlh9IcXiI/blgVY
Sa1kJum48dnvHmzq/uKKdZiyIwOEqiT6qKwdq1RI32sGvrMeJav+B7GW5g7+TCdnXZ904a+5OSuG
WFH07q2ZbfyN0VoKbzv/ZIv5olSuxgo0H7Rr7rGkiE2wWMztI9mATVEzDTAqLiQ6e6c/GKoZd4wz
eq2jLICrEpA4VDHYqqBNGNwD3DTcvec0vm9Li+E0Tpa9ivJpw/u74uNF7AugkBFcIqlOpoa3+osF
KTKSBQlp1KZrFrFT4HyxQIiV2WaWM+v3IniN/KD/mueS20rCbW+J151wk1zmennriPUTOz6XOkCv
jwJ0wcV8lvS14rZubitdvJvI0+cwiIPPPnKYcxRBgQdqbfHYoflyBDtx8le2xBpl1oXsvE12hiLI
1ADlh4JGt7JIjMi/4CoxdLoC0+qYb8aWdr82Dn9at++eJrzClB7R9bt12qk42XDF+q8cJCZU2LmC
Ge03xVgdy0ACFOzxiz13Zo65nDQPGRg4brZdsat7TmDoHkQ1FzoBxmJK90NHjWTZZgH+wfw26Dyx
A11yNHEEgzUmF8ymn7KcSNxV2gPda+DFqw6GqKzcWztR8BQLC7k/uc8V88dYQ3o0Qr6K2MaOHWex
xWuXQhTMd+DYBOs7rr4t62gjSANi15p6XiZ5+14kHVNuizQJfqA2zBh9TNoTuF7LtwTx321ZlHQe
ZF7lNYbYZ5t9Q+G4AUaKDOzZzhMbnfllMmGPndH7HuzgnYANJsiAsYkFZL+SH0YClGzEFdsUgL22
t4O6YJCb1Yeqx3NZ4l5rdPPcCHTKnm+CH2TRnpwBBiMx75GcNFHdRuI5WRR2NzWyPIz4rAHdBKT1
coZnmAaBv4aRoJm7HQXybFNaYmroA/Ep4jmx7JjsZzC3uwjxAaEImIDGZ7jv6wZgINElePRhfej7
/MUk3T0AmpnyXWKuIbMzZRK8RAlEPQ4htwy9ijZzneMiHUeuEAr/UGuxTeDkqmF/kVhNz9Hi3OfW
QLQB31ebE4XL2uq7cgx9QL7/VHLOgge+lrlH2XM68pSpql17kNalVPrdMx1vdV3/stVzdrHgpWpo
T4jFPNyPY/6V5fk/jEz73vG4PWH9xkya9IvotlCOSzxatqQtt14aQmZom8uXSEwaAIYVC+SE2mUe
mDKiUswMjX7OGI3VPkgLXIlBi3V3j+Ntfoa8gojbyELdopjQkMQJW797aU+TlFZdgDMKn3j7sNiF
ASOT2+MHtruWsC+wyRS3UjpiFix5wNNAUjhQ0OwGZ0HlM7s1fGfboeHgapz42Y57/8Fxk7+TlK/1
1D0wxLi8eJWLXYdXtKhxr9dBDjNW/+0S1h2Dr/KvSLc4e7r8TZZ63NaWU1ztWa03NEyw0TooqpZl
RY7ssl3gY9+5jTu9BVyEzgABcHJ1TNeolwhJZWh9l/ZASkCSpTtOgmwY4eUKOBurzDMhjYjWIzqi
UaAmi1r4kaoSNkI+e1t6sMy9Z9g5kqtNdz1Uww0RASoaE5yneCuTD0DD+ZcU9HjjrbSJ6OLy0LgP
NkWKwS8JcG+4PvnmVNb5k8hLyApVo/6wD8uoh+v5Dw9p7ZOhAmjmVhz8KDYMYVadwz+NRLhxWesf
uK+lwKuL6lbyCfzlNuj8+qb1j9RNLwfqlaLfTHrzzxgG0YMz4dbIXbqJ2Yu7R91o8jtII1SCs7Di
1zZ6wV5mUX6b4Ab87AixPCLqNM/u6HRbFRdsef3KL1t6ZOFsHBzm61ctFkoPER3NQdMmD3g49sxj
WdTtyxwH5b1mEYgfYiQO5XZV9hRyxLzzDZp7WybrO6hFUGgyyz3UscDRVNkFbQ+hzwunTrlZNN0C
Kr7PHXG/eB3etJq+YLEpBGCFpVuaYeesZM9CBOIC7oKi4mkBwF+4FnsjA6U7ztrLQshg0/cWR1Gu
Y+xqsBvdAcNT3Y+KUd5EV82HCHeO6TUcg+jgwo/ddGXyWQ01bJYVxh4VK199HaS8fsq3cQazqOxt
/+o3sN2SEUE5Tar+KB196xC+QU5Ezl+clAmjlK9jTXNqyjJO5kOP5xgBqDcDGSmJXzxBH629mE6C
GCExHRjy83QKNnrikPMtrgGABle0OW6LMa7PjQcAQ67EvsJRI+Ux2LzN/6Okl+t/Nh7/nVtFj4D0
aeKLsnfoFFTHpdRFJUnFJdla6Y0sSxNSJQs/AlbdcbGF3A4ldq5a+g2SGm24e+zL/zg6r+VIkSiI
fhERFAUFvLZ3aiMvvRAjh/dQmK/f0/s4ETuzUhvqVt7Mk5OPmWFgJ+ey0aToHed4UNHO7s5Uffux
7T9TBld8FvfFVXGv5nDH9GsqpmevZX/YF69JPmSkWTpeHse4xyyb78JEBkCTCcnBMl/nkQFK2ODL
4brZlcf4e6PaQzIT8/WmCLm41ZjYrfxJecXrnFekzOOwW+OlHE5+BiDY7flSCqfbii4yln6K9ZPr
V/RiWf3rENJXitqwHIV4Y1rvORxFGh6ykrADC8o03wsjYGPec7HeckHPzr53J3G16BVJV3qbPrUA
A2e6OYFoGJe9wXObL2b1mWO5p32Wh8Ng5T92GcKTnYZbQJQOP2v/LwiQlvLZ9q/AKeMbxcT1So/J
c1LAEWO9BLXwHtUduOPsInsItmbNr+7Fd19+OSKHK1dvQ5gPyyjiZxUGeyCuIezGS8EydbKuGGWe
Zr+jpKaZmy0FzP5Cy+63LIyfwoFho1z4nGHMZ40ZiDErC46BN1Gj1R9ylznezaHAJIP1D9cEQm+W
f9YxccHGnKxlFcxvw+hglaufWexAILHDP430DQQ9p3R90NbZSTokM7C+a6829mWvjI1lGM9egH92
8NhdjvKOV7aseD371Tl0nTvkOaXDwqKHQfMQ7PCnOhZ04jHSP4ouSyCLZDqVT1Yzbrk5moP1ErC7
Yrs3vAZj/kwtlMP7xmLYSau/fG4f6gDdy/OyG1aQhksnJZ6U8G51O1HiNnLPsrHTUTw20B+EM7V3
xT9h+/VuwjdOcjv6LkQJwF0IBb6tePX6vNkKrx2IWeERH3wqAOuQYH8VIFpxWnCrdqmad5Gl8DST
Ni0b8dm5MbemkTKu9C8NJK593G4HbJAwiwPwHMIxzo5dXrqElH/hKfB4EhH9Dmi2SfGnHtV/xhTA
G2XJjqHH8mFsTntVpuG+ccO/rNfA1Moebij4z1tpaLDegZ1w6R+GXVdDtcpnZKwozpKjzqZkF/fo
woBIgWkEVQ/tA87ksjNd3gJR+DuC+wc/DMYFQGKLB3Hj4fzK3526oyKhrq0t6z6BXk/UNW+uc+gU
Z7dzv+eG70Cu5Z1X4CMD139eyn0Kr+57HNTXqLXM0xTlihmqZvaxK3zSC0NpvIZN33wyHREeV5bz
Q1rB/QyBShJAZ7leDvWwxicyHaiaxw7K/Zh+2tS/cstEXee2SjZRSJZYwj2kqK+boi7N1VTcS1MS
sg7x3UIbtf5bNYV3ayWKLuHt8KxiLkANgQYiRuoNv1967uJKX5Ohz06DHT95Lm9Ghq1m75n1hx6K
npWri2oXRNlyiP3sUihZY9umm564tfmvjmiosZSlbrE7fhiFxv9Rs4uqu13PU4btLD8xDDhaO/gq
h9KNVl1pIqw5/sAdXSPVMhHP2zTkkMm6oeZCHqmrP0Rkiqib3ZmGYb0qWsN3Cp/AIo+rn2G4M2YL
x91rP/8uqYJYQgO+VUT808b/cthOrRm3eE7nEvU4nbDLZN5S2c0vNktcn3YDt1tn9SlPsUn7I3Ay
hLWmvJcp3e8146StJT6TCKV1xjNTg7AD3mTcw8rzyql4sIopf7XksEPRDwGf6PwWGZb64E5drnTd
TDuLbOrNHtu/rsKi69d1vW1kyCIxqjyQgbQQ9AysZkqUykjtaMmE+sX1pF04o/qZaprHYz5561ga
740bx3sl1T+bPSZQAG/eu3x21yPmidWo/H90VX13YUzfiota6eKGQmWrXlWTyFPueMPa6e/zdUsW
tAnlcJCdF3+SvltbYYf93p+b1dBUwzZS5leeAcUAylzv/bZwL2wcjtBLaXtyjWDbB0hXrYoEXvPJ
PWapYSxsySVfDuGX1zuYeZ3hHYv4zak9d1fz5dryjrkAvwpxCMIIKxDmcVykX1p7XyjQ7Eom+nv8
tivPrnDYERneu4/QdWH13u1jo4YA1kfBb2RHw1m5Ld6VYehWTNdqSVu3ZvzREVyBge6bnB1GTLhh
M0zeSXaCr7iicyHGQcY91SgU2TwaRvQq5kcEn45kUhUWWWXLFuAw5wNA0J2k2JVg/lFa460wnDff
L1W6N3wl7m3ag+yvfAgu/uRvEzxJFMLBSpqiJzu/M4+NbVYkJ9uIns1SXkSqylVIjdwQQ0MXFs+c
vjQuEef2Ih+BEMO0H4f5EUkROR/bZhS/WtSpqKLkYLPJPXi4Vx0w+fegASzyNkJDmGI4AgpAQ+Cz
DWlz/XgnWFTw1EGMhWjQwn9M5+jTm62DvKOOZ2SEmi9+1tGEW4gfL+WrCMNgWWZQsaHrqtlch4m+
OlX8KVKSVlHzzEjHVqwYX6il2o05izhMYTyGy/VMs6wEFov71z44jrlOy+jd77t//7NncMmRP9N9
wlYzBGLKwca9M/rXT6rF0OESw4RP5/jmWbOrgqrhUZopzbOXlacZy/oKvzXaI0685d0S+12MAReO
SB8dxZoz5IBdYBTBasjMsm11RUC5wDD4iQxJuXY7Qa51kiu945eO/mgNCB9BwFxUVTduXT1ghJDs
et/ZBf81Kt3lMfPcPPcfBLC3ZScPlZ9+FI1+top8l7K0cOHPAQkKXy1isqngUpvn7j43g/2gvVer
ykElm8CA9JDBw0iTca3w7O44fhkiGAAWwpyMqyiDG8b2y+z03xMFdDuibQmdZSPP8P65NV3J+0qe
EYT91WlysXAk6ySIyX+QnaEJEgXb2q1tLhzA5ks2T1t8LmI1OXG9JqmcbIa4eiQRx38Uf7lp/kJD
V7DBQcUvODPRVtewJJxBkxT0/ZQkWJkQoZsoI19RlkNjQDep7xB0zhtP6CPGrQv2zAgwrPpEiTRP
HiTkXI4/CqXezqqKbBolTS4KnYky6Gl3N2fWR6znd0dDQtE4QwzX+FW5h3ipqj+zCoM1Qioc2J7X
xBATfOK4ufVN+Nck4XOfu6zJ/TeTLuHlnS0ng/sJwjdtYdMdnQy4MnysZitpssdEyCPTP5PkM4pv
QhH5atJci1MxPOUJy2VewSfwaAbfEHNrUnDdTNxBmAhew7Ahldf8C2OC3QSi+dkDrKMDU/DSjNqj
afffVeeqBcnHP6MnIuDUyfMYczLb/d3eGUMBm/o3R0zpxnFGOJ9cO1dQxfGgELqKUIaIIiQPGN4L
qDeMtHQi38ppJI6QYzkRtsXaarj/OKn9RJwWQHa76bP74OyU7TaOEVSDynbWE2umR7K1cC787N0k
vBh6JUqNmJeG07yVwj4L29k4qqkIi+kLMdiHuOXOBeOZbj6HDWbNUycRNnnNoKBcYyLeUXbu3u3r
td9p7j0m/LPujEXjSZIrJevxHlnOOjO8g3AsBtZ6QFPmIRe5d7tcNbI1tMwL+87zNBuPfV+sLcYx
8un8fOOLEcAZ0QGHGU/jTzIG+tGeWDJiFGZv0/v88r2xdg0WgKKzQB2KjIRt0RykqM7TgFBqj8da
Aj8ZiheSfE+qz1epYVdAXBs8rJA5rDnY0RnYr0InbY+tSB6D0sLiV4+c88zCop9PXlXI5ZA2pyCb
8DGWxNqG6NwzDxguxBn3ToFKwvlf3cAQ84xgM7QADvK0usZm/Nj41o1dIEI1Fqccvd8eokeaFtYu
3s2F1eunIPG+817yBqU/1C7+xG33kQNXaCN5JWt0aX0ODx9EveNTnmuQI2sob2v4XeWEKsvIjCOh
WHoipZ/CP5qwLfiMnp0Io3aWJWeSxnfjICuXKTMfPG62W8qwVwP887VLxq2dvYui1pKWr3UUGE9z
IjyO7paPfPld9R6dsz7mqNlkT21NRxnZx7wgRR9zEQniYZvlyZ+aARL2/hOD2ptS7ouppl+SKhta
vK0lDpB5OY8gCs2gfJdlh5utab5922n/zW7MGAdqkV8m3Ga1kDsJu3xVS7YeXRVGZ8RUuZeDfgUL
t9EZno5W8FW1zPAiuZdzrtVwy5P8WSOyOzVhBj1E9zSWOtEDGa56tr9AWvxjKNtH18hYmct436AH
LyvXp4o+cs/8boAhy+bbCmkASMZfd2KrB/K3Wdet+2uSOyGp9Jg4/GV7fHNG8Ou4kXY4UbalNrcU
x36ZhkNoIvvmu3EaxxkCFu9djhC5lKV/680o3aVdtG5quTUIWBFleplV8FrXzVcc+h6lgemLGuyz
EhU0iaR/MM2C/sBuOuI3/YsxyuFxsOC41dXaEvplmtMvqIeXgMTCvdcGYU+6R0Ah16yeBibY5DXm
IoNbJj5nRA+mEG2ksPo3voB0N3jDuTFL7nBTdI06h6YUnr70qHwmSCcY/KN9Wo7nmv5er+jRzUz9
aCp2OEHafwpw2kuuBJ+jdP5cH3qvD0f5GBCdc0y8gNlcHXozp66Lz9SitpO3uaMWmzFxHZmet4A3
NiA/lZi+qBYIGRZbwO3twVBY57qCGHSsQkSKiIXIeLY7g9VY7H/w5ucLE/9zjAHe9aqrZnTAyDFS
CYx9woWl4FkGzDVVvYMpoE+PaFNRGRwNkfWQ6PSlQ+Sk+AFoGOCOG7j/pYxjoKEWZNziEDbjv0DS
pugo8zr1wzGy5HXsWXpE3Q7w+c9dCqUZrMNt4pTnwUjWeav3DDIrIbKvkOmXN70wSIXjDvEtKjTA
YzDQ0iyFvhDutTlSYdK0T+EooN8POCf6+pRM/ndaxkxJkuCt/x5LFtRyenI9CvCswd+FXrLlEzJe
Rt9MdqqRxjJs42AJZPNrHu/ePjuuNzlvxgYEj7PwkdKXIstzvL6Qyya329RpjzOKAXiYseElxYNZ
em+BqDctHAmuIQy/3ERXILdXsudFrYN5ZeNWXmPa2IRd8Vpn5UtO5/Qy9YsXz0SedcroIHwIR3Xy
huUJG1XowE1A8ErreTMFJcQcqk/sqdgQUK7WFSw7MDpnzKL/WqdcjhP1ot5knGTFly/R+gycDs3H
dXntYizOgsiBn/X0PkDkB4ZxCRCYO40ZOaurI7DgbBl4jjzWeXi0RwcVMpu3JIT/lR12CLxXVEB4
2U/op2s9yjcrFys2qsFywES2mGiFIuHbJxu3ES/k9nE4FbyfnXdKhb2rAAzhnE8Odl1ED6FPO5oz
gQEx8h6QBn/dcIGfoKxCxJo3bumvXGC9bswv0OcsRbK8fxvCbB1MGeeYooC+9HhWZU5740lMt8W9
gLslSrEatDxKiDoLJQXooNrjOnlHTBPsyMqfZIRI7rUfaRztCccdpaOBmXsUK3UYe/FCUWDlmyoF
nYqbLaYSe3JYPS6kN/HgTP8N0fwSTT3REgahRXLvPAiEdQwMQYrUe6a7dj+3brSfgEN3Y/A+Y44B
Pt0HGzwUWFw7aiGQmldpnB+8VvylLcd5Eey7wnjLylrSVIiNNr3jY/rE48cEWT1qdVE+N22YyL6q
H4HY7H1DvePPPbKXvbm4IZaFnl9E604wqJJnAeGjYKolvnlA5cMlIFy2XUW5GvG7yCJyAbzqZ7BL
pJkn40EIf293Tr0SnUYKj/YJe/18olYi8rmIxZmDs7z2jrieznYlfn3Luthl+dXNpLYDgoV53trL
wVA7DrOTXXGvyYfnOQjEbv5/uAfgNFf9P3wKtF16ExZW/lNouWTl6Xytz7W8979gZ0VMMld0TNzq
rCBFn/8GXJKGBHGmJftZhMmT9tQHQBscsDp8HJLoOETMZn7fvHhtt0H5fIzx862bjv0YvtcfPjHs
e4HEKikPosheTJGwaHCZJa2kAYJIB+zUx+bWmyuY0vhjDIlRiO13saBSbTfr7ORW9Dn7qI4u90+N
FszNIXicgbXT4sKJ0PGB4XXczYn3i+f0tZLpKTCcQ8vaggEPL5BVcSmEFogpootfK40Dehqo7gXj
gVrdEJjB9M0mykccFGJHlfm3zEK2qSnLwoGxFPuoTRhzxU4Rgkpx8oW45d70FTrVmWaF34rtHXfW
eBVj9bZAsIvAecDdhOW7yH/gSlSLiYyZKqynxKtpYe59Sk7uxmggXN0At5VB7zjq8iQS5yQogpgL
rohOgqU1rvdVQhfw1OgnRu3b4IldXbm30M7hwzFFpEAchgSDasq/WoYjlaUetRhNHH01vrtPrejR
SfXBhUi2pdmNG+Kc/AtFyY8QyyN+xr1pk0JtQqdejtCUlyOwq9Sfqu/G50IXCSRuBIsjBh/9EAna
XzKlv0TNFja8QwrrvJJbv0kxzjb9kT3J76iLN8hX5CxK7TGtRAfZKheskX0GXO4t7Xj6c7M2OOau
vbXT9pmgP1j5lIIFxHTjwDo2WqJYUoxnMC5103hwYhowI/9oo2V3hYXiS3tBDCdwYczjcye6C0I4
T5s22dlGCaTT6P5MfExdkG5geuyQJl4BiDeLxMChxx3mIy7Ns3WH+Yv7uiWJ3PUs5WeLBbWPiO1i
HQyd9moY3QvLuUuljFPv3rsGKF5s+vYLUutv3dlYmGxNYTV5fKAtOz4H09I0/CfTC8YNFc4crrF9
DtjHiqz5EyaOXJ/e8cVQ1RffnMyFRada7HPdLZLsoU/uqHUA+nl8GNriSzuet7TMyt8TK2mwRUUc
ec6Sd/sVW8pm6O3f3suzjerLYAO79ZblqsGeS4YuJGzI3R9dPIbXviQ+Ssdx0EHuq3n4utWjjpoX
3IPQHIawpKOkdDCoosGwY1gNtsNHlycAlQbzFrG3wDsHu1jie9+MmdgGuQ+xlmpumRcHl3C9LwwS
BRQcsbJY8QRdjqr76VOVrjsWSBsWxzCW4LltazPAteOC3IfkzkkNHKj6XxS7n0n2pa+ipzIozi2V
zJ2UWzmbGwoTmlXqj+AVzG9L8iSPBvMnFWxRXO0Dc+ybLdfTS3sHjhvunu7LmfUJ+eEhCbdui4Uk
EvF6tDrYBCQv1yZ+ySWoz2GpYxI1+RyEm8EhaGLxPatCChmnJtmh9b/EbUrP5JhstGltEGHeS985
mmG2aqfhdU5pEy3FzQrzF9+afjlYX/xp+kpTC2uotp3tLKExC5igfWCfdJStPef/529RrEnp9Phj
seAEmsE1qZ75ejGHdB2ZJ4+AUH8cjPo6+BXpmxTOhWV9JAW0O8w9Z3LpmywPmO9o4YrS4pQ67kdh
pk+eZUYH/P5MfUV0zVJ5YSdx62zokBxW647DdTF7xiYb7W3QlZ9Gx0RqRX+Rch7SyOZk1Nu5yE9j
aoKoIbgCBMD9pzP6+MjyiZKpT2Y37MsrGqD2lHU8mtrHRWX9tpJTf8ywrdy9A0JlB0u478E07AZR
XpxMVxysbE9NunzzPO92UFlWZY2R2iEjmzbdsx80F9ygW7hkkj1WypYwBYoTIXstPXywV1H32xSn
S5mYV7ODOGR1xz4q/xltfXVGBy8n2TmqOekIxEQ85CdE5z86s1Y6SE5DBzvGVeFT04pq4c7mR1DT
BH4vBEVdfc8wzc6jeteJqC6a7zaZZaQkLqeM5MS0yZrRqJAJxE+LvQFahut8WpiV+Q3W1AHutRX9
tJQ4LmO7SpduWl9mlG68aRxRPKuObi63fdR8Tb3C/KgEpKm8clAZuM+FYDc4jcaltqznCFHOqqI1
D5Bo2ynY19QdOCzpWF64V4zewWowSekSXAApX2dymfUUQfRJ0OKfmTLEZGJCnj8fMlM5GMiaDXck
ILtokIEXfam62rKinyGM1fphmvQZm7pBfypXDMv37Hvy8NVMbHPja7iqVW/dTFaCeyfw4FtC73iu
VXw0W/lljPJo5BNNvgWIimLiYRxVIMncvGFng490ak6MVQi20UoR8VPTvHEMfHTS2rLg+5qa6JdK
lQSXF0+OBOSJR2R+oZGVQZO+JmU17v3Gu8A8oSOd/09qTbuonhCnh/CxT03IBkRgGXXp5lXtvdwZ
9noSQGsISuNYGME+HmeiBopeIxRdGKjR1WzGR8/2975HFVlXZseASX/ZzMTTgOK9RRPySaOtxxQC
fVZOn14wX+Le+sTvvMvJMS3oLEyWk2ifhtR4M2xEarvnHaXGF7yNItUYhMGXycoKbznc1LC7t7IC
8MKP1+8aMJRrgrqc/ATjWT5gK61LCjUzQVPIEHy5iaXo5LwHthRRsDkAwte41gc+ZbpRQusB5/4G
qki5LO8EcbJYI3ezlsVI07UrXdpPE9SMVWPQQISp2sPwicu+euI+DMiCl64d1R2prsLtWKkXcLWf
uCK4e6p3ktNftih+vTkkwMp/XjO5y+aDxSwCJhWoQeU/6iz8nHPMKj1Vd+r+US6D7pkCihcfpZUu
JfqjWhe6PRGOVToDh2rGijYGO9hoo0NK9P9qjwXdFOG18Lk/ei3SZ8vqMfTSE4jGjnQ0axTJW2SZ
3Uj0ojsEIz3wLTKDLjyWwdVwcFt2hVJmnPHNL7YbvDmas2vuuQxV7kiEuu4G0PKw2Qe6ljyjvhUj
Z90YiWRFIcWqNms6X4OEZJRTYZbC27mGgrXOmvJVyR4V1a3Xg5p+zFa/jfk4LAo4m4ygdxNBA5e7
NnkYYFYRS2waJkYxgWQgy61Mxz8hJYAM6k5icOXWpL7CieB8MnKH7nWAb8iLadSgwGw5VvhIZjP7
NCJz3wbAnuHnTEX3OvQRmEZdbBGmL6Vjnm27YyA1p4tju0j+JdqvohgCif8hGCzEQ5Ih6M9cjfqr
XUtkiaTno0MFYdINb1MsybNrVniyMz5VwyIRIuMKlWdbW1AI/PxQgHAld+vTR1jYh1qbB+rD13k9
P3A9eNFFxG6fExOj9ry1CAHgYb0VtQN1vgWVGZL4mjP7rxqtAwGACV1ifmBrBzTIdRZJ4b5huMYt
E/nvYVg8zEi7VFNgAjLdU+014RZa/qdkiplEnixVZ76IEuelIGboYZ2k6yY8wGbZjXPwlpYtihfF
Ga5APfUOPVTORT8E4Ur67Qo0HTmtlEK9oKZ3pNswhP0QAJt4onJFN/JwPZTutnFJnXodBbdNpp4i
7KcsG/l50GQXMzweaAeo8OioDW8he+kGtbfV5qtv199OMunHIKb5t+r9BwyHwCDhXivzg0D7ZurH
nae4a3ZGcPBrCceYjQx80wRHA/pXMx9LOjWwMlHi5czAfuOeQx6/3sLL0t+i8h6NTFNU1w8PYSv/
3M7f0Hu1o6PhbLOP6XLCyD270EGXFH/3dHUUYn6lZVfyQosfkbZPdq/Hk20Rxe1Mo1o0apLPbVy+
dg2vkKM97hnAFhie6iU3/JtqEPVTyLmO2/9Qx/0xw9khyW+x/8TWZfK5tjqeRNGQwsJqnSsU7L1P
05Pvkm8Xvfcb5mz2g5maUED5hhO8jYa+xhQToZ9i0hjrPYXVT4h70arOxEl66RuGXGzaU/np1eKJ
f0zCOGz/JdRkhBatE1RCHAdOjFhNV9thtVu7cwylPn+zfP0rQXCSlBwBlco7CKZwvkEjk2zKj10t
jEPnYPvAMlevR5F+mRG3osmCwZCwvcYumO7DCcG8GvBah0PLosnL3po8eXeteHi0yVVuWj8Odm2N
0ckt+OpZBSpzOEFqtAa6W+/2sFOOFrGLBs5coyreIORfwcNchjhFZYrraWtaoc9dsfN2zWx3n0aP
pfCupgu3rbnemtkxbHlBWgH3FHTyN5M6qfwYwELsy5AKhr5dQ5Q24IhUYtu0QH2mROz7AbpHSXj1
jNRZblrJT2skPYlznoF7kHTlKWRBsMHfApJ8Kup/kR1EuHvMFxRu+QBeot7atJmOANjm564SBntR
SfC8zIW1yyZHsgqnKXNP/0n+KpIOPXJ2v1qSaSBcnAMMs4Dr/TCsI6zY79CorSPovGnn+l3zXjlD
e2t47x8pLu3p0xT1k63nYqsdimqToSVP5ifnBPkKVhqNA7gbnmxWz5dcFxUlRx4rVdLV3KaB5PL5
FAY5vgKrV64vfclEmU20v/l+m+80V+kFHte3TKj20ev7P7i83wNIma22VbQPEm6SLF2MgzUb5QPF
YsG6kN02cKZfqtXxCyT9m6wltarcjWgDj95INpAmrYhEz1DJaQdFi66d7KWH14k5uyBJ2TxXqCvk
Z4A5avB468YlllJCfhExz624W6WZfM/aqdx2vRMuKczYwn1lFzja4u5RrN1Vp1pZLFUc/tA22R4w
XFCjZZuIdpYf4HTp7eZR10w3XkQUL8oKebKJda8DC7qZcIJunzqF+UiZebXy3Bb6MyuZ1zLyZ+RU
OoIH2mAY7TmpmyqZH40kBR6Wla8mYJ+FypWP6Ka4wNHY1CD3Ra/BPF50Ip8DOsBouUNwxchPFaJs
kEs6AxuvFA58qIQZyFcY4BwkQLspv6Fos5pp9cjh5XEujMET5ziMjQ5bRRejGc/pUJz6SiUvDkFl
zCKaiUcalzRnqIl6U4CvyN9h+HHcm/XRmCCbgXmMiJVS+4DJjo9CfmcLa/FtTyaGCuCYqJZ98DAW
HMNpMXTbaWKEy9KQDWmXwen1xd6aEsAIbX/QAmmkHtKAsJXeCs1CaW4MXClq/iRTBwRHx2eoAfQK
CecrkKBCRl/OB8lqn/iOmcbbCsLCg8p60sbeS2rGzsrFubwdAjT4wBhZyxXDsMlnPSzcMOJSOtsW
E76itcqrXlQpjyZh9nVVtE9Zm38SXJ0fwOC9ViSYVtbsArG3YZllwkxfZDzWm9Hr4itQPnM9NLAt
KhJluwwxc+vGPljigNSD7dhfDjjqtWuB85DaDn7gDfpbI4S/37KjrcE4nF0bQlCLpIYcgKgxQoTk
ROel7jPqwyP+iMPgQMb43czb53Kan11ZvqS1o7dGk9eot0lPzye3frtQPioElRxhOj62jVmvIiXP
lqvFWfQmPUixIANvUIPWltneaNx0Z7bMgD5NCyTAGRB7d+LkygcoiJilE+yPDc4aymSWFtsclBDJ
vqhhrEgDSE9RNIHb7h9zbCMefQZ5iGdbJbGByZ5jDx9UTnetgv8QVc9h6EDjFszCBOT7WyudRw7t
dE1LUIE/u77w897DmUwU8/BYVdkuA9+4lEmyN4NiYhBisReA8j564NOWnQOCxq/QTpQysUQJ/Gw7
aWu5dswu4I/6lgPKWufyjtruM2ptVP+Gejo9DEk57+Iy08sqDp7H1qMw1qQBZLpb6eekuz9sWBEW
NWn/JqHWmJPTW3HIdaT3Or6fPTW0a8w9dwBPYryNnGhM8aI8TbJh34lhn8GJGq25eoSX2hxNTfaE
WPkTxbzciRthL5A+qOvLJeRBlwgxAxfLtp5HkOK+jeltpNEQhykL3eaggYwt/aj7hdJb7so6LJZ1
kHyLVtc7wzcs2Gxed7akbS47q6D824mfZAikLQzoT1VeqT8z1/gg1Ogc4TylO4NdFQ1lFgYgL84B
nw4Iy5gl+XNvJNgxPYOUHg+XpgzdFzExx+TwvMdUzUvk5nt1bFmf5kjTSplAT3BqVp08nemdY2Qe
26cYJ/C7qxpBjb1JuL4oppOEurTi8ZitSx9y8pDM1gvhFPsLed99Byz8V3Ef2TGVxXvyC+ZeaJgc
OI3rSxdT2ATdHKpRbmEIJeVNRATrp/5IBu5DW8AY7kkzhX4DCdI1rlOLEEBRN1QCeKnkwqn48KnQ
CT7ZCYpnFZCtY3p1I02KgEs13hzxJguA1XjIg4fe12wBUkPiBw8VxWHaNfbpHLcP7Cd99h6+B9On
9xWV0DYyXKKEfOJaMvwIoJM3L8x40y1gDFxuE8BzfavevaZjCzjI7l/lJRMb7SZ9HTXSfmR23c0o
U3Wo58bGGeWS/E3GwOHCb7Jh7ArJJTyxsubgGtOPFdtiT81UB/pson2vBUlFTrwcvssGalLFKp4k
SkcNHA3x7tVvR1xL0m/ede7xr0sBAYI6bUKwRsXsJ9t8YGYFJmfbdxEtojWvvQ8QFEMw9oBYXlrA
D095zVXaAVFy9mL1R37O20SVTX2Aqbg3eBY3xIbFJz4HGruYJsIERJdi9lwNs+Gs6yj+7cfq1yF+
u4+kR5iy0/omWuMBga2/xSbqkCrYXcGWyTcyZZwlYvZdTRAdosJn/eKzDgooC1r6tR4/5jKUb3zg
IGg64bw1SXDt0JDCHV8iHW46k2oPxmBmeBjUG5bUzVoMmbOBbRLsqjxUGxvECZ5JiQabBi3y6+i8
TzjMP0iM5A9Ecrj1Gn4JBYXswj4bvHjfNbA7VRPHu2akFoLHfHgHhIMVfvfSxjhquldvQ1exTIBV
B82ERwpwL/5vVIBFY3VFzFNwX61pO7DKvzlGrc4Bn6Czgzq57MHs8EYPR131+lg5bvTFshwLWo1p
MOvb6TL3/I+RnDLz0LmaBrjZlICvsJjdm33RYMty5qlV9lyfvWwurm2puHxPDlO1R86kUw637JIu
JQCJaj9GLVy/KQy/iVzG+0GGLyOFzntFh+9jGzn8hZlrE1ZdXkJzolTQcseTMYRMenpE28jKPNry
EUDvckLBqNOillrJJO7e/OGY23Vzucd5QboR2HO5Jrh4qC8seSl4stwmWqfuTJVW26RYCXySGIEd
OseKTyHPWsMZD/2UMdX+x9mZ7MaOZFv2VxI5fkSZkTQ2D5U18L6RS3K192pCKG7Dvu/59bV4axLy
cEh4NUtEJIIinWY8ds7ea0NNPkRO2J3aRj9beDmXU68XHH+xQkjgw1Qh2JgHoZtrpSMsCkzBuI/+
LnbnBkNHadhQ5FtyeJfSSLsjbKdw4VH/o6ZUDbOrLEWV22Ok8YpR553SHOtoiU4/AvXkc+ILav00
TaAqBMLn1NOIoSTjZJLiFpI8jH8NqfxRknu/bA3o6YKOJaVsZL4y8fTu9UaGdHwaPD8ezRIics14
WVNJMT1BIY1soRW7CvNyt+oSfKwLskgsZ8up1CQmC7UBS7QmWxftGfTEmtUWIaxY+NJwb2w+6IQt
Asqoj/mYoE4fMJ6WuBsVJFkISVm8s0p8A3wUc63ZUkYMm/8iA7HJe2j1iHNTIENT/lwiJh9g1uVA
jlddVP+qtOy1Vv0pLNgjppgck4xkaGItY3kgZpw9I7C7kvb9pHfnf//rf/2f//1j+G//V36fJyMd
h39lbXqfh1lT/+ff6t//Kv7fP93//M+/Ldu0XWbCjq10YQlHtx3+/Y/3h5At+D//lv/FC6J6dMcR
r7ken8Y5MuZIX0Rl9AIjEqo/v5p15WpSKKBYriGE1MXHq7Ud2u4+VuHBN2VAJomMnGwbGux5CzmW
7UslhuDx80teu0GpEyku6SdK17m4ZJm28LKLMDrwDUC2RIgUszgGmO5fcWkTR/H51ewrN6gzA2D/
cXmYjvnxBofCx8xXpBGafCaIupFbe6tk7aewnhAoiuknIxX96fOLulcuaigDV4gwEdEb8yP4228Y
c/fY5pPwwKhYroqIJVYZjL0KckDXOnhKvL2+88vzCBEbpYqPn1/+2j2bRHbqLAKdObLx8fIp5jBf
C/OQeTshFVJDnOnTPEejHj7ZPgYTO7ba3efXlNd+VmXBw3EM13aRjXy8KJlYCMEbLTp0AaPkba0r
KNV4BfG+ri0Rq1fsl/67ji4VunI84w6Qevt3Pl2KY9mH+g/akOT0VBxAbLRnGM0pYyLn/Ys/c/69
L5eXRUkKudAwLaHkxz8zGgaOUzKJD0QfNuu8j5INoz3axilDEddQNoqAqNuV0jJXyE/IF+vQTzou
RT9bOtqSIVOrFObf5vM/7Npv9ucd1U20sLZ18fh0ACP25A/RIcRj+AqQNLyp3EEVi6YuJnkbBFYG
Ct8MadB+fuGrP5yjTNc2dd0yKUY/PpEOJQiDPAfza2bEtB8LGupCHnrVAqQt5wR5eGrHWKPCyJG8
41kVpJGZ6YuhApqUPvWmZdJV1JK8/WLx6mq+7YufSwmJiIKeO9uUe/FYCCRpBiPogkMSWXwDR9fH
sjeDYRnK8SmYzA7WVx+9cKBNbySmmmaFchesua6G5H3wG3MLVaI7O6pCkK0j68BF6HQFcwBXg1xS
aw86zajD4MT5a6FGAQYST+4ukob/28Cv8SRCasXGMmeWcORwtGpAXxqW3GaNmmkZQ/1epwQflUCO
/tJtCz5IMtj2Y2jyCYrlSOyDZST3KsdKEkEYQHoDUgQMDzVM3dSUSp2biWODV3urB/57MVWohjRi
lcdR4RCtyvKOWpuYLwuzhYEef6ecAPRHUaoY9YXM/Mc0L607Tu8Foooy33eNnb/EE5jGimHzNysb
o7fKdosfoSB4DZ6QdorMyN8h+EYxg7WlW7VTbG8Ux9mdOXn2TU9sG4dhZa7qjFRL15v6gyh1uXIc
fLe9iVAnhid6M+ELYYpkSLQCOr5ISPpFvPOLmMw4rakeBeQdrNTQDfy91K2Ob3otIOHBqdLLNU6X
/JmNStvp9uzRryz919jXqHcFAb4Wg3Ev2hpVP44LnMXxAVubeivMEkcp1EKQ46BQ0H93xqZsa/Se
HFjOZl1FZzRvKJA8iwxW3gZzkfc6OBOgJicScbwnVyTtqi+UOCVVxsI2HH8oSFIvqxeXrgWtH5zi
772Wd9+ssbDB6MF1Tupi+Ckwp/r0lSu885REaK+T9siJO9pawD5WqGb0NaQH+3eM/XdXJSnKM2Lj
HlWuM4HtJjLYOnhKOMp9ezqZ8TA+5oPqb3uzUpRTYfIdvp48yhhIAYZcnLpa5CQPYuj8+1qPiZcv
oN0stayFkMBxmDNKGtXZnlDRHiWYF68RB8SHRo9rbdsrPQVHjwMXIWY2NWjR5p63jbVuEVXMyhbO
VKOa0cJOMAki4JOuWOaurK7MSL4Bd6n4iGEIyYplr2n9zrN8Z1rJZuq/0fNtb0LXQy1LbxAZW6Cv
GxTZ5BGTukmb0hqtZeIlTb1uSbTYqHZMN7ZMrKcWYuGdVlfTHuegs2+7cvpRZTrgKm0gYA4jZbvx
sLbceZ2dr9PBneMlHYgKi7gyQixJja9R4MKEoQHmmjGj7J64HghzJrbOSR3zzO1PaTF6f+VjTbxG
TCZGRkLTCZyqtx1tiLUhQlCXEACdyPMYbAXgyULnuGK3jGVCaOs3tZnyGdKCdHytaxTkcWHNdmcr
sJc+1rpbM/WBInljqIgu0pJ27oq07o+0RscYl022UWwWvC5tvGeabu6w1va3YayG10BwQ2arxPep
hylCddA5t/Q4mh/4ZOt46bQe/WqjGDYjxhomezGZOb0+uuRMY64IYs8/aQFzc16Z4bcuy8r64lN+
5VOkhM03Usdgy/l1rhn/Vr24sEOztInDg+7FUbxqcGHALHZeQxeuhNlV8jWqGcB8/hm68l1GjOSY
aOUMxezlouwNohGyWgpQhchswfsa5jJZE5eNivPzC12pU5hEGhCzUdTQmL64OxP9TVNBhjjQ4DT2
ysJsA7w73NU6WamfX+pKca0UxScYWx6oLS/uSS+03sbnxoOcUge3Y2qZ94kwKJG8SD4V0o3/Py5o
oVaj/nJBVDrzL/v3X64LIBKjMjq4arTAMRfq0cXqTOHnttvRLIYvaodrN8h+41Jfs6lRUn283qhs
w6KpT6Hp1ky5Ffm52Yb5RveLlWij6vRKSHKfP9Rrb6fN6cHkcqaDPvbjNQdZ1EzuQ/IXyedYx4Z8
1gmsvxlVm9GYChHFzpStz6955Z3hlXRNGzWoYfPyfLymsEUnlYkFxCQg7C4RnCxXBvgEwLNGW1pf
vKFXnqplC0PpDq8NBtHLmicjlK+BD0mlMEwnoY/6YYpIjbEM+Kvknjg/Pr+7q9fjPC0oslj14uKJ
mkyeE6XrEREzyl2wQOCPhfR5cZm6y5asqS/eUjlXlBdFnWXrJqN/1zUs6vCPjzMfCAhwiXk9ULEU
70Orew5S+DwxoFZNxlvIKD9ZBXWHuiwfhu53TN3yFwOa6FFHksDnr/Tzu5Ye1/jF7zwvyH/8YWwN
SvJKS+vyfbYATakh98ID/5cRKJR0twQNYcCzSzoAyN8egpDgID/tq9+f/wZXTowsXEpdx9U5eejz
I/vbyg3cDt4GJBZ0pnbxUvnJjwG23cqRgwnrimFnGeAgFGZvr6NqKr/Y8a/dN/HArqlb80nAuHjj
6q4yarsboVmN0U9Z0r8cZ1MQ48VguskZwkHQD/112iNK/Py+r6xmzowcPgQJ5ez9F1tkagc9REWf
1dwDWpX0vVamEQLyt0oLvVYOr9ouqi+2rSvLmespsj8dkw6LvDgDMt9sSyPhZ24mUu12STfqz1Xd
DGqG4ZrNFy/VlVvkO2ObJLoxjtDNi01ZI06zrkoX4WxPXFSsi3qFNIIAZUVrb0rjcY2A4Pvnj1XO
S+jiTbZZX7QgHCHna398nzQsG2RuVvGhbpT72FLiQU/SGO0DzMKyW3ptgCzHtDs6m13CYSOFud7R
9QawvPAAOh46Iex8WQST8xoYdPv2n/+F134DadvMI/ArSikuXjnmuIYqaE8cXOgI57Zx4aW7YJFj
m4nj55e6sr/Z0jUdthx6QHTXPj4LJkN2nrXglAFcWIxUmUDB50dl1iNTr/QTxxztqy/jteevK4vr
8pKxx83r/W/rWRgwgAYA6IcEGd2zW5UmwWFTQrDe5/d27THqfC10m73ZsayL9UOPltw3gHQHi3iL
RY79+3YKvHw7ctT/n3eVbEozw6J5wg5lzn/K325pHHC8JGMe8TGqwrWT2yMI1qRcok5MF8ShYdcJ
fLH9/P7MK1sTLVGIQ5ZOE4Aexcerpm3biRQG/6H2feDsuDgRurWE0xcLo+jGJ+R+9msYZyVTr7ZH
sagFLT9sRHg2+k/T/zXjm4BooWrCCUSg1gKFXk9MmIGpwrQghCxyTUuPCjkewnqBK5mGsnhyQlI+
FkDssBjGVdDd2kHELCLOgF+cTGgdxGVWBiQpOx7m4weAsYe8dsKTCXkAKxSZBVtOU/V8Mim1l3CI
OhdbXgr1sfMyn6XmZTVmXmKEEKilHB/Jmp8Tl8bI4sIRrrly47VOCcQJoNo7Vuno3kj66ot285XF
4TASoDoF82mxH358vn7amrkd1f4h7AdGK+QCIPkgLiTPMyIHCcf64oW98qFzkXLQHzRdQUvwotgY
8rg34DRr+2RIUFzkKti6TS/X7eC5O8I7GCDHdjc7sIZ1XDjByxfvE7dzsS+6QDnprSsWJV/5j7c7
RAnWTXAGh1Kbjd+DKFBDECj2ZevqT7/zH1cy54OUkgYCx4ttX9JAYsN3/YMgL6gAajLTmxk9cITt
QoHwpQ8wa3tRgohbc3LkVkXJ+t2DmfDU7ed3fWWXcC2KZWXbumNTaHy8664eagZAOAmDru5Qrc4E
JmtCRwG0of3iWld2PpcKmS8eq9VyxcXHtYL65YEOCQ4CTf+91cj8vfB7//T5HV3ZFugxIwkQpmnZ
9uVm1PpWVsQyCw+kH1U7wurSuxZuB9gfpEBdJhCWBPAtKkUy6udXvrJgPlz5YsEgw+x4dWiu562Z
rFnVBmJmI5zNfgTiOvbz55e79tOxQBVpj/PWe1kYtoaT5xENxgOtbGOfoUFblnmHOVcg/P/8Un/W
3uUr6/COcGalbpCXdblsVexGOg811lK56wgNvx1wp6+qpmtXTWdYi5KVfdMGKDhalxCvEFD4Nq7D
EQMDflIM17+bgYhbbzY3E8H0xd7xj1fLEUKnBc9XnKOfJS8+quy3cRD2iX/waJ/d5kWWoeMKBuur
Y8A/DyhcyHJdtggeu0PJ8HG9FGXAzCSdsJ9HdWSxXmWA6jxzycZVsgVdUibjyQmdnuSmLp9eggoV
nDSy5FVU6URYjQ6yZJPpTZV+8T38x+tAOUexzCIWs0bOuXgEHX0sZ8LDfiAuTjzyqdY3bCDhM9zE
YPP566D/Y6v+cy2T/4aQFo/h4tMb2MNgJsAhDqgT5K/IUN5BRlHDALrKFWbNsKIr2roMRaxUo8tQ
2q119Nw0+Et3yH1HfzQdLDSQgCUaqHiFoaFZdUN0oCvabQHeC7sbfjJX7R4RBTo5wivR/nKMOMUX
6472a0p/z12KGlgwAndAB0iJWutAgAhAaU+h9/jiBbtyx4zsbJcy3aB0My6eLjN82LRjGx+MMfVx
fsxZLYvRiXBlpWR7tgtrxL1OZFFVv7j0nX9MSVw8fP7Y5fxYP6xCh++jyYjQdmlxKP1isw4ReUyA
dmg2hCWBdGnzKwhU/hLk4q5JmDmnkswBnT1oW3po9mH+vcJFon8aYq/5/G+58rax3th5XEkVa4iL
vQ5/G9Je0lWI7bLQUuaTcs4V2qFmYYmhePn8YtcevkEJqzP8tiw6ER8XnZuXFRb+Ij7oQVO1KwfE
pwEHIvNaZsRNdO+XTvvojF71CrqwPyPC6L/4dF273fmTxeSU04Lz51D1twrXg+mmQrdIDjCmvBsz
FPUeUrxFaxDcyOc3e2UrY9jFxB3ksMEKu/iR9aKVhJLUyYGot/DNl2hWl0OG5uaLX3CuMi5fJouv
MX0Fjj7qcriXNsLJNb79h0oELrFPRbgCLqwtYJKOy2ggUlVW/RfXvPYY54PPPHl2HPpmH39IYi1H
s46JwgjKxOSd7Z1vCdISpMxWSjPl8wd59WKcgCgq6Z/QU/p4sQKpZYG/MjlYoSyyNRTQ8I0IAPr0
6Ozy988vdu0VZXfgFEAnUOcU9PFiVldNrez1+JALYuxSDFePpi/MdTZUJXrhylk3xBjSGhwqhlWW
d/j88v8oetgZ+Bo5lkujiJu9eLCZXmNA1v3kMLh+e0Qd5yLS47Cn+aQ7iKrvF7HEteuP4Vcdkyuv
EYeD+TfldaWfcHGErj2N2A3h53C2ag5SHQt0N9qlZCjDgDJZ9YPskqM1gQT5/JavXdidixFbCoNp
xPzv/7Yk+QCGFp2C5BBjDljFjQawoWTWN8ILYCSHCcZpELt/ftE/DaCLVYOunw2Y8YDJe6V/vGqs
dV09aVOC8soK9xxifLpSLr3RIjg7JdJZsBBn3czM7YCR+SHsPOcm68z7z/+M+W26/CsMl5MDJQ8u
2su/wiD7TvhAsQ56DxYde4oQzxP70TnQLYmj2I7wDX9+ySuPm3paMYPhbOaycXy8cadqe4n3LyUT
2gPGbBYIY4Vo170kLHEKJm+RAWbY/88vSmcMRYVhMixRF18ZN6/JRfC69OBGpIpMMscjppIGu3td
rFD5qj2sUW33+UWvbMCmQhxLjePwPy7HCAkQwCZMZHqAezTS76yhqC16rWifPr/OP+UVjiDCgFJy
LqrZ8y/epV7Cv/fwsrHTg88xJwu8iamvUS3ExdKcupYxib0c6ocxZcyoTbCCSJXCnrokPQFPUB44
MZgJLOSf/2GEbvzz/aLQsQQfXUZd/5gzZF1oqLJPOakljmgWyZw65if4Kfskm0MiVDGAzyG1E/mD
X1ioXgBU4BlBMpN4vYbkkaytTT545m8nLV1Q4kPPT+d7GFQBmR0VTCmcgZLOUGeM8s23VHvfou/Z
jqz4ft1VfrEzHQzlnrJw4BBXYf52MQsACZhinAL42kdc0ES/vKBVNe77Vno7RxWAGCJPO9fAVrDM
TuAniYNgIF7bZn1QdFs3LUZ0ZJQyUff0XkltapRcMkpIRhQBtvvX0Mj22aGtQ1RmwdVxLATJL2jZ
9nqEUPpUlnW5HQPD8NZN4ylEtXAetkAUhiXac+OvwXDqgfMOv+wiibzxAN4xwnWEswa0ZjSxV3j9
AB9nyGzcnYkG8WaBPQooQBU5/XcnxQC00IfK+YkoAlwMU3ECKGoUHavRGcUeCbJaBbYVPEOJ8Y4d
dcgKEn2/QkJebaScvYee10RniRH5sSVzDKBZFKvNUKbNU1574xn7H+wWiD2Akwq9l+BJUlnvOfBY
UAFzJJIrNp/o19hW1U3AY7BXAcP1+yyu0u9Oa7gbXW+JnqBaFesgbgwczGb/1HcJbCCG86BLXJxv
1taxNagqg9WReztYzCo8SL/7kbGxeHHwKTyS4pXvm1wvn+rYZz+tyvbecAvvGwOFcMntmnsSZLoz
J2sHuBfK8L7R7YNiW73PC0heVmgOBy2U7d4P05TM9s4xa3QzsnjXs2ZIz6EL5XxFAFOMlTcIqyds
s9gXcs/ryeDQc9JoCc6s61VQefweWIpCqKC5d+NA9ixW45gO65Lq+pzVqTwHWKJoxwHPcZYuQxlI
MYmTvta9URfr3HZDoMxQum4ybzIigFtV4+5t5WsG2tGpzxcKefjR15RL1F5Q7KyBphoOf6ZcRtB3
+1KJYVuGcfJGOm31oE1tD1rFTQ6Z9AtIpEX9UxnD9ADmorsxAgkFI0mAuCwJMsHUr5mqibYq7IOz
i+MPoGMp7AZ6NM0O8ks7a++3pFKuarh56zEM5dEoA2Xf52Nb1GtUL/p6pAWJccWVzakf6DfC/ekB
O+UQwQNzCm4I5+x2HW/+a44nk0FB4yH1coqguTUzW55dFD/hUlW+OKmqyt/wFenJAz1ctOtJFZnt
IpwsQmzqyt0HWGtR7rZld8vc1jXWUF4wJ/vI7Aj09Q0PSYOOI7xkN1FPhe60WJpFp5DdDJMdPHpt
gV0+LUVJqzXof1fSI7R2yHsTY1lgk5SLiPNxSkvjCXMChcI8tfRlhPO2iPFfx6keHe1CIYIp877e
VHUh0XIltlo3Nuop2rFusUQB5B5kioWrC51xDbaWSEGyFpaic5LnsLCbieQect/RJPVPGtX7Axt7
OUFVT+ROI02FcHPOq2RDFSZBnWn6PchyAv2QU6cHALDZuQVOjt5Z0rROgh5Amu1275nnhHdcCEv0
OMzJCQDX8xvPC6o38q1yf8nGNz2nkA3wG6U9xmwH5++O46l/rGw57pxSGAEJh+hrzu2ogo6edWbe
2Nkg967o4pNeAnlzpJYfXbMtnv2Y9ATKnmavSJHY49FMvnlDUaxDbF6PdqSgFHq2c4Iybe182Ytw
q7XZtAs8O6IfrclNZuRztAGy2vc2pfXTa+a3orUByxr46hdTH3XGQoLnuHFx3e9oZ1inLiMySPV4
nS0bFAJU12wOhDTMJwoguGQBQQnQb/wkGGYQTk4wY4NQzVsZKlzaRQ2QLrdR3SMK0IOtKmRykHYa
G8sCTNAOwY/jrHKkFoDz2rQ5uEaHnTGMGtPe4VMFRE/yBKuDuBGLDKOqsQg1DrG8UM3cDY0mdjTW
w9sUZNmhCTLvW9DWfBRa0+cL1nIQhPgsehvrFQ5JFFfQMR365aSiJXE5c/+BSVWML57KwTaPU6Kp
lXQ63DQCkrI0NB4fAoJtTTv/XBH+9+znfXNjN56NxjCxnnF7W3diyq2z6Y2Ep8jQ1v+agZk7YRfa
Mu+05EWzusjiUOPV/iotccbNjCaHxLyKqD86CbtBOj6lqItJSmXAqpacz4L150WDqf+pVy6qUstk
TExvjJkadfnHErFzraQKqj45FABMgpH32hi/97XESEEeomYn+16RSdx0z3LM1tJ2XjR8soOeH7Q4
OGtuvOz14YR3aSn1/JR14hef6bs8i59bPz30RCl5eL17ajZoIxjcM8/95WbN22hbN0Rk74VfvqZj
cTdizN1OCaI1Ag92Ue1+HwgRT9rxzSt9UlODylh6rvmHTwULYFpnPf6oJKvv9IQNJczuYl97qg2P
ADCxjgwXAIs44szU0frD57OQXdV190qK+bn2FeUQqj1eOvwOzaqN8hM1+62XGxu8yHj71Wqa9YBz
gg9tu5VNWp+viZs0t5+iovtp2O2BgGnKZ3XTJs3OwhlUTcVvjO4HoyXZMA/vU9fIFxxdv3s5wR65
is+K1iZEif2IB1uU46MbDYe4tr+V7vSrTuIfpRaLBczUu6IKymVkqT2U/2YB3PyOFbWs2+JBBiMh
cvI44qIHFuARG4mh3Z2Hd0N/hKv2PGnmptXqNTZI1PgjnspQa46GJndpHdxY3biO+hx4gHlKy3bv
DXYPAMm56UtnpTGCW0Y1tiuzTh+6NCbql0QUQYwcuGKqMmZ1EQzkAKdUhtW+dQHajnb3UMtkVeX6
WtBKJG1X+y4ToGMJ2z62xfLQqvJb17z0hbEmKO2REAOx9CIxrs2YUJKKb7eGFVvEb1PjLEcw3Hkq
7tHu0ReDhQO2BmAAozk8uz9GZks49bRtE2evDc5k8st16DEYSChicI3qXUKaBHRz9LiSv9WjLljS
AjhhUcixZxp3mjduCx9rI9nDt3ETvqOBd9dOlcRrjOe7EQUsvKjV0JAw4Yh6zgAxzzZ9Wjzl8tCU
0b6ebVwjfOdY8J+K40NHmYbXEXtewh5cJUzh/foZ2P/SAOEhTYmSuJ0Tg9pzIJOboNfeQrP73dnW
Tz/QtrXIf44z3m9ITiWC9EWQmS+gtvBVqjeRjfvWGQ/lEN4Y3DgiQsi5pn5rGK6/NPPwNAU5BiWY
G3k/HnLs9EGP2hAAIdV+fCpLD0OmvzPlsK878wla7Loe+kMMAtNMs/u8D36SBfaiKNEYCnxH9nAP
8nbdt8BmNbSgVbcxRLErFVTzdBIrLcIaFuh7i0BbU2kb31V7u4uatUukLBynPzIX0s3sLZKGFTCC
Te4QrEVDhz8q5wQY31R8yMkue/SCces4/n5w6q3OmUo1BaRBsQIgji9o3n+HJYKlQ6fXt442PYEX
JXXNWDcVNMnY7ncWMyKnlbBN+JXHzPyhWdEdYSbfXAe8Q6k/l1DALYXXRxU+UFX/TwgHr0uOy51C
KGu+MwIgNnP41StjM5OjiBjY6On03QOZV8XjTzAw6wBpnyvTX0mQ3Wum+4NNfVlV9rs5wrkKBPZi
jrq/Rqf81toRA1B7r8XdfRmCs4gKcj1xqYppfKrhAmDj0+d06c3IQiNoq3wYY+02cMGqoB0peWcz
wr7zlQrw0oEESIbyZOOoicroAancQc86WEHuMoqtY8n6Qo+CZxjOg51VT14OeWSoblXe3qZh+BR6
8sCI5RW98sZQ2kNjk6/nh5shwoYHjKDskvVMJwBEsRrALHhNv9ZF/tuuhx1pT7ugYY91kvTV0LUt
Fe9t7xGuPZorOcr72E1WflSf4zkECboYkS5opqcAQbkdIfkZsx3shbsCvU/qDWtDkAfiE/7eyeao
t8mzZ/FUnGJfT/jWMse/CWoevRkqua+tIgaWWJ4QKNyFCYcDP2wZ3NSjs5/I11sI4tG445jYFvco
m/whTEkHwDMIbByYWIXMiprywSrFqvPFvgiDXR7C7w5w5o/aX1QylHJd/BQQMaEH7VY3agAfqKv5
DvMjb+EN3kakVMqh2qrSWJqDDtKDlZkpHMxGssFXeDeMBKTps3pdznFsTUcEXHluPHMN+28TQDah
zO6WXoNSX/X3JeBTJ0gPFkmTU4tVpoImpcxkWUw4MKo6fSzijDgA19zZeGJzv95jEwGz0GfnIOv/
krAOAgsELumRaB0EjBipbdqcV1aApDWHlZD1jR8aZ0MCw7Ldx8DNexyAJuzLnnMMQJWZIW3wDpYE
y4TNxpPDA8XiTh/8exEGWz6Km9jQV2We3Y1e+IgYY9O4zdnrihdX1Jskz95HDliRN+1SJ72pXe8Z
+ru2KJp8k03Zm2rdfl062pb8zb3nNzsZzL7bsT0MwvnhWgPONNLilBF9J0eWYN8h7zDCKf7MLDn7
sfFLFRCvWx0dO70VWhUDxCfycBeFFXyLUjJkckHOW3Y7b2lVZdzYGNxG3PqFIKStnT8XgWYvReE9
RBI0jkkIsWUcUCkYy1LzN4HHVzEYJuyLxn4OVqmhx0UieMxKk5wKTQGyGZD2Jusx0ZsNyQ0UlGD3
7RiVelkWpDrjEpmGNci2c6f8YwNiTorhaNSEfAE6iPXuVIzBThnxnnWw0rF9exZ4vqK15KpvrH3O
Bjy57SH0BC2K9tbQact1ZvdMivW2mtJwSbTGDw7w+6LDz6HFzYlgxu9eHN+T8/KNkxY+37R7nUpQ
FYPPcA2BQZ7PSRxUmEHEeMeKk6WU3VY0apdZNmy5ITJWGRC2pZ8zhYogzWz5Ip2qPCb/0SRNAi5w
JKO1loZUuHNctEH/t35JSb7xavEbHcJ6aNxjVXJE6yt2AkPcQd387sjxrk7NF9wiwAB180X1zl1c
IsBu7XVO8hFS/10Xwh+LGCKXSqPtQwgZO3KcFDdApR+J9qT5DWtBEkK0CjA22HmBtV/f2LHY6n31
yvPj4t568PxjnhQrS3Zn7LW/qrlDT4+o5rhFe3/ji+7RIC8vdIYXvYW0mcT1SbIj5/Wwxjd6a07t
jj/8vijj4+BMb0HB29BOzq/OK+CKN2+M4I6aGn+zB6xEXcCtbrO9HJDSYaJfSW28j8lmLZltzR4y
bABpsgijdg9lH9h9/EQwto6lOsX8Gv/Q7CICv9XT2Y6jteMmj8nQfSP97iF2gn5RJMNb5Yh9rjkn
PjRrspJx1pLvpAxoUaPR7nNrTrGnDCPfkqxrXpiZ+HzvNeyinK6PTe+sx8pYjwohp9ShgeTKpZlj
5OeIxOabDB487DDD37jN+NY38W1t29/jGOiQ1G61yv9W+ORRoBS0VxH0d3/I11UavNRVM6c6DPvQ
Uy+mEfzAis7mAp7A4F0C9rEiWA9mETpSwfWSzlwztd4Ks74PRAu+fiahGCcfZ9RdRpm8spgRp1kb
bFgp3RJ47juMt23tdyfNp8Bvw1+YwL6POfUDAUnuwirEOXMyZ5Xwa3oNpPCSDxE4gSV+Vp8zabXm
dA7ocfiBNXKpt+6rPe/BnMD2TQzazHBJ75Ba8FK4pKygXv7dgYsYPbUTHEWQ0is22ghqURXYwaJK
nfOkgVR3ovyebJ6zpaKzLauFUuRApHq+wzuLbRpjDZSz+Anf/ClPCMHJHGeXODRXKV7ewrp8LbJ8
i3/gvhEY4Bu93xkG9Pe86s8dRwiYx2rd9pCZOBJgJe9/FANhqmMj2JyFokNSQStXx2xQ+zwtT27f
vwwAyCyRwPR1tl0V32gFqTRRYaxY8NMfaG6X548iLp5rVCfEFREuVrbFAmnwk6On+5J5vS6bnTnE
93UU7DnmHdt0Kg9DA92banE92jJexG5OdG149iqSCAPNeMqy9ITZ8xClEAsYoK5KDWCrEzv7hPiZ
RSnkbQ0OZ+FE5sGOTBgN5l3qFk/ZFJ1xllOeWe1xEua7adhPuOiejH4GDpIZwrAtwePfQpcWDlSo
zoeGThZVN+m3dgq3x63mf2T3R7+nEZlaEBwxBi3SWcGX5SUAQ15NWYhTDapgWcM8NBv7bZTxpiUN
cOXZ4V6F3Y1Xk+fT5++JzgfdMeo306BjiQ1yZ7Jm6tF/IF3xkI8hX5mieCjxMXX6tClSUrvSUbrw
HtQ9ZuOViliBWWhs2sHWbk0rcjdOmn2z4Z/iWuBzxedzzTn6lOeU6Xl0GnTMjFOV/db4+2Izgk2s
4JeZgPQWYLzXWp3vWgfsevYUh8VLKOJXE2vkYgSExzgnYDpFOSgt4wS8ulmbI8EBdmTH75VJ2JoG
fnjooWI4+e8mEHeab1Qbq5nqhd7aN6orV1YPC9Lxi/u4I/J3hv2WWmf/X47Oa7d1ZImiX0SAoZle
JSpnWw7HL4QjcyabbH79LM3DBQYXODPHlsiurtq1FpiQ+qLjbp5aOwo4lyMOA4NzKBFLNgAvNZws
XQu5oQ7v6LzWcGDQUyEvsdi2UxFURScL88A3xyfNxpg3Vc03QoTNYGk78MV7jZjLMup7Nu1wCzmp
hslVQcIpzASOd/RwXUWXMZquuqZ+yWAEsci3wsWV0g7rXnp3dw53XNwrGJfstTVa+NzMEbwr/UiU
qlgSmz1K1g8rO+GHyuQbuyMNnwTuoW5ocuge2oOt4iBXb8xVXbgh2Qre2n3an1KMRFZsbjT26dax
VRxSvhwq5bKaVP8qpE5kUi4FWP+lie8h7/U3LleXIUqc78YR18GmVrNwNVPievBWbGDxKb5pd25J
bcxnruqBJdL4mKTWCs7zfmBui/iWC+0jfl1+pAxYs9bDeQVQhskI7hW2GacxhYxQ6IE/6zTO6VuV
bX+uJu8QO4JKh11dll8eC7KBEjMqsPittCAaTV76PbicreXMRYRNXtRq/FkJyKHt3ysNepXs6bFN
aOri+TZEwPin5mIjq4k7bznTpMhJQ+ng7hMVQ8Zt1Hto1EezbDeit6hd7LUGPs2a23jL0IpvlPKG
oz9n/3LP/kHNKpcoMEIIVORr+8QJiK3/o51JASyXA9SxnIcdOVW95Kp8pMH+lYSWyywp2fDKDByg
j3Nm3tJEybVqfWBJ0RFIBlna1L3TGaD0MdTd4NueZpSrledlQQXyP+HGz+4oyPKH09Et4ZT4lPyx
+GgH40AG7LWQKOmR481s6DsHU0vA9IXRqrezvesNm3SKjoUZXmlWH81i+Ot69G+pK14SZIJ94e2B
G1Fzip8qCVsA5bSZSr5HVqnORgtEpC0kKvV863SUpGWRxKeqB9QNpIgDWE2nUYvfTc3+tYX8sjtu
Zlaln+gdbofWRzcw8o3oIDD12bqLtVvjlbfUrOWC+ROyLeCMrdkGs6YAMw40dRC6iAqjSl/d09R8
5jQqAoSmQd5B5SzEdBIeIP5hWldts5wZMzk+Lec0rr4NtzKXkXBfh9TYs+B45Ejg9dw3zPrDAUmF
p3+UdINxexsx9TPlRTKajH6YqDU2t4Yop+Rqp7UNJMmasw09kjXPzDkOrW+EurzM0hQ+Svwr6OAu
mOIggo/tf1prrR26/OREF7ozKZjHpMmJAf45EdRWqCNprUXLKpwuCYuXwC/pCMrprdNBheAY03YS
181IHk3zvJNnePAqGdJMRnlz85nFYuihOIbCH9a436KGB37QYS+m0GOoAGtn70TWr6QIIUho7rEJ
pHTs4w8ty7tl1NZUU/iMF97ApaQmVFqqnt3TISuC8tEgNqBxS3M8Tbx6fLNWp6nt7YUYHR6/DneL
M4JqnqkTSnxzKyBld03lrLcKGp8+SG8nh8OTNHW16vPooJJxbdUsPSV1/83F7zR7xnOahDhrcw8/
y0TFO1V3NjemlWGXN946OKKs6hOm05YJBIPb1GyIpcPnIaYId0rCmaDPaNtBR9UNvGZncjrzWnVZ
FeA5SWfJe715aVXPFbqslmlFzc3C1hMeh4NmIUONBucJuTlfaboOnWPd+HL8mCo51E4fiIGrBZCk
1RAWRyHkMQ+rHbCHACYt5HP3Oo/GRZ/aVzLfXDzNm9GXO69KXqYif3MfEbsZX6xu2ADv6UhUtraF
/LAq3fHMutJdRbycmo4LP985SuAVMtMgZNrK6j043dncJG5/H+m9lVX7CjI7aGM8nH7rnvR0eIq6
7CeJIQGH6fybhtl2QD2S5A4VQEzTXlvWhXcm1hjQbccajbLdLsNbBuivM2CGY5fF8eI9G82/1M2n
Zca8Eqq5Q+eC/w789gFqf5RxKx5JEoJKMJ+LUrtMNZNhK+aV07TfBSSvgNCOFrigUFepyqhKZwR6
+dwZzI6YdzJ5XfNnMJMMc7X2Uxe5BXwSmLBAqARTQEGr1tLfuz4NJgmySbnjPQ7Nu1aDHmvM/OjJ
7gkq5UnRMMthD9khJWplTNEiltqu1vs9QfqL5zX/WCFZTkI9xUN+j2c3YI38yed8wLmw9zP7WJoG
4HK5ckxU7xir147BNcCP97LQX5SgI5nWBc18Q3w2KVgdkY67GusRt4z/Z8rVJ718pkQ2yxgiec9H
bVu3DSdxQtaeD+3/YgAGgKVWkVBvTFk2tXygFguxdseQei93NuaEotLn/0XHcbX6Di8hO2CLcSxe
ITXuTBrTjuZu3WS8gXp76pEQWH52MFt/P7WMr237Ap/zORTtn2mGr4VbH6pKnOtCXYoBkRhrXi6P
KoDEo80Cy7KLxoBR4dZJqnWaV296FAW1JY/0ZZbg17aTOfw1DuGqep7eUh2lXePa9yiEQT5WwL8Q
Fy5SNYBRnJjwdC8Rx40mVBTgr54XZRqZzHRdLpxUymyQM/giPf4W6i0BlxlRnl5so1YSFaiHTVxP
zDOkfxuJsVemBUoWJ/MypyBfUM+lS1FifzJ1jTG5xpUXb2jixGhl20MrxNkYmCAkgl/G1H3oUUf5
0v8raGr3Em9koaxzVIU7F51Q18qgSsNVrh5selP8wIJDD5iXYp1D6jNwu0YexWVoQjMMS151LokN
32KeGstbHPcnELMLUTWX2KJ/LGt7UWfat+6zwZLE0V7rtJdaq3/og51FiPBAJtmipscjW8Rv0jQv
bNQHaT3vqm6mF4IFShnGwosaFOQRBSm2WtW/MHaNlshwkcfXdAeK6qIUZXNr/fQ6TcSyq3fx5G8p
llESmRoZFu+OC3vb8zm6ungJJ2a9U2U/FamzkSVlfWKv3NR/kZX/N1jpV858qgmLrTGjd/fBgVNa
JDvWb7+FWZ71MNKXIs/u+WQAF03kV4Z8GwjwhwQsr9NBmyqxjmP9VGGCL1wTwlnyViXxbfbjtZRs
G6UCsbde5h8AE//w0r46AOswFOGzgdQ6AfP2UFY+Im2zFm0fTwZ4vM9W/yXssQnHRl8kSoF1kGZA
SPulSFCzDjFpw44oZazln7YGQ9ata7CGsEQIjO38yvMx2MxXojn60nSchd7r4LBA/q9kV+/L2GHW
0tUvBp45z4kO+CLWEuwbV6dEC+j/fVgdhEOPTQBGLxfZ1+uQpTJKgW6nTcJf6Ln86SfnOFWmjpRs
Ztwv4Hsklxi25DqtmZjZBj0kH+NGdIFYwEjGAy7RrlBErefJ2LdQ5zGpzGiBvNVQVOuxtFYzbUhs
Fz7fIHUwakjsKS50JOOjeCVYeWt07j+qxfusLwzklSoqvlpNbkEjrlLB1rLtf7epRXnVuGRxXLpk
vn8hwocGbvhmjPs6ap+1Z9BW4qXKL+3AiNiClIsA0VXwHmxMzGVnPawVnJismxW4OSs01T3HLHEd
8UcK8Iayd1t3NA4ll5++yO9tSPxy1NaIehhfw3f2/PTEdP1ERJBDTGMY5R6LOH4lprOWvQq00GZT
AA48VRDGqqDL2Eir6I2NoCBadBDeYzzWb9DkILeuNXB84GMrIv5lOh7Ssv3kyf82pPzqVMJ3MFsO
UbTpalif/HJxt3jpP4dHIDOcXWFpdw49bBHFxmjzVenP19BVa46oNSGW7VgaV7gBVHHdMTZJPQwc
kh6MKC0PrChdO1O8Zjt4qZkAGRGBdF36bVctsPqR8EHyFefefpinz774qTPgN74msDSUS0H7iOtI
8sp6KfOS/OxT4oQ0X+o5C6DEHGy6XvBFQYeGJ2vEQwDRVgfZXjHglVa5jhNz3SXjaSYCUIvqda7k
KtHGwBdIOTFgLWHI9xDYrCco4duuIGsGJoNjBvtnRdGE/GFLx4aD3B2PIe4UE1wKOEZGuO6QHpzR
XsPJWvg95e1M3wAh46nlkGYFcOlGw5ut1TDqyp1JdMtJ9Ocwmv56DekxKL0uBQai3ss6OkFhMMDT
i9WojPM4m08VAF18FxjQdXMDaXsDwQUkPEoq3T1bzKVXTC1BDyEd7n28DgOqNO4Uort12RcsvTN9
gLAbV8Q4njPXOIbxbzmaBxOK2MLkempC0xw0dVZcDJmJfdj6C+2I6TpavGnazsZzlm1DGMEtarrZ
r3ZTX0NDpEhjo9vLx3cKyYQjkMvp0PT/GD00awIsHUlD92ym3M8ZTCA9+JsG7yNPynBfVula6/1H
y2+vDGtpK3HyC+eaie6psbST6eS8Xvrymof9OUqr3yajEaLkBhEbxxYSQr+W3/EMN9cfLm7jrW3X
3pNxJGj0r1IonmDNWNJ+12y3Wkxc2X0ctwvfHu5uJ75p1NNKm9B2ePtEJU+RQ3mjaVywBt5NOUCa
10qzOC89+hp67aJAoAxutf7Z9KqXUQ/f8Rye5ofpWdTXyfOf51Fj/y7aStQOnWFBEmVIDoZIxeap
i6MXdjivFi1x06qPtjneBwrxpsY1U7cXa3YWKZnMRUu5NTjqQm5yjxVrEcEOe/R79KZ9DnE+0kJJ
AtP+14TlVdjtTplQ/HsvwBLwks39i25mT3PtIYhw9zR+GYXUzyqNaIREL8xN1MKvhn+9U69K0a1V
bSaMPEA1RvG2i+pnpmS83vTsxktwpY2MnifL5MnXjBrzVBdEJOv60H/DbVZtRMw7DHy2eezLNiBg
uY9bjImtb3+REkR1JGmnrwqvowsXK+9UhR7F5kjlEab2eHAt1Cyk/oAUxwUfLE1kZny01tRBIeFS
OYUGzU2v675YgPtRmn+gUF3FRsFKMmwxDqP4YUsLQql9ZrO9GwH6bKnIP4fBPqOT2bosebQd3th4
UGpTFA5fCbrFZm2fZMQVt/DLpxnLWjFmT30eohQlY6Z32T5tim0rkiXt040b9h0BhhrCKsYAlkie
WJm76qWxUVp1dEeQ74q+mOMkC00rn/MEDnFtP7F1dJThcKbFDe2hsW7En4jY2BVzA5/3QV2mZDRw
ei96IERMuw9da67LrGQQoC0ax6J8Fpu0kMEoyycXv6rkLGvrfouB/BkI1dLEc2sn/TUq0QqmzN9K
bFgr3RpXY8HbHrZVz8usSDesQZGDBW7iHwrbrm+mN4u7BI24Y3Pc3+geww5+o0i5Zq8tcdIBvN8y
quHvRo6LKzRRlP93LODdwkBX7OgtpUziTzETMoev6/LINar/8o32FzvRJirqtQO0dJHlnAwPFwpC
Nno0Jy+edr3JnGIUm4gHtfjWBCBgI123LSkLy3xrRaMCXTTvRtQx16AU6hgegIm4dHkJyyteaNj/
8u61p+lW+uGbAlvNW2Tlcv72COznur5qxJRi37yaNlD3vmHsQLsGJ+ys14u5czZWYuxy4tGPQrmr
h9sAlgL8Vkylal2dZlwZ0Qc0ZzD8tP2RdSinWhElOvtawXCPVENMP9PIsSAN8T21N1x8mG0VfKO0
LFohTFhFdRXoBVxwZo+D+EoaQXsxPTZWduFis8IQe0wKe2d207x0tWvWcLw02LMCDN8zEsbsyYW3
vmjtCp4lN8amNM7ZI7CWedzCXCbQS0HAHO6Dfe2n+dLZ/k6X2kIf5zU/AIQTlOy16zSL2iQP6x2I
ZP1wabgq4gbgtte1Js8IL1iiezSeISjvwpZatCBiU2QnRuAQuaySGzC3UbMG9Z9pd800VvCtl3ma
HIgncw5X+ofmSb4BFO5zhlhwcN4LizliZMQXM0O5MdbnyFfrKOuus9czyIqrJYCqrT+3S1UxrTUn
7qrcXy3uvhPRGJlRqCFeqD3NJzU97GiLTL+89rm4QrkVf20k3W6ZdD5lMNrk6KcINfFHL7P4bbw+
+wTNPJ1sFxQYYWmVvY9x2UJ2VaH727GitxVOGAlAu1XdfsjB45+1UTX6siwRTxcUiic3rVwZzLDi
8kOL7YGgrqbNe0PW5t7I4aytpWUbFY4DDwlAJWiSzXlZvspIxlhPfz3/01LXsHAQeJtbEYa/tf+K
pC6AJR3AbNq5I2M0O+q5NY9y2av+7MyUIO0gpmUR80uATkOX/sephnsyPQaabX+gSjoBqX7VyfUS
NqV9E0MCj9WlBFGuC7hrbULw3HkY+9wZciBcptTnwS5E4DbxuZuGTePIgKDxysVCq2b/yaCtawis
Kb2lr9miGhYqolOkZsaAVQsYWv9yafzAUHY3WcEJlvYXI27JVGIrGcTwyrudpk6zJYZdkpIzq2U7
tqdI174YeWAKQGU/OQQ6/Gwz8DJWGhNonet0S/5Ko32ANmDF8NennV98Gkr/1/jtWjEJkN4IUp3p
ZTvJa6rn33FkFKt4QEObMga1oz+f4W7Pgv1YwuNmMYvTZUVslk8T6DH64gYsCm4JCAu8yL2ZFnc3
HlvZXZqZK1DIfZH1vyVd5TVhyKBhME3qk0m7xfVJbTRSJVymoezP59aw3uwh2VaFf2BdaWWU9aeR
tB+qbBEo5WeeoJ+WAC2TY8tbEdBeeG62CVV4yyftJeofvH7ePIlCgYvZ+TwmNer0Gbaj9zlp5tpJ
kp2TcV1zjXvsaa/wJahKoid+qq2WDNgwzIXOlagT5Xqc0Tmn/XdezitNOcfxQdFzQDI2+ZVEJEoc
CXShblgoMEAtxhuvDBeDnzYrG+NG45dn3643rA9s+lR7nmrOly6NDmNFaV2Q7qZbIBUxBH1YRor/
REEDf2guxH0DTrj0HI08wDl36riSgZn1W3OUEKNps9nUE47twBbWf63Io9hm0F22XyzEnguNlzAP
gMIB2zBdZ+YZjF7xori0ZhJubVcLzKb8KqJ6l1tEAQXpbsEA2aqMl6ZnKSDxQByYoj2k0AWDOJNc
/ENxJia6zgdeP7DlyX37+5ScTzeTiEbi5+hkf4rwg5/qtZwK8h5MJWf3SOfnnvdAEULrqqB6IqO5
TA0hwJw2dRPGCd0bIhjsPBwHYgr+7N88K/yXsYSXRO0qdJKldMLfISdDP4KLSpt2p2f5aYYa7sMK
zdVNCY/UoLYEFreLRv/gFcOKsC+DE7oOHi9njLeHbLaCgkdiSRrEO84VDf3KvY11e3Da4phYzWIa
SSXm7ZdI8xevThVTja5cdRFao/oxusKOJuYiEGm2S5gSoV3ltMKuR7Pk1k3ep44ZhhATkO7xxvmx
HrsmkEQ7gMJTPrMa5GGZwqd8CekASO/UaeVVSo9lP4ierretsX6byGZooRhvXs6bPUy1lZox3HK7
ZY/thbJ+NVrFyW2vLFvd6yqN+F6Ub1Txj7gUwSecXE1PJTtHgEfr2ibhNEi8DHycbDgwSrv4sr6j
2YX4GndLY2JEGPq3ZuTcGyZUvTFnkPSKdS1S7q/+JdTeK8fdQNQietNsuWYmAQt361ap+0gmZu4Z
bEW+PmK1KKDKLJGYsx+iEcNvVb7Rx+zS80Enkb4tHKycHd0grebcdTi96QLxP0SwRmzs7cn7SHzj
Zg1aQJJxPwyEBREppR2yi9lM3lg8WYNa3BI4CuBMXkVlrUbT/mogpz58uCno4gVv7W3NLAHbx2qy
/nkmQXfgaAzQEGcyQTjLicFHOnZBa2GtqMMLp8mmyTHJU3tPU7IDIbtuR2/T0JXhFA4mNk8ifXpx
jZFZdN3hcHE3Qna8W5s3SO4sdTDnsqkXpFRLP0qXdP7wV4Z7sNRBI7V3kYpnWlAbSFlB6Ocb/6Gm
Nm1siPy5MP4Hho4vQEo0bKi28SNqV1AG+7I5MqUhKDt8Fy1RuyFVV+Ul6wGiYySqe87dbyFbcUjH
lhzMePIh9elte8n74mmetjxgyUZOHvjqshYMmHU6jfd2sD5sY/ryIuYgki6L3hVEhZO7YaNrZoGB
+GboMpRwsQWI6OzX2jVV9t9EaAxwMAhjZ1bo7rmntx1PzeiUOx1qQFXD6U3cQ9kZPy6OMvBMBGQf
SdJQRpscqQWNDeohclw5MxxmruYi79OVrte3OtXeQC2ssqbct2m3Q4oIlq84gek7D7G+7g28POP4
kybWhmN02bNJo6t0Oyak6KDitotRMaMtvfzgD97VDB/hW2of2e9H0XfY/OSzktE/N0WULB0UHdne
oBipveGjhPrJvESjh2X6b40trmVcnTMMwibK4YQdtBzBtQk+1vVZwLI1HuaoJwE48kRPA8TSiu8F
LdGvjNzPEpc5c4AUrG9VURB46BLoZdTBMHr3xCh3kRluHdq5/K3vTHi+pENf3e0kp5RBEU0gv2W3
W8use0F7dGlr7XvixYfSmq7pQKsph9bfmRiP5JEtC24edkwnsHZOU+1BR87Z9ysN7d722b/B9pnB
RIfOpDNAO/speex/GO3N66Klbg+3cBi4UnY8ICEJizgKmV/LJbQlZt4TfSDwOvrabQf8QY9IXx9j
C+sIRs5Em7qOiGFjNvEaR8ezNQI1ydH+BnVVJuwKCrUJa3vTEkYlOUMcv/nLGV6rGNp/p4ZiaTTi
AKMXuwGyBJvlmCU14t5HC720QfksWyIetqx+MEj+ueOT45PSILvHz+He7dx8pv45RiL7q8rxDP8C
0nKx8jvJbVv8pRWPOG+JS0hiIKmgSAHkpjGElbMhMidkeTDNtl9LgHid3/7GpcFVOO85LCIkoR7y
LMKEmCsmen2JenEUDFyvL49yKl9U5vg09FzcS+Xj7OqclTb1j6r+VprjxSZXVFdOxAxt3IvIyTe1
6R78WNGA9E7MiJdaoVGC8tkWNX0IYaEEs/psP6I1wdDTr9FCHFrOGGZCZ5M3Gfa+kJvUxB5ZuTaz
8GyE+gcuqjIgTLWZugETi0ev0/8AfrAaO2sv84SS8uFbboBK4N74oQvCqBDsiiydc2XM07JNqq1T
GyTsEwzFXNp4X5c+K28uC4eP0Vcyj6wA+ZvYrd+VVby6LcPLvDKfUmrcvM5exIiJmJ0QfpO7srBw
/87PuG1EUDuFvs5SBid+Fbgms51KYFXq1VLr88eiS7vBQfT41C1SyWweSabZo/+cmgNknJg2Y1x8
WZzhxKxWCbckEM1L3zW+42I8sby/Tp30SfJv0RlSA/da46q5j8jf+7jd2RHSykxd3LC7OHHJDcS+
UQwy4Tc5aQ2HsjhaDdnwA3nsr+yTTTdmZ+jaT2NDml649ZvLsCw3aKixyR+Y/K55dZ1ixjMDCel+
VHeWVdZlN6KTjNjgqXhc41T/ap3qpCfFjUll0KvsZkU5n1YFDL7eMAmlA6cf5tR9yzw8MUC1t4WI
Do8bUKisS0uCv2n1f6aPJJrlUleKF4fTAZvUqartT6PVkKeJk957fyhnqussmLHm0TdL+7uZDmMu
2/MU85Ppc7PQPQA3E7gPpIK2oN9Rc5iVz75sj/gqxl0BX3ZFaMtcJNXwMo4N2hNBUz/jVVBVJNMF
gb6u+I3464CE7vdVGW+0sD44nXPGr3TUiOWkjUb+wW52ZlT9a1AxMEHItrYwbzJyMW4goqE/4DPB
1OVnz19Tf+zOOUV1MJoYiEzt/RW53DIZ+ez06Rp7xac2jzP3zEynhzVVOyul3DNb3v0zzqVihvMm
e/Ee8TVY9JrrBANX1ziP14gG/tjuwiyd/1ZgVsFwWS+lwY6MxoQLUPl1jFhyK1nPtZrQWsCIeTdr
kpH2/MWF9aUU1TNkaTPQuvEaWtqPUuI1HyYqocze9Ewmler+uoq2/KCLt9pKVjm9IAehlWa1rC6X
zT0sycGr/rnouOKzwfNEnrtfzTFbEGznTCvInS5QIedbYhosfes9ckt9q2dMj+J2fhfFcG5CnG9p
9VYVGhvk2Rc7KHx4Wp+uK70AguffM7bReFknAWyDU2i1m1kv9qHdolozXgaZfw+dS14g3BVykOs5
tVeSuM6zUXMmdWRzmOU06xZbx66YJm9VT3I70a+wTaThyUSBHbaVWrBovR89TwvatKR94iJTnxOP
7YdK7E3RPyWxFRjjhNSeVdY2zHl9tX/zOG4a6ZrkuNmKJgKvpEYHbt7XMbEZlxcDF3DB0RjG/A1g
4DitvRW5u9AbK7BV+zy70VsHzX9ZZ7yI20FuzEquNQS6uKBJumK0VXLcJpzz9B5fK1E2m7Llqkeq
bsufQYwaJmrjsKzE3SP7ayanRHOZEDohrFlPvclLvX/vuuigs9rK4Lvdp0O2GiOb1b751BMyD03m
eVVMcwvvZpIzChKG/pMSylJ6dS6YdoytfBM1dSaCO7UIp3I/htnJmOSG0z8LCiI3sApWUdn8po/U
jzuu8XyvitqqueJwXPNac9FD83uoZ6IwXXYgvvmOaOOcxemPbit8DMrdF3U4oXX2mwOh11UC447G
+yMf5j66bQbnuWMejGJ8U0WPoMfapNbwlGUywGt+dgrFMzHR+cuf3QLnRERvPEkC2yH5BJRnI8D5
c9Z1jOMMKtTaIptpaYtEJ57Dau+bMMN1U1hHJDIrwQCKFtzaJH3JtNfbZXH85EZmvU71uXsma2Gy
JZrz+uLNU/Gd53lHSi+so456jWtyty6dikrQ6cm2EVYLVNOfspSWX4+jPnj8Q2ly4evDbcUljdl5
esjJ3SwSt/lhc30P43QltXjbmKlNEWxtW4NEQRLLPWk3f51MmGTl+KI7zc3lWwx4nMmnnkTfqeUF
So+34vFio+nx4dP5M3vz/lBOsZpflluWDceFjc6YwG726an46ulQbEPi+GyNzpfQH5+qWrsIRbtH
mx1ee/7B1euK0OC4Km0SJ1Myn3NXnOhYQX5kpVnoF4xs6OjpWPgs+SMtaJaROTWgWAX3tY4SB3WW
j/h54pY1ZfGlYoOgzZgRE4kXQ7mtCHJi434pc22BAXULB3Zj5NOBRY63rmcgZtvuwTWnR1N722hs
u9jtuRvCtS5aPhK5kXF2LR2PZRWiQss4gk2RzezXWOYlITjAlzt7dWYGQfNov4mWbDG7A1cwvuHK
NFhrKOzsK/VBOVrO4CytmAq27fBoGVNg9dwOZfLSGRULvo7+LJ368cmRqlKI9GS7SRs61bLpGZIL
4A9u9Ok61c5Q+RZVK7yZeKA6YsOrxy7JCFOSD7XU8PQQxgRYNl+5MF5Ktz4mM3M8I9aO0s7/GDrk
y2lmo7NmXUFyyLLv7o5eHHiNWKhWlttiJmjuySeowT0GPOaFvJnWnJ+b2kie674jYSqEviOdwbOr
V/GapQCNVg4z9jA2t1nID0HJxlcvduqH0e3I73Jnt8bGzvq71yPyLkiAeF25r03Ftcg8kmH5EXr3
jqYMoWDNlk7W6e+gifl78rKFQrYKi+SuyFosFembTBgb1+Ym6xvuumA+Okvu55b4cIhzJnp3c+TD
2V60ewIQGxk9GnpjPy79vv2uaiLTYTivJ4PEbKRHSGO1qF8Q7oKDS/OklcOpbDTUZtAigp7dUt68
E+mp2UoC9unLK+L7Xwjo9iJh+rcs48hZRpnC6NZTaTpC/rM5fhc9o5jBQNwV+RqvhvZS8JRUEYc5
Hc93KdznEpcc96L3uaciGL1lZg7X6LE5C+LtzBbpEOhjsTIybDSFd6q5uLFKyqwv7V7L0mNFCIZl
OL1agwszmAuQ7IkimTmSa+2iAaiT5OEcczriO/oeyuTYK7UN2WsldH9ScUHs30MDpz9+H26xYW9q
XptR8ZGn3UYvtGPFRGMTUwqQz5MvOqHvZQPgb2HL9MtOjW1TsiIbq/d0wpviS7nqUr1ZNHH6qvrp
VOqkGEU2Qc4pHmk89xOa4U8Y4Zz1B/VrT9Ybpd9HZCrgKmNykq3cJqnxLGfax1M1/jDrGtjzm/70
yWKHTLyAhwZNw74SbcL61LBYwwbdQcmY7QaNVVu3ZecL1jM9lMcXNhzPnSlXoTTeepmder3eRJ28
1Fk1LVOFrKNvtZD8CNeWsIZ+6huCqE6zbmxFIEp+6qT+CmZDNof3qinDa2ryDUmMluVRV2PEg0ea
RyF+yWvrjt/rPTV1pH7dZuJvZ+SPGF1ch0tqD1Y/ZuM1ttJpYXaUBib8mzE/Mj1idIloLuge2amk
bC6kSmhiTJtZGBdpp8eu0NsAPemJvv/BCM0n3eemOnQGVUjl7P0yu49ioMRS9dPcxZskdM9zgbC1
IILW1g7JIAZGtpqXPVZKVo0gn040qtzoEDfIWgzrYwILvfJtgkjEpMme0qDwx/zm1b9xRbQGQsY/
K2a7uSURzJXXTv1la880OrJfX5RFoFf6U8hS9TIbBAdURUCkY+DrP2IrktMcTzVJr47OuRho4z7g
vewoGgNZKnyFW1o/KMn8uyrLN9NhPBlmaJbJtDwcrmmNOr3UGei09XtLdRwb5t7utMWki6uDYxJS
10HLefKk8aVEcZh9kCTC+rA6Z1sJ40e5xeuU6H9NCPqglOcuTY/af5yd2W7cSLZFv4gAIxgkg685
Z2q0ZFmyXwjbVeY8z/z6u1j34ZZSCSXqAt3oMowuJslgDOfsvXY2v+W6e2R8PRssHXYV35reQEXI
2M54GRKve2waFtvZCO/HTvyuBpt32hyEpJmd+99Dm8a7MOfHGrHNCqr7nyBiLuC0zgnjBokbwmiT
BnV3oANwihrmQ8/zKCejo5tLujLJtgFr1GP6XjWZtzFq8dvqgzufDu04/OqY7mWR3rGVfHF19mhE
5MZznKdd5j13rQFJrnxwlLXmdEhRiqqkPXdvfkr6u84ONOo2o+c+Bs7fXpE9kCB/EB1VqJmnb7H9
CwFCr/TQvxZSPNacUzIfE/SY/4iC9k5iwcap2SC2pHlF0M4v7RL4FGRYauv2R+zmWwiIX/0IYm5Z
31GzCZY58K70p2ersr5WHqD6IK4ejWl6Zo8+riOA0yswDtQ98Jgqp3y0XPmYp8MvTbPRVPEDQd07
UBA0pF2sSuncEo2Nfjrp6BPXza3Vug+MldugFPtAOtGN9ntYA9HQ7aoxe8lYDdyk3Fuy2SIeWM9u
sm3D6i9/rnnj/vBMJBd7l6D+K0MWa+n+rpc9Pj86kVqUp3FAiF729w6ase3AvMRGmMIBQi9Rjrdp
SJixz0jJNIWM0EGD5P0wKM8atXyyVNVQjMZ7T/YWf4mmx/kmRE3NKvXuejOQxCXMp7DFtAPA4Wfb
Qdi3S2q+EjF1SptLJg+6YwUgcmgd+Cg7s+gWvwVpPhOiCawjEXKMYtY/e6M4FT1k74adPdGnW0+0
v7qSGhGGShANQbvPgvDB1c1DwWTgTMWfAEMVI6zFciqGW6frv1r8fIXuqhX4QFvrRndyW8dUqQIn
wQxaHfC0Y2cEahdWzzWHAP4NJIkxL1Tyh92SqGkFd/iit8C3UXziX9DxgqVI8WC1NRvZOP/VLOUN
liXEU+FhTMBeBN6bN0SvY2Y8pP68xfd3nKyIBjo9H3+6R0z1Rt/zxnSHU6spRCyqoID5vOq2AS2/
NEXcSvTiCovnMQ3V70rkO7MjfZwP2KbpZ9bCW9uki+OQTjZNH58SQZZlHx6SmGRcYT/UgsV9apot
cX0Bqle1M0L7KUm7Vxx7r7jEj6EitxRn/z32o4PI3E3lAHmjS55IXOqs599IRF2Tz4TtP6Uu6hFv
Lt/Myvi7g4URNuGWcTkvSZhYrVxOVpDhKoLxmLyfiFzctCUBvICx+C/0syVafc43RKqhhyzE3svK
Ixf+7o0p3otqulvEfpXZH2Lvr9id/rhmRF8tuGuUgJ+Fh9adb0Zpvo2ZOkWZRpBkHXxYOm2BXDcc
b+KY01yZZKjA7J+O4L3N/HI3DwEtmBrdxcAeq+zkycMoJjMkVwmaCbTFqLEbjfZMD/x8o73tLYBa
bONmQslNfnVAH1j10UNhO8xRBvO4t56GfvuPBLAxp3VJv9SVxReyOjnmcmCtScH1aRNbdXhfxt1r
4pNwYAXPbUJIGc0gAQ5r7lsU5AUzTvbXRPOxKJI9uXGPUZAfJ5KhtrOR/QViwH7liw6/+YRGSTm+
aDatq6BJiZl1xseqYqi69Gi0V24Fp8Mgpr8alXx6bKkZuXmPMsF841AI/cC8X1wIYEqOQW2iUZQb
28MD7oS41M2BGTTZOJX3vUvTr/EU0KZiXTOrhCfvNyt2h/dF9KbGkmw8sbE7H+/O/Jgb834sJ/D0
09FbjMZ47JEztFi28+41EoqDtVrXubrChbzArgNTaCrgqRKFnbf8/e//S0klHb5PHVMlpwk917q0
KK5TpxfPec1k8Dnz5gKGET6eabP6Ev4j5RmX1g9KYLUxs3bgptgPzFwymFsck4ZAL4UCIgr/O4WR
KwJtNWGo2845Qj1warCPOWH1JAeQW1eoaTsQcPBsx5ppRPfOHYlV7ZWLXnqi7EQhm5BWJeBNvn+i
xMSZMo1B8Jgack4i3cUoRpOzqV1//9+fKBR+09JEz2rzPBwj78oacXqSnZSH8d2s0uGEN6thB5PC
iOmM8b+zHkGmctJXJlBL2BTvbw1AlWCmBiKqI0Ih0XiKLzYpvVfYSAum8hyMRJrtkpnmLUk+Z4xU
1xrSsCqBhk71WHyB0YBYL15U2kwmP8cs0JtscvJ9ZzNBf/48xTIEP1zaMxfertAmvO73N5jndbBk
h2anNgjz224mKjmJ0GeogOzSyUS0k9S9eUflwTwMZjbt85ldPJuwETNMF0ATV961ZJILrFwQ6lDC
sJ0JbZtnXyg5mR4nyyg7JdoXyDioXkCoUnfCLrY0zB4na9jhi4ci+ee/Pw0XqqclsW7y4TpnhKoq
yjCf6YgPNqa/UjhtepDjmAGtnH5UE7TYWePXyYyBjMi5oxwb5w50N8swHntpJjshq/TKG7rwMLAb
MNZxAi3/WeaYf01Xre2TAtJAKa7NrvkStmJ89AKjf/FjOHFt+cPwzB6uv9OgsSVC/PMHcuHLhp5L
uivBskvX7eziKuVAFOEeOaWTgFPb9jPQcNPeS8qvV+5TXgDILkkiS9oEIln3PPKu7oFpttHAiKp8
l6KAM5INHsHbgFam3J1K7XmX2PAnsoEsRRwXVSZfbEKaW1SS+FKbaY4ogHqAcIysIltdjTW6q2ak
XZoU8uB5cQ/EJYuLnXJEu1ahLn8JUiKxndhkOcFwdHckwTcvYuyc2wwLbn3lHi/eIvxn11EmQWHn
YRp6tvJkFlCYS6Ntbwb+9JqWWUt5YzRfzLFAKk8Y5ZUpU1zg1bpSuIxo0yM92zv7xJ3OtdWA9Bx0
FBtp4qOjnQicftu3M/QyiVhwJJuHrJqgLHeGjVFqMqP+L6q79C1sGncmBfkV3RF5ZXRdmPZ4Epbj
kK1Nqtb5upE1XtK3rUVohN0ODymginXchZzcKoQFKlDUrzPs+VmMWfHzcf0xYkWbUNoZ064NaFyp
sylmtCrR1TYBBZ07Jbg/kmEnjeGPS2N51dsR2oaOz3to2vAmqykNR1dCSD5+WIIPWtCAo66rGQrv
v+p0sIwwtyB4OQ2Nnx+tr8vm9yASH/1qOD1/frcfL8YzZr9HTBvLs3me9CQmYBI4O/WiX/IOTZ9S
0zACVNAA4b59fqmPI5xLgZ2m/qtYLs93PETSzMVkB/pYpVhSHV/Zj5Q2rF1e+vXPoqzaHZFE0/bz
i14Y4cSx2UzXJjh3OI5n05RhUbAdJ9fDth6DiCTgZK3isWArgnyiadvmd1021QvGdHmKBfXcvoRn
Q2Jbd0/4eICOrqfpXI/lFer6x6eB5JZYbALk2WeS4vb+LUfJPEJqM11eqpgRrRJ5Ykob5kMik/65
dHGHc2Bip/358/j4vrmsa9NW4bUDqF7+/l9LhoHOaVJydo9Abd3NNITOU181za5rAeB+fqmPqxOX
oq69hCIt4QdnW78oj3sBsUAfPRvJdrt4/jj6q93s18197pNKWOssoSyhKyiHuXVlbrtwp2xcFDMI
ewV4n2cPuLWdQuoqgFLautV9WJdAG5uhzO/hsCFS+fxeP86jikQLmyQERzJf2Webg9koZFpjnT0a
tVcfqcKJR02XqrpymY+zIjpedu5EZrItE+rskY5l0ZatCf52npzFoFnp9EcddvqP5TSOv4sIn/kp
hkT+tOMBVfDn97h8Ke+3g1ycmFKuTJvX02cXBzzgDpYzACVuYMEVPco3kUSHBPAl4jT3yvdxYRpm
6rVhAhMMwFRoLR/Qv0aqV3lV6ZaCe81ofBElX9ICg1Lq1aRAqT4RmyxBaD1aGZW4MXtF65tdedyX
7thm9WHjwfbDNM92+FMTF3i/UIvMUe+9xal+cibRv1UuUIYZ2d2Vy10YscvLNZdpgQ/0PC9TzczD
aW95jB9b6FVuyelXFzfe85Bl7d+fv8wLA9YhEsVkFlhCfc93VPHQFVlOP5x5wDNubZp4jyoo+x//
+SrM9w5HMmYAlzzf9++wzlzASunoHZ1ysooN2qrS3yN29P58fh2xfF9nYxOrCTfDmJEu68z7C/lQ
AZqhbpCTxk2766T9u+qC8htVY++2GcUjfUlUQbhRH4Io/gWjCpMFmeubz3/GhTkd/QPTgOWygbPd
sy8ks8AHDjNfiI3b+amsR4xDBRtJDdNQMIZO6KzsK4PmwjX/2RaTe8fpBFfg+zt3wsGmuxt4x25A
IO0uhlo9Yberkindwu0eN/hh1ZWp4MKq+s+B3pQu+hAp//n7f32cqV3HXmDG3jFKpiK8A3uJRSar
AYqDsxkal8w9o3o2hhRtnltTk1wHo6rUMUNai6uJctRzoEeKzLWR35jAh6/t4j5+S4CEmWKlsCUH
o/NiR9fQui44iB7HEEMWo4N0eETWwMA8+fXzt/5xnUMoswRyLsl/HtkP798AdD1X15HhHL0YlYhq
NWJDLKAjXRkANlOD61b0KH8gVoh7z0fa/Pn1zz9llgKAydRX2N9wMD3PL+tJWNFqIZ77yKztDb1e
06VIWAXb/34dKdgYL9s3FwHj+/v0gV6U8zz6h7hg3Yb91ybr2a9olV65zvnHbHOsBC1NSAphSYzr
s88ohtukObTmpxhQRrIarLI0ESVH8ma0Axq7ANntB0sQCAj9KGu/s6nsXgmtil9aF30mfJ8xeg0S
9OarMFqUOn0R0eDJDQMz9tj1VOnpX+unyU/GJ0Fx7jFOQbOsRKaRm0eVRxKVYWMyHdCm1CT/NFCt
vogCQNqqqob0O1PenGyrvvbuYW46p7EUebAJkgCg02j7NMGw0BmboHAXIniJw8AeSf5Z07ChEGwE
+vD5Ezsf7DwwNrakMEoSvBxxvjIvWtEarFR+wvZrPtYg4XaxIYObxGjsK+eFD8sy1+LEKBULsibQ
yj07MWIiDMmB0DC1XfCHNNDqvd9mULVpdu1k0yGRzRYmeosgaFTa/tL2KF8/v9+LP4JlhSVymWU/
JOkFvdeKjqbiCcMiLPXCbbobGRh+vMuIRsDB6EwYKesmpULf9px/UV0p3GeqLcWVOu4/VbB/Lz3L
A+FIw/HCcjxlqbN9ClawvsuFTE+I2RFHvlTaam/qsQsBpgHijML8dyddouQR1LCmoyeJsB0jyF9w
a/NzQYkBKamdHww5w9gCNqry0FwZlCSuPbbz/czyU6n/KvYWagmaOnt3U5FZiItUevJz5d57bknH
F4WPVGn2Q+li2IsRP1rZ++PaSlPr0Paw1qUZg0GK+AudMJVmTevecxuoYGpgy1de7PJpnz9MJTn6
mpTgQfifreMDSwdqWSdFwuY/WQ2E26rG/ZSFQ/oL5IFxoM8ZPYms/4OBy3irFBRXXaTOXRHy4D7/
Mf/stz78GOo9FolqVK/Pa4122tplXfrpqatqPAiVm9GJgAY20dgfYutZIb+s1hNw/RenSpBOtQ31
7rUKPM9/QuJMosO0uI2ito+OeeJwFELbE/yJAqj7KwOh3V/UISK9q/PSwR/mW9a49gw/e8H2M9Bl
SoL0r7BV6TcnLGL0/2n9u4HxhvFmZJlZ+dGMBmZ0w+DX53d+vqIt44RgIb5zJV3bPZ/pta9x3UmD
cRLPEW76Oj7FLrY2topgNhMJfIigixu/UhYdKOvaAnBpmNpMaIo6GNVFfTZMMwhIgS2o8aYygMzP
ZLvmMMCGmO8cmq9zrZJ5voX653Y5o2ohnGUpPxt0iOAnijnMJkQJpM+m2+S7ApnQtps1Uvdo/AG+
v9p9/ogv3yM1F1cwzplA3i+mzRKDJNAgniJNn6tMyDPZokjANRYT7PLUjrV15UB16S5paZmOpHjN
bS7biH9t2ZwukXPaIc61ZBFuE5RtXwbw8A8EcL6lGWzEDm3J/r/fJW0LyZ6YccSe4f018fS69uzR
QXBrmu+ti1lSzrZ514u4OlQLY/Hz611YCNmQWpxROQIsR//318tnPxkct8pOIBP7E1xW/6vZYhDP
RgUK6/NrXXiD1OcAFNnCIQPRPXueKVICrCQL0I8opG0ATIvsOqSVeHe6WxSV8srcePF6pARKj+6W
9bHEgLrYcBoahlmTT84GRTQdwiY1u59tGcd4pwg8uvL6LgwZ8tNIdqaAxtHi/BY92EHSmKoUmr/r
7vIAjo3nB8FrwmEOKZO9uDHwc33+XC9MPmxYuUMTEzWbv+Ud/2ucthA7Eua79OS6ZaKRnaoevRSr
Wrfuu3HpxMsc71yQG6TsEBeBsjfMrH7+f7zepXwlHMGUQG7q+5/B4KwnotTTk1VNg7nyYRjvdI9H
Psr67PeQ5dWV97uMzbPVhg0VpUDKgu7S4Xp/wX7oG3LJYtIB22787poZwFzKPEvff3K/j7GoHmag
BZuETLQrU8OFz0ZLisCaM4zi2HR2rx3wctNpuXSHlBTc14CJT/WFO7HJ1/rK4vLh7Mh0q5mDll4H
HQcK3O9vlHCv2gVcSTCVYwDXRWucb/pOJUd/wEIGzBhbPYlTsfWjXRiXeYrUF76GMu48Ay7G3pmA
l+LG8Bt7NYW9E155Gpc+NEVvkU21x+R1Pml52pBeYROG7DdT/xUIMOYNb3R2yRgQ7a6T4cph+tJX
RvfYpZVGWc+0zyYSNc1xkILzPWFFFkC9XHdbj79aDq+IDY1mPDkxVIwrw/vSK6drx/RFY1mzzL9/
CdY8AsBMo+SkOiO7SfK4yCAiT/0B+Fx0LRTw0n6dxh3FJsQTjPDzI3IUNkVao0U5ERgVHTtJioyZ
4LxocPkd47YPV7MCtVOG5bCJJIabYLC635/PK5fuGLQs5UTN2sB88f6OAWLVvpo6mBzUG9IVkbz5
b/KZYiyvSFg/v9bFG7aXHg5LO9GT5zPnBO/Gi5o0OwlaOcQwjuVRGZi5ZhQtAV/VQKLZKEFFdXqJ
2hlaqPimf/v5r7h4x1SlBUmfFODOBxbpCIIgAqawwPSB5xL/Ewdrh7CatUfSypWLCcnzO5+/qFpq
Ki5UojjCv3++VjilVg4K7FQIgJglGtKtAwbkkBAPsR+jItu7c0G4VbncvCSgbGPIYgAbF3lQaOvs
+fOb/5CQuUwzHIfpr7Biasbd+9/TL6qtwZ6QZ9iRfzDLqoMVGmY7skMe04iDIbb8ZpPYcbWRc+Gt
5kHFP2u3awGuGThs+zrfqwbBb9bU9ZWv79Jc77DEoeugwfhB1DGHFYkOSMROmJDwXbthRGyerR97
Hw7+3JGfUPcRNbzQ+H98BI7ngF5knndpcb5/KH4D9iSeGZdEacy3/FO+0s4wHSqW0CvfwKXRB6OG
kxMSJ+HaZ7t4w6xachn7JdVYO78TuzOMla3sxdEYNdjWPn/dFyZtOhIUmtn/KUub1vsbg2sa2fTH
0apkbnKcOljeFCOio86n8M4pvOTr59e7cHdkiZsIgNgcaaa299fDbkMgHnCMEzoyf0KaPAbe2iFk
AgoU5JFrrYELmyIqjCZnYrQn4sOahHaEGGpB1cXwUHqMNpGA+LlQ3ofe0zK/871VIC1ZO55loq+J
uC4MVyTVfNxLfcnkf9/frOnMEMbdDhEXYc3OAScBhc7RLfJHVpfusZWz/5aMvY35BYvG4+dP+sLE
QkuEDZjg7XIutZZX8a8NIa1TSS4pBxfwXHIF0yukpBwzbUbBN0XCK7IFPA5WF5PwqDEFVKaHLtlN
kjftsZhdG2jLuH0/zy0dGqLqWDTpapyfFiNL5LY2KFFow6L60GEFyNkHyzbdOj7845WcQg29dzL8
ahPXNWudtqfpTmXlYn7PgcWM3dx/sXz0wmgM7fEbfWfXxx0xzFA3am3fUGHV7Zpp4UdTh67ahEBb
gUaPBIbuIsy4GEC6NjyizbCfwhQv5com9QKpOu7yHF+dtYQdW0Wv1lbjBb8MrzYgjlqgeXpjbv1b
zwqjI/GAUXBKEgy/P/I8JSppKLLwgELGvHdUbUEgC2js7HwmcHRVysh2WS8pVMBSAoxlS4CbfTDg
tO1ic1z5mFbSdcpX84Ai1ffXfhKEe5+TPIkACMmzg5wy8WpMVviFTLqZU5mZFASDkG66uzJklrXm
wztS7C8ZsjQrrbNzoCtYXzxNbGcc0+omIFHe2YSvHEF9AtyNSUKITHDaNm6/dZd1MBEWPujYhARd
2Zqwy9x+JnLmyoz4oUu1KCxMLs7ZmsK2o8+XpMbgkCUpbMxwptY5g3PXQBZ8ocQTLZ6fdteoEhJV
GTXruYnbHzT+1IOlA33z+QP6OHsJmkVLsxFRJofYsw96VKNRdAazl5H3S7pfNR8Fup+1SOzpym76
49yB8gKJg9Zk8zje+dc7DGPQmVOds7stjZ1RzdapzMCneRNZVzjI+oMuan9DRvLx83u8NAaYNFwE
e0zUSpwtdTWhAaxARsYOo1TVpu008nPpzt61pefSw2RilrhjXEoP5wudz9kztpme0YHW8ia3abnF
aY8NQ/fi8Pk9fVzlmARtB6kfW3ZqY2drqmqF7Drpc091Iv+2mngmFVkixTIJcWlAkbVXhuw/p+3z
L4laP7JaNrGcys9GSh+VTV2UVnYqFKK5VaEyd8bK1+oM/ZffzrfBVE3xhhTm/gdJ5GG0MJT8O5IU
gc+42YJGrJST/ymLKr+b+g5UlRFBDNsUoQDg1qTUZYKO4BbLUcTN4cF17sugUT9x5mMDkm7m/YEh
oZ+kG+srpftLT5NGk2R/4qIw8852rAVOP4yELGsRGcPAzggbyVJwyXGlvRvbasvhytrxcRXnTMmX
v+glPcU++f1K1pek2fChkNxLZNSqHsL6Zh4QerVWnG0Lbfz0hzqDv+WS91B75pXbvfRBoPixTBSs
iOrOxSO+H3Uc7ijG5WVq/2xND++41yR2sfl8kH48z6Ijczy6IjQamO7OtmIdpsepsLjLWNoV7gkn
rEOsZLBKC2uEP5OEPh6QTLTmlQtf+BBR7HHIpAHPfuX8BiXbIhwxjFWrysB2kM/pY1swWpIh2tzJ
rO1/vU8mUGZQNpzLGfpcz+bUUqYL9PqUaZqJkQiWAK68McDZ5238qF0fczEWZv/KKKK19GF5+9+p
m30I7gE6z+/H0cgJWQsMkKehEsXWjoJpT1xsuhl8CuTuZI4bw43nfYF34W9Dw2RvRf89nkb7KzzQ
+ahmDjTWAK4yyUCi2InwnmTcec2atAYSCS2HCOdi9vR9XdTNQ2I50PVMgoWkCKJnrJjpcxYm6uA1
PpmUdjKf8gX0hj5GIIucpptsiYqJRmaKJpt+xEkar93ev18kBRuY2SeFSXDT1bgz5yhe9gGtta6n
HqRCVqnvcyHIOKtrib0bG7nAcrQZ28k/1lnTH0DdGCTCVNWXrhujErvNFLIF1GRx9dkSChfUBmkI
bla+FJy91sHigwtkCP1IUs38e7YxWvc2QWmjD81UdgZVzJJEwnwq3ZMP8Rp+ituvCehaiNnW8CJH
I3+hJZL8srGLAp13++kU5Q5dzjKs892IQnjYAKc2oQMBFooGWz+7fUMShtUM4j40SMUaSBqD4wDl
pm0Jfh7nYToGfl69GAWA6G6quKIXFMeorFE1+4BrDiYZczvH9P8EmPTgay7RuZNLW6zS1Y4m7YBB
Smjx5PbW/GfQUwUJQso7Rc1uVcc2/idjDuFEGkEBJcHJnpGrV8+dKWFG0z3/OQ2QcbGId9+GuB1+
gbyOTtJU5a4ARMo3xNDwl8DsgsM5qOqkOZIfN2wG4mE3pgkbzxyI/GqbmTThIfJHwrv9fq+yyNzP
SW5lMM7s6BFA77itLdLuKbW5q85KglvXsMed6IkSs1sVnpKo6Z6ozyTrtMLjFNlYQD0hjnoM7aPv
ZNkpHHGL4FC/RVGCR9bGvqaW7DQCJEBskQj9q0Rk8pa1PPOqIH3BVcm8IpMJmL1NmKtVapI9iIfB
bgfzAKxR8uT5DZ3ikprTwWnzvzuLaUJk/uKc5HdG5E5uvXwoHwPCR499b+jflmHDB5459XXkuHbD
bWARl2gM8bTxMsP7kroe5HVB1x+qDzEHTHQD4CVVneAbjiSaE1avp8jf4hv5OSHjOxQ1RD0k1PGx
q9EmFBqe34xw4ajS0dyILhlWvZvlD3yG/V4TvLyq6VWC/StIiCG254FI+PGBVD6HW55xovFFFA/9
aFug/Se2k46CCpGSlEBqXw+DvLGZf+UCUF4MfpFhtn/3fUX8ArqlbwaO5jXUgwa2rT0eCtS5FHPC
n41ufqvG6PZOCK7JHqGCy0EaO1f486MVKPMeVfzvMNbfwqQgBjPgcJGWDfUWHLu7lomgoncMYsKo
puikFkdekcMsSHIz+J2QiLexSt/ddH7ebh1z+FGSsvwUpBgiiSpZosvsCgxFi95awRpGmjHLbUGK
5ioZSkINW2HBm2WmCzt4N3PwguhWbaHJwFUMyp8ADHqSKjVEpwZ6POzJsLuNOdQwA+XpoWhlG7OB
il7ipkDp11XDujUsGBjx5N97cTz8cvBcjiDANJFpfdtsejENu4jgrT1p7MYmJ7ZlUyYxEcB5HT2O
xkA6FEUDZz0GDbIfFEA7iG9/K7eIH1UWgyjyZLfJS+u1xsTya84T/yHMIsJwDFPcOHrhcJFA9eYO
Df3gIH0blMYF3Vn+JrQnaxWmSbcLDGHfOSVYERlY7bqLAPEPXlQd2Y8qclL4lxBAUBLKGIxPPlWf
h1lEyT6oahr+TeiTG5UAemz6pDkRCiieOtFTjRv8GoMfFkevIIQ899tgnUSAG2w7mvmjXPRd0HFA
6EZr0UA3ycjfqrtArg0zfML5J+uFH90+AbG3IbLp4i8d99YTRgN+KeTTI+siqcuGobYEtFqn1Fo+
Q+Fr90cwDFBHQyR7QcvxsEsUeDMaVAciosiUnPKW80MntnY+vBR544tVQVrszm1JMXDCWR7MPO5O
pGHVu2700IIMTrSx4JIf+qZrN83sq5uxY5CoOWxOSEvLleURk4udZN4ZQzOsTKuNDlkqrUPZARIw
ksk8QS4s7mh4pTDdBYhjoMLHGlEL4aHNfLAyMfDH8Ref8/KOGFbzWBNAg9WONr2nX5GF1MBXp2JT
LkxdnabmsxoohqminAkJmpqnvEMzVlMT3CGsiQ9OObrreLbrZ3ZR5Ybuc7KOoiAGYkRm+kYbiCnX
JVP1wWopE8ye1ZOsN1S7oYhA5EWFBSgkKowNoDoij6pRrMalR0mnecGl2eaWyqDaZD2NlwkLMF8U
z60JY4wwAns9kps/9lzCYQsx9JMCTRCrSMJ2505t/dLHMbktAadFzzbyXUWrGTxQ7QH6VOb3iUjm
t7r3Mrgxw7No+/yWHuk3hnj0OAcJxBISao8mIUM7hw7HYy3yYotCMYX3htuiqpp6HUaj/iI4RN9G
WJCfVCaatzYX1WrKo+kkLA/4HABk70DwbVlusRXHm5zE0j3F9nGDDChhaWWm6oqGYEXHyt/SMZZv
SB5IQhuspfrvYlV/jOAwvzqRCvCd1tNmGFjRkzILNvVIogU8inqfxYjXV1k3+pjaIQOq1Jo2yLPH
I3kfX0MVVndRMaktIq+BDEonuxnnvAc3BzOpd4hDSwJubcxH6zBQ2ztkPj33VRSABKqkrW50O0vS
bER+6sw+3/lTNe7xEKpXOPOciYQZ7mI20HsaF/4x6EO4kd4AP6xMBlJZxgYUc1fF7Biq0NMbB8bA
WkcuPFLu6IvXmMkLm0PxaMQ1eSyBbxMHFeRk8QQegWQTmWr8n7deaoht6swl1E6io1o3aY8heZaP
Hs5+6LUQfseZPJF5ruSqdRuEbOganojnJHIhjEnXSiiBatlkh0zS56e0YpO1Cjd6KphnGrbeD5QB
8jsjK43HwQLy3zfo9OYx7zaO1VkrE4jtMYscdUMtB8JdYINa6cz4COsZEBTwzHUusFwlRipvk1aO
r+UCG+Tslh0TN5T39cj2p+wdb0NutXp2Jpuf5vnFI/JEe6t1V+2jsZ2Xik+/tuT82koENgYnbJKv
xsIhQysz10GctQ9qUMHWlaaxTUB9wAQggtMZI3maK7KFSLpIt/WcpHvmgPYNVwHS1qq0V0AM2p1n
puqLX2VwOqqifO4hPRFJO5q7ylIsK40Fi7Z3HDJDzImcrjqAA1X0L0Ib4iarwgjIQhBABA/K4SHm
LLEbxrnc0p5F/G6TRUheEeb3vk6st74HUEK7eIlhTZ3hJhv8nribOTxRiphpIgC0TJAebVLSUaB6
qXnbF/awKYTVPEm2G3dJKvXjUA7hDRMBUct8A9tiIJOtqWAwpl4f/IRMzQZLpsq/U0ScsK1qXigE
xOZ28jJ/XxfzvAtpqLCNSu1DVgsiIGyjP7pl1I+rSeoORFsFviOyZiacuZNfe+0GD4zpfg8ftbwd
Vc/gcMng6OinbXMzFFBmS2AfQE1JKy7C4BXCK5JaGlx7xFAkObW5dStMIvHCMTe35KoWu86xy5U5
Q6dH4In0b4i5fQ9P7J7HMt1RmFEPdCAQSAcui/zcmFvPzL3vTKg+qrvRhAQBL4UICVlvF83XYdLY
gFJW1S3avgHIIpuO0CYMwCD06SCMWT8ZWQpI3srmbUad+CWRy9khSBmDgBduK8rWN/YwMm/R4l0S
2XpoW0DEiN0NZ2Y5HuNDJClIWl7TfSXnyAvXygMaV6GYpi7bzuseW97eqRN0b1ad/iwMAm3SpLX3
ol1w0wb86GIRGba25yxE5WnTicx5Hu0+PA1+Ve9csIq7pCzHQ+vn37oGtxxbKn1D0EbM3n/KdzbN
wX0yxzF7MhfEUJ81YFHbjraZTZIFIYZgXSyCG3X0YJShPviZ2/0kbsrfDP0Eaj30wXzMPnnIEQCU
9Vy3DTnFNTyvpPkbZLqz113rw0MK7W1WOOF2YMogB4ivzIKG+3MYiwhNCzOZ1xbzVxZo+bUywv51
yFjh074bHlUdGA/UwWvw+eQ/b3ozf2zR068cJ1V7pyjdO6Odspegh0s2OTVruCTWRpR+DALGKb9g
nXRYHYF7TYm5+EeLhyovWpKQG7KIs8SyHoskFtsIZtQqQn68btOUY6Mf9DdlTPifaDgrFlae/+b4
5K3nKSyea0FPIuwH8goU/EwgKuBe8SPuBxA09WqGTQslx3xLkkrNBzf3sn0YQtYixIvYhYRc8s/r
ER/LH9RbKHkv7hGq295ZddmoCS0ulk8QiWCwNwGOvGmAZPe0CrLxSg3iQoN7uZgDSgBUgqbO/r4E
0RV6TMuc7Tx9o3CGYMqmLvM6dQcIyTzGTR09sGubgeNNwFmgQYebbvDan5/f8sdSE5U0aA2Ufehx
0516/ytQu+KPIcP3VA1jfON5JMEDfx5gvuF3LAEHkqT8d52BebtSavpYS2OHtBTzLQstNMrf9xdm
9wnhtE3wiLZV99vvhmlT41680lO/eBUUOQrzjFx8k++vAk6+/h/SzmNHbmTr1k9EgCbopsn0WVYl
lcwkINdB7/3T/x91J11UohJ9LtCThtTNJBmM2HvtZci3rbCjKHvj2bEH7751hvrw/kO8tm6QLoBM
ekB2fylI6roWnjLc6FzFk7+3ya8L4cf73t6hM7rFmvt7HLAMgyG6QPEVDPVWEKiJDy7HfhxitQaZ
FkageewJqdqr1MFMJAEmmHuVnkqX/O/3b/NvtBeszNQdHd7RAtavXplPJq0fk1F1ZuLiPquqL+6L
hPjWuqs5ckKyFd6/3t9gL9ezYZM6DCGggKxIVbS5rVFSUp4bv42JsnEOkup0rsRuhApz8KbavifD
UJwqALwbn+ef9fcWtufiuH2wRA0GBWs1+ewO0xhWY3SGsEHA9li6bKru5GqLozLqtTKxSQFIM9P5
RB+RAFj46MzMSansVVmkCm1Ss9Lx3J5SkoegCGLY1bkD7n5dOXZxgClSVBwcNZuvaRIal3zSyu+M
Oknx8xvihUjssb1o11VV94ypJGnPIaZmRCgnkXZKJ7uuD2WoR4+4pfmvkg4eCSgWBa8u3lfuzlTE
dgZQqslttDo4hjfGKFdWPLAp2xdSCR9qzOq7agzqEub60TmPWv1pqERHROLY3XuT9G5sFNc2ShqL
ZZNki2IZrBZ8x4MZdAqCM9qBlrTewp4ujpEO/yR1SxIWsn+y1DNCjoiUwBtq4ysHN7MW5t/P99fj
tZu2mRkxzUHpD9fs7WZiSd0gFNYNQfa88CeVod7syrGkm7Dc0f/4/sWubMzLcJyrgEDaurv8+b9m
9t3gGOBeVCF9Z1r9ZXBGA0dBL7NeyZ9LsfDqQvXK0HD88v51r5AFhMvQl/0SgqHH2OrthYk3mior
k+HZafWX0CSDJkvjDPnHFJ+cRrMCJoLiJXY6+TuM2/Jkk0d2jECyNg4Q9S2ywLVnjvyK0wl5D64C
q1+jelERIIpnyOTP6iA4nJ9N3ficDpX5n4c7DLHQt8MP4cRl4vn2vm0rKtDdYO5TFWH7imcrRsFF
NFq3dtGr6xl7BOQunBbWX2T5DpqZXS40OuDpB6XCFrMrIfIvVuE438Cxm5mw9ap/rggDco6WLHd6
5t44sYxl71xvb7gKYZwEGAuxcLWWFUh+nBIdcEYQ6qDTMkzsZyu/xeewJwpBZP3OcEKSKfVoPHTY
Lm8aS+j73pDtjfH2tVOFua/ApdZkna832nJhB0HeT84q6Qk8myuwZFIZsOeCzzv8FIzxf99Y4leq
AkAvm/qbLUN31txCzOAy2+t4A4V0P+tyKI5xSqJIlPsVsazgfguMyCRKfPMq8wVGWXdpMNhCTmIx
ChGFnly4Ie/GO7ly3DECwyYI/IVZ7ZqA1ViVkyQp1PtmTNWL7kXyaUyxnqYFZpAShm6HI79vnrAS
dFTg4vCc3/gFV4jFSBMNWP/wwFBDrjXNc6mjQbN5MI4del+waDM/1cDs7kaNaf3UtJr+OOMX47z4
ZSP1g/TDUmOINSpOrqoiLNPvSetJ85psaTxXod/eeHNXlq2HLAEPNJOh3l8fqduOk+UlHXM7v3g2
Srq7LdNSNTEyGkxrr2kyH4JF2LSfdS150UD70Cm7Wv2sF9nT+z9m+URWn9Af3i8sJo8ftNa290Y4
CiiwEdmXS3bysPwYMJvscbYshQltTeZ4QVCbVhb17v1LX1vA6O3oUeB/QypYVWKu1k9zHVOcaLgH
9/C4mOrsvYmouRsr4sr2y60ZTPcpbeH9rrbfNiVCtBy4x1GTNbaFTK2CdLbiBxGl3o2bunIttAL8
A+N0aUlWGzD+iLpdCVqRwh2Zr0xRZ38ycy31liQVbGr/8yNEaYyxBbY9Szm7eoR17WOCaafhmVWd
ZEDEU/qsaqxjbpQvV7Y3uCYOC5bjFCXY6q6cWQx81SPVSzHhGUeLQwlH4HOsFy3pt+qW+MP9a1Vi
1YK0GK4j3NG/yHUuFGEVGrVk/GyoI3lM2ZNamgIvIWrUr+f8aBudvHF2/v0pQMxiP0XsQb3OAfz2
7JRzVkMNt8Jz1YrxEirMrunoERbaiSIUKHzEp1wPkty0bvR3V+7WYKPihjmy2bmWP/9XlVSEIXg/
se3n0o/kJxgv2Y5iInoZmtjd6yZIdFaQN/Fflw7XgoRvCIoFVs6qZ3aqeezrpSClM2hfGNFpxOn1
fRrfWKJXtmOb0u8Pa5QeGSuWt3eXOhI22USrV8myurN7fzyKNiHIKrfib+OIy+FUph5TKsDwXNQC
pJTQKTgjAC9zHZ1CnMaJ+DRvuXpce92oCzmsKMgFMvO3v6vlPKpFMvHtMKIgu9Oddk2dFS8NocNH
ry8YGw7hD1Sw+o3t6ErZglaMvYjylNoWHvbbK+MPx5S37tj4eiWepzjvdyw2JoiamzFB1IhXIJw3
DZeIvXL2djKqXNTC1j/vr4C/P+o/kjWI2Zib2Dhsvf0ZVdjkbWcBFCF6LT6XTv/bzmd4s460T7Aj
pv3/cDkLISndMCt9fdeRqfek5znReWbrtQNbcC0fIQ8G8gL7bTxkbrXefx8w3OBi2bJAU+xbqyVO
bFlmhJCGzyolkGYTC4+8VC/XulvmG1eqYa5EL+nR4pGxuSbkhaj9M0MLo7NUZhqEDpbRUyqIb+h6
cqG8KtzmDnMLZErAh1WHSet009cTxhEv7O1ZbjOpYD1zysEgtVfrCn5lPhWjGZ5dQuMuI73RISUm
d+PH1bBwSTp4uf2AfbmVhkFUFC2hnHq+LbSY0YufgV2V2HeA3Lk/Q5ceNBfg6MVcN9t0ICLIJoRx
E7nJeA4VE9q6WTTsGlK4Fv4QaXtlefK1tjwjFLc25exXhxDhMoAO3iN2S0gZdORtw562y1GZHQbQ
U3CJEtqQBVFsE3Zl+FAxl9tJ+MDPrdT7PVPEdJ+FGb88y3uCoFIN6kWc2lIQNpOq7WRpYisT7euE
octGC8UUJLJQL5neOwcT93BSsuAZJH5CTIgdkiXKfJefWTivQjHQQvGUXKwyw/shol+aANZjmylL
FKbps2h9gvkwq3nApN46xip0z0Ca+qGSCpJ53WAz7RbhtjIGTNIHJV7NMscC3K33PkHX2zwcjYBP
bz7GNYq2SeASGqSOir5GQPZ3Ru96uEV2RBeaXf4Bs6g+hrykS2Jy2zDQei19quIhCUYOJrzIUnI+
TFcrMTcYSA4fCBltXDgocFlIeOxnG/qJo12wPs02oeZ28C5DczcXFc7EnlikfC0xbF04HXvX0Z5q
HP2+WKRq9ZsYd8M5EHpk7QR4adCUYUFKhZKwSciHkun0+/294NoHQ+ELZQ1VPUOJ9VkLESaDUjKq
s1vgoD1irvfLKglPdNwyfJZa0+1ghmO4l/fuM1FVyWGApXDjBPzTDK+/F6arHLyLwx7Su7cbYAcE
GVYTE2J2h/mLr6kE3AXaFLNAW0TMdMISWc7owCLABLtEcVEoxOdPIZw4Qm+8emLoJi2d6aXH2CqI
bHhj517k+k9yv5pnWcDL25RFlyabXiw0MwpGSQFj5AigNCHoFKtKQWJixvlR4lfyHFoC1giOfzh2
hq2SP4x8UugK3Dn/IgdzDiGHtCOrkrOLuJMet4OoQwOwwXQIQx0rcj4mRD0sIY4xxtEZoe5TQK65
rx8ULgFlMHqSteQWJTQ/d+5LcNBU9Go/GWQJBaHV4OERQqwcT83Y5j+mKP1IqpP7Q2qjyra9k6bj
DldvdYfxaf6CusGEZDAgSQ60VLOW+8EYZDvac2pt0rzS24DUKQiHDVGzZmJ1GQ1qP91JT47RsiOj
nGkd90c6u8QpNG6vZS8jzMX6FSwVOweRe3JXhBGp6kR39Heu7gncO+PCB7wkBcXZuwh+psfYHT74
c3ISLQqMGwfXlfIM8ZyJpdtiI/eXrcpkOEkxq4xtlc7sYLjlz7GTBAy3RUtwEgklROH0/9M10Ruj
z1oo3qujq/MSWaamVGeLpfmg6TIj+kNOpDjZCSwiaAqR7Wg3CpMrFZGJ/8H/+yAAdVbnRxUSqDGF
pjr7ZgHlrMg1vzzVoW9fZpt9O0jHkagmq5VQ99zJSm9c/uqmACWZlp1BDoDJqiAxi7GQCbGQ59rJ
3B8cqbvUlTA7NVteXKdr/6lQ/L70jUkyj2fn7V0tZsO80er83cBREyOBZoqENYowV+Vqkzo1hk0G
uh5J1hVy1ieLKNatznj7841N8OqlMGHE/RtXNNx03u4/lFholxdTbFgC9j1bsTNtqgUi3GFrY//I
nBaRcVjmbXlMZjnpmxl28We/j7PHkH6arFi82Pd+jxM7G74UBO9A5L0lV7n2K00aWZ0qHnhrLR9t
i6Zzpg4hvi2l91xIBy8YDIF20zjhi/7+I7nyqVkYfrAG8OCghFkte0AazFUKH8GON5Q7JYfy0SrB
iSukU5x9JH5j5tA+vH9RyPd/F06CD9xjc11mmevLqj5nyzPs+GyXffMDlqj30DtD9jNkfX2F8qI+
GjOh71YMV9PETnInzHbclT4BDWU5VThuLSIG24KWsPMav/cDfdCtrZXFGV7ZuW7+GrzC3fsTOegM
+GfyO5E1BISvliJAD86cxRn4xFnPCvdGqJCbxTnoF/NE7WePKVWx0wRMr/NojiEppYXVc3BaxqkL
055ECwlbQyWegPVKWtrDGBGc0ZvN9BBPpJ8Y5pK7Yk2qPflFPZwHsp7zAEqz+uKQCXjyQuXfKzMf
v7Z6aD+roUleyzlMIX4NmUWeW9E0RwTEBLHSypE2zDSHg8Fhjj3PpbdL2zD5Upu5uBNQcPtARLho
beembF4HImCMALsh7DHaUB/PlBPpo91U7qcoF9bT7LrJt3oQ9inUFx8Lzhf9iGjGNINEA7UcI7hc
UB0WAYGLu98ZWxP9aPmhF2CeJL+ZoLt36LjUY64i1EOO0RAipsfnvpqqPady/2kUIcVq2xTevOE4
l9u+dOLvKJSTcJ9aOIX8svCZ2Qmnbcg3baJxk/nEHhLiQKQ3ts+GpR44GgfU27w9s6/yD4QcQCu5
sQj/BgWpRNhvuAPLpCtcQSwlsmmCnmR+dkc0RHY6EOJOLAIlfCO1X14U5S42ZjNGELxv+5uQrV0H
xRK0TKBm1zrd8f0fdO2bYBO2ELUyvNHX7bFoFWpsLS3OXcOBvMFDsvlExYY0MZE6pMb3r3alVQOM
sEHfkSRzsq/unoJP8wjSQF80JcPXOZOw6BEqwPz4z9ex9T/PGPa2QIv2dstNe0hoTT7n57lEbIfV
jreoNtsE3v37F7ry+NjX2ch88JVlK3t7oTJxqpGnmp+t0sf5r4YufSi1AnO0zlFufOPQunJy4zwD
xLn4d2DOtz5JKKZIjuizc1U7LXGibnOYPALp8pqEgKon5FOf0xGmTl/u3r/Pa4c25zUoHQJC+KLr
SZuT5QhDkHbBHp7bXVGO8S7O4YImeWs9jb3zLeqorZuCTBdkEvvEpON8/ydcedT09lRJGIUJjMpX
8G449lYLNQMf4cwhgYcDM9A8p/1RZ6q58VavdNgOYg+wcg5C5sartzopkCRUhtBdJoD9nbQbaqPW
FB9JHiS1xpyb2XoGfq0wQ28N+bWJ7dy8sYSv/QYE0MuBjDsMM463K8vIaxjRniKTx8qBRA1L5LsU
cEj1pftT6x1JehB9puT3H/OlmXn/aV9ZaiQvIOKEY7QEUqyOaAQRdGs1tihxnxMTRRzxeOdgfBzt
a4jg/xihhN2emAM8x9ztbpRMSwW66thgGsG4EcjmmHytXrXXZDAtWz05h+UECaG2oLovScTpbxQ3
3Qco5s0NbPbK7eJRgwERBAru1l59Walu9Flrl8kZOrhnH3JHOsRBzSQ64yotNu6cNs+tnqFoIgQT
ou/7D/tKPURhCJMLSeniTLaqyPFQHeKEmMSzOYIPkoFJOrFWWQ9Sw2wZMyScBEfrv3qmUung0Qsm
DGEBSyt/tcDCBBkXMoToDLtb/9aGtv+dMHnmq/Ao5xsm91f2fa5FxUXGMDcpVvuxlxU5GkIWcymx
stsDYdFcqFro6Y0neWWTwCES+SqgK9vx2k4qL1CCm6pBpVe54lNkURzhOG4HBP2Eh/dfmvPH4He9
TJGTLkYJaMtMsZokuKJHGuvjbN53pJxb4/SEMOUf/uWE9uBQD2N36saq3xaR/iJVC/27ZWbczEBp
hvGDfeduyuJD4he7yWgPRq4dzGz+6hgodGpfVhBH2ztcoi5drMj7q7wzXfupwCu6R+u28XS5i436
WGpOvM1qeMbkqh56l7jOWn/xUq+G/U4+Iy3FS1YOR7oPioo5upgd6cuT8RGn5JODUM5Pu900RE9h
MgJUIXHDWflTQ9j2UNnHMY4PtZrcxRT/AEkeio4aLwMdIxjJTxVDAZondaRSupuL7J85qYJwDD9k
Y/GpKrvpgf/HM3kEeLdmJT9hfp1n55nTGPjf2ibKMELKH+uML/UTFirlcYr9eJP3y3e2lCNJRyKl
SO4yt/ptRt4nAu7hXmZRvakjPLpHswTIHBScfaRvZmbsXAMu66Ax+Rvlq8e+HVftaTbEh8qujg1e
s0xYlX8Qo3PUfA0dVTm+4GlIlqI7TtEm09IcolQ5ndKmkh9rLXuo0eP7CUikr8ef4gTPN7x+wAaJ
uh3tnRblZ8OfT9SuFz/TTySX5+SvAKvqafOhyrU9Wr1L2RqPWBN7m9bRP46GfjBGs9nQ33/R9Hmv
iMrz+uxQeuqhc/V93U1PfgFbJSOvuTGSPXrWoz91h9mNUoBL4yScyScJranIC6k+106zjyJBsnCI
mVRWImtQ5VlpXgD2BVyqrEufmGPgpJp+p0Lrh656AM/SeRjibG+DAoJy4fpJGugpYaetJuSJTfip
Lcrk6FvFCWrWnenHx9zMLqmY7sfCMslBjL/LmCVjGf3POTHI95qS7BSFXb6BDfKgKvtb4VPISoJE
XfAwu3e2g5Y/lA6E+dr5XrXpfYSgzexHdIa1tYt6WIHuHLaH2lZH3Jpqnhdaiay+9Fj2GJP52idu
ue1rJxh6eW46l4jcZG9nBCdnZf2KJpg40lbdDaUX2J65F3DGT3hXf8YA/SIj8SGWMcnXfJhRJr5g
YfIrlOpgqNdKzh/yXDu2oXwWFTTjLDVQ4Expc+pS8R1MeS8HsUMdGJ+q0n/QBAl05LVF29wdH6PO
CTo/+6XPDi/Vm4POcreCWCrcEBBrhcQWawsqr8y7Ou36rTf56J2aPVFSJCWgbCDInWB6bHLCeQJ5
aRUGUYQhhrjx7ecSu6De3EHaJN6PmLs+PYnx+xwWz41jnfiLW8vvn1Q0H/S0JKXYRfaCrigZqt/9
VB8Jw/441+KekdwO1cf3FlmoF82fY9P6xPj1m7BBZuP4QzI7L05r/yBTduvQWVqN/iWGK1jkIeOU
FgFgS9qcH251rXp2VDxu2tHaF1W/E4m+s1ssRnozKNGGzUb6gxN82AK0/dbnap9igbID3DqFyr7k
RfHkOe6hmKvvRWPdjbWJdqdDD0kwBboq8uX7+AsCAONAIW1c5Dg/Vr7+rTIbdyvz+mlKtMc+Ek9Z
o5rtqFc9CYXJN8PqPuVR+GXok694Nedb+p1gQEjZJO7zgNaQOem2l0VgWxOBqW24FVmN/MP75A/m
vRNb2ZZe/EnUzsWZoLdXXvyRZEJtIws9MLyZF5QP7NyY0TAJYQeBSbHRkWKkGqmHDGrgqfsnGSaS
mNfu88wErCYfd1cZ4klLXRRc+SHWyNphgxlS8dNoijv8rQtEHtlv5I5ns6zP5TDyDqoFo3+0w/47
7NiXuGwu9kiMoxLVJSZfNdK8c8jYxTO7hK2yOrau+VNv/RemnzjDYKNQtiTVpBj6gThfEqMghC3/
ECfINyXJmIN26L1+3yR8xHO+JHjjfyXzT/0wHx2vrLe9S48O9fhRJ5ivaovP+kRusCZChWJNXpQR
7TGi/66ISDWS4l46zRNn7rOmDUFadMfONEittu6nWPxsffeAh9FRknfY1u6usMeXLvK3Y0Tss46i
1RzcAD7oNzId7orR6ALBq+qg5LsDLPsm0bGCmE/FpL9maB0ex8hGqqkfvVG+hBrPI+0/jpP/Myej
MjGrr6gIvvrpRM7i9KwTBJL50H2K+T7NjE91Zx5EGE2kZ3dFMFqDuUtqIqDIcdxqvQz0NP9MUDyI
KPi7j3AU016b5T8eognpX6r9LlSn0BOp56Ka97C1AiNCSl7rJjYzHbQa2xtOYVwTLEvSZ1uHZMXH
v1plLrKLLTVEvin7tkeUFz9gwXMMHYdcYvuIfdW5Hoj5HoqgiNTJk/ke47ad1UeXjuwCzWRvVVaI
mqd/ZRS30W2yoWqlb8ykiwK6JWPTR2a2Y1DwUhTmC/s20ZjjcegGmNeDdrLnaqti/zJi/Lj1cG5C
kEBlL5tDknUXS5M7jsCfMUHLUk+/ei32Q2wR1obO+ntYZa9FiQx5aj80fkFis/OahdZ9aw/7KWUr
n2zrQpoVLJhlL26QYpdDCzRWafuu1s6xNnywde8BdeUXeNGPkxgJU82tr0ODr+iweKi2Gdpft093
sqm2vjeV+7aLD9IbNnXFIaDkF69zL1nnPlZDuFMKAyzVPdr5uBt7MC+JKT34qn1IbffV1OYdGuhy
KyuGl5V1MDgzcWB2N4vB+KZSoItLrrpDG10z1ZT9MO7dbIY9uAw72zOylF3imScjLtErVpuCJRyL
7Kevz3cNuruNtBD1NPr4ONvsyBg+FUX16Kr6m+9qp3ZAKkr46syAS89MZCkNJod+LILKDb8zdrtU
OsK8aE4IaC3E1hXaCafrO18bL0WJI1GVztsctfyRcb6AnmXf16mRn8yRIGTTe9Gn9OK23YbIz3wb
8a0YrfwyxcbGFOo3gddDMLl1EI36Q8e+JTT5kIMIOApMCzL+puSlzIMhSGQ1P+Kp/stM9ECz0pcE
0ZCciiAU5n3XtJfK8D7iynBX4TbRKaiGhEUGTmnVG49xhRDRL6mZpy7rg3QBKCWeDp0379usvIu8
6KWjeIvd6NWgPqiLHrXWooTU42oKfB+fRNHfaOCuARRLpwpBErslerhVDxUZtRhnZ45JgRyMU0MX
R2FJGDAMGxO2eRLfA+F0DKYNYxPmbraTBTqz91uCa90H6hSHfAhEMkzn3/bs9Vx0LUrlkO6DxFoh
nZpwdUfbNb51i+x2rUVGBKMv0goHFtWqYR1qzc99ZSP86sN0MbA2BarQpD06Q6x2oY9Bxvv3dq1H
dZiNwUNjYAID4u29yUoZY9Fqivzn2NvZtWSzjxuLpBMAyhaxO6L0zLnRzl3rG/GWsYB7MOVhFvj2
ou4Ex2IAtj8njAeGrciJSLuvI1qxG8Tea2Qd0B4DVi/TAZbR+va0iu9SQu3Azz1t8fEfJM57zISr
u5aHMexwoMUzoXCwepJ2opffRA7+saeOjyOoASQK3nDtugIALfNqKJNMLBbIbXXv0oYvBd/hbLll
VxwLC/sF4VUtOeeh7ZQXjRpacGZQEmzy2Hagvc9TMv531G1Jx0O7A3OThbb6FWM9RIiWB/Lo0XM/
po02HGfhjceMdubGgOYKBoM9sEnKDC8Ab9zVy2amxWAycuDxLO4pZVlZRx+V8jx9mDMygSczfqT/
jF/eX9dXPqTFGg0OMXoNaAqrqw6GlelZTXypowb9XhB2fZjT2TsysE+o7/r/mqsF7OIhu8JwH/WV
By3v7WsVOsZojg8rmG7XfXTLefyk9W6xEdjGeBjX3Phsr94ezD/YnKYJjXyF48muY76rMA8yy9I6
h5apMU+cPHO7aOhekhTnghub4LXXuAigMPQHToNn+fYG+5p8LROXi/NYVMDCGCf9dgtoAmZVKw6L
WJ0q2NYHZUN4fP9VXr2yDxmdiEOXCd/qyk6hZpdqB5SpUvVmkpOzYWzyy0wZLsHB649Und5m9Mb6
63+/MNvUQntcdHX2snf+i9k5mbUB8bBN4c1G/rMBvzOodYPAvVxrPzUNFYlKsmZbYhZy42Ff2ZUR
GcFIg/WsM1dZvV4OQm/GzBlrWYCFKkJ2LkezP5lZ6B+mETNi2Ee3MLYrmzKvFyB+IXvCKFxd0zGk
IR2VIHNRovgGtRzxN4h5N95YutdeJ4777H3sfwZf59unSqlve6rhqUqnVQAtfXWh7gbVAjQK/BRe
ct0SUqyquLhx7Fy9sufoKC5Q83Czb69MMDtIVYpneTsPzU5ibfU8mdZ8cfK0uTBeDg9twnekjVp6
o4y59j59kG8sFFE2YXrx9sowRICMkiY5l92IIwxQYVxDxY4FjkhV2CaXpsmdw/ur98r75EN1KFwW
f3a88d5ekykzQpkUIQWWoaVDRR6Zv1pnTG5stFcvAwEZejlzf/aAt5cZ6YeydkQdFRZyGLfC6BAO
CsHA+cbBeeXtLblIsEF5itgnri4UeX6Onb3G6MLrmmAaxx5iXNHuZRuZgT+GIpAejrbSB2F4/0ku
K38FCGOEZzCF4r/VCVR5e4td1/kTysrkDPvUxBvRz6pN6U76LpkUbic4cgcjdtr7OLY8KnBxKy77
WhG8HKBMi3gCKB1XnwzxbBlIRs8OmGXOs9tnEuQJf8EeZ2yIVFG909LBnUFuiCGBsVkCOFW3/IOv
vWg0eYs6Ysn1WieBgsqjA/ON+BzWEi8xgg2HZ6G3Ny2nr3wrLKVF/w6Hhzzj1bfS9niOWEkB1t90
lbZtMEv+YOAdpM6VrndfkzgBUMsIGEhvbLpXbxDRE4gR0DUCkLev2ctCz6vKPD5Hqq+soEptkPUe
ovWNgujacuLGsDfk6GbkujyAfx0rTSVa2MYMM6YBItamN5x5vm+yXqhj5ip5sbs2DncRbF7YgHO0
94xp/B/qYp8dGEtmijIExqt79St8UBH3hOdu6rNdg0lX1NvNaYIkEzR144Drd1oQCWibxL8PQdEV
ii2k//T+l3XF333RkMPxRlsJS8Ff3sm/ngWWVlJo+Paeux6wF9ESIBquKljwOvcupJcd7k34WTAI
3+ZVVAcpX+e2yTGSMvTiifRw5giotLDNmP8HfeKfOOVlWElZR67Q29/mdlOBtmlAUq+n7l3v3wP7
hts6B3jQ2znd/TFywwTDr77Uuzbqb0VKXFuP8AHgl6EsIcVkdX1BKPw04d9xtjtW/w5HjFLspi68
6UVpLG97vcEhokD3h8s+x++qya61wa2NkTHpVOgujYCDpcsYCayj829WD8V4mCzQEt1+xQtq3KD+
d8BP8UscBUN62F7e6/vr4kp5i7eDvqjscBiAlP/20TMUm+pSY68hxmP6aFWiQsrup1tFUN+jleGH
99+vx7HMU3aZByLve3s9IKuwN0ozPueUJ/tUengJRYbcNVFvHqvO6W6cKFcceeGVIDegnKYk8P/s
+P9a93gw2jNALYrTFDJSYWDRFWvzB32Kfii9vSRWOmzw1rzHRJppYtLvACCOtjZdIt34J5XzqXHd
dmsLSOxV0Rxno082rSafhriH9rTkwdUl7r5aKfDwLPmAExvbrPcf2tVjCe4GLST6Q8Ssq01EIwwj
krG3tASJOM+GLk9l6EeMaSDkmL1RAf7PKBb8cLAe/aERW98dtBu/Ymms1mvXpSRYYps5ndYz6NIc
lKp1H/mVKipvC5fCTPd9PQPqT4423mqDrl3OY79ksL/0s3/0Uv96caOsAcUKDCGmKVkom3A5SI/D
T+qzm2JG959vDooIDxiGDu0PRfPbddmgsTRqXHBOyzxEbhKnNRi50gd1W9x0bp3wf9+bg6UGVbkF
feDvCqtv6lYiHtVOpgmeGtSocJ1TNGNfElQ17/TGR/73OUgRQVEF0OWz+7irXSet2sqaWks7TUYj
lzoqxU7Swj7BedIa33xQjWjCoBHT5AToVsL0LrdpTW58+n8cft8uIKyn8XMG2oOTAn/t7TOGfx/3
nqG0k56N+qtRTWJjs7KZGY7j15CULjzaGkYLOzjb5Y/R1Itzg/TgLorh1m5rPyXjPfZQt4SQEX5N
9K8EjyICJuUAZh+TyzGLy61Vaj3yw3JuP4QyAgI3MHXCFnCeSWG98V0uq2J1R/C/F7QFsRblzKqC
cofGjUFkvNNYKczUmprTnskHrJOd7LD0OEeOOUYMbmjF9kins/bg96M65UObANvjSwwBanLLu1qT
aXyj9LiyyCz6aVASFhkd0epxz9hrxlaLQ5051OV91c+EgZlt19/5IxH2/8OjcEmNgcMHJ2bBj1cv
NwWsyFHnnTTDDL19iJmj8SkUH4mVBdgfrDEMjC63kNfMnWFvya0Uw9ZPw5isZzz6IPB36jNWdaSk
vf+S/j7hOGgofGDq+Chp1q5ArYwn03UJtq+LQR5UK57gBaf7PIN6FWOL+P95uVVz72tRYU61pp0G
TS/2tlFlO6JWs19DF/X3zhi6N6535S0TFkP2GzUdkuN1VlSS4XxO+UzNTprJvumziJi3yYG+sHiW
vf8or2hUwZAR3yBQhcUIifLtS5YKWL52K0Bzx1zkNxGhtUYpLr6X2YGRm3ZgxflH5KHdMUqSZCMc
2yBfe8kHwv1pIyx5YgBt/0/PYKEtLRs3J7359mf5xaCF6dCiPFHYmZOx7DzAWUi2AnO7G4/7Dydp
9ckjkYSCvOykFsfg22tJ3H0L3MTVeayEP+x7ZlmYlA7qxRzbzN9VZdqIfU4Pe5gyaf2axhRjaAbM
qQYfPVX/NAR2fe10OabnqPX6b2VfVsPRthkAHKfGnp+zcUbJNA24WO8qbHlPXlpGr1MTlsXeKk1J
hKkvxw7zZ08Stcaq/wHpongszR4eTxHZGGoi81HxXqd1/kenA1nSRvQxg1phzMO2jeqKmIE68Z/J
JdUw38Zh6nvRxfPHXgNTDZyCV3xj8/8bU8D1aMGHEQgg11kHqJEzDUjvF0w/CJVqwZwsd9pnFQ6B
x2LMp6+6UsOnSNTmT9FY9nCjCrz2kUBIdWGhcxIC8719aX3uwt2qa3V2pgHilxFjqB92n3FwHj/e
+ESWfW69Pvg0qFugtFEurS5lDLjlxQkFWsE04R4ZJO5EKqwu0m9AL7CurO6pOQlhdLCFDCPLPSNB
Uzee9pUDH+SGe10E62hdVw1NoqMy8L1CYhJaZvu5Ssi2x0N9y7rNgmbxBHS7djppfVXstX6ubjzu
Pzzq1UPwuCqQOaAuyMKq4Oi6SBXeZMsTHh7Wg9/skFBCRI0CPw4JRp77+Gg7o9i3Qxq/kCdXQ8TL
2n3f4wf8/vtYWvy/fgnZ1zwIpCsMDt6+eS01iNHpB3mqGtgLRM0MuzJGvGA4DY7hNqM/qer2BoBm
XDlziFBbimTUWWwUqw3JbVxlFLohT0lnVYdsdhnIz3AATUGeV4du4v84O68lR5FuCz9RRuDNLUiq
ksq2qTZzQ7TFJCaxCTz9+ehzM6VWlGL+u4no6UZAkrn32su8eHPvHWCoZ0jVCjcqjKrZ2cmU7biV
nwiDRVQFwolDSQGTWF1+ePuxXFggTHi3WB1+4WZB8/qxZHW15LVSydFVtvVAdOfwS0NB2+NM7D4l
TiW+9AzEjgWZkzmMMD/577UJoyrmkUC1poc90uvruxn+zFSl4XGahXuYBtMooibp+keURPkV7uyl
e0W0tNUlcFoZL7y+FqjP4Fo5H0NXb7AlZhplXHirsRcizJ9t6Fz7jAzgY0ZYRrzO4dUc8e2TP1+D
MIQZ/4H0oJA8OzVdneQJPyw8NuVvEs/6mxA74tNamAvZRe6ntMRMwvNBgbSTUxeHcolHgQy+npi2
jDpIH0ykym8vgAs7Iu3H5jeGjotP9GyHMKZFM5gQydGp8B2KjAllbZjVdR1bQshrMs1L3wN3jk4G
4cEGk79+BdqQ6WB2rjgqr8tOS9can0Aa9L5NRrlfoUxcmQJcwFloMUIEF7gXYm3wV3Q7cmEZWpJd
WEo13BRD4RdRYVULXtZmUODrlIF23gNP1tONa9bYn9alZ7WxQVoEOTvpZH8OraLGernMMaR/++H/
EUeerwiKCJdfhnmLcc4FqHTlrkviJBjoai6X69yu40SYYbWFeIgXPAdbJ/aLEB6RFzTNlzkogs+l
1+bBvjGKHsbjLKFEWEPbg0sjKrPiZJi31R3kmHHPXpYXR4WR4LOXKeSHM9Gh7warDp4cUglOPqXD
uguKwXH+h/0W2HxzC2QQ4p/nAKdYh5tOlyRH5iXiQPa7uEmLRryDqvVp2AhcgbFeS126tMdT+P4h
4YOznju55oOfeFPHoL+kRTzCUur3jElw7HfX5Cnp6jlO2Wr+hxtlwrUZyNLLM817vaSHfl57Jyzy
kyyb/jjBTkTpOXlfhdeFEawLeTOX/TWk9NJW9gdExgyZy54T5gdLmtpyS+7UlfdFk607lTveAeM6
C6K7O91V1ux/VHiFxkhEr7FzLsBQvFr4QbxZuFN0G6/vmdDGdrUWkZ2cpCh2WT8N22GG7yW2jBwW
fogHg1uKp1W35dM6UKSOJeTJtz+eSzvXBlYGHBu4M55ruKqyxJY1xQ6LuoXyPhv69JtFLOmNbWfy
x9vXuoCab4sZfgp4JajXeYPfDXVmjm2HJVZQlXtHZbRYvf1zpYDHtiKp7jkbrcc89/5JqvDTIgwv
Itanj/PQxKxm6bYyHYtuLWR3Zf1degyMNvDqYsgKdLsdOv+Cx/K17qDdQ/aYagu5g962bpz/C3y7
2qK4UtBcuBiwmEU4LjNyIPJtf//XxWqZN2DVa8ok2ZqeJq+wvknsRg6pX68frjzy7cM52xuZASIl
AumkJ/hTW/3rWgR+JLQ2U3oqXL86lJ331VjlghN10jOoMiGTVnOym3uUGf3aDJhQh7DuiJnckfx3
Tch26ca3DXojbBmcYGdPmVgInTglvs1Js2Q7cq6Nr65ZDrGpivHd2zd+4dvmMADf3QwaN7bJ62e8
rJvfXwfruXTs5WlI5yFm11oiQ2YyJl0NDU6SVDEDX7jJpjk/v335P5q88+duI/thOW1GoOfuWuaA
NXO3cH1WVnFs/N5D1ILd6UAQy37Bihuasevt4Ut/HrWrYwVh/KbIPGvnewvtcJc3sSd6FrvLik/R
3sRBBcX77Z95oZL4Q1ChZGQLRMr++ilZmvOjrSws0Od1RFg4Wvs+c8HSEOYcfOl8eftyl7a8kOEI
wBFnGSDq2VtpHKZ2EC6zU7d5iFRrWMWQb+RNi0HQLWCIRhmFVx5BJkvcTyKjzwqNKytjW2Tnb4bO
1WUkT6FmnsvuYVz3MMuANxoY4yWO9GQGHIgZTK8ZrF1a7Ryk4DtUTaD8Z/t7M3j9n831NBeCGikr
VvGjCGGMp2X76+0He+k9/utS5ydZuk6VGFo3PVER4rpUk0YcQ1Y3QE8tN5qb0vj29gUvvkkOLyDR
zUCOc/v1yjHzHBIrFkjEwFasz6WilGo1oWOJhP2NKGuXYxMUV17GZjNkyLBahEtv/4i/URBYRrxB
n4kG5+j53mauSTUMBYxl5sXpLsxG/xjkTXl0C23tCivXPwvdNvuKEKQrTdCfLuf1IuLSNpodkhTp
TM+ZDXJGYE2iw3ZpsZ5gMuh9SFkOB4dkEKPZOKhY4OO4YH7ptZ3vypSoyXGePg625x9qAf9BV1u8
As3MHf2iiJN+C5/p6muc1b9X4fZLadgR1bMWz43wGlfYVh9ifB1OMMlJyR1jv3T7F8r54vD2+/h7
FXIptlwDXIh29DxtNXfsHuwAfv+YuPrnCntH7pE/ZUdFQtknlVhef+XY/rtW5YrbwAC5Kpj0ORpN
Tnmf+YrJT2F0Ck1aJnZl6xTRKrDehQO2HlMQxSs8iIu3if/wRrFjxHXOgyD2cOprYaRY+CkHKUfZ
YGCOE0fjVOO3wBqu7FeX7pEud5u4YlTwV/611j6WHybVAkkT4N1rtRafzAmlwU2i8RVDgMfPiazG
qK+gCpc+L8T9Ie+M/sM5n673VuOkRQrXNrCbOeJrn0+BsrWOKnNTvU1CoHXIPMpVAgjeXkl/79Gw
CAF7TJiiuDyf72dubhgouSb0C7k94ImTGxmOPE117fy79Gz/fZ3t4/lXddQyvwkGcxbHYBX2fha+
eFRupo6rmsZDU86fZ4hLVw7BSx8kgcAWyKlJuXmO3SpShcJBgN1W2myO2Sx+5NYgX1IlnCvf4wXg
kCES7fr/7wCg7K9vzyNRqUq8hOlJDh0jCAK5k73x2Eos8ezMa997aSi/1SWSk74M5KMY3Ozj1CEI
FX4XXCmJLt43PDumWthlsZTPfoxnFZZUMj0tZDw9r0XbPYy+RBsFB27/9vK59FpxuAMy3mYrnA6v
L+VUw8petM3qsAug6HXzQ2LbmsEBflJt0uU7dd086++KEz7SxiaDnsQA89xpMs3bOkk8gDGd1eoh
KIv2xMOWD87WModrZUSjHNVnC+eGyDcG8/j2PV/4ZLYdkJ1+85KFH//6nvtgZMAUrOExh5/hIH4K
xAfgg+Ka9caF1wiXESXA/+Ph56RCHLyJLkq68Kh6f9wVdtc+tl0oYtO10o9v39KFjZbvY9uCDHZZ
nKBe39IosAILytA/Cm9YxsMcjNb3Rqfrw2DXlhF1JhPZK+3wBXc+xpu0pjZ7+2aDZr6+pj/IwJil
Co5FPnYPTdZKDLDk4DSPuWNWHyoPP8VomFIbiled4xQTYOny2YVb+d4m6LWN9dQsFtI7q3/KlkVn
bJwIjCW2t7/z0p6H22xs26hycoxmleG8yJLArjq8m/CejfOANhB68SMHTPOYjY52P8u0ViZcA0xF
7wNMzf1fOlgzKw6UsMJI2bP8tjRpgJv3tGzJUjosMcgIdSqPC3IMVHno0j+NXml97IKAQWNYD36A
K8vY5rHlakc/MFWrf82lP9Jvd372Vb4UWELZBCsewFY7YnPn9SaYVeNGylH1h2x7Hq4ty9sVJEpG
oTmkci+FuXznG3dQKZKXGcSJ03UialFpDRHINRUQ2VPyMSlWW91UUPYyQh3TlKZTYxW5Exq4JVpV
hVdLLpo2jBYrq1EJK9194tyZ0SLXVvmNuTjPtgmnx8Zb+2e3XRBez1Ba12jC7v9htWd0cm8vxQtf
F3K8LebHBKkBKXi9LCbhmV1me8lxWDoG/ykOp/euVXm3b1/m0o5NJUOlBgMaosG5gU8Hq6HGL4fr
gHMXe3SHBt0YQQedjlYXL+OneU6sT3Ic0k95v1jhIRirZYgCW3pPa5FMxAvSdo7FlR31wlfPkJq+
aCvtAN7PdtTcU3j+EwUG5JxWL3MAZjoAS+FZSerllWd9YfcGrLCYB/9x0j+3fmNs2UxZXotjZzQZ
Zt9+Evn5YsJa9rvbTBF0VRRkK/8PTx6X4C2cnE0HoubrN1wrQ884PG7F66g+chgXyV7Z/fg54zTb
V6Gdfqgn29oFSVM+YdAinlztNc+4Z+mfpCQl1w7vPx3UWYsBkwJgbpt6MVM665UFoc8YYWVQQALM
GG0C6mVcjclixmqtjUeDda/3+ToHn6w8C/9JEmsOOGfczdZhxnItwtoYvvMkdHdqZIlSdPWoxgkr
BQHC499I0UPKzH4xcrF8b+uqWA45ut0j7F5IQHQmDNlrHBC/Y74nzZhYA+9aWvulZcXQBJoL5RAU
dfv1Q9cm+Y6gBKTykJn3o5vRx8RO44gXjP/xuXn7FV9aV9sZiCATJvhfLlxp4hVN6TI2CYF9EcJ6
X7GfI07NyJIIaMYiQvoqxHzxmkwGSYSHCIvF4OsbHMPV78MMrljehBaeeJj/TgGNl4UfyJeZ8djH
lWjZ92/f6IVz0948PHmiTGyo3l9ftNAGU4Fuofypa+ehmD32acWdEiiNd7Dy+pu3r3eh8qGkQLaG
mZpJEXS2OYSzbVdhN3FmjlgXtzpxsTib3We88zAyMVG3t7ZeD/7c1yRqi/9hEQFdwcUD7GOTOpfa
DmMHe3TKGAh6gFgaP5VoULO+SRPivd++00tPll0JTS9jN3qT7c//1S9wU6kumyqEclb7aTx23oJ3
QLDuyBjHCLk3+ivN3wWOEByczTrOwKQOpevZFW0b4lfoppR1o1fgY9bj9egWVAyOgy9DPQQxWTMT
XW+R7dAS9/u1c1t6wry7cbFjfkfgSnKwxuBaiX1hJogUCpMqSAkbxnoOviAmJuGZ6QxjWA9WYJkw
wuDngdAr64nNgyqJajQqhCp2qHOnWz/JzEPojCuLH8hoxATy8J/fDiAYiLoBFrSRNV6/nQBdoVpy
XRIkb7uPabY29zOhEYh71Oh+9fJUF9dOja0cPNukoYYwvoEKvYEQZ59a7wqZQGvGOjRs2vfaTvPH
0mIrk+OY3lQkmMpoBgolh7bBESHCLtnYiI1L9lhlDQbobz+AC1UKlGaAAvScYI7n9IzOKM1EqESe
YMMq7ygq5HgxEG/nXbnQBWiA6TOTVsRhrM3zcgi2yyRcTIFP3Wwm824Wq5FQCcNWuumdIniyLcCt
CMNm+ZX9Pfvv43boQBtdDNNcB7Xs2YYjgDs7Y0QQN6czcaJoMTBAMAh1NmZxpWu9dKdciVPYI1yF
tJrXa6rD7sbJexSNhjnmDyoYrHdNAwJjWKX7gSp7+T1oNXWkwZrzFXjzwtnBVG6ba1Nh0AOdnR0L
9c4KJsTbNHF4mLJR77oyyfYzDu+xnZjOLaYv18QbFy8Kg4EDC1kFKPnr+9V5gLk70fQnOZaC+HWC
eEnHk12IdEwIH2x+lunTShM77N5evBdqATgdGxMQkhXL6qwWmJ12sAuHVEv8byuyq/vuN/Xo8lnY
tf7y9qUuoNeEZfHJgg1AU+dsfn2XU8fc07UKeZIGEaxz72ZEDJjW7eCu6sadfEwVu9WLDXIN3mG9
Mp7aMfGOb/+I7UmebR38BjpMjB42b7iz3wA6bxmKdPUTghHCeeVkdvt1xsg8UmZJyqGzlIgj/vs1
N3h2Ex2gDDxv3sNCOTV83eI0TD64tao40KNm9JxnW4Jd3BX1TCjG29e8QFTnsyGdDNYPOksybl4/
7DZVA0qYWUIlzWgmE2XXnzrkA01sIAlOolZiJEdKKxkE36EuPS8aeyiif8cPzkzeMbkAufajqknb
D3kRNHiy27o9VhjlyJPbke8+lKHxkVAyDv7U6Aky4F/5oUSX2DejOSf6Si/0x671/M1tHZoFYYFD
+fzNKWqupkdJxfYzQTRrV7xUYrX4mbPLC9mpqNRVdSf7QXZHlKvmP71vjeZuQBZxZ2tMVyKMu9RT
llcGLWuhhnHvh51M4z7TBsFXYvw1pklfwToIHegWqMW+Y91jPUqzJPQ5KRh02CMuCJEwuMgO4XBz
n1We84BJr5dc+S4vfizbxI5P0+Ooc88gkSZlmiTI5jxVymoPVdVqVAGj9xvCUL9lxmxBnYqQ0SGs
Y+WQh50747Wj/eKPYAtklA1ngqbobB+WDoF+VAwY9+c17sTaNRmrlTAksFXfYRZZHgqUgV/sREyx
L9oGuxOdXakvLhARNwoqfenmX8DXc3buQLmadC05DLqiWL+MmkDqbZppRrhSDISki0LORD42RhUt
WVHkUVfK/FGVdXVL0nj2VCx5hY+5RPT3zXNF7kWZ6uyTPSvcnd7+6i7t44zlsHhHobjJ1l9/dH2Y
hOsQduWp9/B+8TunOeUIEYkYmb/3Yw2nwk3K/35gUQhuVBZYQfDnzx6POzpwdceyOnkVBl67Nkwd
I7aUP/82XFWsBM0liEaaCheTK3dr/nEWOPsmgQoBfbHk9X0AlNf367hLgbZkU4172r6fMKDZzUPu
7O3KUzGTwe5D640EwZgD9ldML1+cZPXdaApUhvXbOjzOJfn02HvncW0W9l4PfrozjEk+zV3oPgxj
W97Rpq94gKz1P1guFmgswNNr2ZS3QV6mdwZuIIBy9q9p9sNDizXwHd80qrbe8e+zpl533mQsj31o
tAc9uDTi1docLYHnl3QGnyLdD9UOekBPEkJiw1MNsg4bPhRN1crqId1dznu3DcNjP2kV6XZyT9CC
nO+F6kw0Vph8ElJAfAGyUGzia++eYKUpHohYxhcmZGPHh28hl7QoHjOjDG+K1VSHNbdEGdVr1T+T
XjMdpenPcb4s2XEt0dLcdI1r7kQrgyhrVb5biOm9x6pouM/6fI3azkoOk6Eb8nKUvJ+kUcetXkz+
sjmdcLr43Yj01zRm/a2v9K8sz5s7tGjylHeVcd9ZKdCVAZVYGPgLTiqzUUiTKzL2fr8TdJqROZMa
tLSO2LczqaJp0hb3Aq/yYzZU66EiwgUHvWm49Z0Zypjo8n2RjqTal7J/LhZPPxoNW6ZeiB12jdki
OsdvSbQ2Z0wTRsN9V8xr/sh2jeVlt5ICJtlpsOIb8kfI9BSuNLJs0u4yGjzNwO/YerA2nf0RGLgs
c+jnzqIjr/DNW6oF0oCcycM60i+GR1+4fZwC/Fe4lS76ZoKogtFJ6rqnWXvOjY/l+66z1oltfDZ4
6FNIIspqBF/8lKiqlXMhtqsq3SemcWe2JEKuc29hqW9CUly2nBXtX+NS/l2EbUxrKnqG2lD8z4+2
dIWfoDlmtiUoDshWM2JAcNCOVVmJ929vURewdvxJNjyRGpeq73wSBtTedE0uq5Of2KbctWxJ3S0h
RN7HQC7k8GinlShG2xbJfFWn1j9NXuNHv9D4DDdwa5b6Rmb9+H5IgqWIG0sl2KmUo1NGeiJBLeqz
hAAkHejuh8eU9KMItpEFr33QO+x/3d/+jP9cJ/xk53WlcON8qEovVrrFDFbLtDtVdI6fZV1191ng
lPe513i/SZaT34euEEuUBtVqMFeT5k/kaf6NrH0Lp5d1xPyQ0pz8PlWwTnLtKCD/1ivM52bxg4Lo
4zLFt7EkWSRaddh+MxacTuOSgUIeURrh9t/mRR2li8HYqiSIIMCtzK+SvbVsnnOVCzNw13TJ8jXL
SZPaD2BJM5GFwmQnEK0SUaqXagTy6wn9WVps2g8pxmqnxDQL90BEVnfEq26Y43nAAf8BtykPtoS2
jNhtPf0Jhz7jt4Ivr25To/Hco2/hn9qSOzTvOKxqGau69n7aLXrruMvwT468yd6yEoMku7JOtmPj
9da+sc1RrnL00mmfy3VbrL/DvmDDlXIVLiJAc90ROTxj2EtyBP5XRjuQO4u4cblBPrvgJdmN/u+3
F+vf1fo28cLODZ0pJ+r59HI1ZGWNI6J6sMNV7wOjqF9cJLU/R5zg79c5Ry/89hUvfIo088z9t3HA
xiF7faJ1kgVQNC15faWTPKrBsPbAXGLfBMq/UtFeQJkCGmoQNEz8t8n0WbXQwGWWTopmsumkXxyc
igFR7hniU7Na1dFM53Tf15UgWX22V3xDU1kTCdWoD0Zjho/Icka9t8Z5eM4wAmmvlF3b0X3+/h3q
GLJZSGylpHn9ILBNQQTEEz6B7CYPvQ6mY9623aFblxF6n88qt5ZPiQsg9vYb+LuGotak8d66Ugc5
/1lNMSW6VY4scPSYHCZWqO3rd+ucNg8N0XN+FLjN1O2xQ/euuZxdujCG/h6sbqaef02BKgFJET04
r77GOrO2lNgvBqEucyu/zMQNRD2MgSvF26UFTu+94ZqbpvlcVLAOLdo3CdtjsNBSINZOfBxEMd2U
tG23CwprefP2473wXaOm2qZJ24ieFvj1e3W3jOoEbc/JwSTc7ZOTnxvhnUHsyd3aHfC8DgwsWmtT
XYPJLnxZoe0SJgAHGVHZOSifIOwm8gXdZZBWxH4EzhZNFiZk4qzWFfz24qXg7WwA6RZcfvZhOWU/
tVpn8IrlVD2QCJzczBOJMmyn12Sbf4N/9CYQDT3y7QBwzinM9pwELUGX+Px6jv4xknjoA1B34TXn
xUvXoaVgdbIpM6WzXr+2ZjVW6l12wn5Lktp3hTdMh3HNlmtzwAvAAZOhTQ4AmQwDo3OFuxCjpSSm
i6eWsOHHMfesW8tS7SFsQnsPNFPejUnrfM7aMKHoZafkEC4PetTe1w7yZ7yIRr5UyDmOZk0cvFYE
WkMMGw+Fkw/4kmhMkRrTX36sVWjsPWzS28MYlOmVNXBh/6KW2oIjgq3SOeeLlQixFiZosJ5H/PWV
Cu1jkZEDZE3Ywkk5UJR6pf0ylELcvv2FXdhH2Dzo3eH3449yviRyytg1ZMyPqqLG77QxBtQFfV9h
2FrycL/rcB0t7KozPJjevvKldU+/DWDA9BKyz9kiyXSKm1PTYsomiIYiHNrftY43PmsNVeTtS/0B
rV6fD5vJBImObJco5c8pG2JJKt/ugf0zJyfpz5m65MVL/KndVW0gigd77of7mqy/w1qK8ptfLDyF
QIfdr3k2NJmkc7uKnUCx+3ut7OSjAzYoo0ou/QcS8ZaPxVjhj+WlmegPelWFjKfeldaVJ3YB4WBE
iMAUXM4A5ji/DZ+ytsy2UIotHOMHri/+Z6tP7N9VJ4bTKPISS+jUT9Rthc0D5STGjt2+973ix5Xn
+ceE8eyBMouli97UVKQinQE+U2JaozYEtQ749E5bm/97PVsHPEqauErGZseMqdmZCUJYiJCQALJu
juwqM2KjGu17r5j/SQzPvcEodDpAEcr2JcbEEYld2K20FcAff5+FOOlTlunyznM7ia9dIxCMTd5j
XpjJjQVZJRoT/P+HJpj3YV7LX0osIyNvvPaDNk1uxzbRO6sVwS6r2+ShHMMJ+5u03mWt2dOVStzF
HaGfa4Xtr7tYw6kFP+e/muxjgx/XXZlMxm03u3nkwJf6ZQNMxBkhJHtorgstvCP3s8rL2wIY93b1
0y+98gwMlw21p5aab9YkDKNcZcE7aUE5kYE9P6oq9aMhD/s702nnk0JMcweRp6n3q99VpCjiFiiz
GrZhGH7DIb9/zhvX3uVJUN71sA4ixmkBOObQRq0oZhqv0X8Mk3yMBfvTzu0t55eVuQYoGz7GarHq
GJRpOBQEVBwWxHfv59Biecg8jRbX6e7scBzjGjHGsR+6+aOZ28ZhNhd9a2UEuM3KtQ/Dor8bGR69
bkD6mBATbwhXk+cxrH3QE3KOkFR6Y4thZthORpRXK5hSn2I2vuZlNNX0wTPGVndkZib7LpPh0R+R
Ki/M3R6gcpJqSoTc+GPRZftI8Bqe7nliRIQ7pXEnCDmN7dRZSHcfTf9DO2gzwk3cOCIe/SRmbtDN
Z/XUmD0YyDIse9dL2ttRBcut0hoMwqj7+6bPycILfTzhpfSfZAHBzpjc5IbsOXe/aoT+tfQ9AuTT
7sHBXj9q4NGRXR9OT6FyCastvI+dr6tdQ/lFNIcabunfxw/eYmfMeDo0Sa0DIF80tv1Zjqb1YVry
Z93nyftSWMWdAdR3yNVyN7uL3Lf58J1MvuQ0SliyDEbd/VSE5o1yA1Y+Ux+UKFmw7NrFMpA+WdgZ
5L1xXFJdH4faUHFa840bnvTiaR4b/Kq9/hYrfh/vfaachE80DiGZ4LHpaOf7tF9sQkR6ck491D2I
OOcHqQkzxE97/rLFgu/cJTD3nE7t14Wi4L7pyJ6IZGh+MysFDlEVhvUpq73lWKyzv8O5bzglBdkV
MslhIKnBffFbcjGH1Aj2TAnsbyGBUJHfqeV2dUNxjz87uIip+sewm42jdkcyFfLGfzBY1M8Zw+Cn
sfSre9a48bQus/cuKef20URMuEty0/mY2QO8TIa2R6VQ+I/K1DEOBsu+7Vd66AaIbOqLr7JxCIjA
mW1PHm7zC4rgU4OT2mNNKX83CCof6enTarf9HVTwGWZU20WiI+JlcRw8wyFkLJEdLuz46DNQymv/
oZ5F/rnpfO8hCEd18CfbPKRsje/SYmofpeiBXip2wXlZP+OBI775ENFuZ2jR+zCrqg/AWj7r2svi
1bXV3aZyui1A9qI6yIKHyRqJih1r84u3WOpL6wfqrlhCC/Csb/ZWJr7CI/+J1uxr2zXBI+1ejyrG
VDzDyjyIJVioZHoT13Qnu++xIqD7rEnVeHvb/7tWwFmAgS5lKvUvHJnXZR2HXN/VJqFP4bDU9wtz
iwipaUnWdb/ct4NfUbjqa03HBUUgLlFQ26mPNruV87a688NFexNhyP3g2p/ggQZ25BmcdYcN2Rwe
ckuSYoO9aX0qS4/QQUV60a1vSnON0hE7aoIljOKnnbnipagRppPWYYbplWeDBoO7Pz8SkRlYlKM0
RxS+r5+OZWmrq4YQvccQsu0WMh9fQgXYw8mjI6PxDUIsRl64W5H4OBn1cIIe7/9QamxXWqisCiJM
AqzPsqi32d5EgDH7Q3Aju+pHKfQvIy90QV+HuUtuy++MdxWJFuayHxYstsm2G8j5acavdkLnGZb1
8oKSsn6oaMqPbol5mmm2ssCGqhluqJT03UxtfTTzVMR14v+ounrd+6ResfX77QFLGbnDTLs/ln44
YrACkzQlGzvKk+X3mC7uyTaFJKMAFd3I4bgM75ra+dlYk32v/Xk6rI0QBy9hGEe2dBvRQuV4wSpm
QTj11/vATygXbCieCIKYVpNGSoRGIPu9ZWO80iaFEa9V4BN3oGRcZ4Y+9gywdn2xwimWoJxTCYKK
j3n/iadcx7Yhf9SeTejAWOKiOWaca1Rlu9YQv30hxQ4i2/rk+Yl4500EftiD10ZjN9prlE3ru3BD
6+plqDkOrA3w9/K9ZTZyN2qJSKkq2rtSpfMhKUWyywNHRKq1+l07W7/TOpkPwepl0TJWfBO1F7w3
bVXeaVqOvUI1HDfVRnZl/ngg1MR7Gr2QodyWgB6bc5gTyD2h9jNaCRvGkugeq1neWxuSHdluohC6
pcM9Jur1PpOTv4NL4d7X/iB23Yi7e9GN1W7kr0dJlTEcD41l7xDuvVFunD0e5dBr1hp5umeKyOqM
6oYCQt8Yi5pfNCOQ914zLCcevXy/AOA/0joON9OS4ITIMPGmFZUEO0EVhOsQxYwrQkIU1RS5ebvs
J5kSnGDMadzmhjj0XiP2NGQENJWMbMmNDXaAf3qX4O54gxuguO/y1XgWA26Ek87Joe+U+YwwKtw1
mU9UOKE9cc4U6H1Zmt5+ZaDzGJYWiL/wyausDJMZSjL3AUae5cgrFIMKj6thzTvS6MujPU3zfekE
NO1o+cswIcwVmgSvRQfFboZl/wWYVR3qtfHj3FBpzW3p7FjjP7drO8fxUfV67q2crPY5Z7p7r7tM
fBNdy8uoME0k5IhUXma6yXZmQipZTjhrDC8VYH2MCEdGubCIQ6+7+f0E2HqTOal3bNclfKzswd67
CLb36+A5ceanOQQ8b9oxo6h2udWQ7mXPy52QK6WPU4uIoZATL4ZIb9N0Mm+FomTDT3X8kqZhxTdk
dWlE+tM/reyoBotQfV5SXx7LXOKJJLBXwMmkacAuuukJUzT+56p2dyRllwciAfKD7BYwADZdNw49
IG2fC0ZmVrbkBqUwqW+MbmVICejJtG5W2/nVVVujOOrRO3Kq+rHw/fLW7NR6rFcS54cgt3nZafLi
rpgm+4sDND8H2viM74t6WGBiH2tpOB87Nae3tlzsl7CYv+YG81GA7q744rfjRLFljOWXDLrce47P
6q4flNrNjNzCqCmWNfJr1g9bJpZmaajv+9mo9hh9jrFeez4it1y/uaP0v/VrOP8ujF7F0io15fiQ
7XE2NzkEjHUPbqbvQzDWT7Uf9gfXyox9z1e5Q9/v77SYPrZoP5mzmAj3msoyY4+xUETMtD4ssm1O
VWV90eYQ7NY6NOOiNbtTVyvevq2nG6bwWYyPOv+A6IUb+UVj/PS9SuxNK/GPlTDsz1M3/+ySqdgv
Vb1G1hSKfzShhDdWhY9NqDP5KW3EevSYCD+7eFI894JycC4a54AO1o1Tx8tjkSbB3s5mdpNwVnst
LOtXwezPjtYpVIcAJtStrRbj2Bddc+8wB4g8MQ07sxuIWmmGRkMrGbho7sqdNbebFez4T+p060tW
juvJ7pN/ljG0D+Sw1EjSjeamLdvk4BAyGfUufBQQZyNabMGt2ekQJ5oMeKM1gufaUdOj6BMf85cx
ue3KYX0SjS6fhSLDJx+Jro88tAVQWtbyC6Bmeg243nCEs3MZMh+EC8zokKWcj31xzsjtahrEsa+M
7GOdCoUPoNF+Kttl/rGaQYvvPtpbLyHKSZs0USUj3oOr8S+ZpnJ5+c811KYP2JwNXAer3zPAuBg9
o2M+jAzXx5tNGMusdhT8/se5b63HcbDH9xbZ8caV8uRvIBXCOhg15PUt0f2cYONkE2EVgf4/zs6j
t24m26K/iABzkVOSNyknW7InhOXAHIsshl//Fj1qXQkWvocedQPtK6aqU+fsvTbQujZNwmbWGBOv
2SiDvBub52a0DCwES7VvU/k8dXL+TCDyvsG1uXRQXTLNQ6p23ifX5tKbhcTV3ViTpwE8HvPfqADt
m8S0ysvY8OSl1OPmhn1FT2+UGMtHWlZE3ozueF8nqAFYHJsy8O1lfOp1g/DHIrFtIrEr5wVrie98
csPed6f4gyF/wOpFlI2B+G01F6NkdwobK5oq43JnxEv2ZCZExsza6H4yvHjfVkfMhvjJMDwTO5q3
vcD/oxiOdZuyxZfJBdjg9SqxMm3vi9HE+CKodB31qRTir7nt/JNwXXTY26vgAgd9+4tGUmhl5/rx
KXfHZLyWtpHyJlTOmF+2U1G+loXWFwEJelrBrjsy6NeMbnQJdAfzE9hNokIpSARnmrpeu8T8vdbp
RH6SYzRjF0DFW9coXjGHRpM7TBkI99GVG2NbJHAJXQ5WiSOKi1KzKg5wnHovRn2EntLEKcaeuFsq
juyVRbuYsSbUyr4XowpGbbWvkqklxlKozLkjQE5HQbro6+MwsXmFel4S2GEX/trvXKafRTB5Y3eV
VFrypzSK8aVs0/p2XIZM0CTxTcQBuTk9xTonrZBDMZllGhiRZu+6lND7ucjbhziv+9vEaNyatLyZ
JNMOiTyH99xtnrGBDX/S0U+HTxaJj74WpMIeCssNanduTuxE5fEsZv/U6R1wcgt21gGHuRPB1DMP
re5O7HXOcjmp2fykVfrRe8+QzOIovE1dzhNJtA2BJWeoPrFZcPR2pv5BrWrYzbn335PIMSJuTBnm
+yxO5xJdwbaHFhACMIUswWtl1hzFwE+REmWf/r3qfrT8McvhP/TWHXgAb1/4eOH43HsadWJvij+g
Y91NLoA+gj7it5n3cL9I+7XIRwvCNLqSf//6B1FNeHMMD1MAW5DxDok9ChE7g0jjUxKbA5I9V4tc
o+jDteAF9i3VnDAUQKyLOe1RtpJIHsOp7ysOk//+S94PZvhDtomhic6aoeV2n/5nqVHSnJx6rIFZ
V836wmYkbEJZO8jL//6djzrVYHB5e7HtoBM51wgTLc+liYqBLAze5IWlpNP3TrM2xCWmaW5E9moi
WNDm0XxY5DxWe6IuSKxc2npcD5/8MR+80zi4HUArdP7hUGwL8P9c9ThV0slaM73QHABVuzid/Kuy
zrT1WGRpWocKcGMWFOgm6A0MHdtMnXfLY11XTRMSTiq8oK5xmnu5Y47oF31rihZlTsVn78k2rz9b
l4li26wjtDsYtJ49nt6ovFlDVXYxkEo5fkFl0F1rqyll2ExgKyLLq8i+aDoWiNCcPP8HsY1bGqFR
4uL690376E1BjQu60yCIh9Lh7T1zB33JyQZJLrD0WU/0KKRGy9oa/ju+DNkooiaGT1hz3L9C2v95
Nrq2+Prgcsnz6CycbRIUO9h9YxHNa6/9Usi87AD27frJpvvRO0Edgo6cLXBLt3p7fXPR+F6Kouyi
dRondBReDFHpzeMityjRf9/LD78GJl0mnm+MAkjK3/4YFF8mThoYLyGNBZ3MrIX9DLqm81YrAmql
7xokF6FdNhktw2p8yfgkPvkKPrhgsFW00JBusACeV2BWb/ZU5tjMZjmlNzHZ7T+o48e955M2+O/r
/WAq62+FDGZzDBEm6pS31zsMGsktFqvX6MaSzjRYomeZU69FxBNBODJB26/RJNeqiiokiyK0aLB/
r4zEeGzjGqm92S49TRzmxndVY8svWqODWS44g0+BwGCeB7ycg+AoNw8vWOg5/IInSKso1RW5jo0/
fKa1+eghIi7i46YqtDYV6duL0uZq1eoYxGo2k0tc0JaKai8xbzD7J4wVht9ep6WnXtT4vcgEv22G
5DMN60fPkEwT/gAqUuMdLsirnbJOKd5PwJfzxxU4XegbrXbnlWX8yTv7d0Z/tha52zpEUg1sXU5J
by+XudyENq4sIU/7OMqsKUGPqi2OPgaVlelrtPU6m30ilfMyyMK5wk/oWmGxKrO6QPtU2hdpLJw5
JKjWeMWF08Kz6TOLA3pVM+JTyfd2auwGLq9IaVV5KclYsZOul92s1lcQnQhLcp0Q2RAlrE5vJjGB
c8EUNvYVp0rsmXbq/wTZZ023Rem00yXeet8NWc9mc4ekcPpGiqnncVhmRIiqvlC0jIylvPNGjbZi
jep3nor1OUntSQaAconkAcjvFseisvtXhU3/AZFr860b+46Y2WT+rdZFDoFJZslzOmXpZzllfwvv
s5tOyUM9hNjFZYK4rcr/sxrmnXCXxoTYuc5t/zwk2bAcE2i3D73qnNdBR3kbGJmBpmig001kbdL2
+b5HFrXsSQdVN4bfNHXkT9X6orR7drqgVIfEdPs8cmei4qMprWJjl8WJDRNa7+il45zonKCe4+HS
U6kdrHEirkpmvpLNcICZrPW+H0dIrMhH4V+ayrBrXFrsaI+n7Jo8ZUJD23hwnd1UyI5xQJfLLPIE
U7GgSCaKi5bAnxIJfiv/2JAJpgDDcTYGiXSWKoxzbaRrLxuzKkNml4kXzo1iFExIvRHleAgfyStp
TtJt3e905qobr9I2gwSVZRdWjt5LrP151dN7jKHOYBXxv6BisNAbmnqXHQdvoDWuLTge8bcmdR6m
IEfNqKVdKMPay4mKXvyUmzBRC/3XepoQQ5s9Zhvag0Y9P9wZ8aRzrTjtpCi9i7zgcTh5Bnl2RaX8
72V3W4DevDw4eolw9clFY0hDss7blwe9riG2+vZkQCqjiUc3UYvT5YjltTtWGcmyzFIw+zXIPbVE
0z+50neHlr8/z/7GXJtMgvOTQ8pqgUiQn/eNP9g3xY1ermbUxMtMW1z2+7Va8gMj9U/2tW3vPL9q
kCZYCRxwcVTYb6/aL/spnhFXn/qxvq/nBYRE0VtUbGaS3EAuZBZCekvySfmwlT9nv4rwEh8lJAZ0
Que/qvWKTxiH1CnJS3cv+RafhFOAKSTgdodwovvEVfzBVQJS22r2Le4VpdDbq3SUZ2UNbexTBhmV
bqBmkAaXuyfstfOzPk7iXqbGZ6eF91seXU4KMwpS2hNc69kbZRkZGJPFtjihDVYfTUiFX5ccZPXW
Rkqbe3vQ5/EkskLWKDqqNuaAKh25m7wq+ywK4V1Buv0tqPEAbDBWxUz79g4wSaWEWVzrpMXj31Rk
xoXhsmhe88kL9W6TpUfI+0vVgpVIB5Xz9ocqqy58GITmSdTEQGkiXQ6WMy4hQ27z9O8v9v0nw5HQ
2IpsOux4cs/0u4iDtVJ3+2F7oFVIFZ5HvrsQq17KHiCklx79SU33CuPbJyXa+4tE8EWFxuu0pai8
C1ntMA7WWj6cYm8mX35ohkw/4aXEmWbReGg/eX0/+jn890gpcVLiVD27p9zwsqxGvz8Vy0jzXio7
7aN0quc19CVj0/+8FG3pMPibPWpdIonP3tvFX5hlZa08uXWuQuKi5n2KV3VXOLI+QMZY9gqt/l52
+fL07yf6XibNV0pgLiLLjRPCBb99exRxwEVdt8Op2RKHIseMXYMJzdR+5ytlG2IllHcUwTkrtFck
AtmT05JOTTe822nCGb/qm38sNP12mE4YlvxP/sKPHgV/G88e1eRWpb/9A5EZ1vE6yuFUIhrbjcZk
H8tSn3dW4nqfbEgfvN4bVpVngHWV7efs9a5jPYd1rstTJ7p12OF00H4MnVn9cF1phoIijr0ijdN9
4ijjs433gx8nhhoWjXBIYzXOY1qmDL2X1Vn6KVWl3OlYp0IlXDMsHaQzRlPmO72x8x2t8s8klR/c
YbS8dBxcVL2sH2dvX9a7ml2UFmDBbJA4TTnZZTnsdQPxxH//jEka2hporNDos86KdFFMDMhibQGx
afbiaTCAvVyPVpL/bJkSfvvk3d7+tbebHugwTh3stdxYzgZvXx0mmrRXSgvVdSPL/KtZC/gOMIEz
pHlpxdQi8PstBcW2ybIcurbapWXBVLzMG0xthT+g8fKn2P3kJnywTQF04E+jxNq24/PNkerRZcoU
Tyff7ku117uqJ2DAbjfBYVPTvNYo9TB/buJeWw2rHg3Esj84fu+J7/++R+/fOpo3PPzN/oFd6TxJ
tDNXq3ZJOjlJNKd3Uy/Tb/O80GJKDeNiMWbnG14jFHvkyXxyF95XJPyiyUyJAz7Ljjh7OBBdFmoP
frk2EVvPfV5HZuFlL1MctwFeObX7f1zp3zkWgAe6fGfrSIzCO87kMJwWJgmPCNb7oHMp8anbh/WB
4zO4B0PTYGRbTf3JvvnBtcJFBHrCJiaArZwtLJpGid9n2XhCY6tfZX4yPG6lvjouJiOLiPxc4tj/
fbkf/eQmQ/J4qIyw3LMvzaicsilktpwcOyYKzTJUWLZLc5EMuXdjeOKz/tt7IzG4M6ZPmPCZ9rGb
nG2Zbd3yweMboTUca9VF2QyWt9N1OXnHPvFaQCE+R/SdTAAhX870T6o0GNjW3QApjuV+7USTIh0b
iR259yY7aXZ1CdgnAGmMbdWKhbH858KJwBcOHhu+feOenr2BVm8jHinb+ZTUmRs1jer2eeY9r6jb
P9lYtn/p7ULEa859YVmnf4cG9O1ChGlvwQCXzycA5MDPfNGMCPakvhr7fz/192U3jRbQuByxbTCu
596MNrcy5a3xcmpqfXMHwL+ypza7bEbdvx3aokUrYlrP//7R92p1Hj3jF7yr+Ol1GtZvLy8DJri0
Xbec6sw00wgFprXcdR3Wpiuo1Ob8bOnxivtzzqzswjXKzt81lV1/adJlYLLPwfsB76dlos5DQRzo
S8UK5HWyk3sLTFp+pbfmeGhcnwGb4Y3Gt6GiqL/1hj75rML9a9A8e1S8EzytTbpHL+msHpJcaooP
T51G3M7qdoLYbQQIhGf/Gke0vVlgl6SPcMLXuB/6HgBQPM7NGjH900TU2Hqd3NZ957VRi/xqDhpU
UNm9GtjLd12p+89T2vXkhcZ56cF/07BNBFWaAMhAxe3k1qUuuy1gNPN0ecS95Gkk/kIK/KJNosRG
PNrxZ2EoH6wVcB94hpxLqeyds08XoDS69aSfT/7iiN3gW9oRIwmxUGmekIWaqpd/vzAf/R7jaPY+
tgBw22dL8VhjwkW9M0Gahqz4QqvN/ZqiccF6ju+0PYxWUSXHf//mB18G80mXGht3FpCSs489pwtZ
GfU8sd2IHHF22i8mhgN1N9tOD8iebVbtxNw0nyWGf3Sx5HRvbsdtQnoOWMhjrZ77RHindWQscNEI
X3ucdWjHIaaetgs1u/1kT38/vqOMw4aGdIQrFQCN3n6PjQOYDUSuR2AoBWSXJWk4LbINGCDsLBqE
kXDa6jAoxwkWo+4i9B3efkma+unf93x7jmff0rbZUfABN0BLcbYudKXo09Ya/NNIkBThucipjagi
VKbc9VXTQk+ovfieQLwtTXpW9sO/f/59XfuXCMMZbptjsOe/vQ30nPJ4aEcipIBGER28sr6vfRKt
fbP89+ICbBPzJyIw6CedFzPmiALO6YQ4raK6ho3uw8zS3fwwMG2AZgaDeYkH+zPT3wfbCmNawEIu
iwderLPvFtuc7DqWhROqgfJR4vmRkWW0q3X49418j/AkAp7hHUsE9nkgSmcfD530sfIHCLLrbBX1
HqKsdYc6Ar+D6Q0VCmYQA/q+q7T1l62DnQ5wPfqvZa9w0zCIW5CSmnPlfVLifPR8GfjjpDMFueDu
2WtupAUth5GIsHosvF3WIAes175+pcAQn/QDPtriWPmxY7F/b+qXs9+KjQKfDvSRU7mCsUVNgiHx
C+ia4jGeHO/7YBROHCz50jm7YRiBuOSIOi6wmbgENmV+nB4VWs2bYkiq60z3+qCXZk77DdXbsvOJ
XgTwN9szZr4GGWY5+PaF8bci+feT/OiN4UPE+Qs6H33ZWSFCy5qIHjNHyMU2RuQSbTREmKPWfvJo
Pvod6irKKs6z9OHOP72smSuBRPYE6rg3djpH+PpoIpszPnk1P3oH2LMsS9C15sR+dnb1GxmnyZB4
p9G2mKnNU1XYO82e4H/k+jp+dl0Aobe+3dmiRtmIg8zZknNpSLxdVfrB1iTCX/cEiqYJSEkjEDwe
/bBfe39fl3N5ufqJDNyZyYLRa/alJZKjWJv6wnPHcLBj4+hVifUVQbL4gvqBV6U0Z8DCdfJT4fom
Tbo9ysXb8+mPmyUUR4q5AGXWvNBh/rBTtQraVHNuGqbvu74175gIk9k8MCRSg33yNu9L3ZkLYSTV
Yc1i0CFeEWIxu1lM1OtLrV6Lqb6cbQbHWP/wkeleHraLHYeLvT4xnbm0NESa5nS7uCV9r2q4bUij
0LVm+SqxKGnWfDTbtggSDjbHSnJ4YQp6V2nt1p6L+F9/+yK79VovBXNrRpU5HBrIEMGSJPxavDR7
hEQ/i7YqHCwAQPaC2a2MXe1kMJeSxj7yx7h/qlKaKmwLl61Ldij5gY7aS2i6ySADYK8Y2xputy/K
l2H0tHt9RFUwm0Xyi+i6It+R7NbTxBhdgjSUzhCy6HhWTi32op+ao5Gi9wg1KwX5K4EsPqAW6+VO
k1Dkd5oF7dHPyGAFk1Zcxnkrd6VJJFou8TuDiRkYARfqALbQilZBeZpbdRkqTa9f5sQ1v2bxbBHY
1gxFULbFl2mIv1uoocPS3no67vhgTwM55ZmPMCIjWtF6pkXt59iSsItJK/3qFQ3ZI+nm8u0tMXEO
mmC6lkO7N9Z52lmlfqF59iGdHTJls7q5IIk8vZy6NI1KzcbemBTmL31MVNTTUj2BGSlP1VrWB9/Q
6tu85mhVMjQlFq7Ct91Tqh1aA5vMMDgKGk73rerG+imFCMB0NCsPKNaIB13j7NJde+MinZhfttrv
ZfFSMDBLF7HaC9wCnTcGc625EWTWdo8JriZP0xQqqN1VJbzQzXw9Nd1vVK5WlNNwyQPI9RABIVEi
Pa//pK5hkFugvADIWh8usU5SAhhb75ZCwXwijkQeykXB99eK7BucHn5vsn9OeC2jZErGMKb18qK2
+RjlfboXWQ74ezXUtVpS765NPO1Ys3sFVl9BVGoXP1QrgUTKEVygHJprsl6+m3q17D1rhAoBwsW4
zYxa7Uw7XZ5c0EZfpZvFX0ZLPCe9357QiLuBM0v5EEM+uRpWoZ+s0vAObusUD5qFbzeh4RCJZqoD
m9NmWMIeCdpMd57hA+Y/JkfIW90HuuiUrbVPW198QymtDisA9mTvptoiIxSME77Q0ZzqIy99gcJv
hRIToIrQLxdmzpelq2Roo1ecwhpS0CXxEujAnaSxELfn/s4SNXqmmbWIDn0d8n21WAaU+aKhfjyC
D2h/twY90HAZez10mU9jhk0LTjJVKQidYToZZNghviSmDn2o5gV8aK0MiUMp1mujd9dboWGSW9pk
eoxJKQ7BiaT3g59kB6TxFjwgdM3xOoCL8UxxrOpWe52b2P4BsJgle2Kyfa9ma94r33Rega1WX5RM
111vWvm+0abkLims5CExtSkwY7WGIPTkTwC8ziWSGO9KAsfDh0LHynHy5UUz0LI7tTmFI3lcgS19
ccjQ99/m7WRHbZG5rJ/Wj3UciZtNEmIV8zS7KaZNJQGd/RJJqhsNLgZmT2X9rxxZzkB/qFP3yor7
vbsO6bWfdzLyY1d80/N8vpBAVXC5GNMeTyOTW9hhD6OkRjLIGG7D3iDTXg3FWjDwq/kEFWfBtW7r
aEnmsiEdbymjMh7W332e4bJkbz2ac5Mc20GKo/K89I/bmDeQrgE5Wc5svySeKm+Q5PWcJHqJT7co
0z/CWv+k5VzcGrwzu2yuq53mOhneGnfERewlD/NqV8cp8bV2p2Wjro4UMMYO3Gn7wFglgg4//S6I
O0qJEluGEKpFd6gTJu295886GLHN6SQ4M0JlVmxh7T3BsM7TkLX+zsnrgrhMXSK90Gt9r5n4h50Z
b2MYFwvqkylhjQ0IjU3L3WJay8/YnxO2UGfCMOSq5rKwqnrPYt/xBs1DC3VLExd6U+Any6VnQfhx
/XvPModj3lBMSbs2nKAvTFTAVtqV2tFQ9D9A5i574TfZF8wTgxGVGaS3aBgIEo6XYYhGfMNBWy3G
dWaJ9BppCB7aisEXYssmF2bg9QkNNFEnkbu2qEn62Q+nyRkuEtvXIoG3lo/LYWOru0r8cnJPHpPV
6LtgUIpNLZ2VebU68fqNAZ35fcL9cS1itH1BbWeYEAgWKUMgNeNR2gATaT7mOy2tyyArBDlhgxED
5Ic1IHGsUEa2STWwILj9rmilr0Lf2oSQxZgVINTc6aFfuvkqk9Qims/OiM0atXAQeyOLa7GYLy6O
ey3QyrwHdrhKL5y6VlyYjaiPYMQJdCCEdgr6LpYJH41KfqZJWjx1pF8B7mRWFugJFQ8gRGM3DXZF
SE7y0NHIprTI4wBt8WGeC17e+Hey2t0V9suDXs/Fw8wkNEpJ3dknSf8ttpPqMDKy/Cl9+d0Yiyd4
a1cirY8IfFXQrOq6Jp7QluqpbJ1TOip5qRmNuIvdCWrawHdVHselGI5mkuOMU4gkahfvQ9+/WCPb
7SKlE2hViSKj61i9ee0TpN1BOqUHI7e/4KM9JQNvDQUAtwPpGiqRbRdqHTrQzTGdbeyISL4gz7O0
jbq97tOieLTUctON2hLqYA/rIXlOtO0m0800ehW447LTl+lHPydT6HfOZZ4YWMKnr6nigeZe+9XJ
xJep177m9YSfcTZvHGewgnL2spCTExkZ9lQh7eQLIOsF4CP8Kc6Mt05ihMAIfnil9SisxOJAZZzg
je5jz4q0NL2y0DtfDjgSh8RqQ1NP2yj2lAq6Rl+hAaYi/qmhJ44qwUKBBUd8xS8W37qmSimrUssK
UMq0oUi7g+pnMl9rDel4vNd8PH3EgaN4mYGyYVsVh1453wj7OeCgPlTtfFx8plRzfj+V9T4VztXo
xQZdvPzoDfJHtdrfRaldTmQi3Jlx2e7NxrnCynyJQnU5tCb5T6mPeW50v2JZg6qQ/ODMaIILMLob
0m1wduVOd+nCYWdh7B7nYaMil017XCvziSzVA0aZa2PEdjay16ruJIyKZwyXzt0SPsjy9cglY+kl
EdESeOtF4wLYE3dpj24/EfOBJvCMSy5xeBoV3rbyxfamh0yxYOUpUSQTgiR3vu0z96CLCldddehy
61511aNtFnsaVY+sYr/KzfXGSkfRjwd6rX4zGA3Qxf22cPxGRpvdtcUctCao2HEFdQdSoNYgHuMe
ctCeUNki7WbZgT3VB14eH8qxuuXib4tquNa87Fc9uTeLZ4deOe+ruP1FQPwjoDCM3FQBbXzw0u6u
zlaBC8/6oUpFtG92q3BujT727FbiFyJKAe5res/u+0OfpwdvHokPgoexN6z1ui7TNhzEeGmPNuTO
slj2yOovpsQWe2qFktNb/eotbWSt5i3b3Qv+SvI7qqS/qebZOUwa1tFKQZyY01MzuReK15K9w77t
0uxiqMsIa/l+xpM10ASKZ/8qFdmOjljEwZ2TTb5Zc1e5hHNaHsu1j7ccri/+QNHgu+Oj4cgygrq9
Rr7DS+AsS8YBz8VLXreEqmS2OA5pcop99zeaoh0CXSysOceR6Zr6H6KP18EfaL41mO8LJ72hT4uy
zzPuJzEd/Fi82oIF2xYx/ls1vTInClNz2qeYCFTv3eD4+r6a437t7RNb//0A/AAu7tU41WloZKBg
shIpgr3m1wiED0UxR/HQHcDQ/MSV8ZoOMd1qTkhzdWPbJghFTrQh/DO1W0cmgH5uIv4aNe4PA8rS
q+RxqttvjKSGP2hVHLjzbccQEOxp3voP6ZJFAgpHaLKZ4MHj1fJ7ceNRlidG/t3O5Ze6yV9zJb7n
sJKMxlwjOwXmH/vXLU1q2lWMO9B+lhWnoM360nqHQSBohcoFftUIzW7+jTuSIHIRV0FnlU6QLYBy
U3tXN8ZOlu6T1dC1q22qu8oXCOT4mlvgSlEqh1CRrBIQmtUGWDixUvf1aY1NGdB+8MNOmoDGiuFr
3S0tVXf1DOI+5XZS52ldx5m0V6+kL+h4zF0TV4HQQp9L8YbxlG8fS7sxUXQcplMTBwPA5x0MDp+j
eDJtbnMWcPzpjbbcxA02K0tCGBFGHiapvBtKzilpdTPbxd4vOJms7S8mCo8TKJ7AArk3NUm+sxgu
LAqWf2G1185QfpMWizF18W+c4DE7TfvQWPYUqBjcvV1RSU969aUEk2AbHR8xroiyrOUutVJzv6Td
UzY7D60LrXRku0Ji1qyhVarXDj8LuBHt0rbmQMpliKRGmkbn9E81fAY23eKqRsMeSkSzOz8f0FZq
x9Juru2sj0CLx4R+2dcDfw/ICR93ol1FS92dlry7M5kw7DK1ME3mdSrz5eh37YmrujYIxtUlTpw8
Y5vAPVkf1Fr/ogwP7aT+JWrjxLFCgwyfMZGuOQh3IrnO1+Z1ieM81D0erltOu63pd1Cd5PF4TbSs
rc/ePF/FLs8BCFEDfkrHRtlodTB2Fk5bV5vhR/YTZ2c4N1ccx/QbNfjoa4bUOZlFfY3xs+b/W0DJ
cO9yIzstQ3cs1jWcZP3MKh3MjbEv81hGsZpf8lK3osTzpgtljn+EofWnakFptoKZs/TlCQxOmHTu
c94nw/UkBwJfBOcoOLF+ONTthblVtiUKpse4srBdLbiqmu6obKCPhEapg27VXSg1+iSGhImAYmiM
DDV+7aS/V4KM+Ma5bjJ1hSfxSeo5RXTb6YFm5dSKQuK9ah03AMJI0jjEGKjgU5St2vVkmRcUnCfL
ZjKXaNc6hSzYALWLLYidUGAV3FiWwqqzj6lQMuDfJ5ZKUNEafFOT3tI/pP84+pLjX2+LMhoJIQ5s
LftGgfJcSlaEQth3s9/lEQAX96C52/KkhqtqWo7CUqxai4lZvbvJUPZjO3dCPM7BBJW/leV4XIvk
0FfWkRjmr17jwRPQrws1Bh41vakhTNUx2O0ym/+KUHQPcqHmTU6OZStOTECjMh2fvCb/YprLvuCM
4VBcIoHHqpLwLWP0N/BuYqQJDTGJHRN785hRVyNkvsThsvcK7iO1I9J76X7LtPG+l8bvPE6+qmYr
CwyCjNrshfoe9rrzkJrjjn3jeZk5PGHyDibsOiE1uhNN83yttOWLomCspfYAVxyxg0nrekW4pvSE
DU/ezEMRgkSZI9P90a3OnsrsgMv7fomXr8oieMgp4sO40J+1x5l3C1pmlT0MxZRdCfDykT5wUtGz
BPCCYOPN/KpFWjjIHVThG21NWgJj2dldu9B3ZtM5MHvdYzxpf7xaP5lD/gxN3uDYmGOvWNtTN1m/
DLeaLmvFxYhhIaIpuyP47zJJjFv4HNeMc/7k+USjTr9ZcNkFrpH+sBihR6ae/GZQfynbVd9Vmncn
FrGHGQVkt/0G8/DQFcMDmFRmP7r3qtiEVen+rMwadnL2HXuzv1+oGRwIDtABhu8JuW7UQGzIFDlD
5FbuY6u0cFj7h4RSybMXG3xX8V1JDX1DmtHW8NCcj6isqWT6kl5Lci1gIUZrCbXAotuWqME5OtK9
zY3hwnLHm8L1HpFxj6fCzLxAdDxOTN+cP9bnzpl/Ufa5UeU3IujsmVdrfbAX88s6Fgc1ddfGjCwK
pjKHTSm+1DlojblVTwpd240y1aNuZ85Xw64e8YSWdJxWL2zh5y2EIyu0PauU8qIyEXg103wwJCQk
P43DHh5a0IvhYEl/vbLn9Hvj2NceJXqKSni0CFy0hXMC8O9HQA2Iva6tCH/ajlC7gz1lQOXVjkCk
sRJP2GYoL+td37W3ypmeC+H8yq3yV+wOt3plt5ctPqVgxDM0tOlejYTmEXCyw4pGj6FSULiwF6E7
5Fimzzec3m+V7X63Chs4UXlshorvzdYvOxr/8JSHHWSouw43MqsIY3OYHToptS7oJAxDuzlbAdG4
z2Nv/cDDcBKTf7k206GDhSAl0vJpyW9Y2eOwXAbzQFQffava4oST9Hd9iSBDtyi40iNRxdqBVPkb
r2wiwC9TWCQxfM2uILCPgEMd0pjlDAE4Jc5VziEp0pOb6EYgRwJWt9eDAICn2coOeS8vezgaoS+S
GwX1CPL3cN3Y5qE3OYKUAP1yDeyVlzx6TC9XIZ7ccjyIZL1Yy5x+O4i8XPdJFZMHhpqhj9Emy80j
C8iV5/RHyA37ooVM2Okz5O3Z/5Z3GBdhVqxGRXB7siuzeq9s5xBrCWRr+DOlu7XnfJcqZrlgG8dC
UFwSAkC5ru0saV2ZRh/NzbTPmiryUXNIjVtXtvmloMSAuXwXjwuN2/ih6dzDhHWQ7/Fg2y5l6XjT
LMNFXoprw22vVB3zSi8HQMm7VNr0P+YwF8ZNZpR7eshX5ejtVb8BpXJWjaE5Vgs4Wy9pD5Yf8xHL
6hqezgHE12ttjO52fiPsXo+Wfrzi+z2k9Df9uNlrbYKv+f84O48lSZEubV8RZkgHtgGhVWakzg2W
WV2JozU4XP08MZvfpv6y/mxm2d3VFQqcc145E3tHNGikYyWOtlFeHaRmfttLtF1EedZJUcASvZ+r
/r0SPNQr/iHt3OcW5I3kXizeHQevcy5adRBqOQ6tuYZmuvRmtjZZVaaq3Ja52I29Hk65tnf68WL2
/X4w9LOpp7u4whRoa5s+M4/lHBuUStphocrTOKI1pHx4R5j0rmmzfREPd23xkz4NO66+YInzpwre
tu6KTc70nVJVuZsjs71mZTZjT2tvrl3wJCEzkTp6ku1IfRuUtlmayN7To3FcMvMxa7pzEc+PvR5h
QtK/Jk3rN8VA5lLVDL9GR+3urfTSlSFJB/uSEDZdVjeVOlthDRdGhWmd6/m2Sm13DbVtnJymPWoT
dmzN6oKI3/AyLna8zkzxEOUspI2+XNt0Gp4qvzhQe5xtEwGy5eXrxMu2dU/oRpO82FwPhEw/1AbJ
IHYCYbKEo2qPTj5taKhZmyOu6iTX38aG4kC/CvXZoW+T4fKePJQtUVB3zg6wdx0v1aXqJfyKz9/g
EODOcjw2H3ocLZSw6M9YTkK8dGvsYYFnqhyCBqgQgCYy54IDQHtW6bxmFtWCHH5wLSK2J6e1zkY+
RQddw9KE/whXRmkPLLQD68oYwQ3F1KSBKT3ZQ1aHhF8zDpDrA4xRvJU6T9u8lac6G3edznkGV3Im
rumr7dSvVlvkGhbv3qKip6zFw4Mz+Dcxene8LhgTMXNfGbfK8TfOwN1WZupgl/Ol9upnEF3j0IzJ
K3BldeKoA3oz+iJYmGUn5pfVsLhsnZr2OObqy4nzI+GCzqppvIuS8jP2PeCHuDxm87ypOnklLB71
ibnz+3QrAcbgtaYQvHOrSj7RpKL13GgHyOD3nAsDzGvZS70Lc5J0+iR+sGIGNU/05kot1aHEG7WK
hHP26A5ZEFvonfGZWncgANpjp0iZDTv0GAVWXu2zMYYiUBlzf9tGglBztdd8UBhXvzazqRjNyo3t
DBueUCcPt7UN6B8NaRFmDPxinAEac+uStgQT1kUbFHhYiE1vr4k9foyW+asdC+fFLpt7xpBHwGKv
Sr7KgsFJlLeqLlfECiiMxKhlnYL5AkUIDfBTgWVOTc5R+uO71FNvl8Ith7VFnBLddNrZBhl9HP35
GMv7QEiQJmwPYxsQfci1tiYU/lkf649u6bGv4QgjEcl6i2ryMx0jDkgWoUxE2xHcBPwwa85aWxIK
4FySTY16l+nWo0eCFlO69kpNLVlcPbGDiuoFrS1DpynXKtPNoJ10ETYMxkAqThDxHOiKiYituz8g
6eBdk57i9InvOfTUFDYN+LuZ0YU9kK9fD3S3jXRTrJzO6FY6OJdblJR91O7GEi3LiKvOALQvPPD7
sOlofxNN+Tu3lzlcuIMEhBh5odbOTPwXUcNWNnX0EVvkiWL7i5HGF7fRJ+mxc7R1IdsthtFtmczv
9Uj8UxKfiBo52Uwwq6n6TmYC+DTte1r0q97FqFXTN79m40pNH2SQEg2nyZdjZ07fDvUw+0Fmm9n0
oaDsTbXQmt4s5lcT+dY5Kgfja66nX3QfBBJEwsnaLhjM6uqq9DXL89OQzCcKfNfmAskQ0+Um8qUh
9ccFkZy1gISLjUyIQEn7nyTLzg4U00FSu8eq89tvrS2hRWvdbt4MxB0hxiKijmbzSFZTmDnTmcjA
Tevka2vJdzQYftbxfbjJMigkG2vsHedGlfpTZ/ln4jSfItW2tILdirZ5olTymIHHdWb+0k8ksg7+
Gg3FXa+dPcRl/JTFNAlgPNwKVHiynmdgcAXaFD/PKaGMY/FSNbwQUHwceEt9nJHbwhLkAU7cg9t2
r2nPI9t3jnYKNVN041NpTN7aRuUR0qfyTbUdS0hKcp0XNWbo9OWXHPQP4L722E4cEhNFK7nGfUQ2
wp0o/m171d4fkyyM6xj4bCQNyXXlcCkTikd7Iz/aS9OsiSfTA1mnaWBW3s2TOf0K8a/ciNfToKt9
rSVPY9NsecQHltaSOeSdpRnxCSvsuUtozMtVpW2gBq44q7QIdmpImvHMw+iXD+hT/qnZuRxFv8qg
Z9/OMn7YEfhYXfHQKnAycpxGG+QS6yIe08Cz/E01LAV/QxWOE+hSgWdo5ZjLl9sDQYh3KTonLKNs
q7zlWXPnbx/t+lr18V63i1/CHvNVrZYu8GygcGnGn35Dc2NU0lusZJsGCdEr91R9f+vrw7vmDNvO
z3d141x6FIefY92Ck0d7X7OffXxSIVELzQ6u8xT1ZPD2ZnQj948saW9Pfti9+KeLQ63X3+tuClXB
CecUyADQhRxkCepAqzC5aUnzPUFQbJZIO2fu9NouBfsy4Ec5D0+4Zq+WTQxcYauTKvE65K4xridf
HJtchqPp/FNkdApl+pHHVbhYAzl2b/SLAcLZSwX+pp06T33oybxtCvNpQdCxpcH21Zn9h0Usl24u
D6BYPCb18qBTaeHH8UaJYbv41VZ0WhM4MX6exhFwIvXNiaarqck5JMqSFkUUALHVP+DHJpvNIXho
zrcgUCe3TZklfIOAoXunFnltU9QI4l/sbFd79jseXIvmkGUNIPTIjb9uInmWY3aZZjkQulW77/xR
phz/mtntBhm6WlczV6qei2QVGeIpr1kAiiWq1xXwyWAQvSd9GRPFVuyJj9tIpV2q0Y53WL9eefo1
qzLJNoJ4rLHvftlV9DDo2ruNcmQlluxjkfUlToeHIYuu80QSPR0sasUp/5ta3o+6cDZEqj4syFR2
aC9XGUz/xF48lhUWV2XsltjZDHgxWnGHCxatD9zlq02MG+1l57hCyEz7kFMok8l7viFZC20FPl5N
PrcztJjBm+eolO+9Lb8J7vZxOebu6wIo1gx2gzvbp+bU3Jt2/+k08aHlrFXl8E+2yEPZ6L9VdL9T
Z+fm6mzctn+N23bdWOxBySJ1zp6a/7WNAh59O/AmC/2PtyVc+IeV5QEr1Slt4pCsiC9hMpCDRK6G
uN7LpD4mefIwexazkTWRfjeNkMTePhthgw1Z/iM0nR0LxqDvEhvdHMxaYn0Y9sCh2oIwRdnX5E+3
0qtZORXeZpf4j2y6EEwXmFb0PfbTm+i7V3bKY0k8WoftgPUL46fYi2J4NksRNN588JHhrFKVbdu5
Rg8knrqKS80qDphPL1PJ0uHlB/IS8lUUzS+CLEIrI5MzltarSmBa3AGCwg5zQuq4xrJAyvw8OP4z
RyRmbwqdMnkeKv2ru1ORfYbQLJPjXhrdU7fUN8vr97FMd5E1h6IaT/GShbTqfsYWOZ0RS58rNjT7
nTLDDv1+ODajsZ1GljJtdPZuyrQbEYAzR8la2h00RjU3Qe83705V/ujUHY1a+yVN97QYVWhq6pEg
3p2noAu64tTXxqYRxs6xuc/xrptVdPJs4yX1nONyzyHvEuwKuhRLoIr5ik93UyT6yS8B4bh2y7w/
j+Q5I3QgBMS6uT6pgY3zFPcJFLIqVrnubjuiqdqxWkdJtpVyPLGfBF6a7SfZc1XAlMDfKqkr2mzY
I4eCvSbbUqxD1DLpe5JyFF2u42J5IoEn1AcQ26LS/MBNtCPUKymec+AVxotFZHgZ1wd7TrARtdd+
sJlQOR3azg81m8M8ncuQ6rKw0IAkGqQummZvXNm9DO4MAcLN1vYDOaLlsZjjB21heiElg5iLtgES
yOgJId9EZif2XOKexQ7r8hFhN/J8inuqkau5/KeIeuZUdSwW4oUdcbh7qdYEJwZGBsB8hwN7Flzg
9UPpTC/oMU5sdPuRXgdDMMrIsQ/o/75ao3aO3PRUTsve9rOecJXxd2mD81bliR9x7xfayRmcbT6C
K7sdp0OUGicN4K9JF8IdlwdVoi7A0LQfinoIWjt6KjJUGKPukI6VM0R70XOcZuMqzuxHQ6dyS+sZ
AJf6oim1NTPth6DmT1BcVu0cfVmGMA4xJs1gZkJQvgEdrUPUgiDysNgYpCRuAHdgSOZFHRrbvWGO
JFbQLE8Fy4NQUwCLuetSi6tMc9JVZXOXarLdK0+eZilveTFfRtJz69mFjDAu2pg8upmqVgagfW0b
7C7yVZfUK/A+idxlvXe8Fc2Bl75qd7wTfrts/FWRBbr02Ydahl2uJxeYiYAgOCI3CoKWne1sjqCo
8qpGLdQT4hI97ZSb5tbu7AuRkCR2Ru8m6oNcMwIMnq9NM586HADtZG3ilmlbaqSpGgyzynSfSCEj
CyF+JC2Ut1CfEtUFxbj86oY6HKhMEwRQXzI1HZ1aZw/s3GuRt8GQThu4Lx50KbGKzIUe+4bTaWen
hKfmWnu20uwSO+gLK0etonpyg5yBlO3KPUB8HMksGHawPAac/AhemMwvhWAT0nJnn6WwwaNr/aos
3diOvMYRxGDlN8OrJZNt1Pvr3kJxXiNnCLWkfllscbGm7uwtLLnSmMNBr3XiKMW29E3iJBJ/5YyW
dVZkR4oleu4sCBZPa0/+PRvSxB7ZZvnVGbRq1XNdGPiRg1pED2ymu0RrD1ZSbgfb/9WZydpvtavA
K21rME4yYqf2V+Zcn0pZUNUwWK9RO78ipM1WzTgeizZ+jl0ib5LuqIrsfQD3dAE0Ye8eaUmRQUE+
bWDk3RO5aHsEXuu8aGFYkRwRWfNbueKgm91jHvv3C3Tn8ogEARUUD9TsKpO1anJxa8hhbRiFEFas
iBd5qVS675LpgR8oJhDP/GV3cuvSmhMQK84adN+mKrvYmHXLGJWv4wStmtakTaCzC25jLdKDZLF/
R+Q8BJ1DY5eZhIZR0tq3QLuk/ZrH2bbLzYA4O6LH9fI4dxPtpzLZmCmLuqKnL17Ut40yJRzd/IfL
xgxQZj3UsxMaLsW97rTMUH3MIo7N9YQQzNyAiU+vMwdbaC+Eckw4O72E6CdEMfVKtuSkaGg71ktE
iufYPDQlAJ1vHabe+hb0oa5LwTAm6AysJrRttrEYV4xiB5mh/HA0kRxS6WxpypqQwwKZE8kLBVug
0WqhMbntMS3O8qZXzbuXWadsASxU8EPZ8Aan9TnY1neB3uzCtBEMdlZsEijWE1TPsB47/dfdcpp6
/QNq8telR/RQCYPTjbRCjxYzmrIYNgxFO3J1IdkTGV63rEViXGD75Uol5a1Y2NX01thR/4iUabb1
UCvlxroXhuPTh2dJH6wcymjokp05jYSIVMs+q9oNsqpXem3tdSryXeu3vD/HufoiPhM4enKnrEGU
wMMfxe7MDAh5kRRkpE6zNyHBUtkmgnZeyzl90z31qrTyx2zNL/opODnrx9bmHDRtemuH4rYQiZn3
aldbzlsLIowMIV6rBSlVSQVimW1wwT52PkjjMvhkwWSfxuTQBtu9VHQccvEO3l1nfWlGO0Djuon8
+anw/3uZ62mSlYLGGfXulSwjCo7YaBK51f87A9IAhxhuM/FVSlnH2uS+qyOxWbD+lGXyQmkKaoQP
YkDoQJjjl7wduNQ7p8b0dI9dJy5p06A/DsbY4lE+Ni+cCNSo4MwiKebOItp1mYSar9dfdJuZp0lf
xkAT2sBV149hbffvIqteUy+LQvQQxqpyq2TTjjUZOJF8s+Js28d1vsbYRiJvBeK3jM6mI5ei7dB1
SBfglPLbEnfcrnCjR3aWBoWo/oUU8mAOnNMj9Q0Wc/xnNEfrySx3aSt3Rpf/Y8EQrRYvc89LjgCa
ePKwYnzeSkMW13y8F7ki0ugs51uNc39D5rGzilYAE1tPLXe0N9EKUjpk52tddtQWBsNWUE8ej/KZ
y1y/eB2GP72vXtA1nXuO/RXs/3VQ08vi9Q1l3oqopBhGzXKfFKUACbHrUCYz/HlVPNB0+RAb8lzN
ZRUMVkPNxnIpkO8EsTbGQSws4P3+Obdn/qj3vAxU4iayI1QzhWEis7tfU78FBlUWb1FmAnsY3afl
pGtqjI8ecCaanpUzyQn0k8w0YK4OoQdYsAgSH543Lzx4KL7/OHfiY+5Tu9wjFqTbkA7DbEIrOPvP
c0/ngcCAN4hkV2s6kQAewpDaNr80WWPhbZ+MoSOKgP3TyqFOTYKlQmdKPLoo0HoPiXwkv3vbTPKd
Xr8hEEw4aV5+cLLcxnJ2zqgAA39K5Zp18InOETBkW58C714JzTIRVEtSbWaIVAJIaVdMEPttfKuc
GdKy5ResrbXS0WRdkmG5WQhPBwa6qIMj0if4i0zMLzRrvrlOcaiQ1staHdArB/rcbmNj0IMcNrEY
nHWeijBTxbhxkbkXUbVNiikcpP+iprI7uMb0Wsr8My+mn9RHUmdN/mGZkP+kDADUjbyyeh01r9j7
HTgiCs+VxCnjlybK3+4xrcd1JYedTJ1DadMvkBbjde5MNBJibdUEiZD03IdF5WahW9Q2W1B6lXO5
qQ3v6BD+XinjO2+Mno4Cl28or2kzBTUPUy9BhCD1emuaWhospCqsbMt4lZFxMOLpmGIohLRDhKtR
60LS/HKj4vpRqcgKKCg8xrMsw1QvolNRThDKs91s+llcbEZMZ8G62fVxBi3O02kkxp4eEv3U2ANq
DntbpKiiU3sMvSJ9SlvjzazLdTm5h9ITZ5cm6UKzTaRpy5PWaxFlqijQ0DxkB1AWETDIgtQzLPtI
/Lkwz3rD52k7ewiQDOSrQdNPXgspIFK0WH7jUzKgojmsPGj13qOc2cpYaRZQFp2MDpEKsJwCWWh/
dXMO2Mxtil2WVTz4ph68f5nK0PKGr9ayNrQihpRyBFY3h7lyftKsOEZungZzx3qnKtIvyKwNMI/f
ZitnurGMXZNZvykioLyP9Pgwmeg5nywiKOs4c9BWkRvCw6EK+8EYL4lrwX1X3spLEF9PKYiBCwRm
Mmlm3fQhm/oX2D69xJUYVhiCnkRbcqgJmEUiuX6Pc4kUyuBOpksB2Ka3Kghl/V3283PJpqK3qO0c
f0uvBSI5eaJx+h+VZr+iHltjOmwtq91QLhmgJCFFg56CrzHtj50fg9bHafEcGctjBmmua8ZGDM6p
LYX5nOm0F+T61StB9FJAuiO/jhny7e+WBDG9yrEkxBbvbBbxaXa0176MH6l5Ors8mgF5T1xdSWjp
Vb+hmemipuhb2dMTLqtjOnLHmI2fr1Czs/RUH3xf69bzitDIvPaAnDOcvXvPsJNAIFuvjEUvRudd
VaLt2c0pVbNsoPzC3wMtyNBFbwUiFunPhgORSsgFi5Iddbxvfgf22n1Kq8266Lsnyx4Qd9nJrly0
g9apfUorN0Cyunlm/1XO4jxAYSNO2tVOT8hLQotHwt4l3SwPelE9sAixBEX8tGSbYcXhYaoTeDsS
8JkM5nsRk67sjhRgG5WRQSkwblGtuDPm7BpBTe3vFdOcNvQpRTI56V26o9KZ3oAixudWbEur/sQO
/puMV+OQzakX+KZqNuQi/gBsTdtsKAncV58DfSmZn9+SEqVEdS9xEG4CNBd/9KScUjCzg1SicjjW
1sr1g8QCEpflu6nZH4NEHCld0muW2PhwRM9byZsTWjKGIiPalDRRjA1p9gaFkJ29G8z5eXSaYTXf
S8CIGtx6bfHS2/1vVuS33lDHvHeep3xcU5LSr1xXPyJAJIkIOQusS9q1VmjFzbODpQw5IFdMrTEA
S6vS14TlPbj2ZAcaI6PXixYq/d7hTAuvlaDQ7Af/Uicw8/H4yxsb/i+4q5yZRaW0flNlAO/OQhAO
ffsqcgOusnI4+gZIqWJIAj+PX2Or+EmN6kb7T7kas/oGLru1InJrmuSiEvqfJiPbjD1iHLGUb12O
o96uLZbFefrEX5ISY+1TkzpTjpqzP5TYubKZ6Du7dbd05G7KeD7KCIWfwoRj92f+26nwjKBTKXRF
Ewx1gs8pehyxYnlLcmw8CbyY1Hu3ruh58qMnApTHoDHMj0RoYoPQ1gx5FgVOju3Ekyz6HfbsSfDf
/f7bSEngrix/2y8VJU/JRUs4mwZh/xIYYxCM1l+u64RaavUHKvFsJFDjEe/WFNB3/95hdgwIAKQA
Dc5GsqXOfvzh18C6lSFWZYXc3x14+uYA58i1Zz1546FE1na5SVwvSE1xw9WLtLlCSJH61ocdy2/R
DWhPS8vemsSjnowcA39ClEEAaiTWk9U+0uFGqAdj76ZFEQAFaOxHP3qmjf3kuT1fMX4SJy2CXqbH
qIv46WjmUm0dyrZ5qHL52eRVupIzK+NUNOceVc1Kr4kDpxxinUISmfy91GpUb03hwRIKO4TIO/se
6PikpXvqk796C183PAt5dj9ONDzbSjw1ubOOakq3Bz9/1GLjQQzDKY/ELjX0beR4+CfTdOWUmOwy
XANoKBub2A7XQmI8bnuLembbIgEril7pwqAHDADeNZtDZmWnrLd2irp5OhhCu3PDkUGpS2JUxuWP
ZnMMGDLedbZ4kKMz8q3PPIutsHXrAwTCO8KFloDEgd8XCYlmSBQo00GUk75LrPqj7+ytrgPoJnm2
J9rtarrG1mjGYq04QSunOdBrtzEEwKW1PLCdhLVlXVSBC85aLqw9m1pzfmQ7Dtyc2QZ85dpKOph6
F95+fkwR+NlR+9VY9lqfzGsdL+GwCDfk2rg6CXoilZ8Xwfqc14jEi/iaRoL80EY/saBaW+npAb3y
qMjUJ/n+xzbTHweDOyAT7jFi6Spc+ca7ePUc46Q89l9Necww1sxOjXimqhR1ntHVwbCJlarXjnTv
jSdZRUdzRO4Q5aj8cjICsX3E1A1pCU09EAl4BEQ4K+u11eSAPh3TEJTTteW5GLhVdYs8mkGSzhoQ
A3rMO6zel2lihCpMKq67xPxZouGw8KuE7uisCaK8CwdiZvEeuSzd5XTQuMxt8Z70hHaFgnUjlPEz
jWOY9cYpVulZzd6r5QgOkB7bi0qydMPJXqCcomAdAcCX14i9CYmUxMgp7fliLQLAVwuHsnrp6+XR
ig20NJRqQjCvuAfWc27OW+6zGaSAZWvGhXCwmvkD2X6oNEoHIvOmJS4gS9+eHdyBN5ORCelQqe8Q
y9Id0y1nrv4EN4pMN/UoB2AVCt8SWg2p1iI82VcH36uvPeLYPtNPZIP+aG71263r38LqfziU463p
E2tX9NB+bNGtc+PoCloTqrv+Rh726ICmwzCecqUoMfvW6FvvKBKSmgYPwa1RyF2MO2lq1NHWCiY3
SRz3YgdL0odU850yp74ICeOc+l+413dqSizav5jxEEs8s4hdoeJWE/QbjRfJidHhYUmsbx+KZ0V3
AWoxrWTp0aEi+h7KpB512EHU14O+XVqoGxE/a1b21fuatybw4C3PwLGs4gN50GWp2pPZEOKsccw0
XBTD4H+3dcYFm8R40soS4WCDyaI91FpHTY4GDFbswNrOYwQ1WQ0yXi+edyENQbtLuc8ofYNyTL6j
EfFj3aGZzQ6ICyhfXJ7IHFnTE3jSanLibfMlqssTypN76glaWZ9ru1ZAo40Ne6gDpQJzYTpRaJGX
E+TBKaUBBACz3irdPpRTdau474u6vQ7NhOc4exRlsx5dBTXW3mnUBPPSsimV/QLiNa9oxrw5ORcn
xZuX0a5OU4KHz0dQlZtfmacAyLIPLY3P5qh57Brdpw0tNBcZHC8KrIyWnbJ/8pT2nuDDIiAWGjp3
oazifvoc8v7XVM03O9HO0lNbj2hsKmHCKrNQj2NrXWW99lvvEC5xwb/Sv1oHC9r6JuH7QeFrozKy
eMfYgwkAmGd41xlSU8XvwtZPdQU2mZj6JTaSoz9Ey3ZwOZuHFuWaO9VoInVCY83O+ihTToeiyJA1
OxXYIpmxtBpCGXbp9LgM6XggX4OY49R890vjpemxNAzWvtft82whqyaWGmg3sT9jElgC1SAojeaO
vqZlDYl4a1mLL+xyYu1N4ktiFfnfNnXjpL/3rJAERhrG/xdP6uMabXqEqvvO8DKSd0WlZkweEv1/
XzRdFWSGl5f/IaTgL8ksJIxbuq/rtEe6fxbgOW0y6Y1S3t7qkOb79ZROQTtO8W6UnfWOx275Dxk0
fwkrQOFn6eQHEMHqGH9GB+hW0ehjSwirIfQXApUUs93E4dkAv/z+96SHv2V2EADl36P2XMJXrD+C
jKa+iWFIqmhva+jBGq4ngvchGe+XtR6QkEMt69Q+eFgHYXt95nzVyUcj7uhdTWr38d/fzl/id3gP
RGjcQ3h4T398dKpo5DymdGfYDVapZYGiszU0ak4hiYRZuvHmZJ58+PcXNf8SQ0HaBUE4Nq0kvPwf
34Fw09GpVBPtsXo3n1pRZRj+ytZ7BqzzFUTXXfk34VgUzCx8m6s+cssRs7lCPNLOAyIfpqxPkWXG
tc765C2ZGvvNM2pOEaHTBTNJGLMwcpKeGEEjTTCkgLk739pUwrIIqvTWcT5o53//XH/J1XHIdiOx
F/m9RUvI/4ygIMuwKkCqo720bNNnTfCmH2V0CRexTJrruETOGwIZvMt2kVfiP9w2f/spDbBxwszo
Uiby7X++up72VNUQ3LMXnak2RhM9WVmbvarWL8K+7THFTXO/+r984v/3mn/8kJVJ/xhNFBQAOdkc
FrbvIdAeEEfm4xBYk8CJFuUtrXqEc/0fXppAMMPgXuLy/bNEdKYfoTSKVNuTi1vYGzEXYGaxj0OI
ONQnL2s1sjcqpJ3bRln0Bv77BzfEXw4NgFOiWoTg7CAz8n9+3S7MluZEjYbn0y+tHSlC1YkaM8Bk
kgFwPfs91zV7jyWekHLD3kRD0chAU4vWguLo6QXCQx6RWSL0mGU6Y/FlgilXSMjktIv8vsADkuQn
s5hG5swCnmxFYCTs2eRn0GuTVTEm0EbI+mdjzMsxgHTlQ84AkmJjSjw4EDoBF/ByVf/Ax/hfWoxG
G/BSH5+NfHaYVqjIftIrHyCrAuuOAjXSpRNG7dL/REi02y1Vwz0iSrmQohHFXgZfhf9pRBTC8LcZ
cHocy9RuoDnLpcFJpiT+SRuf6heo2+AiRnSWGTJbiqvy+NTBksfU1tpj8Tsv+5E1thQ87GRLX2C0
uPO8zyjIdlZL6XlAjZDpnAfJgNR8QJXm0bGW3428Q4qvZnJQra5UNriQZ45teHRkptWTjpj9Gjdo
8FfZYteQhmNM84kdJ95Oy6jY3SY1Fewro/aSh3Yaiw/XVdPPICc9hwNJvCdBAsdvTL1xwief3Juk
YRF9mzv/bm2CZTAraHobWG1fnhljkyQgNguxs7+46BdbhsLPjDzhahWjhyLyYdGZTeLOQC0QDTX6
E/6F+6msqXpKxTS+W/Y4fapEERQD/AVdZvnAc8FSVYaLlaC7pWP6TE0ns3fvFtYbOUbdGh63Aztj
H0PKL9qkw2LaGAyrPh9oXGYD5Mmnm5GDlXp1qLGtloKEKNUhe3Hv5a9erC0ry7QOvYaXadQhTe6G
XVFekJfUaK7ivGH0HA23D7WRoP1AJK0PIkw2S7mamdnEyleSgRVnBoR3MwztKfESj17VTi23pbXK
38us5fT4NR76ty7NMduX2btp++5BUuCO98lHA7XvJlMUK1/k89a3jTpa+cVgsujHDs3sEfD8S8Fv
6AR9P9kJEjy8vas25ckCK55IP6RFo6UWYkzbdVWrAqc+rTz/6YD96x0PcmTw4KJT4c9nJREvcSnl
wPEOrHWYaD8Du6j9a87b/A/Hy19GIKKfPdcwyMFkGPojPkkYZdFqgnA6gZXrJPuy3CWqp1s281Z+
N6X/+xxUvkhqlu5R3uRE/jEF5IYpEVbq3p5WOoo2iqHYOaXUVglFBoGZ1Pr230/Pv308svds5/5q
tvnnhIedJIm6mo9HQwf0jBNjqljZZjlhZEu15V0WJjKw/8NrElFj0utMUNifIdLNQjyAllKXac8S
ANvUa38O4jRq/9GB05DLp3f86H/9mvdXZIImCJ654I+BwLVroilMStB0Mx9/XNPqP5BARE9ePuC9
mnPZrv/9Be9/4R8hWMJgphJcnQbXzx/JfsLWaNAdkB87Zk/VG0jVPwUU0ce/v8pfJo3/4uxMmtvW
uS36i1hFEiQITtXZkvs2Tiasm9hh34L9r3+LGcWKyqrvTe7kVkVmB+Ccs/fa0GuhhVoeRE6iIj5v
fR2bhA75SPYzjQ9a7DgxOHJsynn8XZYDXeBxsM+wE098ezD0pe15nm0RmnN00Eiq0ZJ1rOReydjd
pKUqX1FEFHtES965yMYTb6cHsZ9KgK+BvK+jpwYGBxUm182qNJeXYdbH11DUB3oUdPdMo9JnzuDi
xFPjQ0Cf7/0pDI7ZppaK0whKkbOfessIdqnjtfNFBfAA4X4JAWprzjMCcF2pXr/Gqvk1wtnAsO0Z
GZtg5CQlNabnhtvOwxuOxqLAtxyAc3zgUGS59PMbPF5oCKenDCj8Y25SyP8k2smY7iwkGz1xNr2f
r+UEWX3tp+lgr3Npl93BhxX5HciCc20hEA4voEOm696p82yDAKzCAWsb8Ruj8v9HsAC1ARWgabMQ
wt5fXoi/EmyaaU5MxRFkT81J3/lPjT9YgMuKDp/xme/0xMEdKi88SnI/XCHd47Ocxh7b+alE+ogP
O3dC40rEErewmUfBXQOO1IaRxqK8Kju70Wd+/cS7TQoOYB5CBQXXfLTYQ9TykoiZE2Nan9jJuqj2
tCmCZ6nS5H+v5/kphq1UJxD1jw+tSO2y2igjZK1G2t4PARmDK1Bi1X88iwDSCqyJM0uFe+rqPMch
4oRSdjmtf36QqRvWthAoaUVlHuixvtODeY1GjhS5fsZZe5Va40swTq+hb+8Lg9BlP8r2RYVxt+zV
zzrEzzOjWtihHHYhdOg/B0XrkQ3Kx9Bp4pvJFW7nheUkaefTHB5uOzP4URXI9TrGQ+S9L+0/RNg+
MlIfypGN0TdEVgYYwcQLwmhKF+VdJxC7Yi3f20N3lY32o69LSCb6MOGIpygvv7ec+qYxzraVlT/i
bqRFpo1LWsqcBMKkuSrsMl+T6ClJ91QPUQ9VjIP5npHDg5bjJVk9iPQRl/2YsSVswlEeBrtvuADG
X4OSWwNA18WgLXwzIEXQYqGakIRe47RCYllK41Z0T22rLuzeQ89oZmR/l9mtpjFYsGF2Zk293O6x
POGzDJIVLtAP6AIflW7vglZcScPnyOhySAJ6HIThBcy1d2fW8zokS7X2adjJMjgYRXrw8zR6yavq
TixSCKt76fFNk1pLk9qvXv22THGl+AefZpYVqYeZ1WEVjjmUgGogiNj66FW9x1CxUzLaz9rFiWOa
T66aHo1ZPbUSQqLprH1oBwo3uD01oBGze51FW0VL1oJ/sxqd7EXP8inopxtu3W1tTjdY6KG9ZVsT
u0thiKeoQdfu5oigE+dGFLhHkkhiwors51CbV3BAsKLmb4aHkyMtPvKsuCJ9YD+3FGQWEyjtCSQi
GSZKHFBFPl5QnpPiZKa/dMvAukvu8whjQTnfCBH85znJtxRDFJCxN6Mly0o0N87oPVUSfpsZRT9j
wBIWnSpTVeDEW/k+mN0Vp///mglrYQE9OS3n+3yRfvltyxzc+BbQtVs5wKNaJ3wdJJpT1dQPJMfe
N4b4z8Nu54XmTU1pt+qJMlwnDpzTOLWwvDv+NuuXuXJ5O8hybasECWY/3mRkrDPbfyghbjE0Rh7n
YMlOjdcoInZ9yl6XpV0O4882DLa5i9DHCW/14F4y2qfP7a2JQXuGa3nTROXacSZsaGi5K7A93gQU
hXB020XM6dk3hhE3Kyx8W4hKu6mV2KLbfa44yjPnrWWBHdTf6bre5Ag5JguH8xxdJrl+EJl323T+
DW8JQun4opX2Ic+yzayKG/6NJ7Ycd0WYHLPU/tYoxa8om18sA3leVmxN1qouGu9qITH319tOYPIf
u7exq7cxOQ2Igtd5hcypQ0LRGT8hdharPNS3SdXdWLxGyFvdddLGG9foDoMcb93cOlSd2KKN4b0w
+h+uH+EzyoB56Pspm9aeP2yHobociKYDl/jWOM3zFOLkpRZA6Aq2X4ySItPnQ/GMA5qqB03MGWPR
HYzcCwQFWxAXL1lp3HpG8YqG/5GMDYxU/q7rhVxFmfswGA60ORMgj3vlJS4oyepj8BlX1fb4lFbj
VYxjC8koXjZ5gcqLxyHV1gjge7X2LZjKF1wU9201XCQB/a0RPYtXPs6UKUFZ/XIMZku+HXy3Jlgh
dX1ZFvM3w4mAdyVwWaoScUYb9A6lUwD6ltWCRJ/b0G8yiFV0BT08tjZkEsa+7lNkDGh1sONmmWUw
+cKInTTd3TDM33OZ/xw7eTNW3X9t2R84nlC1o7pkaXWQuotLFbtoAdTWIpc7T9PLBr0ng4cnkBo7
YC2PjaSDJODHrUmYfCq85K5t7Bdr7DdGE+5cZTA8xaxkqt9hmODbxlxeIIvsEiCmXcUWajbutZ2A
ba0KyCF9/+LEi3QzmPg6JKrcmWpXdXuPuWTe9GtZ+C8tc5/Ytx949tdg3oc1eVbzivEq3Vhpb/xp
/lH1DkI/M6J5J+6HGFgOgb8/YoTQcVbTDZg16TvWobQImnZtTNChAngRmXi7lo59hBbZuRk8OKz4
/pJmYMJbbyx3OmBMuzEt+jp9lV1lVkNV7ZVEElDAlgl6V9+ILh1L77QHVSSIon3vZnue4qZs7X09
T3vJvdrQaLk3Ka5RqDflxs/Gg53YkI7LKxHp59RRb3jTMX7jo3ZDed0PDrYZEJYgBph5c3RE+sOc
OqqGvdPaCBPLB2E13Ga0T4k6SLxLRUHwktv84PE+pYi3kLirfenwCnMiGxzjQC8k2wS+uirm5Ied
2/ZqzryfQdTPvMzmb2Vk172Vf7hzZmEZ7HcTqhNFbNTg9m/jQPmlG4P07e4XsTf5NSw5xkSIQVBv
7vtmuAUpcpfW01WsAGr1NQGCaTe/W2pEreOSl0bX4ipZkhsBmQe4xBCKIW2bEJlkYXnAQ7ViqP4T
AvB/PoAaSBqXtGmblT9Fl5JNo6tj0DGzmLZeNzAr62dzp8HVgDK8GCf/ukvyVwJt8ItkzxXUJZpu
JOMhJrxyUsgvICNvMmd4DchCbOIeeKCH5yWDQQAH2FlR97WbIfPug6m/Awy7XAEc1lJfh+ZvUWXv
Q2H+FFULHQLYTC31FQpAjAnOZYtic/LcrTUsPe26u23JLaTPCoUlmVHhdIK7X073BBLRaUaP7DPh
iy2M34Xj9AvU8XskxEs6MSaW7ELMJDnFGJfJDM9VGpfIgwADzQiCDf1gewMy9UWTgEaTDO/Lphjv
bWqlFe1LBFHGra0qdknno1VQSPPifiJ7k6vctrX8Pff6ahoWpUZ6jy1oD38WzWGxTcMX3bt3Kov3
ToZS2aXhmMwFLDYD+lnb7eyguSDI6VHE087WMLPIdR35ZoxWPEP+TdfCiW7yHF1xq+9SK7ir4ekk
Y782MUGmWfra1O7DiKo6cNQu8cDP+N3d5DhbGwAonpVLf8EDg2+guXHrobByG/Amjb3DsRmv8Ej9
hkX3ng79c5NP13Qg76puphNiOWthhbdlFqw9jSZ/iJ3daAfPHoPfvIV3lTJyyID45cFdL2jIofPg
Xs58fPDrIvQDDXRC3+QYBOcmYT/3v8d29YOg5ZvSlY+4J++COn8z45IibgpxVRMbakQvNthGsxvo
ZDUhBp/hmwPvE+uheunA/ni+/61pJxQBtPSCmCiMsQk6UGXF09yJu8gi+re2dyhCFugp6ytNwIu5
w/VhtTiUWuYthZOuy7DY+hrZT16uJTt0nnJGxNVtpACkCMJZZIybvkM9ghYb+3q6wWa5Y1ZIeWi+
28n0W9kzb0GUPfp+u5jAI4fHOaAcKMdVFCvstzYHh3KXhhb6zfmghoA8PPOKgB8WYaP55SexvR59
8w4YKSJmlOkTts6Wh0KkyZqxyW+orM9DNVzSTV4XeNamDGwBMSXAm6DIUIXelhWdpK54LSzj0CYa
m668Wc6yCJl5bb35Evrx9uu65kRVw/CORoSJelV54rgFkpUmxajv7AsPnDYyPH98L7WNy2lS2jgX
z3WiPvWVLQlzBdkufXn0a1VDXkfbQt0Mglab26FymwFlSjx+ixcYE8Zedns+UC3lTijX7f7nCpUh
GzNgZ0kfJcXmqD6uIqcXbQAiuFXmSzTZ9I0dzLG7rhn1769v7ImQDKpgBr/ENC5h68e5csWgQ7eH
Oryf/UbCR/PuqlZpvlkxbhw7hsOegfZurejZwn+38lpBE9vB9/P13/FvE4g/g3KVJhrxOQSLfy5b
dU09qxLPgJcDemnBSy2Ij7iff9tlCQepgDl9pjj/9ym7BFV4jqK5xrBCLO/cXy0PJgMs5VEVHnRu
USCkXlj0Byh75X+i6ViA/CDm9EEmoXqWwEDLMw/5xBUzkqavzbGa3Irj3FUbfkI1FiYC8Tnv0dZ2
mXtfI/seCOb6YYzkQP3vP4h5ymLgTtyTyYHq8/WaZdhOCUKb/QC6E6dhU32UFinRqxKt9A0V07T7
+pn++9G6gpm75SwNJRt1wecf9DwsyV3veLTCnKzdZlVj6I0qAO+umg5q4ZnrWzobn5uxxD3R0Pmz
RghiEj//HLB4UF/JpBCttODmSFxa9wp4ZTiRPVwN472i60D1BO40G1HhfX2x/zYVXZpZigmlxefE
J/X516ep4qjA/dgndq7uM0T3TwYGmzO/cuKlcRyPKSgTG7IejtPb5n4u8360vH0/qQL5pY58XMV+
wygQaFr+FDa41s/c13/bz1wZSTmOYi00SQP9fGVIu1t7SmP6ZYUqHwLLqFrGWFn6MJMEg+/cmft7
C8hbdOZ3T3yf/K5EDoMghjbd0fOc8KerHtnlfrIghnsj22BVFeENJj5M98Ds1gblyyE19XTmLp9a
FAmTgWPismGSv3y0NERFV82gztG2TQyIm2sOWPTZF6rhRityIXyzntdNOqrV0J/5aE5dtaI5CfGJ
RcH1jvp3qtCaMTd3e3I6OW+mPgw+/Il6eMXe3//wzBKGcxAbzJ9dz6jzu69f41MfkVIOnxFPmyX3
6KbbHMcJSOebhYeo7zXWh6e4TZlLBpk7qxVAWbXPRws8ZTNG8V7nOv329V/w5wqPvmPXMhlT2YT6
mPbxjkQ32CMMypf7AlyuXGMOkU80EJJpPdN26QGZtEiYHYBd0SrIfXlpm1D5QgPrLOY85tBbw4LH
mFVR+yQG29pFBQf5sTLn72CYaagbYwNSrfbtp3yO68ds9BKoKDAnf6agNLEEVhnxmKBmLyicYFEz
cPzDGcJxK7yRepGfDh8xVPbvmhGhJBTcaJFekF22N2Zj2JNzJ3C2eE65y/weWM7ohdWMWHTK/Tsr
jIKVlq67OP4xYe9gGefP5Lt3dMeq7MChpCu3bi+yO7NlEknYBPUXCgN05aukwqOxTlOl3WuPFKL3
IVg6VXMZe6iCg1CM65DgnkOekL3T+UDfkhFFpUVxsI7jdLiHv2hsk1LWuymp5H0adnINSQSIR2Hn
B0Dzxbesq+yLuDScN4JV3B3dHcwLfWvfNAS+wHivLGraAsrArqyJX/n66Z9YRj1pklFqIQGxreNd
sVQohnJEvmSiDXDTyB9+iE1/OJNj9Gcwd/SOIfdQ/pIIyeDlOMnJMuY+gqJl7icUsOneNUBrbKDu
hvM6aFK6H94U/2qbgBGEbY/eg3Q7r1vnyZjkK/Cy+nfBQFOvYpdkhF1D/wB6AaN5vZWhysHvBgs7
zTfkO8ol5/toitbaNp2YfBrnVfCeEeLrgkUc8TAZxTwnxNpEdNNgFZlg6+dserT1ON0aC5SiiZrw
l12NwQcQSDqI+PU9ZGpdPNIPT4ikWC0jvB8j0Z6/wBTPGAEblCq09auRvlwKbQwRBkUhErHHFHkI
VCy/g+/Y2Plvr+kreN3JhD8saSdiC2GeQSsMs3aiFUqYyy3gFju75Cdaevw4tTYK7jHt8uw+qbtv
zE9gZPigHWPbaazvnOJoIQvkOlsXiJkFr8RvHiSWvXwzWyLh5lS0uRsfRBu1iwH7VdN8JBKhKd19
nccC2ai3IJExM1TV5uvX68/KffTgFUcgsqVZW8llOtqm1YCLwohMMAnsKYJsjhdt2v2uwQkSGKt5
rl7DalgIOrTxTHd4KOVLgyGUmR7EMExGyTqlIff69V91YldfRm+st5xgfF77zzss8DyrzmF87fug
o39RTpFZ4PnuKaPExAxl3bb1WJzZ5E58ab7lEDtrLdu0PB4UEeeQhn3RiH3mxs0hy+Fn4EYa7eTM
SOrEKdAXcKO5QA5lIO8+X5yyEK7a3exyMPKwWgKAY2Fq7csx1f6Z+2iduiZGbUhnuZ9UT0f7trAT
GThpjZnLSOwnYSw9mTz93vPF/HBzG2tenAJW0m64ThSSnLjpaPmKYjs5LVMyy20AM9n9mTXtzwnp
6KXzhe/biATN5SR8tKenEuRXhL54X7Y+trghEsVDUDfguoxhmuG2412Z7hszi/LrxWfymhm0Yq9N
FynaJu2ghq1Jrl0App6z2CLDVuUXI2Ef9lUy6Pk6ErIErwBI+KYtLdhdbUVXkG/frKa3Tlf9FWP0
TK8bWVQfofBy4FYmlMRYYggtuyD+UZQMldd8DiJfe6md+Hx9tJmvS/yW3MOwQU9o5G6O7r+U+oZ0
psreV1Vb/faS1H2rEiun8RoE83OvFdWFiZI6XztuVCzE2rohckU7SOZDhivTSyV76wdhDAk+beZH
CmmYhdy5WgJYzhyn/nw7x/feQYy23HrfQbz4+fXzYx3oNq6cfdU6HnfQqLtrk3V9XpPWAZs2NKw4
vB2x1X6QNYrdPDObRY9jDe11xlbaYlZnp9hZ+ewHl10Xy/LKTEJj4d1MH1agZuOaxFPLW8GjcKd7
rKHGfQNv6+3rNeLku83InIR6njIntKMLGQhOSopG2/txhEx2l0XKn677EdTcSlRy+t4T+kdgqZ7T
HSo3OtRGQVArp5LEam4bt8sIY5tx318Ydu5nOxML3NPXf6K9LJ7H95o5t+eY0iVi9Hgdi1vTnNo0
ZUkZeG/+y2k2AdIPpqIB7hLF9JhouHxoOlbhxvUJ3GJHZRIHLT255GV28J3nAy2dKm/H7TB6yCoG
uq2gtvM820ZtOOMj1El+1QjA96tcOsU5TTH6pH8uQrIRcvoUqIiE/CNE/astQNiTVzlZLKjLVe/8
DhG8IYasGVRCaZXOR9Ius4OwGpchFHQfOKminXxkJBYi3KKvx/oyInntN8gbzPcJ6TMV4I0UaRdZ
HtU+S0Zjn2GrvIn5ENFWcpJaIrUm765t3YA23TzyMSFHa9U6s3VJNNkQqo86GYIPs6n7X/Fg0QOe
gtT4ZlgFCBDRGrBo3cqDItrpDEMUXBL2tLw45J1jYNRgSDEyRbdhFqOSlnfa0aQ8VZF5n5lm5e7M
tIXVHJE3VK/63tGEnQTm/NbPAvaozNxd5k0HztbrtC3vrL6Bhll3oGOLCZ+8u4S9ZShYAGgs1FEo
G8E7B0Tnpqja8WHWcvpAJUgSSopkkSajn73b2oKAF+Gs63YBkSIvQG1md1M7kfNOXqkH8ssLy5mE
HTnEWwgZ5muTq8YBkELkjKcn6azxDYjwgtdx8eJTBXZrqDLgBXDdGLh3/YHnRI6O1zHUMirz1lUD
6gQlTbDbRlV734txxM9Sig4wniNLXGdVLZuLKqPVrunZNnFDZpDAKcD/Zt/eQP1pn0VlMZYnvgig
U143+VMTm1BHOqCM4XUNLZozcklq8irPFtaS04AVhPVo4+Jqc42YQZX9RWbpKboyZIg1zerHMFxn
cgIOntOjsdeRynpmKh70312Me7Ph34LVvmMraK9x49bgokQd/Qf4yHpgTRLfMPyBGPz6e/638Meg
wLLpUvujXnGWY8tfX0JDHNhopPW8H33IRIUAegNMoMTzA1x2GLe5FVmvbTA5+69/999dHGO74ny+
FP606JYS+a/fzYQ3d7VPZntUJvULYwqacbQeknM9xxNLKj9Ep9ehASdc749Q7K8f8kEAZg0OiH3o
xc7e6HDtOYBKNpOo8nunqUpKo6qn0xsbFYDZqMxf2xKYHwxX+dttx0bv/MHGSGhMpKR9fRNOLEMW
DhEUorQhPIw5n2+CQYgsLqpiRMzvld61m9VUeH1v9GKrcAF5//MpTVqkQXMy5pS2NJ8//1xK3p6D
fHLYkxM1PxdzVe1G1wO92Xb2GdvGqcdLV9uiNPJNzoNHB8LOwVhn4EfZp0MUwXpKrJbjWOLY9Zn3
999WikQxScPK592lnjw66+uRCL1QcQvZ4omAGbpq2gpV+i/+qK3yYkAwfS9TDdyirLJSbL9+gKcu
Uwn2a84cnLHV0aEPfXlomrme9hlCxnodtC3IbmmHo3/x9Q+delOU49LB55tR6G0/PzqFGJD9bOCH
0F3lOzj/1rghU2KG/GQoQkS+/jnamfyDn7d5aSELB6tF6YCaePmD/vpsqimsklqnM85PgUBhBs2+
6coEp2ACZhc8qP7uVDOPNvDd+lelPcb1eIXGQ1nH/n+oy0MgqYkTJ8Rkin7ckqapyHkdghZ9ieGn
N2yLY042nVtOq1ob7hvlq34neYllt3NkvlUl3d5Vo2TOJgaqZK58e6fMrm1B+OnwCb3VYDAiH6ND
7aUTCa2DEaYMrFNyQ+ZMiZ8E5pprUZj170yZxABNtYPUwTeGVd5rc51nfn3IwhBnd+CKapcTDBPb
cXJfa1jdpS9zbzMHAJXTkHgJlsPp2zgV3cExa/068ZdcgXXGKD0PCM+QyMdbRDOgU5JGYuiv7FdZ
Dc0V2ZoTABLTXM9JS2chk/W8LRoTASyfI1z9SL6EJa4Iyof4rW1bOImiy56bggAxhyiRe0vrQm49
N4IxMk1+dEUkiPEtqvsGRXk5NZeeBYuemPFebJA9ttdOVHmv7DrDtSid5J5EOeD53H69YwlazO2z
ugrSRO+k66nrrnTSj5L0pXbsvDsFqfFK5mw+NBjS9aRq2A5OPl10hDX/iL04gArB7rYq+N9bj6Ir
WrVEvl+7OOQ53tPXWJc6nw+927QPHBKSC87g1NlZOv/QiS6um1oBRWyR660KRtK3saGsW4+j1sXy
Pq1tQV/UrMpycYBWIt/Ioe1uwhBjbFBU4lfnRtRUaInQyCR++lS6Awjgr1//U2//MstAZs5JnPL5
aGGO0mSOGo7d+2Ec+9eMNwGUh6GrcKNdMec7pHpWt4ljnRKSk2XIKVv4OfD+SropHO5yco6yort1
deZ+z1zehSgHZxlp5UPbbCr6nPEU8In4YUqKnEyzHDpakav3Lk15wYc4DlHx1QlJhPHkTD8xHeUA
4236S1tREbCOKGEmF8xI2TTvv756f9kHjr59G6k71kUaFRixjq6+8GlEdH5k7Ztxtmk9wbqn18Sz
oyFeMjzAvwBr+xvZupx3C/TN3w1EGDuUcJ1JmaeGte1N1k0YzwBjwwGo5KVdzDYymondNeSfINO4
4wUBu5Z195hP+zddclhfZyYwH0FM0tWgzPqbZY5OcBPmwaAPsaXdLe40TqTdFMyom5LJx2wA72rd
KUEwjTbdkkBTq3tUhs2kgmiQHCVrm6nn2PPmYm3VKeHRjT3Yh9gt9dtclfZz5s8ldusoGA9TiNVp
Y5L8lF2J3qoXjnHXt5sooOokUchOsRqPQhgUKJiKkAEOSbar4eq9ZfHAUkw6WAOimZrAX6e+07zy
OYIlzJN4HPdNv5w6OtkD0hahgYm8KcJH7Q6AbW167BMjV6f40BYO5LUJGeC9Aeppb+OqZ0zoO30f
rSYHBc3aKxDoeQ2xYqZwaXtb09SQN0sKxi3bbvxuD7mMN3rs+ne39KvLFiPhjVEoaJqaEXtzuZx2
n1oPaSwaBwuzrOo7BwVK5/nXco6gNI9jM+7OvFb/vlWopJcJE6sMfhjxeUehWaPB9nMQa415XEGx
NpPsQk99yZAlhp40J8Dq4y5cETBUn+nOWCe2M4EXgJEDW7Wtjk+BtEnpaFfttEcP0B1UP4ltkYGH
mYzZ39Vz4N0YfzCAbip3gYjGl1wUzsvXN+CETRmdOI1vlAUoHGh8f74DoNtNfr6AxAB3ZGNWdr2r
EO/t0pI06TlrflqNX/9QU+ltpnIIL3xdqE2DTImNRgzXX/81Jw7+/DEeNk8E2R5F+ec/xkdQQ4xL
RfJHa0w/HYVsJTTrV4MOB2djkzZOPflnWvInTjECN+/S/RQ8g+Oyu4uSWAadmvZxxvF6A8+L5WAy
6at4ZoKE9OsrXJapo2UMyzvlzbKUc0A8Opz1jLwp7x1ud9uphwz8zs7SpNhFPortupXtmTPviYki
FYYrkDjwinv/nEVNmF1DQk7ZPqlZeKBCLXobZHqtUJd9nQNL0+EjCmb4krO3LZ3uoqbNvvn6qk/d
Y6YqvosEgKPisaOuwQFqmMDz924iyjvgAqTTWCOJv2F9zmRz6gZLFCWLmoN6wjyqJwKzktIqgcuA
GRrKXZPK0r+PSDd292z+RbNk5cXnWmTLe3n8VJHbSJwdi4vvT3/qr4NpG/ZtgEt03uOCnMTBQaR0
COeo+z4QSvd9QLP1iCjBO0g/k3ezPdSPcHzkt96c4/tM6OGXSvz+59f3/M9I/viPYmzODAavuk+n
/fPHBCFIGqJHfBzPLZnv/pBj/eloJ353CZCjpvOrtKZhPaXRoUodl6xaNUGzI/5P/KI2VETSEVXC
qarTeXbAIma5KHVtw9+4pVUuwZeisy8Nr4blVFkhsA3LSkmKMKSfgzEPp/4p7F3rBbWUNCHMue1D
MunZ2TDxVNUaUAEU1a8v+uTrznyN4EYfHwowi88XHUqPs5c1o7g2He86Bu6LcRhL6Xs9SrWO+qbG
JkwqU6FIXfJIax8a/jY/MOLLr/+SU0sZaklzAS44jBOPPnRRa7eLteLuEyFHhPQUUzrnem5u0ijp
d7IGYfTosQueWc5Ovf98Z6wveNrohS5/11+vogZjl/J8531Lm/gij/GPuBF5h3DM3gxlN2dOpctl
/POS0TPh3ec6/xnmZLll9knq8GWrzrzscdUeUm2mQIv8V8Zyi7ALZq7HeWzlduADv77JJwptakFW
NRZuNAPHQh+E16ohUJHvjn7hpeW3alOGTnQHp2jYlGbkXkeamFanc85pfk4U2eyYqET4L6Bi5+jx
+nFUWlEMva8YRa22gdU5P63Oqsz/xxVygUQVw2URSPI+P047EdIP+0rumyx/1wncdZFHP0ECAAqT
CD13AN5IbgoS+T/rMfh8aIGhhEGUAZ3l8w8boG3IaJ7kvrR672mkjMU5njFnTlr5kGAnuBqFjC+c
IkouRqHCMzvGqXMJHzCfssdRgL3j6CiQTHDBiWCR+270O2MVDKPYYlOPPIq8mmSEFlVZfhkHwsKw
MfkxKPsOriyLF0GhnKowOECBTJ0zz+PUoc1BJM77zmAN7d7yYvz1fRUJERxzKuQeR5K4tDLwuUy2
b+UojBu7NqI1SuEZLfaEZmNoLAxXk3fm3pzYTXkgy1hTAN3gu/v8J7iyifgjeDThTPghAtVuP3BT
4AiIaPv1B3ZiNXH4tpArsHETR3N0OoRfpqZ2jCWWxWoEOUX/2cAk9AADNX3hrPz/aD7Se11GICZY
KnqCny9twK3Q25Lfax1gQKonOijPyCfrdVqf6V6dujS2R7rMfMCoPo7u4pQEscu50tnDQU2o+lRk
15RrWWisEh9YE+YTHHy7r+/nqWXD92gLWtQ0Pj/7+fqMyIYtkNpiXydwHVZWl47PblH0Z67txKpM
urOvuDK0XIzAP/+MlbPRiNHhZzxzqi5yqlBKyLB/7B3quwvNaEC8wUUTydYkYZ7Qec/2P76+1BP3
F1GvoqRA8UCT8Kg7WLe8jUUvaW+3Q4Ofy3eNjHSNmXjQoZN6uqsTAku//s0TX8YiZOCE7YIdoIX9
+brjKqDcri1n31TdYgsJOmICZim/DQAtH7/+rVNNfM6zLgM7X3CUP77JVCIQGjqG64ZhaE3WC0H1
68iMyfUYae8TBWQFtvmR61FdUhAkv/ygGAeE/m41PRhKjGQWDYkks9fRjGsmWVjnsD1/JiVH27OL
2IRVnJoDNcTRS94W40Khqp09GGavL4jF8xn04a/J73Xrm4RxGhGeVAGywyYFU6h6UzEAqUHTFRIm
pwj1pgR698Y2LzV7T+wzqLbxTK+6tm9cUgvtNF2z7dMIyCeWPYjDniJDL7IghzpzRzvUcutufHZE
zZSqE264i9y0jtclxT/R04HFgHMcqqC48NKOSJi6Bd5FcEsE8nAMDMLNB531CrAOoXDuu4bU900y
vbeBj9u2WIJZCHqc+7i1dg1RIs2mT0wOO/FcPjMmT4i49dhhQKj0mThTsJ44gCxsC3TGVFns0Een
LYvJmScr0+NDs65skJ47XzKcSacONko3dUiWoGwGuT5z7Dr58lGvC7lUylRVR9ujzshDxHzkkZFZ
McVQbQhN2sH1MzcSP13YkL4yKXXhJGl7DVOLbNesWPrXFmLWMfgZZqq5aLNRPXz9VZxYeegjKOTQ
qIWhVB3dkLFxKUj8QCKjK8r3IBZy25Ccuurovq37ag73Tl4VuLyAwOZhcw7+cWJ9Rb/qIudHxknv
6GjhA9lekrSX8DxgMI2rXnfqO9wzfKRfX+apYwBDd3TQkqrWxGj/eaXJZdB2I+emPZtufJkFFjLZ
KLOeXJv7qsi8uu9USjhNklprLFbOBhfouUHPidWOG410C6EwasLjHcwSkefT17f3qlUkglPvJtMF
Y38xHuDMmfmZd+7EveXWchLgxEsR7y8L/l8nn7ILx5Ki1tqjoiIMx2wb42ZibT935lhekaM1CzmD
xS/Q6jW5rs+/03QmxrsoM/cZSwsDdrJ0YCArEIFFXT4MiSZs157kmeX8xHal0L5yxjZtWHVyufq/
rs4eEQTOvTHvTXqUhy6zarTmAJIzTcLHSDbP/+MNomLyPFZnJGP/fCkBRKeWHdBizhoGoPyLutln
Zuns+OrR2yIPRY/SBWuauOJAyh1+tDaKzvQg/71qNnZhLhsE+hnnH9Vri7vFKA3ykLSX7nB7C9TD
wJCbAD2Wb8bFmas+8XtUMvCHON6xRkj78132SMiwvHLGO557zVtRWi3Fd+1MkL6JcKNH3Z1Zj/79
RnhVMVPZHis0hpCjDRDuUNyq0mv2lV1mzNhkApNZI2y+yJox/98lhzxLjq4UwjBzUNF/vjzhhTi4
Krfdl4U/PidGVr4MrWvsncSdtl+vQP/uPPyO5CvkWE4NfLwB/B9n57Ect9Gu4StCFXLYTsRQFEnR
oiRrg1KwkDMa6erP0zwbDogalP6NN6bd040OX3jDCGDEyAtLXGoF67o7+nSW5+dzQr+5j2axg8E1
fkpK3fgRIf6xEV++/4xUWIguLQmw5GsuPiMazbz9cdRdsimC5tg5p6IckOvRKhO/Pmf+65qGHA4m
BrePSZYvf86bs9nlARRnrK8vtlmHuMxg2c3ljiuXV52VHjzEXWYBYd8IJlcmSXKtQcWAJgSxbzFJ
Q6S060VX0/gzBHY/o6F9zAZYzEZGZ8O2aQrf/qQrGGFwX2QFkvJCROEt7yB0HNs0HmuIUhHmYpGS
HcLC+NHjHLbPDeUPYhZfKfs0d6rXTzhISxL4iJURYoEokJRzVu4LFKcuCKXoW+I1729/2u5wCl3y
TQoSywevbzDBNYOuufTOECIXTwzYHBKraKuNK2JtFajegj4h5QSWt1TXLMymTvXUSS/Q7oNzlYc6
+DTccEwriQ7hjBc5bXqco7Q5v49GwsM0b+lIosW4R2D8N0c8ebF7+LZWga/r7U+0sifAzbMbeXJl
5WmxEy0bSY+kCDP4OV7ikx7X5y42nATnGVU/WhmVvdsDriz765MEGgq+wLsyTJ5OiLfrGkwBwPD/
FWMcnTqMF37eHmUFrCqJP1L4l0dQQ0rr+oTFada3Vapn+Ouhox4HuLTuJiPA4XakkwwYIipn0w/G
SBj3OI+gzKiUGVY9ZWVb6Vk3W/fniJYL6u7TvypeJI9128QzSBcjrfYIT4sQu/bGwXV9LtPg6KCC
pPk0LPW/vynIOFVL55rg3n/dW29uCqAqIz7uVXIpTNSkpsl+USvTOzh0XPZ9vxmqvI92SXChahEX
wdeiInO9bJKUNzj6mFyUEmZy3avYWtnaAamuws/zOP+YT3hsO6YSfs/wb7z90VZyAEaXQS4TZXMs
oVNW1Fd5XtT4DSTKIA7B1BSoynuQgp6HOsuDh26uKMzRrJuKZ2cMKveptbCRf57yolNPFhbF/1g8
goDjW0ehJu1OVb/x/q6tEKRPKrRkKXySRT7gIaPp4UKXXhIZnu6R5EMRKMAmWNshSGN1p1oD2ICV
ReL8dPHQ6z6P5H3WRjFTbt/rkNIFTEiqBCYTEvcypAw7C2mJwEwurku+hipr79TPfdOKr2UvdHtj
E66MxltFW1WDhUr5bJGbab3ZC8PtIwgOo/qjD7vwT2iOOJQFxuH2Fnh/O0A3AEZoc3YJWc3FSPDe
1SFC9fTi0MmGtaQjw3Hq3CJ0Ni7l9zG5VBqmSU3Ris+4rHVYalrMndopfh7kXXXuwV5UuIsCmt2n
dl3+VHod0/lZN61g4wJ8v4HQ6LCoPDrEOw576PqI1VqsogWvK36V1dW4E6oFxgxr7F0xj/VnVSQY
+mrSlcHV8++UD3GNub3Ga1OnDC4vE5sDbejXPwCjBzMbpgH5r6nD5SVoVHpeQTncK9LayfJKZGQp
Fm9MWz4k1zsWqi0NBpNmOEC4JdzF7KPCw4gQ0Y5JK8Wh6Ab9pIvW/mXRvHJCA0TW7WmuDShlSNGl
46Vx3MU0SYoiJfaU8OIZQIfwHDcQRxchKsPnGshLRuhMermxf9fWFmFQNpZHtUB/V0yfa8sD7Yv8
h1tYd4gExGioCfefIpj+BVqWP7nm5l2wkrrLKUoIEZUIqsyLK0mZuqw2U6nTg23hZdRS7LwSlboT
nPlDUekjQjGo+bpzXr8kCFMcLF61X3+92jSnCZ5RHCCwdeXBfvNO8f9P3IRo/VIphjNQS9PTB6/W
lJPSD/mRetXWw/g+XSCblgEcxVjwLs7iGPWaqAF1V/ElCgvsw+PG3OfIoe6raah3qYq7bBGWWOA2
g7ERRr+/DWUeLwelRMYPWKTziTcFRp+Z4UWxitgvJyX5UAGLP0Zins+3V3VtkjyDXPVUf0hs5R5/
s6oxiMkGXGF40ZNMfAQZxXuI0bP73MZRUR3NtLPBLE55f69mAcp7t0df2cwgSAA3WNyT6DwuRu8H
r1adtGP0VH3oo8H9YOSBc59Go3JKU2FfUgdlottjrsQAcOkkfY+Hjeh82R/MAVW0eZ9HKM+qlp/Q
G8xMp0TGGd52pXY4aCP0AQfZwivTVLIfyAZ+bQaBrZZotA9mXLSHCsuB/2EpKItTKqK7wglbLIWR
g+DSB4fnYmjxt1Xd7D+QtCkgUSV8htas+jn/3Bh07WBrvBRSp8WBj7ash+UDTrPCLHDLCVFlEmSu
HGwlPVM1Vk+NQ22nzrAzB3IPkZ0oeD+WRboRaaxtQR7jVyMNkN/LFxkNMWsAlsBz5WTzhSJP/jku
Mpa7QDtgrOL5NPXWuEcL3c429sLaQeMydeklyLNmLm9wCy9tfczCy9R64PEUp3vsBaY9tE6L0+1t
J7/f4nUi96HbT+1ZtcnSrg9aiwZYQUQsr9Bk8ssUVENlgVwT3SDw3Am3ks+1VQW0L7cUIcS75NOB
7xuXJgKT8KTLOyQPQXO2xnTWChCvqVe2h8yIonMyIB10e6bm2qlmE5u8/Nz/4Kiup5orUQ6Xn6FH
ZdQeaYYbSHLFwdgdy467htQCcvFuxOMNro2LNWxe1tPnXMs1LFzmINIvShyWn+o4cX8B0E3MnQ1e
+1eQDN1zG0UAkgzgQp8UFVIylPon0o35bLfiMNnTgIebI/T7rva+ukTof2JTo2vYOkGPeW+SlyVy
mLHzoejdIn9IHeAHfpDZxQDfczSdfVXgynChXJVV6CPCOdr1Jq4rWMMPE14RARD1Y9O29rwHGRkU
H5wQsYv7CoXidkfjIBgPYOhj/YX6tT1uPAtrp5W8gNIn9UBEcZcqGxZ4HMOb6/ASUUiCIoiH3l5I
d7zWdkcwoCLrv+fdx1ltjqJ7sWetdzd28cqB0Rn+VeRDNvFk6PnmuSjBGBi8fLxMZk0ONLnVPd7s
3X1C933jZVo5MMALyT5IQuiILqGeXIhpW8KUugDVFc8Bo96rSu78lzl6+FlAxt2qoqzNTZbKAOag
6QE08npuGA/kQ+MlObWgCbNRamooPmP8SPkKh/Tyz+1T8orGWFwIXKegjcBRkustqTV643H1zl12
yS3CuSNo2i4FS2yIYt9ySeLBYFW9cuqQ5fnlpqWj0i2ZVf3s6ALXdVCw3lOKeGNCx1BvlX3dJE2F
E5s6ctidwLzvE2u4M9Rg+oXemvXFKg28xBwE2epTEdl8sy6uk/l4e1Yra2hAtIWTxD9J5Bb7Ywhp
lim9nSFJYiSPObXHGEnSZgp2nSit578fjDaOCoeVNBnM7fUHwxminspYZBdD2OojSo0uSsRZcXYr
r9qY10qFDWYQzXnbQ8mH2vHipajyVnfzQs0us0ZOsUfvB+cISxW2X4at+GF0jt7cjWmmi+c6n90X
r55n59CNhDinvK3Mz1ZVzxgNJ83g7icbJsiOWLZyNs7naw17uat0GVCR98HRf72b3xxQHHMzTM4p
HihQDDBPUZIJWDxAn/agNia03oIg4NGMq1GnEW0pnx1RCxikk24+DlGqIo2SNjht96be/XXjl9K3
BngbHhJqWstnIXbI8ZN0Ti+20M5lYRjHCr7gPs4Qpq60Hv2EsB5/Yle48e1WXkJDwhsIqaVy2jJx
iNJ2LKx4pB4IwxUjJwvP4CEpJimviWxMDLmnmavx1KLa6N/eoWs3tpQTB1moyurnst7EwUQ8fFDT
yxBV8ejDYi7KO10VmdiNReBhD5hn7rcut2S/l1xTe7YrJ3LYPi4J+u0fs3Y2ibNgUUIHQ0NNrtOb
rYEkgE3JCH3UsBONvqtbFS1Ju+2ms0NBa6vZshIEUMqh+opSnYsjgvw1b0ZDqUG4sZNkl7av2juA
Qvqhn6bEdzJpPy+AHbae2KK8rK63bPLowDkBcWiLOYaY+ulQhHnB6+6XF9rBETbBDG8RMotlwIHB
gdo5KEgwf7BZBH82mvHr7WVe225Uhqm9oEdo0qu8nrhMYEZieG6KQGv2Io/Ts+NguGR09nebEuPR
Co0acdMp3wgP1lZcOpUhycfVCz/0euAedQRExZvsEiiOOCGmEP4YhRudcGXwDrBJaeJJN83bs33N
EBYXDiIHRHo4BIAicuUz/uY7u7iK9zXM6IvtxrN7xse1v2hUbikTVsanfoAkta+cJuyPkVkLfY/x
qnh0zdz8OpUqBtQ2fqre3g7VyA947VHX0WJ031uudDxHq96NLzYojeqgREW9ZWex8q2IubmPaJmT
dC17uTE08LnrjPzShIF1QvUW1peSmOKuCEYLM5vcwM+xraIHoU1b19JKfAPYmAqORZROX3DxuYwZ
iEns1JDcG4SL90UM8+yUqTBZjpgB53/CNEOn8/bXclfuAHBlEujG6UD9bvGMlbHhRihw5RdFt9Lf
ZeyZHA6ldZ/Lup59ysAhRpZgMsDjuZ8p/AYYGxVt/Scop/CEngZsosLUcKbMcSY9gNAKUY9uS1sK
PmMvHpeTdkerwbjHcK56Llth4KBcN18oPxZfXCAgz7U6ds/aENQvuR7MX/UuMS9pRKwc4nSn70wE
zfygDruDhknY0cIYOdk5nZadzG62HsYoMH7pbevAR6vRXZ2TnPQAZD0EtrzWHouunH5EVls1u0RR
yC+gxog/COBp8a6be/d+Buj3CARDs6VipbdLm8YT/lSSkO8qJ3d6tAwK6DpZXgLPirRmwqQ3QzQA
uolqvcR50j7zy8bvGCbjy9pX+BvQn3dUvza68H4MC9OvhqC815GEw843H9GXnqJjmpXxeahESUIf
iYeGVORcWIZzV/ReiKUXKm3PlWt0H+yxws4vtFrDl1jfr6re4uyR1Epwn7dN8xQn3VBvRA2ru4IN
gfwj4e+73jQM67EdVTu/eN4UkuWAsXsOROuiw4zs1RbVe+WekiBLyg4AVmQd/vrGyD0ziueCPWhV
CMKVoOQQ4+3r3RyPhwgFD7B2pb6x8WUouLylILeYtGElb2vZmGbmNkJ0aYL+/eC0AJ9HswILlwW/
bR0/DRyko7w8mthilPu+6Uu8541C3wKwrMX8NvQGDzSQjEaW9S5biW03H60YX4JUR6NqGnu/khza
nfBo/6Hc349PGopkYC2KxK4fkqIIrS9e2o8BzaehtD56jWk+5YOuBXsNGGxw1jBljhDDqLqPQdSB
ndKi2db3GdcYDOucEu2lA2uPnbmhKNauK52tAs4KbcYD00WFVGK8kUFc1Da0ubQ7CCQEnaXX4cya
GDhXQdQxkDE3+um7EShjcJmxZhPY6TZhhFBGG2V4nBsUVWO02NxjwRWrPJeIyPf7ZHYGpNXsNrzL
gN+lZ1RZ8abPM9bvkXqhe+lCa0b2OB+hG3casimHukyrX50sgMe6UH7z5GLXS8s5LHbCyuOtyuXK
7S3rRXR2yAaY++KVj1qlh5FqpqCSjR4XCZRaPrVpak17mo8ZxrZF2ouNt3ZlE0ufGHIrUlTCdHmM
3zy15MjlQCk3ufTYqBzCrg0uHR6Ee1MFa5EOeXpXBmV6yAbNpaKEhNbu9uuxcnABmUHgkKO7kD+v
x09CKPmaSeu2iPQUZRkH4SJ3FjOqMJytApuwGUeGWLa/N0pKqzMnhDY9ajmE0/KXvZl55M7UV1DH
u7Rtl2InkUXnLGqheKIN9cT2m44QH8J9i6ad44XG8+15y5d4cXlAH8eojHeTNo+7uLBKh0qZ7ZU0
ZLkw7gZbsc410oGbRKy1PUXVjD4odRyiqcX3RWSh1bogSi85Rof/oCc4AUhN5kM9tQB3w8o4pBYk
Y2wQYaLNkYqpaPbPSNJwELk+IW9QYR5RjslJqp3slcQyN5iRK+ES95YMWsBQ4kG8WAgvVCalUqaE
mqKCM2fcwnPm7dZ3do5jdabZiCfRMfkBJ73eSB5XniipVgV0gPtFdjevd0DgVa01dgnfAEH67JR6
6ZgfECNq03NtEune/uIrLrx8aUAruiRUgGZalDCdfC6BETBcqdc2R8puSaa1IWuDndHovB1IicbZ
TrVDY9g50YxygAvsjBpgZOnnIupe1KYrO4C8hdfsiYzbZIfoaaIeg3oezI+mm6VPaaVPGn4B1Zwi
S9EHGfKhrf2I21ZO1xaFM6qadjP/DzUaNGo4wFKuXMpqXi+lo81CUcouvXiTGpz6QQ+CY4QtSotl
BO7L/8OeIa1lP4MyphW8OLo5nHtYR156qTA+NU9Z16cCsTYL59QZZeb5EakXxDdKCtb1i47c1JZf
5MrpJSOUoDtp6sV1fT1dV/FaTUUO7+KaI/bluq5YaOS7arDlgblyOlyVapRHnu4R0y8GytEBcCOZ
CSFAHp8xUh4myDFjUn8MHPgAl3JoC3FCP7KN7wn9jY3beeWEUJYFlUqRgyR3ieMZxhChtajDc6or
PPzYjexSZXMK5CCOj7ePh7byEtCElSQzjSHJdq/XNA5VgeQ9Y/V9GTiYo9ioDhOnFuPeQCOhvJst
J8IovKybM/QOZTzARioxWKrQy9wNDQ870DuBL+psmcGdq0f272R0W4xXNSwa90M0D9a/t3/0ilgc
CTkir8ScfB9O9vWPbsUgZvD98QU1w5nP0VT4arWpTDJVv1G/TPrcfUX2LAzvOjUWrJ7a1KcwrXpz
37Va/kmjC54cYEs07oMZVqF3l0TFlPuB3oFGVpJQO9MuDZJjanWmt/eSzBrONX/vfDMg7yJUjydh
U1Iv929Pbe3TU0VGHFeK05OEL2Y2YalbRAbxl53Nd904epdG6NmnoLGCjeO8NhQbnOPEBULRYLGI
vLcqcwNpiIaQp+1MGmXKXvGGTIVYqPbq4fbMVs4U0mLQEhhRpgrLmcXD0Bp4ZfPidOKxMRv13IrG
/lxP+UNELOKjfDn6uVPNG6dpZYfL4hUVVFm8oh1/vaRd40ymAYHv4tXeQ1OI7pBSzT5OJbSj0dYy
vwvHvxc6gH8GS5wvCGAS5ZbrMc0eekKs1eMlGfL+g9640xFYpfLRHJCtsSex9ZyvfEuUw2l1wL6n
47FkfuR2lE+mlQ6XZAzqS+Lq9nlMqvFg55m58R3fy03KGj3sOsI3qcTzWph4E8EZ4WBGWuuOF73O
zT9kItpdU3Txc2VkQ7jHXzf+blZ5/JClwXCnVan2uW3CNjlkVp84KBxP4T+xWhLWJPYYXhLsoGI0
mWvzg9MGQ3Sc09p5wcWoN/ZNFostVdj3dUXibtkZcqniUjxd1k7VomjVTuTTBckk5ZNJuR/F1uG5
1nENCNPBOCM5U/hKAfGhDTXn2OvYQN8+Cu92pPwJXO8yfaVBtewXCWStGrdtkMEIA0z+qv4foeF5
oeJ0ePYS07mjhP+3QRdDcvJ4yni9ecMXh11x0Fiua7RFzAruURYl+T5DIMvv9fivCbpyKIewUvJY
wXEtzltCiqhXnobFOeJjD1rVt8fR6PQzW2YLAfguzKYOz17GJoEzZqAaen3MPHcwK0Rt20s4krKq
lWN9HkHolbsJxNVxVAN1YxlXBpToWtxy6R/pFMWvB1SdpqjjoBEgbHVZfAr6aG8J1x5OOKmIxyI2
y/Zvr2mAcLLwDo0UdBrNoOshuxqMXKWZ4qJ7AVGIIBUIs2zw+zQNNnKzd/EVQyFxKwFwthRyXoTK
KZl/WE+puEypTSEinT2DOmY5zs6GyuLaMgKK4jqmjwIabTFQmRkgceJRXAzF5TsZovphVkbyZWyb
xO+Tsvnn9oFbHQ8AFvwCYKIwRq7XEDmovHJUPtushcYpSWb9ualwvwoM65mfuCUN+P58Q8GTmC+S
DnCTy3W0Rsfu2bniEmTu+BGXOPPQtQYyNyge+YTN8bEsKGxu3Crvvx6j0jOQmTUt7yXILRf4W1aT
yiQ9vaDE1KT+mI3T0+2lfK8xAnsbyjgdJo/Lix7q9VoGzZx7MUVOcNdR9Zio1XieJRLWTtP4pBju
uEvb3DiaQxvQHZXE/FF1dolpbYWu7yoJ8odQpZAf1UDQf5FH5rqXC1R7oP/zd+eBv3sozfmb6ipl
u8tKeuI7WIggZMoKcXfHmjb5xcz0qphABQW2CttJciDxLbleCdWbYoQOpPOu29u/xyC0CYiRiz7e
XvGV72rCyePBQHPB0V8T3DfvrWW1UUN6XuApV07lAR0bSjNlX09bA73vOMsJOQwmn0XCiMWEshAN
P0PMBW3dIjOOkWIm+rGhl3ofVKHwAa7H2XlULawvprpNYDXYsVb60ZybA95ns1ecdEPJcGl0g25L
e+Jd/MiPI8UlJUJphTL84seB09FGM3eLS+nmc3ga6iGtII/3XULzgjbpvnKF860MI53kG303/cvt
z/AuxEK0H9AqFyRvN20e+ZnefAbXnY0OUkN5GSdLO1iB1u5gJYUPEefk9PdDySTXla1HGP2LqdYF
8xQYG126NEzOc10039RKUe4qIyg3hlr75si0AwjmZ9JpXV6NTln2WjLnzaXB/+Nx7OtYGjUXR81W
8jNS+PG5TmwFKXAnvjhml57pdMzHrNM8qutx9Aw4ZNwojr6/rYkfZIQE0RYo9hJfNwatyJVmbijI
ivwlKsfhWIGGwEivQ+69nLbcKVbGQ/2OmqTkzbjvbrSq4hGq4666xDWi1y0SWoeujMd7vSnrZz0I
p/Ptzys/3+LegNUERZJLQ5rALV4j5AfGSRn64qKpoXfGpqDeeYnxYoSJfSQc+6GMZfD59pArm1eq
guk6xSK0dJbhX5eEUsI2Ky+Iidt+XNTdnRfq1s5SFPFye6iVAFujvCeBZUyO4eS9/eagmLU5W1rc
lGDpoy+5pfbPZonDgzqp5oPRQ10cJgjU/Fzjo4XgMUJz/bQx3ZWnwZGWdq+oBazJ5Bd/8xNo2UQ2
fsbZpTTG6VtXl/FTVOA1Ao0y2dMebT5ailfv2sQuvgWlmv/cWAL5Bi6/MCrL6GNwrAwUgq/HN2vc
uSZUri/pGKQYvWGjCRumovwbaONOx5b00Uvn+bHLM6cD6aQ0hxST+BeMZoqn0EXxdiM2WPv+jgyS
QccSHSwpQLgzpUrcsSC0670T9k0Z6vRVPn8yONgbFdfXhHoxe24uA+ydB86KQt317BPaq1OtsgFG
xSi/jLb4OekTEmhjXe+sDBdrS8MG1NNyC2lSx3zuklmjaV4Ye68Z7L9Ez1Iiov5LcgzQjrolQJbr
X2MWea8rU2D5Qh2xbivt6hLaOci8CV3cnOfjiJmAcWqtWdta9eVKyLF5LjjsNCxBJeuLsQsQ1jrU
fcdHBs1UcI43EfC1mh6XmypsEAQTXlv3B2Tb1HI3hknfIyLnaaex516I4uYBPdj0++3NubjtqErI
9IzbniqTvPAWZyMtdQDzM635OcyqYddMhfsCx0PM9CU06bbT9Pm/t4dc7L7XIWmCcPlAOzHVJZxl
tLJsypvZ8AFGqj+sMFUg6gm8sPCh2EjQFnfr/w8lFSblQw2YRf6UNyd/isYR08zG8GfEok+jV6fY
NIX2qfDC56iOhlObjOPf3eeMibURKCyYSvLhWr5XVo0W2Ijbgp/odXXvdkbzuVBs/XNSlAowTdH8
E8TTrGwc6eU9+zos/TO4YfCzwQgupooPuEDvy5r9NrO1D0OLB9Y+ViljHMgjsemzyxz7cotryIKB
ofVPE9rU8ZMS4C//t99XhmbkwyqcPxqa8jp8s+iGU+SZVSr8Eu7C/6Yx877GSpN9zae4+zt24euk
3w61iMLsIkSWSkSqPyBkeGoQ04Vsotl+5aFyubHC708KHVLAUNyYNMq4P66nlXe4sWYmYBo4pCYo
d9tov7oloa6wyvlfVI6CLevOlREtkgkqeaRWxJlyd79ZSEyaKq2JTeA7mlcewnEoz4EjlE/0Knpf
IH+8dUMtgmqWEyyllN+Q8ch7giovRjYKK+v9MA6L+mwpA+NqiQNQmnq4+gfKO42OFomnhHBvsre8
IN5PmKIUpQb67hRUQJ9dT1i0DWoxnS58qRFfnPoKoh8wzvglUnvDPMaqg/Xd7c0qd8ib1+l1yq/C
cRrfFS2yxQ7Sm8SYLLvtgSZ57U8ynuJBN9TqdHuUlYXVsV8lpoR3JpGa1xMD5T17PZQr30FFuN6n
blte9MqeT3ZbirtRn/ODM7XmHfrr4UYV5/0VCNMXVUZyY6jZZKbXQ5MAOVoW6djP6WP9pW0FpVe3
Ss6TFzTfHTMuf4SVMrzcnu9rRXuxrCClUYSklUBj2V2MWgW4wLoiAslhDR2K4nrRf1OJM6Zd0Pfi
PiVO/OoFVv8CIkH/aqCsru5rUXvfOtDEww5DceMuqvKT0WF3uCvwolF28F5qd6N+sQgN5eeHzwqn
lHAYAMCyiUljPVSzoRn8YVLGz64LyKUYHavdAbdUj0mY14+hGw/7SlHdndFm3gZFamV8NHJl7xtb
bRZsUfpKAtFn2Vj2/mhUNCAoYeTwTcNpvp/cpogwI3DtcReCJxKXGtdZ8yC6Conk259Lbr/F16Lh
Q8MPbjqq1+ria+VDNaaV7Qi/MiIP197IcTBNV3SE7pWgz+2N4dYmTQmT4hTRIFKli+EqGzGReIKW
5o5q/Qwhx3vsg5SKd+XoDykX1GEobFB7gEM+NHgdbrxP7w4jGrTMEw43JWnENRbDNzqmQTlP8tkc
s+qSqzPP4hyWB4By0ROScOMvyy1dxMPyLXti7/3QPM2y0kkFglR2qXgdpPbQit7zfMUM1MZX8nAq
QW23SfxkR25ZfQ+dSVGOKJ5oze/M0Nsnhdj6w2CFoGOi0sGDzhjbzBcw63TfaxspjR9h/vTBs+pW
/cQf6GdlNvPmTuRpY1S7WE+s7mc2KUFxUCEyox6FQspuCjLn0trAS1ChMGx8oeMMdKLeJ9PX0oN/
pU7i96hYVXowq3QEuRnVuHaQ30HDaG21+hcUm/6bDh8OczoYinmP8RigEUsJq6OGgShMx8Ltj3U7
O8ohBpI5HOY2Qnu7znYjmcIjcpP2Xdm6FyWPD3PhiV0SfES2u9qJJj+RmXxGX+tYVfOdlXzPQGJB
kgT2jNum5pczCvFYlliNey7rXlTHwUEN5zBT6ak+9CbY40MOZP7n0AfeJwddiB9tbOrfCpSmP4dA
bH53BVZNHGusuQ6tjTIjlfToawaeIzoVQW9meyhkNUE6iY2+B8MgKWSoWH9UizkO79umsEA0h05d
+kqbNvtxcGsQbDosI9MU9T9zO+Y4C7oGjSvgT+mjq4ft9CLD0Y8hakLZvkqNaSsKfHeQKQmC4uJO
Y19Dp5Yn703E0JToWod5F/iW5YKawjDNT9wWs12QwxtF+5WheE7Qs6Q5jSj+a1P+zVBZWJUQGiLX
x/MiPhZFoz2S3RqXED75xuv5LiyQ/UUTggf1c4PHRJ6qN0NpWD9E8WC6fpbpyiON03EXq25/57Ve
u3dTQ//b+4nxpMAwyTrzo3JwPV6Vha3TK5ED3teKP/eijB+iyIqemjwA0BJOTfhg2rFxTmen/GL1
c7GFXn/3ZvMDWFaKm7Ql+Z6LzxjMYEzSwnJ8u8Zt4gISv55PWNtm/2H8Ef8Rlh5m5zqO5i0mydpK
c0EBjyJc4FVarDQCRFoMeNrx8d8cfAX/r3Nhd/oJ1RL9NLhu8vP2w7M6nqy2gW3h9V127Ka2QZ6r
YROp9F5OThcLNLJBVKSJlR3KznY3rv61TSslKm0iMXg79uLLekaDStGsOj5vm/NQFgGikDSm91pm
zr9vT211KAlLpu5F6WlZp08yYoce9JTf9roqZTnqPRLB0Rn2hO3fHmptu/CeUM6QKAOimev9GmVd
TXLiun5sVe1AcyOCaG2OdDhiu7NemqEzIdSGgbPVIlj5fPRaqajx5eR7ugieSzNQ+l4rFd/sMTwq
iqL7iJp++KJPFqczV/r9X09U6qrzytCVtMGPXE8UHgX1SgUhENVM9WMY9smHErPEZwOjmFPQBukX
M7PLjT3zvmxDcQRsKoJTnEXQFPJLv7l+QhhbeDZg66kNAiMvBbTuPwGuew9Jm9XfU4Bgv40SDaed
3XZNeExRt0dgqcwje6diGx6d2q4atiRKVrYXVSQSbCm89Z4FjoYEtXlbDfywiLOvNqY1h6zsrS/C
RUH29qq/C9eYP3AZMPayWATF/Xr+mjqPjvQ7utTjPOKgBBZMd5rmvoEdcuhIUE/4cOdHRW2bQxhQ
lL89/ErMxKNGoAg0gnO7HN4xk27WY1PxpynN/+nGwTywuAHGtnXRvsyO0d0lgNIQUtosFq4cLIaG
5wfCkydh+RBkRoYUWKoofhHmxiHp4/Q40Gb8V3QW7Bi7as5pWoUvt+f7SmW7isZZb3BRpP2ET+/J
4KoRkNo38KMTqJ76UdMrrJEm3ikSgWQyPmSwORvpE94BTOmGedjXoQ7FaBDT8D0Kstg9eXjcx0gQ
xQVuyz3/dtdUJmQEEhr+07AUbrKb+j6L/raaKH86UAjZOZHCj4utEsy1cAfLUvwIPdu7dsqtkw18
Do0kItxizsV5Y63k1fZ2rejBka7IOw8QKFJtiwcLwX1V0AxWfPLuJ/xF7EPZ6+5LFcfDRy95mAiM
kxRd5e7RFMbGbfRqGvJucOniQiwPPm/ZRkkGglvYXQrJW2AWxz6pRHVqzc76SsLpdnhtaH14MmkL
/vKy2PF8QODa/GKquMEfB0ixTy1xqu0UwqVpjMIRhg3QWXfAqeb6DCdEc+8QrLSGnV3M5UD0i3/t
0ZhqUkIRWcMfCAGDdkQvzPxZ6KPtnsamz7aKMstDIJeYOIjyBTgQWq6LSzehcOg2Jb++jcNoxugk
cM2PY2HiQTCUIWU2bLPdr7TGFX3r68rsd7nANH4ARiEpTudvkR17ZMDYORue33f5FOzT1sn+Rd0f
u8NycuMXYQjFpl+iDUTy3gDFWM9hsMVDP+HBqycbufrytZMLgTESIHVdomLUxa+JMk9UczJ6vouL
crqrKjzDRJl658EV6U7YqfN3WB/3dUA6JrJRg9THMi3vtLGqLDXy/Elk3nM4a81/cTvP9xhxTRsH
d/mcyKFsm1ATBjwInNfE9c0bN0vvvKSpA7+CGUOqmc1mi19yb/znKHGwdaWvjoYQA7giJAWY5/WL
UofB3KE8FPhOFc73eLDNn/rOrE+zPW/pWqztXs4nauQwwWC4LJL9QMPJqlaGwJ9HPHw60yo/9lGd
HoupaqmGd8ouEl220XZYmx9dJskIg0dET/d6flmspFHXz4E/CEyIcXbkcOyLyOueyjgVG4HmUvbo
dZtwOHkpMESEka5fj1ZYsBdMlB19fU6Es5vcKbP3Q996X9S2N9RTQgr7rQvGptg1iUTfjEqbP1Ih
ryTqr0mck0gAFSMgYNQ2T7tiVhtl+nchlNxer5cHkTfXyDIYbowgQ9258fw6qXmM5lD9d8KI66hq
rXkIs7gE+0gVIBtUmhZNS6FhtKPHtsi1S0e98LjxasiPvrxXKKpbgPdA7r3DJHJVThGNfM8fhiI5
Nk4XnGdha/ihYiGt93pwMdNm3Ksp3UkvS6dTr5TavuymPy0KdIegnJsNkMPajpEXCxsU9iRV+Otv
aESlaLDV88BouT0qfkE6mRhYq/X/cXYezW0j3Rr+RahCDlsAJEEFKli25NmgHJHRjRx+/X3guxnR
LLHmW4wXY1eBaHSfPuENIE67NZ72H6/Axcdhu7GJ+PGfuf39v467GO0Z1b7Ri4BI4e1Gz/+IiLs4
qmlj/S+LTf688dfp91HFv38WagG5WqxDHGWIyoyBMDCtDSZniB8SB3FGHEz1+dXKGqPZJemYvWDe
6iVALkxjpFmsJepOk3XlBJnVJNaVdfhrarZtTH4WsRXOJgS+s/DgtQ6TSDPm7HAJyXACfZuE5PvT
F3SNM9tfysx667V6edboVy3+IvJ1hRXlVNqVdbrwSWCwYhxGnOKuPa/5mQy3hlEwHI61GJ6ErJdD
p6OTGksALx9//QsXGWk8UiLUD0AS/sKQ5iY3mZ04kYF0SxA35RR4Yz7cOL0z+BpSNFdW+eKr/et5
Z+0ME/2WphpiOxpIVHQW92619HkfM4J6+u9vRpWC/wgUL0YHZ3vNqczCnnFciEB4ujfeipZSN+Xm
K2qdSzTK9Brt/hwvtcXejSRKgcRK/k0na1FlrpUksaNe6+3a558alc9UOM/3Y6IZbYjOHwZIqvPY
14k+3mqMXSy4lQ53qj4bQPfgcinfASTkXz5eigsX3zZ+3ZLwPwp8Z2mbl42zXO3KjipcRj7P8YB/
/Yhn/X0tK+9+Q5vtdWxFro0SLu2tbaJCnw4pNBbn/WmnbFEahIx4bG5ZpxWamq9n7fiQxTh8T9Zk
hx+/5oW9tTUGedEttNC4ev88tcsypI9aN8phWTyU6DHcuEq90PNVnSu32HkdzLem2UF+RF+M8eg5
dZCZKJquk8uxWfVUQd3YbHq/jYv2xRIFBGhvMazfXWonpW+7tEL9Ik3m7EpOfOl9AZwj/4muI2Xi
WcDSwe4kVpLTMcsSCx60kyi/Geq3jm+OSGr4H6/utknOLkqAGqQWYOqJ3efZU5k7+TKAyo4Sr2w/
69Dg7jqMaq60ki9FYU7GJvUONAea7Fm+pJSmO7ol5GZLqXLgQROPadExaoSNn87oQT5rHStskNaO
Us9hWtFgRP3xq15Ko+ADMQKmnkRE4xwZVOazOy0MFCIYfB2g194ufrVxXjZ+iuxRckBJZ0x3U4yW
9SOkZdc8IEp3WEy2235I7fTzPCHuYUBdeWt7Pa+vbPTzNgi7D8F/dJ90LipgM2c5M4xO4emL4USr
tRS/rHlpn9ZCQhjWqwbNPwdH5bdpgEzssxnltVr3wrYzKH0gBTKn3CBj74+Zt7aNjkYIHWm9EY+i
I3WYZTHe0INRrhyzS7uBxve2HTZ1JYDz759lLzjqFQrtfl243nOrtxLbGMdW0Kh0nfYfxK28J7Qk
h1952eZPs6E/1l3mXtn5F18Yfeet4wUM9s+P/FeGlKa9UDBvwK1qXq372gNerbqdGyL901551IWQ
yawBvAwOdjBMzyf0Zjoji+pWHke60oPWo8Ibx0rcz7keP4u+umZYcenVyHrJNLn6IT2d3wyx2Wq9
Th071GlJQ6s3QSKq8mkdl2uF3sVvaZqbARnYXSYaZ7u2RYC+kmVNAJkM7S7FTjwoRjTOgW/jqNzF
gkq+FD4y+pVfNIgEFbAqf358si/chLwpH5E+HiXSeVIw1Kit94KDzVH9JbvKvuFU67QPU5LPJDV2
uLA4nz5+5qU1hum3keoBftKvfr+H3XTcxr/Cjda21EI9ddo9qSQiSbG85m93KTBsVKA/MxRC9NkS
I8WjSFMnMua9uyb0IWLj1jM6UCYoOBzq3vJuhyrFDBQBgSsx6dJbMv7cZPq2buX5SZ2sOm4awYxD
a4zuMHQqhsmV3e46Iv2VR22b8uwmIkXfBlAbff8vdgW917b3Jp1xCsJB3/O5NH+LWblGIrn0Qps1
DtrBTFHph7z/bLg6eYtmFy6ZqnSOsSlI6TCzZNIsxisvdGlXMvQCaEX3nrv8LHFp0LbA9Kh3o2XW
5ta3E8/+kkGXLg/oy2/WmaWS6MGIzklx+HhvXlxKmKEcfnovfwFyU7PE1XrkJR0bHgwaBl4h0VO3
6urKgy4ENtIl5LcY2HBn/THa+FcMndwVTnSOpFOZN8UBvl95QIH6tQGrGMBg16KP3+vCx9uQYxu5
l0kNc+n3H69Ne2d2Z90BZKVUkVoK/R46UrPHp++aSMylR23QRoaWG5rDOvt465yjhKZ7SpRPah2M
XIKRhCF+gm6pfP/vb0WwZvk2mgss2/dvtQ417q9GkhzjGWm4nVLJAgzEOnTuPlcS9xo259KboTJp
MnqgnkHS+P3jmtYxKE5yhLuXxA5Ww1yeXGWsI7XOjCtp38VHbUIVjFjozp2D4iiS1hanL94M5sN+
YRRymw+teFiS2b3SkLtw2DYkJaW1Q1OOP96/VTXFuCxaaXosLGMwItEl3S8VFFx6yNRiqLH5Vkbn
bW2E0K98vgtngLKQHUI02fbk2ZMlYmMFEG8lWk0xPlVNnDlbqzinp73E6ddkiF11/593jAV28o/d
NvCqc2SG0lmxZbcJ88p+miw/1mPra1briRnQQpbXiFiXlnZzMwHuB0aD8c/7pS28CdcQUSkRQrZK
SLNn2Hk9grR50jwYk8nICovDj1/wQgDbdMaYrSM0BqDqbE3VZdLEVNLTtehSy127ZFXtxwagiCs1
waWPB6aaioDuEIPWs45/Kyc4w5WIMZ5wsh8uOi/rDcBqwnWZjuW6s5U6uZbnX2opbBqvfwB5+t83
3ZBD0gcxEUf6yBgrHBHP+1XRsi3pLthcSCk86hFclzmc0jFNQeKiuPqgGgid3w1bHI5yRkF4dMna
na6MQP5MXM6uYWrPzQTMpkqi8H7/tflfqjkjLBO5ek7Jm1dToR282c2SXYP0cHsoHZctFiuxSq5c
6ePBmtrqkJVNfxLj1KELDghim2XM+yopi8aPe3eaDq6GZEHYs9gvTmNor12+2CdsgeMutBQNtQ38
Y4tv3IhpHU7I5X2PB+RPgrlQxe1s13RTVGOc8yAhJsYo+nkrltMIpF9DSP+Zdp0vALhB9jqZOkj/
swVArW8duwY1/xrKpbhrVLl+TiyruVtqI9u5ba4iS8as1fA9JKfvnL7IflilJMdFNbNBFVNSbhwM
oWinebaxm53xxGmitayHeuexsT87EEm9oE9l/SwgI3t7bZmwNeoXsYPsOdw1hdfeK9ATMTVorGHd
VVnLeZtsNy+4+tzxtpvs+A7JibF/jMGc3qp9ngu/WOAJ7z4+iRcOCJwT8JSsBy2Cc/is6ERrwFna
rHBmccucepQPSmOVTTRnXlzt8Ioc1v+eOG3cgj9HA7mqc7mE0cka+KoZz6wrRcV8bQXqViAtChAR
mIqLYJrdlbs5UcxrVg4XbiwoK4yRKCfQ8jofY0xpl0hQY+kx0Y3i2aQcDRWk99/sRFzzur/0KCoW
ui4bmcQ+51XbmymK02TZUYAAe6ncbN7AivlpVJrlv+dNmwoa5AYC6tYCeX+mZ7vhA09adlyMSn4l
tR5+OaLskjA3MvPx4w3z53efnR/yCgpBWs9be/AsSStKYDG4N6WA2lZRhVnqKsadI1rnB4Bnd6/F
XY03hOpMt2mWQ9Jx0uWI8MbyJHpElTvdXB9kkcreTwpd+8eVcw65RxhtMJngTMeksj83pTk3wTR4
7RPkEP1hwm/gRzLCQwSLpZS2n3S9AhlPMdbhi5x6nM6NjBrfWKeQBE6e1qQbhW/ZfXqH5Pc3l5FV
4VcodQZK3GFyZ+vtUUnaePPuWkNMR2Q0MdRYA9D36o4OcHuk/arHSDVmeaRJguNqDYiYz7OR3q6N
1fwuC2tqwhgsUQEaFgiyn8+MF6pCKe8Mddbu1LFsjpbU9NDLiAFIxlUDmtJ5rTGgapyv+TpWJ6fs
sfTVa+XgIXp8q7hSeTWcoRL7vEuN+6nRyTAchRYWPTygSSgo59c26oXyk4ybEmaT96Dze5afVvaY
UVkiwNmq1iL3DpBh72CXrv6lzhGIjgxzUqcTJjsrH0aY1zgy5wIEWwceYrCFkg/0ur8xAjTzZuil
KG96CGMGsuuMb7kzGGFGw2FvVrEIrXRYgmb2fi2SNc8k/j4j4qxXsq5L9zZi/ww4HRzooMpsWcu/
qp2ZPg5UTjU7Dg7Oy4elQbkiLNkIIsywxKvpXPbjm2Iq7SEDas41UZtOHyx1n+iR7s6uDEUssx84
wtj/Q/uOMR9dEIDVTLvOIe9KSteWJmt25Pzox97N5WOqeOxNFu314xN+qeWD+gJsGiK0R5v8/Ibk
EMhmbjNs1klJUI1cLBHgrD69WkVa67dDgZ5WgOIfEC4rK/TU15hQfx6zMlF+fPxbLuxNPgboHEZd
5Ivn+C2eMQvQyenRamBg/KqLVpue29wa5wBbx7UJzbUsk4OT5+bvbJKNfeV6vBDE8d5BjRkSjOdA
hXm/JVYjM9S2nZWopX2xawbbu7U2gke79vGVrumFNHyj2iEVigIFM92zuCo1b150hIqPFMfM9QdE
GCw/aVT7oRtXKz06elppYSEz4xpf/uIHZ3CJ2RBjN/q1ZxXAAM/AkNZWDJtdd9KY6h48DxHLZZir
xwmFWpIXPQvaxEx3pefkAYor14C9l740Gk6bPvrG4znn0Ww4e72cAZ4teW/97NNcvsxjpymHpHKs
OBwWa+6CYciwCaBBZaZX6stz3bwtCgEShOOM0gob7tzmsACaO0q3To+kIMBe10azux2ASjkzyRgG
O3AWi3ZOWShe4jtOwYDBje26D9ZKb75wLVv549KsheqLOZ6GQy9NEQcx/q0yWDPh2YHqAQd8+/h8
XEjfWKxNcBbhWaTSt/37r5Bll4mdpdLA52601MNgbCqvvVwQZgLF1zj+FM/KlZW6dCRcQD+bTjJy
huePNGCiNLHuAiatJ80vtQrFTbfuTugoOlcedWFeR7yzt2KJaER5+v7tjNnpBlkhKoacchF4q2EE
i1a3uww8wb2C5AKa5CbJhtN0zCh7+wp660KVCipn43tT9bO6Z8WjnIFp1qsKbi4dcGVAwxHPIQ/0
XOF//BUvLOkmz4ITMa1LcKpnAXdYk2HsqjSOBoQy/oH9k/7C9mJFKqRUYMl8/LBLOx2Jsg2SR89y
6+29X9XUGVsGRQPzH0ut90ItwVfG6dLVgcPN3/oeRXniz5lrfOlmBYgjOoJpAC9SuIeRAf1vBQDI
I9zHxgwzU0vqqJ4qFfnOHInrKDGnq/Hp0vqQR28zs41jcJ7fLq6TaVifeFEiy+q5yMyUjp0uwjSO
65dhWE5msSA/lw7uyWlGI1wa3dnDD5gPckpelqWbj1Ia/LbRbq50Mi7FTkbKQLf4ehgGnA8dx7jP
FAOeRWQV7vAocGUlG0etb1U1vynnb+XGakq15adMise8FdeYJpcwrAwO+IzABIic55+zHjK4qahn
ROOUmH04D3p1b7eFtvrxPFd1JNCKeFZbJuy3mZhQ3y864rrvVGrh7GIz8YCljsu+i2GfQzdwnH/w
OQKrmqLNU2FnP6pl0NSDVwWeqFT7FoZZovjCMtphx9Cccb1Ye6wJIf8PLzgory9u2nn/AwIFPjEU
Cdrt1DnnELmxT01RoZkZYZ7RRF6S9VPg1Jq195zsqj/spf3GXcCqEnX4sNvf/yuqdgMXZVwv9Ehc
bFnuwBcV3n5qU2OBkN+AHP34RF64+jYRF4fdjS4ULIX3jxtUejDFzOPK2muQXjdNLIQR17ilCZEF
HtzZMFty69cMx/xKKX7pTdk2PJm+Eh2As9ETMTQv0eJh92ooMfVxnON3sNqfQdUZV4L5pUe5JFGQ
qLeE6rwVZy1Cc2j8MLScpzq0RG3flDN2K84k5itdv4uPgoZOSKXx/hc8yrWYhupDyWbRx7YJ1Rm+
4G5yR1X3PbX2rsk/XrimYNzzbuC+UCU7V4dZpyyOV0/SZJSJ/S3eOtQ+TkYmNuqpc4Tn2B6TEiU8
v9Gb+LbtUi25soMuvTCdVFNH/HWDGJw3AKpqrZYyj6OiyprXWjVLN6yU2aPDkWIz//F2vfgwmihg
ypFSds85Qw7KO+MMCDLq5nW5LxLbvElr19mjv/Lt4yddOhjgrfiAQPQBE5xl36LGb7vRK0IbKp9L
BGR9nSPPBsTjowFSHNsS8wW/GFChDURal9fAYRdScg4/Wsrwo5A1ONfB0KGSGp4cGFmmeBFasWd/
wl60CB0L4VPIbaWfyUFeyToupHQgaQCQ0tiDFnHenyxzLV5TkNfRAt373pmnMlR0+kaarJog6df0
8PEiX8hyYMZwsdLQAU56rl7VKXIj4UIBMxZHsQLl/4P/MNTqf58WeeT1QDRRw4A/fRbmZDMYkz7Q
ebZntXsVJUo6ryWj2k9wE2Lt+eO3unAmmWQAj/R05peMUt7H1DbWUwP3Xgq3OHU+jbKpUQn27mgs
WgdL0oTXXK7CJVniHfdcdyXW/b1x4ODT2nTQS4VWd+4SjOdGnFTxwgCHdE/eZ6VSjGG/rnjn2Fi6
tjtL9AZQZCX+9PFrX3zwhtwjT0I7+Pxjjr3Ix2plWNV4TrPz6smWvnQLKzCXvtsZyGQf6iGVV5Kg
v7cQrwvlAIspsGbanxzpX/cl85UJfz0uMER1ACkC6aOnnsX2fE3s4e/Qw4PA2kO+3/Kd8+l+bRak
/i1IZMC2UxtmpLfiIGYv+eGgntr850AHcghRcht5a/xwzid/saagGeGtSqR4rXZjwIo6zNYgw7i2
rmVxf29XDh+c7y2LZCJ23oOLE6ssVLXSoxxbGT+xDZHPvpKstkBUCSmOQM+gf/oLpoq9TxNhLe9U
jXJz9/H2+Tv20AYENoHKCZhykKfvT405xNlada4OjA8IP1NY69UcGxs7pGx4GlbzP+rGUnSTCHCV
sHEoYf9C7Bm4YSbN1JoR0r7NcNBiyI8+FPEUexyRptKvPLl6Vz7rhZckyyIsIGkMSuS80kdOuOL2
mqxIY0lHxjdukQfZWGFu7Jq9mR4aWaFm/fHKXti5JveIt/HqKPPOXY5q0xqzutfMqJlVMwvosZLV
kX2L2behRoorJ/JPivq+S08qwhnZwJjAes4haenqrEmlZTyvGxoZ1LmJcYWDtQT6LXGePuGyMN4Z
VaY9QGnY6Fie3f1UrXr9kvUA87y0KJ7SqXAeK73V9nptqFe+woVIBTCQ6Shfni7Ced3UOLWn2Gam
Rktdzl8RiQAPivtU/qWYdQxMRqcWuIupevv14w9xIVaR5zqwgQHObDyw91ucve+QgHVqtKpxgeng
svTjTerm5TWd5wvbjCH+dtMh8QZw7uy6azNEu3hLNYJ+suyKApEaX0+9GWG4zEigpqTJcmWT/Z0v
cdeBbubOIccmQ3v/brVnZ06fSy0agHc6YVbOBQJpaYXjwaJVSRo0aKNUPt0W8bIaSnwNcnkBgcsP
QCOQ4Roflz/e/4AuGZCGbHQ8G7wFCzjRzUvxtYKlXwTjhGLLnireGUK49K2yg/+8TAFNlSw/6HXZ
qzt16qf2GCelfJkGy/sGcXbWr6zRhYIdEjLYGFJlBuBcV+9/o6XMlcwtC3U3w1EYMu1trKd/VqNo
fAbS5i2Tw2HXiWWGOoJYRW3Z1+CbF7YgxO+ty7kpj3Nzvv8FfdX1HfpyazS0ILn8zIrJ7Iw6E9fE
IP4ScSK+crwYamxiPRy1sz3YsQBd0s5LxMANE+p+1BF3bqX5oPTSMYIMI+ddnDWYvFIzfIYOnZyK
Zj4A/wD0r7I8RlVkT8nUFvf6IlFwwi/GtKKPT+SFXcshgVsEaIJ21HlpLzsxeZ3JULQpnXVf93N3
kxuC3oMi5PqiI7J94/X4WWmNLK88+kJUhvVLCGLb/vF6fv8lhtxIjNJmLyAFN2MEu66ZXwg80ZfR
sK7l9Zc++zZjo5yh5AZtefYw0cIgNtYlyrzG+Gkh3ZeLoQhzBJn9Jpv5Iy3FA9fvs5jLT2M/7BYZ
Hxd1PtbreEeXwNcbz0+teJ9WZQLeUO5GLCjWwfSnaQ1w5L6rFthHnrzTyupTrC8P2Wx98vo2VMvq
3oOBNa9fV0ws2i19wNkI3wo/r9jjrXNjroNvli8NQC5jHu6qKvZrtftuJi0ZpGofQW32fifik1YM
e0gMfq1/w5PzaKZKaNG1cHv5sC6gLRHlcZc8TLvhMI/yvl2GnY55n1+3E34spvNVGeZr+jIXZoga
rVPiHtuH6+5Pk+xfGSjmNS566d4SUWIsfj9QnTZLhk4i7LhIFDZXSWp6n/SsScKaumFP7l3uGXt2
2n8uxfklNKrQjcRS6a8QmGNiOc3MR8Bml4YbwCVXQWiKVLwZU718//joXLhjbFxyoS/RNQbydxZv
V77SIHAIjgZ9xHRLM6vsW26arYeet6n9AE+jPP4PT6RZBVoM7W7wcO83sZ0lMmsTfdNQjNUiWKd1
vDc6Vz55PfeqX5imcu1WuZApkCAy5OBxDFzO4dGTnk9DZlZcKloWBwrKx/eZrsjPyKh7oS6H9ShK
9xpV6FJkABgDSg26xsYvfP+ewnRR+vJY2dHolNMQj1kTNMagflOK8hrc78ILMnKCqED5xJTzPEq7
8bwM+iS0qOz1TxXDohQcVdEP+4R87QaEAgCh8VrT8QKjl1IDhSJmDgyPaDi8f8N6AZ435ooWzdqg
9jtbaKMTTMki3dCupyINHL1HnWRc+wnoEaa0XCA5eglBaS5NHSglfLBQS4t0Cj/eYpwXnWefZa9M
QJHs2BYExspZqPRqetGeVdoRAmGNP9Zzz3ynjIQxgE8Ut7rVnaSqTH7NHvTt2bpNVvFSkVnQYNzh
UoEZ4bJXlTwQ3tcyt7+q+DP4ypjdGPE0nmbZh4nB/L5Trc9J8sXUijfhFVzEaWTi8TvazuInqnhz
0AYVxMUhHn5LTzRBqwj1mFfqM3aSp0yMu7776c7d0ei0p45gKGV1RyUMRbbdpZP7w2rVfyyzJvGq
1WU/1QMe7u36yVQrGW4F/K4qi1sJMMQfp/z7oAqcc9T2xUzKXdJZT5qRHaqq/K2gyO8vNVIiuO3g
U5Uud2nh3ZRL/YQXR+VLrb8nloezvd7MVXVnZfWuLmFJSPXOE93b2jtPmAHsTb3dAx2vAogxqW/R
dCaKN6BK45oAucr6NrFQr1jK4llRE2O36toOMUWsSsWndRVPi1H801FB9EIcRwshC6zb+nwJa+st
dcsIgePGVzzmnbH5mszzPdbRT1k8PNbgB4pma8GqDNB67YvTdcMui6eT7XbokOafYXt+ZXi5K3T6
JF4V0f7OfGIsAki5uaNJdlTULMyX1Iis1HyFQo/usjAU39TXXVZKAek8RU5M2U+GehqKotmV3D40
7sZn4HpNsJTO86hClm0Btexr7oBTqjphaWRPGuK6Bya/2872cFiqi5vGxDRtXNZ9ifHBQTiU3q4z
MQ5L3wbFulVTZgCDtsijjt+n32/u1ytCso9F2/+judmbKebHEq/mpZ1OtVi5xXNl8cvCbvxcy06A
e3dYI+HF0KSRAM6cr8quK8oOREnNhpbJjV6nia/WdreXMWfO0MuNwsD8QYciSCvw95qO0DQA6SBZ
96Yq9l1WigidD6S3LPX3Ojrhok9fY1d87vOWc6A+rX0SaBCzkRq6cVvvxua3B2VDBgrXOBhTT7Jm
8a4uFnuXCZRNl/ZzaSTPczJkYUbl4CdZRVbG4MiP63U5VN1i+Us/n4wihuvec0q1udSC0m5franb
T7M4UNyOz5PZJHtRk2sja/NjggXCU8xsH2MTzwYDQzm5+aFtVD0wjOXUMl7Ehvpmbe0S4Nz6LXGw
h+/zBrgJ+imhmug7z5jnYFhgasZ9Mvll3Ff+it9ZFys7pzUWkl3GmqnjHmcP21rmXk+IZHu7ytE2
xGqvIFgoE340X7Si9FSHobkzrK1ztsZVCNJHvY2V1j5pqw40tVj1EHnmMEHBaL+o6hpZEqMKYZqx
n+BR4ctF6UKmV+V+u5siD9SIv7RtH7TO8l0VYw52gc3vuNOjVmVvwtQeUre/sbQqRMyNi1Pnfyio
lpZU4AbseST+fUw0v1igXGAeLR1YUVAvteI8aSbFyYRQ026e3QIYfPIZ/GoWzu4ig3xIPpmKw/zf
Pub8YrOZf5dZ+uTi067DQAjM2vghdf1oNuBPJ1Ozd640fiR52R/TWuo7tEXSEJqXiyxM9mKWGuSy
KUsPhVQfhzyWkTOpY6DJbj0h+p2jM1ntB6E9VSI/Opb+m8HsyfbyHOXz6ici4SE6Wk+rGO6SQrtF
4glli8wyA1VR6hAM3O0y4pvaYKFjlHVQFOh5LOCC4yq/wx3lHtNSTOobe8AhxThldqn6ZeOY/tjD
S55UVq4GvEcM/lHLItnFQ/7aWdiGyO4p7owXb87Vo1snwWjjBuYKblO9CSse7uvcBKnWVKFsOzsw
EhdNA1MFaJdn7AvuDrN0hp1VCPfetmSEDGWwJuYu77IbgE/jTvOmPfOdW/CQP8p+AeZtHY1mLEKq
up+9Mx5AzR2mJRsCp4gBASKme0S7jkGpIr53cc6lER9Ku0Q4KJd+1xbIUyT5U5NSE3vxfb3MoYzn
nWybR7duvucbc2odHw0jTv1ODt9MG1ULiDJgzsbv8Zi/ePn4qUXA6aZznRSSnl2HhtK9zOAGD4Wb
oQRvEohMp2ap01tZKE9lDMbLXv/RUO1gqEFQ69f4dp2Tb04jb+o86W5qx3ytsRoPF5SogtWL630Z
g0XW6q7FGy7VI1NajxskCobQXZZ4r5XrMML0Qtp9x5nNgfB09g1wT4pDQPOYZsvOaMUn11giroOo
tfVHozVfMa54NPvlxKF88zr96+hoL2Koch+M2l2btffJWj/3QsNewir3pZXdTlJ/RB7ldRi6Xa90
IJNkLwhu6Z0nZ8OHc2NuUlJ7XZ8OzHNdv8eaeYdxQbafnfo5q7p9Wzo/Uzy6Q8tKIiQ+Ox9j0Oe5
8+b9MAJpL5pb2+1vy7R1g2Ey3UBrte/ron4ZTP1E2tj46lLPYe7ab2phvigiacNR45ivgzPhDoB4
gSlNggPtzZAesnfc8I+BWJcsKPssfbPqyfDJKKFHj7hvisKBTlnRjvRSiceS8IZghTp0yuVc6RhX
G7h4QeMYAyvJLOTiluRgFnGyp2gf96Cp0696JUzfyt34Jp1r2ASGuZ+nTPNVa0WMw9ZeNCeVB3ec
cQqYGEm6teHuzZygWI818qy6+7OkUvMV/Cp93D32KoqE4WpnEKVi/EXwXbwtm673nRjDLR9ZBqQn
9HkJPOx6qHbcR63u3b1dyS8kn8kO3dIXXXRf9DYx/KFse7/x2CzoJrxmzvygd/Lpz3CE7fiQd8Xg
t0ZhB7HR6b6WrVROtQPqtoEULRXAVjTqTEYovXbfouiHbFp626vKnSHV1xEMC0Rv7U7QOwop69cQ
gNJ9y5ywcMxT01iPmp6/Ne56b6/KLfKgD13SnxJVnpREebClfOQeG/yuly95M8+0z7Qd5du3ZEwO
q5odMnfyfFSPAT2N5nDbDfUDs5y9nk65P1qb7/Ui9o4iD/HA0Lktuy92Ff8ku9F2iWp9awzxbOXt
nePmr4NSnsZJPriL+GrH+jFrtV+tjG+KrPzVeqRBSoflFaIUdlUdZJLsgePeoyeKdbQH2alo26/E
o1/GJiBveMsXUvIswJ91DPq6vyka5INWTfuy8qPqdC59p6/IPGP+kWHNKcF7+icxm+9LmvFJUWwq
0vyQFPOvAYeoQNfyeW+smPBqThUgZHZTuO6zPnu3sTb+Ynw+7YopVU+6PVVBbA5fU3dgE6hptRvS
+T4Zms3dPX3T4kqDQ2Hum1RaBB+72LujzWXk6YG0h2ghWR6RVZzKufaVWjhAD4xqt+hYpiNH3B/V
2vq2eNnPppme+xrMitEmdlhn2udx8Kxw27C+O3NquwVq1AjSzdAUQnndjWE3MrtoxFqEpJRf46FI
fM2QdxAAnqjen9vFPTVKuwUN5x/VqYYAPpYaJeV0lGuT72SVjyF2UGhvLDep0GM+vHOE8rPBA5+d
ZjJCu40Tf0rzCHXFY+5NbN1m6YMeI5q9s8TTjlBUH5JS2IGlxD9GO2GR4sUFL1x8wRny0a7SI4F8
32jdqZu133hKOL4Hmxt1miK/Tx3tJz0ML5LZ0Pi4iBt7uRhuaK3YdZWOdlwLOAtTAkHMsAa4Rbht
hlOX7PkSo2835RfLqUca3COCorLz/L43Jn80kTMpDOXU2t5Xr1ReZet9SoYZtJA1HHSMzOmbmrhd
u9qxbafXeB7bU1KUQKC7NQ07rblvUj1EE4g6oVhfkDKHKGOkBtHIvbFBwOsaVU7filehWWkQj/aw
B51UBVxm44OtjUpg26V26HGWMGiF7g1T2AclMx9Wu85DklLtXket2e+NFii8QIyl9jAyiDu/R1Qe
vyiPRD0d3kY5LDtR5tja29PnunQBqDL0CBYSoK5Qf9u18tQuOBYno0gPqdFHxWy3vjDxQhBJH01z
+dkux1/NYNq7uYPEV8UptrmVfd9UTN9gah3bvhSBo9CgUwb0IGJ2tWHSEMWlG/tTZfVVm7a1UGuN
/pjt8MkpB0Q2pW/AosvWV1CZOBn2Uu26JXdwRe0pzubJRarLc+PXsrG1R2zbzCDr0uRmmd0kApFY
3OC21vxj/B9l57UcN5at6Vc5UffoA28mTvcFXFoySYqueIOgJAreY2MDeKN5jnmx+VLTM6dKqmhN
R3RXBEUymQZYe61//aaTqn5WOIG8oG1ROqaLrYcCChjSPP1jK52vORmxcV4nzW7CruTWMwflJVU6
PdykUO81InpfG3OQOyh++g7XyS0q3Ou1POnOzrDHJRLFOp8Sr0YeodeadrPIJWeo0ty5CSQjxmXw
LGheDgxk3xWLG2aTkL9nk95jhtsLhTBAxbD8Iq+mmy5LMDXp5vl+tkejvSz2QlNe6fp8p836eFGt
Nt0JLf2weIygrKbtqSaV9QLdNvtkWWMVpEzib0ahMA/CqJkJ/dtEUCU9myH2ZTujseVed6cpbpUk
v8tFRhpRbjW7lbXWDrBY5w1P7YcBRlhsNKsbVmlRH003UQGyNZtYW5LezCH14syTY4R6+9Fa05Je
PgFL1dP8CE6cfTP0qbq1azE/as3Vtr1iKN6jQx4vq7fKaGgGFFn54jhMK8pygw+oFeTsNaJ58l7h
VBZkjpXLsVNbPZIk+d7z/ypE1t88WmPSxUZmD7kvNqWJdBR3e71Xk0hXobFBAGchVitaQORifeAk
TTnvUytaM9uKhkkQY50BqIqRuqlg9Rypq/duMsUenNUTodsM6H7ncsY5tOt9iV5jzzBsBxi5F8cx
c0loQqrysI0EA1VjW2GHNfUxlPZ5h2rPDkdTsfxKeO5O7Uyi4hi4n1evH2NBN303srE5NKnhRvnS
zIcKAktoUvCOWq934dBWTsjM1r5kMHTod2yUx43S3mdlzpPZbFAIfXSMgwIJ/s5xSLW3+3k6CZim
8dSq+VksqXnwZDdeX6p9h12i2wcTAr1gaYAZtkmYCDftipmnEP3vW56ZMUh7cZO7c7XDt0VOnCEU
cwpFErXukkWlMZfBaABqdc1IHANZwMR1NDQwDbjM715SlBDua/NAXoUSO6MyPkttSd/yqWcXMNrW
EiFBquNSautJ9DoAfFIcyeAJrUXR/CnfaJr65J5yFnq1GW4K7o7K+qmY6oP0sBC1S3mhRfjs6v0T
QPRL1/f09NUtf/nFltu33hL346ptkZq4z8qGsEhxT2yoruJwppGxnl+UQn9a8PbzgZYfgPKeG9eb
AmNMn0xpx61U7hkuBk5HucuvBPZB0f2RGwotVPPNnqm/uRFbSfFhucojpijPW1EctaG7gzwOeCu+
DCgTZdXfraMXkt6WxcXEnEVwRxN2S2dEc9U+6Rvsh6rGm0m/IxA0tm3av7T2oqTo7BCfvdihHQ1m
p3yr6iRU5VyFdaedmWcuc9r8XmnZbV/2B1sqF1KgH9UJOZXg4f10zihBXK3K0rPiWE7LZu6xLdrp
k9YG/eboYW67T8qm90S0a4cksY+rXT/aUxulOVP+/N3GMzmZgz7RzuT73Og/HJVxBF6HL3ni/aYv
wbRZ74Pb3K4wCrDLdP3UavpAlZx9A9pbes3MW9Hlanrylko5d2A6eAgWFZQPXXjPXqnepAOoYGIi
WpTLS1U7S+B5EpZduR22UQ9Uo973+fjRpmKHwdZ5kJYW5boKZCPJzl6dR7K6nh1jocMVQCnpEiWW
c6Pq8uykbZSP47s2a4g/ctr/ZuV6TR37w93kyWgla1MGCmsAnmhNpfOTUntosc1m//xE7M5XrzYO
Qiw3g2Ag2My7jIHQd+YM8o/Ga2zcCn9xw7lOMfkXu53ak9r2XdybzSNGi/AC0O4fOrPDZJIxMkDb
VO4xXXkjFDXjPS7ictygF/cMuEo8WyBTHUZCCzbFzjrpgWyVG2ziCYEo3CjrneNgmEdltvacwS/o
iIsA5pAv0pRoPD2wBfOFmSbZUcfvmLMEQBJjpiD1nDkq53pfb1qclUtIpN6NMfVHPe2kj1zUXxLt
1HFn0LBL9HhMBsvmvdb9EjWqjF0jfxmk+pgO2e8E8tAvbPVOWmOUrTQPilHuGlbxPgujNhBZg3mo
N95PtR7iQs1Yx1A75c1ZWWwk0FXL5FlGnrDuN7oC0faR4AAZ6z6azDT36yyvg5UYUart/Ar+dYF2
HdXTFmY5cz7m2l9cq/yUeOOjo9h4FriRLbUX3RFf1UU9CqUPiNm43WAx45zz4C5VPDdUyozVEs9X
frIKiUXSmvpFppyc2YXDNmtNPNom6LK6AdAYb2m63kEUOqmFeW5zPZpFdWeoyc3YqU8KpaSotPsl
WYJVujdW1r73arFz636NJmvVKFkI/G0Tb2zleialbv1yRUxWb9hrrJ0CpVYC4XVfhtKNjVy/rInz
WUuGaMirgnl+u3Hp8neVxS3VVWjFttm7dHXzZrgp1/hSb4FbDHcrjkj+4sw9IE55ngZu9noY7hWV
dF8hbiYEfRT3fr7FpOweH2CcmIc5821VfmWdlAY4lN/peTmErlNn+1GOawiMe8TbLOra9XOVma9d
XonQFLJG5lmOQdo4HZmuiX3bN2m1L9f0wpb5xfWU93WyoqVWXgZXeamSKhZeuoR2TtM+ASk2vXuj
643t95r1cVVMAa6bTWhXw1uXDQdpFGmwDY13yr5Ll8kTAxlevaBUCNxJDWHTkmoNV/Cohp078O6V
RtymLPjRHjyoJi+0otga3SnJyOlR1G8loLFvTQ7xpN23RrZxOo9PqqrGnYf23kNGq2bM9tO7MlEn
s/auysfBdyfyB0HvIrD/S65ka9Rt+Tl3siFIhBMQFBPPeXqsTO2bXhvMSet27Kr8QmLm3k6SL0lX
jmG7bne5m9/MmnK0+iR2h6yOU0aruvAONKfvXrqFXkPnXXq+snWBjap2Wjdm8eWlnOqT562U5DbC
5+vU9MpELHR30byEdgv9blXE0M65w0zWdPpehbcHKyaCD8YPGyc9uTortlNEUuNDdj2zUrAbUznM
nXWot+w4621sGVPkOtZXK8N5oMfFc1brnZiacAHpFsPtlIq7otbOrJ0/SDj7yFQSlTW3DqWWxp0q
9g0u3aVvkUFLqX4j3CBym+oL3ttyt+nWUehZEaabhUKCw7Yi4I+lxX6S9gXfLqw3JvsRqQPjYbKd
tbW4Iepz5/CcB2ekqFv561qRlFOqbEXwPv3GJnQ3GuWpZv4rGEamtjzlZid8W0g9rLcKUHzUAs+s
b5TWy4CH2jOKal/rJb1YJ8YY+ni6rzKyLLtEjIcZJxW72sIUvmpUbuUFW7P9llAlClN/SQxuOZXu
pHMK2rb+k3SKG21NnoHdYybWz2kxHIch86i71Yc55rclwxTndAgSE3mKds6FSlncQGQKbFMNCxA6
ecbANHBSkxUVROt6+Tzr4E5Kp9BrwAGojF1hGhczTy6qM5w9q7mxF1t7EFyWTTmF4/git/5s5kag
zSr5YZ/UQXlSSxvX4PW46mVkMi9tLYurrCujuXVemr4H5amKy1hlXDPsAzwj9Mp5X9D7eb2INvwR
yNM8TlK8ChtsUpUPXWLip4AZ8twfYNss/qyar2bPbzd1Gg7pU0LRUu3+cVzVh9zp4d9n6U69zoCz
Em/6uvdIdG2K5YHT9iGp1t8tLzmAJMbzwtCfF0+T2RHOhBMmnMzR0XYaKrClZCKcq1/YcvzFIh/m
C2oFV3N1xAQ/rJvV1FSFp5TOvpYy27sTO0J8/v3Ey4to6Q3jF1rTn7fbuoq/KkwUPIngpPywX20G
4rLcJXFw+dc4QM0ahknQdoNF1Df+BNkvOBE/v7rrIh0DOdh1JJz8qBjQy54kZlGVB00x52Bo9S+l
nJRXZVPHsNHMJP7XC+S//HNXrgDTGgYnP+qX9TxVFGCO8kA7gotIyT7hJA2bVVwn2O9kbJ7+7T9o
Y9eBgSlERuzef1ile1IdssVZgPQddS0jpHw1zugtMGw4LR0rnmRDVLr713/0L4hszDYc8XQDKipt
9cqr+iPnJW/WwYG8diDoSBn2nluytED8SYnNLFUosWqk1Rzh2tVfOk/UzhmvR3JpNThdv/Te/Hlj
j0k6UTIGZjtYXH3f6P/hySBZrEhUwUSIYMipPmqd4spzjkvSAPgIAz61zqqwLfDKIm+LySdKm3F9
TbypQdlfcXNuWzfJX/Dw/4IXxKdyDcfFWwBa0I/KwVKyAGU5KffgSnU0u1M7+hsUSbbISv2aSIhN
iOG8m7EHOOyA0eLKGMa3GpeaXxBnfmZ/XZ/JlczASzNt+4dPS9HKDt9V7ZpT2Jmwjm1VHGXXGb9y
9PspfAQ+kYkpP+QOJgzu8R9IoJVpbBOYi8TPjAiKFfOCKS/BfJb2TtaAx4qiR/Vm4XphX0yOi74D
WXVlv69c7dhgjBOr2/q6NvV7W1XeWYjy3yYtITx1+B8N5DVG+Yfi02+KzHWRwIObXGgtypD0E9ye
1VV2AxOxCJg+xK9oWT+TDLkqryLJK5cHNc8Pt2jaUtf5cOS+EWae7lyWMWzbNW17m+q+yOkCc0MJ
lc1IQQbctAv+9c36c0myUPTAiPWga8Fjut4+f7g9vEUx89ppl6s8dnsUjsheB71BUqla/Tv2F+IX
bvR/wfy8yvmw0eYRrvYaP7zJqm3VzqpVXAVO415EV+SRtZBnoOQFnkeu4sTtYpoBLJtbwyWXL8Og
ClEVaCrVjF7GUuwbt9NXmoQsD8xF+fqv35C/uB3+9Pyu3//DG2JAM8KDr5T7MbGLON3mGVCbtewv
/szPBx1W3cyVV0ca8mV+rMyVOU8Z+rJ1P5Tc+TX0yxtWpS5RU0PxizP15ysMWhzmCRQZyvJPOlyg
XFG0edORcmRrY9j1iLnD2smzNTbUvE0ges79TUEzVvmZsWTZLy6xn18qzprkY5j/R8r1Y8aeonk1
KjWv3Q8IDHAzZwBK62WNtlJT/t3zDo4lkjzoDNhnoYv54WZCashKG3+bfV0h/fVNu7VeEppykHsX
M+/9aE/Kr3qIn97eq8Omi3QMSRxN0ndboj9cMNWyOCQ1yWSn9ewc/YGOj70GwBntEq3HQzouOoFJ
pcSPx+mX8VdawJ/e3uvN6yAZg4JIeXWvd/gf/v7KegmloGrGttG1kagYGrXMHAFFzCr81/fGz3+K
TgIXTMQpV+b2j3kLldCvrsqeGZtuRuB4O2VPhT2X30Cb1V9cND/VJfoWFUE1nyMeJz+Zr4+sihYJ
pztOB0J9Z5DsuDaFGbRrP55MwhV+cSD/9NLca1Q9nHdMDhwdSeef30UWIFezAy+NM7EorPHxBDfW
AXiZw+wXF+lPJRAiJWZYJv41qDwQj/9w4toOmnHsbSf2BsC2U6494GvzDgnvySyXIWDDLXbmZp8W
syWBydmjcYo1UCe8wr+k2wAZwpX4/0wIZ/69z9eBQgPVXTXRoVyv6uub9IdLCSILJkzZsp06LYXL
4ytyNEFNr33eE+Le7lce8D9RPXnLv8s7VbKBsJfRfiDtOsNcDHXuTrvGm4zIMGAJlqoIdQPXRQCU
R9QYt7Wt3GapPAsNFpIruuPcjs0vSuT3V/ZHXifLK5Tu2ExRQK5+Fz+8cmlV1ThtrXcgMbKKFM+5
7QqM9byhP+TjnVDKoNGbvWmUr9OchMOsxkpV3dC6Hkp7CmaS4YOs1b7UShmVS73vsmWvtOa1gXxS
zOE4mTC07PHeXljJf//M/vPL8j/SD2BKULS2Gf/xX3z9pe1WVkTZ9MOX/7jJvwwY4n2b/uv6a//v
x/78S/+4dB/Np2n4+Jhu3rsff/JPv8jj//Pvh+/T+5++iJoJP8B78TGsDx+jqKbvf4Rnev3J/99v
/sfH90d5XLuPv//2pRVEHPJoad42v/3zW4evf//N4kP4zz8+/D+/d/te82sP/+t/duJzlffi4z++
8HjD+zfQ4fe8+fjxMT7ex+nvv+nO3+i0WRCSnWThEOOidJQf1+9o5t9MdEn482N0TSm/jmVNO0wZ
39L+hu0O/qpoINVrZitlitj067f0v5HziTvpVdBEM0PT+Nv/fa5/+tD++0P8j0bUpDA10/j336BU
Xxuf/74EMZPC2ounoBIuco3P+dEHXy5MAkaPDBZCWLE10dTO+V1J0AgUPEdGeolNZ2nHTp3LZ/Kj
t3uR1ae60OZnXSvRYztwkpJ8hicC+LIbFQiY2JFIJo0DhmWWP6UsBpb061CW7qHdYCVa2Auuigw9
Cwy8N6r0WUkn42ArrBHodz+3Xr/c1tBsnXaDcWJsX0fUJ77LOfOc4eYRCd1bdt+/lGvvBR3t4uH7
lyqGybBK5QLWXHahJpz7vq02dBhEPQzPxBlYt6nsypc3XM1YylvlZVLr9TCvALMAwV95fZ6fOPZh
6bzqrsx5asOwBvD6hD/BZHHLLQ/I+k6eJrvWgm10LBgTM7Brabp+bdJilMXRcEAMRjYboRiXYqdQ
NDUvWCbV2TkazDgtieFyb0djhbb1/T+KvY0xWJnmdyUOqUsnL3W7paxMHRX1Ue9FeSMhfmtJe0iq
+qJruuZbdv3AYn57bpxjlxVRaW3lgzHsUm0eYjiUbEToBvw5KwiqNs2HhDnGr7bCPQ/oiYJucMTR
TkpWeS6gmN4CXepr4acJeHc+yyjDojxgRRZUjlFEps7a2TALO1BygvIK11uDaiE7akxxx2nTq4dz
nejBVElSq9ftABahHcoOAyZYPSKa3EqGKOUsH0tUGVTwskIJXHwiESmq+yo9zK35NhGPhImRJw/q
NP3eG+W7xWYWtYH5mazwyMmr4ZawQWjLAvKn+DZYDhQzvfw0DB1uAFanhatjjDEJ4LOvLtNDPbji
1LKzB15MAy7WPqBxCZWsUcPStatIKKrqdwacdPhiZQCv5NCi374xdCEwqOyidYXRX2YWmd8dwYsz
E3zuqHi8XT8M4vowZ11slo3Y7ndjepsU4J8qBOxk9C43gkTtYgtWj8dwtE8WVopRIwooKjb0Yq+Z
tUAbARMbHiyQGQOIcz+MwwkC2+2iuP3dpHsfruQyaeWhTbAgREcP9yb54s7ja9Iv3Er6lVRnM9Cm
+UMha66tyi8863nts4dteq3ypTjP68Rg3+h+UTpq6M1btbNl3vJz4Mud/pwVyqGYRyyEnHq/2Z+L
3NoJrGf3mPjZhDVKosw6UtYbZb5sVXnXrvLY1q4dDWp6MVvYrY452wdQHUhe3nooF+/Qem0SuV7L
Iis1HocrNbm37oqqMXy7ML96hRGYXGEYOXf+UBa8jK3XY9saxuNqaK2vaCzPbCP5gsgi95cM2e5E
5rpRDfY9jpBePCr1mz5bl1rvHse2fnMS2Z1G8nP2Yw3lDWFMx7azb6O+1bSwtbULD9oL57yobnbE
IdQJkqr6ttXZqa6dLC4tl2VTaUJfS1bcfC3BskNLztBHH0V9cFB6nWb32cSlNehQBAdQ0yrYC+2u
SgnDK5SbbLcUbhFNcnVgQPe0Mp395GJRYfRwXMrZq+KSifMk2UJCQiJ81rVFc+rg8GVQbAqTy7Mc
5HlU8t5X9a0hVsL7XHLPoorWmULlKwbuX6U0d43RHhSN+DEoBG+IrKr9mG9E5nrik7ei0dgksPqM
Dm7QSt2XYrjyb9l6duSv9TgvUe+hyKcBDJEGySf+nO10gv1wwjW0jp0h/53iuGjRprhbOCFQjeZ8
ftVT53ZulzhLWLjynNsTAjMwi7ZmVZ1adlh4O6+eNPIWUYZUdjOEECO7UB3jaVoM9prZ6C8NgWOK
/o2awWqFTEwstatIHxA7rhLFAZj1UTXTeMKadOsRxzVrhZjrbtzKp6XUntOldvamOpVBlecvajrs
ie2UviOdNW5mERoZ0dRK2cC2lM1hY+sfJNOmR8akn1v2Brsew0IpxpO7uo8JlDNf04dbECSehDJz
L3fJ28wohYZvreJJhdMux/nBUywndrzhdhPTy2KCHA5FMfrktswBXdbdYg/aWZTHyRAyxMcDjHxz
nrPZfGhrNnyikp8m0/2oJJe6LodAFFV+p05aFfaaA1sxs1l/pk9pvmm7zs2/wc99gyfOtqli8T2Z
3lszQY/DdWXXVNurt1VfnSpPdoVyZL3lhc1hNrljMgH5bXUEpayZfK+A7W/mNn6hHoTOZqpuspvU
8kBG3QUzA5Lnkz67zZP60rf9o1rih0VyVycopC4ixTKDYSIiLSmaoFkz9Iy6q/q9Lp77XN8PaIh8
Z6QFAGY7yWxFqD5oJLuztHY3+1AOecixZAfV3Ku44rTsdNbnzJw+lYt5p5jJo6qW/COL/CDnfOHY
HS8SanZBml+UEe518IaiCrzR0PF6V86oX6owwUg2aXUN2u721JC0HKUy7WNXcIcszg3qatY1ozkf
UBiKk6fl53bgDBZ1yV2BZWNZZNyMmX1fdHDH8w2qSmVB7kxnf67WUFSnBlLYPCvUu25S90mSZHsc
S6RPnHR/2JryIrzycVLbMrRm/S7puIc3zSsgKm6QOm3kqXOlsrUpfS9nmEQzQNFFJRaOIgfXQUd2
8LavRHPIyJv1IrDVUd/NAh8UbK/V42InFNbc7zmifZeqcdVzfAO3js1RWU+EkYxcrlfSgGkFWU6F
RubR792+uGSj4vnLSvRgn7RNMJGiBG2sOisQc3z+pd33s7aHjxT3uWaTwyqgNqnTcz5Mv0ML8HbN
sN1fSf4+UiG2hfOrRsrhwUuYRdJaIcyynOaTZz3JTQNLqTPimhRhcQPoyD/k8uzpJsy9p3Jwl7tM
SyiDHzCyWa7lSxUNmrzWIgBWb7vvOQrCUkyXpenHh47BPzCEgxuxJORlKCD5yVaPB5QSuQKHiaXZ
EOqTaP2tehTbrD0lvfdOYByVeh3vzQzlSZc2QesMzZkv1Hrs8M+urYOqw2hUeomgWZuDYln7gNP3
Ll23gHUBM5bR44M1o+be0E9YurwYqD/CaeQjqJ3hgCH41xQJE2meR2dUl+OU5WfTg2yuF9Y9m3UI
9XaWx0O53hKZ8Fgrk40hXMvCdR4vKGUqXOHgEphfUZY0l3SDQ6eZH8W1ECTFOB/m4l2Uq3Fehuyj
thFZrfYNPeTeuWrTTOIGAlNnvdpJWDBKy/LNSsXrWOgYNRhsIAk0vjSZ0++T7taga7go9Oi+5eb3
Bj6BNzTw3ay6h+puZmEXiUGFepKKU204z0qmBjhj09lxrYX2aBt+k47v6Xs2FXLvzAhMS4uM5Ekp
/caacH2pcgdBk8TY2hrx69c6LZ5p+I3Jgm0rkyGuKaC0HTRoCHZSMe3mbGeBoZzUcX02N9ryuc6v
C/k58KSiRc4CB1hvCi1WO/WTMpoDMo4OujDMVJYg7bQvvoqNPj+r7SpkQWfC916zgPUyHM5RP1R5
80Raeob5fmSPsgn0wb4Bcp9uVRSZJRYKJG0unPVTrMkpx99oIuUuLZ4GByVIU83kyZ7drJ/DoZ6L
HfaFt12fmndSue3zmzzJxjArpbrPR7bMHdZaySqToMsh06xJpQbmfQKcTK2jn1DVG2h2iq9YM9eN
N7AmLkZYY6pxVLcMItnaRann9Y8T5IAqWz+xSk2CtXfqm9Sd/YFNv7C5fo2xzeLFeijnnApxjXUq
TAIJ6o9pFTnnDhrq0tTucRhrQFR2SI2/6pyIWPLzAtHVQAM7ZJb2uctnvHLszYrKaqMamQhXsEON
WMwAdaC8a1YD8jkiR95JBA5Tizxlkjt1c6+281rcbJnDnYAyUlgeCpx11HzIyeJs9FqG2CJ/7Yd8
Qxkh+j2gFcFJqKW8xpzQ4Gsbrr1ltrO1Ag5tMpf7IZ4Qqu1A2D/VWmWHszJzcS7DrdgQ20izLh/q
bHhcZLpTvGVP/V5iM1u7cGzW8QinskiKb9oIl8ZOJHIHteTtHK0UBQKSxJrxZDcWlcEgcLEU9IRp
4nm7iulDWRNOQBtPi6oew5y9317CpCe/3V+lUcf9iL4Lu22wE2GUMSEDqFxP6wJ90E7tI+vT9ah0
2gnKeIOt7NjGWIo8TtrS7pEA4YKok6ZWJvej2jVhVpCUOOcPeD8Sl6kMF31VXvOu6SPdFuvOqgFm
K619GCV+H1axWpBptWMCMb7MVe0NDu1nbKu+pFrWEBBXFlFbMhjmvCkGmUrx0A0HR/bmrVEZnz3G
pso9YpZBmQmwtllOZpE/qJy3kQdjrE9xTCzNeT/1xRRYc/6R6erOyXN1R6xjGq1G81Z0vC/6OKmh
ogm4Ko47h5Qjupo2F/vJFt+cxvZgPVbbricdZY8dbsHny2qMPcNlLIsq1Ig5C8Bpn6gK/tQveTDX
6BbISN38ok8Wf7EqOrCuuxKJYfptthKZ87Bv8Xw7tKmK8LaFC8RBK5DPcHfl4bjC0tsMrThn1t1S
IakEgHw2cJwM6tOWL2TKOm5zMVr1fkXpWTJP2lwUadpDyIGtoBVX/of67mD1s5/MNb33RvryPMUy
Xcvbs83nlXVT3GBQGAirQ5U81wxIKh+KC2ePHehRBWYui46pWM6viafX5+wMa6+vPes8aTB/LJeB
1aVaIuglEVtJTkLR03BzsKzN7XG/uv2uVic6E04qZBzYgUnZRm0x0lovve67Y/HZ8RR5zA0Dl9nF
YmPM8LO0tHIODPcAh38Pw4QqXvtqDWy3vEshM2qmSZOm+oXKCTywzQZ9QKeBMuNzAbPRXwzoqEWO
uX4n8hGmUJaFy5x9HRTjPq+H+kq7GuMmSW9SLvKjU7UH1y076J88V8vKd5Nm3Dnbvd6P5g4R3UN/
GtrhVAwjDjq1+ZxIxLccK5AluATU1hU7Bau8gHyuPnAq+5ypxGJXKcKgWoP8QpYAuDLa4RayGtEC
D1MxwhoyX3Da+6I2ylcon6laJ0HRGN5u1fpjsdrPa8lwYNsLRBqgOPoXrHy0LEUbnJaRkZdvW13p
sWTc9s3lSWl5PxW7wyDfB5cih9trD8gSUsTQ2icMMe6WrU8j0IweGRn/bIxvVungqmXCgLSBaqjR
3MzXnrYot33SM1WMo/oZNzf1uDpuKAq3PhPzvUtSuFlE6by74y36m02tLrJpP5fdCKykb5cyLYCA
gDU4f5AHKyXyacla1zYudapN/qKpKCtbo9ynDoLh5koFZY8NrtHrO/i+tl9Dt9rNQ1inKe7+hvsh
IVrvhWHFcy88Fjv1dFTa7VDP79y+MCcbT57ndg7mov7cb92LNhgoiGzYSuneWPWzTqO4sxv11d2U
p7mBBJbbuRGS9PUmAUK4FibvKqQ4wIkw0DWYTugBVnmGKYLWym+3rn9Dy1dQAuZdV8/bnh3uLrVQ
aRdibHfEk4WereBAP9BDp+O2gwCJ2lXCU2xdPahdY++2KxAU2kRhvba5h32OkwZtMio3urRfWzeH
peeOHxDyhmOBimXT5rvVzr+2HLThvHluVLl1GnmjSrHXRagW46toxpbYnj5aCCY4CpwGfX3WwFXo
jrnXROy6v7tVJ2kgJyO8HkWDqLdw07c5KtalOypUpz6H3JlAxWvrJxAnTnyo26u9BQnhzrE9OsBZ
aMwU7QZSNh/jQGkSrJTBvLQ0QjIJn38ePzeztHZl6SGCdVFf9aR4FK7iQtd6w35xO1WKd9LGId8b
hX2bdZxJHVQZ39XtLMb2B4UH9FE+LciAvNFQaF5XXVGjkkwcOcsqttG2TQO/tjhZEtS1iUUGksSM
8pq8F5gA+HCZvdDNC1xeFVMG3dmZlzHqputsMSz7Jml5ePWpgdjorrNzMxEWok1mE6nWveXsx2qG
X2gDb22rjSGbNPc2R8RhxIfKwdIgzZCqpMs9kU7wURdr9O1KPOei+OJoybeG3KoAP0XmRf4bUAoS
Hzqxtg7Hai6TyCzQKi25n0mUFnV2JQpu8twVtc1WVsdbQkF2CRc3aB+mXLqcCY0WSdiDJnXG0dD9
F+UUdQ1Co2zY2h3w6AfysFzmEDqZdGE+LzETl46dRfUIgeFDjPX/5ui8tps1ujB8RaxFL6eAumTJ
kovsE9bnRmeAoV99HuUkyV+S2BLM7P1WjP8uajnqAqIVStkN5Q0sCUv2ZSlodvlp1BhcbF7UOwm5
//RyOPS1vA3ZwgxfPyxN1rOjlR+ipn6gKSMHdLbigemLN3ec/uTDgqFK/t3dnPfBpBphl0dyJVDo
hVVs9ZQGxAtpXwPAqTGdlF7tsRdyIuLVDxuym2OaNEeLgdZtimQ1a+zQDhaosEfzzSqP5NhT+Ipw
zHhT/5Qaolzjn++2ACfgfLF1yvLqta1GNaxYb7auDQA95BWeMGfgQueF1OyrllvA1Rls+LCUryXw
JLFvgZPyIgxmCPL+eJzboB01Bc9rpO2a7pCjCGLxYsAjrQLhdyhiCxX4wsdn1MO6x5mek+NtRIiZ
ZeaOO+07bzK8uHbZ+rS934oZQ23XkhfQGf8GFTEdGRBJINL2z/B6dVVbBAWQJoYAiwO71rF9acMd
W96/yFZvFdFsa2fSnmbJ7N5O6kmLu0dyg9y7+XbkVChQEeB/201OKlBGHqX6YPNay7sCwSDl1iRa
deEFuFNDZhEpKNHBzD5xV5h5mCT2S1/Ff0hF3yUezwBHSeSbPVVVvTKMuyT9wVXsM8bQdOrW1qZ5
j2O9XQHoZn7C4axEPS73tNe3EeuUL/RnnDrkV2GdD+OKDlZSB5qmyzHe1OskY4JKLQMwe4ncg0AU
XyqG8NmF72pcW9vCm34o2Mn4pevCag461fIACJxjClufnVcFuS8IV1WC3cvhRFjfR2JLc21E6W9a
S5ZfHCtBAY04oy8bSMrcmKNQAdqblaYkSoAntFwLaV9VO2vXKXXLgelmO1AJ55E+HTqm+biQyYbA
vKiYzqVkDQ34+f+4D2J/SbgV6oyYumz+wB4/ZRNouZj5QNyJsT+WRydDdKpVIifErlyQ6r5naFTh
BlRrpUjGKq4GcjVyY9+STuwnQpzdlo3RTgLwnf4JgTfWgTy1sXOaOEE4JwkB+RsG6hvaelA2pmQV
JffJNxXuEUWlBAHbPWCiiT2vtjJBMsp16pZuo2q191ialeuAta8sWrlKvYUn3spxjC3vqZKqF819
NUbB/tr0t5Q3xmkdTO74SZBIQphiJCK8oC+usYPNvsx5oSkBiElekfkO+4+fxwublGHvyQ+Mj70N
4GH1t1rTj61mZ1vgHUoy5kvWJ0dzGo+lSGVgqi2AXlr2W63b08O00BWD4DNyPrxyKnbEvWN6kGMI
aDhm8DPLNh/zlVWzG0b07trDlIRK1O2HXilXjpKepqQ9jEXxz1oKbJ7s+pU0OSdVB/BKMNu0BZri
CotHbIy3TORjOKFc943c2tDB5T0hTXlleapZkRKdWMQXavwCoifaMC/yZC/H3PDNPH6XEnuXFYkC
BMjTAtQE46pnwtMz0MYlNY4E36xnmaAMNxzCH2Zgx7a5eia4tenxaCZSxwvA5mvWqyoxlHPTaOna
gfxITRI78sjeDrOrfczxSU3cKGhmW8FGCJzFP+IYSwoAeWte5HQ1bSBfMsDeGkKEpj4+CQNPSAs4
F8Spe6nT8hkSgYoefBg4JZGCL43yHBFXazaNeVn65hDBIW1rhQ9JzexV16KvszhO1tJMz97N7cUb
cBBZuKCjpvJG2TFv6pI8ER640fo63To5piSsjTvbwTqXFrvWgwuZqk3dtivKYdkeEQ4EbUbMA63X
vBbtOnb6Dsu4cWmHAUNxzu8jvX+42WfQMPc+LtHdmEk5UQmYbd3ii9S7i2W0ve8pEP/aQGJTTh+h
cIOFEEZfbYcblqRfWipJqOqT1yQ28ldwDEzWCR/WaH9OtYlHYbGZMHjViQQXQaVl0YGToPMNXkF+
SGNrRAb4IREkZmYUYVdEm7rmBJ/6YpPkuhpknfxaSl2/qI0DjE/TNHMbN3GtgItkxCnHbPcVhlEj
/bVbG/fd0Zgy85SKfG8QpLBoMW+UPTHuiW89f56jcgfJDAfWkKeUm8a1SDTvqfPc76kZsbE2l6Vx
2q3VWgFiOA1Be1at6t4L0e8dqVp5UirIYaIhEv4QNDq+pwxDDt0MEWPoZL1pcwcLxinQVZ/DpH/T
22LBSAx+gwAYfkI5H1LOeY5sRWdexbJSmC9SHsYF08PiMWxkCkuTlNhnhDPjecHxSwaFfJlLyYYR
uWuMBH5MtyELw9ZIU2LYjCNiq5rdV+4J8PhtiEVCl+GjNof/a4DYsNgBnwcjntIHGA8hmKR/XtHf
p0KluClqTNDGzDnM195tPom4ibgr+kAjkHJTd9abmRtHCztTqCus13LQQzYjPUi68lUT0CqpjsUM
qL2DfiGpduS34jiwVS/2ZzK9yRXAn6+lzhOIqQF9us41+27Ay/oMvGvFGtPAqQsH6078xxb1yX4F
78FdLfEL22LZetzEFKHRHrqM+RMnZ1AaBDbqLgSwZWpHHC83OwZLTLJ+hzPqTW3tXwBOI6jGQg17
jQItBfjbi/zF7UYsBcnHHKXaplVBvxeLjkidiUAt6t0YLyehowfNliON5n9pCZzO7puHk2Hn+Che
2qY9ze0EyN4l10LpYL30W1zPrIvqvR5uo7n84iz31inZDrH4MZNeOQrGdsdgg1jmIsKDYuh0KTt/
UVTeWObETlb5P37bdK0plRE8vvSEhKaDTrBWzY6PQQ+7n44+gPIjQPeWlH+zZSji5XwlkgTqSYVZ
Z8oZ8BWPh27q1/g6BKbG4QKTfq3U7olBl4z+Rpdrs4Mb1Yr5Utktw37EN+bAlSwDfIpCt+66T/Ai
NY63JsfwRExEd8psBXMg7GgYE9RWpAsbGNzsQr9e0uh64MbqrZk0mAiv4PmTO2L7fpkdz0OlfHeC
Es2l/yWJ/dh5E09EN94hJc8VIHmqqBcotVCz4e+bpjk3FnPOUAHneLVyW7iBMGBIRXnRFVYsj+GE
jOBQqM4YyMn6LoeGK9bYcvCeCUsDlEB4fwLMi905BIp394/Rmj+vxhafE5/Wa9eRoecMGmuKNfmi
ZYhmkvNrKGXwny8CNADX9aeOiWllEttW2uQgmTmufEc91dIRa3pTPzPkL9gA94Od1BtL6nenriki
aN7qwXtFg3DLNaLOsgLNAStFmqWfSj/kK61W1+AQHziyCToCLfBx9awaJ71207JscvWVrqp1MwyH
Yil6vyy03m+ofumacq31fIUFlKuYPc4P7wUNeuTrLkEUQslVSHSI4lyNCJib9y2PuW+8gt+1geu4
b4MdvWhW8ZXELIUugNWSyk1iHhnTcUdPKQEQ1QusAJIurIyVadxioT9JTaZhPCobpXpJeOPQICy3
QgMfipfoi4Sc4nFilaKuVgQPvehczVFXrF3PeG3LiN3gQUlblOC4Y7G3jPyaFRPwLEuAluXkl5nT
pR9Yw2PGCoLITNGutfwnlUifVbmyU0z2psIvMtnjD8PyhuYENVBu/4/wVobhSDon+nB0GMMleDz3
RSI3Yqrfh7jWMO4zYRlEgvQL4Wasil3wmETKItrPjf1elUUB9kmOAcvRpNoX0w6TWha7BL2ST+cZ
1yHRgIjiSrCZyJ9I3AQgwR+sPtSMyRPCn0PrPQIDAj3RHmwlWCgYZTfgWeMEzILWrbeKa5OflX7N
goVPlzxg3SXBqELO0PxiylevmG+Sm26P4rDRlltWMAS07vJ3i3EC+X2T/o1L9rRkFTD28BzpTEZq
7zwEQ79oQN5KqG6f0WYFuMNv2WawXzp/1Y/HKs4Z6wr4i8V6UxlFfeoDD7aU4JVKfnUs5bkBaMBF
x1PWWETq6NDPKmhPY4nXuYVzjV3sZsLYYVN6Bp26xP3IzhgPh66Kn7w+XballZF2V7zXyKyC0QVM
QwDIQuKRf+clP25bQLBV+O/MOYistZvB/4wycFEPFmQY+WbDEaxb+c8IFefo8VM6/pS6/Yue+XWY
WztsshcNAx0RTLB+RXYT7nDPqcaFiHtj7Ls1Ocr5uoo+H7gNMOiPM3BOJBfhTD0/anPWlvmSENQW
1LXiU6Z5t2Zw8/heVo9Hi3c0zFOMF8JNgmSItrLxTojTtoZdb8pO528T61qt3mAoABZ67U2k6m2Z
Gd27sTmlnGSsSY9clGrHFEC+wSnNuSGcpt0bfX8betmQkniaMmGHrDGXSIxv41jWm/+/Jq3M3qCW
H1DApciPy9qC9SHbkdN4bho0bVMVmmU7wdLID4cmKVcLEAEADBkhoYbH2JKIJ/4aC+9j6nk2YTjN
O4Gcr1HkPYueZ2NGhOBQHj3m3ps2yW1r0iJVNmDCXArvRkoI5tjsHWs4IjXn3G3Sr5Ibc6Vmyr+u
mNkiQLnGGizI5pcyNmPFkUzV5B1o+HfWohXFrL2vMgkV7ndKfEWiwNYpmvi0B6jhxzfE9UGvwgtR
QW/FFA4OuY7CHmag5oEYx+5gE7fYeN5ewXWp5d6pj4rX1NG3Vkn+Ym3XZ4N3NczFcFhKHpk8U75z
Gu+ctOLnrYKWUDBJCqbXdTun+lDJs3Nbua+d+Mec0dD2Yld6EScR/WSiAB4wknzVRRwXSnWfbfNQ
RSXg1HyfhnwMhkl7B6ueCdAE2ctTiXPY+a1dfojxpy1APYF/Fx8vcqwuq4kEMeIX9ftkM/LYSwXv
kp1NU32Q0A1nCResooozeSevTR+tFa3ZoEMkzXAWW6flhGp5IRptndrZxY7Uo9HVdTC3B8PukgAl
HgeP0tNvqsi1bsrPBx7u1TCkje2d3LkKlUHsGK+/RdLvcwU+Qp+aULzM7fwp7mAue73F30PuO498
8mpixuPz01Yks/R+ZRDB53Uo9WLgFEXIPbGJ8AFUiqo98bKPY60km6YZWhCSbYlixFb1kzHQnxRf
8QV78tuzuoewZk4QlHDWOjmuYNX9txhRvEoG74lApMIX5Uj+KR7mTG9PXQUVYWs3QXwoGa3Hhfu0
svKrTNSjBjWcFox2QyKvUar8Uj/CJUmRst+3vGWRSP3MwgAqPGwd57aeESm5+VedbhLlIfPDJp6p
Yqs46nHgakk6d/eomoYT4mNSOOiI2F25QDecW0GBQsiIMpW4CYz0jEvA3SfmC1LNHtEGGsq1tECC
RzCIqBh/lJgpXS36LaZ4tlbleVKbjVlNR68EDIyUcj1EJnO3dpEF3gu+vZXVF78IcN8Iw8rR/JC2
x1evg8iQBXdD6zn782PhnC9GXfwgMpTcZcXkqwaqqir+SfXk2lmotIy0PzQKq3Wki61KjABRN/e5
9r7taRUzb60f4T5iil9xkvFviNhx0BtaHQgbCyoq06bklrNn+HzrKlr1HYHHh9QF4bO7xGiJEjbJ
69MgCptTLHDhykdArHUye3DeXogwN/ttNBrPo9XsUc4cRNRuOI9o1Mz688Np3TXRr+csKh/17A9N
kE7fsiEFYGDei5SCiQDd0gC67NjiH/LZI8FeiZKsWlnxEUNI6YlynSxxHlWyC1MV3UZ/1yCQw25Q
A2R5t1Hicxl7czNo4mUq1YtLZYeJtg4lI26U2Pxo2lmCbbT7YUpfU1lcx3zivyAtzzCywBDzDVL/
kdIFCgzIfaAwESOq5GtZbl5ZPXlihEpJkZnVnpeFWfyVPjTFmLZ4a0o+iWEgHJQiiV6gBWi40clR
PyWJhnzW7D5n6/F9aH88P5BH6I/puc9WzUAieqxsFyvXwqrFBjGr+mtMoS+Zli16xARZlLe3hNSO
sWlsHKMYDmO5nAb84mTNSXSwambuUj0NI2bGg4jT2C+V3gMN/GPPl0ci1cGisosxqEwubnxear7N
edTI5u7mbkuOqRHwTD6Yn4L8KSezISRmpGqbVIzlGSZQoXtwr6jldyv7v2h8RG90Ki3K7NkOQA6G
UabPfq4ebvB7LYGPskVee619KEMf+3KW4GrtlHSnpMpMKNMwrczSg8HqDN9VmXfbdjoPHY+wp90f
10KFyobUOP3GC/MhLVr2FEt/hzAJpINSEaDGBQYY4S4WMoKb5RyP6rOaje6GzYf4MRlLP5nz7wTL
mj9O+jsiiHidkVqxltn0kfVa9OY4J7SExgm2x68d+1zlPcFdwiMErZdbzRHJNSYSl11RWcfqnTAZ
PkePTnJu4U0tWP1gtZjt6v0cQWsu1LmdRofVHwX5qn+ggl7x4qmMnhaz6JjbyUNceSOflLPILqa9
DSMI3ORtGiwXq7Q3zRXp3goovfNPzVpw8g20YrrLLPd0FrDa+9qi/MYpTHTDJmEDlngiHectT3Rr
PYuNNhfuk3xqtW5ajY8HUHD2l4Y6PUZq4oqSbm0AzoRxZCermGQyKAInzKehWg9s7hhPz4lBO6fX
06O7RBOZydgtkNks9ebcJtFHBG+OoPCriGGvFGO8FJBJq9x7zeiC8hGM3mVscC0gTh9qnUZex5Fh
LCEQaupE6A3NuftZ++Lyn6bjLPJK+2fRESg0GF8ZIEj5RVqC/rv4hIm8jsIRm5bxLKAIiM+VC1Jm
x9zV1CByPcKDk/5Y28awYczzZ3sA6svJAM+c6qzG6nFJew+4mJaT6AbaRH0DSkACnAktz6g7cNL8
hz9vRILJRgFfsiM0y7Ik4xb2JIxEchrtJ8VgKokfAUFGRJWddN2KaBcSmxD7BLN4phpSAfZQzE2q
OSSCaP0qTuszhmlk2C5wY5vsPJF/0uCM4pK81kzpeTrkci/6ZSvqnDMl91ZOATdYASfTIOWOYetY
37oszA0poniBYdSVSKNOq/PWjdvMFzE4aPhaeG0LoF6g9UA9+pPmct8wosX6//Vp7WslTNoqEwKF
GpOTujvPUxdx+GomWUvqTvTKszZ1m0TD09N2Tw6nK/mrvGRXvf9wUWZztLoiHGC1osL7Smpb7K0+
+dfFxQQHT/+PwBWKntXiqJUf2GvH1dSWhxFheckxWqDuQy/K4zWTRGm4KSl7Lpk24t0pQPb44b/R
J0bctbzTM3q4eFY/MGebDHY03QktDvK6tI5K5XJOoJ5LLJJcBktHzGkiiNN06xcgpyJsRey8El6n
FZ2y7qzuOJOVFGTS+V0W5h66FnyOhIudEC5Bsc+jzYVPJmpjn9jAr65I+5AN6p9lZyTPW/YLihk6
RlS0SDOUi9EMPwgA0rl7hCfRyzLTUul3SDubOJbYOkak/oN3Ym38mq2QnNq9hDS0KWM/wtIF0Xjg
F3ZJ32TpSwuYtwYJIjvCQKpjs9xz6wEYokSM0r3VVeO6MhLG4JYo+XxsFlgqZOZ6dZhntl7hgXyY
asLZUShRYM5nJ0HygSdbpYG5tzbGzP4cVyZq8OaphE891w1LVY+YAoOP6c+eedbTlG2CARLV9d9o
EOmS0xo+mA/GJteeV4aePBkJAHssxeBXhY5GYx7RYSALSRIj6KphgzPyFOdLux30SoZlU++7eVZW
0YUQYpRDGYiD8lj/4LfAcrogTVGKmNYrRjaxza1JrBvj5iGPD0bb/SFdQL2MC+oghfrBAEVqv7O1
2mW5WdZQnigX1XApq+bhAHiCsOXzTQ2kimVKgjJXUiY/bFRI4AmlikM9fbbbxQU0JpaGafJ1VFz6
U4Yx2SvTMbLJkhnmcO4EEl/mCbOtmXbajV3CaJUk0pJQYvl9TdULgXJrayjeaEKwtwWTVOkm12bm
XzLzOxaaIffIkknoIHiufZWoKFpAWzvTP+Yifl0iBen7wgKv5eNMwAlJ7lOe/s2PWC7kMHy2NXeN
dpzr4Y4zD6mX5pL7yZy3CFiG3PsQrfPZZvV5FspvUQATAr+chybd9aRWBER0rUgzsw+N2QG94ZDK
1GhDgkMe1lrC0RX9LnHz01YABmmFblvvbDAaoz/Eq87rYsYG5FoKa1MqrHUx6BTpLhYLEap/o6nY
oLriFWOAHdK0G7QDg+pMTrjVaACt/WCt08S4DcQN+vSpu3xDNstn1HMLKe86Co1egZp2yDZyUJIT
kxXYHQRZ09tPpvDuqjcdhjl2fXfpEe1pqL9zQDFDqQXnmpBHdTbvLTuawyVFuV4SzIkGdI4tyEzQ
ZQ5uHUQ5KWFkcQYk5zm7zhwR1lHliPCOn3lEv7/wglILrmgHbYE3LKGMikq1QuL6rbXUydfhG7/o
HdPf4Fq/gqJknnuIQubwiyOXcb0MMWLibFhZ2rRLTWUdNfwSGBGQaC3dGrPodYkJgNTbuuYa5U2n
kHRfZqL2IWyn6WAQg3l0bJRIdfVrdUw8w+wRrNS0iEdzgkkrB03R4GT6Sh3jG76RLRjx80AOH1cO
eHmiYTRpMzJ5a4IS2cWtVP3CHUaXdkl6urHQJmGRX0YuPkDbaP+O4uap8p7JON+qhfxJNKGz1SM8
iB64psxhzRUZox1FvWRr6JkypAUuATqkdONWaJprxt/nJ80qopxgBXX3GY13+yE3HuDRYqd6dV2c
S4Z4NwkKA9xHR2DPBzuyfqnNs/y4jeeV7t2JF2Fc6vMgUX3DA60ElTP9qYxZZNWVM+iYE0RPyYU8
QxUcTPeAjQSlUOGFxUwPx1CwOENpgEz/umqfrgVJ11Dm87C266NuIVweePzMBtcKsYwfleteTLpS
cChwrRBISPMSQS9NUqFbysEhCdfcqx2WaqSXQR+DKZRjGVb6eMptSYpnQXlS/Bun6U+ukypm7/C1
/snH/GYoxSd5aU6o9F8NJ/Csj4jZycfvqvliYhBmdqlxeiCPXNiwfDdt34oFxVjEudCbWeg9Ytn0
Ql02rpL8WBoi5qLfOAmqMuKbfs3ZtYgjbMJGxwEHhx5V5VePz5feHp6IfnxmD0YU/RYNiH1BLknz
IbA7XRAd5c8Zi6xfatXrNDHfqBzxomGzJcgSvrb4ckvYoL41CBNJASZokLhbmUn6H3J9Qsp/G8BO
0vjowSCKZ7OY+jnJXfM64dqyyAkE9ZjM4pOkONTLEn+B5IFltGt1TnuWX+A6xSZQwQCC6o1mA7p+
FxA5KyWqPm33TqICJVSOgSgrRfeQYFKgyIQPqcQ4FEdyY2qgBQiWsCsq/hCfUk5oP5HRNW2LlaNV
nwqrputmP5HVVoRQIe5rbAuQ912OpBAvZr+ee2itx45f1hQSkCgIOMsZ1OGq8hs9u2L7DtO4+oma
MSweHhQ5TTdUr3z6Qn7yIuUbN9XDZjbPk4z/2i77ahf1KMr4vszzzhbTm5M6d5O8u9CcI+LoeVBn
S033cXPscqO9GY6zXRQmSaTyK69jO8e5fipjDyC26Z9Qza/KXL8OKa3B8aSjH5PFCq2y7qsaryVv
VaiZ1pubPd7RqEKOrSBInpNpZRTgHzYkoctRRnuAjH3ZdWTyIswaKepkf5HvlM1vBgsTYYNhUC7b
kWhvP6+g3SZ8F61Uy4C1ufJLFkR6jA8dNlVsUza51g3Egi13pN6FzfR4EmwOh2mRoREv9yxBwyQZ
qeqyrNbtPGAficyTm5QElY1nvE0ol+y0CsqUVDjuPy6tD9N4xPJLdefQnxmUpn0Fhv2yvWSr830k
/78KZvRRtxBibfGDEOba53qYTE9FQ5nM/695L1MQRSUqaGnklNJqXB959S0YVY9MyHwDpkMYAr4i
gEoyBp9IKwBhVrt+w6N+0yS4U+Rqrb/AjgJuu95srNz6NU1EtU57eLGUsiL+CUYStjOEfIyNU9Tg
a5JsMbMvB5+50grKCpipzc5kE03gRKhJuU7QzM9gMsFskgZXOrV9MBrpkRkz7Jo6Izi/0v4ZwhxA
ti1E5uZGz1m9Bfa5J1r6fM+N042lc7+U0tuii/DFJCiTfiB1qBRfssFS9kbtnCTrQjKW46ZL5mdH
cfeGRQBivhAWVLQpdkIellwxomNR9rgDh/lLxSdTYkQK3Rqa2/LAU8yxe0fHzsSInXXdxEDFlAgq
XbMvWMEoIK0POBwclLnSPFcI/CZDjHuzhlXJ1SNiD/73glOn9h6OgxLeFAKF39rmxpurOhwfJTyF
yVpM9jM9QeRG1dD+lMEAnjadESSj9jvZwqGkAv6DmL3tICOeFAuOVPEo0skT87dKSbFTUpdEaVpG
8QTpNwUNgJuX4B9J/sThvoFNePZyjvy5Lo2Vk0FK5qbFMsJNg5eJNUAQX8jkmX4lpnYoIuM7mZL9
MPAG0Lj5nFRRsoLJDkdF2SVql61NJfm1S8Q2scPVRPHmCQ/aj16jw07U9pbG8ZPWetlNdec/IzXK
oEWfHGYDlukpSvkQvXE1c4b5RNb7ZJBAYtKPIOsShxF2tcW0nmbUSVNjjU9WBrbJmq9s4bIPEltA
QN+GTow2L5igS9Diogbxfa5oMVnZuc1onbrApIuxEqNLFCbfe8DulpLJLGykGtdmGI21l/cRMmCo
7Ko11iSIA1RpT44U5tmKD5mTqmuEMu/Z0qoc5DZymnre1vpCKsMC/bobiSD74TTrqpshURWNXv7a
g3nGebMHP64F87KWVTokTKytrGJ5rpgzdgDt7gaOar3QkrU25pHiqXmnIwktc4QZUUwTu108mCEu
nADz5ItZumgXPEKLdIESSF92PcVEFbh60Mj5lQAK0CG9i88YcXr/s0rdf/U49xsyqYJB0z9jC3jW
0DhRLctgCyCmWhhEpWe2DSSJN94mArZedpUXxRAK/P+Kx0fKl3lSXJGGJR2DK+mpV6/33gvdQbsX
JRBPuvuAFqnMU9s/kU/KU5Eva5Ea2Xpx1JsnCvg9xckRXn01wmkuXrmTfWJtisjdzNU4BEWtJqFW
rzqjmZ4nubzFhIVH7HSR4CNRW9j7OdbKldJNBR0oKWyn/TzP+KoRRbaZ8lkmj1PISe0VRbtfBN4i
oE5xlOhq1YVNF/Y6TkoHTdVGcCUabnQaIpwSNH6Rb96mOo6m8csZF3WjqaD+ChZE6Kt9WnrHVv0X
VXN3QNlOyVSrRGujyzliEhscecBcqOOB9SjZCieO1aDyYhVJChsfZUhhiRZkoxBSg8en2vB7dIFn
NdhgG+SbTaeHtaHJzZypGsbcXl+z2JhrddAOGTURmxmOIVXsq9Ey3EXod6KhfiZtc98V+heUJp0d
Zq5jvqAfbSw9v870Gx92DgVCm0Jfa88UkkSH2bFPfaqt23g4JuNw0WORbfre+ODtfFMjo9717fIA
X5hVbXZOufA+5oQ5he3k7hq3Jumyny+NWVJF0VsWjQO7ik44yhFK/Q3h4JObu1DpiZmdtD/0equ6
caZN3zToXAfiPGe5o+rwvZ46MIIYD+7kFK/eqHXrAqPTolfniUggjHwMQQ9iA/ZKYPJ2QGsgfcdB
ZXByFwT8PbGphQCvJnyKJQM/24rvipHWmtDkqLsGQIX6nzkcC/etBcnbDIJ7O4P96tAl0Enbb13C
ADTKcEJsmVi0HVUPx4GR3kTF5VXeeilHAo3H7ioxZPAtCpwZeqKuVG1DricKJ8G7hboJ2VXaRudk
yT6dAZ2orUVXwHXciiqHjiwY8PAza6HibDt1tg5Kqb7F5HPJgQ+Xsqp5Ue61rn50BhKdtl3//7dZ
9immreRq1Dy1cjUPAsQ4R4/R6c3FBHne0o/SD7qyF+AMZtdsdcuhL07v610u5anA4S17u9uV/fwq
8/bxHGtu4OoMM0NV/oFY8nCAnHsY1lFAMWQV6o1DZjc0+y4vooux/NLVd3DaTtmPWuXwuagUSfFz
kLOz66kmDNt8mta6vqe36KtA5hHUPT+rJic6j0hmb91ojbyhD1sNqAahAtdNZXELlVudpldomRS6
dKC1KJrta9zOr/UL2yh9hQS9a9L09Szl6KaS5tgjwD7+/1fpMLGgFuru//+kuqVB/4dqe0fr8Qdu
eG5w5jTyvNEeoqr5wCHcdan5xhRE1oBVkJkwUvdQFPoHl/Ezfvn6mtH/0gzVU4rg8bHJ9s9Z0r7z
svdIf9Nyr2Oduw/o9Fo3vyukdB3mLkKz5zRmYOSzixfGuiI/WlPddqMzxqUc2nWuejU+9yxmH0RY
2qvKiiYy3yFee3Kj/Lqg1zbXL5kmm5fEE9oe3X+E8gr+OKGtBPe4/Grq+WcYzBc6orXnFHHTJdXE
v9ZmVU/TeQqo4E0Cr1MCJwExt+op30pK1xloC2ri2umIpD+z8/kpo1N3NbvVxoD1PWdly/uSjb4W
AXz2CZt2p+ehbGUWEmm06piZ932UHzQdw58w4aFEUYfEOmQMKTOJ97M8Yhm64yGlRVmp1bOdRBLE
90oMdX0c4hG15fxToxHHb8ZLm7t7CoGso4tVl6u5Idb80aFEqDwIaTIC9OLIAM+k8o51hIkz7oZ4
l+kZKXM0B147slVcC44Akd/RJTg9NL2GsGxFrP/j6DyWG0e2IPpFiAAKfkvvSVGi3AYhqSUABW8K
7uvnYBazmHivpyUSqLom8ySzhvBoqOoh/Ir+pbXelTZw0dJdLtErxddcM4JDOYJEhfkNAYzCisaG
9UZYx9/+rKt0TbTBg0PlgRUNxb/rP7PkjxdO46Urh6na2KTTmaHnoXW5w1MUoTTL2H2UbyHI972V
l/rv1DDptk5Yl+skUCLUyOWlEkTxNQUzompkYD7SsUVmeLICnUSizr6bjQO3vQr2jM5hZbuT3OTM
8ljgsyNtQ9oAy9i4uUl6C+DksdXDRZhW0T7QNQgrA1cnd82KuWKnY/k3KgcodP1i8C0c+ta7o4Sl
IRTkcjbjKc6r84D0Tfk+3HDt0taZwx9loDTVmQ/IJF7SZRFcFJCSqkt7X4eM9AZKzG3lI9cDiZLW
bktYRIZOU22seGATUsubB0uU5oQK2sT+LJhBLTqNxahkIJWjf6VlEM3Wk58FUi0WBMmNRixkY8YB
DsRoNqeRNQEqdyUibi9nTNtdAb0krCBIC+bSsryxZzeWdTJ+JNT+K079GlersRalZ+5ZWvZ4/gUL
cB2+Vcohjt7htVs7UNm3foMJByQPeXEDcui4cJ9IVGLABOdeOVNy0A3n1ujkzkBcIhqqee8wkLce
F6fR3CP0lzuZa1/FWNyFPsCznoq/oTiQfJLSX+LtisphQBXEv9U5s8sO43Adnonqw36UgxRia7vP
wm6jS3bhoRXrhFBrTwy9R6PYDY31o+Gvnz+ouweefZP11YVJkrVwW4f9ecONFuUsIER5V20GFj00
952ebxLAstQVzdb1FTo9QTWNNKO3i7/5eQPGDfwTo4DlxfnWKlpGyKJPlqKrNgayUlHlL02fEldd
g3J3euIptHOu7Gn3FXn87pOebIZslgtiVl9nIU7I0Hst5tUmlr1i5SYaFlyi3RKFvALmS+7Re3at
T3YAjIQ2Zeff+vp7UrN9LD4rEBarsXPGlVWYN1T2UAf61F8YRfEYshThpYbqIvSJ9kZvZFfWW2d6
zx1OAjxAZ1PRXotq/EM+UyzRi1imDYaqK+ql3rs/RYesgsziBYLzH8vjYUI7hEe28F61e+Z7/3TL
67fcQmfC5S65ZWi7QAWvBaf6prC+pYeN2lF6uYqK9p8aHN62KNF5KlfCMeg2m4q3LsLLzcG9cjv1
bYWNs1VleEnbQuwMIb9cV65yoIrPKMCL8Opg9duVjAlXduV+DOklyMWPRoKPQhK+7E3zKdP9lT5/
HhJ3M979PFnXgbsZYrlXrrTwYVbmAX3FIfDHdGcR2EHvY575xvAPEnO2HJp+F3lNR8K9u9Ey86Lz
BmzrdNxE5F/EFl30yOQS6en0z7PJeUlT2v3wrCY6UGGPf7Jtux3675+xeQ8Nnob53UfryyDAKV/H
KfpixPKMJvEIYNCgujZuo3jlSPjymWwRTEodVcl/yRS95RoWKSs8Y6UEI4/QxcOsNv+PQx28d77c
d74jNpq0yUSqpz1hZHwLAbtjIuDmb2nU8O3lXXbwp3FbsgggbzAlGpKhRMB725MUu4gD+zUkk4wh
vYD4mmEXZPpk994l6biL/W74BGsJeMQe8TS62TrM40MEgvU5AyNU/SZ6c9Uq7P6MtPBgF6mPMybe
lFV76xF8NCHuSY3Yg5OB0p+RwJNS3T0aGeGUkbtzpwIHsuvhocPJ2wQukjTb+onLhvyR1D/jNDja
6YXLhDFu2JGajMxitvErk3D58Z9ndo/KjLBru4wMCDaWrnaoWyUWnWF/DSGFceJWC1Ka9vNnlmC/
WzvVeZoLUsrl22T2mFPcem129tGBohCF6P0RJopVoGcosvNmmfRAGAa7RAva3nG0XQtGm2w3sn+V
sMm35gHAl/Kv1zza1566Ccb7o0G1ZbtpievG/66q8tq6xjqiKBxkyAmeW0hTwy/LE8N2bPB36dpv
a4ZPtIvfedg9uuAYWLcyrG5maw7zsoCtFi8FNZ2EIFJn3+GEyrXrTvrsfW3Qw/pGexJJECwQbb/5
DenIJT+vwH+5qFr7tZ5Islep95X1MVVO8hlgOja77LOuYaDFFI+DotAenjpUhLlCUU9GssTUGe3b
oGKXGuuXwXNxwfffqC6yu15yYWjiI8UdcS0DlHzGNP2racrnwxdHceYedcvJFuwhqHPKBofCRAwP
AvEgj32shq7ch8XHODF0cOCFmb52McZuL8fkqeWD5Ss91EZpbVWj3qU2r3Cm++hn+qpXOY77eLqp
UV7SkRBDd2JCGRmXoHSWkfKjkzuqfZqnT6GJypfpImsY+vCB9Ao/Bq2e1jzr1X1wLXNvjQRB+/Ff
ibULvewQ7qxmfDILwRRZ9u+RssZtPCVbt7eaVQKyp6m6W+OLTyGSb+nCHckcAElzIOIU/lmJxzLN
R3YcMGY4eD/WWFy7EUom5u+STD4P/tlSFM3fGE2ftOF+4nySIYKtijChCibP6L3iiX7xjGrp1+7D
oJAmevad4pJSMQv2HI4A0FRxMKS8ykS99EQOMjmf1NaX784Q/tZTemeBeKhIHl3FulZuwfcAi9Oq
M9MAGrYhwiyXsncL0vyjMf1fgbbEdmLU9qb9xujlxN5uWlnCvwxD/NFY1cGKcADFPQa4Kr2obPb7
UoMu4lpdqtku4hX9NpvcqxFrjOWY5Ov33kr+qYYpb5ye9OrMfw37DpHwM7ugWDAYeVRO/pd2vDKc
zcwlgn1Ich//2LzKDbiBWN0L9LiLqCQ4UJnBrjUY2tgWaEGhOd7SsZ12N7UGgJAwxxZkfIPk1lc8
LHMPGnQUNGgk2CqqQmRYoFUNMJS1efIy5dnnoHhoUUq91Lnx7MZkVDDoMRECLxvR3e3Q7FaSfYk+
eF/RCFNEZsNptCKoEfPm2Xb9dT5qOGKs/G+qsQD1bsn4G7H6ApIi0jxzZKQeeL+qaLErs1yfRYBL
10reiuDRB/1bqhX3wc8fOLcuWdp8qhhFJqIoKp7s4aZdcNAS+z1jyMLyRJT4KeGkCUwERGov4qHd
TEb6yLJ20zkNzI3gzPQfTYBklWYBU/OG9wmx6q7K4r9wPth5dsuI1bqoqo+wYZGbiGla14x5cetv
B1ZhzIzxjdTap1ZhAczJHl/EevnOp0WlzDcXo3pTOT7o0hx2cRx8RCPxQJP3IoiQWs2jL7QJVJ5V
F1PwhnWwRRk1UgbqwF88jNWD1q0KdOxa1X5o0NXWChCZLSpmoOGqyGsXzHkJ9WQ8wERXGwc75Zgw
0yfA1D8giPmdnJVoiobSSb5o1rzpKlBz0A7kpOxt4mAX1UN2qMd9FlnYMbOBeBJEH27FTi6iv0lR
jGEWMhnYoXsxBPbW3mILbRo5IbdVfHLkqSfIIzESBt6mwO9MbcHqwrjVqNj5eco/1/BZGJFWsCCJ
4Fo5KMx1bc4bRg7DvoNrwKh+o02JZ7Szo3QdeIxM5BSvsf7yPKUok3LsZrUCGVz65WZAdVpG0+sE
Z0XznmuyDja+6/8MGG4yRU03Qv7KNe0VwAHM4fRG4I5esBvykXcTp9sdhNE7h8DOyUWJ2vFgovrI
WrUUJZ/OUHtEcLfeJ7RQMlsrYxcF7bcPApN2Pn1utDBfVK53MiPj3Scr9dLj9bGdrtwUEwibEYn9
KNBx6h1cTDoCmdEkGM7MMOGCSLEar7zZsdYQeKdzA/s5Shn9lKdEjsWefeZbY7NKlttU4arrOhZF
Fjk6PhNGwEeUk+jwpIif0wzvb4hNzavtF98qLpFglsAzhdAC630eTbt4wOOI9/u5x18CmmW8Q0hI
aBJqJtAyPkklxM702pc4JvIuZ6XBGW3NsimOLDfbSIc4K5a/VPv+EK6Tojg6si+OPtNlxHSwJozf
O7PxF8KU/o15PXdmztkJLXaWIA7tyWzWTcA9b0LIDGNmopYyv3Q9uXMWA0UKnkIEFgnQmiQy3ljF
H3qw+IYZYuYd3VcrHHbJfGxpERNyviTfZgnQ4LSyx+rdMyfCFxsHtForgJTk8S9I80/d0neGusj+
0Uyk3FtQ1qQ/3vVoPNhTbS76GkucLa4qg9xGri5TfQNde5DeEysptySVFYtf2+2fmfVZe112kKoH
dQDG4OJ96xaMFs+eE/2a03TIKkYBGPo2Q0F30sb629QcXQ7dpdvX12lAlGfk8YWF+h/fAAVYL2ss
lpdUk0BpnQ+NMRgvz5p5w0gcBjJ7QT4BUmbKJD9aZ6J+cZUWrnokfEvDh+SDrB6uz0EaONhiOyES
qDxZnAXoVHV6p+5WJ/HdxA9Ml/Oiu/a+GRgzAedaANPfTIjUdyCXfsNweJmMEvKGs4mc8UBBhhXd
pfcv3B3WF4LAsOhuQ2f8cxFdQLbpP4LSQMWkc3f2Iy9P5a94T99DycE1TF/SQS4vQ1STWjd3Y9FR
eVD5XUU/pGrxzayE16Kjknb7716LXts1OF3Ool6yH89e+tr8p0r/zujhYGr8dkULXJHlwT9ke6YA
oDJ20wpiVsVKmHztqj66HRtV4b3yef2bkmY/cNqz0TiB0n0Uil6Y7npsEPQBHAKISifYuOJmKf3g
Zuof1NsXmOyvsiZLsbbCPchJvn1wblG3Uwk/rl8nF7YQRXORtb7JrYiHYPa/6ew89dx7G3NvzXf9
FE2Vjhare/GjGjO1YeOBcXDnlpZzYZX03BjkdWcDjm/df0O6aDDHz6DQJusqBXYWyGPUJmcb0Itn
+9NudDCxuYk5cyV2ooVtoKZc7pPu13TrfmNUw2EQEaYhjlgACS8FpRc3ZeSe5qq2HWFrDCPZ8d08
wXPsbe5Jtaa1x8Iuv0P2YsAZpnyHG+ASGOEJsf07ZK2blOxf/dIK+OSRPTMnQLOxaNVwdRGC27r/
Y1rRGU8jx0KU/qUGEuDgZ6huEF/vuItQcbaUO2WfvEnB0yr7v6KGu8RSfafG9m8yslPhMLi22R4Z
OFoWbo4/3CaQVWuJuU8kdqnU4r9jmCOKZitnVmuUUE6Qtyo6R6K4tEWqJ79j32wrkkVUOX5FLDPZ
WaDm8x3SCfjWvKI4RMCT48A9ZfX/1pjpI5rqFJbC+BSW+RHqBSVHZr9gVRjNmh0QsYia1WKkY2nk
aNU/WzwJ1Mknx/U+x9q6jwmnGZwv7AJs8/wQinUNDr38KSiqobod8d9+q5Q2y4rfpkiQKtotzb5f
EdXDblonBhnRRTPgXTRRVuoDNmSSn3OdELUPsrchsjbi2aAip2GJrIWKmGTOidL002PAX1VXB3vE
oa7nT6GNeGmodhHDz2ValPs853nJw+EW9s6bFX+N9GCYBvc5t0eVJUSQINjhZzXZ/G7ssr30nG1j
hVYou4dU7wA4Yl5NnHoeYhMYJydOPrTdxey9bca7I/h5AOCpBqd7K4htS4Ka7Odlh4KtT9A3/v8F
KMWb5rViPekdnRONlSZKDtcMQEIXvI0p8IbeYDVeC6Uvvejh+6kg1uIuzJRhNSHj3lIDeE3bjwia
FPVgiSsYcCtRcQxAqIWrnMAxK9GedOKDpcNsX9GKAl1QmF5zk0IB+gAfy10F/gsHmrMduLrQTGXL
qS9/Hbv9C/6XjKGU0ISZYzSHnwLqFw1cpO3QDn0koBGZiu3Tjg4dyezsxECyTuVdDM8cdwgXc+tn
1Jg69vjpaz71PvLLlWMFQIvgcLjEUW4Nmb4MDU5NfwZ6MC1jxdd/WtoUrQFO/eKlY2gppgN1QVCO
JwGqmhkfVDUf02QlkqvsgFCAA3dLZBcB4Aw16tTiblI/Oxp0zmDQX1BeADgyFVZpLeWLLnsQWrBI
nMj9EdqM6J2sN81GChiELsGymsXyTozjMdfptcj0giZbFIiHuAG1UH6bKk6Ooq3vRuExSWuBhY6Z
TXam1dRr6PeILxOIsRnYvxUUIFpr8TTp444YWgMoFT85n2VrluTCsUspLQ0YeEXMqJpwqxbRw7Vc
fFzzZsYbQVWAkHA0rPTiU7p+wLXaL00J8ILKEIZoiakKE6kZgkxhVU7D48H69PE/+tOpJTW9zYOz
UYdvqrPOpFiyZhjiU6ByVLv0XXVnPtoe+Qjz1mvW26Bp4JZr4Uc3ZkwA8kcWofeySTpcIUtuV2yY
HrrO+H+wIa25AgA9/uEuUuipvD0DqXiJlBUWuaNhvYq4SLxfz/J2gguo9yNrC1gv2TrDsy6jY02e
gmC5Ntk9w1HugmY6VQE1TqlDz+v7B2LkG2Ka1wmw5TJptTc/orSmSsQEaNenkW8lR7/tC2cXhPHa
cNWry1CqabV9PfnGRR/zfcqYyImQbRjwA0+Dy+JgbMznRCKs1O38oYzqqQTh0tUSFDbvqOlpL6SE
c3mHKHx4eNn6JeIUxXRB+lmt4HBfuWUzoK19zpeZ8zwJgze85O7xJ+03todTGZeA46f3TJN3/Jck
bbJGpsPaY1zfVPA7SitadWb9qbvxpzmkZ0qKhesfnRqWUAfOLCMMxMU8nJrWrc6RT1h4D8nVnGMj
/W+vvjIIZDZrI9GJZdVsZQ0yBx23cUHecoftso8NOiA2nk1hf+BBQjqAFQAC+KNGsYCPPP4rmHdx
t8ylHmrcyvgZPS4yyQNDFhMRxglJjtF3HOjHqcz2DLDuFliTVET+Ou21F1A9/3JtXA0tdIG+5vWs
mu9yaobV5HGjBMVLU48oQAztxZtXrxUiXQ88WOc3l0nHMJEIjvlWNNRSsnsI4tmdqmWGbFnIl8db
r4tfyVDr0AZv5D5XWxgHHBJxtoNz66wHJ9olYYSssAxe8fL/1uD8xBSxmFgTD06slNBe0uKALBkg
S6LPfNRhISxfnNUMkbbL7ypzuUe09mnUxH4a2YdG0T5MDGJ1ETNmV1dV76LIIqiy3NnsVhx47MA2
TDYAuQ0OHemrMcRXacz6BRwknXLOnR7dg0CeMaEYbHmiO63mCIdF42YqWrD0LQYmH8xR5/vrLLb3
sDmIQEeTUQ99shvcTdY5H2XXFdvAi/ZpUV3RXEFScbUjOFFA2dggIBl7q/mvttCklg23XtOFF6rB
KxkWx7b1v5qWRArLGhYRgs7IIUzdLxBMGytq1ouG0cwti6PWaQguo+EZb/lNpNE1NQ+FgZsv1+Vv
z2/nxjUiO0KtUf0942k+a/W3Vc/uSK0PwcklVzN2H1VwZuMCC3QimjULvlLE50Numjwr48HXkLNV
HZPNuIS0o9xfR03lEvEhsISTPytPhfCugo2s4YXtZiyniz04DHjQMbeR1m4Vgzumt4WzyWLtte4A
gnUJIwiuZFO67yyySFjwy+8+rj5HnVlbnoKNbkz5B37uQV49wKMQh5eQoMcxF4cxBkt06JTIEVpW
3YfHSxQGQ/Q2YnRVxhuvYUZHhQeF0taP1VDuGRZVG/7qvW6jjrX7ipOmu4ajV+8YXrbMajJ706cD
WZ201Ho7s/3Di9Pb3Srzo4dp0uE7OrzQnEYua0zM0QnEtY4du52Yy0HaF1eHOSRzasoY3vr/3vQY
HmnvJI8mKH8lnmH01/0bVSp0IDd+sx39dTSGV2Qa70mYr8gmAF9h1s5GZch8hdSPTZUe8iFYtaPH
SG1mfaElob1q0YomJlG3qUIsYEss0fKbYERO7qC+xoKt5gA0KypZVZR9tUjK6cnhHVz5LgCIydN+
vRHRGhxSZ4z/vJJSg/HHUjhhdeRaOBbSwvisfaXs2xYKQZcn260fT1irTPQnBj5k36FcJQSIOVCT
vOBxX1e2R+3HdDepo2Mo3D0wm2wa82Wfi1tYJOZKQAfQS/kZWPk+q7i/sD339sAvZCThegj19UD+
hmBwt8hJhvYChSsj1xSbxPAHRPoTYEyEKt8pKQ6axxivLuJhMcbfaVX+M7yaD2Ts//lJf5zaYkv2
qVwqO/rXZ9kOUIi3dAG9p3+EWtp7L/PsLZkliq6Y+Au87YuA58VE8sMtSUBEAA+X2ZH9XjKeXts9
gPd+OCSG6jZwKNxtw6ozCVnkN73aubl7x7yVzB0HquLBWcdlyvJ8Iu8BFsG4oTEqWeV1KLrXXtRk
aw64PmZM0pSWv7TLftcRm33IYiBTfh7vUsu7VXGCPFPRTTT2oqv/7w7Qu/hSq1lAEScdl0Quqv7a
JvbPNG9Yh/a9AgYL8ZV5m1kwAcl1dnCQMzmIAdKyKdgVNpB7DyoPLIVzC9GPCxl7TwKXG64eWLE3
1G7+afYoNb3hbU+CeTU+LmIdStu4ukjHgjipL6iUslz3tqAuz9QjoHuHYy/N39rub0BjXoXyXzqI
w5HASR7FjAt8LVthII+XbT1gxHBRo8zAHsC/G4wv00IQ4IKTClnD/xbNn0BWnxoiMJWiuI6wtEIz
2uupLghyiNd9jPcS8O+w7Co2mIwhAqeZgY/BdGjnom5Q05fPiGYlKveADvpFc7Fgei3S9E7u8Of4
VNUHD5T5cXR0uUPUfYgnNI+dR1Q98p5bgGXuOao5Zcyk/K2F0W0mBY64x/zkee1ROBgvDTaQ8wcY
egWDkA+VVKtSYXH3+9lE7qmTPnudPY95gbZWwsmJUnFgxMTlUxgkC8t/kKVVLRsDe3/iJozMeMt5
rBQEZIQXNz8pbzO/aCG9yqexd5iqKesPbNTJKvoS+6wDLutVL0hxdx3mUC4UJo/enzhutNqzWQet
9T5BhlkWv2gmflIrBsvtfSOLdVdFKaibYzBTpufty3Rkk5PLG+qDnTDhixCByiBUSzfE8EAZgLOY
NDv6IP3YpeJIgUvPMlXnYJLnrurf63E61a5xNYYSHFhTklTh5jfbYcJR4CPoygRpSXqlF8fk4rGw
inE+wUKpjCzdDuyllRUQaEHgy6xNCXa0zwjKF6ZLuIyykvEK2lDbkhfO1L4Xa8Syzi5r/YsU3jZk
neTb2VVwwhQeN7Q+oDpF5Lsb6V6zpkjXgy23duK9BuyWSAT5cDnu2cShdQpggrc1qnPPrB6GKG5l
T3ASZPBzavTRqSApgz8cHge9upqT3Fd8QHGrAc2NCV4y4C37Nh9+7YBhATD0JjMUdjw/1Twsr1bu
nAThFLTr/pi8+kn6JD2aLhbK5rIiFgoG4n3UzeY8avndknfqxpXhpBH3FSksNkYdDaf2psXetAJd
mxXatRYI54y8g8ZrULZbXExjIz+ntsPfTyxoUdgphsSI8ZURPvNbTyy51cvg63uCuZmcW+w6M5iW
ifBq1GPjCWkmUUYOUVDhRBM7QFLamFqPdppEElOkD7BFM/MsfO6VzB49s2EK7VMwpv4BWZZ6DnWh
rbsS3AZXlbMuTWSDWiafoUoocIlcolnIWoztGRij6dhN4NdZ629YkeNZM7TwVeWzcboBcxFHjNlJ
g0JqIGcMTI/QM5gENUWbED5gQ0Vg+8sf3dgqe0fght4kAWPClP861eXNKoJqU9VavhvtJvqkU4OL
ceM1gd/A4KBCPrrqfPpI39WNA28r88IW1bwok20AA+ju2EN2xyC3L2JtPfsLdm0OFXB+aRq/1Teu
Ybe3WJ5oasB/sqVJzeqdSBlkRBVz5KRyKR3rtZPbp9Es22VU8luXvbOVKP7ddKMZON+qqH+tLOe5
9Zqn1ozAMkntTV6kgocm5gYmSrLPIOGl78GWY2fAkCppYkKBUsiDpeR5akMkZ48M0ME3TogFinFb
bds7rJVLVtL+NFSHu7mSz/34OIRLr2T8gU5RUJEXsPHtXK00/d0Y0ADQLTTbXg3YyWbfEVPFk5UB
RkHmT1XE7avpFjg1QEgDE1rkJDh0vXglCqxY9Ol3I0YfClmXyWgYHnFspUdUbMiUbcZBVutf53+6
gn0vbQecaKuhioJqWDY060M+QK8JzStM11uMwfiQM39azPseRLEx4U32CzOsYRNMJ+UG7bVx9R/k
o9gymWAcDGpZ5ojYqaVuMSMGc5L0Ei59zIbX40hGblJu86pGX1tRf+tUq6bLbqv1OlIbMay4BmjQ
GBJ2rwPVH+BysT1I9/rUXON89iEbnGEx5qC8nWKOaP1JVsMjm7yMLgbsXf4diURuA8QA26TL+BAa
MDqxG5wqdufhLGudfTiqNN81XW7zv8jjuLRY8ZfIfy1cKzgOnlLdS7eZnX1zZpACh9XVz3EjWvrv
oGuwTOj0hjrmI8WLW2M4nRFNe4Y6izLzbjToMIuA+qPjo/xVfkVNZBM3YubJorZpxL00hkiFKL5i
thEExbUymBPxDsP0GJ+RGMU8vMkxJERRGzkeS6+/NTGEMZGzOXaYMXbsmSvJ2JES8Za5pY3mEeSh
lg33KsOgN0Ft1YhK45IMqqU4w8vKN1JnNl9HxQ193zeSUOot6XzpdvrWey+jymxmVxgwrLz/0njp
x8VUuqjvM8dDLoVpwExiFuyAzkPjW7NgMnl2oyNSRtOVx+54mHTI65X7Tev7CDuVbZhYo+ZjOhPF
7x0Daul9ypypQRpm19GINmOIhl9vbb57BMsrxV4cAxECDn8ClTa8x82T4VCVW8gJwmpLQ4RfM7E+
ewXozB5A6Ydvkw2pg0IR66vD7hFK8173nC/AFWIPpFRFENoquEfCYswCyPY46vH7oIq3UJbmvkbE
lCEzzLR+uFi8WNxE0a7xKk7T/l2rqd8iz9z2VUCYMvEKDDIww3Dqm+BortgQQiYIX0N1ITr3e5js
z1Y164GlJ6nL/L8cf15hSHWOy2GXRYEP2qJ5d63eXssp+I2iA75onocYoLDrN68ipFw2qaHQ7T3c
sjmkFa9PVKW7MXQomnJd25ZPOjHn2yxxfpRx10N+Ht4g9kspAOUp+zRhg0lznPEjP/HGMhJ43ngn
GmIRN4VPeFbS8JNpg5xtUP25QQ8LZoN/Y9aQQWZxlgYae6Tc4Fmxcq0YwuCBDsofHFGooTnnBtS4
C72wzZUEvOJjKBJRi2wfSpYa82tV2lch2KFG9jWsFGtxv39mqQpxR8L/hbd34Cgne8TrgZy3SJOU
F/7FDjIIRh6LsG95jFLcqmFFydYk1aKaUVFeVLCP8rrbkDQ/XYBJxlLvlkND0EtGpf4Zu+/sFx9u
Hr+uKPR3KxMkhmj9sxP5Gzh43+gTu0MUIncxxm9J58AZp097ObvNHY/9FBWn3wRn3XbPZkAqWh6I
DX+GEzH9odlDAA+lyIwGVrXuyoPNVOYxpEj+0oVDr5Livg0ydIyybI1N0GnfRSxmgErO5tQFnKg4
mhObt1atwDpPNh5XvziUAI8pCYBnjAwKx3WtscZIinsk9gFGTS1+byLno/F+oFlJ2g83cv56ZzjR
DePVNqNH43/+X7ymM3UKBao+aD8cNhuSeq91m+8aAw6kLpN7GnfP1YTWU/YCfkuW7/l1lx29O4FJ
Jz/MUHTOdbJta79ZF+3tbHjkkwZyhilc3jp/vJnR1iyNu6v9YUGGYSyNfxlMd5RNdw2zPh4dG7Wn
cDaO6JnHgO/CwkpJrPkbrUbhac3LGFRbTgp1J85WDdpGEBe4tZpXhr4Za90HIUKTZr6FBYwdBML4
YktxLxjkwqp/0Yytqaf1XETiwIyy6jCZ3ZnMAsaSFo9gPEFqsIerCu9U6taa3mpCNR4ux7ygSEmx
0sdIKtspXMOQC/FrPwkmJsA883Y7NI63wn3/Ohn5PxcuyTXzpnhVdnOkhyqQ2VhMhRI3jTZiKr2V
rddHe2QYP2nlZ+o6r5CUHnWPEh86BQzsbSL9V0mCzw3xCSnsiXKuZpomT1VZfesTZlw8bOXFZR/Y
9ZyoViSNFVbIR5gUyYcvf4Lxx7JM/UK/fZKdMDDw0WmMrfkZlTWHZ5C3y3xKr6kLX4YzGfqpz0SM
zdRMbvOx4TTPqDC7pzybkRqJpc5Obvm7XjeYxLRYiCMtBbNOrA2T8GKPlhqLToFdfjLJOAfIdbcM
N2ZZDpFJGz3nyO19lMOhTvRqMyVafZGl9VQnaPxICT7qKirWAsLDEu6sPV8HtO/4t/7MCFdvQll/
aqz+UGla+6WbyqVIqQUv6Gitc30wCft0w3WXEXmkSHxcFZHNLpGNxFbD1bdO6uycplzqNqtFD5Mj
IkRS9sZuFYhR/RVFd02ED14zdM9uWQMoB19q4Hwb33yvUSQDxf1BOam1TnXTOxilTapRgC2oT35q
ocHSlEpncM6fboqb239QQXxXiDJ3RjffW8XSzjtIuSid0NywAmUo0lVDz8k2NYuU5w9Qsf2rs9m0
A4ueBHF7aArkpNEBCwDa8CHk5H7pC165mbxoJAm78ExgQ0qaVc9mrBF8bHFmOgAC0p3Dtu9O1NNT
XHT8Kbg4vb81W4081SjDtYIps+34N8VR6kj4gj0rtRUxFb2PyDADu+wxzu9d/IaO6NAZXGuUTIvB
1nF1+zgdSstcM2/bAzmAcn0TgSAuMgfuZBvhNea+XIyDtsst+agy7TvF/8HaHu963AJ1r/Ggb2B9
7QYHmE6usZ8ejXZfNAKvjoL0XBvW1jZz7IcjX2YcyI0RBld8VHLPX2vhiff9koQXQg3GADauSjeC
0Ms17jg6ywZSBdlKz4OJ654VmHLxckezbCMHTgwPrTDNe2Pi8gXIV0ABsLPyO56QPYWT9R9xZ5Id
uZJt17n8tpALMDPAgMbveF2TzprRwWKQQdR1jeloKJqYtkemMvO9lPJLLXV8MRiVEw6Y2b33nH2o
f8rngSQR5dPpqt21TWRkYBypK/YovT+SDOqIlz0wZ0sGHiIdZsMqqqzlNCVfU6/PyFn1SvqPHWyF
VaDrUwY4ayG6yV1nZbTXZCeQ6gBUVet0n1cQzdmXxaYbAeObEYoKM78I39BoeXFLhi6UQJSHZcwm
BXw43KZZ+prYBmFkyzApqa6IN1mKEZ/LBL0FvQKy83JFKNy3c/NNWfb7NE5gO2dOfqkABKP0K9jz
n02UuWh+onfiEJKCBZTooBXpL/KUeoHF8cv48AnxNSZISYPqv5yW9pThxqtUieYK0+XqErvbAR69
ZyWAFJeAZ6BcWhFj8GmZ5iYROdIr0T8VI3yMsDE36F7gDqcj2a/m/KoBLhWSgbQ129CtOgk/JTYX
w6Aw0FmsueNw/B1W/bfY7D8kQP89j/v/Orb79q/889/627/6/zOM27KIvv4/p3Hv6//x3/85d/v3
H/9r8LYj/wKfXdmeZTpK2dIiXvuvwdtK/cVUWoBHdJUS0hXu34O3pfcXIFnC0hBsSOoTUv0jeNv+
i+nQYeY8YTsS1KH7/xK8LYj9/kPstsaW7KEUMT2WS+HavLt/zryfoeslthPMq3yOrkUrEIeOgVjV
c0hMrtP+6iRpa23dne2b9NIdacPMkqNh5KLrLntOn01zYladL2c2n0Wsb0RZB9ctplAaByflAPrJ
Z0RehWX8NPv6ySytU28w6rM5M630AAorr9No80/X/2/31z8niksu3h9/MIZYyrVczU8oFYSjP/5g
qVl7SZJZAAtUiPA0hODTTox84MpjRrDpN7cdKeBCdvORZMEcxCGHN9pHwYuy0s0YFPXB0NgTQ6tD
IxiG1pE6i4B5YhkMos7oUqdkVLja2iqisFd26M0bQYI5B3ZIZSaTsHTw/b3b19keZi2dOGAjxljf
Nyh4Zsz0CMVWEcA4ah+UOopKhM3TpVr491fC+pcrYWPRlUpY0hHKEVr/8Uq0jlMUHVcdX2lVARUt
urMs4L514TQw1k8YPEsAo7jcakZp7j53jnAiVnp257MJ12dNqU1DNx172k9gUs0ycpbMO/Xq379R
Zf35I2OQpLinJW/Y4yP7073YV5MOvdyHFOad2dE+LT9X64K1E7hmS94Bp3ubq68N+AmdKPnW0U6q
yxAXmLAEXJgIewFhL+Oq40zM7Gw8RKNzCMGmHpG204vNvX0LcqY3rPIu6u33JjWfXbvPn3Q/XEbE
7ApuaVl/eT3jXe0RlNRTm0o/be5CHW2pQro9xjz0kjFK+9EN4Bq56eXfXwfxv7kOtgUN2rK0VHDP
bs/s58dDlAfNf/6H9d/AvzoON5FYiXa4hH2gnxTR2dqojj2x0QfRvFRuC6aKIm4TkOK5ZesnKcpO
1c7AK9SxkbXFlLJ2L8YyeKrdYTqjpxXrPMdcp3/9+7dr2f/ysVGmSNd2tK20A1D4j2/Xbq2MQxnP
u8OYdUWLp1iZKO4Ws4mJomJwuiXZAQ0V7dbQDcKt6AG82ZAeOc+H2YWI8DcR5sYRj5hc/vv3JsTt
MS/SKSjy/dd//oeW2naUyVRRIsLA8PHne6pMcQy5EYKhURtqPZbZS18WLUEklcHWF987PVBsMCc7
hE/ITOI+3utRPSe8tXM0CLDYZRrsxp7IrwY61Trm+XREVlwaMa1KbAGv7gw9bbDd6khQ0CL3GFl1
OaKznDg0oOzOSZGQeRRApRcA085cSWqNkqGQIhZ7y0gvOTIfZVp/gqcU8DESFpePxVvSpg9pNxbY
NvAls9QdZaw4vs5ddK266tvqHfFM7iF5ec5OBRIIKEz4RedkyNNwRZE73R2kd5d1yXgNuOP3Q8n4
q8SjnMfFPaSR9zRri6tMOAvfmKhhDfesRUbKAcL6IKEUOkFlO5vJ1AgEU7QS5LTAxS0yYlVCc1cW
Q77ze3DwqK7Aq6FW91ovenNK5IijZ2y0jMazO3U3t6G+ZkgF1qE5EB5MhDFhRJGkFUQebUBKQtNL
eC+coYt2H05Zu3UKRVPBG6/IPeiwB3W3t126L2NN9hJ7mtiQ41KtZ6nOjRXbO7CE4fH3V0iQDkwi
9X2XNcfU7degDJo9pzuxclFPpv1EmLcNtMqY98VIKjbqGW13431PkqOpm5SYX799rSyrQnTa+Bf8
ubTWNpk5ig0mgWpJVIXNol/npAiCeRvRkJDogGy7CprjAGN0MYDpOAy9ZxzSWcgVGKbgI7D1Vjf4
H1qSutdhSlIlchRh7mTlNHwsZvtqE2Wd5dp9q7HYk5chnynj7eNs1D9EfPOt8n+ubok7BzdN7jJA
k9t5qIgSxvS6eSQLvTjZhs8K7QmKJjnsInreoorNU9X1X5NoHgWS6vcgovUhOuuQE9xAcmSdHiwg
aqsKCgAGNaRL3py7jw4tezCXyG6H1g2RFHbq0iYBO1XQkedgwAzq0zcfHjHDaQuQLzDBVe/n/WNJ
r3VbCizeVUCAT+/WDiVKbN5pPCVnJ0RAbXfXgbvoBNhFXMFJ2ue5ikgsxVsmBvMllW1+TiFNDqF4
RJdGEGFoXU08YXctOXuXKvkp/C+nJBiX+E+1Fjbkn5BMGCTzctpWA9Mcb4CLTCveOciBcmgE9Hr2
ffFfLTH/ulo7jqux6Tm2Uibmyj8uf4ldFkYYkFJYq5B7vo78C0boh3TgXJOO1pNkwlOqzj00Xojg
182HRZVNyF69HuhLN27LSsh10IH8TL0lTZACuxEdNs8hOq4k/TQcp+C/2Gr/ZVl0LeWZpraU5cJF
4aT0xzedw5Yn8IRkvVqcqNv0A0k8aDoTtXe7cT4U7roQEsJSIEcaHcnZ1f01DYPboYV6QlNUzkZx
r/QUP+mZVYec3nVTetOpwSvmARQwdasQxEzNf7U5/nm3ub1z4bjAlzzKN3wgf3znZe2Hwe0AsbIC
OK9dHezBdou1H4oHLjBNIyXhrdWev27mW7mdE1g9EAAOkmLYTBFDF4UnkNTmptyg0QKRM4nnUULY
nBOZbdtoeongfmxJpCZsHXI6HAvVb4kDXP/7vYnr/efNyZVCW47tcjQzwdf+eXNSCCUgeqK1HsLM
ppaF9lnU6jUEsvLkQTaqMEc/2T6B72TOv4QUGTu7ap5yexSPJJqtrBALSejb5WHwEW9Vza94rBZF
m6aMqu3gNAAVWmk/MBciIzXMgXu1yXGCLOQgQXTeEoLMLlgBfj/FFl4zAuC2TVQJ9E/RpSu1fwct
Y9WPCAxa0mAORjA8tk5/pjkdrko1ETtH3k8PVLmQfray6HTA3CsOI+HEeQvV1htl98CN3ty7ZPeg
eBkWNQnLZ64tWyVEnpMfYQKocUy5mbnFZ6bx+n7E/k3PMlSiObaJ6x+g/PTAA/grIlIHbg15GCRd
z6EJDgiUQtAE/+vFczNvH7jEKd2+ZXVk4SjBoFBZ8aFBk7IamxKlUinlGnSAoFO/i2LZLEhnpQMY
pVuJX3qJIGs4kIfyc5iks26hXR2SztiS4FwzDuqYKM8jUSNot3Wvnm9Q6F0TtsSeRgUxxHueFnXw
fZifszm24FfZYQ00zXg0xNKG6UgIKh7I0T0SRk+MnpOfu3LIzwb93HM5Q/MPw/OEivjY9hzsnPor
pyLcpmGkzpUXYddtkkadR5LJ15x5UHZXzdLo3P4Mhca8a2Q5b0nJpOua6J/xNJfn0uyfJ0ULOLF7
xFCIgRtn7leysEZkl7O9s6bpR0+//8FQnx0ScdrExnUazPQ5GNxj4gFB9nPiL4oeCq8nGrGM2wmW
D7DVZSzkTF9fXP0RszFWCbx4AUz91KjyQzgaJf1u7la/+bRq+dEOKKflLiRDZc9FDR8MPPHHuvIA
P1OVSWUjujW+msqsd6jO7C1K9F9tWNj8lEa5pkPz02kmmxDP+WI6QfYDjwM2yCGFp20xqKYRXCH/
2PdaHvnnm3Xsnau0xBkXcuywKlyXltnvmGagPq+3vUHCiReT6UBj57ntaSN1+dZWtVgGlnrMwV5B
5L7WfWgz0w32pRoZpiia1m1SnEb0nhSSodx0Qfcaeww8PQKTYfXvnFLGd8A7mLGo+AfLEG6WPHsC
PucgQ3Qek7YncAg4xbrri+7Ko1FMIti3fXXpi9g5FlPjHIN+uu3k9a6LGfbNOWlALrkNINNaqAk+
TT5sfrjINklbjbshDF8RkXQHF9mrrvEg5bSVNtxjyOLUKsd2ygEKNKtXzVc06BqmE5OCKDmZfYnO
W8z9VrjJjiF0sAtGEC9jnGyC9gbADvOjMjkodj7du9GLxoNnFpLhc5igIMNt3IM3mZprbyXtwRqk
x4Si/IFb/JhP4jPvAnsHD6y6Bzbfs11LfKD1PJ1ZwmAu0Mhch47qqNV4yTEXJq392VMNLh3H+iEY
5SwoeUy2x+gjcQ2m3lbN00HZy/9FeFY1dSdOlTSqyQJIdcySOYRkqnYQ/hAXxoRlRC3WEYDe2q2+
ijSfL/E8zhcrgKqUJpAKgtTHS8j0A0RWEdIupgNS+2jDfT3Gy6hBET96BL75TSFIUmtSaKI06/hD
DdRCyIvfGt320kY9sM0N4a6MiryAqbS2U6myHYMSQkmBD44OmTGSeG2M+/cIlSWYWVqrCZnDaVV4
lyHjksdjehUoGesgyF5YhMRVi2Y/G+mrKrLsruPAtWIa4qApC3Kk7G12ciY8lXWDjgtBLVty72QQ
zCrjjjCPigC+J6OYnKeYaAb0/uWBU8EhMYmDdPJsPDe2aE9Vq9BG3UI25mpfw4jE32GjyW/yENUE
FoQ2K5ZdB+utIhJvcAzxED6affXIKKs8iAg0MM31ZxSM2UNZNh+obOUL7xdBU/ScWQwNSuRxDI8o
QVIff0kaM97AxUOTeFbZYcon/6AiOt1VUZoPfWKZD2nen+Ih/8CiW+zkWE7X2IMDIoIj0T3B8fdX
OEd6htw2HhCLbDq37uTp91e6L7f8U+6eM+WHqgsAvkYHvsFHYHCapvEd1/e0hT6C0VPUEaDxZRpJ
mJtBWd8FcdohWex7iIKdefYyZZ4rGtiIGtF7dBZG92hy2wWLCep6frCDILUKpw10IHtXB025l1I8
2l1lnzmdYHwfup8TpIJzcGxMCREMh0Z6ZmNOzz250ngYeOg7g0SbuRiOQeJ6+7rX+7bxr0NjB8zZ
mrsZekhlMklvU9s/dU3/t5dxTv3T7+/hRW2YjeAL6pForgnVYi5s3qx0ib+h/1TdC4846GICRWvE
L2EVZJjNGc9wmC+XJFLry5SC+u+u0VDTfhEjDrT0BrVI8uqe+oy2/2Dhu/RVvI3JIT4FBZqXkTyP
5ViT2alHdJpJHWBaw+F2dkT5BgMNy7hNhoI3TgS2lRA3aYd1l6aZzjq2J9To/jFqhuYUTz8Z51j7
4ubXNNMYqZky8J0Z6aPDWqTRH52R9GCG5Z5bkvs+L5QDuiKI1Hhqwmec+vOdZdX9fcWOYwbePRAp
oJllU53ruT1gylXbzKOYkrq50Q9nATr8IJ1ZXRpb/WBKFJ/DzrL2xCyIJepf9rFRmluHbFfUuYa7
Y6pxM3JExUW4DFZCo/4krwE7QWc/xKSk7tB+ftaBIbfjJB9ovg07pzeMpScl/gbTis6tqn55eW18
oJ9+8qM6+ALnp+jSKEZMby0AACYtQHoyxXEVKwXCyBZGrY2ibw/z0wEI/1CMN7ii6JCmlMl8kcAH
mWiBCx5tdN5F04gvSTxq4kfvbKu0PauMyC7csNAGX2PORI++TVh8U+/JEIoYAfDp6yklgGxSvyxI
2wwwxPeMZeaYMWLVFreJCnfM5MZjZA56N45fwkFdEuVmT9IAkqeO4bAh3Z2Hag+ZXrTzJg2X0kqD
M3P2uvk29KGOJ3BhLQSLgEENOuiHCkfDbhpBMTdlTYE2IW0ASrVrCLtcDuWzDLt+7Tf2xuPmebRq
xX6s0nnr9IXLKhWAimfLQ8nRXSCKIBWGarS3coCn0VhvwyF6CLjTIVD5zn3uN2obctSr4pqI9xg/
EH3NN7OD28d8i0mtXWwovhHT52gVODWEv0ZdvXo8oqkbvvXaQWoZ8ERaI5qCtK5Wo9V312YEayRg
MD9lXlwtZyjVy3YEj9ZyCo8mdUxhsnwxNaMLFlrfunauyq4CAklKGHV66A/Kmt9y4RjbYSy9/WSi
hpjIblpjMDafaSSkzJ6w4tby2VAN1Uncy4M5Ns9t57RvM2sxvtq+uEfGHnNWyPQ+M7R3nvnB1iLh
9Om09nqQgwlwXtX7gZbF/qZVgzRPfdTjvlnOuqnvIE6V6xrw6EPkgrGY7ch+SYyGOSkhWR/KgRJY
SoalcI0eCdJaFQ1NvkWNtVjH8G4y29lHQT98Kgz2Bi7TfV96Co2zC1giL8rnwCRtXDmxfVWFVpQ8
xXzRTiK3SZmoo+OURGiGyQZeZLlnCjacKg7v2ybBgtH5Rs0DaPcP1HW03yEvrkqXppN9i28sgxxh
r+mlb7Cj0LYErfXDVvZ7rLri0wkkgXtB8J1St3jTRnj0SReWfGGK18V0QPYOgQbRYkxJznSV9e3K
6FgIoMyFF/hno7OfiJuyP0L4bhDYx5FyhXbeFJXda3/zeynkJacoIWkoKGhcAVIcH6u8ArNmmPra
eprGoSzye7yI6QZdFg6lJsJBRgueWiQqzo7RxTskGsYxNikgGLGogwyd/EAelLkfNMc9iwF7GmaQ
10i3gbQwNZsRsFmpyT/PFX2oeEhhcjR6Yt7SmvBOi3GVED2BGqirNnFZisVstymtn+mFsyEHYvlk
+X6+60mGP5mcdW5CX0Krutw/RWaxHefMWpiiHU2kFV2/haz1i9UlX01eMsHSj8a9GRW/htSyl24A
9HmOKn8pbU/B8YPyEMTZXe9a7VbHjDogA7Csxcl6nEK5bTvIO43ntRebLA28SV3LHD/GMtLlnx4/
zibwgfmWNSBiP4cGUoyaQJv+AjPbvmaYDxGL3Q8WawTRRzdVXpPyPZ2vDQkeYeqxaSRVtRdC/SDk
Id65wnjsx84+/eOFanNCki2xYPz9NxoNHszWTb+u2lGdqNz+9gIEUZ16IMrU0ojtyyowT+Y9YGWJ
rpk/+fur3y9a5Pwd3QwnRvSODqq1aIAdDG7FA5OZlTz9fqlcOonG7GPOquDTwBsdSgKL7ADnY8U0
9tT8/cUhR2xfK/swTy3fd7MEgcYAksm0t0Atb2g1cLe551b7Tkh5+f0SpuhWBkI0SiffVJhDT79f
ApIzNj1GQGTPSX00LSgNiQDzCU4emwIiIoAt4LH58HBmZelx1HdYuVj0Z3RdNCJurwMKpEVZetlG
tGV8ylsbx6GiBi2IihE8gAeKV1jfjcuybVAnETi7d9PQvYoipI1n9PdzhF+cnxYTH79C4z3co/K9
BfyqavP7e76ux2UX89kbEwwXlrbygqev9EnuQl1Z+Rfv9n0+fnKH6Id2g85WpMs750rFztkcavBX
SGX0Pmbk2MY1uM0ivMup0shjHQ4TuSX3NE+yZ1wLH+gewAPdfo/0eDxalt0cf/8mjDlzaVNY71NO
kIcKF/UN4W3epV4NQNCezw723LvfL4j9qLVBRZgp4ypKDf6YM7QzjWTvKWn0e12b3d0QG93d7686
kW2aJiUJKaH5w0lwiJcQEUpKT0dsgTG6VzNx9dV3rGc5jd7R4zkXRlteLAOjjBNa8Z4gxvygi7lF
te1woMt9tXN7Wl9mR1RYlZuPzVhZ4GMycUkpbvelXdY73IzpfQ5EAkdA5r5ZrXHVvT18AyEDZC7M
T4MREg5JN3hq0ijc9LlTn0TmdUf6uM0yGOrHotL2u+Hd2WFC3oJN4SUrVa8HYUHhjbES4zlHDVN8
+RyssYI/Bj3a8JwIyDUNYoaMHGl8KUw4V7raJNP0ZdBO2oDYHu/SiIw8RsxLZDHm2p/G8PjXl0oP
GBTwPR5RzPp1Zh8AAnabisdcg5a9xS1iIIAEZCbgq8b+q5nM+swMVOzE6K3d0s7WssALnGj/RoWV
xakbVfDqpOR5oU55gAMssEtHWH/4U+McetvW6Z61WZhLTaBJ6iHdtCaGgQnOAnr0ycKbjp41DGdm
ueklga9QdbV5VxjT7UfjvOxUNGqW0YC2ro1nd9tz3a8Zzf5r4sIJC/yuO/z+3l9/o0qPQes1vOn8
zakNHBBqQPAiialBHJb0d3En8pv25rFL21OM03nReMmrMTIHylFXb+wsCvDOjYeMnLVymCU8jfbF
wY8VRPQDG7Exc3MfEpDcBDMo1EpyoMiLDQ1G2BBBQ/STZR6U4xAiUcv9sKwG/yEjFG+ZB95DmQ/P
Lesyc4/C2YZIp1i3CBydN5yOEnCEOdggHf+qh/itudGSyrg+VBYnGDe70NG9KFwFK7qAySIp4p8l
cHHUBE67rrgVVA1dzi6jFxuJH3JDmCxTzmhI2YTH+zIYt46Naj/Arq/SODnOfnbxTc5R4VdjY3Cg
pfjL6xnQInWHiWFx8s+tnejjd00wu8tTjLe33je2hYI4cPAAkPVU26T5lnQ5cRonjDZ0czby7tvC
pbrliLjpXPxJceiO6zJr3nM8t6BqIQN5EBLlO667s11N/SW275j4771xNL5k414qBNFOP+mfDoSa
2ArDlVZ+u3dsFO6hhhRaULWYzNFIOpJ64sThoTLlANnC2/bFai4LYkMbboDAG1+HMIZ70ke/mqF6
RHMVfsRzh7aU6ERSQpBd2WwIswqiOyaQ2ZqJQ7/CelldJmq3yWSfQYpPr9d1GjTqyl6lrbK2tVHE
R2Oyra2dWRGrewEzpwjjLS2+cd2G8zWzHGs9V/UlR5Z+YKZAJ1MzGSxcY+kWLy3GEWa+brOYh3lb
5NNPCzkgRTEmkwyOKci6pfAhrzvgbTtwu2Z263G5e0jrculBEaL9nIWAbBn9NCFGndFCTa+PQegH
jz5R7rgsTlLL5OLV3Ta/gSBn/27O1M2jdE8E3A7ZdQULRH9Q6/4wMwnSTr/SHnodbIN+hvwCiHRN
ZLcfHePdQesBDNTDuRyw0xU425i3hZn+BAucL/QYnqKwOZMGfqoD573uSQw1QsnuNq2rvLAXZR9t
06T/jDrkIqhqkNmRWZrKk8mMz8Y7Qr952sykhAIvRDzfa6xGALCWyPiWSeu8tFnCIZIJYI+/HhrH
d2jVX8YIyVNodhqSTj9puHWaWXpvWSvQI1hsYw+KE+8kmff+dJPlOx/ki7LpYEjAR93ti67d1fEo
12bBJWvz9ihlexhyHic9jG8OBtwFHZ1zGmpEuDNA+bwtoiX9j0fpdS9Q5JbEe7wrIN1tFWwrkT5x
g7zgLbk0BrwAL6h/ugW2ciZo115bG+6gYgQ0GRlsv6l2ifMygwcxIPOl+GQYlo1LEpafQ7ZVo083
iUc8VSUeU3Awpoy2Lqt8aJOqEbI5BSBa94Mszobg5pkxVlVd8cHDQOdvE4OB87W3C3r3oDRdWGPc
tRMNaZSe4bKcxIa0agAi+QQMCVkb7Tmwk1n9A6UJXgqgFepS4jS0Usw4Sr13pnigqkKqFzkv5TwO
JB0Rw0ofeEHp13FwDiGPWvEJv+oRU+q8NT3WvkQOzS4v9WfsaTy0jFlTJ9gxMrAw3doooqLXzu5/
dLJ8j5P8LsUvS2iSWo5T81SSAeuNivGxt7Un4mRFNn/1s4m7oSeFekwC69oasC5VUV789NE1ZL8w
KszOVWlay860vlHhy1FfYdzfEkQUEIDAntcaEr+5II8AFiY0iMAivTXwuXX8lLBHKq5HQT0SNxi2
8GUIeA4JzIomeqlHrpRUH2ZjWWsTyu+C1AUInUl/SbhFlrkC0O87b4ATnS39se3EsS8BnnzKsvqb
DvKiz1I86H4Ha7upoGg2A1JpJzjabvZg1+WW/jEnwLKlJWqHv0rcReBd7HlRVN6j3hRldPRN2S6N
WB56tlOURospxiZP8ryI6TboRAG+65N9Fs23MJpx4fkEN1Tr0M2dw1gFxyoAiuTXn64BiK27ZXGb
0PaaEr1Wl+XZKuR7qybHyufruaU4nTZR6F4AXmShdU+zDph51JGxGL1yb7iLLCvrpeuM0c4Pq50d
Y2KPSc2txI1aUZaLwPFPxlhWq97+lQwBqIk2WA8tZgLXsHAQcvygZYjW8uxkuPtHvyuWojc3JQ8Q
vPrhOypKZDFDfMyS6Yyq+R0vmInVobbbN3AE4U0zuhwCUpLGwNypULyHAU519nV6S1gilQFwkY4O
yxQ5GqTk6pXw4lcU/aydRFcZ3Q/a8eUZ2OTScsFLKcTKJlcBsS/MRGkUW8hmdARS/7liDFM0ztMc
eS/4SS4IqG7heP2L0D6zZ7NH2Rw/Db63dgTANNmjZklsRMQKUcxEEVMrn94FPdFUX6qxeq1vydtE
GpSUXwZcJpTQ2cgP56cCHqXbbHj7B8cJ9pFHXcSGXZfoHnpOn4vkqCrSVcKufAygwJzCgv89xyjo
IKjbCLz7WPz9YyW9jEi0ft0ZZgqcPP45zHuBXGRVVeLBz1GuGOQdNEm6Kej6osfI74c4fs9pFxQV
qYq1KnZWTqhhYjMIwhgDCfY8+xb9yoqDSlt194NQnybWVPy994lF543AQg50DpcvKIFPqZGBg0np
xdxiY6vhyXH5j3CzMelsqZrMNzk3j3mM1pGpQSGdSzVEFh59c4/BeVo6tLsWodlQmQDgISak2LBG
NxjRkp/2bHypDEH2PLfVpgeRLDjI47Gl8LeAytut2hu5tWSYciRg4YxR9FijjwgK++qq0Vwb9jcp
8jhZDGpl0Kc/a7pq0pIcq5hexH5j7tLwiArul19zGBWzaFaG89N0xFlYlYDiTmpinnsAyILqtehl
RmvHSfe+/dgrG1ldGLwywnxBbs0PEYQf6Wi+WiiXypTmMkWKXN7U7oSCYt0maOSYudMq8mR4Z8+0
O2ZnoBlx+1wDs72bwRQtGf+CdVEQmFlb3sdbp3fyv8BDQtiPjbMWNONn2mZk/JLWSyw0rRZa+jPh
MmEDNz7H5qB8AqI4eRZRCLk7uxv0cIKeudKTfd9a471H5tjCaQu8CACTj7/N6kTo8UD/49dhX1bH
UQhjUw7l02DXHwOHro1pt8B2Arr9x+INapk+WNi1VoJUeEx2U3eM47I79jd60++vtGPYS64YHMTi
RhmelX8M8BIcabuMKccRBAV6OWZZkC44WzM1Lcdw+ZuLEksBp/OmOiWeiFaUKVO6XZV16BrXOvz+
6vcLiYEUASr+NuQuyzqxbiLtgZ4J6y227ocwO4sAWpVVW/WlKvDCTBLjDB7CHX6U7Gma1CHVzPEI
t3uLOgYWQf7TmKFDNrUVPmTD2ewbkrpzO36aSbQDxlFGrEtWs4EfbkGt7Iej5dAGrSqyUNo+a89w
qjWBYeh/Yab3LQNDg6h1P0nX5hRxq+n6OfWmcVvY1aNhyu9MVCTskNexDIJoE0N33MVNMZ0qWr67
Ivryxzq9x6gCVAkl9E2qBLicAywUz3N9Ax7JtnvGwnbnG86rH16CQL0xxKfSUNMr985JWL8CK4W6
b1zrzuXI0ZzHeNjckFuONl7Jdvom5rbl3eO0SAtmLWxVnauhsDi4s9kJN6WOUL/hzBmcj2joL72S
Z3hJH72hn1XMYbENTh3zZKdu2rVKby6KIWBeVxc75WafLFDLthi/y4LwBJKuNH7tpZNZt0OTNOAX
jffGaOVriJ8+UEAnq48t3J0x+0V+4CHvHkg32OcFntuc4jY1t1EjD+Thvmahfi13fT1+dwGyhTnF
TIv8pU+ql8JAMtLZ94VCs5qHMAWp6rGDJe2v/Kc7UDezzePi8ekBA6Iv5bNXime/jc+VNjZh5N0z
pvrMwd35AdSqrrybpXssRXgOC/c19e0vravdNJS7Roff0P5rJFbZQ+vLtYF7YpGWqDzhgn4yZNs1
UHgdvIQcM7tkwXOB46cmN2S8prN54UPEld20RwOeWp+8+62678mYQsfw2pryamfBpaDVPN9XRXDg
M0AGqC6jGjZlgRJtBnnJDv8TwtZ7P87vvnV0uuqRIydpzyaNJa7YdwKvNXD9lwpI+jK9XY6ma14M
931wXY7LCBVk8BFl1saNqxNwhaczdtsnsAOM7LyNK5lHEvNWBfCNzearwKVbD5w3cZ1sxZhg0HFP
hRHJDb1NRvc321bMQpWV7Wsw1mczupGmsPdQM6frcKwOYxy+NFN7V4zvRU+YS97cNyOKsH7onlsz
vkNXssk8oswynzvfTusn/JJbAYt1WaG7RyaCWyvzVlW6nTSzn7oPgo1ETabMaViNQUVMq7M1lXpr
PGpG1hjg702AHuXLUvE9spZLm8l7VAMPbj7/jB0PjZHzmXaMTmsXw2N3aCgiotDKdp2qCAXF2oub
bRtIvcnnWyaW7ZLbJTCpcU9j29RFdU1y894R6n8SdR7LrStLFv0iRMAVzJTek4ekRIkThCy8K3h8
fS/ove6eKEQeXYmXBKqyMvde+8fFW6Tl5r1KsbHo3nKKue4V7c2s8Rt5ef1QlWZvg7q23ZWejKfc
q652Vh/bfBOGzldksCJiR0R40pFwURELmA4lhx8fNg7x175WP5PC/acr/g/sKVbPoTsIaH71rw22
myNmtve75gnZkNDMrP6I/ZwQNBTjmv8aFP0hiqxrryaPZniLHHjhpEC1NqjFbDDvjsHowqyjF53M
FUleEwG4T2aemx5WbWGvLVv+S7psRwDHqRT9p0DvNmivqG1/K5fOzmglHx56f0NFZ2rFb6HJSsL8
z8Pmk97a2tDRnMF+qhq86bKmfPNgGJDtVBko+4SeKqR1v3d0vxAhcMNOz9rYo2ast1KROfU7c9V8
UPuZoUZAK9lfNMEgteic34GO62hE/ZxUqZohzj1x1Jj9EsOQNsopbbqhKUMJ2DgZpOu4Y2/xAzQp
xutoQfb1wIoQSnbyTIiVec0SYukk6brqHiH9Z5+KWweflNqbwS5x2TKwdqYxKgvkTdBsKmXeWjHh
lEZmzjCOfrMh7CNKEPdaNyx9OA540VXxrg7tgczLmRKlW5tsAtdTiePIXzR9FYf6ZRxa5Jug79hd
K51CuHY2ZqbOvDpbK9yKjkUHtwvJztuWY79WObYSzHrQUjLjwvaA5+oZRtnFihECuDG9DWvr5c4Z
iJ62hPbjwQHt6bBHSnUQhbL7o6KbxllNw1c9rx4xf9LSum0/yLke8FIsd9s05tEZuyte/rVVg4cn
Hpl1NSJoHFYQH5tkCN6kexRv2dKOgkeVv0A2DDcFDVw6ct1V1j2nVyOEIIR4o7HhTdUCfIchjqHG
LWplJDcBY6tmCs09QFw5AUvazOLoK+3hnEpxHW1xmQICSheosY74wA2qJ4rLe6X9FJlxEMSIUEvT
QNFL/wve39kp776zCTN5cVjTRCzf4goG9ZS6NXERAlRXTdtvmEudRNgdYV4dbFRAWU7kbRt/mI7L
wdoCnmrR5/Yd69PWUX2rLikVmWFezLLetgOzsnoIb+TNvOf2a1aIT6eCs1EwkEK2twV5sIO3++JS
jXm6dkL1zJDRg2uWqMso/3bi6mwpEnJ/jdY4X5QaN2COLxpwyTEL2NIa3b36lvXaDP4d8bmXvGrV
+JpPlzBm96HttbmB7GZuOHwKAbHaiJY7HX+uORGZ3RfddiMaVf4/UYVQUnhtmqJjkY6xoruMN4Yg
nOdsSC6NAzILTprF7YQL+MeOccmN/lxPzZ80NAeOWlTttIIujOjpGK4hd8VFcCLv6dXWZ7lrv0pJ
DnsWUm5B5m/z/F62JnMF67VTaA5DqOTcug4E1MAY/m3T3jPbQuFtXGHu/nIfHwb521vOsauT5+hh
osoabxOKVsHfqX8qerEPAhh2o1ZvdIwY2MlzkNFt9ta07XrgwojV9J1qyUK3D/RLBPQc8vpVImdc
CsHmgl09jzAMQ/JJTLFqvPZVGMUuwrmIWvKglEQB2ZF/A3VkKu5CysfQ2xdj6nr6ZfUaWt2V1Qye
uXexh66d1RHtApIltgBumc3wCeiZf41q9VMN1T0QMtfhT9N2aebINRKOUMCGF4w405lwSH7SWqL0
MOGSejtPp4XK1BmTjMHGj06Al6mKYWObShIsIK8TPcUK1eTcJfmgvHv2q+o5H4pRnFBFfSY1azg2
rh46XkacJp0olkKlKa940v4pSo6hp6VD4vMRBVEL0tBL3uyAEF0ahEu/Ts5lanxnPUvVEKPh8PT+
HiBUcobeoF4QDOdheKmyI/OlVcAoe7/KKL77YDoUjsptcBsQZPmHihKCThYfU5h8gmDa92MIRy4K
gIJ0IBedBFKmz6UZ6vTfrLD+NdrhXheQW8cMNIKVxdcuRaZApAgdu+Yb9JukH6qAIbQIZdEx34GI
ILFmLE6FW25KD8Tr9JdDFTG21nw7DTWbNqKraxG31AlzmYob1xrlj11SP9vBltfHUhNP2Hvux0Jd
B2n9NdawJEbC9oDJAOlKFAuDbvHFXG8uMxO9oEvaLt6YLQpLxjzMIWZ0sNeaUXxm0lFnMsP7h1TA
mAgPmlT6Of3GZYUpaJa2yVqLm0MuKMk014LEkWZvSPj4LAK2DPNclQ6NSD/9zdhGxchq4PD/SYIF
/WAKgiipj1o6XtMMZatlXulFU9QmFHkpbwrDJhzbLn2GpnbXeCNWnTd+ord6Cdx6R77hnrHpPHDL
Y4R5a8riAduC7laSBFbXw0l1nVkgHMI07e9opK/Xp48R7YAnsUJDW4IqqqoMweMKwxgCJrUsflXC
iNEufqJOJfqi/qiL9MPTqxedea0SR6uiZb+rEeBxxh+XsUgQDfZJudCr0p4V9dRJYFojhp/aklQ2
qU6wNCy1tFYPLO+LHi643iF2NGIqW6XcMi+H31sxH/XPlj2RwBQPqiGkgNZOHlYIJpA5h6pCHeG8
ui/tYG/Z7nUI3DMtlyem+1H/50J8oXv/TVTFF/iEtaOb+6Flt1FtkCQp+1MpMyieFR0ju1besiTe
McM9k00HRMCj/ZrqqCvzp9Uzfgy8EgaMy3wL52I96SS8S9CzItSFuZFB+9EoFlb2tvpgy0gd9d3S
6dnbxPlyhf5zUdlyFSk/7YBLqOv3iclFWQFXCYJxB8Pv2ar1q56KV45Q9wC+q1uPx6YWd27mf7n7
MiT6d1eyYyVJ/U4jpteaDxcNASAF2rvSG3881i0+R0697FpTLC6LMrHLpc5wNfSHXV/x1muT2cz0
sy8q3K0tznS0vrqYcY+Burdx5ExSzCiafu8uqmG/wWnrMXO37+OIAUZt/3k+7xhiC5qo6tLQ8I55
kfYyqOYzYexhBfFFUcavWiYv5ajdSbmZU/HcymmZUF2DiUBO0ecWL+7o3mTSOnQNuheH0VREEuVc
pck6l0n2jMo1Qh5/BhboWRnBHlHboA+3rAZvo9GyL9vPgFO/YbI2aWl7Hgx7P4T63U6spRUwUucv
KKRwiLq6tZiSeNeybanF1wmS6AR7t2YpdPPgGfT2b1KimWnlzanEqWVCYdTp+SJL+z6U0Rvdg9No
kF4YnhjuPry0OOMLI6qnfBHYWwFk7L3c/kD+9Btx7KsG/4akZm51jBosw//EL/LSU2Sg9kMJWVFU
kyvVL1BlHYgteeoJnB1Na3cx3EDN03ZV0K6SUAEEaVJAqO07Dtdjona7n7AzbgS+MD5cNuH4UU1X
smlSQeiS0RnS7th1Pga9IA+nR+LDBmwZFwgeqyJJrl7JLVmQ7cmsDEmNfpzW4bGKlwptDpHGH/AE
d1i2ZyoHL3LefT4qW9sMjbeLHFqIfrhXkjVmM3A/LJyuFdzhVXSwqiOWpeHSCpsJfVjD3wYEM+tN
4DGmZdIXE3IexulnLNUXtfK/wphckkCkZC2M3XdmGAgb/H9JE71Dz5lGfgn8ekEIH05PteIOCglN
nQ85bkGzWg6jg+ZFr07xHa3vW0owNcK+7sVTJ6bgxs8bJAXOwXVwgQ5Ee1gWPDcT1Vq3BOW/aN23
Rn3kVbNIFG9HMMXBE7tCGBf4+4ewgtAX1rgdlHVY1PuQS6YZCemFCIBzrNZsTMSQ1P1gFTrDth+b
pQrd2Sudt7pKTq0CNSWFgTvAcURrblm4Th37DAvt15UlhwYdCWh3s+sUYSlXWhwBp03yjcLcVY8s
xvrQRKFnb0y7/RrK7FfKGCW7x3E5+VahHM8o+iqI5eqWYGea1tXk43azQ53StbeTy6TAd3umeYpG
NeWOaBSrDDR4WLJUGky6EFl3znk0u3Xkc9IlwPkbXPw5YY1WUqIE/n6tWUZLaZXPTqnamZvar3gJ
9loAcx4hL5P9JIRlV25cZG4zJ0KxXrXMgluoXf2EPy9q5JbQWFT/3epKPAflE+jTiryIhz5o33HT
vsSlgdb3nVHhHf7X56ALTM7RDknJWmNWkzIvV4rsaWvKd6qIF4ds04pMHsHoCV36zehJlyXlb9Qd
0pHttdup3JqgwIPwUpjWi4VUYTLZZwhGrWXU94yI+muXOT9m4/6Ia+1rH1qWrLymkIu8ix7CD++G
ENo0aHfI6kNEKJT3WrDjmKRbpE6/N0XzzNHAduoULiPZyaVR3iMG5a6nXSOz/m6H8aOU2ic+mkWm
9bjgLRyEok3Xnalvhwr3hB91n02p7tI0XNN1fEzRBqjHK4zW8QVTDfU+M2vNst9rs0EW7a10n2Zq
Bj/DdH8FQzb7xbKwF3kjGHGlKq/qtyHahp5HQmJU6Rxi4LEuvm5CGWFqNL2cDWZIsqpOhR6Xzakg
CtFyq19Hlfd48G6jhTRNyF1vtL80w6YGUnRVcnTdcXTVGoAGisfhS8sGeob5GmHidrDNF8eYpsTd
b6bFvx2jIFU+ehUHVuB0RwHFRrT5DU3/LVfqbf2fX8GhrgA6QNBnfmmAFc6Yp8xoz15qP7qZSkvt
It4yiNkqzo0ZS8I8iXBB4VJONRbhLv1psgn8ZwBdRMWOEAekjdMKgMrjBGVtGdX4qIt6hTqKJ3ol
/G5Q183Gtviop9fqM0T5ezZimGvrl4AA6YXL0VxV4EKzhC5iQz4ShAJzViPUtepUTqKFNCnVQehO
9O14F+rDE3bJAtkwn66PUsserIMKw2dVWIBW4XPRvza4vCpDQVcYx8taV/2NnQ+vOGg8WGzk9TXv
mt9Wu+IX56xPumgWeMwUez27NWUkVga1txBjsI0BfV6CEvRWlZLoUWr4lOVaz1s635T9CAmhb/Yt
SXTAKN9stTI5xfjqrkwLYvQC5eR3NLAiO0V3ppbnwUR8orh9thihCG3NvKNh25grs/HSNRdJu8Sc
1MJWNR+9hOrq2RPnx2QAZnfvmf6hE/7JDKN1ZgwRz5qvnPpk0mWb5ovJMIPZhE63O80eqQ1qJvW/
uI2BcWtEsJViK6YUUimrzyYm/kDfmCYt19gEsolB52j3tIDs2vso3f7gSg7V2XBOtGQrB3EN+mrv
Nlg9kElQYW+92CG2wHHYclpUBxbN6rr9J23zqSIlMXvAj6NtN0utYLAKEmPkOWIv6LgA6ZbfYx/S
IJLN3fC0Yxdpr0SVQg5FJvtiF8ypyJcWS5Eqbz3X21rvpi0p1zaNyK4yVu4K/U7b6vCcK8l7bcib
Goy/YZBXIApTBP7+thrREgX6Lh3Mowzsl6Y3nsI3NwyCln7rvXex/LSzHDb/eFZ95ZGVc6nadMrp
joDpF6dEjsYsQJY6x128HHSTOXsUttu2KQ8Znd9gGKi8siZnjDAuC8t9RFMUuqL0KQxfMvvINZW6
/S7i+FCV9U0q3ldqgTYrBGFRmPAHL0AjxeS76Dl6TB3kecltRZrua0JlZmhoWQR4SCmZxEWF5DbB
K3r0w2tD0Ne/sQYSHSbOm3OTQ/RDcDZuUx17nTHmS0468aIdrAbnmv3bacAzyQeLQv/x9yOke4Ck
7lifHWJAEm/U5lXHpRBVcM0InGG0VVUuHaIY2JrRSjpHSEmIWeOGK90v2hf5rES+iASC4IMOFTwx
dX8vd2O66cPwLE5nFtPR3KMRVq91BXojoSmUl/nZzbIzarB+PrQDTf7UZo1Uy0bZVDTvwXXlByeU
//2iTQ8BijE2H/GJeBq3nmsskpSehCgOskEUm/dptWo55hwygbDHb9QIfIURH/++UPSBTB0hX42M
C8/0Yk56IvGJVCBlQyY6TRt0G4w1KDXoNq7j0SGYWaLkjbVSwySaJ/OUFXfx91wZHKKiFgdOlK/S
KYkssIJ2p0up7AU3+340rXaDz/8/j/6e+vuiTj/x/z/295xLjw6gKPQKJ/JgUExfBEE9SxnFnHv/
7zn6v/5kRPJJA//fn/v/57CYRHOZahVuWyH2ld8gdiJbHf8ZTj6tpR3HzId/+fvnUuvEPlAhJyiG
QuytV1UntjO5dO2wnStDWJ3+vjAf77VZlXUoBIy2XHbYhNd1Qsev5SBBtzbWqV9JYdibICiHHoEw
8v0thR4a+emLaqbQelTkUtMjpVI8gqFCvNvTQ4OduGl5eXByA1LVeQGLFIswPZvRP9p0Yo9dXP73
u2b67u+hlzrmwh2RlYP1TclVYrKCe8okClSTAT2rv8d+25prNlBEFYGyjPScKHUxXErDnnQzClC/
ymZD/s/jAhS7hm8t8fGWaqC91LXQ+QO+P9EblBEGlk/bsRktZxo9OVRsHPv30fQlZQa4NSTZ36bR
SILfeAleDAisN0PNX4SmRuapky6dDGwLcBhIfbHaHEJeH4x8BmWlrdnb/zyUsji5RrGf3G1Jpukn
aXn2xepHm77XotOY2EQ+DQ5RGWQT6F11holTrz3PGBhCw4j5+0Le4Lgz1eyYF648dMg91kVmP1sn
wYQVmKM8/Odb1zJWpg3gdyjc8FSP3Y2CJcGRxKO/p6Jw/O93rlMfcumca6nLdRSVxhnPvnH++64q
S/RJOpbikhaZliT2PtRKexU0SbcKVFt/lIIGFOLo6hhND4d2mULQfRBAJ08UQ8DbpqezXo3Xbgpk
tm4zhdSG/isPaqCkSquu49hO72Yb11u2e2Rs00MlsQq8QwgjYqffmI2VvYSNYt708Is2D4c9EA4v
tvPODNu+/f0zwuhNZ2YpPmGZrTqj0lbUzGqhDB9w4aHfq+W487KO3d8teMPq8QPlIJzYViPHgFMi
8JQI32jrjB9ZgOekritQkGN8agtyIR2ydbZWNDJmkwRzGJ7r78ckYyBKv6ONWCidIoi3tlKLG00z
CN64o4C2BeI2TF8sVPVKn91GPUD3SzMnNvN4g0PFn/dKYB2iKkUS73B4/3uo63I6uvIPcK58hB2w
dUUhJxGo/6sFebr9e2REwGl9gemzyREMJ5gTGd2BWOyT8eqYTr4l+jrdGwFhGy0JSL03uhvYBne/
0uuTQTF30qosXDVSUxgjySUmcWMLyp0xkm+EaEU8FpOBc1WaFcnSMhLNpe2b2ztcLiTvab29M1rj
WKVas9VsCbkG++zp8vdtOATwZaYn8Ts3x944o/PxN8XU+NP4feUy1fJVE5Ntq9a9vNhYBhZDjEeW
ptbMSOvuHdVuumkTmJNiesjJ9+jw398Gel+7NjBJbRLOHMde/hHDaUJ9bH3TcUNtUxXanWrEWIWZ
M864DVncTFTW8dgNz1hlCEIH5Do6nTj8PZ9xpJwFIA12vuVX/0IoMUVGUI+N1OFfPDgMnYyOwUyR
GHzSWvCpkqdWpfqxA3CxC5lnXoBf4auq/UWUUqiGsU5fMh8wnCs2xhCRkAJrkUsQ+ULdJcDuNywA
KwLJ671qUnr9falR0O4tJ+aWhcdgUVkdrf7om+Nw+HvgZpVk+SyZkco0Wg3Tr/77/cIfdRDSn5kw
U7yN0/MdnQcqS48jbQw/3ei7c1GDuFJNTM06E5KBqOW1Uji/LXtnoDguXMiAXAlS2kLuncRzQV7T
ppyjWvfnnl9CIzOZhUh8u/A6t2lP9rSBPMw3o55L3/3AYf1RmigPEWbS9FZ/cFiAbO17EPF58fVF
rBjL+UBDkfgMhoEB+epDDggdPMMQHqugIO5WR53Ym++MJaF/Yksuf6zOe+r9v7jno0zp78zwGvKP
bPSgKR6QqWkWxnAb44SSKDJfe8opFD6fAznOdN3Ns65MNRC7mlQVlqsqvuBjvGQ2ja0xs+B75P/S
GrX8YLCaqX72nejp1TWocjuG10N7B8GccTorXzTP+i7KHXF+Pyk1s51mTzaI54CINRdfmeV+KEjb
yGAknKLdGi4NdbU/ZKO3FRVKc4C5aEkeXWO/h6p3TKxyJVrsBOFRi9wrweD/2qRcsUEz9CnVL5eg
b0e7sKpaMWuphHU3c3R5sVTvVrrHlplZwcANBTv5lpkDHdmNbxhAFmjHN3XM8VQEdLXt6KZOXY0+
bgUy7OgtGbxVWfufVkpnK+kotgwYBY5LEzPHGbSodSzzqv4sRLDO3GJPrsMjynq6E5F39ev6SsTJ
osnlKsnlB1CVXWflq1rtNn6dPwggftebmKZ41d+F6q5zUHwsC2dpcmdKG+CyaZ5bkd7dlAgxo8bH
RSCCka4Y2pydcWfUcgOemrNxhVTXO4ZMAkSmEKGTkVbYXkwN1MIYkZWXnnC2LzTiX2yM/9J/yY23
IVknpbEgb2+vFcS66gWyg+i104P9wCfbMd+uA8g3qcOahMQk17TXIPDPY6LdPHQ2yPySF+Ihz2FD
pKpHFlveMbgOEbXOmtH96Sm34kG5kH32U9L8Y5k4+DXBflN3i/CHqBlJzx2Hj0ww3KjJ2BUdposi
vhPBt3VhJdmjS7NBXUqkBoBuL1AON9CokJMzSXANWuaxEZBUo3bHPIrkNjX9U+jmWJpa/Zmz+8/y
VjizFp12rpa35EwvldkLPotRf6pErDOrQ5LHhfhdY2qIx3pV4j+dpVw/M+DETDOZ+Pn5rFXpPtUN
FOmhctdm56/6rHjmZdizczkPEkMvKH3PhdU/zGG8c1JJCucMUPFbd7UrnKtPO8XWhe/BiigcCzH8
+p43Zzk+K748JZc8bF4H2W7DpiCcZ3hpWiK8x+GRptqzJkZyFnGVJJyNVNH9M9OOc2TXrrgUtuxz
P75VjHNXeeo2LD6N82GEg2JhqBBA6vbFEI3BbBu9eyRg0kFKWkCQz2DspxuNtjpdYlplRH8hqz1Z
AlWfX5IpxgDrHpF805FePLE8cPWQsENJSa9Ph7OqNvpLptILtEt9Ybt00r2sIq8sOdme1HY67ol1
Aexk3nnFQVOZolxznwN4VzJXM5NjZWjXmCK7dWkr9ky+LIK8qIJYE1jeZiQtMV2grml8/x9W3l+7
sL6dCJMhA9JQIhWLlOKb7q5+9HF2OFIb8C/PwjYrD4rT3ST+OqyXoYDEb2cw1hnewHbz7I2tlQ9l
yOhtsf8wYqob5Gc0bhWQ/YJVGHw+cWkBIU++fCnG5BYDUV8VnBcw2wTdIieqEV0Og0GzaG6ts2K8
G65LpxqYV1fLEvPGOJjrKvfJsY+/iHbz5n1v0qIVtwB36q7ngOd5CpjcqnwaSfSwxCrLnLdQTdD6
RLukD34SI3Nmrk6zeeqASEqWEK6Ep3yNnP/ZOCcevsm8JdXiZWqRkEhHJ40db1W/wfJ6r6ryR+8s
k5ie4Eg+LzAdBrazaNT53zblRobpZ9drl0KX73bP/u4H8dH063db1nLpiZaYpZjhh92vDIEAPuzG
bB3IflV6dXjKE9hpIYEMc6ahcPaM24BvGrYwqnfnw0HMxhhzICixcw8ZsnTMcpsgJvExchkU//UG
1K6aR456SDoAF4EH8pFp+RInFHLJYRJfLmoXA4HrsqTlo3AQbtI9TSm8GJui+00FOxnHU8I4MX5A
VseQGM9TA1QBRBzuBNaFTiPIwIoWje3wEWeKsYxrtGkZXEdujD1ZMyfDTT6QwQUoDI0rcbowhEf7
CNx8anLV9wHSG/ZI/lYpHvi8SO8pYQ+5aAyjTPtwgLEj13hPbda9GhN0MA7bvwcyDBDqs6ugjULI
R98HjDHObCd+dl6yq6Jkb4YsB7Tk6lkxAoJuRyRJeWKTNS03YVm9I5UMcsafjaWUALSSt8oZ5m2e
/Fgq90mVfA4u0jDII9fSzvx5PP3+sQl2DJ3pWGprb/IskQjnzwMsKTOtGd8b5TdszZ8e1Eya4/YW
zb5XGDeOUiGULujWCVGdIIlQmaUoJcmeP4Kz669e0W05nVpb/jxsHfSd0uxfHIxmKAEvQdS5uzaq
yelpVKJp43jX0A8qwlK5dOyhukzMk2PF60Ql+0eEktAzogMsBOOJ7j0wA7Jc2h1IDQVXVMPo5uYY
QzrXQpiF0/vN3ClfcsklK/xZwyHp669yij/sWtVcEtNCOhkplYeYPMg5nV/UAmb0ppDwJarCWfUq
M58RcwPIjrHdeE7Vnz3tRwM5y8XEWEJxldcYGse+8sCeh2p2MOtOgdIxYC6PPUbOSGwD1yFeiNEU
Q2TPOivE3XongkAGHLlE0gTWuEA4cCToCTiUhQnXjTIoU4NroYiwkk1uJ99ZLP4xaxpfvCRJFkXl
vVWBjRfLLrp1oSTOQpcV8xa5iZseCTShy4wwMYBFv5iZ+LVKFM+cyjPX1ojfI3At0IKmy2yngdQ/
RCrd85Go53rAFTQY7XtYYJSnSZG8QgaaQaj3oIKJxHgtiiZZhx1mpx6qHQ0tsEe9nU6FaoCxw443
iLVVAtlUe5GS++STTj4rggyxCtUjOo2PVB/Uq2YXszF6KHrOWwTMsorUZzKOJUsDR3cjHxeyr3ao
KYkBFsxoOPpjCc/2NvQrbWjGbQkLHT1JWs6KPCcOCaE2Eol4ywTiEXZxw3Gu8i8kOagYhwamHRv4
Xv7axScXUy1h5j9rFMkMvZJhUarDmyzxEBnVZ6g24p81iaiK3k845FLLJDaxKgPWB2bFA62OTuw8
TIYLWKjUty9dZbA0wFJGMgNboeVMg4bDOLRgF6+4/dDcHWOhN09wQ+c0UTZMgJV3V3buUhWUhGOC
wz4rjZ2hszvjJXoUmvtlEhQyh/qxsiTg4bCuf9hC5r7uHwNNIHqSQT8fUwkX0UysBUHci7Z0YOTq
7b9Qpykk/Kc/Nt4CuHKPfZd0Lyu9+AHx1RZHkEUCXmnhDcNPN8bPRG8asoK0o24KbVEPsBFyz5I3
X5qohgDuBibXmAZfc/Tb71D1bz0AL7ezuqVDchy2NeIlupC48gFdQV+u3AiiaCjFps9L+JiIMqqe
9x1TD73dF49UvmVZ+oSs2NFbVqlvbeU55N10rC6RuPoGsCmaY/daUOe1jRPM6To288Bpf+rE6lfY
UnhXBfE/vb213bLbpa3/2VTkqHVkiSDcSO1PYVT7sm02oRr8YubfgVLwFogw6Xkn4J9lRCyVx/Ym
XDv5Z6pdBJAzneuN+l42o3oF8bp2kY+0RKFLtvwuixGhW/9q0wpuqKwA/OL4q6sXUbn7wKyeYWUj
LWvPVWfy0yw8LLn4aKrEHCYRYbIYSnwzEXajg8rwjx/Ww8i8SOizVmqrW+SoBBsT9rTw4vxBhpyJ
mMj4IDER9wHneXw6pI2nwQYM5V3Ukc3tWuxVWXCULCvYx/EtoK4+lQiokkT51pXgZgqF5NHiwWp1
DcJaX7R+egnr9uQYk2m1EF/5SOvdqOpTkn2nZXkUT16kTwNgZuh6txBuaOwV3hyuSztZKhjcF5Fk
K24ZgmEEsTM0Dugf5owcg+VYUSQj5X1BGbdPdPsHnXu7zKbEXVuSEd74gZybufnwsHwzoXpNVWgx
cd/x+3SQMXmBDSsvg3buPhx2OfZffPC9klH6waMY1ZkxlOGuq0N/HzQIoIiumHu6omyYWirXJGbT
w/G1joSlb+TYc/9SLPjK2K9GrKmcR6z8HGA8mVtGYC8NbE/EAXEeLTNGznWmg4wJMWXVyBG2hlk+
qfDGuaMW/TbIEkw+aUctb2Q4rR3v2g8pByczosyAivTm5DStNAbrDYCOtZGWVBzufoQz00TAIePi
Topni33uJHQsTE98Rs8qGPZdVUSXvI9+I638LE1n3fR9SnsSSVvXMmjrFG2A4WWa4DnONQOFO3gQ
Z1cUGrK48a3QGghXHjz2sa84eH+UI7gXmhBHJJFvnoWZXjLKjtOjwaFh5nb0zDJQJnUQftQqQ06G
/ECfVFgjfs5mgobLamQ1RRAxrKinyGFln1oyWAOxuhq4V5fS63+rwoXByUBKHUuxiB15qmsFkIpS
XCkxGYAowb6P1S+0CYi0fHJS/BqmDm7cKuco+mwT/13vUs7rEONmWNLsRjt7NJlE6HwXYGY4MzAl
9Mtk0Q56uSKks10OWtFs9I7sJruqnhZtrQ1pmJxShrWZeNpbG9nrwSdkrCzfOWbZc6VIvHNoK96m
xDtAkDVkpdwuL8qgZ2vWjSlDDwO9b/2GhUOALA2MWevQv+hS6rhByd1141ZgcjSCtaOG00xi3VmL
Nm3OOcePbKx+VQgwSmwBRDPEoehfjtRy9I6YeRluLE6q06zzBuEz2xLrNhEno16wCFrhP06nHUor
SZuP3OjWHci1UM+aTB4hO//WYg1YQabGZcqMBtxYpG/T1ChWTGiI5qmhQvmtcRc988MmqDk5kYxE
2oa4V6IfdsCZv/oh77ZdVR/zau1l/nvYRP/8oroLnLgR1Nqoj3bCcN6D0X/DM4xBVkT8uU7eHdF2
k8dx1lnoIhxiN+MKHWLrU/fIpDHhN4KCDjWUgzj2Fsj+Ma0PQPpw3nJ4GtRohXHsCLplHRiastD9
8DNxlVMNQyQD3qR7gb0AzAzbzqlXeMOhelbOujas4lJl1YH5DcZ40XJwkIgPphG9N4JGo8FXzuqp
tCTGTdW9EEz/OKwKzTiVBvZBO7iLwXl1+tFlhlCx86iEtabt/zB1XsuNK0sW/SJEwAP1Sm8lkiLl
XhBqtQRbQMGbr5+Fvjdm5qWPpD5SUyBQVZm599oEn2+V6FuY1dyw4TSm6ynghFIZpNk4QmB08xEM
Ge53WASvuZueU53pbVHAMnAab9NOo1poKzfxLgltR6zhmNKcIF8x5qx4rAA7NChX46A9ORhUmoDK
oc68LUxwtm05FGs7Qoc/2enTUOO2SoWxm2Y3IKs4mNZvaFEOOAN0kaMmXxve18AENmDj1gqtdaFD
hkSZs7LMWuIGhW9I9wU+oHYwkwHtbFw22zErX1GrMTU0hMRvAFfW8Fucqq6/j1lVKZJIr5sm0nhS
/SblCGPElclqIMJ2nczbl+NFapcF1LN603A4qogE6mdC24h8KT8GdpNfMt886LPNIa3Y/h2BJmcf
IvDDYXx0dJ8+QVmN9BrNeR9pTzCql5i09ZVfK4pNN7r6Eg6xZUzZEiHeigiN/JQL8s0ZVOfUv95H
W0arSsyc0kgs69GIj518YRFhKQjh4aDdwpU023OET8svCzfzLuKDqNISILSNRWWprPZI9O82ox+O
LzW8II7aWfIbU7UKs2pjpvqmGptLXhsllsR03+Q+7uLcWRmEQzM8ZMdr4+otUZtEdii/BOWVJoD9
MFlekuVnYTnViIWew9HqCTjnYJnVpmPGtYg8ZgGWo3aG0IrNSOOW01SAuqVLp2Pbp/tI2rQ8fBGf
TFAJUR+srCietY0Mj/vWOFdl8tJ5ES/cnZoP3E8CbOE2rONoNbXPbDPiEGr2ziYFYuG++Wn+0JP6
rccnACXrNQqJkC+nR5a59dILQBvlnXeQaaF2Gq1W3+ZJ42QYMsrF/SDzjSthzvp8s5osqr0ANpQT
DmITjylhVyRwASUaQfS45KvjMEr2YyFB0zoOhFU862nhfuRC/1Vlztw67iiN5j3EvwknBiHgVeTz
qPg7ma41JzaoTJ9FZlNs2v2rYyXxyi8RqQSDDzlcRd+Dbb7JTFGvNnITzNyafBXhCVvYVviZFmTI
A790NqMZl9y8sEv1eobjNOXejt/iaT8yzKxa7wVytrvWEzhaVZF4IAJdjlv09LtchNvEJwqPrgZm
Ywz17D65saGfx00E/yb2K1qFrJdWpuk3U+//aokwgb6EFqAMhrF2kEL7jPf22N/Hwte3KDvIwhLy
wR0CV7mrXWTYOXnzZc+0JVronaGdBXbBp2JQHspi5+jm1Q0jH+Z6neKDtDXyf/8kLptqXmvlsoPW
yZrS56uKTFxPUKBHRgw73asfKfFJ3Hafo8PhFZPYKbc/VXAx4uKD1mp+MKT743nkv/LWMiPkO72y
WzN1JpXFK1cul0ufPEKgDSqOzB84PPTo95CLWJLGWjbHwSJwZ/xVak8obMlzc/u9rwfoLABcrLK2
hjMZFOS6jfkT7XV0Qo37Vw+dJ0wRxilWxjkf8X0nYRmsIutc9hPDEIQDG50boyLDdpFZL7WOxaUG
5SfGqT5M4tAoq98bbf+n76V5qHFAkA+4yoNuRJ5sjFt8egaqQoOsaxdGEDnXBoJMh9y6sHsrXPlq
unlIvoNx7c3h5FR4P4J+fouDEfbUyDEQPVhtUY+5nfeZOQpvB4PC3EvXvpFdtXE8d56Al/JWhh3C
16BM8d57yC7mZefFJFwJAyamF8skmrwujw3Zu3sGhWgCUej5/pZl4BXQ4VqrEOR1bcVzHxlbo6Th
ZwN/Ovjc/yrugnXoDpdISz+xkeL76ss/Qd1wDGFt2Kk0eU3DhGDQnlUuJrxnglqyDoca1+KAEwy4
+XkIO3IzHXf1USV6uneIM8dJgw5bR/lpiCtavHtetmBeU7TfamVwIlohB5Ubzu4oe1hwB7ei+8gz
P0eUhhZETNyq4O+MsdtNYXkysVOQXc3OTvKhsy698owmZ0mwKIpAh6ERHnKmHQIBEr3QP1LLxAmt
z/dkxaehdL5UTHkrHCFXZgtCpo2HBptQ9lDB3OxBHEnPFqBLejQwKUPgmj5YOloQlRqH81JtO9pt
RoPkpkkIk+UFviL8mjbMIvd9OZzCsLW2hYDdBX1sxxHiqdJuGCrvHb6Lh6UaGM6Cu88JjNcs0kaC
5wmb7IilDVDmFJ51bphqCCOSe7v2aI7AP/E7L6Tkcu42qi50fej3WD1x8M4ue5E1Rx5e+pRx9APP
kZFIq0GytJIN58tnPSJLlWE1zwqclL5FDeNxWSzP3MAB9wlj869TNXzgw3yZmNtQ06Kah+6j+Wp4
KmyDwrPrV6KneR+mzm/jpzcR//hJ9TXVSfcSEGCOwGtlK4Opg1ff6NN94FU6jinN9sHX9rn9xILV
bTXGH5zGmHUghNtA4x3W/+oAbFeFKL80eAsbCCrHWHnRs8YkmOAPdEjSflWh84PalErS9N9GI9lM
IdiaCi7Hvu4d+8qoq6Bx9o04DKJ7gN63sp90eKBjV/zSxBgPkZWD4Q+KhHMBAMW+eRlcW61LQiV2
zqBNK5dUNNSpeBjsnDBdZVTdOqpsyaJ+a7KiWDetZq1GByeBDRfDo00QkgQbTdMliSpt3xgn0cJK
7n35UnjomCrMj6UfPvcxuaWx68ElxqgpE4S9rUMsdaEHJyJBnmms0Ui1YHw5ol/jS3kbtN7aD8RC
nWN+wFIVw2saOOKEmbgmAR46c1Agb/IZ3JSDh6ir/TsSQVdw2l4GbXITkX9XcG8WQ8/BJOBgKqtx
aXgYKabB+i5Cc5tNNLGLytz2uf1cSZZESRE5TJKs6BAm0UTSiUiyXzdjM3a8Jw7Zxap321dFRwQ6
wcoOayTjEaS4pi7AJkMJXlS1OGuuvnYn02PcNLFF6sFPYMflLYOXB8L63bVTYw18FK+NBl0KtiAo
qNwDpJ6IZy1q8bLXa4LB5NpMkMYmBWWYESQ0RpgvLoXdMCWROSGcGkmYerluM6M7dVBvuEuMdQxo
CS0sRjHVPDWBxim7AWjfahzaZJevjDp57TjtL4X0MVOGToM3eXopeovyKSCB0SnbW5i3R6vwiA9h
sg+bbuWnDLe4YIuol+x/eflGsT63FcRHaGa7HsM9tcyXJYdkDetTwpujVx/JL9+iDZ4xdEXi3HG4
i4ElBnBQO7TxDORY45Z1wZlY9wEcIy5pNlpAX4eyvwbI4nwzwXNrczq6/bSzlBLbzM3JOLahYeUh
wzHA4+9xKdpt+h0LIPWY9e6NhzoQJ/HJ7DhdTfQfdGsHVsvg2KxwqNrOZyRhv0/TKUonsPLgTuoe
V+7kDacgLPYg26PdaE1o7HRY6L1ezcdRn3UhPGka0I9+ZMAkcTYuW1Q6MfMK8nQdxnMeRrJokDzd
5OrAgUciXjD5olxHpIivMCFceZEQW05Sdb/1sup7gK+H/Zf8BnICYBm0L14KKFwvQjTW0aMxy+8I
4sUqd+MDY98ESSOEA+a72mLys3Xa9ziWGyHItngrQuzZjs9JaXQtfVWH4rcawlsto7fSq/11N+Xn
qhDvbkACdkhjtlY1PrKee84wi2yrHHxi0FDJFq30dTZm55FO6hLFPTu+YKiKgLSHVLutShvSnehf
i1Z9EHlRHlOzHdciuaSxdpYZOJoxV+m+7KS/RNfDCbLgo4Dg+odI66uNvhjpDzvvMDPjMYORM+yx
pFGW02saURTIcFV1cbmnKx7k2kYaYzBXPDRUYc8tO6P8ZnY+LxoG5XttzB15qB5xegj95EDqR8tX
LjavallU8VPfwTRIGQ96TrOb2iQ69633G9rEvmue/ctcAIxQFIAkFmu8VNRUlSbWEQFGK2jLLJXU
P5UG46c0T5OOD8XK/nTjnPOw7jptBcXmWc3jDhTJL9jlrsOQnLvI3MPGWHpCXmxZceZFvWqU5pc2
JJu+9eezwL3J8YHpG5vVriY6KR76HbFRz1rtQu/OnJUNHnjJhHSXTykjN0rjsH3r4wjWrXPQG37V
VNu02R0n+VqL7G0ODkIidIBTeqhprtOtOiRuvSNsYZ/7YbOGLumm96GLT5Vf3KfQv3i990YW0CtU
Qeqa9pAl62RU0E8YFpIJwdnZPpCS/pSZ5RU8/VEf1b4b6j8pRWGDNo0z5jdUQntb6NWLm9GXNbEY
5af5/5tfYSOjU+1B8sdTk+rxXw8lXORlCOx1xM0i/Wxd/qF6fC+VdQeMioYDSkRrjfcB11NNn71N
OaLk06sjjLtIonIx5uUP2R673BhfUBhedRE+SCV46qb31CpPvpE/19pHZYmT68qbnuW/lmmQGNXx
GGdLHaNXQHuZ2XHSRxfNG4+uwhFn6+R109FOm+swBe+gVhqctHGb/ruK2Yw8c2rCe9xjhcldTzdp
BB/VrO7mALOwindclXOAfz7HPKHlb+ghViwpz9CqQTHeoMLt8qo/2DjogwLjEglApuj+pF65n18H
yqazwAIxkA+CTA3QfvFeNw6tsnIXZcX3YDHM9wuEUQ1YCVx7I+PdqThLWewJmAL3HT37BQ0wFyto
PifWh/Z18K01MdLQyHEX67Du+vA7i6isbXPp2c4xFC7ACLZ9hxdbpw5h3TpqBE1XNyFJvuMdckTz
bLmIkFMvv8rJPCGXi9zkJQu1U2+7JnmCGW3s5CJLhtcQWZ5EnF0G04SghC/dGPEPRIcypq3NWxQ1
/HpdawDc7V8yE1erSuz7jIToreGo/bAqHCPXv/Q8UhhBUmo1AQ8enJCyfHxPfr/q8v6JjebTG7SD
VPl5ordFqDWKmOZjktaT8i9cl2MauU9GLi612X93FEv51B17UAsNziJ/tna3N7ei0euEtHy7pYsM
Kre5S8IBVdKqpIJSektcnXqY3XSxPaLTnHhTY/aIGrUv7pmV3fuw3k228drae0uq33Q+VozWLqFp
yshTCEZLqbOP0CzU/nOQD+fIGkEQ2E+BIfV54rjkaM7AU0FsnPvoDMRx+3LSjkcNsIIaliV97IWV
BzkjyIZmACrS1IRPre/LBBXntFdTgDMhi5ZlzQRABtnSLD+mjN5ZLlJ33/QdqySP1n7oRuMwH0Ks
Iv5o1FfbdujDfITOQF44S+vfRHF8OjH6FEagaWqT4MfZM/IIW5+9jTIob05xg9H8VCTDhmr/UmnZ
STryFqIgbZKVZSVMVsPuBmzWqaytaoEIm855tAzG6d5bbJuHzieg3smvcC0+AyRoqFEWxHFsqUl3
MMwJEKZdSqzgQrcxzTAHSyhGUJe4RL6EHE/mf8731AdG+VxY+2oytt5YXEatvNvCOs+yVrwNYq98
sQCHM/ogAfX6u7Wdl1Drz5a/9viFKqt+VDl9SbtbDm196SrFGEeiHTJJKTWMt8wodw2K4ra+Mjpb
4Q76NBv25SAPftXcXxskUPyCfOiC8jK3rjT6F32VPzWZcYm1fK/xYIxdc7a1+BTw4EFXo0ZAcJGZ
NxkhicpgN9vxJq6Mc2qgvIamkrOeeFIw8y++IwaQtPoDaJ4UvtFRac6r6i1QuNUOStKZmhlp1tJv
uBxBj+mETA1Bh3a+CEln7TJA5SPDFkrfJaJHdnIDshdaCK5B2iOo46X51rEXGEireMKo7tEjcj81
kr2wdFfJByJ4ZIz42ZEXMiXgOjM1m5vPj5DfT0+GbZ94zyy7L6Zj7H1IXYbprsDnoUZcOaPFWosd
I7XORNvtZQe+VI/PVX4rdP/Xb2sq/yFdGpHOIYpzq5u1W3JaxsS8+NV4akhf2dN8I1Y1qq6ECWGg
rtJ8m8aPhJHgOhKduaztbGPNKfcoAout41ocuxhLdaLyFi0jpOUkync/VNh5SDFbOUbx5iYMq1WC
yIkuaf+qpHsrBu0ZIl6aUlakYAkX1TiALH2n4XHuRE+UET+obn9ME95EKXn+adjUHtAarb0RRKst
IVmysxtev4TKGXj7aXxO+0ZfK63C5dOab81kPusGyAkOL2oTyLZcGD3VQtFCbq/r9iUypq9Rkdql
d5gKZMD5eZBP838TwFx9gT5PlxssRmwNWusgV6n9pUknWvet39qjCuCX08Af8Jw6lnDWXay9R2l5
SBw7OppMGDLyuUfaOFl2bV3H5f6doBxPer9HsMT7YMbkxbQTLl47Y3ydfhklBhdkr4AXYs/G6hN0
N9Osb4TQt0sSST0o3Bur7n5oW99IxNKm0Tqb7UvPHbJSlkbHvkHabdEGj8Z4gXEvPIwFbarQ+9OD
XF3EJXx4s4Q/7tUObnIws0U8HNvCTd7oom07u3lUXnUE8N0vbYsKpI4ng8EnYR9F4n9FeJkWTjvN
UtoiBLBWXTKJvZmwXeCrQPLNnKk75PqF/uYp57PxjA/qVtCwaVIe/PaSEYC7cFV5GdJIbVRdXC0x
81F9yK3SEB++1f2daatX3dnrRLVxDqSzSvrAj4lr7Bw08gnm0AM12i0vSR0v3OB3BBKfTAp8nKKW
HJK/pHrhHSToFH0/Z9f+fQoawDuUbCWMqrne2wZK5FsQrEgHG+8U25ehmb2RLfQqFfoby6AKLCuI
qhAECFgwquWQxMVJxt0hiBEL9AxrFhUWKlxaFaFhvLVrcpIYakYgGJLwzSsh65ou7GroUXBPV4FA
mMsRvjDkr2PEP40bhFvfzsEgtd2tdtLxQKrCb89PWiYNKc+1nZzDiWXA1umCu+SXsC+En7JgF6Ox
fWPeki/rpP4bFhn6Yc39NhOtQM5WPxHv6Gz6kp23qhWJJ+klpk7ZNRQby6oJ7bWGCWmD+1pyQ7mH
2vBSOOzpDdvDqaaIYLppPTFrCw94QaEZx7+OZrsL/9PXzHo/n9XxO4I5Lomv59x6KPHgL4YEqV9O
7/qix5D5M6RXTChu7T/hXKtvjRqem3UIJsrTEMzizkKhfzIz497jKqMvg0e1KVlK/FYjAUHaa2ck
1r0L+nVUc+Ek58faydeINFsiAEJqx67akyhB/Vz8pa+3hBzzVTduuGrirOAQySQMK3O2GZloRNIC
q1PJT974YQ364VlNIiHxNcB0jkUwRIqCXhChuAVhDp8bMWKs3xyFLmUdbD24qGDyH4Q4G9tYLp3M
uPYGPMVG9RvYBbB3UB2t2cXZ6+XkLxyNNS9200ujn4cymlmVJoTApWMXd+FWOfFwXr2FFJZC0Rnw
H7MgU5zm7tI0WGxsI91YWZdf6/YrpWhZtlFVrb0SZ3bhMiayeu0Vcf/BsgZnZ5to4/P0m8SF6Atl
3ZEFaD6Chzrmb2INwpbhDF1d5qzI41ATgeJ2DBcVNL8qTCz5DEgGxE5Omz5wGam5bjyuk3ZYoltc
oWcrT5FiASJ8/NPJ3Iff5SciPtWr6bSvWMa4V3s/Oeu5JBSRaXw72uaKZlq+aD0oI7HtPlvMBbd2
g/K6LckZH5/HhLzuJLVDOOs9PT+0Q7j6xVjDFke8R2v/ZLW1tcnDL7Zea9XRRnjXM/lu6wV5BL3c
2RHJUaPpZmuZmp9l2eD7FmvMb90p2lpRw5QhMt/dpn6TNhPicJRnpQG2arvCZIiDSz42E3OrG0a0
0lS6KUYeh3+WPFKT9eQv+Y/msk9Ft/ZUcNJzIl3GxtBeB4/BjNGq5pTuFaPopVTepa3su4ThON6i
ji2r1nzGwb0q99i31m3rprtBs7ehoYMJspnYomp2nAz2xuA88/OuIYYGKt4HSJc/5ZzBRXA9LYXG
R3Xlji+I0WExhAHb7ggmK/PZ49J71PlXGuCNbG5lzSTHnob3RB9R9HO29hoiwCjXn1mk75AFrkEm
1DrPuHnG8ZoqLOH1IC9Ait5iSVwRHNEad90ilB7bugnHKECj4Hao+yb7mZr4NNjFRvnaRyhEsjTT
DOpJM0D7cSlcXXVWUpF1Be+7mfXspZ1+4Cj4masNdFZbD+Fl3PpPOfqTxTDE5GdU58z0//jG8Jvp
756smX30G1fQQ+zOfZ6zJXbgC1qwSfSrDm2PenHAsxEOiG2yWepfdaipiGCUwZMDQTu2RvD+0QWZ
Cv3FTy+2HhWFAn0Q7SWfQ2hj+UCBdqHjf8qc8rnqTk1Ky6hPsj1oLbvc+X29IeHtae5elEwSx/Zm
lM5Z1qzdAclhaD2nojjPP7AMhlXkaYSLVlfanKcyd/H6YoZoG/04deEaxdRrJYzf2L1hv3qPNRZx
BRGRU6P50un+G8IzZj8qhhEQdPgW0RcieoLTnU1Xzz1iH7sbuvjTStiOln0G3nBOrAnzyacYcY4Q
QSg8/UuPkq/SMjd2HjyCCAFsAWGXI+Q1cdQfQpxQH6nmB9XTi1b5qxq9xFhWF0UQVkkHDd0NA9ai
/bQneR5G96ma+TmpDr4HX1L8A/1+diPMzaok/9O09U0K/4oRJFysULR9003jTpTZD1h+uUrib5+X
ZNZzEM+AMr4XzPKHvymOLvbW8ianbAcLYmFW+Qmpyh71G6w3c9UKfMOinXEl3J+NniYr4qVAPeRq
T87GjTA0Iuz7QrsylAVs4b6FQLdEMq1Arb7AgHjgtzox3mf4Nt7V2NKy0Ja1hhTT1d90A/OEnk6f
WvWDxm85xu3ONrLXkXZY8GmENBlzh5onNBOagCDtXLdiV7CrjyqCTdbErDvttpvPmYN78qrs2Yxo
TnlsYUZNBuTnqPuXPJE/fup8twVW1wQJe54cu6irtjCWvvuWTloWOTcnCkkDcB6hVG9ezNhPCeb9
0r4VtfMj0/SB4uI9L/d+k74VOH8Yv+pfeamWWRfc0c75BGNOP4WqnzKFnH8swl9YurtO2PBTgFJU
/vSwGpf0iHvGjrGg3CjQYNI8pdnvczuXlcFEo7sOSD+dJr3hDmxXYxw9+tzHozmhFRh/amhZMjfB
KWvxLjTN57qbcT6ItCOqkY5T+wJp5NbNokeRcqRWMnhEqf1jwVo2/GDrg/JrdbTQdod1KI3bizCB
FnCxh0K0BGUYOEEq8S7C/APUV5yo9UgwGKKmtyhCaTH/rAhKseAcXfgsIIntDst+YHQZi+DshH+F
yZTJ+Qezc4fdCGdkDcCAvCFzpmcIY1G+gZZ/aR0EewaIf0lXukEehAug5IFjXBMgElQ69V4uWUFC
ytKYCmFWdVF4FG8gnU9DRhnvxajXNfZJLKdkwBfWix1GD4lKJYt52mTjt8tK1AzX+M4wvVN+GJi3
ED20CYci20YwapThOw/IbWjTs+VkNrcCVyBzxU1Dhh7r+K6iqjh6RbrRIO12Ns8giLinOGvWsp6V
lg7AuCjhunN61hu6E8Bcb9U8TDFsb9N56Sdk46Uf8S9aARyTaRrXnQNZr00YpYbVV04g55LswN/W
E1sjMT/G1Hy3i/JRptGq4xdcWj1mpizZQrk4IVE2kDTFHxHtNl5bzzXTzL0ZMhdMdHGiqrwNUYs0
QsuhMTmPITw4SfyRe/mPp0ffTTYejFo9h17/sirrWT3GiRYnGdcmD9D3tzVinAbpBfCpRe/hD6wt
oGsiiNFeRTs2czxhmrpKsO+EQDkLQ9kRwwn2SkCko4uB1bPYAfqGdoX7yrrySuvpEoYMZIVAwZ9w
s3V9vZN5+RBDvYw9kKRmOTuWBOcSoUGZsaynJNxFhfemCfkRd9KjM8qv2nN1GcsbJQLD1tDe9ZQT
ewPE0M5/RDVjK9jh2eQeeTliUEQL7FU7V1sbhgYCPD/3ceuRuxDTLACtE+nD25Sbb95QXhNaiyXp
Cnri0mwplbHQnDnv2lqya7yrlDBbd0T3kqHxMi3jF6ENxRJ8NZtZIRnq5rFDxtkltD7H4j0mBwbl
/cUNHfxjVXiDdYGhgUmQ6L3DqJCVxD2l6aKL60sRan+iUWfEYlw8Z7oIJz1q7tou5HOikvNQp89d
r4PNyDcKVtRojbfGAA3S+H+mBAFcFIeHtK+eK4cau8qmkx1CZmj74iXUgeOZ67Bw/05h24NywyYZ
edRgNWwraAboTW6wwM6ddH+FbT6luf1qht2r32snhJVr5FdrTam7w7DctPt7Z0PwosWbqeZCsYWA
rW+/em9v9/I66v1N18Id02m2TO7aku2IDNnW5B0bueFjm9HYMZ2Y8QoUzoxKU03Sv5vudVLu9aJC
89TtzOLAQn8THQf+qmaY0FYnlajncsZoxTEU/xoGdEEcB/6s7GEK/7dJnM8q1u6i+JNGSH7t7BYW
xHzFwS4YrCt9/o0cphVKnrVjtauonjm5Nac6cgyyH6OKf8AjhJAmnU8mr1vbnNa0uu+KQG376Ct5
MXEJLXrISE6HGbIqxhVpg2iHu59IE7NTy31XvncMvHzjI0tEhHnInGLbUzdFKPSHWl0TNT6XsoC4
0EdsI8uAcXqphYw7uJunc0rD3xXJe0RE+0LW+nrCIcf904CxZOxy44kvF44JitOxD7IYr5brHfuU
rl5DDEI9+Xd7tJ8yw70nrr71I/tBNMufxLIxEXWvDJo4qNkQATvN2XGs3ppNeWv55QfF0mn7+pNL
FWc2s+VZnCsoKfCWJCl/WvreAlBpLES6PFpSybPXEjvhedTgE4MZcUHli9atKVmhtMfY2feyiB5B
woDVUxbYCN6oodvTjkId7F11gpweKHowTVQ2mF/0jJBjaH8EDQO9rHzxomYb5ci6WNrUyonbnwmi
+U4b6teosMyl6hD0OCUcvDbRtm4S36cKemA7+WQzudO27oNn0wurPZlyuzLP6N4HmdwwUb0lIyaq
gckV0TiJdawQWZiqN/7YheEvbBXtA70JVowQbV62Vm7LbmtpdrKKszK621EbPaPSPv/7zAd98CIv
dJtPljM5Z0v99t0Q3t3aa8AUkX3x79MmwGldgyFi+crCu9fg4sg9QhaB2euxIMvY1l4QbOpUEE5z
SPqaT8t63FYRcOFm+nDDtjzY//uHYE1bjxIyoCbeA4l85//+7t//ivUVtVg350XDlPjvt4ZjzBf/
7/N/f91G4G0GmPUJDgN6w5U6OI7PHwz+iPz2XoMqZ1fTFMhnlHIK3MsMf57/vyZoKBQypBulORSH
f3/4BI7tB5J1554JTdQIYsyBXLbqgMP+v3/852vAjdGR9Lt/X//3pf98x7/POQ1kK5DHXJDBx57/
///q38+1YrR0UwFcn9PIYHOK65mOvmQJeKWK1BfDsP7SRN94RU6Wwmj6Ox0QArxOwTD2ue0qpOYl
nr2OsmzZiaEDnYQNxm2qExQZpFgZA2b/u6bwOlZmoo4Z2v4lTGNQ5S/eyBPN3DJh55u7wZw9Eoha
dJfsPZ3mZNXk2lX64bgKIoH4j/yAldeiuU/qot60dFtvxGJ8a2o8WH2fIjqhSyUITjvGxKqcZCQY
NWvaGqVscuzJLD02iUIyxzfH5PHRbyTjZXI3PN8VjjDW1XJ8I8ewW41zo2lkrLiNMaRto7bG8jmx
ToY0Y2pIcGqiIDKZuaGBJb7IOJodzQV9dhrqRMdl6Ee3qmc+qzy3XIfeLAFtrRhCFJpDL4T2kzr5
ZlQmEryZu4rGYdxn7dCvaNGgvBCYN4ZYvsQ17pxG0YIyai9blSw6J07UNndMZZbmE2hYDFFG+Z56
hjp5pDCc/JFIQo2aIiRZ6IJYz3gamLN6zui91yXdMudtAO974QylbQWaOiriwj/nuUvBX8MwnQOf
yVCz6006MNj2LSN8GproL/xCppD2sOO+JNcvZtiTNY1+Afcl1goXM2YqHagMzYyVayb5XXuvcyOO
MD2iboLbxTsSE5PEJVjXduQvnZnmUY1ko/aOd9Sbzt1qxMselG0ERxF6/qbsnezAMGQH0iM+JpYp
V35F1rfo/ZDkAyZYY4IQDEk/x9vM9b8SxBpjc+INOylhqFfyhqhQoiLZ1wRLaIbkVplpL65k9IGS
IlBOdoI5iB6pHw2MbVhjnHTKdz7HiHfX/JLMmzviwm6VVrn3OlCrsS6iW1trzt3z0AA2RFBJXX/m
VNY8wkBb6Gqtp/RNhpgpdGFHIaYbbAAVXRzOhXWFdgY0a2C4xS4yHHnRVPGw/sLU185GYYlp0aQW
H8b2u0tVOdLSdyyGcoTiqG5hKdc9DQLhtSlSb6v3GQg5W/noTQdtGZtpjiyBSUdQ1OlGVgydnSnk
wKb7yc21/iWZJL/Ss0l19sEeUK8TaWIMzktQTOxHljQQDvDphGF7G0VzbhDJ5C+tnZmXyevW//4y
aeI37q3wBMf2I84n58tjMs9t7SZMZmmJZgYBcwEj1Sud6z+0V3iyiGA+92ESPkg5yJdurbz9v08Z
UGsYqmx3PbInU3oU5K756Xgs/f7JnwpCaVm7FviMxs+IgzprxnjrzOQNmT5vjT+M770C++gSjGWG
BNz6DuIX/BxVpq5BV+jH3tLP9Au6Y6ol3fHfR0zBWcmQR6s4sR41uTiPxH2TnJHSybQ4YxExytH1
b9YxZI7RbTylnlMQiVM6BOtZ3r7qKeOqYFzaZpa//PspCRy9f59pilgwjXJorfVAeDR8Vy//Psrr
IvvPR9r/MHYey5EraZZ+lWt3PagGHMKBtq5ahEDoIBmUyQ0smWRCa+EAnn4+8NZ0d7XZjM2Glkwy
I0PCf3HOdzTN2kiJiH6yS8efHBSipsvWDLxrxlFcqBdJn+5F6kEL8+RzES1O5GC84snGdGHq+8Eo
xWVY1sFTOedcTjRC2O25RPyAYAZXxpMF0xiwlGH80Ea6PwCaNikZwmOQ4704jdE89Fb02pROfdJs
mCzRAmaZk/Svv6pEY28UJTw4B9TGG0tOxun7i21Oxckadm6oqANCNPZe0dd3aOPUXguJE1aaqNZE
YpnPhZj4U6jH90yge5ZLQFSYZGMCMp6jSDIKz2TmGwkrIntM9K2KcA5FzKW3g4bKwc46COdzVC+e
A3bjxVl5XfIUuEN06hssSs3y6klJ89z1tG8mspv1mFlw37CR/sI8EKzp2OuTN2TLAfwQRFl60W3F
R6OTCWa6xtqb7YIebp1tnyOdUFqB4M4ZLrls9YdsiSJf7MeD7jyVJJyttIGZVUraqa3FEG1pF0Jv
bu8ETp19afNaxAyQ8jB+0C3h7BqCOg7m4FwtSxvvneQQx+O9bGbx1udUiGHXDuu+BpCaWV4InoWE
awtNh68H7OdDe8j2cWXrL7qJb4stynyqR0vftWRoEKxj6z4JpTprSF3TeOyaQcGATckFfPuQ1E22
td2UlCYqRRiUfXBq8x4uuScYZIVeVPu4DzFUe0G1i6jxXz3V+ak0+0fDJTK0GrHzfv810mpii02G
hFadvTZqSnZzkYd+ncx87BLigtg/PGgqG38VrfvXH8L//jeFI675EAwPfbdEOwQ4QPDQfQzD6KDp
RbCyypfiZyF/bZuiGPcoL+d9PYzafdhx7jd5NX0gnF2XM8ocdOi/u1ZrrlZuHu24sC6jy25wII1p
XWOP2KiyhgVHKNkOG/a4aXQA5DH7cxymKJctcDFtw7pPNx0TGkzmHoNMq7cWA+qfJeWD8qoPDdgx
7eQyd3KY1LrMaJ+cbrRIMWIMnCwErbJqGHcWP7Go+DnhWEdpWjPiDQhza5bKhCgOuY7/q+v2YU+g
6vLdECWEpzYlI4HF7jpmjfIDOSDnqermbMR4Tm333OO5hc1rwg9n6z0PMbmuuTI3s0GQ7qD52EkE
lg13XkP7QPCz5MXNA0sAtIgbt8z7Ty+ePqdey99Kl5lNoYXmjSrd5JKYapdl5sxIN/AL19K2RaAx
IaGBcppw+OhttZsWFZYacHXVpjqxQdEvuaHzxS6Ny/e3kzRxHhkhYso5OXcBa46hbB7tFkfrxJT+
+zt9Rq+VpxpFsR0wokMsorNJINo2T49VFyXrynSeAqdG7ImFAL8bDOfvb+FYRFs2Y8DZ2CK1JP3g
mNcqgL3NkjjI1cBK5WEUQbCDW58twTSKLDL9CZrqgi5IG3CYWutXHo4KUdXRNkiAvI2gm854T3Of
OqoyxwOwKKKoeRHWwWC4rGwpIaitV54doMsjuWujBrs4iLkqNrZTu++IxSHatM6TFHWHqUbHK+TZ
yX7gVlE/7OMx6b8CYYL4cy1xxnX1Oqp6OInCRqA5m9ormv8l2x1JFsPH8G0Eyit03kdm6FQPyPwf
ASWEb1aQ13tjdKlJl+i6lqMdSGCk8zREe+Ii61vEHu5WEOfit1YQbb7/7vsLBhfWLbqVHZPlV0KE
BAfLcJn5M5yrF/cyHXv0KBBBoA/CTU3NXZ/Clm0I7SstMFtQVChh9+xA2r8kFnYrVXunOgTkHhQ5
l0TBuKCY83mTWa153xf2xNQSWwufEpfDzggtmtPx1QRpv5XMRu8FsIj7VDLKwzK6spTlflKVda+D
Xgqa/9i5OP240W0gAmNSma9cShlE8iCugdL6F7SNU7h0oyr8GXUua1ZBUdrErXawTZxeYwgmY0JS
sk20LjtPzLw3SpKbU3kMLxS7Gr8j19iHyinvQ+yQ3FvWdRQXtV3kIAhc4yTVTHRu3jckmAOBZheA
CndAAd2gQ/YTgUc5mGYdwgPPm1fI2O9QFH/EIgov3TT9NgqZXayGbhY1kG+7qHeSMpkegxY1sTbl
D2ZPoPWUywMOPq7BjRx0rjgMfiOFsi8xGZgpGCtObGr+EI7llcXDfGAa9AiYqLsHhmACkGG3MPfW
m0cp+CPQprsoSEHvdNibWtV3B6+TkBWGadrQnxGc3Mtib8xmtaN/fiKEswdqXOTskA3oM5CLyuv3
fwUTDUa2jEz/u/AUXv+R9PgnKHGzU1fT9XRtHb8JKz/15lA9yIDBcovvdl8jZ9Lrybz3Wk4TmZsn
djUMWBzAmF2kfulyCvboHH6aRT5ecAOQOJwLP8wIGK1M/UXrVLhPg+CSjuw3yVi9Vp855KWAXfbN
pDgiJ127j+wtpN/0qwd91CeYSloFC3OSTXtnetGhizaBSxjgKtaTnda5pMgRVhOWWJ2snkLJ7hr3
JezJEGXt2e7sGRb5pJwzK6V8q5ECulOGvaU7fJaWLB+rUZVbPK7FYcyWyQir+IniQZgZrvIEWIsK
c3vv1uMA+0KztlhJ6EdVYF7obMm6gnO3zjxitMHM77W4gpXYG9NFNc5uburpvjeOQHTRWTPEET1x
olmNlqvMJlw8S2MCJYYJVTM+jZFC5BRZkd80nT9bA9FvOhWyo6eLy7mcrsuWpdDNZ7FIO6uBVWEE
JB9SyH1lxQwbUdbgWNfaU9Mgc22zwt3MkzL2lCcM8N34rokaLlH6YuVN8bnIxotBACOGlMxqz2ND
FE9hkpgWt+3W8Ix4AyKdUQSol009pXI7FtF4McsUbAQZM5wltnzwUu+Sl5TJoqoIzZ5RiBbjuGMJ
npzNQLWIHhapPviTVxMumqhEdpFdm6EbYx9Vy0weW9vFIDCbRy+2bh1wjsv3Fym99AQq3DqNtKZ9
TwNhoWZcOx78eR3ZzUYv8dN0uctHkfCiXFbnyombx4b33LDofspGQ+YAv2nDqZpsM+wgPznZhrz0
VTHQtnUYZboiUWg6Mh/fkbFVT5+EzZvXoH9pU0ZE29Jqox8wI38YABzWoJbiraqj4smcQaqIRMy7
ySHRrnLr02R0H0OA/61sOTDz5YvFpUMbUl4cjQSOUI+w1KZOu2MlC6LAy/WXWHbywsrXvTgyy9dd
Pngb+ITNmSakOWtm7m4jh7Axso6K2+ixOtE5RezlqloOuD6+b/P7i1WJd3bAFaEjXHqBXBOEkZ2y
ZNYQrNOaqjF2TuTg+DPSgm2otWrT9C0fukEfT5hXoZJUO0056aUQPrFFL42Zv1D1xE96Kd2VLDFk
K5RxvWcyXZ/7+MFTkdjZsVCnKS+PmLmhm9eGxAeYzWjrTCprw50PSTIGFyiiP8LBHCEsde2BEYh8
jcR0IUBjEYHOSESN4lzjgaBymh++v1RW7zC7jq6dsuKHEj8226X7eOrze9Pe5KFjHsw+fB8mM798
f0HkhCWBTDE84Kjjid0Z/SKhi8Zime+dLnjhWUzPVEkgYSlRViUyXDXXxTXNynEXQTpaz0YV3ceW
Ph+chnfd4DwYvLtfEmTBa0g37NDw6fhpgaWhHgErW3kH8t3N+e9wL+3Qo1hXLItoi8l6DCfrFIfo
UUU5sl5EZnxXf5QMAi9NS7y6YwJASm0z3FXS6A79SJoFTymT9LTbep3+2ONk881gVDuTxEu/Kpq3
XOYRTtAGjWSUXO2upq5MV4GVhtdQWS86KURbY9QYX41GfUUblB6jaZcapjhYBRNZtBPNrogHsS2d
9BfvsfxoMSdmhvwcaATD9iOuXn2YuTpa6dGaUUe3kemsyYFDoiHrZIfD1T4KXSRbEB/5BoCbYHnp
TW9mkzxDfBwO46gt3AiFzRPnQg/45WJn89topRU1zdRuApkTg+kCMED7XmOX7U/M7YyHWdreUTXV
LRyIeBXT6Oy80L3golFnbdTaA0E9mObMQIOYzcWzcodwj54kXdd4trVSUw95Wz+LGEJXhrXelyZH
wCQQQ+MtwWZpgKQoEvM4DWkF4U0fX7rBWw0c15uOomY7cqbea1ZVr6vIY7Ermy8cWeoWOBNKhjiu
5rt27P1+pmIqMovOEFdFR7zWVrjyh4M89g5DGWlH/bZPoJkw/zmCF5Ur2QyNH2OFDquoPSKsmL34
oCCTrnTtAuH9lCuqMaFKiIbWmxZgGkXktUQyJfCKkbKs0QLoD7WXL3mIQXsXNxnj3bSElKMIPxlK
90Y6CqFD7L5hawhEaI70zoSys8ljF4EwzozOM2rcZroWRWI8mKw8ITBkZ4OUH7PWjLNdl2/AReNd
2Jc7JGAEqQ7GpdZbniJwpA94+e7s9q4PAeO3HQz7qR3uQucudxDAjomFSyOAeoIqsttqS5wuWBrt
ZDBNKvPz90XN6/qTqmdwvkuFUBdL9gL92h7syWOXT/lZep9gHpPT9zdjX5FApVu+PkJ1pQc8xbyf
D7HdykOWm7+GALdY7Rrb3kEPnbB+WCtXi3bUrPUFza+3ynJU+0sUbtQYHRIuAAgGA5ZDkSPJUHky
r+LRjN80izJJS3iH488obkMRbiiltV+Wvi7mwjtmYJX/mtVpXuEdnHm4CBBdCJsh66JC4nWq2Ggt
2JtZdM5HA7VM9OZ5XOBPZmo+1IN6d2omC2VkhVtGwahdTIYOyaHsSR2olsqNDPU1S8N54w51sckR
QGNN2ASJBkspGiNfU7yDcwLre1WsWR4qbOgeos32IJMp3hY4b5PknDO5e6D3iACcyHKLRIGTjW0M
kfeTd1ZlRVh9twj10u446nN+0j2Ud9/nM1HZOyVNk4lFw+Eap+OuGyrIjJNSB+myEGgDWaEyc4o3
To6zyT6b7V920pdD3WSbvXYkmcqxGMwTqiJWRCkqAC2zUc00wj4wmLs3kqa/mp2GMyurQlo1Miix
P7dbz+nIMc2hakdiwE6kbVLGb8cyL8GePcs53IHvqu+7vosZyea3kbYKwh/hxXXKFD0oUn/KK+yw
UTeh36phpCZBGa77IX3txpRpYAM8LgZQmZWsbjLcZMxocbepHHUeE6ND2FDfxfSgGOXZSgIMuvO0
4YH9c3mI3egpDFFjt0HA2K+2DkMQg8WamFdoWV5iU4o6YFP1CfWwAQ3duHdF5R57lI7+kLnmpk6K
ZNuR4H5ETIKtYugsoJhkKfQ2epIxmq8MCZN7xfZ0FPRSYwhsD5jOXVmM/WFYzo9uHI5u1TBgDwAo
165OUsjyErrJ7OyJV/LnLOxORv7zu4RR8mlWwKTFmO/I9Nn3ziR9qQpzxxIe+XeQfyYVsN5J9x4B
dECyk+Whorgz5IQ1Ycahzwql5XpM/mJQLED8/Ri7xEnhxvfBikdbq/bQYiPY2ThG6d2FVL5nKw79
ZhDRWUEuwTA52TQIHkDaZeAtPbohZWTBRRsOjk673ePx3aBUmE7TeYwq716fvvh8THgwqosrI+fE
eBEHmk2oaQdUYsvKD9MVA+gQAEt/SBpW/99zxLBiUdMW/Q8TrbATjMUlEsRx/PXFkONm7NALzfZ0
zRuvPziea1xCT/+ZK9wZFqtxSFSd5JUpg4PRgAgTLCfuKjpxzluGtgaWdwA2hFx/l1tUYN0hcRC0
uCGRzHHIGofFSHfQ2OqstJjQOrjb6M0kDfJyTJvyta+r6Syc8UFopLmijW/Wsq6sK4tX69qbcMFJ
eGXyAZ9l186E+ziZqu+LhWI05zd0b+P5+9qGqc42Zbz6849/+8d//Nuv8d/DrxLiA3udov3Hf/D9
r5KciTiMuv/x7T8u8S/mUeXv7vuf/eev/es/+sdTycAr/3/+yv/1hpa785+3y3//z7u3+dn9/Jdv
tgVM1emh/2qm21eLtvf7PvBAlt/8//3hH1/ft/I0VV9///NX2Rc07LcvsjKKP//5o8Pn3/+0jO8n
6q/nabn5f/7s+jPnnz39in5+/s9f/0Ju/fc/hfU3XYcS4LqW6XksLbgh9bX8xDD/ZjEBlJ6QRMTZ
uu39+Qf27y7iH/Ejm2mj67qGECyFnT//aMt++ZH8m2UZuuM5uvAcTLX86P886n95+f7r5fyjoNot
Y2rmv//pMLv484/qr9d5eVzSJMrSwojncKsu0xGX+1f9+nmLi5DfN/5XOTukQxvO0TC6k0eUMCDG
/pgL7Ukp92WwpvvStb90azqxONk2FAfQ190d4RKi65sruradl6TiDj/UKiBqcfOWBrAvIjiPSsuC
c40FpufsT9QRPbQDVpMYDYw1F0lK/apE45hWRrk3WeZsZoeM7wYCfAlsAiI+J5IgrRCF6JtWsE90
5K+pQT099fZmdh2mFlnriyaniW0pkwAqccslgWedA4IvuLe6Id6Du131ubKoYdW+hXW/5lBH/hbs
JTIVCNZwszz0/e28JiNj9p2edtvxkPOHhtxComhXzI9S7Hry1jJU2S/kCD03OPhMuePOD/5E1KFR
J1cvpD5sNPmWRxPU8Lwmepctz6YHuTinMHNSg1ijnJlwOifOTh8L5xBr2e/ioJAaofEr9p0dfUoo
tACRqp2bqhMIsc/RIdAmravPoPpgez+uGnKfN2A+XvJp/oC2p+fZg5slv2BtAX8zeZpnzbyjozCW
XNcb+Vvb2SDIdbRHJKctiWwofSgUDq6dvYtaf4xKIMVjIe65GAMvjr8iIQ8QiU6pdE9xE2GJteU2
Du30KRENI22e7jFpjrlJfq67PEcy6XZdCnmyLKDTa9rPIrE2uRQnsh/qkwvpAbJydIvb7Hc4Dmjd
NXwmWCsCfAoOUaUbuD0PUA7x5ADe8IlN2pK97YeyuwPGB5ud4VrZgee1BCccAcBjx3AALEK1ig3C
mvrFLp+MjLsd9I2mwdyJVUY7TY4f9g6qNreAQta+sa186dT0MqvwVW8rew1H5tXEeLJq8+LLmuJn
Oy5Jg+rUKRpTEFAd0judRlgl9tVKzbVWK1TTdupss9Y8JKFH/hcfuysGaJJKELE6zIptFV7nLgOd
C7VsyED1w4TzlSuJDWOKu3eG4c5S9YvbRrBwNe+Ae6NmfYKxNptPXemotWx5okt8nBE8MddhUNao
DZEL3jYkWnrVeMgdS/VeeixHa5Gc+4hqoKILcEznuTFZ6WZaiEO9JEUsrt95GT7gLGGCTuTbNIb7
Ph3faoJQV6QyvrTLyrFLJsT7EVP2rlUQLUfnk933FZNe6xuzfTOEe+dmQJgrgSe3fccKVa1B4nxF
FdH0A6CNqAIdwQDqSAkBADnIn9kgfjhMuAc96Uk7vDJQeu6t/A6xYgiaDqyRdD7o2S/g+dgNdCWf
uObOYmqZEA0GS43FUHgSUXKXgJvSovExZNS3cqvyFIbxliSNa2yKDdzELuyHnZH375Vlkdna5ff4
4n+m7nBq5hK5e3gt24aYTVk8L/3POEEwIJgQA4GNCmuMzo0AP2sTZY144eCNoqQIcn4o6dcjIJ4R
xvnQp9iaRueQEIJjLiqPNJoTYn4QqYZlc3S47q5nkdxkZRgrQcX7/U3hXkzi5GMjdrbLf92VLQ9P
ofpG5/1rIn4ZiRmsxjZlR5lHvtvXbxRad7z+oScu8M0OE6ArFBsHSMwPjsSZ4yBw72zpGxa/IUBW
sntA0Z5gkU/REAXRs+MyaUWWJZZcol5ss1p8uTpv+hIaMPryvRSJg20vB1bBPSA2ju1+u/zH+pHc
+C9l6PcJFCHSuYfHnJQ1kl6fezYEoPj5vJkR1zNsx1c9rI9ToO1SrDsrIgqfmwYNWBaUT5NLUPXc
jhujbj/CGN8BZFh2k/OmG6KvXGlPuYgINwEHStl1G8ziEMERIVvURAuaQkQi+47PkcueoDF+lWCx
tKBHzdbiQXHT7HdrAlYGXvm8FFFisWymlvyB9DQy+slHJHcI2HiUunntt0MecAkHm6RQAaxmrIAM
N++6OfzlGZi+2T/jYmBKYAvnXmK49SODzFY85HZjXxzWHaNcsfa5GDJ+T/AM1AVsL1bZfez6hjr0
qcUGwSM3k/T2G3zoNyi3mCHHc9TFvz2oTMEM6j6v1GkoZLvOehcl8q5Becp9C7hZ7eI6tINJ2HJw
Yhi1R+DnDfZTNaU5vHUw2hlYCsFC3i6ekwT679iaj0qC6NCtYjrbEalRFR27HlaHgnjRa+uFxyFE
7Sn7F49Pi524+xlD8gQFxhq6c5FAJR9rB6W9Hb0NHtTCQIgXfJX3s1LPi9C5AiCz8tr5DDZrPdnK
z0fxUkCgaEV8ioNHolXSnVVW1i7nEiot0Ebul4FOoXCQM9QdLg8QTuxps6OUI24YD7O/zOyXcLQ1
1J8IRFX63Kqm22RhsSQGCpD4ffWclOW5JT0VKI4fuM6+UfLORtG1qQfzebRBM3l98YHQ+MwqdqnI
nYstYiT0CJNme1PpBnfZY1HhfoEmAE8bxhBKRwAu7P8O2qztRWI6lCWooz0GN/TEuAsdzaez0bng
9h2kjZx85LB/Jmwp8AdVQxJXFQLwAotbi0jxbdgkIS9mIgbjzgz1fRTfcBFBs+r1eRNCZyB5IcMV
Y5Dz42iRcZxzWz+OYSL8XnU32TfpqdGzj3qsOFQ9AuACy7OOc2WTIUm/Ay1joWtE1lbOA+u02Xo1
NGVwiYdCXIwYwRsoi4GA7ogvfR3QLoPMEk82Scfroeoe86IYSDnvvGGdyArjM9KLxXA+5XcVC7x1
b0361sisUx/SJWMop9s8Ms30YeN9hcKO2KC9g/dAOLBgA76bZLtCxhUxApqDYEsenb4vcxSDgzbd
KygqaGOUP3jOr77C+NmU4+P0LGwJ6iwMcQWauG4tIzzqerwXxvTDqSNt32n5KU3DGT64ifeKdamW
0wDj6vhtlu1XC74yE3az51E6uyALn7NOv7ktH/isLgh2p8sNyhhEHwvTjavIXM2jmwPIfxW00cwC
rC43VQWNPooNoioNz/abamL6GpFkAuPRzB4DdYvsTuz1/nmoZuZmaCaQn7dMTNo3OxnbpVIkm1DX
VhiP+cgpc4lLIOKVkTB1LJ9RSXp0TBWpYprRziE7rUcVZteYOxzsXDohi7xtE8tj3BbnZEvQsM/E
nWcNCISII7mDHSLnZmu5j1bVXUUTMJghxKciHoiS71zCgAT2fVheuXL8qVz3teFZ50Um71CQi1FP
XFm8Zo/1YIvI4WGJEAk49KCBAqU1r0vOtgiMO4Yx0KTDCJLPaD3iXyRKLX6vQvNLr62NMd5bpiLz
nct8xe4KITi8T8KXLKU2fazWmmGe4Nu+kqK9C73iY5rtk2LuHnBf9bLblx4Ctzp7wEQLTxm8Qjw4
t7rT3qH5E/4U3ybRfXq5xaOK1HNTwtepm/5jHrA0yKcAtzTXY6RVnv7QZbimZlJ1iybg0AzkmYTp
rW5XxxQxPyoJd//9AnQWAL5qWjztO5I6dinbQc3rNEgUXIs8PkaZZlfI86FoNpa3yS1OW51WhvDy
pVWx9WDrFtqz3YDXNQCH87j0LVmk57xVv1EeGfuQydHoTb/Zf6wNmb+SkEs4sCS4WhrFzTDuYax/
jt6B2ddvxlWFz4Dg4tXh5xD1p74f74xsWXgPPlIHlHBIs9PEgjcuk3utZMBohGed1Aqq6WIfhVJA
GP4wrRBupIuHPHbsHYsfkHvjVPhBNwUbyo4Ulfy5MvF0avP8NNgEFwmcTxVcfAspmZ8NXzCYkoPZ
2UR9i2jvktJOm8U13fbmvcO0Nu7SC/lxpylwfETbW7yLB2dsjeOge6TI4bA0UIwwT35ELHCFMoE2
JecwiFRP3oM3PMUzp29vJA9z4W7RxL3WMy0Xn21AGkyzCcj23a6+MiAidBjmKY1VPOyHyNnGSQlV
Mybvj7ArIxpeZtE+mZ76VKE4uo51PxYWehtbcaeWT9rSA+K7wc+A58Y4G8G00qYO4V34ZbgvzoBY
2Kub0+IBpLKs97y+iOCDdDcKhqTJZ2iEi3RILn7hjM2Ddxsa87Nuc8A/2ZEE23I1+sQGvQTD/DHF
7IcDmhla0I8hrniMwYzWNExIKrRQfQXUHh2FipdAWIrFmjfZmwBxaaUuimxO8BxcxKoeph9FxCUi
1I3fhJVHO1en9EV9OkqHHOKKFtZodBwraP6MCgnT/FSlxZcJFWBvwOPTIQQ0owKkJ+3DiBaXvRVh
4PGNgeR9GRgnE/Mk0cTNma0XEySHDWF7XLI+1uNgHnGw2euhxegk3O4pwcogLMQSvUdlE7rBNurg
0VttTCIXMhHN+YEi8kB8D1EgDRJu6O8y63/r1NnTOMmNgwvG6cBfT+0Jvv6rKvGvxRosh5roJjHP
R+lEX6S9kaA2QPpCyBbVTn9McYqD9UDEjSvqs4sK6FiyqXZedksZTMDq4wQkHaTcWOJuaPR643HQ
ryA5HGNvupmdvm9LsKqa+6z319nS99Kz3jNcmslo5wT9IFhocwbXjDff0ha+TNWbJ/TNNZLiyE8c
d221077xvJcqZqYWGvkqkO2x7cxXO6XGwaBaBw96kjCG0NOb2Zs/yxB68UxZ7Y6RsSbuoIV+tlzN
BBkzqXshlspZybz57NriCUO8QVCVwqkEJCJR5YkK5tTOZgizkB0ebSFsT4PLAo7RqxMVGOEKnCFR
bK6aBN8Plda+SOJzKZj7ce4A1cv0m2pktqur5DEaNW9FYCtNyFRvJgNOuZHZP6q5vqazfALGsVzZ
ah8J7KNbJgaQAt4WrvNgucWvuc3Zz1CKrMtgvCuiHKC8i7U3QzPOdOqsNfUPPT/RX0MHAApQuVm3
ERZjkmgG6zPQ1Xm6pVa1Od5GgcCGuWNZKjbnjaj8AQeuW/TjdR7IApuCc5tgLC5F8YiVOiW6XX1k
ptgrgbVfD4L3rsYiSslEETqP/ZqRRWYbExkaNfF9hnKOhRqPFfL9JcyPCLbA90Rxb810cnX8OokS
A/Ts8nnzfjNn+dRY33OcP2lz9llG84sKCA3wKp/YBjC+iuDRtgp98jDJYqJbCzCubZKpyJbr6iH0
Ge1+iYK8ScOlO6YwJKLZme/hKd5JD1qDKYmByGKOS9psPIVcY0c1B7uAQIRVKqoMO0tMtBtBODrG
bqAWq3LoPnWxUO2Mxcg5A4duUfvbZP0imq0HXyTG41zmBGZL57fpsFYY82MU7BvqDNLpbCQdKIJg
nG2IQH8ysDawu9mWdvnVCMM71iMZ3jEcIJRsEMZ6Graw2YXZLAGLorDoNOLybD8hE2ibOMMPqHOv
mWRkxIB9q+NmWLuKwZ6HMRd7D+kyMXjtVaMR/tK3KPXrNPSeYg7+OPgh0MXth6LeJIVGSogBI7zI
Saqr3vIpWfLBzKXkiH7OUC87AdyZYhPtwuhnXAx4iksym+z2RxnpdD9S9xWQF/yuvycZDnu91t+s
ArAvyl6S6ABBJfR7DUi4vONqmD1HIKgaAnVX0EFlWKNnMUS1zQSBbMksAfxbwZFQ6mccHsuYQ7wR
y/Ceat518ornXCtvbBLReLwUafEac/nAtw/4WcByyk3ty+6teGulKDx0NAAgpWFvDK2R7dqp/o18
zEZTFgdbM4HWM6IojvPxjPw33M6j+zNOjZUVmsMGuP4tiTz2gE2+dmLN50r4iPznydOAq2lm+d6+
VBVCYTKjGrawGBaYLFKIT4wtEggjbcf5Og/6xiqsjzQs3iAtdBASnG4f2ItuSpoxXkyw1YMZ7D2R
C95y7LiTTN1c0p58MKxAM+L+VbXgm2TyYHtcDp25/m2147NO1iLQAV45FsvzCnWLbn5nyPGY0k9P
v0nmJVWAOl95d3Wi1M7h0s1a4So68D9d7hAJlxbXaUD+6DEcpdY6TmP8Q03alY4J5Y+Yz5lpv3pW
HjAMG+8a0/tiPvVDX1j4VZYbTEXmHCRNewFDynIK8eau6RUdYgDGg/JpqhLotm8SEdCODeQCPlS0
MekdRthj3pUlWGHSjnOsTRFgCxFWN8r45xZ9HtfTpxzEPzt0NP1o2eL6sRLu++zijTbeaSB+k8kE
riz29oXu3DW4zMqhvtN/BxC/jrEIwWCyhaRv/u1FsU3r2i5zTxI3RfrReeK9rUbUijrUMwtFhpPt
OqEtAOoJEzFDGrudHgCJhPvaZtgWxL8xu81bJS2T7Vh9azPQk17sbuIx+CVgr2rBQFSHRWRsUTzg
Sz/EvRedMX+to8i45nKOkKzqL32bXQFG34deAzMMIdBmmm+xVrqbru3faHWsndE2R+xiXNrzB31C
PUagQiypbFn9kw30YwoSBg9OwaITNFKPqJDaq1s3c+fAsvVwWjkuyhTP2hRGU+/tWnwaA1a6sSU7
Msl44Hjz5rTm9WnmD09zmXoZ1zYgxKNvWExLTgjmlAFG8Xavqflh6t+TMN+3i5SBOfn7EnZZT+8I
jxW9ZvCzncnRiC2JhJMMzcwZbhX7y7Uc41eRxBpCsuEsLXKeWuXsEhtj0MgSPig/ePva0FQpdDkX
BsyVyITKsL73LEQQpzwcngvSmljUP3TMW+IBmRZK7x35SD/Rgz+pJKSkn8dNK41tVVd3BDX/siRy
vuZ/E3Vey20rXbd9IlQBaITGLXMmJZEKvkHJso0cG/npzwD3V+e/YYmSbEkk0N1rrTnHpGRyuvSR
atwywcRGL2hO6QThgfAuFoUo/uSC1iaGkqvB79tU9YHlIWI6SyqKr8q/UyfNlVGXkIG5bqnxjrpk
mUV9P0cr3khowNvCTWfPrUI7+LJKf99hcaGBwdm1kN9QhPizmvCYegfHLaGwxVmzVMH48FE4IkrJ
Ims7ACHwyEwEiQyByOEIkUZHmXrnuCRREtjdj15qaiEsq6BMZ7fPFK3dVtJp9wPsSt2riooXE1BK
HSOjwrELGqciD7Xsbp2MN+lQe/ge8xwoLiW67Ntr5wAy+MUFob8VIj4MSKfWY2X8CqSLBawbfsWd
z7GqlzN4Ylm4GSv7ZJi7oLNWoW+/dybvvt9Hy6ZCyCrgjHmwf1ahN22FLbLDGA5rWcj3UVOKUsE/
S6O4JI6+J62Ty8Vz6JJ4tGJ5zUSQ/fFiUO2FwtactVxMwRmg0iqF4DJ/sYWPy2gYZo07fTvxh4jE
TasaYxW70xHw3htH7++5i24HgAt0A9d54Zb3yvnUA/9HJAa26Mn4Z46Y1jOyYZkinHRKR5GZf8Ye
HGhsKY9WEXTZdNwY0UTlmwti3un+Ifxc9gqO6kRZNIDtXBmxfe4H0hrb3knpbngHgzCFA1ZOOE0R
xjNiiGWQJ+uE/L5l4sIu8ycfe4f90nG2WAbpuDU962fkba7cL+ChMaCMJoPYFFwJ97N070260ILN
+LssenOXxTASG5ojIh5++4ZcWd2cLZTjXxSOIWgXEzyA5bMbHIF+oflTTfZsEuV4Vlq/y0nKjW8H
H/QmtN00xBes4OfJknOOn/zjv87vElA92ni+n64S3fvRbWKOyFRDjuH/lI4iy1CQbmhV/2yEfviz
xn9I89wFLuXzFDeb2PPfUuEAG0hj/ry97mCjGcFWLEzcynGPcydxhFwWhX0DoD4Skta2K/JwdUd8
lbX4DFNKwQQo7cKMiHKptemVHUVPB2MTZ9aCgq5b05wuVrkbU1a57+1M0motyhM4izPhJt0AWfFW
FYDrUN+ZIrwkLVNNxVSTON6d35f3QedN0mvMVzpc0oK2upBRvm0ycHdE9nAkC1adXfzTsoG0vnIl
vRZTtqW2tBoZ8+n5xg3EHqzMXILXnApyoHm+GpZO42yQEtF0qdSFsn/YZDAGfNNiN43cHzvzip1a
W3n4qolI5xiEo9Wkj0ZduTfdykDGBWohr84u4vB9XSO0KWj1B+XAMNCvzO00P+1RWE7Fv3bA4Z6P
BTNe7TuohbNrDPWKg2bVElbSOp8zUnkpIwIslCFvGbPTQwa0StqVXDul9wJpyqQ364W0k2nKOMCz
thP99OCjY2NARIeDl1IdzSQ1QWsk1t4oTWIOKBNkzI4hJv3L1GhIDlF9qxu/2Af6mdz1Q1XiffHB
zy1gx+icF9EGKo6emJUB74Q6CZMERaPe4LA0/pIc/LaugyW/4zVpNc6trQB6LdVclaPe1MkMXhZl
ehMRIybAaGZWFgu7DNv1GBhMw7x/PVFyW9EzXUkm2KRCdzlJcfMDFV2Odea9DQhD4NxlzsrySSOC
a92P2bHS6nMQ66dYThtpYsAsBgK+dCc4BFTRYeXyZlfhBRUHKul0xVDMxqmjra10DPdRSde7V+TE
i8pagyJVAaG0+SxeiskBmn9t+C0+1T8LMPJ/R63jziZLS5cojIMTvpc574H6yCP6dUVnb6GsPL5M
aSWXVWLBtW4g4LopBnVPrsyMgaOodKROZU0RjT15M1jBT4hkHVKokRKHYmoL6IFANM14FhLF0cbV
4wujnnWENf8yqReE595LhdT+JZxQA6HN4lUp+bWz4l+tvOlVp8t46HuFa3p48Up724FMOpdlg9+h
wDtaaB/0KD/jkFAZI3G/63AQB8xR4pCjV8RDRLGd2n9bY8o24xw7XxPR5KTyloTVGtO9t5hQ/+hV
QXmXk3nfF2ZzRBOLGnD+qE9dCE5J883hIcha81DgrQCD1lI3jXS7EJApjW5B3JIvukitPNgYor9p
5b72lUtyPTuPTIernoycRoX5a0yK8Nb2bbVoE5my8GTVRqfFHRfJw8+Sm5toJ4Sr745vm+vEK2mv
QSVZMf/4qBtM5TKtm4OQDDAlG1/nM0ltsyk+a6kjdty7+TrvjTcMgmvPpOvSDUwqZfyRBVrNrHvM
PrvkC9Tuqg8sRhdJ5J6pp+pjGOirstFu6Ep3MiTSII+7fN8FLiSDnu2NgmvtwvIkdoYVtGDlWqP4
tC850dm4jrsGnStPZeyUhDGGDsKkpLnaTBpRxiIYmJ+5om2uz4/SPB/3RgUAJu2BUNkAq+2OUqrg
WMB9r0gdV8jV6vgK0AdAkDldusijgMOcNwhw+MQWwUbiRcxaNAoy8DlnS8r70GqhAvkkEwm10Y3g
jfm2xs2SwrpIaCpmbHorU6yYQv/gduj22D7djQAWsQ56YA1dTwBylJfnJgU+I7ACrdNAvpaK8Zjw
afJOev4tp97a5JEf7Q3HX5PAgG0E1tMSBT5ZvUjHY42ZOIxNmoAUo01lbZjMwA2nJ01XpuhWDeav
nU9ewMbG/sMm33/naZwdBgmGr+7DZayDOevVdBFRwOaO73Vhd5t8HEqqZNDrxhQS3cWUwDeoUQzV
6kwmuZwACfzpyr46ljWZDRxp3yTjaQszz/NlranpUXKGW97OF70u3SvB0ujmfYLkG44uedbX+wRt
N9tDviDOAM+s43sLGTY9VD3TfYHeC3EluCAsOkSFH4GsjbMrirXFOHe1mRdebYmyr3HZDdu62upx
wNEL6XXbmR+ClK3X2li7Zm1cbL06+Q4FIBVjA5SxDe9e8JV0k3oQOF4w1h6ulaSFlXifSo1nyfTi
jkLsO7NY/+2w1hj+uclHG9RkLxge63AJa9mP22MWVuFGNfmHFqYfWolTh7UAnZEsYcdO7LGZg3G6
QrkJghLKKkS1m2G3e01BZXg+0yDC3iqTAMDI0KpNG0JneT7A/A9WaYfEOZy5Zog10+Uk4Temk5Vs
GPUiPrcSfY0iX5H5W+pkjLgg9qn2M+bdAhMSB39NnFgJj6qYLg0K1xV/Q7GcypkBn1XGuuuYekka
MieyHui6e99lo/5VRqywYaBMqslUQGF+DgrxroxkWuuEj6JdjLdjWd2J6f3XY7Jem07xp+vluaaX
8U6y7G+G1RrsDiaGXe2dKtoyYaAUFtX4N2yucO1NpgWALCS5OUuOUVEgdUnsB03+frlJDPw4uoEf
1erFzh/tX1GenoPefNRK7lyrAEr2LCtVdkp0ytUUPv8wNt7KCUO1I4QcThSWDjbrHSIUlkM7I+EA
Z/JiIsyV5FCa3RDUTqbVvMooMrdehEGyMS1Ic85vy8fyF9Pi99MRQYBZrEVQ/1TvWql/BY37y1QS
mZdd3XjxaC9gZVLgXjoYRWCvCEjJ9CiGPF0k6HHsNcdvhgWIvnFGASEdSjKk/OoCtUCQCVj1Jxra
aglEYpVmKWaDsP70BKE4cjwga0JC4UbJNblUjkZqDKx6L66XRHasda+Pdi0VhiInDcIU7guVesNW
eQ5NVyDpnJAGGrYN8ZelFhBay9nN/xhz4J2JPKkwrC6yv/cO/cDWYAdG9b5ULLcb7nFuSzLpJg18
aZYPV/TEr0QnXgc7dxY4fXr6yWiQGVpbj0jpLPFyOIx1etRcVMHwZB6RZvrwbbM9Mh61tCu8texH
j9DEMpqPuzDL4yu96jfo8q9DTu6ZOYm3xjHT1VSuVTg8CpR2Br7/wOnMfWgnhKmpjyg0v4LEPNOL
X+oVkxIni7I9EjboaGlbb4BNfxRPbKa9aBRBbvgTX4xG3ScfOMMQa19ZDQO97uXn0BjfeVu89U3/
iTL6EQR7egnaVjbFqxikR2oPsbaxUR0YnbVbt0GZ3gefuq7q1yZTHy3SUpYA5lZCfDAGIQ1YW/ei
JIOJQfpBETKhW2LYWLXtnhg1MJka4u7UQr/ZmQ2JQSMoU2KAyCFFO4PTARhk4rMpabpdn4IObchQ
ovrBy9GtpY27qHL3ngCrGBU0sbOOOq7kDY5tzT04hEWi1/gpXA6GJoORDriLsv3q3o3gLNQQvvKD
ctSBCZmLqvicZ9l52w3HjpSShaMVNJeM8FOrx0/XRJOycEEdTr/rLq2PRe00W32k4Wzk8bIycvmp
dFFtY1iUW+I/vqpsRuMbhbuTefamj3V7qh0OpCVT2E3QQV9wtCYiVcfCfJgnf+wpqRfK0CkWSHEZ
LPLXCpOWcO6XBuNXDqp9AqrWGqxPI2V5GkkLe+Xncx7HJV2zv5lO2EGEIOs2TMe1oxx/ITiwOXYB
G7Ql1ACo5bmtMHZ36jj1wzif6YJFW43bLmQoPRSkAoBtvbWU1gWd7/rNNZAdakX9iin+Ywhsde5i
luMws9EtmeSJ5BpJ0mhgF7pLo7jyQMIY7TtjiU2f5MTYEa65QquNJr59FdpUH/qsOk11GJzCCvh+
Z88XNvEHpE3iUUjVTYugAHTWDAQ85gOV9QzLof1enFngOVzJ/MSRDa7NBC66qth7UcjQjx0WkdsZ
8BHtd1hPcx8lsUlvm07OBDK1M9QmZIRZJw5QcxnTdA0H+/x8AIRnnzlzcfhm4dmN/i2EiPeSaX30
GqIzOJbJ+IkXS13KNv/ABL5y6/DdEx6Dkx6DWBVbOxCz4cLy0vJcNcE90pFLGV2FpbXOtRvajr9u
luTHQqfHp1vgfrCQ/LI5Yithc1yr26OkhdqTdLFHNEwspqOsfYF3AV3ThOV5E+s4m3vn7GZfWg4g
r6a2gGIMG1MvBfEoAflPQDtAU02HNEgujd1DiVafaJx8/D32sm0reqkBKGlXVzS+wdKIvGQOm5XN
mt40Y+eRsw1K85fYY9IEwynhWr/0NZMvYm6PhOtU66b22RfLdzm4/2ap0Tb3nEMTO80G6wfof2Bo
2BHUNtTaTZBFu5GQhLjBloDxFpuvjbqPU6Qk+UgXOMwL96qSDw3ymzP1LHHal/RZcLqRIC8aiB6h
1CotuEx1RUBc/NoGE5KBTH7lFrlOMCzeE7sDilOWb16qXU2nzZaVTd3keg7yBto30ehaSyMjJT5j
rAhosqaPAKk9oo7c9hMnPdvV/zSVOLSdT9kP+38L+N1fAlu6ZwMFu4yp6lGvsOV40lmxb+aMJ+Nz
gg6F4GnmeTnq1ZWK4nrO6MsWmrI/0mAoKT8BU9qp5Gq2f+KeulT3d62ZyxMJY3tT6P423jAJ4OZw
yH/RwwHvk3mTAZR6q5boFEW2zg3a1twgSyYdECOcosTIZPzy7Dlh2KU1E9fsaX4YhUCiumGF3rmY
oSfuPmLlS0s3Yw0mXli6+ReTBY7pOZ17IKMwPAxrNzSzK9eZDx3jEUrVSqX6uNLdDomNk81JTJm1
77tsPwYCyL3p/qF2IU1JzMeIpswXMEMrRkjjLWwM5q1l1x8iC/1w1ndH6JG+C+rdpm/olqDLpsFC
lmtOd0acq7bMq3UWIq0dlYi3uOg/I9Vl68G1H5DaEeENAwWyyNed6gOOKG51jXrxsKog2U3oFk9x
9t1rA+MBFExpVQdbbIq3zEZyHGquxtrLLZlYxjEpvBr/tAFXrID+DLVuAVLK3HM1BCuCZzF/msZJ
9KggCBGmYazLtzzObeKYbeM6TrFxdYmQAMKiVjo6yoXoCKNVvYqOPkekXT52IGmEu0s98RIUqsW2
N14bvPabIXbu5I7huXbHadmbtjy4bD2hb8EiaLp35OO8e4XXrCcGyRe2knZNt5CVAkd0YwzBix7V
/qljaPYEbhh63qwAfm51AydOpSniFF14hhkdgFHXiD/xMTnOjagoye7G0LA4cG5vD543VNuO65yz
5KyMN8DLpXDT9nWEDGZy55zoZjo8P7Lr5H8fhfwDCYUhzVHj2LRrbR24bx9bt7S2u3vt6yz8Jdg/
NjAuxQZIQ1LR4mauGp1pGnTvRIJQd7rjzdWG+J26YWLG5Qdaf3eB94A5DA90y2E0M1QidoHlURnO
mf7/D2SJ/uH12WuiUmIh+uloefVXkYbFe8GRe0cqIfagRM/fMR44G1dDZht7Ith5+ZxJhiMKd9XI
0Vxg/msG8LeIcZJNC4RyI9ypf0cvH6+KpNe3w8AiMX9KGSxYDhVENnD8Hv3ojBTjwyU2RA/F71pZ
4yXpuuqdCA/EVdGpzGR8VrVRvnuXwSCshQ1nGeW9uytciK8mODC8ZlNNMgprdJC9R1klKe1Hkqtq
blZtTN/RzTo3q67PhNyk71o9kFFqym+Jmxu5yHGUwx81oRZgfttvpxYWR9XmJU+bnWy08KWtO3+n
8+eJ+mM0MBlEgFXePcsi03IYgxW++mABG0yecb5DcRx7xPTzD56SlMZlSd/z+ZNTrHcrpptHz6kY
l+Mbfndc0JJC2KzXiHjeI89m1bcJ3GUwQg8ScIg3RjcCamGhV4DXozo6B6PTvVXEDJpetCVzUb5Y
9AUfY9LtcmqvbdFCmE0SGig6vyjbCpLfiN1GjpgvbVj1rzZXSENOKDbSK6lEvLJkWzxI9ZgKK36p
kMNgbbs3gvvCqxG0FzZhF46kOjcPzLraDZIJmhAd80u/89Qq6uJ/mt9L6hr4rCmd1vdcq8ojOk02
oyaFLpC3YlmN8b/CgZCM8N5fFQZNvoa1aG/Q4g8yllGq7Y0SLsMLkfXvVVCRjtAOLkAGQhwmk3F6
QRJZStW20mqDoYhL74ReMAF3IviaE7gdNMUTBvjYKfQtji/o5dxHS3ykWLxLqzrlJpK7mEMgpwQu
vpHLbEIxu/DkQK93sn+4oOwLb6j13lWscJBqroLxv0waY+8pLCGGu0j6OkcBZumbwhaEK5Xy3mVg
jpgarLpj3I3+hSROFIk9vatKWsO+bnCW16H9cH1w97HBz59bvJOWpcCcLe8oXegzHlNYLLq/hgo+
Oj5hLP1UOeiZIEwTtockEL6wLdJvP3eHd32W5qVuHFKn8/1FmWdHx4CzhyBTLQodJVCX9H8N5nb4
BPv0ko1pcjAtvVoCuDEfRsclHevww4wBVbTb/S0t4R7tevAOtgumKEBOvDC78W9tDNa61Qz8p3p6
KuHBrKO5iQF0VdsChcU+MT/1pz7b9xKZeJISfFAXhOcwM28IHt6HoYfDdr4pQqyeW8chlP751JAd
L81EyDvZgdw3cmrvtel9kObuob0MOT+1tBkqx3jMLpWtJ4FHDAgVDkatomWUqWI7YB0kNyxpYH45
4WoohI+Jqj76GGMgijg7G7XfS15YJJiLpt7oLTGRQa69FpPt8Z/F7aYcc+uh0cVe06EmQrDM0mtd
dvciVtO6i+9tiwZvHPPsMbhFsFMGl32VtkQrqDg+tO7A3q59T/ytr9xRa8OO8wMOTYTNmuoeXeWn
R5OgKNDWPG1VgEqVlwyOChRpjSnUAeyGPI4zyrqNRPDOvH4i/JUM+udTMHjmJpNy70HKASU+tQ8t
mU0XXgbZPtTqQ8w0Gm3taO85PhDCM28NNmMJgLqlsXbmG0pVmY/QkgUcA0lz1Uv1bjNnX4qmLPbM
LZuHAa58bulFO23mEmmYx+EE4bAEft083AIItJ6TA/98u3NBAANHH4av81eLFG4U0Mfyv4uhKvN+
7xgQ1p//s8hi+2DXurd4/s9BBz6I8ZEC8cuVo7WhThSB+PN8Zg9ues39+O35LApz50bq7OG/X0lP
x9d2Dgqef6aVlQoC8yXIYn1GuR/IIu7vzy/h+1nVmW6+Pp9lvrn3CTG7Pf9L16heU8Mtr89nUpo/
de2I8/NZ4CLz9AyjOD3/YTNwvIyNRv7342HyEg01VhNHIn7viQPaKsF2wJbIr9NVWbjuUVlsn1+1
Rq4u1Y4FI0le3LQsvE3t+RXFKN+sSbCjeMt7lI98tU6LdJ+Cq1k+/y1+i+bgGqQlP//nvhqsY5dJ
xiLzz408PTtHyF1pDPNvMxATF7/zH8//2NKG+taE7en5rbKro9d4xk5zZyENMTyCvaLurcRVVebB
8CDHZ7yLYXbpXLVOOFcUtObJZS1bJMga+qjwXloIdUwDG+rScHyZ9DmWo6uOhHO6OwX2ECctLCsb
P+2xCKV+570/Gq1EQM7BcodN0XoM81+KWCPbGUZAqDOFBqsSdB5vGkDWlABBfZS6j3QaST1uGG6r
FkpbYnbtWseDg3AeMnuWo/Zy0pfElNo9HYgHdvNpxV4TPLz5wZZfQgX6G+y/fVwV+i0ngCDuWrik
EnsxRjyPTmcITgI8FwDBvym7/Fmf72samwI1FLhomyp/9fycjYdpHgXsG2e2GJnzFtdMn+7Q9Xtd
KH3ZZc30IP5m6ztFsxWWr/77FMdgBmPN0K+yppSL5y9I0pM8S0v7SgzP2Ya2aldo0I0XD7cQBCft
/nyIrEsQJtrb8y8Exws8Crn8oJwrQeza3Z1XypIzzCrr899awPjIHu27Z2FWiRiYnyr4IuS7hQRW
htKlQS4JpMjI4hboRjd46RowmPyLBhfTvmts1J2Kc+68lNGes04GtTuCeyd9uPYAWivNbs8vCldl
O25xZAxjAtk8TB+o/Q9NleEqc5ja5mRtRUX5z/RpKQSuGO4kMrzl/ZxckaOI9oPu5ozFsMwLoe2K
mYEUGxMtC4t5hWVvWwIWVk7KyE4F3V3HfsUUuHvBask4ft4VZKEF+7Rq0ew0eXtXfhZcq9riYrm6
/TQ+LCG8G5f2gX6+e1Z2/6U7fXsxocr3LlaItMvu1LcX4Imo7Q0GgBBMd6yMaBL1iGK+il5IW/zT
erl5Hlpb7Gh/O8tcn7RF4YcUlC2toDhwgnOED8cQzcasZs1DQoiAFzCgqH0jvQdx521iOgIrq6Kd
Hw3j9xBz5zCyHOjpX8HlnRtp6pfBLtWLrJoNZeyI1TT68TmUvRF9C3EyL9PtkKNVV8NW161DaAaA
gbp34SIRmlzwl01SrEZp6KQpWc4umudoNl6qjfCcYN0oApPM/DsrJNXf1P7TBC1OfyjTu15z4Au8
d7wbOIdEvDdBNS3DqlCvrfYHaY77VrfQ6lI7HJFRJJynqNjz3jwW3tiTNOG9pYWa4FOhZ09bHJPG
/DsJMgfoDlJyw2MKVvO7+YbgwvWT/qJX1Rt2VP3+fNDWgGqilfCjePcc/+llzCoU0+iZ/4jA5sUg
X5TA9FpsvCp2Vnp5ZzJxF2XbLD3QHg7z+tSdoDZWLCdtZs5b7YOOs4N9w90Jj0ZiEATNHqvbXuqd
XAS94rCuEQM55l5B28ur7j4mcna33mPLL+t7HmQBBRAuKWfsP4zIKM6ycr1dmiBXF7RnbOtRyU5c
wlYy+DUU7hYG/YH67EoN9K/EyhSCLztkLe0jt8jKI3lZxANGlfbW6Lm+SzCaLjOi20oUSPTavUWF
2WUFG/hLllhgMhFlx+e32/ksItL1dxWup7b2yOwL+rcBqI7GAXobaC0n7xFtiGYM4yYWCRt06V0N
W8NTPFl3+FjWfT42oYW9cxvrVwbDB32MP1vDWQ+JmDMMfOcOSUiuQtknW3Rl7p2bMl97gf1ipPFX
YScn6GPFjbL+QtsGITpB70NKSxjZ74IRxi+vIuvMkW771poEtrvqzjE/ec07SrxZRgCZET0CBp5a
mhd4m91ucglvSCrtpvSPgoEW2tOGvqszkvjbFt3l+VGeo6GXRf1RAp8IadygnGbVgA8FqhhtS4Qt
glC+6PJ8iLmN1mPX3rKy/ohdN7sk45Bdwv//UUHNW1Ke7gmmOltFi8Dm+R3Z/G1th7068aLXpG/W
NUdoTsl8Ohc28QOYE7pFbOoaVDD0oXZlHfI2PY4YypZDS/9ooCN4qdKQJlLhHRN0V6QuBpzWLXRe
kvl9hFU6nrCUEEHAwingskUHiU7sTJuKoSqtlm0YQZqLMkKiWiunLpi/ABnV++9b+vmpRtvPH8iN
fn6+adi18xb9at19plpCUZZK48Ca87+Pnp9DapxtzTE4h1PRH54PGaaIDZvULxL0PkNBWJ/0DLIL
3IQmhvl8dAk1PDw/63UTypfn8w4pmJN8c96DQ9pwanHGdO/C+G1a4+FUbfarKwvylfUgoq+SF48u
1Pdj2SUvosA62WXjRvPMcevZCJ8amierYVTNum2IEkQd165QOPpre0jhA2DJ+d3X6d9WNdPOb0G8
uJZv7DsAkhsrnoov3qyVLLLmNwdDG2U+Nt2C89mGpMUeVSHnM5PCCMtDDWZZljuC3xDtRfKYO3G9
HyfUogDn7B4310g7r3JG421OwKBRgs21NrwXNZjuwumn8KbFaXCKm1LQsJP97+SqaV30q6LblwNA
X5kxMHpGDN1tmPR/IzGcDKp2Rtrc9EA470bIfCafCJX0aK63biBXaOypFwfRLLnkpyVg3bIR+7JH
vElBgg5Khck+C4LfZr0tyDY+tYxp71XHGKuRdbzTFVg1jznsbirtDSl16rvKPqOMsNBAuta7UTt0
XT6npmp/6lSBQk1kcc2QXK/d2MIyUJfJLhlL6xSbtDgYAYJQ1n374PbBa4jefh9WVrSyss78Lfx3
MTLSlpG7qmqTiVNK/xvTSbnRquFLJ+1rMYz1kRXaAclXfBu07qiBQQlLIZyT0zBwgIWMT6Qyr2II
tmPAKy/ClNYSr8rVxP6kGLRgpjDaL6bjH3Rf/b8aIp3R7ljDmVyve9PqPrk8td6P6fl4ZNNrVffZ
cimgDQH3nGCTutuiATXGd6ZOjxCpJAAMQyIOEYDpR6HhGxRxhbdIRgW5iab17mjf4MPKzzrpomPN
zI6YI4g+OX7JNqcFnCa1x8XfDAhnLO3NZTVHTFl8BTK2N4qO+xYsQAo/2+AYgYpLJqCIJe+lldvI
n002OQBKyMY/Qi/vtnE1tqfJj5E5Ndo6LcP07CR1Sv9h+D35aKsYHVfQJtDk9MT8OrjKcOpZr6oO
OKwmtZBwoMle9ZnRRWnRL9wGniokWxokRbx1k+kyVP5vVnd4u3QvEPjJc0xy8E4hLIPUO7fKJ2pE
er71C7zYeDMZISzuBvUMh+KQBQrBhQMtPg1Lk9ilEmUp8Fdz6wwSNRQTuNocXISa/6JE2CTQVs7p
+dEQBv/6ug22mO+R84cg8jrbniVahJf3bo9V1bCL5Tx1tsLpRKbKOpY2Br7MEBtl0NNDVxSf6b8B
VMmP1G3LNHDLY9gN+dKvlIt8nvOiO8an54NDfbKurVGRChqVa7vXbBbbSmAEk/rDFhWCFd04Gobz
kMXYbs3Ad8ihyN1TS7MK3QlqN1X5pHr5v8dGYpqr0QXyQp+04C7Rqy3h0NNJtuKQEEkVHp8f6WVa
bUrp/0FBam0dtwXkTIQJsyF8xJi4jpFpgFM3/BA+pD4L63Bhm8wXjvr8wMgug1GZeQeNik4E+X+f
+b+vVdH4rQ/Ix0bBNwnkJodJ7/73kV28OXg2D+Qb9/jleRgNBHzxqHYYr4W10yPOgV1qqP/+b9Rv
7s6NCcief5Lv2bspNlsQreYPwKXsUNLzqVzh7V1FultoosdwozMxRMYmzykkKORYC4kHKo5Sa4pj
1eBPVTGD07RkQOMM9d4NQKh48wM4qO6oAxRfxQqIppkvymLyD6UnAMSbfX62y4r6aAhTmlzsP2Mu
vp/PurFKj8+P/u/h+bnUSS89ieVbgnIBe+jHqui0o22zmo4FGrSwThjONkLwu4+miQY3u2MCb5ZR
u/OQuB6fDwbS13VpQUWxiukwaRqdPg77GDaaRV4rc5XFZr+3e7VWWFkBtoiVNzX1KrNnhGccH58v
3vMdiqOgOSQ0AqxS62+dFgbrgP7qqxaDXU36gTNvQVgFMk8MTWNRflhGwwSx1d2vzvV+ZKqNv3nb
rrTXjBuaW4wCYtx4wEiAAlXvuQdXRo7mW6sKcRyb9uCak/03z61dJB31TwDbHbGWHKJc3Bh10wBH
ZEsrnBSxqZ1gm6oi3lRY1jdtRExTpbX5nfitU+jOWjFCHl57AYOVzl57izvQJ12NZ9nBpbIVoo/O
pQATw2X+y8zr/pjRa9tXthvgRWmSI/MhY1calXmaBLJRCJTqoJfFycScCyVjym9MMdO14fvgGSYz
X5Up6sQYXgvnRIaCafOT9mItU2Q9QyitRwk1P2G8TituGcQW63wYTYdO4Dir6heN3bPHNvcyYU4w
rQgYEfVXH8PVSAkmWeU0+OEz1NpbUKbGCo8Sr4mOGxHcB7VDYZ9jPSt2oDISlpByOJi2hiPQ4BDf
zlLxqjERjXd+s6t1IQFpo34GIsiwTRs4ZJGgJ0qR7yZe86ihq1fX3b6z/E1BZDen+tTa5/FA/wAi
yboz+evpL9rr3MKONeppsjNc77cPs38ROp7/YoQD3mqmf1lmnK3RHPeFI65JKesVWgP5Cq9D/feR
moAKq9I/ls3onNL/x9x5LDfPbFn2XXqOG4lEwk3pPeXdBCF9kuC9x9PXAv/q+9+6HRVRHdGDnigo
iaIkksg8ec7ea+MexxzYrHQSbi65HM6mjYMi8ErYHt6Vs2/NEI0JcuC4r3OzRI15RNmOwM8wQRRW
jG3uZIF/b4D+E5rDWVrKJVP26uKc2+Q1UvIkN4+NBN6xi2wcY1bkQ7lR8ZOpmO8m2DMSGW3j3Nlz
9RccbWIXuXOp0b3u1aWbvLfOT+7D9KMxCLoJWtVua0pZlgeQpFEYzOVweRc7AWFngtCJkvbr1VT2
E5nY4iEhdZGAvmLv5mGysWMr+nTHRdaCanSsI+dlEtbBIC/lUDwWo4bEgS3a9KG09SmGq7p58yPM
W6PWgFVl4MC7ybU/qTZYI0TU0ywZtlNfrPq62DHONNbKSH8SqX8Ab40yQaSO7OxDQdk3+nLlFjaz
+7LaJjb6Fxd2LSYkxTofTOKVZu2mCWrkO9LRn3TjqU+DY0o7Ycfkut6GvI0Fbns0tuDmgjvS0QHf
Rtqaij824HEVljvsizjWdnGniLauLHtZSO2D3QlZxYOm7OABfceqBszFdsZxyfCMvfCyhzSUf3CR
y6P0deLSFVKYYGrevVrn7RAmV7vU86cAPxSza/tPEZl/+r7e6vOTl/c2OjKRsmbpF7xz5JDaooAc
6C+NjMGmn5ZyGUkcTWYzfiNV0shTAQSAbmdB/I+BCDmZzgXLZGeXzbbO81+TCXJjbkeii4EbU6tx
0ClLAFgdTbkq8777duml6FR1v3yY0Llume5Az2b8APRHY85mF7sslcXBGjntjiOw1gpibqlGRCZu
RUBAqicHzRs39hSuwM0Gi9BtRoJOpp/a+bYi98HpDbVpaiBbRQV5XDmmvyMwwgCvcuqmvD0D4KqI
KUOHxw9yeQJ44WomojJnk0y/0gIrZp8Y4ClU1V4D9FOgw4DL4lrW/QEGac1T5dVIUEbEhotyrNyN
R5QSaaYeRLUxJyy05BiPifyWma0WqhlP49ToJ0sMmzbzcUCqGEhogbISb5FEmxZ+oR/mwsmpcXyc
C3WXvuaF/dZ3olwDT4JtnTWQ40dY9/giEHCWz3mRtoir94nyK/wkFOWFXTqcbUvn3NJWKn3nYicX
F93OBZOYTYjR7xiO8c4J0QuLhqaeogKxat68DbHqi7HNLLoUZrbqOogEj6UdK2hOVrQMOp2JRUXa
rGUhSTSMXYQF8HL7IBZNZ2yDcVJkzvVq6XsgiuHCYJMgmG8rtARhvB3LbWfZ7pJw+WOKe4wJn27D
TOdDTCmiD3VzsNJ7t+Scg2GSZferdT4S3nrs2TFpYyU2u6YzSUcAMUuTxwLikFYPhe9ka7o9X5LK
/6XwmcWXq1wwCef9NKRzbHnvVHt8hV8RdsN1X8Uoi8PxVbSmQcoYdScgrjsztJdBMb7yd7M2C/4Q
ME1Aqip7ZmQy+7BautcEHxW19WLXId1v963INfsM131NSMllmONF6xhbBf3XCD0v9DFXDC5wBVxD
fRatSNui9ySGTw3NLWDE4hXJ5rCRAFySJBw3hI1EHjFFAMIdhBPydYRvH5M1GWocWZ0sDM+EKF75
p70IasnsJWPXy1Hw4096JMvijxnCOM81fuHoORscYuDhyxAFlHB6aES1Whe2uhpanK00Bd/AzZam
pe2iA/PvfsEwubr2Oi3hBMrEavKRc0Njmtjp1A+5eTDGgnwbDoGH/prXs1fFu5UkFQdk8aVr2qOr
Bd+CPCYWPFz3Rhi/2m2+l2l6xseqnVoyyG20zDKJjqbjik3sE4dpZQ7cCeR4EnXJZgqty5S2v7QW
iE5Oox+/MN0tixOHm+Cbf01fJw0z5pTG52Fy5Te8RfRDpnjIE49GFS8v6YbUCyQ/HhoB3URY9fsA
poI38oogTG0fipyLekzb557QeIg0/jUjjtDiLkJM0YuiqzA6PUv2WE9bUNJfKMZ3tVuyPbtataAd
kG1SK0HCGQYvgy78YzCpcdHV4dcoxJdGZwPeDZWCAbCGECOX0cyqKVL4sqRbu2mMd6rRlwzIMWoa
4anL7aVveveRz3UD3qJSGG0qaAELXBVoGRG7BFHpLAKb9HVn1OaBIXZyuOGwFEiKMe7gCKA4k0eW
kBXxMkgFsG6Okd5ubMJU0CuyOeYAcGVIs6Ro1HOv+Xd2YnwZKhoXsuhs2pdajM4qf2w1/zmeSqby
hNueGhNkEVR6Bo3y2bPISR6bRTXK36DguIZJnyQV99Ng8oJqOf5QIAliPa6eWhh9Aex4CDxPANl0
qLLqE2+muZQOralCYw+hJW6U34HGbC3oSe3rsmFOHbpvXfAlY0oWT3VCziDBvaKbK8azqOkY9mHo
wCXOrUWjKXTDoLl6jhx+Al/MAWBpeIFcWil1/bRnPE2mQQ2Xy7CaT02yXYANmtiKzGviW1QVLiNw
ke11wmKl5LqJ0aBvvLI4M0UJ9rGXPtqIKubHKoHhysjePMbgqShTJfWk+wFT11kllUiWrm092dZI
+8vhBaZ7/wfND46FZqQNVR2ViRDOInTdCjhdgHIHLw/73Qep36Q2sUBuf6rNz1gGB6s1IxQP/muS
V2+DRVlquoSZJX19x6UDPp6RGBP2LyL0ct4i5CO65nft46KvR3dXBDl9WF716py3Ea0cL7tOgSHA
JnvW1o9whKCFwfwD5LHGeR33/tEZoPxiAkF6Hnu7CNXGLg3DlE2vZJeVMOa94ZM1R21U52AAbzZ1
PVFwEg6+jAx8UDmNotjUTxISgzGwHqKxzbJHRFcWnED3hQlgvggpA3ellX/oOs7n2S5mBe05GtG5
1RGgXhrwJWsJRYdT3Y06b+7aat5jKuIMZP+Vjt6TG3uX2mC+hYZgJcPax5UGTnrIOrWYJv0FiMZs
7e6vKkHIUmhXJ6h+qQtNBpUH7mksorLOcDj7K9dvSB9xvnWz4Y9XxcfMzCZ1XqfXn11bmwh3W6PH
jvgUwV5DBlBm55viXOfaHy20s1Mgz1lLj6E2OR/gLbsbRLWMAsZlNDJJbKghxhS/fgkDrIsxf9fT
c++9NwisEaSwL5mOMJkNdJgmtLvRDHGOWxVlVPpa0wkqlNbyNrfpGyLf5AUFi5avCNJc4kBBXEe+
EGx679FJ+mfRQZvEBVkvp8olpojcyKVjqrXllftWWKRldzpCKDj+i76XW0zGlCghwRXTN0rD53i+
/kmRvS8EKQownc8E3xrLpqvXWivPvCI2y046rSt0Qr1MPkENvBnOPsBBKRjp1LXgTOGYNBh9tsvI
C2g9IjCoaXwoUomJGcf1RWTn3PgBrr1WiEEXTIaXNJQI1xL9tBFaUKGPtTalbyxBoFxN8h4HFxGm
G31wZgkwATyExUQKV/jL1cOTXOJEzlgpHIttss3Uh2/BzBsdeJPVsQo0AWf217LKByFYKnHGRZl7
lwbOW+/2+6lFM5q0xgoh6pOfNb9DRnKGYFfFHwZngOQXWHAy/BqoD2sPAyDeYRrgDRlol9Y06dqO
iiaq/mG0yUcPbIlgeTGvVISp4HCi6aw2JScFYWRYQnLS+yqScgnl1sECDbTXNQRN0wvP9NtIdNVC
jgHrA2HMbopcDMAJIg/zlRirukRWVZtM7Mo5GK0bzQcEnX/cH1PLWOQDRPIRnve+NjE0xGDCJ7mH
gn0AXHHyHeMD66u7hZRVrt3UhnEoW9IOrHY5lC66AvXQu+29BrhiOcTgoBTHFW949CwBihaa/zL2
/K8IX7iDYiBg5e2rhpazX3+5RLSjI6JuCP2uXrWJ94j2CQQcDmHMU8u6jnmBPDCFGas3kx/Cia0N
7xQbB0PDDDvm/JcBSsTmhA0bNZ42PPniJ/M5hGqfAc53RktzbmXzG9vZgx+Q3R6n2bpIaVY0ZEbw
fFda8xBK82T6+bMKugcWJRkEGwOfDZVaDKznicIYw85D0Q4vbjQeZNq0lIjjHavsKWtsLKssoH0k
ljKw74x0PAQp24SsSnRhNde8sZ8q896vyJaj/enbGaOU+1ZomH8T2Mj1ZvI5a4hxoqfEHN9zokug
JN/F41SQCj/K7NVxWQBqvT2wmFAtWn8Q4VwEQYUNOoqeeZ/0098G9ewavtGTchH+I+T4Um31x+qN
+8bnkoyKlW+JZqFPvO/INrUgI83e1IeM/R7nw5dpTW/C44LwDQ0raLXKe5JHA1ksmnE60adkI4cv
48EW3hiIbsdBfdAoACDNGtfgj81YmcjS4184FB4TdUscTOLddHoMUxZuMr3bBt3VMMM9QJadq+zH
5KMIaI16Zq+vs6C/ayINI5kLDqbQ092kZ++t9PIFXDRvPRk8vCEtB24z1askZHBjapTfVYszn3N3
QgF+RyjCFhEz5hon29NqKoG4wMpwQUQlSLF2IRFcXvYWVR2nsTI/dmKOXCx4bnhhhCpguqWZtmkZ
D5WBS9BUZW4pXbiYoAzVhZXvW3czuO1bWQ/xjo2WEF8IcQivSAEDI2Lqb13b7eweUmqB4Xkdy+xg
of1cZXnDia9R04oVbljKqn8ZQ2K0b/2AMBY732sYIMbI8OupX7tGfDcThsFq4AyJNMyHISkZNvFZ
ZKzhDOlRnHjpHmA8eYg9ponm3a66bYpHZBf3aQNye7IWypblbsx8xIi2+GNDMF+z1G2SGAYVhNGc
7XQ/Dg5QOyBDC98rjpkDKXQasm8nnAsN9IDLhgV+OcbpSy/RnATCgGvf7YvZpVR7MDlqF5QIM7l0
CGKmAZyUe2SVFShAesE0maynfiCOJ4vJLdUhdyAXIAVB4zgzUrSvtTAir06pS+lpb54TDxSo6J00
ZlPUIQgAAn+n14JDWLCzLPAgJjOlLT6iU2wjcENgcq8uI1yfk63lh95NWHUMDxF/42IR6StUj1qj
byorE8TZ6JtmJLy8VqhOjcRYDinrWGEih4lalIZtsEPwfvQKA/ZUwz4TiPjOQL9b5YCOEHIz6Z+x
rQFaCaskp6jUw7Pobd5BeKwWSGM+5FABEaQgQs20Dl3NYyDla8xGGPLn+ZtHIxkKN3GnuboXPdCn
tEGda8vh1VCwG1GKaIBymnRt2y4Tm5CMnRxL90zpNieXTr/WNLRSmrWuUaf6tbuyEyiflaO9GNTR
g+jaR7ToBcE/it0FogVZYzaVWN0p/DEi0ZdRBrEGuA0IWVMy4pSCxAgD5qnnjxeCBY5JDAwkHe8i
INR7Hz0kbw8gRHH+mqIsR4pskmtWVBZgQvS4Oq2q+5I5XKV15groQbJRQ4dd1gzeJ5NSywVmQQou
TsWOdWjEds9e9Y52YutOxVk3Q2NlMmtZ5dKwZ/5FT23CheZE8aYzdWuD0FPHA51l63hw/B3OOeom
7U/vWfVOiQbRo76umCWPuRKvLml3BYnUBwe9G+O8d2cqId7NxksBclwbIA+E8FqjEYRtmCKgoPfw
UTP/nUc3dKkqgGKTuksn3VwZsf3B9ewSvptq+JuMXsg1xygS5LYRvg+2Iw8Cna1eRY+fKpW8yg7v
ebDrpZNx7qsRTSdxbQOAo/3qtP2z51ObAo+KHd1f+mPmbZh6Z4wCOTRZpN1vO7ZTHF2EyQ5Ju4J3
tB8DhlgCnxzP3VpzxhFEHqE/Y1idG+WPa9OfwBXmCI4qDxOsDWoD9cXRku5PpsZgmxXx9xRpJzus
WnYV4Sx6mmfgssrNlIvvvuQ/zh2sIrBb6U0hgzNbiIwQQ7q9QUJ8l5FKZgdABKE0gWfr75Mwk+si
qtTC4llUJdIs6KXw4E3vxcQ9cmrH6iLJJLjomnnkALGq6Eed7CDrOdNKg4w6m/LQ8DfSjB/D3rdJ
MPOxHuXj040KMDYFKWbhuLWIXCPAim2IYRBZ3AmU2TzIVhHP4xJaIVoLq723eAbN9hn6zKUaGgNE
kg6SrHAipAbxwSw3ruLc2DjDXPr+6D6WU4N0Zki/Ha6QCo8qE6R2Llrw05LOZ61TTSO6ukgNGiH4
ysacQV7lFq/4lqFOaNU6KjAHOjSQFmKY7j2mE3u4AveVSx4APYYaISx1px31MGg9WANhJI6pHl2w
hFQv3qC127jvuC4YHq9SQpgLjcIz97+00PsD0+xo1PnwEo+vPuoZjIzMKdyROjxJAZz48YTUyw2Y
ZKILZB7jxHtfRucxje4ZFpuPTcsIgRQ7e6O8rTCb7hCO0ybs02hj+cl3Aw2rrvL2yXahF1sWGQlz
Pd3FxmMoBTrw7k5NKBlRNnGOmUAmFLinSlP7pig4Ti5mwYzqB+Zz5G9brXxwCLbJyT350yD57iKb
1ITM8w6OshcFSXBLYxrXZVi269yc8wvwGqdGBFcUtH0zhvSQ/fKdfeZMthzK6b65aES7OkGqAf1k
r84Bja2tRg5YEgaxNANmOpwSibXU7A9lWGpFQGmzzhoWgcmGcFoa/Y5q78N1W9hQmGXhD5lX5F/N
Ks/dkGo1VctK2Uie0ZCZVfatjhPtvCXHsW6LCPckEhBFEWqONBHTMXTBkFGe7EMa3CsxlWqHgAIs
IA0isJo4KCfZpcvBCx6SJF115Lret/UKYgUXZm1WMCeektyFOu2Jel8SQ5SSUu8ZebUNy9zaxlzT
rWWia+h3WejvUSBYW1qs3tLhqK9nb6F/kmVT71Wb/qIm+GJa82jxQy7J8wugjkxnR+ulY146awzG
ZVE2TxFZE4vAL6+eKbpdOs9Jeuwahlve2xk58pWInjuudl7G9LEfTpMzFPMBbpcRprMyKoTpodGf
Q42mxogsxVGWYqbCHkmHr9zYrXpjO1jSa/Le+zx4hu1rbMwY2o4coetNYXqwA+QQhSa2Pk8IxE58
d2CiHZDnibYl+jMAFop8En8w5jwN5wsU6fZakThQ47qwcMreD1NNqlNcc4nBqsIb3kBgySFpt+lK
uGV40LlCtgqHAQSbx44Ez03YYOQSps35MV5qwkc0Qi5zXKF4b4P8uxDVutSNV9sNWxaxjn44dXre
YU+JtfVUIb6ZW51rt4SCpeiZh0aBXYL4Nj8b3pIY/BIFPzEDq07Ld8og55Q9B9gMq/jMDi6uBO6V
e+J/98zs16aXXOs+vHh0qgl/pv2uCfbCPNHP/WQ9RggTF8ME+SHNYdn4Nc3PomXGZbEJc9QRa8zB
c1fA5vQBsrhr0OxnE3lcmltfQ6nZm7iooYfeTUX5IVVNYxsT+iIrj0YU9+uQxWWhRUglMh0dlLHL
kevNTglo9XS/9Dq7Gxz5VfjQdHSdGd0E88P2MuRTRrGPUi4p4DwZXEvIDx04dE3S+ieTVwCkRAIo
TP6XDh2/6/2kdNyRVFg4GVw6Eomy7a2eehdXQ7rvpFO6jgmfpTdGIy+aNnblomDzf/MW9K0Wdcfe
NtONaU5vSR9+xRlR0GFJwIuIBBPfkT0zZRUq/YyAYY7FiG1YBJ14C5s9vwwp1VCvkjvcOQyNxUJJ
mElBQf/T05niFDMLoK+rz1KmOG26do9ol7BHm8ZuOV3NuPQulhR8CAzzEBbtvd6xjhm1tYvzMN5J
Xd8D1AVzK2hhk1xGeSzyzz7SmRL2FY8N2Yr/26CxmSao9sMItUAVds/j5B5HjQ2VeJtlWdqSk0OT
HKfRsulDKLDkgKkPHlvxvVkgDPd9FPTAz/KJASRDEsxs2lddV+Y6AIW9zEt5l2jZTwJ35EI+3TpW
czszLD+EzBuqa/r36rnNDP0+Ir/zvg0bIjS15ISQItvHk2YtiJOzn/3R33k6rcPCWCLrIaTdGYa9
3kP0cBC8Wm2zCJlZs5kNzJ+jAUMBTW4Hj4ssjBaITG6tYxRdV5Hb9oE4+AOJmXEbMDPnsl9Pvbgr
su6TNuYydtlWOQQ/A9XJltkslQmLtyaOG1hd7O3K/bAGFCf8wz/C3QRijLedgPppxp6+kTGefDna
mLm6XWXGd4NVBUec8TL+VEOGfrkoaGM08YY17oCZHD6hy8hz8r/rlixjVR8QN3+ZXYhAoOuOCG+Y
AOHW2BIUuykCkzlGjswq85IPrWXYmfnl5xgab47E8QoBKpgTlbtH3bTvWgd7IJwlcjKM/BDWgDhm
ccAxqBqaJtN9VOFX6JBCcabmUYcnvWQKXKZqlQTyk4mSYK5AzIokDHzL6eRa4YfuAn1A0GODcaax
Rj4yXC2zMvdJMD26LaYeT3yyonyEf1w7hmqg2L491WysOYUlEHKD2kgt9NYOdzVbnTmT+ywXoMr/
+n8XIfb/YfKXSywXEWn/TfLXtv1sftLP5PNf07/mH/kr/UtznH9IXbmOYwtHuZZw1f+O/0JK+g8p
LdO2bUTXjJos+c/8L93+h6MzxXSVcG1XIAr4Z/6XbvzDNub7m6ajCAJT5v9N/hdDGOO/5H9x8GEo
wN+BE14oJR3H/K/5Xxzz486YMlI8yoGISCQ06L2bnRH0D5r7m3pY/4SDQxyabrpIkTPWTrLHnvnc
F4guvNK8RH57tazqEn5kGpGljTtdvYRZJOZX4jq1OP1SifPoaIw5yjZ8766e77xmeiShtGcLQn9e
oiy7wIyGWGg3PnxUArxb3syBoLQNaGuvbSZpuSXpRfSEfQ1HL35h1vQDWfY8SgTtrcJB3nP2w/tO
3hLZQyU0CE4LDB+pQ6BoQDDJd4nPA7pMD5lvoQAwOnObZPmTNZp3E8ze1mV/b2uGrDqAXq+ZvrNi
YK7/rKzsT95bH3Ho9SuBNhgLOUsxEl7YiAUo3ryhUUETDT9gfSytfh3AMt8W6KMWzBdhyYPWYVDg
DRCQHDU+mAVnJEaaILBJfoUJHc78ROhDRr7W/bHeOIaGhK79aa0WRxhR76Ops7Sqby1DaphYTCbh
Ez+Mw5w+UL6jp3oFtQiiGmdfO4p9WxsXF+78FXCcd9DDBt88sM6gE7/CZIBNGu+y6cWTutAImHBg
4gXHCvXdon+04SwPcNz2wF7O2byMJDhn2upF750dBwf9lFk8AWWUROSsM+32u1BHlGOUd6WZNIxO
dkGt7F9dghW1m7WF3XpLcjw8+4bMh4KSZNWWHGsc8Z63M2isxlzTyrynHc4QLEJismkKDri62zd7
zUFrSQIsSHfQeIa2LCLCqPtg7YUGqiTgirEHLD1z3eegJ6gr9zLFGXo8Y7+kX1GXb81T5zCBwA35
RgTWtAqs7nXofKSy0yri8L4AlqptzLXPiBa9ZQKApNmzO8itVw7Fpk+Lh1AUF6A50tBZ7r9B8LnM
4oeeOLAgA74YBCch3TVq7k0fwRkmP73GnLyc7OgDuRPU4K4nXj4g4Ij2dOWaoOWo0JBYP7ZwCtYq
bdik9QqLs3M1grtJW0EIWxVjfa1641ArOnbVHC2SYKwlN29iqk5mWXDxaVysYDO+mBwJFrmGeLrx
CSBHht9yNGE3gqqdi4bBn+F+I9Xa1lXw4LXRvik9/QBKDVQbyfAgrd6FFzlA8ONzlcd3pRVeHk2L
M7hJ86shrsixwBp2ath5jY5rtKDD6YlHB3cHeD6vat4BfZw7DOxLlE3igOeF2osf1bUrFUC6NJs5
DLNfWjWa8DgCWa0bMUxVP0hOXfQQNlSwPBR07DYMd7QF3r2AbjfnsjNkch2TAPI/VUyvkEpWcNAE
Pj06s7JBO0/mey6Kh1SvE4bRCLY5d0T3FUU9elNQj31oHquIGQ00P5+WRpdsesJ8sVijmgpnXTuu
lZ43HdcV+zVTFqzLuwmMPTNTg/7M4J3OcdN96lPOiIE8N1ifSB4Aa0xwdbpiJ20cE4Pxjbx1wVsd
B08ctEtnVrbOBwTZup8THnMamApcXde3ZCA7nESrodv6Oma5wEPiQlvx6hhiG0qUrd7geRywbSIH
026Lb/xq+f6Lh06LoAUDGG4ETokUkn4jXHh2db/xx+DBNEkCMFoN7qGhDrNwHCkQurEx9U+5a3QE
PeTm1lAjYyycDEnSOASkxD90cP+wDs0QPz9YZQ0rvRPr+GzHAH5s3ZItGg+rIQmcVcxYkED2bJ26
jAQnj0UOPDKyOFB0/IstHs6zbwTnphbx2Qz07hKE2lq3VH9f4I3H3FSCoWM/mjX+/nL0PIhklCQN
yzmU6OEd4ae+JC9IuytEbGC7DNFwOv5jG7nTmShdtKSD9aCVMH7CeGLR1Yqfph82nGN4V8xpjnAd
fyvTi484WQGv2DvPr6I3ABvjMY93ysWpog0SHDl0IF6TEAtYYxnH3oHbXlYQfJH5pQRU/2S2fhms
zAIcySDAD0ZtweQte2WfxFdgCJLhqiRZje18wib1XmtNSS8HSTBync1UWCjho2TH1VmtslbGJytl
ytbVafjgGwIMAnAkMzKrXYfjbSMFpzV6/iOI+MZ9rYfkqQ4H92fo7ZUr84+ROIOHOKjIM6ljddJq
0z4zEmcx0OQLB/SQNO/0VEF0OBRO9hQWv4EDvWUOlJyGDi6FYMguInnsuNS1hNPxUIB9zjD1hDhm
u9kxhdwXD0V88DJI8Gl5GPDtLgZmqD0dgVKcSZjYG16ToRuPSOqdGUwhrTmS3lf5PCwpG2bjpW5e
Q/CqPmdNs5IcqlrjhYzGaXX18JwHWnqvjd1D3UkyDpA0LgIgcixrSOI4xh+K2HzUbVkfyfJyNgU9
iCVIHFTHiJp3hh3MBlJeCM8LVpEVOy8x6ybKFvFaWkEEGM0fPwDV542ef+SEwCDtxMDujU67kq5v
PEtnzHYDYvxV0coPNRkkwQTxYwP1A8pq/2kwrl/HrhdCRnXHHYaQnkodLSjUjvExcfwXPUtRWCf5
2SwNh96sj27d9cjrY3oesK2TI+EdkMCHSCH9C6KvUzF2zRlHxnnEIwCVG8JvkeX0qVx33LJn2asI
5ucirxyPKp5mBHrlVRl42y4PDJo96cuAOWRNViJhP9bwXnU95Vo7sS4W10kZ/kW6vb6zzPozYIJ2
dEJEJjQwoT9A+w1QlyJxYhjs1119SRpGctUsGm58gwgb+qeohrXpSDcVZQG8ewox/okgu7PskUS1
8Hey9Fe7mqDVOxUWT6CHRhMdq5F+bidk+FZJL152Oi4OZZjFxvWC6F42gtPIMA2f2chZG41Af++R
LnHS2VVY582HSosxNgMfvWvDl6Ye+43V6yTZF1V8Cmo2HIiQ4ZEL9Ilrp9776ZgDfCk/qBrVKfdd
Y+dM+rebkOQBSwQE1XK0SU4tUXfRZQC9QddQVyh2Rs3b2mNwyZT4DIvgQvoATd8hfkoqC39HwpTc
je6QApI64gXnqkzDdaKIswlnN2babJXZEVNoHd1Y3xZuwPvEWfnBsDWrgp5VdS0MedANSCo5TemM
hLHIf6MmqZezSEkO/N09oLECWsdolV95Saab5S2LxCK7NEboMcXEXHjz4Lp0roMlr2GAXCBSXylp
AiuN0/JakC4tu3lQX5joXcqSJVPi5berx9arn3SejZjsu6jTGbtMs3gMO6NYWYXLBWyT5aBHXBWk
iaymPH9PIHeAmIPVETXiKWzzn97MSM40EBi3XXMfz2Yg2Zvt1m28l6mygpPlpSdczc02DJ6c2VVx
++By7MXJBpieSyyKAQXMpovbF283g1z1tCDnr/7Lzb/uUE38jdKQ2//jO/9+f6gr/BZpwDBCMXP7
7l9fKtI5q/Xv3/EvX73dqxoje6+z6OYkwh7K+QMxSPXh9unt1pRN//q1f7tLGKQDjYH5R/7+udt9
bo8wSUFV9m8/8/fD/o++Deu53MR1ZC8pzml912FGhFTOetvMN2+f//2d29eCaImE09tXaCVJbdVK
Rs///NnbrdvX2kS5+zRbuiZ7HvIbGnKuGf25PeLtQy47bES3m1bacx+WZITrmM8XIPkB1whHYngo
ynXsGNmhmfMkHbP1sbrJD7/3i32Ho/CvP5Ee/n/e8lzrtSs7JucjFx9JQenBTYf0cLvFbIJbnk9H
BwTKQtcM/XD7oDI33PRd9Xr7VWnleaQZtuQjzb9UyzuelPlv0DD40TRtMI0QfnEIauDviwbTDsWx
S+qmz0D6cLt1+77ELUADZv7i7XO7Nfsdttjl33f56yFun//L4/z9fYzkwx5Uv7curY7dqVXFAc50
eYiq/iAnPyNQtSFjLp6fAMxadPQhrjHvLkHd9fPLUvlMVxbZ/GrePr/dqjQf3dyU0EOd73P7oMqZ
d8wqv0pvL4diZLQyOrrC6ShpXFmM/HgObh/Cf966fXp7mgrEhgngeqIlQbbOT9ztw+17f396u78K
i//8boETG53U/PntO7c7Rvro4jS5eJax8nzUEwlTz2UKV8mt6Nai2ffnLmHUG4/Ivk5WnJ770rsq
/TN09V02MXknoVlk+l4SGE5HmvQVucPFuc5jYjZp8xEqNo0ZFkPnAsaNJUB/0Nt6V2X5HW27Yxa+
2DHjdoF2iKF8Efj7QuWf0b3Q5LEKAUYIZ2vNGWZVs8OKuGlUvrV1a1sJuLkLZJ8bRJb0tTusduJa
qXJly18/+0VKsUmVvx9NuTIxVHl9f2EEt8UpMr+Q2zFoN2Wsb2zquawFBudepTGuoNJHCk3CuCRs
wouatTZse+ab/jpo/bsx096aqnxXLiEOw5sn/A0WSGi72clo7U0GDZEGwypj3mcpsrbc4rizouY4
RPVdAxs6N6ptLNTeTjFK6pxgslfQ4Ae7rY+9gTXOw89kyV2unBOukR1zrJ0X6X+GdHxqPfUOKBGc
5qfRDvvYD066jC9saFeQ5JwIhmNXK6Tt9j4qFDLbfp3Ziulqs9NHuSOjk0IVV0ATH5ifciS4dB1b
CUhYPX4QvbbR6pw6wH7wJue5S/N7J03WRVDuWs6P9Iy7R+rgc/wfnJ3ZctxKkqZfpa2uB23YF7Op
viBzJzORXEXpBibp6GDfA+vTzwfWtA2FEjKneUNRJC2QAMI9Itz/JR3d6Qb0/lXE69xEKU527pve
2udp9ytOlCdT014qR3azENaPp97ilXITIU1BJfWxyQQ8Ru2vHqVZufYBDzT8m7mF3RyR+7k1BZ0u
S6F0ugE7ve8FitYdczI0eE1rQTEGHeLU3kWoutnHyfmO6vh9Iol9IqnbAuaVhwxn23QrT0OyRhTg
cnqK49HaBAKpo+Gi2iAMe5SEo7swUvHLNG+FrlBR6R88tTjFMs6odgJFLztOGnqyPt7ZX2wRb3N2
AZlpHSTjS5ChcyCp6EPBhseCS8gWLVjtKTbrfZ4juONxxvVxnfC046C9SG0Md07Fu1o+l/GIyHq0
7n2Tm1XXIoTm+D0Iu22ETHIlG2j0bD0gQWbPi5HhUMJUn+w6sMDCnP3esLNjpSU4kKl7/OLRpTTu
cut50AfXA2ti+tZWozPb1OFbkwRf6HRZ+OmAy0r2ja7exbp6ACJ4X9raxra+IudKewRxnUwHexyb
46HqqAVItwJgS2vUyEz7j6BAESl/1fsftOr29CXABiAU0KubAFs0XIpWaKb7SMeVZX2WM5+cGf7M
Q+3UZix3trkX3ktcpXu5swkDtpoo0RpTda8Vh06jQqHfgYp5jJpmHZvtHnOwb73ankB6IJZjHBj5
K2z8R07UN1rf3XtUAdm8wDYbH6QaE0Ydi4PUXonIf2hLGc0De1dU0ORoLdKMMBQUnivxKhf2nVxa
j4BdDpGPbHCuH4QFxc8Onhq/2Y1dxl5rV1BVMTGANjN/S4biUNqcYZud4qz7bgV/A8O8Q8rnQcnr
QxMDrs93EpPPHP2HoGm/lnF9pyKiDTNtVQiVEeTXUFe/JmoP40emhwfNHl5CpeSPiey9lAgY5ZHx
xUmzr1ECan70diKHMdJChmxxdKSBXYh8D2AMBKNPo5IKXU/J0V97tnBptgIjp+vu/Qz69tVOxQvn
hp1SeNs4tFGHhTti7AM7vxfdcGwt/9ETxh4STqhX95nPGasDxplo+9gYD0gL35uR/hxL4qzCVIrG
+97jEcvZS8HhIKYCgwwpdjscNVRmkqScrSjaeoq/AyK0QkblAJVpl6QOXWBBJwkEToMuvwYysIxP
dY9oUGs9sn09e4r92nresw6OxEL2Jh/FzpeUnSd5xzaWng1sEfMyPZaes9VVJLgbih5C2scpJFpN
3niehZNcFiNBe2s+Atnd5SI4oAh9ximPwigAoMzHF8U+mZm6G5Nw1QT1NvUoSBq7gC0/Kvm35dif
IuZZqNinBvW9CPv3xDa2oFRvciM8dh1qjLqJykL2ogXgztIEEgDCM0a8ylCNCB618jXs0II1Oegh
7CtjJ66r9Mm8ZCeP+Q5DKaiTXyX0iLv0ocRyuUArGtNR1id58z7FtRhkX+AmRQXEChAPWjlWhQZO
Q5ap12YbrRJFbEZ5OCrMApRy93I0roz6q2cHOLJaqCf1ewrpN8mYPeYhCJxc3nYG1Cqp3ounKDF2
EdR8GYpIDsAV7NDaWyNXcdfVT4AK7uh7P5aBfjTNbosqKc1L0ACefCuMGn17zuVtep/gsRHH4UHH
6wJjkzfD0f/S/fgN0byDV2M20vd3qQWoUSlI3enjGOL0Q0UxtvWNbJfHLNk6KroMz7KxDUfvxuke
7B9W9dLFbultUCTH+NUo7kcfjpT4Vjobq8N0iTA66TL9K011M+fRwOSkVhSX7u9j7OQPZZ0gZuQj
mgyIVKgA105oezhasfN1KDc40D81bfBS2DncNg9JYGCLgXpvwO01bOlOHSLEr+h9Dg162mmNEgu9
UlQsLRkVOQmaD0RmZSQjeLhJGzkzub1FIn/NJ54A/PaYuX4ZbpQk3GYxJURpgyHe3mM34W0Nkd+H
hrEW+8wyMaA4okuEBVvzqFgWyxJbTL09mFoI7vuxUif2Xr0q8nidxDrQBBWRiWQdSODt6h5AsLkz
ZToLxqrUqVwGZH2BZ5V3Bpe5HeJD2JugEYpHDdVPP03OmEo7eLNHjqsLA71V+aDLsG0qe1Xii4wt
nZe8Db0HJl6eFB4R5INMj88RhekhRWIJFU36y72XsQSoe1gHxwJVq7IrvuIH951Tc6IfepR2Dbx6
7C2WBrdNOeXwYT2wosEM2JhgI4IM7YSSJb6UvnOaXIfWQ5zUm9KuEb7MqIOj6NTvEjwYvRAWGls3
D7hVjm1umThbWA4bhJbTwd83AcmOPrqiFjtnrGkH/8BRa0UffZ1SPTdVYHdafJS9aqumSLrZEzd6
PKsbwIGiMB7MWr6DX7EFSrSHmclSxMHZz1Gr3npWfTaC+K7PaT4M/U9EPB7RgN/D7YjQJwJHt42b
4Tk00RS3KcxSxzQjE+kO+S6Q4kOlw9zW6Lv65RpNzk0HqokKGGXmkzfq97r4koniHto++SjmLNHh
ToEhEUekgSq3J/X7nKWxssgpFRAbGQwGVewKVzCoPCOdnF64HdamChKdON7s6GKsPQStQoyOVTNF
TJb0HT/1qYICk7eHyokhAJtv0NgUnF4aHciRl20zECaTISyQmzEXbq8Xb70cPNmeRb0z2NDdQ68d
4FXzrVbbVat3qL+Vh5J1EeFJ2K/gspGctIHeyuyUyRwwrJAnUF6qaLiV/QHEV8GFvV3+pqjNXvf8
napbW1P7m2reSpMx2EO6QouGx0AUANj7ewakleIfsITYkkrjDCPqsdvWKS1B7E1jOg0t6u25v0Xc
cgWDYiV6emYmtG7oVpRw1syy1YixGX5F6zRyEB6bbGABdPe7NEaE35RWhtZP/nx3sY0hMepnBh7h
SRqu4kJeawrgiCZdt9iCUtJ4wfWs7YEv1e12MpIxRbbtsxE/0B6Wa8xMMu+jPrxTBe2qbNt2WLmJ
etPK8kYeLXavwVPfd0B5WKPqbAvid4vyHExn8yy9JBFnFOSQ7BSkkdpsG4MOlMYev96Tvin2eisv
01ZSfxC5BLu1BdaAITn4wa4vVw03Did000F4UREbwhRV6zEGsu+MOgQDJa/jrFh70BbphbXgvcnH
ByqVm57+mh4Xa5MPGCTFQZnwSLY4jP0tkNeNluBWpSn3oQ7Oj9uG4E/jId8nsjikv0D+bbza9UAU
0wnb1mJbAD7XcSoKpPYpwCEhzymzFjJ2MWwb2NzmBVmcU2MBJKoctLXXslev+02viHViwNjok40y
PPd4/5QqvaAag9SaPhowU/TSdl7FTbS4rNNkbBBPRYpjqzvHoRJ7nf2iQn729NG1UEFo4wovcese
vbFtYkCnwQfPG1/jxjnIFRpd6bmZjkey9gTq5dgI6tpOc/BkJOadHlYINp697iIs7PqheTYDaZXB
T9ciAiiKjjm+SgaeP2kdkNrrO13TvknIcZg3JfVznKy2njGy8422kqNt6TjfYF+BPDibqABcXjel
MQTiqmEX2fJRMgFutwnKsuySBLmdDJghIAcRE/HWYMMe5b7S75QqX7dliDIJHV+lvYEXRlvAXOcl
sFun3nIECkJ114IhLHSxg2tyUIZq2yNJOKLhH/pgcBJ/a6s9BxfzkVrATsekuwVFk5GatWB41rFE
UhR506B41MjGJkMJOe2+eZa2hVwLgRLeGMgtU0OOkLkkHZtRX2EMCnR537FgQWHaCJCZITq8lUlV
RtV2egIUIEM+uKCCWmF3ystLkZTO8TMw2km0FiQMI1tTeadtDmFLjVY6+4W61wOHBRXaQSPDy8i2
Cjt9r/O87XvxJ6nK6Bbuc3ebC40CFA0pwDMZoqrr92/fvwTTD+Hq2Su7gvvV53FOGzZN+fv3XwFF
mNoP2HWtzdQsWLvRp0BAFgpT5ofqduis7Xv5Y1YN+X8/+1MVJWyD73XDB8FSkZ03zXpUDGuZplz8
DcXSGAGXCU393wW0krr8beyTKI2WUpKCXDRbGsxpan3TAh7a/qvCptc1ZZn30o3TBEdYuDbHpv+u
/rz/HDfCfoMgUbWaVKiEUfS0lYyTwIQRV+na5rCRdm+IKuDVbRXjsWsj88VHWvxdnirIHXvf5Um7
gkeUPmiGeE1zT6Kww5ZIK+T6CxBitm3e/dhZ9k0jheUdpF/5NjXbatLzYmL6GVqC038DmkdxYCqv
cDrSYx3UGGy0Dj+PIGcaJTjG9z8TPoIVaNHoBfpVPS6Pm0p2OVgr7tiJr1gI2yscveN9DYtpm7KH
2vR0od6s0dwOFYQ/ToOuBTbpRdIQ7S+McYcDbb5OgEjt63bcO8AeIT5J2qQXz37FDFfC7xARtYE8
m4qHWHvU7gcqAU9wAQD6+cUPlNrp34wOQZF2k5Yzfg+SdzKMPN5QbYy3ClWKJJRRkuAOH5QyfYo7
qPsVJQLVVDZx30vP2iB+qd1QHwMlR7bHSLcVajNf8a0DsFtFrx1iIjvwmiOSAK1Fxx3guMdxVSgF
EufePewV9qnQDkzum8RnUOAMFEqj8c94eG1h3/oOvap7ZYKkHICsl/79AImy3rYh4PotlQLILflU
KQUBv/bQ8JFd2waLsBaKQYN7M3T3BkxA9L1u8zBbdRQ/ClAFucTSA9EjdDA1LTL8l9Wn0Rw2sH0O
jizoX3LfrbGX8/Ec48+ELuR+qI4tiAwIOndjiYXSBMuJxrXeIG6d5hsB+iAz6PqBg5vSVVGWhyR6
SLycxnG00pNu34BuRJx8C8Rsk7eY8CbNXpF0GnTjLaSltQwGDldJfCax8GK7ouwcCOUN9I2E/j9O
vYAuNaTLgp1E5Sa07PWIgn1LT4ViLaXAYZe2qE/9MjmN01s55d2rR3wboj7bejUJ3q0tHCw8mrd5
7GzMcFhlMNKQ5bkJJOhlUMObAo67/00X/U4rEdLQ62qHKu5tjf0muIE6IEPeZt+wrRcVgIVvmnam
yGF8Tb2v0P5MZaA2dhhYVeW9WWq3zXDnA08EcbLq1HIlFS+KeldoRw+dRh/JrQHW8LoPyU7BRk8p
sm1yjHnl5wi/+uC5Ms98Fh5DHb/0zptaPbMglmxYOopoUnE7NE8iI7Mrb3hzgWDBTwbIcmJacJUA
rw5/0WFFVAFBCf073ykv7KUTvLKkU6e/qEjrAfSq/C8GcYWhXLBDnf1ukG2k6IeVllugg0zpBnOs
SNzCCGCnrt8Mvdj3hf6jx4yLuvXfHKg09OCgYGvOC+JYmn1v6BJcOxfA/xpPhTf2SNRXKDGWcG9A
V9Tei1DcgjVG4FxnQbkGFiTwXdbTb0UMAnNndPmtnr/lPMxpmx9AK8EgD5cHlVPgJLiPb4iolJ2I
OpxrbwRIs8riKjmlWinRVwg1PsTKSIdVO5rpm69mRDZWPNY3mb1K3t7Fdc3JoMO8GW9UTqEajjNZ
aD2jdIXEYXVnj/3BNsuHIQu3Y2Dt2giIWTBAQqAqa+POQ/ddHlI2cNrRMfNnPdc4cCdrXPW2ySg/
+Gq3w7Ym153tGMv7kenflPHeSZ0vUaVQdEWUuBfHIB92OBfaYmX6iGJAvLAQPTM5GRcr0kys7yK2
fCaSSTuQuCt66OnI6RpXs/GpbX4U2AKoW1G9tiRT/2EKbUXdJho0SMgXcMAD+Rm0h6+gVn+ypBP2
UTdjinHzCgRZ+BPuRvdU9Lfo3OgFBMS90O5A+MIFatCOt7/a0dc2/hURHzXUJfRHt7j9uplNzAxQ
9DlxDAmlmc6J9y3770Fpnwf26JFIbpPmRWsxg0GzlcLWBiDXphUqXRIdVoFb9SMCovY9RsAFO4wW
olsdhtup1CDpxhs8StiPE+3PPLVFsza+YoSlVCM5DGASTCrVPPqqOOLqsJet3HXC8vuh0+UXxaq+
gcakP4pbkzWetFi+h9d1R7UmY7Vom+oJOa0bTLq3HD+OvYaRVM/ezu+AzBjM5ujUgGVowSPQ918V
obKzwmLT2I8JVLqURF7DbqET31ovxaCuYs15bkyBW6s//OUhx/MICaM+WFbbk8IM+TtsLLOGVgml
fuCQp3YoNqQIFDaUllEm0dkJWAnI3Hug/eEPvBo6Fg3+oFPYPfW5fieliMGQhim2Jkek2NSfisTW
pXMkhVZx5d95OQrdMSCzNzt2Du9/YZbAcWCBF095T6zYhRygGJhYdylAa9iCfnFIWstaC7p0HNE9
k923Zz2XNrrPmjM8mRAOElUzH50K/4JSgwVudkX5NRfefoic6pliOc6DskzeabXya5w0BY54uXIP
3cJ/sUZ4aINVfA1E+WSbJj5xif0zQ6Dz0ReG9EDhFopUts+HQGZGS8lTFWXJU1jfyX1QPr7/xEB/
bY0Wj7x+/13SmvY94rVnmRXFQ9L5MFitc8xUnNDfv+Og5hxrU2oR3TK+04H6gQkgBtTJOPk3Ze9f
ZSBLd/VghdvIDp9tCRAYVo5xd7CnL+/f+VJ80ozS2TVS1vWs5u3f1eDTnYxM7WAqQX2rFw6gMy3/
VWQU4QYZklGuqffF9OX9uyH3oJz4Sb4xqtzk7A+BrBaVRJqrwIaEzpF5QWVBb4cDm9zJO0TA/rG9
ml1ukvZ0BmgW1P3waDW+jpI/T7lNOySgPZhVUG+2bO0qLD34wgZwD2K9chEELCLcBnoNiqwfBsP+
/b+qpDibtHcs8je/LULx/D9HdT8jfpGn//s3DPc7cPpnXgz4/QXiv47hTziu+d/i4l9tf+Wn7+mv
ev5Hv41c/9f7r/1f+eq7+P7bf9YIF4nhoflVDY+/6iYRH+Hb/7+//I9f76M8D8Wvf/7jZ95kYhrN
D/PsI9Qb+PUFdPhtEGa/IcOnP/8XMlzR9P+0UNA3ZOjmiEKaQLy7X7X45z8s7T8NC8y4IRumYqia
DmQ8y2FV//MfBr8CRabLmqbKmqIyWp03028U+z8Vw0G1Dx3r/xEinMGRJxr8PNv/9c9/SIDVLV3X
4dX/DgMXI7YNpu3457KqpZWodHZlnRhuPtz++V/j/EfWpGf2j6LmA/95dIObLX5+p9Du80fK/1Is
fIN6geCP5wxI+qG/vbIqWbmtoirZXL7Ewg0Y9u+XiMmMGGErtgtDCyp5A3+Dvmixuzy6uXAD1u+j
+5aKYWDh6G7hsYQKKTzmWoRBifm3ryv7z11juvaHhxTgIFMgzWW4Ri7+hpX84klYLrTq65gMXy5f
YukhTe/nwyXsqDLDUld112HJzsPhHl251eWhl57QdMkPQ48VLSMj0nRXkuVnkHkoZ7bFkx9kXzgF
HS5fY+njT1yGD9focrTHrFbSXbynQYhmUHG9mzyznfLKTSzNUygZHy9Qxb6plAb6ZNiE00caWjYa
9N5b9efnbkD5ffwUqioyRjx/9MEQwsklUJgyXPjPjT6LYTmGIGcaneZ2CLbcRrX9miVssi8PPsXR
HxKEPgthNtw4kCmJ6hqD+RMq+QbM/F5rsgPuVhRinX0huu3lSy28Zn0WykKpIM14meoio4v9X1C+
IeKtXskTC69Yn0Vy3ow+IokBg0tCpQiF+k9LU44KaObfXv78S5eYBbJsNjjGiEh1nU7dIa/1jIAH
EvD2lTex9HhmQVwMeZVkhZ2e/VFAzTUAHpp9di3TLY0+/fxDjOHbZcpCk5KzlBjITaZyRfEmZdt9
+dksDT8LYUNDJd5qq+DsNzhP5x70v6SAY/K50dXfP7zUeJlhVWwPEcyKrDXM2AQtrc5gE335AgtZ
Tp8FsMXinKCdARtaibYE8cEuWcHkvjS2DtrSn7vILI6bPB1LZC9Kt27y71jLoXOgbnQfR4gc4PqV
OJjm+x/ieaKYfXzPvoq4PZ4Bthtm1OpjSB6T2rPva4eW2k8fKHeXb2bhhWuzYGZbJcq8sAtIxpb8
oiOKGfax93J58IVI02bB3ODdY0hpX7gyHgMdakjV17aDsBEDK7o2Y7Wli8zCGRUANmsposRi8jmu
VlXqgK2a5OYyTiUNnJfhW5Z+NZT41gP+mo8W6qG/zIjFIwA7w7ESxfxTnlHIfNakraIftAKGlfnc
NBR6WvSQ0HLMXiyBVol3xz+dGXyXsopm9bNpPXbqlf2FMk3SP73yWeKA5m4WTe/lblcGj3IbvLU0
lBFWRE9THldexbkXhJpPswrLp4xKQQbX9XMvapodH7KK1vXtaDu15fp5it0TBGdamUGNjV8aXIma
pYk2yyyaV7aIfvS2C9drn/ndd9uzny9/+qWhZ2lF6wI6UXDI3cZ0gq0BZH/byHl05b0sza9ZTskH
TS01pVddSN1H00vulXx49VVv/bkPP8smINMcdZSj3DXxjFNuqLI7XyqvKD+3WKuzPGJ3CZa7pWK5
KF6vo7A5q4r3uQejzlKHp9NWwkjPop2o2usUtP1rEEkG9P8x/utTD0edJRBTsqlZ0idxfTEGNAnC
qB/+kpUMlOXlCyy8XHWWPHBQhvotoX8p1BHgKGCpFUKKGW1phNo/d4lZWHfAe4pSHVW3CixYB1QC
ug5XPfXh8vALS546BcWH0G070Mi+VDpupoq3oRq+O7Z0iDv0sW3zyh0sxJc6C90ky1LMs3PHbWQA
ZrkCa0SXu+7K6EuvYBa9KFfoQdQzOhSrnZNHu1D3ntAz/9wCp87C12uYnMI3LDcranh/eiAjUaaH
SvX0uec/i19NOE3qx4XlRrXh3Rlw4UDFd8DXzTA8d5TprwTywmNS5oGsK61RyhM+qC6+RMBk5DC+
s9rkePk2Ft6xMgtmBR+SOEgqx600RfqWhUL5O0Pc8XMnQ2UWx6nqsd/WWF/sGJAKTDk8Wa+836Xn
MotgZKRTPfFTND2pAN7bPWo+VRq1XxQFz8fPPZvp0h9CLA6Kxs5GzXZBBwzO2kEfAh1PdrNi87kL
zGKYIqqU+oVscHAG3hUlQXwTtObuc4PPordKjKFQYbOCM3azmnaDnQFz/tzYs9jNNN3WwGOZboEN
Elz+it5L67x9bvBZ5IKDibVQyIpb28EImRMlzhCy3Cdf6ixuR6VDbEZuFTdJChsK8wi6wg+vJOWF
SSnPglVrlUJS6We6ZofSECx7hD4x372pHeyIPvV05FnAZuC4rVbxTNePE2ypoSOhO1Bn58ujL93A
LGDRjNBjCLqmq3nto5kCUhSjslOq6kq6WVi15FnUykAFuySiXFEW4qzl9gmg272MaZU+OYdevoeF
lCbPwrZtIVVhI8C2MKthEXqjsH96KNRdewNLz2gWtXbc9L2WGgg/+VUDsqtTN9gnZ+ew1c3PbU/e
1UE+ZB5weg5Kr0nqJpZ2F2l9iugN4gZt8/fnHtEsfpUSgUL42IkLTCQC2JSFN4FXt1em6Psa+4cT
jTyLYFpWgSRhmeuWNDo0I7vh0GWDuIby2QFU72i07028xvkHv/S8ASeBoyn/6Yd7IQGp6qVVJ6c7
K65u/DDcp/W1MtM0j//0yWbRr0RKbfoUC9wY2XPI2utYdht4aIUBvTcZ15cf759niDIJz3xcOCSz
MCwQZImLNkucWwdkOegpXFlTlwafJQDFVoFNGQoGLgIHdw2ARThuxnS8EqF/jh7FmWUAdLzSWljD
OK1JL81YKzd6b0aryw9mafBZ+Me4EIK2UxNwrRmC68gdbK0eC4DPjT49sQ9RUyc24s6a7blY1eLh
jgb6zqK7dmU9/fPUITx+H91qQI4oYTi6qWUjog7p5LZqnW9OgGZ+U1QhHtm9ceVOpnf579MUisXv
15IDU1ZLT2Zz05pIZzi2sR66rtnmCbAFW4ojKkJFip6Lb125u6U3M8sIXaG0OnhP2zWHEs5OPOov
Tm1kvz73ZmYJwcF9GV3ZNOawgoIDBIhnOaqvfPKleJiFdONDishqCgxyJ0xkJIzhzrLL9OR3cX0l
oSnTU/jD+7BnAR20TRyPnRe7RRSs065+EUn5l+R1sEJQzPhS0fPMR7CVCAOimlw2n3ts9jQ9Pkzo
se4U1EQazzXIKFjEIftkroHXFMH68nuZPv+f7msW7LIxdpAFh9hVm049FZojI3hNVTafgGiSRckM
m0DYlgmUkmyormSwP28CALn+flvOUHoFzc7IFUAXV4VebtCPfkPFPbilnHolhBYm9FxAS1LsuNO1
JnYHvyhvDIHKDIbl/ZVJtzT6LBnIgV5HGh4/7gh6BCHknMaUQemsu/JilsafJQA41mrs6QqWPgLp
lybeaU51uvzOl4aeRXpclnIp9yJ2fTuBZ6X/6r36y+eGnoV5iiCQ3yn1iMcGKO0mVPFtAJB2eXBl
Cug/TdZZoAej1EPHqCOi4ZWdgzRG55Es0ntnERfHYZDvkubn1bLswmOyZiGvilxRO83zTiOW6jd2
repQ3DBWvXwzS6PPIru3MABhDexdRR6xNwmNcp1ahX9ldi6EtTUL63AcM8S9owiZMc04O0o83owS
yC7knTZAsJ6yJDE3bQVCVAxGdyVJLqyP1iyqbV+twZuYoTsUNJlVbBcx2iQ/FmZ5M0IyuPzgFqrl
QBR+Tx4FhvK4l+mh29hjeK8aTfdgJGX+o2mVFOClAWIQRg/w/mmFqbQcazNpe/naSy9t+vmHdIxW
cpKg14QGSI9DTaGEuGXaeI1cHn0hK1qzkFeqKA78Ue7dsRjefLDRNyAbtqXjwCH5v7igf6khnv8V
LNcBH4o1i/0ikNCbk3yuUWMMAnsedVAy8e3YcNK7fBvTDP5DlFqzHIBTmgENCupfYQTNvmh9/B0q
pLaGKIUC7oCiQpKmR2Umlz9VCVKsWV5wJGPQy1oeXXzA7tCsh9hUug4a5ZdvaOGtT4igj29d1XG3
kItWuBVSZ6+el69AstbPlwdfeFrmLA84idmgo10KiJJKvdYKycR9CIUqCAHKNu3achMZGcpVkAxe
Ll9x6XZmuaHqczUdDKt2oRmHu9Cv+3sF2b4rB9el0WdJIMDvRbLksgaQ4zfBqi9t82tTFCK4MruW
xp9FP8hHwxNVXrk6i3uCRGOWNSsN3LZ25QLTQH+YvuZ04Q8x7kBJ9cuhtk8qvqQG4lcmYhpS6K8+
9/RnQa7hdj4G9KXdHmwi3jatvCqN9lqffSEFT9KlHz88itB25CNMhCbzSzjuUURb58qT1D52YX8l
By5kKXMW3mauIyJc6vZphPFxO3rnSXYdZmKDztz+8jNaiolZPEMDx+IvgAyOdcW9lagPBndUB6Ae
RO7sW6vQoHHp7uWLLUyoOQRORxfYKDRNOkkGUkQ4nOQoaX9u6FlsQydHaYyF8BQge9FbwyOWkevP
DT0L4rDx/D6nenyaqig5B2jHj6684IUAMGYRDFPK6ppqlE5pDe/eDGGBpL8KJd987pPPAliOzDbI
A5mHIhnowQYWLMo0vwYKWAgAYxa9gKIxSosN6VSH41GN8t04AmEO4Sp0/tew6a9kuYUgMGZRbDRY
jFp1I52UQoWiUIlNb0kQmrMBlR/zyn5gaWbOgrltndDPB1065VL3IoEy9mP/yoq5NPQsiFU/QpqA
/fSptHPOk8Y+Qs/i8vtdmj6z4DWbWoHlx6euh/TWb54V8VpjgXh58IXXOwe7tUrjGK09SKfeSTZ4
ld6klncDMoMKYoGFz+WLLDycOcytRZ17GD1iSxX6Qzv54Eyie58bexa3itwgTFBPN+CXx77pAVmZ
f39u6Fnc+qoGocgR0skobP/WxlS1SqLXy2MvvNQJLv1xXTGcckjbjLFz3bCBKvTnjEypy9aVjL/0
Xudh2w8SFpbMRwCGj5jSHzBsxVXTP4sabYnWEp98/LO4NQ3NjzFalk6gYm9ZK1dT2H7uEc2i1fSq
KlYjxzn17TApvEM6rRPla2mgOnH5Ckvzcha0caqV6HR3zJ0cnSkDMYVGuRJXS0PPgraOKy2UdOwR
hJWtq0zCN0C9snteeLVzPJs64ihhOHzqaaUasr8SDgDsSYr0MBrJlWe/8PHnWLYOn9Km8lrpNES5
cTMt4roNO+nyY18qO8zBbHrsY7HTWQ4LIpJTPT4bHrKoOGik7Q4Nrwffak6DgQkaonOXL7n0zGah
XPrgCHLkV10tq5/zrH1TGu1Ft7ByqwZ95eC/cPk603h/2Ou+I+s+7HUDoktYxli5Sg1sO4J5vuqb
qF756M4chbiyIixs57RZcNc42ji4HVZuYCHTqSa/agVdDSEf0h5bXhE+dp24ckNLl5rFt8E2RVF0
E2JjJp3CVl2ZIVTKQrv3a8SQzOAU6dWVJXTp2c3i3cCXb5xcHdw41s9+ljw4qX3KfMhrQ9JducbS
PJhFfB57Xh9POrIOJpar0U5fFHPobpG9RRCFXVmDD8GVWb4UQrMMgCuF1o0p2FYQb82DiH0kwnFA
ka41fhZuZQ5HK3ILRqpeFq7ud9lbNZyqJNduuw4rVdzgUGzBV/VatX5hFvwbPo0+3iC3PDYtD1NE
gBt5xYPETlhLe6yvTTyGRCEwTag+B4dQ5nC1FB0Nf4SI4tZp19drTJXQcU40yyk+l6DncLXQHlpL
qiQWYMP/EhqJf+vU+LVcTgML736iL31c3UMrKrE7LzNXMXLjEFmYNePt4p0vj/7+Gf+QZeZANSsy
JG0cPQLS+dJnD06s7gZ2PlYPf8/8QfekVJ6A2vqSQU+4/MZpYKUi+dXoTxjE3Ojt92kn2aOfEsNM
Qh4tCSSsIXBfk/HxNQPzcPXgufQgZumjQN6a6oLvu+GoOOQMu3sclehaY3UpBGYZQzV95NKcsXUF
tnJwbl1Elrd1k70OmnU0qujl8vNeSExz3BsOr+gWqVHt1mqIbJjyKI3dU+vEd7UZfrt8iaXnNEsW
XSYiOUsrjJDlEhcrB8dqKM0/PjX4HO8mUNiC5pvWruw3Pz1ZPStJ8rnPPce6NQ2lHbDVtYuaRfhg
O8Ow5nVbq8sffOH9zrFuMI95EDibUvqqqxuUlPTiJuzGZK16iLJiS48/VNfqXy5fbeEdKLM9Ql4o
yVBNDYTCxgA31UMMKCf2+OXRp9D/Q8wqs5SgKDg+qEM5uEB6nys9fmjQeMH05K/Lwy/MUWW6qQ8b
DylAqrYTLJh5hqqqSO+mgO/t+qgEnXPldbwP9qd7mEWzUZaonrSTWp/nOg6M90DC/+VnmO4jFJzG
WLmdfBd76Q3z+VtU9VcChoJ59fi+dI+zcBep6rRtB/Yu0pszdvGYf5tnFY9xs44/d2x6b5F8eIx9
2Vh+1EvOqVTRnKr6x6hLt3oYHQRaSIb92ULW+874w3VEODZhU0CvwC+iuBkEZIvQwUb78mRYmGtz
zFyvDRH860y4IxxyRSsedLxYWkxXLg+/ECj/hpfzW7XPNCl3g6qfuNeFg9QS1mifG31KBh8eTdlC
Bi1Lp0Las/w5DiCIlGS8dg5YejKzGNd0zLNHE+lCSBTnxvw/nF1Jc6S8EvxFRABCIF1784499ozH
MxdiVkCA2CXg17/sOfnTs5oIjt0HCS1VKpWyMuUrX8gNbsqfLn+7ZYeaOLkay1p4Aue+q0OUy0Ox
Np9wKPc9hN7raDUpbVsAw9gpn2iYzI58rBLiXmudZpDbTdOVVJytdcPKpRdqlDIl4jGUCjE+CJwU
FBKvLs+QrXHDhgVE64HEa8RjEYXkKncY3VUZWHa3tW6E91WPYjitMvHogk381HFVXvmN+nK5cdve
Mc7oCqRUGXTJIeCXto/O0KBaVj0wd1lxPR/PjGsi3BrIoAGI5uYAAJc3Ux58WxwQEl/+9H+nzP97
bpefA/t3RoWarrJbwGH4OMxgNud0l4cgKQwO0IQ8UAiJgBX7sJTkyOvXoQIBIGoHqvZm8t6Qrj5e
/obo40sE9N7++w1+4QF8GCm8ZvcSvDg3YjqR5ElqcEfgh4ollJvbE8mfIMY1pzrGswi4HKHg6Sw7
mXBwm/0aQR7s5w/OMO+9YtyN0Us6vEiwEvoQF4MYYlmoXVGcRqg/DeLbErxp/a1LPk3Vt1y+QD7g
gKbR2ey9LbieozcnBNOOB331IdxrXJ84QN1z8Xn2syNAaCfwVzwT8CkiOXG7JCU4FU+ibHdTexrA
JpP2zSMGMXOIWPu3ifN3Uo+zfz+Qcd+CshdMkvdJ1t2A2GsEj5TTPEBG8sHppisAIb7k07+P7sDD
fHl+/0VFH62x4dugGVk5boANFGTdVYKBVJDjKkHnHixfB5dAk/mHk/motTth8RdQLRPoe/veLw1Z
tDqBlmy6lhT82FJcfv7/3W6L+rxwSF7nj3ULEdR+dIddAuDwfkSV9spoz5vmo8EaLrAnDerpiJuh
FGi6SxOAMMQEcUdG7hMRPXhg0r08q7ahGM4QTDcRyCLa9LGYz+xXpAR9YjSBtBTyA9t68P87WW4P
ogrVL+mjCrAXoGL1wiAEDhPkr5c7sDkWwykCNesLSTGEnJPyOs1bUCrzJjhcbt02QYZXBFvYCHkO
ncSKYzst4K0+KAhOH4qiX3u2+fhUdU2oYARBxtmpegRL9QQisjzW1LkvC/0AvceVZbZ1YfhHJ+2X
shY1j8PEBZd3eu1F6jaDRG6j+udNE8UM96dQbKyaPmfxTJLuSLI7+Bzv2kl8tW0jmRjAIMihXzXX
URwGcIG9/uQX88tZhnnb9583wDujbsY+axM/jeKiAl9XOyl2fqaDL4tWAj/L+cAMkwaMhgf1BDZC
R83DPq2WX4VcrpUXHUI23so++JkOkC+7PBqLUTDDrptAAiTZg2wriCb2fcz7AiqN2Gd8ZTEsOW5o
x/x3uurG9RqdiSAewOcNiMuPogX7fuH/hbLojcSLGKDOyQO0EY9jwf9eHpRtF5uWnvXC0cME0YBC
f8lz5yYanD1e98AvGKwEh/xjv8sMc/fx+gtpw9CPwUO1d0j4YxCQq1zmG8hMn3pnAdFEBLEIDZ3l
TWMyQYNj7wrYSKFj3fNfLqQgWAiCwpl1n/KWrJm/xYn9C1ne7e0FtIluzc4xh2Z33QS4exiCNNNZ
2Wy25g3Tb7mQgUo9HdPZ5Y9QRZPlIZcZlJzLdIi8lZmybTkTLji3jCHBHQyxIgWYxJdTMyeg3a1v
snq8qxJ9V0zNy5ChqjLSL5dXx2JGJnQQ9ZpuubRkiImDoI6Q5Q+f3W27OTL8QVskUBoq/SEu8+y6
F0A0CEI/VQxwN6ZO277fcAOtUESBf2qIdTVcL6PzPCbjir+3RCgmMJA6bdpMIEiO57qGJCgYTXF6
CeafSj94Amzw8+UR2PaWYfMZYcHU8XKIUylPYcXfQKrxKczrw+XmLU7ZRAKCGnuAvjHvY1XoZyXK
335YnngxX0P45Nr3cZHg1cqEWUZiogK5R8alSKM+HkjwZay7G7fM9pGqVlKVFs9l4gILuCRoESd9
XElvOgVFcT7EIPykyyQ86mz8gyMhuZvCiIJatC5W/KXFQELD9EETEAI3zPr4XOyyiyiBNl0BbfbL
q2Mb0/kgeO+3gAzXKqd9DHWUw+JBabCFukoIPcSolvd8hvinGvtjCyqByx3ahnNeu3cdekwVooqK
OvayhO+mBuI6EAZaI7awDefc67vWA9ov8CiijsHinyD9Oo/lgYMHdWqviffASL3r5pWaLNtmMwxf
sGzoqJfXcQ4K42b8EWF15mjb69U/wfP3Axl5VdFhQOtQrEl3iVPUWJUpXXFaFps0AYOc+uCgFZOM
s4HQ30Ffjr99BnWbSqXLLy+SqGIiTvPWQ95l7UZnW3fj2B/Byj2qxZfnA9JHwUxaD80xBRXmGpOU
pQMTNAgBEHcmLZHx0Gd32LOxZO4mPKJr8uXhla9XNKQy7nDR+jsGSkKsLXeHr5tMghoW7k8pKR0Q
R4G2FUqG0GOe5F/PjciKV7RNjGHi3jImqL/TdUxLVb86zZm61Kn8lfdwy1aihj2Tqu155qVVTFMf
kkjuaZ7ahxSFsayDUiX0jhkbVjyhrSvDuJcWtOyoYxhh3N/BU/Uq+BOcCYRAP7GM7aXwtwVbJpJw
AXeEUxboB15jAuVxDqEkCfrwbavt/9dFTdIdAwiEjTEoNlpohrl78JCsuXOLU6LGWS7CKNW+TBDx
OEX0S4Tl9DR3Xoxr0efLX2/rwDBjSNin1HdhCtBig3yiA30Nz3kIF3qzqX0TTRgOLM3xZibjvsv5
ztG92g2h693IzI1WkDyWIZhYwrZMFTQOlyGWS3lLF/BrpqFu931efts2BsOewW876NL3mhgQuhuH
QwqrBMQGRfvliiHYRmBYtKMF6P19t4mbxJff/GXUcV52+W1Ec/n38hgsTsNEFzZkYUUe6C6OwAMc
7epa+uNDqJ2QvV3u4PytH6Tfzsyt7w+4pFLE77uli6cMTOhcjGwHITghIPLUOEfou0H64nJPtqEY
B/VMUFihoboeg1v4L6X9t6kSa+BX20oYxlyP2cwisfQx9P9Oc99/SdvmOgfj9rZPN8yZQRkBikoV
mlfiM1dQI6LbsFLI6v53/mlZL3h1L3BMQksbGnnqDbKrhymBFljUFNeXv98yPSbQMBODaqWft/Hc
ufd5WDxDkOcBMrxrFXu2C6uJMlxGiBtA3KLFoZ/2u+LMhlQn+lX39V6mHmjN/GUfTO0fGqV76Yu1
1xDLljLhh8DnDSAycpo4D1LINxUhDyAYMOP2sTJxlqOOGBa+9FOb5G3VxlXUpgfXmci+4LQGd3qT
v6kAd41UcH0rtJutFeqfvdMHBmkCDzsB1Y8AKInYryaPf3UzkNSiOndoXYhiZb72Xuu68x0oC1EC
/fPTth1iuIHRj+q5mUDsDgGmG3Dgn2jlXXdT/3q5edtCGbYPWjtFMqdpY+jQTc3NoPIZqutD1eUN
W4kWbF0YLkAwqZOOLW0sBCQDji2bHAZBerjKlYuGxVMSwwm4de1Br4i0sY/ywHKqrrzehQJgymCp
Vb5yZtlGYbiD1vGrkRV+G7u543wdwaIfA+C4lvOztG4iDaH7IumZZjJO67B6cf1M3/iL2kaJ5prY
wjACoIdwuDIyJ/XOTSH66Ih6ZXktLsyEEWqGstZhhP6pEmdRbP/ZlxCriJyVnIJtZkxDV868+MPc
xiVEAg6Ri5sFKfs14lJb6+dBvbsOuyEds1ZObRwKCiXXlN5AHXrl1mKbmHOf79oG4ValEpW0uP9m
/iGJQCLGzjQyc+K7V5us1+S688sycMHH2MZZi2qHqyllkkN8hQ1rqWHbGAzbDQFzKlwSFTEyA3ET
VnclK+dd56hkJfawdWDYbhVxR2hwwuDJw41lXb+gSOmlcfRKtGxbX8NqCVHVks0QEQsoP45hcVfW
8vflubd8uQn5ixzwktO+bpFxzth93wNA40Ew9YGQZGNgZkL/wsWrkU6D55zd5SFX/N4Z+23uzMT9
FVMIuuSRt7GDDMNtFCTezonE/HJ5bizTbuL8Oj1OgGanSP2QKd9Vw5DtRR2t2JWt8fOCvLOrZMzA
ElAg88NlXUC/k2f73Fn1lbZlPff6rvWMTpDVSNMuxjPP/K2UPVaz7Rbya9CL/Hx5ejja+iCS8IxD
V/KGeNCjwllSpveAe0tIPDNoAIKln+i7sZ0OYVJ/Kt2Nh/w/gph3Y+rTYiI9KhjjIulOXph+rzP1
8/JQbIth2G9aZ0z14LmPl6I/MF6fAIZcCfFsK2HYbpqC1K2mXRO3bY7ai4j4ewre07iaoKy06etN
FF8bMRBLTE0DIIxz20M0r+uWlZuJJUA1EXwkq2TDXcz5tCDF6nm6OWoIGF+B9ocdfN8f9yLBOKJ2
7FbmyxIGuee49d0qB7TOsqKEXaQNQUYUO2iYNd2ltTi0w7ZiFdekwiu7Ip+0A6/Hz2qbQZDumMhf
tDvsy1J5O8+TN8zRb5eXx7IDTKwfEqJBniUVUuFdBDVoLXYgDoQydeiuTJll97qGses6TWYXZSNx
RhpIqEb1n0wgoX/5622NG1aOujqn9YuxjnsPNQBS+e2p7ht5uNy6bW6Mk3lxq3LUPZ4JSDIdcYhe
N1L8hLz3tozu/5HhIajjxaTKuFJ5f49rTbiPdDCs5ERtH2+adpNMGgW2NYI6euiD8r6h9ScHssuX
5+ZDSyDcxPktWU1FwM7N9/VpDMvvIncfS8a8/SiKLROEPs52/87aWj20yVg0dez3+UHy4b6a2pX8
24cbB00bhgx19cjRORxfPfQFMITOE0tqfbo8N7bGjXi673TCK+LKuPZkd4SMJ6pyFOpUtrV+XvB3
s5IKr2logeznxORfBAHXst3E9YZZOQ/oXdMVFaqcphmKcxyC1W5CgFNkzaacJ1o3jDV3dMiH6fz6
Mjo7DrltJJ6b+5x0Xy5PzHnt/u/IR/uGuc5toYlAFVlchx0SPFnMIR44o6C3rL3nqQlXcOMfGha6
MY5jQHJZz0KcOq6Sv7qhvpIA2DMSrPhLW/OG3fZZB3YvjkyhIPNOTd8L+tqla6l5i9WaGLQsV0vo
UHj7sY9elZruwCPwpdHeNXRFtxzKhJvUdEWOTeRJdU5LDVduU37mwXAbVtDTzYmCpOx4ReUa24Vl
xU0wWtLoVDZ5XsbtCBCwH113fi92PBe/wNxxT0ax5ZjBmAyDZoNf+ClEiuNGgU9jB0VJgQfwMVlL
fNjGYZg0nyJQFXZRGbMaGnKQwPzpMPEIsOkf3pJ40GrF61n2lolNQ0Kda1h9Gcuyv3KC5EaP2T3P
yIrfsw3DMPAuW+Tsu+dndbc5Dmn9JCHkhwqXb4Q3tzz1V45l2yY27LwbUj6kUNXBrbAXNyrJRkCB
ugySzMVL0mwLXLHohp2L2h2nVic1bin5cp/rpkOBpRj+XHZWH2eN0bxh5zWy0RVSw3UMEasH6qv2
0GMhplLcdJArVmS5mqbwuq3JiQ9qxXVZFshEoXmz4+EukTZxKdk1hNBegbW+hoTZc+PNx4ZnK2Oz
bDMThzaifhF6jHkW62j+2lNxhSveywDE6+WpszV/Ht27U2qUIVUoOWtiDu5vvZBvYVB96j1nxYHZ
mjeMPR+UCLwODngukzcQF36JEOY3PlnxJbbmz/+/+/q+8KOIzmUTs3J81Yv/IyXQLHWDlbDPEnuY
cDOiGBnqrm7iscmehbPcqb5dg+ba2jbsmzSFLqqmamIoWvKf/kScL5qK/s+2ZTXMmqqlyvuIIQcm
z2+WrPaS6UTFFKL4rhB99XS5G9sgDLNmFOKcjivPD6PQ5JZc0f2kt/EMEW4CzXiTp10eYvqF47S7
ZipRtkBOkqK80Pfu58E5bhqFiTJTkMWoXahMxBrQ6J1oJmc3n0Hrl1u3eFgTZFYKCTmbqJDxPIZf
kjk6UdBQ1pU8JBxvWNv6MKy4rhV0bvKpxIuC/1rrbqdxzE0VcN8LXQuVLf4uNEw5Ep4e65SC8tdr
3zLpPUA5LuZJvp/C6TlrmxWPYdlSoWHSyk2oNw9zFU8RRJULxLm7cX0xbK2f/3/nMBZR6kAnbnlm
OvueOtVPWSWny2tga9ow6DnwW56MWAMNsd8TCfLiigWAkG9r3TDoPBq8RPVRGhe1X99UHqcnSHOt
5ZVsa2vYcRg5ECcv6yruxs67KiBPcNVWk7gqosA5uAsFhDsk1Yq5fUwuSrgpt+rUssgUnnjiXEbF
E+AByX1ezvJI0oAdxhEAMjyMRXsqdXcCaLE6+GE13kMkfE2047yXPrjcmMiyMYuqxm2kjJehvFVZ
noKZProtwSu0abFMeNk8R+GQVLhVJkuprhp3dq8Clo/btoKJLpuTRvqgdxfQgO8I8mbVz5SuvT/Y
ZsYw8mUpfbABZEU8O0sENYFxB2XjH+Cg+rRtZgzrDgPSDWWFTEcEPppdT+pyXyXRGiTR4mpNYjrQ
0TlkypDGb1oQlSEf9KNzmhvQXJ2Fz9WWBz7CTTBZD/iG72epjCNVDMEB+fcckuzZWK0kES1+hP6f
pRfjHJReBVxl/pImw6EBZndl69gmyLDzYlzCQvtDFYNA9jhI8TTz5YmDWHLnzmuYbVsfRiwObRY5
V5FfxXzmp4zzAxXsCtq7D7m3bLvW/x+mLBLnC15QxWVYPeVZ7eurPguX+XMNDpfk66ataqLKAqW9
0QX2Ls7HwaO7rGJe/UlHYbmWVDxn3j7wQqYYK/fTvFKtU8UDEvmjn7ypprxRs3MYGxGLAWLmkCte
WXjLpgoMux7cJQxEgMO7dCk58+Ht+MLD07aZMowarL2hM0D5HESHKrty/aA8qJIGK7GN7dPP/787
stvOD6G02yBFxwt98LgQBzX3a2SuFocXGKc2BHHIQAUSUD13n7K0fAyhabNrS3K4PDcfPp0RHhjW
LOEY5jBycbL6APsk9Z576nM/96e2OUt2yqupSO9d8DFc7s42HMPAMTu4zVe4zncVfa3GFDVFgdiB
Y3ElOrO1bxg3VK07J6wlHkqjujhCxaC7rRpJ9h0kIX9dHoJlvU2IWSnBmhnUYRFXA2OHbqhu1Zzn
K5vJYnMmvAw0eQCtTaqKmwHYG8dBdFyXcnpIB8l2CvHHvkwdLFIZONssz0SW5TlBnF+LCsR2If2m
s2C+TZ1FreAFbOMx7Bq1BF3lDmEZZ6K87Xz5FeiuB9dV3zyCfGSmv1TZmqSXrSvDyjVwCZOUuoqd
uX5Ll+oGsig7EVT3oTe9BL3c45ntatsWMEw+mwLVsaRyHjKHTxAqGmUHTgiUya8YpW0ohtGXFdIG
UFOrYuguHgGZvNKt+5So7piVzh2h9Ij4cwXrZdvNhv3PTcepm2CBijR54ym/53JYe7CzGKOJI4Og
uo+MDSvjpep+CVHcpEn3LDCEbatg2LpSeJ2lskXzMhfObkl7vgNgZF6L1ixTY2LIQswKXqV4GbuR
fy660oG7w8R37YqtW6bHRJE5rnCFDjE9Xdv+ahmKEdn5tlqscYDZ2j9fpt4dTJMc85kUSAAHUXXi
c7hbwHO1k13w4/L8WwIpk46Oz35b1wvaD3310sjg3m+m13bwb846fdu8k8lK13rLlGd5XsRy5HhY
c8viwPS2UkrCTVI65BZr1G3nCDehW7h3xmaECEe3hhK0zb9hxQz0g13VMfHvLg/nc3JDBQaLfGMm
wjdMd/REVtRpWsSC1SDBl16yw2PY2rlg+3rjpG4V8x1vgA+CwPIhg5DCLhS4tEzhKh+Gzb4M+6VZ
1upwwtpyF6okoazf+pSu3HAtX2+CyZSqdVO2cxE3hZehSqio9o5eJkRmfr5yCNi6ODvvd+blcN8j
kUBOwhm86WnAeXBsylA9j5O3hvq2dWFYcAN5gLkKNFaY9NPRX2p2TH3d3/Rg3ls5aiyLYCLL/AVk
Nr0ncaEu2kDtS7+JQJJQViBXuewlzt/6wS3iH73Pu2kqeZ21CFdFrDRdDlEQzseJSvpp0iB5o37X
72WJmGNbZ+dRvuuMRFG6qGhEbNYkD6ELmcG02reyvKNT+YyShhXPZ5s0w7IbKseeTSqPW6/5jEzE
327wVkZga9ow6nOFPfLuXRFnY65AwpD5YLfs16pVbRvKMGot89oJFfbs0PA/yu+OecBvS3fc6K7/
vX+9m3+IOXNo4+Aa5wf1HQHr8w4SM2sPs5adZILLXOQX/QaCkDHNkfCDUvENMmN3Y5FcLRD4GaPu
cHkTWZbARJpBdrNW7YTbO8pG/lQiGUEkLPJt8ZYJKmu9oo3aiBZAdyOjt+g3wVeLRCyra2LJ5iwo
Z78JCqBE+2PgB7cJSb+pYu3h2jYv527fLW40Rv7QNrwAuA8+QkMAD9dod+usn3t91zqlwKXzdMBp
QFF74nDpHnmVrVHn2qbGsNik6qPMV34R46XmlXXyJSqSt76MnrZtGcNq5zoTTICSI/bDvN8XSZsf
BgqOqm2tG1YL0LIMZ4FjQIPe/2VeAvcrVMk2aX9D2884hjmVMkN6pAJOoFEPYcXGT6muh3nTxzMT
O+bhpjr1IxDvnsuBeh8e2lGvPTp8vKrMxIxJ1I+grAYT047uGyo9bkJJP7uDe7w877bmjeNXe0g0
VyDXjFtZVDvRg/cmzH6ERbYpL8W4cTnuwHU6wAmLGEmLcr5rUGbF7uD/9ZqY2McWy0xSM0acCRiZ
CfFtEKaHqpvpHlSha87eNj2GxU710nDoecKVBUl4kEDJXiue/Hb77u+2+TeMtmp5CZGqqYgHtpz6
ZAl3ZHKfemQQtrVvWO0I6asmX1xY7dR5x8Aj5Fj4dXBQEoq0l7uwrYBhumHaUUrDDHekEjxEu5Tn
9A/Sz2LYb2vfMF5HchIC6FXE3ewFiHbwPrzwTTo6hJkAMtnToAs6XI/CIv3kLc1LW494GZ6umzZ/
qXj56fIYLOgYZqLIlMYzet71iHkGtl/K7qi66KfqyhOYsrOd53R3VTb9jFLe7SDVcX25V8vuNeFk
qmZLCEW6Ku4T1zsEWUMOHcg1AFzTdGVxPr4gMxNJptXS+Pk5lnMzisC9vwOw4ej46VMLkrDLo7B1
cR7du1MzGlUJLlWC9Uet1TPIrCFy5Obplc4y+jwjtXO63I9ttgxbr4M57wKBXItX4q7pTd2478OR
A43gR+m0clTYOjHsnYYzJCiCBslPv3vN3O5vimd2TfnXy2Ow2KJJbxYhPsrbHFcdsOaPh7Yf8z1k
97Z+vGHpomQjTjYs9uQ6y3Xiju7tMDZ4y0jqNdly22Ibxk4Gn4q5HICA9PJrHCffWOE85jJ8qqm3
dqRaJslEjaV+lKWYmSJORZBheasl+sYclr1cXoOPM5vMRItlblK2inZV3KbjK3By4HrzfXHX9yUK
HuSi8BTQ6quS6jW9bsueMkVQ6azFKAhw9+BJT5/AdZx/AkS7OPh8VWnCsiwmh1kHbuayBMcX8njg
/euzBxqNB9DaQZBWrZi5bRTn/9+ZuVoKJwsBv4oRwuqDoEF1Qz2eHcJmtf7BtvCGhZMODJUlMNVx
MkT1PpJjtZ8FNKQur7ttAIZpcxCQALAB/wEZp3xf0fmH6qUEG9/4drkD2+cbZ7ms5pKzZMEiMCX2
TggWQZSgbHuXZqacqYt6n6IKBxFnaTTscw1q2iBJXrMkB7TSIyvxyMcXXGbiyTqgtQMpNBLCPDm2
UXPwSHcvi6XYjRU/Ru0aLaZlrkw82Tx7TPuRK2IiWtheHjT72c2mlaPiXzXl/2d8mAkoExA4jDoK
gHMNdBF0Lo/a7/a59yzD5wzsCE7zU6gJnA/8biL62h0/LyLYD9nXpi6uq0nvRTtczcEmNAQzycyi
zl065uLS2g9ldMvzqHzsM96vjNVi+ibmbIZ+XtO7eAtkKTsVIBRg/nRHi+EaNfSHTRvbxJuNug5d
QQQKh5K6o/s2bF26X4KOrBF/WXadqXWaL9PiOiFwYZlAogk8lZABysUVDZk3yZ3y1XByfLXMx3Ih
Q5psHJbhELIlrOeqwFmWeuGNyLx7j1crb8CWMyY0XIEG+0roeF0Zj4lbgHgxHw4tgRSPX3rtkQ9h
utddlu6bkfBtUb7JbuaTvpuKHGukZ56DN9qd7qaFJStvqDZzNY59JwpENIgGuWwIuUDzLZXHQNX5
06b9ZWLNqhaMFS1uifHcVzcVKmBgmavsUJZPN4Fmii3gLJmRj+2LmVyzNFp2E6R9jts+/byj352K
2dyghKJGrCJqfRN40/Xort1tbR9+Nvh3TaedEg1pgHNJguYQhfKUk22YZGbyl1EnigRpMScdKX73
gJpX3moQavFHJsDM80ukLqsaMxKm4Abtbuswvwon8SC2ERARZsLLXJBqQiCpKMDwkGf7VGZqD86b
4YYDnfB527oaBuwOFSXAEBYx+LjT16XDG+wO1E3DctjWvhGqh15CVJAneVw5Tir3au56d+fSxM1W
oh2LS6WGxTJS6bCnhYhZltzXNHty+uq+8csrqCWfFr3muS2b1ISZgRodJytUL2JcwqpTkYzVLoNm
8sosWUI2E18mR7dwcd04B4Q1MhdBfsuj4m8up01PdNA3/6+JZc000jSK8jgDhtAn9W+dpnKH966V
s/lf9f8HcYiJKcszQDjLCO6Bzfk+oJPeJQ3iql7FC0++n1Huo1N+hRDoYV6i+8bz98Ho/a388svl
bWYxRpPRLILeGS+7tgDRMGU/vAIi0weWU/IolpF9S8J6FNtOCJPaTEPJKkWbIl78boRowsDvw2aI
NlXmMhOCpkSlHZ7RPE59llX7EeyU35dyXlVzt200w9zTCbUfC+UinvrhpZbp7VxQ0MuRlc+3LYNh
7TJs6mnw/RwEfxHo3507LwyeKkH2Q7CWyLWNwLB3v0kBJ2RIFOu5OE0KSatJBL9YssZEYGnfhJxR
PAVKPgJR7UAHBZRc3nM94YmhV9HK7ckCeWcm7kwsoQa3v4NUNPeCo09dL+7TcfkdJaE6NqOTXaEY
BPzvScuafUi0vx/8FqVlc7lJ2BaoRsMd+KPKq7HJccVawq+Onzx3frnNPExuM0lmNoQhrrbl5NS7
WpHxxBCoHy+bOYe/+sDNmDRmZduC4qDF4sgeqfXab3+nMv9Z5mfML/2ql/C+a9zvc1m+Xu7PthnO
p8G70CTTap4TB6FJ0NGEHKaGKPGaIHEWHlvV63ClG8vhQowAXftIwjnjjElL6relAK6kcdJNFGZY
bMPkq5TQDNS/Ocg8+Jemn+cdpX6/2zZBhsFHMw+0qHBZ560rThqY0D2X4S/dhmvIHotLIYa9M69r
gJZAjePZpXhj98nt+K5g/DlBjca2UZjoM8Qo08iok8f1xMAxJrtTyNLHwXU/bZolE3026gDQqhpB
UJ3TW0g7/YGOxTWNipUQyDJFJosZ9Xm3iKnM4yRq0n1L+98otHxkdfYzDaOVi55li5oAtAhE+FM6
8jymkLq8piGK7hxS/d42P2fze2dmYBrD2xkEiuJx0dHVWb304I+Jd0xVX5wud2GbI8OSXerpCMy/
eYzam9PUqCMR5JsMwW6beFeXu7BNkWHF0QLNtWZe0piOwYnUwZWzrBwZto83TJgkoGzP8PgUL2cV
ddCA7fKSXmlEWWB82NiHYcmoqKyGMge5A1jTlkM/DNE+HKd0lztpu08KuiaxbMkY+KY997p1ojJx
HuYAXHtTcWYgIbQ90ZBXzxGjA5QOgb9elmBjmt3EpwF1RXu4EOehpOELiBWfat4+b1pyk+SsKKQv
w2ByHpQS2aFt5Xio83olnWZZdZPmjHUjD/0UWxRnwVvVZw0AgfUT9JReZcNWPJNlz5qQNNKA2rYl
nfMA1uFkl3S+t6t6b4111Na6YddZ5BZTN0vnIWoD71TKoT8iuOpXgk3L4WxqmtJuJAlVUxYT6Z+q
Vqldz9TnpdXHy4truVmaTGfFQsKizbospll32xHItBX1VRU4LxP3Xkd/LYdrmyTDuIOqJanydRb7
2oWeUe+OB0bZtDJJttYNs66rdqlcD4MY6qbcj27XHNL1V1db64YxB0tX4qqNBWbLnH8tAGE9gP8/
WcHnWRbYBKGJrvVcoYQDYbycHrCRnpqimQ/j7K6Yr8XCTPRZGrFogMJO8lCkzZMjxzvUgBwB3xA7
5a69xlh2kQlCyxYUIfIscx5Gr/gK5bZ7ppvrukFecWDPTtNte88w8WjTuPjhpOosdkL/uiHl16Cf
71JZTTuZJf0hY/nrZauwLLnJa8aaVMgzliPWWi/HkZD+WnLPXQllbLN17vVdJMBJxWig0Xra/hzo
7zn/6XsP3sAOQ/J32/cbp7TjjXnWeQiHEcbfB8DR5HStyMB2s3MNU25UVHmh52QofkuiI+7B/Oi5
gJZWSN3dFk43AJTitk9dydWeRFIcwwj2OKq22xaCmMxnA0lJls1pFs9N1qNhoU5kQvLl8tTZzMWw
9jmEMs6MNCEANuxWyWE8ZJP/4In6LmXD4XIfH2+vyISwOR5Wvw1YFjM3x1OZqrp90oBw8HLrH3uU
yASxhTItdeoEqJwvM1xOn5tg3AfLGiuC7dvPm/r95h11NGnPS6HaLKtdOvhfSdauxN8fh02RiV9z
AQfiToG2JyquNdXf8BqNZAFANCLSrwN17iI2yJVp+nihIxPLNuowKwI2pjFgQOVuhJc6IDnZHhyh
ujuN28am7RqZtGgQz3amIujSOJq9cU/B5LEPmPs/zq5kSW5ViX6RIjQiaauaeii67W77etgQ9rMt
oQEJoQHp698pr/pym1JELasWgCAzSeDkOZ+vr7VtNQxHrypS5/4o8ifQmpPM6dS6Gwd/K6m0WZLh
6pBrh8KoxhQNg/jkLuMXH+F8CqONbNzWvLFt523ayLCuHaoYBNtDr2se07xIz3xK5MZNja0Lw5sT
UOjNjTvlTyKFeG7AnyY+nFGIsrG3WgzWBLS1SMz8zk2QGjfrH+G0H4LS+1VH0bFZ5+fC6z8G63xb
zDAxbXikkwTSJfBq6dX3rEyiO6/oo43WLfNkgtcgilIlbp06VDecQJGvAR4bGpd74M3au+umauvi
4odvAgc4ENK58nyHDhAhy6YqhzRf+6gL/c/19m1rcen3TfsQrkzJUNf5UxDpfemG92ydwEca8NdY
irtKilM+FxtJm8XtTCo0f/SWktV+SgsCha5yuku8dCMs2Zo2PTrIu7LFA/pFJPnrKlh8HMDreVOF
Y2wi1hqeTHNVLCmNhSd2Hd7n91NT59n1FbCtsOHPAOKEEo+zDr3Q/CdV/IUl9bF019veUGOT9KyB
lmvvdrND8cQSf+Y4PX+AdrWzBSy3bAgmUm3hc5ysnsNom+brDvo6KBhIxnbvLnKBMPZWWbFlgU3E
WgJlqcbpkI8vpOnvg7LlOC86WwRhttaN7Xlc45zXI7ys6SGatcNpSx/btN6smbFNkuHFs15yvN2s
jBboo+L8lfGiyTy/fWB66zb0Mtb/XoCD0OzfnkxAvgwqWCehYHDYYdVJBvnmU7CIY8GKD0CWbImv
2D7mMolvQgbIkQTX48JoPMqjyMt9K9evCU+omMjWvaXFKWLDn1shh7R0g5SyLj57pTr6MzsBr/v5
Jp8zFTYH4RROQ8oUykaV12clMDVqJ9OCF9k4BeGv673YrMrw7DSdy77wvZSC4XXYtXH/O2nnrb3H
1rixRwe47/bGeEoo8wtC9l4RaJZ1omv/uT54ywqY6DSvD1XRAkhDqwovTqzP2d3ayOjoeqreiKsW
izURaj6OCLwfSEq7On1Kc36opRCZDNmHy97DVfDx+qdYpsoEny0RX5epHhlV0oPsGhNhvhygKt/m
Gx9imyvDvcu0A9sF0yldByJBq1+5R43XoUznE7ktHzbxZ7HPxjoEzwHNR/3SO+7XJYw2tmWLP5vI
s3mdqqVEEQnFu98di8OfLTBTq6vARHejvxHDnaHK0rB86lPKITUbeFJl4PbKZsSLjU3UtsRGzr2u
YPUMuhYrUPTNru/qnHaRt/V2bVtfw5EB8BDVVJYI3+6FbQ7EGW2Z1bwBJDSIpZo3khhbN4ZLM+JB
6rULcOcUlFXwOEk3Ibjw61jxEFaxF23c+1m6MaFm2qlBpD8mCH5V9+Hi5ZnTeB9kvW6k95a1MNFm
2KmBlYux2DmymczjE8nU1G+hbWyjN7bqovHcfq1VShvQHcRgapCjpnLdEty25MOR4coTCfw+BHID
KX1y1/Ep0y2/6xy9z+tpx1WC2ip/45RlCX8mAo2UvgqUh66UvzxcsLhT4dKhU7vGYafRcX5dj362
L7os05vtWrqq7NUSJCjExhNgHycPckmfifCXTHnjkRfuaXW3EilbZ4ajF1yqdgIlPU28jgAfG9+n
wYL2/QeIjxzXVN2Rcasv2/wZPh8GrNEtLmrhLs2u1PFXf81fL5axlvNT0aiNjdBmzobzJz33xqKX
mL9LVpJB95T4GcTF4k+3rY/h9U0IcQsyY30mt/7FerK73LFkiVefKzn/jNryJDuxsYtYriFjE6vG
UEji1n2TUF/zZwmuxglqvE5X7FG39tnrh/1aNn9RihzmjmfvjX4tW4wJYlN6BbJIVZjDqf1ZMp9k
UYHtfumPKNP5cH0eLetkAtlImg6qS5KYJr0ioOhZT6ibU/vrjds+wAgLKXQkAxdAV1pJ8rKO/itg
cyjAIkru+yh8va2TS8h746nh5GsNTEZCY+C8jgPgtFmwcH3UPfdPSrj+xoWhbaYu/7/pB6SWvq/C
8WIEIy4VpJTTr9UJ5bfrn2Fr3ogBEFmFzHTexZQAm5EJ8Y9Ou413T0vwN2nSEtAx+YXTx1SUTZfN
gfyw5P5ZVt2Ndmr4OkEp1AACv5jORfQAAvpHB9FLtPFL2qiNbMs2O4a7k7gA9L30EzqCGeh70I7e
B86WLQicJf6aEDXih+mqK3wAT9XHyk1PXcP++F37ckEeuy0AfbO+7UNMrNpaTn7HGLoiHHkQK5rH
vGy821IhE4Y2B2HhF1A1pjIK6w4PVRBoywA1iF6VjOrbqKViE5FWc9xULGyMaQUui48r87xd7WCD
vMkPTERastYyXYPpEpCSBgx7Ohvzrjhcb9yy+QWGD6+VHBuWlISmSEn3UeGdSr/91YjhCC7Kg5q2
aDotHmfiz8q26HsSd4QmLvToa4L6QBfVzSkOaLd9iLGLR7yYKhDtooPSfY0HMQHBlf9clmI3x8Gp
jVCufb0ji+OZNGjVCFX7cCQRrcDmSNNqKF9cKdqNR1bbPBluHbmj7w9VG1PVlOWQhZFqvvHUbX+h
mGxob/sEE4w2Jq7SoHKLaFg7+f6CwTmCJXeLZ8FSAB6bWLSKDYVOZhnTKY8fQ17+KcZkB/Hcj61H
XmId0LUKPpNx+iV19+v6oryP2oxNfNo4tX4O2HdEOwmRNTa2YVZwNe7XOFx3neuFj14140E8D+uD
qOdiw+gsYdKErNV+0UPzNob36DJ+Hftg2VfLqoZMJ6N777LqV6c8fUB9F7Dw17/UYiAmhRpKblc/
StyIimAdX4rBd36mUVFluUiCjS5sX2XEBJ57LowvJBRPBMMB+Km7dGielzA+BhLFpCEb7us6vi1C
mxqdQEd4y7QOEZ0EyD11tMNp8jkfbys+iU1WtRrV89JDpTV11TIeIn8J7lU0d/vri2FJ53xjn6+q
dUCR0hJR8jlfQBUzOwUAc0nzMUpvo8iOTTDb5AREVk0YUdQ+DFmUxOq4LtLbVQke/K9/hSWimei1
vBddP3kwqVk3w9H3fO+YQmlhw5osBmsC2PjEQ98pU8RLx/mE6nmaL/6pZe6Ng79sbG+S0DFd67wq
EI4VqdysK2qZObVLbrNOE7zWy6HopnaNaK4cd1/4YXCfznOzHwI2bXRhm/3LvL35gEjqduFER8Cg
4NLPUVLvunxxNyzU1vrl/zettwxVP6CthoXWolQQ0gQum7Aw2lKlsuQPJoKt9iENoN06ohJozot4
lysckQ3BSC8HdCAsN65G/874O88SpkjnIqa+RdENOgrcnVfU1d2qxOc8L3KEvvKTk9cn3i1gBh5J
FhJ1ioApBZLu6MXT49QXLw3oRMUmza7NqA3Hz9cIT2Ei8mmhC+fkOG1zXydTlMlG6Y/XvdLWhZEJ
xH7FB5/5Pl2G7rcfhs9sap+1vEnhNoj/g3xTA+m8ZPWpG/L52xzX6otupunn9cFbzM6EvQFQD45b
yFVRnXfOrgG2N5tmuVXxZzE6E/AGsSjXixonpGRYByD245ehLX4nfSMy5vb/i5ctZJ3tM4zjetCv
SePOMqQBh34AKFIfiFhvu2cwUW6Oj9tHJyoiOjhNcQR1bH2X9tV0vL4AFusxpTsBQGMeiMaRJmAR
6gkX8dX8ZxTi+/XmbRMT/DusjFEE8yFtRJnr/O7L8lvlR6/Xm7aN3P9306wAA0NfY+R+0n72Fwir
eeBZnbwb7+H+A2BbWSG6gvtUi9DbFUXBH0UqgsP10dsmxvDamhVzXIadT6HkNGZVHw5Z5de/rzf+
N9j9NwjiKurfc+NrgTpHzjwKzPa0T1q81/Fqr1BaFQ6oHZI+yOrIcZ3aL8sUHxddQ72v3so83092
cIfx786nyV+BtW5DPDzXH3tI5kID6FcrwiwFIvCmZIGY2p7diKM5eNMA+QvTOYMu87wjEefZ3AVb
VwLvrxAxYW5RMnTgRplCGqtBnIIezIQBIsfGbv6+9RIT17ZK1NWpdA6BTfF+Bbw+O/H6P7y8vFy3
AFvzl496s533vE1SPIR4FMSZ8zfXxyr4MU++izDZEpqzzY/h2r2fkB4ZlU+56+6JqNxdDR/ZmB6b
DRnO3Q4zd1kuAtqv4l6QMSt7D/fEKIly3Pqmdyliinyioqf1gLr1qAuICu6iHwvX+bymW88Ftvkx
PNyf5pLlcgZmGCejwzCK+ZSPw23FjcTEtAmZ8nQJMSkJxLGzRosfZdltTIxl5CaIrQV2A8Wm0sPN
RfQbWL+Xpt2qzrY1bWThwp/jDoUMPi7mUZ3tced3N24VPVls3uRdS/p+Aovb4tNgFnLPuVJ78NgF
J17I2559SXLp+o1boQ43L2WVBzQNxIdSku9TOXy57rG2mbn8/6bpLgAP0DTMPm2VrvHkK8HHrN1x
Y5u3+FNiOOuCasI+TWqfRknefO6aPD4sTjSeQ1AxH/G8/Oe2jzDcdpV1vJTt6AMr2if3QgVe1iWb
hyzbFBnJtJazqpvVQ1AbakhwLBe+2KHcmCFb44a7hsESyFJKbMi4Vjuk49QdNRG/b5qX/4DW3L6d
cheNq7yFZk843k96+ee2to3ttuh4AxW2Ad6a8vDAUldlUZ7edotJTCI1nMNBATFeTuNTEGXJEv0R
U7tFNm+xSpNCbRrShqyl79Illsn9ELTfoyQdD2KRfOfyrbc0S1wwgWq5ynleeJ1LIwGwGg+O4Rge
RFFtXCzYmjcctwDvUOeL2qVjn1Q77eg+c7j71Jfh/rYFNnx37n0pdcRWXLMVDcnmdtGPw6jZp9ua
N3y2GUKWhLOL6Rm7sDwoqYIxA9QuvS0mmCRqABRPoPjLXVyNgIFr38VltNzxjujb6jSgWvTvyAkt
iiIYU7ZQSLoCzTC4ktenvBWsOV2fIcsKm9A0CY3DotLpSksh6oM/EH8XINTdFWIdb1tjE5omOgYg
Brhu8dDocFwPBgQOsHkcuFjKO8cBE5AmpjRdYu2tlKOiCbG59HZtu4i9Bl/NXeK6ereSyMt6J5H7
mXV1NvQVeRxHv8elSRWjzi0KcH9yfTYvfvHeYC7B4M1G5zZ5mHM/XikwthAMGeZieiibRmygXGzN
XxbxTfPdOkmelHyllZeU3t1cqTDcEVADbOFebR1c/n/TQe73hZpqhJMapcLSD79LcFFvzI3t4GYC
13JPoziygrO4qDiE6JOmPIwPF3CEWxe7wg1V1qnqYY7Za16hGrEEyYFz44nnPwxqjhd3qK5f6VCQ
adp3aa5dUEp1/nS4vvQ2RzI2cIBg00otsHLHq85gMLqrQ1QN+bceqkwFz3RZh4Kn7Urrav3TEP/A
dfhHJdGH68O3rLwJZBMhSebcEyudovp/Y1D8kDq+zWpNDNuAqos+WdVKGyWDB2jwTWApCraEpSzz
bkpz1u5ao7q6wLznqTxqv+2Ppc/XVx+g540Dm60Lw6tHNomugzI7DSe1HsNOdcex9h3gfZbft83+
pec3flcN0m+lRA9MDvWhcgDIqFDMuOF5tvEbXu02VZfKsFkhKOEMxzLtwyzsxbRrUGm9MUWWbMek
UJunpvVVXWnq+KPe67U+FrEf7cZ2BHpi6xBks1FjN1+Cgjdt0WhaaVXtVMC9uwGPwxu5jq11w4Fd
p2+Yq2sAIP2WSsSqvQ7VbaTmxKRPq33ULKg1manvFPnHYU7bE15Vti5cLEM3kWiOcIF6qclCZa+d
n2sg2Bei1FYma2vdSMLbKAkb30kWGuRxsMMi97tUyq3qBFvrxqnZKeuwFZ6cKApEvaPT1ATcDt6W
XdpaN1wXGIXcXVutaRlOSGDxbPWo8VpzuO62Fscy6dByaKP7ohhgMrXsk0MP2cmPAaD43xSO17ex
pRKTCY0lwQwZBT7SOoxV1l5qLIhsNqAWtvkx8u98KFSrQYtF29LvQLqtC4pQsUXtYGvdcNggnGvC
uBxoMrf5EWLp+s5r9BbGwjb7hsPOnbcA8EIUlSS4r8R6BunI3lmqjamxhLTQSL0VxNWGtQ0VVRX7
NfPuUyTC+yBUT6nYKhi0dGEizMJGxxPDGYuOJV5VivDj3C+o2XCOw+z+uW6iti4M53WmFdU//qCo
202Pbbw8cb/cdQO5r+RmQfalrXeyXhNgtoi+jFCQiM+Y6uWoZCUOPin8+8lLwnNSyShzS+59K91m
i8zD9lWX/9/sl/Xk4dhb4KuCNfGyqivhdwUQDbIekgOIvZqNnfMShN77sovpve0nHTq9DkFP/bZM
7lBIGGVQspSnJSB9dtncRL4FOLFYswlCW0ib8xaqkhRC7b9nhhQcTbdk2EjCbDNmOHogKk+1cSjp
osNXxvw8a5VCEWxafW9jcbhubBZ/NznQQA6fTp6Ay1RN12V8cqrjJXhttG6bIcPfWxBWMceZsBi4
R3GG/LHO1yRLNd8qv7QN3/B4L1jqOGkwfMC5uqcg9XAAyTd1Uy7vU+/Ykgk4C1Tl6HyYewr80Oeq
nh9bUT6jBObESXkE0PQ4ti1E3YaPN62FCUCLg7pdUwjXU0gK/Q/YFuAM4+7GTduEmsWqH4maiKSA
fDl3yFTzU9jghfK2oRveHThezojPJfVL94da8iXTCMU3Nn6xrjcurTvc+V0uQ2k3MH6GhDkps7gK
5Y/rY7cYqX+xrTfNL4WOo2TWkgbKB5VUkZOqOvppAj35ICnZupFv24zJcGdoyIfLmqQdbRMYaL+k
7i4GRmLPnUHQau3To18n697NYwXwWprsb/s6Y0NHPW9bJTgKUT0PzX6pwj8apVQBVBavt2+JUiaW
zJ3HEiWRQ0dX0WXOTI7x0v0KWH3OfbaxrVuc3MSSxW3ky1SELboAK6iWT6wpNp45LGtvYsgWrRdw
h1QddefkFYivl0TNP7mMN+A/lpGbILIeMpZLWc8dnfPum064zEIn3CpEto3dSMO7QDlpRHRHR2f2
D0VX6YwAHHCEHO5WImvrwnDrKmrZ32yfrg5xj42qP1RNHh20XL5dtx5bB5f/3/heBXLGsXa8FjXC
QZGlqjt4rYvyH3nj/mZSoXXdkvgRhzJjG/H0bhiC5j6Pkk+3jd5waaQVCvRRUUPT1Dlqte6dsX5p
3PymQhViYsdAow7dx3gVtCTJdxRK5Zmc+cv1oVvc9m+F1NuJJw0DNmVpaZj4n6KaPPKQP47+MuxY
WZ2u92FJMk0dzhaQXzyb6JoGLgREW9G4X/DwF+4hzCFQPOSJDMDc8Z968crbgp2JDkv1GLq1T2pK
ctQfO3PhZ87Aoky7y9Y+avkoEyJWJO3ChJ8KijvyuzzQL/G6fouc/NPC5XEAHzJOUJ+vz58leph4
Mb/0UZGfBDVVXHkHqLt7+JplS03G4nomL1rOfF0qUCdTR1Znt0UlV5zfB16+EbRt82R49lpCeqIf
0bzGmXsXg1ybKtX4R1RWQ4eFFNAZJxF5Yv2NN+0mdAy0TEvAWIuLoND51Md+mQWpc9tFk2s4uhOD
2lWTFZZcdsWxGIbktHY8PlxfZ9tKGFu025DRy71cUEAzqwzvIQ9xIx9W6CFvJFC2Dow0PMIFugbR
ELYhQtRHRyl1L5kbnYkqtxDHNls1EvGL8GjOEt7SIO3BCZ6OwT3X7nrTPhqZALIun9Y5GUpBm3V6
zQfvnwFC5tcn//2BRyY8rGjdFUf3qqHabzhd2okdSh3ojZm3VJxGJjKsrAbdMa06CmGWL9xbz6Mq
/sfW9jkU1Y/q8haE199S4om/ikCyOP9z/aveX/HIRIslPIidBfBe3ITw9mEZVPpzAqfFswIAa+PT
bBN36frNDjKD8MadIoZ6WaC7vqRkgu3WSKX8jcTy/YN8ZFKguX3uA5OWtHRu8ZDt8OI1b/oH7lfg
h/TO9SS3dDLe3wqj1HTuGmrRfoOOJg0MeFz3x8X19wBz/jNqf8sFbbNl+PjA3Ummc9BQlHdFWbQA
9C/j4DZwV2RixyDiBdKyKG1pz5mT4aaDZ1A2u7tuS7b5MVy76qdO+bhNo9XC+mzwoiUrIJCI0tax
26txim5KdwCt+LdBDX4cKO7Imq4SYkCPdTWG3TFwG3mjxZpAsh7wt2npRE3r2j3Fw/TaTezzTXNk
UqHNKvGroJ0FlSABzSBx+1RHa4qSzeJ5SLbKyC02ZCLK2nlyVdciH4h8Maud43l4U3Hmcvh0/SNs
7Rse3Yx1hRpQZE9azdNurBYFnPFQ7W9r/dLrm3gBs0GxzuLXtJo6eWrLob2L1SYDp23shhOH3InS
ZlCCFpC91qANKZvj1NZesxGNLAHVJEGLVOvOq5wETZMhzcigwkMAsOadV/Pft82PsUmHeeTVqEBs
qNfWP0ngOZkf5f5twdpkQRtCMfuKoXGxtM59tETVPvSGcgOhaZkcE08GY0z14HaCai66A3LJ+gR+
yf6cM7FszL8lCJkEaE0aQ85IeQ2NuuHeA2pNh+yn0uk+1M2n6wtg+wrjPD2k88IdnHHpRPLfzbjs
vXW6U47cyGEs+5mJLlNlp3oJHlzKnHGPSpNzS1DYFI173s//YwPZuES0fcXl/7duNuQkz3XXAKqM
Ry6Z3l0SC5DebCy1xc9iw4tH6ag1X+aGgmu6w2txsyxVltbtbeQMkcl8NjUT6/H0KmgOBvbHsW6h
+cLCG7d6k/hsSsRK8DqACFeq39xHhWjvfU9KuUun5v66FdkmyHBjOeHUNi4dwlw6i310ybCFiPLD
ba0be7EWNQoTIViIsko/2aekiw8ViEU2dmCL7ZjIspGnEvyUIzYYDVnOSUOIvPiR9sOPmwZvosry
XBZDLuaats1js4CNp8ED0EZ8sHiXiSnjYnXjlnUVbXm4c4pgX5TxsZhyBGhc2Ye3ScZEptTmuIwl
ki2vpEIWKqtlqzNPDcfr82OJcSbJmeOn4VjFc0nbDpQ+kZLnutb7aHE+5966cZK1LbHhv/EKhaVx
9Tgd6+4+isITKBNPA3AI1z/BYv0mYAyXLbxT8cxpw+Oxy3zCp3pfJqHYQlfa5sjIo1PwPwu2jJzm
dbMXTR9konX5bp1CsV+XeAsVaDMnw4sLldckqlZOHdRfn0BssB68EeIrsXaLT+3oVA9pBEaL2ybN
cOqIlUvO9cCpB+WeXe1xsu/x8nq6qXUTJjawOgGdcc6piJZ74If6g1vF4Y2NX25/3uw2i5p1pxqS
04hNz1003jG1ytumxYSJeYDksrAOcuBcp3QnQF+x6xa5BWO2OILJdFbFExETSi4pC+qTdrw77Xe4
AtuSGLc4gsluFo/1GPuATgL7F31mqn9qAvH1+oLaRm64MAO5EM4UoPir5+SuX8L7OJge/Nr53/Xm
LTwYkQkMg5I4m1Quczp5y/dKqGwleRapH93y2ZFBBkzFbizAQI9/r/do+yDDp7tAy461jnNGNe9+
btR9EHW7fBEbiZdtKQxf9p3Z1VOC5lvdlZkqiikrHXervNDWuuG8sgTEFyKk8IBCuK9imfs71vOt
tNfS+n9gYs40ttxPnXPkig881JSNyeH6rFtCnElKlgsUf+Tad85O5EGHOFHpsanKT5FT6MxPZ7XP
R/bxele2r7gM4U2U8Mc5b4auyGkTuux5iJsWmFIuNlJSy5ZgKmwuTjx7SxvllMd4YPOE/hp28a9S
TntvJDfJhEYmbKzgcLkGoHPqEVG2eNxOwtcBIj5rVqyrvG3zNGFjwCJPiTfOzjmf13HeF9gJ2D4J
b5TQjEwJTc+BxBDmCMaUxwDVJw0o3Mb80/U1tjixyU3m6cnLtRqdc1Xmx4sTqyL/EI/jRlpts1bD
iQvWRgCoYJFV246ZC42QLHXqr+PKDm7MgAcAr8ht4chEkYWBIgOuy7HvxGP/DEWS4jTz1TlG0xj+
uD5ZFocwUWSEjakYBuWchfZUlpRKAxG1RTNgWQmTmawI04k7hXTOa1U8BuvwUFf9qXXlbRmkCR1j
6RCUzVSm5zUlqEljz80MyddyuS1am6RkxTRzB4XtOYCxaZQFTvPAeHobGXxkcpK586LJJLArh+7y
EMTkT5P2W7hVSxgy0WC+rxUnsnDOC0pZUFHwAMm4Igvl8DgkYiOQ2pY2+HcgHVE/Okf5zM5V1dxX
OTlFxXpcUCt8m1kaG7Eq4mCY8gA75TriER6FandO0G6BwWxGb7gwtDYbiUuJ9Cz7vN9rlvaZjIqt
1v9iKv4L1opMOcywhsn7IOoGMjM5QhxkT6bqUKd3bHSzvpXZxD56SZUt3Zql0/ckGB/SMN+z+NlP
Pi7VD8KOHCS0N03kf4BjaSdxqyPSc8KWL0PBPgQB+X69aYsJmCCxcBg405AJP5dFOzwkTTqATKEY
7gZRbB1yLZZsQsVqkA6SvEIA8aLZxTEXGvQsfHaIqL1XQHCgVFKyqT/c9j2XQbzJDbqwUJ4MAnau
tbh3Zud+LRVN9BYGwTZdl//fNJ/LgJVrk7LzGtdHVdS7JGq+oXDgz/XRX94m3jE6EzvWxSjchNIX
OwsCupuy4ePdiH08W+YoPcbAhR5woVjuGpG4O7wD3njJZLKPKd31kQwJO3vSPUEw43VGDr1hu7bV
N4IAJzUofKY+OZN1+RSkeZ9pB4DtcP5SXu76rs+bbVmMWFA3CVk5W9kZtBkvU5k8icE9V/MW1u59
8EFkIsbYhKuUOlXJeah60AVMj6VWzzno1KYSZcNFEBwga/vz+qdYwpoJIUvauHU9Z0zPrGTsvijX
9es85XrjSs6yGiaCjDSTGhtZwH4hKiJFjiNYdeZN8JVpvRH1bV0Y2fm8AgFcOSQ5t8l4PyfFo+RN
dMwFeZihC3ubm5uMZJGLe8WqWJMzKDUPeSeXfZ279d5L2BZhm20dTE9v+eAU4PE/Ty4IFso+5dmg
o5fri2w7FJs4smgdQOPlDuyc5O5Xr3DFuXDYH8gq9Tu3S9keoFF5x2UoUPMR9g9Dnm7hdCy2/B+q
Mtyu6Lhz2Xnyp8+e/yGaXyEDiHpc8cEBLEj27oZP2ibQ/3eoROF72BccsWwZUrXTrOh3S4AL5usz
+DckvhMqTcTZFIUqEZFiZx1y0Ii/9MtXNvE9C+ajMzl7SPTsiqhAyUm317haaEDVGNWnSh8b0ET2
C3WL7wEBN+f6mLPxuA4vCiTCY7Gfw2l/fYiWoGTi1VC140vQOMKCBFBqcwLadn8lxR2IWbZw0n+3
6XdmwUSoRY0m4EdAEjSIEkqHfTaveufPtHJPeSiyOa4OaUF1fPlwnr4GwU9AvnYsmHZd8xzKIuvX
dIc0M/Ol+wBybE/C9hq5r4OPzvzcB8m+Fd+UtyXc91dS973xGhd8qotHUENFyPbbT4vEk+rTZZgT
qQ+jREHCXN95EQQOii/Lol7inpxwaYezTP5UgonxMr50ywMvZvjeSIwwlZcev0jOp+cgqe4xlJi1
+3D9WGPTCMMvqJU4wjy8fN1HTZzFzpaO+1/Kzff6vYTNNxnEWOi+WhqsWAUOaVTjADvgrXJf4ftq
fYwLLxtQOylHlq38kObB3usriPWRo2opl/qJi2jXYOPEz3RxDpX34lYbN4F/o897YzNiXpdDVdFZ
vfQ816/L0u68HjUuCA7tuu5r0mZwoLI6CuGdLm4WBUcJpc0l3TiNWAKGibiLnV6M4XxJ6EXQZGOQ
VlkRl1vhyGp6xmEnqbxVyHJNAVP70S4/CtfbedUPpk4kOA5Rd5bdi5hYNonfQ0Lrotp3C3J/sYPV
QYpu4+LnLz/ye1NsREXHk3kAyZxLKo+HEtfLMIAUfCZivtwlfmk9/hBXT00Ddsd+ODQrGKL1sY++
piB/x/Qv7IzTBtbeq76iziBb2S8tjyiw269TcrpkPBcjEivk88KLiWwbrm11jBSLL4HSKLmJQeXV
3qVdpXZlUmxhz22NG7eeKilBZclzcmYRfx6X6ejn48ZG8X4UDk2sny44aUlUkLMeujlLm/jJGxVF
7cpG++8PPTQBf51XeNBjKMm5Uv8AF/FcQe30+v5ha9mIUI0CPWxccnKu+ThlqU/u3VB8uN72+1lA
aAL6mnT1vWTpyDkYTjqJM1LEO4nqYfZdBhMuzZ3jbf0YEUUzrxGuh9mPhvS7O8pxT5L4qa5r6ro+
y8hMHlAv3mXXe7PN2OX/N7G1bqAr2C8NORNeOnCgGLxwA9glbmvdCCBjU2tI/UTIOUGiXx94tQoI
vlT92N1oSkZsYL5qQIcTxOdygC6Sw/DMnCYQzr0+/Pfz8tAE9c2dAEO2t5Cz93/OrqRJUpxZ/qGH
mZCEBFdyrSSrqvdlLlh3zww7Ykfw65/nd6rWtBKzPFVbWpuAkCIkRXi4N/MvHYN8TjdfGTa4Jok3
Zttmf8ONaxW0aDsIvKvD8/Y4cu7v+1Sw/f0PsHiyCegr0lz1bpJ413biH0u//kjAgQag1sa9xTa8
cTSB1rxKC0E9XIeCneMMZzfml0CvG5urxTYmpM8ZUU72HI63Vzrbpy2k0/zCf6xxEceB31d+ECSi
8vsMLz+JfyY/SELOHtO65iYt3FoWbrtMwGVmvHFCP2hzZIeGrZucZVmaMqYlZZ0qJ6yZzEna/gk8
6H6yBx/igv4d1MRf5obIrTyabYoND2bSZ2IOSu+q3RCJiLULQbl4f3HaptfwXZGMystLDE2EmEMy
DchzLOWDK9/Ye+O+nYgTxPRaNuq6ZtOrW1anxNuSvLaZxXDbLKNq6JaRX/tR7Jdg/FjhMW681bph
MY0J5/OzZRR147MrmWovdOr6mQ25eMw0JpAP1s7IWDN6bbJxT/vxEK/8yLtqY3jbuxt78NB4Te81
C71OqzisHX9Kwc1/f8VYrP4fAB/PULQJUnb1GrSS56zyd9XaVIcVTLmH+4+wvf3t0W/2wxZF0XLg
Dr1WbfO0uv1lOyjY3v72yDdDq3wGpASSqFgnQwQQ9IeAriGf09P9N7/Z97/HZG7i9lxs4oGeFvfa
L8uXwkujmvND6bbn2U8OTsk3juM2AxleS7ysaRrXXa68WfhOZyTdFZS4G9uh7SMMt3VYQx0uUnJd
YvW+BkQzXvJn5Hn23jo+1erBE67JENe3LSv5uK5w32mNHOiKQq++S/aNcLYKXZa+E25C+bxSr+nY
0PXqLssuS929n8qn/6l2dUOxE079rqHNhy4eToLHHz1HbpxTLRNkYvy6rquzxG/Xa+rm2Sco9Cw0
jCsQxuzvrzPb+IZ/r0hP88Bb9HXJg49o3j21YthYW5bZN7F9Ma0AbJ29+ar69lAr/lTE9ZeAxFno
JErt5PjotmYC/UiA6hAwzPM1YHI/+D2OXo34G9jLLeo0i7ObmqaDXNYChMKw0ljNaBoMXoNmeUUe
4MP9WbCNb+zLawkYGTSD9RVoP0B1iCquY9H0Z5bS8nz/EbaJNjwdxBFjgJq+Rolj4Lg2d9Nel+kW
P5htdNPTiVPSZiHzVShZfHY19+pQQPvqISQHN5nfwM/YQuymn69D4PRPRAQ8Ei17jPKPm4i+YB15
yr0GpoFovcid000D677VLRNrEr9BMVCVyoPVmaMgXteKnVrcn0yOj53ZTUxfW6ocGn+lvookeF1c
593Qr7tq0FsHRsu8mqi+nI5tB2kwfQXt+62gC2GCReDy+ph1blZ7s4dWJHD9pvCnq/DrfZd1r3UR
g6Ey38C42F7+9vub4aeWBXFTjdM1JcipopsILSDJ2G8cXyzndhPWJ+qxH3hDuqv2+mPqkmd31KjG
LK9p2j5UmwZZ8+8fQLknpnLV/TUfh2SnG3JOZEbDJHY3qmE2CxluO7V80HRxuit3VLLjif/eydP1
cH92bYMbp+pW8goibKq/FuP403F5gg5lZM0eGvw/QL5gIujwweBtPf1QdKhCB0Sj98e2OK2J5CuL
pmgRGvtrXSATnLfYsIYVob/eqgL8ucrNTW3Rki/ofIqTHl4lyY7ncid6/sGNg3cZUVcuq2MOIEdY
Oo9JlvP/QPp0XSXdhC8KVpkdXVY5Z7SDbhErWSbaBPPpQoELB7pd15707wR3f7n+9P7+VFjSdCaE
b0UBcNHoW73G1bQPdHMePb4nbX9icDZG0FnRbXU8WPzZRPMhNYdd3q+6K+nya514xxHkR1M9fodk
3df7X2MzlOHPyL53BVhjuiuV6bOTT68t6CLvD21bs4Ynj16cNsCA4u1TDV4ODX75zuEQ0iw42TjN
297e8OcSEvFtA7Xva+565UfaZOX5VjB5zKFNCJ/OhSq9xGmu4+J+SGp9Hpz5+33bWF7cBPBxAr34
UiXNFeiL8ZClPVgs4AcbL26xvInfW9emRSUL9ZO+S//S0BkNXaI/BSrdcAHLujQBfDIOgnpdMnUN
ZAKc2rEb9UHo+OyQrQyUzT63L3uzTyLWFCjJ6vrKUeO4Nm7RR8Sttmh1bfa5PfXN6M283hqP5+aa
+kEcymY5lK3zF5u2KG9sb89+H79ICw8E6ry+lkQXhzFd+SmRU/Gg9Q2XjecS1P6atte5GcKMoQPN
u8oli9b2Ma/6X53sjXnqidMc5ZkaWdcUvSSLqHpx9lyRbCXVLRU3bgL5ZBFAJdgd8ATQt5Q+eg/i
4wK66WH5NgUs5MXFc76Q/ldbU5DVdCcXiiMqOzWZtwOPQ+iT+lD2wDfrpy6dd1iBjJFQjMkO/4lX
6X7QP/AvJ8mBnvsAu/Ctcqxl5ZioP+pVa86ELK+yc/B2sgoFXKCBwt+G61puqCb2L17W0l2doLoC
dnJUbXzkjj5Sr31yV7UDae9jmW8T/3fjX22zQVWoHI7sPPbevozXYGP9WMKDqT3qLVlA42GoEPhx
whqVeMpn+dci4u8+KbZinM1QRoRAaPYbNeb4grH6h7n5u8VZcwihZVEpGGgqgNzfmBILRTo3EYCT
bqCCIPv66ugXQryLbGio5/8ttsr7wgN9mOv3TChUSKcQqeYHzWhEEQAA/SDXRX1dkgrlXTdPxBGy
nvnwT6vdufkFdsKtHhSLhiE3xUjJCEm2NoPLryILbw4DVIFMwwKEwqz1d+C/mtkXyvLTxN1TRpIw
X/Kwg3eWagnJlrCIzbuME0NKZb64EIa89o5ziPPgm5d3+2lNf93fdG3DG6eFiq+6dfNgiYrqUrbs
Q6fXA5vUVsHcsiJNlGDG/InFhbNEfedfCl6pQzYCvy1K97OHbga0t6XuY3ksEzIYQDJvGt18jQZy
LJbyCq2n47A44UJ+ugn/5yFz/Q+08WYbGHncok5QrJFoJnFiNTQCIE5WHhOqisdSiSZkkCi0+C9L
tUZQomh3upzLUy95vrFRWrZh1wwRc+xgfx+WyEsaHs0l2NWWlI4bVzLb6MYhApl2328qD5Q+SPVd
gqJxwzJbl/1941tiqAkJzIMYFXooYYAwaPok6/h9oORL54JmlQcPluZN8jkJFbIm9RIRDQOYKrse
+g95Aj3M+19g8TYTDDhUGRQlxLhEaGhA9nNW/NArcYbax2OJJhPL13ngLeyly6LZk98bAYWReLl6
9fDY2jRhfDkZmxRkXSxyHHHgmryKKdtqh7SsHZNhzl0TX4jap1HXte1B+2txDLCBbFjeEohMUrmJ
9ThDQBI0gtIZehbbn13m7EB7dehH8qVj+udDE2yyy+W1iGumBI2yJl5AdzFHkvftPmdbmUTLTdvU
IfV9iStL29PIH9C2oTK0agfsxJz2B+3pOVflc5481nTOTaDbCqnWeFxiHZW5HL5KEZB3/UT111Q3
IJjpl6qjp/tms829sa1TZ52rtOwo1tX8s0jKS8/WL48NbdwMkrlT+Vo6NFLd3IXKndlxzcmDWBtT
njSYFs6Ez2jUshQUpKSFDCatturploBHjM3Zn1kB2sVBR8msd/Hi/6Kr/nt0uhPhwbjhGH8OSczE
ndXZKtYxkTQa4vkCzP1zP7u7IeMbh2rb8Ld1/GbDrEYmvTUOaJRofgZx2nO2VM/JuoX5+LOFmMkz
FyytBG27EFE5Bp/mIT5iBg48yMEZ6m8Bkv68OJmJQZuqRkLiZJaRm7J3aBP/6C1yY7+0Wef2+xvr
NKwuu7wONLy5lq8r0Q72HIjCAEbnLbzcOKzbnnL7sDdPEe7iAmPG4V1e+x3csx9Sb/js+PR438Ns
wxvOq3Thg+M3FtHay9dmyMYQXat7Xifn++Pb5tjwYAfCDC4DI0KEsuH7iQWnbo2/UU+c46p96FQE
vvTfLZRK5TRcrTQqlEsBYaT/puVjXBEsMJwYUq/QO6kbHZH5FrHTXu47nFU35tbSocFMtBkp60Rk
MbZN8Dn/GPxWh1M7fcpG59wmcqdFc84gAjkxdnYD+uv+jFhm3GSUAy8vMIZQs4w8MJ0cuXLIpYr9
HkJPetyYdNsjbvv4mzWbN5SxWmkE1q7+OPfkL+J532UpH8o1MhOHlpSQY3D6kUajniJ3mM/Lum7s
ZZblasLQ2tUTS7BMNALNMCDZM1Mv6VBJgH50uiMa6/axSTC8Ohg0gM4uJqFZgPWJC9FDPpq6R18y
Z+MRtk8xPLuFDG9fiFpHoLcBa7GXO3sfJ/wD6Rq1r3t/2tiDLBHWZJlz+6wCx1m7REPq8hBIijms
CXjoHzOU4dzgT82pSjMdVWLOo1TQ7swgj3qj++MbXmhbrYaPD1wO5ZwqFhGSvozzdGk03Qex+PDQ
F5jItKAjii7CmSNvIsElSJfpTL06j9w+3iJhsnyBiU+rJmhBQs1yjtA26l3Krk/3kK0KLpJ33v7+
V/y5nMak4dJuwBsAvHMWifJUTd1OxOQg/XxXkF9F4Oxkf0LS8v6jLAvqP5i1WYLXu6+Q1ainMeST
zNDRHXQblyzb6DcbvolNuMSJtl/wIVkCITQiW2dXOH618e4WpzOp5ljr4fjCMRNknNS+l12LTuex
iwIV6L0iw9bR1TbjhnPLaU5Ziast4kcyHEuR8y/gdF8/sGXsNuKHzVDGzk2GrkQXhudGxbjwPGxB
q/nXSoXeyPj8L2nxX/QdM0VNg5auZTtLN6L1S+UW5xl4JVp+XZQ6lN2wSyp6qMiXqW4PHdpWWp+C
c6IJkywIC7l1SbJ9o+H6JZr4+rbmbrSgBPoRPL3Bjots6/Bg+0QT0DZRnnYsw/Axe0/0r7oCOQT/
UCXublLDwU+fO4lrx7JL/DLEt8rFuzVgNQ8yKuMu8/ta7zKvARPerKO0YuUHsqLZB9zK09MsWexu
BGiLCU0SO7mMRKKlYI4qp1k+1gBR/FOlafXloVhg4tsWCBovRccRPL3pg5M7P2SQPXZ8NwFtrUhn
r6mxs9Szv2MTP631FCEmbO1cNyP/YX2beLY8mHkL5bYp8gP1ziNVHQ4j4L2EvuLA92NkYxai5/Gh
0jQzOew8icKcBuIhAh6EhpUn1B5th85eNF372DZpSpu6nDcjmJymaOhu/C8i/Tl39an32ef7U22z
l7HTs1LGbCDVHAVpeRr5cVUywp9ODKHvKhYmW3JothVrOL1H40Y7rTtFwQimTl108R6A6y1KFcvo
JtAtJxIQQJKMkSfiImpQIxrJrB+76phQt05D8qfE8SfKs149+RDp/cqx8W9hZiwIXGZC3XRfgjOq
gWhUT53qxYVu3NXFLXeHAx7k3NAd9rlpyzJEqTnfkWSuk3B1hypyhAg2vNJmvtvG+mZ7dgZniT2B
VeCM/lmvKgkD9iCDAzMJ7nqAJ4u6FlM0Zb0XgssIHa6ZenLB/Xt/DVu2f+/2VW/evlFeKZ1snqKM
jgdWkVfioNWy9C561BvMYTYDGTv/BA+sirkdo0Dq8lApUgK0prc2fcu5wkTDVaMqKzKNc1QTCRhi
kOcn1rvlk0z1YzBW5hl+DrGTWUjWzoiLtD841QhBc7+ON6KUJYqYCqgqnvJhGMYpqkj50sjhPYC+
UcUyqC+wlzwLnoI421Jbtcy2iY8b+zFQJUQ2orJ0Z7RZBzmkCbl8HrTw91oP/saUWybFxMoBdZ+C
nSPpI4iav6AN5d+mWM6VG3y9v2gtK8pEytVukou2gFcoKdNj06lxN29rG9pGNxx6ANlPPMTo33D4
ol5oU0/nYvDk+bF3v5nsjcMFAWCnslxxDq4VSB91Ou/XQeeHx0Y33DnVKgbdAWL5wjyehiDshbC3
2/Zb8fZ2efrDEcGEw91OHyIe8ikSXP2sKl2FnXBPFVS9Rez+nbDi12PfYRzlfV5QaAXTOcL1xN31
nTfvvdj797HBDX8mClBHd8YUBDmnUMWsxY57TGxEVNvyMTZrt5io0wbYD6a4r58CpyJR385bcDuL
Z5mAuHlkruynYsYB/UilWI/ZCqWf1u9/3LeNbfxblHq7PIugQFY4g2uBXAe0aiAZTF7kSh5b/SYs
Do411kUO0ysIwB96OvFdwWPnMdOboDheZ2DJI2yIpD+Xu2lqQjSbbDWmWebVZLWrvLFwQDY2Rhz1
qAjN88veidX8oGEMx/U4T7NkyIYoZz459igCnLLS23Lb2+z9wW2ZsQXXSU10u/pD1Oq6PmTxVO26
NXvlaZztaqATw66XYrc6bOuBtjyxqXi6Tgy3cUl0lE1yZSecAcEhnan8fdq5zkmgt3KfO/VwhfL6
1O1TFP/23cy2lLltq9jwcDmqugHkeIhoPpw7Nj21nXpd5GPgSwDbfneScal4eVM0ipQLauxOluel
8j90GX11vOaxBWHC3DIw0BOPpjiYIf3zgmqr/q7Hqfn8kJubGDd0KNJmRfdyxMuJ7CBlo/f4rQ0d
n8Ub12zLHJj4Njp7UJyjpIsq1EAdPly0579jef1YSt1EuGUgG6BkQDo9Eys75u5cHjkgWYf79rE4
O7191JswSHxgS0qJKooK6unfsafVr64Ottj4bKMbzu4Hw4jmBFzk0TQ+/pr7Zn2iVbvV4GI55Jm0
dQEBDbPfQdU6cbNd3nQ/c9l/zJb8LxBCbvm37QuM/TkF/NhBcQEHvLpFly7Vr6mzPLjyDedVUKSf
0wFbUAvwkwoFq6dwHKT78/7UWo4wJmtdIdCn2QRyjoaayxBa6RCKKj0V9iX9KiVfzt6kNjK3Fhcw
4Wh1DrTsGPd95C3H2NFQvSr7H10Zk8dOSSYGTaZBOlUjEs2Vo77WInhuM8/bcF/LDJvQMwYBkor6
i4rGbOnDPvGe2oJuZFIt29HvmDP6f6xaaNcIoaKpKdyQgUqJErTR/F863BqoW0+BfMwddq4IbnOz
BT2wfZHh03EtiFeACDOqCwkFYIU24KqPl42zh2VZmdR1AQkqkNAvI8p7jIWo5/qneincg6w6cpa+
U33QjzI2MBOaxpZgUi5EhqKld+PXMnO6Mx04WNraYoug0mYtw8M14ePkBO6I5Fk3FqHHsvEnqint
hhfahjecnHu9P1cV6aNpmH3gZBzIWMRLvXGntoRAE5cmROVMhVq7iAbBIkJH5V1UxKNzYn6K+obg
YmMXssy6iVBzlFOPq5/MkZsVDRJOfJ5P6TSx3RrMau8Eav3a3ork90OXxWgmZg0KHw0mpXcvtZrp
Ph0J2zVq+uv+4LZPuf3+Zsvr0MvZ6nVyL1S+QDZ7X0r2eqPAY5P4y0fJ5v5TLCHRRKzNJUdF1MNT
pkGHsSz+Ajup8vyNm50tHWji1UTHBPTCMHzDb4oKaagr75TNI6oxU8jK4dreeHLOaTI9IR15/5Ns
s3L7/Y3h6mWdJiUpsrPrnA0hA/d71BZyi5vUNrxxdl+yTCSSizbidVNVu7bzqQYvWjxuzLvFV4jh
6IVDG6IrZP1VlRyRMP17JDSEFvi5rNX7xyxkOHtadW7Nkx7uWAXOegx0rsddnID88kHHMA7ksiir
ccY0RNAifs3L4YuIt3Tr/2wexIvfZ7egSIvVSz9FjqufC63WXb1231gClEKRfLxvnz87BUTvf39G
3q5QduUDCi+ze/CW5lp5wQ4474cy1NRErc0e2CLqAKUWz3Pe49j5vtRbtek/Bw1qgtWqOo3RQ9ch
H0Tjv5t0eM5KxFdPPyW6ivIyO9w30J99AFRZvxtocmkiPGjeRHWgPvb6fZbGGwHcNrLhvGU5owDo
p+6lCqrXJNbIgQcPxQVqKp7GLtNlvSTuBex6qJb23nkV1UaLtuV+TQPTa4N+TXmMwfO41JCGSz/N
I+5wDQsDfw7HPjs6ToPEmT4WZbJxnLXZynBj4XYLgdhXEY1El2Hf+sExp5Xe359jm6MZPrwmMmeu
ym6jkwPECfY9Cf5ZM/LOp/FjoG9qotfYSJwmlgG5QDzuY8Cdz3IsNs60t3jw3xQLNUFqmRJzDfov
0MXmTfySMiQVq7r9UddZu1/aKtvPZa0RX3N5Ksdx2XiqZUpM+jSUH2u1yphcyj4/g0hiD3L+z/fn
wzb0bZ7ebGt90YvcHbDCYld8GlgZjZDn3ojXloBngtZyRy+eAPXvheX6pxiCq6rq56WLt+SCbJNx
+6Y37+7EjUjqBGapBve96ppXUCC+kGrawVn2RQU5v0KfklTJjbVrOXdQ39ikEULGuqb4oGHOn1dS
vYubLgkdEpxWJJZ57X2dS/mOV8UuXfWJcvlYjDGhbB2k2PM29shFc+dHOiyncQlOj82/4e0BVNIq
v8DQPOcd+kFdCPouv+6PbZt/w9dVxycc0Di5FOggWD32gWbOVxE3G9gCy65kAtgK1kBVw2fkMvH8
2OkOgT0592l2UrF6hurxu4e+wgSxZTMFc1uHr2hAoeqlSeTnIzKp3sZXWBzQBLB1E3MkuM7JJVjT
PU/Jkyq2GD7+fAFHneB3/wC0g06lCwPV5Av6fsd0CdXyOVd5GDcpZPE2ptn2Bca2DVEIp8VxH0uo
K744rv9vO88/HrO94eF0AVlwl8E4KeoIN+hxSvrdXIjD/eFtb274c7KMqcebroqGyYHSJRXuYU37
fP/Y6MbmvXIp5rHI6aVqSBrKJEh3pZuMG6NbnMuEqaUpnRlBMvoSjPF3QYsPTA8nJfXGadISW01e
tdFvZ80mrJ1BPcvqZRo+AgKxS+OvuMml2S9eyI0AZPFiE4tWqTTopxmrR7TiqQm8yxIMl7EMfhDi
fvT98jEvNiFngdMUJBCjiqgXTOjvdorD0M7BgTjuFl2ixd1MxFmJZhTiVC6+pDzdYKhu0kYwncqz
EII4uhm3EgSWqTfBZ76/Zrkq1iIKwFGP5mD/uz/152bWj203JgItz6iInaTC9TqGpiwIVX+wHIWd
+15he3nDpescsCB/cvKI9qEbfwNkS/ff7w9tOVuaYDNJFcRpNIaem/7C0MbvoSWrdWbQGWwsVkvA
MLFmni/QktCO66UH8/He7VX+VKw+29gKbKYx9mLt0CL23CCPpjF/7mn57wqC7ZCggnDfPra3N/bj
ga+FzOK8jjpaVWm4lEnZhwkI6L48NL4JMSvRizIXpC+jpuydc8Ggxy2mZEs8wDK7JsZMJ0UfeH2h
ojxv/gK65TPLvXfoonrRUp8f+4BbjHpzoCwdsCtWul7RtA7SsIVOJKQZPzw2uLEbr62acC2o1ouM
10Or8/c+iPM2nMoSRE0AWetXpAOWv458N/5ceiSqBqfGB/gvXep9ImX1WBQ1cWSk930FzUB6Ac+m
/Fnzor94XS5pSHJkQx+zk7EpQ8cEUc3tyqirQSQIXTF9bGSwJehn8QETSKZLh3RuIuEDlboqqv6t
qv7bYy9uuC/6iXpQFQYq8qBeAKItLXe0nzewVrb3NnzXB4Uw91dWA1LB/+Z1caYZeWxoEy7WQf0k
dvVYR/PagGWxKOcTaHW2CFotbmuCxOTg5VrjVhzVuld/BeoGlHFG1L3DMhAOZDMhdRE85mImYoyl
I+g5YaYLynH7ElTjIeTut0plluj8Hx41li0en8HG649QrBjQBQ95jgJ/768e2/C339/EnnzlkApy
FSpxHNEzBI8jz6Ep2qKamIUtorTcWKa2B91W2JsHScg6jXXTqwiQ9fLsd0G6T2Nv+Z7TYevibzkJ
mfixuM+KvO1hKlH9HYDLHO0EEzkqQDWTfgr5uEXeaQl7pk5qNkzTECR4DqvqJzykq49i/iZK5zlN
/r4/LRa/44ZTB9BwWhcHLV5ibt55Xvred7ytqG2bCcOnVeG5ABU7RYSy6Jmm7i4T9NsaPLjdmyCy
Qjq0BKQ/jQavnkDqn4sDxM/U8b5hLH5tEqtVVMu6gRQE+viz/rnX07AXYDMMhbf+28fZVr7QYiMT
SgaYlBfEaZDdMD7fJSSS5CBOzfoYlSQ1sWQx0awqwQcXFc3874y9cnX5Y6ctE0nWTFCzdrIsizAP
76RDilBWeivFabO+4cRVnikeN2MWuYv+R03dk0/HE/aIlwZUXPcn2LLyTTRZynNXOtXsXJo8Q+Jj
zNy92+itdgTbvBqX42SonCVZB4zuVZ+bujtINh54udXpa7OP4bZZmfIiUbh7pzRJXqcmP2ZeHA7N
kF7Z0my4gM1Chv/2zlKK1J/SKJnYl7FuAbDrhq3txjK4iQwbY+1xyZskqmmq906dPtOkXTfOixbz
mMAwUAzxRABkenFk94HOtNqRQfZhXGe7dPa3oBiWOTaxYTWbBVrgRRKtOiuRJoW0tKKxH6LB7uND
a9SEh61D468abnbphgzQPy92z+APeawjgJrwsEUBXzqmrn8BzX/1nK/xeHagFrG//+62ObhN/Jt9
uEoX3ua4PV46riccJjwW5k2zhnLoodFX9of7j7FNgnGcrlXnFjPITS/u3H1pVu9r7657DYasjaVk
G99w5CWRvSvF4uNKrCGY5jlLGOB2HLbFFgeXJRVFDV/uO3BJQQ/dv5DSP/oT2jEBLPpWMmeFsOLy
qQCSbFcJTH+stmjabB9leLY/uGXrEzByUN49tbT/DPmaal9662PCWdTEjPngpQHpeywuQ0/YaShX
UJcxJjdO9JbXNxFjbeM6hU6JuOQQRkNSfymO6G8oP02gQv16f1lZwtN/gGPr2jKSlvKiPC/xvkwu
WhzeiaJyH+uwpL+jx9z/A8MprZ1YeBc+x99aR31EtmVjZ7aZ5/b7G89zHcnZ7WBx0YmfAFLVnVag
d3aJCLaQSbYnGL5d+4GWstXeBR3c5WGRYEsMxympv8wZ7uT3Z8D2DMOxB+plOtOjd6m9pbhAZQbH
bafzz0tcxA8ayvBtRSDSWkMu7dKCKpPvyi6Nfw2ocrJdRwC9fiyC/K/a9mY6wHbt8qktvEvbM/89
7YfyXaYG75DXXff+vq1sq9XwZ1Q50fa+tt5lDvxg3/VT+9quUm0BUyz3HRMfRty1GPIZIr/Mnyf5
ET3h/vhZoEqshrgI/u6kgJR6zZrukxej5ejTQx9l4sTqoajLrI3Xy+xqf0+haoeEbbxuzP3/zgJ/
KHWb5Gasm7oMdKv4qNwZQ9r4F7/OfsZFd5mYqEMe+8OuXn4k5ZqEpIg/A57Y7ojKf0Da/GWZkzj0
WX/g1RBqDJKIHuLa+Wc5DF8GEXxNk/gHCHaLMKmYusi0G866HfMQ+3iNXSTeWlyWmTeRaOnS520d
NOLS67ian8oFKh5PvJPyMREV+h8sWp+0YDmW7gXch2j1qr1xPOY+TTZwW7b3v/3+xjmAIXCTbHQ5
praqgKBVWZOFXJb9z/uLyBJFiBFFOjItYipaftEVRHTV1NdRvgz9weMk3XiE7ROMKOKm7ZKuQ8Uv
uI66kG+dxdkBq/JGGLSNbpwOFiUYWbB3XuoVXS9hp6Dpm8w+/XzfPi4CgeUAYjKmrdBlKTPk2y6k
S/vTCtJpwG34L0zIgRTcP2Jh/UvI9KQCiRNu34KruEi+lIp9W93qfVAU33rp/Uzd+LvT6Xwv0vay
1uIpi4Ny54GiK5gG8gJxzWtH8mEXjG6yaxgwYqpJ33GSfddAme4AGvsnlyJBEwpcCiI6TZihKOrm
+p/O9fZF30CtuP6m9PJRuDhGtoR/kQ2UHVSsn+cSOBXuIFL4X8Y0fl93TQIkbvO57sF8VapDXfaf
wf38niR+driNI5k8NTHZZ2uxT93xfbM0PxxPNrvKkz8qcEMUpLn4uDjz2D0BY39u++5TOvDLKL02
DMh47DI05agYOYd0X3jNSYp0V6MrGE14EeckCCuRsfD23qm3rkc2AwY+dq4MEwJeIFAUXOcMBEcZ
VGlp8TqO4pKheaKI82tBvde4XXjoBPUpK9h1LL0wztfLJPxD7K0Hf06eUtFd0m65KEqe0Kf6BdW5
sOzGl1v2KXf4Zz2JH1Xcv4w8e5l58w5Z4Xi3Jus7UiTnrJ7TXZBVvwC5Ot7Mm9dueeCt/xlCvXm4
0iI/eOjb6iv9GsB7dklGv3Nw6C79etQFj/yJf29AjOz584eKTt+AFH0efE+Gc0Kgch6v015VzY+b
pad8fpexHifmMvvUc/WRlN0BpGpnDkpwMJNOYT8X0D7w46NS7WtFyMv/c3QlS5LiSvCLMJPYubLk
Vllb1tZdF1nXdLUEWkAgEPD1z+td5jDdk5OLCEW4e7h34/a3yPN7IeO5Wcbw7zKocwRDUZUV74u1
sO1qDxCJN8icrxD9+zdv+aHnAYTE+JeaBXd0H8C+KVbyeRHlvkm4wLTjS2Swlrbv9CHo6BvaobTE
YuZfK3xY9nn4e8mEfiSZu1I6IbglCt9I0QUNzTA78hm2uJ1I08PSRs/WtE90a3Ud8jA5LToMGuwK
L3U30BbSnHB4gkIrLqOeYBltHDJ+xA3QVtng3WvUqbMezXgTE9bsscD0iGDkJ2sHdVHOyGMOoL1x
bGf4jc3vvM3SYwA35crEAXKHNlUS3X0myuUHlavarO6wzmGdUv3Cu3UrOzuEVT9EfwvdNcVGnrqU
3RTrv2MYXFd56KdyQwC2xA0BDegxkJ07si2IypmbE9l9X24SvOLYk7toWRDTpCsA2W0VF4H5xGj7
JkZkL9CCHbcge8fS90cIE/xj1umj9zN8AxCSRIL5fVL26HPkt4dbd+uwtVPvY+EqnNvrHIaf24+j
RSavUdtVtJgaqXbStFjHqWxBTgwOmuUg26OF/KxWMZKjtlRetUswyvMgKUNK1zrJB/E4CXobNPvi
eHrLOXUX2MbJindcl9SlF7y3X4AxtC1DT/A29YKMsx/f6c48Eecewr0L6zUb/g6kfcFOJyvbLvIQ
wLSPco76snVe4mX3tMy2kF1st6q6mwjMMQZ5JFgocc5+bXbfqjDJt2pTSLZepy08a1RKQAH+38/B
W/L1BYr6G+P+0s8c9axLX7GJGdT7jLgDm/0zTDhoVkhppiQukzy8YJvxV2LZ3aqL9wzgZsf6t6CX
DawOapQOVcp1mGoJMdCQGMQM+RvWi3748uUv/vp3m/iiIpYPsFOz4wfiiLIS86QuTeZQKva8QIjl
/KyIuBvcmjdJn5wotrjg/ASxX9zpzxSu/bWTw7FHSlsZBelhDKKDRzBrlDFUCyy9eH1Csud5Y6Mq
+QTrtn0b53IAu15tAqoQYFTyNO7JvacbkinSrruIKAorl82XwhWwss7hy0mrcTBT2cVDHezm2ez9
Z6a3F0R+nEg0AlBBdLmBED4PK8vR1eYuhc+HYyeT618zE6csczeACwqJ91EVxYj/lO2enIrQfpPJ
7SXWM9aG/5T8zF8WRD5xPdfW8LXM+eLuEyRc5MLYx70t7iKk66XJ8iPeBMFV0Hu2RkVtw3gujSR/
wmj/XHIEUSmP0G5TaDzB9Bd2UdcjGkl5wjo5zBBzESMMeXl06UBQGYrnbG3vp8Je4pmc1k4JBN3N
DVf21ir53KuuOOopy6tU7KrSbX5UWMccAwWLKd+kFNaWW/YYMSBMqZqWKs/lnyya+mqWCrkH0ZzU
wbD/pRKH3m3rJe/3c9KleP4NtPzImJmr0QRhPafCneU28ptmyDVINO6EdvANt6yhy3bOYbX8lE5R
PaVbfIvlXo4Ubhd8X7qPmcElvqUGqeb44UgWPfAie4MFwwPSLflhYrRrIu72qlOWnnuW/OcD0pVi
kmBHXLKUeeLe221nJbFrUQ8RMg/6VIMnW+ZfxM5hKQTq2CaHsYrWHaRQLL/DQE51Quh2iuOYn1W0
phXtJmilcnmKIEdpEKVC6wnJyvWGRebjhjiRCpKzx9zBGRcNAh69vQrD6H6beJ3MU1ptgMC7wtoa
GtovyCjPePIugd9KuWTpf2Re48brnT1pt4gjHZb+FHqqHswS2Y8lXeyVG9s32E3Eae1IUMqRDG+M
pEOdp1lb5sXW7aU0AH1L2Jzv4A3kUFSeZHADDBm8gfpufoBXOS8XGaNm6aRN6gkvL5tw8JPGynfH
H0dsAhwGh2QK2kWTqZTUy7vH81SzMacKZUL3Fu14JxpfdPZN5Bk6UERS1lEbOpjRur6Zg05fktju
H35T3SHEMFUJAe0Cj7sgLWWkUdb6Qfa69Gscf3eMp+WemaQe+mxD2AKRz6yb5mddhNQ0c8TNS7wj
dMcMhXsa1IKtSYTeu7/xRLuPdEjlhsURtZ23dsZqDxEkZnUhDPG4Ptv2ee3Xo4syd0LykakS6uHQ
28USUgQar43axPjODfQbier8iQ0h+w5gq//dMritYe1Q9A+7Xee+FG2c1Xzie4RkNbuwUvY23X7I
RHf0SWSvRR50zVR0rpyCxTWIiU8OYjD04NCxXuBo3TXZzti9RNxPQzF+HOHwav7ESxw8+iKeHopB
dQ9EJFGDDdG9ERm9IXs2Lwcuot+xysMnDHLIEFkY2lQ8bc9qC31RekvUq0d/WlE2ix/vxPBdjWg+
xh5EapJHe5OyPceCcuivm+3ar7kQU6WW9g9dhueR93/iluJ3FzDaxlCBjm3dviDu9wel0ujIvXzJ
sWRfAoxUH1ihUQeyt1s15KOsO70IjtT1kT56OLsc4x9OBuUPAE28paAmGX+JMuurdouEvFOhiXi1
rRkp94VsCNsuHjvet3WkNvTE65wekNMcnwMqdLmILXxvlUuvBoa1VTja72gPz3PIxNOIcDcU/+xl
3oavdFiLO4jrwgrN/IYufU3/wapMlxztGBKbvCgtturLzjMcOoMlQ/xW5D7a+qAcbGsPjk3qPaLr
eBmxtXw3FFGI4dw+BmHsyj7e5jO0PWFpmS98HXGW4PHV/QUL4OqfYLuFM/8mDhYRAAidaM94X6wc
t0W/R2wrntRi8gqFMa5gmKmPMMSJ7mHCsnwo6ihv2gzCuXL+AcGRCZgdMpz7as/btASh0JXJZHDF
5KytJzbyCqsDeIjUNCPaokCZDWf3OY1YoEOswgpjOaFrnvX6UxbZf/mUrZXvNwi28ghnf4/jc7qt
j9u2Ja8xzhdcpaYOy9+9OoJXeB6keyXCuZLsIX+HWQYuJS6/cCJh4BMm6hLK4CEzO2vcko11zCWy
REKhYxhruRjipImeonjaKsXG9jKZBNaafRJVFm8SMs2JVClZzZ1Klg4Tl3S1sjarN6fGOrHYo1c0
ziqJ6FE4NcVdFUbo09c1T0+hXr5i7KwfKRuftskKdG592AxkfkXjtXxsXZcgiSfLDi5TD3OC3n5o
x65OtDINXHb5OU/DNymiO/SlA+rOwCqTeftHm+SLdJOELSRWDfmQ/8ZHDB6WcdyOdlpvmH+nUhCC
nY0lfO7jUD7EQNCOTgr/7bBR2Ng5/lx2XPd8If41X+1QpwMsJgGSqDoSq7/RnUV1mMEvVf8cfhmJ
rNwHF2GvJV2qyYRrteYj0B/c+/01R24wqzVpiweGJf0jEdMnM8qWaopl5fQQY7Sjgy2TDg4gaAz7
KsDJh2QoFPXMbPydsXE47i166rVDa2ZH7Q4m8O2JBqw7aFj11pMukkO8djkKZRg3SEOEqmMLv4K0
h7dR791VtWNbryJN8M3I7xm8dGkR2iR3PLlZOL90YAMxYzh+8lKqs9eLr+Mh+ZUYPeJpowQ5DxYj
oanxJ9OVYtfmFHL1xlmPbe6QLll2TJY9+XIY66/DtvTPcwomlxYyPYQiCs5Ja2AIFwjRoIv7JvqH
CCn4Xs99LM6bp/91wUAbHaSu1t2SXPp1+mWgJQGpTR8WnIU7DRKo7HUvD/Bn6HCSsrH0yf5n2HJa
sxZFSbG2PaQYoOvUY4csBMT/rJLxJz6QJQ3uG15pRgCA+CU4Ypc3vSYuLEq2B/uTwZVYy7Bb/nVS
2scOR/ZhCuBmWQ7M0isSNVCqk+RDT30PT9MIM7hZoyNdh1+zm9wdlovEVdFx/tSRHwHZ9cUtcHhN
l45fqe9tNfdZXhLU4dLkfv2dp4z9SknWVxby18ZH4taLUNeY+N/7YR3KtQcy0MttU0/zpPgvKvI4
OkwcnvoG0wbTvC1d4hb6R5iotXAVQfMcjE3oFhQMW6w6/RcU+6iBOeQ++A9/1rXP/aD9OJVknNL5
FFtdkOu+bSj6yZIUzbCkael4NP/agmG8n7FTcw8UGB2q6WR2Dbt9fqTYTr6PFJYkm2JOhwtF4tRj
lsIO+6AKR1HN0NU6aPmw+kvTasmQKhGRJfg3LEY+zBi/XlY3k/FUBKtkx51021x66uNyjVr0r97t
GNaTeDy048wekSMQx2WeCcwKuGEDUGfjQpqehfnvJGF2vBZEhd9QvPsDbbf1SxUrXsv/BHVSwmB9
E+l+Hsp9jNxhlt6ju53V2eGjsmoKZ4TW0B6Jknme1u3qAVpAj1VNQY7HEyxdI7a9rzEzG9RvrNIi
1wMAfOhhKAHs/7iKfDjtW8cuwTjqW5rSwqJKCkSAIYDX65K16fgminT7RD7UAtO9gQBXIFk3Qu6e
rfcWRq0V1r3SapgDmdTEtYEAC9/JBzzLNEOKmIPTYc/2b4K58EQ5178h8ceGQpYjROgUKOdqaXLX
xGgdVb0MSE7EYLKqB70Uw4WHHclLmcaBu+MFMl/rRMTjN2n7/0g08UNcbP82RAWc26DfbrkY0uUw
ZlPwd87GEE3X1nFA2+2+/hfTNH+02Ekcy9z27ce+5XE577N67zCF35tuZLL0La6sdS/E2THeVpNf
krJt4bEWg0uvGSxv77PJ90c8W7DMkhnHwhaBJGbV7H5N+xUuMuFcIGYKrS8HeFNLjhGCkw3zUxbM
YbXiy6ywRxTXDgZQok7xI112LIM/LTSCdU9mRG1CQytEB8xHtHMT3kTUH70DptgNC/bPvOrQaBcW
fruYANUVPA0gkUD2S+W4pJ/FKNS5I5AFacSK5FWAPvnWL0VxyxNqjir0/QG2/lDGt8VwjPuUliQ3
24/iX97FGW0/pRyLCn4BGOQ9U8ttU1teguho7zDFo6sAK9/QIkP00zasfxHeHN0KyZb7bTPBQwHg
4B6FIgJqtA13qWF9NbTDcppRD8sZwvZnEUzqYkkeHOZNSFP7kcvoES6P8PLg+iGaxPaXhIFpHM/D
o7Z0fS5InJ/yPvw1TMJUre+WY7q200VGC9AGDoxqFEN7WcPWX33P1AWd0PQ8wYi2TsOAl6NY+rew
X9SN28icpx2LicprdxyLIHrEROBrko39px7QBA3TDCeXcX5KNgBkrYzHap40/U9HeVTRHdc74tpN
2WNd7CHV8KJkYxw0yHGcgdiKovyxATzYffeHJRlxZWjEiisFpK5N26CmdNmrFp02UJ99BA6RtY2k
mW+6dv5AdKx8jPZxOoZ8CmqTRn+npcDNEXiwMSJQycG1IryapEhtCTj252i48CrC9p9fHSmx67VX
wRqI8xCuOZA/tDYPHUOkmhbcNyZhv4lGxlu8BLRM0617pLHv7xAt8B8m1r6MUpE15GeTCPsU73Bs
l58UAVwgHXn/gnoxPbetEE+LC4cLy/bgQ6Uu/s5pRp84zE3BRaP0hdPkf6lWoSSjxzmAi9GY71jx
UOyqr+VqMYgWQV+RHXYhs4r9S9LlSRN5B9ttvo6fZBfig/stuKot2e7CHPik2ExS2mJEjQMHUOo5
/u5Ha45kxtCDuBxECuQ6hHVnTI52D0LYhvb+C2MfQGbrWETLjPbiZN0IqLKN2QminuA4kX6pGRrN
Q4ujD+SSvqftWtxvc/SsB4EgvASOCo8zAtDLgHGDkVWpCi0MKUmY7KiyKzJrO7ZWkL8sZ0zgtjIh
/TU5jRxFKz/k3mGIHrX4jQbTVXqY7Z2FWevdCHFyg7OJNV8XT3c8EIh1ChKBByXe0Rt48jQUKT3s
MpwPhosWN3hvcf8DkL+Gyz43uOaTty3oCtz1a3jmyAU8GE8W/BXM23uoX6N4tUdObVfHbTBVMK8h
V9IbRAfCv3B9mKI1wV3ZxfUau/TnFCaARNGQDLDWK5e5L0rC7XrQK6Dn1NkZMaXMNyHr2qcAJumm
7PZA/F6WGZdROotmj3gBrMkMgO5VGh/ga+2rtE8Ao/TZVFOuUw0sMRSfwyDFfxhBkLmSLQWvMC36
ZukwjoeRwC1nkHURWtqib2zF35EF81PUgheZtnU+QKkrHqMFok20S+kNREz+TTiO94BfDNlhSX9B
4tryBw1AejSZWi9tFqUTmBezfoVEDy+bG/279RGHMcagyTnrDFgPD+R7wJrP6zD6uMa+fXYorJa3
cEasFKo4mt4eDfoJn0g0DGjU/cBN/03AsJUbepoPE8/2rctp/uRTAxBErYuq2ZLA3VJ06jSznfzO
Wo+PtciNgk0o4JHUpEVrEIU46MdoRukoKd/9W8CU/Ld0ME2K28K9SC4g34pHJHIC5ysdycLXZXLt
fYS83o9R8KmZ8vX/V/TUscOP9OS1SJy6tqCRT4YXIXq+EflbSMjCF7Fjq8IGiakH57mskyAuLt7h
KnCZzj6WTm5HHqX2SCyLngYdpWff5bJDLF4u7grZAr0QM2UGS2PdYuoWbquveJr9cc2jwNQ27ebt
EGc5bvgtmU8/LwhaQuOYMDfeqBSoFJ7TI2iG9kknor+Ms9b1jKhvyBLluS0id+fTfT1ANZ18d5Ml
DwNF8Fm3rf6fjqFsa/tg8ZBRg3U4tzQAjjazNL4W/bhUmTX+HKtRYc6Z1JhWUd5ntz77b6Pr9qBY
kle5RJG10wz3dWm6OtMhHA+m+E7b4jHS0wRyDIuCBq7ciE86ri6+m5BgpgL10s7ClRIAN4Dghyhm
r5rJg+uzSzbHPQDM8dUWW18CGcOlFAMaxhU1y5VXCeefIRpyNJl7RfPkt8zIQWTxKwyHKrMEHwUe
c3Re7dmnwQVZryUwfqz/gcuasgN2Ji77MJOfybDSBWZu1A9OQIm6hdWqna/jxO5TXLeIona1VTxu
FOiAKmYwApkpnsOx5nZ4V4iihNkuxmkMIl23/DdG0a9RpVjQg8MyIdUm3Yfr7Lm3431GZeWX7oDz
VsdqPc958NL22FqKqDzuIUHjRJutw7zaLpfCgENL8/MPVLxK+xUMxpeRHH8HBTtNRjajXS+Z0U/r
Lg5msWfmu8cpDtIqNBOI4+AXRK/XJUsvTA+3rugeQy8t4EPId1fyAUDsH2v1Yx4H//i4obESaIXG
CTA8tBiVoS4/z5m/z2DDcZf2YdTYbP6jQStMs4YPbLI/5j07ozE+xyj9s9e3Yg+ue8EbPel3G+WX
uche9JwWOEvqTxeAHs2jdxbIKk3Uw8JSXheR2I8AsLFdlZhK7klWQYOlSoEKW9I0uO+xe1tSnR4J
Ltcxid884+fJ839xbEozLg1JQIRFAYicZFyPbZEc/ZhdEUwvjr1vr3me/wlb95XhSTyhQR9LRCs8
RLDwQS9faevONt03IM0p+leYREAbggBREfl65ogsQFLCX25DA/YVEye8WTrQJPvbsPPhhJaO1VOH
/3AagqtLzbMYxKEY8y+45+vvcdd/MvzjGKz9V5ZP9ZJEn2M/Xn8OwYSVlxxSf7fDlXvpHwILbqho
+38mik+oWv8F6886BszS+4I0+F82Dg8RE+igsOqQgwjJDz0UCKJYT6bzNRXdbZuLxoemiZOhnimp
f5J5DeIHQ0lruWOsoeiZQFXBtFmBWI1jPKccbHPg2F3kp08RdQ9TxqMnGFMbULTo/Qgqp8KYMBcI
NoZxF1r6/L9ppCeFL6GVGGR3cZ7nobZtBDePLuobmpPigICaDRJiO0Ceqd/7lD+lEhyXhxsARlPP
jr3rf2OBj+GrW19xrSEVziItgmTJXJHJvAzDFByT0A81yTeHGk6n8+wUAR2ubsj5TBs83GeqZnZI
46ltigg3F0+GFwDRbSWzFPEvcxICw8E5whdmLnjC5jKzfVSxdtvqeSFP+Hp/VqTzP9uyPmfTelj7
8MpbgnY9DUDfI/mTRzWB817ZL/7ciZg0U8LgEhq99Hn8DT+texiKtDiHA8yvPXwj2SljmTjjByOg
9QAf8hYYPg9ZXy4TARfe98nRJfyp7/JLGMUvE3dPeRIiCnT9IDu9xm1eT2hqAemJGU5NBEirzpM/
UDXbesdt8IVPdG3D9X71WxNmw3Ha3cPGJmBCPAyqYGy/4wzTTWq+6WT/tPj6ANJTfYSeaqp64HDl
IPpjAa6wTYevxbAbYXkKEiy8N8v0SLdUnLS3/4atCOtu7cG4aoJiOt5IPp4nnV7x0LpqAO7FAXwU
w30qZ3HN1/65kzOAgtm4M13gubdP7Ag01h7nYIa7BA4xAIf3PYK/maZ3lCANAKlQW+lAmW5o40fr
vs0Ke8mN/lFR2BCd4zKk3FTLBMJuyAsU+pbcCdM3Wk7XhXL56tdlqj3qlP+RnGb2JcUxZlx9uZzE
EFCH99Kk6IX8DUqUAw2D5zhWd4Wxv+dB3eeGn5HnkR7DMQf0zuRQI78JQTjxcBGzucLIRz/uGRLA
o7zCVtFQL0FIyqUj55UhfAZXTgsQ0ZcMXGSZjEMVJXpq+ICmCsCv2bDloUC5ash8Eci9be4oZ/Or
DdlX2gMSHJEXlliYcQEYxkITUqlNHNWt3t4FKAzgUE2y0hmMEYZSP6IOEVSPOzYPb3Lf0cn3pM6N
6kqf+6cBscfztN5rws4+mp5A2OL+33OUVXxhqoeiv1/90oDsfcy5fnGDerK9ehF+F/C2cmm5hgJD
aqe/e7dsNfrHu2ya4iZtNS1Xq192qYPSwyjwiAY0e1JZDDJvMs2KzM0yVuCAOojUynYQY4XKdsdc
24B6gzVXGi6/R2yYnUAGw9xYNHqB7AJTd+ldoqq23V9ou4PS4M+Ie/3tyRZUyH0+5Jre88Kf4bl2
gsARjg/TUfy8VVXQT3Q0aCXal61FOzCmgPTWIL52RXhI5GIvfuMQN7Sg/mSCm7Pbk+d8sPXIht86
zuDeh1/LQoNU8aST1aj4k85idx6L8THbEWgLmU3Vq/RHyU5g+IbKic/y81VPd1G2PVuuPpDMNJcw
QniD822Ah5WBhA2QS21hhlsB4tfncJE5gsHy9D4Txp1IEe3lWoQcZoidqXIO/6MNjvZJ8b0E7IBN
yKRBLu17Oy+vwdAfDNtp2QYLWgu1/A1E9isrAJeOfQtIWCfAl7A23MzxVqDxt/8RLPdW+DXeVbrm
gEdA8Po1/csyXnHpDpECTxMXDaase27H56DV6Kp1/8oK3DY0k/9lGRTQRRH35T4HGHfba7Gji0Jr
rCqpzX+02G6Wo0CY7Wso4ueZBp9ygY4hym/5hqTYuNsehG5HkAIOtDl8MtG29ycICY+O87XGRiz2
qtT+rxDuB547Qzd5TJf5QSxbVhXhfM7wTCQK9poD6fZKCf83UPCqMzL6jLU2VdYt61O62n+BDjj8
N/vi5KMxKBe0gJ3Rz0B4xhKo8M/i8Fu6DA8xDj4rvG26nMBbIHAf6wbKKHbR2yzxiCicoZItlJwK
XPI1JdnzTgIw7+QFpPixGLp32WHzUgrxEGYEY3Oa/EnQmMkxvCFk7KuQ9E2hbkVL/pauy4si4wWl
FJdfDjxuiYcDwp7/upbci365RSwBkgYZ0eizx9ACPEcmCyahHk2utGishsC8bYqEf6xLkJK0hWFT
jPYtLejP0EyzF6fHn2V9G1b5pvkTmflW74gMrRXcfL42gnFYEg6hmOEg6gESv+zQhDVrkZOzFnl3
SdbkkMO9tAxMNFY0SMPaC4k4I6dYM9nsKYoCKOGCATybjT80RIP3EbDHMgVcjOlAAidHB5WjF5/r
ZcULaZki1QnvmsLlKUbkNOY5UYrFZ7eYIqAQd0EIFzdQJa8yh3Jtz9LxGRMUNLFJUtTSmuj3LqBK
KVo//F4hDH6FrkVGwOsQbl9AziFLMezDXwjL9AeALdZk8FhreNq/Spb/3vHuqp3E/hEQhazXyQ4X
GaJST62GKsvOWO/uOWQCG4GUxOMibul6owB/nkyAD9Gz7i3Ry8Ni8+ApHdG59Ti+oESmCkJ0dkBu
YH5aOBUN8mBUDXFRdpG4ceLDEiMhTEHVW0HaEtwIB9yIhJICz0zRl2TxwwG4ylApgBNIpUfwHTrY
9IVrO15m+M0c0zHbLqPR/obselOh8dkqJDj4V2Rk7des6/d3tLiPAwdgEOkZJb0AIQ9zguDYY8p7
TYOYP1kjnwpF3ntr+dUiuAY8k5OPMI/KsSIzZyDfPMLSNR8wbI3xl3frrddxd1wydHXUxnOFrU2J
yD8moI2m/6J2NGAjFiAmZIAnrEAfkCUE+o5FfRFvr3u7e8xgC/AtFQznHh37fcIQstBhLj+ZNANy
Y5WDAgfx5mCTgiOFszpqUnBjFsQXsI2rZfEzFjn/juu2Po9tYQ9iceSZ7DPmDwgNGhMl5tARcFU6
QU8EowT+NELFfW6FYZ+578wrJQaKsqTnR2Ume+odQkOJw74O2qa5aSfo7uGvGB/zPYXPVEdnyLjA
D5mut0cFo+8yyUC2tlMHJQ91y82YeAf5MzkQI3HSPXGThrLUfp8PsJQiACULix+3I+svFu0O3wzY
f2zw2gbW5MsnrpEY15h6TzRMw9WGyRJj1QtDhFzZrZ3F6o3urqCkHqwJyZ2FX+LVTBN+JBvBaA+Y
dHAfaMYuisW+xrolAPdM0ANFZNBhMlt0koV465X7y52ldTtACGD3cIGKho0HgLWyVE46zDK2xRSF
5tMVUJwtGcYlNoX/5ZmMyjCJXmPigDokYXeacpvUUPqzM5v4BHgZqGJRhKpeDR1qyNfkTS7BWBqz
24pus6zsDJYSRPV2L7NJPw0RSKtugzJCieInYAhfyxQtbbVp8IP9qm4941B5rcN2oizsLnE4x7iI
AOOVK3REoppaByXVOI4BrK3Z+D+OzmwrUmyLol/EGHSH5jUIojcMNTTVF4aaJnA49D1fX5N6qVt5
M9NSAg57rz3X2tA3Hf/H0WwL/wnH8uMYRfOjXO/lpc6vdOjAhpPBaNse37SxefWNlG3Di+0cncQ/
Z7I6ymIp8iO3yvTtmZLvviKT9rOMa/Gpp13lb113suegFozCN8zyRRuWNTM7QkQR0cj0rTaFY+sw
3qYr3C0MDJSANutKIjrOJd9+4cDfQ1g6cpuLHL8VWBwY7OhHndqjmgkR8GxJ8ajhC4UjEPNKcHqR
+2QXvP+BJrqfzIFK4oKxQWTLO6LtINaXtt0o2+jZNl30cYyLNHW8zaJUkgRV43AN5qZJP2vR1y0D
26yzjkw2zJNFpTOFvq33rA6o8hrh2pSM3qU9uRZYFukBtIk+gcjEURrv1jKoz15ZbQ9LkXQus9jW
ng4pGw7fpqldX/pEq8oD6qepXTxhw/vxV5TGz1/Srxkqdr8ZbYpgaITPJjGbyxL6+PLjJ9OYqPmy
NAM46FhXT3WlWb19cDMXLYNTgtEkHxntobCdzDoiNcVPs6Frt8orG4r7pnGqsFWDOjlWhkVuYLDw
6nIxpwvbBZS38Tzu301P851vtKTo9W1vWUbyAH3kXUXB9oFN3+vxc5P4xnkUGeq/mOcyDSIp1Hus
VPGmQ9g4G6PqSv7sVFXVzcTr9y20nremga8TSSrKZ5u2BGIsyIpessDc9DSfl6IHCmHVWnvSenTj
QIuTxkdEmFlBRdZHgovMHZ2KV1Y214FVjSB3jDvoMm1nYCZl1PGjbncNdOTo5K/KNdobcaeQmmMq
mz9yQus+JZoGT9fqUcZ+q2JJLLRYLtJWtKP4nbN4qbZ+Y85/i5Ih1KZIjPqlnRsXnM8u2O41FHRk
tN+8qI2ukHpQJRaSbzoNXrIlrii3KWRIcQwc1BAOd9105YXiGyXKdsb2I3YVxzyzoQXSZOYx3iWm
xltWWiKhnSaA8i1fjAatSspZO2mmCSRkVYmWBA4eyjwoe9vJ0UMcRZxTPgBN2D5EnGUj9z80TmLx
sNQ6EjaAs9Fue9vkegCqU9/a3ey1B+z4Mt41FO/1ZnR6m8R75a6mkcZkdOT5Gs2AHKQwtn4+AjWU
o7vRxbgbfcPv0ZyYk4W95yGiR4LmIRBsnBzDxo1bGQg5Dh/1kFufHSi8f1pNSXVgc39/z8xpE2pS
qfvPtsjNt6JX8i/KJ3BdOvvMKlL4Zoo6b+VSS32kO7KKsUAqUdI+FJGy8y09LOSOnXb5fSaqy2L2
Nxg9rU+jdCZCE/MQp1y6PaWoaDfrkjkWEyXL8sMKXmmFbu+470i8ogvZas/dY4/S2buMc9boA539
SMgJ47LjLk1fc8+zMEJ4cnjxS7x0EKEI3AxPPW2fMb57LFlUKwNCk915q3jzfS2GtJMgqfmIQk9p
mc+xV4lr1Uz9fKSp5fIVaoXEo6mXp5afnZAQ2fSKcbABwQEys9xbE4F+P5N9xWxXr6c8kH57IDxB
VwfDrU3Gt8bCwURgfvEhWU2VbA1GsPUh6ch83Tj22LuBsCrjJTcjk+SmemCkz2ltedt+ah3wHLvF
NYC6wNApsweEYr+fix8TuzrsulVaFCajlX0j1yZfGbovhBjqv7nNc3hKWE6riU9R248iQN1usOQp
u8cVFDVdf4EUqg0sWb24921R2ht/bd12DWRP88gMsgIxdak/Nv5QeYI0WU0vGPTYfk7TgUHDLjXO
biNp0XkFQAGy06TnTZh2lpmBkOqWEXRaMq34rqUja/EVnkuv98zNkvYc75Qw0WM01BwuppNX98ix
2qPhlUzERq7tl98U87XOtOpr8YVsgnm2JzNQfSZYmhAPiEvezAgGWSICsdVK21g2ZWbVxdaqBJGe
FYB6shmsqohvUa4bzlUYjQm6ohwtfoqKDqAFz7+9RwuEaIl1q/LPw2yAOdYVwTw3MeTRRlodHGjf
cwGIvLGbh0K4p27OQTVXAdMHXlrLqgR5sTkny/jlLupv1vO26FZqn4goJrOWc4Nrh3iQ6qfU5hdN
UlMNKUeaV5tMpYblk874xms+mAb/0qdFsWVytlOsXA6LHMynXR5oRC9Mno6LYZ4Zze9t3XHQyuRf
t9Afxs445vF4wBK0jxj/Qh4a9KDZt6eRMeAr+zC1Jo9L9wVIDy+RQ15MTN5dcx4ZgXZgYOTuC5k+
VOlwrwksHa3ig/L25vmjufNHHokss91dC34E8QnsnF0ZKt/11go1xBBDdNeyt64OFQcjvJqOB8hu
4l6K8eToVn2yUAwChmLtbhids86xGTBkvDZpBK+TdGDKOVmvVVq+QHhcm864j0m/l8nYbRmo0dPO
XnfA0jRvzHY5WUny0Un3Qy/U1auLg6eV10KbnQ2f/Qcq0SEyFB1FhLwW9a+8UeQWJmAKvD7bNlW/
pamDpp7YbJySd2WmbEeHsj0Z7TwcTdD2TLaHzgNW9qrjmPl39H3US9/f2Z08JE35bLDzPHB1Fv9y
HmFVip+XwS03sZ81QWLSaWcSrbXutdCylpzCLaWk4KVjie7JioZTG7tW2PTVb24ZR+7w31gMfwan
hoBOAUVqM2IYHV8oCN5Mrm3fGf9MwZAjB0yrsmMBCWrP+tt6O8K+dCHX8mV0+SZroh0Di5HLNm4g
gmKo8SYzXlaHSpP57xZ95a6T5XfK7QF+ke3mnj+79PVRAWLHDdO6cVG7MSF8p4zSv4k97+0lf8Bm
CcGlvSbp/ENO6MnjE6Tl9TlpqcU2ieuccWBcB1pSNtLmB+nq/+Z2zjdyMPYTLV0w11qzHbWVC9Pv
AqottnTm3V1/XUBVK+VZm8VuP6XL5IkVjjs3g4CmazrZ00hJzA3qICZUvfU9Gg5aYZW/Arb8ATsu
97WmvXQtvonVNxW0knaByTmoXjdcohQ60Sy1PnDS8U8v5S1VHrquAclkNsOhHtkHUCJYeO4K4cah
Bbe5SjqTYQrm+cLJDzo+IA9+z0CJldmQ/VJfA0eAfLcfbKKjAjGhYKZZHNJGPC+TOkWeeytc8eaz
YqvhfcOIv3pUWlJTjC4vysufPEuc7QGGJ2L9ATz5eOJTe0s6hu7GLM9tDp2OA2BOu4+4F/PGdVef
maie1xuCGvHeGfRHcd/unUzrmXdGqHFV3wLKZ/eyiMtdZLfnrucBVIM7bRBlQ8rUZJMb1j7qpheH
ecORk+JOesijykh9mJNik2nDv/WygJqj6fJ6D2mg2S887JhUX1GxXmw9eTbH4d0lkqBk8FPO5UfT
1w+2p0ho4TUBarDVhuUfM4tjZtlPY9X1YaKy09iP+j4tBmyNKFIzI7DWyD6LzvztNMk3jm0yUfHB
6K1bZvvfBERsGblCKKUf1mK89fZ4adDIt1U1PBBW8c521CPVza5T7U8Cwble1iiNj5PytACWK4F2
7j4GK392ma5tgPE3DN5B3jxa1zb/pwTjCnOMX/VVBDWS4SqyZOc409npqbGiYuemw485RBRlWhyH
dY4IPRBrx+Ky7ig759hP8zpruc6rwEH9ce+L9DGV7Van0Q6tNQZ4WeKHfirS0LSXa4yQ2rZ4KOPm
o8AQyMruP+mwPGVC5rwJVlUAhjgzD1oqn9kjK1fCLOyn5JDk7plSeU3M0FkhPvp/e6mdWSb4ADLW
hEhMR8wBzHZxen/7KqJJnaf2lwW31cGQsTr6yZRv9cG3QtviBUbh+wrWG9iVPJfe9Oqtk4OSqE1C
6RKz/XIT+a9OzNCuzXD9hnyUWiW0A7jusrHNkgpXXJVyyTTPD1PtP2jMy8QMomio4kMH3anG5CUf
nIeqdsJGxC+lkd+jCRDPS4+2Me4IJ7/42Vq2Sv/GGoVdKgUeb5UdJtxOQzmg5mJw2JhO/SEzCW4j
L+aajlvROnNuvHmliRJIFDX+pNNcGr92xIMkql2b6RdRlNuhTCCGuiPSHNVcTJ9et1+pGjAJiHiT
z9W+4ScUM+K5Sc3Oaugj3yTbYYzy0FvDZfb9p6oG2/R9dmV1zT+GYM8VrwGc1a+qYdzado6NcCu2
bsltSU9Et1ZcksTNQ4UwsAE/tIM2RgJz/OgP9q7thKOS7bf0M12Ej4bnoWtOeJDSnbcU5D6Z9YkI
YBRdJYhKjH3MOgZLfcpbRO+UaOk7/osLqBCDt8m7OfNsbBFsiTNjUJ3HeCLc4Sj9KdSy8RZn0y2t
BIxRd5K+c4FLRCuJ439VzgiAT/zVnP2fWJi7paZOwAFRVuIhrRTHNy7Kyob8QUos8BPMXvnELpW3
fha/BC2/SI+yPufjX5+/Mbf2Nk+OO4ynvGYHkUm/sSaradWe5annaGyx/HU1MqajVMjXyTf5AERq
JuIxNfhpRTnmW7w/zaHL5Dux8hPx2czK4tYew3Yq9wYBFjtL2PiihvqFZvZgaA2nlVsgncLNR+OT
ivK9MfQHFj0DB/bXZi6uOGo+VO8dp7J+8WfexL2Fvuz3763j/9NYSxFiWn1WdnT0RPFgeJwSkY8k
qs3JE0VZQJkVqmp4oUnf2rZWblmMLF+amilJiddyJfzXE6OK92Sw7t06C9dfEzZ/jY08+kwSpzzE
3HCO4xFwl+45gi6TUTEZKV/lSPXJlfIEs/akeSxL/dhb3ott4rB3rf2c2lvLm29K9I+i4sxBRRtl
90Tr8+53+XfLJoTUbh/qBueqS5D81DW7cpyfJbeZxt3ie2tfxadJyfV3ypJDq+FEsrOcaBxHTifg
xN8BjAIz2r4aifL36lp+Gub0WiFXbmvsEuDFVEqlGz9qU3SvKFYq5fhBmRXpzvDzLfKx+iggsywx
/7p67gdumvyWiXfhfr/0aCDXuLC982yb8nNi3ZLhDs9dM9zIacOxrFdvtareJqlFYZHgcR6IrqJ6
zv35jP6KVlZdMqfCBellF1iNUHbYUzpkzURisYdd0DwqK8+deXpzba/n+T7HkJv3EhG72GpjRWM2
+GhCEzVAvk8KOG4+KdXnu8mOL+z/4gkhE6pNn0rqIkxgyd4fbLzTk3uq7HoOtK7dZ9MY2imwFC3d
tddJlXMIeYqHfzoVGM3nmGw0TUF9ZVgvpg87r/LQqt027Eg0wHfj/oDkPeTK+1aRu0/85WA0WTCU
9c5kTrah7+EsnoDRu223Ut4LPU2e6J+LaOZdYjCTz62bRQ8SecbH0hFj32q7XOueF2ltZS+pSnT7
WETGk3Q4kFQk/6YD4kSuPfn5Qo9SJo+MYA9D15/MSny4fLZBa4nAduOdljrh+qermClvKa8JCBkY
omTQG23HLoexmEMnz8JxyNlgELthgo9xzJstGg5kIhWiGqaHHkq/t3PiXofX2m4kAmB0m5G1iu7d
i9VnNHc3ini5Ug97wbgDkgqJcc0Il+OvxzKUkcNdzONFBycCf+2Kk5w8H3ZP7HVNf655mQL4P85L
vXO8HP3MxSNfFM+tEf/Rwa2wDDcCEpp70Q0awv3XJ29ptJ1WcnNjH97KONv7BvJm11Z7vB5PkV8H
YkoDgPfQ6jyQaO8JYftzSbUXlw5toNflOwntOcL0jtBQDtkOoi+0GkIJ9LclMYOUISbyhb4vpQbY
XRzGte71OXetToHd+M9YMQJ3gmwUg2WHIs0eZlXBRNQQhUjTZsYvyuVdRvU28+r9TD7EUuNuWoiP
bCoeT/wjf33uQ0UFnPeGgnFEeS6g/zGPZUnzhwGiFtCxA3ZWdFggckOyklO+dvOn+jyURTAKGpTS
Xd5yDd9XYV89KnMnbff4518mPd5FZs3nvPi/kabdpQk0AYJkF8h8zvTSZeXeEtMWVXqrKTMcDX3f
uF5Y63LbsgJp6qFaqcC38ZAeyPC4tKYe1HF00WR5bap2H0cos2l5osK+1lYOrOOf1psWEgcRfniy
qSarpttbKXGs9RS2nTkz9Y/3Qzu+znI4QPrXkF99MM3qjCd4ZQnwOo9AolY4JemhEdXdx9M9L86J
t/fWd2h+cCBhUEiOk2ljVvUKRsI88WJ6rg0ziPmMRFdyCiShC0heIT+Obp9uRo6GlLd6XSE/irJ1
glHhOZYaSy2rvZg8fTNZ1XZ940y9tVVt+9Loy96LzLtY5B0VSO7Y0Yf+TGQKWlR6moW+BTD38c8V
V18NZAu05p/V/BpN7j2mvCHaaN8szDVTzkheYEYI6UXggUWrsBqsutEIUG3kxh8nwrrmR2OIzmkz
3qMufkA8GAM9yT4cJT9a5uCuU91K4byVWTth8BuMgFt72JhjfzTd+OwySBS8i5jnXbK4f+S99KdS
/lU2Tjgmxc433Hck6suimydk1G89zw6jaJaVpt0vFLJRY/16MkLF7NvHNBl2EfRp23ttCIZQB02O
oRxtmLW74Ijw6evhWbfckuOAbQwZtMDIHJlrNaKC9QtOpqx4FCllkeReqShW7qgLxiK/RP4ACO+j
J/QoePZWUmUG1SSPZqdQH22YW929pksVFrWAjeR5Nnk8TRoew1HQ1PeGE3ZDQdUH/nRbBQPXxw6e
L88xO/m85Gm9FDhrR8AE7dEc4h2ukB5gBL+B6D7LiFA3zAVC55w33fJvK8pjWrPqtHZ2ruVQCi8b
zxjukcfYw6oYZBjYre3u0KLpELoA8RaHeIbeOOxcadznDo+T2R29Wj/7pYMhzXK2uhkd0MPXHF+8
hW3idNSAvA7naOdpC3yUc5np2dmxwBw8I1NpvDBjOJBb0YNpjR+OFb3WfrnH90Csg9yb6fAFLQDX
0gRaFu/zrNwYqfNdmmvS0s9aTQgp8J54ycnjqOPGvIn8hjzPoLhrgFS6A2NjNE0OL35/TaDL17/E
rynttY2Gq1EAmKwXPpqXW2V73maE56xWgVIfp62b5f8qtwmndgEAVM7W1N5SyPlLOuQ/Q07iyuS7
odZiee3+zCipuT3IUyysjJLVOdA+xYG1PNlcFK9MmrDNRvifcsToiiQobSD70g+MVtM3jcxe6xlD
u/ZWghGh+7gAhog/wIXP0My7rJq+cjehiwcv2cTCR7SQ7kNicUsW5amz6jOWv01tx082PxQ3/Klo
QLgGv0EpUmHGXQwf+MtqsJNAubKBVYbGfm96HqtCr0IRF+eFo4lr/airBHFXfVEcv5Go6MPGml86
BVGjQg3vShVruIL1M6/ffcKjXPkwl1XOglNrRCaHw+LDsks2LREpnxn9LWnkrl1E6Gl2uD5tlt6R
H9NcCqd49OPiU29wT61/UXbaSJP7lwvzHQn3svDAa377SLoHUz8zjMmQiEVDfViF+C0Cc/DOGpxK
PJrnqlCndPniRlh7rI/13VckzqEp9GddlS+uaW9S5vBr+IWuUGBqk3ivYZvWCyGUjeTWmOTbVA3H
egXWE5BfUIETFu4ukNXMiY82tnrulQer5vz/Cl1PUDVVdeAirOU5r022e0z0rEEzpvkm1auvSdVn
lVvEHzF0JQG8Jl6m+M4K91/uYUyWDICAm53NECUMk6F14X0Wnexiq5rE2YJ33hflDDzsQOVNeCN4
r1ovejk/NKqFRvFyK1S1XrxpzvhMEdNu8SPtRoG+xS4qyZR0afctMAy21/lgLlq3LbuKdpqUu3kw
6Os1HVJzASFhColI5dhHI/a/VmBbyKk6qGoq9qhEb41sPyDY9pDBFED6xuvjQE9pcnJ2gg64Sqwc
4Cxn7hEU/ryGh0CWtWBVaVo/tKwkDmqLuJJxIh9F9Y82Bc04Di9d2iLqTJQbi3+fi/o1M9G82/KA
CfHHisZdLsSOGTYBTmzQGPrkO0+WXaMoMZV+GfA2BmQbY9JIxwcBAeuZ2nOO6SmYCvs+cfDPNPO1
KuneGPJgJCq4v8uDp6M054bYyJlO1dfq5oevT5wNBwcFOxYKP5uOPi6hif5hIyls8Jc8E7z5NWGw
orCxrgzQtU06EEw0J38HC93ZSL8HVfyZ3Y4wB7M9pEbzlBNqS4DL3bAIaB/j+AC1TFlYoMOYprqU
cwtk3SyPAuJwWZwX0xZPEx6TjV55YBQddSH2L/hdbkCMpjxlnTpLr/qTlZo4Flr/Xuc427uRVgej
w8XgnMDQJC8NNYy39PtJK3da590n1T/XMr+avfleuPFrhL2MAZ5DHE+GnbYe5K90pk8CKvk6ya82
OOHap/D6Rg1ItvTqj2W7UPThtDbdG/Jwig2iA1OiIkMwzorW3bS2Rz/bm985vgVlVufRSiHceYda
sEdF0l8gC/e553y0jsInWQK19jY2fZOWRlb8L9/0WB3qioRe5rakEpnryb+8oJQOW0TDP7o/tzu3
ZXbONsChNo2HcsExbDWY85w4YrY5g8qUbXHpB9kfo1L5m/Vkqgq4ZKu9Ow6yTBYX7kbg2d5CO0b8
J6NHeg/o0oxSS6PsImwXBEjXtygoMlxc7SHizcv6w62zJFUoxQJzxmXpnNYGoZnk2dag1fQMPMz2
F3muewC12Rmxier2Bx0CwpOW/tWVOuM9P8cy/dQnb8eo/WKwtZtXY31IPRu0Mv5j91C3vubhdM7M
R2zQe2xiPmMu951N5UdLLdAy6USDPz8WLRo3hhO/c+72lJOTpv3oPGCMaQ/WMLwKTpSJoz6eLAx6
xhLmZRr2jV6Do1dH18xP1YjvPSFfCEVyz9K3m9uVLxDbb5WNJo875SGKu18vzU7zhKzKn3i1lHUx
yXopqGPog2LyW3ymONF0ttEDZndBviW/ZyBiQCYKydR3t0tn2cEYd9tVZRSzd4sanZq+K5sQNOyv
0wyUrAUQKtzzzV2Ku+y6L7GIAVAHJ8HQIPCU/S89555EibCTxmEtQzo3+uZuCRMhzpOmBeY0EtO4
3le+8L+kx/spj19y9AzTV0flZEe/jE6jideOtDVI45PRO8dMWde5xumL/Z3kE6YUsxWTuKsC2Vf3
ZhmJ4HIvhJbFgZN5PZXk2Aaam9/ypIbxld0d/zIi6Fjs40pqwLIdbBGsI+29/FmbP6dynzskl0RN
d2fk63M+QQj8uhJE0gHKZLhPp0xKDw/4iewgSBzfuccVE8nFehD2eC5m+3Gq3CfDVI+t19/H2H+P
CKSnGWsuaU3ptF5ec2VZBurtxMuvZHEe1++evIp4k5oEXK3BUOiGVl9vW6ZoJkVvAtVl8ImW0/LS
JdXV6EmWI6opoh+ZvHTHrCkPl9E/Uuk9lWn5ofveQ2zAGGqN/n9xSQREkHb1Y+HVh7U/mqnSbWbf
IqruegVcKqr8GlnzgeSv0+iWF7tG6KQab33zwjNfXE0Lwa6plmSvN7DjrcHTHJHmFtp2XzHVqbOt
0TTFowcbfWjSgdAe0XUhaKb5OMV9vC91mVymSLrPJolKsLnG8iYbKmQMY/pxmPB07zxDi39IIMBY
x5LmbFtPo/cnwXnCzRL3xbWYOGymuTqKviRNaZh1opr8tdsprwLIeaiMd4cTfuMM4tpbJslqK1Fp
Tr9JCdJT8VJYZQA2r0AgUpssZKTw1DP9NjnB9Hj69b0ZGbn963TRKfI19wHzPhMxgJmtjDAr9VP/
QtTtWuhZX3YUvYw54WFlnXBQqdk+qbRL/9X+CPtByRCs4zRH1yNQdmYjy0j3wIZ5ZzxMUB9MbZJv
ANzhbJGZuilo/hc7P9c+GURpG++1mUStniZ7/Z247d75gRmIK++ksugHsePdH+1DidJK3F2lbcqR
wiiP4gdfJ/OgVB9yTDHKeVW0MclZGvrqy3ftc9pyD+MLAUpN5rd66obdrM2f3aQOJOGdGUo8urDs
ie39Dl71ocrxkcS+31XqZmPZG355KsWKmIKhfYXviA9UdxSdHfPQZEr+YMp/Axwk2c7OYZUzAs/G
9ifiRWe1jFxi0f5giGQyiFxXGC/48I9j41yxCUGmNTtM9xcIof7/Vzq5RPckjR7GknzWJh2ni29X
B3ckqw565in2p4uOJptV/afeT18cVd7OadMb0MElgoRKrNUcMG/Len5gMFiwBsf4Ngf5LDoXgGM2
W7J43BCs4CnS9H6PkPoxLtaZHBJMjDiAtq01plvyjMJu4UWPo/FT5PKhA6sIBitl0Nf7N0j6p1gK
JvZjVpCROJycZIZKIGlgK7XhY4owtUnP/1tM0chsv14RcIo2321eVOcXPAvKAAmksa7cljDBrsZD
y7G9cWDQQ7tMc+CQCsXDqftnCjNjr3ndky2oBCKDnEoiD/hELUI9Blvc5kFnIEDFC2h6qpT6M2kx
SYJL7B+lq5pLWWLcsWZztaezwZO9c/+iqv1sF9N7GmX+gMvVOznz2tDB/gZt3aYkX5WMMBkpb1g6
PlHejC3tp3tsGptQjSp/ybPmewBbg2i9Qio+IO0rXK4gdfbC/DABld7GS14dtTHrf0x90ffOEnv7
vtCNv33c5P4miSA6dXNCyvAaRg0KJLas/fyWOrm+94vyvSxJt0PwpeploeqmJM91k1tZvuFtRD5P
FG8HNpns3cx8M+h+3/SZ21DDgpI4xr03ut8cUZczr4ivZYsBpCy0V2uw9H9uPOc/FiQBpAlx7uSl
zWXQUJkeXH2iAPKc52TiuBx7mwiPxJiPAyFEG34PJ5fWkv2TRU9WLgn2mbK7ySyMkrEYt4JRVzIP
zGxmC3lY47Pql7y/pGg0997xpp1XON5FVxifY2uuKX/FabEV3VPfESvqMb19yGrvqR4MYh0kFLdZ
KkzLIo2IpiyMCJiqfkgzCuWlt0nKW8roysOSMXyeX4qZWj1upr/IPMxOxtJ/wR/ObKrxsT1kY+n8
Evj+1g3NDcPjrQJ+IN9JwUMMJEnpE6MOv0tfozomJaSj1mg7Ow994skJO0JBIA943Hdp4dJR+i+p
DozeukP8UA7lp2qtf5bnEdPaV6D2Okv2creqXyzZf0xAGo4dH3pjyTk9KOjpys/ZsJibsUwfxxLL
/TBiLsczm+86OyZPy2mZZWROE4zTZFakhfE3SqOFJovFEVX4NsbCBqEu7pYyl8DPae2xH1Xg/En2
wBjeOrejab37LvRRYlYf4Cl2GE/TXycjvy2l/shmpnPTXGQfcz+/mmZ/c11ipJwmq96bXJaX2oLX
Lv2YEVvBHDOrzyao/BEl7WZ2ntxHlXUekrKNOMvxadQ9XI5RiAyKFWhDmLMiA3epT3rRAXhr9aV3
pWDKJL4muqqr0OVV88CttVjtK3C2DRbOf11f/xpDuyfdoyLaTN1MldL+GeTITn8XjgZ6kZHWk5Qx
3ksbwVQu7uVLrNrHtjFvk+IlInpUDSyOZeA7xaeV0ObaXfeU1B0xbsVvF+u/wJteiIJDLpzQ/ubN
8qQp+VApUkPWf8nTglqQco4koSfqHphg18IuwUHtiDXDwGx5Mpxi5YBIV6Pe+PTzDnEx4sNwVbds
Sbqpz1aSiq2Hz6qW86GLoblIWMSLEnUUf4cyLvf61Lg5aIX/nLJw9YjGlKyarApc3zO+fG/RnloI
tpM7e4m7JaFy6YJ64qSinwa5I2Wm2eqQ4Odcw8gzs7An8CArzkWhmA5MttNhMR3Y05DiL2odzbpY
Mbm4+2WMq6exlupTNbrBxA2Ak2mw7uoZX2/GcuUbGn54Jl7Fu6456iTNcvolbgu3boei79L8kpX2
bGtVfbfY/ewtNTB04xvZbWyroebk94mRNTsdZ1vUM01zUufUWK7+NgzzABSPk56PeepPwN7Fvpsj
/ZxZXvo4xDF5KJ1Ynrv0b8RPo2B+lPklBq37EVPDPMcz4wIuoNfrFn+CCQQsHN2kPTX4h5epZyjC
FLR4GEaS/Ajk+aNWIyh+JaIFrygh9EzGOIgjqkAWxmbN7ZsT28N7vUyLKx72VzG02LWzQcGfFVq8
G1jhtIRw8OOfEumtgMgPBuVzvpA95fybKt27JlOHoRHm6z+OzmM7chwLol/Ec0iCoNmm98qUlzY8
UlU1vSdA8/VzOasx3T1TSjHBh3gRN/z/TBBT1Rp+Zb5KOUagACcDdU15ryCFhGYE8wZRxCgwzLpt
UP/oBn3OirhVe8Ca7j0OAxxi0vyoJmOM0PUc+ttCnb+ZacuqJpZTyM50wPVG+jIEp5C43Uc9JeYx
HolDVrOea9LhZnBI89Q+Qk/QBwkcHknXtjAnWWGwIdzonwBBj0BbWvMS6YmsWx97/9TQ2YsdenI8
3nuG/Z/bNRzPSVaRbBu41PVAqDM7GZ/ZuxIuqAn/ThOBLwMHFGstAgzPcY4cMRkBMoGU3gOPI7Op
b8UOwE7ibG0Xz4zyVoUx3asCG2OU+Q+KIhkMNn4SzarmzSTIApwdFMCUyzrhzqHz+qeMpXtV6XpX
FphD6mGeThoU6opPNXie5xBjK+fygXC79z3UY/ikgqE6Fmhf6zDseL0LVY8ne5ijk0mq7tcZIpQC
UY6H2Sy8tTdr4tCJHz5PqZtcSbzOJ5s82FmUUwJsrp/idWbHqNTYKj+J7YLdtuy/fY1Pc9PSRnTI
g1ARUPDgKaeGgWFsysIFjdZ9klNEDxTcIte9R3t2UA/ZNeYpuhIYDLli+ZWz8wo8l5pYOop5UExX
KVzgRB6D+0k4hMkfcz4B649r1UDlFc6vnjvjWE1N8JznWu/4MCj7yXpXHn01YZIJKys5Sck+koZ2
swUJXgw5vtMsT3+0UU5Ek4ACrsehjreT1CZLKAMJILBnhS8BS9ouxvt2k17B+yFBkHxLuEtCxzRB
bvpO1v/6uuE6X5geM844eeikujSK9zqMDX/FqEVPwpTa+slXOgmPqsCNhLMMf1ML04hIPFbZY18m
+XhTTRJKKJXuGJMbdQKWTCVW08TwFweSXKz+7RSiaaI6pMSwZsOiCoXTkQt96qOK0Zas3Tpl+z8K
Ysc5CVK24foiZwehLAN+uDbmwN2GTTCPtxlt4znEtru2zcnEUhEl1U4l3ljvTY7MTR11CM4hR1Ot
a/0spXbfC98on0vfyF4DgSyDkaLcl6N2vs0mF6s6TdN9Sz3STYJ63kYaTaqU7HZFNDK38FC6nwOo
vddihmWn5xBWjG68nwr7c7QqVVdLkByz6Pc9L0ZgCpafblLRtFvpc0MN67QJnzzZFRdtxnBGOooX
127jTWs8D0sFQpCSWSFZ32Md40AbZ3Sbypf1hy3c4jXn4kPYviR6pi1yIEQDLqMRmLgU4ca0zVRu
bUXaggSfCyJF0wmNjR0WmKn+QKzx/1WmUz6A2ULzENq5ioA0X96obMW6S2xrzzfXOqmaldtYzV7E
oflOKGXa82Eu/A8G/LbAILMOobuvyJUiJ6Rex6EU/GvDAJApeupKGW127Vvynk8Vt9d75bp62qYB
aDANQX0nIune7ZrOQWaQ/BFYUNNJMOuXCocf+2CPrGtcYePYkVnJk62HjXIPM8v6jjh7rlFJOtGV
VYuSCr3o28FDtBGs8U+DAzW9M9HwY/RZhujavxueTq925xtE4a3ibMnEfbSZhppENHIvBkwa6E0Q
LxgK2mOWGM5LPFIYanZmvnPYL73XeZbgek9Usa8SlB3HMNqLQaQuWwUlqbmBbPw/1zOC/5SqIJuQ
ngoulawg8BOA3miPxiXa3jl3YavdLfg36IBjTPPrBJ6zy/JN7+Tir6dM45ksAzj31FWbxEQqdVE6
vIMf1SSlpSwankcicc7M1UYqho0djmt7A0QPA3PTiEM8Yt5sTDgpTkNE00ZQ2NmkezfxbMErMGu9
H7wo/5PwUtpRQYuKA+dq7XoVuDKP4INBkBTQaNkawaaz2WwRXxGbxsdFFsYZOxTbQdhYVjDuWCmw
LoNsyfLF3acIVHU3Oy9WB9+tp/sUT/Uh0zgzDn4KUQ8oPWtES8NNmIeQGKc7VN0ejNqwrZIoeQqT
1v4HgoMgaZo4z745Rw/QAA2RzDrfy8EzUI7V2B/01AKvC7k94+pYGugp8Zn7XyH6rNg1XIod3I3K
O+FDLC+z16H61i5U9LRhC9dM/amXCVc3wTIukc7vlA39ESoX47hk2UjljDw4Ts9+uAaomqVzvjcG
qKcuS8x7PpF7W/NiX/KKY/DSVMF3iid38ZyYLymaCiiMcmbHoEe5STrDvTUpQX5+yYBe1GxvRBp6
+GT1P0cF+UkblnnBj2t+ppMHCpIrKHNfmXIrWCWEuXeUcjYbWxbBJomWff8QuW9T6KpXZ5jfRGFm
19YYerZcXr7tZOqjFAEf3cSt370Gqc++x69UvIESODyVo0F0xzovswqy6PDZByxp7QELg8VtJG0B
1dEjMBkLAId41mg+l8m7MP1tC/k+KGto4CGIP+dPU7XcuHyce/R6M0kvG+40fneMFEFSYHJPedZ4
cUWVuXNnRXzfU1xnyw36I9GeyGk2PFc7rJKs/gLB/xWasdOpT5vlPo8qfMYu+0mj8VvR9jDJwVrJ
2VwZTAkJGUgfhBJgXrmeBfgt5ZobHbf3OEouks0T9mjeMS/kR8CmWWu+b2vb8w5B1pw8o3v0bcjH
BYNkMrgNtrusa37rILrTb0gWryNL5q/zvvqTCNJWdfwdOj6lC3rexOQzOKq4PIXUGLjAUMhobjru
pkUFRzof7ZepYzUejhYRteiFTdthzoKSNyNdFM14rOiNUFaM4X3emhRXRDyUuaTWd9rpKDmb43Sm
VHyXAlonh3hv/euYUJ2gf0v41vMY3y2rwYXTXkz1oYoPrijnPAk2acIOtPBOs8BUmBZI8UD6sOwi
BDdqWqzEw6sxTlw0qsbeTWlHkgVq62puZXtspe88cSnIASFHyl9Plagv40wxSMa2TTNE4olVUew/
zWWDMBMVTr6LbMPadZY5b9CigLV1nvVXSqe6pxZTrVktYynB0ZWOICv0ZZ+e8y6n1wF+KzFgeBbg
r8hJt0kz3UHXpQdf+h3xnjR8rl2z4VaWYG3KajAWQk1YRflmr+qu7j4LSWNDz7R7tIt+uuZD1f+4
DnJxLrL5MbtGBXVaOpQAmEgrk2E2t0gW9UVTrvQYQVfhautRavoSg7Zwq+wN6zsgLXee32KnUviu
xuYp0m66J1gX7gzDaA49EIxVXkIkbBcCRC2FjR22TP8lRd7v0F2ntd9R7pX2MN1DMfAKEyRPZ5wP
DqRY5a3YqX2bnuaQBdid7Yxuxumhw848ZZR9bAG9iR21VEt3gKiOfq16ApGttQcPayDakUaKHVh6
Mdj3s+sDF3K9Qp7aqIxMouTgylPpBYc4z4tdKRC91RDUz3JwR74daSS/IRvQF2IXufONzm5twJFF
LGRB3M2O868epD4AKvHX6N+EPQoXv01QDry3+2ozwKCEeuK5iCojkUC8qtgwvXjXpRGLyYpN3F6C
X10xVkEqccp+ZXjqS9voTgaJt62fVCS/wZkw4vNkwek0rDW733inihSQJI2mq7REA80NNcCcINNW
hW129EULIyN3IwabJBlnTOsjYYY+muetML3uSFDau1JT5X6mqsh/Sp7/XdGzBU0wdL8PPuIWP/H8
GUL8JgNdDUCtk6ne6tn4rdo84+To/ljQBjYpOW3Y7zZuqLy7F6VvbesWQ2xQWc22NtgpC2X9ohJ2
a1zC3XYWXnH0cxeDSlu7Gx+z6w0YbnpwRpNaETMxiTsX5QeRK/Ho6wFtlFP22OcCTLTB9qoI4vBs
8lr8UanZrPMJywLOZCDpfiprvMBAgiM8N6tOduY5dBj1jCTHPjXV9aPSuf3e9rwu7BC7nUjMv2Zd
l88S7hrVMLlHpYeO15XrmEjtpn5li9AdTRbF1Adw+dQyq3a26RjcGwAreVGNATKQaqemQW9MYnYX
QY5xEylChpo3yZmsP3a8nmilZYFqaWJnuPI052xnMiotiCANp07ExR+IecV90KJZ22PkMrjIcJ/F
anyekwwQyhDFm7EqsVIK/FOFX5fr0WEyE3FbbsPKIzRrtuZLNdYp8XzV6DMJS4xmdLmuYebpveoo
C+qVI7Y6YmdrK2viL7Bfnyd3vttZZvwNurzbD0nTXzp6YXbsKM1bmOb4t7kdnAEc4NCRbA8CFagb
9znn1cYAvI3jFkdjzi+jtXT0bRRl+T72kb4BcrSeq5q3gicEcVqb+MStn7SzIW9rPJdh428cEePa
C0DkkTEh9SFbxpvamI4CLXdjNfN4mvKkAuWKPUdH/WcW9I2E6MvmJfExHPKbDJ2tlWWaSJ2hq1U2
iexm931xzcOuXE7Jat/WyeJCsdp1EFKcU/gDcx6xpupZ8Gu9DlOs/rWm5FnHBl68uybyb697ADHY
LtYkSWwQm3Pbwq0y7Tc23GIXKfEjGOJOPWDfMzF/kkEGcAKjhHwIAi3flkZNGEmSxEkSn9GhOFRN
yDUFvy9jJSmJbajbHYoSgeLXqB93bmSfM3/6mVx+LOEzyJbOn9RX7w4fVFiptQOoBpLgdma3TbHX
vgkLuD9yv/z7wE/4MrqHxP2uWo/m0PoL4QWJF7vJ1Jhv+D02RRisu+o6VnpbAx7Axu9lCVichlSZ
RvGbrsZcQC8INoRtEGHEeUQfAhOwmnj1uT46fT7yxdBPy7+KCU9wgk86tYXaAyrFmSqKkxklb7rJ
r3mE4cq2za+ImiAVOpeEN0wFGWhu0Uglzl7D3ObduMng3K4i0V5qjmwV6BdIHjsRlDido8Mc5y8T
/0CWqZPlML1WXTCsOgLnTZLgDpAIBEZ7x882j7CpBokpKDzDKFkjsKwZp2+JYX+ZNmc+Xl83bYmi
kI1l0uXgpIis+ZM1ApmO/qLR3KZWvgtBXG4Ms3phrcLKGpqDcqARXRuh1nZybXp/DxoR1S94CYXC
3pwd7QRGfoePBmx411HMV5HmWx6hhGCrVSS/BoTKTYBbPArnP4mG2R846xHaMYoB5g2VERObN5aE
sjWDTuy792G+uzCa2G9+GAUvh+KWWsPWcsJ3W7OJmbOD4ZiHxoxORhIcmpEcBQXXvCz0CyU9+si/
Sk995vyOC/60ocZqnyWA8JbnLmL2S6UJ6yggFeSdnWnaMQZgWP3Th7+1/VHN4wY8Ln6qxR+d/ueG
dyxLFzyFFHuYwCPxpHi2veIpyiVQ33ZozrOJrraAVwEdEmuCBQYVYxU4/BBRSnRCb2cCmstjmJje
y5iOu0w853A7E55w3+qO/pT++IUJS5uZdeBA/JiqHyNqV6P1maFQmvxyaZm5uBQNgCvEPBsh9nD2
SCM696x7J11AgeXkxp0mkrvm2RhLceH/yeOv9sa8ChrczIMmv2tTpYAvdMCU7QVbUNJbF9yDG6dX
nzw5agkkZBmaKIdqiSXWu0Bhkkir7s1X+QuvuG2l9LYhoTNH1S3QDR6LhodjSd772Y1EFcN6tmbz
36dfoWFtpmYyQXhylRjgjfX3YUje40HRzCD+ElQ8QvX48OvU5pwxefq9jYmHqMICzhd28MXBy9Vj
8b/FAwZV2uirvNqlxri3IoFHgPaZUSzIJGM9xP5XNjTfVWO8Cmvqt4Ny35cnEuGRhCd/6ySsJwEM
F8b6PnDTk6l8eWwwQ7X59KK8ly7+MKFIrGJyy1bTf1hLA+cI1y3COfakmwXB0hVv1ONSEpBQuxkt
zEFCiMFmdrHZDR5s+anmrCUqM5pYU0lweLuRrzGx+OmcDGRYaVZhQAvCB1RT4+x0Ng09InjqoAj5
TsojlaaURjtvXRbdJo17h7fArkwLTLfFrV6ez8YIL9zDrE3pcMaOYiQ0RgipTeUxUBRcdw32Vcl9
ZXkQ7Nl9yufxkwrAg7MYenIBiMHom8UqlC9AD5w/xDaXpyFNh73UUJFAfeazujbSw0szshmtcbxv
qirGf9kWrI0KVX2rNrAfjM/TIbbdknhh0l3MSBdMb1zNrIBbReRCDQ/Cl545qZ6R5xd4KZwNEjCY
zcVQ84Z1rPeY6hn6SJUxbXM7ApoH3JxiQOz7lavewPBcoHmf7DmCJdru1QSMRIsT9i1GNL9HcctH
mv5IUSMIIztyy+GB109Fkn9ATwMzn3Tlrkg5B4vYYH5uHsFE5r4AArERhGXWLnvjfR3Ja9stc3uM
N4FP/DVS5AWo6GJu6ddJVf2JrZH+CARAnj09BDs+G4LJWu29Hm+gXbgPepS510HIpkIGk30cpSei
Py/UGKwo/HupIrqoaAPAjfHPMvDPJ0125b1CYNG+tC7QbUAhNgsKF3clN2XKD9Ce/R4L3uyyMeCC
qmRqrF2S5VTrjF9s5H9dj9rEEAQGzXdVv/aXt2OFa3FFRc0/xbdfSGS6wFjiUhYO7GBrjA0Hhd6N
0YCdSLvoJ/E7BAJjPRYpD3T7FaL5gwA6VRPmTAVEr+U8UJl3pvBgnznxJTLDJ5SdZy6aSGe+XW1U
Fl2j0d35Tfcxp3xieuqxwgzVtuHEqMwy3RJp/gND5MK+YjPzK2ypOkHfOeVjh/Zpny1GaehDnyJj
7CjM8xBQwkd7GFoYUSJ6IHDalsnVHfRHMJu0KfWCR4jCwLTAtW4gLaaK7cGCepEj/AFOtdGiiGDs
umjd+cGLDQy5TenRDIIu2lacGnA8At7o9UiLk4UwPUUvyw8Bkn9xNA1/JmGeuZrzKOYQDRhtxyO3
RXAAlb+3tXqEerwU/PHLlsIk3NKbyB9ekt54Bi2TbJxwgtswMMcakb0qHMB4BrnOoMKfX0r0Fc68
CKgzl2QS9yUKWhDSOtFiyKChCNx8Sox23c0OiXj9qjxU1JLDR2sgWoH7JDP2TEAH+WZXGshcxK2j
bl/rGmzrHBmvfoOhTOKU0NFAHUum/yQum37TCrb06FGd4kKsDYvmijIKWnTCUNuEyd4xrAcVgW/x
wr3idbePa8zBhdWsoVj2bKLUVWBjd00uRE077EZQX8IwPh01YT3vvX3OKzTmbtNqdAxb4KluIkIc
XXY30WIKTriUPnPaN/coqBSPVm+sjg6OKv/4vjp73MO1FSyjHkcA93exlp2X4Xt0zjy1BV1/5b3A
zbEe5qG5+u1gb3VDyr2zrRZlUExbf/Ea+kH0qY3pNpU+a6n5X21zIRznubg1uAYd5sOMVCSth/eM
cKuft4S7eH3UbvpDs0L3rXB7n6Nq+mopV72jsHukJq2b7fb3tGjdkyOa4KtIhvDVLh0wTUGEdTPC
twMonJ8oZEBy7BgaQIg7V/k9Xsf4Hk5guxWbOd8h+GJgDWK5bKkEg2rgP08RlVwzQZ6t5ytr1VA+
Bj2ZG3kMBby9ysJtdmxcKgDu/BOUsp5yJwXl5FA+KRq+mPM5twBRNzjVVkFMqqlwWIeWhG18fyHe
Mb4hHjc2vkAQicvbg20ehhjAO9ru1+E8gEb2C+Aapn3TrMm2Ib8ROjvXGGq2XAjjFU2orDbcUuyc
LPgPy6W3jhxRshKYLugTb9Fs0mc0l/xEkkwI5IjPivRA24v3FgRCEnUKh3nxN0yGXw6k+C5j+9lt
gneqYJ/RoQ+ua4vdHADH1rF4iUMLNIC1aQLxyCGzsNI4OE0ArhT37oSpsI9CY5VTarQHAW9cS1uN
5LDwXFuEAng6dZPcUTfUph1LfBIsG2yQ+NSwIBEH0X7mYxcBHvoUt9ZaSv8b//yrL7tHMbkfi/gb
0dBYQIknmg3DMy2ya4F43iTzKeHPJsXwqhNtriCBUMZiJgt/wrpPzoL+CvqPMgsixDasVP3ACy9F
FxVZugc7hApfwknQZGl8jPBllZxEKJjF4zc0BZdc7GRue9P3YCiVz/YkgVEY8Cl6U7HgALzEL7Z4
gTtewrQaWU1XfFvb+BCOzrHuEq4N/rQ1e6fconk/Eqt54Ef2j4EegL00YEuAoPA7Sv4kc/hdBvK7
8XGLN811qMu7M+pL5OLwc3R+iGbrxfNt9SMS5xWS3nbxkUq/7o8ohdwK/Jsupuehpc3Wot5OTMZv
G3b6EQg/2gxGdquz9uHlHsh9g1sT7Sup8Uhzc1gl7GCDLOf+SZvlfgb77xjDLZNmfehs1lzJ//+m
icZOGaXtkaObK0FycHWCNVlh0BJzV22Kxk8Po1pg3Dl70joat1Q5IB6pjgXpSPyJrmCl3r046QAk
emDXy3drCD4wYm2nKnyrGiyDnOvvriju2ABOXRwdVTpe8a2fpzm4sSn4ERVfDqWd3VxMHxhbfk3k
jR3b+Rui3oZot2RXlULDwZTnZ9Y2A3E7O/IUc6vt8NYmJUMMijhr3bUTCKhr3EoTul3kIm1Ywnpt
O+athnLUYN6UmQyWvus9MfxyM7kp/Wf0HNkywj9msouJZu+VEON/nmCWF+GaJ+7k5ZjwodDdjdTl
KmxACxxZZ6HCxyAHTHarbpexiXc+aXk6mSPb7dnPdkHMXTpQVzS6a5DFR9+eud5jAI7UBH3MoQ0q
0n9RZSAtJC+Ok50xlnzHRJc2VVt+NiP8J24BRVHBQrEbtnkCXC2vCDAY/5kV/VerIHen9Wji3a8l
WHm38MxDNPUUJMy9PPTO0mjvWlBvKJDCfJWXCAoa7T4P2DVVlbGzyV/sWEdiLGKEvVVGaQI4CSHT
ueGiSwlzwv3ALjgZzAZMbGlzVW742EtsQ0f3/9fU1PNZwLG++rQzALgRyDkcGcGgHtjAihtb9ojI
VFu0O8+NuoPOvJQsFAy+9RAm5m8rK6JjKjbcO2/38rMsMw/zBa44RSk5ZpoF0FRV1CCnjuzWYxY4
O8KRgFSpcRn5vfBaqGcH5nwYqjWebFyTIkPfknC5XctT+TrG5bLNAjO+xd1oofz19nOTtMY+VglM
cXf0jlIDkC8m5sNY+95pCHscQ5WZX0z4PweOG7EN3QCvk56rPd6OYouRVV7m0oBR4giGpWHZRBiA
+ml79XZzGQNgd9q22/A/X1Pf65NglHZypipn2NDhgTzRjZLQR1x91n3D2Qdym1laGSeZTpQt97Rp
LFXNe9lG4J49H9CQqwqXneWs94bLuheAOY5DNtO7uIzne9XzzVNGhCM0kMajF5xJSDctz5PVbwNY
atuiYTOmLTR0thDx1haaYk7BQS0G0CJWmrvEy5wG1EubPg2N/muDLeDpSt2DGxmhs+kgXL64C0Gh
gXqwMlDutmrK9bl2bP9SGAPGi9wvn8a5XI5xB1Ejnv0ayDmo1RXXlPRzdDt/z1nT76c0mLcKyybs
fDZ9Vsq71GvDfB+ZwT/J+2hJ7JZ8LT3YHPjBJ/gh8Y/DbmJVt+JihgIAGrssvk0VS4gx3GbLuqsP
uADLY4FiZnDcQZC8Fn73p+dGhCcg+E9ENfxVtz24gfvVD+mpH7JTImg2RxTdCXS0oGihcsbdHdfE
Vg64dOFXUPdoEakJ7eSzaHtnVYbd1gfRmBn23VHN39luyTiTaFgNSzixDpeQDMQ9HmMyI4D9TFOe
M7A52HcTutrVl8ArvAS6Nm0yOydTe8x0Sr1NSo04kGmrMeJL5S0dNzWrLj4LLKubfCLVvwQyKri9
uO9P8MU3rXQ+xiZdD9b8ktgVxIF4b1No0Si2tbJ9he78T0m8UXHDFbRfppIiurhTcMnoCrVq4zqk
i4xYXIQVHru6+o27ocE7WZymJL2PKapo6z7DanoalPXVzeOz0i7xfi6lGcVKfeIOK9kZP0swxZuS
Fxs1KBbVUzY7T14t8cpkXz3JvN7w907X3Gw0uwbsDF1R8WWCuMS7kbhgAgI8bh7SFbdaW2TX7eyz
y1gcAYCCYXhBC3w14QJ7g+2t7Dzez3I4DRkMAXOuWC4a7TFqxbNd2jtvzq7Lf5YJ90kb9H02RChJ
0zXyKU7BXf2bq24XecNTYJpXt255DOqvZmGc9MX47hf6UgVdsNQfmUDWy2DPNgRNrCcjqeYTPrcT
phKWzfqbpMiuzIsjFptb45p7gd14F4iC9XPxhK37yUbecjEV4RWDn1NF6cNJ3HvXzHfr/8GX4UZ5
Z3vuUhVw0TUujKNkixt0uP+zPJIGG1GLjd/J3ddZ0vvBF4/dEz2E7Jzw04VN/xJNmfeN+MIuKs7y
64BPy1dg3cLG/bIq62iXE3goi2llRULKf3WJ5fCHg7A9F+6tYz1H40gE5y3lvWeV1f8/WoVh0LFz
YCMwowaKKOOEGacYJjZj3gykoIfbJhi7Ga179q5I5lbOKjZygoeNgkZRKz3jXkpnOAxYaZRESAnV
usWI3cVgRIlo7cFwqc74DhCA+uEbkskLqExavd2Q43gxstSm2FnMH1DiN0NCNViQF5+68ta2r/c5
RJGFnuWTvZX174BfDuYzxNyoXy9Kc9b59kXbJlR/unIXYaGNzGwtnWnc9yNoCkKwCcqmdqZtCZWy
Za4hvEmlBlIuEHKorydWDF/BaMCpIolcZ1teMLtUAL8OsdOE4mTR2c5e/dQblI9MjlgpRJ6c1de5
iaxtq+MP6qTXE5gD3gm8EhS3PmtpFX9T9ewT2mY3a8ns38jTHHIQ9xYYsrxAmqnEa2GBpy2m8rDE
IYrRxbofL70nTQKnYaAZqNCMD0xRXASMZdo0yy+7SO+SVTEBTLZXEmNhm7EmC73iWsVkg+b+pOHb
MFXPQHNziBrCIWQU1peW2Mw8Jn9kVZwXjWSe7Cthkcf/F8ngcrei857MgD7uiFhKoNtkj+l6N4e8
OxtUzdaeN2aI17tPuPkjDckaxAHAmHVoEU5w7PAlyKetrOenttBwOPMRGuJiUp5vlYg2uAq/Z7wv
IierXhAY0AwKefFe6vy0/LniMAb/8454feUVsvHz7C3ErB+NkLscnykOlD//fSqZDUznnhVL4S9K
vx/s/aK/Zbq8RbbPnRdwhJEezWq5rU5b3mjbxiHOimD1fy6NlW1602NSpzsXg09oXjKrh75jRBmF
He0mJQrRiICeXHa/aZxs7DnEGOkfosw7SK5KEVZw+l0XP7r78LV5ajL/UUtrR6AIt6stiEU4/aO2
qa5PrXNHgejcx8c8tNm50WUIeHl4wtMCKyL3107BLTEOpo80HZF5pX/2cICtptp5L8n9rKaC2KSY
1hbx7eUJJW+wVvz5B5CFZkXShic7HOZtHr1XvOi0Lbc2X1suuhiCi/fcIU6a4Yax2hxivL93Ld85
+H0MBtBpMSUQfIkZv8xaHIFC3WNAsEPnf2ncQNxvXymIWirvOZIpkR/dDxDGT25R/4WCR7CYx335
qhS2S3KdhuyQnA0tTLqo5iczWc4xf94VrVH8JdVm8PeSA0sTfLA1wrw70iwJtzNjehDOpumR/egv
QZopgr+t2bFlT/6VNEqi4rlr8vjHwgT1y24/XFk1CNtaos364qGc7tlqxbklc4hsgre9zdjgz5eg
rZ1dwkPR9tUrktnOCZiU5opwh4NdCCDaeuiTD98hjeVpecIxBYYbJwUXjZpbxPAWOtxVmRcdjh5g
LH17ZBO3M4fyAxMEAK+UEuQhTH9GL+Fx6uk5YyHJ4Y5Tv8mTFxgJh4JqV+Bi/lsYNxeLMpHMK1wo
8f2PpzRhZqjuW2FF/JRj+a8LJkn/zhBvSpGRDieYvhuC4dGUKCyMR8srlm9x8wN972IX01tmundf
ItuiB+cwz/nMpVW9BX14GebiS0lzXC0Z4DGKaQlxngIEqt63nrvOpVM+cI91Xy5UppHeduxkhr4D
snmu2u5vhTBq8PZcUVb9Ui3Fk4Z/K1JvX828Sevcfsimfwrq+HNEgz242ObvKBQSjy90zUAQIfeQ
PUdOvKJh4VBMN2OY8WqEnkBNxglWVj+Rl+7zhkUj9FvM4OQnUYSr0joGDTB1vwzeekzbK9dbupE6
s37YfhLeIoOMJLf+8aprLlB9ITc2BqIB2wtPXMlY6YUbhog1C+tD5UQ4UbB0aCQMYBjJ6By8ZQwc
2jLCbemxY6ON6YI2bu/zIY6f2f3MjPu+zJ5AVUnUZMBLpSemTy62NHbEfTS82IONDKsLaCd1nULv
gMPLztUYaBKU3dVs56/GxbE6jpmAMsA7jEqqIw8FEKP6kyHfZvthG7txQIM12LD5QbaPvelLNTU2
2GF4Zb/xZnhxBPoFGqrmulcPHtfFyMAH5N5yGlNXRl/+2o630aZAhOiedJCwSSVjIbhWI+Pckrq5
1h1NCa66BYgrK8bAg630AwdutVZEGLx2KDctlgpGkr9ZR2aVCQ8n1HNfFCcD1D/xoth96R2Dj7qw
J/E84yk4Y92aFtqU81ZHEMJb9JeD4mf951SStZZKA1btuCnx+0tMV9wzU+jRhdyTVi+/fSoRPtyC
iQVpnvTWR1VogjRdjJCZU3VK8Mb920TRcwlrAOTkrwsJrHDZ9CbjHYPRQpQar/SDvhPvfaZ09LmF
EBCFtA1alf/kdpZFJ4DiWg/M9Qlt0rqriSaipFrcbXhwm0H7fLMmbBv8j+HNP6rZOFDRiYRHz3aT
djurhfYvcNXg1WDLFVToE93Bn4dr8z+WzmO5bWVbw0+EKuQwZU6iKFESJU9Q3pKNnIFGePr7LZ87
8t62RCJ0r17hDyTgGlUWZaCiZmW4iy85R1CpUKuw+qNNqtKZ7Te0DExt6kOkZZeRcp8C/+KLgkgF
JqroyW+iAVWZERDWZWyyjmkLuRIcoenghEb4GkJmorbA28etzpW5ePu5Tne+ApCXB1a6MfEejGvn
1Bdd/G0v+Mmbc3M3cZxOWmmH0E/uKV42FTNWAPV+9U0M+WDiAbjIsJbz3AL1mctc7RANDg0ypfqU
dDOiSyUCiW1+rJwggMhQ1mBmWy37EOEJ5mAgJhXrQk8TdFIgr6FLDGraRpSbRC9ReM+Q/6OnuLXm
+ct2qgvh7RDg/40m19Fb0pvKk106DM8wpzZebKoTstkN6q7oByW5s03xm9+giqKtaEnEHPfMS6jq
TUoOsoiDMTHudab51kX0nNIcgDbjFWYwnR3B6lbgMJ6S6Wm0q+wtLlNmV676XgD5HOhHSce4etbD
/mj27U/UJXe/ISsBFrPLAflnfHNgt0flFS8MdI9zAZpgVFn3y8dHj9wRVbqR0a4yNzAanjtbrOES
unL+pbLTz0Grnpwx4Xm6uzC3Pp2iu8+i/xMS6pE82GTj9GxH2gE5hzOydHuvU+duyg40e9/6CKQe
ak452mqikD12AhpNSJgr4rS06ar0neocrpe/XgrkOXrc7wyS8qIW3wFmaWpALKi/LFW1bV0adFn7
jqvKxki9v4blAP1eLloH1yrJmKalWQkWAyML2IzYjOCWUcQYY3Sc9pbOIrA3Cth5ZYn+TmnDd4XK
CULW+dMY/SjusxguAXNaQdwbKVh9YTjWHiZVzS3hCk0XfK8HVneaaKqW7bjyECJeTGRpE4RVgwCN
+HAYv5umfgYn5W4WCMhtN+6xeiAlktZWnUZb1yeHHUeeijbukVd+CE5mmrtrbffFunH77WSDCYph
iK+syTy02G1kWnbQF1qZjUAYloMyYTA6omESNfAmSgTnasa5XaIx47DsS8OiFM3sja+jBhbAk2Cy
v57R/C4Y51ljdGaStjdEDj6HLbWHwYF3Q43ABSLKGLBIhHBbwKpknqBgumfUsfFE8yZ/m2JECMNy
ZQ0Kn6LE/wu0hxx9jmHWNstFWbRgW6thrp0bt4maKV26EZoskiKZox1jr5UHb302PSosBrcXD9vR
RskI0fjUQbXAXEiWws/ZHK+WA8dIrsnlVpcaXn6soZ9k3ljFwwqQFmJGRQBxs+iQQ6B7roXt24Ip
596MQrRwoo45VcFji6a/DZzGtnX27YBDHRQ9lKgP4Iq3sR78B4foQeAGR6c4LWsAUbWPwEek3i3P
ePba6b1mcuVM02eVcXSVwcOHeIZW/D1vqSFHmxzWbKBMdWmzvMYTUjbz2APrWZrhW0cE+6sorOCU
KzPaGXPw2yu77wrkHwURIU0N2XGxqzMePjyMdAebFh6s92xwZ5m53Gak81JNpyervuVuUqahZbfA
JS+f8iY+Vl7GUbREt0RvJzTqh7O8yhm0Vrn8Mwdn9ZpPdbHsAzZjoHvQhLpXhAOZcWm7TJdhmRXi
Whcdl1CskTTdRnK1f6BY/4mg2IU2EL4UxXSIBufcYsdkFsnWsbWPyEr3siHGAEAOUQ80wpNbLp+o
/LKLBnMfTAF4F+M6y9pi1eWg4HzyjKKrHpNUF03lc2bg/Kkly4FBHMhaf9P26KjeGyRgkwLQ5pMP
8X+sMHQorV8Iqp1NZd/K4TiwdYojeE6AKFjEtskagv66Me7TyKUmR1nEtgE4W5+vFSMM+29a37s0
OWd0QFPq0AxJFj+sWVEguvju0EI+wzFJPgDbwmLky7mGEhKcuibhQYDtPhkZ/EpG5t4V3P66BEWW
0XZJ2DRuT4RjBusAWCCVJsxlL1xmWzKkhYbX7wytONrdvK2brwzg+AjAwDM+RvfR2d98n1HXu3mk
Ncy1sm3pVqP4ABKG3ot7wYVga6eYB4OF4DccJLW9FDUZutOelayVo4OBUOtEL9C3u3PBbnjtEJqA
y1LTiXRwEMQexY3W3A4XCiNvoHLr1U9UPTJk+PijQseHX1wmAxAkvDgXRV3vdS5/uPQcoBaza1Rs
fMHgrB1jWi3c7Exh7NMRbcrd4HV/kI034T+WRwMClCzwAStAK4qeYqn6vGNZpnsL4eSkwT/TucUB
rfvk24Y5BoOMYF0Nx5I4Jp+oaZC0Wvd3FB4C6K+TeUwij4opBgRFYWvceQoTjPMYJyyVPXkkifx2
xKotiND8A08UFU3Y7Z9jOW3aocaZ9M/CuMQvvNWM1Jo7fgXMeKeZgPS/F8ai0Qt7Ly9l4MhiSQK5
fV3IShr3NzadPg+iOEoQ4hcacn8NNTB59VH6XprLH/7WbMyrxTRgsLPDAmbNFN4W9un+Zex+RHXK
RcjG4bx3qdFmtIZ9CyNJacXOJ3kyspiC+mEAIEPAU76H3cDqLZDQBn+wUp65mjJ0FmZma0wxeAp4
hu39aobpcB+n77hEEbd0N6xBTb22Ba0TWYD46ei7tIIg0u8aKBh4jWy43dC0QT0WtJDfLefdAZfm
tr99lNYM0g+lfaYRQ0Lz0CzvI9qUoOiOMUoifYW4jHnxkC+2c9IrTPH+/0LVtEvj/1j1MwEa/Qst
CESlhYYAFZOLfASadZb7wRhYfsMeLGYUoDsxQkGh8sQ1L176ZvvhAcYV4hVHR0vOC57qJARyHjWx
tTeA//KlAluF4oNHBvZKUXzny9rep/WE6BqjWH6378CSkn+bMcwCo9rY7e+UWRFrmuuTt05bC7Zu
cTQIFMzeLy3sE5zHDpo3ncoGk8WOkkJwOQMCOOb8X+AiKhxBgg9+2FN9Of/qaIRn6YNHmy3doTHS
jTHMcoXRpB8z4zVmbXh+vWUospWt2qvgZOePtLuyOrkK1M2euADZbrJ4x1dcns78BeP2dc32mggH
vh7TxnurkIjlNxJUk9T4INulGvW38eCuWFg8OJN8t0QKoMKEY7lh1gIPup5Xi/sGBkctGBF7CLOB
yl7sHbs8J1wSGxr7W75cCfhINDX43qn86VDoASWAwK5+zlG1bM3uOeeBMC5+8DbA0GwtiGcs8uR3
Dxql8pD4Mp6D4s61x1ByMDDdLm549JKyu6Ijs2dO3ax4LpTqNPd697lKs9/46jFWiqgw8fH4AKd2
nMHQSTSG0Xei/uQ8Xr5myz3wKDNLv5RSXxY0pkM0ya0o/GRg0ibDtQbDG2vLximcI++CpzUnxikC
7hgSr5Mh39AChg4/UDh/cPMzj3b0P/GlWU0Up4yxdkCrN3P40uLBqlR8iDhJdJqKI7q280QOyJYr
628k91b4B28DkxOE9wZ92EZYs+dZDdnTYH3JW1B9cfJNbJ5J3JIuvsUVPnOlxqyGm9PrswT3vgVA
AR66b3RUdq295phHeyqfo9mSwKgN/QejfyB0CQ1ryFJRth2casMiQbZiazpHbB9x4ih+8+b/SZsN
xzHpPRDGaByyixQBP34zdefN5W+4VK8WR73ik5tIuB5+JmiRMwXF6rkdKkfueaI+ioHvjtREFYab
Xr/L0ClOpmybBI8owXx6wIhoobsBkmBPJ5pmWYjWJUKrEfKKksrKfqgQE2KhNmZ1Uz6ioYCp5FiB
ibu2+x0nThaAUnSBAJpMb/tdzeSq5viY1J1xwCXp8pXWPbAkkjhRHF3f2XqkEVZ8VShotCBUSysQ
66Iz/yoLBn/5FfpG7NCN7X7kJPC9wIshdeZp9a0x52lpQHvGsGdtAN/xi/sMUYRAFsfGHtW+TRh6
pL7NBkuujaUF30tk419Fw6YkO0jy4mA09Yv8QDU0KyKuq2f7DBh3+JzBZPMhuVI+HpkkH4YWoU6j
erKpDDg5J+jLck5wpQbFg49ehxLANT5S48BkIXOXv+gynZO8RIbQ1XbE6iIx3s2wfziVfkau/K0y
s8dsza88KiM01lMbfsnWGGaSabbaxJQrKpvnwXDf0F5a9/Xz0LClmNZKHsOTLXSwI/w2MixMschd
9ZQsv7+jj37laF88KCgaY0hEURvzSMMR1dlinS/iQf0HKyss8pi1ahfsEA4JB/TkQv+7Kn/ZqvSi
5lOjkI5rjV0zHPXaeJFFMqBuBZoSCT1O7W6FjcuBRyBn9EilpdUvsnOW5pPGE/IB6CcrMAhp5hwM
nIsqeop5Zh61cNmYsC/sAf9pn/gyz/NpWNq/Nljoddy235h6HdrcfzV652p28zkKtA366ZitooLi
jd1vxlDXbKr/q0MEkSucTRtTvyGpp6gmYCqRlU74qdspzOxwHvkRFL9UMoOyci6miREpDkwnbc4+
9SA66qFzqpT5nrnmcxx6zsrKkFixi+Pozmf0vo9LXx2DInngmbjHw+cA4/+WINNRBtk3HVvelWF9
FmV3RiB834bh0SIC0DPbx4h9rGA9rSc/ezbsgpuiFewESL+UgrZjcXQ28n7OPP036uwc295FasFT
I9579sJaDs0dKnmb1hhOXhNN6CGhcMFxmE+NQfWEeeUYaNPKi+ufwivOjta+TQXWQL7d/DfyKNJE
31o93tpJ99w0Be0G9aRPqVprZr+nkXnUcU13G2MfCVsSts9rVoJLLGf/sBTGPUelWZLLEQwcg54D
FOa9xfotBhi1FMhuOV6d9reGS3Ri3tjbuvkU6u8tcZMtK+E4JmhBKu9DpuYfRvOps2sqnT7xzuqb
Jw8QES5MYDSJqk9GBZ7siVRZcppO/ejZsuUQVCwtnzjPwIPo8w6MZq9jVmB/08NZlQAeS5ocTf/k
hz9x/+Dk4/yTHTMzSNKRge+zF6xJGcOJAx3kkOCXxcRevP68KX4lcBakpkRgOnPMBq6F9btGNSZv
Yxhbz132ImcMC16ODq0afi3xW8YX86lEYllqMd1TEEq7RX1G2SJVjnQHO47KafyCOsPQi6FkOqwj
w92P2AEY0ycXKk+HUOh5KOijmieZNReu9W8dHZ4GlE71aUPJTkGD50j0Ar9eLx1zfPNIjoFLAZm9
rudnpyWVLD4mBGUsm9wxXp5cMouJrgLRuTKhuTUdExj9INEWo7GN0X+UIGRm54eg3XhcJptUnkyC
EzON0ovG0IH3RkeKjhLnLAkdn6w4UWXqsYD81xYQvDqsFGABJA62eZLvHyEuqonIGjxKyiTTAiXB
Z3AZIcMfs3sJsh55hw826yaIlj3Pr8Rqo/+LtRQgMCmvlP/pkNyHBRovmP1Impl3SHoTWAv3PznW
KBhYPPwoUONVWUTQgHgoTbiJzBvvhCMUzDRUD07+Z496I0ljlHy+//fZkrfJ7y1ApqsJPDylkel+
8DT56SD/HmLASaReA28JEd11OnyzMKyUiaR5LDKMal1mjFeWAER22VsS/U3zQHv/zIvpjYcMkxoK
yCbh1OJOfCTyBu0zc7KdX9yM4m9AZs5nxvF9YSYPJGBFlwxfV+NgsioLlG1ZBb5aCCYXxbkVkoRD
Pt8P6RNbgqq50dEXMmkkxm9sk7RD1h9VYLC0B+ZXGx/V0xEzsDGDp1xCoUA7Q0FUSW8aXWyuUdJC
2p2HJO9PkpUWZXqdxnTrhT+VjggazhFAnaKxfhqwk2UNHHCvvDa9SPjjxQrOgKOiWl6zlMXmPkw9
glU3TxsJExZcFRmXbeLYOXCThssMlA0wJN1JfOABNp+pecPsKvULEohrtKa2mfPsucGXFIdTgX6B
FoszOCSCt9F7MHtCXKF4YCOZ74vKWvf+v/NP9pWOBq/ua6vYA/FbzqCrubZ0Tj8kYoD+X6fef/bg
XylyGV/DXamfU4JAIUudgDDlvyNU7NuoOGVyKLbFA7Ef8HjM4liJ6ROlR9CbT4Fr7lLuVmtCODOk
TGO4ZsUHfQCsD2kKY4Rzkq2m8JDE/43yrv0PsXRGJJ+1E3lrKQljv9yWybAKMhfOVnE36LKhS3Nj
vA6Yi+CUbZvm3zMIePwhIomGTxZybJkErKTgNylm4GIshf0yDO6LHBNGPz15eXwARHCKuRMaDJLP
Op6H0AgDa3JHMex2prONJCeIvOuUgphPzB0tsI3HVaXNkTfKPiRoSVFNZJHwHqpwLf87ktNkFBTB
cJqQXeUq+Gl0zTbybdnkrqk9uEeI1//WIdJ4mz6otwnpS0LvQQK/RN0h647/xIT1XWV/G2W3XjjG
YrwEiDKF/v8rWZYeC4pFHrT6lrDMm5YNPYWbhjLX5k/2aYy8rwkQomMKoiznGvTSMgp4CvJDNZ3r
hSDBX7E3FhI2znKUEIDGkr12dALdrD+E6lVqAJ+diATHjVyJ7+F9Vwk4wuIuwbdkjbTGI2N3JWwf
WeyZ/kzs4UHJQuWnXcsEJiGUkK9++OPQVZHNq5sYHGHVUSUifbCraXFJySmZOs1ReYSEQzf8YS3O
6mGpdznZWsTCY5JoAlsIH54LSjrmziTq/9oi+dc8kmSIArxxl04h5rSoeXxU0QhdBA29vH1fmGX1
tNhBIEsrwKA2ljPQRzeDS5blm8qYG9ATl04w46p5c1gn8JambduC8E6SJ3lLbe4d5M+8zDaZA3Pj
04AIKM0Veb+c+FRotDna38g2r4Ma1UEaHi4QyeEoTY6cSKfjFiBB0HKOVmXtQMlvY/VrcT0E1+B7
UURwLCTDG2rIIEG8wzTizo3gbEoDT868mkMdBCuVQo5EwYvr9/ucNyEPhBtp7K/BhC5BjA6ya5x9
yn9JhYI+OSnuVR5J6L5OHNJyYHCzcnTPpLisiX+Du9JZs/Lc8k6Nb7lPk8c/DX+YEu2NqrsaZEJa
Fsuy5IyV1SCX25KbT2bCHDTd8p6IpNpIM43NqkiM054PQrMLuVsJHHTbIoD+1pPNbmJT0aD0UP8M
55cOoXrug/VQxb8XtHRGW98YnJSkAsxQgIHvKNSzbCeXzwos4/xqO++FF6x4jyVtuiYFOCxnX5tt
pUMj70/WqJwE0mSjEchPShNPFjErG5LJlmbjvxNJ4Lq8K5fyeYi1s/QKuRSLklRV+YZ+FBMJclJr
bWoW2vjsF86CxMTm4RHEH3z0/ydgQ1BKJ6rDY8jhhZGgg/U6JCAmPcDYZDeST1DF23xMiMJMlz7k
MGDaADbn1lbIPBGpzLyETPXt42qWcUxzpvqoYUqSgbXVgefmUNxRu/RsG+k21bTMhqOtiNvRXkQV
kPm/BabL0A8OG6k1SwvHUWlQycFKnL1w3NAkzTq8V4pt7YK/4tPlXIWnsmKwDrUDaWSev5xPVmjM
bxIbeYFwiI0NDtN49+TWl5+T6bhhg995kT9Z5rSA7C/Ltw7NCeRdAoCnaqtb5jqIhps1ms9+B5tf
cNaOz6kRdJWPcAv5OCSQCtuHVToksEhBXfk1+KjeQ0rCh53i5Cg6hUn8pigpvLy8jUGmAFP66X12
3fnDN1WJOaJXXXET7Q5u2zyTHNIESvqXoYgIvQnpQjPvUKDeplnxNLe0VYQsgbweUynnXuTJcQSx
s1IlkxlJ4GRBTU53WpB4JJK4i/blUgV3Zv+e1R4PQkzjzH1Nd0i1BZkPILhknGlgIG4ZmuPGs/Fa
w2WqimgMxstrrpdwFtD/caL+Jo35kfmBMWl7gtttQIbMVd2T7DYpHMHf/zUoQmTI+L+fn09Gmj3r
2vgGgQkBo6H9CILgS/kwmly6/HH7LYWWZoRnN01OAPNpJFj7qc8uUeO9l+hirHXnqnfGBaX840RX
c3IxYJiao0PTAezhNfKqr9oeH0EXn6JUbST1l6IlJ9Hyve7Wzugh9JN2QmhiL3851wZuQa5xjxOa
Qa3b3WJmLxKNSIfPLuHZxW77leHzi6bTYyEsAMVDWDWuGqArU7oydOQrsqwt1nOOSDx0GKiAcYI4
MZUN3+AimraArsWtZz/5jAHLcUIrPnLexqZ57gPMa5f8Bdm1k7zWalzAltqiMqieaqO4Mra54smN
jZA6WmpK9mGkw4JoSGYdW9iQTmo/cQRNm95tzZesKJ5V1SFIUVA0z5nyXzLNqL8jNLBh2Wt0OenJ
IX2YUcjGdNtzpNxQ+EZVKje07RgjYqXlFeRB+6NL0vtI7qEDoIIqA38zmTDZpEkBmeFadCRu0nSc
2hLQA82WmQKu981DnePOmfEm5aysPBOcUli//ivTjEnWyjrskHYix3qVQ29QAU0yRYUDNgM69Tgj
3GqXkcEym7ttlUFraSgmTVdftjgYvViaeuCTCn46RzHOIBFDTwlKe1tcuDh1GHubjkcEnmNocBXO
c0RoInjrGog9Iw+2SFUjJkV1ms7/2QD3GZVhxIVUxktvR8l9hhQz19qlK0AVGjRub1YQbgOt2s9D
7N5qxpVrvWgcUOhugLGQz5ARk0Y14rleje7CEEa/6r56VePwLuN8VTovQwehekITmKSWGR52M0jm
3ltzEPLJsGBdZKKMGfosD5KV0ep/gsQsoCKAb7ceKLQRRPGwRudSYubgI4TcFZsA7FoILUgOJWk3
juXLSJWdzCMOtEKUH94qsm60eKHLAMdU4CgsUmFz+KRTzbnPg1a/E4CwzLOhojLDKGFgWw9+wDDb
PTVd4uDFhrg5q0ajiQtKdEv+Rqw3DHRHxZDNQrCr2soZTX5DMrKNSQ0VbBkSIjuVgQ8sV9BAS4d1
BAG5LSdw5+bGdOp3ivqyQQ1q0rUPfZg2VfAtF6ZHHzVZHyfpGL9JNwAhEcwouj+KOq4sHUhnMXZ8
YJnmLmWFWMeKAxTvZ5AmHS6NEDBBjvZ435EC5/5tAPaDYC0FXLXSY5dVtGPUDP4JiU6UILOleC1F
Sr7kDJGP9lmWPaY43KaMgKAAnRrmUWH38FAcsSmQpdEoPTF+QvIkm1mBfAEm45eJl1EjnCD/TB5C
jt0P7xXP0EOrKVcx5JsYa4xu3ZQznQReQ4g/G/24iluO6b51KRlp+TOGLyYyAQ1T3XVLNc8ZmAnx
DGSQzIpdstU2015JBFxdQ/HuZYbK26Y1NoYtjmjByqH9Q4Ki3Id8MrmDAjyKmRanK7YuFUAwSin5
U7rzNZ6KMtwlhY2xS5jiNxqSGmmW/GM0vMmBIktP7/GBeyN7kHM7lTMZtp/S4b+V2aEIweF7xoGG
wclBPcZz+zPY2A8O96mJnvjQnlmcrI3Mn3doFDKjx8k9nT8QGt7whXJTboGsCpmolE/xUJDhSz/i
LpztKbyNzvQ7cgDDIh6VsNA6Z94zdcxs/WbrnJNes7PBZqOXtB84oHN6FHzGRAfD6mEvFDTfAlHm
nv7gYPyV18bT0GbvWqA+qISmHK8cjPFYy3xmADd0QDODTjr9zmHLXfC6wSuuUTr8MFnaUibIJeup
2oM/ATnIkau8HgtyarD+4aGqH3Gi1ihXQC55hAw0SN5ly0rjucynfwuA5kgAmIBHS9PcVtW7pDuF
9znp4RNEl0te1Uc0QTby/B2t2xYZ4vQ8SDopW3lSQV0eIziaUpd1kCQLKFuOQo9eg699h3C7Cqq/
LmqAq97JnxeSc5eJqUMLEwkKA0H6bAEQHL/BIgKX4qtfJGzyXQlCfesKMwObL/EQIpDKgC0bsUib
xjvAozzIBCLimGth64YDaEeInpICVEiJwLpa60ReLArdjWjHl4EGa6C8tMVJBdUFiPV1irN/9SSg
iW3HEm1pdkbeBawAqe1EX6wF9zrz+mSbyXqTEVvC+SyTUAlADXrNw9BhOU/jz2nsvW/Cf82H78yb
7vJEJGRJpNOB1xjkybTJMsPbk87Lr6u6O3Vhf6GxJHvSrTM2tL2TYXddPxhTBF753iqUm9L47pUL
IBE8xFvVyefIQumS/9pJeyJiLvXMTnnJvI7uMh3ZfOtVPDcmvbzZiD5BTb8iYoHyr5qZPjOjDtwC
mBKyzB4mzTRBuO2l/EEzgfPrQ7F+Q5plMpzLDMQE8DiG21LudP5R8urcH9FVoaOWWlAP0DphXBEQ
dQiabYgAcAzNvCu855nDOWmQCyibU44ioGvktLTgHZMdyWZg41E2EXRxYyLjox0Ue90dZLKIgaMN
Ma9Av9FZ/lnwLnerE9IS4PvhARGeKj08sjHkAaNZhD0xisZ1nRxSBO8KInVleYfRcP4rc+RyG6IT
TGvCZ9qC3Vrcn6bBFEDFe5pYO58dPlcVYn7tPTXdLTrvAHuCxtniEc743vrVxA5eFNqh9ttfmtve
jRGpLjBO9ex8aObyV2R4YkN9eGO8NYhdaW2+NBi/o0CBs0Y8Z4joWsPRCfGTbjbSTi3dYTfnOtDd
GuZaDsvGqHZ6pr8Y9kKh4VwYtOCCXh9zArRJqtVZySflkhfqW003DmnTI3MmgWaO9nLmwpXZN8jg
EdAPnrK/Y51Kg1VYER0Yz/073gSgNXWavfN5xts6Do4+OzlIkwmcG+JenMGJ+F367m60m5Pmoo4s
ZYwESplKy9EsW6EhreqqESMW69DMYPVHPrh0f3ki/TUF6Y+snEqhJjNWjYeF5bjyR+cOzCDRUuul
i37Rsd12aKDQVjhYCP5dknD8GvzyEkYgyxtUa7p2eCo6fy0vqSvTAwFFshFpymDutmPdYHQpQYGi
MIJk5eb2GZ+MvZyvFWalgNe130Zd0pMta9rDAYg3g46eRie4C7J3t4QbzKEjFSvrCEwNAuHgjCx/
o0cgR/nv1m52HVuMriZEuWQtZyZ6al8yU5cUUwYWsncV7QiUJ3Yl/10H36ltIoiEz6J6kTYeL93x
Quz5mKCyWBPHepab6NMnD4XTurGuWn21Mz4epAG9hTQ2+83kOi+JViIfWr0YTC1cQ02bURrlYA9p
GYbAweRODVOdixnum2kddY9M0UYKM/UZyFsciCNUQ54EEGL2ox39ShROkbNl7Qj8yVwCq/iUy5oz
WCwUCFmvA32pBdJUUqf1aIghUrxq6WtL9KCdKDm0hLOQNxG6DT4dxEVnuTB2mWk+S67iDEyFaciI
uYSf/FYKhcUyzFBe0YM31wRpEJX+rh6GvxivIqzb4uRruOCNsScooOui6VTTiWWYv1W6t61Zi1mV
UE5DDvw1Van9OoBu6ekpQfcFSr1g94RqIC8vT5ne4ygZR/PJTrle5FdsfXiaTQ6gGj+UfSno1Wow
hHEc4TwXdp9ZjQG04xn7OOuuHkCeCcSG182XHFfHhYycE/w0OjkUGpfpp5vYUNTAMhIN8RDYcdS5
JyvJf0o/GLYo6PdIR8C27ACCBIO9d4ekuMe6h/ItWPCcefDZnDUDBAj4Q224I2201hXUk35A4LxN
+p+GY4fz4VW38z9NNoELxgmhs6DUWvW9teyHVuTXUHd4UEDN8Xw2hh3804zXUyYvdtcdhg5rpKB9
WAnmIG1rYeC26BsX/UekhjHCCe0IBIYRPFvIosuR2lJw7Jty6G828W4OnWy9IA+9aiasGWHzVZHC
vzR4NqhddA5xW7AZZhU8maxrlzju2OqUBBCGfPPNKesLXStOkJBWpZ6OBmF5cVd5HahNZQEb1pbu
WBrdJ8LnRznJLV09k6ScI3fa00Nad3bx8g/ci7ztErlnRt6IjC2k2MOwIe7hvzWA0Z5x+bCtvbIK
IizaKyzGQb1qxvBVwmx0RrrNRbLzyZsxmDqzWneGx+wScacwKA/OMHyBJ4RtspyVn/y1Y9qFcJrY
PfScuYrKFq+IOSUN681fQJyBI4Dkd0ZgB7JeKt2nF9J84cIAwbAEvZf+qarxbpHWwGPZyBuIUXu2
puh3UwDAdZqXNLZBWI0PNQceaDhYpiaX5DssgtiAMMg8TdXRAo0Hw1iYw5DTL0vn/Z498zxk+S0z
eXr0OlbkET9DAAErr+/IEn9JCdCmBhXUgpIiez8R/xnPO8nmDPDHtMPyg4wJsSfq/hTTBYWNQJ1N
/5a+kdt3lt220sJ7ZMU3C3+ipkX1XCZbPV7d+NAcC747ImOIlPWdTUCUi5YQiagxs7t2Mzg4rjWS
MOfmIbArRGHaZa03424h2w3zcTvp9R7kP3JjDDIWsCnwth9SssQppaiTHCKIVi4LyWdbtRqlXrm8
+423QU8zXCV+/p2Cpwnr8KdEJqxCytYgo51U+9Y00U1DsptmOvkOsaf/l8wspBRO/OEkQH/06ebV
CVn+rutGWsf9Fh76S0HL38TsvsWhPew2NPngkdNhabemC3M6/4M2OeY/+iYLEJHJSroGnVqFQBpR
IeONIoSjgbcWAAT8GsT20rVpfJaqudiMcrxeB48czE/jVEKnMo594iEKEVeIPFbW1WzGPyw+3jyi
ad4MuY++RrSNs/jmMaQcmoYpC+ACqhn038OVqymGPdQ+6JxvdV6xray/QLDZwTaMl5nxX+Va+8rF
8zLhzUSjEK58pFwCBDTmJPwyMg1qhPnlNeMBueU1Kgu3Bh6Hq1DECEIyywHwakda2/oDfdfYoQCY
PxfMnJQ3BPtGpl40CdDr/0OJmyBM3DxoFm9CjIZ47KGaN91EO4n03+XINIFtuN5BFK8ZiaGx5gIy
6c4hghWt668aqq3Q2Y/MUgpwxPK93C/O0RtDd1fT8EsczNa23j4iF2vEAPSR/KwXXhO2kaX3z+QA
kIbPE3/bcIyhk7oZ2hhlmgatZr+AxQ9EOPcPkx1uI+/dmCaag8NPQYkeNvprnrqvKqJdieto3Fjb
pjVRq4t+B6jBYNkQruqBtgltdFq+qUKiBp399Yx1oeehBRPZKxtyR8JhlsCyzCwH5xLK48pFR3jG
WCXLtvGM1nlFZ501SXHW0gUIxwyzYlrTVEEtFWzbXrKh3w+a84kNJUCNE09Sm+y/8JjBHKtLGg37
TmtPo0f/X2ZAHDqAKPhDihH+ULTryYF8y0cRwl+jvYJkYIRu1LJdBCTspBuk4JA2yjYB4nGSpxAf
GxoFyI2SVXGS8SA5apDBwSKKpCquy4GuHJIKFCcmcyDZpgoze0kOqi5BhywfvKesVjTKfbSQnPIC
0YIHabzVPSqLlBK2SZ4b/hgIB2up81mTgOuAkkp77Anm886cpzPt7Z3rprhydmg5kHtP4y2ou5vf
MrhuQ39jcP72COcjfWI8GyJDMkwdneh8azGxq2mF5EV/6ZH97DVK2nZujk3QHUYfLbrRoPUHKJXJ
PNfs/yTAuww9eeFRyUShqOevRWmHDh1Rjt15HeAKm6btzYe2vuLBYXnwtTBZaL54OlGKVrUF9wvQ
Jxkek9qdzVnHoyOJfasodKcJpYpSb/J142F00BTv5pxcJETB031NiHFh6q6yJbrIYeBP9sXO41Nq
WyfwY/u8tbK9wmJh0HzYimy0fgoOM+0zJDsP1pCDweJITQUnp/sTZyQFSeu99IACkPO6GaDIHG16
TZmsZ4Px7XTLNujGq8fh3PukhklzDOkqRG3KXJ1Cyh8uMw/GjVpULyAbp0l/CV1wEeBnDURpUrKf
aai22jQWbHgwos0RnX0ILAjEDEdvGhEsI3Mth7PjhBuVY4o3RFjKGKfGNj84TT8DTlzfdy/d4B0b
7x6byAzltClAKp38lFO0jkk3Q/3TMmFlBfmFl7x3TZwD4IZtmrn9P47OYzlyHAiiX4QIgg7ktb2T
Wmp5XRgjR+9B+/X7uKfdmZ3VtCGAQlXmyzuDe62WDnOzgawsZP80mfg42TsTtCEs6rjwP0eaOjym
g5QXgw9d54DCqAgg3q1pC/zLq3q1lNtLEWF08mhh2gJDxQkjvsYOmQrmHaI9UJ1F4wrtwYmchf20
IHPD13ac9v2MuaJioRp9/tbC3MU/scl4rnoUY1riCWCq2el2lxN9pur2oyphLJmIcxCS863lcgun
f2nMfefAYtu+/zdnnxZ+2WUXcIL+I52tx9Cz3kOdPLNwJFeGwiHwdaqyF7yjycat3myXm55pm894
7ta2jHcDFQffA60AgCy0Num8qTA99xNYKShlWBhUML7xpfG4w97YGryL5V7gc33Am3vmD9C4c9ia
AzqiReBujcaCT2DfFeH0KOmbPJS8sWny0GGp97SczmVXdd9RjeSA1LW9TbdyabEIy4kpi4HEcxRu
ZjcqLz5X+3U+4PxwX+G3UFahyjXke2WIBg8L2BmmBMuFRzjlk6C6ZnYfVl+9noqdazmgTlRBHKaY
nnDwcLKNX7KTJTmL6WeNBDRCHNBxOWz6n2VZgezfpex3SPsn23cXYtZHndaHmv2js5f+gpmPN0L1
iHqu9MK85Qmz5+5XDHLjWWpv1+rcsIXkLPBVjsSBUA/2PFOX+v/ClmQ83P6je01r8UtMzpelin/J
kH2PXPvMxl6n6Gdmiw6Jn0FQ5CtUHdyHUIAQoenHZWoMFD27zKZGi6ZjTiV3q6x2ujW9uVWDtHdT
mFwFJCrIyyOOY3Pr99ZlCUhP1RfZh/9MQJibjNv3hlhw40DKnj70HiYRE7X/Zx/L+NO0u+Q4z4mA
EekyalBEfvO8DWK+pjYnrv5frIuEwcMl5Q1oCcOZoMQQEhlSsgFiRTcsrK+E5GWHvXt59o00PIKs
pC9MSKup7kIX913wEAjwlmBUSr/5qEbI6rVb9NsxeITYh1SbYQeMzDeg2N9GW58LVZ3rengcPQoa
yS19i1X724b43YzMxqQ18FbAAQiB6NSznWFHPtNXjJwaMvEl6v3oStW1x1f17TROsu+6AswAnetA
dcUahvUZY9ER0Bw9Bh6FFpHqLhTFlm1npEfWHMmgIUlKezyz4BNWGrGjiaYpHDPOOHkZpuxIINmj
OXA8OUOjqF/sBZrKEl4qHmV7UOREcZ/0HakUWfZZK6DexnzrNCSFQtFh6IqkIgxvvB8r71TNZs+g
yrDWmVM8pz48RBc76a3OOZGN1n0eMaJkpn4qHOcr7qt+FwQBs4QYbrW+LZ85zo8l87LpiIES76Tt
UfwEwOBJkCF+xigQhJvUzdjXw7CRG9G2auNmBWc11FxIH+iu2cAaS3+OboUkgT3XHZAde0wZMky/
uqh3OV40JCJAL4zqq3Fr8Nas1LHO0PdXsM9pln0W9viQgqeNBsZ/bc9CD/RycMRiP9Ouundg4KMC
x+rL+jPHEZH8NNBV818Czx/XQeSBuGmEfwxBp2/rfoiB5NA+mvzuwXS805yld9LuaEDC1YwZFWOq
8reDB1AamEU1XaqO7RMM+ouIWKwGebujxiShHfIyPO+9yubHOIs3Y5d+qDK5mQMq4qL+DT29qfLy
Utgw76bRPfAdJLT0wZ9Chj/Dztyk41J/mTA28Xgx5YtWUvXRqz8lvMSQWQffXllzSyx3LvR4FEco
VgIgVtzCw1dDdXvOAaTfycWp3V2CEc+hkd6N08lLfbob88lt8r1hpZ/ZAHbfcLID5tYtjIhdmThv
0NqZqM/Zc1oUJKsVj7D193Ps/QsMfZjL6TsU8pQ76bYaJR4oxHq29xJP2Hcol+rKKNeDF7a7YCqe
ZkUrzanD3yxWsBuFRDhRtq+BiUGxdM/MesyD7XSY+UuXA19TW8+xSSU8tM0dg7mnzBmxXzndw0Qm
AcJgHk5JtF/tDWzyVborm/nHHxcNGaMYuJl2suHue05Ey1wYZqbZWuxeE8TAlnZx6ozXzuzeoqDC
sZQ9Z3VZnGhYcoGlZTMYWPnQXPcbKxix7tS7wCGujYYj1kI6xutQ28du+UMMmzeVzfVgrOhgpTKF
c1WWH92YFGB5jcMSl3UyUOR+Kj4SX7W43sj/IDWMxQew1277J0EogoKvtVJwa11jesFbfzWl80A2
N9c3PpBdaHUMlMPhV03gF62GDwcT4d4KuAC1lvuZzfbdnPCMNikjUlBP55DEvPseFRJqZ3ZoNc6X
eGJXi6U4N4P1NKn0WxUS0XeIuGxsgNH2mNZAMmOH7NP+kASu3PkYNb7DVqO/t2VLvPpM/9Ub1R8T
tmeTpNsj1+uKiycbcx/4YHxKmlkE0WzIPTRWulDDJurBWzvj+6QLuW9KmyE1KxYPPiJuz6o0j6Z3
bCGrxXH1gNwx2TnFtMSp2wQsYx+V84Qdi8Q2otRKhdVSMC2EqXane2I2G2J0Uq1+syT4U5159Oz2
x8gYYXLqqSCmf5GG/WMP1FGQKbMycHrGYR9tyYC86cLYO2jvNzpHbZmi+cQzz6mIs6ejTTiUfnIi
dyO+VAbFckg44SZS/l8KwMupqUAnvPSwVfCSEoj7IKv63jWcJ7uN+eBKTIyZ69IcL+3o0E4smMoi
AZhLITto4BsHHZWMLAJysPUI961iLZPNipI/DIKz8vJXFYI5axwAuoN3q2rzx/Rc/2H2Y+u+zbpl
5qHv68p6cMa53NG7eihhMK9Cn+47u09g0ZbsVOgS++Wh7IZLhtO/IkNI/YzR8LwIELCqFOs+tKnW
J8jd86j+d0q6lYQiPhuvQTHjJaE45+7NJIdaN2yrYoH+rls9+atZQErODPOhKpdqJc6Hla3sh9GK
PpKx2wd+O63bQt8qQmXOTtZzcHvVsNL+BBGy9fB01Dfh279CNY+Wa11Lh2tXCdhnZemxXVEnXKzB
PcwJQryxCvdjVSIWtyZ4/Z4PZ0U5e81hUQGZ/F8VBYRUaLGv9XSBMHdxNaCkQuMqtoc1ESfHGSGk
7UFra9iasZyu2zYGWFNCFiJMjwF9M3xNXr+LgpDxZ3wqMGTbDsw2mdgbog6vfmTs+j77WKaMgpo3
c+yW9te48Ur3QRlcnaRqnW8Viec0NzgeAHAZDFps3+f5gfxbBGSJO79GMv6mgs5bTFhUpJ7guNxo
qVRboZLkHjEYXNSa26aNrbBNiQzJ9+htjpbD5hRoQrbL9eTH2WksHVYKxvij11PsWyVbGo9G9E4M
SckNidm2b/XyQOEYcLdPP2Kblp9SyZHR+EpZ/ZOfV+dgxtGeWiR75vp9CFwalyYh85kO/2Vkk3a5
RSJbeeOI4GX1+XlgirAq2vQKH5HbXibPviAr1/e/ixj8dUwHSCylTQuaLs8FDXd//jAs0JF4IRat
JDPVZsFRIEpxzbfcK0lN7jcIwjj5qrPMi7Mui4fGdDA8ekIDxfblKauKO8no2iYDd+sRdkMZ2l4a
i4GPyxzZapKH2SQqm0cUC3H9lw/jHcmKzxJEZZYIprghxZ+XieRZxiYNipxVWp5pnHiaJoNFGEWL
wgN9E2WpPgfpYgotH5lEAlIbuRMPl6Zy/lTYK06W+im2ipmkHzbdDt761DhnCheON2S+JRGfK+Vh
jEyJuapUus0kdwRpkKtQNykwK5u7BdAQA6UmPGmtAeMZWfhJ7+HMQfVXWppLcn6KRP24/PSMRAt3
cO9Duz3FEeWXRZfJHg2EH/kxBVgdzBN+EEbRhWge7Wp6qpf3s/yv2kqFXujRhDyYqGIFR0ZtOs9j
DNGDicsjO88rpjJ0PQOO0/GQlc7GCf2TmbI/aYRHVcLsqG3/lhTIrUm6ThN+V4h8Us6g1ajqB5x6
aLmGbB+HZI0tuwgJsasyj16GNr8WyvxXpg1p5s12xI5PUk+Gy6v/hlCArsKfj306XRZryfLuW9c7
qVy8OYRh/v+1JpyrZai6NdZZDgxJme4UG2FOdJPaOy2ci1V6d/MAwKtwh41VOdUP807zxY01wI1s
dPbA06oTrStUionGF1An/S7pLe/SJT2Erilnhhm0o5HRZiZ+bhMH2tynLihrcAng+KTiiiUhv7V0
1Al29YgiTtK/Av8+OW21fekKMsCl3cBMGsWnMdPHSqVvb3zZQJlIesaC5ozwOrIJDbAA4HaRfgl7
P4DxSBeyMYbffPDS0xjbOCcKLbZmkfZrOctmAwqp/wrTwoOflA3i5CFk8lYZxop93g8kd5p2SfsB
lZdBqvGjn6jkFqsYSgko4P6khkK9VC0N0iFosGdHVTCh3e+q8ACqstxZLlOGzI7iE5cyjNFDLx/E
xFAavCL378adXszcMQ9tzD6KEEA/m4xkyoZK1cg1LTvi3KPq6gS/AJIwUjUn4iY6m7UKNN+SKwHU
cmzvBvM4jtFWJAnBNIvGD4eGsyqFeC7tDz2W70X+sfwH6KXH5b9kUQSYSLgvpQ+yDkERU8oFp5AV
+eKCBE/9r2LCHwMITvllObzW9rtTkfrWB1/eMvsvEHHamxEdS3Hyk+Y3JGBc8u1hJV92kcg6+c15
8dAsv6pQY1ho7lzUYH6AZNLd5cWLhtbRCn+HHErgtSuqOzwzA5XwHB1TKC1FIHe4pqbhZQSj5Oo/
gmK5m7x34G4UuvGBhoEtb9JEQOw+jZ3YZ9GfK0kitj4dVAOmbHGYHb263rptQDcEbVNj4lmp6VnQ
7x/U8/ICeXMya76iojkjOtFkgCSIfKMM/JgXrEr7HU275MXnNMM8wsVRp8QaWktLBVySLsHfQqLZ
mjzJpyEjcbfFwm5kHwbaOr6dlLMkj6LnvKMT7aEXCB4n3iIsNB551jgeQwtMUf7pQ47FPASuLEUH
u0iwMJV/WJIkweJk8iHywSnPvvEzzQZg7ARS1oMxZtV7/kA/yH06+YsGbnlR/KOzoTN3JzYl3JpH
M3WXH2BUi6/MYRzSnFRbPphUlk2K0BDc8Lat+Y3+ayRGZ/n4ChIO6vwX5bg50b9kBEbuFGcjhIyK
rvciRhjevEVpFS09ZL5QviJ+jQGN0pDCef7CE3ngcrFe/DCL14q6/D4qbolb3LitHWGEctJUp77W
x0n3BwwHX2McHcbC3vGttuJi+s/lCEygOJVtgS+Isav7rCNQXvfzgDFd7XiFvNnlxCHUayctpj1A
rEz6FeB0kF5rtYblu674kDHATVa+XhaKY/54g/3EJ1Jw6NIoWkdGdx2sH68Q6GTq7WBAWi5OxvCQ
M/jgz3FaE6dQcUPsMCHScLdTE3WoX+575RtMx48WLbSSv6aMNTf2R18Ah6J6J9EtebIFfPcyZuBy
bTmpTNqSPEYsurhBhh8AkOL+a3wUmJ2E/M29ByfN1wGdm15K4CpFfei1znEb4X0t3HpYeyGNT7+K
8ep9mrzHZXEbnb2RRB+TrroCwrRu8t/l3Umi5GqE5BlIz5Nu8532P7u82pg48m1CGco83VdkbnXk
A/Cw8P14jbgPjZflZy7/gJhgt+6ejGWww6hvGRNEHV+iXFZXW8BTkL81JdXyOpbNBaTfB/uDXl5x
XZkvcwTvtFaPxsjEfX7CyCpt+r4oBLxqOrb8n2lT7pe/hu952Vz4Q3S146nZ0zgl07VZHmu+DcIg
YY8Zh8SCIaM5A5d33JYAcKu3vgr2yoou/Ii5CPAMEqXSvHZVQNNntzywnpwRBp6wGdF7/13WQyyj
EfBVcFvi8Q4zzP42xQgAN7MU2zi1uaNV4fsiPItSY2/A1DPGEqcOz5bVV/txrn5lMr/Gcfc1RUiB
LfJloCg7n4KUTnCmh7abt6LIrvGk/D3OYZucStPHT4KXJnLBeZMeadT+uahq98RQbLsgaBziM4xy
fqX0YFV3/Fg0KYT1os8PaG529UucG+iASM/wLGYIhfneBni6Upp+gYGa1BrQiOtzzEmPtgL+gPUz
jegMK+8YJSz7yfxKrO4hBXqdpwkOCKaPsrsSmLGyzI42N5yvScLFrP56B72LGBrgahiLR+Vyw8yD
cyP1hqD33YCGxFXdP2Qu0blzEw6e1MWqwMdP8ClXiP1oJczKnPKFCplpez3T9yDPS9c5F97u4rTc
R+I52cpIQUSrtbOfe48Bc7axMLfmtSFPooRSIcYvG0w8R9NrRHRjoAtkTbCVfDKeiDOI1nLE0gy1
8kSi98kgdHKmV2pYUJImaGUCOHLFYqrmS6fFM+cxrBfKzKE/VlN4GJpw21V4IuvxIgWDetEeqp58
ZV+Ne3uu1Hmgjmlj23gsGJ1MieB8QokX1I+tiH46TemzHKQlDWdEaKcsYjtKO2YkjC4Sdz7PZbyf
x+yk9PxkzUClnOBhCV0vwPvWIoYkQiPPQ2MuZvC77O42H8xAb+kgWwlNC8AfntXiw+FFz3BNfMdf
x1N3nud0OxlwED3dPFm2Q/ukm/7hKfk2I4/xj15DBD6OTnNtnPRehfKl6putwaSYUYKJhYmTwiue
Pb9/tvP+nCBhNwSjCkxNqzYwHkM5HHu+SpCE6yIm/NcA82S0ya8li7MKawIsUT2WQTHsavGhIYqi
c3Le6ppdwMiMDn9Px7/OFTUZTW2b7F1A5PSFwdOmu4Hrr0uAtD+RRtkxZ+gDjkDQfc8J8N/Rdx65
YP0NKllcen7D9Ss519GbGwTIWpvsFnTNUafdfSvjQ9OYG6Ozjnzt2HFwK43BWfTNRSuEdVg/D0FK
x2DAGMG3tgurRU6evCoZnWcRetiG4+Lid1UGIo6ErGZ5lkWe1wffdL607d2FITEacYtMMmFCaE1U
hlpj8xEOd5ecr9F0hsdSo8hzygNf1wvcepC3Y7NpVbXHMrDqqVrrEOVVPTTnImUPDwu6wzjJDdQr
ckvhsbWthOuGdkCL6Gc5jMT6DH+VZTwLKFn2LPfoWPQ6InWngYy6zuSEHXrKz/M4XPFCQ6cTWfTu
TyUQB70PpkW8UUO5wwAyIG+ziOh1XpXVPlrEwp4qGLOqd+tDSlwR9n+IKCYsesZ6Hmw9K3+nYb3T
cfVtDwFYUxZ9wGAAZGVD7kjuIPjJUfmSHezEJkLc6M5j6JUmZoX9GIddjWSPsB+6Alg3koCMEmvy
bk7cNnukZjy7LunzyMNSvJVzdJUelePkQG/qt7U/3tyqesh4UmT31rXlezpOh9ABFkmdBpvGOybD
8KyQyuKZuPaJwxWFztbsbrpqhFsO+Bi20Mjva8s5+eZwatL40neLXN8j2x5pqjt4B8fpN52kNWvF
4hRIm3ROUZ5y39xPrvU9OR2IyiT54m6MmrPrr1Po/PguEUz9AODOMy0eEzN4cHP7rdMM7oELbhlh
HNrSuaXmuI8j78mOhvMYMB4zjOeoCXYka9+BHaRzQC+xQvXXmwz1l2cozOvfQRIZXWcbQ8M6NgNU
qLDoGtSp4YTDpTzqpr5Y7vTou+putrtHHfmvPi3irPRPPbv2ECcvAnGJQbVD2C91k0QVG2G/mwEb
unX3ivLsVNPddrtwTSAHszfrPLNFru3U8nZ8P2IlyejAt0KAlNOhcR/Tvzyv6FiI6Isxw6eqzO5Q
cU3tLaAS/CiPgEw2TuTTYpOE8kLEL4OSlN5PV33jttH3KmKuQzDXi7+o/sEvls8xAPuVYYCssVIb
gFDFBTGohmMj2nPZoDic4ppJhaNa3OdLApQOvp0poAxkto5DBw9yvSSXzCrr76YxqTZBk//JevgZ
4+qCdZSElbGHret6E0XY/xkKW9u0hh/bsZ0NX3aIKXV2ngolULnaDfNnS7ekbTa0+epp3tHsdAE7
9vW2r9Ee14NiiJOQ0WoIpbcdAetbuATzNcwEE8Wuiqjwu/4tyypxDivOkLb1j7oKzm1b772qJfHM
2RUBmytSyPdCg5nRdMksFjrZEgeCYU54wc5V5iI4GJJ9YrMnmHZd732YfaBxBOEduYOeM3afMyYM
WhUfYYOdsrDl41yluBVNiMW2DZeGBq20wM2ZBazhyeOaH6X+rUlLVEVlCXe0La+xWdiI72acVdnn
PHWsLC8w97It622YujeC0gB3GM1KlMk/ExoCCKcOytHUtLRGGmbZANEtU0MWXtrvoz7nuX01W+Mn
hxkQevldmEA7ZkgwrCtNRlDDuMJoKD7y6VwHzRnDI/I3dGvNfiDHfdvoDvNr4F5Y2WjpCD0q9buv
/FuJpEKn+RX9wN1cpEzH2zpCWOWJn7kd3xWLELvu1s1KYkg7TC41kacqX3jk7btdeQ7D8faBe/jC
f7ijU/AoGgK92RLxeDxogTF+nj9oft+3BsSikjSj9TyYWCGjdmfyivUE4pWEhpPoMJdakMRUqMjs
xfuABuQ7V5wVHnIqHvZ/VWT/i3omulnVPTZk4MX98NtKcV/quuPxtUMa8aAVPYaVjAiKDBck0Ugu
gL9UN/d+TYfHgpDSGRv839sF1+7O+TrEdxpo9UlS+Kk2GXhFgcejCIkdNOue6PjzBOVtuf7YXvWa
ZC18EgKF+p7ecpbuaBS1+3GoBMoHKI2usI6irQmFoPigmKD4wK1W2d42ZwAUpzljL5qZMn2xKDNJ
H7un4J3fSH7+GNrgQ7l5fujmkuHqyEQ7ox3mKo+DxX8NxuI7QVjpFz0djuR5FC13aHXINLTwUhA3
RHejshwSh8moYeKjbs1Cr+oy+xIMXba32Kvhc4hPkNLdzorpO0wmLV6Axs91au2US1vYyVPCeZt9
NxC5avnH1Jg23tQ9N2pkfFDcIkmMQ96S3T43yUsm2C4HqBpg/1nUiozQtkQW7wJMsREt9h5pl5bp
2ntGRzdh6J2T9OE+oOZDtzVttDBubd0s/YD+EFrzXRyVDyQZPJMv8RBn7VUF6c0kyLYrMZrMNEHF
1PH3G5CFPL47ciThCg4ny8GtuEQOAG7fAuymDs5nXJYdWl00gnTK+mS8gO/89PkMWjv7KOf2ahrZ
twEFGqQxfD0ZcTJDIxWMywYGjEw5BH4vRzVHg7jhL4Wll4U4oJiXzb3JizQicmUXDYmKbiHLvWWp
WOw4ldMeUmrUwJBYN2I8gHZaHpYI0tiXN2WPpzj0d4IJ69Hgno5/9EWzObmE6/QpOWejQ4ii9JE+
24fOmf9sxMc8uvSlbRfZ34KYsLJzEUc/joOfoXTSCXmYRUMP35U22TX7nm624+GhIc4CQSjiIV6P
MYV3uZsejYiWP6gkyWMuD3Sm6dePTIfI81i1bYBFaMCXogLwoRkRnJgfXkeB6acc9lPJkmCBTXGD
Bc18ygQl0NwBfJKzWud5QpPP6smHKgfmnwgAanPN2bDJJfBdL9QHJTp7a7tIudGEEbjTuos5Ur1x
WWCoM7inATdjMWSMfDL8lJS8B9GPH56hGb0qA4H5cKcjvWX8v5M2CeJ9yxgWsVNqvHY5Mpt4yZ+b
nQ+d6gKtHJIpQT7wlDyEsL/DpY70EzFubC9+jnLvij3jMbdL3pFnQ/kcuRlPBZ11sIV67VN52XMd
r6fQ4GwUtbFRNQD4Etz2IcoXkK+FbITT0HWIjRW1GxwMOWZfXJfwj5HCya5rC8AdIY5JQx7b1trl
rFeQhsROg2TrsGpH8XQRVnPNC+OpnmiUzMFxjNQhUtkBpcATGk9uHBbJwCSz7lpuVUjo260D6Ngr
vZ2uUWW2A4m8UX+XhvNzxBu1uuhcNYsOBTNaZNPimNCWzvKFp3EdN/mms1oyEsfhLZ9ZJKRAJK11
8K1uK6koujm8Ag6vn3rUDFiFYCAvXK4wxI3SAiNI6vJcLe4sK8i2U8OEzEmth0zIY+wEyIzUcUyC
leVPu8owBJNCGzMoHhXKfkZZSRzvpwlzf1JaI46e5H55OMvUJfWHVtSEYjPJECku/zIhFjf4EhGH
na2B0Useejurab1N28+HupvuUeFqUr/sHtlIc2Ym8eOp+CPLkd4UozgkVHE4bC068bT0wjhtCbn1
IH80It6GIXrSMGkZ2EM33cohS7jkV08GO6JNWkKS1iP9/QW/XGnL3vqhYl5R0Dkx8nni8xyfknh6
8uOQEfTw0hTeszX35xHuJIeUdTapg2th/7qk0QNnotZLZL1qNfexNmJf8p1/mUS40pnGfWbLraKN
D3l95aPdanP8r5rjrOpvTMxhv/oXz/fQAcld3Mv9GJCL5pY1DE5XDEjOw+ysBsEQq2Fyks8ul8a8
fW0LA4CshyR8DMrPhDi8YUweey40SzbP1bLJDSY/BNh/HalfGnl/0dLo8fhb0yL8ER2mxda6+qzF
xJtfDK8074uEDj+DjWKRXpDonKEATBk1VpH6iyd6quViXXXKV4YOwB+VpgMEgA1e9W428p3KmofS
dZhAQZLgeoTuxu1v8LHfIPsTXWO82i3rtwZxnI9UenN4s6rxZJeJuUmD1PmoXOqysJnvTBsdY2lG
51Fnr5rEtnXYswXUHq54WRf+MVBVdZ5Tn/YaU5BVq4gbk+MSZiFWtBUAlZsK22qZ/1EK3yyqO7wC
vDm/YFCLN21JI8OTX4ROfq6I5mF5joAqJLYqYll78sST1gHvZrAxzIzFuo5JQ2cSgxpBHhdULCCQ
2Rm4HFwz0bsnrmCfrjVIwBeSLvNYs2nqCpUtTCR3tl5q7iluOO5dbe9DFMO4pdg3Z7/ktm8dk4rO
hHbSc8r3mNXhO2NJuofVTOd2aGEHcRpYbJnbNmne7ZFoXfahDBppHu/dZmrIwtVYrKUCcjtjpsn8
w+AmhypRrxpOeJDRnTfB8m/6BTVthuOLac5ksMiwGW4ZuyU3/X4bIBF2+p5wRgndu4x/+Spu2ICs
s2EbR4Q1SB4ARN+qMqMyacJjKIMA7BuJq1WdGoch9X47XypGZzO9cCKDUdu6x7CQ18ZrT7pCYRpU
hKz6fXP2exS8SZrN5M8gVDWHo6QBFtQx3d1g+Mu9wd+nrPPZT6H8ubfAZFSCPIHpSot+RonF7ssF
GaD/mYyio2MoQkXQ46BAgjpFqGXQ6SePSyWJpB1KV+PE8b7rQtRuIprWaQQjurfjb4Uib9XiLB4X
YkWT+vQ8BSgeMDkZGVWrzG0f3MzY03HBmecYfw35nGbi4PhzX9B4HZmRezxdXPDT2GIANGcn4ZMM
FMzxVYLa4M+iRSMm1mFrpUVRHLsex5aZs3K09xZE+cMUZDv0P2czjHZxWl5mhUYzn204ww0SzM7q
n50IGXvQSHfD5DoDYsV2ofhM/nIxVRxT3JjjxS7d5PrYOQS09xb5z6W8D7OYKHqD0wf5bEYVsXeZ
iR4bo8JA3Yx3hh3CwFqujUnkPBOquy9N/1qH2X1HHgDMERoAvQtarGAwthcslE2d9x6ZVC2ZgS7Z
0G3sHLO4fhg7+y9HfB7V9xaRjMhiaGrY3P05Dn3kzH0XbAjyWC9JXXFVPVWlz6m5ODe9mNRi6X84
3bvOmcs6A3NQrOHhi6AmaRrgAqPaExZ0jmdrnScjLeXwBdXkZvCatzHJz/noJfuhIbyx+817Do5l
Gzd/Jyo5N2SwUZksl6K8dPRLFQOLOU9WcQyHovabf05gHBoj3fp+fiCfHRiI7Mhxyi2oBUSEF4oO
r0CaJZC9ga6iRibEB+yIvMMcVK+ykt8uiyVxwZ3+6hK1fZsn9zNdKj8Vn54D4XTBffN0bM18GbQF
1zAMH6jUnwpBv4G2MX5cmb1IBpqkLj02y3NkYYYmkzBNyzWJpl81VvNXWqUvMmLBKxcmiym/sVqd
O+xgs7O07ilYQg+QCBI/oREfo25xkSQQSeLC6mom2v8WamxY+oADOzDDNqMGb243IFQea7vdVyq/
uOH8l2EtY6opGER41NPEnHmp88oOrup0OzAR9qfofvkso8q/jFG4nfRLHZK5hbYSyNhjNpPT0kUP
xTyBW5HQ95b6JMslkICBqQFaUsyT/YM/VeOujcq/NMhZhcTudkxFCYbqkm97EWiySwYNEJjkA2nq
uQztraLQXy71MhIbSzKmInKFZPG9sWj/cWiGGQ1tNHu1PneTeEMlslUNpuMaWZFFwqWY6dr07YmI
0x1Gw1e4IgdpBCgT8Dbi0iw1oE80r9DU7fvlgZwKjOLUZLkw9sPg/6ZVyxyYjkJk3XIf1UMMip+P
Jor8fatN9MQ4ilLsgsOkzmMy7lhhP0Ufcvxzs8kJD3aVQXgegrsVqAd0SzwofS6xhC0ObbqVrWiZ
I0z2UySim/Bq8Dy133NjlwxZSwX0KDBomfhMG6KpRqMKPAqV2abDgsbi3k9W8VkY7F1uJa6oW147
uAubfGriC8TuGIN+vZ+Vj0LHm+dNmMvbVBX3A3jXgWwTB/iliedwTWMUWoEJzwcBlsxigLpKsCGi
wFvb5KZviGx1Dr1N2nsjURCinPyUU3CnjYjWd1kYjxFgFaRVZIYUwP+p3K+ga8mSMIpgY6vmpQCL
ZcAU1i89TWjFq8WShXtpuGtTfx2UQ/yBhAHJKkqFCHXEyjFd7v5s2M6yNWhQdZX9NBbInkcFFbh4
cwlrIG6Z+w1wDeRADM03dOAZh1kMU8rwmhrPY0AuxThsyXx7SOg7sUywa6TXKETKVdI8NLOvqiXv
PcNbb2TJIUnKf9kkbyEKCCTzzMGXJnijlrbF8BTmDO7YHF/spoPuqS6VO9FrQ8jAXpRM/o4PbJ+a
vw2lvLaKd9wJ9JlJGubHH2rfvMzjN2TAVWE8+0L/x9GZbMeJREH0izgHEpKEbc2lKkmlWfaGI8l2
MkMyw9f3pVe96HZbqoIc4kXcAIz0b0na3exFb4YiFy7aD04ScThpECj1O4vIkSwD8X157wYQZFGh
GH/Em2puaKFX+4KRbMYT2bhc5aOrS5B/vXoFNZBB/CJeMK5hhvdxkpeqhNqoh/EQtS/QoqD06vih
jM0NRyRz/wpXMkGQaXBfwyZkeu+d1k8E59xdzlsmoX7KZTm0bH2MH7hU8nWOCb6bCaxOjI1rK/Bj
b9PaXynhqAaoGYdcWe+kNB97fFDcz8k1y2uUWis7gZXJUvyoSAoIUoqP221xSJS/26T94wREPGsL
JCKY57sQysclCCrml9o/moi+dkEjLmb0IrAOaOP3Jrbvopa6hIFS5ap5I1KLgBCcACNBJZZPavKv
sgTtWCxJcXSX5ndm++ZtMbR9+zaZM07QOXAWtGaRgHMxrdix6J1Kwfy+adSwZTf/AWL8u2FiTSLW
fcykoDaFBr021RdM6I9emb+bzm83Ip1R27ve7Gtp3afEFg1wKNRcxOtJRVurc9H/IpZJ3aZH9tNd
ldeHzvfto4hYZEnJuX1TH2RUc2jlC/MrtwZb3vwKtPMFJnU/6ZCio/ApjcaASPq8afPhKMvxiEN8
C+eGgR2JOjG8uWRaEiB6bVrf3B5jiMU1OboGdNOq2Lkry+ncwjvkUWBSNXKZzZZ7pupbQ8tty/8j
x2naiuETlfhY1zTjCKVf43y6l9wCgpZenDXtHl3LKDr160Zl4fwz1iVW49kQYOSRTOG+eWH2JZYP
22BxGwQ3q+qAk2ijKbeIDWKj/q297E85pf8IPGwoe6ZgtsrWhbD+CPL17aOjk2RU+thghvWTFpaM
fZcVDBgG78tPVlhkbMik5cQMIaMW+6qOCGG3hBTYcvdLnj+29sy4nhLyFjW/z6BQQMdxzhQ3TnT9
DAqDHRAbO/1qBShJizP/XMYXsgeXVuofLa1Db3CRZwSwupFK6rLjWD1fu3p6rCP7LMnBGggE25w5
PIvvlTsWXQOd3Gecf6civzksQHGfvY+8HZtApQ96EF+UY0WbjuWwaOCVpTMeetqFMj6a5rsHtLXm
K7jocOnNPbtYq1FeWe/5kkMTwwoBV9izbWNtOw2AaCR/XTPI2/roI8k+EaqhBxxPBoVm27J23lzK
dZZZo9OCH2AW7iT2uHdVQm1J0+57V7w5hXtalp41iwoRu6R9ozTzVy0W2vyGJ4lXb9WBkf7m7cCD
sPHXYSVi6HPapf9qvrQd8WFnEwT5q27J4wH2QAPgZ1GypTaN+c+mZ7JsGvffWPAAVSVmUUTd11Ri
aR9Wet9guLriVPSpBInVBX85uXaEcM47gelxJZDtYGCTby2mofPgfGWEYFc+qc7Nvy6gpJUBluxc
ANYUp6ieBG9wmJbwLmHqPDFZjvyEaUpYvznkI6FAesr+7Cx/32vxz/Xif5J6wzNUyquaSK5XBkV2
XeABzBMvH3cm6O9TalCsZjoR5qX5Z2yPZd7cUWIv9iDqenvt85LfhSKlUeJ7VrGHJs/75PQckUcD
6gXj8vplzM4T8z7mHqDvU3BP4cLBhdFvSkNAsMg/SQ6pcL1OcFM7Arg603fH2yp+lDX+Cuvg2Ky1
90UDlI6DnUl/DWm3zxjPdDrai8h7mPL53ZHhDuv23aqahqSK7L7jShHxAXc2PVPc/UsvZL/MOAG0
vCLWMUxDWC8li7D28LEbGd6bQj8twn8D1XaMO5S9ySs/iKXwpckl5xZafszk/5B/r0zFLxFHxwDe
MRlmECq0hNsFdtSx52CTdJ9q9PKD6Euca+xS45jjskltaydi+TWbGRhUNMJkzh6DuXyMmPeOHS2f
Nu9KUNjtaxXkHFyEf0r78cjcUjIUxafl0n9jZvvVULub84UelEf8Dm/rngbBEAgf/10P3wRmLFpa
1Lwl/OUdxOVCdeMxbqvl6CFpkBBp+TLHkaMQDL/ZXFNPYC6Ry896bETuegjYuMKpBuzcPmHluFGT
+COtcBskxY+wzCOXRbfNfyjq+PBksK/i4s2YPjqYaWzPVtzfUhPf5pkJixnpXywhoFvhXdDSktxO
QMW5pX8OklRTCjJqbFY35/RIouKkiLltZG99Uw7EZUuiiSwGN+DApB8yR1d6O9G1L5B+aFsR08nk
+tfog8tMamparL8iNCe3r89OU0jwj0sEhzA5RCt9oq2Htf6cTlfYVzBzKOrsyvorMVm+6eaZXbP/
dqLgqWUesolKemgz+KU4nmiPMpifVa5f6QjothORSatDgHaGDjNqZD37DG3W4yNiqveLaPE+cgyL
WQCbuMShXo76l1wJUFkwkUaPwX9aF8duH7Q7vayvfeylv0wkb1Hg7Uc/YRchTSdDQCmZCZGVvq0M
6GFCoreJyl+2P3+NCXcEN3lyyFbhUGKY7FAvfVIOgMUZvUKE7m/Y7D9rG+z6ejUxvWEjlwcnO64X
qfUCU3ElPrSR/GXRMVO5JDPjgFeU+9RxDHktm4gODQwDD9GoQOixd0DGnt90y7JDmWyAZQZabFNf
XIzZJLqSGyGbS8i+6xYdciEPGAa2AFQ9VZwOdn98dRtvwITJPzMbwU0OGZeS+hx0wb9oRs3peTgk
LXW9dO6jpHyd7OaXVfhHry94rCU7ZjAd7WiiOq57z938zLC62fpu6V4n7H9QhMmRzxAOuNqj7zcF
aMG6xx0ZZNYu89tnp+zfuB89N5D47AKQSbIa8HlNfCYZ2f+icbIfygLkjWdNcP8YsDU8wtRPBxil
DLXsjXVnyeBCZV1/sk1zy32dP/oI/7GLVZKSyq3QBCcgARKIFc0mg6211g3HAziPNnav5I8VMKKe
sDF9rdt1mSwIpim6qZNseECGfq1yii/DknfBCcIj1tcjENdL7Thf9qQebLtCrevQURqXDPBkXnw+
VU3aejXueBRedR9c+lmkewf+WoqnFH3vJijtwcUCojauviJVXvwu5v5eVc8dEmGwaBj0HVsn3qlY
/O2V+LsePRsvehAWbsCogezm6Du7Gv44LSj/CrF+9DRFZuYkikqdrazh6cn/qI566jgnclkIXplm
BxPqxzXurzCxFYyO8QZa5o/wii8nAtfP24jBBnXechkIcqscRx8LRrjpFBvNuqjjsfoHmZBEMMRR
aBnibT1aTYV/L1cLEWgvkjJyXxl/pyKu8hUJi95N74swPOi5PiPmjxvKcGhqzED2prPDVF2IO3RC
4MhrvRhF3tjzNr6L9XIynOS7jgmhyLrXQWJe9IY3O2of6eU9rQ9wHwqkUY6ScmSRooTUFdLs0pDX
pB1m8BF2sAva9nPsmx/t5n/GniCC7UOpsvtruPqArClJrrnbXQEwkiyjNwaBFAMc99544LxeCfnH
sTkfpyb5BkTFj9YEH4XPUNueDW6VABw4H9yAjsKAXwM0RBmpWEq3Lh2zG29emKqEL45fvKg+wNas
/afexo47tBPsJEyeIRb4rcdCXI60IVfzTQE/jGWOmS++c+f8wnoM+9uNnj34d1vpdRUrWPjSo4gV
FJDsIis9+u2C4yR9CKvxtsRcpSOhP3pvpFKFmRIIk+YdR+0rEabHop4u6YCXxvdmpGu8yI3HAhfN
Z6sxGg8uFrE85rzixdZ7CzVok/jdb3z5YPBHDwPpeBRrw0oXXGtOGRFUhPXcaDHcrVJysHn3i2cF
Fw4FgcwClgweTGn3RNLcG/r5RxYSA5xlQ110lD1Og6LeHbthbr1kGGG90gYI4VBm2m/nwn0asEDp
2Jn2Zaugetj8sWog3UQrOiO+GnfeyIRgjUe6+4wb/S5R4g0bSAR9jRNtNIT9heLJ/hSI+eKE8nuG
lzn6SLw9oauGl3PqcS6m3ZvMGGiOXQYIVU9PiOMf1UCVhpPjEpvylgG/8I5lVH0awE6xj7QRwPmH
5rMFZ76dx5gxBXM6FI17d1Rf4VI9YukCXKTc1/W3anGYbjJp8D9HtFm4DNXS+y4IUQ/z1ddxp/gc
NiP2z403zqc5ds5YXOpNYsBpLPUjtveABrVwlyzZrXXih9UaJ1T80LYo0RwUiNlctO1QXCXn/NQA
mcBBwKm9XH3B/EgX0zSvNoAhlk7qE6hzKPn+HFv88F6d88m6rSOKFk6GwUgQzowuLYihTcrBuEuD
m1j3geF3WE7Pdr88+vMcQvKDgpCW7zYhY2gWj04d3k9zTAUFi0MpspUaS3qb8wNjqPCFPf5ENJyG
9vy3wvplJ+MB4fVGBBXzT3K1pwAeDAVdDE4meg1WWW692CKGXPq2uJWIjSVr9LpWRw3hPTF+j4O+
8/CcEa/az6uzcc5/3CDdD+Gyi7PyZinyewUUfqTE32GcYzjQ6i1LkcDN+pWQ4HsxC5EflSFQRBBo
QmOd9FKfXdkeFEeKQtnnsSuA5hWEJ1kqBTtXLSSrX30ra/kqu+Czr82/dY3skQRXlZUR77XDxOQ2
Hc0UjNyUC6Il5kYcavEQhPHTZORprDHl6wlvlFDPtoy+o7F6aVr9bQuX6TvPk1uFp8Ibva0Kiwx4
BGiHoRnoxxoCxgfwg1JTgE0SDzy+CE6k492Bjq2OoAVpjJuPzM9MFqziekoYa9Myme76Q1UU59rm
8JT2wABMG92v104viaq9NvbV7hmBrx1UwglwKZGXJdfMLpNR4pTAGYAg8GQr85TnXBS1c+FdY0FJ
9C5xYXS2rjgQYyTGgk4Ql/5fb4ISuv6bIM0OkRX8XRKu0VKP59AEjzHfcDWxV2CXefG74K6I4vea
cH3Zu7i+oIVM9j2Sxt3sZWeRM5UjQWAz4ULLOK3/zmNiNczYRnx9DEeix+1yLvEPK7d/C7zwfWLB
4Iz9OlQchHOOhJHhvhpa78OqSQzVt16+rJLIj9IMYcxj3aePKdONJfN/6MXmz92LKoxovSEWru3n
2Z8PCRIZsA5+G8z3oT1RdkbeEicIoemYrR2oXcncTY/DdeGglMWMHDDDtDweC3KkU5J4Q8KyQ59T
dXNpk+rJNOpB+gvgXve89sOuryNCyDHr3Ye8t4Flrpui5NfKHvAGgTEtnCvU3GtGjRdY8nRf80Lh
HSd416fuwzDmLxXJww3gUeo+O/NSiuh+vQkF03AwPgUFttwx0vldggubWBnYot7LSG3smonmmJlb
QNNunEQfsENo84ieOzU8BfwPQJK/TM2adIPluTHrgxTHmiQpLQFRmDzEIFnW20jZTD9LOX13nHvV
+pg3/RuCNC0KAGLqruJgnV5rTk6IED9e6pC4UsXR9/PPpGYuE7uXdhzpBpO3ocMqZ/pbAyUG5+7e
ojxhINtY5f0+SM3FUvyOcVgdDEU1eK38PdMgApF2cBfNTYgRt3nOXPZCm2uD70AKkNRPw5YfMNEv
DaXgCFNfbee+I6Ihs7PYz2P34hBbBcWRPFdIVaypPBQlwIu6fsa3ByrWAp2NXGOry3qALhv7bu6m
a9PSkiAMsBLisZsZun7eTq9JPn61KbZxXzrlnUyC/48Vf2eSisqlWyTjbZFivPYkIDkn8FlUzr1d
cxMfezPf1bnDzZafK2Tr1R7QOEdcZ2u82F3/HprxGCTQTNkB6Erhu5aZPJf80OuD7Hb6OV9S9srl
z+Dmh1Bo7Dym/1h/2ITXT/Z2gYrLqICELqkB9xTU0ZcxRKsi7IVBWXDXgJa4Ifd1+D93qbucOLSn
P91EP0za/PSOu8+99kM49FhbTVvdJzqLuZyU47kI/e+5NcgCI4XFsr+MWNSMNdxz3rxrGw4wcqne
MVQc2xWnVnaPrHGkIkbS6mi8UJaH+j6UyYO0DJabFvisRWhpD5pi4qDWjZx3kh9sX2xf3UMo1eeS
WGBymmq7KP23zxTTtQ7Ik5pPneA6td5+k9Lalm5wJzxxEjFTUVMdhJle2iRkkZ64U86ra8Kxwmtr
gr3bkz9basGFl+pt5m7NrSwIDZb4baSuXpYpvmv76rMy/WfZtNZminsgf44rGEZ35UO3xBmIbY/x
Yq+fEqd6YQCHhjB++tK+ZQEuQMj09/FUPCadeu0BsHBJFzgveJcGaV7aUq9NZ+2/PPSOaUA+LsK9
GXpKHUvAuCm9mTubbOwh6uwnm0JaseA4xnCDjG9Vt1ZyvgE4h528KqDbdyeadZLd4nnciAsZ7ISP
KFrn6UR6FIScEyXkkCc6DWC3jYt77NvyxNmUwkEOM039OOCVosKlvZ8zuvQme0eQCZCf+1vM+TV2
QbR4NT6DqUM5UqgbSzC+4nWUT27tCkY/NeffbrlLcCQTfdMX4TMgNZZ4jHCF5vA3+5BxscYRvzhJ
vgUL/K2wbvZ99Ek8FN8IE5nKK+8HW14lW8/EoDYIM77L5VG2jA3riuLJgbMYnjl4+/Fzw4LQLuqV
MtOzajDvz6y0zA8pYfTuBlscmT7/jvCNUZ9xtEe20WzkmEqxHvYrt9vRM3nts24/LLiZQ9aQHmgW
NAJwQkDWSvwqNsh1G3yA5xGlHe2uOLg161K5NI/dwk0mmJJ/xlivdZBdjWuXqFsYAZg9RPZEo2QO
cFDAnCIZNpYeTCOO6BPvDLa7xtmkKobfYomjjWYxFswgNKUJ9B3GuBSzjibpmIgAiyZrcbGQ3pu/
Sg/vnJWuZg5+pI3jQGSC82W14jbyNlOz8BY4sb5PrEZtlOgfNHwnIkyyPyhoQTIVUI/pAWcQkHve
s2RX0jIi55C/K1/9KUOuxxxphyytYXvw7dSTAmw/3qq0f5SyxCTQzBdXmEPfz5Qr4/WT8T7tNF1t
FcwOd2hJbbrMO60ljq8kvB/yeQVj9YwuE4PnLfz/FDK6LFi1J16qJntR44jWL1HYPEMipC8WWiuh
o/6/gLqFfR1d+8OMOPS8iXVraGV5Qau7tzL9IzouxYlGvBM2wPYEjS0PnUMrqOppRuKkGcCtrR8T
1NKzmVaPQHxjMRh3vttyxYo/7KR89L34rincb7wMGCl6AsKerfXdaJruSJR0Z4cKzRx66kNKQTn9
0R1QJUiJpI+Lzj/qktpMFPdqX4IKu022Gzx4hAcQwHBhHau8XYEYcXEYSq4XhHBeXJa9Voo3r7O/
GJwQJMmceu+6LBrMUV+SXASkOB2G9BO8VIxMp66CN7+AYQjR3ioS7k24jwXVtdD+9yau35LGf8yr
5kYWUvL+4ROd0+7OK/znlt9gsGvW0Pnk86pklEP0Cu8RTUTBDGNDi707id0Y5oiG9nmdHHaeOOI4
uA9JXutxeoRe9wRMeHW0VsQTiIkUlJZrosepA4SUEqIKZy6eClcTQsJOSD4CHhLGOCrPy/eeLXdX
ISz4ljrYodxZiXnhtPKDKPiNsMibX64xuRzBe57CD5sQ7dYHIA20Hxxk0weHwkq+tV2uxREVw2n9
hen/EgNiIWzp34+pt6/J5BYd2kbcuRcXO3sRpVcvywn5Te+Bqc6SGzERVupBbGYJDe06Li/EYKuf
xakLxhbhd2iqj8gV9/64fBb8BYXnZHt6VqmeC8D5clqLp/DeQzecGDu1mXeDInasIw/MtYU7ab7i
VGM2j/mz6mBsK2Ea4uecR6GNVLx6dR5w7PeEZOIzXRiSbZO8f+X3uRRL/jzk7Ts9rneqmSm+YS0O
neIHijc7sX/nNvpSD80Nmggg26A4p0xcnpSHW6aZQ8kRHe6d4Pe22zpE+WdcSDCr4D3IjljMT41f
XuZ+4Qrb1ojUSJ4IhN6BPfvTxViZFdb7sgAfnaa1MapMpku4ZJ+ii7q9O8QvcZCcW396inzvqXfn
S9STwLJClNDKUIE4WVRdhDaGk2B8KGV2rvuBMtGR2uupIutmC6Hha4e4hVaX4AxmiaC1RYEjbqT1
Sy93uWfic5r6V9frD3VSPrUBeXQx2H+iZTqFtfzthkyj6457PIaHl2RKPwSVuY1ggFaP3ascQ2TQ
wvsabftsUY3uTuqvU/UPVqd+Rrs4ZrK5zlVH9QvTfAYENwMuauuBebsP6sDmONY8Ssb9PLg0AhVZ
TIRY2+epVQdRNuJQDTNT8mLKryN+6MH4Lzrtr4vhFjpXxf3Kz9SyPi9VcfKzBMqsm+5WdKmVihff
oszCGXzKxVm/dSQRfzFJ4/57FUX3Q56o3saO/1OFGBkqoCKAew5+JB9rmrVChfoUuz7snujHy8e/
leDW0YbjW8GRKyxsdYQxk+7zkHtwkiZ/ajWyxA/Pfk0tS4aDsYdEhOM6OHWDdy1jTsult2II9ddY
xSSPGS5VwxPS3p/ajaxtZuqvcsJu6dAjpH2dvTVjzQ2NCSG1mHxSUqOp1WI/FiqDnYKoLodV9wyq
j8Tzz1IyfAo8fcJSHq0TyueRD9GI4eS5/V0TRtaOqiWsIy6gybr5JBv2NpBKAfVXQ7Szl5OAtLCm
JnfGJlO4DQFclB3bZtilH2Xu3edt4oJIqKEKWeVF8nEThLz4jU8mbQ6+w6U7ujVEJz1zUY0BbTZO
8yQ5rOLJybCStyxmOvyokkC/JKL+00fyXo3d7672HkWB4lQAaDpU/fz/ByM1zpJuTj6Xzvx05Jos
NZzHcPhN2eHZaecHNoIdy8kx4xPsihxAAz73hwpqkgfw+dMt1a0Yc/KIRQ8YTPxECV1zwXipEkZM
hXn0CiiptXxYpPfHsWDsRkl38dea2KL6g/2flFNdnfqCIzSNXhfHUUzPquZdu3RiU/R0EARHplL9
+GIBoGTk79BGtIaJdBgrijuAkd7c9T8JcVrO2d+W8A55WOCFZozHfd6M70u4Ov+b6Q4/6daZhrdU
decFU3pcVPhJpm2TUnGCpYMTUMFSOqhl3Is5fQFp6G4alFY0U6TSGHe5CtVaAh5s5wYEk83LPSCX
19XTNPbP638AbOsVLxc1BDguGUfuShbXKDD7PvVP8dC/LKG+U2G8ZyYT7eIOcmkaO5yhEjr8sF0x
tDHWh5vNoF4hTGMZ8OJ14EmuAt/cUePc8soWGpPEAE7AEs1s0K/sFWASPa3wayU4rbEVus7B88vK
25vAsjMK8eY62ltyhtGfOtSmydxJjpoklPVBY0Iqf2FBKgqMulmRgaOBm215exbPpHp1OtVFj0QF
ubcOUaxKyuPyVNdIQXaYPvbKXnUDfOhJfAHpuF57qbDVfzKsMy6fZ5RKC4bc6NcvbZV4xVVhYcEl
qZPF2Lxg9L2RzG9quscYqSvi3F7WhjEbm6eYcAxZN+3I7iBjsfCbDA/NIrKdTWtcTjZcV/V9NIqw
2jUtF9mdZRX4T4wip7uLhint70zi28mXEXWuViyHZHCQ6bkLn6OcD/FPr30oyqQ71thyFJUWlfFZ
rVfzUFgi2uzyfEy7Bz0H+Fe9hPsao3cvVdcomMwbrF3P+/FiJ5Nf0o7r+SIiGZHdr4dS0QKkYfxR
s+auVkbTZtPWwaqJnXecRAbaJBtJ0YzML1+p9pLsHc6AgUmPoVJ3APCVRTGebwenVOjBQcFvCj3P
wGl7frs0sSfMA/DDp1PpVDzRXMeD9imKjBv9CsoG2hdqUI+htmZI3dCli/UNPw+TSJ4QqmJy5Iem
ZmUqs5JsamkNhv0U9E62gVFBK3tWWnCp9spHGPxbxWU47Xzf9ZzDoGtO2CGRR++lI7BcIm63IWG/
JgdzepydJKDPuNIlIiUWh+xn0FaBpyEUPQZEoBLKhA9ZZvER+XlsW6jIsMVgkLUyQPrMu+5N2a0c
H5ramsIrE9KER3swmbNsZcBvuaJxOyv61eqWJ+NrDhiemq0xNNf/JBxANiNvYtxoZdJ9l3QtbJqA
72KoSVm0FktIludr126RWWSfZwli4VbnpMh+aij0jJP17KxeqFDai0N4ztclO8KEH6bLVphgYf8V
UYSNY6uz9WE7qgBQGVwkxpSkEaZ20qArLMlfmYBfb+gU2M4WEiNjt2L0rR/hDo68NphA6vEF3qWa
63Wy7BKS9QTF7m9LX0pBKGJW9vA59KzvH13r+QSj2syiZLXVfEBE3SZ7tMQudzxqeLam5WxHgEVU
i82vmpKLt3hqqlq8+rPTtc9LMITNhKXQn9oHsrCWfrMrIDcn3uEJGLKGSBPhmGTiOMld4fJRg+Mq
HA7wHKFitaiNOzYLLk0yWiULdFABRRnpgjF1+DshiLwQso7H6JGEeNm8d0Xl4DnonGY2z0qHIvjy
ur7pOElSBofNZ7GddKW7xXbV/k4bZIfvaelbqhYEO+d4kKLsxcxoGfvZjybSFrw7cV2knxzonfGG
dd1E0R0HdTKlOlYtw7GxE7nFH5kwsLabXkY6hBbXecw3pyRryvCgktAeXmbpCq7OrFaz1+yjICom
fBro5TGVD7gzMoTfhKbxcz9CLu25shii8yjI/PEeeKLdZnDVGh1VzPmnMhze+mjyuqesRDtzOW3R
g0iTXzcJLyRZU3k0LSbWQHZtk8ZLgd7eDchiGa2PdiboXHMFUJEdzo14TWKy1mgIwxL/37DLMSyD
OTNZXBAHbJnwvmN1dMenUcxy5SpjpgtQzB3LRRuGrlVan8Hk9NExosV+/cbH0p2yu9Tid6H9pK4G
SFUsISuTBsRWa8lbp0Jd44fDXQupTrRt+xHb4NxI7oLFVD+F9u2RoIKWLv1Z2k7b5MCdjpWfdtxy
BOpimzlCvggLcB6YQganGamhSd3Esc5t7hAT2Qe9gVEOSQ/V6IReEbftOs3uDGJjGijs1nImENvF
ntf+dNkYlbfOHhSOMmF7ExbaQpKaDrcsOl35WqdyLp+pu8pmc67a2iA+zytlavbsFhlGh2X5WKLg
ABacTK/8S0eIlpBvEDgBoaco9BiubpzWX/yGsoXA6+B6VjbUSPx7KUKI5fXwTw+Nl8XrvdRJ1l5q
7og1OQe3EX5UEKUGaUmZDIP42dl7DmK7Yj1IQcUDORy6IyM8Zu++O0QR82ALpXhVotNJPZG3sqGq
THmsaRM0XTYPx5brKdvjYldeJzfwwl3OuIZtZZ08poo0+cZphCVBXtZxGxS7Tju2jdPLzPBdTjXV
uHI+ZHOkZP0wKp1zuR4KKXW9nXp7rs3O4GwY56OVjGH/dyLSoNDriZel84s9TThxLu7gA6O+WXHV
5OYSuUpXzaHNEYDus8YmnnNsaaaS/2CL2dK54CEbE0DTgSW94t44MpAUw0wAiw6dKJLA2S+OX5bI
8zHEmbUZV+hcm5sx0QwH/BASLysHfGs+PH8ckmOPJsfhYOn4mTkC1tyl+sCFKQThNLW/LYDG6oFg
+hQ8T1aN0xV8DkcIJifW2Efu0ZFezI1aYK8dkqeBthzeuWWNjw4O8dFi0JGLuy5VrZX1R8HarhEB
wzTg8A7hCmvthpF3nBIgwLg8V7tBtE38L/ZGHSOAtEmNnFVoQlfIaKUphNoSYNVWjwIzJC0TuKZy
GQo17QSYb8/0M9O3ts9LnJ6VsOsx3/nGqkqJ3zHnEc8s2lcg2w8j7au4KArYtiEHAu9YVJT6JFSI
Grt+ADqVJHu45S2XBLpmgYanoeNOX1MXN/13Bkd0bUvxOX/BA0iWDkS+muO0/SxUpZe/pKGitXep
jScrOGIMYKwONIqQZM0omnzkP1sEbXlW40xUeef6UD8qVrCytj6mqqRBBrUkr2DQhzWxq9ACW+0c
8pYc9t2gF9kQvrDgOi9Ga/njhJTk7ME4BAC7PPpCJj/QUBx4vusyuSW2LOwP0gozIUgm9ot4jkXp
zurcRinEDIJqTt9QLTwRvJ6OFnnF+tj0XUW9PAe+jqVYDpWqHrFVxtFvFhIQPhQp5m347TIfJDSk
5uRv01lDR8CTV1wuF5/pRxP8IYYQMRKDyErXDE7jPIJxlauwjt+Tuu+BKZW+H4x0KfraHvFjWF7a
xsR155bgmunzJnkyUZws351vvGA5EjpyPEXIyyFNvoOxHDOmEFHteo/41JN82HOCq7CkgjQX1M7G
8dijELSAGqkHryOiDL1sMUY3iFzdydZMv6xzNBUVdo54MF30L8EwoMRmYDEE/oZC5sZo4kE0HmrT
d25y1k0t1XDiPOBa9taDXN7dlwlTlF1nYCDlZ8KxrboJaLzDL2MbRZ9tlujx3bJh0tEkLMYhLvZu
qxSO+dAMwVtUAjH9nSaeZkciPaep/60LBVoIWbyq2LjB9vTBTzg6OsNoGCKpcvaChsrMmHQQKxnt
qMZDXi6i/6NAfpWq4lESs6w+0sbpHA/9YtV9t8nsKErXFMeLGDzWkvUWRw9SITrc8g+Gz1gK54AF
AseYRU1YODIm5G7T2/b0MsELZfWvozJKXyh6mlTN0HruW0y4jjSq2ldKFsMfjls6+SyctFy+e6JC
GPoqFfKcobRpt72C8I4jl9rO1FI27LYAX9R5ziMKOtOATk0GxwhdNA8LysHmXxa5QuEDk2RYjvy/
pFIX4Erh/mBHlmXR3xxucwoDnR174osjqyj+RQ2QK5jkvOgTlmptR8TXeoKMDCYZzHYYtka+k8z9
j6Tz2JEcuaLoFxGgDZLbdEyfWd5siHJDG/T+63WitRAkCDPdVZlkxDP3nhtQcNrDXzqgCRoYavNJ
fSxW3e4sRKOgz4l5ND4cdhYNPVnt+2xRJhzr9qtmuHR8ayN0MgTUMcgUmD89FkOP08vPKqyqOVwG
SLB9Wcnwyndd5/mahO+QZZWYZln8pUwbgU9QSjAjGkzdQvq7JJNZMVSZfYPeckKWyVsx81mimcQR
7CXk/DbmIo+zXLzu6FlAue42nBN8SJFEBHSNtRmszGgtOpb0lC597ujuysqpDwbKeviPtklxhu9V
Mwfz2Iu6Uh71yWYwDg5GFpB24q6QykskZmwSZt7x2Gz4JEbxxf0SESqsz9LuL/kibOxGYZGpbzm1
wzkZADil0NFQLdCNtODlcjB4SRhVf6LVQuy1vaFS92xZlBEbMjxy+JESb1YWxCTxy3pVJW2RGxRk
lDHiNIHWqdOTmfFEIl632ITivy5QT31HHuwfspDsWNTffLzjgJeBGWp2jKNoAWlj46uEi8DmvAt7
nlKTzmDHb8NrwCtPCK7Y8qPp2TWvs8ry9uWAw/TFw3aOgbPuPMP6nDOhU5O1bmpA8JxSM2buUowc
7kaFbXadtuF8i2DqxC3otAZBN+GMKJVIvo+JhPM8n8HHXjagz+uVhxJC5ZmbIJNfRhrNhb4dkp1f
wpyaI80h1YFQM8YvLYLh+VyUZHPBiGhDRJGov4uiewAU4pETYTDn5wlnThr5J1ukaRzMre3Nf5Xn
KtoDb1rq77OkSj3Ux9GUZuVRhLrQL6JtgDytmS2OKZAxNrsyXMlWDtovlmudA7CMU5vwHLqVEvRK
SEQEju00RaO8Gsp4tJBZW/z1mBygL15Bn1MCipge9Z5GQ1g8xAyqpi+c8aq1CUehE5XoJuUyU9qT
OOp9EygxdA/sP6qauFU5y3wTNQnaxBVfRJZO7Krywv8dTNljlWKpYkq4xQNjnnvFVWK5arrSR3/V
WCf2+zSAnpixpg/j/IHuNPReMmfpXBQJlS6k4GOPanEj8XdyP+YiaWcgLlT5jf3BiRnCGaAns0TP
8ElGrQ/A0Wcp4lgDaNqVS2Dj9JOJjPb0QiDPUiHnnV1//OPsISQNimAa/eRjmFBQeU6YudUTYQ+x
/TuEdp2ToKENNORe5On6zW9db9AgQ3oRee2FbleNzlQfCT78o8wZlCYF9Iuyb4P9Z8yzoApyKaJ6
EAWdbi0txYbWcnmiFCMJe+U6uZ4y0HPEJON1Z8ySOzt29RqhWq5HY/2U0rNmfJw79mPkgHg+Uegh
4uLIYuD90ph9MgJPd4Dkv2s2C/4RM3je1VFQakZe3uwwTauHpsnnOoj1uIXGUg7wqKjQ7BIU9szu
/yKrpsVKMiF/xs2X4U2sf2ou2/SKHbvSqQLL2pjvtilSlgdM9dqGtE3SNlDI5KhWCHs1Kzt6YHMi
nP+0qOsTlxwnj74KfVcxjvW2NGwxVZuowwHCYKvVJFnhrKtZd2/0ipsCB+SYI+aWfa7Hpy6KzRgD
b4xbk8y/8VlkdLRrNJRZEUBWJH9lWdzeX09JSZ3JxKlKzpbvWtbBKWL8qQQKaf06JR2D4oAxCoT/
iVENPoA8+c0bqJQV4QwWccpFfjFMaR1n1sIXjPDwsEVGPW5lIj9TDYp7neDdN8ImVl+rUzLt7Bpx
ce0OLPXiEi+7sqamuPcSBmsV0SLglcGVV3s5DhJcbgAvOjufdokxkSVYO/PNtgtLDQQZDrY21BZd
hO2hVff6JmbQcaurmIQK15z4GrpjF+IjoGNaNllZEoFb2Z1FijKHyiHKzfy/2EnineXDim3CrruK
MeRtow2of1pm9sFAY/+Vtyy1Ycm6rIhMLOj5Vq89/5r/s3AVUjwMwpiOspbiux3pe8uIrQLtSbwB
aoO+vE/0cwMw9OIZZfNlYixg8pMPQ8jLYOLmYxfMzHhkauHHJSDUJmk/RqZbzwvTvC3YoPxAU1pD
dO/TboO0MH+wEa/B1MS/E8g0fymbOdw5ztQdLDDXsJYkKlYW7be4pfEkEijeIwdi66tjbyMnWz/b
HC4MtHJrR2E9bZN06S5V2mK4nT32WnHdvgK1su52jXonHIx0jYAKZ9KgVSTQ2g3MKlgvaib8py1S
BvMyTIhEJTEJ7hRpj/xrNvMCFYKQXeIM0YFuvycS1Yo7wgtCZXdofTCYuMM9wiTMIT3XXYmv22fR
xMFBpOuiEjkjpE4g9lkdY/+0/jkue6rQ0jE3IFS3dunSW5bYzj5QE5/iJcZO5U6fseM9Dg2tRmzT
x4IKdpNTYsl9CA6RxSpOu/K5BHyg5NaD3lwwDX+UOUFeuVcc1D60r3OChB14hJDeJkrwkPjOJMz2
IWPDPgU9ggcDaAVfL2uSrKhuLhHQvSHoJb2Ohn4+JxELSm2AJ96QhAgkIJwfEgdHGChWL+Z3qNrA
HhZV8jE6Chegf4b4NeoFPx/LYUCDvS2wwGkb2c8XG4vKkpBTzB2MpDegRXnUZ1gPja8FzmwD9hk3
aVj/1xSYA0NSN4j8wF2XLc924gcqud1MCQqzScRzmNh08YhImE4kzs5dbG67rNpzqj8Z7FfggRCj
1LHdHreuZm7JY1NR1+PF0Mt71kybjJdk1v+S5SuWCMzAfpAvvYmNYmvW2UvB/gsV80zWsQnX0to7
fhGEfLMM6Hal+RuF6DENfWOWbN1z0JEVWsblg/N4I5Pm6vYoI2qg3iWJKcrgpRvenqaUttftZxzs
+Oiqt1GVwASxY3pBADA1d1vHt4QUb+N2+X4GSQ/8SUHiTOsJihTxh0v6phEeTAO25vINSDYIGoOV
fa3EQdV3aX6OsbNNG++QkdGkm8RATYvOS+lPv4PrynXXOhcexksiRgJRzbOhEz20LAHn4Nma/JOp
GVel0YxybhLoMCe3wz9jknzeefikikW8kXn70bQkK4OVCGec+9ZbOSd7e+qCDm607NMAtSuVhvNs
geEvR/PViIoXzl9QwjXBK/M7Ru9D6OvbwXJRPvIoMxJDZYa8WYMBBWtghHtlRON6YfbV2+Z72WfP
0vee1T+o5LmedKH5WBjhs0082Xsmykx+vojf2FTyi2zOvQb8WEIZidgtouMHfZxshaWvKh/Bgts/
LtlXqplHuJRBJadfBop7CH4PffmyePq2k+MpLpJDyMqZcO3QczYinE8T26hJWO++UmsahbsaIgKt
fEGFP2iM7psPffYvWFtPiVH9NNWIyM9R4RZnUfHLCP7hKTZJtovZTC37YiGlk5zpXJfk/MC4G/nO
jPFXoPyviB3KJcUjqlUrw0rdkW/hkPiJQRpne7KXjkT0OH2Vc86BN6ybegpQfN0TPKcWUAaexoos
HqN5H9SnzgEEIg50fsm8wGAlnIXHLiEKMUtfC2QHTjvdGPI96rpz9aW3bWtt68xEciNgZOay7tIq
UEt/C1CHLvobMrIvwmFI7nODindtQt4XM1XLC0406Z4TXiqFYIBVjp7Vv3hMiW3rW4GBbMvfoH3e
+E3K9rK5RphvE6uEzI/EsfjVx2XnZ86DAQ1eJB6y124z8Kml5Tex7qeox1/BpoHJ3lk0+bqBJVS7
8zFKkyAm0UJJNaEyXphDrnqhBZYD8q6EY452rUq8QB0YE8d3nf1ntS2OYptDBW06zwqDCTYSdfbc
mPXFIUNH0509g6yNOpprErWZb85df5vhplqJ2OmDATC62PCmHsu6/Pd8JTBC2Ga9q9+9Rw6ngCYA
KMmW5mzkdDBDsW7K5NkAVa5PnJOYCw3lfOUtVZ95OtVnanF4rv7BTZxH+u6DxbFAv4BEcr4UhlBE
xg06e3olY4usZYPf58Ccd99E2ucY+Zu0wqzE2Qfe/Dl0Uqwn+ronj9cwq6NBt+SzcAJp1X+jGjx5
ifG2YBflh1SkJr7smb68PHBebnPyg7DmHfm8d66WEcgLSt1zAvZ4yOtdcG4TewdWrJLeiK8KXPCj
mCx0BsY+ciPQtnga+PM6Djky+06ObgI6JGyU3aH6TmaQEerrrVnAmgphnLKbsH/Y6h6E971gYamx
ulSM/PkTnkUyPNh9/FTr3rmIYNyzkqd8WA3eyGo5DBaN02Zi6wqEBefRQR/9jfrf3pAedQ6SVlQ7
3OctU4spttaZTfuPmsKb4BDhXUM4gjahWFvaK3yCq1t7gTrT1JmVVR6kK5SsXOEUA/zt/pvrjtuG
biPzFkWA+ZBht8mRC+a8n2YPdpLjQ91WWvmt6oesg741Fs0xMqx9jddSfdaWBcoxhVw4muWj4TYY
UFI9MJhtrnobJ3TNpRbViGXMpEKtOTrPMmdR04vL0M47d4EYXac9nlrD3gxJyO03V/G+7vqXlF/G
y+etI/m2NO3RI0N9sWRg++ZFgsd2gNub7pUh0aagtkigYTseOle0uz14DS2VgUEosKo7pEzWjC8B
eZrBOBenonXW6oWbtRl7Y8yMLo0jGpJZuEzY/atdWYFSEBRZe/HGEHcVvm9u5WmYD+NQHtFhvmrm
d0jd3DYGFyrWpJJBDnZBMcxHBSMoR/y+dc6ik9Pa4qFpJkkmO1Iq/m4qZA5hhKFj7n85BCCsBr5Y
8mEurHxYzVwEBasfD7tK2Cd1u3RJr9b7+J0Y83fo0tEDFpp4mGcbPVJysGf7vWyihxw/6UI3kQzy
uLjUKBgFTjpS97RBbK7+6iiM3ll27g2UmYyj0o9c9wN1q0yYBcy0PXelOsnrrRN/anl6MXnJFY2b
qelG+Y3U76aee7LyAi99YsOzEzychdM/q0+YXcvFspcb9X7QFtpn2pFhK2Hkt175GEf+ozINq0eX
FdKqJQfB8Mnlc6udOk1LTnjY1FcXaIb6zeLFS9Z1zgKqNg45gRt2Nn0iD+J16bjUmMWMALMkaFOD
I6nQXzGR3Uj93WUtxkY07DqUR62A+GzNT1034xgqLnUFITHMjF2GXUXvsRhgsWPN0W9z4D5WS444
EWnKdzc5CEWpIh3wOaM7bFskWG7uH0pveADqsxsjojg8eJ2Vs6lRIaqKNrTFXo/pyTEvGUu9Uf4h
J8bBqFfnJSUkucyPMx+/JpgIUy6MTOIQRJBGjNGJTAIviX14b93ZGxkUq+8l7ga6Qz519ccZKGvm
AXOvE/tHWQ1PrUc0B2WU5gCqDMvvikK3ad2HJEme1OmgLk3H8u8Nn1qF6IMpzL0drE03DkefimNg
7cEMEAGHdyR6mQIqewGufSAyGZr6snF6azeZIUg/GFCEGEyTeZKKa4KEnvX/bsYX79DQIVHl6Gu2
Cd93FeZHvoV7qqD65q+6gkFB7JUDkTjMf7X2XBfneoCjwInLJmuVTzAXVbmN6S3kWl9k92FzPTV9
cukl8iQeKSiDsCUVKSILXNmDuk8PqcxOGvL7morNsb7JY4foKa4NIqY0Ly9V8dF3IaYKl76XhB1i
0XcyXj5qL9zNnJu+bLc6oxxV7qhzs0oVdhsYAdc6eXMQMtC5D951yCiTfWtdL3Pgx9pTk6UXsSQE
EpGk1bgpkDwCvrFA5ZxL4WSdZq6wCV+gMlK4UXok0eloeeMxGdUgJ2J/yfgX1cE1V/Ud0YSq/LH9
7qS+ZGVYTLIpgJC2jpjlqoMyl/VDk4zv4eJvUeofuXLInjS/BggGvTdcy9A6qHu5y/M3xAGK+sCW
5EnVJVA//muYofYjhebcQncsXnTqflt7zT0+kxjiumPDAh5e1UFWgXAZOnYP/IlgqtQXLDr/rE4W
VqVHRjN/Olo2tAc7dZdiFyLuhCRrOhwkmmcZD1+DMMfABYPS5/mHpogxPKXsVg+qxfBkuZuyDpmx
i1gQ2LFVTGxvkcXQcBJ3v2syjCoAnYh2JBAFJlsZgb2rWIaAA6JP98LiWJX4X3Xr0lESsE6EzZ38
2oNBBdUyiVwCzoKIIhJu087trWPTK3U8Um/weQ/q8O9L0lX5b9Va9tFyKtFSQgD+97okhD2DTD2p
15rt8IGdJpohE2NiYz+FXO9NNxOm429VxT4DRzI4ZdT7zlTqbuACXrU+t5olMf+E7S6qu92AA5LZ
5aZvvfPgXRq6KeWTjBpG2uSriRpJfZZ9e1A2bbcMDGifhkuCxHTNhfM0LeJQ8/5KnfCQRe68wdrG
wtmphs+ep7VJlya77NSwRfLo7VgZHqYBIxKmPbtA9JwXzJ+jnZ/UNw04gbrROuDFPb+wK6+qDEx5
TlMUe4KKMe/pWglr3XAtryuOfCNL/mOZuVMXr3pa3BSSId9qh65RPaNJ++rIbisdWszYhVNubdSf
Z9JHCLqkusadyTuKEv2cTeEFsTbvd7H33YEhmb0X2AdZwJ1dMpH8/LmG+qQeBRYdb+q4yHj7Xf2h
VMO2sNtBXlfVz9AMO80wcDkTvYLYi5CZzrtUJLOUdftDNClFjRMkQGzifjnxxgQt89AaYbcbMjrh
+KAm2BXxdFXwg4KSK9fyve44aMqtrfrnCN/dROj5dYF6UN7UK8Ffonfm0ZQ1pThwBF4uvNO3LNag
k6drwdK5wBqrgmJBrJAYVmo8OIK7bHmh/jby8Q4JmRav2FhVyh4x3giC35idESusQDKKRxUrIYc9
uS/qXJOJv+dZ5kHwQuOzLca77JyLk6J4KS+qzFXXKItR7LjgK9UnTXW4wITD9MQA5lRmM7+Fa/FM
hvM3dpajF+NhknyWPBzq1+UePzijd2VUBzDTJOBQfdP538jgJTc4sZvHshi32mKcdf/BKJKAipDH
j9AhMI7/ipR2EuTU/liU/FpzVWdn34nHxUi3qurXOBIrnsCqGV8bugiCwvakbgax6T8T9sJPbfJu
chXyIatz2aTxIMBCNTWinT9Uk6nJ+Un9UeqlU5VRSMlSMFtT5RQVYJYAOatdk4VEe6VJ2TXpyHI1
ZLGRR0fJyKfx5I11KaYpd6NnXwjfj1xMCU2v5tonBB4X1R75JjG7Qm4sBXtFSLwsxp9NF4/C+MfW
2jWfip8Xe3W8GktzIW+Ho9FvDlzQx4S7Fuo9S9gm8MgGkq3+bmOJ9jkFfXAtMTvmlcM4zQE4VRU+
+6PF/BH+8piiw3EbFh/lJTa1ewwfMXHqR8lly3LooL4H1qGfWeiQrBMfJzP9cGFo5EgEWSAHIVWi
cobz1IkLp9B2juS7mjnQPMeGf9LT8KwOBHUE667D7LG6O2FKJgpHXq2qjnDZMUnI4QuqAQPLiACn
yx600yGN5neLkDZWRjfWoY+qAatyela+F4qEnWnWDKaym+0XyJs8eoVpNcr5rTPRgzPSmORyi+Xw
TVJv0I2I9GJXnmy/pA5zjoWlnWruW7+uN/GSvKlqCsEK6J1O/uuO0cWqzl1gV1iVyRD0pXwgDviR
/1/weTGN9ofhPPIz9fx9aHceLb/eeUxEeCZAC+6zHKoh9gBAecAUlvAnVVZwXtC2oSil4G5klrE/
duSDy36kdgz9HDv+HqkNi674oifRpe+Kb+ZRe1H/f0wRckgq85aaCbaL9yfoKCq9o4rObxTqf+YU
Hg2PhXhCie+37b2qagOuuXvMmuUuzcHYqPO29PofI0ouKFOOFpyC0HefRNkf2xC9EvjUIGUGwWxx
Y0ntpkaLqgDMB7lnawNKY2KsFobwn806uhLC/eOFrO6R4HKotq91zC6na1lL6pN1U5Mao3U2qpzC
BEsiisVVKPeLUaK7wwhs+RZmghoceXoKmWWuGKFvZw6PuTSJF8s+WQAdPa9/ZLW08nTrofY1bvX2
X8HWQxdu3OhVnYWm3rz5Jb5sJk8jTWAMf0YVILHl3Pqw+lVt+Mh9yarmbnb9FcodSWu85zIvtwS1
bNCHHtuMpb+nFRarpO5NlcdWbt4QLJ45PC7TmP4WWnyDiHHmrwuYFH2wvNwIRghAhX5dui/bHD8L
Jyb0Vrf/m9P2weM9Liyz22P+JKuQyFj8LedOl2/FiE/Tcfd1Nt+ceuY2IXXbd3gOw/zfh4Y472RU
zsEnp1RPTo7rPrSpOGnZ8IIY88JG9msElfuv5x4xjBFCxnWhioF/FzUcT+Lk73pXnQAozTsSnl4g
Cb4K9ILr3lwemTJuMs3C+padjIZITCbzJj10h7RQjT8sKyaBM98PNLQK3ZpRcvcdUHdNDaG4qeJ0
/DE68uLUPI/zH8xB5jPLqxyU47N+8iOcNS5ymJXlODhvw8ekws/aUf+kNSJXDXitdHaGEW3bCsmK
x7+DBPfetvMzAWY8NRSq7lSmD5qP/wbixaXpFa7EsX8Szd63fYhv0tdWWAbPZVGcwyl9HweIRR07
Bdvjjy1jsp2sEyX+AYvPv8NEYJNXL6GokxfVUeWj+RjxtMiaPAr21PeuH5+B+QrE/e1VzZSwTzEj
oDVVvRFSVvYq+iM4ON4WuTBf5wpwBIQ+j3u56os/GohvrSEiqSw+hzndQ8aDmluzvPQB6mFFP43C
OjccZr3ZuqsK2ycQzSqIuuFPE+1L4nfnUFhXh1HQ6Pm7mZ7Oza0HnHQB+s+tenJKF0iz3boXS5/d
7Vgav6XIHtKk2XS+NEk6XW4WY8QxjtjM1TvV20Bi/0icgfhvGlfbzr6Kqd+4jDrHwacntI+xVSF+
lEBMDLjWVCM2akNDhY4bJo5HqCAwqognn5O3SZgGOdrFW50iFUKA8I1269S2fL1elpIPNMh3L9dO
eGpex4ikL6FBZnLaMVBBChCIrMcQjZDRJC8TWr5VNDIlIUUEF07fpes6xgspyzakV/SJBjbSv8XP
3/Ji/JCOUDMNoLIt22Xgxwndkf3n2YT2aRPBOUn5Wzjo2lE0vAgyUVDA4ElC37FKkAzgcMMWUbTn
dmbZhr4N9GJdfsyiRSotX0vRICQaWWIWuolUtCaHbYlzYjE9tvPqjHeF/yKcJt3XyYJZGnUQKw+h
q87Z8f/cCmdI7GGsaecvi54KcbLDdkPfusOyM2f70TXadzUPU0WxjYiWin442yBetWLYIHc7ziSU
uX4WTFxmrJwZFtEOqxHzVBccbTwWLpHShn2AaA3nueNPdRHb5CZAtCJ6g9UbRI4+bxJHvjd9/ioG
0nFJJ8AGj3BFNJBROD8Jpwj4z3sa+0HTAK7MuBI1dgoRsC8PSwsWGHbpGdpDlsFeC9SbARF9GD87
CZzyuTSsYHa9Z39g8uzjcTUkXBXXfLDgkqPJ3JORw+RS8rG39C1FjK0thwToEjKXLx2eqP6IRiTc
mEWN4C3raBnigChzcoJIuGHDL58RzwQGVwXDBP7eeOOxfOsLyqgyPc9udTfJ2+kIEMgGBxoS7uaF
ATs9TGmx2gu5i838rK77ZBxvRJG4KxToh4F/wbesYquV6MkZF0usYzt1r0YhDKO088edKrPURAwv
xQH9wjnStGAqmShOvgTtGh9Gb+CtyPZ6Pu0tSmv1N/L0EW3lZPeWcrrUZqx8/rFnxhFGxU9uiUtk
T3vbGV7t3vqaJCR9XyIQpgTp/egS4WRWftZ4FS14taVOjy1cTni1dALjRRL4XpJcFo5I3RSHacDe
sm4dtq3KqM7T80ZyzH1Oh3hTiipQ/6IhzY8UXNah0L2jD3mCSXx6i6i4Q4+y1RNQCBhOpYLWhlE2
WYj1eqiUzZDTCLpNvfZaozlDMn7tG78PCkBluL3jE3EU+YpMo/fECCUXIJvZFg8fswSA4fUubfsC
MVhanY25ifaIKOtHGoM0kElMldbHl96qjq2e/Me5JNQEuX30ErFtB2PYx7l0j4bdvnbAnqGHaEc3
J4jNdJNrESV/xiCeFl0D+4C3W5EUibv5KMIqh1hYnwfNBP/euqQt8iZfmD7uYre+am38oBAhjZd/
wPnfJ/X4mIPMIBTwVtvhV2nSERNKheI51F8zz3qec4L/+smlDTNIAVHvYWqWwGKWPfGYiHJcqEGY
99eTDuGUeuaZOHVCEGhv9W55GB3/TiHBRNi2f5daOf374rFJ+r82HoN+AUacOJ61yf1lvKtdchMx
z3aYIvR8JZj2m0F88X1+5D2w2QywFw0vGe3aF43xzhMtqYiU/jt7Du/1Ep/TpH7gUDoYVXvv2XSp
+a3LPijW8yIgMuCqmQsrQTMnWDy9cacCkp2gzHZMEA3zYe66H5wKgEqsP72Oz20KRtFKLLa8Vr5B
pYfixuOoiRdzT+Q51werG5I1nhi7AVMkBynDajx5YCwZUOw14qfndj5i31irlkw9KcMw78KooXwh
sdbIcazPNApzrD9VGpgBh25PrUXQ9xQrAoseJKtx3BUvc4RBm8s+Hdklyiyv960C1/cF+jxzjHZy
iC+ZmW1l038URf7DT/bUCMoQMkiupqOD+u02bVf/l6YkITE5MKbsAO/6lg0WiVMVdUZmINWbC9cK
ag1NslYe9Hl6xMePXp9f1SG3N6yPDv89qbSixgywydCKDvtpYczGS2yP4NriWQMvmp3dIqY86X6q
kXVum8SG0s4gIoDwxjKv6Lx7WOiXxupeZM9aArn+u+ZQC0+syQ3ubNwUwVDgZLS7feEjq5p7/AwI
w6ybIYwYkHx08ChaRhNkWuv5RKL2h1TVGOpHi9uI+ZnKR4DRtg9JPFrXUaYGfP4jwY67uATK4dJd
yJTwrkwCdhlTzj0cGNsith84W1lFuiqOC4MAPKM2IeWg1WliC/cLWSS+Gv87YxQ0xyJcTYV6GkZA
rWKYiNOw8+og+J3Nte7J+hAi2npFHkHQ/BgfTTvDr62/J3P6q2U2Q43M+BvSHOmZ5pBrUs/mKqmY
MGuS20y94ZkZ3y3T2psVYwrDm5jE6RnhFWBfYwblhvVYpeKrm+pvFrDvycAUHN3lLYlcscK+65wH
o2DCqCZLBAySeVO/lg3OEcPrOQxs9AQdcDFRd5+LacUrpEFHjUjDwowfSOJ9ZEgRYmxJHCAsWk0T
nv6pC5SwOck6JGeKVlUy6OZ857TOwE51fBFQTtaZk9brUMADNlys26iBfgvbe2+ppMNeXlhwfiCb
w2ov6isl8EMD45BpgtYpJhHiMFXDLs38GRliUXPqh4FOMx4oNh0xjpuh76+d2d/McoAIh+sUV9oz
n/LBTOqXKXeZ6AyElPk602IGjLluvNktIuKOdYbvwgBFY+hSDhVvqds80akHAgfswKw7TEL2Alr+
2pjJY6ylhz7xH2e2WnOsbVuN/q/RbM52GKZs9aDEVLjAUts52GQoR5wQRa0/5R1as3BwH/LeuYC4
vRd+c9S0+MAy9bIQs6SkH1dIza84lwD+hOUlBKtJdphYm/9S0pKt2TOJQnz3nrbOHt31tShcWGHl
18L53wv9Y3Q8Jn/6mYv0zxH9c8JWYZVgMBhMMbOvENcwT4IpZc3s1hA4WJelOcCwsn1pGvu/f8+a
l9fbzixdsOD6fbKsoz+wWkAFO6zF0BJqmIYY/4rPtE+PMtfOpWsgQ1jwdfS5ZAIRl1s468WK1vYm
iQlB+Tw9G6Smr/Qx+q0nol2tLl9jOeNX1rVXkRXpJp+tr4Qo54vHoBD2wz7Cuj8VJXoRDOlB4/bD
bsDeXUYoZoVpEq9YFKe29P4rCgZ3Mht0pr46ji34mCUKFj8dn8fKmoLesF5lnv9WJkjnznELHmyP
7VcTb/GBCT51F63x5IH0H/p3VgHnzDUP85zeKXriO7LeHndw/2GE0283VTuj1cl+Lg4cq0dtBLuE
XAWgWjVxQRUteU2ji2KTQNLptYeQsYqlYX9X7pTfijjCPD0uvNmeBvnQQwVwJybAO8YOmMNFgd5F
ljOC9MaM+KK8IaRrqZ0d6QzN11jN1n8p7JhTk9T5cw5Z4lzj58o2Nog6lMkhx3Rr9HylTsbWgzia
dHkuyJrbdn1EGAmkoZ8mUWmSVeLMH15WVkhh0N84BHBAuo/Iv/EcZGBuGD5x7o8qCUK7cSCOH0Tr
sMDmbX63Lbs8zvUSPWsu+ACz1kDsx3AxoeCkrEJr8NQodf3ytSubbmX0g/Y+t8IJSBCMAoefZBX7
4sCXcW19CbNUoDVBp4/PEOYDu2wqPHuZf2J/ZJ9vwGB9Y5IaOH7yqdfh3+RNIJtoyTBSb2M8l4bR
nyJOaeyNryXLhXRsbxBHa07zdOb2bOBgJKwfx32HFxfawU7U2a2wdX0fifYLK/tPyogcQ+qdJOBX
Zn+fnjY9UCbsB0P70nzzuZfY6arWc07m0slHiSHvyk+XPA3t8EiIF3jGnOiCHGCYL/CtV8bwwgsi
9w0VA/YBSlMGRkTjhSY5Fn4C4pJJrE99vtJtWK9QJh98Cy95WVlWwP9gkZf5Xx0xxZt87N9QniGI
EsvVs5uPlCelG7K3mWkZ/rdXc8Dra8qg9oogd8Sn53EmCoWmYhwPyAiNZ86igY31sKDi5kIgo1eY
RAWwbfac+eymdJqW0LdTlV4nE15WNeIfSgfv1jlEI5MalMW0s7UjxbEwdTpsUUCUEcU5SpqaNFVX
ze+sGmYro9kIFHVCgjLynl+j97nR3fuY1wQX2Bc9jLDZoUuBiGKsRKs/8pxgqs+crbvQ9EGSYgKa
0ne5lhskbCTCdDk2rXhKquI86PXGA+UVexxHejM8gVoMOJUOuVM9S1F8zlP36MfmR4cPCm6JcfTa
9sKs8oF470PIZzV6AE0GmU93h+wnqujCXk3MzPfeaGwcNl7MTJwA8Ai7ygZfiS61S+eX7wWqjQ4D
QUg68FIjn6ocfhy88p3mEaXGPw5Pf+0C8rRy6+yW4SuY232VJJwp+XzLM/HiRvGt50NaAeRYoNEQ
QIahG3my9qz3zrOIAZ/S5rw4g+7thFYTaM2/UPnPZd0DjalqtuTzzussFkOMOLL8MrX6DSN3YJTe
mYUm039P/y8V2n5CGYZIkkcY5R3DX2pixpBV75z8PPQxS8RbrII3Tyv/Cs1ezqlT9JusYxzidQdA
A4HjDsDccGWzC6nx4IXNu6vZ7/Y8/vgdy3aj+B9z59Edt5Xt+6/Sy+MHX+Tw1u0eFFCoQFEMokRJ
EyxRopBzxqd/P8juNgssFa51J8+TXm3J2HXyOXv/A8LZ1az73pCiN0UnQnUUYvXsuJY/iFmwl8dp
jxLQnQQQ3MYO6XZqUDWh5JRtQEBzOzTLAr1HDZphGt6NKsjFwK/JvY7XQqmh6ylU3xIdOGOf7hMd
EiGZNxBOovdJrfodOduPbKU3gdABXPPoOEF+JyCUPeJul+OSiKD81ahSgp+rzKoUiTwGowPzhupI
41EWAnmY9ehxKKRSkWdMqHcAJdPJQmUyFUYMsiP/fThQ6Q3b6g1S4NetOUG2bqDD1jllmLD6jIrT
ZGeD+UmW9XcF1pYbyAO3s7xPMYpwcdNtb8IiMAqSvKOO/Ye1I1PwPkzRAQPQjXWAQD3LpGPDGKXT
3PwMExpPjKL+hGDIVRx3D1kYgiwNrsxSfjKH+mMmGg9M4ccupYylegbIWYGdYTRu/uhQmSHIpmzW
Lnmoxt7YQ9YzHENC93VQq89enQEFiHoRwF5BQQWqJBuj8DhWioBnAHI7pocY52//+K9//ffX4f/6
z/ltnoxIIf8ja9PbPMya+p+/ab/9Azu2+d8evv3zN0GGfqeqCvs0//7rl3s4nPwl6f80fi9OKY72
R626DvTi2qL4WjbSl1/7unn69UgtpdjnQn1EMP9bgLgv9xMqFV2Rf/21AMZpAKHMR8hMlXwcSjTJ
pvYY6ohv5cmby59Xf9I7+unnFcGPIz2J5GMXTsrRH0zEqURrsn/t6/OYvOh78vU6KYhSpnd4a6JI
AU4AKOmvfXxu0ouPTxYZ1H4sZAps0adCb+7bXL/6tU8rp58OaxUhmgSTTgsS0j7IlWyvQODfXv76
PHTnZqR8+nVBStELjyuUwBPkWDqyGGJcbwddB6/sUW2F/nU50M8GVzoN5Aue6EVVLB/9ur1Je/U6
qvJf7CHx9NOITrbyUATyUU24WNeecBASTKcu/+558p3pIHOxZHVErSJZNqVjnnpPhdxuA7Iq5KT2
BjyZlRg/6RtzsXBjgY3IUoz2iKZvgoAxRq8cdpd//0+2HHOxZhUFqRkZUtEsgf+MAYviTGOCyjv7
/u5yhLknzvXQYtl2IjWdrM2lYxKY14o0HQq1f6MYHqWGnMxdsJ/PBMiah8vhfjJjzcU6pvZC5iDU
5qQgYvkj+rUkOSqhBMWfYuoUvLsc5mdjsljRlQRJVoyM4qiIuSY6KOdmQD2TyXB+7fuLZa0aGrWp
vCqOuhR/TzKE/zBlXPnt0rx6zw3J/O9fbEdD3JpkeTC/1qLhykwbMG81RgH9m6xM7FKOwL51O07W
YyKAb/ao1qQxx+yvtWy50kuFfL4Rj0dwQjeIkaOkXdQrLfvZ4C+WuhU3ua4q4QjKGAGSKnOqBk5Y
Em9L3Pu0219qgLFY8mJHBkNR/PFosN6x9ahCtzExxL789Z8sSGOx2A0U00q5Foaj4Y/hrtGU0O6U
STmMVtOuzK2fhViu+aY0yFa2/bFlU4TCjeDIKL+HqByvDPHPAiyWPCM8lRzNHU+fhuQsnqs1itxG
8/ZyF/1k7RmLJW4qXlw3Ut1hHQfCd7AGHP0mLGYuf/1nP36xssNOQnVFLfnxjeBfG42Wu+EYlLuq
5vr+ayEWizs2o6bUlLo9RgV6p00n7XUKPGkRHy9//2cdtFjfkTWkVV9J7VHXRoiPXSKgF4ey5+Wv
Sz9ZZcZiBVfIlmFFMzXHIKXs67kz7ClKwUX3Tp5NW/iYIOMAdMVuYUS20Ew28wHuHgq9IUBg2RHB
cF7+LT9r6WLBm3AtcbfRUzToxHtFRFJczVeuyz/5tL5Y5oJfm3HnV+WROtiw5bGJnZkyri3zn5yK
+mKZIwSteZ0OlbzxPPDbIcVN30d4DcohWkogFvP+s6DgOC/HprUycD9r0WLd4xw2yVrcFkeMX41N
rqFva/bo9P7SUOiLRW9KBkhggzPdzyZzozaADtMstezLX//ZpNMXiz6r1S6S0BU5Spj55uMXk7dR
y32Lh+bBDO7kurnxgut8nJwyRNbDOKCb4aTgxmu/2NeKelCpil7+LT/ZIfS5f18cny3Cl2nbcTZH
U3kdm8mh86T7YtbPvfx99WeTY7E/mLIoKmOk5ceZ3ioicZq1Y2MjXliZN9aoFVikqDoCDCTg/Rj/
ZqQE0PacEuQCDmj4oM6ddTF5E1zenmVkcCDklN91QF6kPC0/0TLPjU1PoRYYtlb00EycOoexn4b6
PUYEIplNJLdSROAtiqoUZeXCIsqYdRaK59oUDTvI3mq5A56vgVQdlCcEqEL9Ni8KSuZDkRc71A5D
CkY9AsQdLBZRNjDGQ20ND9EmGOasbeJDpItxzwBn/QguMAwBRfcYPPr4RMCn8+1JbLPm85DJEfDf
aepVDwZwgAAZhstj2X1JS+Q3MHjLQGn96Pn/OnmB1z9e5F/zYqxCP2gW//dfDznQg/S/5//mP3/n
9L/41+45f/slfa6Xf+nkv+G7f8Z1vjRfTv4PJbqwGe/a52q8f0ZSqfl3jmD+m//TP/zH84+vPIzF
8z9/+5rTJfPX/DDPfvvzj+akgs4c+k8KYv78n382//5//gYnBRbUV3bGPz727//i+UvdkJDQpd+R
lJVFJMhlCXMTlR2/f/73H6kGujEGmTJT4xXCIslIUgckLLTfES0xuN8bhsh/w4ZQ5+2ffzJ/TLZk
aAmWrvDq+HfLb/+4n/4xGOezJYtrrMl/TnSZrymWJKG8sjiPdKgkI4m20gk/+PegwPZUgfHXs6Ut
cl2OtX/RM3+Gf5mcWexAf4RDPFUSdQN7INNYrM62T5HtjGCKoGh3FLwjRbJwT76REulGugspBZcQ
XjfktO3Mjtb2v7kxf93ZX0dfbD6Ir3pSSv3O6e3OkW0qdtfZlegqW/9m7e1xrmMt6DLI9imSJkvy
4ggkRYVFSmKBbD2ATHACe9rrt3CZ3ijbYqffX+7X0930R8MQZJGRIJIR65KVRbeaemX14eQxinDY
UGCB2/8+N+8uBzk9+l4HWfSeWPl1lI0EycuvSOXYmMivbNqGeq4hpPB0pBKR59OVxTHLTUSQR5MR
6vBflkUL6oBClg3AEXIYFQgmJShsD133AqkPXyiZL++l6bGkfJz4h7i/96g0F10KqvsbqkbbLo+2
avAsi7dZha4LTsXm4NmFACqzA2srNV8V1f/UquVHS8P9D/yxdAUKBc0WDIMk7/uAbWhZN7e1jJ5t
BeasqGx/wHDZKhxEVe0khCspw4sJoBoNT0H2JVK+NU17bIzxVqKK0aug+HCWCpP0oBYDfPCrSJtu
ZhPuICpwtccvr/iiS9dacQesgkz0g6alOGd/1g6w+qkSS/LTpOcOIiKOVt1IlrHJzA+C/nmSsFcy
xCNAk0MoKbyj8o9Ka+ysga9Q1Q6Nj1qHtHvwVlOfjepmbN/E+b2PhyynxwaTRMenhmmlFIN90CXJ
LkaPp1XJbEbf2vJZhTGAggiUMarlqcwl9bMmwo2q3hnNMY5otibB0ij3ZfY0RNa2i2vH1Pj7wJcr
/YM4A2Sq1EkzysA5Nl7Dx0K+DYIaRIjhdPUDKgCk72WnQM+6hF04AqCMTOkxCSQU99WvInrI0swJ
8r1HjKa2KEQlmyLVr+qyhOJg3pBmJ9UI7EHpAADIm6J4p8Jkrf1rICZJocP5rJHD0IL7WbnSQNMW
HdQNilDwu3Tb68etBfRklBJndkIvm2ONO6GARj/AyzsD/AsszLcRGe7E//CDN4cIfkyCFqrxDtyr
MxiI0efIduA2qUaPaE8BQBl3LfaSk55s0vCqagGe3WazTyKSEAm67/V3CumbCZ9MFD4RP7A2s29R
LkV79IR2IYiO/iGstohXoqwvHkZCcnOxG1mw/a7eYllqx1PjTHntTLVvI2u26YZbhI/qcE8NTERU
WfM+jTICvWjGBiZPhj5wuPwxqO+F8FM43XrKuzEqrtGCBsU+c9uojJceggMAxvg9baTuBPNTrH0z
AxmEkGVjO3gt+woGDuG2GYWbWaArMp+qXMQ3BUcL8RtwGbcO5PvRl3HWBPLUlQ6iXZumBURR3nXw
0sJ3CBcfpf629GGYj9rRiN+kJmUqsCaFnh5icNPZ3GuQLLTsY5Z3bk5V2zTfGdG0T+JDNpca1Gxr
lVeNQiY1eWqK+iHhImvSsdyJKLB/TeR7tKHtUHvIre9xrbgh/KgE5GxyXzcGLMV7i/2eYl05q4Lx
xgK8eleBNdapXvefixEYsWTttaKDKJFRpwb/0WSumiPsLcKLw9RslBD3iBDJy99RMkzTrzWyAZba
QKtM5zHPpzs5R4fgMQGbojwMLTpBwmOl8z99ODvz7WVglKL83QgRoE75ec3MsGn3pOhnqUGgPNcx
yrFdNFsvxHtTwV/MDAZk175xe8WAGfANwvAqV6v6pmFFKuJRrz+P9fMYN5smrrbtMFMXeUawSIsM
wD7U6wQXuFxGbbTCynCEYytCGJLhuN5UlbGRNOraTUlOI0bGHZqP5+2qRH72FelYqv59qJqOos0d
yyJqK/ZZQN1IpQlgeuOGSSZ8LMfravaTGz4Iw7Dzlbdi/aHrPpjI84EGsJFNsnWcHyx1Fvn2XT37
InVf/Ob9lN16yFQL4b0Msszzv6OnuvE1LOGtR12EMgazTg+uwuE+UHiwNI/jCEJKQo4TTaRMwVJK
8q7FLnGU8kNrQU1CLTwXb6cCab+Hkc6q+I3IFmJkc2haD3AjfHkSqDzjDvog7yoY9/4193kmgIEt
33edvYwajM1Be5TpxQ7DkV44UD2Bbv04TXeTUdsNq7fuiy2i0Y48gC+WwZrG3b7HlUTyFTvtRZQN
H2soGX0bcWrc19NOjD/npNbCqrO7EoDk5Guo1eEKhIwOppWK6ZPAh2ukXSNAt/G9DyZlUfSS0ZfE
J7f33obluI1NtoIm2eFesPfASqmAUlNh2kp0NCILWO+wfyGPWVV7Hb8mDxUUGb5LKr1TOk7MJGGi
XreQjybzQeCXxD1uaxkcmwxjvH0Q3w3jY2t9IJODw+ZX2ccqg/qj5SGDgCzFpCBVYUabUdU22fgO
KVnALYc+hbOkblAPdRHqdExsKErrOAB/MTEMFIrUiVVxKxW5ozLBZqEZpt9cfQaXKTkBu0RW3Sve
0yzCV5iVI8sg6vyvswemV05bcXiM+zdNH+3ge9xZzaNVfuvGDGiBASlnrmk3u0pMHgG3p3Y2ss1i
QMMJk0ZbQUAxUeu9YKdVkMPq5G6cuPsZqN+kAiOGMfkoYezxIfHeBmNqK4hGjXmBcTlGWlVQHsWg
Y9y5kTa6hKFte4zl8Cj7wO4Uy+Xt6FRz/2nWhv3bZUDx3CQrH1nQ8kxpp/fp92CkrtFh74FJS1Sm
O0SgRYrdD7G/jZXsUa+Mr+UoPcqYdefCLI4c7ETjGsnAm16m7l33xo4ZtdVDmZ703sIhYR/Mtx1O
lmP1CWC8nsVvIowe2LlpjXfwSX2A/wARob6LDBaT+iSCGp60HDzjU2Wh4aS/H5GakkgAhhLOniHX
YOuDYAZ78MXmRu6RkTak91FoblMTrsBQvsc55xqvie8hpaWNn6EglPVgdrW92EiUtUAE1s3Ir40B
e6TfEM/dRjgxd5XPnqLYESJO6DMK14MfIQZUfBqUaj56pgLRMa5ubaFiJRLsRV5rTN/qTu3Uhw62
HmCYAYhGKwR3wBc+tdijU1rHhiOb9qJYIFAbHCsEQy0w3w3vbJ/rlcw8TQzIQ34QO6kKj7Tgykc/
X/Wx9TDNRleNqB7VFG/j6aOK4+kGga07bwLINBX1e6U3b1RpPMRNes0Ivek0ZJxRpgscxa/fhZPx
3EnkS8rxTujzt2mPlyKq85ME+6E17hvyNzNwp2+OPv7PrRfaem99brTqXZY0WLmiGusPThOr+0aM
buSBp0731WvQlPICN4yU+0aOHq1WxZd8Kg5/9wZvmqqiKKqMh5+OucBp8mVEMje0lAiANNDAkVxQ
mq2UwuQ5aXj6xDoNscjNdUwslDxjkE+75Fa7mR8+wa26Td55DiL2H8ErfjWuRZc85t6zxz9SDyeZ
h5XnpWlqsqVpIv9IvCBOG5jxygZcVVVOdEhsVCpsRE5t5So8Bk5yNR2HbbJHqODGXHtYzu+rZatf
xl3k7wQUDXCGIC7vioOwkbfSftiTSXOhNNyFzupD9vUz6bSdi4G0yN0ohkm8zh0czCF26bV82x2R
pXZjV3+L36S7FlN5/fwjpm4oIK0lXpjLB20cNFbSmN3cxn4bXwW77H3+1H0sDu3OPCQ3bL1XaFXk
b3FsdrlPYn2yqV0SCXbzFs8+l2vLLc5jDsZtOIat5RVev+xPfpyyyGVXcYFwpc6P4+aMt/cWBbqn
9iOwcxs0xcosO9sRhmiYpEt0iWV0OsnKyjP0DJw+sjwcTJ/q6tPlVXomdUBjLAmlR+aUZImL1AEO
E5AWVAII+36r2sW7wAVUe0AT58Z32pU3tzSvyFdz969o0qLr1DqYBFy55nEVScYg+1l+znfhNbx3
1BFtyCQfSKnb/RPYpqFfiz531qXoi/xTG2Udrs+01ee94AxI8tqZi7QN3OudtjM+SzbP9mO3C916
bc7IZ0OTM8GWkpGcE3MvU9E+xl7CFInzIjKP0wG7Pbt1AZZtCqbp2vKR16LNf/4i8T0NKZfDkmi9
PQZ2/l3yd+I23HI6PQbftTvOaTs4Bm+FOxIODyi42P7qbzg7cWed6j8bvMgS+dOoQlLmJ5izkwR2
xEPqrEzdc+sQR1ZDV0ChmQiinLbSEhtFMjAic8Rjc0iPwwYvg4256Q/Vbm0Znp24lijqiiaRSBLl
xWYPTzWXPVGbY1kb+Et3iov55qO/tbb4vhzMj9xOGcydcZus7Pc/Pr2ctSTc8O6SVF5gy2aGpqz1
gDkrB83/7yZupBvUnPa8wb+QerjV3HaX7/BE2Ka36pvqQ3ClowS1ye6iz+b2FzrcIsOo0ets+suE
WRrmWPfU86X5c+M0h/66ekQK7y3Eov0vpDTBls59zQVatbRlrNIqh2T0oJdpm87hPVQe/S1OvRtj
x4uj2Rl/3Fb+ViHhOvwKFyD/3izLBCeVhZviOXvXVM/PzfWXYvk3/z8sKGjcD35eULDbpy8viwnz
3/6zmGCov+PRq5M6l2RJ/KNi8GcxwVR/tzTwrbrG2Ywdwzxn/ywmyMrvsqHrKstew+1Tnz/472qC
9Tv7gcpC1Q1R11Tl7xQTFrcSVcU2npw+wHpiaOJyQ+2HoYfxEsaYvZnkqVD85gFvto8vOuP2j1X2
8pI336VerL1XURYbqSmCug9ivNsH4Tgpjr8D6wtb8/5yFGmxWf4RBq1l8r40SfqRqX6xX3ttJdYD
BHmIvba3s1x03GT2kwc0AD/UN8EWP3rB8VY2ljNBiWWKkqQp1Cm1xfbp9wrXyLCO3SowboNM2gdV
ubJjLI77uV0nIeaf8KJdcivBBg9nDUxyDUUR2xHJVb8HI1yhlSG+U/W7yz251qZ51rwM2MNw0r05
YABXE8uuqb25HEFenDqv2jRPmRchDFnHEUojBAag8b1u9++9I64Z/lXmCm/9N967vtn6lNTfZHvt
mGz7vYrJ58rQSWdm/0nHLq6FozhzsnrGrtyavH0CW7uClBSzR5L3c6WtAOZ8u7r/L+5PfzSdism8
tCnmLQ/BvGnb0sdswO1tjE5QHIE5L2yw3dqB1SQTheLUIaLF/bfQLf/+SjREWTVx5DEoUy7xm9gc
qWKXouFWiimqpN17sRA3oBi2ViGv4E/Pdi6HnGjIqkw9dZ4BL0Y4VYwMJS08tAJjDwEnt75E+cqK
P7OvGDAJ/xNisa/QhwG+NA37CgRYvVF2qfA9ilP4Fiv3+7Mr8EWgxSKHqm9Uo8KQpa3+uaJG0pYS
KoMhshdofwhKuVf8wrm8RM4uwhcxF6t+QHfRs+bGxWgdoyGFN8L/MsJimSNIJaaolkGKqHFmCD8n
4cp9fa0Ji0WOv/xoZTpN6IZHoX9bIuRyuY+Wxek/1pIu64YlmZywy/tNmHP38VXm8+Dqx/ZtO23H
t4mT2licXaM6CHWPtyxOHtBxy1+Z3y9Cz3PmxfzWsgYu0kToCgugLbp2TlZ1n8dIUjYrjTy7knSd
E0aivIoBz2mkNNMxOcJD1bWEzsFTACLxQycDkYX01k9f5eSboghUdm4tmqn2ATljqqkl6vDZtFv5
LWf37Re/ZTGkZornU+INsSshk3nkLN+S3Caf6Gb/g4r8WsMX+zNKLfgiCwRTcZW0uDGjuooVxVou
aC3MYiQB31hCUdO/pEtscB92larIZgwr43huNUiiCNnFEsGVLDNdY4QLnjT2LLe+vqVKudXVdGVD
PLdPvQyxGB0ZtjfWcoQIaopWkYOtEgpRaCt7MjoQno0Ux8oSP9d3LyMuhgjCdYCsLUNkGU8t8vgq
yTNxpVXzNxbXR0NSAN2IuqQqr6ASfanJdd0zPmLXkeeuwkMSwIGvtNqRi+gBbc9gZajOHSwvIy72
3qSxfL/KiRiT0da8KxwBNxUyGsnt5eV0dkq8aNliZcP79vBeJU5iYpKoR/saLOTlEGcH6EWIxZSY
ctMw9ZgB8nBo8KGg+fUnxGWc/12UxTTwg7Y1U4+JF6FqJZUgWspP0yqSUzqz+wBAkjXAJrxpreUS
kj3JwlszS1xkSPdcUfciDlRymt9qxbuwCXcTRpwy5bYoVu+wJ1vJlL/uSm4x0nxns2aEkLaYFV0s
l3pSQmD3MVRGB3TkpCn77q4BOrU2A8/H4nJoWYrI432RUGSnKLTKg4LnI0grYV2jqA9FHK5Mjtfz
jxaRdjbQQFNIECyGDdpXCJO5TN1QkKiT40EFM2VcWUxnm8JJzY1TBle1RDrhm6iHyD2nuBECbNCf
y+SpNOPd5Qn4eudTRc1UNb7P2+FVUgWOnxiYQZC5fgrX3zKTR0NvthaUfYR+rq0O1rNqPF+Oea5h
us5DE1SfIVKlOT2Xvcbso0IDFFBILTdDCfmVu9CMt5ejvN6LVFHnqS9psCQNktenUWAZZooqxhmF
Wu2T0ovvWzl9r0XSOzyg/hbDwJzH6GUoY5FXFioMLEIMbAHI5B8SnDkKPNEvt+ZMn6kcfepceoEx
vnwVWF3f6tYYYMHeJE9IUW1lzdyKZvLlcpgzTzuVOPM/lmyoJDlOe62tVM4IzYO9+kH7SEkLpVwn
fQ8L3VHrbY5vmSNgTLdJHy/HnRfM6VGlaqoEyk3TJap2y3Ld1M9rVu0zV26D+xzZRCNAanvw3gzF
B09faeSZvjwJtri3eD48k9LvMjfyJuGa8kMATTlAJDvAcuhyu86HMi2uD7rEJriY6m0zJJrZDiiG
Gk/6uMMJSO7+/sygNX+FWOyuIpZzOVhrWhMKWyVGyEhTrppGdC+35Edx5PUQ/RVnbuqLezvGVlWC
HEbmoj3nAyyrP+dihIdpaM2eI4cmnOu5wgcxlFyrbz+uRH99gs0T5K/oi+OYuxmIHZyRXU/2nR5B
7LGkojB+ycO3YpK7iJLqaEHUeEIO/vPl2Gc2+5PQi82+L9BY6DvmpjZ9Qx8dVdB2pW/PbFXaj7c+
aTAV4cC58S+6th60oTKp1ruy3lELD51CemqnAbPf0rnclrPrbM4q/BlJPo2EiJWfT/jfuXniXRtC
4fb9+Oxr4W3f69eZ3q689c6cLhqno2WRQ7dkDstFOFnKPVi6jFqAaxpe2zh/xTgJ5dcIlCCI7muO
jAv4ysF5bsDIyZq6bomoGy8XXaX3ghQGRM367mtQ+GhEF/vL/XhuxDSRMZEBtFNSW4wY7pkyYlSE
UFNp33T6BqtXe6hxuTFWrrpnsrNUITRS3QCef1QjTvuQxzuSAgqW0hCqcYpBassuXIS0bJS6a7e8
BSx8vVpwOteFJlo/IqbhiCkuL4yDlGQGULnc9T6D+DGPAxWuyNGd+E38AGa32f0PIOvzXrjcYOa0
HppioqHqy6sbijUYeqOD7+Il9lWSN+p7UrZoF9vY8WWO9Vzs1h6w50aRygLzk5DKq1E0BhBwSl7l
roCwm5NHuNjgJg0NZXxAk2TlFnwmGLcQ3nwQGkh/LJun+oEhtrgOuVQ9qg2qpFeZWn4K1Glr5V20
Mj/PnDvGfH5bCg8/spaLc0cK40rvDKVw074BVAjUiEMb47uV7eRcGC4jJgWaOdm+LA5mQ9aaaGKj
3GSpdhrldpLESD77Kwv63K3E4OkwP/8tlX8Wt5Io8GCWCArCnCNIl+qQbtFJt5PNdFQPtRO9VbbC
YU0H4Fzb5rKTAvFEUUxtsXchkO6P01AUbi2LTosjwYijcwxE8vJOciYMRC1KXDoT0JSWXSjgW172
RkWYLt8hgEy6Axz8309ZqqxjMspsI6KoLbfEUagafQi4ocrYHejZ+wps3eV2/PjEYvmehJi3lBeH
2DhqfV2m3FBn0Az8LfS/WsA6mEnCSUcCdgMcbGX6ndsbT2LOnfsiZhmiqlD0YeUWTrsVbXE7Twzz
oJLABCe6Va/WkBSvR0szTE6zGYJDZ/4oz7wIKIOcjKB3og8VA46MKhDH/VWKIdTlzjwXBnUfkxcz
hwycmtN2IVubCOC7gIdgVhWMyIJ32Ih6ze5ymNdbksaT/K8w8mmYXBZxXi8ZMqmxc+0OH3GA7G90
IN6X4yxhPipXGksVrVnhgq1PX5ZuolooZB/DRFe9RgPVrXczzEf4PDqpsw7fej0TicaTeS7gc3y9
unT7EytBQRvM7Vzra7qHZmXHNgnQL7JTwbVaq2S+GiyT1csbmrcLj1l29tNe9I04mwo1zN0Miwhv
3MUiN5tm5Sb1eguco1Dx5iWhyTPk7zRKWFhy2mnyfDqad9lteNU/w9m+9fbo4rvtLUyYcJ3Z9er+
tgi6mCBTxz2qCqC219t4tnUGrr7hPWgnV93W2+CS+YjJgvW9sXGWvK/clVlztmNfNHlxiA1eX3Re
TvQZhFG/TUSngkRA6jx5CvDSshtblLeKv1fvLwdei7vYySq9rhVsyNEEyT9MCG4r+azGvhLk9d5F
30osCuAsBgTIZQ5p0HET4AaCPix+fO/Qjt7G6P5srC+IWM1oPkDQq7CoJZCIhUiex+LyL0KGVF+d
NvNgWh626e54lG3VFqFKDJthUzyN3+BCCteSrWyzHaKR2q2AhOzKJJ477uSIAIChsN+wNI0Z8Lc4
UnNU2sIoH1tXUDH9rOsrCZc9+28PHgkZkheaIhvyq5tPlqh4UKL/6bYVyFRpgL0hbONcXZmcZ+YI
K17UIK6SsIDDd7oc21Tp+ymSK+SArb3OzQR/R1fVyhURq7lHFj32Moy2yCyZY84MKSJs2WYvWsFX
bhKxLhHKQCiyFX2n9MPHX+g/AFYAZcz5vrpomJp0sjKlxeCWQY9LVHJl9OUb3wL2dDnOq7OHtwys
Imi/pAFnqO1pB/axXqZe3g9uP9wIvbYZhHRbzE5Giv8Lffgy0vxLXpzZUpllgRDGjTuUyRYTwGNS
otqIdZzejbhYrlzzz5w+pw1bTPJSb/pgiAlXfk++SRvg4A+1Ez94m2xb2eNVsBLv3ETUDNYS+XVN
ZW2dts4KfXyrC7VyBU3eV9O3XPWg2Yzby6O1xHTOGwc3LZKpgA+pICxvJHqUt22NWQG3u8ltPwBi
fauyZWXv9J3mJg5S+Q5aNCMY6Oy+vyk+ryPBzzb0xS9YnEVWW7dloWmVi+y4Y5YtZBfeHeLKFvU6
zbVo6OLQqbupzsyMhkaHjkdvs+9d2YUGeCxXnmjnJwp78fzONmE0L1aah2cjtlBG5Yq7wRW3JEkc
PBYOgy3sKF+40t9OJPxo2X/iWYu9REnRMQ9LWpa9QZz/Krc9J7RbZ7IxZHQhEK2eNmeXOBNTJo8A
Rnb5grLSTjUyi61Y6wfEJ3VX8H0n8Yp7LVoDfcx9tdwnediQKZEM3tjLC2aBB7HOPZdQRX4MQiwE
/OQgmt1NrMGyTLDsUDGrV/6eNBLnDF36MuxiaxExhVRxNcWqVUZr+a0ewzUpVjbkM3ewkxiL/WSA
vdNaJTGaNtuV5Xt/qjaWtUNqqEW2RJamlQP07Ap42ajFfRbKp5608wlKIVCD3uSJN8hU23pw6LTP
OAxvNLN/M6IEfnmLObe+X4ZdLIdq8MtklAibaJjwFJMzWl816pJ/O4rFbV1TqXWRj1/uYxkGbSid
CLXbFfFORW3EarENXsWenJn6hMGQQFZEztLl2i4UNaii0cfAIHgvV7fRJLk1CvFd+wuPj5eBlos6
glkvmcjpu6Z/bWrCJmjJ9/jdL/QaFU9g4KIpku9cjE3Zh72CR/fgxn19BfoQ/xRddX3qASuBflwv
FguZlyIVNV3EqfUVMAnPUtObZVjc5NB/UG0hdIt38VX5vrsiVyyAwJ5s0dGfKu0tigMZ7MW1XfnM
NOQHgItiz+KSKi6XNPKhrSZz46p4PurSzjvWZDGUyo6+t6OLu+4RL9w9Ng+X5+WZq/FJ2MUqx46i
mQZUf93Kzw9m1h/Kzli5KbwGfcFSUJneGue3woNjEUMfBNn0DTTz0aF+I9v+fgo36AHtVcQ6hOvw
FtM3p9glu1Xk5nyyvBpU7g8k6SATGT+eQi9uYNSnrDzUk8YV8gmw1fBl1Lt4p+RyaDcAuzfYrOBZ
hP31XTdZ4UbDxfxy774GQPxo+l+/YB71F7+gQxNIB4pIAmI3bt2nxIl31VbYyfu1zPnZcXzR1MX0
MQtS2MFQDsBGfPTyJFdP27XGzFeQV93JGw5VGYkzaPn2GNBvj9SI7tTxsS+DMcHbMgeBZeDEg9vL
G0v3n4wQWYc2LyTIlqLsoD9N8jIrD4bprU3dsytGs9QZZcfDcnn2VnJTtUhac/aK6EJ7xn0e1o/U
eFdWyDw7X7X6RZhFz+LFXIWtyIsr8/Ibr2hgrmbHQfK2EyR7TbfuL0+Z1wOpzISXWdCIkgSg39MZ
E1dRSf05mtWzlHyne1KHvraVbi9Hed13dJlskj7nkND4ladROgUbngzjD+QZHnO2s96ADbYmTXc2
iAYkFi4sVbgfF9EXkx9fA/BthdS4BfqdPGr3NR63daiuzMtzYYDdkKIijw0HY/ES6XNey5iPNW7d
eMjej6HkGChqIIqQmYfL3XZmcGbFHB7eaEmZr2op4oA4d9DGrWsFJNtKf/jUVbh7Xg4yT6jTCTeX
SUklqLqBa8qSoYC8vNSVate6uFrhBSNZ2LkEGFqU2nhfWM+Xg71uETgc8LjAfCgEMClOJwI50woX
hLJz22Kye6opQvJ0OcKZJOxpiPknvJgGiZHEKs7lHXsg/kn77B0IKZwJHRQCoLG4a0JNZ/bc03jz
fHkRz2vx1ij8sCRedNvvun3rdh9myiGYkrU76+vN4TTWYnPA1UmvWpm2BW/UY43jcL0V2k24l/aY
HwWbwLTV1u5VW3oP4vJ2Lfzrmf/HjQEXN5bPq+lo5hGmMyYmzQhI2+YY4E/Q7D3JWxnBc3Nkvpj8
GWZ516t6qwOySZioQZ7JHN+I+ABdniTnWkKCjmKeLMHsWzKfsaEWNGTbOrfs5PdRgttB23+b0HK4
HOZcS0jMw/eVEHcjAXo6NUQ/iVH0JYyMZERYtPtOkB7+fggSq1RPIHyBfFzsRk0s5AjY1p0rRhZm
gnhDbrJMXNmHznTXfKWaNc8QsBOXL9xmRibHJbfvUrj1mxHjiQpzlNXyyZnuOgmzeJFVYdcPcjxf
8q+bN+XbzMV5EPflTbcdndyp3ic2BqiXu+/MgjoJuTiYEj/szaovMHvsn7QOlY0ocUZ1cnzx2UMF
6nKwc1vTzORTVEh18mt+a9kliTpN3H7bbnpblMMuavC+0ADDwsK0m6J1lLHfD8X0JLU4ok2qtffy
4d3lX/H6oT0X9CjFwi+ldLScMVaQqplkzblWxGbwucFdC/Ul8TEpvoiZz/WqXWu2wjRfnDDAsqnw
AfHEx2F5+mfTYCFbQqqwtyVXtdud9oStiR3BaU0d3NHXLqdnpqsCHIbMLiQ/bh2LNdFN/4+0K1uS
Ewe2X0QEixDwylZLV1f1vviFcNttEPsuxNffg2/ccRVNFHc8DzMxEY5xlkQqlco8eU4LLd8GmRre
84BMNYcRjeY679feUAvrAqgC3Wa8F7G+eSZQ8TFkGanwmHHJvXIKNlCfbhx1R075cbhlj2t94IV1
4X4GwnmCyn4FsXYBGNXStJF9Pelt6L5DiGWi+F2b4Dd+I5VnHwwNU9TrEFCQfMyLrU2g601MQtkP
aBN6GgNxgCY+oT74i9eRr0uQry2g47LJk/p5gIrckFoE0lzWB++C72yQd7kYAiCsO/Dv1PKT2feh
2xpDYGPedSO08TlpjMRjUXajyxnIqqoYkk49mGaEIX/mQ32yzPJQdqD4i2noEC31e1b6RAv23Ip+
gY4KsvGS+j4U/GD0LPUq6DQlmXQ/DsMTE/zUiPItUdo3JYCkWMCG2KlL8MlAf3ZLOnNrQYAYSkHK
SzXGL3VqvnNSg5Er2AfqeFJxOlxamO8FIzKk13hgdxqyozBiCK0hvckDeorUvtmNqoyOa5+MJ7OD
tqcB4WgH0vGqq0fRRrQcSKmeH4AnlMEOFvfgDIociPjmPjjlqRtlamsXUfmMM4PanSID1tdF+5Fp
d6TIbiFTdGOhw+ukyKQ2uj4aTlUqYB9Uu1+lZja+hUKFi7ZNelNXJrhmmhisZSVxqcIxI6iYP6tJ
yI5haJIFlYPk75irkAgBi6Fda8HBjPNjFhFw2WSGB1ylP8oGCO0kL9PVX7USHoMIQoVU3wekP1Da
u2Cw1SFAnv1io/khy/3PFvelnVTQxCz12CmhE9Wx8KcGmeyoMdJjkhfElhL5kQL9XLf1HnxLdgZu
2lox9lSA1Iv0aD1G9QPybD/H2JKWQjgTDBW6Xu6C/jEywQRo/Rrz9pZrn7w3flildS84GAQ7TuxQ
RgW50sH02Owhwglgf3JnRoYnF2nis7H5UJvgKAXgwypBVSQSse3MSV3JgpZn/DIq4wYCiR8tuNpU
5RNcwIc+OqCHsjGp5KrQsgKSCry/1gFdlNxlgDIFMtuINMIRl38gmXYycccxkoFLfq8NmidjLzGb
5aqxZQOC4pIcKnVseE4D6FOl4b4eY78ssULoHavaMegKp9a/oXfqpJAKbMpNpCmfqFvsu0IHzi4t
ISE0Mgg5GTuV647UGA7q65C71G/1zvRC3B4DRHYxYOMEYAMUQrFZkH7UpfUDuvYg0tbvR+WHoMKP
zKzBjXPodOm9N80naDU4atjuyl57xa3vQLsExzlxFLUGtdQxqbUbK6JeEj+PCXgrhQlSPBSkUCTS
rfR7bI1eB5GxHl2lNutyiLU+VT3+jH+ClH+H3BtKbMKtI+WddsXnEMrCaUZynw0t6K7oqxzCp1Xc
cm2BZ60JQvz0tsTNV9Aj7ggvUo2HprIs0Hk1ja1wjKwpSbQjk0hwKIPXIytuQdAM8c2BYoOhYmsG
LUbT2REBa6+OlhNrIyQAQZVJNJQGuLZPFauDQ6GwVkYl2UJo+YCiHOTOY957QKWAiS8zH5KiEE7S
qk+cKVBWA5GVVYDwJgRK3MnC6DtpEy9QyaMaNak/WMEJJKEJGMXoHaitGkhky80G8OS7ymw2Wony
IYmgPZ02DagV0/sU0BHQVI83PW0feKoBGGod6yZ6gSaH2JeKEthGMh5YY97EBiCjGJmq3ZpMNJcm
dMYAu5fB4FVOQ30UEtrmg1FL8qaN1YdCbb+DtdHCH4/AKyNl5lIYuBXHY9uUJBtKwdD1ZupbXKcH
dFV7R+HdoWoRWPMBetzgN/4lCbC3qWW5S6UCE+PmCFnpMcXssfSW9uShY/krQGJuXbA3yEaLAxHD
qafVZ6tZByVUO1uKjHeiZpDMa03o8UER2UOFa/QCJDybegT5Xw9lGJ935Styx0fIqidoWBPoDMry
g2R0tyRr7mWoYQOI8V3KJv2uSVELuRlU2aUKg/rCeM7M8q2WIWqtAKPft+QYp8ab6LVkm8haaaup
emAcmjaRZWSeNrBPJMNOXeD/7q3gCI7WJ1PhT4YVH0K1vA0sULtF+FhGIV7VePxsgPveMNFBxMLI
XyWNV45RlQeGhNQeC/oL4y8hwm/wWUbWXsTiBz4p0uCme2Zds+Md+wS10I9IqaeIh+XlHQNDmu6M
oeKVbXg3SFZsF02sutkw7qQx/QDP2w4sRxT0hYkLLO+BauLUj7icWA/+zaZKgLuChpwRP8gjBsGR
JOKEdvENSMY/jCCMvBJvHFtp2aM5yJCp0dC1gEpb7MagnqQCotYoR6IvBAJEzqPY1RIQ61EiQh8q
N/FzkkNOlkAEGnHZkt1KgaoJaOEkW9Dirc9i+tJCOixLNdNPLFwvTCuPwKq8tGn+Q6SG5NM6Bckz
REI13Wi2UQW+S43dZsgPEC0RYMsBZWzJQEiZWAoZhKXD/rY0tXsB1e5GY+iigm4xjCp9S0V6H0ng
tIwN0LdBSXRfMGhQW3JlR7F5MwigtXoZ/IMqe5GwcqsXL1bZ31JW/ZQEJhsQ1Mo+j8DhDq3xvn6D
hJrfWPkbLyFHT/WTGGM3VEEymDXBYxU2gV1n06gbd6RSv++bekMN9tBBDc4z2haSdfgZadhQbBro
reIBoLGsAG2e3tW45QEzVYyoAw4aPKBVRn8ySz3RSB0c2QqdPu/9lCY2wHVQipYelYbcqJDrclhg
TeR66Qs0A6GtGOxpHdwx2u6V6laF4kzXse1IlEfB+IFBf1X/QOBzhDFmXhFSUCkZ4KPTNQi2HUNo
o/YQLIKaxLCRQwFuNJmCi09ACQ7hRy74I4Tm72q13BSGClVQyx3raMO7FG0ns9ScwYKPdfhKnXXQ
mAH4ot5uq57eg5Vmb4JPTyJl4DCCooIoFNMJlNAjDAKVGjTt9GoTtswPyJNgYLUloJ4VyFBwcPUM
Etxj+EqjEEymGvBatH9NQ/3WMriDV78PwdEdB+UMBGa9wdSsB4nzu0DNQI9fswB0j2zbE2vHYgNS
6HF7kHB7QA7CcBCBdzLiLOSRxJNKlJPOCpux4a3rkE00JaigazA9ukLFuJ0+9JtxUDaQdz7gxkYS
qR0U8OTveyk/YPbHpVbpgbb/VtLr1uMZ9RDYwdf4WguItIAYt+gxIN2OkEzWMa9guiW6QU1jgoC2
3fa0OUQEypCpfB83L6x7IepHkL1bYbMnneUqGT30Ld10iDOy1OygXHkccVGPbbej5kcRqN/wms+n
AOvqkuQODVIzrS4PkSXejYHcVHJ/6g1rC42DYzDeQKHwRhINNFiqbRSDfjwp0G4rX+QKZ1j2w1De
xh34izPFtFtzOFh6JGwCODRJ8MajWf0hqvojgWIBrs27flJrLGoj9UijfOKgHkWp3ygRc5q4+okJ
xhCaq9Yv3Ype6rjfk6SAkFrvlybfa5AVFL24aRvJCVS04ar8M2bgmx0LhKaKCvCL9VKLQr08cb4W
pS14emR1TNBNlUDZmNxy3txqo7zVq+E5LNt7KchfelwFXm82J1HlcNOyuLEy8xOD12hHDewUFdxp
Dah7AhP0ev0x/BshPnvqAHmEBgPwmqjbzovGwFqQHlIjo09SsEvaGBEUuzgE3TGRu59BX8nvfSV0
bMiQHHuWK06lMNG7UjS2kVv0qDOiS21BQJZDZRxpJ6QsEU/sgvb0KCXmuLcKRfH7uGk9pc7iY4EL
w2GxDuKoQXSIdKyUt2nZ8U8VAa9ymGy1p7qL2oMql5DPZNMnVWLwjChEcq8vfuE9Cf5ulKbAH4QS
8Hz6gY7BIHpmjngjp7Yix3bMJ+XftRrLAgQQRf8zO7OqpTFWBNJHLSrmGO0AmaBrxkfIowePKFnq
+xxIPFm4sbFSp1+oJpl4LKOpAezV19mVnEHjt9Gl0Q85TnLUuUqyAqJZ3L8zC+plea8GZX7ephoa
DpZ2IxXVi9SGXigra4WxhSLVxUqmOsRZhbnqMiVKolr2M8vAW7dxyxa4yfYtQGNTt/LNda9YqA9d
WJv29cwag+w0ZAHU1hfVAIFkSNEpDShR8z4/KXkF/S0GOCWp4hXczprZabPPzCa9VTRdVoJINA3s
EmNG2vg4Sp1jxKgYBd8pFASur3Pt6828MjAFdNwlrDNnz0n5vTNPAnf8dRuL4QXNPA3sI+ixQXzy
clUN5sWCsMp6X1iWF6cHEkIAIS9tqXoN0nyb8eyx17q9qkHxOkeZgpyCtMEgge5mMehtVYGHi44K
3ZaLU5I8c/4TF5+f15+xrPqZ3HoamPgxveVUeL4HdYsQPumRU1zxFqZV1iLG4pmyDBQvUf9Hm3v2
kfCFVEmC4rQfQlFBcLDp1is7tmZh9lXGJssxK4DuWhyBax/lApIbKw6+ZmL2TYa0AG5AwiKIDtbt
oHTQP/auf/cFAPLvQZR/Nmry9jNv5losibrHMiZMNzj8Iev3EimY9cLchts7uBzfx9vqsTQccCKs
rG/Rsc8+0qymzQe9ycEBquDNH7hgErQZUPN9/359iStW5l2aJECVSi9xXhVLSE41Ku1OhTK3Z3Lw
Vf03U7N6bsnlQdMz5NR0PIF1WSvvRunhuokln6ATygCEQODanY8npV0JoSYu4XuVJe5CCIrb0E5Y
KRgvbRmuWkDTCQXCdF4vbjLaBUZntL6pvWuN6mjBt56voF+m8zHPZ85tqJeOVxsQ/wkzLKRTtU1i
9NChVn1Lfy7jYc3Hp7/q0hSqkjKFNrNOp4t22tMzH2/jXm86y0DjOJ3MDIe+SDZxQ9HkP0C/yuug
ma5F6v1IoN6Iielhrb22gPS5/AXThp/9gqqKpx21Ol/NzEfW9NuYIEeV+92YKJuc4UlkQPlI0OfM
wkApLbxiPJUQuyAd2YCH3g86xR3x0rnuS18/8+WvmoWwiLZm2eT4VRyCXgkVXjGgaognynUzX132
0swsjCmQSdBRoOxQucUNKR9iMKlft/DVly4tzILYENWmKspB+JoYxtdMNZ8jPTuN9fQiMZuVZGp5
OQDjA4FggY96dsjBGRqbAWpGWA4USkMhS36Yk3jFyrQpX332j5XZ8Sj6NqqKJuz9XK6cECI4VZA7
JS6zHhz+fb8GW1xalGqAEUHTgUf5wqfXSgFRmYwcY4S2Amu7LW2Sld7sFM3nKwKCD5N6eMZMbcXL
M1CUBEwwLW19iNK6EYOwsEZ8EbNXDDW4XdaeqlKDvsna2OjCDacr53ZnXm6laGRmHMkvuQVruYJq
ZQTJIXsCeJs77b7lLtAkmbFNj7GduPxG/tfDg4C5gfQMs2joh00TFpcL57VFeBtRXHNZWdh1nuyF
1LdgKOWP14/B0lJhCZCE36wkX2Y4dMpFnA0lepf3aBCkP1HSdS0v/6Ufi9iOMJ57L/x4G++jwtFi
W/t53fzCKbywPtto1Qo7pqYt8Plh74ZZDuxb7cgc5ZJ0Ta1rAas/7emflc5iSiV1Hc3R7McNxdFZ
VKF0A6rj+JkTdOnokQcvo5q7gMnaHZgoTWgcyPHT9eX+Pugzh774DbOoI9EqqURaKb9TJ5QYHAai
vtJn95BrOGLT75H4Yg9sApFmDw0BJ0SG83r9RyztObJcjCsA1owa9My39CoTdKSZ4idoa8V9g+4H
ZGByaA8M6rfrphZuCxWjagr5PZ3/pQAh0TjJ00rq/cCUvSD40dL3JIr960aW1mPKE9E/pAExZzv7
rmYeVYM0lQbL+NBVD4lmPBaQh2pR/r5uaCHgoeH+x9D84wUGyrvogfq68WkUxq6l8go17NJ+YaRP
1YF4IWiDz+KdKvRKMttW9UuI4VCK3kiY22B+//d3Hz7/HzOzU6dbRWl18gAmj+5DdN+GULGbSYAu
cq9v2FxeA7MVgCiAkBjge4RwUANdhrFSqSLkTb3qR62cIzNpIBCggbwXvf7QlhPzzgIL8yYn6ivQ
MYODV5kbM3IPISQvr6k7NgRSqKDuDmNxSou+t1NJM5wy4gZau4lz/dcu+hFwI5jEwu58ec5aHKNJ
IeAlPi27V1lp0MXToU8anyTJWtmYRU86MzXzJNLQNC1jHcBUkv7Q0FwL8DJc+cgLlSlsPoYo8TgH
/vXLe1aSWAN2e8S79kf2MimbNLfsOX4ltvClTeGrH2u4+8VV4aRTEHsDQ/oly+lbDXrpOO09mujS
r2b8df0DTQd5HjxRa/jn75/lN3QUNTfIoPo1T9sfMqq80PVRq2MrtSbadk2BxnG+VuBbDNnnVmcF
KmucekrQD/BblwivP8ioxN+Bl+Yx3ANgYDdP7I6emoO5TR7xz/u6gMdiUDhb9rTtZw+BAQlqjdc8
nAX9dEsccukAZMmKt6x9u1nkQYO4jEM15z6nzZHUybHupJfrn29pHUALYm4fQgTQzJyZGC3RIwKE
3JdFuJOL0q1j/U6IlcrowpA9MhkFtHBQPMB/zV+7clRKjdkA9I2OzEl+Ed+iHyBIfo9erW8KxLG8
/B78JuOamywu7szq7CONeawCcAMvaVBmLjHQVdcvUvn9+g4upjAYMQGF1oSJBLPJpSsUSZRkYYoT
QDaQjXEQN/TftAiKg4HR5/RTWtnMpZCItHuSJsL83xdEM5NMmhpZiU82BH6lH6UxdwfpTvr3VR18
Kag1YPoPAjVfnhLRKGvZUEfcNwPulebPutBv2ujn9d2bguo8fJwZmRd1ojyOBcugpS3MBFTZxq+S
N26lRh9JmN8W0PVO1XTtlbnoFn8WZs0efu0YKDKuPtgEGqEcb0Pjtsyfr69r6eier2sWFnWjBmpp
MFV/ZJZnBQCGWKa0Rg2zaGTC56EEC7rM+eENKnCnxxyJ+jgAlK2b9VuVB/++toDz+sfG5I1ngQ4V
xaxnRsH9CmXxPH7XTA7OzJVS/HJ8OLMyP0ODwgMjAxB3hP6fKyaGm3APucwWY2kYkSSRO6kwpQ71
/vVnAiSVgn8eCCsCoOzl6rrK5EVpYgeb0C8a9AyVfiWBWXC2CwvzGIQhGkbDRPMxTNHbusa+lTLl
9jCwj+tLWXiWw5AFIJgKcTYMFV4upalEGartyP2p315FQH5At7OroBlTnnJRHUSWulxfY4VYGGrF
aBIQgSD5AoMmoKKXZktkgW1uMc0Xo/kqdforkTRIHWr99yYJNiTQtlWhvw4ZMjeLrlxeS26jychh
keEjMf8yo5+EfUzaAZ/PeORedeS34HIw38NbtlPfIJvmAOoLFc21ALxw7C6szs52qrYhzaJI83Fx
YpIRUpyR8jd+ebaw2a6GBqnKTvR4PmnUGQAEG7piJblYSNwuVjFzzFYmYCgyG46H064qjpBBKaLM
Y9Rywh/XPXNSmp8H+QtT0xk5iyFNYhSJbOAzmd/Sp+4onvuP4Gf0atx2rrQp9+SGPVYQgF5Z4AK1
AlzzbBNnoQuNo1wk0+GOdoxCGUyOoedHNwChVDYksOsb8kht4Q633A+gMifcFIL1xev1xS86y0SV
j9lQtMXmD2Fr7CwlrjDhm5Lo0JJuN1ZiJUQvmsC0HB5JoND6QgeQGxODhODcTzIwXEbBfVNDA/P6
Mhbu6YkmDlTTFIRqXziTDYwpV3WNR+Mwpj/J2PpykDiYAEECYu1rkUMPWc/+ouAMoxivA1QAUXoe
0kjE80QOQW4ZiGobmMUvia0egyXfhBYhlHIw74l/ZmGTSRExhmKyEUKxl9QQ/Eqb7jsd2HOVcnVl
G5cO3bk19fIkGF1em1IHTJLoik1TcR+AcYjLG3Y2Si4tVxxj0RqIrTB1BFEn5N+X1nieg0o7QBGm
H0Gk3d8RwO2isYQcN1Sy/z1mQEdNSaNAd6CbCaWoS2NUDSjmYJGWWnGi/uwCNbrtY73d6e0ISTyT
JG4TJ+ZKLrx0u+L6hoOg4P2VS7AcUO2ABKzio3LcgOGABoENjK+LsbWw2Fw/Amu2ZvWBNoU+q9AU
5Aq69FlHyUm1khsCKJRz3c7CfB9GV3Vj6nShVoBSweVOJglNM6VEZJa0+sQzyWNQmEgUzWM1e+Zj
usNDbiep/U60UBDvAQ+8/gMWA+dUbQEWG8MzBpl5KYeibN3JiFmNF2zoJi1s4Q07CZomKtQdM68C
wwnYEIydeZrEwz2xNR/WMrOl3T7/DbNNyBgkiNOQwHfrt6yEirPVAqS5wi++cEBARWBicgfxWfmS
vFCSp0HAOs2vDZm/ZWmiOtwSuVMYOQDERCtcjKwE/vXtXQjXF0ZnF68K4azAaC3V76F+4YDkc0NK
6S+evpOCGt5uiNqgOZmdxiSoMqWXBs1XynQfBSFWqG1U0q5EmKUMDHbgKxN7xVc5YKkNIq4LfCbd
5t5Uz6qcUXFk8psBJ9piKMnVh42+8l5Y3EKwXCHdJTqGoqfvepZQSGURSGkccFC3vGrtzxy4tb/4
RmcGZmfdGgeSVhPbAOmCA7p1fpX/e6Iz0DYjW5+EgtCsmw8mBySleaFHg6+rGGIBOg1ch1va5iuH
eeEcXZiZeZtSD0yIKBz8uG+dvHzNyjeB4aPr27VwicIIMhxId0yj8LNLNFKLokszTUMjvuU2D9vB
yYBLv2WGyjzR9smK2y1+f5RaQHqHivkXhqc2EPA6XAg+iMoH4wmw8pV7euExZZjgKZmYIEBVMp8/
ZWrVWWCgRtZWWMcEEzAAGhu2mdc/uKVtm87YROA/akbo2F/fyaVqEsg8wHmJvhhm4eaAJ300xWip
CYZodsEG2lE+e9a9xtc30Va9ST/HvzhJ5+ZmObJQcikQBCx+Znjf1qpThGv9hqWtRN8EfVOw3mG6
aBbItT4qJNpQzc/N6FmuEm4TJQM0strijt4kmgXVdf2kjWs8kEuOj04aCInAVg7S8plPDnw0gxpN
HX8wjI1ZkX1CNDcx+V9E8wlAMMF5NeiWzwLtIPeGNkqoXLRj4rQKs7N0jaBjYYoXdLJIBjAIbcLU
PFSkUU3kOGeIRhv+Ur+zffrBVFsBv1jk5YVDVm7FpdN8bm4WMkqmdRopsFMQpj/InWbXuOXLMHzu
wo8Vb1/8SGcrm/78LJATuUoxGIbAwZ3ihXsYwJpoSNHh2XMMYFdPofP/EP1dWB+eEwAhYzyGTmyd
l0YHqyE1AEZ4v+873FkhcORIaOhhwBNQ86BEu5nEOPSf19f62xNmpU6EFIhGQWoRWMb5laxbbWyo
Qw6FYWhV7/rSap9DTHD6qLBl98Ch1nZiEcyjIbLY1qB1Pj6C5I1Nq9yosh6AASY3XFYkbKfXKgZE
oPSCf8shc02eaxikGeXkZ5YHI4SZjeG9pQN3aRZortwalRvAf1pME5X1U9GbhsPjDL30KLa4rcV5
vClGtXoCK3f9XCiZfMzCUDhpq2c3wujDhzLLUgWzUoCgwxnIrhs4dUGlXGEeJc1ACBe2D2GRY0o2
xVyOKPPyAB6q6CjLwPU3OgWA4PpuLjgONtOCBA3Y5zBQP3Oc3Aya2Oq0wQfHu42b1M76TW2stusm
V/j6zf6YmYXHSs078FLng89e6B5TmffJBpvoKi/rBEdLlTRTRhUSQEr0CPEAuHRLU65FlHWp8CFU
4Q1isJUafMfVmzAVu1BD2xgaJwcTH+tW7oClOweWwWmPGjL9yiItKgWTfJSDMtTpXX7kuhu4ltN7
6YN4Kp28sv+CMhEvesRMZD5IUlGluVxr2aEnVdfY1wmtOrrgkRgg195ioNQObBmM5qEbfF73mMVT
f2Zy9ikbI8z7eFQHH2fFjbUU0x7xtmv6o2hp9TfeeWZr9inzSBNj1kvo5WOijjQYUJRBqmY8Xl+R
ulCUudjFWZZayKSS1QCHoHWRfB/aOyiI3xjbFszKLvCGqHRVt+RO/sHd4Rht44d4CzDdZ+g2W/6q
vq71ixZ/jgZecJSBf99Us1UjLzQMVC4H8LuFW920lWZTHMOb4REyYWFmK9sqtLtvygd9Qkluizmy
wgHbqKJuOMM8lFPb9bdCcrLT2g9barpD5ODPD5vt06hYQV0WQuD+7A+RU5/kaDtxdLae7Gad3YJ1
3u1WErmFtOfC5jwvUJsqSAg2I921O0iZbFuP+Ol+rb2/YobKlwepyQRG0lWYIZt212wmVlXiq9v/
amZ2ZdZZIOlAfU5m4jt9O1EOZXftptte9+jlLwWiElzLUz9rXvrowWY/KmmAbgm6+m6KmXcvPv3G
r2OGSXU10Hf8DZ2qDj6yP0Zn+c4wNnzAgCXxLUzNNRbrvL5mB2VMMcacq0/Xl7h0ZoFWQq946pgg
D7n8YHWo86wZGXyBltTWhbZDg8hTJD119RzzYAZv/SLs14T1prM3v8gwWY53JsVzSf/SpFasqjVa
aQCI6VNV6ntNRaTVvEyq3cpsV6pyi055Zmx23nSD12UwyMRPFIyuF6X6lNPc7bTyHTRm9yU4IoCh
Sg+ZLr1d39wl4CQcB+m+Bg52tPVmuxu2Ms3UpBA+A9bBM2vIPDcc7GKYNGu3IPmOu8EhDduCq8Dg
p9FgOxF84+RDH2T0/0IMLnz2UbsCIFvae9RHKN7Hk0jDnLMUjK5yoQ140omA/DDz8qkfAi9orT1Y
8B70TKzRqSy9F0xwfYICH4VYPIFmgVhpU97GBJnEVL8DPeE+KUBIluxGj2y71pZWMtulXAw8XSj/
guUHvcfZZT6aUVo0SiZ8mT8rJHWG7mOQ1sRqF5MUAP+RuEOjAaJCs4Aq5JJ2bAA2vKQQt6iVXchu
TUZvS7CSqDHG7cuTCkA6gHk3Vmi9FjK2+t+XHUCq/s9PmMsRBupAs6JGdOKCfYq2hYY481c8eHoO
zw/quY2ZB8fGGI9ZBg+m94o/ujL3DMWbyKs5op9ROHLgKmsOMwW4rzYhVonck6AKOvMXrubo72KU
xg8ZBI3aBzauQS7WLMwiAuhJGykATtCPQ7TbMFgoSmmtRbUUdTD39s8qZg4S6lpoGBWOWauM0Dms
pV2j9KB0VvXvkiYdFZa9g9XmMDbogKx8tKWgfmaazG7hvJI7TL1wYPhGdWNBwR6My3sS1tyukQTm
pWWTUt4rbWzz9pjhxdKrr3oPJgNyl4bBRgd/mhJTA1QC5vP1n7a48QT9BAqRGB2NoMvrBil/AUFk
c/AlK7HT4cWM10BqS3k1ObMw/YKzJ3wZp0xUBU5/yhon7XY6ps4q61kl3//bSmZRJspxR5dqTPBe
Nh30QR15WPOgxUCNAzBdkb9Li5dLibpGy9CQwVJ6fatKj9yyHCu6N1AhAGPQ9eWs2VIvbWlSGOca
w7YRM3YaZu2KFoovIDjSw5coWysrLn+kPyubuYFgFucBQoKvFfFtFqXPKOa7vZi0Gsw17MJSux8N
gT/GZh4xdiMm2A0Y4/u+c0BKk21Tl1Wgv7AhHyVsqba7Xb0Bvku219LuxQzg3PjMTTqQxtMejMe+
/gi6IBUsX1CvapzypH8UTvgcHhrg60MI+0yksNs17YHl4/Zn6dN3ODsMFriKQlPgq8YZ7W0xSq9N
Hez+m+fMorXVt4FJI9gYEV+S/DFruQNqnKoCvUNRrFx5i0H17FvOAncuFDxlKYJqBZ0KGxk7CIoq
fhdRDlQb8D16GENlWM3ssq686+tc3EsAlqEJNkkdzOtlIbQZmcITAqLJbVYDYKCtgcsXz+AfC78r
Mmdfi4k47WQDSXGUZk6Bjvgg5xtdKbwg7zdZt1JWnTzvyy17Zm12s3dapMio8GArqxcoWjrFAAIt
de2mXbMyiyul3tZlnegEXKbgCibbIpXtWFsZalszMgsnNW8bMgw5XFDcVeQmU0Kbas/XP/+ajVkU
MaATqBg5gnFrnFKQzDbDZ6KvqRas+Njv9uaZBwQGHgP1lLoa4MYbhlP0FzoCkwr4P178O1ieWWjK
PChTyL+Dr1y8xKFyz8lLt0YqsvhuhtY4nVRuQdhrzGJC1neVNXJEvWhH95Q5xjb26R2KwszJdu3R
GBwG5ouf17/QYmw4MzqLDXLaAFxVIuuR83KXA4JvNAXIzlB7qm55aECyjQJnpXrXrS5/sj9LnaV5
Q0jB2ThdnNR4A8WUY/RrrMOL2dyfdZmzbE6OVSMdE0H8IU9uQD1lB9WHbm3V4GEEjjyrtfv/tKL5
oxWvgai1QqwoGdpTqww7dAnWUpvlS/lsUbO4EFvWaIYDPKRCYSXc5m7xovl4G97rIajP0EwqHyD8
ELprzaSlGIsCFPi+MfECLMvMM4tgSIOuxrMNNSSHIeeVx7d64mKRwRZFt9d3ckHlAh0ylBkt9Aag
RDKvK4dFJikRx+vpf+vKuau/Wafme/NgfICM6xPMTC8geQoQ7R+lu+AvPPPc+OzyZ/H/GY/C1Nb7
H/nYrDw0lnz/3MJsM5MIRKmRimBi1bptFK9EXrmjFksHExQGyB+I6AFacZnAkFKzMDKB8hR31NpW
PWWbOSWY8+z/X+lt8YPRCV+OSWJKjPkHi2OWkJTEwg90eiiM+kaVvrMaXgLpT0guuHlEPEMHkVOR
2cDN2Pn4AGYjW2Onlu0L7Zea6Db0tTBzUa6kWYsx9fynzT5nl8iFSGU8OBpP8TMv9EB6Wt/0TrGj
foIGBftYa8YvoWnMc5Oz72vVGY04Q7YF5olN2Tu5P9rJp+HRR4Q7P/sB0j73b6aMLozOwrhFlLaq
QVcK/r8Y/GclBvvWQPBLM4dI4jAQgV78pIw6C9oGgcAEpk5xzz6a0DXLPP01vM8DN3GIHZysfbw1
X8NTtQXPi59v1ib9l1KJM+vzPC8JI3kQWjL4kOpyNE590LAIUq2kymtWZkdHUxslVwn2MdTfLdCV
9eCuFGsRYM3ILIw3pQqxmRhGFHIwArKtoJs8sjWF0KU4c75hs/wOWWpGwCiDcYxMd7RMfi3Tcq1u
sPhSM4CJBjYDwfoLOjU2UefiOpYiBd+V6C4HnxBXb7R+N8hHDU3HaDiV4GAcGaRW5NRt68Lh46ec
HFkBjl3Ih1p8zU+XnslQioBqKEaKv9JQD3LSSBATR5sjvwuz2slMyHN1rZdpK8Fl8vf5WwAjdxOh
wcR4MQewFUZpRcpvXykTW7K2Of3G1EOAx1x8BF0sjuGP6zfj/5B2ZcuR4tr2i4hAYn5lSDLTzrTL
s/1CuFy2ACHmUV9/F3Ui+tiYMPf27deKthJpa2sPa6+1EtNA4m8ewQPSDADdxQUUSRknxogSn1Hc
gWbLG6UMFKN08+HUO3pgFlsIKrpiQ59X1BZRFGrCEdhDZ7gDWrzUA8Vo4NzI393J2o93zQvEgwFs
wkgeqIdTV8WYCljZtOsBstal+/O3rz0yX37K4mb2YDAlUd9OO6ivXUmQHffSCIsUDeeBXXLrbFUs
AOHZgRhPLGa/iP5SxIZnWq9dpgNY8JSYE2Iy53aECsXGT1vdJYyuoDuAoX9M0X59b2stjvXIxLm0
T81HjQ4e+NzCKPFrKBBQF1zE1mErIlt72BwV1g3oi45Hd9mCkpqdQCKimYDndd6kr/nJCw/zfef3
D8AY+yCN3erArgSBX1ZceK0RShF9QipEFSCpvAfRLXA3DYNYFN46Ly0G9WDSadja2/mvLi7Zl1UX
XgzImQYUxfhOPYx1cK4AWwRcw2vnR25VQR97iy1/6yvns/6U6qE7AR5phkeutK3WI21teJWW6r/H
kmVXGJvvQrsHc87PFrRqQJ8Oc2FAXM9lrkCfaNdSOvn6CPGxUWEbi6y8Ol92chEKKR0XuS1wgUZd
hhxzZVWRniEk8fOnrPooTHIBEILy6zeJOqPQCUBNeBCmLk29IiruhJEfQTvsW5UR1KV9roTcovpa
C03wbf9ddRH+8D5CYzSK54gXk4cB37MUrLlPTagEjT/4MbubJaPhnbjb3VqvcbBlNqufrQOfAOGl
WQd2cYKR1djSsf+m0SD1NEDAzp9m1uxOIsqU5ixcF/y80esO8dOSi/MskgjN2BaWOn8zuO+P3S9F
deUerUgZqrscSgmufQHvA6JzRLpbX7xqs8BlUkwqAjm5bEpIpiUSOgIIYlRMvXAVkbXcsKWVl9xB
BjPjUHTQ+S/9ahu1oi7nnDpR0XQqmp0uSnTZVa9pbn/ezLW78XmlxV6Seqj0TqBOxdWTTiQUBI52
rm88YVuLLBKDlqH8iklS1HfSyyrZd+JZbNXbVncMEFPbAE4XMg4LM2yBhS5Ay6rvKmGo16DBbn2t
gDq1IRWITlTx48/btmYDmBj9Z7nFtmFUiDMkWNPORsmquIdg9saWrcWXs6bTPyss9qyRPXUECGfh
/ufBBHpEFw5SMKCvdFJP9/uABPZv6M+0FcoeWzWk1QP7tPjCq2AYLtUI5g93RgzlCPNcGr1bZxtl
2JUo8ssXLoK6nLNoKHQsAjrn3Uju0hr6ffeYB0EKl3kMI51DtymSuGEny2Qqrx1lULsZTPVrhu5p
vvNkelUYXatX4gCMGYrOwO9tuYy11BiaVpgvQ9l3TiMXpwkJt05UkTnuoFXQALWLo7zHmImaBg60
lqs7ckqDyHKLf0GoNitpAbeOeohGlrCD3owb0dex3AlQrccWqFI3OVvXoA2zzBXmdZAIQdN28W2W
FjNTbfACaFdD0B401FzYqT8Wl/quDdMTOfx89dZqgV/WWxgniupTEs+FW/ImzmDz2ScvOnpImOnS
jsmf4dCfJtd6jpqtG7kWkH3+zoW9Yio1BQ0+1F7Bdo8DBD35hRPoUNvSgjK0N0pZxpqh/nc1oEYW
4Rj4xvWuilC/gX7nB6dddgPu2vzCaWMQKLc2P3QOlRXmBcE06fJeV/zaqZNw5Cq5S0BVHfCq0NmF
6EznVLRQQbCSYfRKgB8vhRyNfWeVlLgWpCwmALZrHqhWZFXeYNkVtD5I1Z/TqaIPEZArr5ExcECn
iWW7+hjZrupMMsghNnJ2Jp36mHHEeElvA6XZVYXX1Lp5A7GJ8V2aQwnOfpt6UaEjdm2m2S0Xkcsa
ZQTh1QAufVup00tliOJQmgpiMyBYpN93osdMlmj5dWLVY9DSPLmtY2WCTwBse0reTK2s3362rK0t
XyRaVWnErKA9ilUiTA3hjmV8sGUUdP9m4uiTCaPc+/VwS5KRPudU7jKhXE+WlvgNusmQqGJIabWN
z1q/MBgW0MC0QaHGqn1drUlaSCo38HnWLceAG8gbI9d8z2+jawvzAjXYFpWAArcM1LL3846uvSN4
j/9ZeX5GP+UUlaFjUF+qEuo0oNJHWCbls91tNUI3P3Dx+EdQZZ2aTp0RY2SHHi/M1KnD2jzVj703
esQr/mTxYSxfM+//+4WLQEDB2LgOHT6ENrJxTdzESNE9rtB/s5FAwfxV08WQ2sLHVqnWqdqEI2yc
s80+tPqNZb9+Pqs168dQAnRaUc6G+NzCSmwWFxWJHDhtI3pO1fbehnzXr2baCG1X8/fP6yxsIkmr
etBIDts/5MLTUdHcFaMb+6AXCcF60WPg439B8jxv0DKb/rzqwkTkgGE+uyTo+XKkCrhwcZwGsQH8
aEF/me3Hz3v5twL2fbmZVwmDfNY3Ad9czfUyHznINo/xHbzfUZxjEPnXrRvt6Jv0mkPrQevqfssc
13cXfADoWWEQD/99vXGgQGggX2IDZ+Sq3hTFpxk+okC2KEDIA9UU1ee7uHKNrVNdu+kzKBipLzVh
pQvrmSgdJ1rYyMk4KDhY5WYINAoIiRTQihAjRNpHqIykckh9Xv6unbOVWa7SYEaZl+3Rqrcg32tp
KVCkKIPOm/GtE6ROeVVM+WjsUjJ9kIyVLrKQs9X1+1KLevB0sssUk9M/H/tsul9PHSwPYHtARczA
TVqWKamTANlSa8auqzv0evJ9ZJL9/2uJZV2ymwg6iAQBXQZ5GA36PwJkyT8vsRLQ4TN0eBskTZjx
XWafTmOmUBjhEvm16vEbY0dcfrQPJEQI8o55rQ3f9jfm/rZtn9abPdOnV6KzoPQBlWu5s0BtoueO
h04kqKgd18QMhko+lAwBSX3vKG8bHzr/4Z8WXlyWLh8LqMdg4eIDk0MSN0W85K3LQtBAgNfNdOkb
kCgB27HNezqHbz8tvQhiW4iZjCno0XZRVktQ8GVvTWukblLo6Y6SPMg0xcMk1c2oR5cGrzZRbt+D
WZwxQgGwaAJp/Q1ZaaWQ5wMRsIR2bH0QQfNOysA6g7QhrMOmPNrBz1v93T18XW7h9FOBICCJ4ApS
pfeb7G00LoTYpJ74fum/rrJw8uqoytHmkDCZx/nBZed1xlkfTmJ0RVj5Y4ARDAhag/tB+uV7TjeV
BFbSvK8/YGHJfROZspjwA9onsNaHiASOw7CPkZoMO0geKt5wBWWarfsz+9ZvtvTpLBdmLLs06age
/ee+zuNoHYrEf1UTiAfSV4DCNnsSWzu9MF986KD1FOYzvtmxpwwXNYwXJFY31Uu/h2uVe0rREN9L
vtd3Bfq+W03R1av76ZsXyViWIE6upAX7dR5j+wYtNk/n962xVYeZ/84Pe7tE08QY0lDQnYcUW4q0
Z7p3MNsyKL9UmXoQyePK8xhvUdGsvOGwIhRTUctC7e8bdFBpB7h4Upk7qHh1Hh1MvYTcEG/es2TM
Lquxg2SqImofyvHcs4yWXaXTUO5VpzG8AYSIYR5D6YtkbbPlMFev8X9/2bJ60oBS27byGvbt83N7
x4PU1w2PQC4MtWZIOQWYz3By5JBbuffqMXxaeJGa2botekuFBMEc4Zue9Sj2SePm1yKIDlpoax5m
vDGUFJTehBDrvMUTt9IO/HIkf4Enn56oAcxARZX/XT8KwTMWRM+5Cli867Z7eQGBH7LPfivBTPgn
A7wYZjg0XvE4KhDh3NiLrTOYvcGnn9IKJY6MDqRBEDv7kENxm5vDC2QnN9KB9Sjg05YvXHbk5FSh
HT45PVAUO6xkp2C0HcKeuzosgJV/3/Rj8yF+u2ufVly478bhMfgZ/1oX6vp/jIt+zy+VcIJI4XZF
7ntC8PVEF65aKEU29GRezHEN6vVv1ccUmB60Sn/TP5j/yQZffqi+ebG99mqY+Ok7F/4aanQT+BCQ
FcdZCTb23Js6ZetNWF0DNTkL6QfY0pekC2OlTrWG7hpiuP88hTzet7ELoVMfdYAP3kH7z6NbL/Da
NZ1xcjPtiLoyBK6XpW0mLaLTrN8191N6bRsBdBrNWvGjC8GJ/3NYsfaVGAxBeR3NJ3SgFzuJmdmM
VhoOsVTuR/5osf8zKMZEJgVAqkUhR/ENkDfBh1p210OipWQ7MMLvM16ey2yrdbj2mCFdAOvY397F
ktJBq7m063rAYY0YNIYsbDY+RwyVd/v55/1aM/rPCy3qTsRoIGydAkI0oT+SZYbPe9PT2ntleNWa
TXTAmqf6vNrCU5WyMNQ6h6wqBAF1w2U3CqgqWDCSgEFs14+uMBIGLsMBIn4bPnLVLj5t6Pzvn3zk
xBpQCkbU3GVNfgFxWIjCpt3WIqufB9JkC4AUjCour5iONbQs7hAaZFckJn5unrOY/hsL/7TI4ks6
FvdV7+BGxe3REBBb3gQyzWe+9LqgIP3nMxZeV4eCYwNFFCg6hvGfcjfuER+78Q1kdxG2bTWWVg8G
LNrzjMvcX5odyKeD4X2WdeZ8oYYe+puaegJz2cvPNr4ahIMP3KQ6uN/Ub2Ah1pVtotYwO+0K86NP
Cvjf3jE8Y0I/3O18/qfapeUuirx/0eSBLCSYgtB/JJiWXXqjjk81t7sRPW/fDvn+r+wJc7kHXdbQ
8MDneh+dNyeG1o7v86KLSFxMMRWRxJWeIyMM7LzPRBTFwQbfEr/aqqqsmfznxRbHp1MrtQam4l6V
NMgmTEcTcm7Trc7gagT833VQwflqJmCWs5IRmiIYCKDH7A8P5IVxY52AcfJMNJXY1RbP6fqH4aWc
eZBwigtXJcchS6VqmDtmXWTiFPPClyMLf7bMNTcPeYR/Flnc5apriFbq+KrSEa4efdT1pW2fi3ZL
E3B1+zDUCFIUE0xc38gstQwq8gZD71gS14QE9r6/SgLlZrpWb7MHOJHb6bd2/fO3rYaLqPvNlCjA
yn9j/mqdkmeW/Btw2L+QEHhkz+9tvw3ivbxPNh3J2l5+Xm4RvlkdixI7p4hlmkMqDxW40GNxJtPT
z5+1tgzYDsCyiAFxVDcXAQYYCTojqxGqmak8tpXzwawxdqEg9atvt+TZ1mzw81qLm9wM0I/WJJUY
pLjvVe4XoOOScuODVottn1dZXGHm0FjVEkxYKUIaLkYbRmjRZbtcMS5yTWL8pikx4xiXRyG1x7pV
/u/T2jPTNSDzmPXRQL64yOTUwTIhgGgiZMtSjxanvn74+chWukFfV1gEOWbRgKaqRco+HQ16WR/y
nQgh2/1RDRDbdo1g9GatEr3fbfF/rEVXYPsFJhicjibAG1+9ljEMRcGgCQzMU5n6STNc1+NwSob2
CZSZf4i6hfdd0RHBl84fO7fesebCOlEmtSfoI8Il+v8RCp7Js24UoNLZEa1EItweg/dQbveU6zEN
NMVFfr518+evWsYPn3/EwmyhL4R8VEX1CdpSxybs9xrI/v4V79nXj13ubhnj3+cS4vzQFWiUGoH5
MGMiW9e+NVENEV4K5vj/BRpmNaL49InLIpCFSmlqJrCoTPNq6lKvOxuPimcFEWrUSKquSNDcKv7W
o7QWLH1ednFVDKtLDYvheOMedOMlwEZtt/v5sqwtAdYECHGAOQt+e7GE03QJEwaih2xAqZ1aF8wR
Nz8vsXYfCbhibEoBDgHf2XINxUYxe0JY1PrOFQDVl47qCsjOl67uQkQdJHmeqbq8RPc5ev157bUb
AuDLLCiMThD5Fm/2/TSAHg5rj7sorEt3OI17jbn9vjlBYxLjME7IS9feF1fZiZ4xKJduznSvbPHn
n7DUCLEKhNdZ35k72R2npDyyvN0AUq29vQT8v8AjIrL+Dj3NdIZbWCAsyy+jkPj8yIKZMKU5gJQq
HC62gvi19YAjAEHNrGMKEqCF35naCqRro1UjZUAHlSI64x69yh9mzZjuNj9tVoZWglyKyAlcmIBQ
fa+I9gPr61YkM/RmCLIEmolzmgLYy7WOGvtmHX/lJUY+B+5NqE7Bbo2Fq5E9enhWhGZxhqvvGe1D
y5IbM0Et/WfzXAvUMK8BhNacEhFkRF9fjJQQqxMxbjZ43cYseEGzFg602zlQ1rKEPyEHS3ZbvZiV
ZwrS2vrMM2RCuZwuTq8VU2TnatSBUxfl24kFPV4rLs5qk1839pa0M13bTGh34akHOaBj/TWmTymf
QWrqdJYB6MKUNMRVMr24Yamwgm4YtbNu9k7Yo1sOkfZi+ANgUvpSRil6yHU5XUOPE1XlGjLxgyrJ
PtdNbAlgOqGRqJWbVkP/WhKLhzHjvduJWtwMqZkGdQK+Y1Ib9Xs76GP486GtbR8w3lAwmgUF8Ph+
PbM4iuJKR1q+sxst0HgFDjZw0uuQrc4xTb7VDFgJQOfiAk7JBvfSN65gHfp2g2Oh38sZ5VCxKZoj
pkE0r4h1satls9X8Xf06CjmSuS+IgY6FcVSWkkHzIcNrrkPvt3CAOI6D1lLcAlOhirMRq62sBhUo
ZCoaoiaM9ixW02I7Ar8LOMNond82VWy4snGuui5iHhoNRxMipT8f3kqwgrKQg+6Kg/rAt/eOTk6q
Ishud4PijBDlLHc0I2+mOh2SsrnjenMocBvzsd+C830PkjD5ij6rbUPt5RvJ1MSEY/JaqLs24cwd
8uZXyxWUi9SN8H7FXKAagkroLPUILMYijy0NQ4kYI9DlzqIHjnmhysTdztun2qAb7/rKvf6y1CKb
rbW87JqYqbveOenl78J809UNJraVp/PLEvNP+OQ6CsEaB0VjiHMbzm8wpv8pki3gyvpXoHgHzDjG
5pbTRELwjpC5Y1unMeQlRHftJPqepMmGAay5QUCB0HKf9XeNbwV5STE0x03R7xLB3SbRw5y/1OOh
tO5NPDRGe5t3xM06fgH6Cw+ZrT+rkkjjlTj8kGShQnK/r9jOqjuvbdFvKttQMa1AZGrY69q5VdnG
+a7oKIBF2DCwMVBiBvvewtFZZIAyOmlhS/9hOQUIBNpM42+Iz1TDL0RROupaMgAEPWzvq9bNofIL
Jt7WBZ/Kz7d29ZA+/RL61Q5sZ4y4zXIVdjD5KXvOBNga2O3Pi6xFNfBAaCcgoJmz/cX39pZQFYHA
ZpfW0UVn9l6a5m5hyycy5pi94wfBqx0IpT1dm9zRGC6L8o0O/8Ijfv4Ri08Vw1gZVgyKsRjMDYpV
e5V5MwzvAtLBmyCQ1W399MELZ2FJLqJSx1omE2GWZRBeN85CdbyfN3bNyX/+pIWjGCpq5lHmQPk6
M9+locduZ/WYy7XPEMS5yzXn9PN6az7+83oLryHinEz2iM+KauVcR05g1AWozbSTqWa3mpEfemPc
d2SLKR7hzNqGGn91ESwgnr/JDJUyb+uROM2ukUIje0uCl1GMBdOhkxE7MRT7BvaeJ21eBCbwE8HE
uECjng/NYwXElfSsWmRH9PTKvcCl3Ldmph1to2C7pDE0Pzd4t3dygtokAL2u2QyaV2oDPLBlUL81
zDGAYWMYvSM1GFMscW3QMrur24yWXoSiFTCBpaoeunyK9qxrszLQE/Bwg6rbTPLA4eXwHtESYro5
qtgAOIxQJ9tLlgHEoRclCugJFJZ2iBB4wIkZeT1V0sNkW9VF3SRqWPY9ebXLnAaVNSR7qwf8DwEd
9VUTIo/EsKEoyZo4ZHEeXTY8BklCjMcMkOS8zmo3TguQWvUJ5ls4saqgbDra7zIweIfpSNNbhYsO
/oeWbpMl9kkWI0rdTH2jrf42gBPcYt0+TuP94KSROwlTg7p4dOjHDsPYkI8LegyOHppxzFyHkYfe
LM5l2jyhk/5kZiY4tsAboAhIByv5XQl+D2pMgYMsx1Wb9L7Wk+t8gMJWT0LbAn5TQaWhF6AbB0Uo
8O43fZKGcYx6AM/6J9YmfjUNZ5oX74TJc1uTy0nh17JTHnPBb6PUCE0mX4FvPxipApm3cuTnoSBX
bNAv49K8FVw9m31xYkZ11cs89hynQm7V0BBa24WvjhVIFfsEWTQiXUNroLCTNI9c8EPW6h9kLjBX
RXTdpvwi08WZttYH5rW9gqgHbE/uYdozrCP2ko/TFVHooTHptZmwK5l0szq08tJkKSj/IMTsGdBV
axQ08Rj8uxLHrhOb5iVVMdfXpfSis8kh1+P6oHat5iqRKsELiEJTUt8KNbeuMM5pYVJWUK92dJCX
qJEeREpnH1KM1gPtBynmtiWln0OeyHWige9ACQzmQbO4jAZ5Pwj5PNnm5Ik0hsQZziQ1QURoiroG
HKc9147FfAcKgV5tm88C8tB7MBlGB66ze9oPNeik8z9phFcpyZQkQNW2DOwWguGFREuyG+tZH6Bq
8X+3igvRmQq2X5Kgy6Go6LBXPAOvo9L8ZmTqXfAvVG6S57clL8WxYnYHOhiOMcMa+pV6PX5Mph6Q
CFs0iAgZC26MXuogc7QxmpxhY1uj6byeoAjngHfKjnMIs2S+dOAOdU46d2rBMdtFFxB+o25SOkCz
ZPrdUJI0TKJyB8jydTXUPuQ5j4WjA6Jgvzg5FKVRe1f8ipXWIQYY7ECqMfMozU4lFHcDXfQvpt0+
9Ibt27Z4oJ15ZyjmcayjG0dW11apHKRi/crT4iCK6ioZsbVAoKMsUgHLk9PCDIA+umjGoQEnXK96
DKnxZVZa2qGIncrtinZXRY1fiuIodXFg1Dhr7bAfsuSPMda9C/wSrqHi94U46dJ5xxZ9xPUIZqK8
PyEm8kylexiGqnAHqX2Y/XCcxHjD8nKHC4JWU/82GONNwZUTzae9HIzbwqZPSZugMtaZZzg6OA/B
H0mvYSiHAu1cxOlrIttQa+17VJ40UMtFpUu7hIO70nzUHXD989IqcPbDEUiNUzcp71I0t2krjgVk
Xd3U5L9ilTQeFWrtY/7+0PTTM6/y53bU3mkbd24zOdlxrqC5JeTCAtqJIlS7Bt6zim5rAbkQi6M2
2dHGn+yidJ3M7o5RV4LZvMrsnWmLG5lpja/bzR6hxW8oHsCgHIjfZUMpfEeDFJE5sNhVFSY8lZS3
DH6jYebvss9vId+MfxniPpwho01GQkzb/up68TDZmquS/kZO2bVK+1+o5NxUqI5OPAlpD8ICtQXK
gDoP2lg+cvBdNrrwRyfekyoCiC9WTzJ2bsuOXUx0KtxS15+aFLD8RoYJG71Oz/eTECfZ5YDmxL5a
0h2mokKt19DYiu9Gp7wSFgs6ApWBGNUF6BDZbb4vwagsJhrUPDlqCrlgJvfxSEGwDkqbiZ4claI6
y86+cZzyjINnAc37xqUsvjY79TnLqkuVwN9Y054V5DUaEogOSdkh77eua5qkMKOk9EgcJW7Bay9m
xmtlZ9e1ljGXldEeEzkzB8IjdEh3Oa0PBoZRUJ3wRcI8tdfAqjz5tUIvbCO96WYGHweOQEvrHsqE
NDBksUtN46as7UsIMwdjLS+ZYV3EY+7nSnmOiH2wLecxsYAdSqJ9pOmxR5roTxUPhynrD4pW7OyR
+JXueIap+KOQiOQtPLvmBRJCXxTjk0xrYIDz/NxaaPQnFmIl3huFi1ochYpCCj6HVLmaYvtSxvxW
KN2NLLorpbXe86n0Bcl3oD25tlqChlgejoX0E4v9xkBHUGjg/2kVMUA6r0GhVUG2o4yYR+CKdsVq
5a230W6aKDtYTH+iRZS5FbLhYZjuojR/qZzivqqSm2zqiV8zJfdSpZN+xFA9zWmUeDqDAmap9tfR
0D5woji7pjdD06mgVDllNxLEyim1341a26PO57EMQwg8zY9Qd39Q6/6xGM0ToebJsQu/nImUMtxV
oXdXJm3ekTqd6wTeO51us1wcQQFxhSjZ1/LmQkrtRbOm0JpKwO1bD1geAGBz0EBAklfFWDPZ1SSv
/Nxp7lqrwNFXSlDEKDebjZbNg2jvzC4OTtrYv/KG17c0brmvM/sxduwjRanMHYoYtPvYJA/TPorr
OM6RVuNlZahPU12e0q4+yszBlEeWKhdjZPRerA9aAJ07NPD6Zgx6Aam0toaKgCMAmeUNRh9K8LLY
9sWE6zZV4pD0hpc2xj7tjRxuejThYEGEAO6p0UUH8iSc4rdVmI/QtVNcyPg9J1p+NShmCOH6ZxuU
mjeJGJkHVbzbTCSZBwGHxjMc8lstK+LJWtpew/MBzppkwNv0j1CNhDKLNiXneY3MnXLjTcSwFFkn
8SmpHXHrAFcATlydA/FqnVnJ5JG2hbhr7cy+6RquJIeB2hhAzrquurGiUb+TJIZY6cRQE1AoMy5q
s5P2IeKq+mymsR06Xd9NbkWbEeoOacQnN+V5T7xRk+ptbwvqgPVURVAZ9XrQCMLvMW0PMuJaFsde
j/F4t6zBRHTSq1eVoahXGFF0XLwdVTgaSbsH+rv8bcFvBMLhDxjDIGHeRFc8Ipj9ECjVDec4F3fQ
XtERTsugVdjvzhrfxAC699i6HJTGLRQKD9LV2CeWP6oppPVK9SMzAcyv8mPUa0FMkteiy+ET9fZk
Zkq/U5HYV5HT+WOLBz+dM8O6gCzUcAaZq18PED0ywYTdqTEEfZX8GTP3L0qKKRFW1YZfx7USxhbF
m+Lg7cnBeFl2JtxsXqCXGJ8s0lyMEF9VK3bOkjpwqjwO1D7x9TjamZS9JOiC54W6l+kwHMBlF1aO
cd9Se/Qcyi6Nqr0vdesPojdgekY9DVUroUFhtoVPSHtvFBN3a1k24CKLj2rOi6A01fYY5ywsClyC
FtkGY+MvMogwlzKU6Kq4ql0lHsKPC6sHIsNQQjSVNQR0cJwmL8K+qs/zAAOKwkDLcrAdp+gqh2mk
tx5gzDUeNMg5a7Xxkgz1qaiSwtcdSGyYYC9E8beZvJnMplbNU8rbe2jp3OdS8eAb/xRpXt2Af/rI
auOyz7QrjCQ92dbQBWmTVH5L4WtKYd1ZUUpcW8kjD3xWmUvThrqpw1t4XVMLUSg+KLo9ebCy3DWT
8WB1sbw1tcn63YLpxFdj2zf7WOx41maXjLNjqWQhHtLb0Wp7zyCSv45ieGdpeZ9a4y+awKWyorzS
TZL4/diPbko63W8ZfGnHkt9qNNyRHmBpw2CeFhWHhPZXSlearkWmLjCG5g9K3X6E7M2N9DJIdRSi
iHZWZXfRz/NKkXWfVPYxHtrCLUR36JPkvm7YXrWy312nP9WT+hBT+VqkVu5i4i2C7nJzZdSjDGwH
0QLiRYRENv58X3R2iGGoOzO3bZ9xK6BCr92kL0YPHR9Qe7fWqULkgmi4TnaDTfqD2kTgYk1ALVRW
3bFSlB3G9Gs3V/sLOowI1im0u63Rz/IJgKeGpy5u8mGQZsiRVXVDdyJKuy8766OkFqr1I7mpENfo
hXpZpPU+T6tdVg8+M607bYrv0yJ+prmzAwkZsoZen1PDDvoWFE9FBV2EeN+neNgn275D0ZoB+B7v
xnYIYkaPvELsklS3Wg0+uFGZ3pAh5b5MJ2RJ5TWEZxIPiZ1nNPLZqhxP06s7Ja4nPPbZla6yYxVj
WE6UJ9o7zxGJzyDKf24H9WZskuFQkS7UhiS+rzrF3Kd6o+CRrrVXaucftSMtt+zZAxkLc4fkwXGz
fuiu66xlkDAX0F6yEbY0YnysWnGvTJmfTcWbdArmt5pyciLzVfTDBS1KCP1AF8q00qfR7DNXM9J7
JFGBZH2AyOHAtDoUaT2CsEMEJi/vGfp0vsyK6yQGsbFj/KmH4Y8tzF8FlydpWTdGpf8ypzxMpP1B
hdK7Cf5kPzl3bWPejKI/xcDSuW2CKJ/R6UIBQo4XHI9Aou2Q8de+jKf7zqKXLf61J+SAfDXMeHUe
4wkAccEw4QuyMM+yx+u6su4y8MLvxwnuABP7MYZ+ovu4HV6mht8ocRcUQgujmjxYuJ8GQRCtQaHW
Rf30XuT1Nah0Aj5KhDWFpwAxlQ3OCy/jCaMtwtdT/tBiaNzO21ObZfdmRg+gDgKwlBzKGGB8XRne
CRmPUiYgznfCJCnvpkF9xbvzJypBGx5N8qQM+dFOE6AdieEXhXNP4JXAF5Ltc4uAUtQgl1yWF1wH
90WVIho1zX2DB0irrF9Oj5AdwjuNVaENNYwXWZ+csyZBZF+EsQbECUzGBTvWURDHyxgLO0Ueu8q6
pNI6qFn8Isre8qvRBtsStx+cstZuSq7xHWnRlyCthEHT9hbcLL8coXGfVhEktNo0rIkOuuyqxk20
320TTkmLqFtb42FqtNobzLz1JeGgKJ009qcb+R874m+SKO8kN28he/2IasWuEdm90tinvmV+nkrb
7Ti7o0b1Pxxdx3asuBb9Iq0FEklTQkHlKtvXoScsR0SSEEnA179db9aDbrddBdI5O5713Llh7eAL
ZrgOunHEMDuXJzmsb4FyEKgp2hM2+lj65lSbYIl9r/cR483OeDduY9+jcGuwsnnia7JZ+H3UVIcu
cfPQBLBD1m5SOqDwXPo2YvOPFSwqbT1cN8syIQaVCvnx+rZxg1yDLrhaqsdJ11WQk43OSzfSCzH8
7LtlirrOLXRX/yUf80ueox9dkQvR6s1e6zs+66vddOkwt18YSs5uYcWTL6OWqiZskMGJKOs9WJIE
xXPPall+fNqnArUua+OflkbT2BSAIPyaHR0M7A70jb5A15NX+nu0qb45yv5WtH5hJU52CySq4P2B
eOMHX9siDNh07bDLhZ2XfyvPS3rUcSK/iyKdbDBHC8C1oCi56km3my1MOQHfoWX9lYLrCPtyfm1z
fGYaqmynGUc0Zvgv2PuOVd+8lmi6m7GAB0V370uDIJ1ljcysr6P7KKNiV165sWB8DVenu5MR52M7
t2MkVogtBnxC2JBTQZz95tZPygOBuJITm91L19KzU25JOc5NJDTsjqUJjl6TY6Or05XhMuhQdKXs
PcE1awL1sZT5c4dy50V2f8CsMcw12ATW+V81i+O66YNsyN4zAJXbaUasUG4JDNX+RT5+qWApDv7Q
ftpL/jHaaxXSXKpQtxONGkWArnUd+V1Ft8DWY2TaOPZxFnUdIZIZ+IwDgsRrzc8gS5oZ+IoPbedj
vHCnm7XmeHKYfeiNf3EdpCy22r/lE/+aOPvXM+sFzd5Xd0SnhtjuQ6v/NQW5DEpGjlXjkVhw9M//
2b39HxiYz0f+RchQ/2pwFo5Wh4fNwM9TZMFsv5FefgNPuChnWmMlpoNXt2eLTDvbrK+dQCyVI5G+
KCPm6pNEyD3FLbiNKJTtCHb7Adubh7pmZzevzVlLeIc694gRPSvoL/a63Ll5rcDSUB8xnj3XHT8z
nodkeunq+eQGxbFDup9toReD+A/g7Ml48yGYgkMxg5MRiJnxhwQHDLwEdjqIANo3jTqIabf272y5
teMpGJBE45s0QDbYaN0gsLij8fxvXAXfMzgpEUUh6qSYRY9OktnsaoIae3RcRYGgZWxPGvxVfpK0
OFiGXIKg+iMOjtPWsJeJOLj5OH3y5iBPSNMVkW339Q4VGDWk100eis5PNjlcK8Cjvqwl4kMgQBJW
0kp2XxQmIA3EpBrCpTL/gZUJJ71GDimyqisjt+EZvJ4hruETVuh/2qtBhhW7AMA+nnfsO4AWK+5d
zKYyaAGRLlS/qqK+SipuxJ1TimxeT7Yo/WjTcbsT+mDVlye0lmeA7YCB3GCTQJ1Sc9gU1F6uF41r
99T3IlLYrQJnCCegfGUzhwAbE08CM135kw1YI8rpuzLDSawqHUlz8dyfyQXS77Ei0kQ8K75ls1Pu
Nrc6yc25sM3ZY1wJN9qm04rM3Hau8XfbGbDLm16Kdw+TmosVjPv/oWn2q5Yys/DgpoJ+LqWAqMhG
A5x9EQgrSZrKx06sY16We7t/Czr1H5/0bXKDj2X+6XoZBYFJukJ+cS9/BTz/h9rEDAf8rgEAuMws
mnwEJgu86ptzNXJBz6cdLisepsdWWpOM5UuUz97LDDz9EaGPB2d8tj38ysPy0pkgc3h1V25/djfJ
Ik1bvDvo0S4rCExR97k8K/1XYeob6c2qGYKQVTwZnLy0y7GYv1SNBs0VhGPexz3ema6yT15TxNMC
QN31sn7oE9J9SFrHM7KT3AYCFtscRnzugTSXXi0p1ASxO6JqNBjvbmWi3rHPs/BiYJYx1Cmo2zSA
/TQkofZ8ZFV3HPL9hFiUFbko1rj9KMw6oYL8dnSmk4t5uPEtGAz7mHdBxOc1gocHq0x/GLZqv3jT
h93NCZnTFY0Zk/Nfh8QahD5LwJ5qgJV8uyN+M7aw/zH81SCdViTnDA0Ng/ocgN7zkIog+//m0orK
4MNe7bB9/I19gGAvVDT7dlj5NZDLKS09dtTVgN3IT1YfbGSL8CqG7C+DTV2jUGZeEu4+Lesfojyi
qVGpXToPyiAsS4HzHEP9NANyLS5T6ceOQtMV0HRFnD+cEDHt8U3nptpj594Ny3fvsisQvMgyZ28+
zvMI3M8BslnvUYi8p80Szsb+JPk7oP1k0iTe8NGUjyAPhAZ7I1iT3saVhADoxaBpGvB7e5KYpGbE
PvQV6h0HBGB46tD6SMXoyvs0lfEIeZBavh60q7AmUGQqntm503OWVyO+7JvbPqllCmuvL4AYkDfD
2yuqi5CARrsYK9K15ywcHXau5Zc3Iad17aM+/w+GjdOCqxrzFTJJOdDlNWT4EfM6xHQGVt0mkrPU
70yB948ARJ3euJutHN8WyJlK4l6uxEGvdlxM767isdX7+4rIs1TDR4eSq5rIvawsUFg/FZd7DwCr
M2yR69DMNbeiW0LjBVBVE0D8KBgwDkKRfpD9k+bWve+sTIkfUeoLKzDYAkeTRSBC4hwbf97XyEPL
cbVAf5MBnFTLU1sVbxut4EcbI63uwTKC0UQPrgsPbDXBA2vgTGXWW1WjfrB18FypiG+Kh4XtPg/Y
J3AQB815qN4ISkO8EZm1Xhs2+ntjd65I2JkmHCz9wsZs6MzOCBzl9TelduxvZTaI4TP33XiENqhf
vAv1RjyTFTl5dRB31grctc3Euh0VdTJXDKm9XSbvMNZlyP10Qd7RVvySpgpn+1p1+H2KtK8nvFXo
CLN+trGJLURsgaJFHlFhn4bNmqK6rt95YcAqzc1w5IC0MOgKyPG8wsK3hdyp1ZmdkI06gKy0fcZG
A2lpUb4wJfaND/YILFEJ8Mn/T6wNwx2+XUmjo0DxRKG8IBpo1aL81/ny7e0F3Ns+7xCcOfgZXvoD
G0a0DEr0FveRI+3DujXxVOZ7gNsR5Rq19PnPrLcwQAjWAwollAOifaHoCt9sP1rU8K8u9E66ayTL
ZgfNdoQ7Z3hs2QB5afet3TKxXIHrjZzy5lPgNqSAcTDKTMpCoFcesxEINwS0QuIm2VLiA6UChuEb
iLoV8GkUn81BkfTYkot5+c7HLWoJDRtUXi4AOctmigXNT5T1icFFETqNfUcNShKguBYU3N8kxRH9
XnsfaNDWi1vweIYIahzayv4H0fWBdQiQ78VO+n5kTc5BBDq1hfUJcP9JFU92cwvYcnZwUQatsxM5
24seIEiOJC+NZ9kzWDcDnUwQz4VWg7ukWp54uRyNVWc1KK1ikW64jOWN6BEqk/lrNE3GJpUEtM+B
HOPCRIJUzZ6CZs6UXb9o7MKCsr1Dq4Pn4GjlwLrt7o6KdB2yHMgrwm/eNyZOjkWvkOQkVl5FwfjD
bR0hquZNKu+SbzWiPZzYRfFXZxcJIamNqBrbMy/UI4nvyshl65Mv2ZOYTBstgf8fwuf2WvXAKlhW
beJY03oIa3XRKPJrG2xqBJH+SE8yAU6VHrwljn8gzaipKEwG+CoyA6pBFyekzoZ3vI1Y/Y1i7awx
zpnS8sKcF2+d963p4oA8Y6mgTda3+PhwLTkTbDz6UMHI6/eoDsRJVoRsuXPh3LdSpWQENjmjurYM
MPjDAICMeuF/4NGJobOLa9rtxrHZAzZOYBiPFwEfHh2x4U2ZIsdR0L3qnwNb7IWEtpelYDeTra3+
TbM4YI/eP+Lb4FXekRmbnUFMU46zvbH+mcbsp2D9XUHXgUPdebpMLWtDQ6Tej+auMO91A7Io9PcA
BLEH1N2iOxLQNxZxk9me3HcTYP/CiXmjElGSg7fgCa+A/GjXvq69uDgtVBXYvg1f8WOXpBjRo6b4
1OLdhTCIFQrHpFOh6kz+llzt52Z930a4jqVJXVb+k0BMGx8VDNDWpFPHI9KVKXHGd4AeQcREcXbt
ZkiaRnxguxJdyDqudtrKL4uH+vBwsLHrNL/amq1f2xd15vPqNXeLLqKV+dKdlfS8SJuKPuXD/K/v
CURe2AwA6C6pRfhxrPhDvVmDRAbPYs9Ije3nvxaRrpZxwlE2wB46VkJuUJcufVpqPV0Vs8sUiZVF
1kwD2HFmJsC2zWDTg0HacOLNmG+8MpnQYrWpI9p1ItWosGisyJQfHnQivB+PvLzK/mPB/+PQgETm
0olU8E2whhHEEaMICfoYzLKti5n1t6Xz6UF1V/p7oWARYBlpIdvIq4df/FLpr80/A01BsYV10a67
lwA4W8NjMoImV2GJu2JWdBeUyPXypkPBgjcIYkIZ3E0pU09DjAJYdICOCocq0pL3nFhxT1dAQVMm
wZJoVIVPC6wc06vkUJVhgKgH+C6ggGgcFi1isqDsJcEj/AK8tp8Pu6DTY1JZgXOWdg8miiiyW4fh
zyq27jnnQ4szyZ5ip/RAMDe93o0EU+yi5MHCp+WM/FfMOT8Xvsvjyve3fb6J5axIO0FrlpNQCA1a
Uc7doanKJiZwgO7yATyvaEsnzjFHhvi1EGy4NMFNze128/reOjXT8ghPBdwegbKeMjM7JqVBG5wg
I2ChLqHta+v/irL71aX1H5uk+whNhnsHETJJWXg0Urq+O7YcDstgYRNycSCDSVmzeWvrtETz777x
bPsOyZYGoIxhJxioOfVjXSTV2v6VgATuMB9MaSfrbzXdgTmFq5liM+O5W9eFR3IaURNgPvxapKzX
b3oYTt6IgXcsT8CcsAc8VIlLnvV+kcdwwr3BiZ+HrmTJTOnRK+jO6/o9urMTxgAmVTWz49nuLlUF
4A9tvn9bSUnWN+gGzvk3t3Z6/fUNjVbE5q8zSeCuT+eGX4m9IUemZVYM3OoMtDNCqUcbtsw7lPjA
owKiGCj196bXqVkbCB36NMi3qMu9eHN6FAN8TWTEoQ/zQy5vaOx4FTiBqUKcK6Bvuoiw7yjgpSXW
o9nDpxI3Q7EjgbprfzyLDSOiM6d6tBIIpUBDACyuoO0gnRWPtn/k65BhdI9K/wrdBlYutncLnLj4
Vx+4Gy8tAD8vpfoGswW4GuD3wDLPu7qTvwtsfXCXY1DrUG2/ekR+nzWdpFAJLT0sxnjXhiK11ZwB
xTyhTymjiCtE/Oe7LziKvQKR1FhI8KCddNulBi+axqMAdVm4ogxQ4UUflip+cAbGIZ+VZadTscYD
cv/bas26oj9CLJCY1t1pnL0uEwcXAxrhZcYnedWPxgiA2pMRp26g17m3Uw8woCWAOw8Wcof1O2Dr
HLqe/AlP2F6xKW04QyXi7DyrabkQ2/tvQqgka38sAayzGN5EDWrA5lmP0T9w3wAs7HDYHfoAXocJ
cn4Celt1fewJiWs032/bl78dNZ2OHeh4PXBMRMMLnZ2jo5t33mDZ01cx81hv6K5xvL0nzH822nKr
qr9Xdv0xNdM/36Jp0TzolsB9x70fd0ObqOBExvIVi8YBd3+CRoHz5hwrHewogyBNga5SbURlhf2c
4+C0dr6Zf0GOnXP/u/cMguOwWG33zUKoDs/XoxAooCqgx/y/ng6Uag2MC24UpMEsi9sjXRAG7MKG
89v9nclJ4oXV+FT8zYkbY05lO7yxuarCYWhSlAdEvkXeFwVQGsVBY+0kbiVxOdSZrPukdLE5duCC
kOinCQrYywNfhrQJkBVhuqcG2gpDoQoI6jd3m7Jabz+0DJIGaaKtANQyv3mrlXktsLmhPVmY4Gw8
1H1AwqATpxET68IAd7KQw4UMCiUagw6sIiKzBWQo3buF99bqPqf5zn2YeCs7tn0b9+ankYmNy70s
krWXhy6fzgtmTTQYcw1xiaFZ2V0GAHgoBMK9FnVIVHGq+zj8R5kLGIrGdNk+gxUSpMWLpOqBtJIj
ByJafrMtmviE8XON3YfiYaZxAFKiKugeuXR7WZJ75+dHxwVMinJaLMOoINVzPJEu4oBtbHbbCAdS
R9a0se24BbmGXQlKEnPhG7kVRXd0UXEwOnbMfHs3qM9ALmlDPx0L1U2FuDTr8IfT/FDAg9BuXax7
yFccTMPyUKnyUPDqH+bPCKKnKVS+c+2wdgYPSHUtbqo84cW6tpirgNwjd4IB4bggiLDBFqqnEfwR
i+qFJiwHWdVht3WmXT/heWfAJJriMOY88zYv7OT6GsivYC0iMAuABzOyHivrJuSQAiUK+7xOvaHH
GtjFa69uNcMnZ7BK5heqrsDmw2HcVwPDddvGZkGPKfttHt8GRSrzgAtD1lEBdMr+2sT7EiAFFhLT
uVMYO8Fjoiukc99ZZaAUskLqVn8oRUel/QuEgTH1xQ5xdbFX4kQZeeyR7d6L+VvVbN8zk/buhI4K
9syAQjOPgcbCDdqVUFlpwBrrnkOgotp+x+i+b9o9AmV2eVnvoBJ142EkXozKjUxJTKwM9R5ASUSw
HvMRIUSi2pOcx/OAjCUCgbwC9bQAISvZn2nP2PQuyMrDnbzgQYbqBB0AmNEzYQeHyh9i3PuvxWji
CXnR2/ArMF+WOXRphO+LBWyvjesx2MLGsoCV/Pn+e94K+I1GNPfAM9iXIfWdaMbkwjHkdpJnCPAD
sez/bL31/Yjrd/NnmytAEBjgmyViHMe00Je654cFarNxhpJ2CMKum1KfYcoCoLhqF2m1ugTEgOBD
kcdeAYBzsJ8DcCmrQPQwopMPxabiKrAz19OnGkhy6NQUIsXlgxXDGfG7UGBp6NLrCyFVbAOzTWGn
Az+g/kGJcvQnD3POFK/4Z5gFwnbzIlAPgJJYknu4Ebr3qlqOLQie1X53BD343I6J9uNqYaGSnytc
rvVaHkewug0O/jXAOCIfEYnVwXb8xFrbbOO8h3AXmw3UGdHQ46VrVhku8A0JGxepnlJuyRj7aeKP
ChIZBCwX7xCtAOwBy1QfHcCH1IHYbuvjBk5XPSCqdMMVgrF/G1RcqPHEhvzFbenzTLcK0HCXiQmX
G+aIfIIgBw5IT4sIkY47kMOX1u8T+PtiYAgx6Pi0BTLu4FvEiRLCkBc35X+CADtfl6yE5rEvrEwv
M0YM/mHLL6QnAfPjV/g5IGi5WUZHFcxyI3/r8ESv82vdPNmWOVXAD2qz7DqTOR3GfiSz7Y2PQLS6
+hg9SCY1pBEd/gtCoRFUUV6BKKt/CvxYUegssAHSeVviYcR1IVqfm+dgOS2wa9cPaGyc4wdXC4xq
V47rC1nuWrEo515MqLPzvSApXFyIgPPLfsGyF7R7xOD+0451I1b1YjnzuW3kbq5BuS8j++1yl+21
Ca6uCwc8nQhL1kCmFiBcuvjx7EwxK1hYcrIbpZ1BREfxyCK+1XfMzRUEChncRBIg+UA9Gi4z+exd
a+/X9Q8u3NtWWQqzsi53UJofqnz6Cmx5mav2gsJ5eLN7CddvK4GGFP0nUupigk8Z0FciG+vm6StU
Nwc6YVUrxgzqYxxeZvvyWjsBaAzvC4+2Bo+NpY8jxmxc55nmJqFANKhvdmBS9zlHECAfAdQgRmlz
oYFyMQ+greEinf5ZjOJmVSKZfH0uKvolhiEccdcI/uaszpMNZhu1G9dKyx3t+keiXrh2MnWqEpRZ
B4q+htYMSunxUrH5mXT86LdBQrx36eUHwa3Qn9vIXm9CnbU3HtSA/QLlvBzLNrQmR1iN4sFqsx63
voQAbgDPPFYrIOn2oV1IyeD92AuuP9SVNVi5xsdCJN/y2qRrle/cKYgK29svWhwbA4eQwJMZHKaC
PEtnCucZzgr4EkHgRLMs44K/82V6CvzhQwEH6yBrXPAdlBAwTcUcoTk2gZAuqoctBj8SNf1/BptN
+SB+BpIQI2JDckyV85GTJgLcjFBtxIRvPPFK/cqLGSJEE5Z2i2KBJpuYidTcnBvkX2uMBZ0GjOst
ywGCdxbW05KpsoqNg1lVAlwCExZJaccWTtRcVrfV1/vaN9niIftVFw7yoMvumFdY2fwuKTWNiCZQ
bWwZ5D9x4QzxhrnK8V1I/vsTtJWxqS72JC45WiVCqcQ/HID7pkUgt3ef2/JA2zUFpw8N4XiSiAHN
oXKS4gZhCLq0sAygntnrS2TBjdWLbINz2fZXPwfq234rn2QjQUa7Nn8AJ05ia95yza90Oo268pJu
KW81yDqPK7iFIYjB9Vkd3AkCV25VHrZfcuIz9kq+RH135QE9CFJmNYfE2logLNa/rJYgHMCYoPUC
ijFoswTqln66tUs0hl3lNkcLD6IAnjgH7snjZQTW53WZ4AzTQWT57tXkzlcrx5tY52sLnn+0pqyd
q+fJGS49m2OPB898KD/brrrmzXCXKxY5CyGCuN1sMN5zhl6dcwXJ1uj75xGHgVeBrCkx2+QNbTNV
F/8VOAkwb/7BfHiaKUhsm/VAvcWyhZaaUIAIIwB0hsiVE8sIRSuQZGLn58URd3fsnoT7YBsDP81t
CGJHH7wHLfGXFFfK6nSuUaWQdwd4YEK+0ajzG0wrbg4QnkTaLPHgvs4SEHiHo9P0/b9GyHeJrZIZ
Fxdk/+KV5jWv5aex2peAoOu2qO58KTNl4JNDKqZ/ZVUJhhdkmrWGwSoyuCOxxZtkzsWry2wsoGdg
SOkAg04OTwKf2ZOaHywYJJCmj5p8fcttnp9lUX37pLtVasMOJiXA9OAObAuPDwO3MTYvZhz2q79d
aL20H96Ed6FoNhMGxqRTQMdom+jFXotvhgWunIOPwgcgY4KCxhDWYhAYiv3c47l84EDWElSAqHJ9
qLnyrVA5Qu0pxNkRkbaHMjxrfPOGwr2MOONSp11L5OE5+XOJ4gEkoFnWad22a0Hao0/zHXybvw0b
T01gTTFQOxp6VB8cfM6kgnKrFzzDWYWAR0BoANfUiW8dWPfKwu9AcO6rHA+4kN1hrIIDnlcsO54j
E2upSqylc4D7RHtYZiqFlI5mg+C+rPc+flA4YGWJ/CH/muhyAnCBl0XBjeUFvzJgu82fFQY/FoCX
AmZNtwfYHThrtGL/GnJqQjpOCXe6HWr5brnD4VLIIa7VGmq3aoYduugmjIp5+bO2cEeAjD1s9tTi
sWBICygZZs6HwomA0I5MgJxQo1EPteIcZhs7V3aRcdq/zrR49skEd0mNBdPz3ucFQoZGX1nrP69T
p9CesN5LjUuVk+pvAheLbEwUcagSSyC6afHI55DNEx7onbHFldWsONgwOkHaNpy2rUA94+SDOWBQ
AZcddrn+KGsBZau9lvHqIrEseEggyo8NYA48ZFcGQwvWAX3AXIlRSBV/HNjpqZ598louhMVNMUDh
MrDu8eWb1M8nK4V4/fGHjObmq2BKoNfTEZqM+5ORuJZD2bJqSmCutfCjbUv/DFZZnf3KmfBOAsYe
a4gUKw5fEoSTaOh0NdS8/oZ/e9pyvQOd3d896QAPA/7JInuc8IcvuhDlrmjrfMaY0xyW2qFbpFwH
fGAzy2JfF1izYVFjrxAcYRehRsMIkOcdbEJw0DfoQfyRLuZIUvnTfdB58I1p105VHVhfHDPccRCu
m1YK4mY8w8PZdVweWr4At+EVuPmJwarbspbdLLmStCbGfZhtHopMUS7r0dILRJVm8A9ysQkMDmSD
SgPm0hpNXrq5KLdFMVBdu88aSUVZ0SHfjEjmI24GFrU2Mo+Vz4JoPEPOPsGUu/JnNJd7eYJpZQtX
WhH0M428wpX6EETmjOz0xvNdvRYr7s5exapp890Eh8tu8AOc8hZDfLFx4CvDLxeXuT0mw5i7sP70
W7IOuktWUhLcyTC/9SBfQwbJOkjo8pAbzW5z0PWH1i3yZGwfwks30DdkHRZ7ttQqUyMURkxjsRmD
1c+CscCDRr1BRiPkuLHvNBhPhhGRTw0gpG8MhkXmaVVc2bwEzz6mLNCGYN4MDmDHvIuaj9fF9+Qz
bf2lj+acbL9COus5d8Gr+Kj4gECpr25V4A6njngGETntWqQa4t2dYzb/gomU7jtLmBubdJHSnK6Q
jART7OEcC9F1a2cVeoywEAC7hqPjl63sVq71dodSHJyM6IsnP4DcuAdN8jLPc4DiiGAE/F9T/pAg
Euh9/b76KLsF4hiIBm0brDMcj/iLSWIPm3P3oIR+Fp39U63A8koEGj+1atSJ7VIg0zAQ7QcYMVJC
CIZLX2oM/auM6FR/QuVkR3gdj/hybMzq0JcYf/5e9QAbnoalE1zRRRaKxpwPn/B04tPn6OKx8Uyk
bdtvV8+SW1xIXNrw21kfdJhF1rYOfDWIGD6MtB8wD0Es0lMbjeZzW3t4gbvlvR4UUJvcIuLDIUJ9
sQDtGThkp9Rm7g2djairL3uApxhj1IsRE66I1vExaPvgzpetTOp+NiH0J2sGMC9HTSfJD9r3wDAi
au/Jx/sRNdxDWbY/1d1Om85/YjjABBZAWK94za2nxqNNMlaTA4SfFm+GGpLBiKSeSrIFIBIqC4sy
ga7lQS5MYCB97Yt3s9WogfJAvlBSM2jFc+tQQN+bgn/eMkcO1T4wNvQv04SwGg2ZTFJxpbHlwGgX
Ov6SX61co2TbX7ortMHjEmEB0SJW9ei8bs6EsRRoQPuFm0LhKzZ5n1gWeTXwrlvSfaSMLifEhlix
C6tFTBmYMwmF0tkGg3ja9Dx81q70y6gdoUKgFcQelg9+ceiFlxCHLrEbYGQdGeS/oeVUw/fYdU+t
w4MnUEXOWRknODMI/MPR+EaEbck1dPKz2ULEhReferDopzv1EOeA3c8aP2Bx1a3zx6q94SK1534M
HhA8p1vkiSgT3GTnz1gsNx7BaLyEJViwu5jlCHNGHdwd0cBXzFeedg2xU9oEP7qhJAYWjkvtwUz4
fcfiFUEeYdu15grDO1DbMVBH6o5WOEhdHII8bz+YqSluddfBTVt0maGeSoZltWlcMH952gq7+udO
YvSgzoVLTi8rzkmB/wG8bLixzWoeS1AVd5MZkXgNDp+0fE4HD7tFMQOCEtps6bIF5mCPA/1HteG7
nrhu7A+Lg4YqAtvu6NkXLwc5sip+sTmWb4DBZV/bUd20I4gerj5rA5ci3+oVfgLZQ0RT0Cs0wpgN
exsq5HKRBw1P623qYQCJ8d+6Tww2irvdy+HPOP70BKerWEIPq+lr45jxpc8dG2aOVTdhFYzWP3gd
BRABEzxLuA2PaBQy0boMICVogHm2pUgyXmagLnhcx4xKD5MW8etr79osK1rHObewakEVgwIJN5gd
7O6bDetNbrfbT9WxTxjHaBW5yyD/x9l5LcmNNFn6hQZmCATkbWpRKUoX6wZWggQCGgGNp98v/4ud
Xi6taTPX3WSyKoEIdz/nfK4XmWEET12jrD1UkBZ/MUrfMqv7YENMCVW0DuWpA7F/ElOMVoX/02m3
uLoidN1qmF8q8z+ElIA1m1XnLGPpqqWcg+Rsh53A0zAk4xcO9OQaDSQN2xGexdGf3HKvUfo3WWoC
+5sdQy3CKMHbVpEccvJBY54P8ztVkAWkrmeSEOmwfwOzj2fXMpFGyjmZb1bbYTNJNYj1HJf2OwiB
qFx5RiPqlVR0msXtf407f37KxJC9ee3cYNS3iXctRo9JNruxe4ckpum6nx3rtRvUy7k459QEhGXH
oV6bc52tXR2k5E8rZoGg362d7jLms51qP5024ynGSc+CEtbKsNrUxDgG0kYsqjhMSamRGCPYkRgb
NTF34fIzbQv9mSGjc5sOKT+iRp36KXkK9JAdVGCHcFK6GMUkHNxjLntj68RKrFxWIR69kmm4M7uS
gyC19605jvfJXOIYTdA7cGzJEOG/UPmH5XaMxjQoTL6oWeNyb3GGKAwBW3bHMcwO8c8gDOBGzvq2
xLEn7I/IkOJ9yjhpC4TgJfOv7pkOKb5zQh891ad+1lHYHEyHfmocy/oDyFp+H5V9+TyZgbG3e01S
wx2h3JqxvZJaRpcMN+IhJYK9l0b/nQMBeI4bM/1oRksWp8lJzYsVJDtJQXELvQaT823dj6l2rnFD
daWFGSNeq02cJw+y7ctjxxLdJeVSu0y02RynjFasG9vq4JT8ww29CLr2wUqCs1OIayCrY1SWJzPp
y9uE4dGzR7z51lUlzDwSL74T5rzW1UCPj7LWS/1TzzT9jU7PDrnFxcRXSkIhvbShuS9VvM+pBRaT
q+gNGzD0nfNtZ9O5cbpfZSlf3NbZZ7fHcnCe/Lrbq6BD7XDLVTzaZ3dw3gJyPUuhWASW1Ecm3Qev
pACL2FebT3tvBgw5a/vmyKna237tp5b6hl6leUYVvHgjDIGmZvucYXMjNYOmjbJDhX5HyDiebCzZ
oXXfxFl6APSAnKjy2+VsfqTTlC/nwbqU2tlzh+ELM5mhqrHb4hu5c0RzG8D0D5OHXlBX7H8c3OyY
0kvv5+E/fUpV81yO3V62KInKyXe5l86LEEbWqs2L3VBh7qsMpheOX227ujiz/Gk9menBQ87tWvF4
WxCUd/nzUIb3xCguxaD3kgZk8IPHuvSPFYeY3QevfozXzfJwzgxwAFPX2/pj8lQ2EU4gi5PN84oZ
G5vcSdxoU2Xs+Gl/zam/yTq2fMd8YJ8aCyXrPVX1fkqzLUfKL6Yx+6Tr7qeRAeQ0ciy73r2Vll++
h6obVgjchIyXhvOf4Pc5AU+RiYRArppfbBU8toVu14xg76bMZW5ncUl5+Vp0w8Xrdb2AM4EtJsxQ
OW1GH5X3s8W/tExdsXGwtYZZ9JAE4dWPM0aIuX1LI1PiRT5hI6fqaWZN/4MGGV8kjfVbM9n66GfJ
Zo65bwFbLJgG+qvS8/tDHwXH2cqj4ziIQ5plJFDI7JB3XzYdzI7WPyY013YbHRthrxFy3oo5/UQl
PZDzuwBT3VFgnxVGYKySLtAcsj4LN9A/LULKt9zfgzHCYU2wvsKQCJ+H2lzVFr59MeYPmdYPTJGK
RTVHpIF771Mlw1dZu3szziLgtAGPSxLQgLVnf4hstie5J08ET3mCTa9iTDeH/lGq+C3r0OiaefxO
jOgUuoRRphQDSM2AkalKINvH2cneBSi1Rc01UOfGLmShuxU1T1gvnsPK3MNkW5KJuHNMLEDSojgw
DTLXouX7qfEl5Hx7sVhO3Ga2Ox+zQGDgbYxqb1BYEKru1yrExamgwCzwXG7MttnJur5ioTa2Nmm3
he58ytg5GVcdRe86c8zvKArorEzs2ip6jobqAjMkWtW92g7KevdE9eSkGbUE8kUffdsYLqAtmHs4
LA9a0apnkCYV68yXUQc5jq3Z/IO9CdLIGD3UWX9n0e5GqcmPYJpgcWPzyfaL8xTMS7eirQ6Dgxjd
+5YoXc6NsAit8bXszdeqDnddhLWpSa59Nf8os3GTyHmd+ZiVZ30UyDGyzFZJrLecOChf8YNbdvtB
Ok99E7wpj2FX2ziHqcfvXuv+Mtkx+/CM5YjMBH7wi5P+NJn6tTRIGKsGSRHn874w2Aw6lcN1drwL
hjzkmBvJvwhoVLF0uEj9IXJ1mGOSL7+7hsYEF0SYHHP/08JsUAEliNXPWr+1QX/S7vvIlg/yV3YU
rHPtcrETUBlDKqlfbmUe6/6+5LeM/St0X1P/cXCp1rDMUoDfdSXNPeY0szDuMWmyJ3iPy2DVhb+s
msY2JIw/rTuXLwebUp18IM2uZlzPUXhkXsxdINYi37mt2paRt4yLbpnrx8is1n0+cPvTibj5bgoZ
PGLFKDL03uB2USr0XrqM9iPl6o+9TZ6j+bkgEvCBgTGYmOv2KJidMV3rrGaKgbst8O+nAYHee7dK
f+traw2l+N1JnaOLfBb3v7LwTqSQlztSk9euZ5DrvOS1OHjWk9H/KkxM0AGxLrkucrw3DNNZ4sn4
i1hakqMAf7Z62BB8xWT2VUFZIaoeJ/7GsZ4KgiuOxgMDxEQyZR4DrNB02CWqchMjfGPcs9hsI0mr
SPMpavCVhZ+VoqMXkgAwxSdw4TsPI2QwoGbpmUH7W2xUx94q2bczPEdoDSn7U/1IFSu3A1yBPncT
IJRV/OqQxP18MQkUxJLdaqxYDORnitBbu7i7cJsz03IAtSQAfQJF7ZWOS4t5nJV8eHiLldFdIIJi
2yDb/7PMsqOuXp22I49rruyc7cXywkYTCCUbK7hrnTfRY9iSbxM5C3y6NxMZgy5ao9THnHCLJeNk
9AODc2+vCAJOMZ6NIFk34kqIemnaLg5B+5BUw3YeLml2X4toX4/GYvZfyslZJTzMVUTw/DaNIY6v
4u7Rpm6Le/nkScTKCIbCmFzm6DaJDPkLX0MrWPMWflS9cYK7tE7z6NBI/6IawFT8PiqLbFj/YJBB
ci38kFmDk3lei+gyMHpyuUMrrNUi33S2g1pQYiprGUDiWk6nraqba2HjZIvnnYrjS+vfd91bZX0w
SrkjbEAqY2CPewC14FXq9zk+xca3O75WYl5Lt1naRIezm52nCa9DWpMTKpegf5d2g3N8FBQujH2n
JKETGFY+VtkwHFdBd6y7+1TJ5VT9AH7ed86pQxGdIsSZ8OSbziofz332JH1vyYXZmemLb4a481kd
Xj4EVH3zIM9Rh1M0ia1LAkauh4HRhv4i7kJGkOnSn4/a8Zcqf43kcz9fUvHgM8nVHmFh6z1NMI+a
8VfAuhL6yizbYWPeDmylKr1s49Jb5sPDaA07p3rMzHxRha91jP3WwdvrzktTM7NFr0PcJUanKQ8S
1FOLKu+S5y7F1St+u6XMeUIHpM5iOYoR1xMBgrFY2PrZ9y6d+ma8tGx4FvT4nY/HlpWbqHbMODdm
dumncN3bwTLkcAlTUCbi4ea0iTK51rG/nA00Piu9On63FL3GDXa1HRaVkJYCDftlGjalvL1oNJVe
XawpeBYtXCzB5LIA8dJkqwLndS1QDMKvQn7lNYys4pzJ7qWrHqr+YQREoHnLpBFwJe/LgKqs3Dkm
njp4I4wep/x+8r58VoLepCXuu0nfiQZccWvc5beLigbAq3/OgoVbMtsGM4WnmpH4EtgNbE2PxFlI
ezEwJJg5VopY7MrJ3zm+2HiMahSueF2+ELXGCb3Ipye3OhXIAQlnLjOaWvn3Y9686Q52Rz2RXn8L
wYmNfDdGhIXDfDMc0nrWtI4pVhr0gpKx+e2wrzXJgeleTJDwQBgV6aPhIHSR6NeAWKR1jdtzXxt7
s6WmJ9Q2BW+Z84VxYY1lYGlOEFmGHz0JNW0+WWJPKm+dlAMgFbUaLfIVVhEvBIZte2AZ4RTk9ooq
GxOSOd/poHlo0a13pU4+qxbuQl/sUKBWjZfeD9p+MlzrY9a+Ithbfjtm+IE5EzNMOHyaZvOejela
Z4JbON07hbvLnB86tDYl3+mcPVfZC3jQA101HhMeErINPWuLG/enTA5Z8aaKHyGuWdNiSOs9oJ7g
LjyVxHpQClaif86BvDNtgb1z7vR5IMKUq34tqpOcn8fpbRwJZzlY7ayZ/Eh2NyTNXWMnRHuB64xp
uwsNf1NjmAQTeoDWUK6mlKeAARcjF8Z8k+bAn+txYWARrdBFVBrsOu7pOqqh9+WvU2ZcrTg4I8H9
KkN04Dq8m6TL0zFbgI0GXHXOaXbDTcyQqzCjqyrKqyfDcx/7b2llkxSp2XJkqr3wzBXhjI3U/udI
bDEo/QvqAo9z95Xr6BFphTFuv9Vjczby8lhExco21cnMomU3+mtvHp4tife/6Mxm6YmcSY/iSmJ8
o1ZDOF/hS3KxNB0Fp7OOKHV59/uf7ZAfRVzN/EbscyQ4EQbZv8YMBRatNWD9NBhzQpwDQhXrdWvE
W1FkV9y/a8dmt2xL7VL18tB2PGnNuOs0q8ocT35VURxvMcgsbS+4Dha9R+14eConAGmWfE5j+kcC
sn5DcnJq4ue8dV+iQDwCmPpmPkrJOmxTM9kow9rEdnKQ+cSwyx/6FWzKu6nr98nUnPIE81Vi3Cdt
eY1nyQb18sm+racoaCBlD6w6GhVTkWJvZIqaLWLAwZO6VQOrTcr4vu6J3an4AiOM8ARNV947D3bp
3euouWeb+xcks485Sh5rXn6biHMUpee0zH/hQsan6YlzoepL0GKHJNypujRcm0bxC2Lw19CPChYA
qrfjTJ9eJZJlHzTZmsbsOksL8aUmB+oAIpkHlhsy0GpA9sUr2llCOnLPr3iXmjfjUE4s3xJfeZY/
Y3tAxCnaZjEImINlaD/V7fhNrJuhpV1jQLfEe34z30JI2HlaAWAi5Rx5lPa6cnl7lOtioaNxlB3m
/TS+rVdUDUy6+DzIbjjgEWEQjB+KfYbd56iMJ6AuOKqzCPXQFyGUwMD60Cxe8FZGR8gInfRNZRGK
TYxk9Y7Ca50qYMCXriXmq3AS7JhqxsdQCrxlVcLIDrfgeq7J1HFipOISJ125TRjRYY5XF6/l4gK5
8Rg148ecK9II5aGT6c/IK+/5m3BS0vcNc/FmDs0l9tsjHuSeaITkLypPSZIRkiyMJ5MmckN6gI0U
kccR5I+fjSnvLMvSC8kKn7UwWFtu2/1P12FS7Lepf+dHwlr3qbNP8pE72ctf0ZpGfkt4KM0kHdbC
s1lurv1u4wy4cWqfEklZw2qYynsB6kvr5qvHPdL4zYORWdEpthp+Ss9iPUsp4b307RGn+Q+W7ZxH
CbKgkPjfhAKgKBj0hA4Wz3l8G20MXLHdPTsKDkTLSGvp19zDfVwyF4gw0Ii0mlaFPWOozeyXrDWe
eS1+KPK4Seg4xD1RfmtN7tDxRgADQ2KcnCFVd2UEaIBAXJethCGsCzw8rAR+FO3CxvdWsTG8u6Zn
rId+wDamhf6KndpsdpEhnPFSVFD8Ts1UUFzSPJKhKVliNcj2wOSq+LTcuYMcodODlnlwqnWpnjgt
jFVckQxv4xuEd26wvTRQXqquxohlN9UmMkloGJxv504qCsM2wn8VW9OT3SZRwQ9ofhd23d2Gncr5
JbN2fCZpkGDqEPGt9g+Zam9IXnNAtLPv1FfDdgYCBzDssQBWGSfMIJppEzjNUO1TH1MYPsaq4wpG
rF+VdVnP8KjmpCOoRCCbzZO4wDWn3ndmjjHWpxEILey8mfajKI522hYnnMX5A2oQioFuyp1Cwl8y
Wa52uCOh+2CDe/XaeL5OpVu9100hN4yDSc1ilyH7EZFHDaPmM5/aryBPxpMRYwWULcDL8Kblckjs
zLQgRNJV9NThz3oeT4OvABalzL4MdrAqb9f0jMoSe2flw7PZz7vOoeMLERJWVZW365YDf9+EWNsZ
ILKVSEEMcZR3YMaNM4c32ZovsfbuQow9lt1w8vNyUHDZJ0nbk87502QkG6ExPvH+NmLYe7GxlZZ1
srwsXcrKIQ7g+sNZmerDS3H7h/P8ikS5dfr8Ibzd44WMmTkEWJyQ4u6wphziHl22DxsCP8mYvfrc
lYcQOXhie0rgkwu1nyyw8zRE7UvRB5TCVrEyMrxEvXVHMDxZhl38jo2bLLB98IwUIpFaV5m60/6b
X9OQdf73ICaCN5NLc27FK5JnKwMP8Yrjn+hwWXGEOuNzODpfNUPfuJgf2TfwIh0GOyaOAHy6fpe/
VkAHkKmOhTFeODvxlHvWRkU12JrZNXaB8CKCu2R/JPG03QxzZaHtMVthL39Muv6hccO3MsW2EY4n
aYTXLBvSha9bDJCsgFvNOvjgTnqMZPoDD4Jd5puksLZ5O+6wQg8wU/VGuwXkHMM8OWpgaMSfr4vx
6mMosR2LcWqV790xE5fG6IqN4pQlCUHqL+4ygXV4QOsjcjC2pMQndRdQW7E1eBek2bce0yXsMTj+
+mxXJPrcBsyyMa2nIv7RCfkTiBEzD3UMZ/KWbrNK1JOnwUN0ajvGLznuWK/POFzM7dD7b+5YXBon
gN5sQoq2O4PkcPthwJqymnBFqPzI/vOtMYYIdKyQQgpaGXre3cYEsjIeMrtfjhWB2dri2qjxH+Q5
q5u9bws/nFPX6tRynVu9fHZtvJ23yU1rpidVp/AyDOzS3IXPdVw91wOtb5NV19ZF08SLcXFUfyMk
ZCCN/ORuNvONhbWXMzS5Gyp9FgxEF0XGfl80M3xR4Xtq9GdL8EtErocAnt91N56YJ0+Aj45CB5uo
KHfVhDBgO/NdavrHYKa2VAG7K/JNmbvPrSrfJeatBdOEa8cXmJA6EtP8Nof9opLomsF0TIEQGlV/
QJfeCs+AX8OS3VqSEZn3jeneLHnGKZq8rQfWSjLXrk0CDbwJtXM0XUi7Gs08QIIkt52nrNeW7Oqo
9d5l8QPubaIRKhXRprWTBxFlj0UfT4uhbCS2iubS5OR/A5uBg6RVssJ1UTdbmXbMEasIjaqfjAXS
MkYE66o9d28VWKs7d5UO3R2B4rMWwxqo5aKHneY4/bGtkqco9NZj48u9V8+3W2Vb92m+VAI07Wxx
d2sC01r+rCfjbGO8NjAc4/mmf4kmzJ5N4z0nTv1ReMFHr+f7Ugz3ZhkD2snzz7Fwf1BK28sK5+wi
J7G69kA+8BpqHPlJMy0QroYldhKGN2q+m4P6bDCeA0g4nbwm66mltYWXfWBwRjJtOQ3q5ExgeVi9
MC9js1zbof/SRenW7oZ9mzcHN0tRp83yuaDRLaJb6DhKGf1Uj5Vodtpx4WKwongBtfVeGNljG8bQ
xbJylcXyGHbhBeYgTYU5OACx0R5cj2T5AN6J8AoCqDGllyBqH4TX7YxIDR9EfV0GE2xZGurghz3X
EpCRwiRF8AxVxHoPgwkIX9Iv5qH60dfpUxoWmIoc8RR7k7HM585bONbw0KINXu3U8LbJEBKDAFca
jOBbrMI4FX7O0Cl0iy14B/E6Wg2waZgS8WJSzk1ry2dsaEzUk3FZRYZ9acK8Pox+zaVJpPJqzZFT
MW7MhXEYaiVpKzyz+Iz7m+TmQHQdX8xy5gEPE5tRez80OwMAcg5ILLiNbImdWYBHBZ6wiN0T0Zt0
RjmeRzELrGuh4A9pMG0/8iwLSDxGrbsy886F1AbV8HuejX6XIdb/SMIkBiUcefmnKRPSOBzpZoJE
noRvOi7MX41TB9UhZc0AluR2NlEBQqyXjpc9m9FIZMMgAZQFQ0JyioJvLorbqw12tm8TqMTTaHbh
CWm+zncpoI59o2tSem4s2LUtqKE9srXzCLsIpFKxK6gW4C4RbyfBmq3ydMKT0SBnb2OVPSA9+lsY
Kv4xqixzTaMCf/JmnmZwmm1HUBCvEXmsdwvq8SZoGW9rMgCncbZLTHaQAzyVw6SQVrLHgeJ85vNo
3wpxc1m2/c8obpe+DGlZhQyCO8dC+dOeWf10komUQ1TlOzup2iMlDRDKbJvOw1tPLQUC2B2fQiYF
tNbpV9qmz00bnD2PZFJtKQgBpYRD0kenKsmfkjH8SqLWXkfWAJhwqiI61foXdegzFl7/ZMYtwm1Z
DEvyudTHbc7gNlLmKo/ybt3I6RbBwLlB7htpNSrcj8zkIq/5ba9sHuQd2ZSM2AVUBI+dHli4i/Ls
1oA7BiOdkQwgiJSqpHeKZbXEgjFibNGfVV5fdM0lr0ZejMginkKv/g0g2NyTwbm3iJ3v69Z6YboL
DdtEFSoZ79gQW9u8xVsG3xWLedVsWaPDazYGipx8na6D4Cal+MFpkhC3ekMARubl3WQTaTNHK4Ki
QQOxyADWPRUvuJclAEdW0WRVQvBfqRc1gN5oZH+04yEmGlMrQrdFBA4G+GvF7T4poImqyt/VGH8O
7I/H5hfkO3+8AQJsoqhVSmCzMUsoGjp+lRlT577tCVJI3IOLhujyGmZ8sSMBLZ81rwkurtLplh22
RArjm3kwmLK3OMnGaZ3ZyXSIG4IulfDKnatKjL5eph+QXyd+37N/nVzjZNOi76ZqfoWlXuxS0fdX
Srvgq7ECJGer9piBDFYNMgUCGOrOOH1FTEjcDX4fvAbsh6wAmRJRHZubO61IzSxf12LQ+VGRvn/P
homAimfX1EAis9IDox0eqHbwwYf6zE6tPGiW6cQePXpCZviKcjRsDzCnyDPDXcVwAw7dvbkyqOW2
VLkokpjGIW1A+7YrghQiVy71kPsJjzRB+Ru/6uJGn2oGfmk3G6jHocChx4DKKqCktVIfurzle8Vv
tei6RHEJYp/yBzrtVMbVOdKQ4IMwK459E83LAUnXzt16g7qOqhjD7Y7c6s22EuY8jbHnS2Ky0pR6
QVKrJkQK9rzAanFDciGcGEAsqjx9cuAPkBG6XcAcTss+sqlaSgy3TW9zFHvuN6AXKPNifE5b/sbW
8R5Fk7gg4UuYUv7YXLw6NYEGYx7gwn6Lh1wvI1t/B57DazXjoclcoyIHNL9RKaV0HS7x88b+NRoZ
qbJxPjOoek0k4WXHsq9NadFRs5ZqYoXAJhVV9DmEqcQyzGg4FKnmuvajlYi9J2U4nP118ws1VkJA
tsufQcHrAog8OsGGT7ZzRf60T8xxmRelt+aVdfh7bXUX+9EbmDAI/Kb1M5wCn04Mgo6YgDHSB4H9
AuK0krlL6CmxAZpDJivXzE1m6myspuYI2aHoR7j/QjfvQ+VrqHU4QG/+V73ymJhwVbecGmOaT4QY
RxbBhTWz19ghee/ejNaJa8bkhTFQQ4gZrGs59NMhNXGHRI2HZsQySQ5ws4YvHaT+KUX0eMfX2R0T
pzJhVXkY72yv3ZV9lZ0E9LMXR4iRUa3hPkVjmPxw2P/ANKxLsC+02W72bWujy8p/jSZZ7PoY345I
0JLtqTDO0syZvfIK/Ox1NN/5M99HFTb61KQB2TO3CR7sETSRijMCS1EYUMnq+mlwS+9A11kfSmK9
D1r70loOthtiBTEAiEEgvGGXRu9BZ1l7YAfZfAo6TSrYLBitT6VGKcymLr/RYzt2RBiBdDcqlvjH
SsA5xJ8KKcethRzyHoblyOy8HuS2F6x+HKKgfVEWluZl1eCDZOSIeT80EobdjH8GJlDu0rgZGuGN
o3bkrXUTyeygOtuR0XBDwOa2LR7f2KWwAUDOHDPqNlVqEyPNMLUKD6RGKG6wELtsSw9uEN4m8kyV
t9Nt/NbnhvGesgV812d4mxi96eQGCnOj7zZmDmm2Yb22J89bla4O74XE8wj2v1o2sWy2eLj9pc20
7rkdZms9dLTn4ZirpVVN3batnYCY7KzenCmEiCKCAvFQuT3ZqpCDEDRB+C6qaf7Zt0MKIShWA8U7
qIghdIqdwWv5oIraekzsYdq53pT9shOnIYkmefKWg1buMYhleuhmoXbYbKw7I60HaERFcF96dUVC
q7GJCkPqYiINqm8okNEpHkcrRaefiNSBhcWL14zTsu/8BH/9RG2PQ+u594R9D4nP+RiHkEvcLKMK
3a7ySnkes6p5y+wGWArUP4ubypivTutbu7aooKNgtopahsyZuA6QCdeW1dqPwuqpIScHCYFno6oQ
oKLw1U6KImRpSnl71333vvddShoFkcCorfjczrle+TAh12Zj92/SvCGevd5s75UjvBO/wGgVGaWb
roUZyYPuIjMEjFlj1EwnDhsGZYVzGOKM2LZVc0XT1fcDny0U/FgaNmpIHN3ikKO1bVQpaLmpOq4h
hzUyUl5rcte14Syh1FU/85z6aV2VRTFtIneU5SKLBWYWS7byZgCR6ybJvA3pjendSC299kTaLub8
5o+OCvtMyE/vbWe8GR2hvsxdWJ2GaAYeRywhwuw2q02fdwUm01FclQdJKlQq2zX0CXrNWm39Ehh2
KVf/xQBLZGwa0hvf2hRaLo0QBGNCtw/Vk912SwPuBG0C4P5VOdp7+xZY9cjnku68Hd8hsNVQUk3R
5Sn1kMBeE9aT30BgsjhDxtW/b/b503Yzakmf3dY+62LM39YljqE2R/5l8Py0+LZmDjUIZjHinc7l
179/1B9Wj7kicCmA/IChz+9b/gTVaTwP5DHrFPytn14HA0vMv3/GHxYVuY4rTLBzlmO6/m8/jt9p
OfYAUDZV/kPhjvbnaqn75y65xOFVNQCR+sv/4hNZN2mxhjVwTfO3FVcVnNUqCRvB4k7/QCp0Bw/q
rt3+bU38n1Zpuc4/Pue3LVYd8gsAwNncYIE0KE/By6/jZb0NlmX5NG3E+u87O//0hf3zI39bZjUX
oSUh45gbuABUGVg3gUdkf1llddtl/NuuY9eTbGHk+XNhhPz2jRHiKFQHPGVjuNnGI+277PDJEe9a
jWLD+fHCcoz1v39lf3jmXe+23DmQIvD/v3WTeMdhk5vdbYtBNzBy7j/nMKTkZelAmJl/eer/sKrL
5TNsHwVASOH/tjpLjwDWgN8IPDct+40VA3ofcSNtvoexkZvetv7ygX/61nxBi80qRpbiOb99axE9
UYYljhVkZIsxVmZi4RA0+/dfofjDXi7e4P/+lNu/4h97BJORdaiZvD0bW17mhMU2i25LvQtgYJnv
jUP+BWSPBMnfFoKL2/v0+/Pyzw/+7ffZMj7ouKMFxhjnebInIGSlJObb4SpCI+hmvMIhbRD5wKO2
HTAW4e4vP/tf/w23B+wfP7zVloQ0/UmQBEzePTYFsyQb/IMusXNBeIYj3naMgldjZyZvEYoKvZc9
rNnGSpw4Jfvmzle7tNt1ZEPtlxgkVrWUIYBNeqWssjtK0PGrr5pV5viXDnZ0a09sHa+j08RkTWu7
u40P4rXyGdxyU9r8KVQoIJ567YIYw5sYvhnmfB3rjmUXdXZ/A0KwPn53s2rjov2i+z9WpXMSUMAw
TuIgZr3asOhZf2F0JuFn1jvFOc4PGT/6FUPgBnjClnBgxvoKmjbQKI+iNBjlNajefXUJO8aYZT+e
5ZBDaAgBmU7Kw4nXzXpR8h9YbADqLUoQk2mTYb8fQnCPpuQOoGmEBBC0GLWb4ZMw4N5I/X6d40FC
ofLps2bciSGaZyuyuzrQD+DE7kxm/UvhRG+0nDQ4NwiTyqYNdpiXwGHIaRtVDRkXyliY+UxDh4N2
oFjUPnj3ASwqnZ11mkXI6rfqG9Mg7IWi+c6z+mUImh83fnDcT3JNmY0TDqETDEt727W7+svj9Kc7
659P9G8bW4NpNlhaxHFkbcE0MNhkhvzY/TQe9DHaB1uIlKyCvjOZCzAyWESb7i935l/f5d/WzePH
N8KGrMEGUMQGxRJXeNYfs026xYq1wjgQD3fNI/tp/nKI/Okc/ucP/tvRD2vDGmi9OObjZyGJpRAr
oKXDppr97Uc0//3UcG///R9vrMhdrF4ZTiaTwTcyM0IY8Cmomf1H2PnrJn5nS+/K8/7n21Y5JdlR
xJZSy+eS+38/tgsZpImQjyWk1C5YzjI8cuf4n//+BP35LP6/nxL89sPhcGMi0/IA1UBtXMvbzMhE
yrP+9kv841WGQCiFkOy2/32RcUsjZze3B1U+Fne4DfbggS/qUC69teMtmZus0h/9KTsBav9f/ICO
FI5NWpUS8rdfY9QFfuy4cIVGRByqdqbmhvXUpZn/lw/64xP53x/k/fabDPMghzseQPHon4OWOIi5
8tFMfOX85YP+D2ln1uM2skTpX0SA+/JKSZRUe9kuby+EV+77zl8/Hz0z3aosQoT79u0GLmDAoUxG
RkZGnDhn9ZNdGBKyRqA5RRvDfOrJ84eoBeRIJyjesLGWWdkXNtTXztdCxqYrKTfl7KgndEQo7PN/
EujfKi2j6wOBA0Xd/+lLWULygWRcmFpNAQI9Q2/q6Cj6A+iVDeHf9c0jG5Zty5A1UeIa5qJJlwwk
gka/A+RaTt/khAvMnrWP11ejrPoDqt2LUrhhqeKTpRwgdpODHkKrA8Wpbuc/ByflhEamW/++iz44
N/WDfNoSk1dXg9WFVeHDOXFQTmDCFA+q7TtQ1EZ7AElLk17bF+T76uMMRIIbeEdoNrud6qIQsRmc
VzYZbjcySItHm/rmXRMM9YjiHWwHgBhuM1RGpDA+UQN2Nrx0JV19ZUdYLNiReIQvtPcU5ntoUsG2
u+EuypoJmHIcRbYUg1RcCB+6CQal0Llneg+MBhwlHmSO8156Cd9BD+Kh+GIgnrBxElaNOqqqmzIs
oboi3OpJVtpQ4+A6M3CsKYdMb+PhuZaFWvqFBeHa1luDXtIUDN4cDZCPwqsmRZTVe4VaGaqAdD3p
5dnQOWQTJV9D+akr2e31A7LmJHS3KHBrtoyjCItEEC0LAjBl3uho71of3Yck/xAY2ob88KoZ28aK
JquqpQrRMop6Z9SWA58ozVNIyZlBSYBAW2/slYBp2WDZNUfRZEs1l59xkSSYdVboZanAegRSz6WL
i7ZpsNc7B6DwuJv1AVy+7v39DtqWBZuMIsPlrAkBM9dqIxi0SfWmpPoWSv0vO/c/JAuj4HU7a+54
aWf584u1SaWW9oUCP5XJmISOHvE4f/4PFmzN0S14YlVNvKTBD48MqHcwNFgAFUJ0gszK3qq2rARk
iwLS/zciXtBpk2cjrPwqSAgjPmRV9KgXjlczWORGpfr9f1qRJbgdPTsmGlKMqT3UPN9MoHjXDaz5
9eVqhNhXT63vBxMGyuZeMW6iHsmMjRO6umFclIqNhiIRUPBpW5rsLqoW0pqYzpOsTdOHOWw7HnCh
nuzlRqVxcX1Rq+HWvjC5/KQLV4v0MuwR+hk8KpdewDsiZL7XHXfgA0BS7mgwfem/XLe5upGORf0I
zzCItq9NarZe+xElQU+BKVmarTsQd7GrU+b5D1/M4a3s2PYfY8J25nWZo3vLnhn18xD9SAAtFag/
Xl/N2je7NCJsoA0yMoNMeoAQ8t0EOqUAnGMaKoPww+G6pbV9u7QkxO80iByoCQC9lfqvxuHfE9j7
6yZWF6Mo+nIJQsDzp6554Q3wmWd61XC/j+pd2fU7O36y/Gk/pB+u21l5nMCg+K8dIcD5nV4XE6Ai
Lxjbn0lp3ck0R5B1Gj87SOtoaIn/b/YETxhraKmS5anQ1LSk65Kpu/vMsg+z/jwVN9dtrQVvUmXb
4hyb1pvKeTrWcCx2tF8q5ayg0pUpxX9xOcXWZAqjaHeIKRIvYluDl2TwlkYiajEGIwMtWMRk6+Gz
dsc6/xoyhBfW2GR1WXR4XKg4H3MVDIVR9V8Lw78NVfvUyOMvhri/Xt8+dYmjQs0Q3/hndYYQHvw8
73jVge+H/axjgmOv7vJ9+lh62l3qwedJqHBJPL8AEGzO4JaZ8Dki6L4RO1Y9VAU/rsIwor/NCJ0E
VHlgcEHa8CsQfo8Ly6hdQq4HEeqDlSpbm73qNxcWhQxxBuIOTl5VwR4ihR4FwfOUMsV7fXdXjThL
T4fXAiBP4SDEpYEekM4wXpM3DI96hvT+ugFlyc+FzwfBpqLZtFfAm4pVFH0hGpNDsszst/YjeTfe
BbfJoT1F5+Acf6qYfd6RnR36I1KVRuxqP6+bX1kfnTHFMTRqD4YsPmmHUJ8nKUtY34j6siXf5k20
USZaCcN0I1SD3pgBrFd8ZkIrnfeB2Q6kToDQDwl1dM3eKqL8yZJfbyMPLRnwtqPxoOOyfH1J4n7M
WYQ6DVLZmd1qmvYIbHgaVAH+AkFEWGNGOL6Q0F0bx3soSjz0Bs4jg4IQk+xyp97Hbensp6q4N2wH
kkjmbKEmQcZu685YaXZZvJp0UmI6NJotVpokKr+9ilAK727NAxPxqYQB5oCuu6eeqk/5L3sj/L31
sNf2hIMSKZCBSAO45UpF4xYY512WMUaG7LQDEepsAL6z8o1n6duL8bVN4XN0CSCBrkWtDqTSN7ls
GYXpnJJ2tgKo0zQ2svOVIi/mDBqjpoqTGo72+usncSn5bZwo3nQDA9fO/gV0hVLC5A37+FR48Hyf
Je/6yVnJBF/bXI7Wxd1vyGqtMCaie/KNbjIz4Cmn9nvrtgecdD937yj37v13W2Xlde+5WKoQkeZh
jOaBLNFLz9FofjW83JPiHVPu8OhF3xAFP8S/toy+jRKvlyrkbNoY8gUbtjdrvlc6PMnvru/l1t8v
ZmpzqRslvH1eJ3eulqOfu5FjvI1BrxcgHIEZUiQtBPjrhdXsQfMMajT3GC3auC02/VBw+3y0Q8B3
+ATyjRQiGSddvOITFNe7vpg/5drz4hXdJ3/jiG8Y5ip57YxF4pu1VmAYNtHOeXYWGUivO4IvjI6T
p0P178/Oi7yPD9bTlnesxRekujVeRfJSTRMSkDqvJsRJaoTqnW/ob0KUkcCuWxztAWHPuzzpGT3R
P1z3mLUPaixAC0iaqJuIt6ZTBmgHOerspQaMOKCTvqQhk45tYm580tXF/WtIbD9EddRIVq4bkK46
6P59ikAiJsO7VK2RR/qhhYDHxs2GzsbqHGFH1QQmWBuhA75mDRuOO59giX6AlmFfuxRE7/0HNJXK
jZUqKj4iXKGKoaGMDrGWSUYpRJaybaA4rBFPHnbDQd8lh+IFnmO3OFee82WrgriyRDAs1LzguVSB
SAgnRY7UuUZPb/LC6N3UfGNA9HZu7b+vIpJ4/GtFE44F8j5tCFXY5HXB58KRDkYJj0vHTKj50hQw
JCAgTL3nxoeSvkfF7bqPrtyBy22kGqR2gHXES6k1gadJQaV5CryS0WTsEuTKmyAGZpXvr5ta281L
U0uAvbiLlLFFiS1l1Fi1jPuxZ4D/6yhv7uaKg7xakOAgaW6GKSNtKonLBEHyrjvaZ7gE9npPS9+N
vK3AsnItvLInXDtjmLc6jJFk+EihqCnTB1vv3PVPZFERhb6eHojghVo89/RwZY3xDXCplKxcs4FG
bYLlv7TL0/WPtGaMBF8mVioUq8Q6TjWVFpMmlI40o32PtsBDaSKFqcVfw9Lwrpta27lLU8uXvPCH
Jiv7zMoc1es1n0Lily7RNjxudTG8Ok2aAMxzvXkYqbIOuwaLsSTq743zLdIk+BeDRx96sOuLWTXF
Q295g4HkE4ssFlPzWV+MILVnD2jck9/f5qlxaMP/tGs6SCadl5j+phI/meUwlS1ElfpU/oroKbSZ
sfFaf/tMptGGnzHgYmoqqerrD6OFS811ee0lA8J1cE740+cSMbHCzxkz2mqSrrmBzXsc7gXNokEk
pMVDbjqMsMBWoXf2PkKe1GFO9frHWYs8lAvBf4Fxo0cipG51YY8aFJWaB5L10xRKt1FcP/dB8PcJ
nHppRkjg0k4xkPAwBk+tfwAfPzIqz4xXsrGY1f26WIwQDkImJ7Spx9McZNtd+hpodMkv1zds1YbD
B2E9svLmOawx0evXCiBRp9OPEIa68O9sZYPLdxVuchqCfHhcTaO0JqzDsZsBtI9N58ojUB9CD1YW
lMWZUj3AEMKE1j74dH1Va25wYVFMk5I61fW4C4Ajdylg/FZ5z7jwSVaSv++ocnoI1vyjGfxP9Le2
MyOK4aPXMUWaN09QgFxfyVoa9MqC4GpjOep+C7+gZzxmD2hT7LJ7OCa8+qHwpP1WfWmlCf96PcKn
yhlEpB2OteZAC/exfsofgcrtOg9+6iftoN9K+/xoPF1f4/KXvvGPfzdRF9KiasyboKjr0VMhbAmC
+jf93Ke6q5hHh8WznazbOWEGR/l7bMOrxYo3oArHeVLUzehVEszDCaJtaiE/zWnVbNxOa++hy4+o
CxdgPCSIMuumRi5bnlnnbslnQ4+iwHnwwpP9XdpvZStrL/NXNoVoC51tm+omnzK/q1GovQVP70Eb
Qbn5oHsUIY7+4fpnXLtMLs6CvoSai1teDedZm6ccNT6tsH/7FirhFpzhxxIlbCbMGK6IIenfuI1X
CpavP+ISCi6stnDFU39ga8sf6o38MT2PrFU7oaT8aO77G+PQedm5OZsn2tj/5dUA94qmLM8+mXfD
a9tBqkNi28OZWKgJQw9PKVOmgzFv7Ov6l7wwI2ysHaVpYQQkAmN5jpXyRxIwzZPm3THsFtanJzg0
96VlHBM4NeG+SqvOTR3r7ztllkaWqOkaIATWKoQ6048l4LbaiI4RkqHRgDiZLCMtOBqHLNjqPS9f
TQgJGNOZT7UMxr3ExERKJpv5tWTyyhhN6dsgiODz6P4+LX1lZMn0LlwnQEKBecyAkhlsB4zQtUy1
wjh5/VSsnX1aPdS08RS6cmJqOssw1tZoqXrxYGlPBXRXAHLRH6TOnh6kEOFQd5p8mTG8rvXKqWKI
X0L57LY1hslD3wesWiYhOauYGWQp9WA9X/+BK/ksDgy2a+mOa474zkZIIq86SIi9aPxaZy+2+hMa
jUT++xj/yoqw16iq+2YVOtzIZ0TY76OjcYTS9mYLVrJ2gb2yI3ipTwSfmGDUKIOqO9SxUNB7zO6D
4+AZ96g0urarHeRbKd/oKqxcYa/MCre0VkF3Xui87OvUuA+S+MZBT7Q2HyP9Zy9DC+rHkHNKG9fK
CnjNemVVuK2jGhKkCYWj/1e6zx8RL0OTDNJUhGoOsBy57S5/ls4w/TGP1nB5b90ya+f0wnnERGu2
K5lWF+tWYLPYm9ooHwZHgbywN7SNMLi6xZD+8nCgOfvmOVRNaWf0CiqFI8OT2YBqTh9pj0XaP5Ae
35uDcpao8umzqW+c4CW8irFIuTAsXN5NSUfYN1HIQMrrXa9Un2As2HiHKYt/XLMh3CQ6CiGdho6F
F57t4/SROW+4A5moc4OXH0Da9gHj32733fqQv2xdYqvn/2J5wu1SGEqPFhSfcJpMGkzG1zLUFvJL
rxydjU+46i1UnggylmUB83wdcKcplaU+TQmFjB3LoJnjZjfI3/9DPLswIkQaQ52toVVZT5SWt6Nk
3NYtcjGGf1ek5sZ6VrfuwpQQbCyNVndSY4pEC07l5JBPP5v6ZMr1xntz1QUvDAnhpTCmKFKRBPLG
GM5bNs+kwnV921ayNzpBzL/IIL64qYQib6gVcEc4BslwS7bY5IducO7k/AVFi2Ww+fN1a2sLUlV6
sCbDicA2hcg1a/AKxBb89WXa7+I824fmxoWzljWxoH9MKMKrYqxsuWZ4ccm5IWmNTinptjK78Xe4
Cg/yaUYTaAP/tXr5XJoU9tBJZkb+EU0CjRW800nwFwBx+t3J3Paku/2h8qJHZi9Q1by+m2uPxFdr
FUJUIMdGgKAKiNsb+6gf0Atzq31xRtlzDxPI7rq1tVh1uUoxVploBzhAPDw960KIbTt0p8deM88p
uhMQB/fxfdFK2k0HG8DGOVjrcr5aqBCsEGnzIWr5s8M97Ixu7mVHOL1qVzou0GxY2O634uNa0FJB
uoGGBfIEduB10HImDe1IJ9K9UFbuhgqqWeseMP+n65u69o7RLs0IR5xuh8LMaUxsnCibu+W+s3f2
jbmLPRj8u938btJcpqjhUtvFNO3gpN9yoq2FCmdSMRq4aCQWutTTlf0ZuUvpj0kNi7vokUP0fWPR
q2EAYLUjy4BOADW/3lu1z9Pcnkca47txr38cwpMB8QjALuTVd7Jn7CrrXptuio3NXjVrG6pjMblp
2uI9BHNQrOtANDwIAJDdCwt6hOqXjbUtx0C80lHV+ceIcA+ZgaZbescHDWtIEXfyYXnxw2XUeXJw
XE7m9idcS5EuTQquKvUjeFMzow3JjJ88dJAKwolv5+cOfdwcxRJneFStYOMW3LIqeK65jATWjTN6
c5+iQdYgmVAy/N0YXmGSrrQoFOpKrcIS2G+94NZclu4F8yKmqdLJWP784gUHLVwzRjEvuI4XzC5t
odId1dsZ6tSNNa7d9BpzDRawDnBJ4qBvk5hRWNu8R2H4S4Jil0FUViLNYG3E1tVIjmPQwQCcZL2p
lfpGapkG0jD0Wtvz8uo7tScURLzW+jOQuHnqtdUttJj0AoTPTL14Fuq0TM1eQ56sNH8aM+OI+dTC
xaxAGUwK2MMPywR811aQhyFGK3/vangTlvQNPXMt6107RRu9/6IgPj33xx7RkbC7SXIV0kz03xDc
HEMfgeL31kzTOH+o889t+0LzMEGlot4p4bshG9Dj3GpBrt4UVCpkE45emhwiDAC6IqnuDX2kJY/s
mSmHjM6hzs2Q/V08QHkot+r7DCksZVI/xU48wOEyn2dEB+Fb04iw3XTeCAhLwiEGBB1sgLP0W+jj
CfemrLdtmRvstFNkOyuvv1XatEtl/y7v6vMITFFyfujTOR2004blNe+FCE6TZYcRLvbj9TFhDE23
yilZcCAyxH0HyFotdZ97S2nXgLQhP6i5m1dM5bv/7YkIxxajBKajy4oY42s7DQFGki4EKb1GRXNV
2JBtx9tY41pMp4IK5wWTHW9nqMxUb3NtINxCrGb+IYcoDxIS6PKhZ1gSwmE3R78q39raJbMSPioa
nbpO1mwYbxGLcmKYIXo8zPN6sycfnFsbipX3xo2xq3flffb3FxfWLAo1ONEC2nv9IbmfVTSPFrRV
bZ/lqT2bxcaC1moKr0wIqaQxZIzh+ZiAWRphvPlskK46Vb9D6MGdPipudGi/Q8S1G5BaSuoGdHn/
rBzqI3DQrerC4pdvN/ff5QonBn6foEAHQPGSEb7GFk6WqIOmB9EJhA7jdjNmrJwT3iIUNxl3BAki
vkriwi8NeIwYkj7Zz85n/ZDu5+/1J/lsuvGD9hE5rkP6In247rkrjntpVHynzMGcWcEIGKyef1nz
Y5ltJFlbf7/gM1ES9XHKlebJTKXGxF1H2apebOzbn0vt4hq2xnzU4px9U5+zbwaSEjfpfhmpnxmy
d/uP2g4ph30QutpWjrXmIKYOpoZBFKbzVOH+z+yp0LI8IKSiOeWhDOQ/+/DdwTZg5+8K5ADdxqlP
cP9F+3LovytDdsdk2I8ubObd3E3DTZcb0t5oE+loIw33CGnmVs1jdftN5oFoDjIUJCKBrSqoIeSf
Jw9J1vE40CpMlEreiH6rRixK84ilamQnQoCHQdbOu7KfvALp1n46d2Tx171UXbI48SwCp1+GOima
245gYgzNLCghECMxKaPG3htD2HttJL1fjuUAsUMkn/Ii/1b63XHew5bzyzkgaAdsDPkdyfNRzkxB
Zqjv/Qm9MjXPUKKukXFqpveqGx5sRFw2cqm1TWGSQgcHwOONVtfrYFkaRtkMymR4KCQhnZkkTxUf
aX99X9aNLKOhCsgTwH+vjWRQn9hw0hpezIB87N925u/rBlZGT0kDtX8tLL/g4nDVZQAvmuaDlz5A
brxPvfKTf2cc6VqcItm9bmxlNTA54aRcpJSW/8DaL2yFsISGiFCb8Os1e0NOfpR19fm/mOCSZk1I
zIpwc0Vq5jCkXkazt5KghYcIrR+DDW9dq6culFT/WFm8+WIhASvRzQTwoH3ffJTvM4gT/LPJpXwr
n4N7kAe7gipQeUQJctjyO5O/Wzgpr2wv76UL283UpEOZApcccQlEDpHvkV1z/N01w4aHr1kCHckz
lgc01QnB+XokuAzJDmePJs4ZFntL5VWJql0pBxsA+pXTD9KJ9p9hWzrHX7xEZH3oC1M2vEZKnqKg
fQm6/iGLkUBBYr1CtSt+RkG93PqMy18rbuWlWSEZSabY7EJDNahrVQ/Zn7oWehsfCi/Y7GSs1Qtf
LVHYzKE1IJXLNYMkGezwXb6vXqyH6Sn9TRcOTwm3wH4rD69X9sRznbYlzyMiR+Q0JwaSejfph2SH
mvnx+olbeZ9jaAF6gVijbyJE7siQAjUL09mrqQqkleki0XWw4TNQY2qgYbeXC/Vkp92G2T+Jy5uP
R2CkHkg29aaHi8JHNcWdYnoICtklPHxubz7m7VMQ7Ov8ppnvdX8rH1j84ZrJ5cBcHL1+LjtgobJJ
AVbeIam0A3GOZo5r3Jin4FHfOBSrx+9igcLGFpGdAgMjyFTyfUJ/JoNJV86fETXaCMurp+/CkBDN
IoRcfK01DCaxg52SDfsCrT716zD+oOoLHe5G6XzNYSDZMwCicm2qYhrMbG/IcOcyEeTo/Smfle5z
riBN0o3W98IPQtRBwl9lanWHEc2UjU1du4IujL9Jh229gu98xmu6Br0kYz9ulunXTfBoA/LIhJZY
NYqifOyLCBPxnfk87/Vdug8O0T3qB6m7zCTEmz22LYuCX44hhHSdxb2at8ZR7vXbyOk/XT/la3mC
wbf6Z1WCN+pjUCBxvKzq3J7zPc+00+DpXn+/zVey5vjkO7Ag4R8Q7QmhUouhSJMR5PaM6h69Jzex
pFM3wy7dphtBZPnR4oG+tCQESb9CbXJQ2Lgy+GjBvNx/k9FZnNKXjHLF9Q1ci8eXpoR0kca9mWi1
Mnv28Ah3j6PcO9GP6ybWGkTGpQ3BD6ahoDWpLRv3GLxD06J4bl7sL+Vt+nHewaozfOhf0Lns3C08
5OrldmlYcA7uGnQIE5wj+Og8yh/nc/q+/i5hVf9cv0OTSQ02dnPTohCz1LruyLv5ctKp+YgSyv38
HZVq4yG5sz/PL6HuMuxwfXdXPyBgLKSXGdx+M/M7TEpejgyOomaFbKcGA2x6q2vp6bqV9YVdmBEW
NsZyaaZNu0zDtOo+yfc5TEHWC6rKT3qPugXzzFssRWsYooXn45+lCSmlOscOT3iW1u61z3oKHVh2
8J/okpSZm9ylD/1x1GGr2xrVXD19/5r9Uyu6uE6zOYxbe+Ib9tOntls0vxGgN9+btuSazubGrgbJ
C2tCjumkTd3pUF3jMeZNs/OSA4T/DDAurb3wYJ2vf8dVb6EiakBksBB3CTGsbtROqygGeHn5wYTA
Iq9+xOHv6zbenHdSDYVCHRhuKKbguRGMWDPSNtrMsZvAIu6zh7ndNS/o/gZH5HkWlg6ewjBIhgfG
bA8btsUFLrZZn8VLjkD9ppjlVFpvtcCH/nQS8sf4cSz2CzUIj7udsQsP/s5GZ2N/3eqGUfH2pk9a
D5nNTI5atKfOh2xdSvZO5fy8bkZ0lT9ro1tKPYXHCEPLQp7XSnLdTTPMBva5C0OYuT5dN/CmDyNa
ECJ1PqM+Uvq5+QcIre+gvt9nu/TWOeYHBNg2eDv+1KkurznRmhCep7qf5UiGnIby9mFun9Ww+6aN
2u8cnne5aA4QmCIXFJ/lvjxA+bRrmt4t/OZM2eBZ6gww0v0OdtpdpMMIKyPeY0q7NELKTP5U5Sby
3nrlBpW0u75Jax/b5mNC4cSMyhtEqNKkcOpPTJSli5Ja+DPwv6vjxpdes+EwxrmwATC4JpJlNGWO
qo8DtZdf/pRC5OGmm6bfuJbXvOnChsiTUUDCrzh6DHpCgv4UGn0aifvrWyVmTMsHXhJ4mKdQf3hz
N8kZ/OkVqAGvosGNzD0gAiY24/hQSePGV1kNOpe2hAvKSBlFzZJuoQuGxy7sd1a2698jEL7XwYT0
yllWGdwsd5TQ/1fTwj0Fij8aJxnTww39fKQwT72BatoBTZhDe5j2tn9MqpNuHsvjFkxjY4fFu4pa
S5hoZQQW0sk+g/s5anN1Gmt4e7X++/WPueovjk5vEbDUWxaO3FTBRxVQEls2R618tpzP1w2sRh94
j8AL61DQ8Hp/Hd+CTsl6vehlT2lbfYeeZYtWonIiSDwpmr+r4vw7fJPvgrB5l40RHzM0ECTLs+G4
8UPEDOCP3178kGUrLjIAPTYnZCl6C19CxeQQPs7mjWS5hJjsF9K8XnyKn+PkIM/7uj9vsYGsnv0L
40KUj/XSyeZqoP2jPzflizreKn3xl0kjC6RZCMRcZ685moLHUjeO2qpIwdYrfuX6GYwxTbLLJ2Mr
FVCFl4xgSAwycTLD+dwEyCvEC2dzUNw4anbo5xBxDfM+dYLffWJ+HSYGo8K0blzF6L5OWbrhuitb
utCSmAuYiZeIOAQc+KlP6zDhe5a/qu6x81+UZKN68OeOFy4zbEDFuBChySgECD4TDpE/q77pdbVy
CkPrUe/LpyaBIAKZUVfp7d+9b/1Wuno/F/JGK2rlaL6yvXyFC39NwrCI/YFdRkVNuZl0NdrpQWNv
Af1WP+bFEoXzSTvKmDrfIM7tTLodSLAcTXjXLLIDWhkbFZH1b/bvfgpn0KqcKO3QavI6tTnAOu7J
jfRo9PJ/OOuv9k44bqEU+6YVmMCuQjc92zfWKd23J+trV7qI17ffLRBZ+SH+qkiu1B02As1K+FYV
KLeQxaGH/4a92UpNIwE+SS1tos0hudYpOmQ79cmgBfuHzQ6N3BteOFt21xwGMTcFqiiq2zR/XztM
24Jeihee5WZBDeyHl+hXfcvcNYMCwa547JpdtfGAXLUI8dDyMnDeIgaybDbVeuG5VcPntOHRH2xR
J7zp4S+xhuP9jwnBY7SgiNE6QIBIP6ZP7U/tFHrDS7j/oT37n5u97S7t+mWEaFfut8fk19z10rjg
Ro0NDCNcjBfqhwiS9bCrd6b/t+Ij4hIXf7o46ObkyEjNNLI3Rf7doBc/O1k7FdTOu4qZumAOEMee
n8zGbt3/4qkXmyvk6l2D4UZnfc3BP+Z7sLaf5MEdaSxZjLSEN3QyUT1Mj1uP8TcFvj9LNnmxkdwp
8pvZ5r7IOTqw9oLMUG/ac7oP98G9caSTdrv1OH5T5Phji9krDiL0RW+6dIHVhXrXAUrQFHfa1ef6
0Yz3RuNCAY3cJNiWwKu3yPnVJWqKFwc4tH+MColrH8Vx0aKoTrdHoSuyn42TVO6nh+ZrdEjugU6a
rvo5+GLjuaOrUBoAhxe7PYMR7+Ovf9ueEXdASAzCuczHUQPT0MmSm4wyrJCwU9XShjutnpZ/1yyS
5Udx03MdL1A7Ixzc1FbnXUYu6/VKsUUgvJZVcuX/s79vLubYycMWTl4v+Qgr//RSHaWdfA4fVA9F
aen83xz2wp5wGfsZAuz+aJneXGDAmK3nOoueKl3ez01/CCpnD6vMvcWYdougFDnv1kzDaqi9+AHC
NV1r8pghcYdknfK1X5Tj242reXGCKx5rCoE21XlxNMzwLU+tc3NMjugFHdXTli9uHUcRypDnZa4p
MZmwCip0YcKRY2Bt/5d/p35BPmTaiq+r9/HF1gnxNQ3HqekqbiltfB9z5uIJaDZ4jrh6uR5Ptw6A
EE6tZqS20PCNInjDsrA6memw7/u/xnYt5xkmvkUMC4kgR3R+CB+RzrN5gYNf+TChlYKyHUWdQHfV
p/KQnY1d+6yX6M3uNr/e2hIvTQvnIPW7Ukdm2/KMYD97815xCxTcj018QGz3ftgvWmNusLfy3fWt
XXP/S7uC+w/RmHaFSW6TOeZDGPTnSMk3xq+3TAgHoNT62VesxmIwya53cuG/2Mo0eNfX8adDLR6z
y4UsG3xx2TuFMwWMWXMpfLTDXVaAywsOzm6+sRpARG4Tka0ZO/97yTSZO2sbIfoNlFh0HeEslFmt
oFfIPurHLDnPe2e+i/f2vj74KIfv0vLYMp63KQqgrh3By1ULJwNMWSCHEUiZ3pN++M964rb7GV2C
5Lk45o8SRRXpXbKLzslTfVO+2B1d7vhU75wniuX7619gLc5d/hTxZs5Ka1aXQNpCq2PrNPAjxdUk
eTckkdv793J+h+rS4brR1YekCkyI/yDNggTn9WdHELizp3CQvaz7XtX9jZrRavEBaT9MPi8Eq9lH
se32zdbA52r+fGlYWO5c0wYsY4ed/+w/lwwsG6f6Ln6i53KGQ/cgPfseUvIf8wf9Lr7Zak+vRouL
VQuJh9z2UjGZOHuTfjKj1lWaH3a3dTOu5gIXSxTzji6knBzq3CiIQXgqsymIEN2OO7h5Tum9dr7+
JVc9+d8libF3kJTeHBBz9ObpUzh+RN37mEkM9m/Euy0zQpwNukEpTIM1KWZ/SPQbg+mFHCX3ydio
1699Ig2i82VmHm46EUDQj5nVkK5YUEBpe30IPMuIbgP71/VdW9xbjHqXVoSwo9hVVjY6ZcZQ9b80
Qwas6xnGQ2Rsqt3obAywrwXyS2PCWQtkpWiKKLe8xop3+RgfNHOry/EGlLfEUU2Hpcuhkk/PTbiP
mi5DTW4I8OyJF4wWHuRvzi1ZE3UGf9/ztpC94g5OefmxPW69aNZ849K2cFGptV9ndcX6ptm+6YZP
dRO7KXzv9fDl+ldb9Y2LRS5/fnFXDUFsZFWP/mkdG78DBO0RG1ddZ5IP1+2svpYuVyS4R0wLWhoa
nJBHPr7hu+1Zp2SBnvO+eVh2NNr1hzk/VE9GhRpAeEDJ7aa/H9ytY/dmdFH8roLvaAYi1YHF3hrv
aTioB+OUvg8X1qD9BBXfeeF5CnYZmL1NyyI+8P9aZlDKILqQ2QnVG1lr+1gL8agqO5TnEq2Z8mRW
+4VXiof4xo6vZuEMSP9jTYgvjEUw4FL6SBHa9bu4qex9DJZ2l/SWvZtT/TyE/j0Md8xBhNMtbHS3
WR6dIwfl89aXnY1gt3o7Xv4a4TTFM4ONtoSY56jmvyOjPSpl6u+rtGZeezYewcsnblP36B4b0W/Z
Bixw3QGXS/BNeGKaCbUBh9q5+CYZazseY4ndCH3zJrLiT9lMd1TRD1qq3dVD/TWS7Y/XTa7eWnQa
FVWjTKiTErw+XKOBpvIUo7qWJ/VTKhkfOgmZdgUZwRiW41axRxeFyMcZdmB3RgN5Luv3Sj5vxMrV
n4EpaF3A1NAzEBy+b8KcyU6OXnwuPyyw1PLgP6KSsytR3DA2cq9lTeI+XxoTkpFkjBxJtTldahd4
nbOku/LRgH/9+t6uXQC0QgBCWIt2qgj9How0N+CMoj/hI4CVhP4DiXy4sZbVVPrSinCEjDCRK9PA
yrCLHiBQbH9GB3+/VJat7q6lJYnq+H85KJc2hYMyAJ5OtQibUlN4i761ei+3dFrCvYbi+licjfZd
CyhjYz/Fcb8lNl2aFW6cPM40Jg9Ly0PfmXzZDX/q3+igodk67qTj8IEgtQuAH5o3+g6H3hMlbsds
x7DsQXFn908t4RlVedubX7LHgLEyqHbT+/Cw+T7d+qXCqeoRKx8ryjOeUma7Qe0fevmdNEhu5XtO
fROk7xr5WZeyD9c3aO1GJh9gcAelsLesgFJlFK2M3KlnF+0+YQzRInKmkXxXWb//gyXA6wTjRRny
D/ri4kqu9Ub2k1Lhy8+PpvGgtL5b1Y9+tSnauHiSeFTRkdCIThCqvqkxJIzvJwHvYcQ97aO2z24Q
FkC+DiYeHojPDEBtsb6vxeBLg8Jx0v1eyY2QeDgGFLuDIt0nVXu2pQixutCw3aot7iSn2XoOrj3I
uW4pJi79aYMBhNdxOJtHrUan3fbMr7FztHgGoxyQ3UQ32a4+DZ9789b4Hd6qn6zzFkvBHw5cYY9f
mRbCoW43CINBIIvMp5IdlKqpzj4DtIkb56VmuuVcKh9CezQ++33IaAew23ERnwVxYTOcOcGgGP3O
FN+5DWXk6RLLbuj6MjWaOIeqnReUzEGzm/hrVkfxDTI3sCCkSIb1g2yjAahJX6RJa9xAG5muN9Xp
eN1VVz4oq0MWZmlHq7CYv95YPc+lKJgd24sqakRRlpduKnVAyxv/GHXRs5T1X2gPb8Sqlec9rG6M
0THFSnFMbIKNYyBLss/n/DN0flyAw+Gp3tRVX6toYMfBFInL2zE1vlCVqIZvL++lcF9N6pye9LhR
zmFmVsEeGJEUn+TZyPMzw7bjiyFV9MqbNmk+dADQb4vSCTrXoSryYyyc+F2kmtKPYdSql1Yqx9o1
+jwuXX8saaLLUjB9jYey3SPQ57tOn+i+q4yZfRiH2P8E9qL9fP3brVxuloJwnrVkRNyg4jaasVGS
sC/8tkfpR/thKVJNX8YbJo12xb7+P6R917LcuLLsFyGC3rzStlneSy+MNRqJJOi9+fqbWPucUTea
p3FHex5mFKGIqQaIKhSqsjLd5d14Eli8zA3OLXL+ry46xVwj8IUzsJ+jx9hVQXfmLg/QfnIipzwM
70Lfvwxy5za5I2p0FOTHAObhCh895vfDa3xrgJkk31X3thBTxELJub8zcyBzBSuRYSPWnHuEnZKc
RroBaFw7vaxD+xArqNmqanebELKrMbspcIbLe+nMIC97Zy6toVCtVSEiLzkx/ViNb3PzRlYhWIp9
nCsr4yXvFCWy5HFFfa+8qV+qQ7QfggVFxdWHdJuXvAqOymVkwbJ0BbOQGFZnPni+j6oKFuSKdQ/L
GwtNBO2QfOsfZAeEf3ipScGwn0Zn/l4EaSB6pX0FrYuF6njyy+CyNiCPcG5aBznHqiipBFUf8Los
L/jM3ljYzgTQ0hAXz2OUP2KwNVgwRiD1i7fIN7UUjHV2sErqpWkadHGNCYAcQ1iKo6zWjmjARM7a
TQcZzCmyHGspQTuh2U5v224GBsW+tsJoQqyI5WNU1KElVa5gQzf94GRV3MEkWtTMBL1aXPYz6rKd
G8+YNRrd9EGCs4Ml9+/rBjfP5W97X+/BkyymgpIXWaA1GkTN37X53SwqVzLxupOEeg+X+SA7Kv98
r69G9Iklqmh5hEakAQ7FdAe1ecCGQfDnj7edAEezfSZ/G+LCl1lOtTWCnSIgeX6Txaof1fNOjmav
nEuIJo6+nq7P13fx6x1z5TDyRag+qyyKMWfWvofIMEBtu+IuwQTQ/Bdxy19FmLkYVLNDxSvANOCC
wyR3ReXQzagN0gjon4KrweBR4aOVQouJAr2clr/WSHEVPXGhHi2IYxt4AfYZf5vhHiAEE8mNtWKl
yR7M0X4VKkAoaEHhpZ7oUmD/q8tN/W2Kf0E0kt2sFmImeMjwbEjA7yHiURWZYO5xcihHwLhsyBsp
QVUkoZ2DqKaoqCj2XyZC2DJDASsUcjc27soZiXV7jKuKzVBZ4BApwiHAs1RYjNxcC7RiAK3AS0Hj
B+zsiURGbcKV1aZ2huLb0gh40jZP2G8DfKyYNJs2XQfH6tredNBffevBn+ksMxV9ls2odGKJ27Gs
KJSIqIgV2jBFx3SNiwdLu2tzQM9TEYPOZrg4scWFC8UuCGkh/xBEbeoa5jtkfoCG/yuJY3+aFqef
FEGM3z4O/3wnPlZYStTgKQUPyuTYKyzpl5J0szuR/ucEtoNuoIOrddZHbKoiWOrFxI+BKhd6C/97
RL5yzZPjboBQL7MJ5g+kMN9nd9Nb57KeY+fFLw3oyvwssD3Ra3Iz1TqxyXlxpixalC/Y31Iu3dWu
fG28i2oDOJu7Rig7t5n9nBjj/BlQFAXVSfYx49s5/6gWvODym+iQd+96Z7pd6qvqnZZ/j6cfghtg
83oDYRhUIsAbhqTk3MkTOzL7GRP8gXofAWmIN/Otcsh2suT8B/k3+6UPtqAOlRfwvbidqHC64TJf
c9ioETAdb74b1g3ZoCRUQuHDpKNbaJ03G+Mh1+rKKYmoerj1KDmzxjlNS5epGGyUvaLX9bneq14M
7jn3RwReyP8Auf4kYz+zyBKnk6NLC402JmaSgkl+zNbPvHpTAXHM0Zno8ta//jE3At2ZLe5bKlGW
kBqqu0FEDShk9E5FPmMMfV+3shGvMbQB7ioQYzBCUc4xRr1Nq75KcWLs4lYh8492lj6vm9g6FKcm
OHcACoY0y2BDUgYMMUX+YJjhEDdhoYtO31ZkOVsM9xDo1nwGdQseAvRmxIyG0jiVS6DwMHngaguZ
OqGYXGHrM2EwGbBzdEjw+ueORBGtU9OMChK9rHY1ojiNdFfkojH5jQYNhF9OzHCnYRmmCQNUTHv2
xjjYx9Uh7g8I2D8wMi5x90m0KO5UpGRpywgTykFFOlcH/kIzQNXe9YJLaOPWO1sUdzIixWwMo0Fu
JVmdO9fUbfLImbP7atB3Fgg4WlN03EUL407IFM2IxjJgeUk/7c3RfBqKOKRJ7V0/8v/HSfx9Krh3
4bSSodEVpEGIfDbYIe7198Sr3+cD/ZRdcog/Mm96V54EVjduubP95N5tmPYwi4zgs3V+ajjF0xQ2
t+nP/D0G9SFEVcowu592plfci+rsG9nEqWFe5qRWyz4v2fWqhfGuDMadGpKw/ZPkEmag6GNBxhqv
OC4ja0zQC5a0w/rqym1Y1TIVTVpvfzkdhFPwJmQqfB9O6sD4ZLA9zHJH/UE+6gDXte0ZL/3i5HfT
Xjrmr/YLqH0E324zEJ/Y5XyBGMUk0w5xRHfST+1X8wQQdGD65mM1OuSAV/e/Zv/F6jAX9HulnC/U
tUmasUcmrfRPur6fs2e6vAhWtXkwTmxwfjCMkt0tK3ZzcHtvyJ36Rf+hvJUBNKUwo9980M/6ztol
B/tb+djtrhvf9IYT25w3xJRCKaQoZaZOMTqQgbvpMzC4dUn1ImXRkcpGJ4hnG+gqbCn21QIrJ3pv
/PN3zki1Fv95l2oHO3XiHWonPtgo97Xf7LOw9gdv9UFwPu0sX9uJkCAbMJRz+9wt0QBglcgJsnrj
lhVqlTf9GPuYyL5JUOgAn6E3vOSofhNPhOza/M4nC+cujEyh6mrFkhLQ+kWL72dwB6RqGEnDkZiT
b+e5K2exIMhu5hUnNjmPKWlDVYnKStAr6WOy/BjHxl+l2S11ARR60zVPDHGOok8KMtgEi7PYTIud
oH4jeNRuIF7OPxznJ01njHKqY0ranHJ/MMddYqFdgFFS+7Edbsfprrdnh7bfZnC9ZmPutKCXW8zJ
WcbCtWwthMCnsyrFvSQh1NeJY9LkRZHRmS0EydzmBQpeQvA1WGin82UERbVbe6BoBJACgKZBfmtM
2QULoGBDtr/tbzNcap/Fo14mHdIdS/rWRNRdm8xtatWtUlXgsxszxdh6E9gXpmetXBAtY46pj7Ic
TJwQ9D2gJoubOd1JFnr3DOZjHyrM2zQoLDX1QYRM26pjwbaJqTDDtCUMm5+/J6zILkmRY6jYvP96
vxw0D6wl4EAHs5pgnZsfzsI8GHJ8VIF4PBFZcqIRFZPgOnh6xij+zFDUqOkomFLcAJBgOy1G68cW
ZfBTpzpm2udkKaUg0vSfQyodzdiU3N6uvV5vDsmYgNleq2MowqaYuMkRnLIOZHmzJCLp2gz/GOE3
JYg0I1fgvNbqRlmae4zclMnrFEUu0UClb6ph3qSAxu2v3zWbb1HtxBrnwJMVDaVF2Xg4eIgXkM8A
OoOug4vbW3aBHDv+f4ykb8YliAiDJVTDOnmeD3tY06GyEO0nN9IdJoANjMXkgAt4L3lFMOz+LGcA
4yQmw6FCiaIod6eCbVnqMHuCwusc30ttHPZq9lAYIna8LfeHQ0ooooCL6YK5Wy/yKC36Qgp6+3ON
9trQhHJlOjqZBWmXsrWH8AcmgYCa1GVXupNqVWHDIEiZ7xTX+BlhVFJ1ityxwgrCQri+Nc9+jDXg
HFBF8WcfHOIUnK+a4JLZOq7gsYBWIFRw0a7md9YaiibF3gLKA5xZMz6alXzXFyC/adL2ptOEPJIs
WeYK2wr4pFETBh+adMGwaE3jPGgRWAUKYtxAbxiToXG9t+buOZ+yo6zRwkEj+rFOcLXkiak4Oioe
171mc/OByQLeHyA7VDvOw5+ZaaNKE6Bz4jx/UEeSO9pkvV63sdGZRzHM1kxM+mHiD75ybqRXlAnt
Tg1dN0h0qlAKtMrPEYrUD1hx/F0dwaIeJveSie8M1QT4DeA6Lz31ciWIJS/OXKW/y8s/WDmaQ9Bo
AT89rh3uawOgrpS0QqWinsqHRYtvlSQRmNgK+KAL1y3wi2AE+CIX7auRwXWZ4vLg1/1zKjVumowC
B2I/lD9Fp1bYJz6tiFlKNWYoTUBSqbqXZr13ko74BYUcvVX9VVrDcVH13aSAYfv6d918qBkstIMv
HK9C/vAsq2aCjwMPJu37DKA/ceqAetkr40TMP1ffOIpnRTbv61ObXJTvoeAFQEkF/hEqD0CfJndx
3h/IMEEP0oIMU50eUA26N8zpOa/sfYKmhC9Y9pbbnv4E7uQYsWWV8gyetXaq9NuuHju/zaUBwHNK
bzSQbYIO2Ebekg6I/rHdQRST1kEGusNA8EvYYi8+/e8PwNOSmHC7Lpdx/SR7+944DG6+jw5QKkfe
RO9kF/LornmAWIKQD2WzGHayBxeAzkVC0ZI1Ou1duVf8OsjBYKT72geuPWRqQpilaKVcNrpOg1Ur
ds3qKuR+mb32Qd6NR0ztjq7yY/2FtNTLQcPZ3oIofn4QbPOmH59sM5cjkqhLi0FHKjy5eH6sXrYb
fsbfwcngK8Hy0twX92Jhg63793SDOa+WlSqTKgPPdpVAyLVb3IHej9pLBFHO66sTLY79/Un4GIeZ
jAOwTkE9NM6QHkCK6Fja63UjotWwvz8xMkl2X5YsT4pyelPF9ykmFgDddEZbRDItCkoKd6OlpVot
AIWC0OKQvMg3zV2JUXZ4xL48qq2jeNp77KmCE7J1i55+LC4oLanVW1GPj7VGoxdJjUOSj+sbKPpK
XMwpTWVaZjyDg3Zoo4cYI2p+Bf34524w5T8yhcEjxjnO6OvOvxVZNHNqDaRBdXRfds8zeVjsl+ur
Ubc37LcN7nRXg0LzpohBsNDqn1YlJQ40sMGMdbS0X6CwdKUEVAv0drG7Q6dn7+Pc7gCxRo3DU8b4
J7jXNSeTf8x5D5WIrt3HZnXbLLVfWt/66HMq3ta5d+NId+0kgfNQd5DA0T4sgPOseLjbT90IPNm4
inxpK4NE6++freN8qSkhaVGweDylz2WTOapiu1p/W4A5GxNq3vVN3DgSSPMhYKtBnAgoNnZNnfiU
PtFGjQrggc1+2Jm15SNGuqslGEfY+FKgUgdoFPq8MkjPuYMXZdVqLbS28KVsNxkLJ8oWwbt4Y9dU
EyfNAD0L1Lr4uyTt9HpsuwgI6m4h+8iGf1rp4tHKSMPYii0Pjbjav755WzUH1cLjGGkndvFiXWky
5LKZqCgyNyMNejJrQa0BzZtOsu7IpcaekIW2k1ChDVa8Cxx9yhVfAgY0aNa4PsDfoZJO1fJ7XEv2
NwJVJeHLaGtjTn4jr386SZExTOhkBVpSZUHZrg36qlmTod9Zk/moSaXs51oRuVXUy2ENIk93qisT
IghGOThLVteebCTzBxSXqR8vMXF1Mta7clT6XTb2414qZnB8oj5tB5OdSt6ipWUwm2350CRN5LYF
te/qHLN0gMGKxhw30lY0EfDd0R7GcBWP8p7BI1PqkEwIYvRue5odqzJ1zSE90vR2mf9m3NMy/XH9
q28d5lObXJwGrLeROw02V1SGG0NxBvPxuoWtxEiFvgvaI+BDxxwRFz27Ke6iSCFW0EOyR/s1hTRI
0Opy5DD60T4u/15VAVXRM4NcKJX0uYuKFfrdevKkRrE3F7PAP7cqK2cmuLBmmzgMmDFjydfkM9HA
6G85XF2kDC4wlk76LtjDjWzhzB6XLdhaMUq4xJm9ej8dAISpQUlbhRTbeJe2no1GMtnHz38ANGMN
ZFaBhFj1hYJsbUW5bqeTFVhGe9vaaTBojXA2egMgAikPNtiG/0DUidtMYIolq+lWLZgX4GCI6ltG
465j4sb9QQbPe5WtwRJ/b1QBmcLWy+mLJhK0ggAaXEgcY4Rey5IGl1P2NryNzzOIqGZ3bL4Gy4TY
8Q1PYxMcwCCiTH25lSXVO8CtgULsPYifrX7ipukB0GrDgyIACuSGZ2d+3jh/8AnP7HJHx1ytSqk0
2K1QoleSO1I/CQ6naGUsaJ9cu1O35G2TAsWXvtX75ikDKp4povZ+grEYsN8S4SCqtnEPnC2KC1v6
so6jWsAkYxeJoDBuepOLWmq2uunTfJOCFTp1olv7A/Ksbn4zPfYfOYqeP+gDlHLAzJm58ct8GL4V
N23u0KfYbbxY8RrFyYDQUF3px+SZPmROIQ/q256oxC7aMC6DmDJFrdWxQNA1nkboza+daGxnK+ie
bhCPqm/ark/rDBvE1DWqpxrtb6ZmOn4yMdPcFdrb8OEze1zqVeV5rEaYs/liw1eP1h5NKS/ZZQEV
cAFcCCMhup9Z4t69lVyUiVYDxh/dWoc1iMLEre+rO7V00l15zz4tLhb8Ww9rwAvqEEQz4eL1IY0d
5Wh/+4MWhgFcm45hftDLQcLh/PDbPZXwDEHpIzdQZqqTfTeNvpbL3nUn+6oIcoWNMzvsTJ062UKl
PPkPjppAWaMPjEfGlcHEFOa/4nA9rD6EU9zcyd81DPbLmGoAmi78b5fLxeoJn8bsdYTMfl7cjuzs
6i5fhWjMTfc+2VQuZg2DQfAPrChhe9Mc0QQLZaYQE5pPyLfpm3ywUic/5OEoglqILHOxrFKSeKE9
oqUp32TkrWPDDqa1L+rRSftWdAGx3br2UbkwBtAPtcFTjHmij+RBQU+eBu1u3dkuRGNAqOfQR1tI
E7YZfExLxhg16s4Xbwto0/VaPFuQagKr5GBVB7OJBG2DjVl5+OiJDc5Hl3pualJ+hed4h+rbfgpk
UPcAw7u77hbbce7EEud+ahPlg8Xunha3KtS6UNloj4Y3u8muCPJQFLm3euJnK+PcUG1BK2tb6ImX
ClrukGOMdM1rh9VTVvDLtxHkPhfAl3FOU3S6pXzcW53kJRMozU360cqATQ/9zSAnbjkB8YpkY1n6
/WDWPkTe3MlWBCMfwk/BOWwz9OlS4BmLm7Lf1xhWGx3zESS4O1HFR/gpOKdNyhhIUGYJTgsCQ4Zy
zGGLEXsCKeQKgWXsEF04z8mn51y1KeYGvHawN/4YvwaCyvvsVQ2rF/lWnHFsFdHOPjznqnlaL9Zq
Azw3uaBgqMH6IZsH4hsvUNZwieWWvqHtc3cVkYtuPAoxRA0dMNwtgDjw1QYCTos2Sb/IsEB/iWt8
CEjYC2dFN6OChY4jag4SeNO5zZSpLCsZBeBAXX9O0AoUA2E3I+uJBW4DbT1aCO0StPbMDxliJJAl
dCP6WjZPSr1618OCyBaXYEVmFidjifujiabqsEC22COzunhJa4OV3TL6ILeN+e260Y1RaUS93yvk
OZ7KeirkifE99l65b/egIJEdek8fVG/dmX76M4ErhCMIYigu5gpXdPSu7NrGgd67Dzo6rw2HPwqP
Jz+JS8uAyAFnwgIWvlb2ou9T7kSHjCXnh8Q4zj7Y6n0Ra4tg6w0u9BtRlTQ2iIcCvSn3JJaf86G/
pSjOLjR9m6A2JXiKCw6uwV0Aa16PeOGgaZnREmRKb4ohAgRvPfbPvisX80E+G88TOOKD6Dtmfr8k
eW1Xeh4Pq0t3yi4OiKDCuFWKO7PIBe28WSWQieEkrT+icNxHb4XfvIKzCYOjue3SI2PusL3Kv36A
hQvlIni62iuJcpjVQpB63UBF4El90u4Zz24dqg9kLwu6BJv5z8nx5KKOPtux0XTw0zVXlSOUW8ED
3c2S05AlCq4vbmsQ8WxPufjTlvqSViqThPil/yjxDqRecm+2LvDIuKlSF6rvFVgN6UE/5H5xD8o0
0QSysnljnSyXC0tSXreWZiLdm9zJVz7HG5WltHfUi8IhTDyWtsjuHJZPimO84zkhHgzYYJI4i1H8
u1CNcoZMwifOb6o7CYj9dww9hMM3BgEdv4ORYIfvcF+GorVvX2P/3C/88PWK6rJhMiQxRWRk15gc
dnsxc6vgQJlc9LH7qhnLCddYVyhontzVEFqf69frR4m5wUXi8fsz8iCGVgMHgMpuF3MA5nDIl2Jf
Ll4aR4m7xGsn8ErRkrjoU0ayGkcA0AWNOYE4UGqRa4wmWj9LIeIkEsRuk/2UkzcmdJL/h5xdAzYZ
zC2Vnfhqsfpd97SsQtAAi8z8NgLNzgTtMKZ+gRQb+zVOVwKWwny/vPW10yAdcHqUKZgAKDCB4rHZ
ra1UDcj7YtoMlBh8LlWRtsPTlTUlk8UHXzn0kdOwslJBiWLrfJyY4ZsUI8r7RdcCfrLq7V99NjmJ
Wbt9UYT20P/JC/LUFnfBV8YkpZMBtFKPqXg8MtzilcHDegw7TF7vVomDe+L9+vnf8uVTm5yTDdi1
0mxxInHiwVwCNFcwKkvrBXJq1M5Uqdmuke1ql4+yKLHbLNme2uave73qEr3EABpjw9BcdLKfox2q
3yDWFz1oBKfF5hyvmCd1zkcsTsoyr8iXINZ/1hb1rm/mphXLwmwitDtARcNdgaSPu4SpPUFaK3lL
MYTqdUQrnJkO+//OEHf/QRCzniiT6mimKoyUcNFB5J5OguVs5hAYs/9nPdwdlytG3LYlYTlE/sJo
GgDwum0+JNSmGM9GdJeE/826TIlVJk+CVtVA97An+Exmmu1MabpJqe6lgwjaxb72RbT6Z11o0p2b
abu4SAs1wsUp01tSaG9zLn38dyvh/Ap9XTVqKL4QRR+u7xRHXe+tLhEkzJvR6WQhnAfpbYLIaySI
GNbfCbmbRxQKO9Qy7J/XV7N1mfw+CKbEuY+cp+lYabCj4lXkD3V1K2lDmOvFcz8aT2gKCpJm0bqY
o52cgxHghmYAbDQYaeeC+NSVIrDSgnesF1S3NjPJ05WxX3JiKU56VGpbfCdWc4o/+xsFzZwY2HxQ
PnzrPClglHPxg+oWXnk79I4Q+iXaWi5mtPrUlvIE9Ojkgp+7BK1M7Geueqs+AYvlMkldKI5hOEtU
/dryAVC6QeAQ/XHwyXJ2yaCscScZWHhZ/KwNbdeV+tv1U7NtAjr10PSBIhefW2kRnqvgLwbD2lge
5vIhtwbB7bx1e0GTARJ6kFu+nKUrVWKsC2TXoXphHeRdf8z2qB6GfzB9iEkDG1ydkiRfTnCMZqPP
8QJlif9wfKUhSqCQgRGZ2dqvUzPcWezWYSxLmqFBu9ybRQOCcN25/kU2r9xTE9xXTw0lG2z5ayXx
rjpg1gck6DKg5xBeFbjW1qwYtDMxsKMwnjvg+c9dC7yzUyKprYU+d4uURgVP4zg67K3WS0560+yr
oPrG6G0lzKpdX+dG/IBpWzE0NHEg/crFD6WVlNhaRwtZDODXJnKo2m/rh3KuBQF445OdGeI+2Rxj
QAxEcyDzq/7SwTpnGLJgKewq5+4qS/qaMUGFH0edC/FJBhQJlHisIIoqQNi7e7nHNdKSucMg+Ji7
Uh1jXakgAG9N2ZyZZQs/iYttt9hxZuCg6M7ojftb9ZiFajjsd+KhQvYxLlYI2hgNJ8XSLigmB3Wo
5kHBxwJOa68YWQ/uPrV3ML4h6kVtfC2MTeqYh0JdFP0Sbi9VPCRRF05hqcHwLdXSXZYUgmO/bYOJ
bgLbJF3wWA50tax5BMqiieJDPVQ7Ta2er5/urYc/kjKmiAl2Nxswu/OPk6XAL0n6YAW26sugLEY3
HM7FVFb7wsl/NYObGKCwo47kiKG7W9VzjHlJmPQCvgz7xe3iqFQy1XR8LwZ+oHvWtG1c+0l6ZiqV
Ofr39l5Ucdg6IqcmudNI9YTKUk9MvMJ+0OExXkvXNAT1q427BMtiSD3dAj0xPx+jpGlGoDMP4pJe
8qWp82SpOepSAeHtiCJqaeCTNJS1cEsocQo+6EbHHU08CaPnYOPDj+DCcjc1rU5sqgXTWHwYBnG0
BA0XurhWlOxJVOwXTbtby/quE+HUtnJ88GhBKAKjBQoGBbmzlFTxBHnVCkK0UuaSvvCa0g5K0i07
OY1KR14wT5dM3y1KULe0rLemHN/beP7Uc/prHRVB3NnyHjZ/DzCmLuEPXOAGAV6hJSVO9tJKdu2Q
uVdB2txEtWDH2YZyMccGCbWuozvCeIK4DS/lIV21KEEhpl4ctUABTUsddDScSAMEoRLKoLAXxTV7
3INtzOW2MvOUDd8vLsEluO60PauN1KFII2+rS3i2Nu6L1tZaznENWw2RDxAj84sI9DH6K9IvwIpn
R2tQwZDxaalwmRs+dGqap2lQiqaD8mhr48qnD4uLjj5r+ucPcJ3u+/xeH8ntULgy8ZE+geZPBGjY
Sm++NNdYtgG5YB40vGpKQ1vwdAdKrR+6qXrLyjgBOTKU5ft23s8qSlO11R3bsd9JE91Vei3ISDci
1dkv4N59ctMbQz2kUTAkULaTpCp1lqp80Pta9IgVWeLCcGvYRTHGWGtKHkgCXeuReFosQi9vOOTZ
erjISwqp0tsVVpba8FalQmtb9Ijd9EUm9P4/H43z+cgEqnTsJT1oIdU7YZYsgu55a0lOMR3M6Ol6
qN3aNRBvyHiPgDcbF/T51anHhkomiUYBhrtmDxIIkOeqPsZoFtHhXRoCFzB48BDUDR0TGdzn6XQL
AvK1QQJpaQNwbz60a/azLMi/F6pCnmaxrYMu5OW1JU1RTMA4AYZ2kr4jpO0jcMhd37ONZPDMBk+J
FxMjheCNRYJqjr0+z0NKFO2+aayfXTSDWn3oW8yq5a/tDEcbMrI6tBqfBqqr/vVfcpnXn/8QrnBT
FA16wRYEQno21Thj+kuK7nqgw4kKtvfrti4T73NbnCejtKLUadEyMZLOLcng9OtfFvgtk1Vxre6h
Wv66bu/SDWAPE8+SKmOQ9GJcNgHfx4p4gRqLHjkLkLlzue666DWZajcR6hmy43d+IZ1b4/xaaSaT
ZEnNaq/kHnmwX+NNFs6H2e9dtLHjQGiR7dc1i5ybz7ZczoOF/ez82ZO91Ncmx0RxRWMP9p8intDN
k3Kym9zDbMogAj50sAbMjNdnGUSTbksTt+/w8/pn2/Lz08/GZRIFJovHrGP+t8hebf9QJn03Trvr
Ri7vVfa12FsaDRZD47kVonrJVXnGaqT11a7eoXztDPTVWAA1xrlXVcmnmeA4Xgb+c5Pc8VcKw6h0
s8fodFWEpgLIXCXi19tgs0EQxmw2XhE43Re55yxpM6RAcAjpvrqLbtubRHOrJ1YBA5BWGhwQE3/2
b2Ag7+5L1/aiT+/6tm643Kl9voGakXgq5gH2l/pYWM9qhPF09c2WCvARi8CIG+fkzBYXupZaSaZ2
wSdESuJ05aGdNXdAh+D6ijaO/ZkV7qs1plqTKGZOlj03auwNkGWks+LmhITXLW3gGs4+Hv8MzOD8
aDFi8/qg3VsYrrydd/pd76ghEKvA6RYPuR89zcIccyOOyBg2x4sFalgATnAOZ7aYMa9sHEy7+F70
lhc3N3L11mgamKxDMvUh6HnWdXImAxQrmFa+vuwN7C6WfWKey+Tt0rRTKsN8630xME0YiTRcgpf2
k7S37ukdRruc+kvTUHeGY98E463yzvJdsVz0RvX6/Mdw2UyqomNoawOLqaCXeR3C9LFzo31cOfFL
f7B6jLFEDsNOQjy+L13re3f49521s5/Ap/w9KdZqWrEfuYyKpS473Xxcusy9vu2b3vN71/nEHmyu
U9+kI6xEGFDWGmfMj1UmLMZvus+JGd592mYiCXSfAutWcRGLvs8grSif0Amtd7ljP+qQ4iqM7zM4
WJ7+uwVy6SK0cPOUNpgCHbN0H1XrjZo3N3rSBtfNbAA78bnQnYSeK2QhL4Sw1bw0lrUCJyE03cht
EpPqw0KDdy/PUDrr+lh5KtOapk46K5BLojqmk4ZprfejOUy3Q1wZh45Eq+gts/mzdBlJDyg0DMyX
se9/Um6Uk6Gm1ohThJT/Q/b0IytmgX+yhmw1vMkS7PbmzYNKCyaVJFR7Lnhk0fPuOrMC8qK3HemX
7DXuuLNf+8rToeCHfjv4dUDVARKPo4H+7Tcldqp/D+aF3ZOfwJ01WhNFrzL8BLoHjbmbHVIUWP9/
pEM2XsXnlriz1al9CdEXtHqiAh3VJvre5fXOGgxnroifyH1Qm9Jn2UO6al7pLrHT/fVDt+VVpyvl
cs1R6roqq+FVU9I/TmV0Nyn6jsYV5EdAXXnd1lagOLXFHSSo6BpN07NdjTTXkBunaqBqIpo224CO
n28pW/LJee1toto2Q+5YtUtfGIkj9cZjGnbB8DEe6qP2oKF7x0qwhScdieqQlxgyI9fXuuk1p4vl
rkK1l0ZrmPArGAbNAGAkqfaW1/usoQORWUieVX+QX5xa5G6/NFeGdshhcU5LpzR7R7HuZ9IiORR9
yI3CJNtiVCQBP0DKy4Mp8qGuVYIhZ5SZRy8jd1LnQO8MPIclJBntfe9avVO6wiEEdhi5Z8qZWW6F
+lDOShfbuGnAgzuqXh4wrObqzp/99wxsuLjFBZnU/xGMfq+Uu8XBqWjUFuti1h+AEvrDq80WG5tu
9GC7naceotYr/eRR/myeQT5y105/5DT/+wNsHnaRxiB9GSuMqJtkve/n+GaWUtQtRK+Ybd/8bYZL
gW11KgvoPeIVY1KvrB8q+7uZ/LjuE5ufD+1sPCbwkkaL5NwxMd1ldRm0PYLMCEDwhTaBqCLGDsDF
ATmxwLn+ELfd0PexFUDrANluUoZ1mbtpnID9o/OVqfCUrvu8vqrNnTuxyTn63Pa4yjMcyt7qAK4b
QLG+SD9pQgWsiBu9HTidDvo1aL0hxeaT+llStaaoEisgxs44rPsGWAiwPwJeNCM7ALl7Gaq1Ez+L
Gjybn+3ELvv7k3iqodiiLfkKquReeSa1EepEJPoqMsGdjLZYwChBsTSIUoLGEk0rSK//wWc6WQV3
NNQSVaikQX+xTPMbjJ45dKQ38ygoMbP/y8UBPLHCHYYcwogJiWFF7uYdZESP6VgfMzv381J7v76g
7T2zoLRimmgP8dVSs4NK7ErVOIw7q7khPYGYtrQQU1Rg3PIpUKch+8O6ABjhloQR2lxfVHSbWW1I
8YEQkN2GPoBqa4+Z3vEOgrQuvaGucmdlj6KuwcV+gg/PNkGNB1ZJ/JHvgBkdUQpt0XF5y1VorPFH
ouRAk0qHTIvfBPt5saFfthhJA9JwIGK4hdZVlHTWFKVhS83SnQ16nGUDs2Vt/pjk2XO9rkOQN9DV
rAbDr0aNOlGill7faMe+ZZDapvi7ZSPG5qx1rgrRYonSo2k2n2luqo4hk8VJ27b2SFmaj1JZTJ41
9cVNMY2JN4wrkBDoPjryOMhhb41g7E2a2JVt+TnpFDakn42ONcyPhZH8NQCa5CRJ/0EVkPiN7fyQ
0xwYs/m+1Kx7CVVhwTUk2hzu6u2StlPNGLQoi3FsIUSQqaKi/IYFTdLR/mfsFZcqc3KbxIUyNiRQ
8MSpluO/V7BG0wkoaNAfQIEEFADcVb7GbTXIbU4CKCF7a9IE8/DTajXRMeIjwJcVnB9JxgT1RfcS
yn11VJZTCtniBUxAmYzGvxWLwEIbmwWaadOwFCRgeC9ya1HicqoyQ8rDmLTzp2WUs7PUWSJM9C6a
33iGndjhuwuZpYMsqTFJYOWYsOqUvVVGng4BslQCi2vyJK3DobNqf7JEeg6CFX49nE5uHbW0SNOm
sBz3tltMjQMAr+BMX9zcWBww8agp4EIFbzd362gU3C9aquTh/yPtynblxpHlFwnQQm2vWkp19v3Y
Pi+C24t2iaJ2ff0NeeCxikUUb3t6MGg0DDiLVDKZzIyMIOSpSntvBMLQzILLYeU8V+asbCFut5Cl
AFNPztCgGcHuGSb97TaXYSfQVNPttyWovldBQQMZyuq8BLiZdW3QwGiguEHcPjWrLt2SuBhDiTaQ
EPFTX/tUPU0RSCMiEuifN76ICr3g4+XVirYU1F3gZQQ3FHr43HN2MhuQyq9jGRWtFrnK9I+RTNc6
7SR3n9gMAYUJuJvOCUWGbnbSMgZ/sFsV7lW5juA9q+w60PXw8npEXohipgUsD7J80+LS4lapc7Cy
1CjJKCkJ6xXTLnaxfLls5LyHh2+1t6Kffqt+LpuGAu0RNf+Z2tnYp1WQRzQeCBXwqpHdquePU01F
/8UAZNIFm+8ZTIj0yVQ3UIKNJh8ApezYQh4OGjO33a2BGWJ5MfQshwDPqQpPNC1oIuNfnFu0WmF1
ZjOlUa2Qqz7FNLeBR2PhfNNq932c8Tq3MeYt2dVzJ9mMosGr4wBoYJg93VXmmCthZZlH1DbXm9Zu
UHolLK9+zp1WRW3aqH7FSies2Wh4yLpdn1HAitKMdo+0NdNwdO8dy/DcYSyuLv824U+DniqSN2C1
zq6inJQVHcYkjxojG8GFAg4epuc/1FRGgHvuv9iDP4bOuiiWyRzqpHnkAEuzpJVPZZMxIgu46XBJ
gGYWaFLuJqoWe1RjaBJHtDdrz8nbF3XqJfU4iQ1+FZT2GUhgYSNz3Dtnbb62rfl2+YvITHDO0hML
8lWM5pGbFsdYqQIwJMsccjvGJ48DnAJgHC3HQvuOGLxD9lWPGZ7ULqF8htqa/rUMtoOevLpAk7/J
wYDnufOpOS6qsAUMxCDXK6NByb5UqvPFGNUksHN6sypUqsootIYnAuQvcN7OGHm1FphiZSmqiH7W
mZegj+ZnT6M3fbEGcGwATOVD9gJE6DLapfMKKkrTNpBNGJx3ARfj2w+z0bF0UjXc4tF4u008snAK
YpSma1865i34ghs2FVcOBM5wG3BPhDWe1jxpkQX/h44MLBg1ug8YAbsFSYo/y2o/gjitndjjsu7Y
KVs6DwnsMW9FK68+uM/jNeTcQP863y1gY7p8CgQ30alB7jTTqqEVU2FwieaDeegi9o/2ZIGeqYIu
ny55WgrO3H51v2pvu8zILq3GHg0ljab1gbnkOA2rJB05r5nAK3YfjD9ydkJyM6ZYj26C8KsPKLYQ
9ADAuY2oxZo/m4D6gMxMsuqvIMCf2OXOnrUoi0lz2O0DTHiDd3zs7xMwI7YBeFSfVegwMcMzm0Os
y/Jm6ZK5u3ZIlYzVBUzXn5eNqksL6oMSruQOI3UuRC2GKxYZ7rvMdTbP4ILbyYq3j737mAotwE+W
wOyWwgzbrPPBvu6lTAsyn9k2fmdmWkY7tzuYoTZkUhK/7mWk5qKAcrISLmHXjDJuHQYT07XrkY1b
IiAbsU6YX8s2TRA0T0xx8SSp24QoFCegJ/oxjW2/AMR1stxgzsp/f4eemOJCCTOKWmt6rEqFckzh
HFcm5SbbPOuSC3DBQ1/aQoW6R4Y7FEja6nlTeoJuLjRNPcdTfsqHcgRp5X5NBjeSiCta68ckg0E0
Ac3Z8kD45rPH1Wh8h33JpcShwlMNcka8q1QMRfBpLPyOmRXmE6OpezZBipayo6uWV5djsHBRDvJk
/IPV8U8OczA7dRlmlFtnI/V6YjyMGvH0ElQKdWS3eD/K9JuEXrizyAWrolSsWEGPO4JeQQysahlM
63BvoWpJ10WSZ4nD084YF57Axu1SDUOLUT94oFUDScpoewn5hMmSxrMjI1yOZnwck2tZGVvwIsZd
gJ7y9hYAuJSfzOinWO9qgq+3UF9dvPW2haaz36CWhZG+1gyVD4x2QSCbRnlzuPxNxfcqRtR0G0Mh
MM0ddCQTtJ4LrJpE1uJtotV4/r8Y16Y/vskVHIWxeGeNO+tJqoJDqYc11AdmVIaydbkvwc/701mN
2K/i+LuqDsaRpvP0EM+1rKcsXS0XCIDpnhOgabc0iV1RHVNlo6e/btypDPo0D7Kig6DEsn3Z37sL
oC13KZjLYJC6yX7VOnT0Wn8BGHPbmw4LunOQPaSeI0vnRcEAplBbwWgIcBG8I7OuIeDEr6IVNE5t
eq2Mb3MrGbkQ24AwDaRLoLrDD0PPhZHRRoONep1BeniFMrRtPF32TdGNCknw/9rgTv9amCQbSIrT
rzyo1bMK4OJlA0J3MNC5MTUM/UEhj3OHojcaCKFsvAwv9DX1G9/6gnG1W4YcPb2WyuCJbiEDtScH
eqwOThp31Kji9OZYlBVqG1NYf6/C9KAbHkXjvX5uDskhkQn/CbN0tCYsDVON2Ed+dM20xmUBX0IW
Ze+/uCGibIsp3WfzaZNcriNV9S/vqPCT7QxyuVZbDADG5yjf6Prdojm+2csYSsTfbGdi88xdnpUR
s6WYMYKJJ0w6XVv+GAcKGD/diF2zxpf12YWOvjPH5VysRRkhsWgWWfZ9qz7oueIpyY/Luyb9Tpxn
lD2zoOaObVOf+oC9ApTxIw2a3GuuhldwJqAnLfN8oS/ulsUFYmNO2qLKEZj6QPXVEJLcUA8Arlrz
1ds+KiPjVbLE7bDyKZhhG6oJUIaj4ZF6+tlcp5kYuNi2wt4UbjQlxQ+8wQ9QDg4VKT+J8KNtKm8q
ztpWIDs1xsDArGYa9hNkL15Rp3fFOt918/oXmavxxwyf5TWMFExjYxahDuuVxuCrBpMcKFEGhKQO
dWvkXQjlnGcUc+vqORTVIswA+mWrfC1X019mFo49k/W5hLcVKq8I6dDcRp+IO1ox02MMj8LY72+U
FPe2P6Jo8aD5zWE60mDMJE9t4XkmW03eMrdSMx8V19YG2beBTWTBAv7OLKTlkwsurhV6ZkVzlcmC
oiHKQfYGOdfXmDIoet5mUZqsxPToaia+Na9jOOvQRRoLcK9U5gSCWTrNEKXPtKBye0D9rM7yMzrO
fr0xk9uxTTARzMwg1+v2EZyK82O8QEHZto0QFexX1Yoh/V6nYIicLDWs6y5/6XRbi0hTWp6iz4kH
GlHVNxr1g+H94620HbwS5F1+3Q1tWCq2dWjMYQzNrsXwyNZu9gdjmd+s2LFeLh9P0YHZ7wl3YNAJ
ckFd2OMjGMUV6fQvTtP/bIgtkWE85z9D1WNnx+HyIUwBZUlmDpuHNZ7henHlvSuHw3zQfYDvoDlx
1F+q6Qb8yQf1WKgemnc/Zen2dmT4SIRWK4a50V/ATcx5edPmHZRBtlO7RhZ9acbMZ1DaI+atpieS
4yu6DzcRMBS6kV9rfJWnXXs3tmucKLAIeXXRedoku3JFr7K9CS5L0lrNaIZBRVVlSgO9ciLaXts1
2DWLt7VJwxrJ5mVfET6U9ha3u2V3A1ujY47DuGx5jOrTR7CL30/ReAPkWR/17yXeSQnGYx8lVkVb
iQsLfZOtO3H2xK0zLcVI6rw9VFzDNwcfRJLb+LoTAI+wgSECBhTIUXb/y8xuf75bLLIrNnUE95aW
tAFBu9lNQsnKRFcj5EAhfgAyNAPa16cmXC2r9Vx3cPt3tgPlkQYUvYP1lrlgTqYZYMTDHTEowFXj
faVqx6XpPlLgNy7/CtFFs/8RXFQkejasWq1nkYJqRVq3bzRLrrebE4Tmly2JYo0NPitgHkDvAvD2
6XLrfulKZ3ZxJrQmUNPcM01QESwy0SthrNmkgHGj2SDB4G+zUh+zKaMoif+HKKzzllDx6kP1g91u
jCxqi2IrvYGcOoNKnm+8F4EC4MwSXF7tryPOh5v9z+ASSHedXKfK8DNog343hMTSbwrg4kiAUPK0
bmd/CbSwCMD0eJM/GZj4gFobk80Ribx4/yO4PYfjVSg340cMqx6MGpq4jiS0a6JrdW+Cc6CipQsZ
y82E6WFWnN2CAy6yHpERYfwxgzKzz8L2Cptt+NjpyZsVT66+uIWeS5vN3WN1BVRbD2xUtEDoTA+h
h+eZoRnph9j7/6hQCCuyu0XzKBSgDxMr39ouG6PFGhhH52qDcKu3+jGWhQnRvbW3xWXQdZqURmzA
lhrFd937/Fo9IeBfNbfjtXqoEXU3mUFFjtcQn9f/nqNfCdwuAkJpdWhA9YDzCr0l6BquR3rD6HX+
ad1c9617TEN38qQwEaHLYhwfgCv8D1nDaZiApLgx9C3ivXJcfNYd69eNSa6IlDHQBz/50gR1JOM1
lNnk7lJ3sKxkLhCJm8y+sir3zVSI7JwItxMUQ+ZW7juXi2gMkERbnb2VoLSD5bfR3N1s3Y8FhF1V
7ZlXE/DBj1QShoTOs7O6rXz3EXXHwbR8DatZcT0vY2AOmr82hZc6EyBtmiTEi4PBzty2CTtzOVES
tZxhjn22mNfed8/25/9c1uaH9mE8rf5wBQ1qDMsc07dFlqEI7zKQpaPlCxFYTLmfWtdGYkxK36ZR
Sl9XKyTay5je6aUEUSt0lj9WTC6XXSet0WaUp6NEhwTzUHhExicufJABQ/t7ISZ3Bno378rWhYnN
V/osbKCbekxCADNuwSI++kXy/9AxFTqoDYJUzEluiFPurphaZ4idusojYvZvJAWBy0Bf+qSRbJ/w
4Wfv7HAXhtOBRMaxt/1Th1CrILeRZdV14/TPaoIZdqf21aK6jUc70Pp0ADlAVXiaO5Lnyxe02Fk2
SiQUBaBQxrkqdJ6zDO+7NLIM6zbX7h2tiKakDKz5L0qmtv3HEJcIDADFgSAeZ0LFmD7JvtnKp9go
JQ8O8a46JhoigDWci3uMhA3OaNY5XnLDrYtOjd8myVM/Noe6+WT0perF7hqA8CTsMjxH0iTUnULW
cBO6EEoIGJnA+TuTLLCZ7gwAlOSQRyegX2y+WiypUDdbosvf7lcpm7/vgVTaZg4wOgUIy+lJd1mT
5yQf0sit9St3zZ4WC2cd/wmiM9TdfXXSjjlGwVdafS5nEPVMNKjHFUDb0Rvj4pDVkPpTE3SzNGCu
ip9EbaPVsX1XT29pwz6NbIFWpnsHF33R3AKiLOqkevO0HJFpPJuzHao6YLR2IgmgotjiWDaeOSCw
OmdGzpRWQRU1B0IsHUJ1WPxJIzJPOX84OrheNxZHXLKQPuPOuTmoCZgDtDRS0RK3boz4bnaOm5pQ
erB9G7WGzOuaL3p5UICS8SnAdzI3OV/l6S/gIgBbuq4Fq34aLW7uFwv4wDTJq0aQoJ2a4BxEbToQ
JGdWjgRNfd8wOMQbgHRwbuSoJslqeNDIPNdANwwGsGBWZXmjDXKCfPp02eHPg9XJcvh6wqR0Q7I4
+gZMUUYvUVXm271zjZ5a5mkDk2HrAcnDATo9YKcGuYwIHKMDMTTgI8G71d+avVVHydLm4QK9N3+c
Vxv1Y2NIfqoJ6YZw7foSXHJ1XH/kuoYRPAVSmlXMyqtWZ+lxceoaqZz2OtYDWEsdlCfmVZ+hSdeX
frMJ184QqjkYdYPCbfuzmdoXZ2Gfqqp7Hcj4iEOr4sozHA+iRQ+dy1SQcBWHalJvBts4qFWaBa2a
Gq9mstQhFFWOS+fiN2MsNwWDjr5ihmEelcE3KuDRAV5/1cchD3JzND23oKARmpT7uMmOKLKFM9Rw
u3TSgiRdbqrSvK22p6pLVc1frAEpPqR/jivm+oOhqd6WFci5DoyOg9vY3jC3aaioLNRjhFmXPrsg
iKtnwIDNFLKorX3PkuTBGstPrjl1D1pdkSAd2BRiCOFLM6/sKh6c77GCvwr8GfUtm960ZA7VfgyN
+tvcJTekM3JARtmmZVKwWxMS0hjbdD/rSxk0ydoebKpVd1rfQOp3LG71GPws/fr5sjOKHd5EYQtU
rSZum9PgG4/ZWK2YRol0lJtYtUaJyYLLJrYYdO5+f0xwd6ZaKkx39T6PVGh7DCPYZugXeIHXI22d
a8W7bO382oKzGwYokRyQ3Jp826Cp4l6ZWoBeqFOA/f7FYm2wFK7EinDb/ljhuwZuMSyKsax5lND5
cRryD62jElJ40bZBaRJaqzpqjja/kIloa2IkCq4PV6eHxp6c0HSrq1jTI1qBaGIEQ8HlrRNgGACx
NNE8cNG6R22Hc4amBa1VlSCWF6hyrLq3rF4BdaTM7xqPhdtUM/NHM5iOsnKuaDv3hnkXYWqVOAtC
IllxwKZ0ANa3sWrJ+kSusbfCXZZlma5OMkOCe4a6MYM1h0BiclBk77RfUuy8xwNb44JsDC1b+6wd
UtJhMciaRu1PJwLcimIW3S/eNcMjH8a38XaD7Lmh+aF/Zz/NzrPvQL5YRMvDEChRuQEKJCdQ0Jvc
sLO2iWE+yzbOxjVA5zM5CTPyyASfxopiXWX5DDJYd2rsbjxluRYuadoEMQW555DV6TV0TlnU4QV8
mJx4+qo7zShJpYX+vftN3DfvakCrTGXAb2LJ/TANX/VpeFVYYXv6rL6tXf39sncLvz7o0iDeii7c
mUzsGpeUVCmObEva0E60xoeQw1GDFLXEzUT3+8bL9tuQfhpScbNjGE+Jcd3OH5l9qMp/hl7z6ll2
aGR2uBJ+ripqTQsVMH9KrzLjBpw8fjpBSTuXRCKZoe307goBjpmtteLAUNvQH3W5oB5XxY2nKf27
U1PZ+IgoFqCGDjZWzHKD8Io7pVlVg0l3rIrIjR9S9qmsvv17P4Bw78b0+gsoxm2bOmcalA3x93eQ
1QCSFeSf77GUXFWUc+2tcHtmZoOaLqmNB7gFhqRkApMcMear2GIY2CORCtxNgDFsE1VV1UHEKyQl
KpG3A6SCwSJ3I3vhW/VLZbdDmgBhUbaalyq3I8VMmJlJ3h+iM7y3wrm6yuqYaG1WRC0FZ2ustz+T
ItY2rtHcs0ui+Ch2fv2Lz7dbGPf5DGb1NmCSRcS6ooH8ovp1nbv7qVNkMwdCP4ScNconv178nB+u
pNGmnpQFWowVRi31EUwQmf56eTW/isv8VQE3/68V7vlUJmQyjAE7qHdZWGjxfaEpr/MA7uGErd8c
UgPc3ZLA6uKH2ox/XLYuOth749zDCkCPfJl0AEiG5kdR3fck8/VZ8+JGJr52eS+RYZxGEExg58Xa
4qOpTfJBXbzZOxk1tsjhkfL9wiAAbMHfuSnJVDfWM1wnCcBEpEKmYkyjt4yg9r28a6LFoDJjmKhn
Q+GA1x+yiWWRLp/hGOlT7rw6lYxpTLSUnQFeeSihS0yytS0iG9TE9TB7eHoEwyyJg8JlYKRqa1ci
2vK4sraqLF0Z0RKI1faIGlMobSeJ3Gsb2vptYfsFu3vDwLuQVgvakUSboHHBiptYSx6J1b/YI5EB
X4SbtjO2/fnOWNqtRpErQxFRAhYp5DLZUIesZZKKp8zMtuadGVozywJqGt2FEX2+0f2JfPmLWq2S
K1dU19lvHRd8NDKPaalogHb1kAscirsKPJMjRrlad/BdTJfnun39F26920AuEtnr75VNpnE1l7EP
LfD3yyZkm8fFG9NoMhAJY/MQlA7l8sMam+t6rCSX0mUrGGE//URtnZd9q+L4lOujlTWhnqlekrHj
5bUIH0t/PhEQaqdmzGZRmdlPEEdQFBRIRvOfscsQdQqUKAvI6IJw9Flt3CNRlYfezq8NvXi02VJ6
WaF9WjvlZiHa/Wgqkt8lupL3P4u7kl3bzfVcxR4rTXO7WMAgaR2Y+Q4WQwO1ryXIL5E1sASgfIRR
cOsMpKeUeASNsYUEYAPGrLX2Qh0d0mWO0vmzodzMpQxMJ/q6O4v8y1tBZjXVLur7hgMqTdV5Levm
va6ZpHgril3IEPFYQlUEz14uzUj1YhqJTYqoz96a7FrJaah0PxqXSoqboiiMUWkU+k2U2C3ei0C7
v+SOYiKdcdvZy9th8MaUSB+AmzPyacbeDOcVa292RelsfRrTPIwUrGRdE0xK63hapt/bzmQA+2h+
67suCZmd/xhHWRVXvFAkonh8CdQG3K5iq1vYSOuRNQbm2BRfcq20JXFT6B3gcsGnwb1zBrWclRJl
n9TF1WmT9zZPOyCLXc23QfstOf4Cz4fMG/BgmLLG05rPNzYCu0Xp2jwqbLI+qLmJ2arayJLnno3L
S2kVyQ1NFKhHtdXiN1CweMwNdQUjfwxxaTQNtGs2mAzPwgGF+riJg9U1OvDyDbJuksCTT34oF9fT
OLdafNc8AqF76BqLl+emV5ufKxJLzozgE8MS+h14tVmgQtk+zu5uVFxaNKY655FljbXHZudqblFq
vbzx4uX8MbL9+c5IqrrtkvU6qolx/4+a/tQRfMcauomaFf2FJbyfgKjCUO4ZWK1RJmYn9pRHQ0n0
w7o4x1hHP2Wg5EbBnPO/X5cNwgS0u7dh4zMA2aKsVsOcokSRvgXRKUNNOm4+ytZ5cW0Z78T2yblo
cGKLc4naUttWa4s86p3qTkmV1uucGKM7k/XABjTSrKJ4cVMi2U/B2QRtDdCxxDTxLv3Fr7v7cmzo
miWewSGfzvnnlLHnaiCWPye15AYU2tnIO6CTY2tn4mNUUYcW9fcycjOAkZX0SYG3F+0gQygI3B2D
JS5mg4AMxcAed0XUfewuXbICZ6+22XEkLvBK1iKTcxb4+4mV7Vfsdm0uk34e1QF+UYLKtykh49G3
zs9Bdb/0lvt82eUFQc3GGA16iaBYgdPzCdrcZtncolSfGU6wOJ1fgtiuWb+ai3XbZL0kXmx/G++G
SBnQ58bUI0Zbtl+zWxpz8PjMXIRQt65Hr1xAxdOp6hc7098qLXua5uLYjyPz6aBIS90iJwFZk44O
EoiUzprOhokmv2YzGmWlxwBdDOihe1NAYu1+ABJ1a/6oDpmUtlP4LSGSi9veIJjv5xY8anZcuS2a
LUnZjX43rY63MiOwVXq93Sd/cQ7AnQFDkPiBYhP3Ma1VcYu4R4G1jcugn3+UjnaTa7LhQ+FGAmaC
QwD2XpSaTj/iOIMNdcyMMsL7wU/rRwVzLkojK92fS8rhIIMFBGAIrAecK9vP2PkKBSfxSsoRYT8j
1Wez0qgflyXGXsw+eUCxa74zBugNJkZs+qCWVwKKZom3NeaR+y/WHcP8243R99WNg/wqGgaLXKOI
q1yrzJWi/LZsinfs/Y/l7ii9y9XRQmIXoXfHrkenuifoqvhmzVR/NuPxtnRM6nddZoHRU1mv5jUj
zzRNnOM8rprEDUTtc3SPMBqHJSLD5FPMWS9ZY1ZTFWW0ghpObWg+M5PrJMk/T7V66BhELjCat5Du
FonbBPk13QouxxWRk+x/Apd+Nj2xVx2Ka5GRs/tV0aI1Ne46ZXq5bEa6VC4kZ9m0LouFSnVNvrf1
tQom4GaYwimLAwOY7xq8uCy9MjIr6BVDskZR7MRVAA5VYK4AxuWOmzNVU9bXDjxUswIwa4RN/6A6
/3TJfE1lQG/R1YOpShujD6AYg2LW6WlIHbbkTYzT4Dj02lToY9ylb5f3UhSrUCFH9RmG3DM+0Mw2
nKK24cMjpl9spwoq/LtSAQQ0JY0gkXPsLXE3XNYpqd3ayOjy2vDzGfD8RD3O7SxJsLakhj+UIIcC
Rw66wpvsxOmexYNd9SRHDwwwoSnEq3UCKIfNPkRXsqAoQK2rmkv1OGroUl/eSpFnbFKUwABiRBUi
hKeWzWEyVj0xAecy87tmNP2avjfmHEJ51EsMyXEX7ib6xhvP+6Yqw7mG60wTUJvYzUSJ/SR5GZPZ
GyoZd4zQAXdW+AgX07ltcxy0OCeVnzHdeHCVxPl8eeOEn0w3N5VeGzqvv9qau6APVAyB3hDWkilo
lACdOYxPtYF0gUY0aT3UAbzLBsWb98cg54qFbq8EKQhSfjzpFoDC8C5u5+//mxHuCylTRfRGw6om
tbqtK2BbiXG9yV3/b2a4T8R6x6DLCjPj8olqy1XRUQ95lsTdxI7wZ8c43zaS1h4hM4wkYzYwvQO/
CIZlkBwg4WcxcHjwfNAchKPTA1RitqbqFxjRJkD5qi4EgsqPpXOaQjPgg0Xw1qFAeIZWz9oMAmJI
z4YxBwBhSF7zzG78ibZvf/Fpdoa467CGquXCGoSiWFuCmJAAefehJaPEA4RJE3oh/10Qdx0S4AHW
psWVNB7oVdcfgKMGEjCsbl12cDDDQY5D52tv7ZcyzA6yUfnto5zF253xzXN2h9fSh4UMKzqgtUWe
7UH1W6ZFWu58KCYwujl4YiAh462ZK6nQC6Ptzi5/vJLZwu0Iu8A3fLUT/bU07KhZlzWYUGODiy4S
g9tB4he6KXhukwD6OdqDtXWHblG8HbTmmvbGs16rob2oIbPM58uOIwqIe1Pbn+/2tBnGrCtQ4Y1K
g4Zpn14vJUZQS60ZvCVffSAP/KTVny4bFfUokdz/WSB3/CzFUlcb8M5oLboAWxOS3PxAefl+bVnt
2blzg1mBkFoNiIUSiXHRmdzZ5odN05yCjXbB5gIKndw0yahDBcCZn4zeWSXBXxTK9qa4gj5d2nY2
E5yWCsJhS9mES7uEl7dSdCb2JriD33Ylq9LtQMaL7eMh6Cvda1k95wQUzQu7tYFM6dTvl22Kl4Wy
kmYSQMn4hKDMpwwz58g+6m7+CnKHsDQUSetI/JH+mOCuGhd0LCVSSNRC8awZXRKwJnJlsmSicw0h
bIjk4aSdY5hauy+UOlHwjOnJC9j+KxRD6rsxIY9Zv4R0kfXDBIMbgBkAwoWJfcgrngGGsr6hNZKc
rbdBArNyQCWk3ScN2PEq/RFUP6ln1u2hyD9aVb9NjP6zWjs/qiw9VN36N+d+91M4v4mzbohbmgIj
pq/fNWpCmabsrzeK0zSfqIchq8ardRk5uzCwQZYb894OMc8KdrNtLrPGsAE55tjxgMqZ1w9GkBvL
sa8m2Zi1eL935jgvAl4FTQkdgn0sqN61g1EBxg4NAoxVsfqXbKycOVZ4NiwoHqDqJWDZMXJKSNYi
sllgdFnN+SOhMl4Q4dnYmdh+wi5k0yEd1FjBkddajHFAPgUsAYUrU1IVXgzAu1rbHMA5lY/WtBbK
IwiTyCLyxxHUNX6XLtahTgwMbpo1qHArJxib1vx5ObqIl/fHMOeZEExTBjcHh5A7PablT9IFcyIr
1om+Eib9sTYAcc6Hje2pG1aSAK9pjKC+NyfQJJule/XvF4Lhfhf5Et5NZ6OKlb2iiKKh2j9Z4DAk
7qex0q8xCvsXoXJvhtsvqNfpqJjBTBEDWqlpgCjPuELfLy9GdM+44FzCP6hxng3PTQto4s1pRn0A
fHJeblhtpLGq3AoiKWaoFYVEigaFvAEMGDeaNY+Hy/ZFXgHGLDTGgCs/n8fSUHGnuQoI5GpmwNtj
hdNXBwoSf2EFUE40nMBIcTahpMWOgrI+qtU9g5aZ2oMBnX6nTJFspiXI79w/Zng4jrvqqOysqKMW
qKPq81WvYkg3vmrbT//Tclwu/2CGkg9GDNTwqmlB38feYD2PfxOO9ovh/C8G7BIzFARIazeDVFTT
rGFaZqO3GqqME0F0Ye9Nca8PFMMGtrSbq0P8a4zxdSBYugy4rUq/TheJMwi/EoIDmvVwesJz4E2Q
puuhTo9QPnT3iuVEgCugneB8r+NKRs4mDEg7W1wanrp1YSS6i3FDy7mZFILZ6fjfAyvsTTv693K4
nJtiwGRpqZ1GWmpGXdL/owMRFAxu+9St+oem9zLYrYARxIFF8CsbOnKss3bWiCEeoARwZjHWA/R/
oIDlYKO6I4HdYd6qwscLyyJoe08GmBZGi51l7opM3LhWko4gK84+mTUYUQGeGTMZUZzQHXdWtl+x
u4hHa3C6QYGDTLHqb8B/MvWHfDhoXYbJXxncQbyd6INjQhy05WfAjtTpCZS1TEx5QawlVO2gW7yN
Yjk91EeVPhXEN30MTv+QbaZwmYAlgg8PMeushecuRmbn1VZbGPWgY99I4/j9gO9W3Krkb55MmCb4
bYynTh8ADF8Uhjq0pbcLJrrY+5zLKkzCg72zwYXF2WzzHNVOTCi1DaZPoKzXTCjKqV9qpQkuR2BR
FrVfDhccTT2eR2Zsxaw4ibrumzM8ZE4JPqfKnzXHo4YhqUkLKzR7i1yMbECOAPzPVtkqDuWVdqCP
xm13h4pqlOfg+FM/QyP7qXlZjrX/N/VB19VcDPq4UHniewiaoa+QL0PKmBTjjQqOmma0P1ejjF9N
MMyMuAKJJ3V7Q22IqtNz1xt5DzFeHATMLV3RQwVu0i5wo9wrgtqXzUSIrDkYYALZmuuCIY6vtY9N
A8ybWYA1bkn9YqwewHvxAWmmCNN14aQn95VbQWWoqTx9rN6yGkxHOvmLiTd0QnHmN2WIrcd8uuSh
X+3YSHAGGR09CwDHjLieO1912auLCcvLTis48A4UXaEqBYoBWONuCoD6Fb1E3z5SKF7gzrL+UIqx
xJBhRoNJbzMUF7vvl00KjuTeJI/Bs/TCqMk2kDsv3c+qx3SYZRQfQ97cVpBXPVw2JrhsYQzsPyo2
FG21bf27uG3lGlO1eOvpTT8w9u2ZSy459sIdtJBD6sClbFylpxamesMpZ3jnliMun+kjYQo6Daq3
rvg/uBMur0doDWcOHVmcPQAtTq1RzW5Ho8TmTcldr2beBOTNmk9evibQIK+iy9YEdysm+NFBQLdQ
Bc6e271qXWLTpHhUN7llAXvamPoD1br40R5S9+tf2HLQU9+A8fqZ7oviuOlKE7QMITv7OCT9g4bJ
DKidyYiQRONsDjRt0IIE7gYSofz5SjoMRhAGHpkkKF2vBtFzE015AIZzN0pATVT7svRI6PK/+lCb
5guAWqdfDa80SwGRYxaB9MpjaD3MMfWI+WB3MviyeHUulIlReHIhFMd9MtoqpZJoWB0LnNQ3DkZA
HXC8eJgYjLSwiQ9pKNOTFVx8gMD8MckltFXlWEXFQJA6AMXbl2/VFIOgEqSJxRtLE88qZQMhQrfE
44DgUQ+sDV+UTJnNqnYrvNi56sGZfNKVYV3akrMmjB07M9tX3cWOlk7FqtG6iND8BRNC1X4elUyR
XOJiIw6By6NgiKm1UyPdymhrmvheaAD7S/eF9u+Xz9XmW1yDAV/nj4HtB+xWYde1OygboB0jDr6i
AcNh/KNhTgdafr4CCoEMioGJbOhP9IVAQu9i+JioGJbjVlUZ2QxYKrQRLdbdNOr8Ui5HLVv+fTkE
ZxhujhkRuDo/pkapYtiKjqUV5ac2f4+VOzpIIMGikwsDCO/b2/YMoq5TFKUtvcPudeaxJyhgJrSO
SMmeW2CHJK9QkS9gmgaxacvqzl6hChm6Pq2wHgcE9MTJge/6uOwMou+yt8Ad1VQdOsUG2j6iGSab
MqAdfQh8v2utLhtDEgWFvSUu5Gmu2+NRiLUYag3Vg7n0oYrmx3QKMXkfbmiKQEmGvzhMf4yeTYp1
TgqqsglG2xV6Jmnmta2MVFA0uQG+md8fyeQBUT3kYMlaYFSoC0H4lv4faVe2HKmubL+ICCaBeAWq
qCrPbrft9gvRw24GgZgR8PV3sSPO6bLMLUX7vLYjOksilUplrlzr1go7Zz9ELFpp34hxg6mrBlqc
12o5oS1fXMti8HmIz4MtVzrJMVJht8XqZsJDHfA/K8ZsyuiFlfGJ8UUs8o8pKfTNY4ZqmFcBCW85
O82b7wyD/X2N4p0J6aJaiikGp1yNqb60gMoCzWdfd9iLJYAB0E2GMNU7ioC+7f1/ViV5fx9r0Gut
EGtLezyg3xqY0C5ln0BOvluY5PnDysVadDOLjNj1ufiZdTejMg/cXAracesEgb6qVr/3hdxI3bRM
dOxecSvoc5Vex+63T8QKOBtuWBeXrJwn8TZhGl7ooK3U21/urImXODGH67nJivCypU3HXuvzAOrA
teX0KM+s0rRLG/yCEwkzA3OXte0LYJVL29hfNrX5xLMxfQliKnOdnJHcrmbtSPUFE07Am5gQ2shO
TlhdT4WPgooPlfRPRCSCGs76pAQDqby0mIwcbMNJEXVu/xWwp98mWDguL2nr1sALDvTZeLNCSlBa
0VpFGZD04TuRX679lrefSMzP/3/p1IxDDfClm4JKxMkekMWAGtH8FbNc8WU2l4EPAkQ86ocfuGR6
2jpC51hGul5Nnlt9TeNO4WibX5/YKG6t8RMwNykvcUrTy+wR9I42egzCN7mHqfbZaatvJVoqEF5x
lu4lMTLP8d1ZgCeqGJN9kRRAj1l2nEG1Qy8SRRazdVNifgsVDpw16O9JR9lLcs1rDbDtzSPoxtGO
7kGYlLqhJrJd7XXLzhwSM6jHQbUZq2PImeGZYbk1QbKO0CTHW3LlFvQOPdjXp2Pi7bRd+kLvqG/6
jRaOkVrjc3vFFF05Fwh6tOXfBy9AemYGeXDwZGnGKW5+0nQATD8L0wJ11V74dfl4+YhsBRjMFIHf
D1B2x5Zvzg59niS3MUFui/E1EUYJfuMbz7jJdP1TltBSQjVch4yp5GAtgYwiYzn4GjEXM7Ik6Kdf
TfJdK7JP3GXr4MN/DK3H6Sytt4a0BR8VSlVe7Wk+dSA3ViW/u2a8v7x1WxfNyncB0ATqAB8GVcHD
EBsTpOqibtGnwK2txM+N+huftEQRAFY/l90RM/h4t6IKgPRXepfbAhcDHpIMhfziICxj1xKO1/LC
UQkYdrgO8HpNDto8PX1ihdSz1+kzF9Ps0vlL0D6omxk8Bs4M3oSyDvvxEbKUitO2ddhwtv9j5V+Y
1Nn36usYk2eggY4mHfJK0JPSOxDR2ZB5Kh/cWNXR34JDrKHkv+akzcyF68ami1xRP4nCn67toDwl
pwxwiKwLTV+HAqWqyLFZeji3KRXAhV2CnHiEzVVYUDxy7muPGE+M+K6+6bif7FWDqauPf/SYP4uU
D5upTZ0NoWwQdxpglGGQcWiq9OWye2wawQQfThq88iMCSusrT6RrdaNnvukc8+zLZQObJ+zMwBq8
zjwjoX2Pycc1OJErzfG+dGzxu3j4ednK5tfx8BRHNR2g/w9BFwskfMjwdcrKiYPJgdixsYC7I/s2
687BEuUbRgf3w9zsEjN+8HRm+ZNpRA385fIv2dpQMHW6q/YvRnHkknNSlBDBs/FDqoqFJEmDzlE8
2jd2FNrRuOOhNmMAcyudaGZWDVBgAkvt9uliB4ze4JArHusbB/rciNy9snpj8saVndoAR1xi3Ywg
5zGGbD87R8hAKoxtzabAmgdmOpTpwcK1/pozJ8G7vUN9YoSTOO0+I2YIXMsr/mnnZc0RqlJPRj+H
1Gt/6rgVgjFVJSkbN6iHSRETMGoTs32y/Srn8zKKBI1BPG1OcdeKkBCn9PURTKjObC+KpGjDSd7Z
k5JOlo+unXNMtqflArq6dYSEJ5+giUaPRV91Zwh6TGCseb+rxE4qqFAj5+xqjM7npC99Ns8hcZZr
2taqOabNNQHnCztABn644EwNOUGmgUOMiaT62nlFs3doz4+Xj9fGNbrS/qGhg2QS5TfJ+XOSm0nF
MShrGMDXVjqaHvokuquyGoKGLaXvGQX0EObB8R0IhigcdXONGBZbd9P9OPbMzXphdRmDQNmoosHq
or4eFAv86IoAVWLq0sAUJOTtZFfMuwWzzTQvoLn0K3dBsVBHhP+ARkdweSM/LgV2cKgwv4RWwYcx
qaLSHQMITlSZGxqk7Y94VgR+lQEp8LupIaq6xdsQT9LdaJEgdae/JojAGoC/BDIN4fbDPE/KU0+z
Osxqz2MRNPTrAuTC5V3a/BogM1o1rtd3tZRokETQvqg6NILHMd052SiORu+5gYWB7R1eTipum49h
FytamfPXxjOKH5J7G96avtOpiECheawgvOQDmH+07f6GZWDl091YcXF+vExWg5Dvxg5ChkDWZoH0
C51sIYqotGYoh2P+MnH57ym3bMVObhlCXMCMGcIsQQX4fTDKQM86UNECkCb6GyTK9243nXhlKgYO
trwOeFw8hNA8AXWqtIH2QmtSuGgv15SnEdeMxo/T3FQsZsstMENP1h4AaqVyFIr7EYBfUENG8PE3
z4lDqhlvs06v5/zvqajAPotWqIOePdCKcv2jXEynrDNAc8w4+1anhGHAh/49QAxQRABIUQ8DXPVD
aR4M6kWTWICjUU34mZUFNeM7t4vR5Pp2+UBtuAFmMtcaL0hobZyr924AKbSWuhOQFVPmJH5bV/w4
5clv0epcccduWEJHA3C3dWIJIjmSJzj1QMFBgO4u61ByKGgI+R9f0EoRR9f/5n2WjjYQiojrCAFx
QK/7fkEDQ1Y61gVoo7v8zpy6PKxa60prO+onBblakuyLkyfHjHcqNt8NJ0SygtgH0D/e4nK1R6up
OZHW4pFp6GPYgas989zjBI07X1i24rttGwMDPQD/gBvIgSk13KRw7R6vnzo7FQw8htYNOOlPpqvi
Tdw4wWsO9h9Lct1GJ9RZ8tVSMZODk5s3Se98xjXOTEhOWNMKWKYETY6huqX1d60vMN/6dtnRNyaD
4BhnRsz3juFk/SQSA+vQwD1qNtepZgYkdXaCvuUiD4bxC8Ecb86/X7a7cYOgSLoyhOJi/Ehdx0t4
q2OuH8pd9hAbDpNuDhyg2/rU8W1rUbj/5tc6M7f+/Sxzn9OpdjGBwSB2lfsd/95kqmfwpuedWZAu
jhiMi8NcxjxaRhpo/BjXSdCW96igXt441UrW33G2krrqcG+0Ho+8prgmVXKYUO5S3BvbTnG2GOmh
ky+evZLoox+edOmBDaFtdn5NjXvT7aE4Tu4Sh99Z3vDPWGUqaIhqI+VHhwVBBFxlUMW1dIz6OXeN
gZlHOzsUcbG7vJcqU1LsJawnvdm6PJrcNkWUb752C6ikedLf0qZTlXo3I/1/N/UDqZ01k9i11uNM
pnsLFe9x+MlErPh0l93jQ6WwYvqgswnnau6yoJm+Mqb9T5uGZExywMJtGkeHhbbUDuVaLS469mh0
Q8BjFcuRasukWys3yprOJXxh6LN9OtYHPmU3vegUt8bWpqHbgeIqlIo+zjpoczeVYsGSiM2CymN+
Nv9z2dM2LWAwykHVAP1COUFns0YoyyyGwmPyMxmnp8Erf182sXXDm6AmQD0fud6HUQqtFiSOXcoj
XllkZ3t58crqwdcyyLxxx4r6nPD9XDYi0mfPU/SRtz7UmXH5Niz5Snm1JFWUuj8X96STn2OtuDE2
txDc9iBnJQBWyf2K2ZkGy9DQbB06CPVlQ9ijY315CzdXcWZCiq06z4Y8Hgw03JkeFfpDDZg5zWqF
FdVCpODKiZllI8dCXJc/lZZxWzFVYFMtRIqhhplWwqQLqnvOHC3iN0/5fins8PJ2bQDkQZ11tl9S
/NQb3mioVKEe9jCGZX3VVDt7Crs37XGo/ea6vXXRShOv5oEcL1tWrE9Gr07ohGLiJa0ic7qb+58D
JGonT8FpsiFc+W51lpR+WcwuwNeM7yQC5Kq8O1o/8zQsixd+L6KCBexm2OvFHpM3ZRmUYyS6YzYG
ySrRE6pA0Vvp0tlOW1LQBUC3Xno0LaB70Fw52rPbWtCwHQJXuy1E9b85qNw+cyq9IvPqPZBq2tVE
D8ZCNQ+4oUz3fnPXQ3KWxkAsoM0MDtfRDkWx9+7YY7X8O6yi7cTeo0Fx2+60f/rf9r7c80AlMLh1
8UPdQYeeN3i1gF57bz0FjNCMV8ctRV75y7R81zTwvnK6Z7qtGjXa/nZ/jElLNZNY6K1m4jBq42HQ
gAEdO583zCdpGhjFtPvM2fhjbj07ZztrkcXWuxjmXFfb8/7WKGIk1Q+XjWzHsD9GpEjZa4UA8TSM
DCCNT9ur1lIUSLZP+B8DUpAkLG/jpsOFqVVmeTtloAizjCXbowQwP15ey/8Txv7YkqLlsiy0jxt4
Q/xWpDud7JtbDPmEIEFjvu4etHjn7OsIXcJSURjczLORE6zMQgQzvzIwXh9NAOUyF88S4OQiMXHr
NuYENBdZUzxNQD3e9EnyA0Ln1RUrKhpNYnT2itWvoUOuDKyc0SioYDwWu/DeX9qClqRylgZhTkCZ
Nw2qr9B998mJ77TQUez11me1sVBU/FHKAbvre2NjmnPmWHkVZYl9KGeIw1b2ALhy8YnSF6gjCaAG
qBvrH7KhShdYLDNQn24y35lI4OR6EGsAJGaKPtfqHfL+nVmSUx8y8I56AhySLPfuXbdeMIiJmj+3
u/vEML/YJntwrEkF1Pk3Y7xkVvpsaWc7HEOMRUT8Ydc+0WQ/2QHaCcYre3QPGO1vvrZX2XX73PQH
OkaLtxuAPw+JIgfYCgTnq1+96zzaxL1VGDkpIt4vxb4pHO3oeEmqsLLReQNh4J/PKQdsULYRSBtg
Blo/rS5q/CgD23ejKUpP6Sciz7mpdcVnK5rMVnMWMLlGmWA74Vb7hYrbuKg+UbN/tyQpTve8TFBj
1teSduV39oPrccwzXnWNCgS89TA4X5AUq+M50/LRg6F5cVK/NNhvzN/XoIrN8bLnDyioe0HSQkVl
NhYV6aPKPaQwboDQwMOgDA5HNvlGf1V71FfEr62Qcr48KXrnhjswYeEgOA/d92q37KEdcMjv2kO7
E8XeDDFqkfgqROGWURefz8KwESTX5KqtOySAoDkVnMQuHsXY7127ummmVhFbtlKHtX0OeVbDQ1Fd
2j7LAv91UqCN2JqgpM/0ufG9Fu6it9OrDUlaf2Km4k7aCmfnJqXtTBp9TCyDwy2Leh/nemjmdihc
zLp20L+BRF9RqirEW06yshNRcN2BPlkutrM0n6qKpmAVTsY0sOesgBCSGyuuHpUVKVJpVWGhyo03
Q6N3X7t8CF2qUuzZAPyA/Xmd2UU7G404uXtUjR4ZqIXvxdtKR8eX2VcErKgB080qiMVU+cVgTgHQ
hUDiz/lvpkElhk/TYwyJ4QDUa32YcOMzj4fzXyUFgI6byYLcqYomtIR7Yu0Ih07hZCMGQPppJGly
uHwmN0/H2TZIbmsnbWtqtdVERP9SVG3gFVceeOo/YcRFxwTTr+hpyFdCbKUNSG3AqsyYYQTFXDyP
M/veOkW7u2xo03HODK1/P7sQFkxqVNSAIfQbDt5kQrDbVZSn1y8gX+bonv13LeuGnplo0PjUp2pG
+YRqqLm3M5zUAKCwcK+cxlVccFv3wbkxyR3GPM4xfjJWEZSdIBI6fAHCKA8EhjL9vjevY0eLSla/
OakKFLG9kTaKU46Llqc8KVQ0RZ8Xk11hDLQLWWVfJTl5ufytNj0PDULU8ci/ndX3G8mrgUHcLAbq
IU+GsGC8D/JkmXZ8UrItbMbmP6bkGkRlj4As2noVUa87YTIP9G31wRrTq6xJ90nb/f77lYGLYMVr
YWkfRgqdtJ6nGFPPkTkss584y28gT549USjKHluueG5Hiv+kpqQs+YjrtMhCgGUCp32wFgYRVsXd
tvWpzg1JxaMs0+gwDCkeVrbVhDkf62CilbXLIfYSfWLv0GUCLTpdGU+lV8e8WAMBeKqOJhBb+qNG
Tvbk3qF+pGqcbG4eYPrgH1plEeUaZQui07jL8Oqwexoa83M1nTCFAs4oxd5tHWGAgf9rRzrCpDGs
iq5p1TDYhT9WoFEomuGGs/zXMI9RvzSlT4G98/lsf+Llf25aiu1Va1ejgen0KJmyMNaWwBIqHYWt
OHFuQnLBOLWsvDSxOoNPV+5iQDBVRVi8WX8CzNm1VzSJibHZ94HCXhx9Hk1wnuOprX1dFWTQ40rn
ewuJyr7F5FrYtsQOO3TCDnrWej4mEEHySRKoCXfWS+5m7ksGyN0DdDlxsZpNERQszaBm17Fr4MLs
42UX3hiaQGaEAaBVTF4nH17OU1+N1VQPZaRzaz/YQ+7zHMzHPSZ8dYjB5HA8n/XmzmwnwBHrG6vN
9qAN+MTNjhHqlVvfoRDolQ4tN+ey1ycbX5/VRpAs8anvmjfkFar3+6YP/DEkAzt10SUzkkBkvuCL
5RBYWXKV3JjKhOQCPJ4AExxXE/0r2txUNX67GQzOliAlnEajtdk44mlcebfZdGMY4lRrJKqK18uu
sb0OjKtauFlBziGdSJMtZBSMFhHII/zJgP6BqWpZbMZqiulooL2A+pIhmh732iatQBGXLOy+nYyd
TeMrmo+/PrESzLA7cC+M+8o8I6VbxAum5nH3sOmhJ9mBOULhwJvFPgr09aqoiQEnecAhFlkyGh5s
jPsxNIM0WIwgh75m6ITlsTuKO3sJ41vVe/H/MYuo5uID4TNJB8fRUorerNtEM5iZwKiWBu0XcEAu
if9Tu2mewA9T79TDqlvfbUUswyaAFh9oyz0LAxuMmwWaf4/leCD6XTt94m7FrBhebQ5Q0Y78eNM8
PbWX3sFV5PAQnw3zrH4dq1i9t3wcJUNQseCx/RFeps8QaolnDRerdu0VT7z/ednzNoD5yEjPDEh3
TjqWTtuvwSC+Se+11/EI+NDLsPci/Tp7hYzI7rI91Xokd8gto3atGbtmLeQoNPPIyvT3/2TClDT0
SkbGBTkqyj76HNkY+eb2Z8LC2sbBeUKyA/LY95foOJsz77ukhEiGtgNVnM+XatdAueMTKzkzI2U7
WlGmut42ZWRiCiSsgKs+WKwUn0h8zxcjhdHO0ofUXT2gXNygT3uf6XFA0K7BxJDiubf59c8WJDlb
QUjepQ2+/qTRsHduZ9P6xOMYQMx/oyiCqYyDw9ttLiFuhjcr/THn9zbGEWbUIS5/l39BnfKz9cyK
XPoeG6NPB9DroAb9SiP+DQwNtLrGmBpUgEJz30cOapp6HWbhlYojbetyPTctXd5TUjWxy+B6mfnQ
OVOQ8GtaVr4Wz4pFrt/i4xrBbuHZGFUGqFDy8ZG5YkI+GqXtaPkLKe4sBw3LodjnS32Fx/L1PGuK
9H6zL4TGBRI90F6sHcr3RntQIdezqMvIZtVPiOJcQZ/K9Ke2v2qFhX6znv1eYrwwbArG8vzl8mfd
XPGZ8dV7z4oRltbNHpR3cKpJhaLwML8VC61CLsqdbtaRU7OdnnVCccjX4/Vhn8+sSvscx6QujAJW
qZX9EkZzF7Psumjmb7bNo8Z1Fad9K+BbOBiYkUAhAvhUyYGAMwd+hKCCa1h964Pt9GBOyT+unZzM
hX533DoS3ngE8+QtLXNgj7LjomnXg+sp/Mv6V8xUWvm7XyLniSQvgTTAWU1E7Dg+6fgLzcz5KSO1
+S3tyBDWtleHs5azQAf9L+T/SEzvPCA19zlEZVGDbqnvpm4XOkxUDxii/rVoZAqt2BSgppjBKOa+
jcCAfDOLBZzX1CuGHZhnbvQm0UIwzX4jQ/nc6POJM+PeibUQ803XrjFfLzHeGlVlnoasvanBppDZ
KEvVSXuXek4HVJ64GjTt21gm0NrSBRQDxwxYiBkzQklVuX6Z1KeEp3cYJg+Xqu/8CnKOYDzsQMhH
9lVboZWzAGjXsuGQtZnmL3P2Bj6Ka92YnkwDcBLGD06VHzPdyX2LFCeUylp/AsVlt+T7XLADqpcv
rlVeGwTj0ykBiTbxotTJ982qjEQ6cZiS+uBhotWd0ZurzXyvc35y5uGpT+ixWaw9s8kJfE0H0AAB
KtVE3Mvuy2XcI7c/aVAPh5r9ca0eCKe7TVnjhosOl2mSCiCXvgcu0XuxOw+MlLXzNR+HW4LRvrQW
/wD5j5ZOb93lWYFh+rb85qYNXmdE/9k71qlbgLi1luKErz/tOan+yY3FCTxrjv0EkLpsHpowXbjz
4nZ2fOgAKmU4f12a0qCy8xEE99SDIoL9ZVnKGx7HR1FNR+QVAK3TOJqoiQ5uQw8DITeTBf+m3QMa
yO496sEuPCnpd2M2zwEECBx/jBl6Q6R90FoNvpIbgUH79itKqvtxMFM/0RjgwaU++l6Fh7Bd5Y/j
pE1+57qLD+hXH1bLANco+p8pbqWQdgYg5kVfBki6Wshga+Qqhuy2P88ohQ9My8N68roIxZoEKAWj
vStKcwkEzYe1RaWvCC9vT/I6C8skwRIR78M0Y00Kidrqn77Ieh8H8srR2Wkyhs4X9bjPU+eFk2IH
YaCrsky/FQY7tlb3TGhjhAnuyfuGjwFe/D410hv467XTT5Fna4+44xOwX9oxtOoaz9OfSQ7kdVhg
cPEOg0HE3JM6XUyfx7b5LBIOPQp3hOIdqxY4tZhBqz42x6Zyr7jhDH7rjiFiTpjryV6jrRaaAsMQ
wMo+QSxs9MeuuylQHw+YaFNoJvWNz4xBhE3cNkFF57eOlSQ0x+GpK6HXgHIn2NF0GCGe952mkxWs
5f63Si9/esvwlM3CKvyOJbVfCjwqmMgsH3xJUV1nXqBrhQGyVI/4dbZceWTmN3o5QjwMsiL+ROlR
5PaRTN5RsJFDyiRpDKQ9qHikNaN3MfSjfLfpv1vzpEOIeJj3De9rfwIXRbjQQtxQs2I+UkGw+ffZ
fNuWbhnWuvfFY2ayc+rYPYK2jiEtxDxSLwTZiS6vb+3UBhv/Ur5WbsyCAZKVT0jAcZdC41FQ4h6T
UatR3uirE6pND31h7RNqPAo+3xplLB4q5rbHxFowTdBiaCsBEVQAhMTJcpMIpAa/zKKyr0U7P5Ml
+TJ0TIV920jh3gVt6YamOb5Okaz5R9aCnR0ErVTJLLpeQdLFYGNIGKp5NsZNPwyhzF7BYzy4yqhO
5xtoTnxNUvqDjzYQUWX5KFLAVLrhCrQVfVBa5oiXbP/9ciqwVSZ79xOku0nUZo2iFG7laR9jpsLv
Ivd2PNlHCPPh/AUrPUX8koXiR6/5PFINs2/kBO+sS5scZ2bFnQRpUE1yTOEAmCvSX2valXrTXc9U
Q1kqc1Li0ybOzHUXi0UW6U8a9xd98M0BzncVd58ocL1bm5TvOGYFzmSAAACjNm/nPr+vKhXt5kYi
BxMQf1tHv9B2kR6ZWrxklpnBROdSfyx/0OUws3ave3dc0/1uUGCAN47EuTkiPTiTPh9T4sBcwyGR
3g957jvloMjb1m35eCb+uyYipW0upB5mzuESCb9qSjNkZuMbpD4o/H71LNkM6G6xbRCGBkBQ2rqm
znLXndMOoCgdfVnfec734JKKqify3J7qSDU9sgXngXo4Ojt4SsOcXFjNKXI4zUI86XbAHJ9sJBN7
gZq0OI7ZngXxYQn0EIS7ey8Py+rYszADHXuo0r3c+IariDm0lwje8x/0XPVem0anwVMbQT6aa0jB
xK3iabrxcntnYvXas+dFrU2OLpy+xGh08y3FLaVx4x8x2MdqFqp31BqepM/4zpb0GVsOKVO6PmW0
dDQCs3eysEu7fR4vV4ud7WIUsY860PiiMvdun3wvKejqRrt9uOxOG06LwVXU4NY3JNTPpJ9RjyN0
aOIRvMnT4lsMBA/JszBUb/6N8HVu5d9H5dnGIk1p8WUr5KkY/TCSe0Z54HRuaEzHBppul5e0hcha
h3HXSXqQ7HyApjgWxgzGSZRROWfGPh70fMe9crgdQG+xH6zaC9ukzHfVkCZhsxizXzcAoU8Z+Acv
/5Ltzf3zQyR/SnqCGRcbnRwruUrdJ4+D714xJLe1s2CrBQsvSqgALkqxeipSkywNZjTT4+C+0lrc
ZOytboEIz/9e6n2lFVyhkZjjQIVauvIKL9XLtsRrZTC1EzgEAMec6demj3e11e8v79zqdvLpwAsY
4QaKsh9VZY14GQRzFh61Qy6Osev9E7fIj1NTy/3Rq1/Ac/zoNu0Xl6YqXNjWjoIOFcXgVfUDOKr3
QQAhBrjTFhM3BberO6+wpzsv5yBJiBvXH42sCTsvrxUsSltlFUw6orGALjBQI3Ltf7CWmM89nrH5
KMobu2rFcQJffEhBHEI1bWd5WvtV01gd1kvbhnhcGwpn3UIIIUnHjD523EYzYN2Ys0PaayCFYS6A
/POpeCq9oNylCO+OP4mwfALbUlR8VQ0ybOw1Pi6mZuDC8C25Qt87IIKNZ8zm5O2BG56fIFsFZjbI
s9exmhVxYSO6vzMmJYzUQLO9noGASoZFv3UKbuV4lEB9y445+GHHUaXHtmnQ+HeGFCKVH8aLi0aw
uu0B3m61MXlyq6UFhQNQzjcUhBv7BqxZiqncre00HVSKEQ7wgpcn3dGgsmxR9FhhR3YAroXzeAV0
OvqufpcOikRk4z7GhAIaKxjPBhW+XAicSD85VgwWj5lqVyyb91WmUpvdMoHLidBVQh3MUZJH0sbM
8FYGJFvEWhRbBHps+uvlQLO1ZecmpBDNhrHPxQCnoA4mabomeRXQJEGGmPomQcEYqbDinG1cCoig
fxYl3biDLkhnESxqAjOrZtWB6B4KlUDIphEDuunEhdrKB1Vusx9aJlCNiMgCVIBZ7Q2AXFPlQKzK
jHSkXK0vu5wAvsdaNP2NH4yAL1U1B75txIUWNdB0+ofGvtmNiYvpZSDQ9JoEED1B22MEcl45ob9l
CDyLgOwBdAFaaimBj7tloqXTAfZD9VcXPE3Cah87t1PAWLfCwrkZadOgE4PMw1ifjgvfpa59gMZP
0DZk76owuqvzSrco+LMQEDCUCNynHA/oTAe7N1yUy5f92CyHzNMjwKlBgkb8dgKdaR8rgsJW7oWX
Ar4SWD3QtZT7bp3tgeNqTnmEO7Q5xl0pjgJv1+M0FeRnRqp674zm9EW4VrbHF8dAC3GXZ6jtlopo
v3Wdvfsl62c4u85sdAbatsbiC+q+Ejt7Y2180B0rtHMWAoX0a7QqPegWN2qc7i0eyWHhGJjjacxR
O1WmwJvOdbYxUiwzzU7XknaVB7HoF2/RvsdFfCXmTpEPbjoXHkdgfyCAnst4MpsOhIGuFO2ZFC9r
O+v/WYuVnqAnmvcKtOZWeF7xfv+xtf79bIdjjhIhcbEkOwW9XmstP6pBxUGisrFu65mNsU0L0NGh
wg2yr+dxSsDDmzi/L98Bm3uGzr1OVoUqIDze2+jcNM6gUYBeIdQNs2yAOnOBGausvi3z4dvf28Kk
NQRccEYA0ZfWY5PEAHodc/2p09iPXk/zk9tl5ug3tb4Ufq5BV+WyxS3HgzOYyKWpB+y3ZLHR9aQt
0H2IMpa8LFXJAnup+wAD2JbC0kbSDkYazGohg4WKhZzDLqOJ/nQFEG1riB+pMa6s3daXctGrsHUm
z+9BLYRKLwr1g1b/uLzKrXscLxPA9AH/Av+TlLX3jDojflEVJXWa3McJaQ5tY5QBYGsMxfkM4k6D
UqltY2sBXnFXOjXEV0NmruktiGC2aDhGZpEdUvSAgHGipxFyppcXt2nHBjcjwDKQI5Q/YQ0Bl6p2
gcF2vHJvLP3a73uqTMUbZOO2AMG2iY483pFgsJeuvzzvULW3kZiU6ViFpSiz0DGK64E0t90ingGb
b4K51RQ3xsaHg1V8OehXoAQhV5dMa+kMsTBYpbGR+dTW5vt2nKd9M8T9wzDF7r2jVSqw4NZaYRGA
Ljw7PhL+glxYpGmMxqYVf88YSBnF6Pc6BpebJUjQxuxzQ5Gbb73wIDOEVBZIKyxX3t62Wwmjyw6g
7Ngk/jKkIugYZbvWJt8XyBOFZVcfQOm0R8ngK5+63d/70Ll5KetYXAP1DQfmU+aYPmwc07G5m1yh
Yh/aunjXaU0A2MD6BuY3KcHVOKeLTWApmd+SLHCCLopDFmDYUdf23RCJIzKPvWqSZAuFem5WrvHO
WVe3djHgsYBh0by4tnfTwQ0M4ldH0e6YklxWtU653jvXXDDhwmAfTqHp+Dy0fmSR5QbAvgatvzCU
QEsVD8RWgvVumdJ3HAFP1EsOq/ppum7wVN5ru/IaQm5ukO5UNdetYwJUgA4kMpQbHTmBdJoM4ZrA
WD6TcNDcK1z4L+bUZruqjl87Zr41jhdddtTNfUWuj0QcowkYn5GuY26QMQHFM7LWUOyaDHWI5AT+
seshjH09FF8y5afcSABcnEgHYRwp4wcpagMN5hqjbpi/co0TGdsT3upXlPAnV3MUr7+tcHduav0p
Z/mMNea0yBKYit3U3vVT2/peUyPj0EB+oo13SZU9Xt7PzcVZOgo7uP0poITvLbZV1o9UAAm+NGaz
84b+xtZQEFi84mTyTqXZuP31/piTZ08gFA/q3gHtCQ3BzDefhyUoO9+6Xg7xdf075zuaRm2kAi1u
pB4YagAmCbx4OthnJZ/BPEFfAtqKwaEJUqIttX53unVgif1agLLJj8FmvHTJS2G2isfc5nk8t7we
obMPWtikH4plbFGAbY8a9bMdJG2i7jgYCHKqRGAL1oZ1roJDFvKsD8pWBuVlX2PsKxKnPvOnkP8a
eEibgIfTAZMq3/sypL42hTZHPyZXncw1iZLek3hSoGcHWgAwKcoP5JLRbmparLVY7usjpI52k9/g
ST7f5rexz3fi4P49LTrwbVAfNPAYpOYHZn5DeFBPBUVahBG0Z7YMu9KymD+Bdm5K872p94preuO9
ga4aHvgYnrUxhSGdFtFVsWY1OJ9AMVjXgPR0z9Qd/16gDC8NlFnRPseMB2iX3juNYSwJ5/HAo9JF
47qr72Pjmc624uRvAcnQKQP/OchXAVmXS3RdnyxAQZrrlVgstwM7mrtsBxUVAL3Nh/QwoSS0U7no
h1wV7Hi4KnRoAsA/Mdn0fmkAYTn/R9p1NceNK91fxCpGkHwlGGaUrWBJfmHJls0E5sxf/x363m9F
YbiDu97HLW25p5uNRqPDOYORRQWAit46DObo411pinicTplNf0vBOJKKgILZbu4zoYSShBFo14KC
jfdLMV3UWX5bhevkjWy+pDRlyVHBBGsB5PxEym7UWPMNJlEWwYMW8EvZpKSVHD0hFU6P5wPuaaa3
/jgASSjYtEKrku8gNGE39VXK2oAoFyNek8n0ZiWMSjWGsjD2Fq/1+zLzq9wSvBNOLpdVMArICqDC
AOnLR0E5AX9RsT7Is/harSUnbE0/IW9qiEWP7h/7MCeMC3xyNkcdElg0MMdLq65ABPqM/EsUctZ0
5lPI4aRwH9qS+1GVc0iZfoyeThnm+J3uMPqKZ/4UE4+cknd9FmdxgwJlIudL8rukERQ5Van6lLoS
VW/Zs+5g4D7EUEniMmq1jsBnBHryoVUrzD7p4rWWEmi+Dsjd43zXupOnvOX+iElCgbyTpIDTc/05
m1trMNRomlWYNTUPM5KACqNUspJRPCwFPimSxD3M08KM7ayAJFJcykYNBh3MoKlHzFgJMqvTzIPT
aQ3tG530vK/Q0YUJR1p+HT3MbwLeHKccqyw0dBSbNlQ66qKE5+TC4KRyoTyqzbCxB+hXGL/sMsW4
7r3ANU5uXU4ClzJOZmHgLQwJiv5r0u5Ad0/G3LcqxW8S5knqYxE1tBkjv44m32Ipah4P53+CSEcu
u0JhYGysukFOV2tU60uvCieBQwpPHhdOmrU9yPJw/Xry7GDy1UtdUtD+JrmYcgcTZIAvG2ykGEyE
8bB7Y31ETX4hIbfsSpFb2FdSfw3GMcUYct0+n7egyDn5fYQqVQqbRVDPelp3uypfeY7dhGZXGJih
3bUkhGX7G4kAvV4pbG30Az8fByVMjDYFigM2IJYXE/ykQPd3SipRZaYKsAOdHMsPmE88r+j+cf+Q
yh1CIGRnsdxDak4uR6z6luE3o/u2iDB697/Zhxju1CnNnEvYkcZc3/AkjT81bB4oyZ9lGStu+H9N
yJ081K2YVDT4aJ1rMzq5MVWR8FJMQmnODwDWTDBk3NAuiNwCI6ev5015mr6tBx+zAIDhAlnJST9q
Gmog1FiwJbmeaakGpp/eAv8KINXHEPzmYii/XZ/RUF+08BgGPQSf/bI0jpMJGzpQWMd4B3EywNVI
wDMqBweQfhjz8uw7UUN0L7pshP5OpzZxuzS0gQ1jAnhieKne2042iK47kWK/X3EbGQTT/oAZh2Ij
nWdH8SMD3zEGpXOcu8aF6ljfgcQjLEmtyQmfvGw1425Z0qW5BiZG4J42M000DfP4/Rd1aW4aXbtA
e7nyu7T4qRrxZWyoX1tFO9QDquO2hHEhMr5qdcacGcstjsaGi8huvCoTlQV3nWz7G7kwAfY+adYj
WJ9dNQkOkaNTxYkyByCSV/mxsen/8I4UfXEuSKhmDfzzEDKLFxLIXv8tRX0QkKkTpnZDR/tpu9Of
nKWtmlzAwOMS4CIdRMZXM80TahzqnyuOXnK0AwAeZ/98jRKHdyuQjx1VVcVDDIGo99DF+DKagsm9
071dTgJ3KycrwYumpmAbnmlrOukxOvSDywAP+AM7YZ23gPLa/R++3uoR57yau6lzaV4wuQu5pKJh
oLlaS6OIYk9wwOfTgGTnjpfCS1p4grmHgKrKg1mOkDoiEPcTgLSmw4q0tlAdoFMqbjPJTb6fj8B7
t8zmG/J7qswE+wGovYugCtGuvbTUH/VIBInP/llA+oHlYRkjO9xXZE1kswbYg8HAniL1ShcRDu7r
8PHvc1/LLnN7sQq1DhL52zQmTka+6qGoCLbvEh9CuI+Tr4UO1YKheiyt+7KnRzTxpJCOldO7cAnM
eGeeefyTr/OXUP6tNoRpFEarZrn00Je5w5Y3S1jeW81/6uwgxkElA/VFvlKTZoAUmYoch8ykVrDW
TzIM5Dnt5OBaxK4Jnd3+fWqd1OuRVHnnNdxLptZB7/8XzsWQHLHfSOICtZRuvtHz9GupNFdZ0bi1
WYkC5L6ffMji/LBup6HLB8jSDUemABooaYblmQPDCcMKHRgD6IxSFRVekvsH4EMw56BWG1dmO8LC
kz8xX6aZ7TI3xoWgRi4wIykxDnjoCyz7N8HzQyrnsU2tstEwINUE071PQMxN4x8Yu3bl99Vj0xlY
yT0WAt3zX/R0a+V30P5LLt+lsqpCBkIK5IbYc6Mvi1spyERKanoRNvxaB7zGrurOhbN2c2hTCNLz
/eseg+cYt0YrEp3rz6+CJS+sblQzfOYK/mzoFMHby2gaY9DTQveVys8iLxbK5K77qlK0xCqhM+up
4ufefy6MWP79qsPLnHn2UXhh7B7cjaKrv28yvkEfFXuWS4SkarjMJxgXw056Jt9iup1aZSdyqN0Q
uJHHndVUK20NfHT/vRVzry3XWxFKJnRE4+q3krnw8IikcqdWLRV5ydAPBLXHg+nMHoMP57SvnHQ5
zqC8pPpBFHb3b+KNptyBBYzLXBoKIgVh7vqWNdog9e37zhm8HLu2ud9RzG2PgntSKJY7sePAGqOa
IHawncFdXGAKffvZocKzBihKDuJS9mm3ZT2sH5ry9z/J+sWeRzATJV/RUkHxsSd0bbmiJIj1K4Jc
tU08bF4GWPD9o1fRRjZXR2+ILkfzGqDQnQSE0itA6QQW3Y34Gwnq5xPSaCaenQVOSNl3zhw9Z8Z9
ZQk/266HAnSMgLAMlJ78YI6lpQVavJASaxQQkof5hrlg+3pEGXDytLcqEIX2XbVWKlYDq1iAf+EM
p1pRM9chWmRym+HYXYfmd9l+PB/Gd++sjQzOdFgjNgZtggzLBL+cctWNMj0vYd/3NiJWu27iF3iO
IrkFUWNQMdhN6+lwy1yUjwqn/QlWA0Dsu0AHwkKqE7lqLnANkX5cxG6nIiKGAf2G6GvYXMxM5BYi
AVx0xgsXo2JJVQQtuzBj4EQT4aDEGg9OMreNAbmAnKUxG6MBBlSwKWnRBgUcX6WSwzpa0xBPv5L5
gFPpYUbVkcB7LO7W7vv+hyty0TkBaSiQEWBGs/FmGoKyvXTyi+a5c8z0AIyyxOsCYXhefe+c3lx4
1iXdiBVsp2JdT3uJDkoMAKnkqXVxC+U0vfjH08xrjNyYmQvLHYmXdlk70nHOXMmQHPz/hx7shMW6
q3P+UAiONj9bgHmbJCc5roB+6kGc/jW0c+Spgg6wSAgXP6Qx7Bvw0aE4YUSOhIb2YEw00UVH7HRw
4LPheN4MS45ygFM0RTCP3yrzl5SAX/lqiW+Z/krqp8j4rjaPGEZ2z5twPwH9+F78Fhe2hwZd6WBD
jIAD66tC0lDidkML/4G8y7ZTFZ5BkfzOh/Cmuxaxo+ze4tj5BV7N2swH5tjnsNY0AHABwQawQr+s
V6pxmT1F0UF+J8h7DdoEGqbi9OC8znvBBkN+liGDdQ8kPVywqSrZiE2QcgaWis7wsjiJ9SddoK0I
LtgYgz2YEzo1QWXHVI4NmgyRwPl3HWYrgzNdF+mKVfaQoXQB058sBK+iHZ2pelbbg57iv4BgbkrH
PrcFTiMyIBdSmB53Wr0QPNHqL31E3FnJBBJW+/BBa6sbF0XatC6KvoBuffNept96PEJrLGb2049/
5Qr884tlRAI4AuRgs8hTlNtSawQX9961g6wD4CAmuLhPdpYIAG1MAoxtwPxivML6Mi5gH8sLT+6v
JfkB/FEUKOKP57Vavzxvva1M7vvYmHzG011vA7luAMnxbe6uMTubaYmzpO/nRe19qK0o7kNNQ5GP
Wgr1VmoAzP+ZaAsM7a9uFgG4ndcJa6CfAwVou6q0beoyGDDONEe/uiF1LG0CxvviDJ1ga2L3bH2o
hVnuz9L6EDg3hglp4XV2X/nTocKSEZr9MrIr0aNt74LZylov8E1m12lDKMcVTKiVZhI7rVpaQC/B
LpA9TIWIl1YkjEsjJ2LMTF+F5dIdECQO7fAQKpEA+eC8U2B4/LNGM7CLS5ZBSDHpwKMCqQ+2mjo1
80BmLggU6z/1965+sj/BBrteQnl1C/N7GV7FKFycd/AdvyMg8QVGMtZwMTjFRdl06Zk2dpgkTKf6
mNmqW832IWbGRY8FqpUM+by4HdNBnKkqmH7XAbjP3U3AVkCK2qgIFxWmgkxGS6w5AyDXaUrBR9rx
hE+S1l+ycTutqEZLW6+PrMkc1bzKze+2SMa+8T604Yw3RkuZDAqm55RIpp2JJ3r2I50whiVNgJ0S
9a5EtuPCXtiVKbZRIK1ipj8htx5GfC5USInln/9KpxgY2MrefiYu7EndTNIedY9AGdNH0DW8yspA
844dY9t0tOHnkvcuuMmclKk/Gtv2QKx1H2mx0+cyJQko2jr7empRq8jV/BAOijOkJa3bUeC8Aovw
Uwb2ZFWDymCRQqmvU7x9tcdFn45jJ8Jv2TmGW3vYXLy0I9nEmB9OCZNmJ46xvyjuvu85rCZj2BX4
aBq4I7mjAYyGTMHcOT7vjxxNd+Ikl8wP3dYHCNSvvvVmd+35iOoue9VK7Od+iOXOSTJkdU8Itpgk
fD4v/KV7GLGn8gMSO43mbvQglChSlDs1AJSOMYsFiSOVbm2H0AqEKl9C98fsG7/mh8Qt6PB63qH3
LrxPWnJnB+Tr5mAsiDtWl76HhemxpvVJf7WYxI3JcjOZyMBI9MZm1BkyVRDF96obn8Rz58kERlYG
YHNcS218V9YAKtM1LEIPqFtGjoLR5pjEeLgnToSZAK0AE0n8qA0yQNyA3AP2h5C8N70IkmW9C7m7
Zfuj+OclimEoS0T4UYMfh5gBcrKL0K08CTh0rvm1QVWzFDXO9s7Rxtl4IscFiJJKXkOk1GK+w+6D
nv3KgRMWJYApYjdWelXILypgyJZsDJLy22hiqa4Xzejtvco+ac6lJEyuZW0AT1CgBopvfc0uhkNG
5x+zG6EzHnrzs8jnV/c6Z2ouLanCMI+WAQLzoYdCw6USq16lMoo/vJH4ikQiho+90Li19PolNtcf
JqHGdV0Pli5fw/liCB/k5KbDpOX5g3VKzYmbYiuHi1qGzsbMWJlE9EBpXBPVYXdaXPM58mxqmFTt
1+Ug0HAymjdOpFDJQvUavbVL0bT+jsKmvA4hY/QbqzT8Qx9sjjaGpNCQKGTywNBdLmLpFTs+F8yK
B8G9s9dO+ySMsy762lnTo9QbpMxH3FxQaUNHiaCxhRME2JTsQPxZQk9LNPX5uwbPeRKgAZA5aQjK
gC/n7D0UhhwXMQh9lFsSaKq7+Dq2IeqnrnOag/3NDLI7g6ZecpuA7BUYS4fz33vPylvx3G0BTE4z
Lw241dj4i/5kJyFmpW5amQn8aidQmMgQdRSNlBWhgFNzAYf7rPdLFch6dq0V+nGuJtGTa+ce+iSD
0wXFtUaKW8hYGPaRAWeZdZLbh4/nLbaTI36Swt12jaoYoFaRq8BO0R2L6/oJqe8C1FX7rrfyx7hR
RbZbLxPeRba24+66OCRpbDC4iB50R+Wwjo8THwuBx/OK7boiwToCQFEAxnRCFjY1pMDqXtsFmVZ6
k6y4hfE2YsIyHMcbNsf3ia56basFqX0zkByHH7uJwNsf6psOZa9MmZwe6LFmpiLZQXk6F7FF7Z7S
7Q/kwrwRL0M0FR1+ILjbnEW3qYaFeqtbrpJ4uatr+bVgrV9XQMpPnpvudSG/rOY7CMBuI1kXga0J
fw13BwCnZrawPFEFeBgs/uxpbompiu91YHtY47jATE88u2I8u10v33wlLlQBBKCfwxZi5eXWsn/p
4fXKdHbeFUQyuNMqhaQLi0apAmVGwrIoFZbgSIjamSoEO9sLQNtvyh1aiXWAD1EhSg/y+2HATp9b
kEDKHZsmx/UC7zKntQB1/iI25W5QMlZuVmDHAQaUy+L6toqtRoUp7boFFm7h9PL7eUPua/eXBL5e
N4xTP5UFJGRR+rM3syMaKu6is5sRE5znRe0qs0KogUQE5Dv8GLgNNCNJnyBqYcVjRfJbLNoJnuB7
eZZJPmTw77OqGXMyjpARX9m3KsWCGY3xbV7B5/tluG9+sifR/bj3nPkkknupsRBT2GkIkVUUdEXt
yBhvL4fbGmDZLapPVv7aKXd6eZ+30iFeSocUpXvesLvfcKM0F3WqfDKjDrB7Qd0xpy9QfIh+SOOT
XtWCLETwBfl1tyqrop4AUSnoAWRsRW+DLeL62A/xG13Wn7DJIqVmXGZt1qugccOAvcpPzJ0uM2/+
lnjDofUXekXAZo8F18RHvfK8HXcvThDdAAYJ29gnrIJxV1tWZPVdkOeAEUeDSpMiP5IkH6NrVIor
/7y4vTU2lKrXRU9szqKdzl3Uqj7l1Qwqw2BRpoAp96n5Us4XZIldQJA6kXaXVK2TE9FtLZTLXdeE
mWFIVBV6hsNF0kaOBn5rtbqfzO4qrZMDgOaBXjR7lmhJYy9P2CrMhTPFHJlUEnRXFjJ4RYK9IalH
kaY/1NOdiTeoEU8OEdXu95zWtLCxJ6vALQH6zGePaq0qjPJa77BTMGlXcS3Zt8moiQCb987gVsr6
943fzt3QhBG6LMHUvTCMnsXZxZLhI/a/zjvN3sW3lcP5DDbsjTzRsjro9J8psNvnpaaVIdJGJIXz
ELvPjLnSoI3clDSZcirJOrDuRFsDIqNx/hCWhZEWCYOY6qcxR85QKK7ZleCjZIJXhMAJeEqxKrLD
eYkgycKzJV/uchFYn0AVk7sFSGdUaT2sZ6pslcgZjZpcdAAUpZY6A1ZzNkz/vCPsZncbTzC5qA/I
54IUVgJWqS+9Z7zgIRyvg1MpzWmHjSTAvjsgZUgy4dDs+vH5bH8rmEsrQzLj9QQ0/iDBSQa+1twD
CxVVo+FhzgpHE5W8RZ+OuxEMcN51oAWug7R6NafIAYuwIO6LJHARYs7iJlriVUKKfHjJvEX6ef5j
Cc6TuXrPJjqgPxQOdYTzVCm6F08/NQlDqJVo9nTfBw1Aw6gYGDnBj53zmJAmgRQjM7+UJTuU8hg5
eZ2/9poicL99m+H1gOtyB/9QXjTQMEywmQoG4dSojpkmWs/aV+dDBOfgyghGOJtARDPW7qC8leGt
jaY/sRXv/NcRCeIcWonQ9FIsOHQ21i8ARgmIlaBuNl81Y/zj34ninLnRUzwKFYhq7RnjQlIgD5ia
CBenH97PS9pLhbFfpgM/DuR9wAvjtZpBU7nYZhdU9YwiGDIJI6cGJqK6N4W82djSAq+NoXzLupve
+GVNABzXns7/hp1I8ekncNpmWcKSBShTwRBje0DBG82QndzESIVh+GnFUHyOBH65c9I+iVz/vjlp
ZUq6JpwavHGlkubmzTxrlGDQ4bxie1JAHKToYGgyyAmbcW616qjIHehiihCl5NFPbAATqUwAGLYn
BtgVGlCDgXNwgg60tDaq0sCxC+oB+H9yMTIn6dn70JRv5/XZOc3WVhB336etuhQNwEYDYM4y1QFC
yvJQj41o8mtfjGWCQgqzSZhX5T4OKQow9EAfLQ706B20Jn/wXTSQZvy/gPWkb77+GEYkSSsIQFTC
Lh/AlTWbpiR2z5vrFApLRTnUAGKTAkJWADpzZ4tgVGdGQg8vwwMvUNw2yK5J5ZiB4pFnlPT+RK2N
OO4chYoS5RIQ94J4uky7JZhnhWqSIkCb3AmDn5Tivo5lZ9aM+WI8R6YiPQJ5ZHELM8yB3gxCvGhO
DIG8Xe/eaMV9rCjLwerRr7SY2uDEA9bOColiJzc4/7FEYriMWbYGUwp1qAVetXs7yq+thXnovAlK
D7u+vdGGO0K9XaWWvUCMpHUAgfoZaf8Y2YpzOj5bTuME4xSQoAGtIkFTsWYgBnONVHYt6/680f7G
w40VSRNIJxg4+HySlBHwYV2Bj1P96EqnvCn8RHf0h+R99jFm/kdDtZgJQRN2Bb7XDcLJi9NMVWog
wAel13uzR5DKxv54lx81Dzi2fxJXN8LUz8olXYn1bMnGayCLH+O5uJiN7DguusAldj1vI4aLErgi
wkqdoFNnP4FLapq/gZfqT77TRgYXGpK+stVugYzlh4xG10E5SLSJHGxd90cMqd0o/9J0XJDQRyID
8xjyUGuii7oAdXD0wvm7QC2R6bjY0CeZXbNlvflAnfWmomGaXbNL8lAcUDi4Ly6AkBWYjwKh6/fg
HjbwQYxdIHteS67cAZtSsDHmdtRgsDu6V66AL3aR0+kLdDzqV8X1n5nyL3F8N1wvw2WMaqkORuAl
EzD4gRnUUVtRU2I3MH1oxXfA+2qxEn3EF9Ont7i6kIkgd9hryG7Nxs9ZY/IXHdIFZuvc5ir8aj4r
lyscpRWkr8vB9ta1t/Gqo/Kl4dZHBXlo7Ig6Q3tF2E+/gTtqRsiMbJ7wG1Ckv5Hf2nXh7z58KO5r
X75EjHTPu4rIpuvft3mG0dv6EOHTzXmDUaDMH63mX4rgDlrWz5MGIMMmCKcvjZ5TsOTQ80qsF98Z
d9e4M2YphVkZJSSw+aHNmSOPX6T+qWHvSiaa3t57CGxOFj+UHqE6BiRE2KtCFwwrUAmLcHUtDrLm
sQQjlWiUW/R9uMvYCCsQ0OlQrahTPB1f5frP4u7H4eVixcIMrceTHqiEpWM+VMcK0CHNgVl08DAi
J+SIEiikc8O63RJVANODAZPspxzGjhJF3nlvOP1EAJXDIAMxUSi1dZ07QUqZWuXcWX0QaZo/pgm1
rLu5eLPL0Ossi4LVXOB+pyEeAvE0te11WRa7a5/PECBIC6tiQxsszYtZX9gF+GZt/7xSIhmcH5Bq
bupolMGGKF0s5uKNnQaoCFG1dCdZ+qwK5wyjWXdA3VJaRJ/oUBI39S13wEwTKn9t8T8MOO+87T8J
JLw7WIxkkwW95Av5awRcDwDHQGbrdlhUfSOXgwWk2kVw9e8gSKGuhNEI4HEboHzn2UJAa2NIkYwZ
Kp24k98d9Z/rLqxN2S+CZjq9mF39IBr/2HNLlDJNzKejIQMO+M9eEuppYwPSvQ+M9N7Qb1MJ8CWJ
5k6KSe0ebMhqJnhr7QzuqQCmBFMQNllWZEfuYyqTUpbTMAyBmnWvhdz0zixJz1h49MIy+pGS+WFO
EiDZYzwfcPkXLGn+oKX46SfwXcwu09WpU+oeU75o3OsAzEYq0hsA4xhdMOAO/wPoyBrsP18GKpDr
YWgF6zunW6QDKRYtLKYhsLTomE1HBo5ZRe2xRyeYyDuNZGjDaOBO0OBBp8SECagMar2uhmCK4oOR
APIhUQXZ486p34rge9py2i4hYHeGYC5+mv2laj6F4ZfzgWXPXBoYTMyV98PGLspnt2w7U+lCBidp
G5DFNwAQkkBzVA3I34QDCKf3NCy2kbVadJNshIu2SBUZYTFf8YdHnIAVz6D6DupU11AvMGmDWTdM
PPffRUOEu4bcSF7/vpHcSD2T1bkZgqTD2FWtykGmk8tWTr6et6ZIzmrtjRzFjKIMzGpDUGkVupFT
dW1Y0zFva0EE2/W9jT78lWPaEUiK+yEwI+PQgH4LQF/nNRFJ4C4cKQLcfpzjGJWVcmBVcVya+em8
CJGxuPiUAkfbNGW43jJVHuh+UQuo2se6FxlrJ6f+5Hf8JRPptToXNb6KcWsBhYi5JQW9RIR5Ki89
VIF104ka8PuqAdUWNC4W8G051eLMDqMmhfVCDL6Xmn6pjro3lPqfuIGhg4IIgN0r/NBndwuXYomV
DGIKizj1mNJIErUUdq4tNJs/RHAeTdqslZs1nHbW7QIyoCJ7XGTbnceaKi0SnTEWOJ66GyUAYmeA
yAsewM9mgKi+qptiQQBnmPKqh9ZTJRkIgfadvhLuyPZyUJvlXjGn/hiy7nlu8SUTPC7UAXNFSq8d
ANOHKcG0qx1s0wHqEmQJ6P4Es+xnhuLI0Y2kEmwMqvWNBoZQZzGG62SSRXv5uz6ATwOEXQQ98ER9
/jj1WBeZZMPrwGvtFvKXvJipLQo4qyPxtx2yXRC52bIJCgXO0QwQvBatuobvoSqdUWvvyMppDXqO
51xRfUlFOTcCPO1A/POH97dvnZHMP/orrHlqQwXJhqMCALD18wXtM0/SaH1jvtTe4DZH7SB54QFN
i/ldfllaX9V+9SWAv3IXi+7u+R90mkoa6GAAaluVsUy5es5ne08m8LfMTBmCaEpo0nzPwys7ezGm
Oyt8btBu1bAcYt6aUkunVnKIFQz6s+AnrOW2TzbBT/hdZkRCoNgGX2usYjmZI8lGM/licGWvpbEf
vuuuHeAGf9YEB2VX4a209ddsLpu+B+87M5p+LS0tPqZr2i/rdoBjf8PTDSuJLvluu4lAxxOv5lTk
8gXTakbF7CDUnFKvIYvThpM7Aav6vCl3xCCg2TrwNE1zhUX4rFszdPrAFISdKHpR9ecke0pFfH67
IsDjhBcbeAlP8NvNTM8Z3KnHnDQwHdTEfmFTo9DMsgSeuYZIzisIiOKwgagqa5OZM5mNvHC2sxYh
dIS9tFa1XVCw6X5nZV8bGzPv5013Ej/X0SBjnbEEqrhh8L0pa2isRjGQ68Sorne48hrZKQEobgPy
3BACLZxOb3DiuAvCnNOmTWSk+FOEgjdgM3IKjDPXcifiLrQALpeXuVVJRUsLJxfTb7kwFFgGFBBO
c1aVxt7OlbGAVcPrzgbJH8E+lHTbTqlTZhZ6xILFX3X9B08+I54WKti/wJHFH+4oruxiXpBzRTXL
PTYkC81Yo7lS0hHAb81XRq42aAqvuCtF2TywKQZAaXplZmlzpTaj5qa9MbghuDeduRpkVxla+ajU
uYTJhho7CEmTXRXjtGCjM2taNy4HEVfunssD6wYkVKhTQBPutpgVWZISy+gDC/DTOdjuO+M6toQr
W+uj/cRSH2L4q8Ew2ZLaEm7w0gjv0zYYGr+SH/JU8ob0VwwsyHa4SEWTKXvhEExCfyl3Uh5GLlRb
mTwgHHqjt7jsB2rttNYczK3jztEH+gfVrNUJ8aIHrbJugDyRC1OT0kpJ/FtTDFOPgG7VRu/8ad51
840E7njVidpIeQ2tDFbcsRSbHLmCQUewAhyjvM9du1VvaqP4xwtuYE5HqEJTWAH93AkxQZU1S13r
oGBKj91xjmhxG7razdAAyApbCjKGgR3t/bymp8UnyFz5Sgh4KMFRzS+uTHWZpVOBgDwCGXKt1IHN
R7n/L3LyHxDBcOI4y6ZjRViadwOYNYZDjr0jWaqwWK/SFt0aeVaxYCg5o7DPxd8GmH9YLwN1nRuX
MTDLnUENOKGFOeuTP9LoRs5ddodg4kYXK1wzW5w8/73kJW6989fCOncBrj0snBFQVds8D0aFTHVs
U7CcZyVShP5RjwZvNhtHZa2bVnNw/mPuaAm+O+xZYQoCGNH8t8QOCJh1pon4E1ab1bRzUmP0ZTVz
dZbR86JOnnfQzMTmGsZXTDy3Tgj9kPQmNmgrF998aK6kFb48xvXTu5GOBboV/FpU1lJ3tTPW7Spg
buNbcqn9qFvqEi02VlGIqymAh1rRcZrbHpwFz+wWSymeQsfHVTSw3zxGVWd2u4piabH7iuzXF81s
7ptg84O4VLAwkqbI9ZbAqVbui8yb0LgKViQngw4/pUKMxbm66TbG/zY6kl10ubFRd8qEWZVgZyU1
jK4ANH78Wrwahz6iWMH2VFx71zVkk8Sp76qL5ud8sAXBQt8Tv9LjGRg5R9rPfYFkatikoVbtR+OT
rMmegTGZ827F35W/FdxI4EwqRzilStkRP48bpwXJcxXegZ1bkKzt62GB4QdMwtrJqTTJiI3qeED6
3s0HUxl9rRKUKXf1wPsQrWBbVgHABUtuXgmdMeF6yHro0ccvUlgf5my8bxsRnsBOeMGyw4cYrl6U
1K2tVyHEhBjOS1TdxcveI/o7a670TLRcsS8M+a0NffDw5XK/bDTsacDQuN9294hpyKmZY8uMEjlz
53+8UPnbE+wPaes33FhQMpSoqTVF9qXoqkxuwvSfPnZ4Aesn3AjQarMsCRsXfzKJXxhj0CWDaxFB
ArsfJDZ6cBeelEvglIwU4lduejR/rCMWoWtcd78WrwOIl/BBzifMvFqc5zWjnUTqAt9uKosWEdgz
JyfNX2b9La1vys50bcAwX9Uukpthejl/enfD00ZXzh3LOIvVPIRJ1QVEgPF72LpJ+GZYkoOZEsty
ZssUXEO7J3kjkbvXuyiJUtTRDL/MEPhR9gGxlCAknWRInEV5HOuaxSyPRt3w5wvNryoHG9S0A242
1ifUA4CCBSqd9Ml4eVyUlZV4IF0sEx8YA5PbPQ6pD2Qb2vtx6wy/ihtMpAJM1U7/eS7IS+aib9MB
+D9dh2sB9ewSQIRbHThQsAvgN4EaisGWBRHF4iJK19TZ0jJE+9ZTfLwmpwf968ycygdDFkXaq/8o
bnJgsQDfT8hHKvAci4svtjRMLaqZxO+VQ6Nf69P7+bMgdBsuvljSNNpWhM/4n+wAyNzucKm75bHA
SBq5Py9tNzf6OAcWF2XQ/SaJXM3Er7XXVME2RY/qp107mZDw72T9i3cSLsDENRsVQ4bhmHGvZYZD
phumxW6s5U5mf69w/ub0IQVf77/TkIstUmzVmjkijg614qQFMAyaNy186lFjPC/opIPLK8jFFHAK
osdvTovfYx8ymtNjjpETyfwmh1/UmDk4nsfJAueXclFGhSBv2PUasLliBUYDczVIzz/fSmmajbrZ
IsVavSZ+7QMwRSDW5O8NMB9F1ZyT1/uq6lYad+Br7NOGnQG36XxkDG94eAI6ubuoXxS6ePVt9JB/
P2/cvVO3FcideJnMTdvjOeHP3eh3Sg/GI6wzCL7gvhDUFxWwD6KnwX3AMm0HrWAQMg3j+6wbxy4W
jevunTcsXf6/iN+HZJM8ABN/mfLSNnzNCgFXya7mtKJ63VGET9F9IFDnt79uZA1yx6zF+O0S1VX+
tjJuRZ5JpW/Wi4FnjSTEzPgbJ/zQjnOLSZVIpypwi8btvfUmYC5qi49moLr5g9AJ93LlrS05n1js
0DC1Zc0rcQtYX20fS9d+dTACKTBo9jBcix9SIpOuf9+YNAST+URkmNSIwkA17QtZr27Oe/pJifY/
Z+vDiFz81xNjwDQojBh9NW3HumD+o3XU3ekCC+V+/ghQmUBkSpWvAfIyuWug0woFHCYw5XgBPONA
98brSvXyn9VlrzlLsGCoiOH2Ce/17/EXuwNuo+Do7d3o22/JXQ7MSotC09fLQbmT+huTHCLragyv
W/Wf7mrwqnL3Aea/1FiZcAI7VlGzfpa70WkMEejAbjKG4TQdfNfYOjmhfwGBOEZ1bHiK9W3xpZcx
AMTZuzZ5qKu42pOM/L24avx/DPD9W7s1fIGrFWglfCXHljNJ01I4j6V8K+zC0fPYPe+fuxFsI4Fz
lWEJCVFTPH0ybOx0Nkgm1PcavOGqaHd293hvBHEuEQ+dmgxr0aBJ3oj9tdeuyvn9vC67jyy0ef4y
F+cM1pwN2GyCuQb//0i7riW3cS34RaxiDq+MosJocvALa5yYc+bX34bstbQYDbF3t7z75CofATxo
HJzQDbLiQ/8U3mUvJBkSWssP7taQGG7ONEhdMVqn4RJr4efBIboVbIwC+NVGfYhu8M7z8q+Nu75A
xseiW5LillObDl7itjJvpjEZ65/NqpvNIGVM1Vw9wOedVKj4Q2ubTJ7AteGGzY2Y7HMOjNPgR5QX
VJprBpM3yxZ1zaRlHOYFiZCHxTBzPdoIeE+Jd232FkUhw9YHRjvqRNGVK2FuprwmryrlYXHLm84v
cKdxlnQgqe5iM0OxNtnq/0BkjqyCztld+KZC3TUNuAPQqwbDnT06gp06kavdCJ7oomC9Yw0FXL+6
L74fdessoDHtlpmchNfR6fx4azi9y93xNsRV/2+mXHpPKQxB5GgIRU6umw6Ulm1q8bF8rzaBv+79
ZIfWdpBCkHjQh3lUYGbhAwfxo9n3LCoBpntQCKJKk160JfatRRlr2MtOpZvJMfc0q/RLbKBop2if
iGqTxc/POgQUkiRi0RjBAMMjjwTJuDOGG01G+zR4FkO126zv5ClHvrKVdFNWXgZgKBRhTfZGZ9pL
e2VXHsovyya8ixDlEcnT3uY8fSfj1TEitmSKDTGuA7pBJxDaZMYcr+qKnnEc9ulmPGRH1CgtxetB
zhLskjtWop5s4dqiKZzJM7mrwN2oury8SH7V8940tegIbiBKWquRNcxGaUbl7Lf8/zvnTp0QlYpt
w0BudGUih5+HwuRsQJiM5bqsDaXwpQuFUI5nnA5QgZpZ5TTZti0ExoXHuIDokmsmciPGYyBpnLa9
tWi91aipzYmJJ3KslN71R+kZwlQKVZpBGtIoxUtfOGrHOgZRYeKimcpH7fUt9zkPVCyMY3E9Vr8w
SSFMyQuo+IJ9Eqc/8Mb7+akvrW5Hzj63lZ6GA78rDkzJSwasqRTkoL0zE4QevjFag13eKxh7GqAv
VqBs1fugoHRZy2SefgprYjx5pMbAXR6U+Zd5qg96rU92IaU7cCXYUvNSyYNf5cFz1gMCbXV5yr+i
/H5sq3Ivtu2xm9Qfi6C9KEbQmFLz2qhzaK8jFCuyoqlWpGTgE56EcrKHT+FJO/1N9SdodElW+VA8
RU/r9hinhyZe0ZZwRmsQzDXlY1cK0OuprW42nHUrDASiyVamBjP3ZYUzKuSI39Jvc+MI1bs+3ql5
6aCAhE6W1F03SbxnBfToak2Puv4UJjhFcQ/icl32aqiOxUYCqaLY7FvRNWr+bt0kw6E1CokMTinx
IEOkX4uHNn9P5H9TsrkIpTTyMS+e7RLCACEoZQQC803UbHX9WKmsZztB5LV9o9Cn5bhyzqvTqSx8
UF3KzrKJrcnKAzNECu4fiDqzLFLgo3dhYYwltg3K6pYIclTQSxPpW83T3eHHyJQ9Zrk8hTtx0MbF
dErgLmBOXipTr0HHBo3MdW9gmaHAZkrkMuIngqnCIelv6naTtg/rJq7fSpiiQ8cM6G1PWHLhD3G6
qLkxSrzbxZzdVKGTFKFdQkbdSDTGaj4JrM+2KOfmq7SOhGAkuBTdhhvMEG3wiQ6lvxw4n1kDun56
z9YoT6+yyhhVET5RZFb6TBqrlN3yor/Jty36+/Jb7a71oX6x6Xcssojrh/hsmfb/ScuEHLPTLh8u
FlfgqVmyeACvJ1UIYf/v70Z5fNE0Uh7g47mNYRbf0EJd3kTWVNnomcytisgxBrFJppk34yaz1n2G
tT7K+8GiPWQa2utBo/qjjRKTy7v/6iqU56N1MsqjEcsbXMmNrPyO0yDXLZv9vnCy3maWfK+ftD/b
ecoKXhwDtIoUeU+yfllsckARMk4KgVavHBFOEPHF6cAWT2MZpRIF6KyNlbbFeSjrm1pvsI/bcPy+
/q0+CQbOKxP/DvjGgD8GaWgirzLBjp3oKL+lQGN4/waP9X+J/meDBKsvtrIoUE0OBnw69ZA9zjcQ
SXb4h8HhPAyCb9iD4MwFUqhioAuhayTYq7FAIvaKJdox2nmUbe1CSYoxuvJJbH1eH4Ur7bSkcili
Q08xJ05d4ULb3ZNtMGWgYar7wUpJMyD61NR1saEY+czlpkSBPpG/Dzx64ObELLjZllidqIxzfRpw
uTCkzfVQiglq15KQv2TyYnKN+v8OGP16zZ13j8KOVgpnIQlwpQXQc1fDGU6/GzUmwSZrzyj8aNpA
bfjs5PUC8KM6FmhuHjf6LQiJIMrZWYtsZrjkBqd++W8Hjm4iDvrMQHs+TJNEKjICD/FT4KbEN+zm
IN1qDIqTTx5ef3aUbh+Ws7rjeZKugqAY2giPhBs+eTCXHMrd6B/OzOFe3ETef1wlBSta26GHWAR2
EViBSVcdTfL0Eiywwx85W3pbN0g+2MeY8rxKClXUVOGXaSGrxIC3BFILCUxP7PLP1cr1SQjn170q
UWgCqucGxCewk+0Jvz8UzcDUne+jDb9hvZtYd7hEIckSgJBNJEm5bB/dxrwD+HeCx+UGJCvvs126
+UP1BT0qAmMrT5fZ2l5S8UmZGUaJdn3VTfziMUPuHTULqP56IGk/Lrtql/vRJkf7oJnxTnXQfJYk
CIlN1uzTsUsvhX0xA9Da6vsYPNfcPlKfeMgpjRDQXXcbFlpLFN6oYqVVekR6Hlwd1PjSZtrofovz
WNyUbmhHT6qzbpG1OAp5wGI51ZjnUly1nqyKP4LcCMrDe6NRTAOyEevGGDBHk1KgXgMOJRXeWiId
nx7TDvP43KMWPa+bYe0i3VIRCYnUT+opcpegJN8//RVEcB7ksAsz+/FfIzKZApiWS+V2kbE06Zjf
gGNA2M0cQkDjPd8X98N9akd30VMYMfyFEZLRHBwgLJFKLsKRjML3EqIBndFayyyzWlRY341CGaNd
9IEnxfNkH76r23gzPkUP8UG6MQ6DkyFqt3lokyrf1z8jA0PpimjHRYpSkOQCwdDCTb3GaX02hrL2
kIKXUJswPtoQWEveDO0tqfeKyOpPYb0lZQpDMEKot7IOI63TPsvOtDGsxpG2uGOtkJ1xJ7fLCmLJ
FIq0agJuOZIgVqDLrrlLaoVbDZGEYAkOBrlkk5VnZIRi9LAFr89/NQrXxntVyJbMV4xrgGGCLogO
XDq1PUdeH2prG83tWE8MdGLBBl0Jjcoe4/7LKTRP3wml3JjaWgjZBlIwDBMi2hAfmchBnk0rH0uh
kCNqoXCg61gYv52dyIq3OkoypPGG37E+0yc1rz9hCV0SjYUM0hQcwQu8wHflT9UzTGVfHnQbZBQP
yjYFNxEszxtWEYhxlumSaJLLBshCAI+JH3i9N2xIOVTesGi9WE5ChShdKnFiQPZSWfLnfuQLtEOm
DFhinWWFAgwlTTIwnyBfOLhEJCXHaS6gHb7gaLH7llgbRwFH3gRQOSQBHjZuK21ST/J6vIRZjzYG
CCoUYvRJxU9yICquvLS3Wl7Y/Jg+DhN4/dcxnfWByHIv3mziME+5QNoPl2E7ya9GynxKMSzQ9c5I
0MN6LE7RorotbnGgHLQbNhthOzm9nznVD1asL5DNWTnBdIGTk1JVwhD1r3TuYregWxleMKSEaW2S
RyajfHwKofcMzOoyk36IAfYqhR/SbBQR5F7J1aLmTrhpPc5Z4CbGXfdM9LtZrsKIGOkCp1x1WieT
hq9GCs22vo/7zh21jQRih1JhJWFZX5P8/YW/FJyql0WMr0mYN0rjScwf1x3yg/o69cKn65xdijCj
GpbFFR6QTFO+hbmp/oi33a5yFou3xU1gNthQh5QCCouZ9iVfZ813KDDR4mTpVDJiM1q9wzuaC5nJ
fbkPTAwOH5lPOJY1Ck3A/j+HrQZ8bGzeIjdcbYH2GC8oNIUdmbcNyxoFKm2soOIZ4uPN2/SmcstD
gKab2RbNyho3rCw26xBSyJLoo6bPLR4ykfatR8FL7HM3KjSPb+9aPfcqEGIwPIexPLpuiam8eOTn
E9JEGC4lIZbklUjSpzY7pmPcA3TVMh5HQ8wJcJI0DbkH0KrhgXh0w1gU4yKg65Zpo5TJlMJO4o+O
4iqb6SU8CF7uIwKCaN+86zcLK0XJiIDowiXcROxKspGkA36xI0Sr+l7zJFirGetjJRM+VCzFBfcD
HoeIthS3PxgYYXDK0OReSVqBc4oNFFLs8HV61p67H1LCFrNlLZYKUSpDECq8ptDneUC10UFnt5e8
E71JdrMWKztEq0hwQqvUOsk1kzpjvCEkp6GneAj/tqwAj+U3FLJIIDgLxgCTsYqRmmkA5qf8sCRf
172TZYQCFKUJeCnisHdx8BpN3/tgi9SFvW6DlaDXKCARIz1pJdLi1tmTTWZ8GxFKUj2UpDCev210
h3XmGKuip82CvG+HEuPdbmroEPvizEzqzREtwIyFMV7xOlW/EZp5aBQB4E+8AZrm6s/sLbM5R3Em
S31dnoeb5UvqshyDFR3pBEYvrvCS58sk5IEozauCdc2m8Y0UISJM+r5IX3osNzNJ/5nIg/TKHE3m
FctaNwmgLn7AoKD+N+v4AaiT7cf39kbZZHZgi48pBG9sY6vuMFv3lr8wtpv1WanQZS4xPN2SOInb
TG56n2+0DcYc8LZrbUnHQzx1C4uVqvyk3+fPA48mpenHAhzsGtaavcpQ+alvcqxVKSGNRob7OAta
knsivqo9L8+5HR9ZjXdkUSvhDD2VVnD50sfElyN9NgVlq0fvjG1l3Lo6DTQKBq0TEmzrh8onrRoG
NjS5CYkQOLPd9ZOUABHtEDBV9FFAtFdLfUITlLt8446DPx8CH5Qu7esCyoPOknf9S8rwm+tuc7ZI
HZdFyIxcUhowOgTgTgsjMN205rh8W9/GU3Hs44c6m6EORRdE7dCRe56kiEjpQNoEb1Jnjh5xUs0J
Q7PHQ6LYLCj0ogFP1NCVUjjTc+6itz7HfML9+i/65Fl9/kXUeYlaaA6VZHpGvWvwYdFsse0c9ExD
ohjhlLVu7Xo4dTZGvsIFJgjqoOkdDyw0qjsk/fIlsKZEskP9i1S1Zgyq1lwo3HWbV+coReFslIr1
8yjrYqhkkG6p0pTTzFIKCE5HnpKrltL1ptGOZljqZr2wGhRYy6UOTSBkkqzVCARIix1Jv/RujSzC
v0u/nBdI3c9TaEQpBGHwmFieOMLKxLHYIph7SN3OcSR2Ezr4yEom+C0olvzYJ70BrLV8Uqj8sxiD
TF5duIgs9a02d7DUOtFjft89lF7sDdtyL2A6mjf5XfzAuiuvo+fZJHVDSz3SjwbpxGmGeFuD6iow
eFb9leEKBoUvOjcumUEOvvql/ym48UbZJLZxMwtmiCYEYYvIePfrcoq8mXXGiZ+toA7NOSkYXBHE
4KJzQastb5Nb2ZHBWGbnlmxLW9mVINll/no/JYwDz9paCl2mpNSKTsGBT0bB5MT3cGBpdX8SOJ6/
HoUpOif+HihQHsQtycMEwFHugIcM7iY2O871sOZsjkKTshYmaSbOEqlfkbWz8no05ziy+39ZPD9b
otCjjxuJi0lePNnLW2QoMGFSOeRFiGFNXLosrYRPCs1nexSM1A2HETzSIhDtqz1vTfv5IAhW/CR/
1wWzeJ7t3G5+hIPLunqZR54CFzGtQ7EnZ+PUiXyfb4eNcUD2UPBkVzjkupl545a5vddfhH8tF3my
vwMNSq11Nc3IXMxa4E7tIJqqxvXbIFVBbSloNphnLREqfebQyqM/BslzGTBhYf18gBL47z9CE2qp
61qy5z7/s73BzJIt+8aBSJmElrwx2A2PJML4HAskngIicdBTMPrismid9IYoYiWudh/6RC6odrlb
ZjzOskf+/gLPF0PhhiaBF49bebvsyfEsXrRDb5Oi4vhiMIB2PY4DHdjfzeHQlEJvCIsbKT+zAHUV
Y98Nj+sRxTqWgyP97zYwuyokCZnaFj19W7jDTvJanz0swVoKhTSYGOi0NkJQ33W1nYLfXuQGO59+
rC+GnOo1f6BQJu+0eQQHw4IMAkYxGqh+y8qmGKF0GBvgWS0cPq39dZMMyJZ4CmlipdPAOYQNjCXw
CoLTrEJDknSThoe6l00d3Sy6/jZ3W1XazNwXuWGVHFmnjgKcUjGWRMvQzpzwbpgah7zIWcm1qx8P
unMq5Adl7YMiPFcLZYZZbHLM0FqWmOO9tONuuHsVzG2SNX3hRYed1mYYpYu1c9X1Yi+XCC+ybdh8
ycrMCrXAZnw9ghAfPOa8NLpem8fV0nanVjKv8kkZLtzrIE4k+WWD+WIQr36rC2sUXikFiIBlkoGF
7pwt7ItjUphgteYrU7gLb7ub1CV3PMmtoATk1GiIyEB6HlgB6wV89aBc/BAKyIQmF1sQG5I+rBLv
e70H0/qMVrYX/i30RzvaDHepPT1Js5ccRNawBOvLkl26QNG6aKI6kWB8yizuQXIJXUkrm8NusDAx
hJFaZTIjh5WUuxo3XiyZ/KoLq8LEQ/mKtOKjV8Np2zS2W1F0lRLtgl1WHrNsdtd963qe+MIihXn8
qCj1GOG2aOzZ4UxlA1KtiTfrQ//DeOGc2hZQHBru1J34IgpWJpvG43/8BRQeZnWfVgHJm5H2l/kQ
36EVgfeVe1KXIk4eOYSJSjxkT/MmcFjxMsvJKGTMIbrKQ7ES3h7cVqMHaT8z0R859aGrX6DS6qwv
lnW2KBycC7Ub5xpe1XOZzVfo8x6UjtV9dj28O39TujQ8d2VXGL8ijtkRn6XBSnoTNAhWjGpDYGrP
AWchBcnK7zIWR5eHszGR+Z5cMiGP+FFMzLpj9YGxTFDY1BizaPQkZz0MYGeOvnGs6Ilx7OmiL6rq
v/lhkmV4NFTol+TT8lyKI6vhmpyrFUxXyUovTjo4COt0PA2YVzdRD+GI/DvYIU0u5u11l2OtiIKU
oe8XDDUGilsbvZ80iVtEIASUS1aIwVoQBSRc3WdSQo7x0Ju/Kgr5XfpkYOh6clqXUN4kTuhy7vrq
WA5BgUc8ir+nkBcjttXsSQcj+rqF66+0i9NEIUQUy4KiBvC5FvKb4ruybw/xYXTlU4aZN2NXfoFS
tcWwyrjzaXrdcMABEidEFrVD+G5IH3D6FFtE9jM/JgxqjOvx4XmNdIlXEyRuKQlHwGhp5ilL+jW3
OlM/NqjPR1tWMz6BuRXnp4u8Mqc3HMjAMKmZyo6Rh7tBVY96xvmScheg7zgPloOQqIyXynVfAb+2
hnnoj4IOUE0HHYGKDykPe56bTC6KGWfteiGSUHj/NkH5SlssvzsBOht6FbfI+BxCT/MwHHWnMyKU
q+dNUqECgD9QmqcesokkN1xGKEZy/RXwBFJBN8gPEwRJ1j2RZYeC3C6OAz2NwYasSNBXTuf7vGif
BS19YtK8X/0+Fyui4j1kBENeJwM1rcNbZGKoB2GDQ6S9JAu0GOBCemMlIq93xVzYJL/pAoYrSann
RCePZYufnQ5TZpI1GN4QgPUZJCoOSi7gwkQToWgK6WZ4BqO2uPlXxaSLH0FBdILP14D/WHGD6GeU
CKbYZAyYvHoJXFggH/limYOmgNWNPKC1+UaMfgTzS8Bi+2B9PQqJhxHRclLCH4MZysQid8vp1eu6
K16Nji9WQZ0uQ0qKfsowNDBqr0vi8ctWDFNzam7T5mHdEmsxVJyW9Elb5+TpkS+VPaUoTmXMNCrD
Bj2QJIxBpSanylRtQzzGV3YYhpLu+Yfeju4FR39pnlgtbdfLfOcdpIeSMNeycKDcw/vim7qVrfEp
3HZm7IuvaAAzU5fzWTnOq59M5iUZ7GwSVO2ojRxasMgpC3hzlepOlM2u2MbTZsk2scJQGLjq4Yqm
iLwONUSJlqKop2nQQPyF5gJ0BE7QZCshMamnzrpfXH8unc3QH22sOt2YIxyk6lU5zngBR2gtGzZ1
bQZ24Ho9Bnyre9GUoXX/nTWdcNVhLmxTiI+IfuHaXxVhBW08yp6ITGpPuZ/eJmbiRF9Yr9HrbdQX
FinsD6M4qfRfk+GBN/niEwbQ29IKTlw6gMiHbJs+5B1aelimr35OVZZQioYsHU93K2pBGXURORxd
/iVG44TMP9TL/frHvB7ZQcdd1HVBhjHqwgkHTpZQ+0Ja8a7w0W22zx3c2B733trc3fRMSKxbZr70
Q/0XSu66oAmQA1dkHpJuZOkXWKzrRZzLoiye2qpPrFkPnDV/I7Nd7LEneh9pYxTwq9CkQOoUxqai
tbJmJ4NDv5IZaPkhfKStUNivFVXSipWI2P91xtRhvFUx0DlZ2Y0MCcbCEhi5vuuLUqB2oeC7fRBA
yjhuEKSBE92sgQxRf7MoutkOLMLHT1Z1NkPO48WHGkJt7hfkBtA6MCI1Ajal0g/sGiwFitXiSqgd
Fj6fgrbLwPjXRp5NUr4hGWUGOjdyw1korc0mAhLtVbKXDdlO0Z8eSR+rYWlfDLDUqCaiIrawx4eY
iP4RlM/0oWEUNZkUr53KnzCbRwbUM7f8ASJ+DGwITuRkT8o22aUuqxhNPwxo05QjKXXEhZ224GyU
ij8X2ltaWvJU/IxDBbQJ6Jxa2q91zXBfEjasbToVVoSQXR37Et7LR7MZ1gcwDjg82mjnSbMjY5e3
LNY3lv9Sl6IKpbBo4LDBC5qws37HgW+Zf2aAG8HmlVWdbrIL753KTO/1BatSIObW+CqaTcODjLGX
wkkfWKkf1lmhXyOKkJVIhZM02onppTXBuObGePpIVmJWnuIzVsfYQpG6mepElIcxCJCIPYb3kNhB
Ew847azpvnMCc/S7Q3FgXUnE7dc2lLotmllp5KQivjk3plEWPtdlVgBlSF6PzfXl0Tc9dQxOKfqL
bxfXi9bEhSG66vIoCxA155hEJSwTFNIYpd61ZYoPluy7/fjFeCktTTO1pyUz1c0CiTVonk1MclFS
4l3bQwpalpxvo5k8EogMFNFN7UCGTOgpWUj6IQdKbyGFJHOSN6jlnwaMBXfMzOwWLd5f1b3izbby
Q9yD9JDlIB+ia9omBSQlz2mkVf4Xeuf3INLZdaZx0E1j+6vZgxVdM48dhSRZwitx3uKQy155I1vl
Fk1tR9EvnkFxaiIg/L7ul5/ELn/uJzr8neVEieb6dD9NNnd6Iw87xTE8EEnaLOZ/xmVAP1agDdNw
pYDtlFH1bb3U65F06zzWncM4CRIFJbwU8mMYSgiRIC1gCnKYPytC0j2ubx0DPehYM8vlUl5mHGku
Q+dbGY73OT+4cSU8zNLkrtv60IpMOSLNltDLy9LzNXaudbRXqE9oL1kB4i25Mse3AUzZJeaYo6fZ
rwsTAo7i/bp51lIpaJkSfsKUCrA5rFKzlg4KFHQk9VVqWQI09OPy1zJ1WechSy/LdKN3lw2/vb97
TR7zG8Vd/MzVb4ON6g/b8LF8jHblsf3KM9Z3/e45m6UcRkyKuuZa7G5UH+XhsU/uR+FpfQtZJqi7
Zmn5pFF0nDNjekigDySl/jz8XLfxiZec10EOxsUtE/XGkhXx6TAHdxNesplLHkDxgXDiK87sJpvg
JT/Gbs16yV73kLNlykPaWRH+GoTpSkDz9FC4oaOEJuQjn/NHxAzbpLT4zb8MU86GyQ+7WLI+yNEc
kluhw9SD+BxZwmbYhD4JU5ov7FCatU7qEgpLrk/htviM4s9UCK12PsgRSH7Lwlr/ltdD2PO6qJun
krNWV8iwzYBOw/Tb2HYowuEuaHNrAL8T0pnr9lj+Sd07VdXFfUkWli2FlXZfqsadl/8380wdb7ox
VapLReyhz+yCi7mzjYLj7EXSak8sddkOi7B01xd1/SL4s4kGlV9Bj0XSQRRFctFg4hp5fiPE5fO6
Cca+0U2pSyoFvJohhpTA6d9HGzV/a8vXdRusZVDYIfd6hq4ifBseeupN9aMcGM/vU3D9MYo7bxQF
HOlYITVKvr76hbfQ0YY3qewHt6ovm6q5OPvQqV7UPdil7XkXYP7SG5lvc4Kxaz+BQpCob9ulCvCE
Im394U7YlN5kQhXyBnQCX1lVApFxvAwKNsIxrIKYzGMREl3Zqb3BHlwwTGKwNHEDu32adsa9hic6
54lm402etBWc3EZ7jl/zJmsClPWBKVSZxGIahnEW3Tz/NoYOShiM0/2h+Zw+eRSclKXe5AVRJCr2
YOTHuMC22ET36dv/L3hLW6KARJyXIQtUWIIYkbB8S/uX9cPwSYT8l68qdNPpOMzdMKFrzA2+6N6y
hzIq+iCGrfiKuRav8FjtJB8SxH9fECpzf79hAjULkqFARI7G1kPvLG7xPcW0s7CRJTSeN84IDvL2
FhUmL7UNn3tcX+46vih0r2nT8UHWkk6xBTKp+YJuzP59QfPWupVPngHnTaUgJpJqJdE6bOq4JZW6
wp2g4iahxC/v2MwQzE9IwQ0IxqK8Jpeb9EAmvdItThxyC2UMrGm80GbFr59k4c7Lo8BFqPVKK6JT
6oSHeq8pOpVbe90O/yMRt4AkRbOCI4dz3hwgweFDInx9g6+/fM4/gMKbAqrU1UJOBT9Ley4BJ3lV
OMh33CMutEoZQjdBuilDVqvIh/I17bwUsqTCVGXRTL4rsjjCPjt2GzIyL+7+wczuOqaCOfTvB0Ud
BFHtTj5kCQjGAg8h4BfVLvcSOr8IEU2ymTeKn+yh+ba+u2QVn98dCi2iNbd5PPDkEbtUKCznKcR2
Kzde9pNxLJiUUowTeYLai4iz7Ee5i1P4UvA0xKb8XBxLi2hzhIcMhe3lvXaTu/I/gt7pO18YVcq+
jpMORgc38OJd70FV677YEL2H7odxywK99QtJOcHFhbmlG1txCGFOQtJIV/ZTyIA1FgSc/v7SgtG3
YS7jkxFRGsMt72OHCIVJW5ByNVuOOb1ODtiKi5wyPRf24hxc3FqP8KKJhEM6v0e1ao4Zt+EyRkD4
ocRGHblTHuvCUgVhqyDuAG5obb9Dd29oFsfI7UzwKFq4RFzRjXboLWY2TrEw/FQcuzAsa7K4tAkM
N0EMIuZUPHDVZI6tJ88+Nx3HxhH1N0XZiQXrsfJJgeEPvJ325MJ0XOSZUBF/aezskfSK4X489Sc2
UJAhMh2tr4NLJnE4n/X0ZB1HCnW4tOaMkfCsCPN8pyr7sKgeUFxoGBDzQdGb/qxUXCN3ebxUJL1q
9FA6FR3p2OzBv58Sybllk1u1rdz1e9LBnZmpN1jLz+45u5femzu2Hugneck/+02XAnShyvDcPp0e
Up4jISwhZpusJAYzbuIETs94j7Lcmq4HIHxEPWDG+ok0kOZ3rr4Fc4jTbDJC2wxlIt7NUEeKGI1s
rKubrgvwSoFe+QV2NQVipBOalnPVVsPG0TkUdaLK7uP+Nopjf2jGXauDoEWGeFwe3Pax5nahFFnp
AnrueMEki67wzyhrhGZV8xha5XV//R5ibhIVRlWtXHBKQs6B2zsD8qmyI21Q33OgDPJOOvw7i5TY
WNwgjPuPri5I6hR2JYnuk+hrbgBquG3eH0sdvLtt5q2vkXUQRCqW0qIxKwvoQODpJPhCaBtH8Q4g
7immfoe6DZqsAptH+8JXNJcJtnTIff4b2Cttzu/Z7LiMuOr0Yy+Ap8hHXZw5rFx66MAx7xQ26JDw
fl124ttyB7L91qw20hZxF8Zs46/rW3Ed9nTBgFCVKqKvgcKEuknGNMrhm8I3fVtvoa2G1Ws3gzU5
0c1gDqAFPoHeW79j8SVcv0DPtulBlQhy6mMvISfbbzu780k2XbmRSasRZjcya3hjrPUqzl7Yo55B
g8H1c5sh3R0cdE/Kraw3ExeqGSmYGXLfyMxatCoiOsViwbh6c18YFv8eVmbq/Dv5XDfjjdI1zrzI
X/qpeS5L7jtjkeTf+hAlXNiizi8n9m2woIUFHDuEooHIJozuL2IkVAZZkMpaGfUMEqO56TL0lSCo
GzCrAa8FO1J05H7T74dgNOGZfHnXw4SLNdLnFwJ9cz7AKpkGWmwIFLtE67P2QQLoSQxEvA7fF9bI
HlwcUG7KJp6XgYjGAwiQ90gO5zejN70UyLLE0NFq3oXGjG+TTX+b2uANd4wN45uyHJeA58UvkONG
iwQSj414lkwgJ44AUuXBsDpH+fnP6ItYH5aOSTK1ywoVJodsMGP1sZgFfypUU84Sd311rMVRCDRX
KofGa0Q/U/W2LPeV/DaqDDXCq5fL+QvSsydFxvdq0ZPk1PQ1z41N18RmFn/v2zcVL+n15TA2jh44
keNEC+QE2dRI3CtpDRq0xOxKyRyhVrxu6RPHVCRFlCUVzdaUW4yGFEetTB4EuDLQZOgEPsjCNvE2
9mo7uT+N4vkNnOYXPwvr8F9f6dk85SIJX0R1nqKNqzTmbd0EN4aR7QojR81EfVpf6tXHHORG/1op
5SNSpA5KQd7lbXS3lNtWeV//9xlLoYPRWeK4II0UVHVBR7b0vhTuG1BIN9X9up3rvv5nHacvenGQ
VUPtlyyFnUISrHTcC/GLKhgMD2RsFh1uSqkIqt4c0U0KXv9O682yY7keywR1yfQaL/PRUmMCccqh
HHPfBwxQ+CQ2OO8UdbEYaKdrI66SEKsj6+MKe8IHIJsVoasSzdg2WK3PrCWRT3fxaarSiAW9xacp
8U9zqA6HzBwP6+sTL7wwYbR9kYcidi0OXvrwpRMf+5Lx1mCZoCCh6I1WyTncVXEmWzpovkopNiNI
Xa778fXX2/lAnooTF0sJCrGsFFKmzUFjXN70d1mEZuMadXto2Xf33ROC6u//0SYFAgGX9sEkAG/C
Z0jq/SRhuuwnz7I9OOIe73KbY8zmXO/XOa+S7ixpU7GcMVUDSp3n4nHZGzvCltJsuPdchDqZuont
vmN2KhDY/BjA6Rq6B3jDUGgWMb3vxxJdXYjIl+mA5qTtzHUOnzeuVHX7XJEd0PB5jK0l53XNJuWZ
+JZaEpBXwGyFN9ltayZ281LbIC1/bhASszrlrnvpeYmUl85KoeXqoOJLZhtx2saFZAlNZq8virjD
hzUZBm+okoSOXLrLX9PCWJTJYIZeLWbXdmbJHzn1SRC/jtpsRgJvlgKLMffqPXK2+aE6LLdRV02h
5IbQr8uk27rL7LgZTdCm++urY1mi3jIV5imCUURIM6W5FSgPY2c4hVaaECFkOAf5GCv7SJeHp0gY
tWAApOjyLpJu0b9mNTye5VVualnOAhaRYY26WeRCDsjBIERkaHwaiKKy1butaBIen5CZU71+z1x8
MeqemeN8LKMeq6t/hvdE84OzNAcDf0eMXOExwWzHI99lbTepa4YPNT6vSTM16R/jD4mbkuX5/cM/
qGZcPdUXa6NOtaApS6c35MsdVK96JICp3Ch3hD4P2OX+57VRx1qtFLwZSKthsQ+8BjUFosJWmOUt
mzL9OjRfrI0KPqGpKLWoLJKH56+Jl2VH6t7gI3RVJKlGdAixqMavRggXJqn7R8/GPI1I+pBTB2fS
K5vXfvyXQ63RdeHYkMW5nRC59Rl4eOPJ1MHIgn4dKygFa93U9Rv8z2o0uiYs1mk254QNjEwQk0ne
YSff1uAlAb8aGIdKR2F0aFxDLJEXFUkEVw7+o7xDqjgphklwreCpEj78j7Tr2rEbV7ZfJECiAqVX
xZ06t7ttvwjtpJyzvv4u9pwzrUNrNufOwLCBtgGXSFYVixXWys3QrfUvqxF7gpXtmdhWEKcaodRl
XaVhF8PyJerehjjzlOxzYgWasthLeVry5zy+Ibkg9Npfn24ZJqEWwhDOsssBBzbOhepbfewZ43Qf
r5iUiOZiBcfi/I/K3US2NGQedGJRHs2tnDRCW0llOYERWHzMuGNMe7FWehCnC+6A935T3m1tpXFu
sskkWhs6pLFwnDiqO7xoaM0Lv7AUITjEkAoZnQLtLsCW9RmRcw9GMc0v/LKxq9fWyZ4s4PG7/6RN
dvtZ3J73ZrasVYTPqprv6fIyj6Jt3j1UUGdSg8gY+OIn+KYmGkydWUmbL06sFfYiZXYfno2ZHgRq
u+etCaawiEpxngpPD2JqUVgsa6/4xSiBObj6gcnFr+jcdhtlaZy50TM3bfP7mqaoB4yYeKuaAnV4
pXesthCc96532H4Md96LtHRjkw0yOlT0XrcZ6rnktV6fHczmpi3cxe3BmC3KKOx5WMC86hhVl1Vd
55/HKia2dKJPQGQiv/K6x+NVENGLBLDoY/NsmfQ8N6N0lv0yij1FPVlW7F4/xr3onVhA5IDGAKHl
Ny+gLWDTjld4udxywqhxQjDIGo3X5cpJT3801PwHAlXZklEbxfWg8UOJWWqFc2dKKB9IqwOQJHsF
0DMZFISf5655nkvBFjKT4j3BVh4XVJBQrgzF7NGQaBwNcgpX2aa0FCxqV/+2UrjLomqLwuhrrIpl
eLvHBkBHCTiUsK1OhRY2cAYK4uk9zdgK5C4NqcBhjhMEytL4tAzp13amgiykSAQXP2SN2UxaGFGw
5RVuvB7rfhFFz3s+ZLMKHjIjp42WaiWqhumRwaer5yyYTzJA/cBvj9i5FhwT++IrusBDZigqrVYt
S5m4/qi88yJofhuIoAgEKsfTIiTVlFpLgY2rgW9F8uaNdugilXJRgVgkh+3uxjvAtorSoJBjkd4h
0VMx6IgXBGGCSAjTko0QOcuzYZ4hhIAgaSwfLGA5WJmomV2gazx1e1Z19azmBjzpsT6ubn2nodDN
7moUur90d9NB5Lp3k9Fb1eP8QiPL0xLPMQXieg28SjQwPdfH8chG0YFYAQD/4YJHz1HFqNPfuTp2
HwRb+ZzHWBtCkzBnBXO3ebFsDXKRH0JMlDmLj6bmV3EToEj9OZ8hAws9mXMcpUYit/w+FJekyJ+L
mB4i3fwuY0bTmVtRl7FIKOdFhq4w1a6BzTEuEsBOHlTgoxb+P5pK2OwnT4zQQk5TUBV6+hA+vN//
mPVNLl1lo2cB6iOEJ971XYpuKZamKWBU5TIaQ6zSLIoLigfJ7A6d3QUxHscMaaW6x0xxIsSX37XE
jUAuGKikhuijgZ2Mgdtvx+Bdz4f8NtEtgTGK5HBupVyJVpIop35o9EGoPZZN5i7mw/W4QySEcyvW
sNRL38PgC4O4YwJ4NVUhX3rJoILQcNezbHaNfcjGf5mdmuXmmMEZV5JsK2MSO3o+O9dXw4z1t4tl
I4RzJjlGxXJDh5AwKs4zsc5TFD+V8+ANlHr1KoJIEm0e5ztyoDlbkgJNSGaAG8Y/iigK5kYT3M7v
43TXVsX5i9iwliHrsKrez4m9IKx+bDwjiI9GoPjEm17mC/VzN/s04vGEV+Ot9lnzid1cqDP5E/qL
R+qy/iz037jX93vvmaNu9ptzKmXcV5K6wHkXcVYGuGvjI43qJVgG8K/MdaL6/0oe34Cqy6k2t4uG
DQ+fxno9SObtnMS2Si3BwgTayjedglIyo0aIk236ubWB2HsyivHT9cWIZHB+pMjWckzTd4vI75Ii
/lZR1bsuQmAP71nMjdGxZO9ogVDLb9phsEu8Eu1JLh7SLnKTVSZOZf6jWOhDI94D9I3EUJ7rqpex
KIoHr778MOvOmcfj9WXt9narioW3HvDqqM4Dyi2yOeurgku7vLRHxU7A9YNRb3u5/I2MITuG363v
T1l8bDwpIRCn8Osd0jPzoodYtuMX9qKQ7fyTLAtc2O4ko6qreMljNEshfGdVUVVVNEwU42jH9siu
s/4MAPcDu9R6Twoqt0Q3beT0n0SgV7vtMehdV1XVokCS4XvJVbCIJeZsIYd+s/rDbXIKfTbjgdAc
dB4i17EXj2yE8aYc5aHcRaaJRKzcn2U9vEhJ/EtJ29u1cBSaB/nyRo1OEuzuns1tpXLBQtNPFWnM
RcYY3vA8REUXOXoBkgGBmL2LQSempVnoHjFlvsNipmkVjxn8IklPJAEwKiqc2SgAzdtLGWyFcNdC
M1V5GZIBicPwJBcD+nEnPzW/FpJ2k2rnOaWCRb0fCW8JqKyb6BgxqEb5TFMXQmNl5hRn3zjVCCEH
3C5AtRXSeOxu30YQO8WNE5EJCC/6Em5+1ABVpw1OXJzA0yC4V3c1EB1tOnCLFEQ1nC4QqEI2V3CO
DKv3D3a+v/MK3TerjRzOz8ehqhS1BgeSHkeXgc/0r+pt7+WPoKn0RM2KewoOFCG2IGSTfuvLLMET
GXY1FiW1aW4PFCgwyCwJNIGoOz5xI4XvwJz7Ed1tSkX/k0QmXnvRMRZmedYZWCl4OgHgx2/t1ilv
43N9agPLXQTx5J6ObD+BO72oHvMMvVnAw9DQ+QqscqDbWJJAyO6w5FYKd3bDtMojjbHQ9nN+7L+P
ruytR9bmmwA4bPnJuDhjFMfY+xiUo1h05VcXKQBjbQQ4c5HP3LvOt1/DjmVjFzWxRjq2keKnyRuV
P9Ee2Ld3a/xAlu+CC3bv0ttK4ixwGMqW1vQ/j6rqsQQAjnbU7iysDOxWopnU3WrqVhw77M3C0K0w
kxDVfTRMxPfJYT30h9BfTyumRvog8kV9BLuP/q08/p1gqMViLO/6S07JY3JunMJhbZHdpQN1BsB9
XdGgq1AmO9zNGs3I6gFRgDUyTH8L8TrGQxqbgYv1YKolh+Suk21DcEcIpXKXRJ8ZcWGt71Inb7zP
HoYgdpFhfprc9NDdsZSosDdcpDzcqyCacmALZXi4/jHPPEHiCOgYUJ8yGATBK3m3E31zlnyTZlrX
cU80pqropn2j37vb5Va+WQ+Gq9dOCtS2AnSB2qE5wh/9v3mV2WjMVjjnhcq1UAfaQZH69RwDx2zs
bnSi2j15kBLRqJ/AtfOc0YNcRN24xIqfV4g9i8iJiPfvzJ5HDLeWKaZEgQjta34x30dr6kPb2rOn
o51H5M52A4rt7nFepkc3ytQZUBQ5LVwlKW09RlWwBOyk3jv1Qh06fM9o4abjJFqpaDM5j0PH2Zzj
BVqTHsmv6ZYVQRO8lpvL7PVOfyPuqhD4boNzOdFIyqFh5p/2oNFKcC2rP4f4a6VcZkwuXT9H0eI4
V5MliaRVDWRVyte0ujfml+v/P9scPhDcnhvnVKauzVSZORWAUb4i/3ahlhXZaSXCYd+L0LZyOEdi
DHoRDqBT88t2cdRUeaP5ENmm1ma21iauGnaXLFvvMqtdg+srZKdxZYX8o09da8ycrlAPkpe+ORIn
qp4WnQYVEbEoiO4+vhgSLqiP5zNExYndvUQH4Li8WmCPROq7eW785Ek0NijQDr4sAtQrkkYFTi8r
zS9AhPfGpP52fftEIrhAJSrMLiU5W1OlxS6RJoZf2wrOSOT5eVpo8IablZ7D+Y4YbZC9/tI9Rgd5
tYuHAo3s9JS1bndJD+0DwSxLb//bKIIvlqyaGWnrgHCMBCtmAg0nt3zmRkYP/a1ucWccijsRw4jA
9CjnRuZyNCcZCXa/nRbHiitbbkYnn0Rvo90My8b0KOdCmi7pdAzL4K1XS69gZC8XtzFlm2i34zTY
KHkdNP209J1bRAIkLNEKOefSlnjUpKop+1UL1o0wfjL7Yx9rgq4ikYZyrmUO23UaO1w9kgkUWcka
nKkac/tfmQFfC1nktFmnFv6LGm+VejFFhLCCreIxw5Z2aVsrgQHIiu51yaEkUpDkIugituFXfCHP
Bb1alOb1iq1S4vxo1Is9JbfW8pSFd4PVgwtSlAET+F6Tcx55kWjDVEAeGR7lOLKPyEnZkmjgTaAA
Jvv3TThe5+WI1jJI0aTXyQK1K0j7rp++4PbiG7KtujJXieB00iM63d8h/+rbXhiC7iuBBqtQDB3R
GWepfTaWKuClkONNyEkpZ2ReVXRxxJXAYtj/87saAF9aV1RL101Ojr7oyayNDYKKLrNb+Tua8ELz
ovZviXBCaf9sPkRxLsBEbjBXE4iyBgxuTOtwiABkeP10RDI4B5DNoVSTCjJqmrxq1vxMp0w0Of8X
r68/F8L3dSfA+quauoYqB5YFDnWWJJGcHsC1zeDkbwogX9KgELyI9hXiQyj3JjHnuTBXNVT8Vr0M
y0k3X/NJFni298mmK9rAd3f3moEcQdyy12z6TN5Yow06kh8YR7vmLp8xSPIDTwZnei2+ictOf/Fw
+Fgi5yK6Qg6NaoB0+YQawF17WPzpWCPL9A9f7R+SODehKWmklEiF4C07eSz5U2M2BqA9FrqKFne4
nzKndET5kH0P+CGUnfDGN4WTThcLGRhfwQxAJCM1QUq7SG5TpJKvW8FuchJ9V/+1ah4NTM8TMJcn
iGHYiChLTlq35MiwScmheRURHO17xA9hnAuJa1S4ZhU2J5+SQxOwY2NNAf92+zj3UZipHvU6xCQI
3pvoSSMo0ZfnZRFBG4vOifMhVqtVVddBOaS2BIVXOdnpFLvSSj5XkTL4149q/xr+7+YZfJN3tS6G
kkrw87253C95/bKskhtpo60P5e1SSYZb5qJGrf0wEHcKUYBMD7fPGVqhFlKsru+GNh67h9gf7ew4
HOdPYvrJ3d49YyOLMzVzCSuqRDg29U7xF+C4gM6WZZIZfQEIBdwEQ+HXt/Q30oT39M1GJGdoc9tU
RDMhkrULts/zj/ZH6a8Hetu50b2EN/qxjdCNKRzsF+4r06yNhTd1soTrHxdDGNR+CIxXNl4BBi5X
9EzZvQ42a+SMLq0Qxs8plDStR/RQFTlwgOqHNcnfrm/mrnFv5HBWp5C2bOYJcizgXPoA8HxFd/Rp
iDFZP+kHs0DbHVmbY28SgWHs37IbyZwZhv1U0iaEZNxF98sv8qJfyOxkD4zxSPZjpAWBhhGIOp0E
+8rnHbM0aya07ALRUz5FytememtiEV/bbsz1sTJ+KFyJsnpIZKafo+GSsbpds/rY91qJbt3lkISS
qIFGtCjyv3pZTHWpFzEENm3t6wl5VYfCq1rpy3Vd2Q2+Nuvi3AqG6uliahLyA0X0Y7byxR6l5enf
yeDciZwkuqrlNVxJmdy1cucRPRKo/H7uZrMOzn/EqpmYhobt0oJ+BKlGDvBAhvkkj/Y7HJIjjEfk
vSh8I5FzHBjfWNSxYqFB8ZzJ4OuzFrtef5rkvshuZe1X35euEh6ub+X7G+K3aG8jlfMhiL5BhCXD
wnogBqia1x8xu+H2h9rLnidf9ucTKKyR3P8nM4SbK8HgfApGjahMZYSyK/qJFPkFfszVtczt+ypo
dNFsk8CD8V0lekLbcOxxmunRPKmv/aG6xOf0JGoZF9gYn1uMdKtM0qKDo+wOFW3tvHhKM5HnEAnh
HgFKRJXK1KEn9XoeVFBi01PeC6xY4J34RGJttdES5yPyb5N5WUDPYRdRbbhTXHyX6HBPm/TTdT0U
LYpzG5FkzHP8/gRdqeVIw/hUWeFlHkIRY6XAP/GZRVNeq4520AQZE9spcPmmRIQbIFA2PnlYAB8F
HWDvyobEjZ8BTrU7/o32JXbQV0yXTxhOptKpFXNRf5CZxE7ywKhMFC+7E1mraNc4L7FY9TArKSJU
s4lv5BFTsKmo6s/c22+rUTGlZ4GGDXSRnIgpKztrSGA7lKCDokFlqn+TJYAuxALd3n8YqaYly5aJ
FhF+Ti6s1ZYUM7o29LsVTZbrQb5nQJ6ARAE7hAh0clexN8K4u6rVGjnGkA7yBMrJzG+r8DQvD9dt
Z3cUz9jIYN+wCTkNtZJiS5YUv8O1MQAecZzbE+k1t9R7l661N/WTq9AfOkLeqNNc2bht+/qmlGSU
edC/QbI7qcRgNYohYU1OZvI6yGDAM2ZnoJOnKe2lLBJ7mQw7oamT1uh4krsgqcpgjQxHsWbB03XX
+2ho+MYZgVbN4lTBmLslLhFr+s2odfYoF7dJ3pVONA1+u1ae3MbO9R3cv+03ErnbiPRSmVozYXEm
gx7Uz8DJ+GM2IgTPTN3YovHJ/Xt3I5E5kc2Z0RrUYMBMYRK1k/I0usVtx1pOfN0bv1GnuJhgHDhk
T8rx+lLfx81+s7M/BcMI/ldwh+KXpHYK7OyuedO85dSid4nhdEVf6eN4mFGaZTQpx+5guTGokBvM
oiPiEZaId13K5ju4a0xOjXZQpwmBYpjB2S9BrqKR9fpid41vI4OLeRHlpmNkYWLBkLQHtJtifrBM
PKP5//KWvj82N3K42ytLMd83rFhLtw6NkxjYv6bD9KtZCxKA+w+ijSTOnZiF0qxRhItZDqQnM9D9
tvGKTwaGtLN747AcjW/0/t/uIudeiFTmbZ7AOKb4Aai6ZxWzEUv5j+qym5Vx4W/WYoBayrGH2Vj9
QJ3gLozDrx3IR+2oMLzrerF7Q29kcQ4mqdEEKZkLwpsU0G3RZ43cZvMI1rYqCJunKT6jICxwMapI
FzkXkyS1WWfhivLeO5pjDjzZ8nP/uQHG4CG9lEfLZ81nxsVwa089ZZcFHbqJJzn46bFzrSA9syxJ
4v4dHGEm+5pP4JzRgELQioZl7AdFI8+AlG8l2Ut0n9ePo/wVwx2CgoPICfEtwoZU10pZw/v1fvqs
XJZPyWk+dD+zoPaKxxhjWsZxvWUI5ua5/Knaoy+dMOwMst7n64ogcELvyZyNF26zyFQGCYeykOik
TtGlUDSBwxXcLdZ7OLKRISurUgBmk72wwM842so5ugFMs5ue+5sxEEcc+9m2D+1+/6CNQBI1RDWL
mcWF9UV/Uj6vI8gRUr9wzEuDoHd2KyEjolAo55gqA3gSUgcVagEHIHvogXtqGltyRpBNqJ/yG/2L
KLLaDRg3y+TcUpQDIZBmCON65baPLLeVAyirZJbBdR0RyeEcU6l1kwFqF+hIEgfDkrqKXJx7ZUJ9
XAR8KFJHzi/JWRaqUYaTA95N6JpGlDvRsooUUrQgzhPNi1FklQzvpwX1EfD5aPee8SQGUsRD8/yO
pHZMg0kEhMS+/YqPeW/52GilhAwhbRRsYxKj+F+c895Z529j99WKX64f2O4u6iCuBXUt+tnfh642
ksJeJpSOBh7I3YNUpDY1RdW/3ftjI4FTdn2Q1FxWZAT1RexI5RDkoWmvSueqJKDAfI/fOvp8fVH7
Ce2NTE7dY82qlxTlI3/+PvxSn+pj7TOIfjZjjXmc/C27n+5iT/Rc3r21NlI55afjFOdDShFvhJFT
R40rzasdh6IN3Z0VNjZyOM2vW0wqmjm0Y3ooXszT8MjQSxLgs9jtmRb2SO3WA+MWsLjJIXLTmxVY
zKkr2GLRYjnDGDOTIi0FxZFjx8SgNwPB+aQW9kqd+pdsoVdyDKyjsbjhm0AyCxB/M47N8rkLmNbx
QlBcYvfh6q9uF4AFNRhRiGTPD+AWCVyAwEI07g2A0VMQCRZY6LreVxGo1eVvggXt+piPBWlcdA8g
slqaY0joPDNQntJj/IN11Bc32hf9Jn0xP4dn+VWUt98dsNpokcbF+1KTrFIBDAJgENLvGF14wqCT
W56lW+MZpIJqUAOjT/tm4A0726L2LZGBatwjAF3nCp3Bx+CP361LjB5bZBvd8IiGv94GOMHisrxx
Kc4bs0Vd0R2Nc0aTFNMkk+CMplP5nB0iwKN1bvgdDE8OLEUQxu6PTWwOlnNDapplYFSDploH+dQc
JuePXuJBsqNT4YC8o7J/AqHttkPuOEfne+r0IGYxHlU7v1AhpYdw0zn/1M2tBDQenDhrvQcrReYV
QfkqgfdZ88Eg7NJ7+hSfRP0/Iu3mvBVgXiiVCbbcQloizlrPkL9n0uvQZsF1O9q9NHVLVwAhhU3n
J+CJBHbvKGIXTWee9fxhWQ2vopJrDk+lMtnXhb2DV/6uSR/SOPPRJozGrg2koez1Ur21LjmRX/pd
ZNigM/IAzvXMQnPzCNwVyy5vw7vlgi4xfyD2ehpfGKTI34hm953yx0dxZmWasTZGEaKV5ZTdSoWf
naef1U17aL3Z02K76Vzjtf4pSnjSfY/8IZazqpQkS4ZSFnuOfqrGizwcpuhUx5eeHpEXK6PAKD1w
NdAFHQJeZ9oZtcPFC2dnKS8G/WRk2Cjz1zJ/WxPZnrMRA1t+mgWZCj49t2o8S/4FYCfjdaAHKz+Y
bHrXbulxpYd2OS/FOZK8CX8/eK3lqyiySl+L8aj052p+UqfLpDW2qWDGJP1eK15jaY5Eaqcr78Ls
MmY/9eysYlwpWhzJuK/wlmyDjNj6T2l8BSNT2Xxthk/a+s0y/wESkLFRV845RFFKlaaGAkVRa8fF
pe5yfKZg8IWIjIKz+Xgx87bRcTRJboNQdbEtjCma3nBqXiSgjb3PbXnaPXCPHOlnA3zW3s5zTCzb
sss0VOQMdh/Pm0VzzsDq0ygM2ftAbx7i6NKnjZ21yMjo5hERhUum79fNVGQQXJRilnUs6ROW30zL
c1pgYlMl35pB+nZdzF+EZB8WwMUkypoDQKLAYSYLWD+Ikx4XEIytlyGQGPPHreqQ5/m0BvnLcjG/
TQdhplJggnySIFvacApTPM4ZwtzqZp6JLhzTJjHIUBVMSuuwNZCoz16G34ySInw0HrXWWUUFHcEJ
81kCNWynLsmwExOwrQFBZTdA1Ci75jCod8n02iVCzNP9AO3PvedzBoZurphmhkTdJqfmFuVnqHH6
aj2EdgVK8MhXBBkZkUDOy1IMbVdzhGtdl7Mg0uLSHqLw6bpG7b+aPhbFuVS1aFdaDVDc9AiY8IAN
GTeoi4kQAPc7cD4M8j2Hunn/JVan9MWAtXTQWzbsriCVBJJ6fzlYAocn2jbOFaHamxV6iHMCdwxc
TAdC0VgSXMv7CaTNejgHoy6GGTYN9m06rZ9Rvj6AiuZ+frBuGMrPdMBT6Po5CQVyHiY06Zrjdc0O
Svd1cJaqoIICWjJwww/kAMhDYTVEtI+cr1GtPJ9Gto8j3j/hL3qYD7pHb1YHAu3+JkIYKVijwKbf
u2A3SiI3cS7TFV47vxgBI4lXDjSym1MTWJhPc6KjflK9OkhCt3olghtsvwL5caL8fLpl1N0wtdBQ
1o4A0hBEVDOmjOFR2eNWsNR3oqQrYR2P/h9m03+CSMDi+qCW8nS/CxCr156V2cuXEcPdWmorAeYy
XHTa3heyXU6OjmHgR929vu27LsAglg5AVAsUFdw55yCJJCtzMzEW3gUm+lEtzJCLorfdw/0Qw/dh
SGludS2rWLT9jZYSNxt1J6kAQKac6nz0NDMUQLjtN01vJHLv3aXXh7YvkSeR+il6iQAC4oREXxAf
Zqi55hnSRO2aulbT1JeCIu3sIAGXGs5sVcS1+nzAH4bhRHUmHbNUSWzgiGUvYzoj9Ozr2I2USvWa
Kjfurh/Ibiy1+W4u5F/roVfHBhlHKwTy7qpc0gTT7uXgTlb7CjzZh+vidu18I467ZjqrXOOxhrhy
0V2gfjq15V2XIFoQ+4KNXavlmmaEgc6N0lcia66qSI8FxvvyMD/NuohYQ6RoXMDb9nFitP2IVOrI
xiQzPE/ocjsq5hO1aidRyMnoZcEK90vHm03kLp147bqwzKDd62Cjvv+ZUYMVATkCBZb1mjK22Tyo
zuJk4D44xEYydxMVidVmVMVNhMpcbocBildyQACDe8GPq/sHa3GiuMPn6NkKkmOro90cIO2+iBtO
pEfcDTX1aZhRpkdhVddgM1HdcEk+Xdckdna/uc3NYjlfZairnIQEi60KxaviH626nCoyBdelCFbC
D5Kp1RTNGUHZE/wOdp8rLlh1RRcAS+ddWQk/TCbLZdlJkskCovR+ADj0COwVVzkkgfotwmsFjFVI
/Je2dMrc+DSdRUlk0Ro5JwPZTdchs+qb1WJr9dehF7jf/amRj7PiB8sibU6SjhUX5BOAr3GXa8cF
AV8tbA0WGR8/XDaOQ7tmEs5Lf1p9+aX2baBZPobP2lP+ojgn3ameulf1x3UlETg1ft6siMkSmg1S
i1bf2iSiiDQDM/keyS/hOv0DTFpjs5Wcd2mXKsxnBaaF+UOQfur5F7ATHK6vRxAG8ANnbUtHqUa6
9D/4PP1hgp9IT6IwQKR3nJcYunbS5gFRZaFnn8xhvpHSVLBb+7HyZrs4L5FnpF7bBbqtBapfuvmd
+SM5Gnb5mNqxFzqN6GkouHH4uTOJgsVYabB1iVW6UbbG9rxYly6uT3URulGKXuU2/XX9uPbz6h+L
tLjoRlOkTNVYPJUDPjZBIYR86zLrBnmIC9HerAGo2ZKbm4lthl+zpP4FHqMaI3dy2zsSnQ9RR+2q
FPX0Ck6Xn1MrOisG+Th2QmpSNIZVnWEbhvHz+tIFlwDfKwik8zaOK6xcnV8Tk7qldQljUeJ1/8W6
2V+21E3QQkkNIG+L3as37TPmSW9ar3quXNkW51NF+sMWvBGVqqOZrgPKiFmLpFgM+tm0ALMvMY6g
F3ZKedJs9EZ+u76LoqPifAro76w0SrG+kdwrmGtKQ8ExCRwK3zHYVOOQSBHKAFkYBYpGH0k9RXaV
Ge7YrA6AHp2uyT8BjEgQz+7KpSoxZMpIB96zyJvdlEIjtpK+Y9aPxnm0+qoByMgOwsIW26DfbnBL
NSmqWyr4JDgDTOQ602b2Imc9JMqldM0vtR950U3nmng2Vk/pQynMge/q/kYod21HI1D0UrzkMB3+
1slnQzpFleAi2L9ONzK4B4E5diORZtQJ8eDM0a4yXhg8NDKnp/URpKjuGMweUJuEV8PujbqRy1nc
WA2JikEmXA2GbBdZZhv5aZ3xUkSTayoCyBcJ42wOSH95D1w3mLeKYZUhqt4GogVNOXzR8zUgci7E
wBEdHWdw0zIuxTRjeawsth5lL/Oyn8u9GpjAai5PWQmgL1G+dj8I2+wp24aNMSSmkskKuix9qmBY
5dimaDqKv7bduc9Hd2292vhSr5EguN2HCtlI5S75qkEjWdRicwkgc6OzDoixCRhR4X15kH3Zre7K
n72zIPMv5oHd78bcyOYuf1TjGs2YIHv83v2Kf7A0LWtWcNST/kuH5qJR2hWiYjGzu+IL+AigK5ta
ayb4uvZzeWH8VP3B+jS4UvC3gJx274uPJfJXv5WQTl5YJjp5YVPSuW844Sl3K2dJ7c7VT+lhvamd
yM98UfS231K2Ec35n0aLJnlI2O76nenEALF+rz2UZznytO+Lq74QYQvB7k21kcn5o6Los2hgb+tM
zx4VPc+cCDCT3vXrUGCdFud8BqvJeqXEnup9bQ/kaW5/pJJo/ltwZVic08GQQ76C5w4rAfjJEC12
3vR2ShEfSqVgPaJN47wNUVB8bBTmxNUHU/lFR8EtK9ovzrHUsWmEuQqNp4keubEcdo7WKHmgVqqo
A28/NbtRAM6djKaZJWmHs5EO1a1+ZkN/C3KUKXo3IjEGAbu3r9ky50DqZNLihNX3ywtx2M1XOe25
OL6/XEWt49f9xm9UYlXX5gCEh6wFbX/rMTqBHvuiOOnf6hMR7ONvZGJ0VdNYYw1Albc4aDN0mxv6
iP57ACj1n0R0IPuJqT9PDb0X/3v1oNm+6ECkyt7/yaFDgZJNcXSflNTJv60AWKZA8UQp4WxUrvQc
FmgDqp08EDXK7z8GN5/BeQ9CRmMaWf37j4olWMjd8UDf27hUcHCJ4L4E9w/GRf532YUyanod4saV
gwUgD4zuzjw2QRIYdndhLODZnSaqXbA1/LXKUpnzK6NVqVXJuiujFwrUE9anB2538NaivA5EzztR
8kgQVlCZ8y5yMtKu75D8WE6Kj6bHIDz8QV4vKhxe95gYP/3f3aTpf3sQM/mGjM9KinqM3jhk+nnd
/e8+GjZawrkYkkzlULFyMns05Dix7Kh46UkIgXD96qY86PcCcOQ4Y/Dmk2PdEYegKXtGfMQgO6sL
JHo5His5RgpEzC8ivXw/0k0kiKGjcup7OOzJIafhZQGpZeHUB3IH+lin8ovSFpe5BKfHF+lnI2zJ
xB62gxGdVtQBbCqnzqrMTxZJjtdPUBCa0N/q89KoVEWJibv1rnd1/VH2UMVjMJPtsZfwYGHgqyLv
IlCbd+ez2dQlKgEBxehX5JPuq+ckmACxQs6isGu/w+9DPd/XvpXTtsBdZfYmxbY12BnO7L3AkCn+
7CTPUxBiRDzy9FvrqwlHCv6Ex+msHEePqdTyGrnFq2C3BS6HL+hrfWi1I7slGRrgfET0Ccit/Nwh
5n0HLRaxPF+PN8Dm/L+OIDFJomUs3tCVizbdlMrDKOqUEmoQ52xKZIPggZiMp+JWcaebxCuc9XEG
UeL0jGk7YavkfpBGgYaO4qMp8+QDE/KFcR/Cb/f9Z3g3WTRK8xcr+lPAb8jhXQ/eDhMGmF+ix+zg
r2fLIXfV8cs7WtRZ1Hb1F/fChzwuJ1JXE62TokWbfzhUnqos81GNaGrLsdGgujrA6wFI4IwWytqO
jaRzgH4m9HSCXdX5wMMqetKyxNPkTB6rgK2H4hP6zWyGpy2fxcN4wm3mYgwAwOdKw1olOk//vnjv
HZn342n0QhhjeZKE3ly0RC7IaI05AScylli0P00tsa3183X7FgngIoq614ZBz+FwuvZnO30qLMHz
4S/Csg9N4ezZVBdNMSVoZuPJTvtc+0XQ28XFCtAjHSS+sOFi3199yONs2wrleBpMPFxZA5L2gjIK
GjE/d2+K296x/lnzoj/MDwm61sLKHu7LB/ItvxHFTftO7OMjuChDSeuoB4E7nhZovG5fR1raSSka
pNy/dD+E8O8XZcgbDf7GL+XxkYZKUI/SYQTku4Puj8q9rif7TRbWn9J4XJ5VXio1HHGO82dG59b7
6I59ZlSzltO47VvMuJ7d1UHSx0+/iu7F/ev3QzjnbjJNqYYOsAUgb+mP2YnVrNiLQpjqZcrxe3z9
IYfzKGmrK32u4ilDvkYvi5P+WG4Tz3rUnjESeSrfFoC7j58kVwQnLzBCHh/cRJtyZOb/R9p1LMmN
a8svYgS92dIWy3S1N9owumXovefXv0TpPjUFUYWJmY02iuhTIIDEsZkwqyjQQ17AfdQO367vH2tl
5CesHItlQO9fR7jvwJBxKqXeC1TwqSvjPsqVfd5Wb//NHAUrwzR18UTiXWFAN0aMssapHh6KHLx7
+uxft/WXAPRz1yiIabg0qWYSickepHnb+/GUnBMQEzt5ZEMhZrJ0U7FSVzhFd5qtnqbeMnZthPrO
v/MSP38IhT3gdOCrGvPNiJZCRMLx6eIlMul7/pK4/7RDwYsWTGk+kruYHI1zeK+CIxnhrqvdFztk
0G/GY3mpv7Moz1ivPt1BViw1CGISYCshPekQ7JKLCD+YvULGjaCbyBZOKUFYC0v8Xfo+2ZJdPEQP
nZkewQUmORiucVndcX+Jm359VJowvJTipm5IxCad5T0ZP8MgNIf+jMppnol2BVQPapPlSLFglSb7
iRctrkLiiibH9Gbws2+iU1vhXr319cfGuanMwtEy/AMKu4f84/rFYb3NdAVtqQ3dgDQ78e0DL7La
E/qoZL+1ax9sLHDc9qzXmeVA0QxAKrRWoZqNG6I9qPt0l4HuSve/pjFGshUrhwZXyVgj6yBRQDSP
Mq/wxKBsOFn5tYxZ9WPGU08TAWV6oU1TAAcqjyazbXszD+CAzrnF2Cvy9Fx5mmjm8FIUwVqSEWd3
r+7rPUT6rM7koP7ReQXTf2F9NQpgyqBN69kIoGJdSSnSeUOjFphdl5vIZCyL4cRolBMjynEjSSn2
p3mFAmMD3TlSL8tPamVqqSmAtd9qTPmQyMyrx3gR6eavXhCyslc65CzS/HVoo3OlBadBXyarTdsv
mZwxninGQaHLyJXai1E747JlNdJ14Xe15M2wYdH3sO40TSteGrGUhDzMdPZgK0cItliI2IFipa/v
KvZnZCEY3f5ltLIgRzVwc3gl47PagSScMUT71J9yC9Nq59GenoVTtU/P+g2zhs24Fn+0hMmDJobk
/LQILwh/Xuho9zIoOzInSplnZrtZ5NMLppvBFD0iqji4haJHCEan3bAnkQypT7CwknVeKK+Gkyfw
zCkAFr7V3XIBQOqBm88i6wYy7jrdDza2cjOAUJ3cQHE2ExRSUwzupoODoQM/iM3wa7QXWQWyS987
DWcog2gyaAIEFfX33/1RgSuUpA9xaoxd76i6hQfQnszYa11oQTrRh+YhAQzmo8CSDyqUEjmbOfew
BT3rn0CB3JRO3SJEWHiPOdrstkZlNUIPGSGhJkRuzSn9CtYXBo5voc7aKI13Q8hBuzOEjFs5mj2Z
SExycwJtmLLcSXHqMuCV/Lkrn/lyeVduP0ius7Co0RqPXmyznc30R3eUkCepDhg/uIir7erX3i39
wYuYSXDGB6YnLRBhCONAxjyGsPBVafLnqcXowxS/iRP3en2lW6d49V3pOYtwjvUwloADNYhpx/5U
t4//zQCV+lnkIAwEUBO5S/XYSU/9wFjA5jT1egVkhautWhZe1ysV910/EdkVQtNsWHmNO8E5vUso
8vSP4jtLVYwc8msHhPKPJrB08UJCrIavUizuphp8FmAR70JT4G6SjpW0Yx1ICtXGpBL5jhQLDfEY
zd85mTfl9CCkKqYRZqsp3kJdZFy5Tadz/WUprIlKMOqJhO0Mwmml2YBlhQRnaJE37jCYipb9fzCY
un0ekdqSgXBQM6O+66hMWsGRTOE03vLDIRc7Fm5vNZaj6vjLAvUlDanTlJokyiEaMpehLQ+6yTX3
Rtofjexr3qtupD0ohcBoumUtjPqYSVFHOW/gY+px4Izae7uwhFFYFihcbtBHC3ZtwEY21Y2VCAYo
FCXWWOnmYBaS/CrmUMBRINAU7CFfoccOXAJu/APTVumz8DW4C/Zk4C486Ud0ZHr9q3ZXHIS76H4+
ktAk8oIbVg5v65Ff/wrq0jdSkvCajk2EhKGZ9icos3H5/XXk2hwmXhuhziKGfvqgJG1EwZPqLXZh
t0+lWdmtUx3jnXBoDp1pKKbqJo6AwRIIz/6b9N36B1BHdR6SGg2i+AFEErZF/agBcwHbzGY72toO
dTb1LGxGXswFV0uk0tMDfr5XYyPDcNDEZcYtyPxrbT+NtfggL4K+T0Yjv9fzhINrdVqqYfmWGqM+
mFyW5L0vc2WRm3FTNi6aMTtr6NplLxlSOO6u789mu8b6Z1MHflQiKZ5J8ab8MTo4kHtdQt6hcboM
uQ5IO7I8y80YYW2QckKMVonmgDRggmfHCjzMvZyJqw5NGHv22f2ef3naft01OncMcp1RhVgKqZ4S
6E1BnSigFK7bw553F4dkN4rT9K9md1fLpGneG/7/L9fgSm573z0kGORWHwm1XXeXp1bgXN9IxmWm
lSST1MjjEHN7rta+ysEzN5874fW6ic3U33pNlBuCGnsR9STeqR3V4y3O1A4B+qNeeN/4Uh8lR/4o
LONoPLDyKNuPqCCD803mVUPXqTNTjbmwqGjzwQyCGbcmCH6g2OKNnS0+kC5o4WmSkVFNmYo4m07k
p1264zIO+3GoSaAQ+f0PfS87IN6G8unoGS00gqX7W8UBMTx6ledDCbZUSAR7xV112v0bYSvodUiq
LCkyZnQoEE0aUH/LJea4pLl2s+GbOLFCg+29XZmgYLJV01GWeEz/dLbgDn53bp+gOkYqK+TISrGV
n+Nz9xQy89abYa0GSQ6el8CGaNCTFmka5Q1PGMDSTP2STYM9zpVgTiWoabtoMGtxfJx6MMTWLWrl
eewnxfxy/WATaP7DD139AuohHJRClqsuQHpLXN7nULZFPrX4ElQISuoPPCtrtw2Boi5KqsSLkkRj
w2QY08griY68Acn1th46SE7FrreJVrl+I7xdX962PQl9mCLkOSD8Ql0fqE3wsZ7Jolu9xjXaxRY7
v4tszeEg5hTj/rCFNLaPk6QIPOiLePBtU6/hOERtlBi4OQFAHUPNj4udJFBxnMAMWYAf35xBhtMj
zoYGjM06zJtOnATXVxZBeAnhwt+jmXloigDuKfxf5A7Aw28pEwMKN4FhZYG6LXKlKrI+k8xhrFjy
c6q/549hxvITN8sC2soM9RWReKmMUEOA1L0q4KttzcmP0b257GXOHe3lGZ6hBVaG5eH6gdl8S1Zm
KZ9A5zRtQuoa3n3QOY1wn0Xw0GQWPyprl+hTKUT8OOPkuEA2F+Ripj6xvHnyJ/642LJg6LxgaKpO
E0IWij5qUoeL9tP34xzJI1eM5WJufq+VGQo/piKQIWGA+1VOnRlViy0mPXIrlXN9WzZhamWGOtaV
NGclerplV5G+FdJtl7Rmop5r7k5k6kNunu+VKep8R21d8PoQ6269dJCfDO0ymK0Jk32qUrjXV7W9
R4osAJkERaSZziaQz3T5gj0qjgEoTmR/dOdj47Hqh9tJP/nTDknmrlIcrS5kgyJEOjJuhNQIogmO
6gsHwykOOWTLSP+A6oomvxt3c2gu58Jiub7i9lfVdUUU0Buh0CXMqM0KqQ6x1NEq/MluzdpD9790
yCGcJvvdvnF6BZ1TGCKxyvP80e6ks+RzfvwSFqbGILDZjkEVEXLOgmAIYMr7/XuMSxQPuVDoaCHu
nWBfgKgxPownYYfhHTT2gvDzjrfbB/XrZE2OaKZghmffnO13YvUrKKjJojrhkwq/AgGhH1Wg8Yvs
HB8DpV1r9DkPxCSgTmx3rNh3E3xWdinwyXWlDBc51d1EkA78or3GmsBgVvrLF4aEJ8+rqq7SFU60
EAuJImG7CZtO6w2H9gYUPre913/nLOk02kR4IvMSR3QzRxvN0gVzww2rG3jz0MFlNFRIKpCcze/7
HKRt3w4RIHZIWwvyLjut1y0Um78FUv/1+lXeduVWtqg7BgLxqpXanKw48HJn2i2esv9nFYrtmGBl
iwpGMiOoSgWTuUhZBnfjDQrXTgN2MHB0YYqCCHowG3TIr//jNVlZpGB+CCY+68mXnNzJRlO124Gr
KEdDdeNpPmuobvNNWRmjwB7Ni3MtcUDgbADHhYw2J/6kMXv6WVYonB/LXtKCHEe0swtfzkzCvxSD
FQISwKj7p3bmPbN68lhfkcIdhS/h1ucZnnyob4aH9imyO7TJIPVzrDxWc9MmsyVi/1+nn8KXMVM7
LlFwz0mb5uBLh9FD3cxvrWmngnwp3OV7IixOepizfeg2mIkhuoScLzmxG1jxmUkBtYk8q19EIU+f
RY2aCdBJm/EIcCUUxqQP8e0rYa0Yvnd3bJrC7RTPp0W6P1cZ5WbRM9yU1ml8XTaljxRtkJon2lqK
IQCW971JGqCpKsI5Hu+cTI8fdHqENrYYOyx75Y3+Xukm2eLRbd5Le97NgL1sT7QmR+D6dQDazjZ+
mqbnD5RUM/SaPCfhe3eUod1G+vMTt3kZvfiObHhvI+V+J4KbRvyIQos1SbLZpbRa+wUhV17GrNeN
VNY4b0j3250v4JSRLqVsz1rq9s399ZHpQYQo7w1unKF1rWj3c56ZgvLGsfpzN5vb1quhMHY0+mXO
FSBecOLO+W46pJZwp4LbGJIZ+/BJ8shmYpzE0i3OR0hiCX76cX1Lt58vQ1axc8hF060noxws+pxU
uisUoFKdMjtOnrT4QY4V87qhv1yTT0sUVMRlqCx1gGPb7wvkpgs39sJjb09ODjkcVu/VtjWE4jym
+kXiD/7+LCspvwTQtMVBOY8O0aLSwGa5oNCWIiBmeZ6bH3FljIL5JVbrUpVhbOB1x1BPfOhJqVkI
unf9G27fv5UhCtzlrs6DZsI31B4mW4bca+Dn+9LrcUrs+Ck4yqBSDy1JNgGuLyMka0rGsOMmuq5+
ALWJipprXcvj/uVND7YJRy9q6/oat7MpKxMUgBdqJ8ycikvRBHGHQmVhz4byZUmlfdDUu2KWXyAE
u1Nj6UHNAofTIFfaiZU5aiKDwm3bef78JTSwG2OcZeIItCNgs9iCKb0IAhjBDAc82MitgInmrv2I
z8PI+Aab4LMyTPmUaq4OXRjhUlbycyiNZqDfzzFrdYytpCcsgjxr65aHM9mgmYgEbKNHhHI0jOUK
ToWHknVLWKui0G6om0nLDRhUppclCS1jFq1afmccH5YVyouU+SgspxJx6Gz1zrhYI2jiKxM0r3BD
JqccrLZF2BUypzm2o0+iioEUq8pj5uV3xOF7eUwVwv2vf7mM5TrjTreMzJJJLJya1bfoLfBIDxPR
EjR4X1JN8WFwFgR/scvEP2LtD2d69WuozzAGoDhvJkBScqz8YC+YoaPbNQaTCfEn2x4Bnj/NGZqm
GBD/Q8z7++IVaJQrcoz0doXWXkuLREdTpJNcZuiblMJzbMgv1/d5+/R+GiRu8MoRyDNIeEcqDPL9
eFdrkB2oiq/XTWwHmNqnDXpHCw2CuxHydNpDPTuLZGnBmc/2xmC26I5WvOReHMyptjSU2r51DvoN
1BidjTvRJSPC7CO2/ajpEpTFyVst0qNmdRAPfJsiX1lX5YnTGxGml7sR7WRmlpSvvYxWgVYaBKsV
pl0/L25rVLdzhWGY619mOzj8/CE0MrZKHrejcEkqDcfFL63cMi4ciQgzTPHQH1jd95udiCiW///S
FeqAiUUT93WIeK3DnEjtdLFJYn4Iwg2mbBNGcmIZzJC2fJgf/oGTvwkrK/vUeZPiRJuzhRTzUSJb
IH0eolSlv/WSqYDj5oHz0q+prWoQ9/qv35o6hZKkcw00zkhjvmYWj4RfUMegpoGSLjb6VnxhpVu3
kWy1Vgo7GikrwoJD5ngEr632mu9QSHCVYwIYdQd0DqamAcaB1OePmtfeJneKr76ED/puaZHGYuVX
tv2B1a8hO7O66eIk8sqYXbJ6YJ1+l2zCQx+9EGXR6Sa6Y83+byLZyhzly41hG4VcSiKM7EkI3+UQ
A94Yg5JDs0lL5/o9Yh0q2p2T23KqKxTG8no+LH36bQmUkz6LX66bYS2JctqKSeGalASoQTDP5qy1
9zOP53foHT0STgmXsXKfLIOUCzdGadIbPbYMc8X71slvDNHM95kf7iYfhEk76cIcgdLusXqfj/BU
/cnLH3lbBkszCznI4v54mT73k+5PMAx17hMuBa1CgcrBMvK1mSv8Ai7e7pRxGEHpp+9zqDF2dlOI
b4VXdA3S0GVJFwd8AtlT98OtBH5/4VGAKm7ylkNKhfD8549g3kEyqLqp7nO7hqQbROtYPXnbTqyu
orkQXSYKigC/X580mKGqFeGMLdllklYwlw+El7xVjtCQ00EuUVl5BWdP/MIqjG6+0SvT1LlLuFpS
KxHfAPlxM+2gI1B0jO+8nRJd2aCOmqTwAR+D3w1YxVvxLnuIvfIYmGib8NT769eI/Kk/T9KvL0n3
2wKEplItsZxK4OwieciL5yKezAWSIUP/pQpuloBhcbu55nN1l3hwhX1zwvV1MQOMJgzxdK+DHb0R
LmD1Vv7WusZddQ8N3Sfj2/V1/sXN+Fwo9dYNaDzUlw5vbaT1t3xgQKPM+FBk5ZC2CLZG6RC1UBgY
DHdWxtOcRruxa1jRCbFx7WNTr16j1pFaVvjYJLHIma1VfuecwTIgoTu/sIpXrJ2lHrwpqjuhQQ3f
5ZLK6orXUD2GylGucWL7WwmiZdrwdv0bbyP/5ycm/7/aWC5XU1kh6edmwMhpoNmVCvbGQrSvm9lM
TKzOD/WYSYIxg7QRl18XZzfTGq9N+8Mg3/D/FWYu2jKrBWVpX+RKBZ9h3ie3+Xv93JUm6QfknOWm
acy2NONvGBTxxgMrrGStkUKZbCm5DI0v6L5oH5G6tJciNmso9w0xa6Bpu8a5+pwU2Cx1MhZKi11L
IJcyC4ktLqOnaq9TGtnt8BEgryXeh1mxy5YcvGqdjbFDU1FujeJLIfDuIOdQMcRh5g+NELtTEJla
wfvXt5wBupeM/Woj5EowxlBCjCDOuVmEozXLDHfiL97/r8Mr0b74CKeokbHXic8hv84J1jyhX4xo
LUjW+AjxqBQrY3ZrkCv/BySA4kaXdEmQDLrtukm5hW8TQD2oHp8TkAHaEI5y4sd8QFrvnxDDbH5K
QzUURdMMEJFS62x1JSojGdstlqopY6RrKBkAvwkDKwsU0o5tqSQRB3zX1AShA6hKWn1XqxLjldz0
x1ZmKDAdixhdEzzANCxaEy13VrE8V8ahkgZrMb5fP3+bWLqyRWFp3MdimcywNe8lsEoNuxBl5g4V
vOtmtsOClR0KQaMka5Pxp49JCEJaC7QojmxrHjpOd6j6Wgx7mw/Syh4FpUMr5GVD7OFGIfxD8nWv
o/Yw2ui22rNWt+0+rqxRXltf5rqAZryfzx8Y11B9DRD4pacSc8o3yQvnkJgXlG9ebEen8RC/9Lvo
S7/jXMayty/d5x2g0LXlmiwvI5zQwW0gpZ25EfL2zW7CS5w5QYIy03WD24H+auUUxhplM8xhg+9M
qmkpOkKHj26XO5EbPpHy0mzntvGWnsVDCK3lmXEfN9+ST+M0eIpzGKjGhOQhpJ73IKy02mY3qpKt
ccw0N+Pq0yCKCdEC5Z/LecJwuKuib1q6zP1C6HGxWr+zYpel7sC6NBKFN0HZSnJE6tHQHIPyV3XR
dFtu4BvsIsfwmZeGcXroBjG+zgx1Ii0aZGD1p9xW5MqgcQdd7jO/Y3norMMjUeBTINwIY+Kic7vF
jXfVY2vGTorBw+FAWm4WSHgKYFblDzr6gnyW+c1Qc3V6KEhShibJNQmXNsoFsxRycxwDiKb96Ljv
ilabTa+b1y8Lcz8pUIoHI5jyBBb1E+HoTTDkKD+SYv+lznVmZZVZ14NCJR3coG02AQyqsjLr0ikS
w+zjd6l6+o/rolBH4aSyrMk5bR11L1sKSqPVQTZ7m5AszwdmnwbjpZco0BnVPM4xUUBQDkRGvoph
NTM8/SSYnLwqNUPmsChr72itYKHTavAcY3xzAOfO4hegTyJ8mvo5BaMnOIfRquxc/6wMN4BuVZLl
QABRKWoCqTTbE3Cmr+4nyDDLKapZSWVft8YAOFozWOFSVENJUBWMssmLaHFtwRetF4w7wNg6Wh2Y
yzKlhlwcnLS+gYpAY48Bq4Vy2+//vNi0EnAZyHrXprDR2Q3aHshrHJ+GM0l7IxnrT7vWbY/JTjhl
d4ZfOtV35fH6t2QBG13OLrg5b4QMHzN8RjrpYURbe3NG/xd47dLbBmnv8kh0kEE5ecMu7mz3Sa/W
T8HMmKOUJJNotczM8ibdxXfVgbvXMEpt/OisaB/9A5qK7czOyigFNiM36MBTgE3I3XDae7V8C6aX
Wk2cRb/rC1RYNKsUIk+AbOT1j806URT4GFU+GUsGJyASamsWIjNM365bYH5QGm8WDqVCAxEUmQaZ
Y4woRA8lJAiIqpM7mu0OTJ4jeogYV5IBAHTZJoNCHBrsYFYYNDsKICMlYlpAMgPuEOcsVrHtNNLn
BtIlGz5ROSFucGpizW78HA6saoONozFJP6bhs8glGa+vQvk2s1HkRjLgvPS8X0ffRaQcwuZmkTO7
n4iYS8AYliV79Gc4+sszpodM9ViCVm4LNJ2Q5C4Q6PyUqGCFAtvR9uozkuO6CujHTFDDmmTCBpc7
T0eudqIziIHPwt5YMN6RPoCakeX2s9ZGeTJdnGQLX+Jb/mzs/8nJlrqsJivWG6hQwDIN0tyhoAya
hv1gQ+bHJfT3l35FEaFNCxJtVnhBYvZru0ahypLJyzQTt7tHPYJ3yr3ykPkxKlykKXsADauBnAKH
5mEBfUkzk1yT4UEpFLZI+jjqBSmccmjbqzXDzifQaaoQpmap+LAsURCTVZ0xiQv6IA2l+9EbYWhq
eoAJl7g+lrLycB3QGG89XWTBOHxmyByWVWm7OUvNoPFH8eO6DQYs0xWVJBvSYSqJP5HfhqhJ9jUD
97dLJZ83jZ7xrITyf2lg4XyhOT+hJ+ZUP3FOakXvtY9JJDT7FCdmVMZALpoisBfQvxRxSNnJXnpv
uJjiekQL+41s93brJwektm7Lh+4u/lcK29pqwRS0YHInE1sREBbPMjLQvdmGsT0l+7J/4PW3JGCp
OrKeBHpyjMulquh1nJPOLXxCsSP6iAQtjIX8A+Jq1iurUugySnNRZfEFxTpf9WZHOiLEvuFaFOx5
t7P6yh534v31Y8pK3agUwmCgTEk7MoXSOoHHxeYCXmWSrsl99I5ZC4r3GaG0PiF3dOys5G48hPDf
psT+r1GNSoHNAh4EUSO/JDhNx9iszpGdWhAbnpyb99Tm7OXt+tK3O5NX54nCnAlnSWxieE5k6QWo
aEDSfyrACovQG/KZJC/XQGW7sFiWWf4xzSmoTCr06GosVfYan/AlVrdDBzeds0aUPe38m/TeWNUp
sFRHOzcn1iPNtE+lirlcCIWkw1EjiY7+hjBIyURv6RY0L74oIHLNHwsoFSj29Iq8B0s7gIGNNNOg
mC8S15I8SwxCRfCqodtLuukcNHshNnCZfeAscyTts3JJjEYdBIPk6KIw+h7K3K4YKsZ0DwMTaTJB
ZYgnURdQ1WnBEMXHN2LYWhJfmMW8L7rCiQWWPOPWE6bzKMprmqhqskJd26gJin4m3mqSoLVVzyBx
W5X5Pi75r9dvCcsQfSsx+Bx0M7pK+zwwlQDUIBJRVGOWS7a+4HpB1GWUuzTl5oX4wxb614fcmp+g
eXwqJ7P6kM3BiXQ7fRtOsds+xMxMEWORtEPA8eg+02s0Kiv1HWfcBeH7kj5f/45bDs5qfbQ/0EQN
VxoGTAxoyo1FP6qf5fasGozt2jrrazNUWBHrY8k3FT7jCImfCbVFOWeIrLK+FXWbwmrga72GE6yU
Z0PdR6AGyfsf1z8WaxXk/1c3doC2j84h2+QSRlA5N8x6iBnuEzlPtGe9/lBkmSsTwpIXM5/gQxEi
EDL4OWLkhi3Zd6m6XbNDveqc1MZKH6ONmEj2DcjGnNo7wqMwSlAjE06hRyojvC3uasg84j0wmBM4
rJNHQUXDxRhQJyUusTjoMebiMOUfK4kJXGF0UrG+KYUVUq9mS01Gfeo+M7uiN0XxURmQ3p3vq8Dl
wDZQNixWjs1XfL2RFHAMDYbuS5LtGV51UpU4aLnZwis1bmIL+ibw1mrkRGz5nt/VL9eP6fZ6AcAS
OL0UcBv8foZmiO4MYYszlDYpmCnO/RiZ3fysor+3U17kbjSVmPHQbPqkUHj8ZZM6T61WKQVPdjPx
K2QpyIAeqW79HKtkdaMxrVFnR+DgcvM1Tm8KTLYHvz7pjyq4eaob0pbNYq1hmqMOkKH1YVI2MBf5
ukfIAdGmCyUMUi9nj8FsBlDrT0mdnF6Si3oYcFwRQN3rHir1mAasDmmKwixZIiFja8/VE9PTJRD5
Jyb82kO6bgc9YkFrNTiewyu8fBtsaeWpAeHHbCM9g957L2Jg9qbDt1oqXb7r4llaIGcH0MaYpYEu
iAw5psrOOgvcOUlh8tDdxOBxaYeio3YQo7NKqL5wpvF4/cZstoitfwj1PnGlUA6lhDi/s+cf9YzQ
Gwz+zRtGOd5kH1Pm6qF9JFki4T/eG7q2F6h9H6VkwP0nywohfUrBCEuK/Zln7P7jMqkHDM1SQ6GT
0WfloTtOl+mnDNMq4iOmVSwRHX+QnHj6V/mp9cel8EjoC50ryOOvn9T99FB7udV/JZRI6Gd9yLzM
ur7Kv7xtn+eYwqJR4SWpKGCvdeJ71QsvfLtknfVJvA0gE6Sb7W1zyvbgDkOyn7VeBvzSnAWofbdK
SMpgelr5rVh8TPFgz2COzOfZ0gVoxtaJL6qsGcTNNOD6M1MoxcmzGqoilo3Wfoh5pE4JpVrZVsDU
Knz/l3MUa3sUTlVSkYJZGOvkkXYUndjRUA5GvESI6yDmyKSfJ3fwCjzRpb6llqH0rcFeW9/GZW5K
w27hb4ImN4HPZoshvnmXZQ99XJqcxBq83KxerVZLl/2mdIy4OIL1+Dl9H1yi8DH/mPfqRVm5OwTu
7Cp37VHxFsVMbzMnuWOh5baH++tY06XALAgrtLPgF8jyYwiVzFltLF5itKWxIJmuBIogcZ0VGa+P
6A02IVmtHlVvfI78wk93yTlH4x24oyVMgFYhNpqVA7js4rVdpiBqUNH4pIaw/1Oxvj51h3Av3n6F
g9iZ82jO5wvrxtG4Sa3xawcRZqi42/2hfBG98Ud5INqGjZt9CZzGxnyLvIv2ym3tSP51kGFccrqU
WClcAO4DbMYiIBmSCGYe3vHxIWpKa4KHORS3zXJ33SRZ+bUvQ8GansS8UDe433L7NKutKfWsV3Ar
rb8+45RbVUjltMQhLIDmHWK2Othe+iNYVezQZlXRL3Re11ZDoRVKkrUqF3hxpXP//EXyD4fBrdAz
sOxijyhTzhi8R+op+sj9bDcfdAwFYacnB/Oi/0DMl+H60DNhqpLIDXpe8DCeiXbAdMgt2cRoIUR0
crdg9sExrjJdQgybXGvyEIFkPSV+kyOZOMR2x+qL3I6wfgEGXTrMubatEpLP4rMfhvylm0JzjNHO
OjIOJms1tPM0lEEgBrAjzQbcN0xjTu9twGq/ZBx/ulIoCyE/QvIdzd55dB6T4FBGonf9hrE8B4UC
H32uh6AjhaXaKXfamRDYE37pJ7SU1mZ36F3Dm30kff36DErUN7Y+Dgt+FcpXgtsQYd4UYSOIphBq
oIMmekCdEpkmDTH6cBD9zun93B5ba+7MAHLtjAQEK9ihq4lGVwjV0AMESLAj2P2pAwE6OndRUwfK
MibhN6kodAF8mQbSheDyotI2day0iyw0P/Md2keEsqVxl6G3TGF52pvnZ2WJ2tuMl/gwJNRaqMa2
Zgnh3/fI6p8C4t5HFt/vEwfgzSLF3LwbK6vUfqIxOeMn8JpAdR5d1sXHKEwmD4nf6weXtTbqaehS
TR8F0l+q11+77js/PV//+8xtol6GPC6bJuKAj4kf7siRII+wZIF6l3UgNh/W1Qej3gVV4IZ6iVBN
a+zZEezYEUcz6szmZfpm8OBoSS3tbsawhzmElpibNbQBOpuxWtamUZ7tkjT/qy+P6FEmsokBqk+E
bJ50KoMY5kvmzQzo2SyzfV4Eked/T9r0qTbDvyP5IlDxipBXaq3aS08QbbUlzEEXN+wkINMmVW8J
oiXqxhS7KnrghPBFvLhkqHB8k1FODK3pBKovRnC2HWn/2l+R1sIO8mGUFNJgEvn5O8ic1O/KSwti
XKcFsQC6kMajeCy+sHsGtnFtZZhCmq5IZVkmNDFkHpe0uid2elo8zEKBuZyFNpdJnT/cm5U1Cm3k
RUaGkbhSrSO53HG0kHrMXzS/B58SUfKICjO3NEs6GDcQEuhdolU0OMbeeA4+xgPrq29HL6ufQ8FQ
W1RC2+l4PDu7OkLLw0tfjAc+Q8alOucef6vdyA/Dc+MYXnLDeYRLJn1hXKrN8G31EyiM4jE1UWYG
3lZyqWQLojuYQCb01kR7/F+55ytjFF7VQqVFPUk5ELySDh3ailDF81hodR13RZ4Cq1mZJUXq4cSm
Q/4l55WdmBnO9e/GMkFhUVCr45wWeEAmFLcG6PMV99cNXAc7kWajMjqhLscURyOZw/OSZs8yz93r
k8pwEhnr+INzSkPPzkSeKIEXTLz4Zjh9v76QzV7HFYReEGBVOxnyQi5niZiI75PmgWv2cXQHOno3
zG+1EZqGqmG2022HGPa6ZXKarlz2S2ZmZVgVm7ELJhztUiwhqRjYsvQcLzjnwY3xX7eLApYg4OSf
BFCa8d5IT7P4wyjfry9n2wn9vD2Xd2O1njJKVL0hE3okLUtIbXiMH+UmcrLk/TWeuC+zDfUo1cLg
rKVKu+SJNcCyGbqsfgEFFmWXBOJU4xfky1ksnDq7rfrUbHjGa8TaOAomlKgVELgQJjZJBxWCAMn7
pfK5sEJppsDsM8/qJ2PdAhow0OEwJhMMIs9itclkVfzr9c3blHhY3wIKMPhZFLSsgkfdlOb8nDtL
Z+qYMxhNw0BJhmii527yNH/UBy4xMwys84w+CsbeXU7X6vRIRpzkCkGsuoBOFKqkU/mtFW4armFc
u+2M5+cpuYRzK0tpWWoGR54U8LLavRPuhF1gV7sUs3L/hJ6H4QWLl1d2ZW8OuknvBaxMRH8MBGJ9
cOEiP4IakMfYRHIOriDKhfNuZUkvoT0Rk6YrqDO3++41uJNJP8pd94FZ+eoQg4StuClv+ciEirfN
MM54qS+MPivjcVEGfUuWiZ5cT7QmqEJwVutyXv32D9riid91bamUa5IEcq6nDak6uel9/v6TZa6Z
Uc0DN5iTnpnflnEHL8Qtq+VVTS8nM0lXKGbmQ9bELW7TfewVPzBQ9Qo1eMjYMD4o44mlx7qnXgvi
jPAtRkd5H1nNQ76LkZ1f0E3qGfvE7FAqZRKFXQ+kQKH8e0AhoUQajQapLA2aKYOGW2oKT4YwBdRU
D23bfBj5fB83jLVuX35ZAHG0jMoz3U+SLWk4qCOW2kCQUhTOy/i9Qc0uGCMGdF+qkX+em09L5BSv
tlGW5hg+LdZH/Hn5ZoREneL2HkJ4p3KSyGx8SFPvDcQVoLhxdIyzo9aEFOL7hVbKZXE1k6fi2s+h
wgt5aP+PtOvakdvYtl9EgDm8kk127p6omdELIY1GzDnz6+/a43PV7RLVZdiAj+EDAapmhR3XXss3
LB8eC73E3tbl4DQL6S420rWZqMDU6Lx6BiVntxZkAgG9SIJAaz5hgmBE+cAbfTBciqb7ggtVW75L
l71m3mhYgyJ6JoJaOMgt0XYNmLHgJ6TL9Tfpsg7j9nXMrEZyDcsDVpVViLIoxh0tYCcQXK8hN+UR
QRX8yuNJuJcAhOSxFi1OCQAP9+v20iFf3anRSku/IcJtIoUt0RoEOWtyVGGLeoj/bJrztOFZ2z+k
Zpc1mXcaJWqbTSUujnkcC9s4Jw8l1GmIGkvZkOZQBMAUpqNP/Rfh3rdrVOP5pO9/SI4vP4IJGvLB
SLWAYG5/RXwgCjlazjuNgUcer4/FuUy/oUzlOW3kCYccQ6pe2rTw16qHStLmttXlLcMWNyClGAol
5ftytTYDbTtY/kkRFHfq+je5m72+GJ4yPeUsy7EDLIhUn6Uo7egKTRFojJ+6DnAqbS/631UQYN3+
Qo6tZanb027IcyuEBaz10DYH0+5VzYFq6KrPn//bSoytqcP0f4SlOcBDSfOj85/H6EkcXm8vs+yZ
f91CgzEzvWFUgyIjnR4NGIBRQYTc8eqLy+HGZQ3GxIRl23VphPBYaJ1yq6zGvXYyD1FkSzsyKb7L
m4Zfdv6XBRmbMmdK1WsEavb1yNO1n5ohOkFWu7e37g91tcsyjBnpYkMTRB/LmM+QcMwekn0NAnGI
h68aL4wRL9an4hx+8L7uc9j9hhti5ambIGhSiV5z8XO+a1wQtLsQloOT8NE99FehJz/KP3JPcFsA
CqttbO8ITl063Ua5808l8PoWV7iWs+UmU0tNu3zMWhm/KUt1u0nRN54tO03fb285bxXGwFRpk9QW
OavS+J7mk9uXky0Y+er2Kn9Icn4dLCtXHfi++df0f+NKHmQvPNzdHhwOpEoEcmKogD9xVuSYMFav
OovEPEuJpEPW27UgdZusg6WMAAVQgN8JTUcdiO2/d/IhedZj4SXq0CgWeqeCEJVgywYILcaRB0zg
xDusjrUo4eEoPuy5D57ObfFTBCcsRhIFV4MaB4gUMS3hGV+VXbgHCQNwlfK9xAm5OB6Fpc7JgjZv
TJqdSv/nuAha8w/EAHkXizFRrYy7G1MHrvo5rj7VDrfWMSpQLh4BzpUxAg7CkDbmZNMc42sydsr0
jVowid5mFiVA6cMytTuoEnPu1nJuebnNjJnKm2gUYDFwikN1HsbNmKH/fdcMb5Nf2qPwNKaPPeJn
ucvXjfaNszjH9rMKfW2pzIZK7d3wIDpIbH9Ebr8BrHAVznZ/TNc8nCovnmWl+fREEoUqx4LKOTmF
h/Cp3xZfIwSyolfvi1cJMlnm2YSiaO0M+8GwefocyyjkS0BrMTaqGMIw6GikcMKgJlgkAaxQ3WQX
QuZxvk9P1FkC2esGZWWO2eLYEIvJztDxLCU1QBtviIvc0XzA2Ot61aXiF73E9FYm8lqgf2hmGZoh
gapetFj9OKOIIl3IUccuUK/cpU8C6KrR4nGUr/4hOTSH/jRt/mX7+teiLGR2rAI5Q7nQ9PT7EYgZ
6zR4+Sn/FI7g3N3lYO+yEnOSqiRphUQnWQGautMgAu9v0b15tALbXJmPxXY6jAlwULy8dtksXNZl
DnKep96PQ+ILmxR7Do6VxTs53pfRq71KukBxLQcSVfHU+dhVB4xw2un8liU8t8Zbh770ah0VWHkj
IDhM48rH/FPtKNnk6OvWG5AA74ptmAHjzHsIf8gpLxtI1v5q2by0iq6giQ4qGjYOlAacDqKkn8PR
4kY4WFveHN8fsrnLkowD0QrVz00azxbX5bY7lY/tC8LADqIx8a76nn3nXM1ls3pZjvEcUjKiS5XQ
W98BMXIgZmEYVS+6I/4cPhftH0Ldy3qMDwH9rqrlRKCTfUlO6CR+kEETB7tFicsWwKhVrjX8v2de
5XDZ/1/WpT+/OslRzDohD2Fh/l+k+a8qCA8atzwAIP1ahwW6WlMm5m2MSEdcE+0v1VxkwAFAGp3u
1fOwyh8qrz0OG26dkjbu91j+sjBjYwK1aEN1ANElTZ62d8ZLuNIetMx+HxG5IxRcKbkDISnnH3Tn
l/3FZWnGzEidVUIhCUoxIxjSUiC1I9PNvsZnnY6Vwp7WacqVINiSuvo3jFPm1X4zBmjsq7IbZXx2
kk3Q3ZM7rw8qx4oCML/PmS2J+REcKZxIaDnIu3wwY42KVlAbg2b7JPVDDQFq1H76vEGgP+QOl0UY
22MOlpDNpHRidTjK5LkFniwt3nLI9hmgyj6leuIN4zct9JREtmWNM3i1KM1zvbOMIZINTY1lGoIi
hpb6Ln1HcesHAVvUu3mdHbqDCCK6fF1544m4IoDk3Wq8EU7Oq1UZ69SqZthFBqok0IDa+NbPVn4w
hXdTeRatEPSjd3E02RyDSJf11jtiDJQpSPLgp5SLg1AM8gIvxgMpN1Z39XrY8ILMzyGZW6sxZkmE
cAvEZFE1oVdLkDYa2E4fyw1Q2858SFHiUFfBfYPqqYacMQf5r+a0X0jNHhT/P6AihoGw/3a7WYBr
K85hgTkm9K+ywA672pZ83wGHK2ejKZG/8ekswjWvCoivUDbRN5hbTAwnCtbj+DQoQBBXd75WO37x
UZWv/3FZxliVQ6dLuoDSOyYtoJZobpV1sy3+gRgnz5OzoFetjI0OnN9oUJ/6Qw6qBzybLY3pkOod
j9aF51hZ+GtVy3Go00Q6sP+HYUayEK66N5LWJNQraFZAOzBseL1+XuTOYl4lX0KBIcUpkl9NMHk2
PJMQU7srnvp1+QyCyj1vzIBnGVmUaxV1aTVSjUNcUyiY7UCRCaHEaKvt8p1wJ3CCT7Lmty4qY4Qa
zPpnYoAouhq+TsmPQE6c23dyUWblytSynDhTa0Q+cmuicB9c1SkxNag0jniUK0DsAiSapAHffhb0
ScI73GPK+6WBtIB7+4dw/JrGWCMlDcwOvFwoWwSvmMJy8hbAtkjmfC5nP9nJeCms0ygm5KKIolsU
f5UU7/Zn8C4I28jsjL4KjQpB7bSr0Icy9sRTRzMB+QPUF0Eudns93gcxJiUU/CqMqTQxjujQqvca
r4T/B3TUr1iA5ccRQqEeMZFseLo4OsIwOnl6FI29CQhm3jlS/HOs3/sWo7s5j1iDcyV0+varuBkk
F5rfk0ZWlzxG4BeMxtzJgpTjdTl+nmXFiaSiViQNO5jPFaizn9UEqGEwDSjiK9Yd2s0YGZxbyIvU
dSa+aTQZtAME56HaLIGV1Z3qxiiuBOvoADjnz9wtHVCncEH6nHBZZ+yJX1Zth+EOWpi6hvLP9IcK
rWj/jmYFioN5lkC+uRL3vBSBd5RMZKM3clJEJCNTma9yO638FpK2MU+2gOPWWQlqK0l8qBZglRg1
KxoGAlmyS/jNjvPq/lAf+/Uo2F5kHJVipmk4wHTbb3WX4C6hEwANQhqAUJZe0ZjqZ5y0uv3e/1Aa
vKzM5Fqp2PeRREOqRMAguiOQwfq6mqHREIPhL/qo3dEdzsn52+SVD/k91wFybhDbp2zLUWhKEpIk
QZnck8AP3br0PxWcThGcvbgG6tzh8QtyLhDbs4yGwk9qgsKM6XmQN0OV28rEI1+gZ3fD27K0Nzl6
ojIIdRARq+auaqtHcYjuSkHzDFDh3D7HP2DCLudIH3xl3Hpfmca+xShXag4/lMY4SQmG9DV1I/aG
MxRVZPtx49vGVHtl3HMG6D+pmG99KWOAykqbif0e24m0mSQIiS0ePJiY/u2es3W3rtbtvljrYHTX
cI+jc+x2nv45et0+ozTjhPctijTQRnU5+0JJ861fxlgoUyiDSKAmBt3vaDN8hKvIIcpq5RvRlPEq
sRz/aTCGSVHFuqoFHEM7jB6ECH6g1M/JNv4Ai70cNRPaNI2hJEmPsF+xrXP5rj40rlHY8ZPmDUdA
2SFaZ4M+JUSIcCJqCH7li/N42L6m0A+6GvdwpHLa2PJwbtLezg0OfHN5MvNSDmFVCM28HHqd5rrV
9eDWT9o23cKtOQU0qEEWu52eCWVpOTSvgTzEaxET0VRMj2mRfh08cguonGyabYCGkZlnKpS3PiPb
/x/cUDGEXHkYwuMcMi+bZpufhZ50GkZFwO+zDiJnY+6jVWfXK3kn3mNiAj1HTPdCN84dnfi0Ts/J
GtgLX4Keu7oBo8yT7tHBzwonuKHre+M1sc3PRBfaJCchLD3ZJVNPfWZbAxtlFX/pQRFX8LrOHO/A
tjrlQlW0VqabFiSO0H3pjMYWxvsy8/hJPMdSmIwNCxHMR1mKHa8xui1DkKQabZ8qyCAeab+CmZXj
ennfxlimNql7bSSEjtJX4Afu7Ly8i9XSlsw3vedGaryvYwwTQJJql3bYSf3exCsihY16bz4SDjtZ
xV95eQTH9bEtztGQW0OnuSNp/Cm3D2l8NsCMbMb3HPNO4cmNC8l2NltIiMv6jMoeKBB2n2APnJew
hmIYX66cYwDYJmYwgucopgpeeojviH5HX3Ve8vTPBtM5joRtXCbBOFaFBB4xAJOdSJxXk8HbO86V
YGdeR7DkRwIR/Kjr8qm6B2IVKpS6nfygwAuj9s7ts+J9Ef35VYQyyimo6Yn+Skwf9ekeqoIc48SL
oi0mBlJ9oAdTC+qA7Wr2wjdYSE20k+cUBfsTkVYi/PlQMPBl2hEYufe8O89rsVmMBVGLeZpV6nc1
7rjSv3UQJ3QSB+XOnYIRFQAmP3itIF42bTFGxNdKDNfTppKQDQYnoWrdbqSdeKCW3u3z4yS2FmNB
hEQ225x4T6g8pmySNbWdMui23F6GV2u0mPBmEmuYihCf1LhNCmFYCaRT83qAvuQ/Gaa4+VWSyM67
jvU0DVGACg6waahsJutxZ+yg1sCJZm7fTazD5FlBPQ2hQcwO/StaaRB7D1f5Kj0HoCNOieIOVGy4
JC//oKV185ljZTJrV+9Oisy6MsBu5fmRtosswbfLWHurjLm0RW007Vnovd7vYrvXhV3QaK9tU1Wr
IFaAA2nDd87p3jTY+DX0a69+TTyjlgXpA3qj/QokLvaM4y228mr6j31ErMVYHKUO6r9wnCT5brzK
bnKfy45/p6+olqw8E00b8TGD45r3MJf5Y/4/esXajC2SrdSPKv3zYfYr8ycqCGv9CI3Wn5kLhKIn
uvk5dMI7FXFGjKnbCpkSBRs6Ijggq16mDcS9UleZ7fkndL1AgdietOdyzeWU490Oxmb5g6YJnYDf
OSHvb7cmyotrc0Wq8e0aYz38QZubYQ82hrFYQSj8b8A8AO8hmrzDSrPSc6fXW3GUv41iz3Fzt5t/
WJCxWxiG+F/vQgRcpVuHXvVAxY3+Jb9rofphbstNtO3d6dB/bY/mRnxRBoeHNb+dnuNHMEYtMLrS
1GJss1VBeW7ArIj8bvWrQIM0jRDaw/iIgTl7yNUvnPd2M1fDTCvVuK7emy+NmT5OsNqoo5Doc+kV
R7DHnlEQGNHoBNBkm525nvBmnoBVGWuXGVZfiIRx0Y/EnVw/jq3dYmwzRxFNcOSz+ErMk9ljrDtt
4RTfb3/0zeATqzMWr6oGURCophUarZPFhjsDhxGPL3HaObdXut2qwlKMOTPS2RQnWopEv6pTTlCv
ygYCdC2vIkxIUHQtbHmpw3JXADPSoqFZGjBmzCOSMi3OVBmhKA2owEWuqPtHfiS7yyABzJsvXx7m
vFqPeUORpaQikiNaL37yd1kFXaUQlNjVh/kmPs6QrRmP+kv8oHtQ43I5e7xYhr1anHk7ZqyUYFWG
66SPBRvtBjJusE98xOviW/m1kMLGAmksDLI8IEcKJ6D3AD4VvhUdJ7FfjtiuFmGeRhoW4zQq2MpO
OBRSB9K4rV68grUU+R9IRRp0dSaI0CfPhckNkBcfxtXazMMY2nCaA0oC1XW2j5/Su2yDtjwcsH5u
XrNtjBi1fFZ4X8zbVuaNWHGRCjG6jl5mQJoKAXg/YwA4DS1bV1BzjiLJ7kvfyaXhztS609DA2RnR
Xq8mdxyC1k1q2b59pXi/iAkMugzUh31JybBwCKwaacKmUDndA94a9OdXhnfqImgH0CCEXzV2r2ws
JbdnXuF12f5cnSjjvkcV52lk+BLi7fSBHwRZPOYsxffmgBIQRMdGD/PqRx5R6WIud7UsY39m6KxH
IU029MZ7oP7o1O1/OyDG3kA3cihmHZtXtQcpV1Y5gFDx/Hp7keXI4OorGMPSS9OgmgQYRHsOwyoj
6EBCF6oCRxI4QpXRhcoD2mjmSgaKBdwwa/Ep4Taqlzvml1/xm4fuG0EIaeaNmnfjj2Qn6rblSV7o
RDvwX7/FHvowT6EF1Ew52tAHMvcavIq14lKjcMwD67VB6phMHRU4/K8zBAirXQE4gnUK1lRZ1T1z
0yc2SOjW/+0YWHddp0oal39ZJX0nvKZv/n11glLgJ3tzpTjpz4GQ8eMpQZLgO8ajvg/QKrj9Kzgu
FZrEf3+v/ZgGVp7jMpD2fPkkrQg/Kp1ApOnGdvyV99XLae7VsTM2aARwNPapvE2NL/Uj9BKoBcpe
4EAF1uNBC5dLE1erMdao8KFBm5NOQev1n/pdIeKwCg1NTEd7BQrYPKTJsvkDlREmsC1DZ9vgol8C
e6YRDqR/hvy7PaUG+B8ml3NqvGUY+wfr16a+APtXe9FpXs1PkWtuiRi78cRX+YDMznzg4ZOWZ83k
y7cx1g8CHfEsEdxrcAzbXxMoNtqVnr8djiJiol3sZQ7KCNAqxQ4/oQWegjRStkN32BerxFMze9or
YJjf8y7V8gO+/DDGbJbK6M/FjFPGTPZ9K/VffMn/YurGsc+TDWfneWsxxlM3IQmRxBg5aNH0Ex1p
pUFJMERDRlkjmQJOFszGR+4rpa39rd572Xq2UY4RPyiJiOR43sO78TAD+DasqbHYrWZ38pBDxZt0
w89a//Bcf22twYRtvYoKiWZRoA9Scjpv86m141ONkZlpw6VAX/avl9WYQK0uCkGoiEKocudXxUPN
8uj/0I6ih0FomD6ZW7vk7Str/WLwockJOaERhM3+QQZjdY7JK9QwkbWubt8duhq3DpExfX6TYFzT
oCZplvWgQmp0u/fz4DDomJmxDK0pbU1vmpcul2W3E7RO/Vfx32V7GWsI2g1rgJYgHN0E4v4QbbPm
WPi8z+S8EIOxTUJYyJas4IUMc+WqZbAKm+8ivi3iDZQts7xdvQrWIPnzEESgVPdK4MYLtAmpgZU+
oUnohatyPx2LdW+rdvkNouqfaX/40IPQT3O0yhYgOX77eJeBlFc/hzFDVjQMY/NZ7HhsvqR3NP+E
rrQbbLX1CFxHsvoHbCrLSeLlSBlzlJiy0oTUcKLqtLYfbcFJtt1W3vAgxcuX1zANS1MVHRTuf48T
okJNCp9Sb1qICsbdJwcFz5QvV4zkyzrMI4l1OS40HZ4twWxtYSlOYL3rxsaX13PhBuVZSbczr1b2
h+T0sijzMIpcyrWe2mn1q7/WgUBKv7f2Z3X2hVvDIIv5uxW4rMU8j9CMZ7HKaaJrGO6tOX4UkvlB
raH/M3fzUZqaxJbF+FXtknplJbLrh/7L7Yu6bGUvv4B5Nr1WqinEYdGB1d6VHAS74PW+vcJy2f/q
FJmnoEUoDsU0qzM46k6/F87KIX8MV+ahA2LjZw46WwPNSvIhpcaJaJdDo8vXMS8iaKSqHIjJs5CP
yvzgzy+6ynnpy6Qhl89jR4TUELT3qQwTVxY2RezF2t8l+xRj9j2GhIM3EjdtVqgO/Qw3+qbbT/dB
y9niP2Rxv75TZTyz34NHSRzwG1QQKYGkxNNeo28+MEfRByC/KPQTuSPmHqB27JlnKq+XAJTxgsJl
DObVVjAuO6yyLhhG+hn3MgrNAKf8ELfBFjPMzasFvPOwARqjfueTeMucg2ap8qHT14qahpUpgdRA
QDZBUJqaK5TEWi/EZN6sMDjlJJ7sCWhvZV7oBlyip8WfoZiSaai6JkkK85rmdhTjNGiAuDaHQ5WB
ttqa3UJUOYHnEmLRshQVEj+SZIkaO2A7406HVfm50f3KOnz2WkGhQQp9teRYJ7N3rCMwMBD4DLz6
GYE213TRWTKm6/onsOO2ijaDIiTCTyDUASlfBof5cySe9pXXN6d9u7UYc79VS6zVwsdi81DtrbA+
Wan6JijKfqia5zqbeHQuS5nw376OucmzL4PxTfwcv6MqhLL37yhumNGgbI/dd+7cxYJHtSxw3hqS
qIqaznrUEuDlYfJhI9vXtnPKVQ5m2GgzfRBXR++2e7D33Qd3HRKojbqPOSZswQf8bXHGzaLa2yuz
ieKyjrZQc5ZKHinnQhSIBUyU6kVJxXAvc3yzEIxaSAIDpenbRYymQF5uplBc63Hr3fY2S5bgb2sx
J9cUc2jMBiXdGL7AcO9GsJNvBMX0MblZOf4WWbEnA48tIUcLHIAj3mjwXnq7/TuWvN7ffgcTI6VW
nmYtZeWNm5ykVYPxX+EVuRoqKhV6iyPi/bWxozIOt8S9eJ4adlq2TMR8LGa7btO+AygIYdPPFJ2K
bnTQdDJXA4C+tghFORFBBXdqYqm8AuZ4tHtFErhWWThxanUgC6dub3oooV30lINaWb4LgKUGYxZp
N1jbnhtbLFoh3QTNgKkBMcz2FFs8miAh1lDlEZ3EDdBPK3k774g3ma8uvHiNDRk6bqYiyZrBWPdO
xjMJRxzpnD8FseaqCbQu1XoljE+3L8+CG7Gsq4WYiEkq0zIyWhygWntVhFRG+xAsrnYx3cDfjOrV
KkxwBAr+Kqs+2YYBK61OgMNtwjOUXBDLj19Dl+sxOF/FQmb9RpGtmWbF69fwqUTvrNiN3/Un42u0
baBF3R6NN/Xh9kYu9Qaud/I3AG3kS6YmkmlTi6PUhbu88XfmjMl4VQ7sWJVXhjaOsEmzLc3xN1XW
NmaE+ZEquLPSGEBLQ98GjcVhvuJcJBZGWwB3YrbqgE64KoE4wg9WsuK/+A1K3mFic7Zg0XdejplF
0eZdrcbmgMvU7DrXegXexMmQVrxVBBpe1ccRVrBeBx7PDH2yWt64XyxQVgSoYupRc/2Enec/MrQR
/G3+4r/V5/5JdYcP6cV8oyGZ0UVZ3xHe6mP3qKC8fo9ZuOTM7aEub4SmkieCkWJ1gtox1TWFsH49
4Hd2+6SirvNI4yzGbq7t7En70q7B9+6mBx6N01KOgGtoWopo0L/Zwjp4J+a4aHpCWNUoFVJeiaYj
9DVcbf2RrwLXXKnA4/v2fBxEG9oKLi+XXn58l1/A+HgIh3eaKlUI1/TyofPVl0geAscoFGXFuW+L
3ufqW+mXXDf9lBjialGLyx0KZ+TRr8ncnrU0C208/942J8GL4mkzBMJ9J6K+NuioBAv+Xg37XajG
32//nMWnRk5QNzTZ0FkDMGlpM8g9bj+adRh6y9yyPWRptRL5ijWL9+tqKfJVVx8+KloyDGJHHn/A
5Gyyo149hDMOdMCTO2+Dr+SErTW9t+4luTM3KId7zbY98k57CaxgWVe/hYk+QISTlJaBC5dGtuxE
mwqhlt1ugc1AJ22ChW/X1jY/KS5IBza8PHDxrl0tztw102r6tAtxA9o4d+N8tMducEODxzm9GDNf
LcNctETtpySYAVaPtH6Tyug4jFCDD3/IiWp36nssr+Ps/fZtWs4Lrtak63Z1xkkqq2ZGD7kGvJaU
ySNXcAPXcP2z7k1c+VjeTjIRB5JME+RuWE6dIJUbPOpKaHOHaXiLMNHGEOVl3JZYJO8kuy5DZ0x3
1fRfd46JNuTK8vOCVkmhpjRvSXECXCYZoONUiuAmVAu10OsHwILi/bYes0zFY6Q0oL2Dbt3WWOO6
P/Ke2vItRBHbhMIvZJPYIzIkP0L7GrdwUldT35yicfCKONw2g2balqk9VHIGmfc49zh3cfncLisz
5+aDyjIeesQ2k2bn2/JNAUdM4rRuuhfg1KVjfj9seBRUSyVZ7OtlUeYYg0pVTQxq4kaus4duTaXf
9EHe8LOY5RrHZSWWuz6JDENqSSBVOocIgcFCjtlMotoyjgSgUzHhQ+O9/S5+mB4R8HvcidRlg/7r
Wz9/4dVjj0e5K6sAycUnrTU8tug294RWBoMa2MlpJrOlwMnhHCw5it8Cp6svZxxJWzYgRqagFXp8
mNeLMAObobjyF0McLyznfSTjKVDHhxYHmCQ9oMCdFuPRwOq4qlrbYh9ueTHhsje+7CjjGZoRoyp5
iDpON5/7bPaqoLfb4Fv3bwjGrq/pZ5Xg6uiUCVJfctOQRGgG3ZkHqoyF3vSmP5qP84Qu0CcokVv/
W5pL/Nu6jH+wksivJRNXJvs5nuMtxFgxZmS8dB9ibKvnfDPvZAW8TYCc/qgxnMYLNHnPk6W3H3S5
FJXPK4vWgabsS2BlJnmfVT9q8QOcFKtUK50CaqW3r+xizHd1YxlTNEFCcWoIQT00syNMmB3QK87o
xVJH7W9by1geNTRiv1TwKnrM10qH1PNXhqs9QK9pre6tVQWhOt7b4HwWW+Ps63aQBgG2HbzxjpYX
TpLd39443oF9zkBeXVQoXWf+0ONFFEGoen4/FZhYzJNVravf1ExM7C6GvqAwGGDRVwZpXYngYuf8
BjqdG/bmE+tx9RtMQRtnjRTljE71+jZxmlx3M8P3Ms1y2l5wQTrvVFO1FuViE9UCVEwq0JIXoScW
jVf3nW3W8bcmTQ95Lj3f/nG8I2DMU49Eoy6ogRz6z5165zcv/+3vZyzS0MpaVLbIi0r1p9+++eL7
7b9/uSx2eRoKefGrzZ36UZRNEqwndCIEJ87xJwkUEb9AOd6Jj7w8lxMWKIwJmvpWGFKFvJb6NA+H
oN0U9ePtj1pqtl+/RbbP0RmQ0ZBo+jkGanBVoHaEWt+ucIcJ2QamRp8FR9w2h/ynsQYMBv1uKrkS
W/4/iRR4V4QxPklu1GmMeRpPnAq7aHO39rPN7Q/mGR+FMT4BOOmkSPs8xXE1nvX75GFYZ+vhTfuq
AxTZ3icebyzl07rceJZsY1EQCqFIMTMBKCL1IIbnWrSHdex1g5M9B1/rTeBGzyqFQitQa38qxkfn
Ag2f+c0HZ8RGbG2YDp5N/EMK9MuHs71G0Y/mZM7xYiiQH0EQSAN+UE/6RpE8X9ucE5/8JrU9+3Et
QZfGi6S3bFoVGVrUuwiZSso1hLylGFuDsuCs6xPsYAJmnN7XV3qHvksxbyS5cuu+4Xg0TuagMqan
JJ7FkOS1yxA1sCRdG8P80IbBMY+HzC6qeB+U0NmMIWR2+zbzvpMxSf40lkWR4mKV4UNRfsjanS0k
7UqfuOx7tGO3rjBji8I5VuZpwF1BP2snvBAHsGpr0P8j6srI44qGcCJnlmBQFeZQS3PYPv0e3VB3
3BvPM3S2iFfD2vIMLSeYVRm7AzR/KMgTbmY+Ioy1Esly6rINV1DvMNZS0FUPt4+N+/IYI9RrVhSp
/19Q7VFAx9Qcig/BmqRmZEzp86zechL966mz1IGdUCTF3NBTJ8LqtQDCEiA57RYDU7c/jWPCNaZB
KPZxYvkUtoKTymlCaDfy5OU4XlFjcqo4nydlpo65oad2EH8xjdRJJe/2Z/AWYQxICCK7ISSOTaOT
10aBYCn+pgQhL17j7RZjOIRB6ObOxMUrUMY+9E/xG8CY8AWtrd2rILnx7X8wSLp4FywZ0tD4BxgP
xmhE5aSZso9CKgCJG93PzqMu3IWWhTZb0b2kcnKEUq87mMJRUGPjX33y1eqMIQHphhFLLWyluEsg
2KW/lZvuvVv5du7eU1Lj3D7IJSSLRd1MKNqpJvi8mZOM+lCBXhS+tn2dX9G/PRib6hnC4+o2/Vl+
sXZZaauA2Fo/BE5raPEKXS3MnG2YBXkX+XhyRVs7SX/Oq8RWu5Gzn8vFlatlmNMUISyu6jKWmXYh
WsTGvnrOV8ZLfg7uzS0Q8av4hI6co0rO9NgeQRXAgxAuG7OrX8CcqCY3mYriPBVXdPTGibjHvEPE
smqe5iNfzX3xzVwtRz7xKgxvk2mcBgnvHxWlO12vXUVOOf6cd3SMP4jHSZslEXsKdl8BetjguNV4
7YylSZm/XUzGB+iTlQkdVVC0s48ajZuvlO/jxoQ2hbIXHtIX+Sl/GTzSBLXUVf3V2JZoLpQfFc81
0Mf85tkv+8myPrZh40NLHR8bfEM2/gQqYZBnZPDuuh0+xDQlg9lWdHUTj1dwXc6orpZmnAVQ4Y0S
13ib4TZ8GiGiIO3/CkGb/pPJhV+LXM7Sr5ZkvIdVZbIhkPcgRfAhsf2tuC22hReDHsflmB76u27t
LGN6xEHvZnPCzvae8U5wwhJkFqb9V8TEa9UsYfqv7xNLCNmpEmR6ZWymeu+vkdIcWzvaiuTmETPx
MP2cF8IOxIS5DDVoKnbIUUZkbFmHRo10mPEWOQZuuQF2dWKMeSl6vVQEA7tI5iU9ZCdgxJp1tEuO
pStAZ7wG38EGA+A0lFJyZ90/88Fbh8iYG7Wd06A38KWVK+/GlQTS0mA/nbpjsdP22bN0mI7C91pf
4z/3qGKtszvZVkV7XMe76Fx5U+YI6+SdmOWhg+UIHhzR1+jMY9ji7hJjsiItKNJ6xi4pj50b3nWn
5ESsi7FnPKT73q1P2bYCghxctVwlzsXs5+qAGEM26mYS9haWTrd/lbg1jIv/g8lpOugbJ8FOy1iS
YvkiwXMHwB9AbwIgvv7mH3qkBSKIywgBNmyQb3FeMb3SW8syRspvIrQh6V2FKAL769wLdonjexH0
cAkJxct8OO7NYAxUn6RVGVX4ykIo7antMbHCZVjl7SRjmGIttoZKwYm1K/9eeA8VqLpkxwj6VzMA
HPGpPI1fwWK+4uwk79Poz688dyXWUl4RcqFxaSY1uW836o/aNYEbFzfWU+AVL7dX5NxMVvpO7jq9
VHPsZbgNNt2633SesZM3PD+2DAq5vAB2NsYsBklPKQ2vQcsoPeYHaO66/hvYktY9lGQwKg2zT3pE
4oYEJhrXPPHogHlHypipQI+1JjHRJbXkxs6V1gl72cl91c7DH7c3lRfvsayQQpRYeUCmpsVcLxpp
62BnnFQoLmlOet9tCk6AwnE1rBaeNahBqZZ0a/yTVr+k5annia1wQiAWzxYKGE2ZBbon4/RY1eE+
M0DhA0aTVhfXwHd5nV/e3d5Fzltg0SyKKCVpbGFJX0uPgSScpSFY315iGTJ3uZa/gdOgtS12IXYO
9TUQ9qDtKfXotbxra20H++LJezy7rbLlLMsxmCxMrYumSRQ/DwzSCfJHdJ85+oEGzlNXeCvXFeeR
L5ewrz6TMSulIs29FeMz5XV4Z3gzjMq4q4DCuvMHJ1oLHxChd4iAl8rWvmNB4VZ/CDv0mdR1euQ9
RM51ZbPrQhj6WBFxsGqfotHzXBRnf2o4Tol3YZmYKJ9qrRHISeDSbsdSsocSkoWiaM8NsnjAzVvO
deWl0ayQXdthgEFu4AVjOHl4i3VzzI49uGG0tfo5x4n45iRseeMCPNNqMnHNVMaqles43Ax0ELId
QOokXYHnaDXu8k1yhLTAKfxm2vVJ/d7thU0FCkguDJts5+8RACbkdF2WLO039ECIDD6i8qA2QyVR
r/ZltZvFeG2qg5PXo8N5P+Thby3HRAByhCr5TORqNfRdkg24IjBwON9DbA3Bm8ihcluiZkXacPk4
JhaYrUZpdCq0NggbC0ydgA98esi+mG7vqbtgT2GWuco34WncgbphJzjhC/beFmp7RrkSIspufuQZ
5D+Es5dfxbzp3KotJMiY2tCPxZcJkisEECk34728NcH0dqcdgzuIDu/lCWS12r/zcJfV6Y1fBSoy
eGH9jgDwonAIi9iZBu3/SLuu5chxIPlFjKA3r3Rt1S0vjV4YI2mG3oL+6y+h3VtRELexN/csRVSD
QBUKVVmZjt+/jbJXDvsie4rku1mT3TE/N8bz5d3/fi9guAKlKoCZdUsHNP2raRJXYIOP4Gf1jHEr
3dx3zby9bOJ7VvTVBONSRBk6saEazkKI2aqI3KW1NjhjN8d2M8ilTUokLWInbING53zZFVTFV9vM
W8Ec1UaOSrjz+GxtR+Du0q1xwFg0iDpBkGEeQaVjS1eAa0+xLR5Vrn415/OyxY6oyFKk8wicmnY7
ZT/jnLN9K+3FLwtkFS6MrKvJRF+r+YR+anobOek+O49PlWfdVMSGU6NbwhMQWGEs/2qVCRlTmqtK
luLUpODmo4/UEdxk16onnEe8k6RDcSxvdSe5K2/CQ4VpjgAgZTBqx84cYq4xObQPJbodNVjMspuA
SzHB++hMiJnKQWsGqg6d9aKni9VmKkZOGPseor9+APoTlh5rmIkR0/ZULyuuEkWeFBNbj987YbKl
WHcve9BKrQXmJEw5iJpkyJgv+2pO6mWAn2esiPI+Uv7h8krHJ6WTkSFX2n3l7v1qjVlcUCpzGdEu
wehPngmOE2/6STYtBBatGwna8uAJbzaWK+BG8v6fC2UjoVb2rRViocq5OY7gIgE3+jb7SSl7CodL
tPf9EUMXqhuyrlqYuWSdhxhTCGI27GLXxOWDPEWNbYZSuKm0MjpoxaDagTgYO2FElBJAsmBPhGhb
RcyUfdOlGBsqGyBaqgyovp5gQrmfI/+PPsjnT2Q8Tc30VmgVfBB5k58K5CKRHx6j2w4lxGjPy35W
CqRfPwhzzsykB88NPWejXz/OACnXTnoVbAe0SxQv9/mDUSv10a8WmbOWDAOg7zUaXzmKsx6IGNT7
cex/TaYxu3ISio6QVPlO15rZzqtK3wpGJ3IaJ6u+vDgFzJkTk6IlYTcBqxVGG0X42Qu622jQd6/P
eds6lzeUd+SYTLqRwIswaxhlEmPl1Mbpc1bOB7kTdtYMtpDLttY/rowTLqs44QgcX8NGGrZdYQ14
pE/7dqccqAfPTrKVtzy/pbv0NYXELn4aYuFu2jz0qLMoeAx19ZXZ128YKueMmn4ALy/ZYOpiktDM
Qh1iNiDaVbv5znwJnMbN7pEabw3QeV1ZxJZucMVeU011IASerC1lc0R6ztnCdS9ZrJbxSTNSonqa
AUinTNn9UXIzEIWEVygMnunkdPLCHUajR/DS2hm/nKq5yTQNGwmGEvfDLze0cdsc/iLYHzfTE5eH
hK7ikk3GMyMh7eeUwu7ps0DxIVCwzZ2/WHSKB26tju7eJWuME0ZV3NVdgKYe8eg0euYGQNxaG9SP
uQSnvMPKuGA0d2UEekhUJJr3dMADPefBZHgWmKS6F7Jem2NYAM3LATK+T60E0dPLzr2e2i5OIZNW
6ybmV5sS+0OZkTGWhnwLSn8VsF0Qe6W8Iz3mZ1W/2ei3lKmW92RaDWQL80xsEQsiWSSFeRLFbhsP
9pD9uCuTxru8zPXU59MOi2XDYFY96hrsFMfxWN2lm96R/c6HkJQjuOItxxrnGLIQtT5M8gZIEooW
aEFIRsciKFvqePUfBk1W30WLlTFhZJ4MqEq0CGjaud3VLyBR2gdAQXr5DV0k+IUph7X5pvfQiRRc
7gQ0zzwTUywxVMdygHlk8EcJDLh0fDfb86BAnNDFYtWkwTDiuqVhBLX35L6fzx0P+cA9I0zwqANL
gLA6bEw3KvS5OzQjUwd9wtErcRPwYhXHu1UmfgxBNRd9A0p4IelQ4azQEeQc+hWQxZf7lEWjNZ08
qB1dUP9cQdOMqqflV9M5a+0K4l7JllYYpx1EXzF/rd1D0nl32Q84zs0C1Ax1hiRrjrOBpEK4N0h+
aIwAcjkTkOaZ0VTuZXO8o0j/vnhN1VrzF/PAB1qM9k3oHH6252HFeBc3i0orpyFvFBWflfyWfBUq
7hCJc+KdtZHRzYVuB/ehvJpafro4i07rVXRJSQCDgvrTrHd1f6POb5pkk5RXB+DsGItSy6tJAaUs
DSb2/FyAvIzSRWi3BmRJmt9kV0PRyNrFr5f3jePbLNapyatCHgnuuRZFK0VW7DC9VVIehItnhfrj
4nQMWaq3PSabfKG+aqa3LDyL6ubyQlY4N744nMZEEEE3hzwF9wWd8L5BT81VU68/1864FXdUuFz5
WZ+LjfLAV5jgRBNWw3YOpbFOU1hOm1+5cYwgZXR5bbzPxyQjoEqVgyzHGVTCa704SsKdZD7+/0ww
qYiWGDOER7BDjTVhCuxhLDBsmnGM8F4zrChtj9HIuR2wEHEf7KmEyryPtn828f7lMLBFu6avWqui
FzMYaZxBV6AWFjsql3eQ3u8XUl62+mDIZjBp9HWGSvg9ZSCJzjqK3+kDYDsUoY/INHv4EU/dIfEs
jP8DGXZ533ifVKc/ceFakjSLZUK7LB+8f9sIhX+Ksea3rDmBkNWtHceqThsanpoZIqAVWjkV8PiF
0rhdKl1J0HfhXCn/EusVzTJVxTTBK/N1aZPUTVKa40z2xBMdKM7ZOQhWTTfAONRj6FA5EF5isH6N
fZpk3EBPg55Mwki/Jk1C0k28k5FR8cpWPDPMbUmSNgL9CM7NGMabUoAWy6Bcg375JE3WTWq016Mc
H5up9C8flvUt/N/VQT3h6wcdxqgTChll/EDonVy77sfBjsTZzprG6TLOfbYetD6NMY/9yrA6Q+hR
UAjawB3IgyjMG0O4vbyiyx9SYrV9lCFqMVRK/RxklAT7lYKxHBOI3mUz62sxRAUz3qg0stg1IJCb
RBRpdBwtO8ruc3CGVBFvYmL1HlEUS9QpryZyjq/bM49EKYIGiymi5MYcyGPXhD8uL2Q9zwY5lKTK
YKpTWFmehih5VomwQambKdxLeoo3dFALSLgNr7G9AidAGF5YoynPIjjptZEnBfVgCNmjBKE71uyK
mHc5xE59rJFzOPVd8CS4XAaA1UfgwjATOuoEJWhICtJzMaLaTpUyIcAC7WKRyzm93r9Z2GJixmCl
RNYSEPoAo3QkJ9DhHZSPOEzcfGft1aNIya4v7+PqgVzYZAIIYgeZtQ5lb1I/BmLvlJNkC8HbZSMr
sJ0v2/dx9yy2L5KqVO8pGIp4mUxlVrZUIU/ZiM/pteg2XCZ83un8oGddGBxMCJ2YFGVGBasgRuBk
INlyQJUD0CY0GjlVY85H/Pg1C2t1MMqhSYuAef7Uim9CUNnRwHO4Vaf+3KmPb7wwAl3iLNFiLInq
7wqx/VdfOrxSwdgtutUeKGIeuIxnkv59YVIKFV3BID+iVTnYJHlIe51z/Faa7V9PBv20CxNTqKZj
RXDmaTdr+DmfgWa97QmuaLT+VTTeOz+5TRM77WxddvnJCA0c3xKvxVdlAkustWVWhjiZDSknuxwx
1wP1mHu5Gna6wa0Wr96bC2tMNAnAedyKHaKJdBc/Spk/PWoIKGiFOu2jUDlDZ4+A7Oa+cM0DTXM/
NBNcklzOgVbCXo4o4E6goXwcXkLPghvWR1oll58lL/PUV2jI8EVM1/1Rk0TKsWdpIltLy8xO6dMK
C6ckGAAHQhOCDvfSkTNKlsUJN6ufeWGNSWUTWUiSnjKjRcfgZna729a0ywfgdkDVnW2Lm+Jnc0q8
womfOIZXHWZhmKmjxaEeY5HwUSp9AYElDNyCYeDaolwf/hCBIpx3QfEsMi6KESqriifkmYIKknno
Oak8peL17HmxKMZF5zzsJQkDTmg45I+SHx/ClxCELVTNd9w0m8jjtR7Xy9kLi4xTQmW81lMMp/lm
WTpJMNvg5HItM3fH4F7TQl8lEbQfAr9PsusufA2Gd3XI93LY7Uat2ec6itBq7KqYKgtb1Ssssrm8
z7yPzrgxiMn+xuVrpeCRGdoYcazxiKnW04HFV2A8VsonM5xobp9Y9vw2eH/BJ1DQLxPgZED0RnYl
Gu9cUt7VkKipGoVoKtBZZ1ICwOkluaTvM9Pst40RXmVp9FC28o92ABDu8pdcL7Z8GmMzg2RE3k0s
GEt2waYBw315Ff9S7fxobESkkglogA1XB9UJ7+W0vof/rJLNEKx8ECAwi8BvQqch1wSnnTmnZL1L
uVgbE4ZIYfSi3mADi9KeNsFN65sbAuJESjxEHHKKHNRGSseg5en4R3UjbQBsk9BbD12e5CxvtUxg
EshYAN6Ax31exWhjDMgj1SzzL2/mahq0WC8Ti8wqKtKSBnkjGQ9CXLvApj9pRuReNsNbCxOPauRa
cdDhyARAGllF79UKL+ZRB/6WFSxWwgQgWSV622h43yqDbk/5U1XuJ+2tK68G4AEur0amn/6SLSaY
6FlvxL2A5agbxZdSp74CyV6K6bB3zOV6szeA6Xd2ZhyL4Um4V97r1/zO4nIq8faOCTaKpRnoqGPv
KimyK3m0m6DeDOnN5cWuv+MWH5aJLbpSJkpYfzxxwpMK+XTtaU4dyoalQgOmOkkAuWL8gzugxolp
HzfOIs2MQxmTQvQBQqVLTYi5ldtI2+Wg7aS67c3L/CKmjk6cGsUh3hXN+bQshFfvNGXuWhwmvT2W
4rOl3IS8rpfMWx8TaiY1K5qIEtURrz1G78NP7VkCpPKavEyn7N78DSkatMGUjTTZIKlFGzG+1pAv
vFc3wznldsXoLl440h9HfvG1AcDv9Uw2DL/LYgxX51mEkml3B+3W675OfFUZfsSTPttm2XCweLz7
5GPydWF6NGLdmGhZQsoAnYV8y4yhaxRSr/5Cbrdem+7ye7yX0DHmVdc/7oxL62YiUwHQkFpZheIn
YDYSwA0QtWBDFhQvEW8kzPJH+k7qzE1Vqa7BJfL7PlqPl5QGMRVTAqedwfJK54YJYngRrpXsPsox
h2ab75T/cHPSUPB9lZ+GmFCRkyYFRztQ24UZT+e+x12Sjcns9K0CCq3CUjaQxI5tUHaMvFi5Wo1Z
rJEJHxbIs9GSx0Nb3QQQgn4ZSwwvp16DKeHZnl7qjZLbUAoDn1/tqChExU7QOUWIihSvvrsOjPz8
KezcDrRUh0Yd/n5PWT5EqM/xr/FAAxkYkW0JzIKututeuYbXr79/Pj87vWOmAemlAvtMOSkNv7lH
i3tDnsHV6PWbPyNi/XKw2FGetFRNRdYRO4cUk46qum+M+la36pmTC65fup8LY3KUIU3CMGoQJ02o
1VtG5BDpMSweBPNOGrace4hni37kRZgA3WZWxB12TzmXP+c3xc+9yE9es8RJIfEhQW3YKJ1hW3sW
Z7z/X7L6z1UyMSJtOyFJKQqdXvf1TXyYt1S4Xtq3QAs78NerLrR56R/XKpPQNLpiCbmG/M+EjDTm
5myy6VE77XxybOwSNE8hkuzL33j9SvpcKJPXxEaqpBIoyv1If7PKBxKabmI+/wHL/dfTyUSjRI3l
cg5w83XRCGkuKFY7qZShzmipkXN5RetlzIXPM+GnMUlsEgXhhwLTivfojWbyjdcdQYx4E/u8dzDP
3jf6WQzj/DVYiSH+Z6ri2drEVfZU8Tt1+foo/5KK/rNlFtM30MbUkooSoUU7D4/KFuTmXtY64SH2
UPXep5sWw6QYegEAOxKd9jbbT6/6iTcVtJ4uff4IJpWp48iMM1qoknMPPSZHBBqp5m4l53SyKHpT
xgxkRZAnNM/GefIws24B1AiNISrPUr5HlWP8xlfm8k78S23jc3lM5CFhKcSKjig37Cn3c7hN8ILf
jtGHnjs1TnbxdbQ1t/i6d3zA0r9Ucz7tM/GnLIJUjujEPOXA6UCxB6lsKLM6iQ3MS3fg5kSruaCO
+XhVQi1DYvnyhaAM9ZpCDrJdu4Oe1alLUbqGesAVHr+UgJcCyisDxutXKGFwoaur1+XCPhP55hRi
rSqtJakb4Tk8KSjJ0dn92tU22a3x6z947WoitrDIBD7ouTQ9RARpIoZWIqylG9pI53c5Vi+xhSEm
9EG+KZEEChpo1UddeSka4gfW1kiepSRwL4e+9VrGwhYT+rJabgKd9sGKIxqXGCzKr3CF3JHRtqBS
hjId3crqcXJBEP/ShyB7qCFPaJ7qAw9Qux4VP38Ki9xS1UAaWwqIo0VW2tuRDvQUf0hMI9Pj3p00
4HzLdxf2mKjYq1bUjhOWTrwe5M2Uk1++1pHlZdv0zCtLrcalhTEm+hkWCVBjQD03EbPSNsLBi3Pp
QFIVHIIVt626mk8vrDEpV11DQwrsq3gtgZypTTo7j+KtTPqtoRBP1kEBpI5ePk9OAin0iDfNz3FN
jQmFVhKjUJQgKZmy9LdYzzstm3jCJbzvyYQ7qWtjiCOKCD8BGFoxVD9KxFGtxLpvlT6yYyMSObkl
J+CxIK5GE5RWplywaVodzTjdC6T+1SpgtyjlXSXUgGhEnT2lTe5f9tH10L7YTSbwtHqlWWEEx9Cv
/hbOcw0n+WlDlsQFyzj3JcI7PUz8iVqxGirazZr2lJtk3L61nuxTJhxeI5Lr80z4gRZI0xUh9fnK
UTInvW3OwY9usM3IltK9ti8hQMEVIeGcTxb7BZ0oZQpKnM8o+NnIp1LjDQDxDDCRJZJkYHtpUJXz
2OkBaAdj8uUzwTn+LKhLCPPaMGgJOu4Ku4YDoKTfy5NvSjPHEm8tTCjJSD/mIY3K0GsxqxcT3a7L
S6GeeiEMsxxTRT+GotIgMloVccyWOJiYt+PxD5iz8KD49CIWomOiIT3nBT4ZFV4B8bqNp72P6LuR
vPKOF+7XUXcLa3QDFw/RWi/0ChpsND2BsMoZEJobHRfnYJccjAIvOuhMdIj6SKx1Wp1v3VFxYkwH
U4X34jA8x9fdTj38h6kG3plgAkSiy3nYjh+fso3t5Ed9A05nL/BBdBo8q0fMcT5I75dPyfpLF91I
sJjIqql9RJLFB5VLcW4GBTZFzbbO5j7f96/qdf5sXVExdc0pbrKH9Omy0fWj+WmTfoeFTQMim5lV
4jEhDw9zelaGn2PK2z7qP9+P/6cN+hsWNoQqklA5gA2Auv1wK9moG2yCO8p8Q+dheXUK3pKYcxmN
BWqNH0hhHcPkw6mrn9Pmx+XP9i9R/XNNzJHsDLFIZ3phUVerIQRCWZJ0sBXhS9oxymeX7a2PUizO
BnMeRzlt1IJm5q3rtsfWn6/LJ6hk7gw/vSmvNODWN/MJtZgb3aJMeVczlxGU91mZe8wkZgV1eOzi
Y+sXmJaXvcw1r3uH+Nr+Qwvkitf6WPfBf74x2/kgwzh0ugyLRl7aqr5TTM7J5BlgLrGpCQozqRCX
w8awpaJ1Jp2zbzyf/iBqWZz9VoyCcSyQpqKso3mYrq+uJRvgFa/1wCOQtyAOE4Gt4H06zmaxbQwQ
ZLSyQYuETeZXLQZJ9XepzXlFpfXnxecGMcHDCsq/H6jTvtlRgVEQd3mBDZHW/yAtvN4f+XSBj3fe
4lMGnfK3gBIq6JgbTVztCGn7s5zYVNuYNsOKG/ATFXs+lQ3P3T+aWAvbslEpsVbhKCbd0NpqG/8i
UnOXmKgIDLLqKNO0DSXjaCT5IRgTyI10pyhOHqNQ53xz6ucXYukHq9Pih3RCG80RnUMzh0Cz1UR5
MtTA0eq6sOVcdisx8EXF2F6OPjSYXTLKBB8Bc+spJMzQgg9GYquKshX65AyksCdHyb2oFDw973+5
8T9PFhNsSFOphkjJ0mpv9oXnBnEu3LeAmJmdA5ZEO/Z5HiOvUFbS7Okfm+z0t5ikRBpaRAPwFGxN
zExEfeYRybBjPXfi5tpM7Wo+pL9m824QAf2McH0Ve3CridFdpWNYNT23sReWj8J0quvrpLsrrZsk
f7LCKxHVuQIqeIOfDhiHLF+z4YeSG04dP6UkcAthL/R2NL+2ULifQj8tiW1ZNzK5C6UTiW/N9Jw1
p2zc6sktmpCkw9MhO84W1DmPZpHY0WjH8sZKHUFypetJdkTDFshzNNxJQmobBR7BwZWUyI6cbGP5
bLTPk/UogL/5Zyc50biLJzuctiTay4Ho5CVkwwUHFNZ9Cd1yxZ3rtyE71hgpql1ryGwtvxoNJ0Cf
oXFyHeetFexe3QXNe9i+tsp7hVqYqe7TCeLD1utoboRBtgcwjkduNLvCfMSIuwDBTdS8p9aNwqMi
g4zCDlonCH4N6bUuYAQeObjZbVVzo8XnzvxtisRPwsEGI7uD7sdGGVBvQ480eTANAg1aaCuKrYO7
wiHtLqy3NeaG49kJ0SvvrjL9Vhy9JtyW6d6c3Lw9hOaRhLcTRhIrp5MbEI7dqXJvG4lp99NzHT2W
1oNa7mPzlL5nIaUz/y3Pm0Tv7EaY3DC2C/1Hkip2Me70SPVibS+Xkd2WN2S6ydqthEaxtpmVvdge
8F91YI/FY4uOnuVDR0eNHqPi0A3nQn8RBNmZ21MibcpwtkUpsQVxH7YeIT+aGEXG9nUAsBlpZ7OJ
W08wvWTK7UaHHyg/09KtZ8Aup9oh2n4Y3ocytjPjoU1fhABAFre9rcNtD9ax4Cx1DxIU9MrYsMPS
biLJF6J7Deo6dXKsQn8sX4UiRg74e8D5jMTfZVp4l2MI7yZkhX7aIQ6CVkB2WzyP4D+kzJJAEMWO
9aKgMo+kyeehF9YL1guPZipS+iBGIMBD1DZT7abNZ5Srxwhjd9nRjHovjuXrsbHcQjOOfQCF6rg7
gbH2pIakcCOrw7DoVNhZkB6aLnoBwv1U9PoVOJ85IX31rgafvKFS7gkI4n1NjzszjOUpQdwhKnEm
kA4O5CYiKafEshrDF1aYrLjP9WTITJBzWUU7PASdlDvyNM3nASge8BxCsfLaHOJ2/ye7bsqiCLI0
VVTY2cpiGJtUprOq2W56BMemOIJcl8qliL54rz+Rs/GY+jwU7WpetzDK5CVCEYWyRIftNfJsFKkj
ZTyUFc8Cs2d5WcekpROxU1/YgfK76ktOzWDdXxaLYDas0wMygwPqo6PllRLyq3ITo1C91e/C67jd
6eBE6LZVwTmN66nOwi7zsqm6XJqgyEVfNoM3u1S1mD58DZA0IVgeeE7K+5JMblEWFqYHdcTYgnTa
6yxWszMIGhdcwzPDJBSaEQhZO0+0s6HvI8d6ivwGXzI70U5Z8RB4vPLVegrz+R3ZEpw2Jm2W0I5r
tAN46hbEI3Z+pVc2hcwrTvAkPyk/OM5GF/EtT1uYZN4zdT2pldljkbTJSyk9M3Ai6Jihjh/mTXrE
fenmfn1dnkOfRzmxGl4WpplQW/ZJ33QjVisbz/Mk2yO5s6Qra74FcJ+TjdITcWmVytd4KYOu6i8W
mTkbzqjjboum2PVyGNpZMvqVId9C1Xlz+dOuxujF8piIUnYaSTpKtmKqtRcU/UsxSS9qEdxcNrP+
zF/YYeKKnqdhp9D0Himak1xbfndVgzFU/zFvu1+YawXX9HRUj2OKqZnIIwfeNq5fmYsfwEQdOR4n
NRhmWmcYvOY6v513sTc+6dfFtv1NEXHetG18jHm48ZOw49bleXvLBB8lnHuE7g83nTa9n+Eg+YMn
e8kZHY8osnUMQlQpGNl1kPDyro1199FUVbN0wzQ+NmfxtrIasUZuiU1OoMZBeaY0FE6bP9D6wTvD
/DTDuAqURyZ5UugaM+KE5CzVvy6fIt46GAepCfTgFDrTlYp4j9S1F0uqF0bHfnzShl02V64o/rxs
coVN+OuiGAfJjCFp2xaL0mzRIbFT7MTGBq+wBdFtsskd5ZQ9Qnr7mjI9WbWj7VV/QB9b9s1XEKdu
efgTeky/x4jPb8z4EVK7pBFoOLJkycmgPTo1z1r+aiacda9PBy02k/EXMSG5lapYN0pyvuanXnsY
bzADtpO3gcfDyq4H2c9VMd4xF2bdmgTGJi3wSbWRxLegMrdpBLg1BsIvb+m/JCCf1pibWVag5GTU
cIf4EVN7dpB6cWgnUNzKjz2mSMfNILh8dOL6Gk3TlAC7MESTHu6FExJZqdWxA4WtFRU3k6DYJSj0
cu0pNt8HvFcur3H9mPxjjEUp6UbR6YKOFqsklNVL0oiBXQZNcpIVzHoaah/+WXL1aZC5oWOZZKYa
0lzfo6PAxiE7Y3wDQjGlSwrALjOOQd4CmVhjdrMi1AqyK6JXlQ2hp5NqDueuaYldkpST7K9ekhBL
kwxL0oCUZw7MHIE0QJiRsUYNytK9ctfMsd/HEOK9vGvrUHzA+jVQIliKyVYChQztoEiHd4NyIndG
t/jR3o1bKsQwuYWXXqf3/e1/QMfQj/UtqCzMMr5uQPkVutR4TgZX7VF2hg2ItJ3Jp9IlqcsjnFqP
LAtrjLMbWpck0oCvqW4mD5I7xZ3g0eipoIAAfTPhnvNR13fv86MyuxeWcgSVEIAex7ckd/JbDfPb
mAYeE0e9ByL4etgFGELGyPw7xzA985c+K+vxo9gXNQGsjPYRFVCGvIGrzEFRBsJNl03RS+iCJbbC
J4vFjIldVBWT2rIV0tq91HMcbvXu/dw1tsrRdbWixiF2LUUZLY73ReFpQB+qW/XHKL6oDa8evA7m
XhhkPLzXBBKRGYeSjotDRkiLQaFXneft9ANMr+Wu8KIbM7S1B36+tD40sLDNJBpFNuSyRsftep9K
d4xbFWM/ZIcZIJe3ddx1MglGkcxpDPQxfZaWjy2gWqBZV8AzgzHrwa489GVR4vugmOPhAHmnhskl
WrEcI0PFqdFI5UlB5xUJT1pmRdUM6dPiSzKhpW2HYhoERLTBkfzhVO2aXXqortOb+KrcdA+UuUHH
2KTs9o/k2hTtInRktL15RfD1UevF72CCjpxUZDQhbIYUeDyaV+aGMnCNr8223xve6Hzk/wc6cy24
PLgj7zMz8cdsFbD4fdCYzMl7YlmeLNYPl/1/NbdYrI6JNFEcQPShByoGInWRHyuA6LZkbJ1E0bPN
VAmZU/dx9UdBx5JMy9QVCCEwThKLYVpZBrZWUMQrWYN2ZDyfL69rHYphfdpgnKOf5cAiHZyDIlWr
s7nTNtUJyHhuSXXV5UExA4p98OCKms4kMEmaS1JowuWNc7BRtv0BMyNQCSn2/+EwriUv0J8EosXE
+L31jfe3SFNN1HAjyYGXnjQMOlA0t+EYL9FP9bk5NUCGofflcj7m2jWPqXBFtwxFRs2S2bBoGK2k
TJBl0wKY6hQgfk83IeTuCgz887Ata0dyaYzZOSXO9bHPkWS3qWmP820GIoXOvLKsK5X3elhzMAVF
Zh0DViBTZtc16COUExQ87VMTE4Ntotwblcw5iTwbzHL6LqmHTIKNXGxc03jVuHDe1bxouQwmHEdD
nmOIK1FAa5Y7kgQIvHSGU29k5d3MX7L5NatKB3oFjqjETii/cU4H3X02h1iaZyJ1qsapONECyeA0
R80nG6jlaCcFL1l1W4BpnSsDsJaXKWD/MqBsAXpvhQnJDQnHWZIQknXkbgewv0d4mUTdfaFYin95
cWu7p+LMA/Ujf+TWWPvi7TUOA1QeQgEvvjZ4E4fyPJf9y2UTq6/KhQ32ydVOZYkKZYATYuf25GXS
yTrQWxwj17s522YacNDv75eNctbFDodIFmglpwRHRs/SejtPTbtTs4BwBjjXwtVyZUwmputzYiUa
VtYqod0ZpQ0FXRfFNGc0E/fygtayTBW0YpIGFQX5m9zJlOeBNGiZ4pfVZNcG9NEKHa1a8aMvKsSt
k8nhLToyHLOrm6eJpmiIBojYv7WqSlmbhDzRFV+5q4717Flvmq+rdlRAW0a4mqpz4fUYPrN5TYK1
T6uBqsswdUNSvhUFhLCQzXnAeTfk9yG+61XMuIxbI+bs4Pr6VFlVRBUFCJ0FUIJCv5GypkZtCqFf
zLZatEm9v55d1j4N7LSyh8bjTx3T3IYJKtBHMg1LBMcfxDGYmBanOrazGS0/J9OjQgyI9JabDGM+
Dji4IzuMipNWEZ4k+No7+otZJpZVogHtS7m28KA1nvNby49fEFxO4010mtz4h7qtfuknaXf57K7h
eL5YZQJaVbVjoJuJhVcDKEpnTLXEXuQKovNGKUplW952KsbE6JhzKNqXja9+aHDY0Q029G93eyjq
JCcSVpzJkeEUpSjYlTAQv9BS4yD15Xxq607H8PMYO/93y4oF8XDMElkadAy+xtbAKpKgqSXNH60c
75QwupaL7rYRmtQVQyiNpkDWy5HOKcms3ZYaQrmi6Kqqm99uD7nL8rxpY93vVahHFn6+USvbAqX6
6Km9zWcJXHunaaapIXsyRRU8fsxRLkozyLMiET7uR6u000Nyzn+Zij1VUGeXnP4UvkVe9kvicxit
RAkNaaKMuqEmUzGor58YI9ZklGtgH5S6tqPu10xexTp1ouT18lau3MgapNh1jIRZWCPbJ9CsVu/b
Qg38xNhK6X2AQyNs/8AEGGwMBbSfEvCqX5ciaUaVSjqW0nSN7pe1CqxQlPe2II+1d9nU6hGxFraY
h1ecJaKca6gof8hwumQzQo+hdgnICUNf4inirX68hTXGDyZ9MMeiDwW/JV5+Ah7ynAjQzQ435RF3
mPRzvIpRS8s5SM+VNFuzkEOZEm5NXWKfLZ1sFllfBFhjLXuE9uxjrLEGVX1/bYzPl7/oSroBIzj8
hoyXEjzh6+aNwqzkVlYLfm8YtpjeDtLDHxgwgIDTABSXcEi+GgiERhzaoBH8cp7cIZxTV0F7knMu
6K9k7yTEq3+M0FUuksG2VRSM/1QCOrp3ObmtlUMk/5bIVQPKHzPIfB7AeOVg6JpsmBbSXFyFrFdl
nWoKYVPqfp31v5RKfKhVEEbpYv70f/54uoYQhQhh6N+fd+1sjKVe4+Mpzb3RgWlk5F0ya/fqFxPM
p2tkswqEqMX+/DY3itsUdoXA1/kYQsZbOfOCxCH3yT5w/mTu54tl+pEXm2ZUs2moFbzLQA8+NN+G
8f3y11uJsV8MMCmD1ggCVDpxtoNe88r0fQjGTVlCZFDlyv6s1IW/mGJiYFxMRGtHbBRlPp48KCqe
i225A/zzwIPXr5z1L6aYEBjW5mz2BUw1BPRFUFxO/CEOT5ZivSeDsJcyc3JGTb7thIHHYrpWu/li
m4kWadvLRV5muDBrNXhOLVndhaPUboO0Jz+6MsdIQQnAZ19qqHXo3bgJ5ELf/MGugt9QQ8oroubB
3JxZXSe1MNADqxHP6Ga3tlBJDjRnnP4glde1hSnmlTRZQzxDGg2fOuttJXyNDdVpoucAILTLa1qN
JwtDTJDM23RIZJUenxxoCXALduZOlgOOlZWLBcvB0xwlMVU02Fhfx12mExpNcqKCmEjIiJ9O/f+Q
9mVLkuLKtl+EGQIxvQIRRE6VU80vWI1CzDOIr7+L3PfsIhRY6FSd7q5us06zdFxyuVw+rNU/VZpt
h3UGVPCxnZmCRGpftf8KlSndG2QpR97gEBbxJ6ZHpDH9Tjm0tnvS/2jmSDaR9qlFxmaCTQzANAEI
rRN/nkEt19WqBkiVJMkkhqWuTa+EpNJDelsz64elY8c2rgHWYFedIhDfPesbvSS76Kuy6BsD91pe
OD8qivR6Rn4YovioD9UJd3fELSeMLaI4YgpDcaQ7AdMlJbFqKFljVIKxwMaQ1wLevcFGQxiafK8b
/+qwpMt7a5YyhbvoW9vJVmmkfo6TU+ECS0t7MoBt5BVmgHqGQt6uReJBhccrxeUqRySjRSi4AwdE
de7NOP/sMQzdcVVmViVEWkLLtUXjxRCS6ZjTHTq/Se7bVhX37FmjjUiRIs3xxjd3foWmRcztrhVY
Opqe9GpJfMcVd1pZHQs6K7Jh6xfL27SVJd075qw1YwHavCPBo//QDTMYRuGjFI/AvXXDa8jAzAKF
WnJWQ2MxGzLIOs7lI60LP2ve2+a36wa3u2obGevPN4GHRYYkYzpkGNly0I32rs3609jpvj0vx/+b
qPWkbUSZvDaXbMRlVTcFmlEKjZ+Wceme4iIp3lnmND5fl7e7SRvVpE2yjLxKgEKpHd2xDRaMPnSW
wp+rJEghgJgSXbjauni8ilhT3jlD9fIvSrjoy/DW9498w7tszpqWOtpRr5+G5mtefr/++3dtDIkr
jyB+hwhJBYr/h+wnVIhFcZsN461VJkFrTooM3e5K/REj33w1rcuSmh2Cd/4ykm8Wmj6v67ErAAUn
z3ORXdVlR+Zok1aV1aIdRdV/qeM2aBkgva7L2D0r6FrBK94EiqsMg+b0PEZWwcJ2l5HX5Qg1eTAB
ASXFf69L2tVmI8mQjorXJfFkUuz6kN5r83SquvHluoi969TeiJCuUw64mN6coYze/7CqLEpoZMTH
ctT8GaSE3PmscfEPV6m9Nv44EIyRCckBVNzLFmPyMGwOqI/OYDccaKosfYj7PLSzfwokYdM2snYY
nSPyw7QfaQlOUph23uqHZHjKvOVYD7Viq3aNYiNF2qoSjbdJkuOAxqQ5ZKzxtdzzGSoJKTUP17ds
L+OzZtIRs6LBbs2XnZtFZYyTGYuURX02OPeCpdrP0tTHh8LNh3s9H9zbEuOFB10T3ZPBqRERN29f
bFHoIe+ortjOHdeBblvwFgPIFI9yGbS56uvUZvWACT+uvYtT5k/NdJOxMlRovWolXbaQ4xomtQ2U
dmU4J0y8DF07JixqU7r8Tgx0yug0QwnKNdnJbDKMYXWVd5qSjj2kjgOyjsYcny1WeionsxOdIc9B
PIzjGCinyAZcGxnSNYaGNxDPuk91muWhV5Zg4aN8PLlVr3+gnln6PNZVBGu7a+1ZSBrR1cHJs0bM
cPSMLSWLgPTePQPblYTCiM0n4GUrgQrXky+vt4cyCiabPDg7+dxgrijpuzT5T2eSzp6RVtfDGHye
4yE1Hqw5SA7K/vEd/Vx9TbxZFLHoRQp4hNcoMqABR2Bai6yMYboO63l0l64O7ZKhJbln76qZ35QJ
AQCnRtEttWg2onAStab5mJpm51tmXiiMb8cRn32XdLpTW5/hIwWLJo/+rPr0iKSdIsW5Y1TIuNvW
atoOEv2SV2zaktPMStEDMs5HOj5S97fXAgBBu1/Q3JL9fcji6paOCgry3xhdWzdiE4TZnImKDjqL
ONoif9oVo69zTQdFqLeXHHFxUpEX1B1ioaJ9LoaM46T3Q8yihA/6YcB+ZnHuz07/bHX6gSTOfcHq
r2w2wqmmil6GNwOVDPhM+LqpGx1JD9D4uQBarBGhEQRibwD5XPqW7lufVkpVAabRPvPHiH8RN8sH
TICuuKnXvdbOtYBvQFIUFSvLdOTY3cK7oCumJInmMRbvBDo47gCCJ4KEDUCeSJb2dF3e3gHaylu/
Z6szoh2LlmkS9davdv5N+1ttUeVHd3XCK9FEVAi1ZE6zrGXrLKLDIsZT64QBPXqkhi2CkiSAlLBE
cbiu097hMzfypACeAN3d5g6MyIk/dN1jN6v8uUqAFPzqrmM1tQEBqO5i+OG2WlSObXdb/qsCzt35
tvCuLJYK77hIOCh9j7ZvGPexp5pq3Jv9c/+slCW/EsxUX0jSQEych8PHtfcvd/3CAiM45sTvFup7
oSodv1dzP5MpucZS1G5mt5DJkWb6sYTrwFHyWn7H5Dp/vxzsU/HoFr6KGnbfs2xWVPIsM8LWqq5Y
Ern6YAV2QwDWEHM/BgNHQ9ITBXpoXXUPczM/VJPz90EzdPbg1Tzbdi9e5H2RpxmLoTMtMNaE3tUE
k52zt/ilV/upNfhLZR2yRSF1L+47Eysd7piSVGgWnEkbtvf9Gx+v8fQ/xNCqXtL9Q/FHR+k+EgDL
HzMbwqYCrVLiY82X8Pq53qs1n+kjHexR2CjszTyJcu4XHy3AZ7/TUSdIjtY7YB60IqCw29bPn11H
STWiUk8688tcTllCoJ6tvfLiywweyOvaretzcfv8sRH5qVuBUJVPGZQrHC2q+p+N+2mY6GHIrWAU
qtfH3rSqiwjc0W2MaTuG3ByYu/HU5gCBjwDdKILpI6otofeyvNMBrAg6QeNEC/8fgJrOZK5LvLlr
bHe0+FJUSZS0jyNJIjokgWupmKt2N8q2QfbnAcL1MvNRGtaI85YAvuFnmd4SoUgP7TyAocWf3y/5
r5oBCKRLcJulg8ZDk+h3/VC/1C5gPOj4MxUpQLWWT41YFA/G3SthI1dyYHkf0260sGNxb4d8+SyM
7giCUoUV7t7VGynSHplWZrba6iYXgKH0Hdi6CWpUr1amgnxRbdOq7sYYaM3bgbUQ1LrDPZm9p7a2
FbHNvs/fKCP5v8wFaOeoWyyy/OkASN9XHr1Brz4rpxV23proVgOQG9KtBk6T7PzmBFTWbp5EK2lH
Hi6f6JP1TI8ggfulam3YXTi85pF1RwMoKGLPF67ogMHSC4hyPLTlT0Yw1yrgd4WIt3Xd7E1fOomX
pAX2Zh0+CnLgmQAPOQ6NJzM+OFNYvqwDAdbP6w5QJVXKUnRFMSGxsyrWuQ9GEgd1Pob/NxHS2e2s
Kl8ML0ui0epHH/P6J0DhEcURUukhHVTTa9DkXWH1kCM/pAlA4lS44+s9d3FV/DGBN+e+2R/Taco2
brFSNrBcKmRQUMYGYNp91rHABGGl+Hx92fYP0kagdFiLvp57D9woEbddsLLMYDf7pLF3hQFKXTS8
FtNPm6KObqnGGfdv/I1g6QRrRg0syAWC+5UfJSR+JqL2FRx5mXYynrIbetSBvnPH6GnAsNr762qr
NlI61JzlWaYbuEnsgR21avkIhHvV1K1qK9efb7ZS7xo2JQQKTgveuvUSTgS1NGDnLD6zHRApFXVg
j8uX65qppEo+hHBet7MJqdS4Jf3nFJg8rhOhGHrf5fSge8d/EOeBgRONxMiAXSQPptYuRVUmkaf1
rzzR0N1ASES9+lDR8Vafs9uGW4rKwX7wuxEqmc6MORw+gNI9yoY5i9BH2P9kJYlDzar1J2AP61Ex
NdYp7XgaeCXGF2JUtI61PVmPC0+sT9eXYNeWNl8j2dLIkRHiFCtex+X7eUbPR5wqzHUvQEA+CJle
VH1cQy5lTOXCrK4ZsKkVP+X2/DS0up+Nqg6IXTGugYeMjmQmeXtTbizWK10XY4ATHlI19xnKi0b7
PBJVHLK3XkiD4FJFcs925fbZVE+sfLIbSNE4Obqmy8Iq7nuFYe7pgqIPSgouJS5qDOenr3D7oRlH
xNxaO4J8MzeTb65RTtHcpFr09wawESXPQcylSE3RI96ph/hj3M6nalbBv+9qQ9YZaWSbLSqPSQ9z
TvMltsF4ybsb4hRR5mRRJRaFJvtiMCtlORgqwuzI+aJ1yVgwDCMkEMO8QCvqAa0iHChjyz/USdFZ
TDH0hUk6/JEkmckspsbUkDiyxafKXL6WjRKif8/QtjLWn2/MuXZb0WlrrDOCbNZlQTH7K5Ad8KqW
b6LykxM9eTdEZQ17DngrdV3jjdShLHhigj8kaio7OSB974Jtes7h85MlQG96eRqWxXgutU6/uW6H
bwikcvCwFS37RbDNMJ5AYRrxF+vVeUx+diALLz0gPWi/kJugx/Y2C9E9grjiG8ayA2Q5/6Er+Gxn
JXdYFFbXtTpsqD8Ov81jGdbGoSVBfZqD+VCiyHcwemRXVaO9u8knlMNR3ANH+yWpfZMzz0qaEXF6
JIL6hoP0gt+yhxHbXb0vVnBiJV3hup7yem9FSutdDLRsxxJuubdRfUn67CfJyMEVbTSLOjtd3909
a7YNHY0f8AGAtpROjECdKaUZnth9fk/5Dz2fFMHt3uHfCpCOCwPQzBRzeP/WFeBS63wRf+vzj9e1
WN3uxZJttJBOh1ZU9ogyISJoNprvmF1iyWZnPizJYn1rPYJ2gGX+XgNd/VvLXPZyXfrezCtecQ6Y
elExJWi7Oz+coq/m1nCgo36Li/SxPR3Gg3nQ70Dvel3SGwDBmaK4ETB5hw5oDIOjRCcdg6punCZ2
jCSymL7cZ0vfhjXz5ld7GRqAPA8IVJYZ8PGlgyrIYuujGVoibQ6FPtm3xVAYB0+fnMieMpCON2Mr
jl1WotBVxY4dsTxvv5gtKe87dDL5ejp6vm4N1m+MiIgcEJ7E/D1YZtYGcUMwxcVIG+SFPoM8jfPj
lA+OwnZWbS60xTDqmpkxEAtKxplOs1Fyt8ed7jS/awe4kDb/kffOh7IGvM1kfb++uhcHb11cj2JA
BGMA1JMDlQy95TmSQUnElmp6ZNlgRxSJ9VNbDuDWzp32+PfyTMS3a5Rr6hdtCm5KNTO3sZkxe+gt
90EjX8rhx2THijN+GdlCsa2g9XLZXB4zOJE0Y4hhNUhraGDpjYHAAGK25mbFQlYBhewt41aadBqK
1OsZzyGN1YjdUwwtZ7cgKT2UVqJQ7MK3QK+VegklZISxF4HFmFPA8Mc1j4x8qv2ihE1jvvKuF4sq
wXHBe/QmCYGy45o74yFjC4UHAku0zKR9XhAsf6iLsrqtF5E96jErT2M6xyeLNfEB9SlwSVeJwlou
M7D4BgtmCTdN1wK95OQWL0eTXq2t9zBgUO448N+ObghJN+5jctLrMP+lStHvLTB6sT0DQwHoXZb7
EAa3tSmzBh4xDYmC/jnnj1WeK5zaan3yKUejk4EcKVJhF3MdFXgRdaG3PEoa8dlBijfP+/u46e9b
nb+Ly6L2NVK9v370dhVzbBtPBQxEX8yLdvHYdZZb8QgO/c6qP9kkDdA7qnhSrnebrJkDgAJMZq8l
cLmNJhs6AzCgHcdjEsQ8GY19r7NVTnJPla0Q4/xwF0tdOnmF5SspAjGnDgftA5hiFZu0d6gdQgkh
mKC7TCLOiWB9j44YgEhrPKhLt/eRnf+iJV7ro1CmiDn3pcHasXImpvWkay6vjJynHg42gNVCjzcZ
kKkALO3GpuODX04o7hmVOMk/drmIkR2beSQs/alPMHbQGYGTI9xLFI5k70ZzDFiCZxFc4fIV0+Mh
Xxc2lrHoDYATZGv/4GI/MqOoD+5I0OqjumR2zcMkb7UN9MPJ7+ICVqc7GiQOpXtrFnjgG/YTNVSQ
W7tLiElEbBe6aky5b8iLRy9fWI8dq+Jwad1g7aHJbd1PMtVAzJ4oV0dV1HBdQInJfjBDO5TDNcGj
Vlvcm6zSMOGOx4/fWd47mnb0H4xjbTtDL9zajiX7wHRuWV4bfO27wwRubIpnK8vuXZJ88NjwT7pZ
Lnq4MTkK57Tu5uamTljKuimdcMwS8dl2J7wvhvrbRI13NKb/4jncjbB1oTfC0k4AWwRJmSg1SRlq
M7UAlA7s9bISqsaBPU+I23OVZqPGJj8z4tz0qqkaccLAi+J3uXnq7VLhbXftAhOCHoX9obtLKgc0
Dal78N7CERq/JgCTafMcaMOLXiqijl1d0CeGLkH0HSHukJZtQSEqS3CiNPMnQx6LoBfz+u20KwGd
OgR2Z3im7CWWsbftxsKItKGh2XF8XRrVLOXFgwmxBFqYbcQRDqYc5Q7jEYkrL2HQgZZrg9I8/ZhH
BwXK4VjYmEctyyfEBD9Mo1VFFLubtBEs3VZLzIG6yRseoRMt9asyjSwyIczuKZDNl4/X13EvsvAQ
Wns6OrVtPHHPd4rjB00r4JTM3oqy1gknnk2+N9iTX3jxg5nT317dv78udDdO83QYoo3hW7h6yT6K
WPOyPrU5XoMrxdZsHNjhl/WQvKzoY/wVjAoqXq89H7+VKN1fqV5SnuQD4mDinfoBPAAlmI8T1a28
Z5ZbMdJy5rrGAVvr8mju0ydWtnciZor7USFCZvRJMfc7F0mGSRQmXvVl+NzFqlzBvgiYIDjukPSW
byp39szUMGH6eKWUYWbmINWovihsYO+94OHwOnBDSKzIeeJxSpZsqeHHU9Rqjia4I8JRzyoflf+b
MTEIuDy6e3RZHKZK/4DeovC6/L0ww0OTJ3L7BCM9srstmag9lhMekfJxcvid6L+28Sfiibtq+n1d
1K7tAU7hrXMCkZpk7Z2rJVSQCrN5Jb/t5+JhBDOaz9j446/luDqgXZBkIOYlpKdraJ4eFzhVxIuf
RkH8GIP6guh/Owq1otdsxKz+a3MnJkmfJ0Oap1HtVra/pA9M4y/2pMLx3tmgMzHSqlVxzhN9TtOo
HT3NR0vd92U237m8qnxtzL45LdqRr6/fjscHlDGu3vVfKzzbuWICaesC/HEpkg26fiiqLjkyg6eH
rEP7uZ8UbLidyrgDcug0kGdUN4ji2twxFIwmm4SA52EdlZC8B0s6UtsDVnZwa9+w9UOGRiVr+Xxd
zUvwGEvHmw2tFbB9z7uwx3hmMRnonEbGV7sOluMSliH/OmHCtwOP73RcDoZfvDrfFhvgJqq2jh3f
ss5MEPxtIxiWQ1ORtyRlKUkjt6U/8sb8ICqmaDp+u/ylRyXAOPAKw+2iWyh1nG9kOYKNEpOJabQS
y2ngK3aQzwl5UAEiePzFH1U5x0uwAqzoVqB0JPAmrJCq8tab2nfywE0CC/n3OCTliQJtnT0lnY+W
giwE5uxPxW6uGb5rykrnhDWCZCyHsms5n+I27deqQxMaxwR8SsF0x0hwXeSqzTWJ0l0KSiOjs0ee
Rchg3dhLtOjOwax/64XKUHdcwNmySudBdHZixq617iNQjsIG+C3c1w7tYe1IdL9b39JD+cBAB4qX
oULHvaNoold+TbYgVpbzqm5bTEvmJVk05+TB6JqDQcobg9rH60u5dxq2Ytafb3zpmDpiJJWdRkzk
4F7ofw6FCkllVxPHtF14FMMBkNG5CNNE30MJhx1NKakOAh7Qj7Wq9yc3+WtC2/UYOBjvQjoMQxTy
tIqDgSPmGnkWTUL7yov6Nx4bquaOt4zQhfUhxegBfQot7TKsT54vU1fZMewdXBla0MWJ89K1g/bQ
ZKQ6DXA5oNTqiNb6NnD/vvB0ycMmLbogyWJA5dRdetQXrf1qVMLigSvs+EMTVwvmiFp603RJcawm
3DpWo1vdqW+0PrD4OD8VY0Zvp6bqGuDe9dqtmATOmTZnL+VE7odpjr9WaC8/WrRpv5b4NSdDc+0D
c6r0NgPL71c0oxjhTLw2rLyagBwdKCoBgzaNr8eVKtmwu+uAQkNr9IqXKheUMy1H0sRzU4Q3cTAD
GSOxsPlAhrluvyoxkv0iKdMITYPzIc0c9T15JWbxyDz6Dxcj0iZ4662YQMgwnNsw8YbYHDQtjbqm
Csz4vevRYOKq/ojVb8mWtZUiPbxqoulOAZbVyMm7CHTTUex03+OOPOhFc+Kmd9TrQqHY3vnfipQO
Z5KyAdMpRRbpCwDRBXHx3qNx+PebtBUibZKnJ8I0K5ZFXvFFiz9kxZes+HBdxOWcD44+RsVQ3cOl
iyYW6RbinCLY5rgTVgCsMvabzp9mv/oAX4DGoNCJkATNT23ghcvkd7fOTf1cBiqnvXsPb79i3eGN
OzVjAj4ZB16bRu5tnvrjK4hCb6134kgO9FP/1V6JZY/K6381jAvD2Sgv3VMptzxzXC+LCTxdd81s
gHFhapmP0vFXZ0RqNqHY2NkBidCEQuMALr/E095r+hhd34a9C3Ojv8yXBEqLsex5m0WAWvBp8b1L
Hgg8v6DfGG0VVvXGf3pFaxkPDA/ovl5SbPl/MH4XkEJRsDGQu6oN6iO58w7ZfQYU/M9TyAL8ryxs
G7+oQxWX0Z4P2iotHdt+0vrBm+ssysD9ZtLHhhXH2FSpuxf0oPgC4EzcoeuM4LlpOfMk6rTC0pIl
PfTwPSQhviCfiqb7B5+K29oEeolDAI4nOTuQUTaJXaz6FL8L7aPNv9bNt+t2suvpNiKkJZsWUbQl
hafz0BIsRHdfteVvq8k/GpV2b/C69NGeqrDNvdfVVi3J1fEegNDV6l1XZqAu6k/TEdPnR9X7Ytca
NqpJzq4Z9LpmCVbPWL62A43m5X1TqqZm1l9yYfobIZIx6KzqqqbCpL5Bk3d53jybS/3h+hbtHmXE
n2jSQiXk4pEGjgwhqAmfgjDnMwaOAV6vWVOYFuJkZeC9bFwV2NMlcP3qwzciJe8J+I54slfvOf/I
wVXzMANA9EuOUaCVbg2sIOhvqKM1+AY27tf816JoYNo1kI14yYv27YwtSBv0lcbeAS/xaIqTb6Mw
brTJetXi6clN29S3Wu/l+krvnuw/ct01UbW5NBYLtTSKtqEI1BYPhiECMrjhSL8uo2poc9dsNpKk
kz2nw5gOfJUkmkcxVZ8TUJxeV2bPbIADsPYpIYFxgS6M3suEtHOXRU33AzDf4VDkQYYzR0AtsVDF
uLRK2Lqym5WbJyYAlZJmkTUNPMjB0zG6YvGXDF2sBqnyoKt7plBwbw23Cq7ftJFpDRq4zUYoaLXl
i+cicJ6aQaHXnkUAdxL/YNTostw+G22MGQPIINWjqIxApLkfkydGVLPZe84KvcUYAQeoJlIikk/U
janRs7zPotSxfagWdPQXcfXDdZvY8/aAbHA8PADX+WfJ7DBRUBteMwCAv+P6c+9qyH53Mch+SJ2e
cMCsO1A2f4+Trny9LnjPPlwTxf0VX/NySNnMicGnyoVD6ZoQU5NBOxR+Z5RB1ze+x1Vvnr1tw0A0
QccLcHovJkLLxWw9hOlZZHLxTS+GwzQZE/A/XB4moyrTfzm/AW+5lSYbP4qs4DBfiWmsAc3a8V2X
Vw2ofoqbiQ1f0wqE0roLAP8lfpkyBPbXl1alq3wMZrxN7AS9yOjpBjRDhClwPO+0Ext/XRe0E1Mj
SWdQAzQAWNsLuAuL4ckPxi3Y6L1Yx5aGJsi+6Ycuol+az1V+bN4nJ/su/aqa2r88G+dypfV12p5m
ox5jN+fkmGUzMG6zowbUi+v6XfqTczHSQhbcXXIwpeCsY1AEqDt9nAX/IgF9BaCMcLyLBAyu1KWt
GCQU7XjHsjh0vfavr7BViT8iViU3TlEvLC8DMTTikW4IJtsMdDp8HvX8vVvYitDx0vDORa3bthGV
tjMglkaeR4mR9j8KWrBHELcbp8ab7DCpmRFeX72dZC4Ewg/jQkOa/SKpxISRucMAOzAebHR19Y/T
EPIHGo6H5j37DJ4KVQR56bVWgRRhFzBFbeOiMIVZ+jih0NA0bN+Lv9sA6+2t0yDqSDBVy9qulVt4
N8M3Uxc9KOfLqeejIzqg1EexVb8slNxxuz0Y/O+rXdDJsoDcDMwadLhIVj45IjU8Dp2AsfCh1cmn
1DF+a9bwLnb1HM0GeqfwT/t6/REoxZJEFGmnT3kepWmBjn8T3Otj/TqVqir95d0GxVCnfPP5iJal
G1TMtetVDhTzchcphwVZVMxvPrWiPDK9+10R/imniar7YFc73NvIcdomLmRp1+bUaOeGFHmU2emt
bTfo2s4O1FGNJ+/5JrTeoaMMFTfECNJZyxdeAikYi2hxYEnw7rlphufrx0slQvKy/dx1HaLRHFOI
aXk0YyRPu7Shf12zBnblRhHJ/LieLl7sTbBy4fjlALLG/P11Pd7K3udPMogwsEYwboD1ywkobaJp
nJV9HumMN988LSuDsS2a+4x347tKT+Z7RI40FPmUBvFgkYdsNuIID6L8Pe5t8/MExKw0YD06VdJy
ct7XXqWFI8JpH3fPAhDLKnlEA0is6Mh5M9CL70bMguwmSHPBl3TuAKycZxkf4bq5x7zCT40KHBWz
tSyvjIshXHOC9xpt++dlxAWlU4AnE0yOhxRRtoUUtzneDC6yKh5rNZA+rMChWRrfJAIlJw6Q+Mia
S89PWw7O45LpwSAskPI2i+VbjegPdpWTJ/T2FSEv6BgW2or9Fs8lmkC4ZnmHGjnRkwN83sonk1Eq
rO9yLGAFNQVeMvLU6/S/XGYZhqLuagFwpdih04M31uLI46z1KTbCH6BjWBil65Nx8A7M1crA1gbv
dakTFVX83olGnIq+TYCnEfDInW+DWZaz5vIS52Amv1sa37ijjUfMmEXX7fRyWmbV+I+gt7Byc3+C
j2DKx17HmUZLY2Qd+W178l7ie/LcH0z7jWxQnID8pxC7+kHZzJCgXTmr0KF3camlS5kL7torEDg5
zjyc5tPaGt0f2BPmnQ3nf8E9trekIIFGYAKYFjT7SJY96XHSi3EFzornxzbBGJinfQfU4D8EJB4w
+NDpaBoeUs/nO+eaoyVqzD1FLQVNu01PpiijZEGVF+wI11dx18kA1XJ9Q61KyQX6sjT7xONOjlpr
tqAm2SYHIOB1QRqiHfGhSUKQCftVWL/7gtwzSBhUrWG7S/pHvoxn4nGSLbHLi0gDWKRWZIE7vRaO
ssS2ZysbKeR8RbO2cDEkiIGnzF0e0Gl3S0H5qTDIvXtns5KOcS6jrjMDmL1mHg2deNHc6m7oVaOb
O5EqZmkNlCN0YJFetJbXw2wv5rxeOn3xmZbN41RgStqO2Z3RgxP5umns6ANhCLGQ8EDHlOw/nKWZ
XFIXLCqB8THWGaaCfl6XsKsO6tHoa7ARmsqdehUCqkVUsHNhAl5GE2EMr+9UNKhjFZ3J6uwkZ2Hp
aPp3QBeFRna5PU9rq9aifcUiMqbNsSyQxEc5lRjfRh1E6Drugi4H6BIIXBSruPfYPJMshY3zOKcN
5gzXA9Z9ZIufdU+dB/pAvLLB+2BDcYzIDofFC/STKu7fe2kgs49EBZCrgf8nV8pZY4ylVucFChor
MAKKCWC3PY2gRNbD5nX6lKjugtXIL9YZs1v6WtIEPZ0UvMYs1bNUj3MIJMe1v2H8hDGngxa1EUZF
FZHGju9AR+sfYasFby6eYrZGwCJjAHBxThPjQYKDYSqwuHcaO1fA3z9CJGc8O1nTIydXRO5X9gLe
xzB97U/mwxyQYI7onTj9Q+0N003ITaBrC8PzF6PzXUzxNsxgMf9pJTXAWnTMgpUFq/lSP6iSEm+m
L23ZGmU6a687htvlo7GksUCknvEIL6reR+/snbCW3ifewgNzoV8bwB36Nk2+t8IwArywPg1x8Vqn
4gnT6u8aykOM9/+wUw2gkipKgx0Pgc/yUGRBezf8nhTDJG1vt2ju5tE0H5jnfS71PoxHJ+SmrXre
7bg7THOunBugp7pMtbm5UxkauirgW9FDYdwxkFpfd3c75nomQXqYaFmO5N1cFFGOXbROmtb4CGGv
y9jfzY0aUohijro9Om6KHu+ovWlumyAJy/qQkdB9XFnU6mC4q5Igc/yYKfn4dpfQQxscxasVkwzS
4TfNpAflLGT35AVEAz7XVXBQe6cRhVG0yiBzh7YJ+f3YlIzag4eRgv/v0Pwi8wdUo1HQWX1aRXwt
9VWk6zsvcpCkrU3dQJAA3IS0pks79B7T8aAx+7z2Wy8BQwkL0u6uBLZ5QCd2N3iVwlh2Nd0Kle4N
JEwMrx8Rvvf0xfxMA+IvJ/6hvGPgWXKj9MUK/qXSSJBlBiUAupcxjC577xaFHMfRkJgqOytEHTdI
PaRvuKe4E/fsBMEt+LYcNPVeMGFZw1yj0ghvPTj2yRkXsM7OChF7jsPD/bNO8BM4NskUeb6Iyeqw
ehYFjG/ODwKcxPOEpWsVG7WjDJBBkEQGcjaCGNl9ApwZNKI5EidJ4z44M9oTYuNw/VCv9iV5aIgA
+RWa9gD5Kt/iYjFmluRzDoCLKiqoOMweRpMr445a843Wz/+gEa5vSFz/XAxQGGZLuSDwhCmZPmlu
+nNxupfrGu2EY4j6/ivCkgqUCUOt3iG4uXOnvhM1BSlqEi561HcDkl3oRIgxSFGq4JZ3jAJSASyE
kwyuRXmrWoG/MOECgO32Jhf6CxE0XJCC9xoVSuOefnj74+G9dl0jnydFJnXXJcLwcnStDE+z/SND
1YbQZ4vemTlGJwfiW4wqis2Xhgjse3Qrrq3sOyMOcU8Kp1q7ItnUR3GMTDaaGhXHameoHK4BVVik
NsDWh07rc8U8npalZqPe2x+1R+e4nEa/Ozb3ZgAokFBFCrUTO0OaaeAZjGriZTFR2Mu0WGvzj20I
cfRyfWDBJMzZb+Y6P1SmJU75pPG7uGvzQORwzgPe1Cc+cC00ipYfuJUw31jaMsomQ9yUllf89WE5
/8R1VzYxqAts+DmxUe/MyiFIKNpMmk/Xz8pOEH8uQjKm3kOqIx4hQtw6zomdslvc6XeYK2mArPSl
DcYPriKwvjTfc4lSpFKmpZlQAonNVBx0kR0MlMgaL/NnjKaloLBq65+lpsL/ujyeGM1BkWLlGsPA
seyzawzegV2wxY03d8lNmjf9XaKzErBOYHo3cwBaXF/YS7d6Lk/aOjyNqpTayK8CqzP2S2d+RG82
IEdF52Ns9mjYINq9LnHdqXNHDolIGwEUCyORgPg/NxY00M1zWloNBvCGx3KcAme2H4BlrhCzu5Ab
Mca5mG5uQGPgTFVkjE0SAEToOcvqPJg18ZrF5d+PJpwrZZ5LyzCKtxRkxHPFSm9EFYP42QKjFKN4
URQoNNWdeUpt733Rajc9Ez9JWb9HG+GN7caKwufOGMj5p0g7OrrTYC9oV0bwax4NgF5wxLsf0Kv5
Yj4YwK8LqqN2k0bavVcGKtCg/0falzW3jSRb/5WJfsdc7MsXt+cBK0ntlmTZfkHYsoy1UFXYgV//
nVL3XJMghmj3RPRD27KYrC0rK/PkOatrK5gFwOiPbOTycpn0fLa4jrWVHR5VfDcBcVtsdZKvriyu
FTxHZfO8cl0lRd414LaP8lJ97GT7yjKUe2nkd0a6BQjbMiV+fuTYJlpI3ZzDlGWgRK5Mju7qVsej
nkAdgYzI1Fw+Gys+B7fWz6EtbhYto5wZQ0kjuZfBF0bNwKD1Y0roc2s3og7Gb+uxvLGUIgsvW171
A0eWF5F2DkobRhpkdR0dvCVJvdObHCSLKQh1bgx7q3a+vk9+jlPMw9G8VlU6pNhENOJJa3vKCJmJ
ihnjLoUsbHR5YGK7n7kbYPpsBQm887IvSftcJbFBwaRsgoDPId/wZtsqM2wYWTLWqV3em9oAIxBM
uWv77GrO241xrC7Qz3E4S7c5DKyQRYGhl/sAbHxXs/oC9iq8/ZirtVtORMSeF2bNWXjPhPWjU0JO
LJqLavTyGCcLKlwq2FO56cqD2blTZqVIONVNkGt14tdqsiXUtz6pjkAHgCz4rNCQqyVhFsgvUMOs
VNfUpO62hmb3huteO+JIv5oQ2cF/IN083YryrOcEqrA0spHxCc3OAq83BtoR1OsQd71d3o1b1hYO
hYKyIVF7lSImRr1yfOiLwm/sL6a2sYDnr3Uk+o9GJXbT0QFz+rSumYrjrMTN3uTWl8ayAlTRd3FO
DpYhP1SzXW/ExVtjW7gQUbCncmPRKO7GxLOJLkVzTqGqDva+XVzVycYNv3YiNCBIdFT38JWXoRJq
iRATTqFSqZlAC9q2C2gRUnO9q2ihDvjD31i5I2titx7NKEudMo+HCa8ZCYBZ1FGHSg0oyLikTZ7F
1YkEeAQcBYJNahkhJaBzMhHMi/yx5Sbddfq9+8APRRD7vVu6+icu3TXf/4JCkHAhy0Mv2h2Q3cG7
5qxq21qtLtHS5IByj9f13egST3fR4XBfHraS8msX3bGpxWxqhKJ/yxZ7xck/cirvJdO5ZahUD1r3
VbX6B13umbh/tkj51h4SSImIp68FYBWwOafrmKgm2D4qVKgy25OrSPdogkof9bKIkaDzWbnfbo5d
yWM5DigXkLKDMpCuq4vhdl01g/ljFjEZ610j7G6ESM540J9A1BGVwV9gRljZRCcmF35trpq468kE
ULL9WPafCm7uOlnyG2dL33TtOXxiaeHTkPYzW93A4PiP3s92INX24l36VfaJn4RbxZW1YSHlif5f
AYsDJ9Pp8tlGDUpKrQOK3DT3s228lkN8TQbpuusK//KJFx+1OA7AQKL0DE1IqEYtg9kUwk2jUc/I
NlWMobNnuDGa4qtDy43qyuqQjuws/GaqtdxUhg4griq3DryUWy8hUBPmWtoERWtNG35TbLazcYGt
wkEaCFpgywJ+liYNpUymkclZmOrJNeHV/vLUrQ0Jj1iQIsgoJZz1ukg2I9NAAH+rRn7bSigq1nUZ
6pQoLrV+XU0Nxdlja4tgBTwuRmlDKS7Sb5RPU9BFgCCDiulh9mLXQuHob3QRnxpcvPbUeHYgwVCy
iOIScC0nv5PltvP4ACWQyxO5erjQL4QkLnA05723cZ3nGZqlSWSiqOF2iWaEM+/6fV+gGy1WS0jw
DkT3gDbnEP7Me1ei6mdkJ3Q3y7Q8uPxtVm5c9KxgQZFik897dGcou8jabJIIHBtvfcz3piO9QgD2
yWxzeG8S/ro50S2F+x0Gz+RJmnZqu0GbWVTM9pVSdwddHZ9aW7vuen5TSlujWzvvSFaqQP6Bfu0M
BSLBYw4Trp3ITrQbNpkPfDQBoiyKZMOxrE3jkaEl3ENiE6nyZmRRKcv8Kqta46Az3bkxzVb2zNki
Hpjut/q01o4k4C0g/gN7mCCjPnWcjqIwBZUMFN6mOpBZ7jpO5ssxehc76W+cfoFJAswWPcpn8Ytd
8Nq0mMwixWhCKiENKT2Mhu72SbaxIVeX7MjS4uTregea6xg7ZBzymyy2PVNvr0x1/C/NLM57nVM5
lgcMKIWqcs7rnSZld1C33zCzEhS990FDXRfUV2dQEMRlae5kNfZFZoExSa8H6GGwyUWL4utQ9a+j
lj7B7VzhgbKxI9fnEdCnPywvSxGsbdLaQt8IEKmxl8hD5vZ5dSchDXn5RG/ZWQRfmpWC1RYM+JBw
yG03Ngx+7dSxFGQsb7/+oim03wiJGZDiI04448prCqNLUrT1R0n8koK4afjSmxsZ4rPRLEyII3f0
JJioAwBVptCoJnftfCVZzZXdVhu0PGe3NYygOV7HHQefhNrXqRGjYUmbjritZ7X5UqPxyh018st5
rncjIPU3HEMTuItTI3Orm8QqAbBLWibd61liPTsmwyZsdAj7lhIF8uny8pxDROHPBbUg6B5sROLL
MqucWlWcFRONrJYBaKGkIZS+X3ilfcNchIWDruOBXRll/giitiuchY0X8pkTFvYtpErRUIQnz/L1
2CmDRasR+clOpa5Fjb1u9yAQ/TohZKaKs7HxV1bxxJr4+dFWKdO8j5u+aJC9Qc2ibjRkftsN2MPK
dhTtFJhSoR4ClYZTG7qOxJMxILdgWFSJ0HZG3BkUEQfCx60Gt7PLREzekamF3wVWkmt6Lw4XApA5
uZ9kFdixa/LLqgYLOwvHS0peaFCDaCKVggM1AasRnTZc3zn4U9hAhklDhgn0wstqXjXITicVOV4U
gIfZPwjEeAXXfR464Inu/Np0AXMIHJ9FbfQXaPbFVJ1E47gjgeyB7LKgAAbU9XTVZFNqstpGTKVk
z2zPQiQq/dkKhyawDv2XQXa32BTONz6IHAQkXQYOEKV68fOjrci40+gaEgwR6Da/ttO32QAQ206D
btb3BSi5Lp/z850Ca4DdYYgIG9UljJc2TgdZetQegR1xVeM2re+1ad+Ov3yaQe6F6QOfMVR+z0Ch
Q15UM3FoB3QKASyeDH4N8Q8XT/27ctJ3Q2luPKLODxsM4piBiV4wRC2BoSDqSysUgrtoIg1AoY82
eyjtl8tzdxYPoGqOMr1IAYGb4IwytwPZjVRBmhtCwuSg0U+OAoXd+XtfTa5W6YA0/eDa7rLJ8/TI
wubCUfFeakxzhE2IVPX+6Nsfs8QDY/oPugcP9l95TK3sx5NRipk+2o/SbDJk75M6kpva19lumr40
8Zs5lIG89SxdXTQQUwJ3A3jPWWAqUto2aaouirM6SrsKgk75N4dtdZ6fO3usG3oBUOIEGOZsz8t1
Ucfgl2KR3LJwmK2DUgwbvv5cmkSs05GNRexRslIGlQ1C0ipztc+tr4TzHZisguxA3opA4EjQ3K95
4EXx1Ws5lP062uLeXB0mOnJUGb0PeC4tHAlvOjVNiIHiGMte8F76JHEjuLwdz9LYGCWojoBXtm2h
h7VwjoiHBzmbJMwkrYbRp5lq+ODTjaPY1itfnxLSAu0wq4eubebosu3zp7cwbgGgBf8MMORyfPM8
9brZ2wjHr9leD2iEzN2Ndkggzp74W3mt877jhbVFFqgwtbpygDmN4j7zKv48y9zVOiMC++Nty1uP
cisCk5Hf5h8vj3N1jnHzgV4fHKZngVit6UTTiN4CVAWyrOS20ROvmnQvmbod5QRVyK1+i/NmGTHW
94IcHqPnfMVGrMmVPSptZNaZx61byCa4xOLBOL0mQ4FkRufPqI8kNJwZfZWAtyhaAFyyr63ENnbY
mksA3A9N9Lg8UENYbGKjNhPO7ZRDYaaLqFM9VFw9SFP6enmS15zcsZnF6lpEm0ii5zyqByVzoaQ1
eqRmAevsfZsOIaLs75cNrh1OB4E1OKHRNncGercHVStVu+TgY5SczLWaUXfNrFC32EXW5g/JMMRQ
4hmOysGp9667xnKoZrVRr5hASl/XgwVg7cbtvrZFj4wsy6tGT9Me5A1t5NAb5H89ZveBE7e7utPC
DGL3jfT58uytLZfI1YNMc63rUCkmg5lVy6OGae4QQ/RpANOjmnmxfN9bWzWJlXseKED0Cgh+/PNe
QTWjE+l7wAo0G+e/Q9ix75Ocj66Qz72amsr0ZQiuHYq40EBji7z0RjCzdiBxT+mIMxSs5VkfsQON
T7Qr42JsAnjZCsShHXct4mae8SWLXQ08T13hpdRTNrbpOboNT8Bjy4uD0Q9FaZKUId6IZtxafoqm
Kx3wLpQQTNidnmRXsxF9K/vLK7wW6JwYXmzcBmI6eQtBNoiZKWFjXxlORIJ5V11NodwdJOUvlIFW
dtWRyTOl+mmsjTqmMFnJQMnK7KaEdAmeaUGvsQO0HX61sn0ytWeK9WWXUDpBOiWqEySu8t0sB1r9
llZFuDGVK74G44KvUeDVEekLH3EUwamsRqetWMNscmvVFWSl4G+hnv4588wmoPfmVRVt0QqtOB50
bKAAhOQ42JSW+YNM1XledXUXyRrfmaX9AD1Hv6yST5cHt2VGjP1obEWsORmTYAZEYZ5Iyw38M9W2
issrDu5kMIsZbOMRbxsbMxgTrX9IMy05xGCQ9K3BeWFp8qy27E4y7Cq4PDht5XV2YncRRZKJDTIf
ce6rSbLQva1eWR3EzZXnAao3Df9ATFDjJ/EnLed+0Q9IywC0qyvXdW16DJD4cbgbc8NNle4uBmLZ
AalOHFdeTaYPNiv2XW9GZT4foLUYtkDTN5a5T5rbIbeu6kGKbDAxNZ0JXt3ebzLDK5Vmy7Gd4VjE
GTjaJYvrPeYxacYR78Kmn78PerNL6uxQjRAO1MmzPTvXjjN/tdTujsnlxvFbyXCd2l64NuC4UK6p
sKjqiHS73uYur42n2jZ2tU78caj9ZKgeexsiZFaOEtLAN1KH6z7uaPQLH5dpoyyjkthF6KvugmzH
wiyQPHQ0pZ4gg87CrdzCxmnRF5B2CQVSWwbcOwLOCry3gKwCwQpRmbbeoHL6D0NDVhTDQ5fGUvJC
K0ipqQMWltbfJabu5uYJ16g72p+ViYOzIXVHBc093T3D7SnRt2H+dvnsrA4VKhjvGQeEzou5Bdyp
URqIokYDZKQVi7mccr+tN2rD6+P8aWbZV55m85TMwkxNoWCmBmIJWxbEaNMEYxt0JFKX0Q2HvurP
j2wuEon22DG70vsuKli7I6NpemkNzrHL87dlZJFCVADngmAzjMxqcdeWxos5aBvNAOewC3H6jwai
nTpvjRRZofGui8oOub3RzxM/C5wP3B8ndy5d52Pt5XyzA2zt4XhidnFnjHU8Nc2MNZva64HOQAtV
kD/ofTZorjk8svSRA56k95rbAQ0y4lK5PLWrXh3txO+5KbT5LpyeYcySBp+G20TtD21LHlgvahTs
oPJxd9nU+ir+NLXwcVDf4nbDGqwi6GAUJKaUfsPC2mBEezRGIwsKkMVgQJhI5IyqcCnKg6x8ka3r
xAJCNdt6yKy6a02UtsHIIpgNFncwBfuEytjcRcpgB1SuQkWrAwAunwfoILmdDMlTDTAhe5zdUkkO
Ukq3fJpwGaepYCCnAbyC+jc00zDm0+1q9NCPMM2hgyoR3lJW90zk/sqaBjDOanNk4qHTk/ZHwtto
zswrh447Tru9VtqfKwSTCugfSpbsCzLcGqb8KS76zaLN2nV6/A0XO5tpOQMjHV7KFZTAE5WObh/T
e4i0Xktd8dBrwBgahd8PWQhGg42U11qG5GR6FgsktwUbmTl2kZmDtI+D5ZuU1kEruS9b8X2ljb5i
86A06aHLxo2rdM3bHw98ESixQiqanGHgkvZaJddU/6CUweWjtOqtjm0sdnpbguVPJhjf4FX7OOKQ
GBVUHrirkcgjPnQxpE2V360ttzi/9jSgM76BzZwyd5Tfsu5DZxiubn/lnHn50HmxlvkbA1090kf7
fHF1coiHFTRRELpXt3330s+3kDss+BUb85CNjjuxa4UKFPpTbH80KPWaGWs83lfSh41vIk7UhRO3
5Ah1xlgqtRpnvqSuDVoED3TyYdJC20EBgBWTPuw2pV3XXObRMi8BiE3WObPs4OIbLTUC4mPXScnH
y+NaX1ULGo/Ax6IeuLjAczmrgHSGz4TYikvNx8n6BhJBSJ0gKiIPafqpU4fossn1Uf00ubjOB6dq
oTgMkwmHs9Qat6/mjWtt1QSoClF4RMb5jMunqi1rmAoZDjoZghT020m8dQlsmFhGW5TP0MkiMBEj
rmqUj5K5FZKs7v2fg1hW2gen1wbKMU+CsAewQvqhi0iE28wA+DR2iT+9zLq7fdC37C7WxyxHfeYq
zpxUSf4gN7vMiF21mrx55I+Xt4LwGWeH6miIi2ssUWKujRkmsSuaq2HOPoPz+H50kDc3OYQfkWAi
W7SZ677zyKZY2KNnOuJVazJS2Mz3hXUlejJtXyv91hUU8YVvInkVbHJUbO2WxYWkQR6WF+jHhMNO
6ecpMD8K/uuJ+6Yrte+96Rr68DdOwerZPhqpWOjjkTZWwQYdLqvKmhEIwDaami6AXINfd1WISM9T
nDJAvv/75VVdfYkIptA/j98SDmuAPlwT3adRCaJvIPqzA2JXT82vbVcL4hZ7FnJ2l21u7aTF7aQ1
QOAlTExwAeEB3WrdwgBFUy8H+vgFSXrERUp42eTmMBeXUwEX4Mj8fZhCw45h54RJfFA/d/7km1fD
bmq2fII4excOzDtC4WhJ06qxsrmCyYT4fIbYz/xUHKxATvwpRFRDH639fzfIpfBGlk9pQcVaNoEW
wm7t5j7xwFZh1Ei6Fn6po8t1Y+OuhlA/9897RfNolISrBScQWoEERxJJOX8uc0NyKeLpjUBqBdGB
OBqZdADtoYQF5ZrTI2JYXcENCl/Xfyq/d4c5tEJlZ/6QXFEYdbxeD60o8WTX2VuQJdyUql8f6E/z
i13b1/Js9gpiKhIHZELmfLoHT7e3sYSrzsdAHRv9UUjcL3mjcnVuLL3RgHjgfhcge216pS95huND
IW700l2D1svQ3pjbVasAjaA5WdCaLp0AOhETlTi4vqrhahh0F0zdG9tk9aI6srCYPV5ZOjICsMAJ
3Nt8Y/bEK9QyQH55w9L6UT8ytTjqbYMWYYaHciTL0QyiJrvzcx8ls8anaaCHJKzUcItGZWN4y7NO
wcgx5j1sFijqoK9bmT6SGhyOxS9zmSL3Ibi+/lyp5RE36FhkVIMhu7oaDQ215OuRfLu8CTd2w/JI
g0pdLSoTB43H1wwdC3H+6bKB1cvuaBCLUKIFK5KV2TDg0DuJdLseLZx5/ugUk5dotUtId68kztbR
Utf88ZFVMewjT1WPnQy6XkxdR35Y+WdNxd2jPxYE7Y9d6ynlY0xAPGP2gdW9xkggXR7zOyTq7Dow
0f8lWO6AfRf+5cj8PMlTh8ZHkVkce7c2pJumr3elVAOam8g/rJpkt7yt0A3AUNQtQAmF0mTcu1RK
CpBCZHi6QJ7KU2Lt1qRdh7/vr9WmN4NUAW+OqUuKLw1zfzWPdECq3ig/xpWqvBJCtwqb4qwuR4JM
BtTMIQkrn7WBNMY4zeATQv45ta7U/pumtWBhvZLiLqgqBf0gL5enbvVEHxsUK3s0dTopARqNYbD2
e799qnyANna6O/jNU+1Nm9Ry6tppPra32J8A7ZspNWCvhTxSmrv5d3pg+t7y5NfBN0q3CmovgTIO
olAPRJlh5cUe5vzaesoet1zzu++9NNuLbTv0cdYCuSou9SHgt/INw3PvGkXNF0j27KVD/dY8GW/p
wxYOaDXfeTwLiw3LeD+r8gjDfSh78Q9lV9wUHrmermnIbpqtLJmY07NhAqZsgcoQXShnj1vc+jTl
M6C0oQ2GA8HSiT7FfRc6URVUkbERna0u8ZG5xZYauJo1SobBFbr1gzZqAFxARPP6s1NsyWuvvmIE
AvvfQ1tsp0RGDzzoWcQK0q9j7w3P8zegf9wGoScKcgb1pM1o5ZwvAhcFyrdoCAP4H5DQxepJVT9Z
0ixupMmdvEr1yW1yVYWxn3+D81Cl8EUPzV3hV15SucoWYaj49OVqHlsX0390YjunHVJDgXVqFSFl
9EFL429E/XX89ekgFyFh2VB0wonbUK+p4WZtDCJXfdqAqaxtleOxLEIXKQPLSP0+Fju7S2kV5Ib9
SBUaGnP8fNnTrd28uN5BjSiEUM9644UamMZtsWiafTXUEHplyUZ3w+puNLEZBVALLatn+Le06MDK
jQjTABI0uUJLWTMEmR2AGfDRBii6nyOp383fL49s1awF0KRAFEGKY9meWOnoGexHpcE7M9kR5vHI
eW9DZh+qWwP8oN23TYolsfrLTXhscrFwfSLnuVNZ4iEve9X34mDskqCAVbqffORewwrYb2mT9ndz
qIsAtOqVVK7E/fiH1BqSj4/A3RCIMRkH+wqRRfqwlbRY26NHQ11KyZlUr7FzMNR5SP28b4Ak/s6T
W3nerBWsWtKBogIjHHAhywrtaMSEQ6f4j0yXFaLNOgvyR3TiHEQ+uwps2S3uKm+LS3n1GrSO7C4c
dl23QPk7RR+B4nEMVc/p3bz3Uq+vkOBGS7tQvSIdagRBFnYvf28vHZlf+HCW6WbWamn/roeWd4o/
DE2QtEivq88Jqu9GpId9xRvPsrlL6wNURTfnYM2pHk/BIhJIs3GwdEb6yM4H8P4zELzlUNPdEgxe
DbdQkkNjqgLOUDAHnDpvVdWGuZHyHiStxY5JXluPrlXtBA2lGbKoT3aNmW0Keaxixo7MLvsn5bgq
bbmHWcFwpKf7bPpc3hkten5b14pUX905RZBXLTp/t47P2oPEEhrbKBQig74s0QFwzCxJaIjWZQ6U
7Cc7/4Fqr9ujk9pOnsmEajLdKD2tuHrIxIHq04BSimBDP51kQ+MSlJ4w2tR6k6Z9mm3xgq/FbycW
Ftslthsb3b5iy/b23khzr1ZvK+xcS+cfdAo++ZbeFbYSQaPXB9+kO6n20687/ZOvsAhCYqsksjrS
HoE0/QqdUdOz9L3tgyAlQGsR9QsbhIH+Viy5OrVQDIdKF1JFwGCeTu1EoZ/KcrgKJWuAyJnrL8oE
6q7LY1s3AqElUAgI5ZnFIUlBLUwHMbQqJ26KsUn2x8sW1u4RCxndf5tYHgincWybg4MoAhFKF0zB
cMM9w3K7EI2cyPKjByC52/Kzq8OCpAL6KNC9hIrM6dzh3QuyuLLso2kCMoXdWcnb5VGtHDULzZtg
WQSu8FwvM1YKpo0tnFghXWvDrdTc67nqJkD1JOm+xv/G89ZLZsVvguMdzLoiDAa92GKpdFKPlcYx
pqy3w6q2H5ks7fQy310e2Vol+9jOsswkWR1KFQr2HaiCWehUxb4suOPlreqNDgvMTH4uqzrSE+Og
sPhvQIpOrC92PaN9SSWxW1LNA+OofeAPgjrYAA7VcMeAQs1+y22uxAInJhd3smK1GjU7TGxe74gT
h2S+ZxoNDP3x8syu2hHimrIDAkUAUk83Zcm4GStiASXjA/0AVLMrA/xeyOFlM2sXn+Dk/D87i/F0
4Dux+x522hCUJw50ceN79XH2mAtyIP6YbIeKK8iLE4uLW6DIrK7WS5yG2s5e7MLwa0PZl8NjEqN7
gCZ+XMUha4HQVNXvG4NdyeKACRltODLuH9HXfzqpqTEYeWpgt2YfzWgCBq2JzHs8BVrQ6LtT6ZGn
1mMol7t4H4IKev78d+wLemF8B1W3lg60jBOsa4Oh46ka9dnwdaZ667KhfCvNDFUS6AYoxmuqNdej
mt0y1XJc6ARB5UVqAoh87SAV9AlpoWjKq09KYwWXv96qz/j57Za+l+eyXmkDZge1KtGqj5fl3LRo
rsw23mNr/hAxx7+nwVosAxkSlQkdn4jbzCsZosb0m2KFk/UhbsCtgCJgw5WNu2trcIt9ziTSzth2
mPa8fmBOemWM+hM3mnzDzlrQjjZwENKIpLWmLFFelWNSazJhKDO7t6SZn0ib5e6ksxCJ2J2R0KdM
MW8b2Zrdqm3fzJSZfjbPYVKOD/oUB7VuBMhF+80mKcOqSzn6Zsu34dQMZiJclyXXLpsVIJa7oE+t
/VQ8/fpOQlMiuj1xkSO4FItxlArp61K3pQR7XIOezyzHO2tugthJtnBUa4t6bEeM+MiO2WWyNfWw
w6gLHGL7BCw33kY7y7Mi5CxrvAkD+S+Ag1fDlGPDiyQMpbPR2CUMp5Cc1DIXSBH5OQ+zm9IF5kju
3S51ncHdunxWvfWx3cUSlujfnewCdslHdA52PkEIC7ST5wAvHInElpDY2tjRa9vm2OYilBjkSolp
jUu2qcO6hxoUxDNyTO2QbcDMNwxp4uI4Ws2x0XgviH+igt+a+e3Q3gBPyukWY+dauHc0Hm3hfUqF
y81owwlDuM6rwQuqDhv+ba0JyUZVEX3i4L0DN+9iexRQuzSkDIEyHu5G6lZ7NHahLo2uIP7IAtoj
5SS7eYIeLO/ywVuZwhPDi/0xyAZcKkTV8FyOXRY/kwEUDWpzQGrDv2xp5eidWFrsCrAp2xXVufCn
xK3ZS+zsJd3Y2Hpr+x25XDT3o4hkyWgAPN0SdtvOg4VtEUmJr3rivpYCjmvJM1+VIEfzqv7h8rBW
IoQTgwuPYpGMNCZKTFFJEq/VzJe51D92JL9P8nlnTPHXwdqC7q3chjAJQCQSk+B7f5+Do23fjymY
SUGpEfHWANvXrBCXznHUTPG91if3w6DhzVjsUkKCy2Nd82InlsVJObLcQsI8s1vMbhPotWuFPCqe
HU8DksqrUfCRd7HXJBtLurpvjka7WNGWQp9smMQEaz9GqXPb4oabW7KUq8fgyMhiFbWC9VkitbgX
YrzzJzwOHCiSDfylUDeFZtYu/JNZXBz2yhggB88wonyf7WrVm2UXL1b0ELU/oDu8Y7fi1Rojaec5
qLW+XF7DrelcHHhFmqrGVjHSloFfQ1FcbmmushWwrVtBVAOac4StS6BnnXTQL2treOb5OdfQO1p8
BrHC39oZP42op7vRnCFFUOQwQiTmmVOPGeuA2324PGEr3h+r9dPK4vVRjjEpFQ0eMpNelErwE26K
KoiPWOTgT0wsjpVuOnk+pqyPBgM5DOmTseOeRtzqB7K1T/WBReaG0/oPB/nnoBaHKs3MYZ6EmxwO
/OPsG3i93IFi1esD5oA4oQj/AtvL1p5YnDHgrtClVGG5KtHOg1a456oPC+QAgvEwBv3tWPgFD7qX
rW7J/3An/Bzs4rz1Uy0VAGYijH1M7zWfPSZqaF7rr8l3+yoN8md566pbyypC3QYUcKj7o6/53QMc
+cl+Tg0w3cPilHpIBEeC5Wl2WwBraAiEmddtZaTWcF8nFhfHelBYa3AduxRCGPZNcqt6xQ4tCiCe
aS0YLmK39ywsLy7BQ9aKrJjvPF0+KKvrezToxQU/E7OBSMOEr2D8iLPX0vmkaI//lYklgqhUZGJr
79GKkxx440BWuoMWU7ZRZ1+9YH+OZJlKYVo9tpMEBz2PL90YKt2Bg/A7kT8yOSr7b7KRhJfHtepj
bNRPRe8UNH8XxzHWLZJbyYB7FRjItvmQx58uG1i9344MLM9e04KUpeoRfLWGa0k6ArBP0IZwWVpu
BJTrruXI1OK0KYDdxMgC4Jhb2qdiqD8YKp28AuWeiWsfpra4RsI/nIcxap1yV+NxgAf8/Ii3Zu22
uhZvXBJra6kie6MjL4YG7WUJwUmasrM7eB2DxJEpN9xD08dNUie7VJL3c2bd2PMYtKAZ+sPw/7yO
/y95o/d/+O/mX/+LP79SNoEeJG0Xf/zXTfZa04b+aP9X/Nr//bPTX/rXHXurHtv67a29+cqW//Lk
F/H5f9r3v7ZfT/4QoO7dTg/dWz19eGu6sn03gm8q/uVf/eE/3t4/5Wlib7//9kq7qhWflmS0+u3P
H+2///6biYv2f44//s+f3X4l+DU/z77Rrs2Wv/H2tWl//03X/qmjYxTUhELOz4aI7m//GN7ef6L8
U1R6QDrx2z8qWrfp778p6j8tLJ3mwJPiVOgyDDf4bPEj+Z+IfVFeRYiBtJiBR9m/v9HJ0vxcqn9U
HbmnYBRtfv9N7MmfFzAqWqjfKRAZAtM+tJrA2HUaSSgERIyWpKmuLZm3xixTPxnxP9TUXCsdblVq
7I6m5M8vcGzw3YWcWQQzI0hgZMHnvDjxGvANORhpVNfR8inImkH1+i4nntnlP8DQnfkSsgGK1flF
rcKLT6U7E86hsEhKFywYHzQV/eYTQ15oHkEWoUzRnEzh5EyxJyvJD2CMt+RgT927mCMLdPOg8VZB
/gUCtYULQW8z5wUd8G0c6xakObeJo9+iKW3jKfzHE+14aiAsBe1wwdwCCCDYlRYBV1M4WarWSChC
fiHxOiUbAjPqYum51XPdkyV5cEkyGF6v5n5Lr0ljsWCwOtlzcrS/STzq1CnHU6z8LpmGj9aI+IBO
d8ObpVEQ9gHClE1O4TkycJUTtPxoSskuBld/BUGHdqhB5YcStTNCjZiACYR3fF91D0aNYHzqieUy
wEK4Ltme5bSOB4VVOFSae51EUT7IP6tpi/KoNocquMEjtZohO46OLqdSoTo8VDyaq3l0aVnkNwmX
IF1Is4gPgxqQtGi8Js5fh6lG4waU96qU5X5j8i8TiQkePpLk6kXahHksS55W0xcgYUwk5mg4lHO2
M1mLj0OTIrL++3ye7APoNfdzTUZUNR07yO1idm0kZ14lE2j7uHggLcbi9NMXU6HOnUETcler1w7V
vDKNh/tOaSWv66EUmaNI5SYJ+tklmeRuYs/0AHamoEmFwLueyS5glLlfWXxwmzl+UPvyY9dWX9op
R1GAq7kr283gp7mZgo/jm5Mn91VTJyCeNK5AZ7EjQ4zCAUnBQsihW5bmoZkNuT+CQJeShnoFL9TI
lkl8Uw19jUoD88fGggiB3TauUc2zPxBkgmOD3eox8ylHLaLrDO2mTov7TAXNajNpH5PY+Ooo5XdZ
tHDq5L6VeHVwCsmAyryMTjuq36SsqfYmbgUpNT7YKrSCiCx9Trm0y61Zi/JUBXNwPimozEG9Bf3+
uxjoDkNi0kNTSdZdkkIdR2uL5HMpDUWgxQ7ZN5MqfULPn9srdvyxNErzynRS8DCIf2ZIOgCDRWNc
V2UvP0PkPsBtk3zOSNLuWrTr4pvj1/PS+SKbWfIgg8T0Hlpj397/uuw6Gd6jHnfvNs1k9AHB727A
sjBhr0CqoZXHwByH/0/deexWjizd+ol4QG+mJLffkkqmjGpCqBy9d0k+/f2oPoMStaGNPv/oAo0C
WmUymSYiMmLFWpFHrbJ2lTTZNHX9C+F0sXHmqfCqrtxDd31b5pUGpB0bU88wTRv1Vy0IN5o0lX4i
wSo8m3cG0j8bfaYAQYvBExr3XzI/z6VwB+lb7aoa+J1BAsydx/ap7QHkvpq1iOVVneRPmGpuWeaP
DeJirtmCN68L1WusBC7vodTcuZS/qItVYwW3DY2mucb1C6T4jy2MW0VUqKVG/Dk7Hy1MwwDIN98k
DOfUdk8FL/xDzJ17Q6r5trKkwxtKig2pEk5LO7qiTf+gLlG7k82Hmn7fRJbfTgrUQoaZe53c8epW
WnJGjexNBY3/cTMY+8msbfovt/GcCjfF12NQatV7Xa2u0h8NAhvv1RgjYv5SFt026llDtYD+zrDH
0pdqfd8blKRF7i6TBIynuij1fXld6zQ2b/tUkynpwDgk4j/L9zoKSASujEEHvwsD7jlNrHutHBgb
c/s69FiyEujJtv6QKDsoLBW3a5w7yXLQwWtA+bVx5moaa9Yb2T+r2OSsDpDD0n/9edL9qDrp9+ts
//lB1ate0UqTh4JqEdR+Yfd/KHTfSqN5mygsGvCpGhzR9EVPgy+60t/Wy76T2X51kG0l1D3n2n1d
t0acWXa4TbRlopH8JbOUOyjlPldCPtiRrfuvm1HWn0OqvHzNj9Do6VubC8s3nSLz00A6zEJK95i+
n9CY2MtVPtOAHfphzeGtyJe6plx5ztjYfqVzTknRqp4eiJH/lV4wP5xlEz9YLEc70yuemkuZWTGZ
dR11J3tSgGItR14zK+xFtKU48T0Nm5dUKm1fkgrTk3TN68wI6JTesAJjDGGJlH+Ss5xjGzGo2ls3
4FISLwrL+1EebXDX5WiqpzQZfKDp3Q5++swtuS2iMJ8ElhD/mbEihi2+mql6PxbtNq/41zO/jRJ9
b9ZB5lnmQ59HpqfEyugNeXNvCekcVvHd3DYbYpvz0DiaL2Xn0lKMfdqOlq/M9DJBovM85vawL+wJ
uhPTdk1JOTrFdB7CzNlFsdFi0TPPVFo+R2R/qkoNPaeQ3WBU9t2cEYxk4QDdoPOYVrWxDSsDTriy
2oqGVXhd4qhSf2XjeICYeNsO5MVDm2PHy/45LLRzErc1BQ2ObtTMNeQP3pyPqh8Y2rATYtdLHLNw
lDIv+KwH6PVSF/kRTU7tZWV8DvsJdxrF0MBrUu2ZYIvmTDq8GpLAJEhS7eFbKQUYr+jh9V95HS5K
5IfY7B70xQIgiXCrKxyFqT3Hsd27hRnrR21k/420q13JkL9EBrx6FUKGsy5imjX7H0X6uVryEdFk
+7NInV1djjulamd3oeMbyto5S3p9UJrod1JRB8iV/K6chO2HYXHU0/6nrcR4mS56eP1p38e+Xsry
ZpqhbICnINzK1rdsxpqok1eKWvX1iD0PK+GbiaR4i5ksQxmSQ2O6H5va2TkG9mfMxu1YDSchlNIX
8hj6aTd+Txr5eWhpK1UzVh4U2j4Pe82jda/a5oVs7PUEFsMqDCs3YUeL3Mk+tWH/Mw2jfos+jLyR
5e9mKoWPdEMchNWWRzlBRrks0A8S4ae6uW0KsS07BTk7VWn8pu1sn2hk2oQjwJpSVc8dHAh+Uqi2
K6XO1uT2e0kfyi6qBRQweiSaA2v6ooqam4Ul9NXSmj30x++qNnPO/fcxKL/Ksux1tRzv1DzcjBp/
gIxK72MnMJZTLSMQPLplOyd3Sur4gx3pxzz6rZuQI8KtsyPAUj3ZSmQ0YwlMhVYfFXvxAe3wYEK8
cx7po0qsbMSIwM9VBSlbsaz6q+GylntWKtlP4eifFkOsJnjIdDGDM3oBXvw5qJ2XoJQTN0oN7TBl
kNJDlox1VxTJezXxipK67TA6+z4GGd9Qkx/EtBh6Pl+NpKd+UBW8qhRvqqpVj3UUHhq99ISi1je5
3Kpu0ncU5TIO9uIxEpky/aynW6tXHb8Wz7qGn2Tum2lkWpIyuZIaGttXtzypLZqcLK/Tq36ax9le
StWHMJYCz8piZVf37fhoB7o4T0H+Ys36+Ki3sb3VlGDyQ4JRXfH6qHme28HwpCFSvCnOYmLKYXIz
TZjnWOv0c662XzHi526ojUPXDocibLddYTQ3WgR7OIKgmiea8saZu2cFbRozfBiHLvTQ1Pwjgjrz
GyE+15Fl0O8/HsqsKL1Rc+XJeMppAnJVXEJoTJVfj6ZnVMGvXm0DT9S/OltNT1k03fFolDxnps+q
tY5NruHzJ3p96nBvylhprTf5RWlOfWs8anUhe2FXNK7SR092l064AmJYpyGi7CVN8UyzFx5q6E5q
RdvE1HZyoBTn+skg+N1aQ+hbZiltpTmF2RgY5KmJbzp7EUENA/ibq2cJgYydauEZLIcnWwBVb6Rq
hRv3nGYHYta8FFREMFwHgCqT1c0EPdP0EMgUZOrUG/OkRXo93tRZmR01owP0V6JALKLhqVPl2Et/
z8aYn/KBoxvF2YbYq+CRKPMcssIbuQ4av8jm7NHp4298Keh0mHbdDjMSkEBJrfEkB/NnNQATkY7W
4HZmle/VohlvA1zJxi5N+0FBLCIzKq+Ih2grq9FM9Y98zYhbMEq/LZryaLaLvQlpqGpkK7odrcy6
mWfZcuulbKDb9c2cmltTON/7ThkPUAEXB7tn4WmhVcNk1zcAJcwB7mlLpb5RRGJ8gMHA2c1NjFSw
WiHUrmXFwXEIfAZLwEc8JRFfXAt/iDBKGTijrWLGMJ1wRltZi5+dWP9q9/EfoZXWnT7f8mpS/GAA
mxDqPKmsPrc2WiksT9FiCfGw7s8QRw+FmcKRp/Ze22q/x7CgbS4aH6XE2lfRJLlKY3SnaTZDv241
zc0rJdtKWorObgEpmWR9c5awXtVCSBEg633E4J1SAMheKc/aMZuTw5xO6i3meRfPqPRFNDcOILG2
ASwX1HlOJJ5hZ4HFblPXvCAcA7XrQpn2ep6Lcxy25nbSSy5gnt0kqTY9JfXPJAgMcmHO/VD2zo2z
C5qo86JRZC4B19ax4J3Rwzjcxjnqy3MS+JyjXaBo3R51zC/hDL9cnWe+mafEDbXebvKgNPw4dKS9
QZIB3eDuINdSdMzb4Is5pfZBRgfp01gArimss6wusF47TfxBSZ6lQMpPSuAIzw7scqOO451eje02
68RBJFJ/Nyy/aKXtHE0hbsd0Kng0typvpcA8ZaXpkw60zpNcDUfd6QirBvKpqt4f7VFuEKW1TK+E
YVPQ+noggzyB+yMUn8nwmrYQJyWTeAeE1lDuCzEcjXEqT4NwNM/pu8GD/Uc5Oa0sH8c4d0UWKLy9
jW95Hd6AEkuoqoGenaTbccywluMXLeQSIrUOy25a70tF+LB9naMo2HLL7X0Shg+VU06H2ZqVu0w4
tBu2f9qmtY9t+0cqR19J62BbZuIGYhbaEGeR81pwNLejV3dwis+veaJ/lUT8Gqdx9ftX/PL/QWqQ
osdfibAl9fgmN3jzkv2Kh5f279zg61/5Jzloaf+xMPqIEEFC9ZoI/Cc1aKn/MR1UAhAKW4judY38
3H9ThNZ/UNJAHwQkM/ogICf4rf+mCCWZ7CFi0o5jqHRhAqGT1X+TJFxBV+nltJyFmYqpIJyxMJy/
zRK20VxzFmPZh6t215X3BY/YvnxMKnaetk4ZSFFa7Y3smuLECvT/z8Aa6Df4uZALsdaY2SK1RF0M
nez3+jc8BcFbfjYiw00dUESkMvpW8ivT8Do79iIK8FISkjs03EnIPo/iXepcweVfXAq0zRb2wUWv
e1n1v4EAhSwjqt7Wss/uuLPaeaDYvDnSjgUYcntc1NcNrxVYmCstiepbMOh/14KWLEVZehFg+Hk7
MoykbaXPrIWK0EcK+3lu7UUnbdSpfMlG+3Mg/aHWeqOE+g02Y1Oo+tE0s31fdSdeOt8sOt+mbPJg
n+0W0qxrpb+35YZ/pke7GJrXkNDRtLCanqQ5QxGFvezb0CKKR00Wfh6r+G3JxzCeeyJBBNSu1Dgu
bgecujqoFw65bCyz+qveWOH2rTlg1NQm15dHm24YNuX0KdO/lc2Aft+wbY2dE4grhbJrA79rqXIg
2B7kQfYrOuIAdPeumXV3mfXNhKIsi3tvrMStrNtPwok2f1mOCyn0ZSX/ShPrS+cCiwwDpopRMNVV
nYlgnXxZJM1+rCfea8a37Lxg7ryWAO7/NtTqtJtdrdpJx1AN1bOS4E0lsAwaaZso19rGV1n216/i
ztBXsOCNsThvd3Ko5FnIcST7gkwDLHb7Ls/9TMuuASEXzNp69f4aZ83+ZQ895L5GKPMADt3KoVPJ
yPYEMKc5Ht1QFW4Bb2QRwuAxk0jUnSuF3HfXhM1TVIhKaJA3kIpYrSj0JRXcjwXXRNkha+KZdKiV
U7gLTRwy2EiMqJfb+v7jfVzV5bmdq2FXqxsNQeYoKJr56jFThCtZsw87rGy4TUbARYpbBRcK/QcE
v5bXX7ssy0e9W3NNptiEfUA5ZQVXNBNNGg2NvQ2sb2GUerD37ruJkEmVNqEibSrzGEjFi51/T36H
JmxK6DrYWnuwuL66xfNO6U9deM2UX9wKnYiVTloVDvT1rDRFruKOk9C2PwaYVruM1jFJ37d1m7rp
fKzFQZGDnnCd7sE53Tu6fuy1FBJREl1G/mmwjRvS5LFyyrV/op83FdS/q2TKxbnhwYFEIuxkrO2a
E01hOER43GWntOe8/FpAxmpW004lpwork4sER2AhfWyDoNU7b4avnpYjBP6GbUyZe7LCzfyrUdUr
xueV3mO9lwvzzALbJvxYu+ReygQ9C7ihSUdqJ6BVy5p2w/wlrEgO2/2pVJ0zJa4nDjUJoekmdCO1
cAupcZ3EJPdJZlktzhzYz+pp6oa7eUZCyv/4uF9aPUCC8IRTQcXfr3bWruHRRhoI/ZNM2lht56X2
sO2ccNNU0GqySlaq3mj6tQP1FszwzyVDU4zS3dInSHTw1oSZRjKFU8zShI1zaAXuIA8ey7Hf9C3t
dWVxVp1hE7bRsbfag1LPt8PINJzgS3LtbF9aAGTjlgorJWLdWWb6l1s0RyMwymGY/Spo9mJo0T0O
H8ygO8Gr8jOOX0DFSIz78aq/94kYGdPR8EyAfwzA7G9HzWUtbciGzL4iOR5YJ60Knhysao5nDMLR
l+hiVKRhG7XdFTz0RftmyUsCT0PfDXKkt0PTlSMpieLMvj5H34ZenNrpaU4QgZ2wLpZzGBJB6QVR
9GKzzGDpHrjy8cvHre8FkoPk8VTkN+CgejuD2kztwIoAUdoF/K022i35tJPU+EE350OfuKo4NQoy
5Yye3k2O9O3K+JcOn0WnDK06FoHyKzrlry3P4iircpvx5ynfdwcSkE2270ro2stqY+Xi1rHFXVCM
PszvZHWrcwyktC6aazuxHPJ36wCTroNtwHatj54e1bydi0T29SDcaX10pM5HU4N0tpXoQSqDc5tl
ZyfKzxDsXluDpUD+bmxbAwbN2Yc/eHUBK0sejb7Cy1HF8GrSkQHyVeiL8+Y+pdXkO0FzgChso1rB
Rign1awOiZCunIRLdw+QB+3m8CjY2voo2lQ05AJ9Uj8Zo82YkwC11WMcZr5mTjuFmdioJRTXxDxX
QI5XB89TUAU/sIj6rOHfcmGI0ZGI1Ooi2CwxqSpLmybP9stbZJTiK4HhCrf/j61DoEnhWUjjDjDR
t8c9SpRIzSSNIDTsvLh1qbvure5U0pFmSPYT6TVE0XeFsl9yK/i3sxo6T1JaftKqa1O5FNFBZGLp
bDxGb/06LVDMNkpHmX2hL8lJyon5p7ZSb+w2fMirFo59QanxKe0L8sHJ4cq9u3TmkNpBQZjmHQfA
1duFUDLQFeR6Zj+nJBKR/YbU+mDnP+cyv69V8TPU03PQTJGbz2fZRmoyGX5IvX9lFhduHVcf8L+s
2byG7GWWf93+xE56MRu6oOrqJ2Ac4JPZOnVOzaRwWzXzkVv25EkgQnJVrHr5wNWlezP0yvQ2KSoy
U0742knDZglpE4jUIhPG5uATKlM36mwchyK8iRUaYgS11/6pc6ZdFYNRSJxHyqnXDsSFG8hSqDIh
NtAd7PHbxUhttQjlMf3vA0kkx9ZJwdvpNwXbFJDKbHPzxiTNZqWdN8QtOa903+rSNpiQoDHgi5mT
+0JhbgNv+/FqMH5psxCfWpQfmSb9jW/nl1C2mnOL+bX1uJ1soM9d5nOQ/NSJ/pjhxhxAbozkUa86
iYsj2wwJzAoBzHXfUDhpFO2agsPaRA8m7ZJpF2wVqT2lk3m0HDrPrM77I5r258fn81LUCD2Gw7bo
FuQ1+uqTVXDXsZ7pMBpBGY8gFfiEgfLeuA2NxBOJuZeM5N7Afxt1QieF6YXDXTuNG+Sz9rG8POL/
VDX94Gr3Yx6kB20395Ob8Cz4eJ6X4gg4aHAe8EzhxNYdJmDPePH2lIlyEvpNQ+Ohk7pyrXx35PQ5
na3YbSwGV6ansS083eo99arO6oXjayBCtXQE2iqWZeXF5raa00wnjOp01kPO95D63Q9FsA8QZ7On
3A8C9VjY8bXw9UIEYyx3hs+WdfWd51Yy1cwrk6CxjiNqeOZWfmkV/Zg5KokkHVzZtCNN6c215C5o
O1FcjeIu2FJSakv4CNYO17L6cq1tx8CIKi5pE27rPtuPeXrv1NI5G7P9NJ5UnSYxNMUbU9sXvDMm
ET9IYX/FpKsXpwH0kkyshliwvjLpajkrERxFOJTa9lAcck3F2CRKA44pMqgGzNNnq5bdYekyT8KX
Vgu9zLKgyRpOtpJ876E6VahCxXHtV9Exk51fUtHJrqpKJWAkqM7rKyHHJW+8pHsVUsUkS9V18GeQ
nC0A03BctPCxdsZzaxgbo6t74DXmLzOdbiTaUdICHekIBR8l20Xh7KV6fkq020y6ppP6Pm9LppGe
ZY2OfBvSbmPlExIjjUfF4SgBvfbGZnLRur3L0lQFCYbEGfCzl7DvT0qh3eQOohy2KL5HE1S7Ga/X
TL/pipA8UPu/nHBOl84FV3RipdXGjknNkzEMCc3iQHNVnfpcrKf72ba3k0TEUnPrOyY5h9V9kQnE
h1PA7/mfK0bGeO8xSTcY2GCYLsg8rGKntJTHqZ445lGd72stP9ta9ckqnCczGLbZYzLriDhLw+3g
VC9Jaj8m7Xx2Uu2QDeE3YVyzectoK/9tqCT2X7vsEYJbmeasjwPVSfE+Vtx8MpNhk8/2r6izPDXM
3cXc1KV8xR1cGnLh0lmS2WSL10N2rW2NqTpP/qiTLLeAfpC1zUeJS7bT6RxhRte2/kKQCLwZlPMi
/o2NWX7/rwCpqRzQq6HAASnWtyiSN4qA76uLEPvjnR42d0Et3cNiTuGM1W/t8NoVvfA+YwKUZNAN
Jte0bnStbXtWoEqaqDLblZum4VeBqKGyvJbhOrGMdA+H1H2pw2+tS+QEISIVkSebyr14/vj8XfIv
lIXAopPhooyxupxlqajDJKSJcrpXVaAt5OFUWNn9bN86017IAMBIl3w85uv6rk8ZCU/lVbdt2fW3
66/G6iRlFo41Jv5y5vZO6fSD5BWuVlt/bAMqfOIgGcmqLBC7K2Mv13o9tglue3mOOab57mnu0EBg
zu3kgwP2wz/jQtDXDae2G0+DZdAOYewtKiVUTIjEos3Q1XdRp+9LiVZxmPYq6dOVCV06jLACWdDN
AC9H2eDtYoSO2RSjo5BKH5KjPEQPs9re6Wq4E1lzZybtXUEzWjXlh0JN90o8X0Oav1sPnolUkpai
oQmH0OrGJ8koiypkPcq6R/HVL+bsaITBYzBGzy+pHLhxtb/yxe9jC4aEUAq7SwP1uy/OzMgup0Sd
wK23Lyp1TLcND05hnppJ46F2NKpwq9oSKqLaiazwOQb5+z9MQef24SRRyIDA6O2i26SA+iDLJhIT
GoiUfK+Jr2Pe+UuaLCsXJEh7J0AgzSSodeNLMmb+lRm8jyuWNwnESTRuEONoq4s3w16c2RV5CLJx
uyXYtcbu8E9eN90vLzTo2/bzsah+LbjxnB6MKJrcjyfxPk+gLoK3NFiw8QR6q70vINNAiKQEa5Ln
+xSNozJM72MHutFq2rSY4Y+He3/16D6iLEca21kK3Ist+svs9umogGDhcbh8ri0ysCYC0L/pKqQn
/k9DrWXoBrkMwSkxlJqwgTPOpPrUFbEnG+M1Y3ZpIx2drAeUUa9cnG+/qkQ92WhVhlKCnmPb3NuT
tR0arXSLGu9BSkT25BZeoJBaaKLC1FMaQBfNWym8Ruz03pizwAYrTPLDgHVxZVfJJuTEhRbFo7g8
F057aGb7iVaIm+ihGr5bYbiR06s5vgu3meBpafHkMUfOc3WI2rK1xJyBvGrjcQv+Y59qIOZb6Vzr
w2bug23TxftBQsVycmVIa4rpGhXq8llvTTqmhOIIDdaLHV2TdpW80pUuNwQs+KYodwkxY5R+G9Wv
He7Lnq5+8YUdpycHgDIBNr+uu5b0tm7ioo7BmkVIglnR0SqDRz0h0/Y7oqQBWBpOngKpTPupMW0a
IYoHtb5W7b6w13w17xE+eBEpX7kNqx1MdGSk0bdqaSNr4UM2jCeYynwF0ueWFhVjip+prV1huL1g
MjCYkKNRiSJ4WscLRd13Ai1QuK1Jh2jUCevK8BoNOu+2cE1UvD++x5e+krwIPoIVN5E5eHu5htJB
Sc8Byz7ZmR/z4LSiaNPT0JQqnKT8VFKzVer0mod675NRJLbAdRgUjUglrhZ3LipSFEk++gM1o148
mSLx5iTdEawVFpDIyA3lB9pnXLX9H4wkzLdkqkAzEqCs81WOhRB7W+qjb8ZE22p2HlFW6fvI0wH+
//vFNTDDC3aA99m6rlioraPTUzWCX048JG0B0us3shwf6KbbJmWwiUZz30fiSsSx6kRf0sWQ+yKb
yTly+Mp1VaBxioRGK2v0Hf13MFgsYrqt63oTReX3mGJAab1o8eBn1qJa7DyOCngWxX76+OMvGQ0Q
E4vNojDxLgiZ6zYO9VId/TCjGauE4Zg+KWg93KAZvNmRNp15Laly6TBT07ft5cYud/btYVYTHaXd
nO8eF+gxtdmKNoS0v0/00DcsipN05Wf9FU94IdheGqrBi5Ghtzlaqys0mpE2UogHs+fkvg1FPAyK
7T5QaaqUdumSm08rZAWcczYQAcRqe/j3C40Yi0rMxxFTF9TaG68/WC39HSz0FAx72atwS1MRbYsu
RExHjNqVu3vJQJFXdBZKSlzSu6urGW3X2D0Gqo42ddR7aaIitf05omdxKbh8/HEXypysLqr3i9CG
TdF/FUiaRmTLvSFzXcW0s2trX/9WZvOFHG4/ie2UEuQ49zTCfP943Hen11nuKxk606F5+BUK+GZR
0cME/wriqFEUr45Nr0hG3ordyQxp+ixH5CuvBayLzXvjZV+HBNSssrY6D8a3+2iMYdxr9ST7wCKg
Ms6bnVQKNCiz25waQ2Wb56CeG+D6NGlO4hpUZkUXg9FgeKwhz+YFvoLveTu8XMdyZI6kByS59kY1
ea5vHbhVgMA3sVeZ+Z9JtD9gQf1k27s0l74CNf+l14pnaRntxRMNlpn4qg7XGutfn2frZQFvxt6T
TqBPezWvVjLTETsChkd1fkWZ9Cih+tp3expuZU+XGtsTajf5SlyZtEAgykFbrJrcFdDFuF+jbOdk
X7IhO9tjdK868k9LDuj6UbqbxNL2MSW8QMbTzY4GxjmlfyeZd1FgHQs6RfCX1+o37y4Pi+yA6F+K
RyRdnZWF6sNEH7MO0EILbXSfghrJZ79ox62QM9+oxmu26fJ46MYTQC7pr9WZ6nQanGW5kf2k029q
Gqni+aWMHpdq+VIkLZT2oA3itsiesjjZCNvZjEAHmjbzMrQhIaz8kpnKlQjnff50WQRQpkQ3lDNl
dTHjfz1TwnhqrV6wCKn8BAG77GzVJD8z+1Ocomg97rqwh3FTO5qBRiPuRtT9RgFj6X18xd+7yWUe
9JuTGaNI885wS4MxdcgUgCqMlbNCZ0/V5jdB0P7AmG6CevIRmTo5Rvzc9vZn+qDORib7dX7FfK/E
aP65eGAYkMXFhYB0Xe2Rhm7xqBgLllPLTnY5e3WZnI1pWyFe5KpK+Lkfw4fYaY5dWG1yOoArE79N
Ij6Yhk0nqNPwAOkr2YcN4WHg1S9k82EMp5uXBFGExqCMMthXIht1eT2vbuWCfcDHsnzv0SeGyKtK
ilk78ginkDNEG6nxmZ7ar03bkmpN0bKwNAp+FGk9k8p4nDgVwvbtISKm7yRgAcI+a1X+3eA3m7L/
kfWLuq5kbZo5yNwgkz45A86TrPqVbV8Mxmrq5CXITHApgHauEwOhVlW2nlEQ1Bf90dp+tpSNpFQ3
RgfDQZc+l4V6qMaS1nzaMWP5qdGvYnfeT2EhOQA6A1+IbfHAeHsDpjp1DKu0l/yc9FntcNiLElff
HPJx/NFmttun51E7iyI+UfpIu+hagva9ryEuI02AOVXIQq8jRHNQJS3XqBDGk/4IiZszF2cjGG/T
8astZ5u2JFYVvp6Yvz5e/PdulXG5/ARoynLYV2e9i6xWlwc+PFL1m7ajEhlJ59T80RkhD8nc16ar
ENSLnwooixQsvKfvylwdwoZDoScU+CL1Z6eKs13L93pQfKKt9rmSvXIe70ZDpwVb+Ze078vV5nMZ
l+OG0UdK7u0+BzQdT2ADZ18Ng18dvkuXW6+sU7pQTVBbAJf7Xj0kUXqvjXjRrvvFY/jl4yV/H0G9
ToI5QP/OVq8PW52k/WjnDj1qonbNwNrQkHieOufBuAkiKG3T7lCejCp9+HjcZSvfXjOctQl4kZwF
GK11lWySFMnQ6M2kBR4rSlmxU61Nbr0ABdh+PNLFLwSLAgCRtw7jrSLgaWkAlJc68hgAJrVa8B+W
U/0o9LsSfg/aouNB8u0yei6G+Pnjsd87WL7SIfImaON4rTPtYZB2opu5SKGR+ZNGDb0jrFD+yGDS
lNq8EnsvnvHdmjp4c1BHeM71tZUM1ZF0BxOvg25a2hFQfNznbX9CZvm8lPII7W76ayCzS5cWe0VO
nyP8/iWnFYmYlZlLmwQltVflZyGpLzYNoabxpQoUZLO3ydh+i0S2N4UEp00AvwlwNDEQYN2rSntH
U8ns9fI1RrtLi+/wuqbUpFEBXT9FUqktej0dwQ9QYBjH7o723H1W3xrEz31/LS11afFBVeDsTJIH
RMlvL3M0aFMsCupoVjkeQP4Qpt9UQbUt6XcDrAQbSnSowb18fMDegySWJBhPEAoIQNhJ6b8dVnCa
ZVnihJl6cpxpqZPKyBcTHf6xsTR/2F9FEux1hMmg1Kg/oeFOPj++cpkvXTEQLIRLBCnLTVt9fE6N
rg46mZJCEz1CMPG7CVFyiO7zKdnCsyUX0SZNzKUPVP15ZQEurDtZQMhqoa+mF2dtRKeERE2bJBz6
mMbWIUSwVewEXVCtBTmQts9M8SPNgq8L1h0Sxe9l3f0WcuebncMezeeoTQ4Q+ZxN8Wlpz7kyu3eZ
LLZnKb4DX1AW2qKVK6dF3ZoLmEN9AGD7pnLHIf094OHcCcSGsKpjTpOoasIiYRQ0FEOWf+XdeOES
gN7QeCRTbAOTuHKpcqO2EyKElDpz+Ta37F9jSn193uJnN+l8jRT2glXHc5PoAHIgg5hfncZ6CATc
WlSzQt38bBgdsgriVkqU72qiXEtjXYiSKB+RzFnMK50Dq7EiAM5jqzBWp3yqtOi8AC1DNT5WOYUU
E3TzvChQW17UfAZ2aafXoqRLB49+OAe7TvMf4LG3Ny+pYkiBQt6WLeQqEWlu0ei7OeOUIUCdtuK2
K7cadYaPT9SF/VQZ0VxgAnBgrRGtujDwUtkk/JqkbzDHm66fd0piHKsBQkWw7B8Pd+EjYTwDxsvT
nQzS+mIL245tqaJ/TOTtnYGWEu3tUrh1wvEk1OfgtWPWufJ6uGRNXlvrKKLw37szK4UtMMa6FzA1
hTe9EpxDSAykYbxp8mOnHALlwcyAVhZx4f4PX0u3AJlu3IWzJow1oXUamohakiZgE+6/ieo4Fwod
6Pq+KugLp2nifwtByXbTjUMfB+H+Oj4J9F6bJY2DFGawWMyHoI2ehh6WTL05pIcm+NrPEqwI3ZWt
veC3VfJIgMy4P/islWUYlabTqqLEc4zJMdK0o0YyvZrtR2XuXSeFsUi/Sox9Idpe6KIXIQ2DJXaM
t3dGMXME+sQw+amaHAM53DHeU1xongb0sOlo3Ev0rRb/SrXo/uOtvfi1f428+lqhyblUmRjihAdo
Mn+1qdCVtddmxk5MsltCM/XxgJcuKu8YmVBsqfCuzZMIrRyuGErcxjCSRemPRtmiQ9jA94Bj0q6E
8RcMLzl9NHNsQBVAJlcOOIasLZatBdFiGF4pQOyB6RTSJxgYdh9/1+txXEWZpAERwkKMhI1c14Ri
ERmFSjeR30GZIkfT7NFiN2/0JNmJJh59uZmOgaIu7XPibFjCMyU4RwyDDtBm2Ct99UdUs2tUpb1J
pwqmovlfF8mIgUEMgnbDTGIqV55hMGDeMiYWI1G1I/H3DvT5LiBdQm/wll7R/+G5rC5IokWzCMLA
tZEckvn/cXZey3Eb0bp+IlQhh1sMJooiRYpKvEFZko2cM55+f03XOeZgsIltX1h2larcA6B79Qp/
iNJUwImCGDkEI7ub5fwlHvIXpb4bTQaz4aGZv84jNdz732JtUzNt5u6hclMByl4fJ9XOKqsIIzJc
y3htQ4+EDVw5PMus9pGEMBI8q/eXXLsQcCnl4tWFT4Cz2Gj9bOuDj/2zp/WDq05AYsqjlTOHnV7G
saRhMp8yyJrvL7r2nNgXM0TRMTJkh18/Z1CF1WQAWvG0oHAVOz0levmQarKXq/7O7sZ7iw/8/pKr
l5AAKtEFMlHIXM5t6qqt/crg/LYJqOgEOiJ9FqmjGTN+U4LGHWOodjg9GKW9sfTaKwacBe6XPjt1
1eKrznkXIyXijISpBL0acKqYc/RAbUN9dvv4+4xkrm9sTDTWAggzFPhyyArQbFy84hEleCuOWLQv
o4to/JJdITWnef9hxMr2oVKBevpKWlymMOPcxV2qsdRQgG0GUZUbMxJU8g7RnY2ov/oqWYgGAxRJ
EIfXGwetpCEeJw6IgApgsXkqu+GDqEQnud3x8vl6wfdJ20qD16oyfHT+WXeRGwZlJqMYRlGixXdp
8UMyW3eSbVeLHyadY5MBLc0/TNB9swfBP3x/666eFo3uOfblcEKXJWEba3JsyzSoqz67c2JUzlsH
9b7iLuye1JnBApPW91dcPyyAPwTTbAWW0PeJP/cdt2s/weoslegoJQGaFPVDOgTn0NLOMPT3jZ+/
aOV/ShdpXoMXEGUHUen6I6OSpEpWX9M1RLm+jg9FaB7LfD4m58xG5bwc3PgjRNON0u6WRiG2MdMa
gMPwnG4axZqU9l2YgyArhWRvT/GLytq897Xc06qPCNYwWe/Uj0am/jKYViB6dh7TDD027TIJjSKc
Mo79kH4cRizgBoSKqJXqXWnp2P8o/kHvtpi4a/sCXhKNVbYFnJfFewqralJTiEeeZc3HMpCPxpx5
/Twcozr/ZFieqm4RMVdXZGoocNV43i5LpAA0O/6z6ujJXXBQcAvMYdO3ZAJG/6KzeB5t0RbWsi46
5g4fhmE7F8b1Xmi0sfFDsyF2wrzUa/lewVfSmqznMFIQSd3aBKsPiCCLDOoLFOHyksBKZx4GfaAX
HhmXru3OTp3f9Wn1YByNPNkHZrWR560+HyeMtRiNwd+5fr66nR0rSnm+2vlY+7gkZN1OiDPk8wN6
XN77x3otepJQom8iVG9uIPo0r2OoQGyYMIS/qLTnmjgWm3806CrZ5YOcWQdD2bp41xYVm1MMuhkg
LW8H32/TOOhqvqABLV0NnsIasdtEdhVf3he542a1+ihBQ/r3z4oZssCCMvYgiF2/WAN5u6YJWTab
8CWukkcJyEs4TEfBks+T9AViiZn5G6F69aIAykYoYdbCkG9x7c5THBiJwrIRynpls4+Dn+n8GQvz
gwNLHfIiU48+tVzfrHft+B/SKoeEStfp1VDfL545r/IkzmUu4vLXMBuHQQ8IBY7wSnbzZNjl4xYr
f+3bOoBCGNUz2r2ZN5dZqqst2qivoNtaIteIT/SSPlaydsmkL2NiuaPxn9JzWlEyVRH7ylxmj8A3
4EEHwDKVqT3HKhQXUMZZAQU0TL1Z7s5xmr4o9p/ZvGlDcANVFJnym6XFcX4zy06yppWmnjc8wwdK
JrfhqE7TMSTSphYWyYG519HJIQ/SgjNKmBjWxxsp0C0ASfwGknVQg68i74stZhu9KgehxuPLM8to
F3zBz5TbiMwKhgWZbf2lnYNP0ib7ejUtoAEv6EdCqmqZVE466sc6NC2vsO6TokPdZPxad/K3qq7O
ADIuOZBgp8AfnPD57f3z/JrlLMtUB0w900RtDRlUKiQGyNHz1f3P+ZR/EuwikfoFsv9FKb8xz32I
w52v/R7naMfxRI66gY9Qb+AIVq4IIrXAXr320JbZydTg3Om3I1BogylEw2Amy+/ywD9ViKZGzOjL
aguDJb7o4tFZkpRIzNagToqf9GbXyY5aVWBXSLDJN8bEv3O63G3v47w5bbxkcd3crEStInju3H7L
oUcadI6T1XTq0D9FNT6l+J9dvZHcGcmTQCqPKK96JuIG6abZzAo+w6LxKoyxBeH8Js2NHAlyVol2
3qD7uyoz0LGkKmsvQyn/OY72szP9LqLgnNrhE2ipx7bHI9b++f4LWH3TNEEEKkponCzOt2PGykyX
C/C1En5HUMdJPxZ9cq9L2l/vL7S6i8SMFl0NnbtxcYjbzFak0SSGFbov5O95472TusqUeA1K/yYJ
MPrRAAjfX3YZsAUMQqQ3/MmY6eZWTGvcM/xJ7ZELkY+iu+Gb4F7Sfq9byQ552uOEcJNMivX+sjfX
4t/r4kyBkoCQt1mkOZmMDLcey6hFtNE+EHz5CA+jKnJ1tFwNE3md6lk6Nk1JyxtRysbYOLQ30UP8
AJvWCrcyIjLOMgup5QFeZK/1yFcC5y7uiwChJglhVNSijPjZPOdV4ioVCK2EiI7+rp0+mqAI3n8P
y6/++iv4BaA32WA3rbY6klXJjhDNqMxhL4ESTrkiark5N81wVtDFrui8vL/kTcx+XRNijI3bCVfG
snoctLhxitruvTiJLgKzOhk7JQk+MEfapfLJjr/wXVxL+bcJ2N/rYuwhjpEMl+M6aM1TzZBS5Y2P
CFmg3ryfWypGTXEt378XYn42IlTUSsf3n3d5gl+XhXnFJjdpor2KP72JlYNfBbkFYtNTa+Mi5Ay7
vHlom59hp26NNcQTvA2WYikaERjFsNJti0WNowJv8wnVFzXzHMVHdrk8IrvwLCinhfq7GOQPWYJq
k14/aENzl1SbvdtlvP77J0D8V9jbRJLFS5bapK61aRi8/HeQDCexcK2SdSnys9p9VktsBrGf0MKv
77/km1j9ui4tSuZVGjm9sQhfbFM9ymtQwUGCjUeSuUNaMahL7+T2xxw7R8YFOxkBR4P5uVn3e1ql
O+qDjVO9Fs2oDP//r1hE6wTZ9jBWcQARpPpXNkM1H4sEQegi9gIgGUK0T0DnNp5+9a3TniAVJNe+
Cd4JnO9SG+vBE9ETwXf6ApA2Rh2YT3sosuQDMy43lMajnOYbm27lkTUGpHT2mELc9kbkUmqGxAC0
acijW7coY0Y7V861k2M+Yyrukrhs9ILES1zsclYUOC4gXIDYFsnHbDUJGWE4eOkEqGrWPw5Ii6P8
NFvO3oq2wtXqaigMYXInMHPLArwj+ZP8kqmDEEUcBwTOdDQ70NKWv5bOFnl19WWCBtXorIFOWw5Z
ukgtwyAgNHZqdxa8waoN9qMV7QAhIP+J3KlffbfTf6vGyOEhnYOmSH2Kitgyi1YKmxleJXELgNBN
FOPcYFiA0cnG6ViL/OA3ROMZaA5iSYvhHPr/rTXLZu/pSYCvN7QMFHQqK7okMYWpATLMaHFqlnhk
aePWWX2zyDTpYAZWeEb+FM9FmTh/B3+/exECUWmR3cFZy3jYBG+VJNoS1Fy5XZlgcMsj7EH/bjl3
lZxA6gH/DZ5gvcNLvrTRs2V2Z3hNAjvr/KesQkiiUeej1ge3adGOzshmC79OBq/V+r1RFPiqaKcq
Kj7F412rH8tQOQpRz4ib3ko6EixEKBGcrqyNidXqk7/5HYtrYLTDCLnw9G/WRJ5/18avoRIc4hZ3
EG+IN8e+2lpMeB0rGEg93PQB47wmUcdLidQJKW36gD3AAQHlTnATMD4VUrhrQ+y5dXClyFL5dfol
MdWt/b1y/wLnZu4sZA5ugWp9OQQGXJHea+PomBv93reNXZibe7WQvBn3UT+W9hHZNcLFFUSk7j9k
0/wA+EcAe2WbcvA6xSGlhWXRk85ZsEQCaUCAg+K72cnKtwjJ2JQcPre3osfa0RJQetA/oqG2jB52
GehVPne9pyntThSEIRWDfZw0Vs8AD39Mhnkjp7oZEYuIJUz0LCozOObmYp/PatXIcc+tw3jy01RQ
i9WnKlZdKRqwWXoe68+083cpWnipdUaFz5XN8YgmxD60bDeoP9r17EFS2tj1N52Q158FQ5VsGtQt
cLXr929nGTDMyOi9HJOo0D5X6kMXf9D73i1LqKtUNPKLYDQKTaT3U4C1A6f9s/KSDy0XsZKaEcmt
mJoKknsV/OlHP0P1JaDBJ9Wb9ctKysEHYPTtMKM3bm7hMFfQcx9G6pdIP2nDB6E71g2UT8PewR3G
n76h9eJ22RZ9cu0+ptekC7kkHESX/Xc9DaKhzvreCzsQ3EhqCZBHREpV++2TkviH99/r6nKmjkIT
J1rUSddf1O/iUR3GtqehaOw0qdsVyK456qORp27ZbfXDV1eD8ou5mUjll1UpnkyZ2iHl6WVxeJRa
9MgM9YL+FOBhkg/FeXr/4dZOrtirQHbFH8twYU1VoU4ZmybvmT5DvBWzjKn9AWHAleBNBAbqguVW
/331lAD+F2GKIEncuH6ncdfUkjEoPVivQ6A9+wifhL+dEB8R1IG5lVDYO8r6ccT49v3nXU1ADOZ3
kG2gVd/MGzrfqVGg43wOMn13RT/FPnpwdBtwl7jTXsam9vRW31X2lojAyvEkLadfBoYU0Wt5kfmQ
3+gapmOdF6i5mxjSXkIYtpHx2JmwNGv0i2AAvP+wK3uJb0oT/G9zcktcmW/qTrtqI1utoNkaSrXr
YA6pdbwP27tEwqpC37r7VrYSIGhuXvBlYGSXATkP9LHBLqfzcokhXAgOXaQXMc5e6GRhKDhlu05J
Nx5xdVF0bSi40FUhSb9+RKtLsskB7eV9tKx2r0Y0S1A2Cijl6xFlQqk6/H7/na5tIEZir7MMBnJ0
Eq5XrK1+HslsMA6bz735U0B+sf/ytLBAjOs5lp9xcjqC9vovy0LtZYwCz+Am2PqB3mtjwImReyIQ
U3ABasCU526Mv0npB4ZVrhg9Wua/7u1zo6H3yABJseEK3eibOrHd4gBJRFLU2RO62bXvqTg40z44
T/Gd7TSu86Ptq2ObbJEN1uIEdYeQveeWl29iL8rR9pzLfF6hXCOS2T4xKEu+OVK2h2EPNw3n7/w5
BkWIOum/D/w6jRTaoZYK2GuJ1JRabVRrPSEU18le0fILN+wHxJR7FYhMsiXSs7qx6L7a0CoEU3J5
rdlJ4MRjWFKfwCguA8ezAxDbMKKU+SFOfkPsUCLMb4dNfrPYsYtqWkzsLXHjGIJvfL2jjakfAji+
sPELae8EuG3MwkkjugBtcJnZCz1vIQQogpSFitt/2NlgcMFBAb7i+Rd3AT2L0ZTqmp2tYQ7EjRcN
IL5I4I3wGxgTJPcMFCODPWTJjTbCWssI39V/lhYx+02AVHOTFw4k1RNCoWHd7hz7x9AVrtEgq9xW
FxwcTVB2dnHoyHC07oMOZ2/j8fW1t48GI3cSceVGRHxyuqrS9YxdhhyViURAIeXHPjroiGjrUQSu
xwuzi0CYmLF5MSv7S1f4ZxvL+/d/yFokFULaqH7QiqdTef0uFOhffakXnZfG/WNh9QebunGcTrYz
74R8c1RhOiGVW4+/kkQCq6cTAL2ert2yQB41LUlzB2s4nKsu8i6SO3i/fxVN7mGhtEOLhMygxXlq
K4yLrG2x6dnqNP8NIVxA6+P6cYE24Tusd5jOdcap1SBOQCCtzM9BYJ6iyG3Z839kZrsbm/SUyVsd
4bXDfrX8YudpbaFUsYmtzpQYF7kEHA2NxAGCJ9cHZ3iYOi6xrnErUGvvf+a1qQMri0mS6A9DBb9+
8KR0rHJoaJhFAA/KHLInF+UMV6TaC1G0KEGnVZIOgNb2Ufk8fM6kR2neYoWLzbR8+2LWQzMc0gq7
/vpHpFEfzXXsd94Y/2Hbf4W4p2UZDYnN6CLe481CqpBIpwvDEHHxnu1okBNHGjtP4jMLcXjfjy4N
Ak2qFbriUBkcs403vLa1FMhSKthlTtMSlS3ltUxGgimqU4Z7YzRcIS0DA/zUT/bz8H3cWTW+kbo7
xPGJ/O3zxvIrJwrJFY06nJrFuTHmsRO0fdOUg5xIwx6992BynoqigeFcIU6FPrRd8x+SNu0Gc3Px
lSgCwIVsAYIDZfmynqgRVksTzNzABYbfw6bHizD+MUb5o1U5T0LEok3yfT/7LobSn3yn/ZBlzp1S
W24wY8DHTpyK9kPo6FgNd0+I9m2Fm9uUmB4cJBPICKKiu9kPVaAPfe03nslnsPWdhV5p0oRHH7+E
LsQ1XTc+99h5+z7cGtP+jJURf/erTOf7NpC+ivDLiGWjKLndpKTNQmyJERFUwmXNJ0P1zkZNbby6
+NERBIZwOKBIFGQvqpVc4izZigGrC4IdBacimpJLisQwsUcdZWyE/EGk/LA+943hCmSjkT9iJysk
6kg+vNkFa+8yA0YBSwyEezeOTl0AlIL7cWPX6jcHVZQO//yk5fXDODvyB2yey0aHFGy6uoqfLg0z
tTJcG3+rrKnOlP5PAUYT5vc4RBEEUENqZqeNX3J7fgANi2Y4dwAjuxtAYTIrpdliBWuUhhsjX92U
3S7O+RUNmisRkj5FeW78aE8QPWysfZuKibU1MK6imOGf67jY5rMpta1ae2n+YMifuv4ORQLFPtSR
Qm6AuFp4l0d/Ss4WTfz22KJATS+HxBOa+k0DLwD9radzW3uOE7sWcqR1QXes5vn7h0o4BgWUcsPj
xtPebkNWZVzHdcTY4cZbDQyYqTR6Vnt29Le3WpuBdAUWPmiHRDsZ/uxaOl487IL/RzoYEHTQnGZn
4xhsVxARgnCvtVvX0wo2gPaAYM0D3AJ1uYRA6rIEX80Pak8i+awymsmhMJjX3bEPMFjGWISwLta1
iuT0OqWxfmy8nNsDQQEDmgpWN2HqZi4/tZIxqZEDyRdYV9TCs7jEyJQUL+KnZMhe9EqC5Izh+nTy
RZ4koF1SvqmTJiro6xvUAOaK/RyBieTcWCRKTlK3Q1NptRfLjFWb5zr9A8FrBqw4XgtR8MBtCVmf
42SvOz/YPe+/htt4zepERCEVQYBYIptUuUv9MrFrLzQBltHYRE10rO8tYUQLVOL9xVZyI1ZDBpwL
DEgXcKPr45fKSVBOUdSw9fHrBLVW6Eyi+LcdTEfx+R3lIn2sA9oaNWra6Umx0jt01LeC4W16ZEBO
FCAFmnLMOBe/wzYwSi0m+IcvYTJ/kqD1Fig41BbAZhQ7hdOQQBE48KNECmOh4dz70r5PGWZ13l8b
L0XkYosNwK9Ab0sgVnG7WWwAOzeyxE+CytPoaANFdpt7BZholn61gz+tEi9tfOVTqsXyHHSI6Hcu
Zs+bph+3SRWv5M2vELHkTak29BL370T90XR3U5qA0H3ppyd25ucaSd38sbaBekqGJ+mxl/XNxjZc
iY+C+gaAA7sVBDDEYX2z+pT7ytwrVgmju96Jlo8e4szFGC2LjJ2KpjMJ38FXv7z/6ldX1RnimchO
0VET7+TNqtkUxHnRGqUXRsd0RGmHjy9EwISjTw3BUUKytjY3pvkrRTHtFhpbLCjmWEtYkl32EvgE
Yp9tfa9OwU9cjKPw4uCVHdUlwmO/p/KUzE8JpmOdYm286LUjCBqMVgT3EcTnZXnC/WMEklZy+9og
wKhLxmdDfxFXgKgHp4bpXYnNSfoyMIifTORehZI5Rdv7r371LbDXAf0RhW9vgAHQeKTFaf0KpBFD
PGHByy0M72Qn1IMFSExckGKQh468V6KRGddbjfLXbuLy8MGvYZCkcyPdCETFTpqbzhjVXqHoWHhd
SgAsAJnzT2X8YEHmN/2TNfwqEskFp4ka7dckaXbZdN++mNJu0HCxjp7LdAT4svWlVi5vUmnh7wHq
lyC1qCNHPUslGwq15zCYaOYX9TjbCmPOF9LWGgW0je+xchGIBFEQAslTuIquzwIjdGkolaLyhr56
SJyZ8YQMtDitrZ/qpP+aZwMzx7/vaJEjZNxEjZpTbox7KbHusmIiqfLpmgzK1k9bSRhfyc28Q0oL
qorrn5bbbSlno1p5tTYfhwE3Sc6oaHxLEQ3TInD1FhJO7w7mFpf8RscMMpIYgqIdBjxWmNBdL610
lTWP6lzR2W/d+TkuIPCV3AR0aSfk3EThOepCVi7eOXQ0xGaNG/T1wuCcl08bn2jlPYg2rcgTADtQ
/17/mNGZQFpWZulNwbgf0s9zM7qpol5sfbrvAnp7oI+iKr8zjS3C6A1PivcgJg7oMwuRhhvaUV1M
WEK1xGfVSj34yChCXlKckEIMMIAaCNNUGWNaLEY8Ad6h0b2zCnA145NmJnuTJNNCq7r7KQWml6X9
h7oaXLpHW0Fl5V4nogheFCml0EW/fkOkt40KUa70HMguzLhcrRncMAARYH9qO2k/6TjfSIUnR/e9
WZ+nCcJ8RCMUj9CYidGka1sd0JUs8+oXiSvozRVjRiO64JPNFQOj16H3g2WJnV5y58Wk+mmhUYmA
J94Vx3oyXxqST6X4L/sYEhB4QfBclN3LfVzLcab5Ebd7W3+fy0ep9ZL+RWjgNUSSsW93YieLryag
uJWUYo1DHhTSxlC2SrC1b0RXCkUV9jFQpcWRkgc/S2I5rLxWT7h1nS81SW+c5vdF94AHzVkeo2/i
l0y9seuiF4Gjsf381cpAcC6Dzf64ODaLKwDKLHcxgZbsdGkkMRnREM5FwhlHILiNdpkNiyVVfeYg
R4ThkP1GTtf8qzedyC1xptmo0lbiPC1yqjNCL2XIspvVkX4rQ8qpFgrCva4zEjbcCqoHUrd7PdG8
cJMntXb5crEgT0dbWIcAKWqSN7uy0U1TmjWtfHU8dqw/rKDZCcjugFFUWZs7u0zRWLgbwuJgK9WZ
t7mr6w2y8grABA46LQCQwpiu38TWPptrNEidwitlkwHEMexir3KnmVAK/K4xn2sYNgwFdolJWqZ3
ewEgFhoPfozpZPS7zLqz4rdbt83KieVnCcYJria3WrsNs02IpwEnNm/PrfWFbuMFgX18TrgNHbp7
dCnaMvLG7kuvq6+0J+Y57nbQXftKAnfDphQIghvGfI0wzSgldelhgrrT2nYnWdmxOU51cir0dl92
TyVQmxxXrwRLqYhZ+5YH+Vqdzk9gPMlmweNMW2wUdS5Gkv209HS1d+s8O4lMbcakdqzQooJjZkYS
dal0iOruXtgtlxAZ3r/2VuIFbU5YmOTpYp4g/v7NXnUK2p1lHpWeXAgkSvfqSz9KzU6dtjBuK0fx
aqlFoqEVveVbKUs53bc6CD4KwI2QP3aGYJ8HBMT52799NjwcmHxyDIAU0hO7frZE7awJ6mbhiTaY
oIGqinRARRxzvY3TdvsWxUoi/kMdFkCb65WiXpez3jKKV5sKwJli/gfbeyfFWwdodaVX1XWKOSgn
yy0jlUlStF3h5QSRUFUv0wzun+68Pmw1L1amPDyV6CAx30Kja2nSmeqlnjb5VHgD2prkY80YHG0j
vZTA0XwuDTHQZZbvFpbkvv/lNpdebEtzjJCc6YbCa5r6lcE7FzTfa/Bx8h/GqLuNlrqF4uwCQsbG
0mIbXl9YPDWMFuFLhvuWsXjDVWnESl+VBY7jVXNoJ9pVVuVmI3DmD1bs7BX7fmiPSd3fG5ihC1yT
HWWnLKPbiJPkxvW1EiKYZwrYNncYEPWlk4MsgW8aMGj1AGu0I7rSbXYnRccOVXJRUeql5KUGsioC
XlVhXL05DhLNmuXroJkskGrQCThO11s7KdLW9jufQzR+dmheVxMnlhskTp71KAUKy3AIemJJtBq6
LfWWtd2O/5W4SsU2XIJyjFAvygxNaq9OOME6KTF1Kt1EV+aAbXx38V2XDwpqncRJgOUZ5y8eNAmd
QQWNiZ415TK7Xmougs/UYPxNV0Ykkj6Kz7VCtLJ3ChXRGG+ACW4eV9XAA1KHCQYM5ekijExcAZCq
gOIkfbAPecmiccAIX6EAeP9pb7piYiUEALDHgCWvLVt0Zmp1hRabudcY8hFrkk96gLePugVRuGkB
sYxQSwEVoqAztGyHyCPDujFjmXFkVhnm58i0dynKVb3s3AlQTIV2mBZvYR5vC0uxLn0gREVxFb+5
24cmKMOqsXIvk/SLuS/Khglxt4tMaR+Seku03VUcfao03iHDdBnC7gMZ/D5UO5y4t6blN/ee+DGw
5lH/BH+JPs/1xpJCaGSmJOVeHnxyYInlBOsgR0XczbLH/0OKtfZt3663uPb6jEIlcHwevnlCcNO1
OZ4gJrzKn45ywlNzVK2mdZ1s/1rXisFYGO2dZK8VG9vsNsni2Wl/g46AP8AuWNz5lVYU6LsSx41Y
d4UZS56zutbGj8o0F/iXpSdrSk9zCjWk7JVPUx9+SGX08ot4S+t07XAZxHQasex7dsb1Z6jjOqcd
xc0ZU7E2ebQXNrYhZ70v9I3H3lhq2fYH+zLpiPYWbG1cOpp41zGAEr3ueDMfuPGutMUbBq3NI9Hf
vhnXVzniTnFTF/QO0IfLMINhY7V5/oc8IYig55+jpHoisGBlq31Nrdbe+d+Tafqege6fQ2lnmeFG
///mAhW/CFdWOgUCnWQvboxQ8R1jzrmyZMnYCWhS18U/ps76PRdYq2Px9H4oW99jTD1Ep1PojCzW
68Imj7s+5pJQOeZdtC9bBJlxaEPTYF9xcQwFXW72nuN8zrtg35voC23BR28vap4aAS66NyD9SDcX
10cEAcf0TdIGSXoRTCu/PjTj7IoobiM0ZKKm5Ge5Gxh3xoi8gvJ54y3ctK+QcWP4CjUJieFbD9Mm
iQoDm8oCDHJ3LlEiGRvLd+ciBoTn3+v+Q8cQrPY1Lwjnr++vfdvmBVeJhA1aVSzOOFSchzdFhMoY
RSp6P/Oa+heuMbQuyexBS0zBcFCl/hALrpDcHVJISoIhRTMG6P1eUBnzvgMNxjSIg0j369RXL1lg
usXw5/u/8RaL+fob0bwDPi025mIGktCgHnMMATzR4hSqoLID0xA8idTQiZf0nTBzFbxd3UiwvNkK
CWv7w0JkVli+g6LmfFy/o3QuKrtpeUdj9AVrKFc0OYX1Wzx3hwR2g4r4HmLnx8APj7L9KNXZ4f03
II7BVX7DC2AIRBZJpULE0K5/QBsmU1IaFj9Aq3bMJB91rBM17JveX2b1Qd+us3jR6hQFcivWocdQ
zgNKTZBqBsYLg0/TMNk1Dh7ZkeukBHnRblC27tvVTy1aH4xATXyplyREDcRDGJY6cxbGe9W+SPed
dmjR+Wtt0jmayWH2ezBn18y2nIRXAj+TLijSEEl5zUsUYtUaem/gqUddqxzkITylieG15CF5nWz0
PleyCubryDkLBU2mCoszh9j1ZBKSiOuR/CBa9gGdEyo0jjvXPe2MKN9Y8fWyXu4gm26SgL6hAaQu
vuzsz5MVVljpqFWxQ8eYrmuys3qEadBWjIG+qrRWxZxZV/AsDnwaJ9FFQMpBPYsRf6Sja65v1Gsr
KSbv4Z8ftYj+sx4WFEBsN58uUjN2u2Z6DjnSI74wr7BT1PKdamPR2/qUw/R21cXb15IyM2bxKgo5
dw0bwBHl+PxNyb4n/uTCgXXjuXTtdkPaeH1dMkk0eugY3aB7kjxRsAVGcqCSX3LFOJmUoIIuoA+Y
wjKY8PWvvR3CednClKzGePguSC7S/AfRsXjPZq13ZiCx8swMPeAF51hk47/gk0s7Cqxigng7tDtr
Qq1HppiolV0bn00oVa9lEzzgPtRPBtCHJuoRYKUrzuDi/eBz44VONsTJ/+dXLr6LqrdxomuSMD38
g6leIZ/UUaVLgJ5aBA6CIZJvqF57VqfCzRKZmefXXTCGyAz5e9+SBHh1lP4qsg9izwqe8hxvZEdr
CRs/UUetgh4xM2JxsN9cluUE7bEzotwrhY0bL3MGLWsn6kcTE1BRTkcgVbo09QRQSHi9CATTNHKy
NE4eA6I8kjbqzv/ltQlpS3oMzIsXry3TM5zt7CT37C8YbB91k7EF0MuBjBIklfiB4mjLWn/AzEv2
Ky+F/zfLXNdmeKSx6AqOXlCZu9q4r4zkR2vTrBxkf6+2GydP/JLrGGRh/sTux/BHtAUWMUgutcpK
TC0i1bijvezpenHQtd+6s0XNuY2vLITINXQnRQjDLz5TJeXjiAts5FmpjCxv58k47oUxupg1Q4N5
N/jWxuZd2RlCCZ/xEa0Wnm5JvjRi0+6YlGDiY2YfI2B7kWp6fVgdg2qKXN/yv8alfm9H3eekzh8d
2iFtPpzkKtxJz1Ou4PuzRedbCfmi8YfFDU0RVGaWJBI1b8IxTDJ+ksUwb5L3SRkep7n8avf6YzpK
J1NOTmmIXBNCO4rqNkr9hx8GnwNV/hWorj/RorO3cu2VT0M7AXUOrj1wRstJbYXkTjFoQwRfN3JD
7AI7Odsp41NbtZ6R7XVpa8HVLyMwrhSxfB6w59dntuutsYv7OPIILjD+Zjezcdik74fllxmDJop9
WhzhsQfn1FrGXhftUdPof4Mgp/ERaAcl+GgN/VaudZvToTxooAAvRAkoAxdBuaOUkFRDCpHNKC9y
o3+LFflXX31rg3xfxO1zVFUHOSsuOJ8G0/AneNwfDspIeCz8Qir4/di79pKEeaMwcRSIiiUqHiRQ
g+In5aQ8szPD+j6TmiMbunUzDI7DcqeXNvdikuxM5duXKi7OsxrLbhMzbQjt/EjhuAUMXQlsUJ8Q
16YBg9QlvaDFh2PCMqAfjHxo0Z9TGY1Zod5Xqd/qBCGXNgk421kNaLRV3XC60/v5u+7gflMo+V6K
u/NQ+w+Nfm40+6tJOV3LgKkljboa9gM9z0QF7bwFwF/Z3uC7KemFVzPAgMVH7Xt5lPvA5jeX2l2H
x31fzV8mxb8MKoD0SPtVTdZFybS/HD18TKv0pD0i3fmhrXOG8dPvtqnTXTENIUw347jxjVc2HL8N
gBNEPoqZ1yzhzeUVdW2bJYgjeL2v3BWR+vGpktX7JBi/QFL5pjlQn1CDwmvNU0esHuLoR6afB7n6
E+nkrdb4TWea/p6QJEJQl9EZ6Lbrb5sigxlJDbJxc+p8iZrwCYXOr8IgrWkerFq7k+MUEX3E/GT/
SUCtNl6F+N8vbqLXfQWmDojrTQKuGqkj52WME4KceYgSIYnEhFnFZYPhYRL9ZaGcE4Xcmkp8mKqA
uie5q+32Z2eEW6z929qfN0EX0TKoOyhAFh0/mqswSNoA2VpUE9Bxvuvt9tyY4VM8559knRaAE97b
IZ23fJK+brwH8T+/eQ8OMyKBcSWBWNSVAVAqmQkF6n3IQ1lYxAvEaaPiDpF0BzKxEO+PqX6OjGOu
aRsfYeWogPrWwRcKE5mb6T6Wm7EpZVYPH5iqLkjv5mJwnRzflnjaDxARm02L+JXqkgqePgJsenq6
+rKPSJe7lAuU472RpoHQRUlyvCAxgFaDya0ceKzWQXQz2JWnTNp44JXqmtUBKIkk18LNZ5GWdHpm
/u3m6mDo4tp+WcNysHq37xDz7SZ80ToTqV28KRS5+kPOhFhEzvx/2ogEt2WX6GPgaU6vSaBNFoG1
b+JRMjJz8Gy/+ATU5XEIW0/2831g1xeV7hswTwD/Rr1xy9xipTj1DC4YJwiICyXu9amng6PVsmQP
r0Cn2SbFTIp9mX1M6OoGWHSAaPmrCaPPakdWajpP7YyaqcHwJmz/zEt1JwXpLm/UiKPQ4w8bf63S
/qehjfdCVOv9o7G2Ox3sCYXMpJALWgRyRaq62ZYcfI1raiKiwxDFlx5BiRSjVXQ9jTjZiIm3rVde
zpsVF3kKcBStBnaBjJYOwJfOW8eqgfnLBhQu0vF//XzcnQA5aKdBMl62/czWlMYoQ2gxxu2wUPVL
oeOfmblwvI+K6dzpxOL3V1zb/q/IcibaFCs3rsJtnM2D0qLbGTQ/NcSQ+kThao+gd/aX7EUJSLtS
9cEqiw+9XjwxN/vr/R8gXuAi2AHjZjSMagsuC7L4AG/uP1uCz63mKGrORXQhN/sQGIB3rPKUWsXh
/aVWdg9FIsgpGF9gipeT/qzKmzmdUAa3ingnFBewqNp3puQldfUJ54E62kINr9T4EGgxZyN3o0tI
rnv9dLI6zmE/8nYdGEspIyGrOueJne/6AE1HVNmVwDgVxc8gSVpSDOnriDTbDucWlx3ujnR75xIH
j8jUaK12rp/pxr4ugtYN7D///ctBsIdERLRUbwZ8YT51Jcoug2dhbcFGOSm99rGi9RA0ycWi1545
m2aUK4eLPBJOg4aigHozIA56J5Mkk8hT6vORkvmuavVLOSZu4qeHUN9Sgl4ZYvI1gOaIwosll8zy
UG6x+M17Egztax5bh1xtz4PaHjSUoYqpv4/OxvDFzHZFLu9SfK0VSXaniMIbBvpG1P0fzs6rN26j
/dufiAB7OeVym7pkSbZ1QthRzN47P/17jQ7ex8tdLJE/ggQwEmR2hlPu8iuXHr0vYjWVcyH6ufRv
aUtbRu86HZFmjtGhLh5S7b0J0ufRPmJJATpV3Va6tXek9jfGMv895ye6Ido0v4qdSyIBhlNGUFhE
GIUS3whZjlnCr7c+6s0aUeJLy3J5vr/0qMFlEX1biyZhOfZR0QgpYivJn5xqvK1NfVvb9Zsodkh2
v1Od+CVWooM2hke16O/LNng0eGH1ZFekxavV+A8NBLQ2/izldAVldGkD/vXj7MWbC7QzzHN/QEp3
iLah3e38KAJVK4GYR8E/j1fCSvE8LdfCFoaFyBYTYC95nWVRUKeq0JrJpPgLL+pb+gbS+Urx6dKV
SrkDzAUislCGFhFNXKdl1YxIBlJ1myydXkxLvxQIBu3Z65fG2kiLj4t8Q5jFLdGi4IoKFphj4qJs
IG1trCzdpbv7rzktG8BJQE4wlIzUF/DRURQbFER5tR4wB5U1OPkTyq3XJ3ehDYpzhShUifQb3t3i
8tazks5kgnabwK+ICl6hxhtD6Xax6uwrOAT2n3H60pfMJ0A0vM3VmszLxR1DfURI8VLeXOoiDREx
mxMjxyRu4ABI+qh023U3qUvnAEDr/x9msWO6rshbvJdhqFN37sJ/u+QdPBQ11F202ky6EOcKbRGo
paiTAqhenLk6C8K+tdDLET0OAca3aBqllbSTtPu2nejn+oiO/Hc9VJAiBI1o1yjwac+4U06HxsDY
o1oTZf2tjletWM1u6m61KP+QotZzgnwj9fqN2tuvKxvpwvICHef+AyjBX8soAAq8X/uRyZSFqARc
ApqUguLap7hzdm/oJL3E5Z86SZ8bZ/ieWXoHTccdovFfSZpuqUi9h3ryI1TtldznwqcgzKS6JKBw
yPWL4/1X7IXOtVXlIwl3SoMtd6ZnW7pLkV2oYuMV220r9t2m6lfenvMtLcDThNQKchPk12Kx/ho0
8TuqMDEiVKrT73TrXeWun/L/3jekmQRbjbwQxho6JqejGLE8+pKud8AdX7rhxWmRHZS/J/pKB+/8
yzIMSFj2k8hfl2X+SdJA+6pK54FIcBupdsviH1qx5XhflWtTutCqEmVA7hxTpKmA2k7nVNhKOdhz
hUr2FD/IaU182N2Njo+o4WdnUTgrHLeN3lWAG9c38Pk1z8BU7hEHoFSLYtnpwLlmVaPfIwjUlb5r
SsCsZsfV0126Wl68sJ7CYNQhNGEYZdnT7+VcDXoVMZJCOcajDyDwR1M80xirs2xlH56/KJj1IIkK
PFC0/ZZY3LrIwYbPDjl24sD2+dQyfLkHybW7Q5RV2GatKa1cGhDzcQQWqKwALVmcNgrsajMnDDgm
H3bwOJo/g9CDqCj8beL361/s0l5RESdmWl/0K3kBkdOcWcf4yW7RKP7xUfvPTveZtTdJsquSDeon
effz+oDnVwkbkqoFNzqkEGQ4T7dIKKWE3oChPL36jMaXDqkqGa8A/+Dn8MLDP42/EuRc2CmCaCAO
giYSK/GD/rpGYqNv08wMkGqKGzrzCJuPAqvk77X5CBv1+uwuhAJoL6DLT5XW0gmaF0evmiSnLGuk
vxRslHMn2edmhJR6fTAzkrp4549U3A1jOxv2bRZ1D+N9rz/9X34DhGuiOoFmXd41bSbbmRogIxNG
L0N714/+PszkvRX5e0PN3NlJdnJp7eQpua1dejjqGkDiwjUA5ZI+oahSoUSw2MC6RB2yjuPOq/Pc
rdLfbfkeVi8zPc3rM730acVm4p0gO6JXdvppc73WlMqfUZ6q7U3QZMdae1PMZJflxa5ovl0f7EKC
AnSRjwqyhfrjGczMH/NoNDINhZra2qhQBQPlefRHd26ezeopmzUUtn8WNkWJ4CfM43zOtkM+bFX7
H5UvMBwG56euRis37oX0kF/FrYtkkOCYL6OkZDDyLsHszRuNT6UYXqBd7LLg006sW98Z0RltbmdY
wJL9PlGJu74kFy6qk7EX6z8EU1MqE5dwmot2ZLu3+ob+9JvSlrsRpkeQrqE/Lo+I5ijlGRrES36X
b81l1fm0hHFQdWu6ReTvblSgG9vfGQ0W7oW8ssCXRwRFi6wH2lfLwFqrdbt3IIZ6ejjs+cBz94ar
7L5HIDlDVsMf/72+phfuR9b0f+MtLpApjuvGrJEXm1Nuil7bYCYHRG9GhzneFp8hlf0x/3V9zEuP
AOVkDDaR9VEIURZ3ZEvQO0OF5bpX8RPTfmeldpT9ZGPU/0iathtMNBNnwCPqYWVgsUNOE11EXEWo
LQQqBY729ATrKdB/CZVITyWElIEQjaUM9epPOtB1LxGaSnsavlxRqYVL5lp149K31b7qiSJrOsOM
qU3axJSJGb2MXTN9z5W30PkOjLVNH2Jtbe9eqCoxWQqKkEoQLAJFcTrZvO5tK1fzzuvLRwctkIHk
vlE+Qm2bFsds3Ps5kzXDjdr/qKni77XkYdKOKyt+aX/xrdGVR5CTAHGx4kOixTLMjs6zxqdaVTZR
E+E8DN/tPVF9rLB0Ty5fTBOx695NfVn8IBg4CrJjpWse7K52Axhy2bSy7S89GUiP0dLgt9F5XaxN
ih9p4JeEIZHyKjKLJO7oVSvgVdckxy/emFDfEQ8mFCfyX+SVSigFeU8LE4fXf6I/AqaP1HacwMyk
mk7Drmi9TH4Zh5Xk7kKJl89PTABelzom+sWnn9+J1CYaA17FsN90Bf6WXB4wiA7qcMzNm+5n948B
fq3YS/IHJcYi2hGnOK8OHXz5JjS9tZxOvbjkxOlCpIdgbNlDqKPEMHM9IvOJb/JecZXgCYodRkKv
g//eqHeAHN1UwwHl0Ldv8/ARSLuu+uEX9xh0dvJz2T2/90XmjuPOzPZy2bpa9KBPq3XBi4eUgjN4
E6RkCaxOl02CNCShM9p5anY7Bh7y0l0x4z4Q3qW5fIisJxVqVOP8Np1518NyTu3bBmk2H4tAREnL
nb2KthAjnl1a1CgVKKxkxMvcoyW/0hEXIrwRveVBuzPH6m7kusbVrXHzODvK8kOgvNXgZGIjc2Mp
u0nT1DVnZ+UBvhhusoVF3orkCfrJp4vThKqZkrKwOAGKk0HjycFAH+4lCTM3LxoXq2bPkJKNzVPZ
KbWr3ZTBysk9C8KoUqJnzFssBG/JOk9/An7rNIayqfVsXQf3wLg5N4aebGQ6BCtZ9Pl8xWCIOVGL
4LLA7eR0sClom6BCb8zLQ0+iiKZ8d5p/K//GmVwl3TZg00LXwhpapxUmryz211N/8t0Xg2ung6uY
yweYkDBT5aaLnl+txBUE79obwm+zdT+HG0q2m5rVlnYoEETy/WBvy9TV0mfZ3syHSY3xmv3ZxsPG
ClxLJcHy0a0tNvlvNQk3kR3DcFQOkDt2avhUzo9V+5o4z52cup2OdnOlun3xKmuZi1PHBhPnTR6m
G20uN8r0rGTbwNqm9k+9k92KUNtAA3HQ3ACrOewEKtcMdxC+g/4TIyvXSCyUn1DjcbuY3uGhzR4b
0EHX35qzp4b14o4VhHOYSGdlCFwFMinK2xZLizfBhBIqwfnkgSWgVY42BPdcZm6vj3nepoRsTChB
o54YCsbBYoekktTFsYQcoKhQCrS/EF0CoeGW4DeplxXJR4yYyRT8DI2VxOvCfOlNMWN642hoOouh
8yxxJqewv8QRFS0QTH/d+SNpumtt6Fl0yRpcSbxUiw15MuBiQ8p5TeIeOY1XEElEMMjNFjs0KMI5
fw4kHC04Flh6CxG+lWU+uwPFMqMRKuo9RBHy4hF10iDnHWWupRG5VnCbFaaLMO1GALKFtpys/klZ
fMNMPWVAhU8IT43DtlqLZy6u+V+/Y5GC1PJYOoXG7/BnYL2YeGpIvZVDv51kxIWkEV/T2StXrrwv
7Npy4QGBiATE4fFc3nlTo8lVHpmt11c/2+Zb7Rza5NVPN5P+TbL3dvdvT/hK9hW3kWfsG9/1q60y
7pJqD0xbEMSstSLV+WvOB6GoIoC51Ix4KReXk1PODmobFI3GnVIfLOvgTLdmjczFj/IgzTzybhK4
UCGpmGetp9kPtewVkWt/L7Q7Y28NiFNtqk9j2Dj+i5Yer++XrzT0bMX+9/O+MpC/qjBFjYdBH1H2
iUOvmrdGtsNnrX6K0039WE/ocuzGahvbnMu77E4GQ9PonNjbuTjM+fEub9xEQ0LRa+VtqIAA2BwA
ADjDs2Kt3B9fsNqzH8pdhW4gsCr4k6frmMVx6s8K66hM+tZm1ULEomDMvOOl+BkHcO7tMTs6MhaA
luLRn9yOg3pMna6AalP/QO7Oxd7E7fw/dZzs5/I7ulrbqifSN6THxPxjyBAVrENKG9W8L6OKHr4X
yfbBHoqDkaJKj2IemQCWB6qzy/38AIDoaBnPxAAbSf1o+5leyA+0FJvyLan0p0iWd8DdEqxNoy49
tJLyC9NToW2vCpfC9zjxqsm8Dbu3OH81zWMcEsYZ93q2R7vdTaS7UKq2Hbh3X34K5D+d9hSxkcF3
JFhpp2Ii1U1BYlJY81tYJLtUq49aCpAH4WUepOvbxLx0rShfQTLQCyoaiyvUcPxgHAuVJ0P8yl3z
K7itno1hV6INxet4G3eHGawvVDr1oJjA2ujMbIdxowdIvGxgZFTqjdJsnO7piPuJHCduqKBvlX+y
wbeGsYsIuusjp097Vu7bj2w3tdxNW4fn+Y95599J0gMcnnjc1Do6KB7FHtXYl/Ft2T769g5ltPRF
eah2zlNYgjLu3uGq9/F+ZRHOIl5xlAF8E9kKfOPyrOiVNARapbfe1BXb/EeXP9loJf4OHqWfDaek
s7BU/eVTWRrZVM+ZfavUR0Xf6umhAgvSPVjt0TDfw+JH6uyqqIXbtmkaTx9Lt6R5Xe2lfDsF6qbO
KWO0QDiOTvioQtWeFY94ZtZ3MKYxSHgPjZ3VaC6CucE3sCXGoxV/DsNt3j0EziZ7y8qfqjNsEqXa
VcGD4WNXlXAF0goCsfKo+fsR1T81CLyi+wTAeBcFa+2GSwsFOgMgKlLElA8WdcZJVgvfVgeiQchY
VOQ4ksFWmBC4efMBhnjl0bs0HG0wYm36USRNi0wkyTQllqyc0nU4bnnci848CIuDxPqjxfTFkjXw
u3HhfQftBK2N9hdNyUV07/RJKA1y2nolZL6p/BByLULp9vp+WxtlceON+HdUdB6pgoTcPrpzN48f
k1KvBStn6Sa7msgIniqFlvPCQ4ZGX1CmAqrYvZWw/x24PzPX6EhpWknG22x+dYLHXhDQecaVCdLS
ODwA8tjqNYlcu9YxvxQpUs8lQkTkAlbLUtHbgSIbGzni2WThXC6Dat9IqKDm9u80/hH2qkdSGfiK
VznKxm+fry/6eckN7QeeGRoTgnXCXXf6zvgEzWYYa9QchsoVsZtAKQpivur/8QFJpCGyasAJivrb
9ZEvREzUf4CSY7yJQM9yU3WDk/VxTKHWjgiDERlU0ZdJtHxjQk4tPh3P6NY6uRcnS5OJk8NXptC4
2GLJ1GXEUXEDdQg71/BNsMKEX4iIVYXWoSh3cQSwX2tXNvelr0zlgKI9F6ps0Oo9XefILmYZhwCm
m3wvjc9UcqfmTayzFb/K7aMdwuqSwFDirCYla8XjC7nxF0gXYAgKAWcOOOZkmCMFekSIHd9N+sdU
VJlQCDT6D8Oq1qZ6IR2AdkuFCYfML/Hn06mWKD/bSQwBIAZ6b9XZQa12hjJjC/0oCHZNg4qiBTsV
/dXrW+rS9xUmP4SeuBbQLV1E4WliOUPnWLWH0tTG7D+EKrwlMODhO5fJl1KO8iGEclbGFeHAIlg7
GXcRLuBFrHYwJsnAkZof6s9Wv1OGvWN8YL3q+jOeuax7lG0Ejy/AKuL68BcuTiFtRf+J+4x++yIH
agelHgoqovSgzWM76Ydy+OmP0dokxQ5dThItJJJpXfCMlkSwPIlybpGWm0J/n7oXg4poQgYbxrnX
690O75+diXyy2j4KbfE8CHbtaLum/HJ9thdqLwAxOEP0bsk6qZyebq9UgpiiTOj5mZQVYuR5dNQl
jfp7QbRuN8+i6NYbbu2gdW6ThxmSN6xJx57fXfwEXCIE54PIaNmKN/yisFJbLz3BpNIQTRQkgCqD
DBkR96F50ZXRzZyuUH/PT/HpqIswA8fgOomEPGlaZgcMDJArQFddP4BTvqvK/Gllnc+PsWB5A0ah
DM7j8FW//itVUuwky8IEpqePrTymxG5dK5u+geGX2vgobOoGFynckUPCq5WhtbOtRrQpcCrQnGlV
LFWQjG5suK1oF87OjYmqVgzwCt2ETs3u8hK1ZGF+Da5MZwvGIDKFjrg5r7kmn4dZJz9ieaySMirD
2AhrT5YDrChRwo2MgwydR8V33Z/Bf615GZ53ZuBRIE2DfQKiKdQxxUn/a8mrvmpzTZkqr1KKbRIA
GjRlL9bao1VJWyF+VQphXgmbC0N3C1XyuiF/atP0EGIgqa3xlC/k8oL5icorO120ORfXGnHPkNTh
WHm9EdKPKNy2j73fKejeHK2zoAFkSHocIKNt9Dvh/CTeUaEXbGJlh/OPl2WPA7CiDt1ge0T7wdQA
Wj4WHTZvpQuS1aNOdH3rfIm5n95S/FSw0kjto+pIve90CbPBtidlalE/HeMtHD0UNiCsU3gQAvSO
DTlTD9waSRrV7rbB3Lmp/CT8IqJj3v3S54eOJ8NuX8ceC8XuJg5QAoHaIKo3dRjemAmugGp1lOx6
7XoV19bZD6cZJ9AS5BFL1fIKR0m1t1BJzZMPn2jeRONuQAgaiVYhXGE2+xnlzoHflXZrMfGFo07t
3JbJ9oRU1vLdRA2/MyWtYt9xj4kgUMi3JLOxKcu9mqHsoGFLmHc7s1m50i5d5icjL7YYXoQd7dy6
8qIJCx00BYQgihCOEaNb+o2dMXuiUP4UYcajQuG3Pq9vmfNGnOieCMAswP4LakWdqdVSW/elpw1Q
x0Q6AMgzd4Zd0SUHmWKiTi29TaZ9gnqF8boy+vnaMzr+YcBkBNR6SfLokyIvrFjlVpfMXTMfjCdp
Fn6a8SZO7jv/gK3evin73fVhzy+301HFY//XTZM2EDPNSSnpIfCVu/vmX46IYjTHtEi8zlqBrV+I
fk+HW1xswIJHrdSY5KyGLnAZdwoRR8ETHj3cHkle9pnQ/wwSPrP/JnBL16d7+Rt/hS3w2E2QUafz
reJ8xkRbRuqV3LWJX9VgJyeZl6b2Bj53aKRf9rS94t/JVI1XBheLeXq0mf1fgy9yrDaaYtiJMxuM
bosCmgJ9hUy7d3x625lElYTbXHxmfANu0kY/hBma41hy5tXa9XghQuanAAezIIlC1FyWZ60Ax+O+
nYRcdrIBHd7Nb8XcI42XH4ZIWK2/hlnDVbgGkTrPuoFzqOi8w5mix7s0j6XXAqhxRhFsDqp9Pf87
h45bAcqEJ7RS4r2ws0ntRDqNpqGIV0+/dGgViKPGLVpg2A2pUb2ZKh2bcrpe5Z7C5k0y/175vOc3
Nw8kMkP0hQlWkCE7HdEsraDCoqCAVDDuDOIQCJr7sX8Y8cM1p9o1RupgNNLDXdHbb9cHvzBbga2l
5kQ4fC5Zn9W+kgFayD3Mfg5l2t2HvovCUohv9VBEf8b63+vjXdjKtJT4kLTrYUIte0uZrqaBltm5
JxP9yhPSRkG98oR/faHFcQEuCM0FGV3Qg2fQEJ6E2M7Rs5P0cTdpqEHHxn2YG/eQ+nZT+h0VlAOS
3tBb7Tchzmpm9rdobKhNFr8dvf+skmCm9WTqnp+YXuDgDmY/BHbyMzEQIujm3RQ6r/7Q/+4whtk0
VXwwjL52bSQZPXA4uyiWAoQ31Oc+/Of66p0LJGh0BEXtiUAPIcgleVDDqBoKGRJtEqCiuc0OoR98
q6voxhz62zp9nIbetRVUg8fsTjBgxKUITWXfmO1tSX5hqc3Kap/7lYifBLydc4m2KyXF090bo8UN
MA/Vuilgu1K6Tkci7Sl3tYFXGHU0SF/oOdDFinMg/oUrBBOzSd0H8qqt24W38OS3LFI7Xw/VUIF1
hIYHce5IwFaEPxtUDcwwvTP99jbgVoxwhreDVTjOpZ0tGCucYP4JsO90HQhbkRpIo8JrkQebsmCn
58NuwIinlA6iYyyclPSfRWAQ5WpfV3Q+lrtZDtY+iAh5ltufhh5QSoVak2ks3spihMM7T1MOMgoS
o3FLi5PSeYKylfGlolaavTubMvUELEQQLRrHw8ouvfQLuMt01AwFlmIJHg7mVJnHpkAoT360yOUV
NJ+EeP6EFi3yHhsfmwVjDLapFezVg4Hfw/UfcOGx4GaB6Sfo5SAnxaf6KzhRMj0ytMTgNIY0jzU4
9XhfxuQKbVyuDHVx+5NootoolEHPRAFDKc47a8hyLIJMZLz6rerclSWNNeJsOhkio2n0dtPKEZ2w
1B2NJ7C37qD++q9TpoQDfEVH5/mLZnk65aGWyhZVpdzzVflo2eHeQYxdawJesZX9dV67QBCXyonQ
rIBWuqyBzqUcW20Mf8bXZTed7AcoZfeO9Zn6tw3qlLIWPw199t8BM4zK828o2PigPbh4I3muabe1
Clp1NtxifdzPYXVLEymTbrosunHyepM7/T7Os63fRveaZByjbliZ+oXrl90EBF9IwUDnWubXRRJY
eT9DlZRGxevyz7gxjqRDeJ9Lu9yo6SRy2qcXW0mP2pxskXuSFHnf2TNCYPOhiLLv17/6hXAM/jIn
DK4eDSTwA6efPUfzW8pl1EOcprshyPDQxIGTqH9VpJsaxyTE0iwDhbBJ3l8f+/yQMbSwaBTCIbxE
i7s2murCKmcVmATbe1CIUpwnqwqRaouero90acdxuOB3or6DB5q4bv46zk2pBThd0hqLwuaIHsL3
3Jr+YJnsdU0vua1lR9thLtZ6uJfX9q9htdNh6dSFciI0IMHDVFQpyptMTR4Gu06AH9Re7zR3vhzc
DrbOdht31+d8LpvFxUU7hQhUYPTP0vnYUGPVqNFrK9tj1ZbHbCp+A9zfSX7+T9hPB4NNHt8navhT
wZGNwt5tXdR3s6m4k5uWH12RvVz/ReeRoqDK2yL0QCiH9/50OeK0qZUp4iYPx/pGmW6dDnmgFDcU
StO9XPDEGCt368Xv/teI4t//9d2LoTHMqgSIo1YPqMO+Slb6LtX/DD4Q6zS+D2oiH+v/dKL+N+iy
atdNoL2KmWk2phdBh4+yaT8lNH+nYC9Z5aaPol0bh/e2E6xM9/InZ6PzZtIs5fk6nW+fJIbl9yH4
n3TcmwW0i6a9qzJQJpGNz495k2T5LlXrTVMWmJLarmVNnla+g9n4xL3+gazlm1YYK1fvlybnaTwh
lJE55jQXuYKXB902xsSXfDh2oyHdBVEfugnoVN98Ckqn3JR5k+/nCKhIgbo94V9UOcfKv6vhejlq
4M118D0KTOzN/aIlfS3emrkzcXNKj6h9fc6xtJnU5hEK0fXteuFh/hJ0plUnyAC4MJyupl0lOkby
9OodINKj/VZ2bmvvA3C3VkZzZ/hdju2DpaDZeJtgbhnToE1D5/fKrzjP7U5/xeLdCpO2gIpKfgVz
a8v3cn80z74BVjmBVoW2rBXN21hPH+QgXrtBLl3QolIBD5eOBnrOpwuQWKOdVgVWAJXbFPU+DYw/
nTzRoAyKx6BLj4Pm7AbZ3spBQ9Fi/O7Lzi5UDlLzpmhQ2PKV++PifSqeToynhaT3sho8KnkDSB8l
2zoFbsdgaQLMWc3CfRVweznla1o7T0NnhzRdwv/KnhOlMVQIkEKxsXJd5oSTHjlm2BESBvK0r21Z
cvWyuZmNduckzYNmF+FKrHDpukSLQKGMLGwzl7JxqjxYWm1r9LZG7RGjrl1hdt98w7jHM/AgTdNL
E+TH65tNZBjLg/r3kIsXGbyIZk1U+dFX5ezF4a5Tsk2QW1uUTHaoHq0s6YWinCg3wqcWBr0OKc/p
BqPxPZaNo1CFD4wjot7ujICv3Cu3IYE96LHaS5rCxR3mT43FcTKlgNDCYS3d18+TPiTb6TBAn2Wn
n/UVW20aMhXnEs9A8zLVur0lxfd9AYh6MKNDqpEEdhlxWfretdEhLsOfk9Z9p5yKfyTdv1BS/qlk
iuUR7TC/1isvqVLg7/b8bqXVztJaG1+B6Eds/BhVkERlt+un4UeujfCRMxssqD7dlRZANKsJX9M0
1kAp5XR8xvoujvV9mg0brUwPRmk8oWo8utc/+rmaFQwcUfDnZebVOBOR83EDHIYxFQlI+HEfzda7
HWd7s3GQQJftzrV84G329DPu21slGA5Jp257NTg2YTqD+9abTfxSthkiMERVvlJtDtkQHORxWIkX
zy9k4AuyoMTwofhKy+fNj+ZSlRIl9iZt2jdyg6pU8jKH2mOa19CP5eZH/ltSqm2YJX+CqfptasGv
CaulOVoz9zg7m+KXoIzAs0DMTBB7unGjtGt1u+SXWIPjVXV3bDX1EV1kV+6qTTUnN43vr7yiZ2dT
DAm7k2edLIY36XRI1ffDvs+t2PPhfpAP+EW9y/p2l9jxwXTW1vrSBEGoCDIpsoaA7U9Hi1V7zqNe
jr1E+chogI5VS9fx3Wkf+19Du1LSE+/IybXD1FB34aFhKIGNOR2sR6q6iipUjjX1XZ8DbOJaVyqa
7fV9fv58iGFocaDYxaywhD0dpjEGxcD6K/Emq7lJ2hYkJ5AneDpa2r/keKvFKpSkOblvFOXbythn
Tylj0xFkgtzkpKCL2LcOW7nKJiCooYbzcTzdxmpyM6bWjyhXHg0ju7ehrpAN3U6FvZEEVlxL7qux
fyRLPYSWT4cz7NbO08UfRb+PMiomGURnpwui9llQS02YeGmc3kTNwwSYQu5RI+3sbezDx5q7Y+5X
d5PuuI40uKlDJXQan1J5hlwylSDXrBXRmvM2iVgoEH5scZI13tvT32Q1WRqakoQDtdxsY7O+k9Rx
b2t0BULzaYZ5avnyhjwe3f75FgWqtQrg+V6kroziGTRMCto8hqfj56VikCqWsTfSYC7mciv5T8Yg
r+zF85WHMyBY+AQz8C21xSjj5BilOtLLlsv3rnwpbbLQ+R5DnN3Kvjt72ihrgGPgFgY0AzRnse/k
WtJDVAkjrA4Lt6bLnEnv9eC7NlYkUN7brfXU+uHKqOeXB4MKcWSDN104WZ2uYaH0sVHIVuTlJiDx
phEqmK4sZQeUwW4z3XJlfyVWEut1eoMwIswakKGQ7M9qaFOuRXIRRNzH1XwUzVtJLZ9Vf95lZnSf
9f7Kk3nhKgHsRNxBQsN5PmPAN2gZFkbqx8DeRUqC0rwp3+KR9lQN1nbiCLVOtXX0OgAjYbyvfFNx
BJaTRUtViOCLdtbSJGxGfbJLajNGf9D3MkDrui8/ygnd62q+C20VCHOz07X5NlITd646kJRdsnJO
zzJr9pVQG4Dfw946oyvLUZ8HucxvCKfKrXnwJrv7ZqfmgxXZW9x+fifO+JzUKwHjpVEhz5GJCPws
g59urLTmX8g1byDUI/g2s1uN6nfM4L61oe2VofyUZfN77/+5vuAXRzUIkHCztc9NOotO1ULujNhr
8j+GX2+jfHxX1PE5zmz8fscX7JAfwlX6xYWPDCaWq4H36pwyFoJBNWyfBe5qe6ekjjf287tNIppJ
fFi9e7Pi39eneY6E4IESKraArky4PMvnIHQSwu4KEA+125ukc+7RdY7Fu4Oyg37U2v51kpv9AMUn
SP70MjGIEg7Pef1/eAPQU1eYvEmbll+0SAuQsszCNoYjmKHppMvjcz2bn2aR3Eva8Bz2MlbG+gOb
/W1U4l+js2bSdeENYnxTIOkp01IbXdzOqt0QFw1Ed3NSbgxj3hjFAembXe9Wvr8vSxwnkRc2cQcD
6bp2tYjJLU43sZDwC6Uhdt4OyBwnrqHPEnkRpQzJ+Fwmdw4mkJGZ3iuB9qhE9i5TQ6/trC3n8l72
Gxcdjp0UripqiHv67KeQarPtSX3P7IIMySitsJiIt+XpgOZgXoYHyk4PKmLDtdYck04Glmdvw7y6
CwrnfQZMXJItXt+X53Rx9qUF2JJTgM4279jpqW9C1OODUOh9z/VWS6cnbPK8Ek1E4dWbRNOhyeZv
iW/+1CobVHFf7WrztrQ3WhV4eoHNhvyPkcofupqj1G9om4T/RTfPK3fTV5N9uVoE53CQhVUDr9/p
z5yqKEO7zQ89s3Ieq8h4jrLhqVHNhz4YH0JQi8mgBqDZQ8/IFRmjTgNbexohbuHU/9iNDCqluCV4
xOezbB57qXwYovIlzvL73Gl2uOpsp5Gv/ei0/oukFP/qnW+505TdKiYSLDbI1yzUX03e3K3UJQ+5
WlGoooVmR86apd6FB54+LXr2tAyAcy+nqlBXLc0WKwKBAy0GYMVBtTXwtKprqPyR2wI6vr4JLjzw
PLNwTlCDc2CeLOKYAMeAPLfJyLvi36lInk1upqqOX8gmnobZWqmDnLdpxJaDVo23EeRZVLxOv2Wq
D0kCZRbjjUB77tPml+WMXjt3h0LrEeqHgRZ3+r6FohFgYVdM+evYqrAXKgWGMtKoCTuzxivj+iJc
eIiomvNrBAuGyGOxCFHhF7FtYQeSKBL75yPJyhspq7ddhfpXX299yIP1Ggnr4vGDJYEEIBUSkX2f
roUqhWk9YpPjNdFwI5X+H4SvgV1mP/rMrPnq00enza46mje1ne1af9y0obnN8FoI2u4g/tYSHc5z
pZoCUkhvk45xgfOV5F1fHk38kuUJpFhKCYcfe67jMORtE1I4jLx+epCt4cmmN+3Efr3xJ0W+1dIP
KphvdtU2923lw6KsnbfJQhCzNmDfdA401UBCRzYpPct5Hecu3Iad5ANsifhvZJhHhQVPPNLgWUno
zOe2ELrEgyHxtezGmWPoke38aWXTbsrVQ1F9vz6/S6fOgVYg5IYB2i+ZxlWU1ArayJwB5hbyNHhG
Mn/Xs+w96YpbmN48loO5uz7opVCX3uD/Rl1UArBvr7SmGCMPajvmWk8Iz9+A1PPHcjM46HLg7GiV
K3fppTfw7zEXWy6W5hj1KUQjJjm9jxKJCk6wEsCKE3y2VwzKKCKMJeJZPCroyTeVHTAtBY2VQFU+
ijbb2H7+4rf12gN24fISPVY0ANDOQ2B2MVbe1F0iTeSU81TfTeH4PPnSbT3kCSze1N7O5fxkq5W9
q2r5lx44jxqqL5rhJmmy64rx4Gjli4Y5CX5SqrbFeOM5tKpoUxVOv5ULdV83xXt906OlEHu4RWl6
uDKB040nWCwacuPIilE0ES37xb1T5NM0VS1JZMRD8y2SvuEMBcdd2RA6bOzYWjnHxmnccT6euAf/
atv1uW+Uo+1Tfs0aKKjzGwjquyEoKZeCKlOlChDnfCvPUe46PmDvvOhfzBJiuQ+pPMKtKpCDl14O
nzUyeaRu93HwNnSTN6I3I9T6YzzTuhDYVhgCqpk83Nqsud/6Wn9rl/hHxODGZxWok/0tGL9PVv3d
HMOf8UPbyl4nDfsoSH8OevuQma3iFQ3qF6bcv/aD7mNHTs73/xj7siTJcSzJq5TkP6q5LyOd9UHb
VzfzNdx/KB6+kCAIEiBBAOTXXKOv0OeYk8xJRumRXdkZNZLZIiEmQTMajU4SwHv69Kn2Tfc6gKo/
dLCf5NGeI+3VPc5WD3+lWhj8y72BFDaiIhgNgoCH5finlWqCDAh6t1O6TJt0LWS5jqlZgpAPAaNF
E9/gQq3spNH53B1E6R5LPzjfK/AaBiNujANT8SYeHkJnhBMvv9oCpupIzmWFZLL00foa3YlivKlg
Fkq7LFjDsXkxuEDMUBcY7eeIVZ+TQ0maU6m6g5s3Jx8mYuOYHuC9s3Sls+xFvJHtTkOaHl1+WzO6
69HbWn/8CwTgj+MZz8zs8Dz3DyIfB5PjZ9wmsFUwpATPTDGBbFlAgm68cuc9Gd7/fD78CS3/8UOo
r35VBWedpp/mQx+mU5p5gBqmHk0Y+8CNFyV8buKmXwuH3qbjcfSSGwXPjy5J7yLCXlI0H7/Y5Ez0
suY1DBj8vcwTP2t9iJcYFxS7v7Jg+Akp/6+TRLCEaRLyDD+DxZKpIJosQ3oO3rZTqaeol3e8Bmxn
oRcc5GhGiOosGM4jBCBB823YOnfEOSfyL4j9P0UPv53J7McKYRwwi36eZ7vW4yDVN3PynCM0Mife
dHcT6Z5kZU6mnY7eEO9tke5JIi7ayNvQ9W58r12M/h1YCplnvDUsPXY8Eacq8I6eLfeui16gP7+t
Py1zv51n+mUjAUADLJE/zjlRWJMY9V6kXeOJBns3+d51exnvhvBjACkJYX2p7//8N7+csX5fg/71
N3/KGHxREDvMv+k0iGapODdtuEnf6rZdO0SfwE+Go5bwmkONKZ3WElwgcS6n28k9WZAJvBoeN7m7
Zi36humpg3pNH3yGzIPOob2gXePPT/cLV/rpdIGuIbiCJjPggZ9xJ3DBiqbNcSultBcSyHWPWm8o
7kwgPrgTHkQanIOm2MXoHhhHP5tbONDctfFNsuODfxrUSz09tqaD1kB89kf3CVYxw+gtXD3sdaCg
qOUdEPsji1Bovh+gDcRQiXxx2vDZ84eLw4pFVPCFb1M0ZxSbpBi3XhedA1pnE8JySZZt8tyZRU/Q
1OqSVTjAG4GJfTjWy3kbrPaVyx9JQuA67a48A7ywWPudgJzXsHQhdwai0Mbv2dXpuls5yOvcXTaZ
+Nmb9KUw5XMx1ndtBdEE37yk+q+yjn9Z99D8PBeY4bo1WzP+XGJOApZ3Y4TnQZoJdujHlCwm0F7N
sPLlkaIVup0uFYdAxb3TQkSn+TGF/tub/V/FR3v5cSv7f/w7tt9aMXa0KNVPm/+4bzn+/fv8nX/u
88dv/ONE37q2bz/Vn+61+WjPr/yj/3mnPxwZv/7b2S1f1esfNlaNomq8Dh/dePvRD7X6Ogv8HfOe
/9MP//bxdZT7UXz8+stbOzRqPlpB2+aX3z7avf/6y4xP/9t/P/xvn83n/+sv/+c/1diK//u//4OO
rz9/6+O1V7/+EsR/BxYJUiHYbJBgQCH5l7+Zj/kT3/s7jMHgoRYD7cdCPeeZTdup8tdf3ODv8Oid
NcRhHgiq7cwu6dth/sj/OzqBoPGGKfNHGST45b/O7g838feb+rdm4JcWClL9r7/MogJ/jHV9sORj
FHlQZUfRclZH/ePcZrsQsQkcRlHYqae1nzxAHeMSwpcPzpo+9BSooOsaXREeuv/QKFCBkNnZi9QQ
cRkgZl5FZtiA6/Kthbv3mZsOEktN8RCG77712Jurkm1UtuRTBvChckvIJJbB5xBpr8qCfQotwwpx
24NjFKdZlEPoi7HyWtQ+VIE8BfMDl6t1U1v3ftIp27lgFy+Sibn31Epy8lLx9LWlhK/PaUV3xSDW
6dCk34ekQgkDjKaSm3AX5w86hC8H10O5ntQ4nUEchsQYGh7ge72MutA9NCb5iGqaPGjT1ifiDVgD
502/6/XRrxHYzN/5+nI6sOjgtDMsM+/RsRLrZhDna1c2B/lZGMwYTcvzHYci5956isCFj7oQHGug
iUL11QGzzSSDQvsauijB7zs5NbhCLrqTWz3EpzCFv2btube2le5tTJsnTfPPRvaY2NrC3DmBAFev
b/uF6mpQzhPQMgfO97pVn+gcVCsTSrvgfXdXNyoSC1XQT6iMkYMK4+EukoPawnkNJrfEtzctVdtu
fp83HxIh6u2PnQC2LYGKueuYtfs4F+acMm8dat9sHJ3e5F2UZsLTPkyUpw9/csvFVKTB1kvx8yIk
i6qe/E1tquRM6+Cou/wlrdAFQY2lN3XirZhyx7kEE61cl1RZFVfOyk8aAWb/Ni59u+eioBvtl3co
u52M7splD3wji7F0oIdarTzCb9ukplvPCSW0kcgbt1G5N864q8y2maC6qOmZ1yM9sNB866YJRcOq
cZakshG8rQJo9KfgThvHB39c7wvjvGFVUVnolne57NOFrg6uncD/nZKbODH1rkDHOKAsCPcV4EDG
pxqcuUXzkRRxAIXzxyDua1CNUE0jXtEvLMjaXlnK9TQFNzyXZONN9NQoK7ZMe1c7U4iLiN6GPgRp
Up9mvCavFXOnTLjNezGWO0UiKAXa9cjGS0CiItPNCoPSMs5OrISmWK4ujCoI8RSiB0oh3Syoyice
6G8Y6e7Kh+6Pr6oVJamHjEYN6z7sOKyQcZmTaGKZiVr4toJX59XBlIH6nWRuzxdYIFYqHlzY/6Ls
Swz59OQqkuBO5RNUQKPm0kyps2/7T2A/AyaB/h4x4wOq6He2aPdB2WWxI8GfhvweHCKGdzAltm4F
FUqt7yR6kNJE2VnpDio46Aca47sqbY5+1HxOJeVrN+r2FRzhfPgZLSBQsC847n7sk7uuvwEZe28T
VJwDIffMItuUUkDC2U92IWX3bYI2mi5F/SfI/bXN5WIUPdCw9rkbFpXMkMvez99sJucQNfU2d5st
BNkYhGpak65Cz/uAdCvcoWw2+mggIvEjE/Asf0OStXXDNwFGMByGjYuMnMxEWACcmGdW0D++Q6YF
TgiScwklMeIL0HzqBhxGybKQOw+9I78pAqlDVTuPUdFlXFYJlDiRQU2cDNngwQwPUreFpmzZds0N
70IIoek5YBHOTWjyS5nGO153FHxw7q7GAfpEMZoCfOfopqWz6Ai0USt4vSLR8xcYpukqArU4g9Xq
ijjFSaMeBk8D/c3EeZG5E7vpdAFDB7RjpeYy1vEJfcnvovLXCVmYUevtQNlGdMmHnII7rxaHkYHn
08hNMkL2xTlFakBfIBKrGlEqQm84cZjkDaWZ266hD/AluYPJ22G0+ZvmyBNRieMW5qt49oBs4JfR
O5zR0F5MOVMIv/d2+h4V6UVHEkkmpnFKAMGp/EFAo64V9afHx0fT636Tg+UzRSVbEyPXTVQcSM9O
qEgcWCl2DnhTY6D34JBD/QrqnpCBjF7K8FNM4X0VoBo5WvNC3V3LJWQHnaDYgGe6CHgJccBOTete
FvmNJ+bd7vCorVBGhypoCx2yApjmgiSgyYJzD3pfMr6IQWOMeMJ+JObBwus8rjH+UltDaGl8afpZ
8wzSg2BNJMFShwqhJtqUFESh8tiC6xqzBQ0xx1b5OG1h8LoQgfLrzIwYzWAjQ+Ur8ucwv0O8L79N
zgTz70nyQ8IraBIPzRalFxwcDdLZqF2RVbUfr/yI2WNsMSvnQOvBLFlE0gk3UZV/E1PXH1uD9FxB
VdNM0JSuomqlKw3xTZSks67h0Deukn0PHAyNGLXK8kh+q5IU8ptYoxYOHZ78ElcMSrJPhYAstF9S
71YZuGzBN8CuqHxTtExuRXlLeryJ3hH0isBzR1r0zJiAObAPoXc2suehfZNJS9banmvw7NDjDbEx
jDWx92pnhrCDaqUYSGYGBug5ikpVY/pd0fJdWAi0HEVojKAUfC/YNJHVoAa1qHoDoTNX2GVet822
GFW9iEWVI4VqziLv6AqYkVykImErOFV1ODMoz7nDVK/SDkFHEZbuLkAkAVmJ95QbNLdB3kEkqCZJ
anmmvPTBMKQSbR1nPmFYD6JeLORt1JPp3AxRd4DG14blDeY5oOCT/40lJUDteX8Yf2S6B/KSdhXK
PqwdMPd2G2+Ehlw7fVIKCAoq+Xs4ZzpLcCLalVOG1Z6oJNqGOcRjoiFZgrTjfLPA2XcoiexYD8QP
dcPuSQiXwg+jjHddmPQHdBVDUa+d3pO8Ls81adOHvBmevJKSs/D7/tjMYQ36+u9BWUeuFEzioQVD
DYQ+G8EdEZtJbq5cxOc0EmCMR/TNDWVyjUYwCoZ+EtvAazPra/9GOJO4TkMC1b8SUxtAwRXtBUdj
qSSXunfJpQyLD2gt1VCFZeyCXx/Q/HjDCbJVZaA41Ka+wVHnNyNnHNHMpIONTZvkRgQr2I7kZy/o
hptwdI/joDEiaBtDQMd4w40BdRJJen/82gpazAOWjcfUyrMQbbSSyl3XqJZFGLWQ4Yzml6//fb2I
ZiywPysPWAqrJVogc0ySXnkYSoKXSpWHr82wTzByx8C9dhwCGz92mT/92u/3zYaMGrISP33v6/Nu
Puzve/444u/bX/9zVeyDxaTEfzvE18F+nE7N8DAg4CwGJ7lh9WRXKsmrK82bFO3LjbpVbS6Wvev6
d6rz0LzOveoBcWi76HRsHuvERgB3ouKbpr5CUFDZZ506sButuuq1bcsXwTzve6PJldeFerfoa2zN
UH1aSGbWNAf3NuohbIjoAMY87KjjLkUMXyKMDaELblHyGIIA3RuO065M3rqfReTvTCzzd5q6N9Qj
zZvumqdCM+eVevKT5imCKYalmU61+WYI96CLWhVQmIfWbok/9QHRLJT9ianvhbVYGg2PbsUYe0se
1vaa6ESu2py0Fyt0seYVrW4adJevI9R4To2VZhOkdXyUZJTbqBPhQYORuqtZFO4DjbHVd2G0q0ef
HiRj+TYwTXXsY0O3rJnqU48/YsNRJz3j6TBreOsNN0lfoIrFIueS9x5bjZVOwbvHhON4Ob8zQPQX
ZdSN94MfDQtEp+TBFBHJCiqGJ1NPY0ZVnn6jFUSKSTHpl4JNb7DNoN+xYt/XqfURbQSnGI/7hxM2
21QEdZFNLjIV0cAKxlPf0YoWoaSU/bj8EXmSPbp0Mj2LL7Jw5hbZaJP0wfhRs+aETDN5g3rdfZL2
zXeVu98bN3deEPShJEla+lyJ3oLHr8cnr4U2IRRuqseOSbUQLfXvWQJN7sLx5V1pYPmVO1V5y4oU
DgCDG1yaPvFnbQR7MzqIMEcJyjsJDKQzK689jWFdQBpd82Pt9fE2Hm19iCMV7FilURirjLefdN7u
KrT/Hiyy9G1FY/+IhXXchBoRCVrawYs2ipzdaKDrckrqy2TTflWipncl7RgsfR57t22UA1IibXmP
4e8uUlkOD9Ji6ifExo8l5ii0rQ3dtyhAZugbmjxHFooeMWP6NTElFmzMblXTXaaoCN/7kO/dKtKf
vXRXYVELSEaOUxbXJSp5dbj6cd0p22nixTSjcZJRz5TAeuG16QyASFKS7tHmaN+HUiDWF8n3itTP
AOubV9RUIP7dafcZo6jPeE/rb8ks/DU1oftYaqyspHGbB39oMBMIE9+FBDFpQIW9lRQmD+7QtNeg
8PWqD8vi4gq3XkupMYUPULMMg8o74YnxNr4/TUeuYrPNq9AeJlBndmXtjnu3MRLiZ62zQ4wpDiHN
/S36XeXRoENiY+tOnSo7VJspJ8j7CpTufRV7N6YvXEzreXqhpIT0IJ/4LQ0KhTZ2hP7wnY+B143J
fScYusYKKR8dPSWZEmHw5BQo9EIRSDxDswfcs6mJX1TXvwrV6u8dr+/yeqjeeaeOiKyijwqNPzaM
0FGi9bhoEnRzYFK+ZehSBCvi1Z/Csco8OXOQCFQ7JiRxJQ3yzxlxiO3IP7zSOYdFbt5YTB4KM8Sv
1o3fK9OJFzzU+8LjCJ3vUBNeR8bytYH38W2jY289EVmCSqDTrTEcWYpO6aUNlnRIo80gpyhD+Os3
SXL1JpNcscghWAJYs/ra1HAahTpG/73XgZ+xpN90Xk5WFXOAjORQ38zqKulhxuVF1zhn6pR2uBEs
eFZIMaxqvBUfR4NHD4KsoibHnPvTMSG7UDvejdBts0l00y5UKPMrLEfhtRKXGPH2WxgotpiqCLCr
RIYaspPpoGbUs+8OycurIkOyq2J4ziop6bUc08U0TvEmqEyP0CqQK+hr8pWnC31h+Qey0UVrHXmG
AEx4LSMXzTwBqJIamRYmSXWE5++hEK3amDL/yEOyYzBgvdJJLyjn9Ia0RXsdywClI0An6x7BV+Ss
A4pTT1IsyMR2iAMbXi67gH2Eqdxa2uXHwXbnPKqbY68YuXy9xB2KEtR4ZquSAVrNZfUo3TFfOQ3E
9Gvkp4gYgiVxGd0CA0MM5rri1gWjxg3kK42mfheTYSKZ7uzRQnAavx4coHfoXov5JenMisMy6IwS
bLQDxvpGeLtlgqenajKYfCJ7sjq6iYH4HqFdUl/DcVq0IsnPpfGcswNz2UJ30N5VrF+Ai1xl8HhE
SzyQjyXAg0UB0uBZciOvaJlCn9pO4y6sKEbd1Q0YZHtzg77aEDfga7O1qL3NQsgoOtYrU01k+bVv
2UKsH6bCZos4axukXQ8BbYNpPnb6q0x0ubTeCHloDWm3sQU1Lu5FfyUoIiw8qcCMBt94gVj5OiQQ
Tki/LkmHWHTvBPZ99Ih3DiC12EFRa0n6eRAox2ykiKBA4Qu2MJW0mxrslavj025XCr+FlUBdXwkS
bWCMycn1CrZlI7JfvbU16qsNI+Ba5QJovcSt9+7gn5KulZqChWOT4Pr1EvW4i5WyUN0XK1eX/kVp
0VxhmAVZfgIE42uz9v3+EFv/IU4rsZrmKxYO0Y0tSueYINpAEYghaDD1sTFogotMJFCebMoF9qiu
pe9XYCJadJ0J+yIRu67Cfw5fEJjQcBvBdt1j8aYIPH0BqzeHJwFYlQUQqmaeDVzCkusYu/c5SZp9
t8UQzjetb5+Gtjv1bQS5GCxLfpY0rdjwAmgWzKauSAL01S10svNic9vWDlTFkaIuOsyRe5sjqA5O
nYvBTIf2Ukl0N0tQp87Qkd7WOnoNadt9KymydwsdQUjyn9syKlhWXNtaormvgHkCp1VW+Co61piZ
sjgypzCsm3WEFWvXW2BZGmHNtx4IGuTt8+mxFHED3WeUzmN/Ko+odriL2sTl/cCGGG2XS1Xab4Sj
3KQGBo3ihraPvenlwmVp+eDzdG8C6EJTGSd3uDBo0w+b6TL3SWhdHMKqXyNeAVzCulfjUb1RHPdj
Rmf3UGLJl1LD4nAAwBRdknbw73LW6qyMhbctNSaj0dPHPCF3WFLRcD9qs7OhV+zLIXiOE/EO7uN0
EwcEwkjpmnoBeXK5dwEBVy+sypEj6YscLLvjneeuOujvLJEhIJb0qv3EJBYDNS5lDZvmcsh3fQpx
RKSQ/bnMzcbiGs+PB5IZFyS8yjbx0mOuB93IehXR6rUxpEY5lHxCxNPZzEQvUbvAutkIrfXJUWeY
fHlLlfJkMdaIj8UU9yvMd8Epml++/tc4FNkcQ4YNP780G5O0W7XgDC7wqL4KHoAgifnqVLowivHC
assH5j6qOAYjv+boCrFtdaJUwioj1F42moAumECjeikBi6Zuf2158t5LcOgNVNkZvFU477eBssDK
TPPBLALEyFdIx0urN54xcM9id77zBtvj8JblIrylYO/a2j1Kd5CZY3FuX2/Dy6uCPD7pYbSeB7dk
3l/45VMwn2vKce1SA2sDUsYNpulrUfXwWUk8gHgT31sEnElw5NVgNlGjinOxH2KLorLs6W1BFczB
Ieb9RK2PZIPWG20bue1s88Im/525cbf25CBgr9TIw6AYlGm0L86YpECRpGm+Y8YH1aiI1O3Xi4rG
HSrL1YJQmPs5/tTdEICbUD6HDCjPW7LUg4DYPyR0boHIgbKLht0uoC+lGp0F6SBiHtUCkNEw5atx
8o6lzm8K2e3GvvE3ui+2aKWoN22HwuEYnb0crdxynBtCSv/s40G8Dg3Eh2ABDuhEwggKBhtFhGpk
Dd/52tl0YAsmeAx3Ha3d5ZhDTnpicXWpgOBlbsj5M3FouixymB7V8RvvWHFvHESqppu9EwYJXAZJ
ix9HNBsrKCt2ZgoBjulqi2dQburcolDTAUdq0VWeJajbgxPtj0f43dYqstmAbEeDZLACOmagmRNC
uEaj7OmqYLjRdfl9qL0DntXmmVUw7hN5A+HunOzzvlQnpJ5wTqYhihIAC5Fb4PLnKN/mE3RXCGgt
RDb7tkQ9NqcLS+h7mYevavQfqzkMQj/RRQ+hfxISwylEnooa8dly6DRGEPoBxqLgOolbuyq4QJ4H
3aPU4TnI5szbCN6j8k+Ar1GsrbmI6TqJvyO+nBbeGBbLygu2YRIeqr4qdnlVXCj/Tquo3LhJb+BC
hJLTMM5sFdW8+Lp+VNMcQkFnuIXo8pIF1IHHJoyIeJKsTNsBkPMQ6xcj15nP0MGpNTBTHrYEj/Zo
Lhbgq98f08mtbyR4UTcl0S+8QTmM5vSKewUZIJ6/+QLID1F+gpShtOAXhzvtiQQx4s7FA55JgWDY
1hPdyqldV52P7Lxrn1juEKDSZb9GMkmAD8MyCH05L3EJ4kbSOrhlqBhh1ntrSgQedEbZ3KLcBC1U
8I1EZwvxYI7cKpTuylGpvZzrCwFsP3g1qU1nx7UPHj0ixmdNIGmUkBZ6+eAyNpVIoXIXJQDE1GbS
PM4iwOmLdrj6NZc7LEWQIenWg+KocETi2KKfdZWTtRkKDlceVPhswGHKE7KFjkm/IXNPf55CInEK
y3xfxOGyLKv3fISKG/fFRmCKMK10Fk0fi9XQHg3I/U1hZo8WBzpLgIAX3AUbEw3HEMBxuIInXNo8
DJovpib1Mz1ZvkDmGWFKtiePyXxdCPCc+k+kF8m+6z+5TSlIn5N7I9N23LGiuE0NT7a0zNdtoI/C
RebO5BYleDgYFvB07cyjNfCq6obyxhDoIwQBso0SRIo6+ZaG1EM6jDoKRxEkjkf3YFOrF8amgFnN
2B5ai3KS9uFVYTFrwaovtgda8RKrPgRq9TDuUzdnOwE28EhixGPGQb7kBcO+QKayDzGpT47Q4FL2
8RGmMUtW5tEhkb23Aa4FzRVrz7jTWI0rMtyM8wtXdhcK0689NcJBg4oVot3ZZVM0h4rx5xgIKB4c
iuJSnhwDIhYJUswLvKJAwPCLJxY3dN9RtYsGcBjAYit2wzBAfKbN+xUobN01ohxWKAHZaMIfvZ6g
aogVnjUiX44hrC+6tliH8HW9MLA4arAzAQTVQBB2sQrSk4jIlfhw6W7CN9+ppvs456dIQzZpjMZo
3UbaHrvS2eJhDTIJofKNGNFhN7iOBX2tzQ8cZMax9tbNKKJlpMzZTQXcaRMPC3sNuDbx9wxuq4uq
y4Ht0fTOm2b531qidieeTRzI/eQCgeB+XK+jKoYjpiUFVPHocEgLjwBJTLaWj3cthNgvrI4+ogno
TVXz7cRAJm/MZ+hx7FZ6YM8By1gFiAAzD9W7DLr5IPvlZ+VM8Q0UWT+Fjp4Qj1bPQI+f4fZDUQUi
IYZ3MO1Ur8HOHTiSVkjP7tGaBLfZWDU7pDpu5negfpqiTzcV+kxuifRh9djICGE8gg7HbZCUY7LC
whLmoD6hacfsZFW8otVmnSCnBdbjZI1GEIBHKT7puKbn2uHuYkStb4nCS7uPoHQZwzvF6c0GyifT
ZlJuuZYaehsY7ujoaKNk6Y1Td0HFu8gKnornQXbh0lVluoPOYPnsPyHDl8/pUE07HULEups3y1G/
g/MWgIDc/vblr/ebqA6XUSzSXVI25TN78dohfWz48CxFeixjhR6I+YW3gT3nqrKw4y6iZR1r4Gj/
/MBBAWEnuELkROnBjSv/AixfP0Sdc+3zSaMkjS3Efc+sV+IMg239UKHimuVdzE5fm21E0KqcpuWR
k1iD9wku41C6xeHrU8gQiUWslb8aAVNnxdSqcxfk1boJiHORboWWriop7/AHw8UDsc9D3KQJ6kKR
+lb7Iazrqki+gjkE71PUPDs7W4cxCPq6UG6KuwirSdXuBPQTgJyWwapIlPfhY3ZHuXdNorH/jBNo
hWPYAsgbzjTo4BGXTDVya9SeWxMmKEvqcpem0F4WNpGPoE/kayO6ABJFonusooCt/MlxwcjApw6I
KYu0R/4Rul73yH0UTSvAYsevT2lkn2CNJW4GW0mYwoxmBU5dsvF6l6PsV8j70olehynib0Upv5Fu
iu9Rpks2Pkn+BzuEyFPv0a376o/d//cIZv6JnKe/7+AFPL7//Rwwmf04hz8e4S93+DrJfGTN73+F
Cpr20M/UXjokau3YLlp6ftHflY5T3/ruw9fG10sc6hAJKrCer83Q0dC5Dc2PPfy47+8MTNUzTnv/
8LUHmW194xzoizMf8ce3knxZkk4jOcFbrgasQ3ui53vTgX6RRpe+LpZfR/vag1LTLlBy9rdfe3Q5
KY7o33r/+vDrZXLTp0Z4qMoMeDThkTocVJR2wGyBk7kDaMbMwb2jCLAST+V3yQRd6HKECWU0b/qT
HfeDb4HHFFF+l/Zlfoem8jCeUD4vEnMoCnge+DxAel23FhjG4G5BZuuXQz10qzQeUCkz9zHxydqt
gDsSJu9lqu7cAstmSb47On80HF4CGujqEHwwHo7rdlTtLr4qnTy71kBdteYqKyoU/wL+SpL+1JTT
sypidJX38LmQGInoJhTDQoeI+dNxhar4ZYxhuyRT+aBzmbU1GBtQ9LntWxVmvIix6MP89NBQdE5J
I1aMALKb3LzeJi6uqWJhNuZA4gbiwp11gMlYzx79mQ+dFCBaqJ6i3QselWjZpBx9H2j5eJU6vEWh
xj+gXOxmQ+3sKFYZRlGwxJu6rFMUX2yxTbok3iR1u+oHByB0jeYSHxyC3RTynVVYexzAddCLxJoX
8HsyofnKDk6J/FupHUbyuSLswwkGu9Iu65Dmb/SEIBWZSb9wMEckykDavpv8XSuMe1YAvOGQGZ+/
tmKeyEMyIjaJUTDxlfgoCKtetE9Xde4RUGbBHDVLiLMFXJlnG8L50fS4z+R7OUeGHdgNqNbgEYKY
A3Btxo99V3qoB0fwOPNAielwZx0QvkkMV5ky7gzsh8EJt4l+LVvuwEsR1sdFld9O7Dq068aRHwik
wWSp16Ghn87EHvOwfYabEo+kXvRmZ3hRLoBJ54jq7CeCwy23+gG9hXpZBSg7AEHsmNCZkMArGoDi
HogLWWDHbtmMnr9FTgNOPxZL6C6CNqKSwsvSFE1F1Vi/sopdFDOwCgMxIxv8DMp1Kus7D0UuOBhn
CQzUbD71UPLr6iw3w1lELuKsKN0BzEyhZRc/OgzVWYvna0kLD395iEvvobUifcOwGeGUB6F5MsTI
GMZgpyTam3OsX0P6iQAlX3XPNUsylE2G79Ncm67/H1Hnsd02koXhJ6pzkMOWADMpilTWBseSLORU
AArh6eejezEbn5lutW2JQNW9f3Szim+7PqYmX+4lrDX9kqKDa5uwSnvvaPvLusKhFvROX68nv9Q3
qOzOAn5sNSbThzZOd5lpTDFJAk+Lm4AwbLiWEttSYmq8R3TfoNqhYwDIflXcfQttBiYuymRHGsuH
i4x8FVUzLgOxHekMXcfxOlV3IqMlEL9nYVxDnkSruK4w7Dq000qdVK142DDKEKvQrJvEDKcsJx3Y
c2BbiJtBnAXJhL1Nq7Qay7EA9rBIoWnbC5TxtqNjb73o2XcjgwXLJnkk8gVZi4t2ItFW9qH0puzU
z+V7n+X2lfJiDfVWyi44tpRQOkoj8Lnmox6K6bnWwNudQdsWRbI1vLkB9QLFaDPt5pqZWml1FJCS
BN4yaiwewPJPjf8wLnm+rquYF6v0DlGllytd8sB0iXu1mB9MpDQHU2COXTLprXylrz0srAhbOR8j
rCSeKLmw+abSPjOCXNBvgGD/z6C8zwpldsCJRhxnqott69YU27rZ2sStGSJH+5onyB23Evm2okpt
ymAvusxtdq1iRZv68tTjmltNRveo6W0RtB3wjLAHNDFgZkN7xFAnMMRl+6yb56uas0NvdHaorEaw
SGTRuuJdXWc8Cwu54LBmh65sZzAG5mZyDh5bZzin3d3xabYfuTHXqH+qraXYzibLf5RC39lmenbJ
x4V6Z+d1ax7+iiZOmRfJqhvKpy4aqkAvxxSew/hrlVwbyWSU3B10q9pVvLITr9z2ntpLKodXQjO3
Q0JZUZKTCdncz8eh+CrT3g0HbTlFNWqWNLkrevoW5fdKZHJCMhEThqP9ArAhFktwHKSY6del4W5q
rVktquPbZQ0Ni855ZIAzttmi3lRzkB7RSD7iBj19SElACSdJbQ9hivPKBcO0Zj7t7Ek18z2qafok
eNpWtRZwxIqVZ1YTTIB1F8Px6Y8KoBxpP70PjjmesvlEhv5R9GmzGc3olWiViVKc3A8ANChU+XHs
6Fc7qYGbrqTgBA1mucws2cnNXuokxHtyln3E6YD3zZvs6YHKskfwifTBB+b1H8Bs8qM3+oSqzKiz
NFTnMYg0yU48D6a344jg/C3IT8tLWmsZqwvRvnWF/DXjiS5BrtQ0jdelbnQrafrDSvbi1InsTUS9
wPWcGZhuuSRHfwm1NL6W0/iROvQcLsWyxRX5xZD5vth7u6r2uu4fW5i2nRGrz2ih8MLL/0aV9IIE
GKb5qSK5jcrmKyq+57IFYFO2R/nVtJMmjpZ56n7MQq7V8Fjq+F04jXCLzFO+UrpFXJcR0k8ogMzL
8Qbsr3ZycNOgijok+pj3xpUxe8bej111Eyi2HjnbqPWij5kab8Pa6CWy1v/+v5Yvn40A1vn3xcai
g6h63um/32oyjHotDQpX/v3bf3/c3KLjiPMc2pLffTKJroZ0+B7vf5V//8gfLYHuso+3//0Juob8
bSr1x39f4jbonFGJkj7772/buWW0smewpX+/u5niHTLuEce+dyY4vwNDLpNNjKBk9mJE05nzU7nq
p4n8p7TIHzPUNP4cDs3803njAnHnJjhJeT2JUzv4sNRk4RFdWNMLtnVTn9ai0oC+i4nX7t3qFlf5
W1SlH7Ejq2DCkgzTGeQj9byOe9J1PvGmFF9Ix3GvlXWIIjoPUVNnxyxpVhFw6qV3ckzlxQcc/nsa
Tzd2DIypexgQOhy0qoeroNVLTQYXZti76DdI8KlfG4yb1uKLF0sg7cPVfvXMjdbXPzg2/laN3Yc1
HZ1NjfIk629Nmj77ufcyzKUWmnH8MXXNTsnikFhOEC8kxDWZvDX+fOsTWu1sOf7pu7d60sHSmL5M
tVcLzWZkK6CXEkhRtdzZx2a690dse0kVMTCP9O6lFrkKVBbOVV8SsoANhDzsja/BERKD2KzaTu1c
yINEzz9i5LQgevzczK7gXO/7wCNTPcSDCceVIvNaNnVKFZfXeDfA+E+jM948JAKBAvntJkMD8G+/
rUGevFj+iJhtn96fzyUq2sCq8ArOY/Q88MVbH/DZwb01G86rU2x6Et8COiweu8W1nrB10JI3GOz3
abHGLdtuh0q9NLb3JWzGRP4rd605zZo+H3khP+NLCOzGnS//pNUYbdEdRkB3+ik3zWEXaWwVdvwU
VZCustI/s8LmrVPMi1i8MY51ybyxnBnArp8D10zxLgJvinb5aCbxE40TQy6tdxyuXhnYdyFXLTyY
eUK1AjuBrHUT6wMNoeLpmGGdDHSMYGtET7hbgdfEvZNRha1fZFll6zs6msQoIV2KLgeuZYAcojBo
0dRKO13PhR8HyIeKEKOUWE1LPh4J0mNMgWEIOkt/WJxGhfGskyetNXSDRxNSWs0I1JxeeJjdFb+D
FqqjCSy4TjmD0vKO9Y6fns/mnCf586DT6uoZ1bNlJgFKeO7lgvapDHhcyoqsqOgtk11O3qr95hjV
FUSIDB6uqXWf2Ef7bPfNze6avVEOKIqy9ApYeVzM/KUytl2DZrIpsdzqxXaZirPW+cVpMLo/2BPa
RzGOm8G0q3NEpn/p5t1jpObmxgST2U6Kxxzo18nko6LV88TcewLa3ShTuBeXQvgnRB4FD3+/LWZ/
CgbL+s3Yp64ugJCWFxecd7yL/CmJO+zEWP/1nHvd6YiJkVs6f6YuSOvIRJSSibp9MqpsOcYLlgYW
Dd9JBR4p1IVmxuNHOuZKxU2+qTy8Cf7sPakkSDSkz3HewMuX3bpgNdlb8pr3k9hMc2UDfPqvY+N+
Z032ndVGfbQ9rB/dSI4B3pV8H+MbIXRQ+YHv1GqDHwrvFbQuESRee+ZG3ddd/l4vFYaAWGxKGygy
ndVVTBN6Zbt4hvbIH2xPtM8Q0lwiRBVvp3S2AtW21jbvznpevGRylrt0acOyO0ep5197s4qumTdV
R2lGfwQr3DZuaBkWBiQGJyF3FSpHCgGQNBWObu7qaHoaKo9kXdpXOYPMO2Y9h4Q4EBSkNK73okWV
G7cQMbF3qTEEEOLSkjNnRvVDmf+RA7nX7Whmu8aOjEd9tv/YfZFCfVQDdXblZw4mTVYlb35BK27a
ZenGldSmRGMpH3IOiFpxzkhLE7uxKrrntMA1mHLvOHNVBBGDZ4DobOGDaJxdk8/HtCPhXYjUCkf7
Ff4UYCDLP5qBmOj/fsFrtNGH7uoCGwXyXu9hS6qqy0mWAX9WmCEe248+G23f6vGunFUaOIQ2VpkJ
3+bMbKF2NQc5yDR65BnHeGytbFkbwTSJPKjTnDXMbrnY6pufQmgh0J4ALR+0tDgaFep6NsdUQRp4
E1eH6dQvSwFAqbgzVoY7sM46Ho9TpgVTReGtMef7vtfzdesPiK4SvhSt0y9jMBuIjY5uVGC/iX9d
iCMOqgz6BCUwc2mWH512OpeGLPeOJFu2aapbqyNxNmKWm9HwD4Ns6/O4eCxbqso2s6MIVB7xOA4t
OXSatCTKWf+8pPfyJpMWY1MtRyp/nMCKCMvI7Xw7GIQ3gDwm3A7Jg4ahpXTG0yDlG8Et9hrPx1uf
muclHg+Fr0MhFlQclB08iB1NF79zX1pOoLAqhf8+YVda4TJHBNJR21QqpEFt4r9pk3YcW00LhijC
5WyjD5tKxjkWNp7bFLN+7jgLdiiQ7Fh7i4GXyRSyklPt15934uI6MbRcih7blZ43D16E+sqxJ2+t
KhP1UzFfOmLDn1vHPEbNh0K78lYXcADwyBJic3TDPM5GpJvkdtpS0Le5WAjlI1qOM58u696tf0iI
Jp3Usi/54ntr69kUskYgQw6CkHTMVg6hkrOa3qORKJpULq8ss85pWbPVm/xATPely6tiSwG72KRj
+pialQhSc+Dsr1nH2QW7o454pJ6eZgyuzL25WHv4aqOCY2WxcZtJSReaQzBdgNqRTbxwxhA66TVP
iC+rMlq1GfFf9bFHU+Q6XzF0Zz/e2z8aEAeV3j0eS/2e6j6Q39Sep4SXd/IoAFeTi6RWIfxBW2gJ
aD4/jze6r8p13Loa+6VLqj6One3Yjd9AFI9Rrk83JmUd1XmU7UgH+VtmaP/tto22iQ3NZdjO/dSI
DmP8kqmCxmMz4ruK7w9xpc8sa26yJZPoogiq7ca8Cx1z6baOl/+QGDwFSTO/dTFv0IFCw5wts60D
3R3e3Hw2N13pOgdjIlKFi34K80qIQ71kz3o1pcxl+kkrM0AgK9p66SAOJnV47JpWt+31AoZ75OCP
0D4F2py0J6tarpS7aK9VbsMqdna96ko2mL7/HYmMMm1bX1cT3pwB+PxMw/GLRclIY7wtDJb7bnDx
rZTZxWibnRQkmzKRBpMJJk5ZTPKKDBEIMrK/+ELmfuRa5UQMchJZ1lr09iZ3YZ47dHcEDJ4B18Bj
TNFuxTDDA7NsXTjHiC9i/ju4pUPsfnnRwEICfeLSwjeGMSAiAt4YtfJGwNw2mRbtMBbFninjJVFS
A8ZK1IrEzCDy5ZczLVfyVjjkHuaqvS6Jt+y9nOq46G7e9e7uRiGOxKU1596GpHLT+cUelA3HV0fM
qryWCWGESOXFIx/o397gI64rtF4J4E07ZIiY0F9SOzhSfId53/U6j0GyPi2t64aueEuEHV+jOt3W
bCE5I5lt8qCXvYIxGlRoCtXQHoS4bNHNwHaleNQHXmdScwncvH8jqsWnxYIf+/Upi66U4JU7vcSd
X3X3hojptyyr70G68kVapC2MhnOmTDkK0/xoRpn17t8zpERBY4xU1mOWtC/zXN+WyXMDeY90mBpr
l1uJsfaWjIqFtn9u6SReub3tPKtKf/JKwnru20pp0w0W53O3cYo4e0tk8eA5XYKc9VHwKay6aU7O
+YSHGiy04KFND2ZbfyA+tx8LPXmQRs4Paln6D4bYIC/VtRvs5bEwgZsgmJx1rIs66IbEOEUM8ats
HB+8Jn210EFfzM5aXo3SW3VaUqIr8o0nrUl/i8GzP2uv+kW9kR7KCv4KsOAoY+0hJsHuPXDm+ZQ6
/d6T9HaYRGoe2etCDEPlVaOZUg6gGInuwYLf59LB7B+pgfi1nOYsy5nxtPHaPWH8R99CCNNYFQNp
Mr53enumkIyjMoJuvafUBdzdzTqrIXCarEFkhe/Ba6ugsOGSbHe2t5VTxbdiAfnES5duMAtdJmQJ
CAanm2YVEEhEMdKT2WtgQL2sd1pNcPnkeAmTIh0k9aj7K7uJD2YqKI+VYmfKVgCW+9kWeSxropH9
kH7crzPhPfr35URRmr3O88kMx6xUx1RTQ6g0HJjxpB18I7rpSs7HXuu5CvWzGoCrDds9FF6RPaBL
GzZaiyKjlHj1u3aGtujEQCgt6DF5nrv6Y+DHt+WjZW/uVHroxurNckd016ZHDtvQhqY/b1CfqYe0
HMVWb/WG8H4G48Ur421JehHVekhqyf5O1xwfHtGc/Kkkzj5Ysd6f4oibPe8TscW9+7TYpjrZPOC3
skFDazuBWdTlGYSoW6fJuIQWrpdVIZx02986syxOVh81J0wNzcn1lxgPHzMSCWHl8b9f4oktQTid
W99xtnbdtgW2jrqo/vv3SDC7zTIXb1GDVJLgliwwPDJlXL1fjmaGBWlKFcEeDAPo61zryL7rbh3E
DgfVggtaSM1DzfPiwKgsj2oHbGOj5dDpQdzFSXVU25WxyVEyKakHDZvWYQQuKFZeywIDBsoUjbD6
aImiWbszT9Wk6mEtJTAaL4F9mDPHCBcf0d04DOqAwlYd/v02Zk7/8Swnd1UuUwu3626XGftgzDsy
SUXb2J1rLsmM4c3OuhsZZTv0+R89DTPrapnR+HaremjP9qSqj3nB0daeGajLY5uQcVOZz1y0PhOK
jtgBrWLQcaMFTV7uO+vbSw26LJrqOSv1TzyX2y71ZzJvtG8zaq2gzvgg5NFIuJb1Ov2cIvFQzfm1
VHZByWFbAinzCWuTs54k8orBWg/m/MvT2jN121UQE2NXvrK+7IaWv6Fbf8cO34je+3/mdrjmfP44
NkfqmER1iGp6Q2rsLlYaIfuJ8tNoWr9zTYRXmhgPmW9WuxpjRJ7Ka2UPe6FjRGQiD4ay+M7cER4+
idbokjpAuQSzDR6Xvl7WiE8IGlLJDZzA2Yx+DXxVXg3+0ra8IQx4bsznJvVw1yY9nmyC/sbM+8JQ
fK1qA/yiBH/0qx53H3WmLpFomCy3TD3fvuUj//OhYhankGF5d4m6CwB1qz9Fw7h29IjgDKFdrLn6
auwUr3QJbGSM8GkemfC4AGopHyYz7beZrNO1q/Ux4utLV6PcVcjtchsdtcSM6GhIhFRm6TvT6K6F
ig9YZl32H+8hc65DQQJw3oFZ0deC1D3jJfd0XDD9J14LTiKj/itTVEqrGDc+n++dPTLu+o8h24zx
tKPTJlkLhEsWGq4V6EkdmvLVGIKa/tjNiG57lXXO7a4sois2y7dIbY+Ea4Eg0JrXa8oLWmt8RXC6
1X3jdWbYW1v+ReVLS7p8+lLBK6BOuyR5+ty1A8FTNJHKublqA4RebSJiNPmLVW7Bo24MT7Glsx1b
xE+q0jppBT+KqkjMNYLod8Fs7CGoyCxkKJb+7S0GdRHiim9647rdvrWiF4/owXXnqQ5DsfOIbCk9
JK3oA0EASVkBzDf1S05If5eJ/gwurm8n/U+2LM9CUzuauL9ji1ErH/KtbbdW6JTud61RlOxYyd6M
jDbUSuYcxsNdXox/ioxBj3OYAYxWwJzaq3JYMTugZ+cZXWUWImHL4nAW6VNhM26oYd0a1t6Kib1h
USPMmZt25cBW1dW4Tzs+Ck6j2i/hMqZjDjKNoUQ9zYxATBgchFFl1sE0u68RbrlcmFYwo4STtFkz
jk+31O2fHIzQnlG8kBF9Lkb75tmLc7/lMh6UjNM4YQW1mb4maV2KhheDCJNyNai7ItR4FYW/Tynk
6Dk2NnXnvY92roVWSR6DaWhDiNjnCYn2wdOdt3a0UNkn+A+G46BxD/pdtEl68SpmgBqnwEjdantn
BkGW5WPmpB/0rXubzO1eIC0DdPavRZVUQdbngNR+rsMO2DMeGvlFcO1KTAjYfZZT2BT0kea3yIaW
aV41oIrjK1EROezsREpXIvOjipyHpug2EYZhMTwMeTyt2LvvWdluCWW8PGWq0fFyNet0hA8ixi0Q
OnpOoowQ7fTYUmRXhYVOlTQmeMapRsPY1MH5ib8GMv5uig73nzEj1wj5iaBuFNEaFzULuJs9KC1d
Rz4WvmgiyKLLNskUvyzLkB6RbAe5w+7qTizKgOV10OgfZYYTyUbhjbu4f7a902COR6k52DbEg1JM
1ymdjTkZlaZwHmSbPXUz/LbncqTF+qPjIT/SdCb7Wl8ld8o2aecvMJDxkpetuYEVIBeH1rl0FlRh
dObWN9w37vs9DRFEhPV8Dy2fsP6CqZUqwnxvVnUeRE29ywoatb2o29ULyzc6V8tCRSiE+9175PzY
07VO4Z6auNp5WfvrR8mPoVVbOxJl4MdwQDGhrov/3Gr6xZc2OSDdM62Yj6MQr4NEsY5CIwwnZ3mf
pQakxlzPq1L8cMOjkAfIIhsKabJZ0VXujfSkS4HfDt2l651jhGE8omdcz9AwMw4d8rfOkd/sh1Sc
izp7iZPiK7K6Iwri18H3DoQN88g4Qb9g2vdhAgIY502fpC3UbIZdrBgOejrth95YkcqWrRwdH3+M
ay+tsUt4EyZ9kuOh848FyhDd4FlPKz41J7+Z+XpY+CkjKksFc5nscBgp5r77CtACaaTRmVXp029Y
x9XSX7Q5vaUzkg3leefFmIPEyD8Jy/gqhXzvSWxoHPOdOAqcVeZJKnnGvwhGOhQXTSB/sxvDWknC
KldIhFYTLiq/114UGqaq8c9Y1x7u2Vx6XARxlu0iqU5yqvfWnVRJ1K4yxc7J9Uff6D7L/hOX265P
5IvdxrfUcP6q1n6d/cQK85qjmcP+5roIcEdCMoPIm99smC4kahPZeIXF32PS4x8xV79EmL7arYuA
wXjRZ5FtVdSYQbQeK4zf9VNrs2vTi4b2/dMr+mNewKbYw6EnUQDE/qIPHxECnCXhA40TAfBTHQyC
oEJYHNYL8m/NudijVQc7pV4RX3Z7aZ3psVy+6zgj9qPVX1tjrgKyZSD1tFNf8aV3BE3J9Hns88ec
jJjQtPhLzblRbkwm8YwgXWWVLzEAfDDLyA8F+tFpvMsgeULnMYGQisKi98/31zjO9JMbjcesmDcx
wYw8OD9mXe/n4a7abXkZ4swOgbhDmyldS6y3GJX9vQmu7wCJuFfOZqIDehh4ObRoeeuJBMGvRuAo
G9aq0Whk6Y6Zjnyd9BSyw6jOIoGO2kFSs7ojYbE6ReLxzY3DBhBFOMkXuHi2xuL0q9JzKaCHZW7c
ByLxoUnDXUlsTtR8qD2xuruBG5jkFLwIjd/V4Vg/JrMJRdff5sV+RQT8o5LhkDoWP0QxXSceualr
971BkFBc3TjPxtC1EwRxsfsRu+MWR44ZAFpW4ayLq5NMT0Vv/dX94bMaKzQkCfB1Btk25sO5lWZo
acsNslnreK2TBBeM0ScPw1D++gonvpSrkZEtQJZ5Ihw4SKfUQsltfBau+afjWwOwbbYIJFfdbEeP
XCeBaNTOi4btglgcWkGt8DLBhitHYahn9sqJUOCSw5CwBJ7bUvpa4/Gfo6uv6j1SGLqfBDqZhSyb
bcnAynhkBQhtwHvwsRQDj3dxd/74O3fs0VDNKBhjfXtP2FOqKzb+UqH1R/Dq/vW4hXQjdw5NzWHN
9mxtXnBUV2dxH0f9/KfOG0jAwibP43EGgs1seNPUf6hL4j2QHKYbIMNQxEgFOS4MZFqSK3fjpDDz
HjqbbkQTCOB2Wnr1aRJkcJ+V9G6CdNFRBsmB1HDeh8H2fimaTO/6RXflt9DyWY1QBH3R2jaj6USn
nBY0Trx1lixHIuC/5xfPpToOe+pPL5rPGjExD+2uSAoCHCzxPi8IXZyJ99/W36Y0f0C78RP7erY2
DFykFS/KjNFT+BzgDKwgluafMnJHfPvabpGEDVhGi1IMfiooG23tTZ4Zxj9jbwFQ2vXenAqugUcv
734XQTSMy0lkd3444v0Yex2I28Q0TyRPm9G9nZbY3TTMX+VMWEuP8zmcaAKcCOVm5WOCGLOZiY/n
zBuyozK8z75oCMPwwyhx/0aJ/mT48S9oIkxpdaG98LeWyYuM4gdMdlgLAdJbRGnbmeKaIG4WntRs
NZaafdBwfmtdvBxqjpNg6DDA2XM1XsmvXELXqvU11EkeilnM6yYqoMJQmFhUjTRpE3rKd/Z1OxZr
S5Us7G16tIsa13YrL0rxAxh4+sBF6MzDjdapiyCza6X85b1HOso2VAAeenBCM6l64wb7ziXT/PdB
zw9Lpy0I8TN7aza/1LxcgPXkPmIJARjbjIn2UgyQ2PmrZ7i3BBSUm2x5HKb5OKbWuq/8PxZJJkM8
HeOUiXuw3IvdYgYyUrRPdfwyS+NOkZ3K5DQLwFCwo9PMwVB002OyNJemH0OMcm9DrMKmRls8GrDi
v1LPXgdib9dFDnZq3S0z/i/X9MZMORkIcl1WWaYL0sOyP3DqX4SO8GAKajcg2hs1u7CpzR7W+kwO
KPQFMsO8j3YRRL606KjrpX4sGk6RqAG9RVkH5C8cuakj7PuVN6+iiVgD1xLh5OKGrI3SX0u8WqG9
GIGRRwDb6eTt4yrCqQ26ZKbZaXCcv4kFaujpa1XfQO7a39rG87zMZzXqAvOKxvdu82yX7plRFQWW
6696i0yLsvrRNYPsDPwjwF6UhnBLJeAtsfEssrQ7RHNcrBujIm/Hg/eIk6ELVUKgTtk9jWqE9bMJ
arAG/Un3qWrW94ujFkR8w3uVMQRmI+ESS5rgWW4PKClfi/ak9HKT9zlZUhqMJNrOPFSEJzakhqxq
6742OtE68bG4y0w92YP2aUIABmAgfnOsiDkPc7TWdj8fvP6PU7Dd1f70iHqx2RYAgACIxWbkj2Mt
7NmjyTHyEJ6xQhurskpeNXzPwVJMaLaMc9vaL6bkVPbYkILMKIMyr99jB25iBEmDHbVPve7s2WQa
VmnrNo7dwp/NlFkU0TfNkNvez91rE/CD8fb1HZJO5Wlclq1ugdZiwPljDsazk987E8z87ia6uhPI
rkP0TVzWoJrRsDGadlOrcqeQnezjruq3tlV9mSnu9cb71tHzmT7Gr0EbBK8qmsUOY/+uqlIS14T5
FM++FtwzTbR49ANCmiinSJ1xO7omKUxwu5JTLlkytY3R1+mZReKB9M9MqRtwiU8TS4nTLse+cE50
cd+PeYanSev/TkiUF7f6kTS3Ojp1D2WdPKjGfmS7OgtfbZqh92lmb0P6hE+x1EN95AyDeN8bo9iJ
yHNJ7HCRhr5Hdn5JLMZH87VKnXeqNpetiuNu23qscNYXla9cDUmGgrZh0+6f/Nh8qcB3g6hcPl2j
2Bua7jGBpN1HbjPmmn7RI5Fy0rXXVfmWHygyLE1+xHQFb0snjzDr8rVuHO/nKTOevS53TsiK7+Sd
6by3zUqvBPe3BucdLcIOy7j9KNJDOrrxmm/jvVCt9dAk9UM3D8OnMVmQ9uNgHhyT/5agw+Rox9pn
hjSeyCtDHsaplYFWW/7JQxmy5yG9JXQpJZJvrB+M9OrVzo/vkbVUWZu2fKkqcUtiio0HkkbTInLv
dPmKCJLDZPZvi9cQddJqOyu2SNMjDl4XfrIlM4BzczLgfRtpH1s3JRPLugslVPnUGyndl11jhrbM
dzJ7rDzDCROBZDTynFBDjjob9YOTyvEeMMSBhVTWnsatmCN9XZRxIBZ0abEd4RSlcjTCp9/JeRvR
FWw3tfm0aA5a3sqlXq733M2gOTfHL24yS45j0e/QVVQbK7O+kD91YZKRgMoRgTV9yMFBhXs1O8By
6/4I1ReviTqs//iDxJQRiaVXa5xDN+UYcMSoCEiC6mDtUprn/fwTI2nJfZhyJ1nPRsfBY8RaHni9
es+XW5VIBGu2Flb2E0EpVy3lC2AtoyAS/ppJ+Zw2mrMbCahyoomRavoCLL93AGsXJz6XHfCEYjQo
GNJdzUk3JnCj3mX12h8UO6qprKCXIuyiGA58eZJOTZhIxmDI4Vfq3OnK3S90jdpL9tLr1bfdOns/
YxcpNerK8iX0782GeXVpy+TmMskdk+gWKbfcGU28M0p5MQvndVIoLdJJd3HgcSR19U70/B4Q1WRn
x0CL2niwFW+xHK1w6gQH+NLNd18arD6pbL0nuxAH5Usa60Zgm0gdiOtGdPtBUH60kVXx6RejQ5RC
HLgNK5imtYdUI9kQNGYIdmXM2lpC6scKyc6EvLbrwWwWo+TGzc19lw/ID2Bp1tIyqcoESy1L85ph
lsUQj/8kacmHnXLzpSeCcZXrdU7uQ/aAqs046KX2jgTdWacwpnMw9DggZVriIXLK99KufBLUe5Dj
qg0Lg/PVNCOiIzgZD0o47aEke4A3JxtDjijzMPeU0UZJA72R+YR9E5aw1obMfKIOAN8O4lZhfGaT
PBOts8RoE16G0Ux+HTf+w1aUv0Ng02w/XfHUH6Ms+Z6b5pM4kwpBCi5CjezynaODQFTI1KYUhYZC
n+2QLoRVVvy1E5zXOFBvSPELjkt7hdSQlwvtynuW1PG9jTN/0eoGlCz5qzEHXIHMSZdISRug+EWW
/vsih18AVwypwu0OCGhY4GCq5rBHxQSP7AdFYvSHf784rHF+cSymd9LG2mPN+WGVqB/v4grIwLxZ
YzVyQQnlFHa8uER+MQPqZneYxcAvbdwf/v3f//9CYOyPxLKx/v8/0u5f9u9rIYF3XWdoOA8qGwHs
aB///a//kXdmy3Er17b9IjiARKJ7rUIVqmGxbyS+IERKQt/3+KP7HffH7khqX1uSbTn8dB5OxDZN
iSJZDZC5cq05x0QRmx1iwaGlKDNwIFMU75gfvtP2XU+F3ncFxbSznKKmX08QlNZTObUvvDfp/uNP
yQrIBmgKpeYMpCAVd96CQ8ZkxrQn6bj1h9QKL8O4HLV0DA+0YumUJPI2CXMGAUnKzDUZv8biPPUz
97rtncwcEIQz3OVWdz/3Y4Qx1OBmzJbDKIdP6HIhwXyjQgwPvQizfUI83QbZBg7OliNOZX/Rqifc
piYHWQpb/HfhC2MYBG8EGwQxvWO/TRHGcSKxHMs7ztRFLCDjSfdizmtJm+4jM2VRiEyJcvWiF6Pz
BOx0l6J9eE00yWc4zI/l4A4vOt4R9hoEB4gG8vZQkkK46wqYou1Y0kRz6mst9bSHjobN1aLUwmGR
xa8pWzJd5mm5dUth75cUn4dmYbHy2iV+Dc0w2zrI8GwbggHW7l3NDztKmrI0TZ2j58wHTUci3ET5
N5h+0B+z5lk4GqClju56IzFwkYxNSo9hfpJNvBxFOX6tLHzAbcQwMW/afDeIeecMxKOXGSDZMNLt
60nSdh2SSbyGOSq8KI2GW4u74DqbOiT7GlgP+BhNMKtDc2a7+R3dyPFSLOySH9+mmfFXpzSRWC21
u7HspdqhPTN+fLG3609jXOGP8WzYXwl8TrsW9XW+DnADvtA/QoiZg04FChU4MV6Hbo2pkNF8jlmu
7+NYDSUgSLA89HsZD81eiO4hr68yj7EBjngJLna8SUG5v9iTpCTNMrkpQxtvYpjiy3bCG6twyXUY
Jj9VeM2khRXXA+fY9HTJRcQWM8/JRBPA+uZ05s3ALYHchN6LczWiNDnbCRwZSYQXdf/wJaZFHndV
DCxR3+VUDUinVBsVc2HI1NNJ6/H88dk/PohqeMLvUe+t2nI2yNKvdMs6xXq7Syfz3Lj0j2te0yuz
1W7aNO99HT0GhkHHZOIZt7tyQXoo3W9FGLUEB9msL4xlVqmGOSJMUE6yShBljacANS/nWAzBU0LZ
beLYwHfR6jtumXn26ZkFcBoJa0irhyUev2aChd4YaAevRE2Zs0QP6fphyEwi4gTD4kxp3aNYmYwr
ey3GE3N84FXliKhcNw4sryxUClXYjMMjGydMVLApSRSFyFmbkyvGhXfV1l8s7RDtmxgZm4uQ80Qp
1vq523kMSurpZHoRvAaYCuW2cMNLVTDIGorknixK8DjEPibVV3YpP0tmAoAaz3iYulmeFsvpN2XU
7nXUb0d9yJtjpL0w2AgsT9zGmd1SugLuiziQI7beYfAcdiQ7vDcFnZ2V0QgXFLhMHdzLqqwceNc2
FSdJK33VTe+rVq/ufihP7hBfXE04J2PB8KQv1rc2bG+6ZAjsCD/cSIXsDgaQda3Yr3NiHTFkog4r
x93kxY9p6cwXe1qXp7Wi25KavrCnhyiZ86AdaAjntNPKfCkPqL/0oEjm1yRcwzPtlubgZUiylsk6
FXE0+L2SeIwLK3nH7FLY9dlIku1kwbguhl3WLLs2dPZJbH2uYv3zlCOcS9H4VeQH70Ht6zhb+ADx
RkLpGNxtZ7DprO12CdMjjUwCzhhznExYBxtdW7P96DS3a8PCrA34uFDdlFtA1uOmXDOGoQW2LTNZ
9rFV8SDW+t2puehozQGP+BFX/Beu/RcO+Xv1b2Dy/5YUr37Kz9/110/9n4TAG/YfKfCXL3n/C/79
49//4L+Dcrcc2yVFGySnMKRLvs8P/jtfMcgb5tJ1mWMapPr9nf9u2n/TXc6DniOEhxZb5Yh06LUV
/936GyMmYXmGZQlHxRX/N/x304Qk/3PUEd1r5ISmDaFJOpZOd/dX/Ls+RQWDTFzRqjxCWbgVWItt
VgF7AlzaXMsOlZf7nuLWqDHQLPFLHr8L887Su41Re2C4Cp8CL6hpr9NB5IRP1gKGrlZ/zqvsvLrx
kbnvVkI+eKqYW1Yb17hbYci6w5d6OtNMKYcvTvFd70/hbandMqzzqlP+GCn1LEZcHpkHmgQci3Pl
6fdpcbOGN0v1da0p7st9ypJPU1MvEGwjpm14TJsUDUZoPM3dwfZupU3LxtsY3oxAKKKJTzhaQSc3
MQPJEmInR5eds8XRC/cLrfSwQR7LiauqOFuZtzWqtpla02V3ZM7sT3Az1MsTwyN26VwsterOZFQP
3akssoAN8ZZ08h0Z5y2Yk0wv9onGXKX45GZv20Y3twmvs+0iTghbNCjtFlEfwwse0UJdgcWLEc6m
di466Z6hMDahwn3QJ0noE+kTKaqpb/G453DaT8I5m1UMDxpxkhftoUYHRg0As4rPURPvTOZMXfjN
mI0j/jye/npEcOGPkbmto3g/xGkwVcigI5ArY4MU+B3EGVmKG7gfKOHs0fONtdhMFdAgpEyopBi/
DkuLZY2QH48HEWVBuILZ53Fq1vMcoXhJEDy80L+um3hr7ZbO2LjKFfIsDql9HSWvlaKGf3FoC1Pg
bBOqQtMRGE6fW+iZAiYcDcBCPFs5QhTjmcdUmkS0VeZWa57Vo0ysEBlEs4VkyNL+rkkNURin0mre
o3NmFo1kIideJxbQAo2A3iau1VeuqpYJIXZSP5HNVnChoujfatjh6nEn55lpLTYV3qjmXf2NZ2nw
hggJQeUL8Wdvi/eRY2+s+k8aY2btrUAbNc3PZc7hHI8q3U/evVPRrYHFBqceVs7b0ilVO33ckBms
TCYsngadS80H2IAMd8K7cwDjQcf9teqeu/7dYJIukXW0EGDRYjPEMANA64Dho60OCMPGWlhijihp
EMv4HomzVsGzHz/PPZOaVNvXnbsR+ue+OxktbwpJoerKXRN1pI/8sOOqxWj9YUTilBjZzzX+Rt3D
T8s7MXD+RF/r6/X70F83SqcNqztzj177nNmMjetoh41ykysKxjztGhtNeQOif/YVXMdlHIYvmm2N
Jxln+K7pjaKiz6CZt9bsrygbEKP46jWbuFbUn9Ek+KWJVdTY2Ovi4zcG00q+drn4ecnl1HGLLawo
KKqhNPpSXSvOrd1Sq2rs0Lh545MWMTAYL3H6/lOUx1+b1M/hGA5L8z+vjRbuHIJ24Sg7au38KWrM
JO7Qi4GzAWj+3lWtv2JIIeic0QO1NOaqPOCqLyBJDzDFqsalU4enjSaxQaHvQNFfIffzjo+6cZyW
AKqNy2JS70fT2AMt3NTAjlIddxZ8tbjOApd2qX6oF4jnrbr8m+3KqMorjU2+vKubbJ4/7oGuutNR
zDtQtyQeJVpXcsoI+HzPuYFc/Vk6QSFMCKjcqgkv4vAcohVD6kZ+17uESbIP+W22fWpwjE3te9vc
4XbClvkeurA1ea2TBQ8symbbvuni+wIjkTX/h8Qg41/uPD+9ur+Fkw3OQk9X8uqu+VM2PzaZsy3M
iMuf4B26FDrNs775TiSZll4vWH0Wufhde0U0ye7P7/NHzvmPwJuPhJePPVCaAjK/Q8XMhvvr+wzq
mNRKmig4rNns9rVBEkHKVocXEejXxiKiq9n2qpN/DZgnBCLX3XYhmnGBzWdXVTvHZigBmyPo9DP9
Dwytor7LqhtQBG3zDnC40Y5awn8vponInwoflwdyT7A9f34qarf+7Zl4utC5XtWzIcrg12dipiY6
d5eqt5D71nsbenxXuk2v+Koy2h+JQFRf/zo75rfAUfWq8btMlTPOq2Z4v71/LbnTcTyjTprgLzJp
Y7Y97ochsBDJvIEr+/MzI6rz9+dmUAjpkEaFToinIdTd+tPdOLn6rIkwHjZqvVlT7HQht1WcBVlt
oF/lDoTWmM3vRAB+YgbjsWdgYII0+jwRPjtgfK9m4hJc49qg7l4YSSzQvYUxoCui29UJpHfZc5QS
CqjVbxHA2uLgJfFTynS/5Cafkv6rpRnHMH5UmKTVI5uqg5cwt9sIAoN6FHmO5c8lugyeqSzfETf7
5rJvXRaL+U4Ou1X/0qzRrhnep7jdOpxx2FxVGYEHeeOm0DwQbXZn/mN7vSw6ioflaizMY7SEh5mK
QEILdnDztQXT+YF4KvvWHO9Dswg6Tamrj1qsHXru+aV5TzmwifzAErrlStmAcvML51Zgb0zGyVc7
b8LDVtuD4Ow8jTwVxtxq51PPNpoeBZPf8Fkf2GhrJuYSDwn7CUueqhp0vgdZLT6SCK2zIvGya4Xt
aXgDIJThhUxj2wcnPaIKQja+6SfByCEQbH6StJeeeA2pfQ3y/qVrbklciJDDp6lLQ2Xc1WwSEXXP
Uu5bfELMBxltEpCYWahtvsnsllk9xzHFwaaEYZhnZK/qeakNpaheVkSsToPqY8NZZ6tDxB/oZs/G
Z9dutuoxN+x5C0McVbDhAPflzYAIySamXQUT9O4JoZffVfwwCP24sLeO8sd/bJMD3vymj45mUrxY
TXswzOlSTcd0GSENJse4c68XiSaGVvyImquMfGYUJl47o4JamdGjYOhWRRSLjrMNO7iTB0kfZjay
TcfZq5ryIK0QXDO60Z1At9AjFFcrQWQME6jcWB4FP11SVaF2xlKWFye2y8SGS8a+jJTf23bZly4G
n0EBG9rPRhjt6urbwLMIqTbt+Sqif622axN0riqP6iwLtLI9oKXy1Y5kFe8ZuYBr/rym+dZI+2Ap
kG/Lq6q+Y2rOWwGKwuJaTKPHTBER4amrrgkDHQQ4jzkt7kxdENrzMtC56e5HY76qMxK6rfHSR9QG
yovYvU/uG8hYZI2qd33luFeLm2wTylr3zaSHUxqP4Fo26je41NRc+BUPDq6aVyAiXNS1DK0WWTs7
FkpM9OT+5PDN3UmtA2puHMXzTpMigJ1/sBv8pcuLKkWobrxo8dVdmZBHtI7RtmbLA27OFbBBrEbT
fUOfG+J3xHZYY/fBmsCBQBxj79ZB8q/WC4QFJDg8V878sVsNluEDgCLq69BOzaEo2q2JJ1DdZS2X
y6Kq6vmxQAHGIcJpzI8zRttMO0e8Z2gj1KMoU4PRz3sIFiBLI/S9d0P3roqoSR5LsXfZFCVVOCNY
v8JVHjtEEMMU6tZX+igfRbFNbLICkvZM7oZHG1NgSSJcXL+XHbyu+iBAPJntAaPoJvXmHQmlR7tO
bjtEuDbPZ9R83HeMyuHRkO/Z5wE2ar+L0a104aGxHlzmMcnwXDTX+zRh/sJX1cmii+E40olr0Qzj
jchpKaiFaq7/OlhwNaijg8cu6nGhkRwOz5tiDsKDFACQqSxt4h+Sr1o47oxPXs5N2N8l89ZoWaSd
N/Wam3XDIeu9LVn3qTO9adyNE0V2hjeUE9UAhNFhQGg3C5sR7sQG/Irn1znWvpmxGNiBcuDEYgxk
kXQ3WRsFFatY676Gw2uVMI2DPKKOve1rDrhybCvaP1CuLIqu6XlIn4zye1ISt5egnbNzfyIxluHz
TsfsDDXXwtHcc/nG7er3dH4o6UGs4RpDN6P+Nxc1LijSLCBlUkFW8YmG6dYk/aWpy9sanSvK9F1I
A1DXCFLGp4jXwPfmeBfph864a7JTGB/q/NEbzgA65bpzzCAMXxPrPVHKpseeili911OZBPZDDv9/
kN///4NF6E749D0RHNmErRLqY4I7z60AKHGcbJE8056dAC5aM764JuddnDZhh4xh8WkxbRtL2zdq
09UD4hz07Coy6BzZLSZusGoTpldftNjpcU85LzhvUWvsoZEjcLEhPL2NvLTJkzs8srJGJPLitdzT
+AiQ1CXfMNFt3OysR48TGuyiO2usm2FNM7t/qszHOf2isTyzA4TcPhxW+ysllLAqRLjWikWUCJPH
Zt5FQFtxeI+HMD5mBoFd1311s7ACArDi4am3bB2eHTQoWMqcnM4pgrKk8SP3ygu3CxSdYiVk4IsH
UqVKhq1KOouRIEmUl5GLtt3apJrB2AR/aHs0TJLpMu9Ji5qblbnlugIJqqj6DD3wdNg54PqSZVHc
QrbpeKf6HQ1jQRRNftZE+9j0HjPmnFgPdwv3lJVoWCu5kVj+jJyIq7TYGvkr2uK8j7daF5+m+FA1
cE20ZDu4Vy0bgtPme4MMYck7UhOt9xKF2PMhArfqAgK1isaqcgZW1IxV4DxrWGBQnRvaCNiu3+YG
0/UXSzyWCNPU8+c+kONnRzxh4UCqSXj9drTBI8IPmAH3i4XcabDkS2ltbVQxniAzDF+CckZj0dha
DKfXRVAetD7qq93qyTuTgTo2243NIlmA/Cle2hGpuYtB2I5AhrI7wABtcm4r7OMOfgUwYCwd2PGA
ydiUkw4APCN/UL+45SjaxHD3ik7F6hEVB59pehzm7wM9ED3/hPPnGFO8ZFzeCLWXLvturJ+AuZum
kuJvEAdSejxOcPiF+A5gHMJUtDFXbZcvPW94wjb0XV0ogrXJCL/P0+Nk9kxSIYipvNEu0Jt0W9nf
VyKp1EtSs861s7VVn2Oo3h1s28T1/N0m52jpqLyT11IvN5KJZhtPW2MBKWK8lou1DZnPrRBOPIqj
YiTwh1aDRC7YYhHMF1z98CdahE0pGi7y57bmMEJ75AGHElY/ApyRs4qodyqjWv37nHaNxmuU4hqR
3G1OjxWPYcJS0AyXlKZcdrGCMQxKhEXPeiAyQB6mkQea5X5KxhvJ2BhGQcYxQOibVyVLJGePURw/
2bF44FeNzX03IxZWy7s3YGicg9mZ7wrO7uqfeZ21TeAX9opDVKIDL3E1W9xmOkWYRCJBsqBE6Gjb
5euystCHlMb93mq+L9Z06ehKJTQP0mLZu1KwBLBZLOLKa29yxInqtG+6854aZQ4Lbolsl9NXW9EW
lt0E/ZDS14rPBcO5oWghyV88ggLGCGBOul8Z+gxtdIS99ZpMIav6tEuX1Ff9jt4aLiX1WLfe2xnq
SLazMaLjRH8vkc9dke5V0avahh1pOTp1Xl/dRVhQQmkE2LYOpkOiJIVn1rEVq4gc2j4lCkyE4LS2
FMFn3U0mdUYy+JPxpbW45QfKcb0+xBSVbNn4axKfS9lez1wOunOwppgwaHqQc3/Kypa+Ph0QqrTE
NIKS0APyhhub25HgLjLGp+Zsck0v03uq9tPjmPMexF+7WQe8GrJTInSg79PZ+pU9Pq9re82kba9q
9hjP+9fVeSclXLG+oUTSJdAYya5Z4HX5jTa117C1UVDAEI7SZ+xC9Ig05tnJ/cfp7r8aCDz+L0yX
NWxOuf8+Xvbyf//PnLxXPyfLfnzHj9GC5tp/cxgc2PCOhDqEGxzRf8wW6Na5fzPJCGJWYGFDteRP
wwXxNyjMJKg5wtXVCIGD9F/DBTWsME1pc8TWDRK1HOe/GS5Yqm/yj26EpdMZYLSg67ZtoFvV1ejj
5xM7VB/cYWWMZbaoodYhjhn1vL/HCdPfZ50Ja865jR05XyT26x8f7L9/BlAAY0gPBWBax2DJromn
S95jjZE6mQ3DzZqbeFk5KO31Xs+fsWk+RaAYM1JCvA2HeXGxDGLA0F5VSG7b/sG1yum2kJY/1wwE
inzEQqd+G7y39rDmjD5WnAEITOW3NJ+PAFHrVwepJfDds+7EbeGjR46DwQF/FXlrd2OPer0H58MI
Wv0xHuYfd8W/7bAYOnOeX19B3jjSMxwaHi4dkY+eyE89D4QpeZz19YiVOYFSueQ4FVDHoVeIZxfp
RFdcmpAyezIZ6Jl6X0AsyNZrElhcpZcfcD9BBD3ZJBp1e/cr7ZO3WI9LNM2iuPUkA+BMukEWxcZV
bScULDrFMtHQBnIwJPs1AMMzQYrOOUOOBLeiMV/0BrAM1kR6lFX+SUtupsWpP5ckxR6bFXoT/VD8
0KRTBqK3gFNmwrgbR2065D1ni4o41HPfpPUVrD0AyF1/GISlXa1FstwupL7e6pjY/HAmIE9oE2BH
AiI0M8vuCG+YA5e8iFNs1uXF5PtxXXnnaBA6wnim4eXQTvcfnyW1Od2XSzAWoctQyxbPfS4ztszI
e1faGMcjAG7DGR522DqdCPUArJin1o3DvGZNtZWJ7FLRk1hBZzvF48eHaTCOrZl6N5Ucsk0/UhAk
vPhnOE+9P9TJ8sr5/Jg2Txqpxt8kO2HVzkkCAgEgqpiM72ve3bqL1jNNpH3coLV/xmFO/YAe3v9p
mbj9cY/93Lr+51vPpQVoERKNLO5fXDiC4KnemNi1zbXGxNEWSJSHhizd0e7Tm37N92E/UA6GwkvO
WhXqb6aqEPOoGE5E3qBpLcbx0TCxhY0pR2j1J3wfDad+LA1RrPRXODXtp3wUnw3dSZeNnoPCk+gd
Qb8USXMedw02929jXSMybA3x2K83kBuQL0y1+WTa7Yj9EbLGKEfxlCIjO2IpNtAT7yZk/vCsTobR
4I6vbcc5J1hkJ8cEIglsIUFV4JCFJgHYkJmpkxlSGEhkn//8Ijq/332eZzFkFUxpLdsQhv3b+pWZ
mJJq06r/uvuM0LbuEV1FCkUhLyvxlBcR00LvKykYP/TJHPRmuO6nxNHvB40kejR1yF/Dwrj/+Dvn
be6S/r6H/ifIX75B2cU7JJyL0xrtnSWw0Rio3Ls91pMv3oivWoy2eMqsmAlqWiHnLWFeTkVvPcIS
+gRWNGcRwEMfS0ZZE2qPxGnvQvWB+NVVHSL5YejXvU2OXSfJivd1JZsO7cs9oFj9jDBO7vJpTMlr
oB8yNrg+5nltj+B6Wt90ovplgC8GSDgRpOHhhjdN/bkF/zNYSfKmyXKgZRAVuOuASejReCFkUqnE
+m+RWmeo4Irbj88qd/xWiWgBY13/UBP822VS/vY+oYQnDt1l58LOY/Pxt060US2G1GZhnEOjbc5L
u3yWU198x2u2cakUyfyK0Zy4hfWg9VBIRNQ7nOw89DuWqF9yo6ZbGSaIE1O3ekFPehSMCOlWqbgz
+2FFLEOYQOXsLVndJIuBjLsh9LFwtPK6d+UDaW4VyegMNM3wcxMxzwuTZrk24UOe4kgyBzIOdOuh
1RjTevPxIXarlHG2cXBGh7/KBvvw52tXqk7/T3svvXIXhYDrukz1HfXJr3svPORwBn41nZP8azmY
ycWOdNqFHUEoxK3a27a3oj3SS+uBs1eym0ej3XMCZ9RerVXA6mE+WVUM7KMrbrkDEdPkQ33JV2G+
2A79qfJr77lI2Lq8uuBqVM5Y0skuZFLJ4yrsFQiZRRT7aDGJJGX3FooFcQ92Zr8vHuLvJn+zbDqX
cPiiQGtRsOEQnnBbctPgGl3eYLExjI2K17q2xa5tp/FEvqR3p2k9iv/Omt9EsT5BUvsPK6cU//zC
gZ2wMcLplg3X4fdh0FppdpkupBzLKr8hr4HFsJuRCUd5b7wtmOQ4CXAMYZIZP7SqQcDSj0Te1Lr7
RYB1wL0TBc3c9veABl+AfZY+0azN9ZJh3ZmcyXsqEuniw+omCK72xEJCUIRskLm5c0bPwTXXR4iu
8T7WsuiqZcvcWYOV7vNZB58VkdkLQWC+8iAthnObXmXqTRkHF9dvBA1/gYUYyc7crXKh/Szs8O3P
15ZA/PLbteVZ0nO51ShJpPX7uliUsiSikHOH7ZbZvu7d6d517KuqSrUXMeUVoK9c+GLC1NzMqCu8
iq0lW4fwHTKM1LOv7TzQUW715NaO4pp1PmLqRn64LUg1a80IwLmyES1UI7i0o1Tf//kZyH/xDNgb
DZZ17NOG56rZ1k91lbnUOYVIXZwRSyO2gn6gz2Nz3xdCPIUrQyOZIiK2+pMtvf4aRstjtk7Lqxt5
kZ+DpfBbm8u5TaEMNcQ80KMY1y8SVtrG6NvyzivznI62U/srWSKENeKONptrwWDmg/Xyjw+ULC7p
JjX4BcMqWP1hJeja9Y+CElO70RFw5IFv8pcs7oPMCc3r2Mm1PTlBKNCbWl5H/fD055fH/HW0x+vC
GYANz0WaxBmC48CvL08TRkSnSjHT75qMw6zN3Z25mHGQi3zejPidgVqPiENsWoYoXi/dYAKIi7oW
8TkJ5H3fOqSHYrAb4Hc/aiVByJVmuT7O0+KG4cChylPzqxD2Q5o3yxdtAnQoilj/BPPb2SQ4SGAn
m8Ruh9xnbSo/rQ5ABn4Thui6Ku4MLwkGAf/0w4xSKKsifyLwkXfPtbPNn18O8eukmpcDoAKzfsml
LnhppPr6T1eLZsscoE3XnGzNSOeArTViyoPrRLPua5DbnbvE6BMQegDJnlxsXG11zUH7O4M1nCM6
goE8mdtg6Nn883LgCNRl7DAMlly3fqkq0/4KSBgVzxC/K9UtwwJteRpzWf6HC9/4dUD88VRsh6Od
LZCc2cL+bXXT9IV3ySzrExJ3465OvsA6XD/PJUaHbkiIBWotJWXUzrKETAoDkaZlRCuinkEdbldX
YDhiudpAJsOGHloQnksq3T+/4IbBSPe3NYYzrWEAVrMEt5hufDyRn17zLqlnorrqEQZAvslncPSW
9wRkgZr6VizGIe4vQ/XgQmpuEuPQgn+kQYgMvaUBll+Pwj7Fy3xqDKCPQMqjvr6kTnQwyU4g/uih
NesdtNipE2e+FSK3cR3PJG60+Bk7BgKx+XQTG92XTDY3kL+OKP4v6eReCuDoQ38lAI7axPp8nuph
V2U2yeW0mmnspqX7qQdy1ScJgztMaCOYuJBRSnhVNsbFaG4stpNWI6qmJzJSMfLww4pxOsXOkwn0
eZGsGcb4uMIFqRTxMOfWWOrkwEkMMsxKT965yccygAW7Y4rhT9k3L/2cup+L5clMfJRig3nOw6NV
H8CfN/N2fiBfPn2nF15gNSquQ+VMaW5ycDHhBjtqoj+21vfJnZgTEUsfBvh3EETfoV2e5bOmICxE
lr3p2kPYMsdxz+CK0r5gLHSgjMgsP5eHzqb1iJ87cJlnh/O4cSJvb7q9TzBVtRzSmTcr5lA1i/28
ai9jk5FbnhK5pB9ryW/ozrEAGLfqd7YKZIOSa1XmfWhXjyMiOmMpAgKQEbsco8yBPjHsppSkKra8
QzKmge50d12+nsTK6DyRxypxHiXdU8C8+PSQotEKzbtuj5CbBDOUbK8RKr1YKOLMpzo0LzmeNy8d
7iK8f3Uqd53Dkj7k7gMJgfU4H6CvHFo6i5YuGVYQlTkk5j5R03H0R7WxMI6AtsaI+ZjLGd/3K9sb
mOZ4o4nbeUV8GKF3j247VFR0zWMPITamHAdjp5tMnyLyKN31Jk/jgxzCq/g2jKLnaDWR4jHambIJ
2BmdDs9+S6LxGLmSyGhvl7uYanfzgENAVg6/DWQiAapeMZyXhcslOofPXfTiFiot8DTLJ6u+wU9I
GSGecG2a8kuhxX6C4EZbvg4LnAzb2XsRoBokLRnumcr4NJQJPZGH0aQVi6l70XYm53v52Lefs/kp
9Q519NrZt2P/CPDKfZ4i4G80dIs7woH3S3LqQZJZWEZPmtfSkrwWAl3ik1w5WYSFP3l9gIKxySX0
yeMa7gHrOLyYOcec8LMNQOQkTQByn9kv2mJTvTJH6qoANldPpFZueFurY5jYVMi+rUU9lrBA/O3E
2wStjYk0veL+SGJS5TKPH14wgG43rV7vdNRVdt/dErQR1BOhD+G1QxKX+01gfJ0zQDzWsk+Ftv04
ioXeLiUzABj1IeutE//PU4SnVpa7GHkfLwPmvaCUPW1Wk2ks/yrZCSiruiaZCQ9HiiV8hHGQEWff
U0hO+nw0ufyzkHZVelc1zalsxkAStpja5W7ulO2TzpIHlirXdw46THJcN1mb4kZA72VcqDaOXQoB
tDRuwd4dGzFsYtAcXS9OY0TYai8forlicC8DdWifCvbuXCdpIdtFCJQ05Id2CW5zujIksWqYw6DW
Zcdcuyniu3bYRTXB38T4HRr0h2gQiH3rghUqUHRV6zA1ToK7Yr2Kvdepnbc58s7snVn3ye4Z3AMx
8OI8gHfoj1KqHt5lXho/DpGatFQ4IKOdHemZ63nOXV7sNn0uHKx0nRGGn0urCBIDUxckr+4il/4b
lmDtkTKWFGGSSSbLhKZaUHnH9l2RIKISOLjYomhZF2O2x0OeuuG8b3PqFTI75bEZDYJu1vYtq5b8
NjEQ63uzysziCJbGSqo6yvBoeFoCtK04mXor70Hw2mhn9eOcrM5RK91qZ6aEkznYKgAGJ0+5Q1Zi
43hH03MCg9DnT5jG530XMkpvK9jIddu5CvL4mVaUQc/uBtkZMxMCNxiSwLVrrECMHoQWauUjYB7P
b7E+fdJtRjlL4xRYlkrxnINw/PhntTs6mMZSl7KB74rmQt8SQUSXpddo9YEBuipJCBVx/zKVrSAz
jlrTAWlkznZxh4mDsbyAwzQLOX6SVNVTN9lPs7uuyFeQk+SZPn2avNklRnioUCs617MO+7RD/LrE
PdpHuCS47bkqujH66wMBHO5+LtLLx99XCFuZ+eJN4sLqhBO4i0U91M2BvtRHOWJFSKN04e60kq31
958EmWLTCMEr1mWvoY56wdVCww9dmkBwl/UdkbdfYKf99Ts/vvHjw8ff/eOPHw/rH3+32G5QRNzg
vayqfBMnOt3kAhdRpIVMZPCnlafIUoeMouC8MVUZaCKnZVBT2KXrf3wpUV//+BCXBY/k49OyV+eT
Cn38dh4YX0JfAzen5RrhS+a1rZVBM+j7fOh3VR7uKgyZaXtn88OLeDqNNuGRNtQ05mK9MZOKPHP6
iIg07v2sxfpepzu75d6P+uuJwJvOxjhaIjCF61NW5l6iNQKKc9TE5wGfaGpcJscJGI5dFyEVCFNq
dwiGRQQh/jRBI6KX+zHP9wymGbTBc42Xx6oxCeLhLUBXurY1C6dHmhIkii4OmjIOzJEFwxO+vrQB
EIpTJVWPtg14MQ/o01qvC9RyVUln1+h4rw2mn7WzTZPsImAFd/Kcu9AdsEKPZrqrUrKaYWgp9YMD
GqUbcz+i/w7t+qLTFWbI4dOA2hFtHEju3xz4ZosUcy2twJBZwBgt0EJJSqu3gw8goY7X9mtt9Wfi
SfYerMmaKaaRphcwrEAxUCYzoYoT+7aW6Y09y5sFoQLxjFtq35vFG05jj2sVI5TUzYdxbb80HLva
9iUf2KdISI6c9c3KnwanD6jOrwj8CnCNIag1CPjsLyA1bhN7gEN0PTf/j67zWnJUibLoFxGBT3gt
CYG8KdfdL0RbvCdxXz8L9Z17Yx7mRSFRalWXhMiT5+y9du73Ajo+H54c4OBy4RsKPVBS5TQiokk7
lhvd3cxC7PT5bZhyEOjdllmBh14E8K7uzbChtSgEOgyYvEaihZWgdfBslvo1olZx4+yLmxJJWPYB
CHdfVRnEWT6IC8Bo13gsdvnvDOuE4DtLRKkfdwPpo+ouk8ZJtPouziOfKILY6Q80F/dJXh8EFzRs
6+gOiPs2nJ3SlagLkLFSV1iun5e1B/zH690EfdxpUSmHjMbT9a8V+uGUyAT29VuofmTdaC+qoXoS
57OsMDHMB1RyWwu66gzR01H3biUPehT7djj4olB3bm8cLIT6LXZZ59bYODj4hCO18hW+C7kx7dQx
fdX4D47QmvO+26UVfmfp61OyUwCBi9k5aUpOQgGjCugvtlb5NJuQDfBfmMhScj5UKgytSjGI41s3
bdZ6jZFEsrV7IuDXatVBYuF0R9uYjqQBbssMLwFezFbesPbvytTd9qQyGdTfVie3ep7BGGUcvZi7
mj0ftj60ASVUXmUXDpzWKZPg1m+LyBPLyLuX7dGh8JH6RPEcQOb4ij6f3Kmh1lQfjZ4ccbDimySg
AN0iXAAfMzLCnnFvfiO4NLABEi8RDEsulMLS3tkZ7e2iP4YqknGHaK9M9ZZRPSxMmm39jvfqMNaT
1xOX3shvrkBqVFfEEsc7l3zxWY1f2VF8Uav+Wlfxe1FtaL9e7bD0B7Pl2169VzGwyWYOVLM6R6Ag
3QHgyvhKgnwgjXILx8Mn4clvmZZFyRzoZkUJr+1mwGPYr+ME7UYbblIsPsOyMHO6Ewa0MztrT/bM
volRDOXYFwF6NohFhjk7OEb0qPr6ZPWfUA1O6XjpIGit8x5zESBgOdcMi8LHOWiS3O5hpughIFU1
AxZ7fyajh9bTGzxHv1zqw1B92Ph4h3R5RMv0M7fbvQsfr3CbG5/QIIqdhBpdlcYecv/eYITEp3mM
W3FvYy/0R9hlcRb5erZKPlrfNLIz4LJtgUp3WA2iLp2L8sda56O3COj4bnVT+iQdBwvtdTXZQXv2
I1fZKQ5XGJwjIPvJ58kxngQWdO2hLmF6dyiDOZlBjIBu0Brle+OGgbvkR1sJ97q5gpX5/ld8jlyb
iQ/fqLteAkyDAqbnWKde+rD5ztjka9Oah0rOxC3r+zksWUsOub1sWF68qdh09nx0FFwlQ+eLFhbV
FAKA/mJwghTgNTqxHcd012IEr0bjWs7XeLF+j+OrWaY3dqsvZlc+5hi7o7OfyF/tlltjZqd6VvdE
Ye2WxNoK9Yfa2uRMTxiYq21lFB4NBM/qLb+pMk91ui1ZIlybHjj6r1kpD0U97pkzo8CSDwt8AJIO
YJteHCQ6kweTycEuZGQStiM18a41h6AOIz9CoQAQ6+qY9bc2RGyoe3zq5BbUbLe13Zol2BJtMCgx
WJrCL0vhGZW1IYXx3LgTo6marWqTn1HQnXpVhf5mnCYXQT/DD9rfn8Sl4DkwXgnxJArOqAOivnRs
BhQeJv0GO1WCpkjfqAfvJnSZzKRJv3pJ3Qcz76uF3L2YLhDBnZH1kMTdb2pkeGQhY5pzlQ3/4ym7
Ou27+yMc7ynbUM3y2/Qt1I9V7jtqd1YTe4cP4EQg/DssyUcHIBlgKTO05cgFGVymczD74kuuiV+D
iL6aEwurmh7iFuVGXp3W9W9qIN7Ra8ireQMJLxA2/5nYPGuWeGCOPk7da82VA7BvVCIBVjbakm/A
Q7EXsYLu1VS6fWVb2IvR/C0kho/5Q7SQQ5txL5FCK078ZndftXTBX4T5nCRHVZ3pgPQ7ZLPbBY1R
aA0Hq+73RYGokr0l5qU5TK59XH7M+nCht75TBuYNuuO3IeCB4h4Rz1NMXyvDPWkLSltiGi09CjQ1
38XC9jLwDg3FpjA+8reWyI/aygCPHst8LV3SgkhbYiZM+zqN6REI7nlyV1qT5ROIFAxhck4155Lx
q9tlumhscpIi8QYroJiEjsTymdMhKbGilc4lgcrNCHbfxsOjViZEmPHBUeNAPJaQdJ/srBC6B1pK
3ak1Xg83OpQqBduccOa5ft0QXpyRtJ0pb4oSngFLBPXSBw4ES8sByxeGb4rmfOiucWPG8+gn+5o0
2cU0UhrINtrDElx3fy8K91zADFqM/lCRa6yQ1eGkqZ8r2q1e98utugtXWLreB+RhXFBevs/hcs/S
5QRCLFf6m0jNNzQAp9yihsuNPV6g3dLwBaNR5QD6hxU2CshQ43xOnOrk6NZ+aU/OYB8mxfG1SgvU
sHkH3/nhhD9zkHgIxEnW7K6kowxAaEAyg6mMgk5Mx4azYJzUjQmASBvQ1lbzJ7E2kGuhohVw+lLr
s43nO5k7751WPTq4Y9N6pUxUEjymYK7Ur1wpP1yqOqsJCQ/MtjaDBDfsvtpLeIsiudf6CsLEhkSw
Q9bgdOq1oxP/ycvxe4IKZKnlrSsrn1Bx347rs0YqENJgdSyRx8sgcuNXyfizqUxU/OQl1+ZBa8QD
nQyv0n70orrooKWZxcPZ3/cm9JlG3ck0ujsF8bpzfmnJ5egS7d6mCFEny0ur+cS47iVX1zSu+FsZ
i4NNqb+e4moafUPuTJinhE0kHrIxj5OxVwYmB8t0tN3xmOf5zRH2sWNTOE3vKkujLJtdySvQJfy5
lNGhxk+EtQXgzsbCv67x9XIbbWeIcJfo7UnidWHelcuPWhd7x4weo9UFMhRHOsjdmJxYAqjSCbKn
m4oaXoHhKb620NH6uT4xwz4Mpn6UIC8d8rtesNMNefw5dMkXMzNeBexyBSsA06JrLd7gdhyFTM4V
ht/OyE+MeM6DJU4qJLPQVYIQxrfabcSkIERVt6qG/c/2SogZbjP54iexb7t5BFRAqvmQpl6bLVcZ
qTcMxEeiGznR0UcY5yhm3BqSkFJBB7O7PfOqV6mKY1RaOwtkQKaQmFuCxsQvbwsysicfIJnvfmrm
cgynxlep4HUnP+TqclAAULTudJdsZNnjbdKUfp2dHt15uhiIdwHlJypF60L3IwHhbrQfCt+3EYKE
0kR8rygBFZ06h/DzPmeqoB1WcA4IaMsO6OEQ0WOwhCbWThsJ/UINpyE5Ze+rCO0melATKIYbR561
rryCNd5rHWlwiEEqw/g1lABKYwRPtCk64qxWoFmVqLfOVa/CMN7zXOM6Pf4mnIQLrIsOJw9k5lnT
Rw4EIS+WKxOzs0wG+nAhAWcxFIGCKNeiuitkPQkhHowEb9qo7GYte+RM9wcjKPLLBIZi6DP8IVgf
EBbXhRYMM6HtmUEWCKLA2gQ0R63dmQdSZI5DsTw0l4APHRVUFBM0PO3V9vuUxKchNL/OxfxmSf2n
6HUMKDPi0fCUlWZgDBIgrgiGRB7H2Tqk2qciyVQruIjxB9QGcw+JgCvtuFL1x30NLU6YxVHoED0k
5H9SQEwpWNbKU5qzJqjMpacvlmvdJ6f8upRQWWR0A/zg0VudfbQFHu2uaaLemrz6j8RZWs9XQdPN
UC2voZhouOwlMzWQmfq9brN3kxcXZD46tW3YKEE3kGZq/FaKP53ZbENVBVqNeJNTz24Aa7APotUB
O3+KwKSE3Q5AbyCIewtJWMalE2iKfszujVl9b+Jo7yj41VUXbRJohuSD7+CRCxRGqw5ngvZIRjY/
mXNR55LNI4mQBv1IQpRDyxOlFkTRFOgTPaSSpcimxIAmkgJYtbTvUxNeRVacw747ZSPFyoylCQtp
2NJAKQ3yEpTJBkMOqD60zK2Mrspg0BX9t7Xy7Ia4lqRf8Tz4fPzskzwfPm+erZv/Hsquxsef9xMJ
pgik/k+7p/m38fN8jQwKZh0St6fSNR71mFYAqdLZi5gLRKkjk4CqA7z7vKmJuMJDVZBLpTT/HHve
KwsG5H+fmGQmfcgkcmipD4hXsnkpD8DYgdVLCNrswqcDRXhzwELVHBpJP0ntWpZmTXCiIsY5aFP7
z02dCuCffx/TM1gLq//9OWAesiDiKXgeMt2kPkD44dn/PeV58PmP/3md/15i6cgsarsccuX6bjyb
P8+3qRhn8o/KlCvy+oNK9J9G6SY7VTG0w/MmrQxM4KyQBNYWNJ/SsGC+qhV/7+Uo/HjrIBjQ6f+U
6zvXr2/V855c3wqF/LZ9HlJqrh2250f2/FUzpCePydyvnKQKJuc5ebLtoBMI9nxvny9Q6us7+ve1
1pd2LLy+gv48oWd8ZA28wtx09+36GxfLKv7+2ue957FGIxqJcQejMDxh3foSzxf777nPYyniCRBi
64+fP0m7VLB1y167jLe/H/l4QnN9r/uW5CxlRq43KC4hvDPouc6v52Yn53pHsi9emN4fe4OOQ/Iy
/unZJ0Eo8lxI2LC+2R9ovtk1XmGRhKtNvhzx9fTTJpvmt2Z2fyj1GXKeNjgv0bVNybWwE3K4/qD0
uiFiZlc2ehU9cXXtK2TzZf7Th0wAl2Wvyu5YpHIXJf3WEnSAsgPs662AQjfj42UEtl8KcdcIImM6
6xt74sFI28X6GZa3atGPtQp/sAKTD6Qn7kssGRvyfQbCr+Vs74mK3pVKFUQyOkRYiNN1CSKqtDqO
8OZyhbPSXRdFdSuFDgBtumSieaOd8gcLzhhWx2FCTECkwisSgoOs+dxkvUsMK2h9Ag+x3iMLJ/Er
HjAX837kSeUziD+SEHiqKB7Ii8IQ6h5M5Ws42HcDl/44/FrfhiW0PbvAKjJqqBno0S2NF/b6Nlvp
+o3jj46kMP7dqa0fp0f6a0FqLjsIYZ6UJwu/UKQmaN1DoB34hyAxqBQnc1ew7YrI71A2NaVHhgiz
bjKYR6TANt4vTWl22cIeoFpOEgpnvDjbMaKSmx2/AbcntdTHSOShj8JyYLw4Q4U7m82xmP0IkbzT
voHWYWTV4ZxEz86vGBRrPzv2NSUHoq4fhpjeVpySSVhEbw606tdcWfa2sXZPm+S07hz73OBN4i2H
Jph1q61U7R8QVV+0KvQEXCINmGy0MNIifdEeRpAN7Uvv5qwYmp/RSquBLsS9tU2pgDIGrWqjrHjO
jRrBsqNDmZUllh+8ilVDiC+zp9AObOWzIx9rDW7jAr3J4jfNeYB/8IcSWrHhepAVt8UZkE9OLjpG
3dzBtEpYllIGifIwAdSxZyBW4FdifbHzP0ZPiDFWIgIAtyArCWHb2T2oAVUPalwsSi63CTq3sKH5
vLpni8ZTx8JLjOrYkK+Ghghb4r0CcRe5cEEZn9pLxL453UxVQ+I6glXA0Q5/mSqzbRXVR6gJMONs
ryEKWcnkyn3zxhCrvhcLOplZfyvD5mtSuj751F6KtS9xV4et9X2pGH6sinCnwZasYx3HlQlqPWFJ
iWjpyeV7Q7tJMPuyESFoyosBA72iLx6lb/QQlDjZZi6TS5sBdOS+KDjQoTHQZ263Ecmp0mQujo+u
HQs6jMuLJrHxwPhQh/kgYvGDzRtSNLK7o/pDJMKTTgS/kSlBraPvzDduD0mYi7WGDlCR0yqVpXuM
hUvo2zSytpmf/prTmHHBWY8cLw8Xr44lQ8qzE2deqvJhWS09OdQ/FjKA6pRgUB1DnSV69MvZ3S12
eGMe5xk9X5+V5jLyR6QnFJmBo0R+7NKnRJiZoX7t2SHJ4afBi84Q/2M6oEbdQthyDzHZihlASNF3
2DUovgdrO2NyHMgIQw6bpZ5Im53b6gEBXZuiabfWyNmGTCIDzawwoehGazfOIdhvTk5M39ryW5U/
Co0gKn71wNsmCVgzD9GUbLV5jV9Vt3C2dsDTA4ysG5HJYMEL39bUIXjNovDPCssuNJXOmQVXjM80
nyMED8t1mQsgU3D/zQzzYoMfOz652ex19IpNizKK63FKvyjP/8iwfkwMH52mD2L2EzLsDkNHwW0c
9RwBCm3MuMgPdeleIvHFmPDDwluxwzoIww8Lq2VHx71mqBejyAUStrEGiEAjM0/F3AGB2FaCQHS8
OQqXys7F7St0KEMD5oFiH7J5aXLXZ4d9iObKd+qfxYja3SDUHD+yRlgGGlPZEP5L46SAAau+xapF
31s9NI2zMxmlkiBy0LqeWvcaptZdE0wjmvq1s8kolw1BEoANZ4dh8bGge0XSoh+FDThSpITJR6Va
O8XtvRoT4HrxDN0s0EgpAc66i5qbCW+gLrrNkGCDApmsuYRrAjOlScM1twKU7oJjp0gpFM+2nCNp
mJuWnaVGQ1DIzi+48BJ/wzng+Atq2ISRzzgSyFVF21JcJfvQJiJiK0nvDVf6xI5pGxDAqzuXBgCd
u7i0QE22AXWQo/wh+nIjZujQC5rxjm6Mjts51+5KYvmx1PdTH/6Ju308vxr1sECaXwdQ1kHGxodl
wIEeor3JO52QnOhgZCj0c2REe40riNLOX2qZvE99eTNM6M9V/M3o20Mq4DZmzhfGsxuA9xRu7D7W
HTGRkXTrMKQX0Pr5w0z9UsXM0ljS7R6TOmKnWrstk7LXSnlOCuDtwzlN5lei67/qifVradkFVdZ7
C/7dqgnBWRbrFOvqo1NsfBYk6JjQsdndGfdMyy+mJEAlo9QZyNWJFbKUQ7+utHPkJq+hZl3hwH+t
FOXN0VhbSvnWlUDBExHoidyFnAihtSvEvBU98EnCwiyuoTMCBJSXrwuxovptnJJjUy1bGkBeVRI4
kWS7ELMrW07YUBxrWS7T2HfCU+2wdIMIaCuauyS7z4Dh1rdBn/exSr9iNYHy4ZO7yNgZvXh7dxZj
Dx03klQIUYzkoT7FM4vFkJ5hmZ25HK5f+10Rk8Y73+iD4UIsvWiaA+hxV3IP9xG8KRJa9hk4VLCc
B9y+9DrfW10/la44lrV2GCHIyZRcqTgkiIZxWJ1uXRn6zUL+l3uYq3Sf6HKPr3yvRqx2hgPCttuN
NL4zgjhkd0qVbyNhcBPeArywgJSoLtj1SJhPpfkTNxA4kA7a/U/pvM7VTWgfBRV6SaBb56kYM0X7
xdbetOVWoEskSSl6Wf2SNFjSYyju1fBnMW9NoMQ3KX+vsHj2mi8m0Ilevhmj3+mBq3Pe30vxYShI
mvYzRAVQRNv2DcNobu3V38UmvFZfcOAv9bZD8qxu3B/md/eTa8rq4n3JL/XF2jR74k3e0ARQZDR8
bAzaX8EjFCa+8R0UQ+DscjP+wU5O8LZLQpzNJproaNa7sb9lYlgYtGUmQDUnulQKMG5E8dqbzMbX
ZIRAQsoF15iqf9Aqbg7WBMxMs/HzJZFuM8lBbscv0l/wqeL1nAWZPasbRGviksQWHINPc0iepHPQ
lvynzFw9RVKKX12lvlpFNF0UAVC2iSWVV2gIYmOnFm+rVikHogoHvgy9N1q1cmxGwM3uCDWE/mW/
NRVi4voyETti5oFJtRlxMvSWw102rLlTq++nnBiom/N0s4SpEGabNz6x1CVXPSX9cBf9lKv03EZC
PIkGJx3C5Zr2ns2ghblAayc3xqpEGD326NW5FP97o8x2oBcae5ZwRqVuk4mRWAvJSSjdzs9jGZlL
ARGpra/ZS3NSYgwmVaPP3/Ss3nfAz0qyfIFgttn9qashIPPteSjT6u3ck0PtrINq1YaH3sJhvSTo
YlkJyRigd3l53pgEldGXQioEc7MmBxyn+Hxp02i56Jo2XxYR0kVpzG/PQ0yF2ccWyWWoZuO6KDRw
1w/q+Wmxn2TvmvHlj8jqa1YbjUptusUGFgVTr0yv6UxiY8E8LYF1vn3+y+dNnX5PNKh9IdGvINwI
49Iapz2FIu9Oz3uW0p7sKb80Nu755ysjQqHLoMnWs9X6t5Kq1qvsG6aBVdxvC+rGs5lQZq/2PcXK
pnM84MvR+XAHWYUH010EkRB8zEpdpfdaJXivHhmzC6OGYulQwQ1uwbNbJ8cwpPYJU9ylWL5n8XfC
65WvjbosO7V0zSCtx/AdtQOY5cKLi6J+qEZLhuwakZRjL/8sCgbkY/IbNQspA1kOx4d71die6cjb
q83ZvWNvtQK2D6BmlQljdboUAEjCh6lbFHEOic6dORyUtjBO6UDPvsEYc8sMvllKx4SnWx+6c7mv
B9VcyVub2Oq7S07v54WqkCA405y/xCueXB+b8SSA630qYL2J0DmXLXmuapTb+4JwPcg60Qj7XKRH
LIWaJu1fsrF0Jr4h0s9lLHhPWrOEYpDE596+k6cDcEFVbmrf1VBVBiihAnh3FY4dsPEp8fpRRT1D
WjHCfOOPASvdZAzza4pB3fDX5i9Jqhw0qNfFVnR26keW8odByjmyGuNXNWbnFaM8tpKmVhGIPgaO
WrbxeWnUl7rIGfjjPCq2qcyuSutaftIn49GyiWfKuzb5UdfXhb0eQ349856nSWPv3CnNX0058C2f
yAnP5jI+02CIACLq1i550POH4Y5w+9TSjT9lcZt5VRN/s81W7g3RZlCUxxExGk20jHT2Yuu4KYN5
Lb3ZE1eycDDeYRrPr+vEG+O/9CezZqBLO8o2K/NPrOk+rSTx3e6JKCnnwiAvEzTJ88yOAkBDyKs7
3XinRz4W4yMyCLlecv21ok88JaH10WJQu0RrXEooRusjBtS5nwZCv1yz0Xwyex0W65IxNxHn0Fq1
4Y3wD+uqV3Q33Xh865kAvWhzSRgRgOA3KswbGiPr4s7K8FbyFm6MSkQ0BLJhaycTdP9HxgUkBoxc
nkUUj98nDRKkWsjm3SDFYduWEwtQPrAqmiZrTMQZ3KkB5Oj0V7WekZ1Ux5vdITCzyA3ahFBeEBdk
0Zupoh3OpsH+ZbJboPMd/2hblqmCZC9Kw4z8k3BMaORqOSy9MjmXU+N6JMF0r6D6US8j0OiFheey
srorNg7rjFsWU4zsrqB3+qssgBb3OXEtpl1OnovijV5rO8YwDAVqmdW6KucZAQYKY2mWzE5ypbjZ
WuQwuQOLkK4BuM8bNQLg2dkA52YHYZjRDvRO+JxSF8IxOVnsw4Xzks65YGCYR9TMqJsd6P1nXGgY
D8O0vkcoXaJa5qf0+ZuFPpjbStWrbwV8e6GPFi6chnnF6HA+GnN0HscJkS5JqeQOdeRKkGz2Qpq7
8dYDnglLF4PhemOqZLQpiNJ3ReJC5lwtinPap/dx0T8JjY2CJSWSdlhnoapkeJeQTXHWOyqKp58D
Iy0gxJ5tNVfzL81omZ/kFFTbOhHa1Yq6MXDy3d8rgN4DoWkXC7MHtO0jzR60C9K8ECsJJbOlhfk0
XuUaCUJNU+yc1Xv1PPS8GRwtyInZPQkrzA6lKX92TUy1zYCWSjM5lCXXwRVKbKDjbyEsNuGRpCE4
lYaUm8HJB5KZF/BBTFioSvQpQ8yaNIfYDvNju1TYZdKy/8yTCJUSwWWpNL8O0v7+12dc6CCdWtOO
Xx3Fns6GZd1sQ8akSHLDhTzaYHIEU4bcMIihQWzmPLupqonmlDCbrbBhxtOs8os5My+ES6IkTCHK
VPpc1VhLXVr29mKCbiV68CWcbTdwzfSECZ4LnGuPDM2eVkyN/Npt45Tz5XmjjQZtIAvfWT3/c2gi
8chrRupwKj5P5HNL1kBNHldnk2+IBPTE77XBr0IADK1QC9CRAsD/prW19JnjNP4YVfM3VEIN4lFp
Am7iFNPLgxXO+HlaklhR1FjtlJ9VpvvnaCzz8/Ph8x7TEwWlpR78d0hiNdli8iHWAuvoaTKlepK9
+c+NQkDcmttC1rQpZvkiulX/OmnNfOjApbXCKU/1eqMpneNbinN/HrJxRvw9/rz3zzHdJ0msOORa
yjoJkhNRjLMtDKs5o1DqEL5bQ8Nomse9UuFuyUOEYW2z7ZsWftLCfPh547pc2gfgmP8dej5DrMcr
nv88brRltx8rknsGMNqvNeb/LLHG+/ORbtDvINBu2JGwkDwc+0dR6M3VYQc5w7d9fd6w+pkbt1VI
TFuPZeszQp4xYCuHaepWQV5TctQ6uUNQjsTXRKehg3qhvNlDaV8bN68JeuAHkRy0TTEUv+1WMX0Z
q0QfzS2avCnOr5FoTwhzRNDqtLs0SslHl2nqY1wLaqfuhwPxQ9rDiKtydbpHGaPJiPYZwji2SQv9
T9tq8pORjee41Iyb2WnOHrkkyIABmXk06V7ULUQ5GtSO0kmHvYiZZj2PxQ4Y/Nqdz88KNiM1+5S1
Bl9idf6F1Vq6OAwiXdmVdj2dUz39wEmwJk6EHvU9PRFk79txMh0QsubHME3d27j0EXOpHkCok2VQ
bQtWp4SoeUslZVALTQmPbLm3kdq/u4sJjPannlltYA+5fm1nQXLU0AJCTJ0vgjXo4HSE+Zp9Xe5m
yV4URZLx7obJvw9B6VVTcRGF8UIk0XB5+txczfUsLTL+GmbVpPydanSzlyXEShUXb3rOrA4G1Kxw
uSEmOF0kl3g20qipnQw5vK6Dc7ZonVDsfETmyH5J1WN/QIdHBVuE+5nzYtXrdGeR69WOlllHJ5OC
ITfK5Z00RB0X38tIlsnPnlBANofmn8Qyrpk5Tl/RTy8gpxeK1FEyZZbpcCDDtiSA1+VXklmZFXb1
WRm0IZ28DI/J+jDrQr+MEuTDKwDZWnr9XV9uZT0ub0/LNg9iU/8wRB7e8yJE4VhCImrQ73wkc3rO
105QWElxSBI1fSB9BJdmsCNndI32wXllBE0Gw/z3xVwSCmvNARbYNGTAlpanlyWhFCRABGNih9g7
CgbOqpoFeOUJY0Cd7nWumzyWksZpLBf605WrnJ26flUGR78ZijW+18QHPf+2rHLOvT7reympZ8nF
qD/7plT8Zcwaj5x0/tzsG1JbfZfNtF2FqlK422WmX7XljAYLipnLPEfoRXUhgKi8PO9F0cIIx0Xi
mPYDfAFdov7U2zJIWe8Ct3enI3o6Hc2gbI5g0HSydJAkq24GIWI91rp1Dc17wHDUpq9VF5Gw8u+N
g6Xg70OtkThtwDQRmcdTatkmL2wyzN1InnTl16lmeGqBR6YcQzAFVQJKL3ZGchpYGqJKGQ8NWNlq
faQ2fQ2Mc9au4xQVgRVa1rHRSFkJKzqfnYnHVqzHtLrFp6Ka2ZsIX5+2+r5sNchW2ngJi0k7Zsph
phILdMsufWllzqcUCzPnLv7hmJ7SqAQNznHla21pvNf6UHjVyDOfp07OGHgTE121JXGNmRvJT201
/HNDXkd4tFoSsZkaEEItiBB+6epoRtUQ1Q2WF0m73urdkr48jbUPt+qV9K3W1WJvLaRxWiIhWNiw
diXumfuipd29Uc3k0v+fQ4vb7kXNGTHY1cVcxvCeKll4N8QSBeZEGOzz2POGN/5NX6i9lNLMvWTd
PGXrjYibYa9mqE2UcjZuVriox8ZVz3kJMhM4mn5qnQvxSNOZzcH09/BMRgEVCFrDlP7ObMNIB4BX
Tz42ZNb6asH4KhMLT+VYjsGi9oC+tax5ZXL3cAiq2WoOrZ1qvT62Lh3ssTbj89SJ33nc5J9MoYic
qJLiphir/UKE5GTK5PeCTiWALJ3cYWPgqtKS6nvtvqkZBqTJza7d6BZvZIGwg2WZRaBmlHd9VTpq
o3nu6jL4S2+oRYfkWzEArRS5e0S6VzHpygihmiwGQYSUWpzcpKexOWyPocm3T1LLiE63f3VMKiEB
lD+W3j1qmEjpZoNvZXqTfBEDrdGyWd64Ho+IyNQ/5KqlX/h3WIsVOPmBnccgs2PjwSvYgWoXFiuS
jdQw7MrfMXrBBsTUGnxiG/ehRxjxfETxU/hLbn9/wmAKtCs3A1eNn3QmIMOV3vA81gh8c2WbPLSI
HNioeMSxHF5TGY9bdSJP4/lwcUsHmVB8ZzdAvIv+WTfR7DPAHhD0G9HXLDfvZi/kw46d5ppapKvl
wumP+C06piRwdMyUNv7zjXzezPNQwpYkeTHraEA/t4AhPBBMaIrDFKQHKfu3VCYpvH/Rp0l8WlO4
j6a4DubnLpoOEnSYGJpqlYXL7XkvbWr1RvINx5roS2xXdiDYXR2qBntRFefm2WlhEnbDW5cP87cm
s+Pt0mt85UISsRCuKlD/y+EiHNUlaBVLOIsAnNm6UVqvqh8QNdVbl6TsTtXu9Hw0WRpaNxkJgq9H
zYNOBD/EGMqbjmkc9wz+72aRbeDMQ7tBS8VCboXRSc/69mQ57aYA83+zzNi5Ta3wzbnuzs9Dzxs4
JGjFayg6YVhap7ZZ3ukuY0GK5+wUL3Amo2F0giltxrNw2mIXq+pIkzxjpc6K9EOWgPZUonEiStpr
W3Xd3SwYFJQFWfN2TB5qG3XxpTKL0LPU2rrnrhFtu4YsM8Oko6q5ow7kzqLxZIvfoz5s0gmWjjbX
8cNK0YbXRfYnGlbtSjV+GwcY5rpdync7pzIMu4GFzbFGbAp6ELH9PaSyLv2pH0xq5bH0yUH+596y
HovXn0aTZZ7/3+dV1aZTFi3AbmJ8ai1QNzLF73PLsC2qsfpHmZmwwa+Jbs8XIvrq/yHqPJYjh9Fm
+0SMoCewLe9U8nbDkGt6C9A+/X+omXtno2ip1WpJRYJAfpknrfmxKrr//in+/x/7+9v/fV7lK+9U
+SQ3/z5lXr7Af/40UTfn9hNxwPifCnoe3qZtgnhrUdnrtsoeBgcGJYcnTfOM+5k0rnf+A8IwNfAu
jA8fB6tmHI5naUNvjwVq0p4Of0tO7WAo7Wg5xdHl149kwuaqbW+khwQKWsehf4Z3g+VdvYALsDuw
ZYUFu+lDchMxJ5g3g5bPTdpikht4Yr5F3mPbCe/YLEE9g01Ethn7ajgbY2R2m9BqsLf9kZj+3oyo
2S3SXpVQQVTOyb8/LZGIcBNkCq8jumTmT0sMyMu3gAR2/5H0cpsZICWWNy2Eog8INBK7a+o8FqOa
t7EonBuj6DpAMEOAlU101xzs8dbrBvOpbjpzZVYi/Gyx5oZh/MjIpnrWFrnamuqHx9Zq2XdWDEs7
kXlnZVbYs1gXH+MxtsmB6v7FnvwX2HWFF70buqQQEJTV5u/doeGn7lttXUdymI+2592gX8e7sUqy
g57Seddb/bSvs7Z5p59vyzN9eh4mv7y0ElU+KmT9XrSxXKV+NzMQktamMWNCrrnnX0AhzoAAATm7
uvcvM2IpnESTjIIZ1TtHQ/nxljcNwDCqhumOLmoV3OS10e263K7jnZvX6jbKRqaCXnVsOp+FjZUa
O3ptVuz6SWz8R9BsA5+iKERlmn3wciyitEuhN9+vwXN9Uay9KeK0KjNm4HE+7QeLicJ/lT0X6tPo
MOVLPEDCfx8cZifc9mrCWb22tbI3lBI3Z1gvzZkfQ4r13x/bCoijrQy7IfluJ+QYUJA5EakLnp3n
cujM/d+H/t78T1m2nbjb4Q+mE4v9NmVSTmae0yEgDh5q89z/ODIFaovvrYFvyUf+PuHvDc7iaWXT
1Is2V7gXhwEbA0YnsXgQayBh9FB0K79YotLF8kcphHP5e3+IOFcUuLln0XkHacqrZtfPXTrk9g2r
nABq2XnbKHOSJfThAugJ2sdMvYRx2MVU3VvlHe/9R8Ty4ubvvWws1P0kCr0bqsSl8LVHeIHQ9h8l
HjxAsWtTke3UciwCGf3fv22p+nn++9u/T25tZgwyj/q9XDhN5K3WQaDr22L56n8fUtDK3Tytb//e
+6NvLJ9FJRrO2na+r9wsvVIPaFIP0sXvWQixl9Gry4lBdm/FuIFpou7GzP7KI9vDHQz8lIGqyWhc
Z5QTCjrW7YmaiKYnkSYHizto+VuE71VAoIBA6HBKSyN5C2efM5khnsD2Vbcmks7qPx/3+Uc4+hCu
QS7/KX2GqqijW97/+4bFZMGxtNERGpM4fxoZ/+8T/95XZrIF9QdUszb9y98bLwr/+6f/fax14o0J
cWk3Y3rDVuDi72ldNo4W8Sb10XTFzoqm9ZiMNnqM4naZkBgq5ldmYMekqRE/Zbk3LfRkCutXJIFf
ZDbvRWLBY+7kTPXVcWzZfkeUh3V6wKJBY41r+Qu3DkgU+u9OGd/sL5l+atgvYXuu3HS39LxgSgJz
21p3lH4lK7clBiVHJSj3aa5d7dwvXXIrLy4vTkflSpk2r3DssJ6Fh0VQx2LDEQ+PkzScWx79JE7Z
vbMIW3n9SbRKXUzbZqjU2M9dCrzNqDuGiBVCCfZdGYYMr+N74bLcwHViQkWEBnJoX8kC52b2SVLm
gUHyzg7niiFkTRowXfQPnO94bkc5XAqbXGQh6EaVWF2ixLvx8BTycjGfSSrNeSuFpuyjw8So9IV4
NsF3cbeJx7gYL3GKahEOMgVbH18SlhqaLuR7WLXHRFvPy1qyN+lJL3T16o+wnPqsvPe4/DzHpcv5
S5XR3Rh1X8tLmjoOu0iqN1oTVxETwGj1pn3u58FHy5jm4JoOBtmPzgYRLxmyEoDNiOzJNHyZe+sp
L+UtMzZiI9nIBtGPv+ymf2M9o1DbGO/JRlf7wrEg8XMocu1fJ/Z/jOqtiqZpVTQdGcXmoQ1T8lZq
jbz3M1TdT2Pklxp0M4UDJCKE1jv+p50fIacY2VH1cPD7PNplKE8AcVGabM92Ng4jbhd7Y7bQMAyS
bKr1TwNw7SXyHDIPz9t5b2YDhudW7Qo/f6hm5zEs/SuaWbr20a6ahuCXHpOnprVfEznSeexOpz7A
Rq2Xizso/DubyihqI4udA5IwHbpdMpi3Ih1vpXRu8wpYdjo0a4FWO5EuwKxD1kK8MIETk/6kYfW3
dj0gxNhtJ1JfVmAG69hhfEp4oYucL2GQhYxKkN+TQTo5o07Sgmhuh+3EJlAfmrG6RTL69GJclbgr
ecxZ0Soa85/IBndEPcId+liH66bZxmn/Vnvild4HFDYvPzNKBl0v0qNV65PByrqF+IuPiSPbuPjR
6lCu6q6LNjVaQFXjoRb1PmogUQcRD8rZtM6VedvUebN1p3wvxwKOyCiJt1ATGGO0X/Vedc9+45KE
6Hyt1oQVslmtVOvdkImMGDl32Lg2bEX14l3pbSTN+k5bwNW9xKKyCroEEtvaq1xxjuYBkhG06sAH
oj5YvGqlja/Kh/rnca1XDXa+MfqtvV2IbXrD06NGIaMgSTETgel14l6uWTw4tKjmwRRJs6uziv29
JK0raU8tCG3jjCH2nqegD4IEZTS/8K2x/CwTwAxDZq0jLPptfCKrfp+2wXeeqGSTzPLGGvnKJZJa
Of9IPGw4LEgkx9AQFIL6jtYTjHzt1sk4Uk4kGW0izKN1oGmRLtvGtNYTVvemuA1r+MtVoF6NuP0V
DFwXzMOAn7Hsq5JiDePX8I23EhNKFeGJ8tvThFjWtSeag8+VVx7BpUBO1xHTy8LwV23pvnsZq2Fu
T1+RCB2Ciaa3ImPQbK2Yo3ngOrgRTYMfjoLQSEb7BO2K3S/C5Jz1eyc1MGL4C8B4Uo8NPSFsnn4J
Hj4EcfjDzncvKGmnLXdau6OtOQS1cuN/kY96yHT6bJDmavt/yJecsQzPwmpCsCSNN06F1cY2cCxF
EdHfLGWm7FTLuEN9dG2X7YaaF8Wk2qelPqxr45mUYvblFupzkhBCCFV7nYFRyao/CONyLfQ5bhHX
OgL13FftjxcUFij+5D50451m9Q18HJ1ZLKad7Tcbx9X6wujqswvA1Ir4XDZTvpsyrIZ9+dTP2U9U
a6bXvnp1MmriO+n8Aobw1iWB3HEiLSnbQzTP1k1fjI9xrwgSQ4UZHLolFV10ob+U3KYwgkALmEHL
E5voKbw7Y50vFdtJGJ9lhg0QfoXjw2ssvV9jnF5xsqOXWnyGAG7XqFjQSRHeFmV3nDs2qxHj9B4/
hzHMkNvhpbub/Cor8d45UFXYAtyy5Tw5Afh3D2LDCuHvyQr5mpW0gI3m4doETSBS+8eyMGXFhN3t
RS5v0vE5pIrhNETMx8uUFAfdoZRzXrSkw0o4NGh4PYhxB1C154+Yalr9TOX6VrRarHJXnyfRPXU+
vSdMEkenfm7KKSIale6tQE9bX0hzRdPCt/CltzXiFWSYfu2G8hB09o9Q+HUFCxAR5XE9wWta8fx+
MYS+bS3xLyogrncUK+zQLHqILY5FSLS/o/Xg34BQLlyWzTgv3thqvHD1dDvbae8n/H7WbJpk1Ltf
GxVzXVsDabusXgszx4qZ4+Rj2nTCUH8zJOF1KdzJW5ymVnUy/B7OG1UahMJ/7dxQm6EqePwbu5j9
Rl4SvgodQFDsB26HaJuMQIqapuRQpj5cpvKrrLNeIA8W64obYzXq7stUM0PVcLq0Q3obdQSGAwHB
nNNsnuw6CVARr1Z7tUrKT4sS0T/3HwIj7q5lF5bbCQV2BdaNLDKRWQhQI354gQnYA93Fvge3DrYP
ECIRTN05L6+2T1A9zcYZ2a576jFEHDFrDbPL9yDLm1oVJMFbZII4wVzmzfKVyxPGqHOwbTtY6xpp
KU3M16xL6EAcljEstWuJY0Kxn+imNQnp5JoCh7IU8UoH4YhzXgkaxPzN4NnxNcib73hBMpeGxPum
5mv6B2he3jDMmfcYMvQqzVp1haYk2PNezbH8HtTY0jt5BU1FqQyeOK0RLdLC+AZ0VdAEjvg2QxSq
eJgnDSUxjkl3RKLjlJNDtrPm+qeUaX1nawsyfVphrYEooKpyw0A+YYbML4+ORloqmls/7j7l6DKp
oWe7EdtED8PVbrhCHX9iwa3lGdPR0o3Gho8631bJ9KRC564IWI9FnR8yjN6JU+xU7eV734tpPcB9
jKtQP7S4WwhgVdmO6G+4Gqv8K2fltj3wSaU/HDw3MPdmO3+puPkVEwEQm1PxqpbWwkgi/ZnFNsJ7
rOldSnMuZ6BaKg6mc8TDOdbDJ8c5gt8hhDitvGdXaH9b29RwdujrQ2Q8NRQzo4Y37AG6nxyLwyo2
aSiKga556n1Uxk+LaTyqKaB1BUSxIE1u+2MiKfvsR8G5RqMnD/34mia0PEhpL8UyyZ1Wzj9oannQ
v2dyUQXVvJNZYuMTbHnKU3jB79dHb2eBcCHhBNI+lJxswqnwd0qwUaeBuqiTx6gx9iKCRFGNYwsB
LVgnJtnBvi/nE8XC0I1w6zuV6a6thikIRfXxzLUOsI6fGGf7WvYzM8RZfIP2EtvZ0BU0Oky0tRkK
WgDiD4OyxyBtKCuYV4Ex9Ncina9TXautYWBAYLNRu5SG1zVfG4jzp+Df9fNonvKguhtrUstlcz9X
9o/JDk3PwadXWz++a97WZJGIRO/qkV2wN3Gsbo0LlrlFMY4wZZRuDKf7xCDnECNfbKq0wNwT0V1c
xL04yFC8BMNsrNmu3Tmarens1z/xhMBtyxY2CTpHvBOiO8kObJJVhJ9eYcyrwfhHB3K4NZW+BdxN
4Tgpyr0O02rd9EH/7BJDHdLptUQ2AaQM47hrPus47jdhf+PGXrkb9crB+7G3DIzJ3ogYnkW4dUwu
bsdmcmAj9FPbg0Zn19PO8MNbV9FwnnBrrYxlyOlX7Oc9AHdxdS9rPZ7NrLhYccQjWPSv8BJ2U+TD
XMoAW7VeTh2yj5+zpP5N0iYJ52NGRrAwQ/pWsfLd9DX2mgvoR2fr5nSm5FMzkp4g6Gvxf1dq6T53
jv5Qw/mswZ2bdJqPKlx3HBfpLBEvybbU6BEkIyJ8Hmcv5r+sO0YSnUujyRgAUO4tNNKgJefhKVNu
bZfnHFwjMrr+TEYzAV6RKRIV/dGrcChXHossSyR5AEhQ2rEZA5ET73uOZeC5lxQPdtpgAvLRlMml
MqlGVU6/q1P/TMC1OBUVP7GRqPS0uCGjimrxiOV6K6JnpomgZTNSpaKqD2PsreLIVfTuIKSDYuBg
kZVbs0kDztDQjE2K2cPadcD8mLfpnNzMgR0cyoCeI3S6XdsR6EbLxI7YcxLu2fYHZlMfbfJsK+0h
1uFNuAxY1VG5KcuusMkrVrFCJpuJde2eZzUOXdgjocNeNVKIh8x9h1XfEAoO0KyPYuJK9jTecRnD
bMMZGqzbu96ESMhpl056n8Mel153z4qDPUWdRGtjuLXZXRX6AMcCTHMXfgAAHG3vy0IhWpt6bO/m
GT6v78OV9yv7nQMKMHcamWAHhTtcQtTcdi3HfV1+KnMet1PGxr8rUA4d92jnniSIBktKSSZQedrc
jV794w4ApGpqiGOKXOKCyY6B5yv3fWsLCpbLwkA1H/VYr7Rhk3ACxGAs+7NyoJvIhMtoCf/TZQGj
e8Q9ZyO1a16b7U3Dvzq10ZwcjLyDzb+CqOTzHfUsrMCFssA8JPh52Wf7q7QLzDW0kL1VEBwYrOgt
YpCz0YVAmzVpqxPiKejdq9dxGIJDg87r7X3UxpXMQArnsiI5ZlqvVMCTjfAw4MmUFp1q2RVBr6Ik
AS+xQ8OUwBhvYEXnkf7CbPGxSUS5hc9CwmDGvawcnNXRv3QKbkKIrrGWDgcUF+GIfR3k2ZpwmoV/
G9JeMqsbwyn+iTElIFywyUVzeMOJfosrq92yTQ1olGLN5I4k0JDFBJOimHX4EJpcMFXv/sLdOE5U
+wLn0cwquIX7HmZLDxOp4rbf6paCaM+MKE8eGbohPDO2sQGUefm9R5pCjR4GwkD85DYPyii4VbUL
yk0cq0iStapxGI4Bcan5tnTFQ1DmF7JqJQBmPEdBDFdKvLDauz6TqVR1jCMdrkrLlTch1owwu3bS
fhUDFZzunFwYIR6zqSHQqFwsYfa3CIPvJIBiGRvnJHDhQooGG315lT3pGoQZbiYM68Q44O7TQVSG
4VeAJw0gHZzpwfqtl/8uItVNr2D+npmQHU3FEtoxvmfvYH2KYCKLHf7zrF5yPQ3H1Odc2mtwjhzj
P/NEPw7ttFc44hiqsknnrLF3lf+iCos9ROdyT4AHlCSWhdMZB9v1KzQIMoIi+KiDIlu3cjoGwQjR
viCSLN0E48v4VsSoTEFRMWXV8LPL2r4RecJwRNGWloX/IqM4TJZTPPy9SZkn7CMch+u/dxUnLbI6
AiPvJJsjm8t9IUAJxRmhOrAgtCEWvXWa+R5PzQR6JvUmPK+spITnF87OCF8gj09xkd02ZqGPuo9v
q7iQByh2T/ViLs2Mb7zuHJV4RqCRM5EI00M+1/Na61FyCHQGPAVy6TYPdiDiKGNzzNc6qI1rOfHA
TczoYk6E9wyTYLqE+tVPXralqYeooGTEb0XthZyyuYLk2x17L3j36wtImje3nMONoDZ8RFU6Mkl5
ypPie0SQ6vX4CNedXiCTOjWAF/FS5/YoUWG3EibVPNR7KCU8y0Y2IwjM74VbPOZOc/aUTSYe3HYX
MxWoguLWCPSVlue3PhB7P0+vrgQAk7ZkJx1BmDArscmw/2Wdat6SvLoDxLVx8xcLj+PNTPTdMWia
nnBY8uSRWLLaU66AySbMLvIRNFgQQHIRfaA2VkxcoSdr1C2d1dAZZ1Gyw+6KE/aDqzBKDsMmbV+8
+I0irBKWC2gKrc4OYOXkrz5D9DQk+BHb421TVR+1nX0arXc2sEft1DwC8ec7wTAb1dGeWVkIwdd1
NuYQYBNJ+7UT9OVaV+K1sQk32g6Y3wpTKOxFtLjiscCqfw7GAIwGlzfcg6A5B+2sd8sP1QWFt7OX
djmruC/sNGRgn361lE1gUs9byKRD8jaWoG4si70s+EWXrL6z1KpxkqGeguHOcBEmcdqU2itEhofF
SpcrnEkeVXzaiD8ix96yBJzSolhAdVW8iQyYiJ3NmmQTEtG1dokS0rIoTaDifY3gKN3+oyeGnNUK
55jlf3Zh9Mnh+DFR3U1WdVc1lOvKaUkaliCmZ6t/FXH+0VGAsKpLNISBuivbix77SB1Td/qeqeDZ
NIN9jXiYspTS9hrAJKO7oxfRkwMe0iyNp8LjaWIs6cfBeUizWwoEKBsLOSJnsrs4FWDl+JYE61kl
3jYJS8b9zheOe8gWaGfbnhFcliENWfYnVz0YUNmfVJMfsTuNa6Dr1ynZRwG9tajl9SYRJDqVtn+a
JN7BVjwxhkAZzb/bauYg0DjWFiLZ75QiSJgtJ4KIF7orWm/lFr4i6OaesYs/ytTbkEtBM3H7+6Fp
v/BQnrCT0txeVvJgo/uVobqxTJLkS5ZVYNPHsc0y3AzyhdHALhrUt6rZqSdtc+H6QZOPLkbLXFVp
6z2ew5y0HN1gXKltd7Xs/ijmhARfym+7tQbMwksF8pAA5+XJ3Gvvy6ynt0aMh8GhYFG3r8V0ygF9
oiZPeLKjm5CVxY/9R8+zX7QJyLVTL5EfftY/0+Q8jqG/YTt1cUPwj9wj3L0O/Negv8xxcjelbr4D
/PPUiAJitSI60ExvUFehiJHrhKKAphvpe3e2Lh2/rMbdNr9hHN2DdrvrKtaDcjkeugwtBI+cseXp
FEJwYAK2iWuciktsJvLcp8qb+TVoMW+95QJJCUqOjfWWcuDeBJ11D/QlWE1JC9K8MfhFOC8Qxz/c
97b1d8kY445l+0andv/uNSDVMhKh1lmHPH8k8u3Ci+OQSpy9jLqnZLBex+y1i3+gXtx7dhau7tLW
3atohOYox2fwyMdyRhcmRrRSmEvceuLUyXqAATblUGjoF8/kKRYn01eMp2znMT/dWtNwmSe4pJNH
JADdDWMgu6PW/aydlv6VoF7PpFO5v8dzl3kvNelIHJw3nDlpDGzLa2iof5iadumUffr2dIUg+SHu
VCwP2hlvTQT/RhjctRFn70kYcHMqcCtT99lPyQ9qpgfXsP6ZZcE1Q26NpMkhcqaPkYV2P/M7psWv
HOcfZsQB5wiEyNJpDr2znL8V49usgLJYhvklTn4yup02hgHp2Q1bhjkuaCIfMbNE4LVL2mGmKTRW
tVmA9dwhxXPZaCr7cocNaB4k27CS/OqcodpN5QCeqfm26HU2YtaZeJKHfJi/6JMlueQlOxVxCizK
a4NijnPye6zFySoxvaIMwLYGTVnx6iIhQZCcOC0TLEue0RauKtjDyc3kgHFfQFVTE/25El1ACrQT
E4scub3uzUthCgJNbFXGkxCuIxLE3oX1se1zuIDddAz7zuGJQVRbKmaHnfFqFvFPwaqwlo58CyqX
/bwC8FgR7o36RNJvDJrCO9YojQdHd7dWT9AdvSzgCBble2vbNDbhzZa4cfMdLVbTEh2PvBfu7ooV
OS5tgh3pyRXjW24DBkAbcBfGzEAVcBvVGO2OaYwoSQavID4wJez02D83dexsITGynLOV07Y88cIS
UbhRS11YSyN6nCDMOqfSKzeJIQyugr+1JT3zSBjXFZ7lpQHXWQXyAbTzW9enIUAJBiGDdy9Ns99E
Yf9gdlW56wr5HLrDM7ZR8iTUkWLCODu2d5tYTARM/HJsXfQq89wLtTY3Fq3spERJts9s3UOcNfsi
eWgM88mh3xi/vXyPejYp0B1u5rS4SVAQV0Hi3avMfhTdSilVrgsy+zsqW8jdUVtQxdIFCzl/0LS1
hq3Kxaq/UbXfCTrcDzFKo1WQdZsM/1tWP1jO3koEOI7CfCw0dq6alx0rsBOzojyoJcgoY+9Uan5d
snhuK7wjaS5vHWLSRlEfOee8mbKg/Zkt0rr3Wo7l+XBwPIR/aaZ7tAMMpZ7eCM8G9klFeI1V02JH
uE6wKG1S23oAiCvXNoT5QZdHPwWjISmmKkvzE6IVnOdgcYqzRPk5gmlozfcJlUNrtroQZATIQq/9
ZRIBlyNz/nVJTAoL1EsMz0nT7bypjUlufSII7K+AAkwB9kg8YykuqHBbTPqRGwoCSex8ubF6tzkL
nilzvJYzZhth7MidsXDhozMaFmGXMCuDJ+IGxmNA/Qk+j52jzlWi36qUCXM0hmudea9e0920Y8RD
iKTaKh6LG29wr52FSZnmTMAoAae0sFHP5nhK/fGDyde+V4zjkMxzEoRySv7lLv2ncVwPFJkUVwZS
l2ik8xSKCRuDha6Uwr8z7c8WEcPQ5H6TAEoiWfd1U5Idd9Mzk6xk1bIVFrpk9lCHz40b0IUDatRq
ma62rgFIv68/TKc6Ia49TG3KMtK8g0KHO95HdwuJdiaDx6hv2qQjvA0SeNI+hYX6NYqA2hXvJhxS
fmaxNr0IVmnB/COMUV/LmjNnQyYmBnLoO+MqrbJjN3qfjNBEK28Sq8nXftY0gC/6Zh3E0ZctymcO
Nzx7DWLAcb/HMDesg0LepuCZ9mIYvgIUdD9K76JxrI9Bd8csZV7Py0jLI2yIZDBs7XF4Dj14sn61
bLdydW63iFq/AZRCTtlUdfm0XfvMZ1h4ZoaVgCtt+ut5trxGcUrNlufeD0guBN4/bcpmpaSPVfTj
dfZKOkbt8duPrHklfQ7LoV++sC17ydjG+JITgST+i/nbH0hQYncOg/KmEP6uwUCGmwJTRhzMKC/l
F5L4NXeeic1Ea8GUfsUZ71/vthe7KPa6oweWfG6wiRusnRkOhTntbj2j2ldpcvEpod+UEy+3zm7Q
n35qnkErZH2yEa/l3ItjV0BcNM0CK0lEZSDyc4sUta5M41CnCJ9KsHDEjMAlUI8Bahaal3/ucywJ
Q/fBIznBpdyubB6n84D1R7ntE3q7d/A8hYUv6y7hTzgP4r5AzvT1E2drn7jhA51EC3QRBkzBM7B8
HNKBklucP6veZqJWWmjY4PZm7sOBRt/eAdcCmkBGwVINDMe/V6+uga8oJ9CPNJsnF26rjqDcxuWi
Eaq/CYqG0tfO3nEg2ywSkqsYG1VRf55jvJzCGVG5TfmgYvOYel1+aGX3bNsNd5XNfoAz6C9+/Ccx
Y0Dwuwj2SMpTQkc4aHLBNaERYPpXkNVsB3xu0xjyO7kyqjnwi4B6OraT3nPcxFw1bls2mGxk41fq
sfyV6bP5dfF8ariB9BdnPacrHxBqnL73Mi6xEJTRMoH/EB3pGlR4R+o7nxd9zutXTr4U9sz9aUjF
bzSZdJZTglFA3qGSvHqc5MVSk0/BCUZmIfNDT5Ygmfg1joFIPtLeGFesUpRjN2wr9VDukNmqkF6N
8eAmLkiXDq0iuvZdcGGtYuHMekpDjLM15S9pnSGM1K/szLpjbg5v5oB7jER5kJ3bGtHPCzuEPdK6
ISDDNu/ga4NZS5JkF0CSXFlDtrTQsOdIBBLcXHL+WenGOHpS7u158LZ5tGBZu/q+C4tLS/Mylhqw
RAAuORkwetYZPwh9pAxr1YwaF/xWgg6luvTTbdx191oovhjHLLw9ueV0m3rGJ+wh7u/pSXsEFQxN
JjGwSWA7KszqYca2uO7d4snsk+MQOeig4FSa+ddtQJym+bMusu8usd+14GYTufEcK2TZWY8fbuR9
SBtwazr40A4mnGOqGlaOlx++3dYAtG20m7y2IZPTvldM6J2o7xyv2dFzJJPWrHYmx1PO8e+oRIfM
HF6QiVZBzX0T5U/J3H5Mn2Y7ILIZm9Tfm1VgMXNXR7b5AYVcqIcgrrB5CwKKDWY2eBOMmLdBRGAP
RMhuAAFSTfd4iF6tyP6upu5pnlErSy9/aWX6pJUiNUvP/QY7UHoaeExPZnCdm/zdzDEheVYOZG8E
RV7XzwQFGAK4e6ELd+/RtjIzaev8JNh703B2E2drEYHZA728GI7xHfnlSHcCPWZMIVknBnKTi/JJ
nBQH9cB5edO1gN4FQP0hBB0bakhIFpt/yLwYRnKKvkf7Tif1tm38z9IJjrZs/jV5dRUqGFeqYNwk
jxaH6nXdpPDnMh+KFmPWmuqeJhqP5DLv2FzD+6YhxzTrW7Yz8KA0ugyuZcQ7nsoDpWauApMnC4cp
73xJCkCnaXMdJ+4lAmaorAmshehNYitepRaauwTTz86ZMivQ1PueJxrjbLBlmqx96LjftZH9ZL77
M4G0SzTpHh+pWb8OI5mHILXvtYFGsxQFKHzcKxo3mMtb86YYMXT7eqII3HfWWhWv7EzgWGEzRNTs
gI3nVLWWyzdMi1Mwkjuf5TMEDvYs8QwHqPDCe+wiiapIaQXi0roxzJJ94lrNuhkpK4iIKlJ3a7H2
9ha+lvTTEYq+msSFdNUOG7vstm1fUu82E3UwwFwDjiGsyFSGrf7G0tOd3ZUQu5zhY86qp4RekS/C
efGBIjZUG8paWXLpKAVkO5esgwG4IdfkJaFw84bYULQecnmp8vHVMZ1rZ/rvVW5ugtD+l1XMLqep
C9YqWnf4YTaW38vPEEz0sm+yIByp8iyb+JmQFqF6ng95/G3a2cCp/g1r+I/tIC5gxvks8ul1HNhD
qpjHhrAi6gtqYHnAwYqcU3frYgrE3ABy92VorAffNUzO5TG0Rk5dYVSB6rJGk8WqsdbwabgNkLzW
Veg5a/pBX8wJ9pzLaN7WZAhwE4dMhXTLMqKz5rlvCbJYPOcaJh+9+Vm20zGapdr6znw7asaGZkyf
LVaOCuJauVNUiW38FGt+gpUbbtfLHOf1zmzGbmPKoNuR7f7Oe55Ihsvc0+CklQAYnS3ApXH/hH1q
Y2q+YJia9y4/AMwfJzkKiXRss5txD2EzmUQr5rd6hGsV2ejmbEF+wDqxPHDuGC0HM1G/6bCMrOce
h4IZfTY5Yr/ZiK/Z4jAL5O6+b9jldt5NP8LfqvTcIz0xByIJ4n7MSMlhmcBp8ZHbk8xmP6Ff/cJu
eU4yCKciirCRmxlgiIudp/6KzDkYZQpwHqKeZ6YuHT8c46eJUl17WAAqaNPrFtzwura7784Iwmvr
flQKFd23g5xtyfzLaqJvmF3t1AhMHXk3Mf51/CWvc0fONGII3UeWs3LjgINlvbNKDAoC2Mm0TA+k
sszLlLATzcV9XMrp4Lglp+FpqLeezkGXW8OeWFq7aww/4+OiOGiez1sRZh+9HVEGUoRorIA5XRhO
D1W2B7E9Jva8CkNAiyK5K7T60Y1ZEdgGOz0F04scIaaPLhpb6gKRi4j4dna8+HVqfWBECygCnLPJ
JizDfb3G/TS38Wvh4Pd2ejOmLMS8cHgfiSKmqJE5q/+UpQwf5cUwUmsle/muAyBmeT/+02JCjOWi
MsglmDVaJfTRNdwWoODaOYyN23AmcJOdhdGfa9taHrTkHFLweWWbVUgE3YXTlhVXFeanxTYRkSup
dXfxoUTZDOq3NX08u3ZoTqly33PAHgjx7Y3r5kd6Up//j64zW25U2bruExFB39xafS9ZbuuGKLuq
aJK+TXj6f4D22XW+E/HfEIBkW5ZQkrnWnGMqMa0a3VgT+DkVOMHKWbpmL0ItvhQNAG2dYkiAem4z
Qst4wrfFgBSs5dSEQWdKh6lq8KU676bNDFvtWTa6tr6lJq7eBpUWKkLLnSUa/6bjfUHMDpnMzgC0
e6W1zDR0hHKgvIZlj0w0xsyYNyYfi/CI55ruN7CKp1Bwq+QSGjWff0bNrKe0pxPmUHXQCw9UUyJf
Mk39leuqv9Fc4jOAoQ3cL3nv2pxJ5EiGF+gjEnSVmHZ27XQEl7ACqBVmbwedS1JEcbYy66HcVybk
03kzH9pFVUy5eM8udWR40wZNb2uK2Hns4tyqUKnnyHg6DATY7FClVt3Adgxc/Jq+xeK9bnLkifUR
gZyyjgMdN+t0at4gHWfJZloHu0X2b05xOX834RSME8/pOOQvb7G9LtoJHYoDGjDovDcxQP8e5hPo
yoDTzB1QpvuCb6h47KoTbXSYNn7q0/3GeMkqFTTqvFGi/+zNh+4ETiVGtAFit1Ny7jdFCjyQyTO7
84YwCPI9zPxqTuxaMWXzxNzcnihakuk79VLnTeNn1WMvdb1OW80nMdnVCHmnJyWaXvKChh/p9KWr
QruHRS7/2ZhmxKK6PxppqGD00b+9BMChwytkmaEtHIpiTBA8oJG+ola8CLvjo0okaVN0Rsw0p9pa
I3r0e5pYlQ2SSu9HggOmd2b+h+c9pjq8CU18URULrAGW0DFIgMLtBbbtPYrWtQ20OZ0+3c58rWpE
Y2GAEm+wF46RFzD8hQEWIDBp0xCOCB3/0Cu862pE8sXfT2b+tOZNPX1ufkOkA+IjInx+zNdBNJje
qtXMH3GNDj87KL/NgFqE5E2ytfuAlHWZ5iX9OdbihvaLguhvsusUvOYYXRt+y6i09R78FL6ucqI+
x//zvpi0z0jV3c7v1eNh+tvctCyPSWDZSHrxE6S3Ui34cfNuL3RAt2Xa10Qn2t+Pcx06ncfD7bwb
lHa+nzd9OrGfSxthwUwTjpzGFXzJpgt2ukwtfXSIeBPves3C83Ex/e91NV9cvkj9NQS7I/dIv/yY
L8mm00De5hBfNBnHCK7CXYDAYTO/pe5M4J3fbPnvV+Px/fj3MKtTpKqIMGw+1hRUwH7ey4ORsl1F
nxFhBCXRsq72j43q/bM3v2N0E2j3VnTww7IZ9wkTp/0gBTqmaSMspUEiyJQkQxfDihsoYVeW0a2Z
NrQV2oULIWdtOj7rxsEkirDMuE+Cawpv3hDz4eplTCObsm5UUhox5ehgpfTsKz0k69hHw75JDWPR
emGDmgncSzVvqO+HtKPPf5+voVN70pu43s0/Pj+ghy7xEBllgvmn5geKIWq28UjitBZpxsEyvKuv
Bt61dHTatBSG04xTJKGhqnGAvhpO2l3mZ4R+5V1No/2BDHyKUPrPT6YtrPCgYLQe9GRZUHa+WYob
3OyyV1eUhJrHuV6TwU1xM2JeylxH683hvCEOVx4M+DPzT80/j/WovgzcJNp/n/V4Kh6jrEjbc5hG
V1fN7UNctuaVZEuMCdiiWSfH5jWczg34oFcpTe/laCYhbBxm4gyE1ef8lL/Ps6MDBEjlMv+ifmRx
zAUwrtB8oN+V16iw9McfmZ+AC8ckJXFkAYdPklGQP6dahbtRkoDwVAST6AJCNPFq7lNrj+xVopJX
9ZRYwrqaSrsvR984DtPPMr5bV4UMgEWKGXczn5s33H4tpjgUAv6e04Y4OU7zwSEq/Z0s5R9qkdGt
cMRwLYqVpO51cyFu2sjvzuBs9attD/dYqNmhaULjOp9qB7qCDilRSwWpx3xqfjBGub6zdRYD87l5
4xlDzYf932eUkjVfwJLK1InH+fvUrK+hOxWSHv70lPmB2CKLqrHN979/fT4P0+hJVA4hJv++Ko/J
FyVp+vLzM4bpxadNU61bWwEPVDjlFepy5lr+pZg2lQuv1iR5rhsxALlBb1213LGuKiPyIreHEukh
58A/WVcY53IildIJm87NGw9SxGHKBgcd8ffyihUrOdumR8Pt0FOYehJl66yUEUhp2ZEOiVz+Vdpx
fJCo5+kKIx5oHfrDkpkobO/+2pR3MxzvVcN8fXTkEtPfz7oRyrWcNlklw3Wo++FUOvev8wNqTt6y
7iDbsdDR4miQiThJ2e3mpzzOVf6hZM1/fRzFinYj5+LQ66a+IS493BYKQRvYjcczsoCnMSd+Zup0
RXl/DCrrJ3est7omYstnmRXLCOV9TTtdnC20GE9S0aKlV/fEvFerMdJe4k73nvKSXqzU3NdC97c1
wNTa5wUzajxZlf1kOyhJau/U408acLo1MvhVeLAao8KJlnVuP5Vk7NSp762jpPnl9+0u1jCMlZFf
PbW6qJ68PPmWgpBRXL2ZLn/bZaICAt8FmUHVy+5IV/eLn6anGVsjiIj+QLzNN/rEUG3tRybrBb/m
lMrxK1DII+W7fxjQcJSYdNmdN3bjqszvekdZzLvmdDw/YiU5aCHIz424jLVk2Jif4CWx/89z5+NC
SzSgpvxU9e+en43Dfkx/kU9C3Nj84P889/HI/BNuXBMen6q7UlGgrv999uOPtlCoUdNMv5v/5i0p
Gn89/9x//fL50ccLGwE3OE1MXPH0kihsGk/VoJvLwfX/87LnZ//Xr338YGw0xbIqIrxP00/+fb3a
3//98Sf//sdeGFdYdr3vv6f+6x/733fKUgd3a5IWhlabz+Dvz0joYAvMd4A0B3kvLSvegHK3ClPe
8qLonpVIettg8J0n0ggmxq6JZBWeW7wzYq17NtW+uHVUY6aD+UzsVHJTuCF58hFGSnrVOyfp0CXU
jCCnoWuHQ5H3V2PYtIR1vElbqc6I6QkEjqXzbCYdRYjJJ3uwxmqgCyQGi2ZoRNXUYBk+VB7SI56/
VMyxe573ggz9Lt3n+IC+vaLK7rVr1VDqZ5sVHuUtwDMsNDSWXZnd3T1UpFO8d5Vo2LAKoow1t/cW
I1LSzfxT80ZJs6WozZ1bQki1ib876ibdGc+x9pboxNHiu/xUai5JMJZFfTtDDxaaBAp1nhx3JdCJ
+Yj0hJEGAlqTrMaoFgAfuEQwutfZkGFynvaUPIh3Pf0in96e69Feap8Twrru4D01Ip8mXKHaYsrD
gsGtc/hR+P1nmPLPuxkLfFVFLlpYtX9AEkIUoF45b2nmbHCvklYXScKdeuNEyzVYQNdxPl2DPjF9
4PRsClu5KZn30dNZ+CwL95zqyZvv+sMPM0YGRHvj7rEsOCSWXlBpLLwz+geMSrnyRknXuZXjUF74
YXwqCUUc1gOU2azxQw9SbEB+abw7jECDYkbPnpKRiJ21E9RWA+3gTnhFhWbsKU+IuiNApqR80gjg
le3Bmq+BJKJ1z2VIMRHL+8ViVrotKOsB9QnX86uEiLMYdZ1onHbcKlKhjk/JC7VsjaUjU/2XAlTB
1KTrTwHBpHt7UIOFmWq/hJUNV2q+8rEpBZU5ItM3vaz/QMOqDPTq0tk6KiWYjNBsfxxawOW4Lxxl
2JSqpI/vODH43rrBn4AQSEFv7xEtdf67UabDqq+vaZ4s2glj1gAswY0S0VqYDqtGNbmiPHkFgklR
oXhN0sD8g9vpFSZF/UETFH57VjRrPyIRIbc3UBqcehFKFxM5YbRHHfv+UzPQpiW4B9u9xkrs4NuG
f2i61n/sCfMrznrlGIqhMJYlMjYijrTi2ZoodMi8Xytf8W4lPRa+Qkj6lNaG7FlKDZtDzNzS910L
ag2C2i52072e+v2JAkSNl85foxlodiiFinfeMLjXBCnqJvfNQpgw15B/90pS3mqj+HYHEb5DVZRL
ZNHxpfUR2lkFbTCjkN8RGgciCQCshLa+NvuipHgOcLUPqSTqNf0BU8MME9XUQQbRepfeYJ0lRqZt
6nQ4nwN7sveKkqiMiUcScd8w6+az9wDcJ0zw1oIZFWNKGFI1qwhKwoTWEzx0/a9NUl0Ct3APpkdt
MpUmRNtpGCkjvmHZqF4TOy5OXRk8EyFAMKRKm+swGEDFDdJgLwQjO3uaxNG6g+r0pkT5TUSIkaE9
+qCG2g/N1Oz31iyyZVHqxqVqLMIHAgHbQQdEW/jtsYolq2BaQGtinYmNNkLr7oZ5cMKxg+dm2GVe
+Gn4yWTpSQaaOaUp53Otapy0BsbEmjmnewsUxMYWBmSJt+HoGdStTMvV94FLLHgyIW5C/zd9F/fc
mExRQCSFzIQcp4E/RrHeVBrr7ltVtXKR4q9Z2znHIoy+0Xrne0x4oFmUkC80aMSfrvSRY1L6uBkV
ilsW9cEPtQfokPsGhUo7PYQFd0XVVn+S4IvzSwmbW2fei9HlsjUTgdjEqXtWd3xqWEYw/Wr2LjZE
Mw2KzGub7lUT/sDE3/0eSNcg0lRrEdfw7bVzEuW5ZYnd/I0eOr3aYj7rnuTE1dRTeAUpPNqcXv1y
iKYJnNpVN3fiDeRpR5m089EjTYc4P6wzq4KLl/jOKVKC4pVhmntMxyTWCdQdIGheZ2bd69Ex74Zf
/iGoKDOFdqwnroFlwcrWii47ldOhMx2GaiQXGCyIJcrt6AwmCVNXJNJvK9uIZqi+hgmNGqK3KzXb
+0T9fZ7JtZCqFwqQ2LvCm0+JSmVIa7P8D/qVSfyHEP8psmJqCFjWjr7XRuuwq7W7NwqDuOCgXfi1
JHxswgMW0ogo1Hs5lymHEZrDg0oWGxhzvt6KttDUauFa1kSMVJ1o46vyl+HaGC+rmj6vaU8psNy1
IXIkRMr3pjjZn9zSymql8hIWmlPlZyATcu1ECI7h18u+u0cNSJdC9YCBcxTWtD+VAP9zz2UUVeL+
GN9jYOw7GGsBIE+7+Syt4uSYAgq9oP+bZR3/NVf+gu8jWtt5BE7nrdcTPdFTGX2Mhpg2UGsnxm0c
6H8YhKqtaqyOt8BwjiUW1TdyyrBWpThy50OcPcoT6kqoWDHf3HkYLE0gnYmn7+Iod88k6qbbcAhT
vBXdES+a+gkuw+OvmPZlTCx6AUZtCdSUo/WS4XmgZz2Veyf3g63/s6cEg1xg/gPBOiGkXJhJ28qm
PREPBU36+SRpVe+RGm4E6Xq9VbdrTQ2Z9UqpLcIAi3WYOdmqNtr0JUMmDB3Y/tW75AJpQaGtUFQ0
1wK9EkoU/XU+UkuPHvJakZr62qdVerQtKpL5hHFpFHw8vY77uUcKeBntYYHma/hoKpSaiKSLXWSq
4T1WHQJYh3gdS3VjdjUy8PmOqrBk7XLqE/M5sy4AC/ZDdetE6K2rgUwQBUxhX6bfWme/5Gaf7E2i
KdaZipGmrGwIlrZtXOcN5BiiRCg2oZriXCgxMrhkNc+TMtU0nK2uhdViiFuc8hq5eGGXEJmBMXsl
p5fc2zkSw4SJFP5G7WoEmO65Zuxf9gCKsgu+G/GatIAJcs0Nv1qDCFRtjPJnfZTWHuIL3sD5junT
dyDRzatu0Eu99fyfzYeaCkO0cTwQpYhKVdaQdyM03i0Td08Ge3mjAKm9OZpLwQm98iLiq/JCFnDT
9PY9qqzuhT/6S28q/9grRC1HInK7515EZKIEbn0qPFxoWaE4L55O1EMTZeWFMFs0vU77nGVef9FZ
lb9qZv3cWYO8zB9w4/fPuTZWhzIpryBro2sbCKY6nZN8+yGVUTPTPnU7xN/mRdkhUHlGpQCgJWwc
5FNLI0FhNCMbr2sPgZFoX43D2j1U3A5Jh519+AUceenmYqtUdfZRc9d3TGYGwkvVm5Noz6bhpx/c
RLxNWiZrw0YVFiFxJNCuXuUmw2yUFYfRyte94hO8mHffnY0uqOngXGVZT0paGZhnFfsjNRl8iFFZ
Pw9q9sPzKPAhZoAG6efiDMP4jdKH9gK4MnwBvaRMBzbeqwtEI/jAyQG1YXPvyqy9oPGJ0SFc+6pK
fpfJzcd09Fvn1zDd1t1XKKZL2+wny1JUvAeRSrhI6tFxmg5rZgHgIxp6XiU2WKspQYWVnjjazkjs
YYLP8zHsRKZn07uBlV9o5HMXMWuR+XDezPx88i8xX7qVDeoTLHRTSeekFJ67H5klBojVYVlM58gG
5e7CjfbUVTpeJSEUqEkV+ZF40JfuAAn3SVHucFmcC/5Xjox2eE1MJzk4lBauLc6PvaaNX5Qy8dIU
FXzq6VY33+9oBqaQBAscKNz4iiquD0YZvKpq1h7TflLoTrcm/f8e/n1UCU/Mcf50MpbP9ehWO22k
w1OgqaOaDl1vvgwdqdLojzXCfaPIOdrKSJJZpJ/1grZVPt/S67DgVmkP+cowqYGl1RC/+THp0DA/
4sZBEqrWIXU4JBCdFednYyx05q+tzpyUuveTyME6PdB1ao7kvnLVjsoB45RGo+1DdEO3RGmr7ozp
sAusLdnd43MmLsQLOZfMYhXC+nD4SHtx5dZX0JuV1t3UjXeJGA0HX/AbhX6JIBQsWR1VOZJkqCfV
TC1rBByKml5hNzjFZ6QK+CZG925ZurtPQ5rmqczKlXSajslvrpwon2+APFQ3Oybwvs7WAQlu56h0
IFDZY82cgoUhelR06ybgTy0PtJOj0lFXsiB+CRmmCORx1yBG1YWsCfOiHcJxHRfqwobydVNSrrv5
jc3bEJEsqRMLG4vsMsgreXIUokuoMH0hHEBP7PxQYv/3vzuKIr9KqzSP828aNPU9U2V+mMevGvUV
tt9EPQlhBjju8UwRrNHAJij6H+iUGYWfBVjHJUpsAF5uxbgeVy9VIV5YqBPhO53qHUplpWXgNZke
lHXRwqPBRjo/GrvuT5IUknURIFMVEwExVRFb9JrnHEeYJK+kea3m89Y0yEOy9h6HQWC9q5QNqDy3
ZEgiOJ2f5Y5mvsoBZVLWbMp1FVnEOnfmRwBk9Vc6suzXphswyV1VZiHXwNy9jezU+s5b8R2nmvik
Y03tsK/CZRIP5k7GFfqRwMOF3nbnROetoDO0Nsmdx9UGQN2TrffVkVcam85duKH73fXeKlWcDCkc
aGRfj9vfngIEI26sD5IcCgLDELRS1mBC3AebxlZirIxtf5zgT9CiaFwnaBNAB5XEfcC7AZkGaJGN
swQiG7CO9IuX/l2PDApvjltfPKVFC1+ZLhXHvD7lBbiNUCtdEmgdfT0R5RJQlKHQtBfP7j/JkNdO
A4kgLwPEgwVrdn+rOsV65NqG5ovbypZcnqKW9psqFJbhZnz3BQajdBTo7S2T5a1lEL80P4Uc8jMt
zgBNY63vk1KGd9zGTEHt4TYfgR3Bv+JSzezIqplPmaUX3k35J5ie5Ap1vNajjiD6P8tT/gXQrZoG
/HdarY7In9eFhaI4EQW5VIbNJCv37Z8UUOlKTIw/1XHtlVLZOBynw6FED+TCQhVpJj5DJ39pyYEI
ngLgNEzw/nh58IE/5Dj6njymIhevcq6wJHpdMd9qbTz8QH0fX6ykc0+yJFCOUdj/qNuvMGq1d6aC
LLz5iD1RRl9Nq1y6NGtefd1Qt2XRvvSdjaOuzNAsjol6ydJQXTTSWIomse4QAiw+EV5OoEqFVUyq
L0by7654pyD+c9mBY1m7QYMjDMzCT7v8jksWAQDBtHXBLQ+HuojezLBfKI12Gpm5oxIk1gbhv3Fy
DXoTBOmSX4QsAdZaOCEVyDAZiTyLuiBDtBzA0FKDaNuliMLhhDpE6RTy5OdkXjVt4a0TqTjnQnGp
5ej6a1HZ2ABMxnrFmTRPadVecT8hOHQC2r84++kHoHQSpb5h3iuvCnP1q/Q6sZUZqT1qYZgrP3CZ
bFhtx+1d2eJ8m0h+Y9eoWzl234Vts5AORh1k9PyXyJNbmX5AqkXU+OHW4HIDF4VXXvohwdFGln/A
P8k7A6F03axThgIuUSs/a01v0DFu7qpWNDsoYNbazWN7T2XIRBxX17dOnRgX1mQDHe/4WusVFDIF
Bo1VPz82AN8x1erggHqzrNZ5vDQjYie6Jmqe541MCgIkRTNuwiz5CkRaPQcigbpkFL/BRD12pjOB
gFg66pGPnD4f1iwS862Kk/Q977e567H+cuFzBAXNCa1iT3JN5WVzqSsnv3QibaBw+epXz/+xJSuV
ULU4OM7gWQI0oIvZ+gjhoI3OoENO5PWFU9IeBSmFtwqkd6VdIuRlducr50f1tCnUZAnHBS1EB42M
dWvYr1HLbYiEmsDWRk1dUeZ4NPpg9/go8D4PqyiAPdIIpi5uqh25bpNdz2wE6iGz36C9UisYbnWa
5c/Tf4bzIuhV+3vayd3B+Q5ETz0NUqFsuxfbVqf6Y2NujMLx3kJj2Kl19qsbY+OqaU26qT1IQEmd
uosHLVMJuP84WXEpa5QMM7TTKDyoYal1CL8RV8ozSkCU/pNf/HH5ZGpyKiNFIVWgOLehJsj5bMUB
CrB3iAJchnMaTeGDc2wTLzxAjkfHkaG/EX0HEETLydKUlSBk0x+Gq/o7KZkR0K4in7ZUte18GQwD
MAUERuEKkQ11Dyoj80aDe4OWG2eXkcETpr+zDgwpno1p7u4HFT7hhnubbukESA3LYIJm6mnlbiKo
SuuE0JMTqD6k2Wi7vaQM+bu8NRJRCl2QWygs/3fT/8GYFf7KFGRYRY0M65EhEqPbrXAEp8tWxPmW
1KOb1Hj074szUor3BLw+hgHIgaq66CNqTqLu6gOISdb1VhR9udrBUFDmVQIOaKNGz3hwtWd65EvP
6tOz68qXNu26l9CIuhdB9BD85bvvGdU+z1kNEUKRMAM19PqlUrnzaTYGlShs0UhOXyPa5RodMeBN
Zj0Jw819l0uiAEuMBm2dMlSoyHsDt1XPj3/MaI1wg7vRQe3lyU2JzGWTeAj+YoFpI09sd2NOU3eq
ISUJ4Kl5agjwQW6X2+Kk9tvKgYoK8s/a6omlvLcS0xRLl91QTvTjNgEE838eFLn30xhV9zxjZCum
H6cSxfAMuEx6qqgoko5O11SLHKwXSKQELeegJuQRBPp1/qRjEKyNKkKabpU+HMK87PdazOJURv3v
+ZuTGfSY4jjb1YHrnUozdiHQuAJBVvvRpLmyJXILr7mvXFvQAJ8JgxKu2tC74sHSN6ZiXIs2HJfG
tMwvVaI+PZ82sD4RtEuKrjNUnkks5JV56IJkSqKB4+1rhYqxJy28UFk7ljvK41ndTkwGKhZdP+FE
OBOIW5g6XLEYy5eKYw4HGQQ4DwWucwry40+XStVTO6JaV9wE43GjKwezKcaV6+nlFaglHyF+iwhL
DkDiPNcYD13x+++OWIW+TqdRFB+xL4JVYY4Yxz31l8yiYRUjE9hRvy8Z4tJ2S4mofp5X7/EUqjTq
NQSiljoaREvkWkDWnxIMGl96EK09ozf/cI3tPTvJNzaQvJXlpcMJ31XwVGuJ+5PJNpE3+I4OoVuY
W2YUOd1ojxYjdzzNRJfpNe3mMf6AAiTYILXaN4dkz1gV4w/fJhLBlIKqqi99mvYqfnzTMigCesRF
ZDoGJ8O7NxXmiX4qJFB/bVFTDrtiKo6QkLGsSjAQohoBT+pcx06U3ubBvoyCW15r1pnQrskSXKXf
sfytqmr9s0BHvoQLveikP0AsZCbVa1y/BfEwIJLq5fzdAkjWPPcJKamaE7UIb9DhTaBjlhv6Munj
kbxDheBIgtBNK6KaMKghzXX4WI6lreeRwpnGsn4cMbgjv32ExYxS/lEZF2+mKr/LBPY3UMB+4YfD
Bsw/8x0lT95b761L3XELLwPyp+7Lfa5ja2uyQT8BPMB9qPSvqT1q74iNtKXpBuUZwmYLzao8tWiW
8I2Az8OxXlbArwJ/IXt7xN6Wv9gg4v9U2hf1OmsNzzRfSRC4J4rqS2tKXZLFkJ6MDo1pT2rRvKkH
xztQ+SXT11qAKIgutZV+P97lsNRP83ygNtCv9g2ACCpAv5iXK4u8lROLvNOOg52QnhcQOAIXfR/p
3IOmOWZH3/1UI4tXVQAyRaGo1448hb3ozIM9dFSv8yLq73DwLZSqaXVKsZc+EaEzXB0VFGBK4Hbu
JM4vNzQQZxUSMnrqQ7AIirtPyiHuKJCSA1oqFF0webWqW+C+DojcgXSjY6vZyAyT69gnBBtmOIRd
DPPt0Kj7JpQwekE1YbWTjJhls5lH1TiAFKZb48mLag08joP4OzDg7Lijdx8JXEGT3t8V24s281VU
ma3cC6dHDkkH+Py4r+aMlCcpaEIAlvLOo1L88piXM1nuwUVmNeX71No7BGjdRa7f5+wfK8frmHji
VnnJLTZo1oRO7V0fv7CKqI4EUbXWiCZdRjbVM4obxsqyK4qyTUwDp/gRR8HBDbR2lzlmcKJyZaDS
ZbKCSexJ2HF9aV1bPjWtj0mIPCDn4nrjSLH0rWhLEgnG3HaWIDzoo02TKbdn/GIGQyqgnQIl8cNC
o4rrYAsuy/ewywmwiaJhCepE/WSt+h2b9FLzBFIUVr9n1689Fm2QiJM22kvN6hF74bXLy6jFu8Ze
bHT/7IX/7o2ITaSam6///+f2oOjxjuHSqhiQ5JhDC5jCDegiKViDqTfPoQaUkmEiuvc6MzayTfUd
Xv58rZuq+IwIEcPH231lrY64vjOVU+ka5I/UINioyxi+Jn40idjFkpUpuvFbZiTBh+2g5w3xB57I
w/PXFApPPsb1HeI5eqdpO56tBvq4qOPmxQzzSQgCzmpQiDqlgLDOJq3UPO+fN4AXaZdQHYXG8u2X
OZ9sQtKPFcN+MBWQw+hWWNzW+F0GUyXVa9LhhGrSr6ipVitBdhBh0GzKseh3dmm45SaMrRK4M5z2
dFpjpi18qKYacd2nBTzYiALLoFMkog+sP4WsJYGk4hrSQNbukzTD0YUV5a0bUD9jXQk28yEMKIRM
fO4Rq1dCtHyI0Q5tY9UYoi8RMP11lV+P2AJMUNXWyfWesj8ewgGj0sHqXf9Q+FPTH436zDdTXSM/
zXvzxqdISrg5mWFhaUYr3QCKZ4ymutexxM7/4rwZ0jfaZvlHrI0HZ7pvGQiaMzjGXyYYqSEA5LDO
9N5cqp3BHdRPdirBZXjrA/3QTZv5fJ3+kyKXhYa9JqJ4pOBK45YrSLL44LKaA9rm6btftB+yJvjZ
gqNhCTO54t6ywBm3uNdEgANBhxsR0kXLfQ99Tm7n24xi8VGW6MiFgtUAzBa5C9ONZh4sZOi9PV6p
URHzRE6gC7EBcW5bxYfBSrlfSqrgVaJD6GKDu0471EWhrhIw+kB3hXVTsODRX1fewoBwUODdEMin
Q7yU/pJ2trWSvi4xcEUGtrgRZdr20fUBkr+L0JUDWKlhATlzz4rgqoi45BRgUgPrM6c68FfBYXJL
4IX+mIUIOvhsDCVAs0JZpDdpCmQUA9NOsrNj4aQvimuFy3BIUKg3JLxFnlkvs9q9KX0iv//vTsDU
aVRC/2iSaUHDF+PlXJzSddwHk6L77Nh0AgI1PXSVPSn4NVhmloqzRJn76m1YRxsjqIaPCm/B4TFI
lnryuKwc1UD/FatcH5kfysdVl429XDQV9iyZJgdZFulrxhvFitd0iC5wb0R4TPULutVOWcbboMAy
EYYmiw+iQp8iPJjrzJXFZa5RKnmknbWcpp2od+DPtdUsLGGStzIqV3nzWULvYsDuC9B5OaQqjTI7
9UB/B16JdVSZ2cvYcd61kTn93MUxmIxfo9qG9eb1cmVNhyJU92qdW/tkNOqV+5050ISNafrkeIr+
HBOHV2bGblQ4PYRadadduJVxYbx7dTbsQyqLqKe+CS3xD3o9BfSRdcQufkNwzBFVDZIkqSAlOZkS
LWq/WelRTmYJvt7E0rsgiTLVDdZ2FjUnv6BOXVNPCqZ5EujDdqeUtBJZhAAp0Se0qh7i+geptaf7
l5/VCP8GHd6ecm6kE4OrDGtqjBToM3el9LRoMZ1SKnvknxkRw6BCP6cYM+Oi40livjWNI1Pf+bEu
D4vUwb0RZy9BK+S6aVWWQKWRErGTBUvU9XxGTU1bf1CNcCtt72iVNfMRQiGLKSnF4to6MWgcsjrO
ITQbkY//GH6NAb4LIkU3rAm91V/nwyp09FUCxsCvysJfAPY4ZvTltygLy01W1+qJ6uA/e1zk/+xl
J2lAo/QUQV9XRXWCVeLTtBR8i9Mm80oIU8kk0YrK7EisSXFJSvGiqmJCszUD7vfQ71f9dMfElgs2
TiUd9/EOlTxp4WjoI4CuKEvTC8Nj1gcmq5E8qnidsTiZ0yRvvt0nIbX3osDe2wJIEabW3nEA55Ny
K+Zr8Wxp7oYam5jencdblIXm0ez6Q1ckH0M8KJfEVeo3Ye3mdg/qsfasH0a//qW1kY9tACERHfxc
W+BVXZJkCeFDyVUYE2n0003F3e7WTqGFX1bF4h/xeHropTBuOJI36MfpRjFpVw3zXIDtZfkRjQbF
LSFeFJ3umpU2+N9ap8s3jmaYO/K0fbyZkb1oppVC2WbutvZTPJfzjI92/wkKRblpLJ3JRRcrr23R
LLBbUt0dKxpOns07zX3RlqG5RxmBXExSWYFN1pe4UYX6NZGtwmAVOLr6FbfZ56ziaIzeuBOt4FrK
6bEYzL2egryfKUcPW6yHU7aGdOR1ofHseXazZS4eb1nXZRR+aAB1CsGWfiuXWraYu9YkO6bXeS+D
kOdqq2a0mW8L7itFxRKb8p91DqLiFUe99aarJvii1ESf5VEVB2nQMoyvO7KmXgNX+41OdRcY3AuS
6gpRlBqekXF1zava1o2afZDE9aph1rHDGFNiNxSbWSqiUXVdUMfeML9InjUiBxaRnQyf8SieGyeg
FhwPzClEu6L17u1QMYiN1DHixh49Tq+f1gMUedbz92T+2syHrktxfTCztSUz5YJvM7y0fYgUBWoR
lFLKkdPSrppa3m7uJ5tHf7waMAsG5sXPSn07l957R5prTExiNR+6YensGyAcxJtzb2iHX+Q3EZH9
/xg7r+W4jTbv34pLx4t3gUbeWu8BJyfOcJgknaAoiUbOGZfz3cp3Y/trUH6t4JK3yoYGmCGJARrd
T/gHiZtzowhEtx8a58gT9Z2quh+KBKBuWikvrACHvqKpKV+MkzNeMFmIF5NqeLIHjrmJTPrnTbxE
EncbgcP+5FfOo5WN2tNQWWKFf591iPWiPzXZJKCeooyuF7SqFM12l4pQwpNn9tkRMadrqsIOj6lC
Pyg4A1LUyPAO9ordUAeyug4KogLzg9lEBcarp5AZxzbOZlFX3wnRAdQQFCuR76ICy2/ZIBGc7pvG
uJsX4TgHqVPrjUaCCh0zy/MOEX0e6FqpD2Czk7NBiw31bdNdCukbHmLncgsSE/36qQxWPJnZzggq
IF4qj62KvvVZq/EjUwe1eR4zKppCPZad4uxMI7dxQZSwU/AfFIXUFlcpIzg4ehnczuvklAKNgqzy
XA+oss4PlFmi8FhDb3jybR2XIaiuwYSYZjw/nvJBrWQ55W0CpPwfXk3RahvSyWEx3wNnEO4yk5C+
CVHAFdaAGSAjSzwCYjePBORnrcGteXAG/dSbhMjQFtQnWpouI8w1AGfL3Ync19cAXvG1Qoycm3aJ
p9xE5dCmSi2zdsG0v6n0Fqa3rLM1hv48qkawSyTGT6uqdO/obb2MBVNmaSvTGTfW5BypjL/54Znf
QFQbTdARBUlB8+TUKKhFTIZLyYfB0PWR/dgoLBhpir6IU3Gytm9Q7ZcYDAziDlqLomHgtBD3bWB0
uqRYFIAVWwiWp5awmOZYunPxJb1xtKrEbpuGAbC/8WK2aNBMdoKzhUDGDqgB70qUjDexGTNa5Hn7
wXdjFWXwXrk0tikxHIBXB+VJU/LrfA2y3DLvWwTmIy8qd6PloQ4Ox3XnqYZ79G2QtU2k1de2oDwS
UlN9X0fmM+YJEqfV2siEWxSTjbF0TsB6rKpEikROqtUAuYAwNblADtS3XTjqW1WrgtshyFd91Ko3
ZkCIpGO/t5H1QNSUCv9Z1916ybId7tSoM5Z4yESrCh/rW8WHN+Y6/e4tYkXPEpJYEn8ZW72BDg7j
Vtf64PzXxi3oaI9K++WvQ5Cs1mXYlUcnQTp1DtXynjammqCC6hPOLDMn7DbhzOWVr/z51ZjRSYki
uGwMjz6vkJRoa5Tz+vauoCINYdroHjTK6a4m7Gvt1PEu7JxqqVjweHsH+DQG4PhqoS4s9/Agw8Cj
g2zXVieE86aX2oSUbSM1t8/iCu/5THk2scc9eVCLFmZvF3zTQSyBU0BZgGl56FsCIrjr2oPRuw7K
AhU2ZopzU5D9LgaMHG/e4hebwj9qWn+84azGXgtXsfanDWwvBmfX6fVWl92ljMB/i7h1jp49u5pJ
57Ck7EMiVYxkTWzGf7+ajImZv1W3UeOCMLK190SAePNgFYJsqx5FmwgI9PsxsaBZqMGnmuoKCD1n
qTdu+6xZ2lODPt4rYKzFkIz4mGoZeG2H3pgOP/pEjaZ4dig+ThS/Hi2bwrppuiX0CGXzBuJpfHHn
V/42ZbSekoa5R6LrSrnxRt3CF6XbzFNXbAp1KTyMcqKgAr5RQRhxXFke8OE809wD+wXOkd6LcdvJ
vRCDy0sikHzAf4tWjtyd3/Aj9wa/334VxNiOzafh0Kpez7uarCJLRQ+qpNE5raRIhsyGUK5KTmkj
Ps57JvMrCTT4pYzy9Vrxp+781yslknV1vHGXRR2hEFjYHpyp6X1OPfDqd8Hz2DTRgueuBIrHK2rP
LOPyVSiPKf3w9d2w46tlffH22fn4/In5s1mISnU82K81pYut6UzxSnMT41mPDGqICSqzfW5dZmRD
1JuAP8enXkeWXsP6ez0HTiV+tWuVbkQSO5P0iEIoVxY4PXc8twqGj7Yd5rv5o03dlhTN25hnCsNC
T3TBIRyL+GAL5C8ShWxoJAF47JpcWaZwhW8R8WDdS9GVCdT6kxnW9fOgMwFLvP7YSaPwwoh3GIiG
uAJP926D4GXaBcklqMbu6JQZdj6qnT5VubZXwB2balNeCyOqn2hR2YmrPCah7t87lEPmo36HFK8z
to+WJqqnpI+nI5CX7mbEC/xxMm59ShDrfJLobKuzr5rDDIqdnPMJzYfHOgqTR8RrlA2qTspm3h2a
6HH+QONKSJVp23jy8OPzL+rLfgJkL8XYOufT4MA3853KX7tOAFxQ07yjMhTAUvBbeQld9zJMYfOQ
BXm9HxpglAXipS9gCxBw8YP3LhTEra3AtsTTr3wyA6pREZilpv+go26/w7aUtrDcVeLmASuV5po1
Q3vb4imJ4iXHA68eUWso0+NIffVRSymSAd2l8OqfStn9bSeh7PawbomIC7peArTGrs3CdlshSHY0
rHST5IJrAxJvOU+PQ0s8WCk4JhrAi8jtmuuYmIgMaWr8pcMiRKjNK9dWKgF0zYMVDrgNBXmzGCIV
qaqG+kbSut7a3QP8pK3S+lVzjyChesxSQrW3fcWH8+ChI160w6NSFpTyif4vajDaZBpKdcxiT9nx
Zc0tTgDWaZwIxsrBP8yxRZJX0cWn8DLvwSCD/dV09gH/UnAjBOm9gKtg5WN1re1K2zLynU0/MYMV
5I0bwjF7UzudsxOGkd0OOZpXSa9oT5k+fG5R5PgjwtKF5P11BNNygwZJkPTBY290gOxLFh/BfT5U
9oBVRpbgyJyzFk1Gq766HwbVmFZdXCpHogBi2Vat7lqm42OGe9ay0vXqJdW0XY8FyFMIAW1LHRWN
aFQugKT6JPcMCw23YAkQCh0TWI4oWESbJPhAcx5nLLZHNYxolZn4iNUQQAAzRg/wGKUplRF8QZcV
vfWwxo1Ef/RNCp5mCaUEedPhxmjo8IX0NRrwYi06MQc6+zXaI+xSChiWHiC3HU5dDdgNjG1bD303
SD3D1pKxlmZS4yotYDtz2DEfK8cnx0XRIcjNZK2pTnTtB3XaGXBPsR6miTwfq8ryYxEm4Pwy+PAd
jZRghfqGRtOLfXRGJaRNYvbbrHg/s4pa0QQ7p1e2SqDBfapSCQcT0jGHIKZFyC1fNEVyKEtrvMWI
SKE75ZZ7ZHsg3LXpU9GpKKFHpb62UZL/oCMalNfFcM4jV4KWCc7i0jE2MyIYHbgVsjXeo2VJ7wWb
7q6PcH1eZ3epHSt3VinaI9CSayVFceZNa1RwxxPvdkB26okBdMpoDn/KHFLW0E8KaLaGfQhMBSmS
zE2PSjpi+dLn7o0AGCW9SNWrHkQ5LEu088pYu9JE1q5xDOoIUC8cPLf8GN/PESrxM57Vp+Q6Ff60
FmmsP2c6Soxe7Kg4ZDXNphkCeh9QNccN5pCBBgyncI54FIMASjOsk6NQIga3uCOWR4YS/ZCmUuo9
YO1HYhDgimMx3sYNMZ8/OPbWgEtxiWKB9KHP0trnItnjVZ/f+oX+PuhC76bTY/tp/gHwh/YTmZh3
QwvOudGLwTgHUkXIj9LPOjWshd3pzdmJG2qsdbCuJt86ItKsruibpQvLdR9bOxpOWDt3D41yX6FW
+RgR+e3zMOuOiW/c6YVTHTgdGDBoJHXLClTFMp2tu+mMLohG+7tSvKS6h97V4Cv7Of4xEOtoTJDJ
oWBBivE/W9pJYKC/4WxEr4MNtdV6o/neNayIzoWDU2KUAxiaOunFrfdIUIJwXGpDWH5oC4QUvE6k
50SupH6snYoUmMVdGSYSf5J0PWwusJVmX7zEoaUfzRq/D4wYg23XW6hu5vZjTCy9zWtcyeZXITUQ
2Ax2uelgtW0CWC8fAbTkbb9wJyNAfVP9+larMFtUAPyIEuf5DcG8GKUvvb10uR/sFaEJ5MLG+AFF
uCDem9k1FdN4TpQkA1UxINs8qR9t8MQnA4jkdnLNK8aZ6dYBP3wDjEZ7zK3y1S/j9tUUdKjMWv80
ZbQvMWYv7mL0Gbc20UiNpdaGZ7q4U3MQ1yru21/EtMxz3foyKMDahD86AGzBo8cobOXoMa9U5Etf
qldEoooXLAX9tZj6fidaKb3cedk+1NHFtIs0e2kNVJRlQyCPjDVozI80mcdranRYrSFHgxmMO74P
QEnmda88CBMwpTVOT+Br62NUawDvZQmhqIidWarak4tSGm5eJrmgDebShja4DnvkjBdYzjw6Wr+l
zqbeqsJ1TsWIZAMEpPBTmYBezdW7RrT6fVa24Qq6n7FtZWtKdM2tweR1NRyQ4Glq3bFsBguoj/l+
zt4ThVolZLLYIODtdPhEsdnH0EIoZEp2VgoEAxYAWlgZZtOI405Pit/7eAxW6lPmgyxU8heuOVhh
a8KdRAcF3mlwrAvXjK6aKata4s6aEqZVvfL2yUChoAwJJDOHEmsiFtTFpW6hlbwnj/MPsVc8uWpi
HgEGEA/LPmFWY7QcAabARcR/LKmynSoPJ2tEH5aGah/nioCL4hnFxuq2GKrmWkxMa9Yk+iXROjH9
4DL7Un1APsIcKeYUk7rNUg+o66C5cin13q5XxaOuAAa8ur5V3GmFfp8rrnoX9fHVEjWzL6YR67AN
YTIk9qs6pP6lcjLz6nneCR7kBz+VUXEJiYv040NcUhaIY1O/tPT5b0oBmCQFWgSTj7SzCHErQZHX
RVtXJqXoSMDKzpRDndy1faWfm9YBe8RdfQRSh8y9Yxif2sSmXFllH+dKIbKVd1pQ472By9PZqzx9
04VpcEgTYNf9mNSb1huDiyEQ3B86nIlKRNTWIhrSB+IKCpM+HMh5l5Iap6qjGmMh5DdnckLns3/t
qnLXqOoUlR3D3bRToyA072EVC8lvNQ+mkCox5VUXOaxG271ddE0Q7035qGxmok49wVvzsXycuTsV
a0nh56jQS1evQvq42J2KdbRitjBL5EEVVjythAIPSbkrFCs6Uxo+VXrhfa0UoeKJt7rYz6mYUfTx
scbBrcAs4aKU0SMXVnnC/UbsOw9fvNKEV+S3OE46SfeJahc0kUmt7puiVm+bKTkaRKHFohN4ktWW
mu0pA1f3PrHUXlSoQ6o4ywuQ07cldQIbxakwRWs9Hrdv+3iEAYzBqmpRmNj6RC1wdIGYh7GuMvR2
ECnR9x6LrAH7CihHkayUXDHuReEotz4mWi6ionMC+LaJFVJBO/1gKbZsbJEYzvmjkw/eOnVhOk4D
OgqYLiXrEFpY2DZojbWua4O4orgX2xjK6mHofKAxuLXDEBV+iSIUNk+129kQH7tVkNHFZwalcmBj
BVontbULErVazlOIn1NlSIKwONRyRtE6lfk3yq5APKn1eiWYpshqt45Re8u5WD/YNNV6nKh3nWsP
F7vRv+TBuGit2nymY+tsIxDc67dKCCtHUAbOwaunDMQCmGI8gIztDHkP04eRIb1EkcV8Kg3cQjLL
1Xbzbk0nBhk/WdkRofVUBeaqUttDYQ7hXiNMPwkmxQEQ6qqoWA/CBiMqI2SqcBjgIGkVI4eeUWXJ
fq5/uSPoFdRCD/OeJqthDvrGSw+WKmKKxn4Of+YNorb7riiq23kP47hmP5EVIUOfNKyehEqRpucU
alX1nKfegCd8Ve7KWlN2VaXfG6pseEr4Xp/VPF2O9xx7dQpQoESgSvZmykhB8Zn+8J2FytqezgS8
M7k7b4BnGdgBIhhnjBgGu4I+3/woJfV4ivD/vn17zHqXv2xZ2dub8ydaGvo2vZHbec+PSS7GFkeF
cKInq4oMat0QYLvRkxRV9CbbFRC7gzfQphDl18E3j8AcmhP92CkDgfFn9QIvXIgkGHfEKiQ3M83c
RdA4/jXBW+RoF4hPAtC9zof8rm43tKe49fIT8xuGkqkgnKZ8Mx+bN6AjLgbEWVRuiwTxT9G42xQx
vKEUdDARJ1tOcDN1rNRS7xZPsOzA8NsrEKdI2RzsQzrcZnoaPI8IjUOUQ9ztMVOhoswNtG40TnOt
WyLMxBhVBxM9YRiD5YvpCsRtJYUE9FWyDKvI23dD0D5nrB9tiV9CmDnXGfifZv3Bq2ge8Ch1D25l
EkbqerNCU/He7hAcJuYFEog6TY7aDMhr5Jn3qWdN29KqgMxTxkatUm6irv36qkY0bYcgP8RJb1N5
ogcuzko8k6VdLDv2k9k/hXVabh3cRW7KvB9Ob91TSZafX4kyvao+XSqTgPDtUJhgMjuRrK0aoxS3
8qxQxfUu2axEZDbeRS26VSPc8HY+Pm8URQvJQIlgC81DECSkBaFqoUtxXzwFca7saFSqn5R86DaY
pwMzjIbkw/wKu4r07dXbMcHMS6HmRs2q+s4MqXLXBHtrmFvhe6jIu1LXqi0tHhWsY7dRxqz9MIWu
J6HQ4zETVXfSbaddxkatLs24BLngTR/1DIbFPKF3ERgYtLvJ6ZK7sADC2dv7VPOcfd+a+qmVm/kV
JJ70ZBWbt50hMk7IA2FEFAJxEzN7NjQKFzMOWJZzNa8a44921ecn08mbDdrc3Qo3QNozk2YuKfwV
9Ot19Wm0XPvGyxvzEA2OckyLSqO0gInEmLRPU9TrOz2smSFkUSnITOo7Oij7nEK/Bypx21l0t4I6
8GARfKo6h0I+FBr4NL67M8IzE3PxbAJ4d+mevNH0rcS6m6bEv/ZVu8YOTzv0hGrlWoysCrX6QiaA
VYhLghSjHnCjNTbgYbkxSKAP8y5ipoyywUbzQvZrhyz+6EdGvHbdEtS6gB6K7CymxfKXq3QLD23X
9ruODs9fh3QXU8Y5EVZLC4KdDPuAmeu7PqQiOAd+87E+dvBIRbgCMA5+YxCGWj/Xd2lYRLddgmUq
lSMVYT/L2HsmZPkBN+2btwbdvM/ERaVW5VZlQWBuNVefjqbtRxRz6WnYCWtOOvb13siT/tZEKbta
1V4TL3wT9GHZ9Bc0wJITQOeLMyb6yeiMxTcBLl3GaD1dqgGntSB00VCRPai5wDu/yhx9hCYB6kbI
zYhz9dJUXYn9KiT6Jy19khgvtO/h0IpHx5bsRNO9NzNVf5yKr3u5bCkZajccrfwLnSuUF2zbv9X8
KUOYiF2ilHM6avZVlSlcmpsH2ADevZ6X/j7OABZmnhSMLCNnAy6lWsRVL1ZeMkEh6YQ0QFNDc60l
CkQKK9cI9FI4aUZrfd13iFvWZmF2C62NnYuTkvClitcuB2qal/kYep/9TqWUgi2YPJb7AzE94pFq
lINZZ8nkkl6NqYTSbKj+Nlbcr6/6Xnl1aFBs6QbVS0qC7oeAZrSWYWBA4NCd/ag4FL2Rv4yp7bBe
htN96Ezow4xtt1aAylKH6NQzgFegAqUAvWqg95y41iVOY9CYYL0xUbIiE9OgElR2G62BD6Jv0xW4
IQEvObhyM+/OmymsUcefvAuitv3RbbwOXWle4ZqJclOhDwcvg67K4UAd+qPi2YBKZu0MBROMuMZI
Wy3B9OdejSfKvzdNrCunEGG0Y0O3CTNJ1CKl/F1WDAjPA2dG8Ftbvs28VpAfJ2ptbwEX1CDWWBWa
2BxyNfjnbkcJKCS+1xYgyKz9DKEpNQICjWzOwNjvrsafbj4cdxnZGlmG244vY0leoti5dlcwvha5
40AiNAf1bn7Dkkp5RtnYu7+ODdZ0MRy/pVKJkRsAI7HIB7s66yjT3YSR5u1BQNSLOMdSEX85/Tnw
6DDHaf/AYtRcrBQ3W3m4wg0Zlg+McIDVa53V9BkF3p1AIuBTY1IwGnXHvxBD2cB9MnsJ+if+VNeg
h1hCgwgE1IAujCPFRRyy202Zt86+suQ078gCJe6v94peMptao/NiND6WurDCLJqVToo1UtAPNLdN
g9ZzjHH4UJIC+gYscL2ML5otG0F6piDDQ2Rfw4D9kscPQdOIVxqMYDzToAIdXFgrq6EIjXJOcSxJ
0VY4fPWPdDclh9AVr1P3AfEU/4vQHGgrRf3eS8m6EzqZ0Jzi6U7HtHgVGKSzA92VDU+Re/QmS2wb
lBj3dGeHPeIsyhYz0QGQslVuIg+jB1Ixh+bHkNzZHdldUI9yNdPu6F4j8BnU6odKF3S14+bVjfDO
RCInuDEQigdPJ17TpHzCDsD5oIYeFTE6wQ+h04hl5rnBheoZKAmC16ONgt4ewrXY2t0pyxXvoERA
AsexMI7zK8Jw/ehjGrSZX/11LPz+mB+b1p5iJj64Q7brqGBtzcgabsfBxs5m0tLHgA43YAAv/oz4
Oo2SARXICXEZPx60TyS9w41Qhvxc6tY5go+3BFPWnfWIhrhuw2bhoXH31Mv9LfIiDh7SiMSPgRuc
SwjHowkj3qmbYU+pC4Fhmzi1B9zC+FdhC8E0agrXv6olQxd1hvSt70fW0yuhcvfut//8n//+PPyX
/5pf8mQky/wta9MLNbqm/v2dqb/7rXg7vPvCromOJDRhxzZMQ2CEYhi8//nlGqL+/Ps77T9MBJIr
q4OHZdgNsgBKMtyh4Il1ATbjH3XLOLmU5v8QAn+gVtSfLQejDdf0iwezJzlxCsyngrJvlmmXsRva
2UNXBSgRmWn9mabAsh3KZBm0fnGyaEBjZtVS5UhU+5wrkxTjbuqXuoS6WeclC6wBGYqKVL/QZYKH
Yk/zkucCNVXfewWWeBnCKKI17NcTwDNkth34828U8gj4HljtP3cRqNcPAxCdt3dNu4a8OTOW07xH
h14itGaYVhci2Q/S7ma+rv/53YWt5wv9GfsT0OKUKr7f/Z+HPOW//5Y/8+/P/PCRU4hhWp3/0fzy
U5vX/PYlfa1//NB3v5m//vXsli/Ny3c7mN2GzXjXvlbj9bVuk+bPASI/+X9987fX+bc8jMXr7+/g
JmeN/G1+mGfvvr4lB5RtfzP+5K//+p48/9/fAS5K/v//y76ELz/+zCt6hr+/07V/mY6l4QiiWrbF
eDTf/da/ync0918Y7QhdFSoDVuVT737LEI8P+JPqv1QX5p4FrNQ2dVflrTpv5Vum+y9HM23UYWzb
BU6mWe/+/Opfn423e/b3z4rGX//mWbFVVVi2jrqYpSGk4TiW8/2zQqIKNMcwglVaRcauNJ2LYU7D
QospPdTm+NxohbOsDGOhqOVjpOh0BkCqgvzuoCYjRAWtdoB4Bn5u981V/JunWHCVfzgz23KJEk1d
M4TGmX5/Zu2QxEE1wML01GgPaH64g+5wTkk0a+mphULcYdDRitWbp9Z084+aFS4jj2VU4UuogUul
XknXfTmgqgM/N0+8PyhYeadcR5UYidYGWzZIm2pbO/SW0XMRQKFVwtSbPOiGy6+/jS6v419zkrzO
NvhDy9S4d4L054dvYw1K21UqNASnUPZabbRIojir1FQeVbOYnnU7p1ZTB5ep1sDaVqUXLNIuUe7T
0EMpHOBAkXe0BeUmc/XPOAShsVo09lkz/PzOcivQSV715BpNuVS8AkHqFgl7zJq7oP6sRIX12LNo
G+jfQm4pt33XpzeRW8B4cHIqIq0v4RwT+MuswTO7wIFsiMfkbQb5bgL5dmbWxN9cBVfouuHSflPV
eeb+ZmYOofVkneWC2fF6tH+qEUXf1t1kGv6buYuOda+m7mbQS5PyDoARH3a/7YTkufhJrn99SzTt
705Gt3n4DNtixfhhmXCIBdo4j2I6/eNwmQeU6ZvZxU2rVdQH3sGQGXlrLqBJGzix5S7+mq1Y/Po0
9J/HucODLkwK9jzvXJTvx7lnBoM+0KBbGXaBMlSE6QVoyGGBhVKyVjuiYUUdd3oZrSya/2jPdVul
zx4Ke7wkXRVfR0OJriT/5rrTv2RYf2xGw/UOmtJhFp4MwyYpqA7VdMOYUW+AB7U3Vtd8RPfspbEH
C3AGlKLCtfFWdHJ7o0bVZyfMJuLK6GpHWbbMU3V6NDxxMSP1/tdfXshh//1jwbRoyO/tmDyx6g/T
j16oBkGH/PJ1iySZ6/VA7bOd2qXpPT1weFtAbp8qB8JBOhB824C2+ly/R5el27duBacOHDTaHq17
61gQkGGuNBgG10cBR/62Kd1q8+tTdr6PLuSTzMyMrwH9aNPGYemH+4X6ODX5SQ9WTOjq2h/hHChd
EawttbB2QC1fMR/FQFaJnwzDHDdjJLgNh1nsRtccd8mINEiVIvXcD86zAGx6tgZxwJQnpuY5YYst
FO2hTpP3YkTK0h3B8qoaUChOakIYESUAPSJsugk90Kulk423UESmQ4Z7uq5xG3FcNDYerg+XYS+1
BC+RPux8+mVbeliMZrrucdoBMinbaKPor0ndmYeOsguZGcqowCLrc8KUf9MIFSQ+NgEYh3sN+OpG
GsUWG/yRLNyCrH4V1XF9o5n1XSP/zmToGjFkVxzgMWwoJ8brXD5a6AUrUKj15ay7qHQVHJqbXFjm
e72ijUBpa5OA6D2GOVUUUGybpDfMoyVNQuHNHGy8xzbZGPGVZxVHI5+Go6HU4T/MTvrPE4LLAu2o
sGFck39/mBDKUm19A2nvFXbYPrYeWbaOG8y/R0wAhxjEntljhVK4FfYvzX4+LdvDBXGcmjPreriJ
MIrfoPq4IvoMr41I68cqN+gfDh9bkWBGIPA0ThxH3OUBgNUiyFZqp2AgWUHb8oup/ANgiZRAC4RW
HKrW/Pjrsav/vNq7lqlqiAJoQDgobH8/1+Dv0U6q30hlA4sFB5lLwJFSxUh0n9RY0szAlLslFJDe
rSieRUW5TOolbl3N1tYS3HFA4e3SAeE6uxjt5Qwfl9P9TY+lVguz/t5OGlC5zUgtuApQ6VAh7M+r
lROKOzPF2Sbo0ge3wyt7SnpniTTTtDXHONv0NSASzVfUTZc2D7/+5nPM//1E48qAySXY4X9LJ6D6
NifIYwdaCnrVK+gIAH49ZsEwcoMNwUS5bNzwEmg16tqD167UPZlOfjc21TkTtGiVrj7qUZAeJxXv
m3oyzQPn6+47A0dKv8qrG5C7ODQ2LkpMprOqeqVALYYmiOZMDgYz+Jp4kouPjewDbtj3jdN8wj9I
2ZJYU4UPjHrrNPs41/AcoemwtuzYWsBAD3aFhxhtRHa5teRDkDC5bXKMWNEJ0f9h9Iuf12YmYJPh
wVxsGD+NfqQ2UCkNK39FOOruVceGgTOV4zpsjGwBmM48ZHnjrGyKwH6FtLgIhg6lfmp7ipsAe6qC
c6VowbmPosu0KqUGVi6yVRxyNVRiuEOshBH89G7161v7tyduq7blEC7qgtv7/a1VtRplaa0At17g
NeYPIch6BPwbwNNn6pbKUlf6LxhmRYsCq52Alq4mbiywQe1NqhgbfBnTR1TMrkmFSGU8nakQWZtW
rvTc3HsouiLzz78+Z+NvFhGX0F5ASaFFIYP474YjVkIlJG01Xpn1/q30173HEM5AnHlMVnPVK8kw
LZ0wl7gvNOyioG+M8C1wD7VX3pA8WNWE8k7oXZvAfh2EQCwnGOGowhg9Wu5r5/T+uZEbw9vmMGsP
g3ufOaR3EyKUfaI3R9Q8im1leMgyZLXCNBy1sjwQbFwMcEfHbJcprfFNn49HnO23OvKRR9uymv3A
kudUZXT89UURP81ORPtCtzTcOXTLRiDq+4tSUnxOdVRBlnqYDTgqxfpKDdsS0TZtOzNE0+Ypxtzq
EHS2s3ac9n1dR+4mnkpnmQQnwLfnnrBx6VTZtDb6gTaGUBEJL4JLEymrOUkpW6zIfa0+p0H2Wsln
+ddf4uc7izSfzmNq2QS5uhBykfkmxHVR0a1Hr5+WYkAZs9LzYomyU3P0kZse9XEbB6OzdHHaRRom
Ql3bC8QJWfCbvorvurEBjIGos+VhL4YGgL1loVIQYfVkfm9GyB9itq56Po52Srpq4UftewYAbHgs
UmvTCu9b4Ie+qWVLHHX0ZVTZ4GEUo4XTPganuhXlqhfmh2wkVqQKgjCsbGTaWecss2BEfS4vn5rM
+gNjVfPR7v9hkjHkLfxuGrZUizGP2K1BSqwZP8R7oSoSVPJboqCypGTmodcmKe8WnZsroAEEfRRf
XeqASTGoMOjlyU2vGi8D7bRNMebjrsJt+2QMBXU2IzbWqZ2JNXbTkARr99nzuvgwjZrYlQl6D4Nm
nMHsIgOZFpI1FoXINkEttIy6WIPBR9WWwPMmQxt9G6DjR6P1Vii1h+IXWJOYRuZNMO51ELYn3I04
JyNKngxXPaEYSmEZRUCr51TBTOiSrfLAOu5eHE1aVClh+A8TnfbzxdMMyzJZwg3maceVk8o3Q0t0
vTBqHaXLWMOJA/WxnBvX7yhJwXvrsidL5isoHORESg4poz8BwXdL9X3g8e3ndlbU5TcthDdNoCWr
QmxewI1w/iF1/znZtbizrmCttcE3aT8muxq4VbXLR3P5pkDbN2ScUy+tYHVr27O4q+i5B20Tv88U
gFa5OzxPjVds/AAwaGOcM6sFbChhqWXggmHW0L2JPO0U4nV/Y8nj1GaVRdPF0YFYH9Z8XC4HozaP
4WC9KJHlrtg8xi1VY2ACySIcQOJDJhtACMo0YnDie18Re2hk6mKmTmbg6v4pwfxpkrdI9l3SBTQN
qO+4P0zyiWoyLpUY/0slXtaj+zltsLS1e7eXkHwH/L1HrucRAnPLs3t8DFBBpOHnKNbt/6Giov3N
+bgWeZZglhWaafwwNfXdYOoDkykaxINfYKKr6kshLf6ihg6o5pqgsg0PH11ZDVGhLO4wZ4HDBstl
64UlkKcWTuav58t5Pvx+RhDMlabBlO/amjkvCt8M6j5IRk1nZANQwp83N/3mTGN6Wliyf9hKDmeU
08edn7wiMo6x25lbS0BqUj16pbXA9Q2mOBxERQe2iGbhCYGzpQjL4jA32O12ayjB9A83V5fJwA/n
DbiYQo5qmjbZglzMvjnvMe1L1wojzjtKMLx0BuzNS788zhOVWgttWdvwjiOQCheTWksLjbQD5Boj
yu+xBOT9gLucp8R7sDR7eKImlX9U1Sn3gxqw+lMe0GkP45vI58qjUN3sAWun6BGzZk02eDREN2Lo
N3WArEujbQLXvnhAg5a4jgcUE+zrP9wpWXT88SuznsnlzcWHlS/9/VdGvSImELDUJVbbjR5NVzP6
X87ObFlOY+u6T0QEbQK3FFDt7lvphvC2JNqk75/+H9T2xbHkkP74TpxQyNu2TFGQmWutOcdMRkok
GNybTXt3hfmQXPPOirs+bn6pazFAAB+yijVJb2dMfXCTUOdvQlCtwarAor3cEaFApMZndacVoyeQ
AKKHYB6bMcb2R8LTRC0AQ2E48D+nr5TgR6gFgAmZyr1eu0gsxOkmj0K6/FGW83IcbSjsNFVMToZb
FkedrPjMp+Z4NYPPNX9eZFB4rUl+q41EaH6Sv9H/8F3GaNNE5MT7yIWvr2cTlfknwQidXRNSIrQX
zJpfAQbYx4FzRrhEqh2Qo5A+a1VTvKKgZarlgoGspR4dnYTkOyfreNc5jfbK/KWuwf4tuunsE6Ot
IJhLdV9iO98vuEAafCP0Q5bp0jvifq2YDnKM0DyR7vUmvzFQ+N2iYuzDeXBQdEu/yDWSwIupD5fN
rkxS/Fmu2nzQGir2OgEulCCWvAGYc9PnuJzqhiRpoNv0juzIDgd+fq3mymKAyU80IPAX9RKRBIWY
8bYZOSCAUez3XaqfTb1+w8j/2m4qFqMh58LZkOmEwtErvv62cTDmXZM54jEl0jAzaEdq9t5N6+Eo
7PFL2yvyVmlz9+CW3XQs2/VjY6yQvgv/eWdu6H3mYLM3IR7yrpp93XTdAxNn7N2bdWqNbcvHReSp
+ddyWdu9m8c6ArRik6bIxV/FIE8DisS90Uxh2UXAmhej3NM/sYD5Unkamtt5SIXTj6FdX+lA3127
FaQhNGHqwjUclOLgJOQ9tJwz/xHMpZFfLt3HxOPwRq/XDUgEsrzPWfQ0yOfBWtWNE/gCgHST8+na
Oek3vPqsw/IZelJ92/nV6dv2Rm/G9kTzn/HfYN7qEM+PsdKS3DvJ72Kq5seekLgziYyc5aJHkzbJ
CfRw0Hbqp0GccTsp8ROcWvTPzhacmO+0WX+ZeroJqQEJtTT1t6vqp4uMN5zPpJW4q3u5/q4f+x+f
TszfLxPWL/1MoeuGY2jbrMOkfffTLmMBznCqhbG6gWSd996MzkYdD8dltBSe8gJQPvIJXYFRev2b
C2I2NZ+cL67VHrB2Fl806/Hz4NBZjXqwpIVLsYZ4oRb9YyyWv1VgTr60JnJKatYRNW/65+uzG7+Y
Zp/BMhLmec6FEwCXJrsZhcahxJceuljbj5SteLANcpmltRSJv40g4JBJ47HpIOIP2Wx+rHJ5VZbY
eqatXx+caH4axOzs3H5Rv5Ro9CNr0V9jWXmCUOhz3BLSxBKMMFhfIP6ZOOFkpF+KoV0CdCJ/OkX/
OrQR9NA1umkau+Cvp2hC7zNUa7Phx63hCV1Wt5J4sMGl5yI051LnBIRVqWLwEijvVUe54NZatmdT
2sGbcTEtK0pokHK2+/13r/0y5eDCmHGo9DAZKnHG+PcOIaZYd+RcGL6YzBriEl/YqCQ/+uubXYvy
mOX18jWeEYNv+C4Cq3fTJt4TvRqqcace13XCJ+LEdDqx3auXeewnD+g8zarfX+p/nTtMzmTgJlz9
P9ruZoqJoJ1sE5kac316fzvDiD/WTpTnuqhVz2hajA4EcRwj0D/eYGpF0OrAXjbzaSGmJ+xk1pmI
GucOX9XBkUV6WPNWQSbn0DSd1WfMbX/9/qKvbYGfDh0m0zC+c87VHJl+anWUJqpPLS9MPyI6+Nr4
X5XqgOboNU16lm3H4nS/1ljyTOFbivhh1up825EgUfOERJLzXp7O28dNb/9waf/x1fNAmtxO172W
8f/+6vsxormo0eS9bvdG8V525nR2JE7/pbKm98cF0BYCRWE8yDzSWU5d4zRljHtofCPwlRLXqJNr
tzBDnFNd6ISnc9z7w1X+xxHGdFmfTHs7xBj2Ty1es1LtpI90naGGUR37Rk33lZTlblRTOuhpHsNh
4iuvEsd+asrobKX6zeo2PopY5yPGMei5CVPFoZ0Jdhic9g8lnv4f18fYVzdtvlyVy/xp8cRT0CzD
bOo+kTecP7ZXO0nnv/TcGQ69OweyqT9XdGXuXSKGyTqHKEwAn1X0T5ItLFbQ8Cv6xAtTFMnXKotv
HNtYT+bmusLz0C8Xmgm9X5kuhp48+qprWE7U2Ax/f6f1X4sNY5tkiK36EVsV+O/nAWIP5kNCVPFM
Mht27Cmo3Ho88sP3pCLTBktmsus6rfedrflANBOzWNe+bRz8klGKttSZX7W0bjzQD9mht9CRxI11
sYrEU+rSw6TmhvCLHpIaG9YfLn67uH+/Z4bh6I7hUiXRq9B/alNkNDJbQcvTX1kJKvz8h2XILllp
QXl0siFAMdt5UdZDECWNATO13OurYhwJIJsv6PpXr8hUZ9fpymNXSTB7cY/FGXAEYJCLi9yW/tma
fPm/XDUzJB20pKP/Um+Osz6ofT1y1SvxPavAIFW5ooMY2ld+XLcr0YM55498uu26eD+Jrr6wmDxO
aLU40wMmH3pyIK/EU3HqEhypJFCVu3L4R5fcoZv//TVbv3SdBXNPbjayG8tmJrE9Rv9TRhHZUc95
4Zh+E7nOJSJJ9FGoztN1FtoQPs/s8JgtMx6RWjQvlb3ow64uuNV0Yv5KOneEKcy/6Ay6E7aESpJ5
zbNso/+lew3iqZZdGgAL02kMj6/AwJzLNoy86LzQF2NxGirIKQ/TFIjwEnWjV9a8eHQb3idS48MG
/PA5jrP7KMoeQWh3BwmQYtNjOT7vv6+JWnnpV3LURQ7ciI5bvEZ/20bfneHLdueo0L47gGkP60I5
qw8jva7UkZdiU1v8/lb+OlznVtJVg7Cpmibz7J8237juM/TVDRkaZPQ9zrq9H6HM7ONVyp0qzfbE
4EkEy4qmFKC9e6h19R1PanNyWXz/LxdjmYZq49xmOft5oVVtNJ9Kqwm/kd3ijfj6YIZmYIBaa/DI
BrJv023gAmK0CKYFWyhJd24wFkl+hN4p/7DbXwdbP73QLPkMa3WybpiAbY/h/zxmXb+smE0H4Zta
86ObG+M0Epm2ywoigAZNXKYMj0KnkH6MNXP0K3IQg25w32Ujn4QVcTynHaoxOjmjOPaZABsYjhKJ
LT1/VVYCv+FjaOeqshkIt5xZlVHdDzxZHgNSAtXA/aWRScrB1ve1Mv1PXedftQx89xwEGSRwWiXq
+qd9zVqWhY9tEti0aVr0CYr5teWZKbp9HtPKp/NiHGGxT3v0bI+qSvyqLbKH3z+C/3Go4jKYLjJH
4jDAO/3v20xzfYydVVh+q010LsxX1ZrNnYiK7EmZn5J2NfZu1mh0QeKE1CaHpN6S/kWNLRU3O7Ed
bqSCCJMQKZFsXzJoxN4oY5eK2tz1UkxIF2X6pxbUf6xBUAFp5LBRbTKdn05Vs8PhOM0zwVZKRwkt
wRqkpln7i1jrgy5T8iLyiViFjLKO5oB6m6zKu+Y28mZO7e+uO/B6A/C4JAp+Td0ij6gTFN29qAy4
2Io8kuNwSqf40PX68vb7W34dXP70ZAsqVdPWLVtw8v5ppLtUVTm0E1vVtQdy1c8oK5i7ZYPtMlJh
6DOR0KzMz1TnDBkZnwC9dnF+9p/0r0gUT1Hpqpd2VBNfmBWB9kLVn1EIBQ6T0XdbjU9qQm6OidXv
Mm4PmJMhrki0Nr41TfT5pF+MW0LVNdYJgBVHTRcTiUT0f24dEMm4nW41rYj+sHvY/7FP8zqze+gc
PU2kPP9+3sqidGqns/557JlKjqz1aZNQMswk9yaN9CJoEGGVuNX+msYUGxstWovVvWrVL7RyADBA
YYEXtrlj+nZyQs1JSp9bnZykUqSBpUVfEn3KTtWSbQgRZeR8shUkwMUBZMGvDnOZIulY+w+mvPpB
avNTQdr2jYmlF4rR2KEKbhZ/mpYv0HPPSPQR1VRLRUun/pLpEzidDKvMjF8yNFLR3GK3ubsSiiue
Hq8tovdCa8jQxriOGk5mOzmRuDRUjuo7TW3eqsv8IUfzTmWFOEe9M0bhgoL17Ji4+L0SJwP4gnTH
BFW96GXvvCY1WV4aPnJtkqc1bqPgKg0DprGDjjqefv+M/kdZSE7kJsQ1uQJUiz9t8rHT1YsG1M2v
y8U5Kgmd5TIujjm9l8/sAA5jNDmSlD7fsHzRFkvcc1D0WiA3nouMGHRQVmXh4iYylMPQvmMZ2v3/
lIW/9Mh1RhcWTRcmsygzUSX9+4kaU6NJkdSpQSQmHZry2Aerm2tEC6OMUbC2iqT8NqEloAdbvTiK
/n7VhDUIJ3YbUsP//a27njT/9/XmerbllI3dQaTpqj8doytVXfRa7dUgHQpC4vknglTa3uregWaf
wpmn1gfZA7Wo4CDK2rZ4Yksc5XDOyqll52qcP1LdFoc2W/Qj7kA+lZkmR+lqp3lBlNKAMD3WKcnX
RvnBUNX0jdGaH3lSo71Qo25L/J3/cMC2f65zto/FeNEES2iptmb+tGrJKKZ7DbiIvb87zTRXOk/d
X9umc8JkItZzWK81AbZzp2DQFOORzKn5Pnf1MCbNJBoU9y+S64gl3xa0z6A5TW9AjgjjXnFLdr/N
5iMJpNGqLaoLPSLQNXJTY3jFQU1MsyfFMm0pbBYulRgXwril/LpVRqMUpoOiYuSrlAGEIzy6zh4w
tKxJzADJMm5VbruHcpLXO6PrMipDe1Ea7ce1C1U0XXwplbFBNoVXC6fBKVuawAb3ftfQWL+zE+uk
Rzkhr6M24NhEcooDEJPzPBdni4ZTXFvTuVvNL1qJlPsaxIMkhMPm/E0r0ooPV35JkW9B6gO/Vi02
Cx5mZYLuIe4o/YzMr8eyrGul8GJp1X94n/VtWf33Q+mgIdJonKC32OT2/35J2pKXpyumMkiWki/O
iU2KODbMzx2abhjBPdnpeoYHQ3rpsubWTJL+RdYoHIeWg1BVxg/1ok53Vqv5VZPUF5hFSKMmYKNG
Ox8U42GOGlIaSClFdBZT5m6PaVGoFy3JQAHWjQ0k/49qTP1nQaKxdSwRkZhUfkw67J8OiiUvlMmE
wvX5x2pvLBpJ3FppZYEcCbBeFf226eVjHbvV0aD15y6Wcezd3L24LL090UHSW5V28IXcBvJubuwR
H6cXPuahzi3G/3N284clYluS/vfb2C4ZFeW1XqV0ET9tgrGuyJi9gIIEVHHopkWxrxpw0+1A8W25
L3Mzujsac0pgGB0+U6cPDMJOD9fhjEIjyYo1Wl1rCXJsiRa/Lko2tkp/y8tZnHWihJd8vc/qKDsU
nV7dZHonEHfZ1R8O6b90t64fBB068iz4ccyO//1YgVBdq7YpsCxuYqfccaFcZ+mWHPJ67dSoZulP
o9Fu1F/9prIlUoikeeF5QAUASi5r4F1DYfQdFzHe7+/yLwIyLo6r4lZbNv8TPwvlhTL15ABZ3OWt
nxFH474nCulcY9k8EPr60DVtd5dMJjvvkO4dTXmGsxKdpUnivCulexy64VteJs/OPKTn6whQm4mR
srceTz03QeF2WzKgbV7mhFP6agI2gGEXXoNhe2eTaNLHa7bat9OG5hTHSmC3S7WLaHOGRcz5TDbi
qeOgD4uTdLaB9azRm/RhEpGyj+PEvKEl53LIphYz5/QPypftmP/rk2joVCAI9+mtsrz/+wus8qLL
8fZTFi+mCAWJ7edhWlIMw7FM/G5giqU0Eue27ZSfvwCXfFJbEsAwS3M67UHMt7Bmr38Vbz+6/m6K
sw9jhT8POfs2m6fxaVS7+mxG63hCvqRuHNRUVLcmM9mzNQz9/dDVbza0sNP1R1eBtzKKr6OhDD6q
efXFzufRG1Ah3V8PtIlZYBdaGoWjks4MHDA7eLFPWimA6euX2yrWSrrg0u6vf6mJCCLqGIl9r7J2
x0J9ZFSXB4Pej+c+Z/fJoGalnYGeVMJvtO0CFFKiXiZzJh7dNbLb1CXisl3ReZmcLw7O5nOspq8M
xCBJg9S9dcpYPK+sKVrjaPvPsb3R2hGyUYCLirYsZwc17j8XCnfuHJvyqwJUfT/NjKBBspBRllr6
sQTFqXNg9z6/i0mvKpQ0y3SqTSQX7WjcRJlqneBE7ZU0N28VfPZ+B1wEiD3Ra5YkHwcrHnZ5ze6f
jWoN3aLIn1GTLgcx9ekLw5PpcAW6JGSU8GTXBLMoWLGL5T1GuPbcW+4cTvChCJ+pwFOSzMQZ3P6W
mMbyddRW559LA0FNpKWCBCDppu6IX6rcY+QCLxI3+y7X1Efauh8QCC0gTzvEivK5pzyjetdaytye
FMUxT98sq39qFGk9uY31iqw6MBlKvepDDf++lnDt+iQmE4n2zcg5fuqSx2U2tZu8i9TH2YkoBsdu
QKzxlJoE9irrOj9K27fN/jy6bN09SPmbJovTC/JgO4QwYbzZeCgIGHi0156xUj5Bl02TDIt2zGED
AE6x4W0jhKi7DFI30a5jAmmKlUvVojK0yfz0FcYlD0tlhMm84AOhknPoGrEKkGlM5vicQ8CRYkRl
q/qt0OSdSgrdHRZavygmN93ZnckZKC3f+sH1RhgP1/KiJzVif11yNuVdgGxKO19/aSZlf305BjK9
95qqJUFGIFTbYrxP7Je+N1VymRCBtgl5vldxRWNODxZl6LHMxwisOtPi2RBgG5s0JHHh1SnrLxN4
DvBK/UNRlrfXjkReLDtKKjQMjdaekw2wptFtJ/Z+eGHiT+5QlBHxPbB4mxgt4QFOM7Cg/pX1GERL
57zWUR+D6zeV8Hrku/6pzlXHErvM3fsNaQhUDIGBgBFtm/SUR1G7RKHOeahpDD9Ioa5m3NKoUjXA
24LMXrhTJ2NebfCQChNeOg1gvSuTMaRNTR9NhCIlEP9QKhzEvL6PmzvF1Uhr76qHhCgAALKEANgF
Rnxj1W1PagREYKyzd7EERwbFyCCvWoFNPa2ghhP9VqmMNUy3302CNj+k4RRiC07Wq3fdVIaa5CRe
+CsZP+6Y+Tq5cpnKmRYjFpSAkeDfc5nMN3K9uUqR6UeIm2vhXTP1+xzhq2TgGRFgmTROf0ihbZZF
Jz1CbWYOG5fleit5zm+ruF0AL0xW4CK0D9SVTjagBNet04Mp2pG6fQD/tC0HDE7fBQsvegU5B4oo
rZMbxSNmgm58BosJemJFUrqkd2tbmHfGYny1p64+dStrdQkPTU3L6DOcbSGrpMqKW3zUyFXHy5VA
rRBBkxbObd8XKGMgf89TXH4SK9pNVVBmzhjMxtoSJoe2YoBrdeo2YN6sWirfbcn2gvHVgx5g7Yp8
X7vj+i1y0O/N6Ww+Kkm2X9I6BQsoO/q5tYldAi3ZHDnNoWZgvQW1PKMZonFACsL1l6IrcpiGebs3
Yf3uxjon97qXzFjdRe41BJhAdcEG+Gsi5udKb8od9STazvxrkZTqd9Tm30EIER3ouiMyDAe9SE/r
xEgiAHmsHjM5zDf50uakuGwiTLIMu/067CdjNe5RXtfe9f2r7dH2nK1x+DlGXdnvz9i8Yap04gmT
bXepZHq4Li6dBLJi2ziVWtEwgJ3LiYWB8UnlaIavkPaDyRlrFTaFrSEWTukKcz1hQmAjKi+L4jgb
snsb8mOyuF62RYM5NNx8kqrvcaNF95axXWjsLudOF30gqgZtJTjoUzMt+wERpthkLoo7KkAAYoFd
JfZmrYq+K/XL1bxRpeoYzk2KbBGNgAorvNxfFZ1t3xJHPA8aQ/ssGIQkIyOumGxp/Lev1GoSmJ3D
muq7azI5ShesWtttiUYtvJY/6C7bUFeM5+stKgzzR5622o5gJiI/VjuE/Kucr89PKqKRAdPU3tWA
21PneV45/IqyeTTixXrqyZqpMc5v75kxbV4Qd4iP1CuHrCKPZNp4Q9c/p3OgvgEKWCv9ox06yjAd
TNo2s+7iknamrU2eDQv4QAhD7gmt5glNY3Ont1Ahl2i9FEW3UzD/ndo4Pc32SKUqeD5ERjTiUp90
UiLBJC6syECj2sFzOZr0BTnBUCtG5VSK42TAdTOPWJ/65qZunylUdzUqBItZZS3uEqEFTfJtHRPP
GZ+T+e/kY5t58ifyMrSwHHwf6xQNjU3Dw1DtO9i58gtrFN0Rb8viq3MHE9ascj5odT9V194z56+j
I03fbuJvbI7JnbqQuekW4lnoY0U7IiVNXNcuMBPYiLJUwhOIP7oGyhqwlJxSaCrjsCZYV4tYW2J9
ocrQoMT4cxdkq66FTW44wYpe636Zu9t2VqdgjPpsz6G431mE/x5J8bT3smYPF3aZBY6rKicH28pg
365YhtjnjzBxx7B0s3ezK0gejPJ9u7TlLhpJe+ti7G5pRtSJgyzaHDlGk804e+B+kTjhIiis9Y4z
9X2xdfaIZn0r4cfsZ6bVSlQw5OF8gKk97ZbXWUsuROqi6UaMxfVkAiuLLC8LfYW8VjFK5MSyoNmY
9j0U29dZly9Kp732BbkXpvByq2HoBJpLd5W9lS4zQn62Qb71GL/bVN/OdVqFxSrOhECxiiX3LMid
x4gpXNEkzHAgCPjtd6DXw9YS94lUg7obtWccAjdOZ/+wwFlPan3kZz/UBndcK3da1h5rvX3A4vsi
OzCLS5oCvZ0foFQ1nrAYvdZb9La7fAPrxO7kTmOotzTB7aQ5Ka68NZhGr/VyMdYygJmuPue9IXfY
bmsvrnp5Rx4GIbSF6wD+tcqdQKDAcTRMFYpLipwQSdVTVkXPVWa/XB8UfCIo/zqYnmkPI5P1yyFx
EJxJnUS72GmKAzAOrcruFac6ZGUVthWJxtYP15qe3dl+aOMPa4jOdEpD9tK7KNXv9Kb30YIF64jw
wAQ4OileYxI0wAxKpTFGh4xRw6p38x1fuwlQP5S5Ze8mzHPeVHJbCLGjv48yMBk1X7buR56uH0j+
bqpleJxIiiRJHddti1JIa4IhGo75CL5zStXq3M3LISsqL+4Qh1sedeW71bsk41VLHFiNIx6UfoC1
BwZiNxJZu9Pw1e9HXSOBsW3TNyVXA2HV7m5wjSBTDZx5d6STmNWP0kbgXX6I3Dqlg8KkNvk6NwU1
hr6xDQj3HeqAkyOWgfFgNt8hanvq8sB0CGTspXWX+2waEQn86JczIdsV9h2jLM8reSpeCf1RGGz0
Tk9qSWeitGbLG4Y6o6dUeFKv7aOVqrt1JWIwyhSywpw3nF5A3dB7J26xHAurx4y9VVLFfMY0Bkl5
rb65+Kwc2l3G+Bq/dBEelduYIb9EqosMMrIJdS5wpI1JIIfUjzIWCM7lvJ6e6b73uXRfY20JXUXO
LxI3xzluXKIppJy+6ITKelO8MJdhS1easb83ku45q/P+Sz7aDHMU28ZX18lT2aIRxvVKsCj759BY
7akm4jekmH2YOzzU0u2Z+Nivll1yHeZO1uZ+wAwbWdFutHhZN1IrhtP2vVFL4gdY2pTca6PeG2cR
TC4rJOOBKWx2UnlaBj7uFqmg+VP2RkOtA/6oE+Rq0mrJ4uluwFRGoHe46AlZRXbVHyO7Vv2oIRxg
bnbJxE1khyj3M5ixjKbVMeqs3FtiO+P9cU5qFYGf6MyUyIjCs8iUadeHvu3ZYMDFnRRuHhy+1xS4
rps4MDmt4tsyWXfosrDzIHnqpzm07ENUpX68lAeaGWGJqs1sYu66gw2dA1H/jV5QaAF3m5hb2OOE
eX7YDn6hYzxr9Rd1kl+T7EUDAvqYkhy6oxdKLHRCxXvnpOa3UTD/bYbDR1YqvpWWf0VRHxIxku0J
3DEfUm3Zd4VQX1x16vxZE4Hm/pVLzPzOsisJONj0gRSinsVBwAM31cL0U8+KEa/7Rs2+NwMl93oA
PPhc5k10MyRRwaemL9npo5eMDdmNTzwwwnd4kDdGxyLCmb7mseyrked4zk6xU5aBmZaXQtAQz8h6
JkhlPajDysMWUywmQrXD3nnR6HlqNctNZXuJwEerI2ftx9S5kJqJGJMzLSrmddy5gzHtRdvu7EI2
3rroOTJa+VBk8qOvcz2sqjj1CqMivL5qL/gyk/MQWOBgmnErAvFTXs06j9nocC4on7MBujXhBXoI
vHdX9KzRhGgbKCRAu4U8An7PM6iwxtUx8tAVtEnGUC5yd7l2ciAc2M5MYEoRZlkPwbaaAMVqRbPD
Hyd3i7O2QWUMGcrZcoS3Lvlq2NalooYMqzEzlpx/eWoDGtjZTA7A2j2SJfVC6O8DlABEtUNLyLRG
WARoFQ3toZ6fEcrsOsTXXzX6rSRksbgAoofuzc/L7ZNDxr4BG7fLqW26OF1ey3lsj0oUkz0AkUWd
89onuH0IGcjexBbLNRvQY5sEupK/qT/G6YfmPKSs7fH8UWToQJcMuLCGJJYzeoTQ1uXPvVHxezwv
Oatr4uwa+SqHvyul2zFMiXg9rQT4NOnxRtfgPcg5AyIfLe3sDOQc4LCre2U3NmFuqFWQ9AIsN1hf
tKVboHqRv9qVpSNnZU24KVSVb3REaz473W5d7L+mMmHGQE8ga/CdtP6k3qzRTeaKs7EZoKruboIh
XBklRLmquJSZ8WDNCUbSOg5H9Diast8uy5mNt2Sh7fVmwEvFSVrPPoEh1gNHgX1JA/SsLpz6Jxyn
oTSAN8WUMqWhKrtxnr+JNv9QnZHCop8Ps84RkvwRfBKdp9sNr2PDRyeZD7We8MxWBSMOOya2PGpY
zquNl7jYfR8W0JV9wrI3vvQI47LXrPyWyXcjMW1OBHoayHka7jMleW3WnnRYvJWntZ7GN+Jtbsq6
3A99NN82ItOf8hovP++82nP6Ys/PTzhFb5xMDJSbNQdnR9XfmqS/N5VLpxfncgUi7cRf246+Zu8m
L6ntxZT3hJVOtl+l8iyIUD0kpZlR+TAbTdb10HVsEJt3RU3lcSl8EGd2SF/fmxa/gHYQb0kj7InB
rJxyTigymCa/5qucfTFLToHCgM+aghZE8Z6SxdZgtY/hgONa4HCfdDbOiwRqGwyhwsYLXGIJcPWy
DgxHbV/whVSUbIP9TRF/17yVP5zKeKYqpDLW38ba9Ex5Nk2Kzh0b58QUazkx4qoyxleS3gVXMH63
01DIICoRypxm416Q8aMcbe2pN1y86U9q8SNWOPpj3OHoQjdiM2GcSyVkdZ3sPIDWpc23Wfs+Rfej
QVuFnUtfD7EO/+oEWYJMC6N6jqWfNq9M+gslXOYgnXwgghr7RqweioSkHyqwcjR2cfe3MSJ5rNiq
2++2YObFzqPdLc77QlOxtP5C68KwbLaAxAdGf5wITIjfY3LgvAGRPNpZsWcbJE0XFoLj8wba7RuN
CdPZpdW5rphnkZF8UAtPcLtdTblbReLbah+4Lou/akBEnk1M6EM4yDh/zitw9QM7ZBAvA8LX0nmv
rfmmTGsz0GwpYOrGXVBgcBwgots93xe4qqiEMxZrLI7dQ9Zq2n4RRMTmLunVJNK8mv36rVRzqmcL
xdkaS1KAyKR2lep70W/3j4BNaqT82CcFUWcF4nJjMSfSkhM2o2bnFkrArHPxCDqAw+Xed7SihLjM
vFCj55bKTtKdXPUPlP9Z2Nc9dJHWDJPJSi8Sc/NpHi2LrN3EvFtncGNVTmdyGJ5auJMoDWEdukwl
obRzCQkLzm6YouoxMsHgmGZKTFvtnAH+NDtlqW+MQTuqOsfkIj4LjBU9rsRyiIJlwGZCzvUKVtQu
3mdB4Bo2OZO+jxFo4xCuKfqdCjB0DfOqfa7xtkfFG9NaGF59QF94V1DttBC/YUKON5HEKE7s5VAN
gQ5xmH/d490+5GZ9qLIobJLizGGlYHnpsgdQAOSiNmikeiz1OCLuq/lQZOhq50uG4elRxWyzsiZ0
e5uEHx5x9r0WsE9D7b0S72MFvcX823xhXXeAOo/Y+5A1MfpuLi2o2h0En8AC4BmqQ0HBXlO+zyS4
nRBPA1km82QFsiXIsCbZhDANloE1v2nd7lgaZMbOGPEbWg+zEzQwiWkSsH/Fh0EfUYbJPVZQn0i3
0zRaN6k9Hyb9qQL9mgzmfiG5PN/K2CzxB3bt7T4zjwggSfrWyPNHewq7zWXYvhO39mED7LCA0wuO
sQJHAalyO4lKFGS1g827fJHkyeqPGvGq0G881S2C0dAC0hnCnkgBkzJTbyc/MqgSiPapB57PDMAb
4agwR3akExEec+krSsmJYDMt8zp0qXP5QM820NP6MntGlVAFEvBJbFhTmyd2qiCesh3gDxrWN/w/
lV9TEqeA7G5J2hox2dOg0pF4kgAUZMexkhEooyYob9pImgesudwmxmyqPXKrD2yxTCk0POQy1JP0
wqGB5iGOaI1ewyHqvoqMPZriCLYJb2m3d0qQsdMrZ3d2InNfZ/lFDsQDFkA107J9kNsvXWmDMQRE
LfUQjPMZDibS1XJo2E96v3bgj2t/0epwy5GVJ1WwcoC6jLL1RnEzjSqNEBn4E7tpik6qlQNxN3ZK
uXhZjRRti5Pj7yGl3RVoKIrM9URb0+NWaTzEPIT20YWcWY69LyzF11eyJtxvpPytTILWMcZGTQt3
gsRMWTfbjr9yEEsiItBtgyQexU/iL0b6nMPzaRNzh1bDkyUGv5JsKEo4yNeEbzNUB1KVL2rgCiNo
IjMY+rsk+dKVj5abBlTuu9KefSmeN7APnFl6yGj89QJshEW41weLUirueQ7so4iJcZnmJbBSxfFV
xbqURgvCJCHaaSFNPeEib7atXnJ8DgdN/5s0OudG4cXBQA3CGoOjEpBuBy1SyP4WBiTiVjDP178q
hlVjyjA63S0qf2vf0Ekjm7ox+c9N/U4Qgc5kw1PHL7nB8DTT6tLvQDce47Y9Ml5vb2SOwG6CjksV
xvYxkwgoljj+znTqfrEXDrDFco5wNpJhPkuUQNX/Y+u8dhtnoi39RAQYi+StcrCC5ewbwu62mVMV
89Ofj/pn0AeDuWjCkiXbLZJVe6+9Qt3sxoJz23buU0yIAXf9tqq3VoxvE1kv2EufO4tEIBkdPLCz
VsUPJRDlgMaYiQ+Ic5c+B3ImYQ2kyeW1SSflNhV3m1tdVK1eRM8UxlSSAGB7PLdj+w55w3ju/Gfc
MYiu05/km9MWF4KTjpIUKDdsjoH2t/ejjWXlW3SuW6a5R60NFnr0h6we0sWK9VR6awuxe6H7Swu6
ctEbkFnEGY7DAzm4rDdPkqC5gvwRSV0GRsUE5zLWf0PyHgzzpoUI/WD26f0jXBNKd5bUITjQxaxJ
QwfXegSLoTfY59o671cwLCuwcPTeX1j907NSjnZq5bdk20/EabThDtlafFFB8Fq3uJhYNDNrf1A+
sVRgaMACh9qu3j03Iby4y7F8yWE9mxj2L6kQHuO2/M5bTYe0G5YX0RkFCRR1eUnsPFx7NmlJ9+eq
0ka2AAtw6eBLiVuTfcDsNz5XzMhCxqc4GrZSp6RTV3+cKop7W15VyXRW4l3F1pa9wQ8JkX371U3V
bbtDHk8p8NerPW8fVMpY+xHv05QS+PrLz4iBwaVjuPBqllcck8ULvzQ/qiq7lh53m+hUfPHdSScF
Uh3x8rRPXMOQkqdz4U3VCv1HcW1LiF/ZWK9C28xevJG0Gy19CYEajoRTqblxDtfY1MREKrjt2pqM
jYNU+H0oPVLpd3Ek9mFkfnRA9qfAViWwDvr1YM7/LfF0dCK5Mk2F82leFhsjRNPg+XjARD7yRsa4
4kg+ym/vpeOxMl0C/eavoJkb21bXruJqxBgFSfZ+/MGzRdvVwyoTggYJ66nWXWdO6oCcOjbw5YX0
4+pkA3+TezscC7ea+AiI3FAnB7Ss3qIo1QnmlMs6Lb+KhGwrFTs0evMB1e42MEjpsROLWi3NCvx3
2+IBCJaGXFibsezl2miMCGKLwG64Uc2j7hIlaWXGGwKodt9qO+KS8lurSW0VpCJe29OUcjHmWN+0
fowLVvIVwZhnsNlZW4E1L5wlTCCw41NbWzxEFQ6EWoMLFnMW+t4hzZcuMVQY9lB4FSBVZGLllYdo
VK3Jfmp2+lBdE8yT0VdHMPprc3p323OmNfyP5TPW29ZpmOOKw3a6VHWB7W/qQxMzhhNqT3zo47fK
yB9FG6PvixDeKIt2tPYipvZKF0vu5ww7fghAlUH12Ap81AjPsmMyqvmc0gNbTYmLHAMhO/bStymr
rxBBx+6jb5qfqJrSc5SE+JZX4XjK2kjH+0NLH+CxgncJ+1WwHZO57ZxCwz2KfvyKgYeoGonfxvsg
PQiz/gvPCA9gEngWXjwA+I0po69kI1uSQBaFFTQH+BB4HkYbFZOyiJXmb58EAgPn7FhqwqM6NUuU
LQYoURzkh/tX/w5W7EqWjqTdCCoZDGzrC1Bi58gVoMrGMZLijJwhtnBKcv1H7gNSdgTBy607fJt6
irI3tfON3RUGd2pL+zDZ2VYTUnsLTTp3rdk50p92nmRgBEJ3iQz6HmUgAxqQRONXtusjTbxm3o4G
UT0bgf4KVmSuZTdYnGffOHetuc103CGnwE6uJIY058rl82dKcB3ldxh5LHzEQu/CMbiVGfZSxLQx
UMn06nD/ShgJQqMJ0/U7YaQWVrLKhypbaQTkLgsYgFlv+Ts1Gt5Lr5N6vMcocQOTY+vg8YSmx64Q
A5pigVBv2Y6fZbbvE3wnXyvNoXjCjjkjUaleKSAjwWafkNBZNvVm4s7YqCxpH8shttiz3WjP1hi+
V8wCbG+Qn6yH4+Zk1CFhplm0Jx2wenTTdwYYSyuwnl3CMDeWrMUJbHLCIhSdt9k8iK4jwUCIct3Z
fkb/1pJCllk10buk6lTKn5AvetVW+MURKgoJKZ714/Zhv2R7QT1a3/Neo7VHig4DeitaeWn6akiF
hXrhnt0qzh9ztPD8n2muBUP4NxBkVDRkAAEpHGdGP5LyhdcLCBa3PPOJt5RtuQBb9beZIcFBlfi2
E495EnFBvl9O+9jdTJ0THweidjboSct1OF0Qkc4Q30tvGJ/hzjBjFzBVX+Y1pxT4Uey7sZpe6zLc
9Lm/DGLjMdej9oybrYlLC3O2qPDla2yQpBTqjya+z6uhUdMO83kIURY0nKGiCclUD+4N3Rpgxh2f
/N4wz3PdGYf5gXN4TQLsi1layeXpQCF9/LCiMqKrGHcelcSmy/AXAovTs+pc1m55zkA91p2vyyXa
dBjl9yf57c7e70gIUs6O3O4/YxedM4Z9prTAi+Y33w9KhyGhio5SyIY20jx0fwqZvxYNNy3o0LIO
1qgI3gm8+axcTa3z5JkI1UVg5Qu7hVqwtim0Ohcp0+Rl69Yq3HXVEg0MPRayQ1e/jaH3MmTYJzp9
Ta6QcggedOdAAGhNZCqSKB2Qrkrgn7kGoCSHFBrjCvvIc5TXPUKZ8GfMgpUK2cer4MmkGiS4bSvb
Otx24tIzVeOttPWNGeGMHv5otdxZ2LKYmMctwqRcTtld2FdtW2b/5ojQHwXCpAH+iQIflCyYJJwn
y2B6CXgXGTqiGtvqVzbG0SutBT5yXEZ8/qkiHWWj/MpDNv4HVhh5qob+YlFwVAoHkaCUjzH1uHQg
C0h9W2k45ogq6hbugCP/MPyxxdxP6aDQNXx6L4NkhHWjncSc4EJb0/cvgzkUiMQCp5Fo92nDy7TE
R7xwlnRP5UID58182AiVmzwMBWS7pN/gmRpU2qteKiZceacoFUsyrX0G8TbBYagt/Hhl2CAcZW68
WkleLZMpOoyWu+k7RkZZfs7x8KiK2Hxmy2EoS+S2ZIT9IBzILV1Sstio4p05mcFsnHEf7K5NNUXT
ykGYzOfs7lK4/5eqaz8GunArs35zcjEffX1aD53VruSAuNpd12OubSSRya+ylgyjmZponMaJ2Tst
Tmnqa4NTEBrvwaizJf2xmQ8I67311Q7m5VpZ9sIcK7QiVxe/dnrZiLgG600H3AgxGHIZhCfKBTVn
IK7htmc60cFheCGD+KcpOS96pr3GpsiPjZ6E5/QxqIEf435mIjSfbf4dk9ixYx3eCuLYk4uI8V/w
jEBcWQgufuZlL2HRHZLeQ29TxLT1TH4OdkKUoV9rD+PkE+Zh2xOIIx7wvSKgLcVrZ59Dal9AHQ7f
cOzzWapIu68lzXPpwMeSVVXse/Jf8ItOr0DWbvdTqOkDiGcJ4sgbo83IeNMG1Ak82i6L+0K/5vWt
EPgRVN8jthNabm3ChHNv8o0ClOxVBM1Kj/+4fBhR6qAYuY2kcij33glOBSGc1qcKAfFjVLEBHoDo
QNBCtLiBtazg3G/sAgvThu93i6oMbEajMK40suOClpUKs+aiWCa1ti8dtTbTKx6pK3KzgD+QTAGM
cCOJ7M2gqWzEupZn37Boor6UZ+06TyyLCbY6DJ3M3ltZQVR6p7tXmQz+Kd+6NpuOP8fNSq4pLxxu
8RDlJ0hfEEBKkn1TYUVfIZECHZlML3hXtvspNSiDSD3Ny0j7NDwCQ234EpGTwoCGxRDZC41uJMLe
M+/0ZQqiE6YMOq9B+kaQanfT6q0XHgLfWRUOF7q4MDnoxleZuc92ElgrmWN+WDv6b8qim1iZvaj7
lXTCDwh++zr8xV4MMkO7rBMAY+ObC1Yb/05Mqst40edM6MB6uxjrTTbNXAabMiAE1fQHY8norNlD
C4CdGDbutskHbTmJWt204DkrSOw0AX1PWlMxVU2STXxEHjtyQ5Hv1epPjR6/dFaRAZHhiNNNnfq2
J3ulSYtpw0AE/TWEhbBAIZfsW2Gg0sdqG8goHj660fuJIB9fK4LyLmbKCOv+fBxh/tEzu97U2ZPW
16duHoTilIwho95/NHBmtmShQiSYH3LzH2CNts8Em1hYz431fy8bBSySFvP5yKh8EorC8ZoHHaaU
HiOJwMfeUUutxzQaHme7yy724bVj3vro9LjjtFrSfTLiUMukHcGB5Vn6KUOOipH+K33yQrK/Ac3b
8EUbJi8l0sjIhSAusg3ZjivYPkItHAu9HzIFHTdczEHJj3omk5Me9N0n4nV8cZNgOXkswPyTBl0g
lw8uESG3mYBHgbBoxSlZFjpBMieDQXHVFUujZ0aTvEE+WOpevq79nlqf5qDq105JZVhCKISe5T9I
JnIa42KDFqRrgCbcjjYPr21/NchhY0XQ9+pVCQbn/J2V3XbL3KwBaawI9asAYBiShYBCWhSDxV3L
8NeyBgyrPmcEvvX6dQgR1WAc3cPSA0jyfWDIflrGPyPRREauLcsZlmkZThDMV8f6anIuUREu64m7
g6js2ZTH/YaotarH8FAE3crlRUdJiSFj9tR3VsnEODPbXyjt1QH38ii3FJlVIR+oZNrQyicsgfjL
gwUqQ2Dr35K7JKnfm/Kr9TWGVM2SKBVDJfAwPcSrFwhKmzl/aGKXCVo+ScYOlQUx1vQWsfhvC8xd
f2FwO6mgWgwTBNRma9G3w3bliktWLYv8PG9km1g5DOboSFfKQk7TP8NgKZjfp6oFgYeQbjxq2KA2
zQfILiNrsoarPTfCMkXmZQ3xDMIvCJtcDc4Nb79Fa785Ap++veZynab5bs5tC8MnVzyHKaGxOohI
/cQnuaj5WUYl8SarlhOGS6HHVc+qqRMgUtmf8M05hS16hgr9zrr0VvPgdEwPHde20R4MNJoCAkJP
orCr32xrM/uxdfwn08RnMqqWJaWcSH+DRmCs12OMC5KCptf1/0b817UByGW+nxjU9V/C/rTCP5lc
DxgNDi9tw5hVO3vZ3oLhqe5lwq9Lb83PUQLbdQtKqrzCmF+I6qsuDo5HzDGMI4rRhabjIUlBLb1v
slqXA1KitPorVYY0JV+U0A8046eyEjgz3mqIXjrNx21HLLDvQsGk8Wli11zPaXf0+tEA7QQfZ/87
EO+eVy0bfostLayN1pOlNiLjio97mGQ/0vhNB0YYTr7qspJKnKwQcB+KHGJR7GWJJzTdd5cw5LS0
pctv4I/EVXFBosSKAAGshwoKjWjle7dR9KCZDPBIZm9qNJSFzUAlh321SYsk2hUegj7yOs6F3qgX
04BP0uKos3HjwPsgXZQprQUZ/obqF2Z23dEMmT/m5O8nxi7PqAz65ykmE6nu9/DghxeT0Jt1Dsqw
NXAOfAsG4zPgMrzGRCo/e5azbp3kG5vV8EoueneQA8PFVrQnadu7bkoIBY+HcxP56U1PU5txrTrq
9ZDekppIVt9fQWqu0fVim8ikH+JmRG8GXuC62x771BtkwvgGYXFvhiG8vqyo17U9RXPEqX7W9Ghr
zMl690NHBSYaZhhhqvSTUGQ2moLkOd0Y/GdDTmxVbMo/FMDUmCL4zno8u7j3qEL1od0ZAD87ZzC9
a+SZFaeu6b9VyCs6gXlVv5MlAfdOYf1ODbkNbisJ64kc1AK9XZ10dEwrk9mJxLvqpY4HrLbG4G8j
kkvfcqEypc+2Ya+L079DpQfQjKMN3uj1f0/fn/n3Ant29cHYY1j++wZ7O2wXgHEQYcs+9fNhGrJd
2FfT4f5UotqYK2f+xlDE4Lpm+n5/WYscCUz/T9DLkkFmqJMp5/QjK5H3TnRUsYt7czrdv1FPtX4i
K+a7joJ6ifI8h/qG3xRM3vcyHfStIMBzYziR9l618bOqrD/xEKZHwwHr8j2CWIXRQ22SIvnQRO/g
RZK6S4f5zeyLWn1MiyTnNjMJ7LqQmFIfxqj75U/4cGrNfSsu3fCTV8FP2BESyAZKEvZFG6fpahTq
1ybz5aPppi1kB9yzCzP+MNn9eylvdmt/E40drIexrzcE0fHxjuDsZv1I2PStt6HWgqepQ6IBUuCi
Vl1SAewpNGNbCODLNDDsLyXUAV24tugiEOcp8bFQxVRzCyWwfzf9nnCr8qBK2BVJVzF4qdQFVrm7
reeomqA1b7qf1l+Jbq8jssAWzaCsU0ri9tFMjWsRBiOzZt8BSm12uKD+DKrtbpjPW0uF9m8XqmR6
gBExPUQhiPpCDV24wzDL7G9ajkxV9+ABFKazCGtRHnpSeJj7+HF16FCLbPGO3hmatZRtlTIfrrdZ
IemveGUyuWskPNFu6PELmw1aDpOjWWfhrmWOVbm9yhzrZLedtjOqwN42lfJO9wOSKRANE7V0D2X3
DgfdD1oQg8540wNYKVKqwFGsuTJ1dkFDEoY5w0ZouhqPRKQiX6R4d8L/B1m6v9nJQEHwUH2Y/Iy1
+v6zsoxf1LlGxeCH15XRBO2zSLStLDQBiGC7G6hhHqtGPGBRzLQhPbm1yq+wirnYytak7NWOdimN
R9ewobLR3rpNdy3RSRDE1RhrZjvlSqvgLBje30Hy2ZldYJCNnOzHpvstBINx2bi4KcaPaeJmG1Sb
zToeMHkmNJrNfip+w/nR/amwufnNFszQupkoqp9FUv2UjJIfVJ9DeczrYYcwJl6hHSt2WRxZzzIr
MYNuEpQr80ORwrGVLiPe+8OY6/Iy+saxqhyEQxW5FRGI6pMnN5H02ON7iZMwxnSmA/jvxVP+MRo1
pkWlHx0Mrzk6SslLQogJwvb+rBWwFEf6zcbNYR7GODzno/sW5pOGMGWRdYDXY6vgmQ3uBn6mRr+q
uyerMxtGizZOvAXJhCPJbLfI6LwlJphswD4ZZ+g0u3eV2ABDbTt9iRKScVH0bEjhT+KJFZpHAKeS
pEHXxo2SUgo1lBQNgeGdeVbzo/t3keRBjOharjy/L+A5Y+Ky+l/vu395fzMXNnGoPTFc80/9d7j/
LM21tANE5s3/962d4efrUBET9+8X318ozXFOXY62ZRNuyb76LFOYuRjkRO661xTIDMMo7GwJ4+HD
Y3Df15eZ4nWZlH2WrF2H+6PSbWd+i6ntmEEYx8SpHsOI3D67eIjdyXksAyPbORWwAKaU1k20HqP5
ekx2bePcCozHPzsfB9malWwhrYhKtpzyx87oZ2fJnynDWSKq/QYaF7c/2QZ/6STVwchAlJypUajN
U2tT+Z/K1sZD254E4ZFESVqCkT4MDRZ6OLh19kfaFPWObm5dczq3s1jaaADeKkNpGz9tJfkmoBam
aa+MGdQA5OxxcrchPoUNLNLUWlp68Eck6cwKaOoHVc/ZzxO5qRKp3hwDWLHE1+HKAerZeO0gFiK0
3uFSapsoch/g6P5BsBtskYh4qOeaFzNAWIs0Plz6VIYWUYyQsMy9ZzTNMY5ktTNlfQpSKS/xnKCh
T3JalJKIgFEC8Q+DcxnssjqVptwF0MK2YQUrLA4VZHUT1k5Vvjcs0RvXRwvtVtuJyemHZ8FjtNIk
2mMXHFSye0BpYD/YimhHaFWwSuyBzSZW51DmPrVEck1K7ua2g55flSEOgE4oKXac/BQQ1lSWQQxp
cWYk9E2yilRDBefCbWUD06D+RAPrTUrCqkdfpxqKX+n9sQb4IY4A/GasfYBI5WeMOwzlwoGP/WM2
QRotBg1WR/k9Cq0GlNT6ddCrcldk7r7raDKKrIaUGj7VMCMW7FK/ZmE9Q/QtNsVAPQ9NbFGg/4hy
LMJcXGIS3Bd3tVMbByX5geYc/NjqGXnIVPwNJwsDTcpjK97GxqT2Cr+wLmuMVWslNSpLyAkIA8cH
VbAzJlqApfz8UAwBMMD8VeM2FPz/HiPV1Vf9k5kn0yrSSbrU7e6lJ9x+QaWlNmqCq6N1yVfdmNOS
VVoubET6q8QsfJwoYxgmlXaqRuSSsu/ti9naa99VwIeo84ZRFI8DLfbZUAyOqsfOj4aLBTyFz5l2
1LFgWlC0mV2M2gzz+iR7LlQbQQtCapVEaX8y0ul7aPRuW3aMCwchUQZSRC/Ihsmg8g2bTHPSq67J
r4ph/t42fqFE1w9p5TcnEwVh6+FiXgdp+5ADXOxhpiGVLZ5N2+GDGRh5qQzZQd+mNLVle5l8a2ur
XMd/R3+v5/3StaIzIvMFTryfQcX+NWjwDvrOLo8FPTFRECAU8SWzoye987NdH4fMZgtyvUW9IDNV
Xkit0Vz+P5LBAH8ujbXtoFkR/ZMdrk0RlrcqMDE3bZGuwVLcZUGdXiR5jQjZuD1SPbiGNjL8SMOv
vfEQvdRKTVC43fEhEez4C0Yiu7hT2tmf4l2nLMjGQfMaU40uRh/WgWCLW4R001gLzjuBPHoDPYTM
nF3udCBKfZ2voS9rtKt9I9Xxo8ZTd1lr3MdJVaQkhuODIQ3AWTEgehqQo0hQdLdxf0WQ6yfo8SXT
dyNtf5ih50yKpjDW1qRtgwNOWoOQwf6b90l2YHqyiVLCKAjEOZYtRC4vI715zFS8MsOyXjZ0Q17Q
ooILcHSEagWJBCw1JhB0FLegtrxFSoE496klnLJo6XTocoYCo1l8AY3NBPO4rQ1zOxBsDRsr8teF
kcI3oisJAWd0g8wRf7ZcqGuHvnmKN2g2CFUrwj0En1PmYpWe4YsDR5nkIdKQyX7327eu79c40RAV
5j7l2IkMAcs6ysd98zV0o35So3Wj4i3eMjg0izJX9fn+sDDe3dLrZidKDLcaa53hqJ8TW/sYxaNz
SgUkrcl67sreee2lAHmJS23rF+aBKRtoHMpMss+Tm4lScqn88AMCEdpqb3y3Eh/s1TDcldlxxvWo
35jui1dNziKS2an2Wm5oc8AXUdoIS8AyGkhyVc/FrCd+Q8esP+QhRiQNjhbzDBeIPlZi6UUp+0ie
X3OnVEt/8F6LngabQau97oEK8ihaNsBpWMR4e4dekGTlARgRn2MEPSgvI/Gchm4O6NB/j2FBXGmF
MVvx1SWScTrg7AIOIdGYUkHbJlJIT0OunSj4a+WYX9vzNDrznsh4IsR02rdOSwIptG747wGICiZN
bnEeYq89Dp3/GPpq02pfNUvgQ1E55nLCdWJRYPQ3FsJACDtchLLElYzotZcgsEpsUJCuB3gZGsNc
sTAMhsLETD8bqJBK0FIXq9YlQUl7pPuXPjaybS+jJ0NM33FkQIb1PbmCt5Qk5rjjft41sRr28Nhu
hvyLV3+GpQwwBSaqaJ9tevR+tngZIhPnCPSPZW0s1EgkbFoyusBEYwLjG4y1ArG4GNJ7QyTvHdhR
hoPSphfND6HhIjpukdRPjt+hZcVRqs7RYOoF3GlJyEE/pXtT+7Tz0Vq1YB16+SEK3z1GyfhsSkCD
0QYvimuyUMqq/bXNYrpahMxluAYaqewPad5UG1syI8DHI9h1bUph4U7cO751MsfYfdQSFlQyWsuc
1G1wAPeaJrV3rerhF9upYB/Pj+7PT4iBc+gSsqsfXD/JoGazMGcNYGST/J9DNX8lULd1aEpAipOy
Z1HVsZC8+0gmUQgncj7cn7t/JfCx2ZtGxiB6IJY90V2i4Y1xmfvqWYuNdj2Y2ZdfZd6jRXuCQXR2
aTQYFZYa9zjytCuvq7pjahA+QOMHrN4bO6zGIXsKTJK5s/VEnNNIz45mDnmUwQpf5gEumA7DT6jy
syokxlgCB+QO3SpQRNQz0XWw2jqVrY0GyuRDLlh+DyIMb8WAE0feteVRuiBlqifyJFKaOpWNoU73
r7x63lsbLkXPat4RHiRvrPs7rAXRWifgOdAGylVfO8mrwV1jcz9ZDH9/cv5+ioDgu0N30wzHyXPH
Y05c7XHEUrsgN2TIOgXddn4ewfH03yt0v5cHPaGjmHcYWPbpRRiLyYCIBSKbXf49Xfr1NXM8dfh/
nsf+xAHWw+Hi/m4CdjMMPh3oMa35Zs+kzUS+oXqcx5ygY/enBYLlbYD95CYLDLE0NDK46Pj0w/3g
axEqjUDXQWA5pwAF9+P96VQVSALqFExxCqLzv0M+pQnYHXtS7vuFvujwAtEXEJfSvZz6p/sLAyfn
1KmCXEtpPEytZNWdP3gva8NjXmur+1P3Q+LUeNWkMMQQt9gLT3hqV7HRRiDnyQADeMB9vdKqbVkQ
B+FABYF5ar/kSaU9tIL9uMDe8130abAcrSk8juBU7803Kl00tD7DynB8DgJNvVJ9qo2hBd9m2vVH
iDDlsgiN8c2z3YExkC9wzOHhJBgXoIx1zwGGI689cqGxGKEh99Zp9CCk/vcqxHJwq5jxVO3VM4ml
wkF3gkyPyZNRIcSy+hEVUI31Kgls8GvKZtlpGBQWY5Btkyk0XlCgUphTVNt0CCF11SVNqO98ON0f
Ch7JciBO+6h1GEBGItzcn5/Aeba+j9tSin7swyibdcrA5tkt34h7Lh+8WP7vQ9PglBBHDnyOhAzG
+3eNkVTy/15Hulq2yi2TYTzNEq0yb77/GFkWF7tB4tDAjmwb2wXySL2rFThIst2yX6XUlw95MWxR
JEMVD4poO7r5+NjPhwD8DyZ9uumEM8Fib5xHv0c34gr1SPrwz5xxs+/14uZ7s7po6tpF2QzlOqt9
sHLgNuKuR8XZtLs/oXqL6zb4SvLh0vXZpcVB+nEivOjRzFSwzt+UkOVxLAMdl30DGqmnV48AIeDF
DoyNZEBogC2Xe74faGLk1tNQLHntyAmeD/++W8Jq1qekR0b+f9/w31dtRDBzwCL27xsYuHVnP1u5
GGXdWAai29RkN0dz+4d2fgTaIa9NpoDteXR/VaKzazfQooBcujc7hbaUde2TEwwliA3iCmHg1uW3
GIJqqkpXCQrGFczEeh/57eZOILofgL4UutBhWGqVq++Zay97d4Pdb3PBovPFq8vk5MRUT27StTAs
8EiYfIfo+iZfD4bZbEVG/erJmeYPCqF1HX5anZnthA2Fu5aYBSdwh3B0rFedy+Rn8j0u7z5xGKoX
/aaXU75oephN2ZwgXfrd66SbM4cRAzR3FfVp82Bm3LqQSd1Tl1wH7YfGUt/C0siWftp/Z431KcEb
Nhrexbglmng/+YU4+lBOnIRroBnpR4l084vUO/QKKWQNeckbCPd2cEc4hRifZ2HmHeyUu6zSi8eE
wgwWJgU7A9UD3PXHRsNSohQDd4gc5mFYiwTbZqNLzRp3yDl10G64HPIeNMOjf17gLBAfUPV+WBG2
LTT0W484SsRs4KpV88OUP93Z8SVNO2QbtOjr2nPLVcTJXXq6Ih0JUO4h9N/CXui7iHpCzC0J+MkX
SY0hDhZWuCILw+SicdamFRi3LmJc0dbp31iF3bPHyCgRkUTMj2BOHxvzwUYbdiyQRJmRN+7K8bt2
k32g+/KQdE+1ZZVHYSIBawyX8jlLl22iNp6eQ5ZS3rZThE2VlQe05if6wUjyJ5eeeM0J73f0b73h
vM4GY3TGxLYvvbL8HSLFKH8yGKLUzZtOqxt7/szE1p1l0w0ks1UY8yVWYR+w+VqSwucdcfwD3Ciw
jegHOzsaIQyDlsRVNqB5+gCJ5eCy7/dDfXCV423HllUz7KNmW0hQsi6/sTjU27Bkd9eM1nkpbbVv
w/obE5pykVX4cgVUv8yTNIo1M/3TWGKisUcGL3qIbWnylOKvejD7GAYYKyTEOkRo44iiQU3hJkhY
KHCvzRad629wnOBVA2TUnAW9ZDax7W0CRcuMqaEX78YMGlZjBcdRiG5HGp+kjBre4W6kzMItfVMZ
PfrDdNyBe1UL3MsgRtdjuaIcpPdeDfCg3GRL5oBzKnUb4wokIAmIxgjfcUOcDmQdXbkXckVxR3GN
ZK3j+7l2KeCW8IOcs4rQx7S45KxRzsmrbRHOVCBn3zgYY6GS5c9E6WKfx55p1D3gHku/TdAXh4nK
XMe9bl3NO1rigsYVBSnOTduuYSTWS/6Wemf12QMtXrbsOl3bEPu0GWJcvRS1CShRauGJFSl2JMcs
CnipwSNBuA6WDfXL1I4oqczJ5mOFMTs2QJ/uKReFflVj+i2zvly2Cn5IAV2Ve22bDhmJnxmaMzqh
XURq10kIEa4Bx3BO9Vk03JTezHEZbWio0bTKIdQx9ftt0VLXWPAHtQTfEIAs+INN5i012YxnxUQ8
cSeNBYFkFtqv3dQHEGUjBdsRFPyKu3axlGZTbtvIo38fjadKMFmmvQiAH5M5vxgSfopr9mBb2ALp
2skR6fDgd7QCcY/6GOblVSOLEIavkS9ag5UHqg/eQUyc4W48DqX6Y9f+R9lMuDq+5AbkeAcFyELg
EWH7z1GF+i9Nfe+UFM1bWeAO40Zxfgrd8KuPzXdbpeXWRDhxmlhcDXqkm9vPWiUFY62Q+Pk2WeYf
QUvyfaJnD7WjsPnSwy0740JRA3+QHvaJ2uiFFjY+2fOhpNbGndxbGg5YmmVi6TIBWshqdBBFIWjC
L2dj5lGzJ8cwXzvpAW8YBvtFiDyj5ycS67MjyYdAJD3MLzbOA3pDJKcfuhgn99bKHt2/Tq3/JHhP
MtuLl46fvmlOXV69Hm+PKCLEbnobPBhHjYkPEgj+zQ93SDCrA5Uknb2Hrb4L+XqnamAwVWol7Nbp
yjT2j4FHEKCQ/hCP/8PYeS1XrmzZ9Vc6zjtuJ4CEU/S5D9t7Q7LIYr0g6Aree/yNvkU/pgHwSq1z
FNHSC6OqyOJ2QGauteYcE9zDIPCe5KN38weS0hqz4pk3Ff0It1L2fvLeW6faV4uLZ1b4i2EKOd1r
qxZITMlQ8oBTOmUaElmKHLvMQuwPL5Y21MiqvUlRhpgq8yqcji5yWUfXNv6YqDtS0n4Z42Ae8mGX
qllPtTiN82npSoMksHAiCWXFU2RHyORRhFbIwjpxHFtEM82kLyEhY1nAceHzxKsgFHoOAMAvAqbM
TkTZqjCZ+XnMvRalrIgN7fIzweo9pUutL2sHW3Dqlx2WZVrPE/MiiDmyuyWDSqIiDjj6nUOucxAW
yranmXpxGX5L7vhLjodKTU994Wr7wUAQknp+uFI6qR3N9sNP9PxciEpdIj2NVpLNbIV9SVvYvnX2
ics61IRB7ghQ9pHHF2vS++TKFumLa5ZIn4fhtekqOjI+vtcWEA8OqRzdPpg3q4lQIsTBJ3qmdiM5
erNBRDmT+CFZC6pTmlRhP+EJfJLE6m0Ouxzho/+71rQa/W+Z4TjBFewr8PQiu1oEQ/A78UJ7k3v9
LyqDaj/1vDt1SnYxG8ZTsXLPsEZtmxrHU9s67dID6rSq1OBeG+KXxOCHeCx/irGHn7ou3aJT+QhE
/wYvY6tkCH3BJGqrEj87Cut9PFjd1m/bnKKbbgURp/A1sn0V0xNVUZ+vU181ttVIBKOipWQUpOj6
8p7X5KBZZeyovCmKr++UwDRecmE95kaIlyVTAGcAut5LYY7bdppt1yibNolnu1dVt7A3V2Rl1YM6
7Kp6fAb9f1ORBreerNd9F7HO1/XEoCQ1O0fVQQeacT9N3VWdkzrZhqvAB2GOgele1NWj2XXdfkeF
DbChI10jVkGFWXze7AhboFHRGmmDEO1HESP/9+hiUzw9LdvKk0crrmD2qWu4d9bFUOxPOxnlIq+B
KRZFpywjYT+7BRqAIFfIAkPT3NFkeWhTYiYy/zUauvbS44amPTcucZWoR0539gY92sokmo0mT/kk
MAPBVhlwLQ43NQnLjdUleLexSdr9i5OGxSqJVMZPoEMsxj+LUhvfOs8bFm71MobI4swognKR8b61
xq8Bh9KGANZyKTsNr3+kAfTp9PXoNw8jYzoGbGazHKppINvp+sJwit8hJqOFauZfecYyIGrkxeWb
rjM5R+5ebTSyPGjrcRmGsj4pWdgudDNHJBf41l4vN5WqX9PI9C9MF9+RJI7rmpOgHjX+yQ3tvdaT
2FUmNlYuhYPg/EV6VnxzPPGVa4B4y5KGbZ4/w0P/grWhLGUW9hu70rYacYisH3TEG01BVZoFO9dg
WdaTgGFG2GJnMJ6DruLFcABDXZxtRu8rMOvm3OsKh1DBMzQiPlMkrdsYra6WtMoxZqIC9YhI8ZHF
O/6UnbvNcpVjlJ++yVZ74xQSrEMM6ozG0u7YZsxmmuDV6Mb2WlJhkLDgbaQiq6PTBCeiFFXEcZyo
Wq8jzz27dAMo/6g02idanEyKvWFjGQNAb4gYzyI20B1XzW8tbKJVIs9pWbRnRUFtT71A8KmCp28M
zpjWxxUqqhCLArnVSEVWapzYqFGMj5Dtgf4YDB+b904vaPuovbkbtRwaTZjCEKv3ngOKESnosBIe
UcJKgfxTyfAdpiXviEdJjst25VaYeJxCfSgdX1szkN91hecSmQdzQQ+Vs2uxvQNBY441RVcF70Th
jgzkOSRaBg1goJrYpCrKBJb4hWUXj+wFcBQBdDMwzx5VVxLUHhLSHWXM9bnlM2opNKqUooKJqg1k
LgVrU2UqZs/KVZkdtjsKRoYHCf1YsgGQIXCorbpBWwrTecm1tt5kyhhD+NL3foOxAuEPQFz/3Q3I
+DXrYkr37DCr1UP90GkOAdlDu3USkjZQpjbnwknQjAMNs0iIOMxfGGv+MrXY2HYhV+pEn2D5Fo9R
hjTcH1msIjBxmWIXmFPBwjMlj3Ad0N+P+kRblgbsPcwe+GZHw4Cy4ZCLa+X21tDx6jXWg9d64nEG
o1XtFKgXGUxupZduCB42tmanor8b6HpLP/o0CcLbWk63zzwmvvGkas46qR7IPnkYYh1m/UT710C6
r9qi0zcSVXmkm8uWJDVQo2ZwTlKsP0OrQo5A6d04Xbgyw165WjE7ZJTr8bNXfPQkwT16UOBx6wCv
A64Il0nn7I5twFykiW6uAuHYdy+mEdJOD6lS525rC1mf1lVXDV523PpbOVGOzZQhTW/4ybWMgbkC
HbmygyW0FVP/RirQL2h9V5IajUNHbT6JzmbCpVWLbKVjXrmabvZVl07L5ls9Fl6cci9U1eP8U4Y/
9hv0Re4xxfRbOgrlZBQBPu5zzl1KeJ2xb4OtXGZKoalrB5V5BLJNpTzPb/ocLehoFQK+CZzoFJkC
Ycnpb6lPs3oKD7MbUlSdAI6Lm7t31tiOWY+3TmMdBZOlHMsoCiAXMPApcma6Zl5c6sozzzSfp5xN
nGTAK69zViGtmqVUYEQUhpstCy0vlqDVUJ80CMKnE6iJO9Xg1S1ZOSmPIVufSyD1XVXIo5IHV68z
xkNF5dnkpJgqehieqVbJPMMqEUpyEQiDteJ10Sti1+WWtjdVF69JUBnHmA3tpEvjJEuFcRTc6UUW
uM9qlo+nEbXSlgDol5Lkh0NgmLT/IklWT17334zKziHPGXshnTh23dP8J9fH/VGaeXLva2vtaVb7
xI/PF5ELqh3XHKe4+UvDQpFm4aKYcOpaZT9EKTh7h+7DYmwpZkkSD7mA/YqppJWvXAWBbK1UC5Uz
y13FbMSgxhSPmEGwm6l+ssoTis+ETvxxrNWDJVCdjrhO92PpAH3CNmWzmmLZeSgcXTzLcdj3uCLr
KZ42UHhqHhOCASvCYiayQyocNqJGBZJo6J5rhLsIsP0B4u8UUKqEDUTHaAJsWYO66SXW+sLxEoys
7CpBn0RXTyCl9sKPb56npn9Hbc55m0HkqEhhh3ov0BCRoo6NRMpw5Xm2wvbOsdtug1cc2VdFV5Ct
cQ+ep7/1TeghiGa2O4QDgFHkjEVfGo/VYD85cKcvFedEXJzGMcc8xJA5XzUNrRLMsT0F4oD6ScHc
IRMoMQKo/g0V/4orAflGotj0Uvnvhh4G73lAgn1ubFQXpUyihNb3J+4HvkMhZK9LwT7hhFF68XJX
vPdezBKCUG85dj44Cen8zjN8wRzJ3aNCBEAwqExI4wqRZ6HCexx8r92MxDjQkcmSFSA1e2djFnnm
xEObtCcOb5Hmeoq+NRy2ikjHbZB3T00lDkOU8rx1lJt9R9ZPyOz2TDFQ7gJR7OuqecmZuH6BUlu6
ziIayZV3fY8Qyy6yz4iohrUmes7B4Pzv34HEbU3v1U4HYsv4IvSBVElSZ8nbgG0Ui+DCmZXD9eA9
sJNAb3VHnQ3Tifffz1/x4mchHwpGI5wtEWg5XrAz4L+u/BqTLBoBPsWq5lzmh/GuB3dPbqF6Q28d
b2ArlOu0G1hGSgVFXVnvzHR07x2wpgQPsjE66hvrBkOBUR+2o218NbWu/KCpDwRoer+gMsc0jbmG
Ne3RCTLrHrXGzo+9vUa67wIzWYG8Gz+748u1HsQIjZjZX5jr36YdfF97oLFIpbvqiob53FUMjq/5
V+FI3OVcxrf57bayttrNtzteYYaOUyvHYCfPmQ+tXY2xM9IIi35/gpcO9Whu2z9G59EdGn+ldnZF
ghpQJD1Edbig40W+ZqVY2++9zUXAki1xZd+orn1SeJCdV5q01hHh9pvIwEmTM9iitjaLncK3d8iO
AZfAslo2OarmaDS2TowvcqEq4SeWZ/JFHNoRlOIjctrSjuklNNW4TVAVPyVAjvfDFGQOIhdclxCr
FnMTmvzkJiYubaqWhDNP4bLfEXzzIo0NSz90dr4h9UK7kB9BAk+Jj623NGOpFwbBDoW708taWSlB
1a5GbNFXp1K/eHRoq7wPgiYPwAW398zVOGTqE2AHusml3t6jLDt4nfpi0jC9Kw2ikEzt3vrOJ72G
zkJtvXxDkuV0thqD1Dl3NbmVGHIdPMDIEzQ6OxvgxtatrBGxh0qCplJhMOmYyg8I6/mqM+WOTeY9
Qlz9Mg70sbFukOSMkCqiL8jqXWoIOMlF+JExKaknEP6Im5WROkdn3M/lwteNjJNcEWSnKByHD1tR
Fs2ghciT3z0waNe0QePX9J51cqsedXUzccLc6hRZhBtK3UORCQ8Kzi20KzSOhc0DhT+0zGbw1fSD
2AS4R3aZz7CZHLSV3lT9fV478QUxZQhD0IK6gpFnZBwLcOGWTluyFoT1Kg2MddQ6w68+AAjlp8bm
+1rTGlzXiZS/iESyMB3q0G6SGh9KzQx0NAYMYorT7fpU+9UEXbiGeUHoQtIc8NRxyPBwcolRlwdf
R/+RE8+10BU6S2EQfPJG6y9CqpRnhXFUIerk9Hz2imY0OyFSzPSRBGtPEraPOTHVXO2eph6eAa3M
7u0uFYQcK4wl1qSCoDRo5EIfa3oMupFiRBTKzm2plLNOQdoy7dK5AdSqqrgveinaVaeDB7HacomI
ob+YdnGs2m3ca/WVjINwWQSBDbqak1KCX2Z+t+alkIaoeI+lFq6caWVw1QQLgmk0BzItvqQVJut8
4lLQV2nRt47ah6cDa+1WM7uYj52rTnN81Ly9f6ltDfJYi392ftsiXGVrS9/Joc+vtqD6bjx9nYaV
urPmlaok6bpgYr0pNLw59sSUbXMLDrLhkR9gOztRpuRMNe9DTZINQXOv86OqmuFspRrThKcj94zo
tzlrhbaOXe7aXFXLPZnm5DsP9odXyye9sZsHs+U2CFyfGS9iZ07jfXXFmzpBM8qL1g57LU/NreyN
6H2oEDkGaYQ/tcvVtdfE+W1IERwFojEuTeu+KjA133u4xGgZRLdVuRgWXdknG4D3wGWmm6enZMIY
gJc0LLyln3XxQ5RPcXmotFKjKu9VywRQTcwHWx2Aak6dYZKuVrmdeqcGfe8FGvm7IpxmnwMoo8nd
ivcmh2xCLgxRkGN/iqRj0EHj6K23bNodh8WVZk3WHN/ub/Nbw4gSBRZJN+U0iSd2qNlFGFmPXsRR
KPSksku0MMPOwIHLoRQ4KkZ29gvoqX1VXVPw10DAeLLEiUy2hjNmhlUD13FphHqxT1SQp2UIxz6e
cmpG3L34LqBlxha/IkpQuEgyK/eeBimjTWPcsdNyX6jWG6BI67E2WBS01J/mlSDYzUplYYEWcygy
38QgUUhUeLnDOBt27+CkEsgK0jGiEUzOuua4sO0iONUJbj1NTZ6Noerf5hWA4VV+7HH8rpuCO2OQ
ebsSLQLoWmP5r8LeXsUYcfD4mfElT/yWIzVrV9yVyMd1clUBKbEmayj2CK7uW7QVJiIFDOox7uM0
TU5BHYwwNgaUrF53yycTX4o7baXaOb/CUaA2dUW6tiP8SH5W9ufwd81iakavVjk0FydIrWUaGckO
3D4GabbVhYN1+EEaxdlBEKD3mXqR6L+WKb6eDU9R3dG3XgxFt/Ytytr5HS99mWHtx/s+B9ujxTA3
Yyo4lY6deaa3iWFPoDm06c+s87LM91k5fNK18ZaZ2pbbsf+EDoyWsSVtwADxU9qKs3YtdFdM5wuM
UilWfq9it3CJ80bd+ZMsNbHt+6DF00nWqYDRhdCAC6p7GMnsfBCYzjZZq/W373crbXsfUSt3hF40
WGWABCAU+i5hAcceLRZfWOI7Wv89ZwJoJ7lMdzAUvGNkS45C094rWGhXFUf39bwf45/il+CsFLsG
OSu3HrWlgSy7fvMFTVp/Oo4Lo8bkWikIR3MTi2XfLPqBS7OOjcegMNBdDQbPXUVHPa15AL9LcQlq
tz2XBZpyBxbAHEkwSkrrMc8BWwEVWYD5YfJCsSC17EqHzFmVDqZShZ9Y62rng5eeKF3CPXm55V+z
utvJWrmDeQ2ZfrXwSQLEL7iGaKsCuM2VRD6GROhiOioJxvGTZjkXnK0fXm2/qU5eVSDTQ5C1n4vU
rNIRr3rBYzdc52s9tXHtdl0O9yfsr3RJreNcogKlRgpmEkxLfN2VO01d0SQuSbAoaC9ZChvi5BSb
w9qZhsq1UmNOcPDSXLPOX9W99aRzGz3INjDOmAEeSqE2+1ZXT/Rq82WD4O4wQoBDv6hUx8bwngsv
XefGgMU7beTJ1ozXzOq5IqYjlE5YEcZs9QitoTxWpM9WOM48STcSxAiVj/Dhnbb9Ia3smwFMZSnj
AY687vNptcoJ9GJwhu1HIwHxP3o5A7OLhoc0KFV5QQzfohKNlD3hLXJojJMfF8Xqu0PAEMwCg3YJ
a/U5GBKgiG1cXVLmu+fSNetD/0o/JWNLc5SrP0rMFPr4rLVo11FwgNg1G8RmhVdjI715JYZ9G1eC
F2ur1oaxgMLLPXYoVFGTx9MnGyoUy7xich1uddbZa2wzEiFWtx7AdhhlrNxiTfKx2KazDHqjepmX
9rGun3sCW4mcVK89Qr9louIqzUfyrA1Df8gbOFOmy7FnpIVzEJ7yYWfiZQyE/27YjHzTBlAP6pon
tAFFjfzGhIV9FUXxg8KqP8mkLbYu4Q5Q/WgTDSEQF1W03V6r5GKocGEPCcTO7wOukgWvCvfoS1rY
4yKIKvNMDxR06JC/FiLuLmPZkNRX+cjn9R8W8aDnekj8G0ZFa63F9Maa0fJuxTE5zdtHZ0PK+V78
I3N0t/o0mrPrKj7Pf6oaXKYtjsyd67fyppTZSyO04GeFhtTqu2skkW86OBfLDGA+T1rhce3VkPUG
nT/49R3V/oaf2BgcGCetbXDEX7ijN5TtGjg7x95X/CPVDwEPqFxadd+PZfBALRA+E/BLeKl4thJz
F4B9022zHhca3VWPJKjlEKn9qTMG5A2916Nfq58qW4XU0hWPGFKYI+A1hWbhdc+0YLA4l90+dAHO
zNeJ5mFjr/uVWUQpYQoxIPDWlYso8j7mUkoG5XuQvs6PhHZJfUwlS2LXPPrhqDkscX14Rme9pbmk
rghWYGKgMHBIPchgMk36M22z/jw3EJjsAuHgYlskOcdhtS1+FyqjOE+rw8sQ5HPZQ+FhqxD4rB7W
I+vfY4t0aR1HSrtR+7F9+F6YfXOp6TiL54tLgU8ao9jvChz86Ht1b6/WnB4QNSVPWKclB9yOanRw
Rm3JkcQ7p80PZmsLr3OpbWP1l1+DPjf6/NOcbsMIEdOWZAKdnZZEQxgYiz4nXJUTFhCuli3bL/a9
gSsvKYyX2HOV58HmYOHzaaI9iJyrxVEUfpzmfYzhs0YMz+dYs4SIOkof7CGiLB39aDcvjqKz3ZdB
T5/NrI/vuW8qd4Bj9yrrqp9hwZgdC5i3UbFa/AzsHiGZIgJwUh11IyKyaQ9Hl3wOAWENc4E2fckA
nAxoNvZzGSg08oviVO/Oij+AcnKKZxsvyLzNjCG8aymbUiHQkBiC77gPW4qXAmBcErr12okD9GND
nG2MiqEQBeR6Dr2I69I4ZH31qHmz/0GoeLww3LV5cfzPL3lCYoFg0HVECXpFlaLRp/CjE8ll6jYy
UxbnAeAsENGV7TK4nDfGciDujtN4uUsIzFwmzPK+iO8CWDaU4MarEcC/DzvRZqx+EpkMGCz75TZ0
+MjwwXQHTUz1VYWqNnMCJvr0uCifZLa0xhBVBJ1pwomnA51e14fWDxRIlGS8pZwh1qNIGVvlmBMC
kUfbVNKDyDIO/+7UVg07I6M91dxiMn23rcNvM1HRLTQzr2+0t7KrKBueXu8Fv9IRMpnSokOkycx6
o9cPYVmeCc0dr8C6AfPG+MYDVFIHppnyiX3HXTk6kuPGMeircGSYSx9zrHeeHMGxiKHamdBMaIhg
Fck8s99VHZaPPG7rYzPa/mqyc2Kq7SFPp+QloIt7LwmTXLYmbVKutehHEx+cOb4IKyfQntCCIpRL
zDaQZ71WGfd51uXfO7ySIoWtzQqnqKZ+zRdTZUKAC1vuP0O05T1tw4+YEnWl04RjQdBfIteHa8Rb
y866CnXh/xyATfn68JP1bOcbZbj0ImE86t74FIMhONC+Kx/RkLqH+eJLTLBWRR4/R5qhQVdHq6cq
jrEtQ2RWKIUbTXyaUbyDCYGhsT9PrcLviQSeWTiPmefvq1KqK7flJBxEY30hBv1u61m0V73WYo+3
vbO0wd8AunUMsGktOb9kRYc94A29WiRhlZyli6QH8s056DJvP38MpYLg2+jVExM05tK2zumgJA6W
UnlJdKu7FV3iLueItjzggEYL4Qk+lLXFAeEvzdrA7UXlaBEnvBP4QgimTB6qkTlVkIm7Z6bmpzDL
S6ODSqlpwK04dy6p1LRbZKPvyjIOuWRYk5kTKU85Q/pF2iOugJ16jnL7VugtLcaAFtjcS4Vx6Kc3
WfX+ekjbTyBWE0azJobJxxGFjKpDbk00WxK39y6jagf+FyEzE9oPN3bDDS+SNJLpd9hi2enuunJb
/Qc1yGeU0EVGAj+C26AwF4FCZ9dpvNNcz313FopfGYluD6UkK2iysSuJdpybrjoH4Kn5aXXG5PVJ
f9PYbFCh68556MgPmC+y+VQ0r46KJK6309Buzf8WWQUdl9i8j4X10k+dfBl7xd6OsEuCAN5QDDwz
jLZ5E3XrQhsOPEYJJXz+qxbYRM8kQkxMxNcIHuFLQ1GKm3I4IN07YsBNbybRMTeVzX5+vNEGyRuE
sli5qehupjACpEkEGgA2F4usIYXHDIfgIUjzm6n5mAoTh0+rmlS5oloJM6jX3tBmW9QXBI0nyU+k
8riZBvb5+Y42CuNc6GSHKSM51Y356brJHfN1w6ZPEzg3j7nV6i8kgT5gAYZ121ktMxJwYGFUo2MP
02JvDOF7VGekfcOTudQuGid2jz2+U9C2gu4H8YIrz6h/CzpyDzZuQ8LhdZWEGjpR80c4P5bRElng
Ul2cfEu0p/lP0sRV993xNNFzY5eprkRXo8/SaP8WqfoEW8U9k2ILHdNl5DD/hIEEL4rhZtgelX9A
/huiK5yiQT1ulRY9OtDy4OJx425JAEAxNS1oZhy9jeiw5jipkfiFoorI7kMi/NNCtzRlelBDamm1
m59ywgBo15kHIYNx8317ehMHv4S/midttJyXdxRN+UkfvOL4nZyNBFOeguyrtHz7VeAh3uQI5TUi
ZUALRZsu1MJDm/SPSdU/S46UcxmTxsN4aRWU5eXGawpqUNHrJ7/NRsoY/pxozEujlxgs8xlR0Hun
ozn9PqbkTg5v0wm6Wyq4X8w6/RlpSNnNgLpRCWETzsdXTL0ORwKr3dTxo64QTlFMGK/5jksph/HF
06YfynvLQOA4yOEjwLR9w8Zk3ZJ4DPaVVOEeR/1bLuIzqBXmCipxGlyqKh1Ovhg4yS9Z01P3Ogut
NbUfoy1u37u9tLWTDkumpdi9VKks7yZXylKzidKYm+YyRjvesVEGiX1sOOTQuYHtQXiref2vw07n
xPu/RMqqqsB2qtm0oDXNMqy/BXlqsakPg1eutc5b2R5e8tTHMTBFmM3ta9pTFjLdT1kSUELkISe0
NoNoD6ckwzpzqKTxyioLO16vlTWQkuf/xxO0eQJ/f4LwABm2SUc3pPa3zFsF+zERxz6f3uAMS1F0
7t4H7EAVpCCvauiV9rrxhPurOIAOj64B7XIPPqLyVNTwYdwh/wUt6tdQNUTHSu+MRNb+jrP994/+
v3lfQH7iwcvS6p//wd8/shy4CYDBv/31n0+Y67PkP6b/879/5q//45/n4INYn+x3/V/+1PYru7wl
X9Xff+gvv5lH/9ezW73Vb3/5yzqtYXzem69yePiqmrienwWvY/rJ/99v/tvX/Fuehvzrzz8+soaK
id/mBVn6x7++tf/88w/VILf33//P3/+vb04v4M8/zln8+T/+exu8/V//5+utqv/8Qxf/UE3dkkhL
bMFx3SBktvuavqOZ/wBNZBGDbmm2oRomj5NmZe3/+Ye0/yHJRmfIoRmqNKVN8myVNfO3jH9IspFN
R5e2KqWhq3/8r+f2l8/wPz/Tf0ub5AYvpK54MTyXv6dfGyoTRQ2Ovs0DCSxwf705SH/y6BNRaepd
R+8pxGmq0XNdpgqzLGEQz5HiQkarBFvHcOgGCt20VmQERJu6IONGh2W7TBof3V6JnY3UEx05qEFQ
YDDWB5OJcOWS/8YrSjaq1T04QqhrHw8YAwQM85A2lpZdMbw1NBTZSJp7jeGNruxqKxhg+ULLzzH+
lj8dyzIPHq0sksrdlSsxhtdwnmw7XdkGUVh0UfDpAzQRBkgFgle2pYfjObPsF+URrCDz3MhiRCUF
cC1Y3cse5hMNQhSsfuzjLrP2Tq30uz5ieApf3mzH5uLa9Zc0yKFgPHxw1fQzi1UKmj6nzoqp0s2I
Z9695kRqTq0RDtVPoJ3vpopXFwWnqvrjFBugbgR6ynH4yftJ9ohSWkurCH6E5JRsmvhRqduBvcjx
1oq0CbWAptBj/qH/7a8wGPqLiGzchWCyyBQYDHLjXTW74nxsVqzQaANJQNhmYfqz8rNXO0QOmyh0
1mCrIl0nraIR7c82L2sg3SBlvHg86DAFfReQotEX2BgIegHhcUitL2kDLfX9tfRAqjX9TrXL5yS0
CQhCbjii81imWkegUyuempwUsxyyOy0W7AeJS0MzLT9V133slfS3rrOcZpO7wK7fhmr4HPwYybi/
t1yhbkqXJsYg0GqUFXECfoFLq2wPaJqHJelM6aLMGA9AAXUmZasrIDp7tekw0UNk3WCpgfrU6uze
bYbCc0RlsBIowgtD34iyJelCpWOOIXncVsF+FMDKcHqdYx0cWFIBj4tFi91J6/dNOKKFGupsGaoy
RP6YkC/p4TctSadaVyEBb52F7VjgBiAaG9mFhtEKgqyKY93e1TUMvi5D2mLb1s2k17Fg1v1KRsl4
iKF+KCBRtoamxAvylr1lDeMScP3LMIzvU4sIKSPVapj2+spXuJGkhpc8CI18bfhEj5SI5za1AXYh
tKhbY1H/KE+eDI45lP19hHBq0YT1Szf2H6HolGuC4ZApH+yiftRCzPgxZB63+SXDS0E01FuE6IbW
bMD1wUSlTgcCkTV63UFvbkunKX8mdfJzVItlIVR96WZxTAMjeSkT92WkRl+JgTAvUnoOyb3wWnGQ
vqsuRFSOD/mQ7ZBsCNSTQ0qQhggvwEzuGVmHlps8qF2HVQ71XhsgqdTIfIxrKyPvQIQLH8wOHDP9
pObtiSjR3xqNIIM29mok1hZkYsQNYHYnyxfVpjNtNMvkWwJ7OiiGnaIbAT07WnuEycHFpjr3e+PJ
R0PFXGzrZxGnnBEfjtkh00pTlih74gVjAAE3OX2p6ykZZLBhxUnmII2F+j/NfkBceW6ypePSclIH
/XeT5D+w533hEEm2YWuQJYaiLA/RyNkdGA3KT3eRlA7vrRv/qjPvgD4A2SRGhHXk7BqVwAQLl8+i
6LYu1zxA+JJE1h5SuKkzYTYfHfTuy6Hx0lWYJmtzNOhqYDrD3WP+qtBUYJalwvfeFAM+iuhPI/GB
jFTFW0NfaFRowhWfYaUxkstg23qhgo9V6y64gJZVbjy7TflumcMzjUHaew3+Gbv2DpY09pIoIZfV
Q4cvCRBCz/BsAr7tD7ARrigR0E1jq88Miyh0xd0lbE1Lm5k1/wmkgFuBDcbDsshjGkhYfdrFmEcn
y4Zv1kOh7dOG4VkmD0QPXrvKeGsDmtWEcE8Mzzzwj0bfgmoykidfw3yQI1rP6t/ExgKktnB/EoPd
GejqAtmsfEJNYgy2EMnuQWw/syEhaIA9R9MDjj/Pv9FN5schLTIHX1Hq1+g1HblUpfhNpm2IO6s9
aRLjj7LqY2FvdJgVqI/cbdI4AErwdFlRLWFkWdV6mORpsvVu2hiBM2aCsM5DjTkjdCjYC+0IAC7r
EFmGPyuTd4MCA+mlJKYuw27fBx/kI/pPSvaDmggRmoe3ibiwa9wpLW2NejLLlKtAHw1Ocqa9Rjzy
u4eW6+o70+m9B1IHMNm671Lo1apsNZz9rJl1Eh/xiNBgywu5Q862G5Lmrmhe+KQ08Snp8Gnl8C4I
Y3ZHsuDwibS+MklIjE2VW895m6Cfq4eAWXV2VzMWaXNKw5CKvS+y7NZ84SDwVgmOjTXwCBUYg6Us
zQBp/aDVtMe1YNkW0VMxGh9WDhKcFsKv3iRnE2fgwgwCMkuK/inPi02WdOUiicG/+Lr+c1CNe1Mx
bw+6/F435Q/TYVGeTgtufS3wfysB7FobpMeiZZUgdQgbos73ZcctaGPRBWX3Eqs7Bja3jhfMvdme
5CA+sBPvTF78zkqjYMUoF+Um0PTGP0Y+PBrYflJ/M4F9MpsVL4gFX/NaMHJ3HsykbtcYjus1Ln9b
2Qet8W6Xcot+1wWaQCZeKN2cwGv2Xf9mIAG5Js4jS39y7YtkKRk5ErBA6oYJQQnFs7PLdcAvadxg
9kHAZmn+49Aj3gLCc/e18WroLtL0ytr1+dMAfWMBJBCFMtLjxRB10dapBfFtfS8WDLRIb7AB07co
3otSJhPylXFC0j0lNAwPBXENQXFDHOLvTUxqkae3a5+cnEjBM9nml1C2j8F4MUqC0wmHmU40CLp8
FZGyxtqrdyAkfBydFEQhnQl3CUsKl8LQ7Oh73ut62mE9/yUrgvfagfWr9pCD8bYEdakQoYEswqfA
9PRu18Z+sMBfQr9pbNeRSrBPqBmMNHUwPly5C2mUF3WgE+vgQeoqfOyarT4ppfokK1rfPgLrlHFv
X4t3NVA+Sxr54F9vmvk/STqrHdmxLYt+kSUzvBqCmTLzvFiJZmZ//R2uK7XUqu6CExH23gvmHLP4
UepoF6gE6VTwPayoJsWhvBUaose8nTtnZhxR5ehaUx3hdlJecn4OJswbqZ03chpWjoxTYqOhRI0Z
hzp8tc0G8pPT52QiIaMA8yV28E4ZSJJe1fLacAoroBZsM3PlJj7MxlMIsC/1OEysuphXs150K0kH
2wHZNCO0cTYoLk0TeWI1dLeAHRPa0WJaYFKmhwBZZRxUVBf0SSzETNYDwLlX4IxWADk9Raxl8n+1
le5XPK0alaAwxI+z1oytM0pMFnCGEQh65tKrudKYlBLgi3kVez+ezvgnga6MRGOKdtoyJG5bwEO1
MCCfMyRHLiri3oaPPLL405XFU5Gw+nENUFvJJYOTonSnWPgp8pFtmPHsJnOFgYanrPqy2lcgo6FW
YsgRSmOQKKDiK2UbD2/jmYxwWJlU/uHUu804EFeEaJLLZaxMkoUcVhGEuOQ8JSUpfnZ+7p5dVD4a
rfhokjfmLorLauQ+5NHZr+SPgpcELPvwO+cEYwAaTTsRJagV/WjGGBL9YKEWjnlBqhhreBBP75C3
6m1cfI+LPRTfb8pgDLbJNDaHNCP5FfEwiheyrYoJ+p/BfkGRWscKwpXaa1AERBaBgnH1ZZSheOG4
pyRE6aX/1uEi4l7C09vP1SMVYNKL+YAK3knN5U7SC5Lj6A8QtkmuNQ5gzPNuHS8YLvCWDAwFR5lI
qcHFXJUPUYUw55tdvtHHGlSZBjJOnXxnwBED5VXbm9BqSGCM1yafwSF2MXZqYyBCZsRYFgyRh1H9
W5KVDAaBofBfLcheHMN34C73qQOzUXEoTJ0CAp3VFKdIwe0eVO/CjLtNN+Kn3+gHLSBtdBTF70m9
DDU0+LEBYBI0A2QHPjVQK91LBpQtev2G8pYsEyE5G5ay1dgW2SSVvIT2KWngs4MYoUDD/dmatE8x
3GhB781t0QW3dqRsIbSK8jIiNzbwI4vRX+lmMqMlFbpKhdV0qKTEI8sQIijxC26FUhmOq7EVG/hf
wzA9QiXFDBANh0GxiBmtgXwvM2itDF+whUfIidJWLXNzZRjLdiDXd8y+gPXl/GMEnqgE/FEqsWVc
6X3y11kX1Zq+Jp73Yk4f3QIXboCXE4ldvES2qY7B5tqtOo0sOLQphLoB0krLR1zKpDqUSmJrZv0M
m64BQYTIzFLPisJWFBDEIQiUe76oGRKQb1g1COkmOhwYDwCNrvXmoSEXCkc4+74cUQXfCsuwoqba
6Wfrsxff2akkdlsrMEOzKFlFZeyILVNK+FeKLWv9C0nZZdA7qNzp8jhk1OwDgMdsVvZa3G7mjIFx
iBbeBr6w/B1SPfyKluaVw1pTq9tsTi8f/r9oye/T8q+ZlTLnrxJMu4QoGkrHPKwKyOFhXbIiaAm5
cgA0BUeOJSY+wolfPBAR9AgNh3u8hHkWqMOCQAeYmeyVqejWWSAdETqxoc1E/HQ8bS6py2cLAqJr
6qAnyklHrqVzCioaEgsJ5WBB497m1jfDwVsFd88d+EHtoaReF+ptGRMwKCaEEpSYpJc1zCYt8LOm
LYr0tuifkwb9UDVrKNPYAKa8g45E7t8AFmxk9UbsCPlH2KsSEg1lKjabSCWs7T24ep9cCvBLeOcV
Z7aE1MlAy6I3tASnTCiCfJWsuFF9dl38viivmHYIOxa5ONWw0HPxVwc9/guAYpladZ9a7D0jukPI
Mo9WN66jNmymodsa9bCxUv9nlB/G1JySOv/MB+WQWDI2gZ6cm4TYFTtmX2QU5ZoiDa5Cwgkd48kg
FEysZEJYl/GvKjh1F2mrSiJDSzemYEswzi8DCQ6X4kUaBruIim5HIpSrETGJ1R80oz7O2/QGO+UT
h27tavpanmteO1QGhLVkaz8LCByUfqdwJFVoWOIsYH6IVvGdGOCTpKPpg85scMRA2Knf9SYAdhOz
9haFDJGbtfZnVDbisjFq5yfua3B55QcePCeLRH9TJiIE415fF0x8yWHr3KRGbk1mRWYKg5t17aUi
mWk3xN1PlkW4tiiTQ54A4uHsBm2bban8GEORWI7kB5iERIk1KjHqAWdU1QSx3SacdcgsEZ21Kn+r
n+5G/1FxkBOok4TAuP2Vmfjfqqkg55qD1mU93CPOWMWPbMnv43IUPE4l/D31extQSEpskRNZugqK
ioAHit1crlsxAFEZI0T1Mwx1XUTGJ8SG0DY00YG392LVixWQpZFrjBV5DiWk1r6MvTTcs51aYvLw
8ghy4moy3nkxPASKchcUWiYy50JPIe0mxC04xX/+HJIg33vR4omWxQJsU7JBBxEjgc5vBr2iuZCz
eD8Fv4OSGB7pjhkDH0PhjSR4txebXa5Zx6wDXa9NR0ZhB2sYCVVpZA4x9Bto6YCjRcewDkEtWtVZ
rZlhxCmr7A5olGmea2S4DhYDJj2NwWmCN8kzpWiHpWGWjWxjVP5VaYJp3QsNHphoWo3NPgxLfZX3
vNLU/L8Ak2xszqSxSsgjE1FyYlOh/n+0OaUjnl0K+1J5JsNC2TDwx2XIW5o7kxosFinfI6b7kRIx
5LhkJAUMYvoOEJFM6qnTJE6+Or0kmfoeWwNml6FWvZgvMxu1H/gCys7C0hqM8V2fiZsX4TDA64Ou
ANoSGmuJGTHP8KyKo1eIZYYBFFXknL9aVsprVZ2YndDEIxCBRm9kHRW9RR4cS1gzZY3F5oCqCTUU
hT6MPpKeUPB3TsLiY9uy14Ho8wc3rkILMx2VevwLIQB7EHoPyaRLzlhbf7n0DRrzk0XAZ6nP31IZ
E6LaJo+BdFH0LmitxMXAJfLGLIQVawoOJXkTbkhuolFo3zmkDkeIpie4HVdPut0oi5c2E9yYAjEo
+4xICJImBj/chQmmpcbXvyOf6nSigwZCDWm9GDAqc7bzBtmxEdy6QX1oRvYem2K8ljgbIn8fxD7C
d+MVakjeK0xnTmGqqKhAS2kmvS97omueUOmzE7PNtr6Cy4YjQofIxt1rp5nKUJZmhybtL5MFHM70
KEkMfif10XkHSXAVNd3a6mDxhBoKZyL9KNH4kJCo2UE6vEdjddYKXLZ9Ir10bnpbh5pKpmP/l0Tx
mkD15yB29zrXCTFhsrliivfO4Cm3m2mGuZlBIF6mClYG/CeQAWMUyqMbQo+5ienEYzUia+JRpH/n
I6X5e6TC32IgDeaP2EgI4yQ91UqF84VsH6kVzr1EmdVx/mbjZCGxRgqIjXfdCD2699S0jYItUlGj
eZ7rDEyW1B7mSZHXDWQMO5OLT3UkLG5UaVkaa8ABMjM2TJB9ssxrXc0sKbHzgn2neOtgQNstLysp
Rt024mtlJ00i31IRj1DpoSt2t8rg9h/jfdLGR5PlwS7R5KvI8p/iOMk9jSEOZmVILmNG/LUSXKDk
jlsR9DTADMNBIRa4swEGCCX7uQ8Yq6ACwORLu7kIb62JnA/qcX+vJf5Z74SPjIhDeyqKaJ1K821o
ZrsdO/Fa8+G9KRN7rL3Be+WLphczhfS2CrTBgrk48k1/E4iQt4xmLOiJVNywrHQY2yj5XmLrTMgE
mKzZUNItw7fElgT+FibDa6vhZUiE4UPXMZHpoX4wY8PEoTfNDugUck/ViZp6CQeCVrgWEDjDFsOM
qxIsxW6T6XEepazZSw4ZKEoc20FZrwOp9zcpAQTLexr0KaGu4TkzcHbxy4CUgTpYC1O8FVAyylY7
7CJeoKqcsPRW7TbO1Hxrmirp7HMuu0L51rSLRbaqToWVnwpcLhxzXCygB8+dFD5gdvQu6IZ9mKU3
IV1nArcWKuQFcjz/yTDpsF/zfaRlha0hS4gqspD41020qoh63Ub4B6IyrNbSKGOI7JbrgUC/SNEk
FBLIkoTivdbxE8QY3zBX9Z00sr0R6HySwWFKVTPNQoWPWmAHm33PqMJYq13zzdmLMQyYJigxrx7q
8hZJxa3X5L3Yz+8cR/kiUHgdzCohoSPRoo0qUUyFYcaaRzTzhZ1BoFuREAgyczuK6nevivm2q9U/
SSmmjd5V+1mKU28UkII1HaJAdI3TYWo7mOX5Ha0vPZ5pEhuRYaUAZxttWWDtpCy8SUzHPbMizONn
rFT2Q4UwUXyTbTGhm1cCEUYaYgArEUoin3jO8xzZEnswtGKUmoLQf4JpYXEQfFQTI5xS5ATHQuc1
uoo0RDHWnU7OZ2lBjouADJWQTCwF7VuqLvEoun6pC2zOHbKtDHaMk6LlGOWrlROGMioSRsIxZFbI
OJy0gmiHBPe/aMslAZhltryqZuuXaMXZ6YicWcf4E1ZQ2l2hC+VV3WZApKIN4dHwuSdtKULUJanR
opUgnkQzp9OgdBRtE7BmcMU03yOidfVSEn+5VqxppwD/XNE1enLB4JMMJKLqsMOiBlEMIo5WaV2F
RGn4eP/RnbCV4+ojMcvvqgsqkcSYDLdROOm1FlaKAPlNjIn/jdS4cXGTFQ6ytpE3Os1IFRmVjRiY
K1+sFNomxLmBaefyWZrkPy3gVyoMaEXCaKhetMB90ozlTd79iqCsPWSW6orawK3QBWEahb0O7pwe
oJV8llMyPmS+jWOSoZSMIHWpFuo25EMUNqTFEAfoQiSt7XH5vYdsAH7bNa9JZ0jWRSIuNT3etPG8
YpNKpbhUj9YSMRG9K1pFTh5khnZWvkeebz+pWJH4n5msPsvGuE2x50tLwA8KQHYgUUJEnL6bJe29
auUVGv6LYNBMYlJ5R7/1anJTcyBc6i4p05Dd5/IeQhx34cyYTpp9juF3Ud8rsstaHD9fs3mIe5he
Z1UF3lIyhzE/LPkeEEyzoH/lh57sEKok/WHITgmTUvLlxY2wwHBPyWbud4N+z6VbSsdagOi4K9LN
CA8GqwE9uA7ymn+Wt6BnqyRpN9O8TxkxPd1bWDwlvuaSTQXpOSA3nDJC30YC+oIMLkd2XxWT0i+r
uhX6cSbptbjmBjEUIxen+GHCMwWAZycvcbFRwORiqkTu23P2t0MIqh818+Sf8ujWMAQd7lN+Sqt/
PeV4Nn3nKumY87syPHL1bk6HTn3685+vvjTjPaofRRJurPmfPrDM02+CsU/mPVhT8D0z1NB275PC
UkftOjTJl4fuvJ8j2hSshe+1ehMJsdEJgJlLa5VkBN/3TtxsRRKv4reQuAlL+S2TZ2zGtpEcWuY9
5UXU93L1LRYvQ/rNGR6hHPP07DQ1f137RBk3q7eg/IvVV66h+uUVmaVTm/8Lgy+0TrxGKqnzlZPM
uT2wfpp0/jePdPChZV+i/5DlL58RkK+S8nIjGG8lM6wEOMKH7hFnJGy1JLDkZNdEHFJRNm+A5SJr
Br+IIw+GijixJbAEl+OEaBySnoaJC+Af7nu7jZ5ZuXwS3jLK8VH/yYUneZxasZWR2y2S4G5PhlDc
r9X2VrWHybr4BQ/40ZQRIDuVesiDlSk4+S4ZVnyZSL3a4ahzaidLREi4NWMiafCabNA059hAkmOi
7QzjjD23Z0LEIKAHGuGSCLiJqmoT9CRtDMRqMVgZBuyBQLAl7HuxhQWT/qJimS380zjdRYb/FslU
ARe0yvia3s+WA33fmuFKNn1XYoCEm5yWHvYGvYcMigDcOBWw3eqfqCWoSHmkK6xHlh0BbJUopUIc
+61A6iDDdksw7JGNM8tvW7Z8B7xZyktgTu2a+ABmyBi3L6EaM1mjlmdtP0vvrfxO7pd+FpNzmlzS
+h/6Q6zqhwqHwehVkddSoU2gdbpzHO/76FRN20F6pMEN6IKChDsWvi2oVf5s98WBWDFtfPA7axVL
7ftGqzM7lt9FoEPFkskQE24n3wJSp8kYq33+HzCIzsTUozYcQGLM2ReviBTDK71L5T8zvo/iX5b+
SfJPwjrPiP/VE1M2hg3EHeL/Yd8Ds/I64YKtSq5YvhMu9IghbMZdLEVPLk7J2lXTl6lGTsg2J5l9
L0Veoev/puFiMlAPmNuELgefPP2N1NJiGroq/Yp8436zB/E7Z4eN+cXmNHOtfHQiJVyjXKH/IWaL
wKhEepJgZj4i+XOoSJJOLuyJXb4KEb2igWOSDXz8UjrI+ESowVm0o+EXPYkXjT9EONoxwd5qGUHq
0PC+rJanvORHWt7LhjOn5a8hBjjk5pJdchARpMv4e9X+x0+PRv00qj/NfDfFN2T4afUqp3OJRhDD
/fim+p+LPSxkQj1ab+Ug7wvmdh36XpSBULGDQiSQ88rjzrDO6aQv4aMhLj7X0JRbs10+DXZORryM
QEUycYyNTL+eWzgNc86jrEOhxmaDALyx5yn+HNpPdvAesy2bkkC9TUZpl0y7YaGz6yF9Kf82MVFi
MRMFnd/fMh+Vgh+Vd39+w1NPaxzYNZRENpEUW7aBH1vJPqP2DyCAnUo8PNVXX4OfJqwTKuxy9pga
cG+MB9OIcptIl2q6tbEHZo7OfnAU/qxkJzDEH9htUubGZEiEpquRI0nHbYfRb4UehPVyoXj9ibRw
O1OYQpYiQCmWG1zNQZtttEbxigUWSJUk6MQnEmQaE8hGecGDj8aMZVDXlXZN1xhOC/SO/HrMDilf
H+k0WJUdPd9MISKFCRqKPxL8RVHQC0vwDeFj2RbRtNOSVKd3M99dpYEh1/C1ic9JnnbmAPqM0qlg
36+2Ezcb0GsyGlrlLSmwgam850wbWBZ5ulo7Orcqwahe6DOKJ0e3yYjwNDI3KT7QlTxJakZLi3gv
8DSh8uBsbGt6HkHkghCM8pq1ZM1mEY4zsmDNXGG1nayjcEDp9BEQWx0ak9cmEwxRJCTJC7tcN9+E
5l9iZtQlXEUSSXUa0pf7QN2lYxFc/nCAlG0Z2DWMQaDvdtb9WBHZxAeRHCrtn8J7XPQ/ExsEOjWS
yaAdUzFNarua5o9J3YtITitlCzpkwzTP5eEPiJ5slxD7GbCc9YE2Fb4cH5iLVuQALYmKGwnmGpov
NLL6xFPCoJX0WM8C8qBIODYVai+OxzROXQs9uT5BpllwsTqzGuyRA4l1ChOanilgDedaX6gZg4N3
bfnvmCk4+pPCm7J8vS2WVytTNy0y7axnNEthXPRcJ+TECvIxGC9qfQdNiCM8sa2fmnxN9LUmYRkF
q3G5N9iHog+Cwp6SeG7xSGmsA3vlpyzxYRkPX/wS1c8mIyCd50cPeCT8vwx5k8LR7DNG7rgdGM9R
hiaAb0wXwMM6nckvy2WCB3mdo2xV1czBF3u9pJKD2V3FpHGCaL4SOYXigZQnHKMzW3zVJxhPrKBC
KvchGE9Jumz73uUB4wQ3Ds0IQ+KXFu3EBoYjd2qDLCLtoaVVCElShpGB6qqBtQtiwHnzcOx07dJZ
MZ8kM59xkXAHLe+cvGoNjTgnBmAy6jfYCCNwmYqgvgIBhBjAXMkwlxDtrhboxProSEDgoejCU10u
MG0f6zvbVem9kb+wo3JQmitZLdfWGO19SXwkUbGDcMR+elyjJeCzDp4egPANq10pi2Qb30CislQi
5UNa6VG5HrNiG2rQ49RkPTGhDVIKHVk9mpl1NYksyuvhZ+gIZy3R53Njdy3OWvR0YksGUXanUz+Z
0XA20XhBVl2T2XUIRvLA+uSW9OVRDsEaBNGFfGeViPUBjdBWbfybbklrQ2tOrdycPLmUjgNzukyN
V20zrTrIc0Q8I/synMhHZCXmngpxSM2ngwS1bxyXkRphklwzQA9tIyqepT8ArgSBjfDRAbP4DMXu
vZINtqXZMW+wj4LjNUguUDA2msTysUl/qyTxQ0ysU92od1HDZ5xr6yL9R1TxlzZvSDg5VeW2sfAh
hMJeiou9HDJ4pzBNxWxwyW56yap1SXPxb0zYitAEHFVBumBldYnJ26S7tq7+1UL8V2nmKR+CR6q7
elnfKt34bUyufDLQE5hE5JBtJQmJSKVXn6nFFJnjI2UMiEpNR7K4nO2D+VFlOd3bp8TIN0NeKSn8
ztsKGFhRfYFVYPCoOml8WgLRi/63jvfk+/mzm1nQ+b3ZYmBp7vIU1cR1srZNuI7me9SxHVmDZonl
B0HWUnOok3ukfkcGxzmZknlz6LX3mtclU2GTBowOIIAQ2M3Yxyz/qXbGuuBfoJ6a6JWjWY9YCqcC
Q1sGaoLDFo6pykixwF/U8lk3j9LOltaS/MF8xs0AKPghkL/f0kbQxsI98wdHniz7SbUyXsR+l4vn
WLmyW3X0EEjJOVqxbwAwz1gi/CvHK1moRYWVF/LuM27+8VZzEB/hgruGuJKhonYM6xhyKzjNL7rH
ZGodNCdepTW4A1sdWJQjKEXziZUQRZOsspEFqIFuSUGLoQTPRt6oxmOJLs2AsnXKU653EgNSbD4E
onVrpHH8T6QQYh0z9/9XSuJWXNGOFH9K8lZHaDu9wtwgO5jjbVi9uCvtHNuOfjarY20Pblg7kLhs
ZKpYN7jb4eo4JtZql4inEhLCLpO+U0YniGEBTIFobbdK7sVe4Y64L4AXGm4EU+WLy8sVwlPLAM/H
oVAeFaSdUn8vrZ3OxlpG8xFNBy0EV+QwrjG8vnWFHzIsdAsPG3G30xe8lcwCCmL8SzguousyMuh4
KkRzM47PYd7r/taSzgShcmNcqPhN/VGPuyz8GOW72r+qmT7wkQkfkf6iP6rBF4qbyQLJwzkiHevR
5QPSzmzY7IOqv/EnX4XaJUuOMpLUeDeucMPpe7PAmHQry9I21HmFn090iJgGfKCupvFclete3A/9
i38sUeCQnnPzYhLQ2qy06dyZW4KOXJEXgTo928We5szyKl3z4OTbKDyMbClLUvry72z+FbR7NaxS
5zkhwvoN/Vcj3cLoj2J9wLQXXpN2M2m3jlrqGag/w4TP70kdblfVhy6ddH0tjA8OY9G8Gq7Ac/8D
i8sTjVO8bVdCfjaWKEmXc9OJ0jv/TmBC8KeBKkJrIbyDwfi4AuaCMMxkC8ykmSu7K78H9X1qf2th
bbQunm5t3Anxfq5WuRM4POZdhhttL0JMdp6ZRiZmN3ht86/UqK5IJdm13XdPoWa0N9JV7BwtnNnf
YxUwyCaxPvn+PUNCCX0dpe3yU6wxpCBcjh/htE6TZTu0N710LeQrzaYuZS/vg05Vi7d+pblmfpkp
WA2b8wg7InRAefl0hW/X+m/eQ8S7BBSLnUUed+X0/bWhy5UhbsxIkgR6yLWOfYbMEM1ioQzbmiqv
fBEfkFEnYgxbhhTw/v584oIqFkch85Gof/ObdcZUAuWyDcSpZg4ungGxLzhK1nF61lOV6fYoA6Jh
+jfXL785juFb3nwuT1o+Dp4ZhTBg2Zj3LLgc/q8UJWX1T673kbJlNmZr9g+qchqT91y9zMsvdiTo
qgTrk0/kCpwbGMEYjgzB82T/M6iPtET0TbhfJreptmVzCttTh8JyOBQiER23thxZSsLgRdQ4Fpts
2E7Cn4EWoxaYtkc/g/AbrZN1anxMVJidgkf+e/mAHxdRftUVOlsklmNzK/NLVW0xmbOM0damxdJy
X9ePprrUlE3vqLF7i+NlS3Ay1A2btq4/0i/yiU+kQhMMf21c/HHSR+Ef5fodyQ16P1JrSd61EaZV
pxCXY7cezKdvM95SXkFzhISCvxK2sDvR6d+mesucbZXSFhMCEwonvoVw+vxvP81OT15X/qeJu2cJ
AE7vgUI816q/dUDviSF5L5i1MrMiRc5aieTR+F60MloK6ejiazuAATZUMBQqWNgXUfZ086OH1F9D
zhede69DwEbBTbFX6LsIbLDmZmiuY3XPfFqhF0RRWujbtvuSM6fqwEhfOzJS7E+x8pA20JzszGaf
sXibsvc+WUPPdLGloQZgQeUWmUfIhE2edOOVLgBwqAkAPuEwo5K1Z/k0I9udDoJ20rUtCK+u21V0
kYP6Q68khjef06DtbmawLkV0sCwPQd3uJf8AT09JGHABUFqP1kkL38hAgc5sE+eymot9XKzR/Ev9
OeUJDbW3BBbrGO5w8QLScApy05q9QN8cx9/B/E0cFzFKb4tynAbFCVxwG9Ubp3MCl2zTWe4iR+UD
jK66prxztANwJbTMKw056mzCi2m4waWUNsME8MDP/KRADyJvKM8K291+fE4hBub1p85MnKptbW3x
j03AZh6Zvv558tuVAWARHLs3kAqa4BnDE7Qz5nYk1eu+vDS1a0i7IFifLnxqgrrA4q3guOWoMEt2
37uy5L1bVAzrCB+/J7gFimVhQ6JqkzjR/Kq0rVWfMkbKlk2dY4dXBnwVbS+Rmv9Y0LAtLl3DlfLH
UOx4cVtWQdquS45jtFZkp/9GSGVjgYCMb4/2l+mqLF3PlNFNChbaABC46RXG6FvBeiWEtKWXmCsn
cPxs1RxMW7bFFaoOn3WQy7CO3ipeionuIhkHi4MYBRbfRFFsk5Rh7Xk0mIJA4lO0tza9dD2gGoe4
XF2hQrJcsKpqRX495Syz9jWCk/9PQxqqRLN/dRpDWDqquSDsbWllhZw+bR0lZ8X0OBbTh0FFtQlW
Cm4OEmtQUGiOyrIUEdWK6EouX06DZK+397TwaNhpYpBzn9LxapTPFmkXgipaiS+fr7xRNoX8SfTW
yWQK12k7MXqY040DnuRVkZdc2dbmCwXjyImRH9rowpuJuj5TBnr2l3zTwr1PhBuAW4/XI6ucpdTo
jA9h3hcehtDZOGjxqeSPNsWczvuRi8LnwJq4PY4Rr6/J3hbBJ8iG3AZnMI8PI9wJ6TZM39oXdYyH
2Z9H2s5NfHhbgc2wuFLbO4tppoCKk03UM0wvRAR1+m7JrCt3C0SM0wmTQnYSeGE0XhAW8f+x/EVy
AO4Z9Y6cbwYFwhZjU9eS1zyMCWEgA6GmZOOdBms3OzjnxTWiAB7OiG/WgADZm/hYxx9j3FnGIcgr
JK7uAByBnYoD2YxV0KLTwyRUUSohRJ45qCqVdjY9Fm9I0C390FRE4t74byv8S/yNXq7F8TtPRVdm
vyP6+6xfmcglXCOGjNnulRYUB9sZVBgNLVbl+ZD5fhX/e5TfWpnGOzJ3aAFZR93Ip2lXwIIzCAUi
yio52yMfgUaupR8ZGFDChSuWXF7oCcEPV7kOVnxYQRFWMSXDpAdnG/af5vAmUq4qy6CMzYmq3nhl
HCyzZk3YA9uVZGOIx/Fv5DQPP5vxLsxHI36b3M7VsvtSxM3/AtzuISuYVeIyz/OmaidnR1ma7HA4
6/k7x6Wm7pYXXvc/xI7xh/5veaG6Fv8B1CxIcY2JkZZFvs7LApMs7d+s8JAKW3GC/vSvT5YashJP
k3ghKE8LjroJlmajkMeW72eH/bJ/pE2wm5JlfouE4S1weq49EHlrJp4Eg9j5fI5rjlf5iNiQMj31
ZBAMa6pBN2XMzTGibGN8z7SMGksciD9Lb2UwfqdJiEHMiCS1TUezvI/82GN/NMeD2V2UeN+pGyZU
HfqTbNXyZrUDmqWKJRbKNj6bRQPt/039lThSWtiNjH/6WguXRDyV6Wb5AlUf4PY2qLAQ9x9Wf9W2
vI1yvsPai8Ez3Tbd7zI6FbqPZP7uVLbB4wcLJkfvTrQ9qvwshRtyBTxKPJVu6lBBY0daLgdFuY3q
TddAdb2r8kOmTuvzj7Z+r4Z/RMDPAL0phIb43AwnDlxqXIUWRSZ+b0vSWjdd/OAWWncLN93kEO1I
R3QBPFQQvdccGmLHUCca4ZvIwtRlgsugPT/POxMGXXsoyIa3JQefv+BmLpfGcgBN0XlI/6uQ5W7F
AxqkqP35Brq/mHpvwy5VZpetUVW8pGDbpiAQvVk4lU5pd8IjWIWgKE86NWknvNPw0itPDltW9BTC
zrROKb6+6loqPyo7AHKUId4y4kP4LFt3tTjJxWTHA/HWX6V6gXEjcY2ioyc/K/W0nLHeNjK/apFH
9zXGu+qb7FVcO1tw51K+bzRKJVwJovLLKHEQR8q9zo6RKFjFb6b9FgFxnKSaOTRrOIG4yq3g1wh/
QEqO+M76XVoyyL9G9bVKDs9lS3oM2k2tXDUcNUl6BtTGvvcQEfIU/qAEEL9UbohZWlk5GxmGGVwS
4AvOhtuZHzOMxbE4sEpsUmQWRB6uR0rSOX1Tg70sfDUNVxdHZnGjfCDkijkKAofiINd3RXznioIS
isloozbrVH+LWQ4Lwm25ZdAMNNkW6IDJ8uDZq7hw0ISLjLKF8SSIh6H6Wrx3MZPBkaVOqd7UUSHt
DxTqJRm+6+ymm5QJR99aRcSbseKx80+FlCHRm52BxsftHTa9GJHSzzlbqwp/yGTnN25qRw5+Jg4N
eV4Z4RGDl1egXAvvI5BWbS3oF58STmY6a/IgiUxR8XaxkXiW4JUMqAho3vZMq9rumJVAQtGpo+cF
+GSj6rRBMjM6+YBjvp6VhLXpNfLQdloPP/1KqmfX/gNb1OmrOCBd6G/I/9Aq9SwXqWM15Wdp2LJ0
R/S8m/vwcY5DtlP9Uz3dk+ZLq96hJwzSkx9ECXZzsg7rg6TAgl40JaFDc8/uQBUvEdqE6pV3mJam
Z9ReaYGCgrHJIHpa9srK7VweBmPny5+KHWHqQTV6qF2KNOW783iO4ycUNW4LzgzlKpPKCcvIZmns
DHVgD82v3B/werLw/xsyYDP7Tqc6nRLXIuGjGn6i2vSUjqDD4YfuyplbvhH7R9Bf4wqVu/wC/2QH
Gx0G7laOrgQ4MlG+YzR1AtoTJ4Sp07NHARhrh+q5543lPmEtlnyOTGKXPwY/hxR66cy0zviai49A
uAzSVZMO1cSZRZmPHdfumRlLQGZxyPiL6Ca9hMoKxmGifOlmuHxuhFlfic778DaT/dAmhRcWtwQN
z9KsKdAXWyDSsHXWmf0n/Y+j89ptXMnW8BMRYA63EkVlK9mypRvCocWcM59+f7WBM8BBY6bblsiq
tf5IlSXnCqFKGiGUd5unozCzhT/cbR+1R/5BHoeeHlgKkMFxLV8m88Saz5BMFzqLEX8jCXyLKnqn
McDZxOXRAlxkDEZwYSIyhZSJgbXIO5mWhb9Pxj/ey3x8lwDo2K8N60wIn/SyZy95ZNF6KjeNsU2b
bCFQiO5QqcR/uvMrI7a5IPn/yJugqLta3tLKwRnAqTBh0FDYWNm+SoNntvpVh71l37rwapfHwdzU
5ZqiRvCPrxqo1UDDwyonZeyyxpcNkzUUJ3/c85f1gReYm4ldrmIEDV4duHTUE5DmICuzCH/eVt5s
7SeW/vKtA5JUtmVwQfCMTFYBPH2UzdnUcAItrGVA4uJFslw03NIEtg/ltarrw/9/OYav8R5k7/F0
pESnGt7EkGwEEZpqimpRuo3FhzGsEyjgkMY9LhiDXiwx5cOSE4tIMuAwbVpmm5pDZgHqYcWLhrc0
9Dln+ZiknZ6tiVSJyDfoN239VCPkLJ+6uqr6deN8fM/LrDpxooSrFq/hhS3SJepvSL5mSLmcs9JK
f4aNaZxgMQtzhS5ZS7bJu5l64jOHsIjsK2aWZShTuoFZc9rkwc3s/7X8rNwbSxU1GyBAaHKJlnjf
Px3+OMB7Zg4fcrLtoGWmhfkk7s1ukcx8kUnDyN7ri4Io0RaJ8xZmDs/2VjzNkrqvd/1denKaG+mm
VU5aw5CprVFPcySv6YxqtIOANS0V8SINHds5vYXKg1mBshY1omvwkHdndEtQtx/9klWx/umMX5sw
7wyuRBAYqBdHadVqF/EPy/AH8fzgm5GKm+Uc4IsnKFDtMsonNOZ8IkAu4pRtPRTLyK6eFoKetn1y
DY7WPqMIl4QT+J9vUqawb6AzYFR1e+g6N56WERdLJl91/RRTQ+WgT0FZOp4xG0YSLaPgcespO5Rr
5FS0F9kXASFVyRdgnakdS+dYKA8lf5DhAnJQX9LQ8hSUkc38jOFjlfrdpuGJQLN2rU7Hut/LODmY
kAc0PhEFoLR88Kqk4TEu/2i55RO8a0AlafNDGDeuP1gnYqsW/dLkxnpyS6FU/ORrN4O92PHSt2ET
eVP1KTbnEbyN2YAyhyVaMsyE6hZdGcfqrubSy8ZnE5MFi+o5/Y7zb59ke8LFFh17sLXrFhNv3KYf
L1zX/GXi5qw9c9VbHyw7+H/1RUf2U1IQbi+fxPFotJuwuJQ0pCSBZzkfyXxC70OSWaJuTGzWvTdF
XolEMvk3Jdmi7w4CdTHCXSfIAP+YRQ+6tSDNZGYd6bvmj5PqYWdPxMnQkfuiOmXhj4nCaoyPOQCN
Fbw3KNx161cimE06mVB7ITwKk4rcHGX1GrnfI5Ql/rplU302/r5bWq4fnPrEE3eCOZMZjCqhM2BG
f2btn298Rf6n2X045rZSN2360wZMR7ux/Jm7p0TAKyYUvhqBZY8Ma/LT8G8hhnOBDiTKp1jlNf0W
VLs6uAE1L/N4z35ITzMy1W8kYFQFNAyUzBUyFw+3bTZE7jjewOWLbE8v9EReY0DkHS0rJc9NxNH/
Vin5Fh/qMuOkTmsS13BW90y6PrgH5dWMDC/BKXQj46DzIU+fpkziX3yoEdtwzFU/FAMuovJj63Tn
ttypIWqb9F3idUW0SwL+qpPWbY06819CqDWhQwsj570hVYIq42Uc8Hjy10vBcTDAlajN9MzKjTA6
32n8AKvFHMXKIZ63SX+qJVE/b0X+59Bi0bG5ZclNlh8Gfj7fuPCgjYh+1IAfOL+2yTm5xfOFWDMH
qFnejFOBe8cNxc6DhAGNWwCazz9fqrAhwCTI1jn3xl/UzNCqwJsIF8uYWOiPTgBFMprp/hNlF2PB
yQqvkYyTcIsHYpXml9D9SX0MIhLELBYAjvh0RforATKLcUxXJJPj5nWWJNQsSISgYR0HwxieAYbY
ck2HvCPUCybj+IChkGCO6ahonDX8XuM+KB7iTSzkN9kBwmPXbIBMk+mz5thrgjedPmlWbrEkcE3w
IHLnA+TQzoUSErPRwlceTrWlgC/2ybXjF1BBRQkhXQxCFD59xM6mn25IlRdaeZonDg0kvlv2gixb
5/FKsValfcjESIA2oexOJldVof5oyS+wvaXuq/yYGZsQo6Os9q64G3p1BoTbTsp1BG+wV/ma7TBX
vNQ8yM9m1S3V5op0d+Uw1JY4cjJedCY0y9yY07Y0P/oa/oiPP8kuWnvXTEySXlq+2epLfBKW9q4N
H3nwVX9HZkPIMle0dGQl5KSSlC28j/qZSHvAyftrjLB5XSa/WNC+s1QsFo/gL9A2VC2AqnzN+YHP
jVz1JbW/TLoDAsuDNXxVOjU4HpMFkaqSSV3Vm12/4XtExWct8L3B7qNVTN5qTL6tN0q7SVQiQjrU
SxszeoJRSI8ufL0KGr6G9QEufkZ8mctfgXPx6xskg2uiXO43PakFR/voECDVHVrrL4u+xveqOmPE
p0PUWGBQ5H9NDbp90ffjR74ECJMBYBHiNGsmJUdlIqO7oX5m7W2c3n1GuHhEc8DwmrM7ryvqc/jR
+N4RFwpsr7AI1+x+LAtrZnuxjLts7/XoVSx/8oHFdwJeGHEp00G3NYRf7xiyyNd2vlRYpFPWHSs4
+eba3vdTwfNzr+dvSXt05gtVvt/vVP+HEFZOeNA/41Odr2Z/F3yO738BD2smzBuSlFVxi6jvGt22
+ivxGCFx5watdUQC9rF1kNZzVOmCzPug/NblbvapiY+8jgHe3/vxBcWd4HysxDP83bQy1+jdZCJV
9Pcx+6iilwY1jPbf4QlR4G9mWJCk5jVn+a4pdW1z44rEbFkrhw7btnKZCK0judTTufPeC0IrLG1e
mcBm8lwzWj3z8iEOV7P9Vrhghova8mbliA0wD3eNytwY4Fe92gZItLxoY3SzHcMSEuiEJHB7SUS+
/9d63BHJy8LCOrcOkVlsyebGHk+h+ldZC7WD9jk6PcTB90ybRcrRRUilS9Q5jTEPhfwEo5RQGlLM
C2CpTTi9PwL/wsgw2/AYojwNHH6rwEwXBPOWrzp8d4YjPzcUH8AyeOJt9GqXLrqdcLz0mEQzXo6O
pJZgl7T7BDUdJSaciTK+9mkwIAx+VeQ9hcnRVb41Ft3vPn2GW5p+GN8J11pguYb5zHHc83Vonx1M
BOUzixjUHdEF/wcpZsWAdsCmsobYZL6Sj+HDZvWGW4+0+rnorERFknLRWTt1/ylVP/XMNXkghd6L
u4PMpcj9HXlcKMb/uwz4l0F4TB6/Jf1ZCLT9tl3K5bYy72Tmg9tSGTB+poS19uzwL0f6ktKvvFoZ
EbKLzSh7ybxmZN5gfG0QL01bY915EvJzxBjYN3gFPr85dI1/qADhzKn6xOxFFaYLi+EMPVcFkiS9
/tTl1kW9Z0xfYi/EmejUJ7F3VvVP86IGb2EAac1oheriRHKgRlAPhERxVQi5q/8ZPsV2iLxWOg3e
4uoWd609cLk1bmVdod+U6moj4l1hYgV+AKiy7BRM8letoiUBmZ4yVsjS8XgKOx+ipVZD8tf/+vK3
7ewpSsLk9pObb3wy7DARZy0OYFfIf0D94nmlOh8jirSQ20AkGlDLyyeNg0X9zIh51U5ld/QD/kak
qX7xGeGhz/uCGADGcZlbLGQCVIAgC6yz00E3d5pK+huQ+hpRnI5eFqc7SKKW3czoQxtY7cxfGCpi
I/59oEe1vpz+OzL+hgrZn/HXMWORBrOcCHRmnHdp1GFHXk8bG8u/RHgkdOsKhJLhitgg4kM7Q14c
721HMjcYmwWn4/e0k1c37EytdZh6sgaXClY99Gfd/GaGV75TgvLcmtEodnK3aY/ppC2qR86JNcYB
H13vVdM/E0VMCspadeearb9DeqfYELHpd52d/OwMmNkz5IWkUbRIoYYR/Rp9OvV8FlxY/N5KL636
noNtzIWoLHCOSSA0CePGlFJe3Lox1ZYhOaM5D19Q8aoa4zJQAEn3jfxWvDMHJYhK5FvTQ6yUm0F6
KCEMMvtDToKHuKjigoPxYRJvW2IcyBUw92kVc1KnFRNISqYjyt5yFQYbcHWyuEJlwzwlvo1Su/Rh
w9kesH6wOwktrI2mEsI5bg/8RevIX+e2O6TPlINk4eNN04jxWlJM27yPrLS6B8DtGPuW4Ts6W/j1
ZuPoMPBVeMXNYSfNC4azpVXtAVdMfhZcMUv0pwx2usgyYcPwpzelOIvnPSWnI6veK778YiDnhpeg
9HmW1nz5wU3cy0JvAnelTlvx5Xf+Z0MKWkTbaxYOIBSEIIDsOHtVZmUP+RotQB2mHa5q03nI80Er
r5X0XhA30+38/MGhoGlrNbrPcBsNk1dMHbQDhFmGywI7bVsy4lJ9kXUPshFY9hCAAmYK1wsOWq08
Y8dzjXQvpq6wI5qcn9nihkacsZzJFBMi7KEW1iR+8YKgmwGSHt0lbj8jTzZ6YK7kyAEelzalPq/z
pFnrTQYhK0g9BK1wQDlZPjSzzImrtuqi5ioQW5bZOcv8gDEJYKyUzD3dR9xvzKwrR3Y54IG/YUHg
zKAhJQVl9FX1yIwN9qXxLsfoHr6reu0z7LQgoPixFjlgPQVjyzYkHU48NiCK1IY+id9FoPpnKpdq
PhLZpBvMFH3qClFqqvIdoYImNHGZroHt+niNNEwnuKaCNN7yT+CIrrNzre9mMF1H5vYzf1kdUCtZ
vLi9fWuTV8C1AHVAAn56bnUwVzSqeJlC61lh0dcwpDjTj5BFDR3hjVv2ZwoWdz4jL89kGZzmjIaH
2+jcJmSJYQ+Vxj5wTjgCsKsizHvNS4cTYT8p97qul3X9Wzy06sMokYaApJkjQz7yQGNOt7F4q4DF
ZAJnq4S3PM7d8VyHsEP+vgcz60GIc8tCmNKBlZ1T/2kAO1KJh2Jur1q71ECUusv5ljEW5//8VMY+
tVH8mzhMxQ/qfstNDaEjGtFmWDoHyBBlFOoqGlvEWcqbrRekGn1T3Egj5ukHE/QMeqguc9Kb3IYq
G1qy7rpymmCZhZ0ktF8t2QhSeObCmcNxE2hPhYBTp342vkeda5zfGhQeEQE48nCLhJ8Aut9GIwGy
tTSQxAsArI7qRbtUPWqjGNJXk3EMYfZr9ZOXeFM5b535VSPOmFLGuQD1OK/IZPNDxhNvHN1WPPJD
+5JMZvgfmkohIBp9w/Qg+VBKHC6pvG3GfcMPoSw7ZuLvSkB21l4LWLrq5cAqMTAvAD/p5qUafnmT
ZZq4Fwblqun/1NpHZ10MP1/LRLOUGOtqnWF0ToGBBxc3ISE+GLvg6qwM3uFIVbsxo1ZBo0tQgEsk
ar9Co1W7AJ3tenBoGmRJaIyFw23XbCyDTzJ5MkRG82YOz4VxDDLIKJ4OjYnGmTvXKpvfAEG2zTeY
xCURhX/+KvCifOt/G0JLuW/Blvk46WMXshfZksBLHhL6YivgN/TdDfaEZSdl2xLlv40fRaNwoie6
OoUhGFasQYS/AlIiTfziDFxI850oFhXA/Ew23UxHfU8iEi85lP7s5gJz2ycT+z0rsiLHy5jpcGQ0
lLqj3d1bftVZpo1wkSrUHFbOypiklQIA2FTS0uEtjssDXXeV/6vS7jx6Uv0W4wiRuDnT8WpgdiiL
evH7r27OELP8XY8UB0hf3CeH/NOXkdxChFc26g2z24nTWo09rqOFriwlTCU41J2XRtQQUZcM68GU
e47/V8gfAh1S6onJqvacQl11OjcBP50cLhUuhRiLUnGwekBAuulkaE1vUkGiCYf8l1uPrF81XrDW
8rM4CuinJM+xXiK1cbx+2qmEWIQXNXLl8E1AbHgshD4GZeRG0RbMY6soW4M7hvzR5PbTvrK+GiBg
Mya4hoR1NNp2fndyFAl8+Uia/GuIElm4PvKjal/MYlukV7WmDk65JpYFcY3+BNH8oJV7Aj2XLELh
SV/XaM43anvgV2JTWXXqMeMIbJgn1fSlpd8+sRp/FVea+B4YwpeY2abyS1H4MDOCV1yFEb04iXOj
LW5OdRAfLLH21oPnTVwBaXfJ5EurvpX14Fo2XVa0cFq0TCSzQ3RIzbtXeAN31+I1J9bKzwkBqHSG
JhSBQnSq/02r0YvRgOIgnf/VqMgsY9sEX4H2XiN4TtoOOfJD1p6Izv7/6MCVULw6Mpml05a9TSu+
K8wpJFhIINORD40HtjRan1N7iTAZEXVrmct8zatXfnT9PwmB0KQxLtGQW96HVbdKAN/wkpCdBV16
Kkt5MZpXHVyjdE4DQEb1GQevvOPcR0fCGZ2N95yXPSULc6wxic5I3UV50aqyP4pmp8SXsH9puOKL
oCVTguQepXXbTcyqQcXhstKiNQjtQp1M0hdHlirE+e2hGtCuzHg6ctiygpzwQ38peO/F/SjZpOi5
0DVA4s2K8A9l0b2qxjPlDYlmNstcR4POR5X/meF7kH5NOBVm8KN+oCyFWJ/pwvjg/FPkpzy91egU
yg/ygVALbmzCXV96sI6+Ovvyh6VHuwXWhaQezB5vzXQtkgvBlHo3uh1saIS+nOhyrzLBFBZ/BtOd
iSMlv3MBKNIOuI/DwoOMw5a7pwGcoDFeYtbNZN4RqFHIT2q4/PiWNicN4h3bMmYXtjMZIdbN93HG
q2sj3qr1VoPyRyWPUDXRtxa/eocN1hm/DBVHAhSYeLzoBd7pZJuZdsB/F8WF2HhbZtJcSCENNBPh
0phkxNTkWZ3A4Ab/vYaFLunDOQrMyjHRQYlt4YyLbVHOJ79ZIcUUciFJ9YKQTBhSQy/iBLP8p2y6
qNoXibB7INJgzbAYrkw86TVHYBr/1eNFDMRjBoBY90APCS7gB1ys869cfswm2TirkolpRslAterO
MOkz5IPW/6r5bOX3HPNjJVNHwEvfcwLmTD1YvAFImcmXNiGqpGgdVdxMNroLvhZafpHJsJ2oGVDS
HuVkre4s3FEwC92f3Twg/R2M7wumPOD/hhKmb5sz50hQ1aKtDtMPmK2lM/zWnzXWBF1bTMjVzBB+
sMpcGhzFqb00m1fIbzw3cECSswzmLRlUWODQxnC5duMZW2h61TocHag70QaSdsvASR6DBSFsPGro
W3EI9hXmMsTY5o57Joi3jnqf3dlTq7OP6UhEmk3Vb1X+qtkm1G42P0kJfIu/0a+PvXbEGsjtxruC
FBThj1puWQTjbNM2vzM2yh7ylixA7dfBjWzWz6G4ilLSYmO7warR2YIWOaJdL9nmI8KiCaDn/9Ns
BBUZi2YlYdaLdlBxyYjasmMYUgjiPkX6OVipI9CIJ9ffCgEvafM/kWoUO9OVlh1MwUp3S5KIanBq
/toVOWTgBwnqLRLzMOssCDVDesOQgzsZXHVkJtkayKqyYidjCU7oLj4nFNAMB8KAyUv6IBnn6EeX
kWO1KpcWC4vNgO7gImSUF/UsZochDBJdAe8+zI03Dh/Y+Be0D1AjgxcXGsKLEOfrSyvzUi/j3/3n
rEIvDB5iEWILivONtjZWuuT58aGRPI2QXJttmrgSLwTAAzKCEJU7mEeOLdgy2pmK8HFXgZ/ZT9j2
2uhelZ9Z+gVumEsbsewqKy4+E78vqIxS86tUcE0mswtJez2EqNAvDwwXaf37QW+FmlOe+D6wh333
w3emvRwi3SirPU0BQV0bqfvXQOLFxpPfZEW4lHuAFr/ZwRXwxQ2tL9XelEt4xXQlf4JiGNKmDl9k
3SwHNVlUt5Dvo4rWckiO8ivu/2TE9GBAmXarzHPH4M0n4qbadrxm+opDDdDIG+VN0dLKeCE2jnTN
9wnwQ8yKjnokn3eZNDdEI9yNJr4rcnPlD0M7A/7FzECiugiSklitEAVR+P1NFzP+FvOX7RVkKhxX
KXAZzQWvFop2lka+FIxkaBrS6SvrvN65h/E9DF+teZOGa05jkMxoeKIL2KNus1QPXYb9kvGLDKQa
6N1k4+zgdCT4HUpcFKoJ3IJ7bdhI07pMzqZ+UuXr0JAadC7Dl+YcALeKaieCjn+qak1sF8a6DWOs
C0erxls74+Qut5Z9bWeKTGbKv9K3qae1bm/bn6V10Ej5g/CEVsJiOd9L890ZKWVZGMa7AchllHtj
+J4A7iv1bGU78Yszjw35RUj5SPClYKLWABWuCsfzGP6pUKk9ajEq+UpyEuAlljjDbVSu3d3O36X2
u1/VKxHUn/QTSkpMYmzaOs9pRGBrMhMLpx/nkdBxl3iYlmc7WHTD2kmOcNQuXkR0SCPp2q6YGBMW
M+CWoQSkOI3pBo0UT7kRnQUaPxMOwPCnhW9qN2G7qlcRNnl9r6onJ8IRsNOIiAHhbK/ExwLy3mLQ
iVl953NwJfhoJvx/c3tKoz+VmKdeejn9BqG00ETnADb28OdnIMzGcwTuRwuoj6TNcFH4xtPpH8rR
0BcOqhmHeMGjTForkhbpmeTiLVnOvNVMmy6wHFIGNyxWgrrv8HQhoYqlV8p0ADa7tJy/YtUU9bLT
SWc+lrIkZhcUpSoHhojF86bwm7ojDqmGrh5S+JIPzf4CIomUz+gxTd4geUHxEZOGHv8OxP842gZ3
4gqTHAmk/1BpNF65oSdhNL7ArtCFNQ6zaXjM4cYYd8g1a+ojQlRemJHwDR1JFDe4Kb/x/5GpMVRM
ZNvYefjldzz/xfM/3j/XafYB0KfabYB66al0J0+0jDEC4CMVoe3pRmCevELpUzaOPdZytmL4uoSQ
3nWlpcuQ6ToQYlKFAh1Qi8zcqul7VXNkFuie01PUbQvjUBHA4vhvs3bhx1OOFhJ5NAeRc5Fh1JXB
OQjmt4SgAYkwq70KM8GFFgocqLrrMFVG/O3YP0PP2Ix5pliRiZvZZBJQ3n5Eitkbj7zlqpbvpEUt
KHvTIlFyfVTU9VAfCRFAqrjP18jn9W21idfQ7O3R0upzo3zwuMDsxxr9IQ2g+dtZKc+lfJLTJyQS
4nOJI9tK6OHDmSu9JpnpR8IaycWioDOu7HdL2pLtiSMas/F+0GyU0T0C41/d2A3JZSyWdeLqGsJn
jFZj8Z0eU+Zmf9kS65BexREwxZ+9f2zML6feGg5mSFdXVgTYgInzu+X1uXq39T8AjoSjp+MpQt2C
onRppDtWBeFAW0NxOw/+6+uIlMAeHW+RHiuVOsd+m+A3KHiMAATI6aZuG1kiab1Gtra2LPoFNY37
7KUXZ/Xlc9Q6e6SSU3QBwVtoCnuSc0mif02616JVUKxhWILinolq6JEDvWI6BvFFmkq/QACibf36
0A15ja0ZZ69unEjyCdfxesZD3yJ9Q5yOyMSFYohVSG619wJ69wL5mjP0aSNKs8EjEFIBg+MTDdjt
r1J/R1jBTfiONtLVtKfTcS+oXJOLxvgZIr7gDLRY8sSEMSUHCCe3+5ORBgoYY/q1+Jo6Ov0ICaeZ
zk34yMH2XTzptGh56rrV/7XAAALz5PrAgd5AiBMmCouJAj1UN7b/UfffTv6XgMsb4KMrimU4B9A6
t9uSzTMo6fh+ddTVDagAyHhJLsRzhUwUDBY9aoYZdTCuHp1QfLkFiwzq9aBuI+It7Uui/ij22aTY
MCNO365BgP2eqQP0WnkL5E+nfnX2ottMm2E8EK5DOdAwH3uXRnvjKouvlpmuJ9BAzjcyBuScDgb8
5C7AfqisjbWqvaI/SDVB3ej+aWZYTG8TtowAWMH27H6Vtp/C5xJkKPwD8IHjyE8NMjRLCOHeBhfK
qNn21j6t9lV8jYOvfoAjMFcaEWN81n5waAfEKeEK/Buby4rBn+kjJoaRk2rY1+b/thCfgwkCDPj+
lsM2I5viGuAzRztydLbDBqFeGq8kPj3/nPCsy8d4+GQJtIuVZBLAASoI5lJMbBrp1jI91FSIqkEt
NIVYcq5CqbuDrC/pbafuG0vjHp6vx5icsA4RNdwidghqTrBCccMLwviu3aewo8Yj4UYI5f04nYXE
MeaOC1vJTbIXNHzY7si9J/ECXLXItyoC544EF3bdyMFiQyRmjhQdNU1t7WVr04zeGOdCn0yoWjtv
G3ttBt8TkopIOnKlpNmnGl0B4JHFs12i8MiYdxZRdbPp6PTIWG40vvsNC3Y6fmXRqZSuXfjo07eY
d6OZDyAczWbYNPpa7AdF6qL06qujukTTnq9z7Z/NKkNZbTvAR9b7lDwipvhmY/bqymyOVscvV3m+
tOfshiLn2UzXjux9EXq8kADleSbB2Rch1WmE7iurYbgPwF1Dj1wjOIksC82kt5RYuF1CXh5BmpOf
uZb6SOEQDU7AkewBSvcYPj7b6ak2X7pHgS671xIsBjBLIHEjEHms7CeDrjz0i2a2MvjnsdPCK4ON
Xmq27LkKMF9ugmEH/GFJb3iNAbl45EiqiBuixJFTtYf6jgeLoMO6RU3sJdpb0xGJxcG1nu/cRWL4
MUGnC0SKch1CCvxj8MKlXHzGW/5XtRv+lbmxNHwYVwRkWGocpD+tm1H/OhMXgomJyP/sOPXnqPtM
+18yAzEPBECIvGfoKhu6u6X2Gbcf46zxiR/9dsccX1/Iyx647AbYFMaGEvI/WbxCDTUex+JaXQeg
tyM7WJB9Bpw3DG5I3Emp+IhduAekkf05N/GtSpuoWRQgYOxE8Y2hkZzTGP+ifW/Z04d3sQEP/Vmz
zhgCRclLuNaNf226S8FWFDYKsVdnWKAg04ga8ScIXGQtuX8PFU6IeRdyxuEtap8VNlxtPWKQ5+7l
1wiBJ7PN1K9GlV+OhYve1+gclqt5XAWC5V7wBq7GES4W9kO/Ue8hNB59+ltVDOXhG4/5oDDN9uNi
bMal0z4D9DEyAbJ/srFhd5ooLmSs6pwNY8LYfOCc5HjmBUBERn6dG0nLsIQn52vERll2tGHaB/5G
tEMKgZQAWfa33R4dXciYfHfSzmw4MgwinitmDQEKBuHB4SEQoyGpjpRgckkQPyJKRPviSo4gCSRv
WXcbn2265tfX4ytDg9pseZ+r4iGxXPb1TxUfBD9lIywgQX/BYJCFe54vsVur3VtiWoBFfFz+v+iH
bhMhwZImro/yMuo0X/vhUkIQ3p3t4YVFQUKkEU/rMFl/BNZa+Cnn5qmSI0QQKS32Sxu9N0NTY756
jbYsi8gDdiHhAmDYjROEKVfV5gAiQriJHkLA9W1Sb0+uNm3MYbKzswcF5VwAMdoGvIDpp0Adcshi
PgkjxowauBp9fPXQwSH+yjwOXFzVDfAYJ38afVKvsxichHsMqwJ3TYTbSnnU3F5NzhoSXHSDMCeS
qgLM5WLkFBQYEki93MXYgtUeWOUaVx+q+iFRF2vvZzSXmuoyVmXpM2finnn6M+NaQgIV+QO+2TQ3
ssPgLLsptxODKCKD8gnDb2y7jdJtCmcPLJYjkQJL7f+0CujAoEgIbmxWQFLEmB2Wb1HJCqDomIFr
rLGs5d3ddLsmW9o8M1XSrSgBWczmI7O/y/GZQ5wt4CIa8OPJtXILTQgsscZ3wumZHU0TL9JwFKc8
R54wC9P+ScjpAX6LGYaYJHp9VC8eOVN2nDmN/g/TpvDMjKru1pdo/Nchk+R1JfIoKm+c0UuNvvme
zzd0rtg0MP5l80u8JahIE/ufYQ9c/1xWPNw2qT/opWsm9gGX+TIZ9mG9Z06YWmRKPeAdeJYIe51E
rt7KdyVmN4DxVLmILT3ROe8It4pA4wNEBOWUrAIRi4yaA//Hkj8WCIn4Uvs7PyITo//DrQxPM7W7
7wbv4XpEdAKs4ncAKJvY3Ms8EBNXGpIKDZeT5kD+1Rfe5OhsIAJXtszLA8ZB1FHEy5uHgoa78Srm
nBhE510IPXXqH0OvyTe2vtPZX1HxI+okYC92kbMYa8CjCpEnw8oYrLviTJh8q3hz9Bs5OPs4aKo3
dCgy1iOE2nmxnu09tObQ70JMbkJcJNHysxFLGbMXCAJmRFbjfR6TEHsC+oflytdQBZ3sKp37aL4K
Akk05OQqNelfUo1xglgGGZWjMSKGHEOeC+oCZB7/c2y9dyTMRX+h8uPbpKd7sdcQVA/b7wpEQ43e
uvFLCkBpmUGQNQ/w4g+OUiFL5knFGimOOMla3UUba8sfidC66B5TEWGCuoXGzTRP+qeMO0DR9hkh
UjFpQGV5DXk24yNO7krCxrJt671TmYRJdSsqj23dreKzGe3BE8lOXgyetQRe4ueCfb2N+S3mt1ZD
eUkj12Blrh6L4NJtFLyZAGbLb4ZHA/mG5XXWe0yIDjCBCQJJvgPjB6k4raeaVyl7zQabNy3KYAUQ
ehpH91isoTxFfEH0vzd5xrt6GKatM2uInogZuXQwbiwXoNirvtvFon7B5Iw+29JZNr98iH/nBClA
YYoz7gaOM6rZoejb7M2U4eTnPedbYCB2ozWVxD827/+5CMu1rG+HXq1gAOcmhqZc+82bzs3K0iZS
DV2lfKO1njkjW2U6QUVAeViYUYbwaHzUjrRJB4qC5kOMiDvigiPaLVywJwfhtW2wRtNkoKoHvTix
ahFrx0WqouE9yaiD8i3BBOIR0+H2oSrLngPW6Ja1tYrBafzQk2J8hJAAO31trgBcjd/J8L2SdI4Y
LCQmXi2FmMiusgB6OX+H+iYD8YUIK6/EfAUSM0zyx+Mul6fAOSX+RxP+FH1DMZv3pvd4BQCojHMO
ypKUlCHws3Qz/xl/G8xu6t5AjdrQAdCws1YowNnusfdV2sHgS8NNW67xEk1rZNvd+CMO1pZah7A6
5RKuDzorckbEAuka7S4HPLcmqQJl9Zdo9wr78d0cPisL3TahG9r88KHMjPxPs+Cm1dl9U1tlYU1P
saiWluHV6sWRd+Ab1jrZwne0S90rHXvJXGqM23F8iNi2NGFHRFJue+wAiJ544e5DfvfxWNIrDOvC
P6ulXkhSgsSsq27CYZUT5m1SN8rslrdP1bIIFuNX9Dl8vUF2cQWOTEHs9qOZISsh2Lvd5SwmVH7w
l3J3f/C4wS+JOC9teBjKF+E8vHU+SyZaFKRo3RXkesGSxwFhkOLFr9IwYbTgqxavgk1Izfj8HxHN
brFEGddPRgT4dDStnTY9UJlW9hanv2HdgixbTAGwn9gJs+8g+tUEshvcQySQXePgyYf+zk5Zd+nK
RUOfAGW4UH+N8LlgOdCb92RCPcYsOLWEtUSoV74c/WaxOJnWu9D5OtlJlx8D+UfWuqpILiVmmDL5
/kgNnaSs4Y0i8zflTJsiHX75gyBdtCzZVusZvatP8w9DvU5afxPREMRuPQS01qKPpsBsKbAkEBSJ
cU2Rv3gPxUwGgIHug/uJYLD/GDuv3UiyLMv+SiKex6pNi0ZnPZCutaaTLwanMq21/dB8yPxYr8vK
7q6sBqoGSAQyEBGk08S9556z99rEjuWYUFWLMQzarjF8y9Vv6CIu+Z9VxZa2GNNHwsDJ0Fr+DW0M
WodI2gmrOdEjo1hshI902ZIbmJG986YiNQiMDzN8c4vjMKDipbxqqJMJAXZop5DJhv/mJeC8WHSQ
hp8YfDYT0KFMb0aWBN3fFSa3Pn8ZskdO6luIDlGt873S3joxH1mI1VFhvuN3yGGtb9oopDKiBgme
qvcIX78LLtaN6+mgEkyAG6llZV23HXp+aq3di+XGEw2hB3+LHQUx7FHJ16X8nNOLsbyF9OkWVDDk
krkT2jH9PCuXqWQ8Fd5HGjrUxIikEPQ3i2ri0BjdijGYAyehzg+Z/qX0JKqRKaa3c58zujsydSwu
kT1XD3p7rPV9lkpPHxkwqmYpfEwqbG/nhabdU5Xtecst9WiWLcg8eihnM1/1ErqvSV2tkuZRgGtL
koz7BDwc3SShcpkwk09lIYldG80Vw4fwMK9emK0LD7+Op7l/QgLIKNnT35hMgNt1hPlqxdBV5/7n
/UeBItiVPpR0IRrANP/96DzMtDkZqs2FGC8xvg79LxJ1Y2fdzrsQf6dZYLDhJPTUWlP6Q1W0IPRa
DU1K/XmgHFXnoKc7jjwa8hYEzCAWUH3oPL5EE7Np0+lC6ohgnlEQjGobRiCLrjsKHBgVd7BXAXuR
nhmh88AXhYwmemufwI+809Jzi0kxzPDzwAQ6aCYH1/Ir1e5ZTX9XbmaDFEwDHH4I2kBEUJxRcHDf
G5xnpUCH52eJU4csrzVVwbE/Yo29yTV0/7X0ThceiExQnbzsg3RKvhWX8NnClQbzk65avWNKxNe8
5cknAjgkBqQuSbCk9h5KBh4mat/qzBFcDKDd+iDmpx6Nkz7YOPFHPl7+6Pf52K79kHy8ObBCKXo3
taVHflTOpqC8UiqHy2FuDTs6pg7Dn3Hum/MqPqS686wZG9hyzUiPi9Jq7nM6Vap65rTdxIxhWagH
7G00vRMaYkIbJCZHbcI1P6C1zySXuhH9VbCyReuXnbnpKu7eRbI3UryDdsHUU5id8V7r60I5q4hP
R1qFZV5PQwRBKk+INw2hB/HscgRreAd+JoTdTMRHifhspoKIUXPcmXUhDkjPHKKpgRgbhEJ6Ln0A
y0UQzwmIaXCCTM+yqfajXXwEwB/DCIkYdHZnoeOjn6NGUEs4crAeCwNWxQyLChg1hcYGGB6TpyMl
hEb6TfABJYYtvI0s5Jyo0yFBcX1FXUmvhdi1iVRMKFenGeHF9KVJqaS9FLvvasEL/9WPL9BxmQpB
0oj5IEVyV4qrwrmuIkBgFJYwNu4Y1BYT1xT34EblC9u7GmK1lr1lmDPzDRPdPvsyKoycc6YmlTvO
3OQtkvEycuhjSmfxRmujYGcSFmZiLQYG1fYAD1GTKsCw6oyd1+TAinxFZeP5EWDSzfRfOISzlrNK
QOTqLaKidWoxknYiZjqe88izj4AislrX5jaZA/BKl8TjzVoLEN9czOJoxSg0X8VZL+FQMADvSXlC
kQoqM+HMMaR5oi3HeovrHZ8w87V8Cz4LD4iZTVOBegaJsJFMpDazpgBisIrxe8jGyccBBO0UQanz
3PYOB91TATWDgSmttMoiKn2PKX9aDevmjG/U5hgWWwew7U9us6a7ZGBCsllrFiGyLemr6qqFnxM5
jftIzVCU49HA6pCdWFga9RKY9zS2lyo3MGRQzsNJu3De5Btdpk1gzHWeAAv1k2rfAqwqDoPnE2t3
FCRPmsV6sriOz3178n1QzO82NO20UidEek0LldWOuAPZZIG5D9WCvlNg7zU2twiWQZl9yPZe7uaS
gsx7Etn3kmK4aXjGtA30uVlB747ycJYS1jrlvZw5zS3Mz0RSQMKrn3OInmPIHAbWzSJPt50joR+l
ywmcq2BpBOe8dOTr+KPiEjuK7uwZFQ0uMiIWVTEZR1hqCXKquvZwxI4DbeDsGIBItUvcuFincYLI
2zJcaLLFA/YZcQSUoM6Ue7O/VylkuTtzbSlEkK1/pxrRNjQgaU8F3r3Ld+rDzxfgNsC3sw1wFslA
480qyacRtsHI8+S261dkAu/BeGBkODA4r1ganYBpXXUc8r0dXTv7M2w/OnlcEA5AsZbHyLysk+Gx
DihgmXZyM+eUnbgU5sSH6DgCkKz8bYNpuX8uu6M04YGAMBBWmqBqTupQmbq2j7Po2Myo9twDSvBY
o2VNTc/gQW2/EvAufvqeBa8SELjyQYsUcpxBfHFON+FoPX0O9g6imq98G2S4OudQHidB/2bAPq+3
kvNtNFvVXKl4Atybo5016ZsHdUxPYYToZ2njut2r6hQjoYY/XJ1YnbfUYooAVIiE6U4AjgTpXrNe
PYU3HBWRPKykaTgrwjkHSbGhilMdnxw92FRyzyPCjarFk4Ve3xDj9vouSzNhklClFbN9lU6NEgHv
3UtHzL650jNCvyfqRrYQ+oDUWOd9x/LLWAiBEkkTTHmXyOmC5+xVZSTZ+ESDPtlMTEqADG9ysNG7
uQYaMgk+FQ0junIyy4aBGS6o4dIzJRrn/aKYI87IFzyI5rJjrh+EV9E4GyhGA8aeFsdreURGq0Mp
q2c50mBQvnVMsyOguDRrOu9XGM/PgbLrZJpQNBmdHsLB2WInyHhUYrxz7JKIaSjLKbfo9TjLYcEa
Lc5AWjrDGS3AmhWdEqrXfMWe0AYLmvTR+FJVwCS3qXaMk3MDSyDY4L6RipnB4844Z+rMOZWLoxEw
eyqJKj8nnJgJ98E499DTCK3eIue4rfBQMgOaAKFArt7D3+RQV4VX4C599t3TFbE4ZwinSq3S7Usm
Nvk5Cu+fgdZPW1brZFiU5LGB/alt1m7mJm79nlQfrXnyn71FP376PhkquA+iqWM8ElS05eWHc7dG
H9iIDYiy0567MbXHGhEDwQ80Ir98zmo2WZfNruJQZeuLKL/7/UkZM968VcHDF7YbxbuP/ta+685S
Hv2NqZZTZyAS66WCcSsG1EySWWgFLlGuUFOaO8lBWCtIblzkToCfhICTmRYJUpSRkDm9R0J6WZlQ
3zQm1Tl3hwi9kAGFP2NaaxCnSS87orQAtQdVAPc/Xph2OLSo+DMmYnm5oGNkqDOd+U7SlGRmZwQr
0vmsFle4oM2UW5YXBwODFrR0a9OgP1e5ogmHeLm9yGARAhR+Q71F7/rcchx1D+L0Ah1ZyJvtdi6m
LSWhkKXBc8j+Xyo5baLuKUKEX6HUdZjJRhIvJrgn2oHjjEsFi0CvljoRhdlnqYPNkBBesX2NPBKa
xXvp66SkS4sPOty0macgIP+GydGtd6GjqwngQE9CHzqqzxHFkmdoT5zyQaw+VxoGYQ8TEVyQpkeA
wTGEsIS6fdVQDPVHDWC4R7BH199K8P05juCldssAj4VnQ6UPNxzU/KhwBs8pFaK3EWQgGl/qTjTc
5W0kZ4c6hz61xpruhAu9nPb1QReDCFEg2q8HvpkGUXHdMsRVXx1eMhxzykIMDiI2MPCPtnEjEJJ5
85p5HueqbWETNz8p4IWKzoWrc6rlUKcNl1hfM3yQSba4ePnrz+IjD6g9Nx5PkiMIDxyfuVPgBWN9
poY0QQEsdkv3VOLIn6XyGtVtIx/TZjlYM7eGLbkoXL7cBB4AXSYtXrlWNDfyXc5ZpNdk1M8z2q8j
vKx003I9fbyA2EM4dCsT+SOGKgjDC8L3Vkg2FAGo9w20fO7FiXdWv13J3QzwrsC9IM5EoeHn5ES+
eFQw7rEciFldJEhRisV4pT9DflI/ofvOesRBLvT3Da9eFb1b3UcQTlqMWxVth0vpb2XzVOWvaYFe
ai4gh92Maq1h9lRUHSg+kGTFPLNn8KqKHNH5zHW3NEO66E0TXuuASTPmW01mkfs2+tPYgduQGOq9
aww/FIyhy8haipn2DARq3E8qtaRkoHntb4fqYmPWgKVO4qnLYwKYIYYisfJ4EPVtxTY4hdPpP2gO
xQwCiODAMoRMn0VPZ5wrEDf5CpNMUF8qZTfoNwtaBd4+1KGRO/d4YVtaecssX439Kg1u+hAvTP0t
U688naqCvQolpzjBjkiFCvZ2C1cKlJp+XIC9BVeyZ/bEbiqOXCNemO6Z1JCnQX0vFXxdsyY/OqQ2
B+q5Vx4qWpOKdztoJqMZPDv260AhGBGatHDdVe1vNf1V8Y7gX2V3levb2FyF8dYMbo51QcDWwKh4
HZUlYmTfP0f08RXr4PEGaCse69w5+7RVPJqixgezoqHcSvXGoHSGJyG7S8zMxUiG1qDMUg/pkT7Q
EkV1Kd1tolN73IkzGl06zKOSsNuJzoEoRi6ja7deOozjUtLvKmKYmM6VLNGljV/77JZz2srWQNOi
RtQXre9NGT8/l9ceubDcfXJBpYYUiXWKHEkGXl+SBWEHkMCyiy9/k9cNwrEyV62/cItppj9Dql6B
hYxR92UoOE354AK5rZdC+OWa+6DbjQhNjHmaPQZlOtiXTKcSn7DJMuGy65WtbOQzIEy1etWCi5pd
R1BcDFikeaBPY9jD6GWnfAOK3cYDUv5KH2qMCfBr3HnGvU7oJA/I85323fV5E6ZjTEDHqw2WwJzI
yawzMSXwOYsWbx8oBzpcYXfyy0OPdwqlZouShmMksGFz2PSEVpcgR2isSg1GegxX4QG8gdf0eGmn
jnVXYkqurR/h2MIjkcHQsLEueg9d/Q75rB0GPNl6p9VCRM5MvPO5BcPvEKNQotk4tbVlIl8Jihzq
A+DnytjSxhrNAxmKdGDxUsG6/xFu+99xx8s8AoN9ZMNnzIHPTIjKkE/IZ9HSNNvUrZ8nlXQHlIRL
JM1OMpyT5NZYnyNPgUQFnwgJY3dFnxAEVDrKiqDkSL0JSZ0NWvXKtySHE8YyQzlmAgzpgbDk7RTE
+sTt9mJskWjJc6h+iZyQULkN/gUtteYhz4UCsG2VfRnTFtnq9UqqqbRFry77TDC3UOib1oLFQYy0
mgBg59WBicqlVsZ7Uj85VUdQEAMa1m/fZzNwaO3aG7dek0PD3dKbuTjUq5edn8AIgPbPV4y0DW8O
SBQXVuNecK5AYtVi0hAXTxUNsrgynmu2ldDY0eHpgR4p3WsSGk+xAGN432x/cH76kGyS5Ab60xsD
Mhp2ZnyM5bs+AvnqL+FK4ofrVhkJtgyxS0LaN5RXfnEY6GXVHHIz89OhuOq83c+DQ+uvXisejXxe
eeIuLzFS9N79SvmxOhD2YsBdSzcG9wWaabtA2sKJnD5rqz71SkujAXjFOZmV/bZISZOacYpjuWoo
rX7afM2koe+RAMMDhAtsZx0x3WBW7+ZLhh5ko475oezQ87MTor2O4je8X0mMGHtO5o6ri5tVeBsd
BkSA91usdx6jJK6eau4VZaFyYsMnjemkhGnAwrFV5S/RCAYMV4Z3zd6xtlVARGH8Om8qVsoqu/sS
7Xcg7f1HrGM0BPzmL0ra1c5ab+82n0y5i9GkJdZOY+9bzwbnanOdUK1hf65Wncp6JxyXOx6TMVoy
XWJhAyJCRUNaLs2cAZQmeTaIFGEM3zC0AftUIDrZLDkO3ep0pchrLnjW38hPQwrkc9XvIVp4qvut
3j3Gfq2UxDVOKQBtmUYccQ+M+sqOr919Fx000zlNHrdAvciAbBVRMPRrA6j2ZuzRKVA+09qkUeIg
MlxYS59Xrj1n8ZehnPt2CvfE+aLzamVfRbaPglNvrodmXtcblPYdmsEKDZi07fWLQxuUgLjqovNa
4MkNvxWZBmBG26m6jenZ/TC6iR0wad/Y/oGOSZsuYmqahqZJQFJQ9kGMLWPqmHMUcyBdR5IIV5rB
RgvHCmUj2IFkGRI6GPszNUGTuQpJL1GO9UC7aDamc0wHjYQEB3IgkintmiIOr85tdAjC1wHpSBXR
cBjbp9LY1RKioEuK7AGgX8aA8iyyXmjzSPWpGNYC1k7R0xNQtGLqZ1kTu2Qqvg+8kyvf6uK90k6B
+ikFsNIR2ufriNPXjG/phwcJv17ZTsd24emLwuK1jaDFb90UbMs1LlBMYtOkZ90ueSFhhjEBB1kM
vnao7j0FfQmUpZnjzsAe7z3X4oOYrb8qwVjY8qkFk8NiNNCd2bk5ROSlSVY396d/qvFMzESyb+32
i5RgR1pEjCBpwmDeVTcuKQ/yNgjQjhJTYi0s9RJKLw7LP6hZITdcKnT1qp6XppsPhGlU33qYz0rm
JeawYM6R4DrsgAMtVPfSZ9NGJnNnHnUSsJ6tFXyN6OHafNYPPAbPef5M/YeXKI+XrL6m8+4ymQyv
djwjqMUsVsTWz2r24gCKABxG5LaIwYjeCIJHAe0G435XbINmrpucFjeYUc3k1FcJLi0h1Zul/izn
dG5RJw/XOvnoVDZiy+DUJNBQzPqptkIiyOm+ZlurPZs42KvyXdKmdi90mohdSpgXZnswVZQ04a7Q
ebRs/J4YozYKcIAI4jLeR6zVoKd46Vy08C2Sen0JR5Pjg06uQ4tAEisIWBcxdUz2khSSwbjpmZA0
eIWD9lrz8UcDH+cEblV7DSOCUGkFViD6RmveQtAu5m2/AsblhbPIOjUOlQ/1hYKzBBdgC0PMR4yJ
qcXYgu9NrLkG+aFtN5J2yZv3xAAYeu2qlTTEnM7vDAxD3DHsT/EOIWytbQ30NdaJGAIGJB1rJ+Tx
JOBRoyZZE+SiDx9lvrHpMJdcrHnXr7Vxm/f7QfqQRKr3e2zP6N+TQT/KCz18oNWxZMAm2LhhuO6d
YZ6xPqaYDDQM3M6tqM7DOkjvHU0LetQy3XceKLP+hglpAtYsp2yg6DfoGMWQ5IcXvimdD0C4gczR
sfu2szt20oYOmP/uOjzoqxhAho7Sa5abfCU4GhSW4Y78TItpR9jtrf7YF9esu6W8MVUO2Wh4lywo
jPjv4+AjyacQay3umb9y64Wk0pqxPmzzZNBWREfOkQH5DPGyOQfZieqfxuZhAG5RlAuJB7W1zsa1
o630tHpGJytXk2fEQ0TJyIjvRcsXwLxh7wHX8DSkSC4IeqkRSexyQL0e7bqcA56p3zr5PKYfxO2J
KqfTFhKbk8AKhthymF+XjEX5kRi/p95liK6m9S5eWXqx4YvwURP/+FxwXmFYRK/dKE+lsVbUI8Ff
o1gj8MhY2SwIXhukVgk7fMPpP/bpiwavogrFdcDhF8aZ16C4+HY5ZkO5UHat95IMX7EZTrqAJktv
E7q3N3iJs2kPUCtOgIAfcgNEsV2eh+FEsmtCgEf0zh2Ap02QQ8ecpudghSsOVQjMUJSb5jwGtM2/
4sVGrs+4Fk5DbhOmu+yINaYgjbx3Byke1Shydx5XDkTclFKFD2O5tD3PXHRC3aiemXIk/EyNwdzZ
EJESj8o9QuZNKla7ZeRcC0hbUGTUzzK95YwpLOS08oVzYw4Eksl6tuQBz/UXPn0crElB5z0t+j0c
6RrjofeaEAHmQlFmin1xPJzvuASOGm5z4LdiihJ+VN0Xl7HpDpa9DpKr7MxpilJt2sEpUQ9cKlva
0iD1PcAe29SBar3FjinNsuJY0Ot1u3Uj7enqDXSf7HKatu5Mqk4gfhvOVtmOpZhgbPrAiIXLSoxb
MDuLB8fDFsgaoH2yDHLC9ohJDSaVATS1eGrUfN0mj5GWJJYkbzF24BU2gXFTaKc0DBg64Dx44ix2
MKhpOz8CKXCXzFXiZTRDOMAA9dWYNDAYmvITwWiV6mvXrsf5GK741nF/FdUXPyAMCsE6YaRXANpf
qvqhJCy5/VKGjSvdcms/OJsq35jtkSECUNRoOATqlxHVvIHHsjqF1UmVb8QAxN0kok+VImmc8I54
PRkR34p7M5NLx3bnz6VxAWS+zF+yqOXYxVjLA96LiaRmBqhd7ew02Iecjn+YHFV6kOh49Xcf9tOI
h5q2PJz9t3ZcRiOipQWnH3w7mXwOi53I5DVImhvpq1FVoWaGsqygXm7hjS4a62qg4+Uqs5zGyUru
D6qyI+DHC6+6O86dPJ+pUUiY7r5Duq7RQQupFPge/B0folhX0H1U2YqCVWY84sR6djt7p1Y9J8OV
AhxbWxrFmwbC3tGlpdXQmbeOBbPvHLMcux8nL7QuRPWKMGryj75b6QS4S/f3AzITbL7TojznXTyR
apvBd7OkzWq2n8D7EF9F7ayhN14D/5pHAJekskbC9Nnnn7kGF2JWa+sYB90wYMX61hECpN4XqnzJ
xXr/1uavTU0fmB+dluyewt1gqoVSLpo7/l2Gz6fSHaaYnI7prAw3NcQtm1cbzKhlcrA+epxKh2cG
FD2cZH0pKxwuIrqx7hGmphbtsAFU5Sa23nWDqBR0jPFmzJeduStoRcvqPQIfAnsPYqc2jY33tGKK
RXcRMZQD45ZyPnrt45tiQVHH66ZT5Q9k3zE2UUJassjolZPfvXbqwuk5C12jR2Yj0qpZdXxgUdWH
0VC0SI8R07GOpsQSQKBuTS4xYia7RLwzC/jIRsk+XyL8+ajgroaYhzYsQHmO6g/NJYtMNe684pgB
SZIMjkTSWxK9oTTjoJLTsUCyRxfGIXmA2RwGO1QJRTiVmR/JRczStepI9eoWtTYbmlXePQrRu6nR
4jUnIIea09Jk3rD3uTSuY+q3Rnu4tMFG+jbPdccAnmOUH90GPBnu2k4WZbMgXYVNkU2V/ctPEWho
KDxUHkPlxRgoFKNTA3GGfYvRsifvhEkxRSrCrJaXTKXFTiT6TAC62TfF+uqh2Rc6+8RY+iRTUEBo
K87Ip868CVeEvIAVBueGeSg/mdcfzX6VFy8ZhYnUIvLp34W0JqxmhCnS/WdrcNG1dzTxTQTirS+M
vi+SwGRIH6H7bdHOytAfbbP2PmKSkuimNixHbn/W1ZtlnTOZbgbXTqEjwwJI8miBUI6Rkr4jq1hg
Aly+reXUiHMQIQtKEqEA8b2SyIVbhslLMr4wrN6NycIzco6ir7V+pKZCNV2x947jTGe196FX0P7x
HYJCH2O5D8wVD5MQmyseLm6TbZfUM1sicxz5aUm+OA+tVguQRkHL7bvz3sqA1i0C/YS+sjNzCAAg
0+mKZi0c7n2/4uBm63upO3bDZ1k8nODL5QxSmGQXWKs0x95xzvhz8kNaB8CzzJ1DuCp2MZOAinkd
rL16JysP2mCiJ0b09JOyzMSfu9rE0T1iziJEbi9SqSD74azpA+mQaBYxE2FiFd5//fZvf/2Pf/vo
/937yg5ZPHhZWv31P/j9R5YPfHi//off/vUCSCBLfv7Nf/+dP/+Lv26DjzKrsu/6n/6t+Ve2eyRf
1T/+JfFp/vsr893/+HSTR/3402+maR3Uw7H5KofTV9XE9c+n4OcQf/P/9w9/+/r5Kpch//r910fW
pLX4al6Qpb/++KPl5++/bP3nOv3tMokv/8efic//+69Z+Uj/3/99/OM/+HpU9e+/nL8YuuOQ8qwb
jmPKjmb/+q37En8iGX9RNMtWHcuWDcs2FU379VualbX/+y9D+Ytsy7LhyIZiKJppqb9+q7JG/JGu
/EUzbMu0dVMj79AyzV//9YP/6Qb+zw39LW1IpocGUP3+SzF+/Zb/7T6LH8zQLV23LVkzVVOX+Z3N
x8s/Hqcg9cTf/j9RYbilm9NYjBMAx63Wm1O3xjVRtira0qAm0cAotVnWcIjCGt136ZsGRpQYkBpm
kjWOw64fckKDRDfu767iH5/1n382Q0fQoxmqapkyV9H682eTEymvq6zC4ZbksIybhpkeCp3CR+ma
keSdBQOlUNhp4TxVSfFwilZapGUJbmWwm0krw7GuGyNCEK0pk3/+4cR9+/OFM3TDJkaF2yv+s7h5
f3/hssIgNkom3N7JR/RaFdHI8tiWO5dg7Sl6xBokSqg55PPk/TDxckk/R4AMUuPa5m22a8pHHvf6
TLIT+k/GyjVM7Zq5QYYSnDaxVoQsh1XlLfu8ZLTW+chf4g4r5CCDv9e9Z0vqcOv2fjmXbGnZjqk9
NdskwyCQOxtN6fz9zy+O4zk0JqCoStzrf3ERFHEH/vT0GI6iOLKsGrquWZqt/PkiaFljuuCQ6Fr+
fGvZYzsTwW5j9uJbmbWD94avVb+ojkf9FiprJRGqoC4e4UXz0ySVHGxr1ymPUYiQ1/CV0z+/TQYv
yp8/oanqvCZwdniZHMvkTf772xQ00JD8Ennt0BoSZNygIcOMpq4HAmybqSXyWIuBv2yDExz8bMdm
GE9bg7FJbIi06XhQnopYzXbhCCpirDTCPHvyJNNoMM5+kLw7pbmP9f6gg3RaYle3toYUH7SIkb1D
6rDXJcPaD0MRY+xV+87tDeonYEBVLGN3TL1NFY7RLg9C7Sor6WrMrRzlM6NsTx9B8qNi97RYeS/8
EVVy2u5rMqRsGaOyq3Gyyx0jPDmR44M3i+nCh+qk0prkojXjuP8Xl/J/PfEm15AraeosWqxW4lL/
3VKh93qWdCZ5er5ffrYyoYuVESATYgvMxkFZDblxcFMlPZQCnKZDkd7neLrkgiZ7Y8Juj+oMRYMT
pnO3dE65nJX0NJw3/i16oIG5UGShux7Taqv0xPeObUECaAfLMbNREmQcYf/ndtBgUJdOGKfTuOjJ
W1DrfIZEYqPr0j52u43mBzDOSsj+RkYEHWnGDCPTViteR2vAzV4NFLy9S3hcrjLGh0Qxi9KlrHEy
s8zy2LZ9ui+T5ByMKCPQqeY7vwKAzLEotntyoozG2/yL6+vYf35YLVU2NVVWZcu0FNvQZFP+8xVO
7MB0egMsitKF42ToTRhKtbPr8ZRDZ6NRoAhewUBPJ2P+66q+M5VG4s5B1Xo1WAT88JJCY3fIlTeb
gYLhtsk2Nz5K9FVb109UaGc0JIdunIaBY23jSoX4rUjqpM0VdJpIEox+0Cemr+Ke40UeVfe172Ia
oGOzHhVhGCRZmNR1xo3ygFw5F+ByWkuaPw6oa/ICg5CyybRSxdncXHwJH2IpS0yOjZMd2tc2ZK4f
SW+FPJqLPFNt0ELhtazluZcXKyidUWKiFjQw2qRGsmty5AzDtPRD7Snwy5Mlui4+OhlFt9Z6pRJ/
hCVJr05+0h1zh9PSMBYb1aziCZG4U8So7zGA49iOz5HvvUhuPyGZz8eXDV2JgUXpKdcqKs+Wch7z
OH02HTTVgt/ljwwmDBW1otkymDpVST1vRpbdKlJ6kOXfbRfoN0UHjgO3TGafWI+Ogs9CgvcCZRDL
UKotu2CkWZcZ9bZM637mx6R4hFmVHlP4NrIdngyCuGypHg9uaxNIrhgMXMCLUbGmfAhWAUEYAnBS
mjZp7cagThWvwzwuk9cGTr1LKDqrcthjXVIh26d//GKoMspWpCMZWCoa3Qm4fydfWcRGTHpdxQs0
egAJPN07VX4IG8rx8701eOJMrRgbJaucRVqkB8NQbEJCSVYxGtqtto0KWLHi6kXxx28/tu3PDqgT
dgEjMdVdJSn+/ucX6ET6vB+4yh5qW01pXUQDwDTwjekUtmRNPCfocLnMYsnNKFrzPtK/9Oglzzwx
sUHDhU/Y+8zd+DV0muwtMCq8WnGm39wEoj607+5MEPtETQNz09Ccg3HB+D1VkktVSpxnUKFvLHel
xKSfEpnwqjd5v1NaUyVzEhLHqK0tp6f3LNXNJWhRIJmF/hIVOdq6mtzqAAVAIXnVVbKcWzV0FiOy
sZzmhe8zOmJK6tQGztl6RPKHgczrs13RoPKtDc0BMB1NWT5twJCj/ZzYxkCaJ2kFo62B7R9y9VzW
A4ovniEaDN6jt9QM5b16zAYlPGgaB0dPap1VljZIF+vy++d3FSNY429/wPnVTTs4j7JPJFlWaRLa
cPGLinVX8xKftcMAoybe8SJgFhhb6bHJgoMaJeneU5tiU+gMZ4rUd15ARcR95EzlvAaw54z0MJx6
X1emiZM3w0ffp0jLK7Xlwe494FgtPnFLl/El/Pxi0Db3tWeS7po2Q4dcNDUy1P/6pUJbsGgzH2dk
wc1pK7QNatTd3Uo2FyEfBYwV8gCpLVzAlDQQnZjRmaUqm8j35WMo8wOClqfvFDfu0nJ0RKJHKai/
rMQrZz3m/7Qbyr2VFObaiHQJ55WyUQpFfZjtDK5Y+x4U6NfVekSKoPMCzEv0qZs814FqhTh2xO+g
ULqTXB/6Q6MZ6C3b6mhrgbIJW2Ob8eWPdaGvYfTgTYnA5oXR4JHdNxYTILXqQnHC7yrBfkmBk5Gc
Y7xkgX/GWtU/p8Qc3POR4CHVHQzU8yYFmiw35IGWdb1qyUxeKXY7LOQkmaRSFSZPxtidqpCJnVfr
8rwHuxI7+atcd19KWb0HalftfY1qRTFSqkdVjglM48Fz80Q9elW6yvuyPkWBWczNEsCLWp3AAMhV
7ZxiLz+lmo7W1cnqQ+vJ9aEc6DCqroqU10mdVVCHkEE8e2rpobLiaA1YdUg+MjbhTR+66lLtyIeF
5jQoeBocGllxGwR3w8CFL5lMXHUL3TpiS/9OkNXwNiu1Or0YbU2QkkZ0Ri1+GyVwvLPRtk7OEHy1
DXcvGcc5lBhvicTrLLf5sP75pbEsda5kRXzTagcCY9Jkm76MaxhaWCw9yynwFg7ppO01CotObzF8
Bb4z1233IcNS3Y5STaVnBoiepFSfmvANF9xlj0603p5Ua8hWpV4zkh2T9iSFXrLx8O+2htmcMqlp
TlZC6R7o6JmlltFOq/vw/F0Zumkk9O0hIzmZ4nPdlW3PyIzt2mlAjQWSTh9LEv/78/uf/7NTspxt
JZr2WePRCw0IHhI/mltF8abUX0qtaB9KWAnOXYdlU0e8XaobI9eTSR4w4k4oXiauragL/Lj9gbeD
0Umk4J5Vegm320i1ymY0S0IX03Y8dJtyiEiDNAfE1KL2HGly2jGDMt7jKVEB6pZKp5yPTXIr3NQ6
4gGwjk5s47kb9c+fn1MGttGEdnKw2EierYrGkBNYmFDbCGMj7ndFreEBdjmTzyznEJnCu3fB3tGb
VBWj+E+Ozqu5cRyNor+IVYwg+GorWJLlnLpfWO2eNgOYQDCA/PV7uA9bO7UzOy1bJPCFe889FBWL
CB1LVGPLwKG/TmdH12R6uQ0H7MJIambI/ZZqvTLKmUqw/nl6yOIsuXVySPS1YMqb2d2CqwFVOHTk
ZV9ztjNr6gte7fxt7dt7rrTppVxXlqUyAS9TyufOAq0r3Rkgim4o4ddgBEO6bjn03fMgM9io40i4
OriQEg1dPalzNO0Df3pfmk6eQyv7wyCj+tC2mptYBujYVhaMHS6eQz4srwntwpW3Efxa82/oPPGp
wpUFErkTT73fdQyLXPPqRKAvG2BIbjT3h///43XvF+dMbNWHmb9Hby1wOPv6tVDe73YppvtkADk+
1tkhkACsaW/awyjbZ5eSdDfO5T+5kto4kmRTrsRJDwI6CC0yt0q3oGpdS/+/YG7ztyCap30e4lrQ
jCDNMj30U6/Rx3TyGleqJSmdq4sGpMqAVGQzrMuSWXDno0Ecmg2I4CaXtcMXCjTqWAX9S8hFeqZE
mZltM1EfJnXvJp3H1BpjV4dv3aoAe+drCcs/D3+HgL1Psy/5MwtKxG4disOEPn8eQVbHtFq2Achb
13D6EkrTqr/Oeanel2G6mql9Np7DyzJvgOI1ONjUhfql1UfpZbj16a5x9GKEi4z/KsrgI+Cpv/C7
m1aiTGwakSYwXHS4FAxcN5F/PHXukSn4NSgHNjaRV9/YdfpO+PdkSPYSCECsbCu+NafeW/g2g54Y
qd/MXergSXdAPdMTxmM93YseHGcxAOReu4VMeArmcEXU4ZbiLhxDfL1DQ6QWIqxZpwdronOQMGlN
RmbUY/ZSjF568BOHIrZxKNN859IFEs9aCwYJHmpnsucqrufbSEeGem+D15MnB/7dt3jB3OAwIc90
c+LaPBAwFHe7BdNbsmpuATVtWvblt6vc8gXWnUPMUNi+MASIWTIHPjJfPsoI9kOvUOC6oLsMqjsM
forWFF7nUrlM/lG553PzSCvCbdhDBewvunDJFAbESDu/a3zUcoVNX0XjJIxTvUPWIc8gtOt31OBF
iurq37gQkSLa4sFSmPV2bA5+mIHdaFj29xH8MzwHtvpvTXD5ZLl73wTrW57BMdSthOiE4z4drAU2
Xd2POGpNzWMZY8eEwmzFTVqCMRwNaucEuDUatb7o8JRDH7pLPXgjVT4zUgX+rnLKGNWjwuh/90Ey
8zOkJffhLzprTskZLE9h6sNaLf+SRYFNm93b2vU+ojpGGIaV+5I73XUkIt2fXTyLAVT4qqyvmUqu
ae+9xwMZM3MbpUdtysfSi6N94YufkUNkn/sMqeeeam3xfjUB1ktu+K9icfCKtBG2t249B5JNTJgC
N2nC9azFgB+Xd/V+qeYno/7Oon8okqp+XNS345bySF1nX+sGwun7yHNP+qQFLgNes0kM21dWvnOH
z/qaTlBbUy0JujUFPEnBxhNouFwwIYbl+i0JOTFCp7gyjcRlmUVny3576SBOVxUtFHjyqovUYco1
xIUhePEWGjRF7NBSoZarIblwXA4nrGFYcro+ht/YuA8lKRbG696iZNJkCgWkRYz6XDEwHCce56C3
ht6ITULjMWlslkuWDfY+5qh3MSj6IRFQ87L8I98cgDqWZXZ/RCgiFNFx0l9MoEkNoJgsA6c9MeV7
L+rwabHdepjGTabcJv/KBeH7orGkGJJUG5JyqgCykP87azGsaJ2LXVpynLKAX0fssmbx5LkjI0NN
U3znsipCMZaJXUaLWa3dW6b4adMKv2Ng5H1SQ2VYvbLfTVGJQ7w/1/XE+qwr3xtYEq8JBl9RuliY
VIYKBbgHIsTvecWPZTJWqSJnbGeZ5bsAwk5bT1Q6ukVBF/Pll7wkyrllKIy5ZHMvryuPcMJxdBN4
KWJeLm+RpS/lVKwXoTUJAZ2F5cT5n49ue4wT50+TNdVtg5MyiTRuBYNZok5wnzI9/SmYLcAFidrL
YB2IXPK+dSqicSt82FmYPjedeKaocn2n/SND+Wzp4Py2+lzb+Lk0qNQDS3ZvFPfNcZFUIxLe+VqG
zdVUDGJrg3+jmWmm1og1spYMAwfvPp/03zaZuRppqHgm0UaOY0sIVo/0zLZQ4GNCsEUiZ2JoPoOW
sGpZj7CG0wro4oDZ1Q3xWU8aMXZmdshGw52RD1FJJl6G98D1opdsadnzrZTYIsjCnWxr5kJ8ciBJ
FHeuR2oaCz+eEII6UNisOa5Ir23Je105IhpV7iQUxWmbR6Qi38JZgRS2+A2kiGdirfTVK1MXBZ+6
qAlS7zLznUX9AvvOBQnEvILlX9acgyH6xVAAYfj623gWKahTjWiynFPlxyCRIzyJBpjSHK7jvmE7
1UWpemlIt+vGT2wA2W094++Sa/QsU8rkjDru1vrgjaSf0t9Gm2VGs8hKCepVM2qOJTfLDUM7Uu+s
BzDW5XdQm5rBt1eU+GpAwUMyIHEA/G0Vo1B1ZvTV0t55U4GhtaZFp33e9XJBN+Cy6O2X4qvHwDlN
3feQolMaYQSLCUdukCOU66jQSS6pT05gTjKZf03Au7Lo31LgCoDK0GIjE7I6tX3YApt6jdecFmYu
7a03eVh3wIB3YBV0DpJtjD4rf+PFtnBWlDTH0qV+HbEnzho6llySlIhUKBMMFl7iDptACQpPKk/t
asGR4DdltFtTzrK52Odjec1CDV9J4beUMyP2SHMVSSwxWWmxa7dBcJsZ7m7hDCdl6Fm6NuQeC11M
FXZUO68jIaLp5a1Y0hyVW3TymAIKkTOBZN1QSJ2eS+DLXZRX77MXo41bQaZVAVCyXKvdnLcI6FHj
unjMe3P0Pc8c5prfuq2THU2BuTAaEiiRjv205bf5QMMjon92WCHPg8wLeM72cwFSfu4afnc4GW4C
SYtGpNhu6eJiJ92VK8UX92tYzjs3GId971EZqdFf9hFl7YzsNpOdPHhVT4hViAVgKrASVNtTKZra
7mU4/fbr6RL60IEKjMjY2/kEWzJBpUMyi6CYT+wcpHgdFi88hNIdeeHArkBW8s26z6PtQGNoHgIV
BMGI1rOGaFF+iij/dp0Y1Q+mhnqJX0mI+cibEc3B1HR7mqQdsn/vEK2xd4cOxXH8jKshvYbcDweJ
apEcapxizcSNGTXtvozcb5/R1073Hvo9sZV1LmPuLFSvAzIailNxU4qEFLKB3mGlDoK8JAPERmgs
5wFHSiEJgC2WXcjpwOGf0WthIkh9ib433mKHLFlSdaPvZQk/KQdvUXXgBNUcN9faDW6XsfF3ngPb
FCmngx+AM06G3uZRGC8GjvGtyJDpN1MM+S3gTq0LIlpLrFw8p4hDyT2cnOk9SEoYXxnvVbTCefOM
2hmSyCcsLtSzghCZ2LkzxLcWyOM3Mcl0blMD95Gy+h4MxoNxB0pIgA4sc/jT19ZZsW2t+9rd3AIz
48CQo32OWaTjSL6tOfjmlZtwiO66gAFO11lgCrnhTxhIhZhyHBXLLy3nJ7djupIx02USEz2bhVAs
qc5F5EJCd3y9p96Es36sfHR6HaIDgQmYJQGQBp8EFVmgkiC8wCISdc3BE2v4wBh/Tzv7lnhkzJIn
9md7lLR2jizTevKVmJLQ7yFaDNDyrH2JH5NErnNT4RwZFKZ008vm4sGrukRxSsJ0xgHYz8ldtob9
3TwOPSXMuPPSmFbMTy3JPlICfughy2ek4fVldQ4H/Uvz/VxtgIsnyk+pA7+ocMhStwq6+1KX5950
u8zTqHP7BZ2Og7kLMuTJc4mXdbwzbeTyEfRhhEsNCHJEe5mOHMBkAzlPtJfFnYqw3IWmkhtTIXYy
78Fv1KlNFjTGAokQu6QnK0jtthHckeEnExasksgJfMoIUZq/nah/oDnYuXDvcKYnkssvn9o/xvVA
+cjggULjhgTFQzJc8zH8Mrr7E6t8ubEHMacRgqZ9mcd/7cL/FFT1nRTLSY7zaVw4qUX7NuroL9XY
i6L35GKfKvEPPGHOZgCSGdd2EO5lNn2YKIUqg9FP13qgUuCH1LZ5Y8WD0gA8j5gXXMbuCoM6jX+V
i8Kt7NEfR+W/sS5fFu3fo8cRafPQpdF+WirGyknJJhNvf8dYUvztZrJmJo+1ZYaIxkuRvbnNC9Yq
y/tUV/bTq7eYAOm+DYa2JVpO/lLh/KRc2Plii+Je0azV/Jgq8f7LQ3xwcMsZgfHccY5Ptd5nc0oo
ipPX+1zwIcsl382GS2jQoHaXESRPTDwgQxOt3Pehtcz33e3FKB7Dp6ltunOatkheK3igAVF0Qzw8
OvVzmeJsieeeuJakjA6lnKJTqt3XSjUfVewwSrYdUtsU8qAscN6XtBWj00MnDIGxZ+nwV+nhIy5g
IDNk2i6/kHNlek0b1SPOdVC8keAdxGgbZYXQPfXIXBydCq5X1J5nk4NBm7yfpBDeNnCBggGMaTZk
JJo701uX9ZdiPxzG2AIo/bBbZPshERFsyfCbWsce+vybddI+mFGixH8NMaTAh4fwlDOW3y2F2iNJ
wAHXU5c68Xa/lg8jVeypnNnBNdwuuC0BuuqK0rxKbPpQ1O2/YU1Pwpqr45JqMUcfA/NzPk+HDyuY
sbCoFEetm0IQiyAAkTP5kOZ+iyYqmJ47nUa7/Glx2/FaZVDnNP/fYYEjZPIaCCqOwkL/nlNnt8zS
PLrGR4BMWvvsMk5w1Z+U9pTi3H519KfkwwimGOzp96kJ6zvYHdMuQZRaDoW99szCoTbQlLfIsKHL
LJfapM5nGqhDHBhqsNQhERvEUoj2MYkXIuPbvDjkihGwhoK9+EV3cLwhQ+M2FjcDK9h7M71zl2d3
BmfhgJY1Hr4HU7wLGyqy1+mvskwhhJ7n4+p/NLIEb5yjycqmnkvS8DupcvRE82KLQ4wKhFNihExE
+4qm6ZFpdnFc8z9hzzx17JWCFAX2mi1E3Gh6onRLUFsZfIy+0feBCKBn1hgx96IY5m+39G8DRiA4
gQh9aPr8NfV5cYATYmF1W/kax9V/BoncSmLYV1mlF6FWVFDzRcJaZax4AzF3s4d92YUw+KF/HaqI
BEFPHdpCO0/hitwK+7PZhUv6YvxxuvRt89L6LAASQ1SlQjHLW3q7TDXqRGuJcUWM1xtCQbO2hWXQ
tcD3VzxfgRrJqVrKnY54sIKYjGB+9edEbC4ggj+n2D2L8T1u2/ngKTT0IWxRNi0JkwVJsTSB9Oqz
+IYTC98+IxU5bhQozQXD8RuiKtv2jGn4FWRdceeHUQoTyhzW0AGnhQxS+fim5Ozv0O38DHnS3tWL
8+438UM1TtmFpTs5XQ0tQlMFkGauwTgi50KnOhFH1lkX4zaI41QeGsKLO3Z+aNNpPeo4e0vH9KuK
861iTn8yxjKzzz0/YcLuHU6WiErV9Z7rKfpqQ3jiNBSAR9ADOiPiwkKVVOqMz9IkgkPao7Qh1STx
96XHIcSX+7K0DJ+pY3+JmNqfTwzFg5TYWpNiAlcBRc9XaJhbiqu3MTuEVszKAqZYKxxA3UEtWGYs
CR7wgkF+Knf4W+n+Q8kOOYExR8PoCLeWb45QuIGelTtbgIcuUlSe9UR1Ymd1mabyTaTmhZqUrFz0
xtoFuTawrztM3b7Z+qdACXw6/kQVh2QvnwnDbsqmoRyRpJP1yB/8AHa3XzbsPMMRa3ECMDEaMC9l
HWKiUQXzY9Y1TMfKla9rAQ+5pRQ0HLp2LdV9YEpCiTWpY0t8a+MJ5J/tYBFLMG2MVm9SC68Z/uuc
TrdZPFWHykVvnuBRjZ/jNPHuWkYSjCXGksFsS5FZivkmmdNL7/mvCCCyc+2wqQyr7C2hGdtFEYyr
dcHAH7Lk88DI3BZtSe5tMN1kCHF4f8PbyQU5yY9ZYcp0p6vHYM/JGeMqw6Rxlq196hpzzGz6ssb4
gwNdH0pkwDcV4+rEK9ZP51AblCbM/DyDoYx25MU48W/hDz8cDYiNDSmkEyOtm6T2virmyrfR0Kh9
WV68mL2y9W6CwmeU5L4tQCVzh1GAWEKFZ2H8Va3TfVTp9HFebuoS4TaDUCIdw5XQc64r9L8F+dDn
4tvvKu/YRe0PKGPcBI6b7rXNnkeORFOxX01iQh6GYWtdhAu9mOqVjegNYjaAlbjEFr8+e0hNq6j4
yQJuYbdgBJciLZ7RMFYFrZjNMcesHSpp3/Ly63oCKbF2I10HuxTMPQTaTj37srhljNYIJAFVti6Y
pebfpdvsx5ltn4z0cK5WdTFLVe8Fj8PZEi3arqF/LkOCGcoUJyP2kjjOKFLAxK65/2d0Rl40l+WL
SIHkQAvPWkxW5qQbPsky/EUBB5M7TiLGvuN7zpsBFI9z0l/8qx9gOty1KvpdsZn+yGv9pA2BRbPn
QhRicIlEFj7BGGBUz1wcUrZgRRhz0KjYf8hab6uNf0WB05ymp3RQBG0y4yJJDA+myUIuajHxbaA+
FSF6qi6MAxZMln9Z44Aoh08YWXMM1vuYXnKfgTkK2vynZbNk/ISRQeCQTjCEr02oLzEGqf//t101
VYzJYfL2n47Gyx6FHWJ41kfOVA/naOnFMWmq1ygvn5WqY0omtqNsWfaz7Ly9lwzOYQUtqxhnSZZi
SH9vl5JV+ogsp0+AaoisFVjPCnU29ScVVHMZAYXWoWvx2DF0WDF0rLNzavX6J2phMmUuRTuhDODu
sjqsv5RhD6z8Bzp6PSXXiubRE9nfvNtoiQ4xIgL5QcG9txt7D/DtyPwLDS9KqA5zZoIp1AJz80Bq
eEzwGYW0zrMWX2VG1gJjFu6ycY0ebVYdRcgv3S3SQ9JHDM3Ea14zEBIxYu5Nx5cMjblzxw3XhhzE
SACZKQQCmbQTzu6ZhFv6WZCH/b8OSvtg8fQVGVvFhIk0//iXN8h27ylnPY4SJEYHEJvFJOZH9r2n
/q1TOca9DvdKBRO7GmFq8TRxmPyZquZJWrKBm2mm2erp5ZXgbWOECZmEN0UZUIxjY0ldzvUVXZhz
P8svbTC++gpjap4iH1d6fKxmdByJ+K82TXyOe/Mnw4XfGixWXKPnqhfuNXLrj7XnuSzg4KLPyKeH
MMHk3zPhMO6IPdXf3MP+XdV17TEZ2Ph2TyF11+3cziT9pu1/akMniU/jIEkZqDxCkqr8boVcG5X3
I316Pn5nETS1JUUAV+T8lUmL/2ocA0lPgoTAmMTvEtY9HoFGDDti03nv4NNGS/jT5zI/5USa7Nl6
3OqEfLComB6aiBxh3eLlxpLTb3HJsajXQ2wdj6yT9NLBpzuF6LCTCgVAED02w+JAXWVEJjPqKVVH
2bOFPiM57lkQu2fVE4md91m6D6zdj3i+/Dg516N3004+wojQfIqG2fHaDrfOOjwggoOm0wZEnsCq
lBn2D5aY2AMbJsKepOl1wwmEsHSbZw+JDmRwkkMCMcNXwhfUO7QdqgpIH86T6xBzlAcOCYMFRlhj
Ysw9DcbSRv7SrBgvwxKfgoj2qvNzS7pTuxcYOaqyePKW/DjzYB9cbe7KlT1bO2vejbXaMz6DxWTB
4a1+pE/s6yHIrETEJBJFXIsrpL90yv7muCI1vvKfm4ScMlcpPF9tFOyUlj5pTepBVZCS+c8ItWeO
CtwTgjIgcBn3ipSrvaSmNUMFysaq+7L27YFJQroz70sp3ggd+168DP/0GF0DJnk7ZE6opZgR307b
VNZRhmhqmEWxHE55tLy7LZhyVnMqK5iLAxNI5d40SA6r0vluvJL81VywiaWlyzUcJbVIwzzqTOoU
iogq7njR7XPuDE/sjXE+6vJPscrHZKNNNACR+eDsnsf2pQ3HqxlVsQtcjfikYnIq3G9ry6elddzd
TMeHsJh20A3gtpdLsUvd8bqG1KEZjCbXcXFPjmeSyVlfJbiRHSKlUUq9BHl2bBXGNSHWr5Evus1d
vNVf8dbLkliugc2GThDjxp4gkdU+NpCtVR2M+hiG9UFXete2zKT8uX93Vjjm+QfHBAmivb8fWCGe
G1NsNp0x3FuXw6oYAZr01zBMzpVlbWvKnmtsuQ5e96twgvuiwgHJwu9tJV/1HOr+Mi5lchIq/k+H
JXo4j0K3ZlYOcxBnKgIRIJnZ+Cn8hU5Vc/+WhQQH1dsNC4m+JgumU+MyFi+Ugy9FJEeklciLnfAl
ItEoJvprWVOGvx0gcVPfuarjTEK2dUf/e5uiNQNwGZj9LJD2uAvGI7YkGihK+xS51Z3skz8UZ+vN
LLqELUmN2Iiii7Rm7gFvdbtDHcas9ZyDExJV1zfLejOGPibGAnp/j76wT37NetOebZNTlN+EU9E9
jYjyGnQwXEYNG+l65J6KnadeQGsFII7iDyuI4h5DQnAOGCMxbnQuJuw/syzhoU0yytQYxOwqGJ+g
gykw2iAFIt07m3F+smVbMuqzOoGXkubRXZDfyQqpYq2dv20e25vW7462jC4Md1I6AW40jaqe1JL2
0WPsmRbY7McW92XJcOBSyOKDL5+IrcyFnDaFLzO2K6+BYsKUPLyNkD7QfuxSiICICiuIgbbKjyxH
IeqW6W1piSC1c8FLGtYQCa7RiBxArP/qwrtyHgMWQpzJO/BbmfhzwA2byow4+pHecvAw+RitqdrJ
5ZhyfHYZON2u+Svr6KnoQkBBhqWTXhAikQOhnfJ5GtbukMwFa8eQKWTlrOrIiKd2HXxNjXhiIutp
TOSsS6stt3ZgIuxNG74DwFMaPUgXf3mt2DVDpLoZ8qG+cUpcyQtQfd+ih/JTYD2UUPdlNMPaF9mB
Du7NAy5PesE/VjAl/IlmREFS7VBxn+mjwtt2DuJbN2v+0714iy3M4TjgAWTpeczzP0mIFKEYXTb5
ldwgjdkIeB2PuMdYboVFwRh8WiJ97KsabU+QInRVdtj/GwMSnhtyQQZB/uUsR/CUkrAAnykiux+G
EYlL+gm4j325va6hBrPuMlITabdHfs4dOhFKFPOZw8K8i2wGZ5Vzemu2686cPpe+h9pqK05D+d0H
9j7f2tUEBfU+hiTauv1FrdVPoYMYC9hwWIeLyQm175BMI3H5jzCuI/vMXxRmSJTmGbBTA1K/MUzT
9LMty+9smxVwHQEGRNG0S3vN5iV58Av6VmQ/7H0U9PGEkAkm/92nYszopmFziHrG4xmMsDHAE9oM
IRoFv63vwukz7UELotduAZLN3EEJgIegvdiCsrRmgTTE7kSADU6xGnOzEvNL68YgAoZ+Aaqjfy0J
66hucchySIZ7B++EcZh7OgGFzyQ+NEtyVmRfKv/xB5vdzTNX+pR/L2Zt8XRjrgji9C8vYnRMi4QB
YYUVqkPpQjyE+tEdnvAcb3IdTo+tdDBTEjdVgc6x0fjClcFBp7avK/R2ogv+LjFgExobel4U6JYc
YIyLzrTtnsf1vR5y4sc1lrQIMOUShoA0+oGqzNuzpX8e/PzfmDuXFQ8LSpT4p4G3thF3xmFEYBy2
aBV82nnL5bBj7Yt3cBsiu83fsHnuP+rwH2Kmdxge92JmxmEbAHOxzP6w0puTHB1tOf5ehoRS1VZI
7bUqEL8nANhmTP8o9fC0BWpXBgJNrcJJ7e6zVPLS9NGfJKfUxI50Vy4iv5VOca23gfjQlN5hHsae
b8n+qClHFZeqLwJuxN0hXvnAke2BJ2cgORL9LUP3l+nhdzWBpbzokn1pkay1QnwrlkeHSayfq0Yn
YJlyOTUK2N6WLRWS92e0w2OKFNHr4/4UdaiuGAN1TMHyj3TsDx7Kp53D+2lS1i/jYj/GiTUa1hKz
f0Hi/NV4RDZUEXlS2qLdiy1j18UNz8ziyX0onRffFruIF5qMGzLr/78PN87y6g32dzVijfPKmCTF
sf/H9v+D3xpsBvQ3t4ICmr8HPjZy2xRbA0jDW/vRBcljUnoPeaww5yeM75ouOrWB57MU5AEMWrc6
roKGlhVvt+PYPTsZSy7qVphfPQQvTF548qf8hIn4o1E8EXnSTbtChkRCUJkcDZ+H4hDz5yK+kspR
BMQgkcTG3vTtfxMX+C4ju6r3adPHZP7Yjtqb5SoDcmXNFHErstsJ4uHTD7t878nhCZaCwS7tD8zX
xrr55bQjkmHCUteepmuF932EWhFeW90SRwyPb3ZCYDABcbf5iju0BQQ1jQ+lzH6Iz/pmWvgyjy6R
Tpu2uA9WYnjqgKDyqxuU22g4VbslEsT8CUDhFlmSGlyukTb8jry3uRXc3LF5ZqM1EiQzvxTyGIUi
u5dSHFJ6cqTYtHeKKOJ0bt7jGAO2ifKjJOS274vLPKK4blTOq0JIeRWve+V81k3zKlsvZuoMrxh1
LaBRfSlXEjNssA9jfgLwQ/1e6/smw87ptZB1lCGqL1OXpKco7gL/zu/0jKyMntIkOiHgAxtzGz25
C9Ia1s9nl9/9WouzK2x2SJoNeeQx8w20fjd98I0KjKM1T7j7yUWO8HKdS8EuIk041wogu6yCGJ0C
nQChQVhcXej7CbXcQI7vyUnmbUXECqb3nq1SoFnrvDy69CFeiRs9o/wHBgalsrHMLVJ6iFbETw3a
+zCE4BUmuGQDoDIM4JmZrrzWk/jWA9SCwGIIjbT3hlOAKqMEMKHKFyxZLwVPEfV7zxRxfUv9YD91
5Gn5lukJLqXrzA4Zzz31xdoyatAq+9JrLg6zXclUKT9atWc/Wp3w8xxXtm6XXvpn12PkJvApUKtw
uQqpL/VQ7haHDO4Sp/ZmoIIdPa6A6+Kqv+BBbZkpTY8dsv4DonGOP/gRmuopcpc3n+/FjS1iXqtB
hpDdRB6X3LUxytdeb2ZdhyKGe3Cig1pyBP1c2yYki9BTrIN8GsqkGb+9YBXHWcIRtAuy+IkqlKu9
ctFdLxnBkaH8rTMg96XTMPZWLZDdGDlA6Y0nyZzpLCL3GpKf1y7s7jUBaHOZf4sAeUu3NVa9PzwN
Hk2XZD0JB90Hj2nYWg3dfRzYX35sCcXF5zZlw3IiPP5Lp6RsVEm2X8eGuvlAsRcv3rULp/EgnRIj
IdzccqkUYH+SvnKn/91ton40vrcjqeg3IjLdoS2JwJbjrgLc46/1cl6bjzBo5sNU8ovGavAkejEd
Vbyx2Jv/DO4e7Ev1eyTXVzNrBIAwccbV7W87mjgEjfFpWog1qNe3IfRf17UH5KgodNph+ByW5GgL
jNEaPwdXwj6dvY88mj4nrVnbuc6NzZzupAX7pYmswTiPP2K//snD9Rczcgg4anio2vlRpuQZoyM+
YCFKbyUPJGmufAka5XvkeSDV2BK4hNmUuj+n/fgZxdF0RRWR3K4Dcw8ZT+BtYOfXa7D3kxBY1moA
yZjiZUI7zN9f9rJyqVPxiEpKiJslJKCAkx5eJzxWf7WfVFIYxrjIui0DY3IRbxNTkB8buyCT9H5Y
vHFMFQqhFrE5HiRmEWyxhfOLVzDsZFzU3NdBcjcnD07PjkuMuO/c77xqnoUixSacmTJuKR390i9E
UPX9Pm1bB/Ka8ylwNx3CuP1OcsrrQJbXXOqTboPwPmGYchdZVv8reB7LZcwIKalvY51Q5IfXOUVm
P/SQlDcCkUgElYbgAYKV5MUlwVpb8tIY8YJNGyurEWB2RIw1cEBKRLm6dncNQoLMmdk+oTG5RQbz
NxjkQznySAtixUO2HRsKAIklQjSkp7tYUyi3JgPkst3auArVLaJQZhCSPHhnRgIRKGbuW1R2AUOJ
7U1BHgG5OjLBBe8AGJi8mtnr+NfiYT00Tvcd1BOX/I+IAQ67hkQxgrrACXcFzNg4H5nrUzpt5XPt
0Cs5lk3GWBZn2QFzGquFuW/4FxsLqBVjrwv9+x16/XcWNyyWQA8NCnFi9ZTP5iEfIqpAwiFq+4A5
BcjWWjwvTRmeg658nZwHm9gXsvlaOqDikqtlIyumR3qG+NS1xdeMuOVkVb+ve3Vd1Mpj2ufuAb0F
qYMt6LUlNM5Nu0l6nOBT+TlBoIk5dsSxYzC8J1+2qwwtL9ycCmHjPlL5+yRIxJhII7fRR4Qr7FhV
nNcJ2XYymzOcc/axQNrJYdR9Tyg0h4zXUazEHyCsjER5V2QePFBsijdhrXnRi/qlziN2wSVWtjz+
XVbBXahAHQM4I7ZEruRKkoAwWvsdk9Yj5HTJICnNDNO3Z/8lLLLimUkQ758kKfy+EEBm4rI/pAkD
m7H8sMSf7CUUSZ9Ez2yU94FFXFXJ9jRNyGxYWu7zfBrvZW2OTlkDzsbJhtAUTq8p+AuvgieJnnwB
Yeum+U4y6mf4ntfnpX0v1tFh1Sd2ssnJZ0cE6I15sHP6/xu2H7vUIzaK/LdwcC/oe5q9ECX5AACa
C5NSga6MY21Xn/KwueOfoYks4eq2ccCcZlMXawuQqfK47Espr5pqfZPFhLBLWQt00/ischSzLFO3
bakm28tCY3IwSgTmtljw4iCu8KldPcgaY/q7Qf9zGzriF6aXBNG4TX7iqA4+BtZrAXRdPS/RsRqR
DxTrcnXG4ql2Q6Y7PWE9vIaP/+PqzJobRaJt/YcuESQJCbxa82BZkqdyvRBVXS7mIZnh158PdZzb
N+4LYancbVsSmTv3XutbIxSSUebJqvdasnndENR1qg6yor4p5a80BkrWCIjiwrbJEuriQ45XdJPo
jTW25XpXYzPYDAW8YU9C3oRDn6TmNg+BOLaA+2cfWoWbLPNK3jBP8UJjBxOXsvplAlzKJKblhBap
EdjZid8JbaVjFXsg0ROHfAwpHo2A0dw3VtWfUJ7sCr/4R+NWP4y13IS2eHQw/8E5cW+p8LYNW+vK
pMB2jO5X5a7nfpmt126DrHkUm9430A6PFMiCHsnTlL8xR8Onv8wy9VT/rnNCAiwfbYnUVCcyz4CC
JdVKTL9JhSLwAG8UzNG6ZZowfTlVXSDqqjUNvPQYdBVCE8fcO2zaZYuzo6QJvmkcn0yzmTljUlKe
ORmglJxKE0s+EuDIWJcCao/j04FFTEjk3CC2AAdIcmsqpIPCNrcGVOJ5AXlXrcau1GQ9YzPSBkp4
Z46kpLLQm1pm+YufBteZumQm+TUcSdIDS1dNA6dFftqTkPEz3pasQtNopTACQw10JDgWLDp81uad
Ka8l3T76S0QRoKEYtlUXvXe1+hul+ooAwyTUdB0bfX2ZSXmtWBWMAYGpP570wBkiJn3FtjdRw1hD
RanJXKd9Nhvrq+r58Jh825x0ZxF058mw6pfMAIwkFKVY2tY/ROnJTe3Hz7SUyc8qYQsFdPK88Q22
NXBUg/rN8PTdYtywC2wX5UVqE4+pvxNpRwcb3xRnYWtHTk+/pZmK+3AYvJcklUDSEN/jePgykI4h
J/Ks5JLSBll5k9AbM43SSygY2Y5pdBVG6Nh7o8DaUi+u0dn2FKl/dFXSpo5eCsVWk4b+zulL3lc/
LW4DQURJ25u/ew6aNI+iI2qTCoBqgIDX1rch8Dyqp/RW2u1zME76VAVtU7HBTG+drQ2m+/RHGNUe
2WL13ggMPCXohCZBMG0WlUe/MJgghdZc4NBr/ZADKzgogq6/85QMOMefx+VEme4f0exF29859dTI
AoYCrJOIf+p0aJ/mwR5fFOb0S9rKnxBQzSI781nODl5a/4MuMDxMznh2At+4MsP4XakRS83yqHf6
1eRY/qlMK/O5iUE39XS2AwYr+xZDux4HRJNOhTSrpo0TIbjd0AFBoZgm06afjeLYliVQVdsJsz2S
eH/LFIPIxFSXF7lcHl/1wgyPNQnY/z1fG3a+w4if7WFLplHzqhUWH4BGbB8IXwQinLs9oiRKzXHX
9DZa/tYKd/STG1AAfnDI2jraaZ/qARU6FlWQEOtcWN0VQaGH9ZXvw3nExCVNfjW+Y20o+QWxChEC
ttzwcCmSO2K21NyjNx4gJKy5n/PfqP5Z6xDApUah3qZ8Ri8vl/N34zokLvjAd2BT9Y01f8iMgYEp
0vhiF9X8UbC6AaZr7/HgqnfL2z2kfIw345sEy/H4T0pPeITnwViFAjHdYRrsrMohRMdZ+NV1Id//
n4dsexdDux91Z/W3vD7IUBSEZHBB0FEeEPv8NhFKyKmzL4HplSc5Dbs+HJGpCR/8mwovXd66l15K
oBhjsC1QYZ6CwrcPqWW+5eks1VOUe8cBmNMpmN3s2W9tYu0FmL85cE7c8bywI+tunLnu6b8LmD7v
1Cceoi43njd4JuhRenZ7wJRn34u0Uxfhqr2vc2tV5DWpb6rI3ivc7WkwyvsIc+gdoMrFTgf54ntZ
dFFW/6En3nhldmJft8Z4dyCx3IrgM53m8d5M5C3Z+dhsJytxnw2rxNKLmaPpvXvl5EFFpR/8Edy9
ng1NzQYvA5ItJQdAQ/+cldtuFJyzPZBFgFzoRjYt1ck+yVL9VSVshF5NbnMDlrX3nV2K0QOufiy+
Yszi5JfmrFLYTJ8mX/jo6xpmV3Fzy6T3z4OhgUBvsfm+x2mJURVIgYuRmNb/5CO5TC0H0H0kkn3X
2ub5cWn5EP371eOhYAQAhLTaC5phe2PwfaRQKJH9vH/3Jxh/ns+0y0H6sO7sxkG+Z6ZbrBEmYho1
fFi6jtFEd/qg7HYTdVV3yqWjn/+7uAEf6kIvfy+BP54UaET+9xIu8tTBJxIG3TBY2cUijzIWjtgA
zUDZJIFipJo4CmCxzAYgvGiWNh3Skksad8ufW51UyMjxySwxEhEXEq+RRmXkTuTNHkt6uLeldo5G
Ewlv8/iyj4tVjp8Wuh3ACDGU0NtCiw3CAcfSVM1typDfFdWUH4eF02Ko4DcUoWonbE+cvGEWp8T4
YVWQEzYkWgXvbOwEq81Te+PAho4lWWBBSKoqkO+nKSgKKO00Z83RMlelU4DxlPTOINkLwW7zmCTo
uIXsHFZbM6vOCOu7b0s6z25uq1tpzmSILkE6IYxwj/UNebq3ycfZ2FnOxcU/9MEfR1SKQwiOQy83
T+xPkXYmntUllNLo0B1rOqde4f8ahyg+OdjGGS5MjAoDa9sX8XTosRBQNkQcY/KqXFwsB1A/yO1G
YcOHLTxo0lTiOba+lVvk6O+W1+FxCU0kOJ0et41tUn4sZuHeIuCpr62DvXjASfEl6xfa6V2ImfhI
/CrbtP36d7HIcA/MUEV7O8k+mMDQJ1goMBpFwdqcq371eOfNuQGqlgDNJMcCgT9WIn1idlU3e6sW
HynOJIZfMr8yaCTBgluSikjpdTpKPOJp8ZwQ9gMINxpPJr6b1bB0XBvGs0hN/BNa3+AkLFyvc1KM
68QysQin3R0BeYTIzAnvKOaIkgzZwP05fy4jQ5Co5sYnguqmoXMJ3qh3lbqoWtS3fy9DWb3EcKYz
sAVIAPR1oAdyTWpyBAc/Bj85z1+qUnLfOkEB2hqrcKzda964SHrNDhprMFdn8hlKVrLxkFQSZD7t
sWNoGdEWT0C+z7Q4DlKaH2s7b51TGJNA75VBch7LWiNXtL/SaqBBqOTA3Em91Srs3yu3TtZqpq5s
bfkpYqIliMRG3+H0O5ACBHA5jI2YLMQtgfcuudhy6EFWYwf5IUep1k0D4Nhpk49YziAgJuu1FkN8
yfgQhfBefs+ZfU1o1x5CwXTHS4eU2Ec/2hhTU2yRya3Cec5g7noZB1EPWy+EHZTmPPS0RxzG0O7t
Ua5KYCuHYeYMhNydVbvEI9MVPSaqibAr13WupQZnPA0NkVOlrncdSvBLhsjzgomE36Uz/4CwInQn
YVqoOCKsGZnn5zqq0CW5jQWYERxTmnnhlbYejlIaXbvZmZy3Oh7VyvOwbeVTnp61QSxuHbuUSvl4
sgFwbbgdGWol7UQ62wfmxeG5MB1jlQ3IRPPUEGfuwsaPPlqzNJ4pRPs3aZCqo6tbP5HURMOI2kRF
DqaeaUj3Y9eI1eNjL7K5Y7jW/nKM1nm1kz9DR/Hr0JiuEF1A98ErZyGEZJ0gScnPEw66ZfKsF6QD
PlTr9O/ik4Jf6BZcEY3DN5qutBKDoUGNE5UvtkB1XkrAiWE5/VRIPizpZ5t6OUqMHZyomdLuyEcz
I9Qv7ATzmOEQ5al5LYz2j8iQZVWhFOc6LkmXGGvn1dLpc4TzGmEW2AYb66qrHdwe/pgewQYU1zmJ
CAdHYYPSH6OBI9q/biXRYvFXPk9mkT93ECP2dS7vvYXtqKkL/EIlOWTRIA+xyh42ZBp5PTAT5ZnQ
YUqHMr7wMdFCRx9irP8lGpMnLGTW+vHGBl5/l+aAD17nM8ktk9xhnsyp0ly5YcEmNrPzOQJHnXGO
5FQsiwNtULMhK8KmAktUgGSiqf5pLDb5kEPAY4XqWAu3VMB/LRH76yjxwJXMLl6D1gsOIiogrBak
Nc7DgAFiajBiR/FXCOHitQxpYFP8uQeX88nK7KWA+cDFyJNlJMwKndx7REkvXuNz4GLpM3yZ4RQX
zlpkGbn2GR3yCqraGAGuELQEH4v/FM3kKzfcB16G1CL0O3F6XEZr4vzt5wVNGJ8yORUxc/racHaR
PfxAw4E5rAY/O/gOdKSoRcvsWeIYMUrcTGqcz8NyGVuvOba0Op0AOgPnaHc6JktLL5XJRdG7UwY1
Uchk6IWNvnkaTVUfqyT/kcEoe8ZdUhwLtD5PjVQmN2mU06vTPZssCgoHt98ua2CNTuVSRg/hFdiP
vytDYf979mm4Sd8L4BeLqfEDuIFDOIVqbsW8rxXV32PJGaPm6HSt3hQiewmmoD04cqAxGNXjxRwS
9MQsRbu29bydge6VQDe6x7TDGMUEebruUjHtu7A6a/QAdyTgwNz5rl0o0aHXRaF2hVawpSk+SERr
z/6oBs5i2WvOwrPG0DR8UNDobVbPpHknCpZOP50xuxi7KmiIEQoT9957LBBzupzpnZjDporWSlnx
zsrUug164pP66F4E1A8N7uIyIVxEx/W5qe1oKxf6xb+/+RgPP8dlBUS+C4HVosacOOCAjogA7Swl
noE8WCeY3Iq6GtfmcssIjBz7bHkosz7akT2qV0hNghNfaDTrxPbpIgF7gapZOE1HxVfCLmsCtJst
TcHYJMqQ0/9OVYi+cT6nZ8aeySHUxWdp06gcI08ek1wlZ/6PHH91ZQN5zoK1m7UjZqD8w8Mpt8ct
CAy/A4PjTSjnq2AGIA3By1fZuYdpO3fui1PSvzDpVIYY9V4e95xrVYJw3NYl2ssmIMe03uvEOg7G
aH4OCKq2bWe/YqKtX2w61ZZSYL6oSglSAG+jsjxba10uKl68IjkKZJGHP/N5guHkQ4f1TM2dyg1L
QzAZz4+vmug8qt+LF2hWITmvaaOugrL0qlJUfbo4jVkgkPn879PI4wAzgV3Lxpxj/OhskrTOj11G
Ls0gnXI9mcbOjJW8qJbBGCcFuU96X15Fo6GoN9YzXbRdo5PqnCzcEiwIANyB3tpuTckD22Jd9HUK
Xi9Mnw00gixn61lO6s0se++E6UetYvrYXxNZmux1m9wv1M2jK73rWswCtaoq5pVxcJ6cTp+sue6v
XlLmB49annCAsL8+LlrI59DMv81svtm5y8yb4tIX4zUL5uDUTw0cKgeljT9Vp1i1pzJxilOddP7N
UcP2sRkMs9brfz+rXWn/gG32Yhl8HESbpm/acXkzQstbowW2d/A/U2DAjrMeAUCha56gE9WE9VWD
c7K6DLLOyF094306lZVgZO43FH/Q85Z4KaIPy9n4ovvJzMJR4U4Vc0JoAWYqXSeLk6qGSb9clBTh
pQ3t6Vin9YGhK8T2qobukgxwP2M5ItawEnIMRUotkQZ3XyDREx1a39KdNQNDPNOJFvPaCInENPo4
vUv7LQMYh8JbsR9CC2qZku6s0qOZUumUEjq1xakTjHwSwV5d03SakqgMttFkqK3Lov0ULZ9pPLCA
G0BgbBRlRx3WzXGOx+w8LhfVZV8sCiNbTpwSVV/qrV/NmLvRYbxNVA2dQziEGj1Cp4bO32O7ualG
BKfO4gRoI70+NnhPn+LlJ8lFhKdd/bMANHdyZBe9xrjNV9rKo33f94BsEE/tkAyhzDVdfOy0mrYu
CCCkrzK7DsoGn585hEP407YOmuzqC3V5gKDSfuy2cW8ShdAh2ipj2921KTMBlTUw1uriQ3eaSErH
gYrvjH25AlldnhCJheven0mK5Oy0JAf024rOaVFa+SXPnf6G7anaLWgYpEPWcxA7N1o8zauc6WXE
SfZN6Tt8pXiTBiPLAOL57KzQlAwxcfayMn0Ug/83mUjUaCPt4rhgbsV8dz4UAUqzvBbRWkyevtoN
wZUm/sxjrSJgF1Mo6bwbKyMp8pcicLy1kVgAu2rPe3r86h0NbdqUWbR+PMRgw4pWRPR5W6QVCJDS
tVNwMOwUtiZ+p2c8x7TbLX9dDo59SoVb4p+WSGGVgXY6kHBTYRxfWHZBP2hgi32OzTYZjebatxDF
ZIjTo2r9D2lTVrSc9tZi9lAnLIr6lbRqdaZcU2dHBvFhjPJXpct9GgAWnwsRvskhYgNqEmMnMiSD
pZjrkxm1ehtFRGrUnlp3phX/QEUKmAKB5mUajV+JaoxN7jjFdXCj3WNBNcBOpkINNCBuVRiaJ+XO
ZBJH6hmp+9JPXf7KGNOJw56yNgTCkLmTzduDrqSzw+CP9gVSkk2KeAJnwoXpbIP5pznNtBhVaqun
q61S+ZJ6X4FjUL3Uw8q1DLUnf+kiRE7HquVnYCBk6MLphZaKlMepOVV5okBHmh0mi5vZ9UxBl64W
p5YnOibGRXTtq18FKQum86NR03xwIlzH/B97BuUHzrVEyj4OWhbJazONAtwvfrirvWzRbPr5sBfM
LU+j5bGpsU7TTAbXKAk6mMFqPDBQneVfK2mGpzxwoqPKKNXDRh2sMPvWXb8OnQSdNAjZZuNkac/A
lowdK4iTZz82AXBw9K2tHjCDPe8bH1UOwvhyPXB0OT64bUq6X0TfMSnEjb1ptNeeIY5+RBggL8ly
UY16Ge26OGp4IjIcdtLNnBdugAHE0NLIxMeXH3WjaDlq9aexSnAL6RC9Tr877BzESvOdhtnNJ6GI
AerZYyo4nFMrjA8t6ZHBfAqZg4qPoM3DK5Ck+HMl6TefdG1lWwvRwTZPQGc9rMjFVETPHetaVvxy
oXu0Am3lqhGEFv/3MNd2f7RBM/1LPkvN3t9VjHFx8mTEmKlV0bXVu7DQ3jqGMW06IC28oXazss2W
zHqfzbdJkSWXS0HRpzoERZDgeo2rdzOcj0aUoArLXhfF6gWDf3x9XNKJgkCllTzhSTbeEQeRq3Y1
Wjf6DbCVEWzYfFuEau56I3X2ohxps9m7aAjpH8G4giKA7W8dFHgzleETmWf0hBF0FQ33eer6Y/Ct
h7I/1rptfzCh5l71frgNxtMqC/JX3yNAwow4h9cFAdypb6P81vXeMfv6lhXr0RXLOWUyv0pT8n75
8d3LGfK7Tf+WEhZRzAYwO40kwIuc5th5ZDtX2pmeOXaF29AGDxco4jYQhWPGcaEaSqP+UYddfwjQ
V73EHI5XWeZDTxvt+ZTGwV86VWjGfR/SGosmizH6M9FHHtqhrrgY49EZTA2WBdCyYWTMhqiGjSfD
ts4kFKb3XKhfhavnuxPLC5hV+0Wg7BdQcf99lGGQlSIrtyZ0gh9zcaeF6n4VjkkzdcyGrRwb96uj
NwR70nmnn4ZN1f4Eg9dvysmVr3kC1dBgfH6CYgAGlplnF2df0pj0ocbEsybGelNA+Xk18EGtH1/F
CYPCx1cDLT/8ucPGbpEpJ05s3R4XO65RDLqomJanutHLLstctlYeQ8ol/y0P83ubz+Y1Zsfukgag
KTs41XI9ARzoTXRiy2X2AQzQi25X1BS3QeXm1k6Z/8OxK5HoYMn30AyckRiRpWGDaFBD5B/yaBY4
aTgRtINk/msMz6U3nsWMoNO2KIfG7sDhNDnZSzWhB449fp2+KYhHXzBIPvEZGxQDICpikbXP6UT1
PTCf32dgp7eORsEuoaRghXC/NRaba08pXYV/aD3Gt8eFsS0RE8sv5BbSv5p/RxfLZ2yE/c2ReBIj
OvY3VMucLpeqLB3hqyzpjEmY5P+kaGHpsTfpi8ZMsOZc+89QquqtN4ikoI29GrKAbNlaqS3exquD
8szN+g5Rc7meTf+beKviLN2w+lzbHcUUglXvrlpexGoE6VAuN0mZ6hvHq/B331OP1XCg0Cc0O9ep
8nedMLlHcUACUBojKgRXYc7tZhwNTAuN6wn6jAR9FbPD5zQEX9BOyD+yHtxgj3JwA3nVOY+EnSSp
q3+kuNtWMvquUTOfaioEp6lvhYn/91EH92VzgYbMAcDofBvxVqXYKDlwmd4vbMvIdl1Up/Tegk0/
kn+tRz9BTe8iNB5YpfsqP1FznBgJbWHE+odo6ZaJOSr3j42jiZG4BFTem8woj302TD9ss2hXTe4z
7qC4SA1Izc1sEj7hoNObbR/hOcbyIxYsi5//TfRG/TSMfv3moJaEbJKfLJEbsLg3SoekI5noAaap
FG8u5qRN0jZi+3jYWwUMtVq8guGCh+gxTXei0futq/4lln35MTRVvWsMDxl23SZvkTf9ko1wLk3q
5E/4z+xLPuFuKtDU7MsZyd66K8dsk07mM7NgnCFLX5RMzea2gGQ4N/Kc4YTNbbRUdoRNBJgsdvmW
kJS6PuftzI3ubPnjBFiQXmietc4vM5l+U5/qe4uq2Z+bF5Y7osBbCKJ2VjUvjcsCY8wxAdsWvXEa
UTiWF8i43XAgA4aMC3Gi8zzM3kdiyOduVvk/DdSs0La2IIHMO3W7uCOmQOZvory2fSYKLoyBW10u
Mkjtp79E2e16TdFoSqYPXp3O5952MR0tL2vujqfeAzIkkdAhh+1ISpb6N7YQnIFleGDp8UjdIpU5
nN3+1aRvU2Pi/WSIi4BFYJEPm8Q60WLJNzNu3OtYfXuMwFZwQoZPigDY1K6r7Z038gbHZdltO6uM
nwEcxc9eUDIp/e+x7JLXmqbF/vHUf88/viqjlpmKAVbJz4NhC8zGwd1kzpf/Lm4DaNtVwZ/ECNv9
4/lI9SNDAvFtWm1q7Cea0KcR9fJpUo11CDpb3GGQ9u/dr9pCIYiDAKdm3U5XXmmmdR5hH6xq9UtQ
gEzyWz/+0YNHWoeRnR7Ewsuv22aP6WtvjpQWEFGce0B+MZvD9KNnEEqdIYCPlf5rmSDlseSfUuKr
CM3OfrcSNvh4aPZKgP56nFeR5NuHbnS3JXNbbjdUc41Py/DRlNAm3I8JT8xdS6O9kdgnPuBTd/9U
E9GdVkI3QagyOyGl4OOg4EL29Ooel8Ec4WwgsOUFf6ctcPDLzn92l4vRmxURsY31l8+lDXbfKs31
v/+CQ3rXDCZG8P/73eC+ZnABM2VI31TX0Z3/0PCwDo9Hj4tmHrZnOySBpy9FhR0KLVetxpMSdbm2
Ja7LHucv8oFaHmmb35o0sF8eTz0uGckp3Pzgdv6/f3CD9l0o/VJXoLe9NoqejZm816jLPr1Zd8fe
7O0Nr+5MoWX9HZJJf+Feovs/h+qgnTz/mtbZMr8sbSUObl1dKVbpDLuWfW9kz+l7FvYHihk+YYZZ
vcducZ9rb1t21fRzUH6zwarNYBte3wE23XbC0fs6DyV7dDDJ7aO6TooTKulVGYfy2GYavWObGU/Z
VAfk4dQs6fSq/thexAnMKtp9OCGTgCP3F47VYryrS+g2sv40TfNghMCzGlG+QmRpiFTjEchRht6A
mhihz1jGnpLavqZJuNKm/DuqT1r/HE0tN9llLS5A6kukyXYiEcz3yVFaSKcNsz66i/uYkZaPjjBb
1lQ0qi5thDr64lhByuDo0A62OxdVgEQJEqxzeGgYQed6ayS/JZPgvYw9QHdMxhGtrCMXkqpKcJ/7
lJsemjmG2xg6KmCKoFnKkymbazC0SJoaEvzKCW11yw1SDsFCDEQS7BjyadI+CcpRTEp8w0nU6BZ7
Gl06ZO/tTQWaYfjyHxYgP2lRpBvf8P4plu6n3SHKZ8S/6kQNt4OD4UY31GxRxBl5CP+M9L8d6swV
/mCmNECK677QFxxXMI1p7wX+yySNBCCm5x1MlR5iG2QJA9DqmDly58FUIYaKoDo1kokc9C855rUy
IXVIV3OLMdW10BHm0WZ2OFp3yNF80QDExPCiEgoodrJfYUDbhiCfFinEYv20p68A+dtTYYrqeaqQ
Kod22+9b7MjZgC2UBuRxbOz8NrcsFzHz3MqmFbZY4H07OfQB0apdcdYhEeotdfrTLCUUjJg9kv7b
eiKQJyBxhJoawG4ZXjtD+meTgJHKI++z6DnlxxVObaoZOpbmSLAaNt7IRXbelYdEmLtyJPjE9hoi
8hwTrE88ahZ8TF0ONPpVm+ufpglAIus1oBerCjaBXfEdtDYNcYndtFpFIRpWhUp6VNL+aZj9KvAb
EtrmBHiwaA45So59GePQ7OU1Ynb77kWkkkZTR68N6bp0ES06bXBFK0zzeyGKzoGxSK/Y0TgEbc10
8A+6t17owWQ7hpFPBkj+Q1DG8aHXxrrmTLP2yBnA6AV+bc6AgEyB9xXV+aq1ZbsZZtvdx9U6ir4D
fOP3AMLl0FXxYe5gBdgef3KLPfBYtHgUwkQ8ZYvsG6+MQ/wZHpF83Rdueh4gMtZhS7sU05GeOnAv
oTsCbmX8TOx2SRhmq9I7dAMmV3n/B4zdTyAcEwhFSWImQYdjhUkOg2i2cCwFyqz15I5fnh1BRkxd
b1E5Hz0nfUewZ28gnrEW9RSug/PNIWpjWc4fhSZi7StSJYtxa8+p2Mq+aZchabpWHIJJt65srGT5
1pR9cAw0oskMYByTPnCLIAgZ9c0UcTJ/Tw1Gx4UMv3Co0mosv8ljsbfuYHUvEh2pa0NLnKv2G8e5
81GxUJa+3M1z8JnkmEXriUGlgxHzOMbWl+FioyuVcw1jkWOaw4BtRPZ37Lq80pHx06dRui3Gbu9G
/a2CKkxZnG3TGp/FUbh++uJzQqpm/yw49v+UUbtLCNneCNZeUFF83mz93Xj9d5AyhSQzpFv1IZkY
1aR3oAV+RW7xe3SyBQSygJGgrq8i1FzP5XIreKYUGweeLKKXvj4AA/6c2ZZ7QiY2nftW0T94kQkE
/tACtQDFfmtFhM7FxJ31oh4BqJBYwwbAUmVVkG0kvC+NTltNOCLMnuzvpiQzgmw4iB6rRlW/iYa5
xFJVV8jq9IwTAEd0NQBF1umfZgH7KOaIdHGFXovaRYLtHFrT6I7doF6mwj5XAhk8M6KrZ8Ept/05
PrQW8c7Iuxe/MiUHUFCUBv1zRzbVU5og/Tb7/E6CDp73oPrZa3QYk8YEGsy9XkeWtZnrwj5CP0T0
nJwK0OOLmucyusXV79p4U6mQ3GTx16D1symGap8OmXGsJzIQFbceTZ15XmPgH+js1JQd5YDwu0ON
DHj9rwH8EfSXf9KtF6NJNz/5JH3qGG4h2rmtp+Cg2I1wudWGAjwrr1gj6nVpoeKzSxRphgNPpMv/
wFyDVRivCh1iphYWuN2PpgIom+Xda6oN/9gGL7rGaY1PpFqhKkWF5DDB8FOQg+PgvmQaIs0UEqOu
WXe28mo07B30mMJ77aOVtBjIU+9ZB9kYhNMBTQCSWZ/NrPAvBD7Fm8AjrMG+dyEJEJDVn2eLe03U
U/JsjMbfMWtfKtxnu8okPmIaxN+qKD7pvKCLCtK/Vde/F/X8o56tCxG3BmiYTWUjf6YiXEinEu6N
zyE7hWRc66+xBU3TmcMPPSn3KBq8aQPPY6yFa5tRMc6Ceycqp+PNn0sG8a1Z7HOX+8Nt90zYiaWL
xYlb6xWgD6eMjKDiccJQACEO8fwumYzhmCAJ85JCHcBPn5U7MHPI+yM6BbjgQXzM/ZGEihCnSWvo
4tjFcbfNCz5LKW7UceKcEej8kg5qi5Hhzxya17avXkRYWs9ekx416dkqLsSnt8hDkOlkyKXjn74f
80vFxjrh316HICxoWrGso5mzaOE+lUacbEcZmBdrep/EhLg0OjuuiTixZA22JBYly0YvAj/dMO/4
8PCu44bej3Hx24fjkxidu3HafGWaFt1mq2x3nkXloY3BXAVTiL6sdTYd7uZnu+L8XoCDUrWFXATJ
SF/m37QI+0vfom21yVCggbXyFzs+Iss1fNbbrIi/mN3k1mMCC8bz3P4uKkIkcmVvm9zcVVn4MzCr
P4UzomYCi0DrHS6ESC6Faad7BgpPqbEzjI4GrxFmGwv/xY5Jy603rA8odYlX/raS6mc89v9Uo4Oy
BkvOlmbtgJh5eh5qELFuVv3Fkfc3kcUNNxROBGYCe2+kIuxbn/G+H1dHMdbVkZqJETIRtfQNKx/C
j6zJF0CI6Gw9ZhVv1Wh9CujCWLmLek13OQsAbxcpUY92PN8R1+KgTot9GgMmjXrvlmSIov3SB8kE
jGJjeQMiMAcFmWN3q7YaD3lPd9YV5MMEFIL32mZ2IEx4luM6TbCVM7q6xQIcQkf7dOU44amtG/sw
GP1ONe5K1d58JqgRdVXtqxenons7v0SIZP/0g3HDAL4ZiKN5b1m56gVAaak3PtbNRSOznzMov6r3
tsPfNhTtxrKBOrSoSEqUwm3vV4fKwqxij9E5aUouOty52GNn/FrPPsXVU5v25FtUals7OYBGw/zl
hZV4qfLAfAHf3XpGuPdhSB5FkW5RU1H6TPNHNEMYre30J5Yf49UWTXsIEbs8jYH6bBnbrdNA3Gkg
KMRoTrZHaeLsp8YDp0AkjstdsmdQC924gkwSyHF4yXG15nkribXf/p9oYDBkpwtCpS22YC2Hg8aL
moSk+kwmXTAYczGmdoOGiDMgVCcmJg+rC1Y/+aZKIohdaFgjUZTRhyWR847iZSyiZF/E7oGz9LbM
fIYrjDL3YUqKQjnfVRpwkLf/h7zzaI4c2LLzf5k9nhImYbblPatY9BsEySbhvU38+vnQbxSjNwqN
QmttKqK7yWYRBWTevPec79BzVJv/Pj9Lt0nHKv5GVs5RhvSHXNOwISl5umNIyHfzv/8v+WQIrxzw
exi064mkGbcDnBMmlrN2SdRh+oWuxGFHRDQY5OuGS426GYVA3rl3Q8mvoFm6RmQyNEN5kkTj5b9/
d8b/lu3lmlLwA3QTO6TNCPZf3x2oGM4+quXdBewbSTxC6w9S/9bJDeZCLmXjRBuZiXWWWOpRN1uU
DdGr1MMz2462aUqoenTfTlgHdNAsrCS5QWc503bEf4jXCR8PXuTy/xJKZulzQN6/XFXPFbZrOI5t
CuHQRvvX9103NuiftAO993dgAoc2ueD3Rn/mKfuETit7ZHH6xEqa7yYqrH9qYuDlwAfTLJKDcM8x
uJYDfbhabTRV24fB9ZpDPfZr1EjJk2UkT4Gnsk2AbpihVbdhFe/QO2biEYujeOwwdmkNDLoJszYp
FpARROUCaUxfeiH7U5fHA17ixoD9IMOVbEGCYlYCBmkRZ1AU4AV8Nzoh+M6OQTGNqwoXBYWSSQJ3
VVzbTm/uXAALcBcJEFoJ6KuJS2bhOh3KVOTRMYJ7uEQ/J7FODqSIdyNMmjaOWBWhte0asFww5PA+
VaXr8ulKqGwEPIO3ytpjn0MmSiJ9HvDC3Sy8bg2CjbXBSLxDgCEQ4ixIW/4PA5+ToW3jwmzOk12E
WytUwTJMrXaDnr46yFKDwT+//P0jGPWXGB3j5j//Kg3zcEPv7AVWA3OxNqGNxiaRrP9+yd/v//ut
TmiTY0BuDAHX4YM9v1Q5FmDD6E5TXWLBKDia6mC6V67KGW8yZmINML6roXGvCP4X1dxMrIPBvdMd
ItxDB3ZucPpJ+lYBSeclbeBOdBJlPga2y9/WV6mbaq/3SEkCGhnrUctTSnByz5OIvOCkwJv798XW
7Wf0yNYWr1S8xs1TQFqpCNxutO8m7jN8yJA+CL0sDn//aCXRg2Ic4zZiPExZ9ti1strRq6WPql2m
llysyTTOvYcUFILYm04tuFehCbFdL2MSDcDsj42yb0ZdIt1wSXoAO+Gf/r7kVQqkwmnAmlqhdspE
QU0sWpJjqLNu9VCazxFARU+Lp/uU5waCwslYBdRSehg4H4FnDPi2QKCYARk9xsioqa2GpR2RXJPS
8WbGicJf8Vl4k3U1ynPieu5DaxTWtVEXJ7G0jexa7+COCAqGugVca9ojR2ppHkijgfJe1up0Hbkr
T3iUa1TOMoAf0NTthhEIqc6TE1mnlnOZNg9LsXqlh786TDZbOjDTcdSC/EKgWMX4sP4BOkqWqZO1
eDLKpVEN+mE0PbykhtIe6ZYwFqUbuqRFGdOoJk4hr/RxmczPSTs/HfnaC+x0R5Jf8dqXebIIGG+Z
dVY+WmAF4WRMRCnMIAEmSt5JYoBYDyznJGpVkPHJGAOsK95cHfCF1RvYs+BYX9MAt0CRF84qtOcz
TJRC62schGxT1iwdZ6wPBnbbBckLTdZAl61djNQx+grGsRGp5cGfhh0CdYo6TZOFkhdWvWFUBGXY
xb5143pveCWlOd2vnaai5hL5DV7SAiWZX3lMTOa/i1lvyC/DelI3LkcVSmgUoG5V8blq5tHRvAtB
cwnvtgxPaCi+fZmMDLPPFA3Wybck8tU0f2cOL4+OPwTQjmoMgUmTrWsLS6Ti7OnPibBmaXE8EXmz
jkjh2o5ZjgBD039QU6i3cMale0VmwRYcGODACG7kiNUYNXiGlAqdp+uFv7h2jR1zy3KfQZFcDSw3
y0ZpMD0HUV5jcwp2WGaPTuo1D2ZUS4rVMnnuQh4RrT0UVpaeEBfGm75xxUVzaHO4tZceTAcVr1UM
ZxMXOJZUk1CXIoZsow6JG8fv3QxwVknnEGOg09VA74AdHS0H+eJff31ABL5Oi1h7JW5ghFF1cBWi
IPixsntB7Xuk4ebtvGx0tpFof/uwz25ROlaXXBfOojXN7oKC0Vqr1oxOckjUrjf696Kn89EPmIVH
Z1xlGDOVbzevTf4WWUh2A5MzRj2kBfUJBMy0v7Sym6crWrHFrtE/uLZ38EP9HBGh8uD7lrZXuVsT
KBISZm9SO0DNulBLMZGbOHXoQ67hf6v7TVZ08wWdR5UmxjSNMAX6//afErbQKR6gRrVBMBzq+cWi
g7bsekOSyQ75rHMqfcewLXuaoHPvHA4cZANRKpo+aKbUgDEEGnMfkY+x0mgXfGn9DsROfqRXU20z
6U/LQKFWoseP0jrLzhZX4TUbfICmvj8eGNQa/0z8/R//jLa+/nPj/y+R3//lj/9/JoCTfExS+v8h
AXz7+VX8a2A4X/7P/G/d+ocUhml5rjSlLonQ/bf/yP92/4FZn2pVEm8tKA1dwpP/I/7b+IdpGLZg
/KJbhmvwBf/2P+O/NfMfxInruue6hnRNm77B/0v+t2nJOVT2Pws89OEWGlDXFK5uebakQv3XAk9N
cdwOVbbWlQ1rF3nmhD6jNsz+Mu5b7GXHqX0yRm84NZHRQSxKHyQ0c2JFbDAAJeDnIgFeWAoHyg1e
TE2JgzH1xb0LsdP3YEBCdhEgIyjW1TuCEJ0xMOaiyswYDHQl2Vs+Ex2MK9pONN/ZkL05MUfSwOsd
ZnnarWy7A7NvE6TyXMyEo9x4uCA2hFeaKyQWziy8nHa6OfzRMzOCSeiFaKIgsKp6hJHJ0meQYbks
NA378HCOksxbAzJHOzh7l+sgXtTVoK1aVTxkzjz9DOVIrKd4rqIAQ0g05kdIJuaqsnFODzThl2Y1
Yx7A5y1AOf2W2J0DR1w4MWkXoMcMCobY3idh/4BKam+YwK5GC2pcNU2sNriFA5k9JlZzj82WkZKY
T8E+6UVDhYZOx8MvO48o1LB8YpR5JYta7ozAejHlaxSUyX7ojZGuL85PwnipU+Z8DJuhJJvYpYuT
bWem5rmsivBmdakLLYIjZNpYR68MHlO2nqcWj/IqE/a4ka3J9xnDo7KG+XrU9I3JV+xc8TZ6XbQB
6Lh0o8R9dmGpdGYMoMwls6QN2uRJl/z+NBqCU6nVFqqQpybQDgG0w3QoB1obTb+quzg9SxV8Jir8
dhIpjlbpXzwGvkvXB7ERVla6GhizhW4h0D7gNOmJ0hLJ3nDKcc6qJa0wxLoeRdg87D721nqDREv1
kFolXMrM5ejrezDtB7tW30XWiK+22QeEURwIrurXVEXxWmlVQpwlDgGjfI2AugytTa1OQMfan9ZO
7dX7LrE+g2zWmTcOpwrH3ZgBuS9dH79we2bPQ4bftgvgBluMz8goQZivqMgQLOfRFqghOyHK81ag
8GOKwJ0B71okGX1yOqcr0XU/Vimg0g3yoWACk9PIwELL79ciewa6H8Q7rJswNq2FzKp8M/Z1evL8
vFlWFh4dvQNlZBbryNejU5uCuOv0/illNHjXQRxjtp7unjSPcVVsMOwz9J2x5SK7Usx9eKD2PBfV
bjO6WwgQ67B0KPHjACG/ovyKrfJYm4SW1pYd3rWZ2d9KOrCpUxNTWwfFU9rnHgfNk0ubkU4qXREF
s2Ms7PCJSDz64wy2dpwFo6ekJl6Y4I/j4DNPyHAGw2T81mrdhXzti+v02KPNPcri1baDc9d0ahNI
u8TZ2XtE0dCsLbA5ZcAHmpQekc1EctUyyGMAWa8m9acooz+20trdYB4aGyQ8wBMNBHT9TMK7c4Cz
fardUux1Ypan1M4WYTo8RL5bLkH7YheUt8Jrur1WyV0+l8lxRMJgBYJk0QcgFBhSky+KpXgSxOEK
BPNgw/tVZ2izMlBMB1x+/rps23NTckoApb4aw8mjD4aKp3WQHjNUBUiWBIjdaP6Q1zXPNhP4WUyU
aRLu6FO7aG1aLPJicvaDXj77ogchzBF32ZT+jyay38Hp8isu33fCTAxqBDwybcekNOdpXIdu82YW
lnlMawxJbnlQtfbjJESMVTAJWrslDsbowl0ZDoiFMhQJBSYKD6F316NgpwDfF03Zcp8sRRwVT3Ra
KccMEP/E6/aR3qzLEIIYUny1CkinMDJZUNpn3VJvZ+W8nE5B25wtVsGbK8tPntm5aUQY2ADtY9F7
cXNuvdReBsURpjJN64jg7YDmUKwTY0H3HGSQ/5OTqeY6sOy72oDzOFav0FxxjlfFHxTPCV5Ntoqm
RaUTVtDhsyHaEdCwhnIjbxDfEYRFR9im0TBkS4ltl/8U+H+UvQpk+R/Yzhej44NX1RPucLN1OD7A
TdFPPm7VzUgo1yJq0mSVA3VbqSLqeff0XPO9Qbu2nroBQxOBeXmdggxw+wNBdbt4phOgD7lYAgus
xpJLi13K7PD3JexyfiH8QoaT37k4zDDdqqkPnPuIYcQOVB/+/jnqmEuM7VSvas3Wt8jO36HAxZH8
rev+hrI/3DPzC5dD4H0HRrTpdP2jFfWfLg/VNRQgGkQtPA6RBpjPFnsaiHvG3tFTN/r4/7Oc1irt
g/2ENZcxTaBgTaaALsCb0errA/eT3ZZfiBXzaDfKh+gXHxKPg7BGQDEhTGa56l3tjxi4I1k/qORz
MPEyNb5NXZkPSs+LXWg2P6FRtWsQ0cje2vvkZxLFYnQf59OhL215agssHyJIfvskJFu6zHea1ruH
fibt2cYQrmnX/MCgnBDEFcwsB42PyxD+vm8AEE3B2N1kXZskbZgvgd0VmJPivd2E0wpNWbc1k56T
DhhHO7fzXZ0o60T65N73/IoUMIw8BXrvhc3WNepctNT0aT1Rdye0WpYNkye3s/corLtTig5UwLUE
9CH2AWiIAcDD2pxg52e1rW3CJv9VXd2cy4ajBjlekzT1rSSFCTZR1a+zo+4Dk0mbCbU/0zTVE2JO
nMfdcMsLem7SQTkBLjzXsFeJlg33xMf92Kf63Zo6iiIcuhWEBRIEpnjXU9yXkocs7HXYFGm0GBwG
BrlrLrXAMrcE16K7AKjJ2WMkU5ijyNqP36GbEokm9GinhpqUDpXPkGRGMo5GigE/FR4JibtrV7PZ
YlwE8xpzj63htrs2KpNdjkD22musgYSSXCKUAw+4V4gvEPLsgVbGQo92Q6Qj/6ZIMCVrjRgRlJux
ttLT3llqTXmo4wTtU+BMJNUOcL26AOVt0XrEnCZnv631he/QSaphs7Jw4x4Tw4tTjcWeET8qSlet
kZPCsAmUfdRHBnCN8+hKY8b4oclv6aQfDILmWOkRXVYmjlCf1ndJq1dZOK86fMAhCYwcWfUrscF0
67BHZqhzUzz65EqQyZhZYbYSBCNXVCG+U2cbjk9iBcwETcWTQ7Tplh4L/6FqjZOYX7z0kT5ae/Bz
41aW3V7ivclBNl2VPT05Sg6bYio7IkiZLUIYvmTQ/eYdbGCQn15GUv9ubkxMqvnhJZyildRvuWb+
aAm2PGTF3SoGWRS6U3CMfLYFM3CWgBlDaKUucIAAzU3Rb7TJbj/iAQo0rrfZ5eCxLVjGOYsT0rb6
It74A3e6TQaZNRg8rXBt17iT1YYrfrDrfHi3prBZjS6hDVWbk/WJldEXSP6GdY6xYDM4ZnoDCuzC
mBCnWOj5c8M6axXWzkwH6zspfjnlRBfhQwKz1XQWlWL02NNK9TG8i9iDBY4WxaiDPXNND96Q5pOV
mQ97yWrqNzEts564BGYpsYvZDFtOvxJo/pCzH2nJTitLY6dxM7+6K697QTUAZtHFYkp0MMASOqCk
ICjvGDFXwHJZ1De3Ft868j+GadhGR65c3zCSdBABLWDMNxupkeeU8CAO5vQ6Nv6faGRCWPXMR3lj
tIDq5zwd0AozB4x1CvBCG+7Cz4oDvImlnTE0BxsEjjl0tn6rE5/n6si+0/S7r+W0EvHe6xEBS9fp
rq6mvmieHR0gZwuv0mNGLtgPscs81HbnrpyrOVE+EUvyoNzU2olK39akqdBLTZ6ZP3OxMmNlSJBr
hps7Kzm4Yu9k2Lw1DzlzjPYOYTW4UotUN1dIFHAKgZKfl+nRDq3qxdBY7/RCt+By9u2OIqRZ2wDe
scesJ7Nn/yUPom2b7gWN/rcRm+e+N+79rJ/EsGUi2Fq6I4l0jabeRJ0Sys5F2OruSNCIRDLV+iZL
IUGjpY1MrOPbbLA2m4hYBRb3ZBGnYi3BAp/xj+4VNfa+CPyvQhXvuce03pbZKa0aTjbU5F7BGQrQ
tbloeOSBrbNCU4bhPQXMw6YLkzE2+QSiwlmadDQGLE0HQuio6HtAvOhDKrt8jN3R/I76EKdsB1RU
VOR4JOLi5ltX9+Witav3VvOIis3r6qbp/Xtdl6jkgcSsGZjQxHTTeVmG8Qao9jmow5uNT4ozU2+u
ZGcjNMpmAUr9YpRSu9RolFJqnR5s9h6A22zziB+83Ld3o8Za6FZTvs5CWJFaN9Japp+Zl+24TiVN
2QB+BHKVpRfW8VbLxdnLxWtNI3Pr0HAGA06UDyUw7jU4pzQJ/WJDAwEzeRa+QNJImPnlwEgDpvok
cGzSER9qoCTtR5lPlxQhQpnYr4btTmBmBOPSPPCWCAVPBXCgXeWR7xI9pswwCKKtPpuuBkFrJ09D
z0Q7CIsXva3FOiI6EiGz+WqlaJHifI4C4DFBVgirNu0e9JqwEK3raeFa42c/iWNdQaQEdlKsJFuH
Zo/NGSfitG/I2g6NpFxPY7SYNKCmSeICJI/rQ2+dwjgSm7GJXijcEen1NiC5gEM6ueGMHpOMLYBs
FjRfk7P2K/JISWnvtgD7N9Iv3zXP72+NeTQMEH+Cx2VoVXA2S5iXzkTYo9+6E2lAjU6k3thgW1Dh
fuwr7/L3r7RE+EuHafpqIoTtyLy1Pk4zGYzx0jnfTNlEkhFS8YUVWEw2fCbGHv4LWKITZUNNkFCQ
4Ztz2uzLNVsD9almINLKupUM1CqPfOCiI6HRKUotvIZ6vx089AdkiIijUu7K7aCXlllLYd2N+g1r
e5vb04GWKpNkRhKxaM+GHE38EHf8mxhKKvU6yv5JOExjtUgGO5VW3g0xzkkMDN2zVOwtPVfPrRo/
gnb0GGyLGhuIn+68sCKtgDI4DKE8DynZLemIVyNJ4hgegQuUl/hm6dOUKPKnJu4YMF08h5sjdROS
DxFxPQppNYdsZjSb7q+VNGQBVg0gWNaFRd1wzpV1AQq9ABSgJwF9/MZaxNIBVvGD1l3sROw8eZ7e
Hv6+EDt3LYfsZkY3CbSURCYEcR5d+N1gbLq8Cm+lQcQSYv8Aac+DsPN+3RTUC3oN0DAZae2imB7B
+tD00AuUcgaz022q1yy60fRscCNj4wP/kXSga6yrbFQBp2ny1l0Go1gvGZ9VDlHBxdwt6vWtoSZt
adUo7csI0hvBQ/iJrfTTIKsaLbH32AfNr17SvPehsnL9eK8hyv4VTdwFVDyF3ko76J1DaoMnfmyU
8W7dl6smntJTGaBy1r1nLsK00XO+xow1+yYBQTZMzfYWtwGfXICJODcqojCNhLQkFaWIDVE+qkzf
qdLoN46uTsK8qanqV2guUHCR604Owc4FHmhkBFbLmictK8Uz0b6bghgN9o2kIbjLOk7+8MN7B1TZ
2HsUcBtgtOW+MYklK4EbrPyKPt4YnDxDTyGYPGp9DBejd7+RNrxnktCvGOtGYdk4ZavJYtBMJJcX
BvlORiVE1T54MECWwJzBKxtRavfu2fQ5wtRe+KlZ3gsOFo6B/d+Z34OriguF2dYAZbwk3dhbYyl8
UKH+4OhLUIsHIoK48riCV5PJehOhbkqA8bTteLcypNjTkH4jnPyivY1SqFpiGXhz3KzdTvWT46JT
6yw+R6PGnTLVpCkpezh5IeiwoKzdPVMCdtraeUhMtgj6lcmOT3vTmBrI9MRBLdbZ2ypdaGkOPbzv
Ob7SBtFHPjrb9LqjVK+oe9IIFX/SN8f5XUFf8IgmwWdT9JeCyd9QM6Rqw+zZZSaycWrTY949HqJ6
+DUTVFuBsc2zZd8PNoJbRDJ1ryMGDHNjXQnivSLsXqHpor6q2fcFIN3MPpfwa9AvoiUzqotG4bZE
dOpJoPWh9hPVrUtjRsNPbPvXRpPyVs1sj6jQTrn4xSP6y65aLMaUw0MOe/DkkjoGpv25LaZr50Hi
0chAJO5Az9nj1kBLeXgd+ywG0Hz9FAJtjWjv2sU5K8doB4z2w/K4OamLAVTor07hkN/8GHnOtO+i
FnacHsbHKeo3fQb2yHQG/aGvx88mvQv1TJbyuoTvsrTMLDiOMGeZJt2KTHvOnba+Bm2RIxEXoA7j
8RjDYkAbKQ+j0d5DCAZdaWg30EZDCzbSmAhqKjzCfBzBcZ7jd28TwgVIVy0xnIKb6BY5FlraahrN
tIjIQqcjvoP4Os5q3UONGA2/i03HsiU1HJtKHeEhcBEg1saKVsJMkEz/aDHPP8/4DGjSCKDVYBJo
GkTe0oWjaUeEPIcRIeT4jRcjuq5lsWQecAex2sBD4oo2I9Aky9tZYcDoJ05+Hb8HeTveCPoEA9PD
U1O2eAQGfpw6daULkK5yU7wGoxIwO8pnfWje4qn6Ifb2eZbm1bbRfEDsGJW1HU0z+MXHtBtJarPa
2kGra9NOyv2OtrLU1jK2wLJ4hKXp3TsNA2K3GMuZfbzPvIAcAF1/x11xhPq5TSPjjQEaVnryzhnX
ogklMWwVsxniBAUrI7J7PKqbFjoPIufHwWXES12vR5h284CZBE9CkGhNh+20HQULRNdr2kom6PEI
Deaqs0V5yjLXWgbtmPyUtfDcz8zoyLsqP4qfrKVbA4f2zWXDZkhwbg1SN3xGaMCzYcgJ771F484h
uHmzLZQ8yHlvkO92jAjjmTeJrXRwf4EzVWsgFUT4eZe+6n4mkOQrpFcQqixod5PxrAWA1lr1JQVC
dM6CDrhS741GDs4acs1E3+8dxS8uQ/uQ4KmgYYZ2tPLSh0HlxqLkXLXQgEAP1nuXgUlo3XfERLwH
L/4YM+vbT0KWrJzvKxVqgivRxNFaapQPrd89Bl3N8+U/ibq2ifBoLrbQ1Bb2yTlIR8acnv/CzQGI
NvBvfi3eAY7xcGbgIGzMFDXM56RIt7LwDknKTdJ76iUS1LJ+QrAnwurInnYc2JewpONlOIFvjaxd
SngXcWpLsHHIp+mJ4dk9R7K7kpVN7ZXBwzfyzyHOEWoTz8aa/ZsPfFnjIQfW2gShO1keRfSJJH1f
a/FzYxVvDL7OJax1ulwtIAGdViUP9gf6G0IDYg4KUPXhwYKYayGyFLCWF44TPfgdO2jox/swJiFj
KD/j0r/RPod71k0rBOEOp/YeII+NIo4q0v+QpTmn0t21Ak5FSJohoVxUOjRTy+DZSsefgNnJAgIb
77wp93HbXlXo3syav8hMpg0+gC3N4uLoulFSbxqHqkEbPlnWZzMUh7Z6BKnPvDXJ3wqr/qy4BdYU
y0ixPf0A6v3VG0m7VziU22y8CqrsNTRDss+slRzTX8BtB5qXsFuDc2BXV33+wcLi3aPcmK10ZMMk
QQtPPEgP3bcxoFJK4p0dA7ZOUoSMoMnHdGfnFqASEkIcMPMR9USSfOSeO+t+NirnpMh9ezUFhd6s
ZJh8+haofTKQyX1D86F3gmirI7kLCHwElPZSwC6COIjKvn0JHUVsKEJ9ke9Bbt3hPNwsGaLXLzrE
IepXT3905VOo6BmefT3aziRtI2lfBRTzAqA6NHEwHVGT87mpTeM7alHq9XHouMct0pCGqkb1YdGB
I4X4nLkZ86vihqMFUUULDjqtGdq41pZTgb7QquEedtk+DR06aOlbOYLqtav82TXY3yojPXhDTayE
iQmjIiWZ8mqhD9JeYbzaxUb67JK6SgGAbYOGS5vumZl+K/hq3ENEW4W+vYp6/UUbQzwxA41UOkbK
E/6m63uqz0jwYYtZXw5HODKA7wVTmpM7Ib/yhs5EnDxqgYHIk/HpMoyKQ2LS68EFfxjM8NFVGWR0
yLlqEHdA1fxLodYpdUwcGWuKsmm0Xmz8orzrZxuP4QIWzx2w1ltLwmfgzAp+lLSYjtA/sCqW/Lp2
0H2ZZXIEhPRFhg0Y3/5euNLDYU70RZOTHa8jCRaC1D/PbS+sr5MB/EnvTgR9ru2yOKnYuSlQykOa
/3Feo1Z78Wv9qkD3LKaEXTVER1MxS0CvcOSWO8LRJjA0JccuyxxiNLs/NJNOekpmqb/rMZ5m7fdU
QpDvGcHmUfoFepm8W4dk2vSjaq0fgl1OESjcRS33DoGt6yZmV8HTsUc+uM5zakbJsMKy1C4L2qU/
EDOR4TpRM69f+E+5MZ4shz0ctyoTUUVwE0uOVbvfbmp8pkVAzy8h4mUGDoXVPTW7jd4zNk6icJkH
CHgaiJSDydar6Tyqqn0TnfsdMCF002tvDwDues4HQ3nKSshjLg9fI9t7V3grB4SG5hFpLpR3Mprk
anZ4uYyaUV/toCYVibtq+v7F7JwfTGz3pM+elb2jLiJuoQHMpU4c6jR8QgtmvylEKHvtR8EhN9mE
pXpoPP2lSIe7afpPht4chijBGh8+44zZCa98G/Vix4kZXzW5xvMXl5H3g8PqyXQmZDKOucj89KTV
/k0vyx1K94ewDL7osNwBdEVL0pN/yoDPmlk5niBPa8hXdndRJsOFKbdm5J3cJts61q4NDaSJa4EE
nz2reWOYzNEw8hYOUMzFKOGZhY79jVodDBHlttkhgvHoGI26s9UDGk8xIOJFM/Qk9qUT0I+nyEyu
pYNlM6/54VNJtxcO7oOy2SQjamPcuVMvZlbot4andTljaRaJVC8VoXoOPmcPsrJlPge289qXaCPn
HnaaPBcx8aeWXuwzM2UDxncxiZF5Xf6R+dQuYcG5qU3rJSffa1yp+9SSjs65qRGGwcDVY0Rm7dh/
AV/G3Kkt6ALGdVfkUSQCaxe8cEvhNFdke9+11uTrMQfDimslAaxpREDkXZj347DxrXcbtdDCGckR
r3zjJfYUZYd37mzg4XNxMpRkCFpetYlGII9MThdNCcFG4g4gBFvfzj0O280ZMQasVKh+OcXE4F+S
Uw60UkPuNKfH2Kn9xkzxLe+bN4rndhsV/l7V3LV+uQ0n7aZXZsCCy5Wv9IAU+hRBp+GskojFgMnY
W/BhoiRcg6PZcWQitITny7dn8UH6K8Luq5ixd5N7dgGL5faphVSMjzfLucjuwQJU59FQ41y2DyV6
CM61pzKuLzQPYNnJc65/41BrEokQv+iOuWkeVZxvOIHuExZDYYsH1HHXNP8bdIriu40PZa7ucVdU
NPR/nOkxwatpNv1G9gDuHW8d0GLOwSeRPd7f8gzTG/LaYGno4R8NLV9caZhe2CWb+oP2GotFGDw3
NC0hB2y7EiDehK5xUPR66YwYi+DZz4aryzgWVjyFb9d2d+GByoGQufbn4jnI9376PsTixRqiL0eP
fifV3AuHaYMe8WE1jEed0kA7KYwZTItjOyUTkzRyq9G/vYFpIU964CeHuqEO74YTccs7TGLXYYhO
+fjT+/ukk9cxpjjJguekrLa+GTy6zAFpbNKZ7316S8QvzCnWTEIuXRN9xZn8VoH7NoTdGVtPfxqN
OT3Naq4Wjdat9I1s6U7WWbfbH9Tpx1rY594hIVOxPDuLnrEOoZrqxMdwT7MkpgU7fBDvdGJqt6JP
sUgw7zKLewrS4zhpn7R2kUEM0zoP22tHl7voy7d8XmRMm9jlIfmoUvFYg/org+nFmJIHxjgvgvWO
YKWQbdlZocT4UCYTnXY44FZielhgxPcMTsc+/HdCnBCGn8dRfreDl0JiO0ZRYkIhqxy2l3eqxGLl
mAGg/ZJyRXM1sMN5R7pGvWlo0Aa5R/ZwRH9t6lYBsCKY7W+U6tXe5VfqfflpVSYARNJ1FP/jZLIe
RsFJ20Z2/Qe7OoL65AG77aee+p8uumZSm2bxD+39cti5XoQnLqDIpeG8FRQjtmTNgkqzrDutXAqj
2Xg832Vk/3SB/4sBZanJmZKF+ZcVOnruhXcGxTbV8UnAw0Nmq3OywgixSs1y3NmWfA3kF62xF4Zq
6UJMw7jKuz9JA4OQe5i4soc0tsDLKqaCkR9uJkWuGm39XRiNV6tTS5jDBEBb4w5suFp5XY8vzZmP
RhHhKoNDKePeDIjyes+mBVJILmWJlZv3J8zhgvgB7jSKwcDWu6U2Mv6QmAsPtm9vsmyMtrT+L72U
5llpeExiTOS5mROibBGjkc5Cf5VSnZc1pwVtMLZOzrpYSLoNjllWl4lFaZRgZCyAXzkmpBWipn5b
+OEXUszxwfgzGuToKLsmQip0D77ysFDrNEEJEaaH9pm164ymtMUAa+k3hrUoh5gmWnagT/9dEla2
jmvnXA+SAK4+foZHstYr75fOGfTADGGNrg0gjwXe5ZJEM2QTLr7WNEDIrJ+8hMyqDq0WnYAOhkt8
zGzSh3Gpbj2//JIY0Zey6p8Gu7tCcM4wjM/bWkm2CG2A5SybYxAItnSysW/GD9SF2EYZLLKK5E76
ZutyS6ImBgOxtFEp1a2+zuv2GpK0V8QjEpMWgLlAuGNqPTIltRgh6dBJYss9YRA45iBgF4ZGc6Oa
gDrG1yoyNhXa+YCss2IQ2LcYUMuimCANF1tIeG+tobzFu/5YB/SYkuW/U3Zmy5ErWXb9lbZ+Rxng
cAAOM5UeYkDME2fyBcZkZmKeZ/xTf4V+TCt4S3brlqSW+iWMQzIZwQDc/Zyz99oqm4+ykSR1Da8p
OFz6DdRm6E5iPfC40X30Puji8TL7zk234weX4b7M2nrx6s50QWwDoInZXUcV7wA0IgfgCGXozJ1U
VKywdVLL6/4xsCO2+hhNyfehxq/Kt0r1AOXb9xnGAhUWC//QTISOk+33Yo7mMTfmR7yvZHUyBqWp
tRKEI4cc4zgX7vJefml9ds86CIB1VI+20191jQwL0envYpg+iGnOOVcwsktnQCvtL+CFL26BwoVX
KxDRLxocZRHGTNFaHoQ9XGVcOR0YAcG0/S6HtrndIW0WTPI2MP6k507aUw5bV2XWR6Sg3mbWXZZC
oRFDEUCCrPXiBQ4KGQNF8kDneGk0poeOxPW+1z8yIhepyknuaUnmyOwVB5SJestcDhKQQO0naoEA
vJPjybKq35JjKMfjBhI2oWr63D6iZ3Hmfj/R3gh6ULhZDXA1QHreY/AqE/+zJLKUCre5JZP50Uep
sWtiZj5xwS1G+xbIAecdk5PQrKxfdeU/JOaXw/EIm6uLaZyIzQ6qOMfm3+Yk+mXdE1XMbJHNuWcf
I6cA8Gv6UqU98kNRoJ9Oyj32xU1Uzu8QftjgUoQsKA70OiTdWuseVYj6DiKEWW26FEJjVFGGkftI
xY5Wrpmouun7m1VNhCY/lzP4WAg0kjUZX0OA5ZlIdg4blDewn7a0E9eFwLPQlv4XRtOPwprBu1B0
FfbcbXmCm4pFnYRVyFpEex/cyGDtkna/XMJCbvZt2OCvdlXX7L8/14z4aNE9m3Jqauk2b5yICfbx
SwCGhQiH3UAtZ0XAZ9JM6CtO4s7dudAuao0QDZe9QMKp2adJO+8hXEaIIfcZnWDObT4ymfuX80CX
uz56IxZcLOC4GisXS9nebDiQsOmHSDiwrUI6YkmKJLGvcwjpAlnZJ0RMsqiczNWRxubd3rWw9Ge2
+Ta5ZIIhGgd3KqxDHgMVGCifvl/R90PcJ8O6T+JfRpmRxGPAxb6/5D8fisn8x6dIBOkMF7iwQ4Tn
tKUsfd9T3u7C+4ubfNb6+8P3R2bNqjQUDaz2+mz1stz7cVjthdOX+z8/TdkZQyxPW86/IG0H9VSG
MfYJGyd6mHCIlsW8ckJ2iVLvXjBHbSxzoo/RMIv024Gih5J5H8Ip2qTzZKKrGr/8kP6yQft76cw3
f+awzjRycNSmA+QgajxMsclA//vhz0+lrsdbkiwo2zo6bkPU0nfuiCdlpsaNuK/a+8khaMuPgcJi
/f212Eo4x3x/4/vD+Tziot1/fw+FbAHMjIc/P40w5y3V0D5OxfRJeM+hTdJhExpuzVyIK+6Pj5RN
QTfWMFFU6tLBNH5SBiHjGoOCCeb9Qd5fRDil9PHbEdcPZ20coCRvoqIzM+mvp0wtZVmU3gSXAAQI
K7yRXKyRoOlSjLA17w92VBZ7EZ7z5g5BZN4lUK6OEReL2lcOnLsaqhgE3GoZWcWWVK4ffqp/zTYD
Djgab7C7l9w3OZU5etoiFGtIG1RILWtHhHhsERjhS9DXD0lImh2Moh/+naoYwI2oSFlomiO5pr+M
vqv3hAys0yEZzv7geMEvF+DNohUNCckWDbEg4t23JByV0mZ8QVZ1VI0xLX+yY6ixrmNioLOukc8R
XuZNMvyh0yBZurXVko+VM7Mivats0YCo+NC7uvnEyLRf7kbNIco7oLmuGrpG+VCtO+E3R6QS88qW
ZE+5Kqy2LQ1GmGs71YOhZP4ObhLZa+BYM8OtNcoM7SKULN8LV/Nq6rzViGZlUShQ17Rtk6sYuv2I
51TDuIMNN9AXiY7iQQOE5bsA+TsGPcsOGMbO0NhJsrLUtvXMFL7BBjPFxNhYCAZtlwDhtJheO/xM
x8birOVEEbEMJtm3odRpVL/5aSTPbO0dAmOAKJmj5edA+xH7Yzx6A9XkWrQC9GypPyGq5eRq3oYa
EDhisvReIE879cV9MQFp7WVKHvmk5euapZpiPP9Bc5DRGNBfiuAa7jBavyrVTDi+gXHUhNw5I9Tl
Rm/vbl11DBLCVKdZb35mdzhU2EDpMPy4It5bf6/NiXlA2b0beiqoG8eLU7S0MzlesIc4t0Yl8vwH
Q186w5OtcU4Ccb8vSwOY2LcdVGusn3090kAumX9XAXIRJ64+uCE2pPO+mBjkGcOmclcB67PukF2E
mKB1raXsRnFAIDSvC2uniVg9miNFoA8eExlquXVmvHoTY8NdkfKSNZuBSwIEJMgaUnxM2p20RhFT
1XFwrqFkBwQmWb0uj1bX7QY0kFcEq2I5QN/bOQmyu9HeqBbLKhpTPM1z6h5hCfPssNtuiR8IF6Um
vtJGd67JQGty1uJDMTPHgUdI1DM9wBtc/pUmITHUwRR4dcO/sBm8EoE11Te9lrsGIMFlxJxKn5wz
UEjGfMco7il3M9BUZkrjUmNVIcimOAM9gC8e6tjLDD862KTTaoRPnvM4vnZJ+PZ9TUxQolaAWrst
bMRbniJ3jsciezKy5IWYJQuhewp+Awz/wtSiL2OMqvcIU2SVZNUlyFJz/0d0QYLJbhkLUB0BwgbP
znrb04aWdxJwgjbIHwzsYnJ1ZtyB3ZjyfqRbFg7EygPIk+8LrC/cQ3l/oSHuAAasNQpohJtsCOaB
Aszea1auMCIExqXTNHo+OjK7kmF9UWMt65wiJ4EeqQaZiZ4VCuQLcfGitZ3XBDJbF00GLzpCJNUx
Sj3Cnr0rGIOHJA1G1pCo3woLoN1UuD7uwzjb5FovEfviQW3vKHNn7KYtnhnj6fvJ+nd9ht+tB9Vj
q7jfXb5gO6ko1YoiULsWyQ+gMtX8VHbMqdpRxakvLEkDRbcXFk5YSWzpASW1dhpy+awy28YowWdx
llg7Eytg0bTRsp0hxkD4ZN7ku+roNETZ2iJNjs3YXysXR2DEV/D+EVHsNvXq+1cOZodeiMzh+4Fn
9BwYiGigGrEmZYXuQFvuDKt2L3U7NogqqBfoThaH7wcD6dQf/wnm4XZNiKSPZQdok4iJRcjqjIO3
URH+VnISVN0TJhMCx/x2DeuGcycj7pehADCmtFM/w5OZMizANqwuOkkDOsTJCPdTlSZr5n9LM3fL
B9FHnxOL22iSsY7tmdhQKB6diaZhUM1DGb6NZRQdkbMT+iyXQrrmLvArZINjjThCmUdzmPQjDhwP
9zMgKbgM8LhM9zT7dEwwnXKWvN+MDWzh+5ayB59PUdWkqVdnLrypXL8WGDNEa7OSsVIHiSbPFvGc
dUMqTtS4Hp6m5oEh/UtT+QTyDDbhNn3wxbhxPvIOER3BIxndAwgWp4w2UR23q8EAkPbHIuYGEtab
JMvz5ggxeQw28NiC/drIHAUePt1dNk6/wqKd1nY2UfFG26bTQ7oE5lcsoMNmU8twn1CBFa1O8Cit
Ua7SOmZFMEbQPUNP0TGGZCLwpTBp3Kua8xczzEB4u+G2I9wT6XFh7izScDZNQ5SYuCe2kXu661Ke
MS/sV1uDB4vN5hYEdBm/X3xu9TtDsKXCZH9AfBedTb1dpSQZGrFePXdD+btD10++WbP0CezZmXmA
fcAwuK8Tyxtdh4Sjvg1RYlAOySkrcdJKtUvAL5LKCbHataxFn1ryXbfIme/8hqQWNS+GYnQv/WB+
uYbsd26VgW3ue3q8FlrPu4wKn9cqSi9BodqvhhDsxWSm1WPYZNkGwMsvSEkRAjxhg6iquo0oO84h
IW3I7wyvDvOB3TJCDNsivFZpg5bJJ4xWwtw/jZP5OOKSCNJkejObKfKgtcgNultOPjJ40ULsUEGC
Y3i2n5yoEF4+pO1RVYVL6gN/f3t0ydrA69wRuntwJ274761XxVnq9XJ0tpKECCAk1qPeVvOFkEJ1
FIQUAPzgt02JZW8j834QQrx8M8GN730TKJwkXieM2ccQfZ5VmjhfjaP9LDc445K3oCd5t2wz56mv
42I1ziq59MiZDF+M20GzKy+e7zUwmmHNYA5kGIa947qhDzsi7h8sSlbd5wpheewPExrORWdNO9se
ErChOUKZe35Pi4Calm+4lzN3Tps6JHCkbn/WOa4dWcCTfVSpz+/Paq12vEgF+Wlw2n1nEoMJ0t9Z
YVtyrnGjN+x04eQNdvCZS118TnwwJNkfHwRahjcb6BInl9lD1N6+0ThovaFByM4Oma/zyqdC6ot0
/+dHmkyPXNb9poK/ugXfBcFen3IvhFVGCqUw6Cf59SaFs7MfcXSfINozwqpUsCycqNvapoy8BNnd
dhyfBAoEUGMMYCIzNDdBVr/mdvHpUKbWLaHzdo/F/rugHBq9RhWMi2GeRMb1U/6O19Bh/Yc6I1tT
GhaZkGQXRoOTvViKCcDMoKu749/nMURvzixPQ5hZF5Pc+XkAiyNhsjpVuljT0unOs889bLQYEnJ9
DH0g+cO4RqL8a0iYhpHsrSO046NA718Li97FPJbtxmJBOwITJU5lcFf5PdPsew+Judu4fVuYglVG
a1y1CSxfG1Vx4eWois6+wu+Cczr6oYVkYk15/mJIyEQVI55IB/BZp/30YTpHvWyH99CFGt5AuVuS
XfmhKPBfmE08aMNof9jUNU7nvNbJUL3Q0yISTqs+SbnKCC9AtDymhK3it8y+NEh2tXQ4asfac53S
8kH13J8F/gjbTrp9ZpGZihDK/hgG+usBgIasBYWGBVDGZXlUQgXXBMsosyxlPARTAk5gBl7etcbX
BD57YYwc4VA1vnX3cxwihhvTgQ+cMuEqgC39iGQpXGkB2uuJQ/MhuH8jGl3UbDo5LY6f9N5s6VS2
qD8WvQJaxRN8DBVdAXoMEnOYf5ENrTBfQ0oyRaVDWWOQtei6+YouPtFlhfFpGwTEC+OpR27rdlaK
xZs7hxYrhF7qHxsC1KI3oxHnGyeMXlOvEK2bm9WY7wgMw498qRVx/0amIAlsU+cFQCDf6lE6+Njg
AeKpLy++iE6IjD++XeIW+G2jTt33MBjfZ9H8mGvi0plP6TDNx3wHk+VOf2BqQDcDuj6ZP4+9jy7R
hojHLukHG21g99DiCpNCpR3nXNKcTvLhyWFeRU86Vzvikj7IYmw2FaksBxCHERlsDdIlPzZpwwSV
RyRluBVh/YouiRjmzEeHxx62JKZSX7C7PgYqOsGYByH5vYWxexxs69QRS/a77IpPWoJiRfNz2nYW
sYxC1fbJptGzgYdCAhkLgjE2zjsjhFviDCNv2hAt54AMZGPgnbPSQdt/G7D/S0Z1/vhR+etn9Pnf
7j/2VZRTHWGs++9//RR7+z/+19Vn+/mXT4h3Zahzg2g5PfxqupQf/dMB/v/7zX/79f2/PE3lr7//
+1fR5e39fwvANuAR//7WHV8kTMA7/3eH+VOX/4//aKLP/+1H/uEyN/5m3c1DrsRgriwp3f/lMnf+
ZgmphKsYPOgGDtA/XeYm35O6YzqGJfCa2zo/RMhMG/793039bxCspFCukJatW9L5r5jMjX9lCBmm
qRxTkOBo3S3mOs/hL2Qmi5Se7zbiGDf5ZpBqOuiG/UbZECFh1+gyWRc77oO9UvVDATuC+D9LoZcS
hKUn5o71q/gDZPDH2/MPjsG/5V12LaK8bf7+78Zfbe+OMExesMB3j9FegeX9F66RaKKZAs3EOpID
/9UIg9EIn+YOG9NNUenVRpXdSIziON7mEblmRwG6/Ke38P/wHBQv+0/nPU9BSv4eStmGLk0Ubv/y
ZwHtVfh661DThmgCTInWAJP+IQkLdwMog2gI7E9roOk///Pfa3z/wf/6m1nbuUwscg0sHWDWX98Q
+w7KKhR9KJWYT0VZNGCHa9TXBK8wGI/6vd1Wv1O/J92xdUykDIyKsBty0AVZgO02KJ61Aj2MXwDn
lpV9EnUIyn+g/dhdgiRbwawCVS2a8QK86dz4Ycz0y7zOUzUtZ8fVX8KmEhwh4g/HoQvYyPuADG0a
uXNepdlIP0LaO44q8aeTMH9JAq1dNbp+TeqY3OOoc4nHYHTrDm21xaxBSnSNk8vpDetlUsCxK7KK
dsYLyA8H3VdX7umzjwvEpcUqLPUP/27aDvV7RdHF/Gx/KG06JZEstpkxb3MRals/+DDuh4iu/Onr
Pj3PMDjImYlKrEy1nRD1CfR20nX2NCwedEI1F3phzjt16SscLfivZq9Fg+TZJqO1uZm/mg7SVA7R
ZckpGnYBYS9N2AcnQcDAItbdK7nWGK5bmgV0ffBx9ekhwDGJKBi9lSQ58IYHPAHj45O+jWT8aajZ
fWcDWIzrZsHlP79O3Dv64Z8vE2HD8oQyoaSULCGCBeKf79tU4guZLJJKgsi+lJ1enIkkgG2HxOYe
+xXq+bHtDTB/9atJQuQtytKbUTNvAe40nZ2wIP64QHbd0Pu4GTnC7CnTPjT6Hfu0ARhpm2ED+Gwo
gRxjTStNWLFlfyckwxZCUsMcm3FXukqbzsMt3B2DCGm2HjegmCr0qVnKAJY0Wk/GazO1zduYJ19p
XEUbvX9Sae9v44nJm/DJHuC4Ge7gamzMAKL1rFmHDk8XTc/kh7qnBDPnbDd1cjdqNDbAO7OItjms
iRbd2CEJ4od+uuEhi7eFLxa21mJtzjO1RbFxyowr9ODqHaO7y9CvACB0x/nfpzapjCukY8Vw04vk
vTDKW1QlzaZD6D83vb+RerzXgyxaJHgrUPtjn8tj4s7KnAMQ+Y1ekrfmA2dLJoayVO9R0t2ihpGi
JHVhpUyt8exDNeX+idyIlSseM9rF/4+lEqav+a8XguMogSHKZhk3hfmv8LoCC8XYSfuLlIZbNKGT
7wKd7uygWBfh/HE5J8fMMKcHKY2Lj3nzgh/Ep28/zIPBWma4e7prLYCiFoSl79nIlE96y73BAc1d
NSyzm6KzLvGIqX1WJP7ECdKQDmU2ARm7QZUMt53hxrxnW5ihBq1T16CyUfxggF4xuPs5wy8VTLPf
u4igiy5GMxoAgcAvMC27MBArmPHapmaCrwfS2PapQygn3t1F3myZgm+Ji+dKRsoCq3K09mn6PDnC
fFQWTqJOvkeR8C+mYIpvR/gFMbTv5pJB81i4w8Ho8lcz6A7OrBvIDOLhxshqNEj9Kn0Htm9XL2tX
TI/4Weigasb8aY8Ojk8N33oQvjtBKjzb8j0GpGBGiu6JDhRJd8ULZ81bZvriMDn08wMb9e+UQlBG
6cvMux8vrmM/FjpYcuho5YYg2n5HVoxcGYiCHrR6PGSuMNcpckFmRQqHGbcD6ejt3kitBNFiECB5
kPRSs28z0iZEm5K1+icO4njhynalJE4iQ9eDZabr/UWM9m8Wi9lr6vmTJKLCM0rStMcd+sKH2La1
fc8+UCejtuG8uhrrXF0xomhp63qBbiFYHpt3FRcnIJrabjRdiZe3bXflBDzYPRKQaV1ciomr9FtS
s3tjj79hJ/PE2IoZOJbl0/2VTbc2nGGTjbeB0+fRylw49OKaGsNIByRKtk0uV0GMbSzluXKan5Nz
OczPTd7MT23fo5mPqx8YtHEMyWpPMlHBG2QFXoGGrATSsPFBGwxhXyEBpFZNyDAjWL7alSU6UStE
AItDbzel7SpU9sEq2TqtNrwOfUyqAnNQy4q30HLyE/vBGeRsviT8FJcuITAkpULinyYDL9y4KZsE
pwAGm2U1qffeZFNserc9Vr2xrfyIUCeRhHsmC4csSicG7vOPMuyL52asm0U4pD2GwPSidFFB5yO7
gyiJboy1Q2HUVMYdWnPIHVi7k/y1rCzsMH6eernCNp6nROhh+cAwgeauxp+CouPSujO2b2uZmvGt
xmSwYYzhVLsKZNwZbzq9L0JHQcZJ/Vq3/ns6oRwsdFBrRaocFCroEejDTb2u8NT8MopCXhgb4OKI
O3DqJEIBRAMJlFeVR42Garh/YY4Qo9cqs02QW7co1jL4omiMI/Mp00W5QEGCwXryV+PYgSun4IKE
C2KU3II9OKOfhXwndwtmdQwrtyhZ142KqET9Hr9ltruwFRjpUMqSjOMFZXfBRkwAIXfJ0m1JK0AP
uxKDiHah/6t3yxYaGXlmITFFJAfGmBu0s4gdxZxTq5YJKRjL0BRcNqR0llABsID4Bz2NMIWG+UwQ
qq4/ymZ6Qcz2ZdJxv0q8RxF9saU1aa92QH5Xld9cpCnEhnXWLXHnz06Rxdq7d0k/cO1jPRivoa+d
gkZLNhC9uL/IoVqOmXvWhK950LTja2z2L3ZdP2Z3GPjkgvulHwQWAJP+xmjtR1SZ1XG26Kg51Zkm
/rhgPt2eFeuGIeu1KXn9oYbJiHenrNJs34tyOFtFsxp8BR8ptV7yif7AxLvz4EaiumgSIM996A+V
jj92rnttNGbXgbHvdQ6cHn7Q1JJCFaKvNH8yr2vPoQXYGwrtDvHRs9YPr/RbVyS+Tvu8IyJZuXa7
Yaj0O5HSORvZpZga+2CqZNXz0jZjzEmiH1+zLlinTT8ezK52lrqpGRvmiLRVaTQyhe8wJgNNWrap
gR9XWNlba/2aiyR6HpovtME60AYup7bKc6BG1ju2MB/zE5G6cZnuUjt97vxZeTTsNrQlEPdw7XO2
0RLC1lm4i+8WQl9264qYEcRuJlTODIRBnzcHiAUGED0yh3JMu2X64dR4S5M5RLCYGW9dTiHdh/hi
iRz1jxY9QPhL+RopMJJZp3S2ubzv5bF4AVyBRBCroJULeep3eJ85VSPVaZQc9i4qC4aPZX2jN4oA
ZdJwKM45XgGfm06nO2FLfzeqGjRqDJAPkXlxzUHqYBg3FRMDq0BjOtuey2QObHjo9Yr9sg5teyEr
H3qj0KqDCVn+LimsPF+od+xX6VoHYbQwS7Y/zX2bAxpDTmGcadD5pG94dltA9eVJzoDKPVemIbPX
3BNAi9ISWD2gF9rJw5pNz43LaxSqjjyMs3SCyeM51Sst1vOX0jCf4VF0F1XQKMEUVsIS2GQ4KT58
FsQN7CxOeNr8oaa6IvC4UdwCUbvq8AWfXOk+TqJ0TqLQf5OxqD1HtRRHhWAgCI2HROvKK/FJ5TXs
9Z/EaAEjnSyxCoeQzixKsM7V3qfOIayGcnjlVOEvzBnkGKdNhn7l3o8ZZs8i/XBjWqCdgqTRGK2I
Xaoamj1od3dt5vnBUHoOIpu1GP1Vy2l94+OhDky18TUS37KZNNyCcFF/nt1zUtKiUaBwfmAaWHZ3
5E8w2C9z0vwucApvZ+VMh+8H2NyM6fpmX4Y2mJeuOhlTh1N4wInTMMdm/hMtSYy/NL3Rre1IPqfV
GD4asb/qcRIjjw5N1k+s5Wz+xTOAzZ2J8oAIkKC51FXdXCwxEqo9i018toiD9epa09cg9RlZT2fV
DcpDk0Tvk/PKWidSfSXvyZoly0lMa+rIRfAj5N2ZJyc41Jp/rCo5bxTJIDAZe1ym+bnW+n7LWCVe
yDLID0lTooFB/EdRr/f7UjL1YUsiCQlw9fxhoOnENOjL5Sj1eUdD++fQROkty7Vmbya8fexi45bp
dLN1amBGkkPPp6o4xAldox062Csf6vxLXDUn2tUhWNdvmxJxml3fYmnSOAUQ3QMeFDSXXbChi2RC
GGp2t++0R93Qc3bzAOkeT22WGco/H8hw7JPQ6kTdxrnLIHMqp1XX1sB27czelwYqVjce+jcGeS2s
JcdGeRgD+sWJsxb0SInXBdQPf0eno0pH1EmEg+S5eo27aHrrHEkWVzQEGwzwaEPNbNjYwZ5yAByU
leC5aELjmbHeuGZ8t7Zgl1zU3fVkSj35yYK9CA19/ETlDc8o8mPuUBN5HlygbVWOF0Te+bMM7eyh
jt2V7xJp2yd4IBN/Kk5pWBanrhMnJ9SmrXAkMP6y/v2N8JVGeTXThpRUG0Vu37bz0rHrryjvE/Kr
g8bzQ/7gPZRgaFnuynS6gtfYfVqo3Nw00B6nxM1vskeqVwfIqGQDbFhOB9+a8tcYVWoK/ewEuHU3
FoCMdDti4DfDuFFt9eamFgoVdzk0AC8rfSFSK3pVIZeenxvPUuAWgdJ3ECbxnORkNyvCowgM9/WY
GTVTcQayYRnDWlBBv4xdMv6gDOPFjKybPZ+aYryBde+3WHmIKTKVvfR1+aO1JwhCaeiDU0mC5zyr
v4IgK3+O0+ilznYajfyRm/yOliE8MOM2Owqr9caB5CKMR9mhkrRY32yikU8ycuNHfAoMRtMHS3Mg
40CxWZAV7Oxz+rq9MqOtpSFLpMhkmdVD3UNgiGevMmGdBQh/Er+TZwqGFTcn2SSODejTKEr0kOpq
9rl/UHW6JH3G3diGwaFuehQtUkyr4HwJ85pTYYpkNY4jk5ZCkPASHPIOgKotZTYau3B+taGtkNOG
LafsiDjwhac5xDRjQsw2Wpf+8MMi2esRdL4BG2/gi3oVcUGvIFSBQe0oQHkuzTKqq+4BMdQjs1Pm
+xVOTYADC+EAKWZ0TxGMaXvlQtJdkTeFU8lyCBPo8veYu4iNaAhQZDdyqQGtvZQllujGyS7hwDYO
3NS5Z3L5PWpKg8kaULIx2OUi+Br0JNzNhmKyzsptks/6UDrOpmBeuognO/PwzQXbMurNfTnFmBCI
86ggU4Ascc66assnghWxUp+FcsITGcYvWU/2wDzOJKKYDpe3GXi6hhllsGBoDH3+GJrmaVTyVfWa
eexavTz4VYrfKSOCIevIQOmN6My4riaNoXrWhkI73HOzVkjE4usoEY0W/qPS2hcr9FEwsNKszShx
N6OLeAms1aYZmEiOPeoCNffQd8MpuaqUehG+BiAEuNOqsqNrpTMFMMwGHEycnTClqTPgMpQqTTEQ
vhFnRzzJ+L2BhGxhsI373kJ4lxAwtRyMrlwzx2ckFcyPWYjkzXflXqN9PzASvFSzCI5Zjut+slLS
ibMvQ6/ybeWAdcok2DKgK86FwNhkPQEQWtoi/BJNnv3QcE3izgxZWDO4tX2sbkHdHgdHZsfaNZ85
9VWrvOE8w2H8UFLs0CQ1jk1W4XtXKGCSpN5/b05ZqHM8MdNgP9fQPAORXuteTrdCYGVO7J+MNuMb
OnJEtA2s3FrrGCbNCjFpmC5N1la07DRt25avV5nvrzpfWAB1LGuDXhvweNr+uBssDbJ6sq5/EhGx
KXEUjceRWQ+hCNEtbaEJBfGvai6bNbD73mPbig9ue+5dIRi9xj2KlXIC2C8AUgNNuRox6LZAme/R
XAwAuzLuairARV0Z5clNuvJSNyjJ7YJjoY4cdUBMetansH0cJGl3oRYd6WLpi1B28cl1ijefUcyt
8S1oW0CVW9kHhy43rG1JllNXwLLTugrmptm9pzlCmQA9HF2RU2lV8c4vjY82GB6k1SRnO1Tv+ZzV
wGBYNrtpClEqxFysU6qf7AZrtLxbA4pqO8WzvTQHwOB9gsmknUlrDPNyN9yfStaMWJGAUQUc4+qh
09g8Z32v67qxdP2G+OhIz18H6hozB8PFZTUc4DQhDmamTi9Htz5pegIYEjuDfecJLRfJ6BpxpQ4A
sLcusRfOG3uX/iW00FhaWe+c0WAAy7Ykms2u2uKd8M9kaVhgHJwKO/b0XiinfEETBMQwHSCmmd0E
6k/zPfNahq7aGoE2Mw+ueYqphtCS7G7c6iyNTRcfwv4OK0ktG0dCbx+L+DeKqa0MUGSWDAjQiZMb
xntdfTewvMGwdHxYpb5GcJCuGf2SaZ63q1K0q4np6kOZinlpAwvfqwBIbYtX91Q0PYbbcLgQPhId
UIXZHtcNmZXZ7B40u3QPFRW6h1b1JDJhn6Hp6OBETTb7qN9QWyEhmun4iDYTEMnbd183uwthEoxS
uvrU0JlfmK6ZvZl1WK6bO0/UR36zAqk0XxsMVkuVZ0jkwWae6i6HyNAk1dpyHbWbI/pKmeXQcRPO
EcFBtHMbklHAyhQX4LrFpccJSIAMCqq50zZ9a59QPaKDGuNdGcvpiOIL2ak9XyPUhxDmjHSTVsO8
JwlJb8D7a4Pur4QmXxDUcvGMfnGdodTUNFRjinUc3s8TBfYpRrB/IgL64OqVvlVo8A7IJXZ9dr/1
lT0d+1xhD52H6rEPkgsCFlTHvh292jltJaS8uDTDlPgJ6J4IqetrFqdqm5TW9ISOc+m6d9pj/Ivq
cl5IPbuQmwjeSUr1qnflEtg/HeQI5hptJhhp9FM5dnkhoY6PtU7cj6kMNFxOl9CpHZzXLuLXO36U
LGBw6kf68WrXiRT4TXCHVrnGc2NAUNANAOtpqbRFUiews5jGr5kBwEwW96eKBNKrocuuCRL+yAzN
fijCN+TiPkjd9AWrI3uDTfe3cI9kY6x1Z1qZUx2+Bk7xbM6FtYzx3Kxjrub9gECLFCffXiZmKHe6
/xAHwJdacO4PXUMTWvMLYpNEs6qrMngd3PqGNLfcudzch2l014xyl0OOWxHp6O++JPE+BBTnnErN
jK71/WGMiq/e9I2Nq2nh0ch2c5b4pyi0XU5wSUf4KYEVFfcoojLiL0T5ZnYtHbTYsrbOodUt6wQy
2T6VM+nLzAi0Yt5b3OZrWqMTlLXmimjJPdyFiJwa0IchC6zBSOCojre10GYUwq7YOknwP5k7r+22
lS3KfhHuKACF9EoSDGIUregXDAUbOWf8TX9L/1hP6N7utuXT1rhv/aJz5EQKBKp27b3WXNm5xOpr
Eam6m+qUFFStfiw76SDy5D13cZ4/WAoQxaz2FyAu4j0r2XDNDfOSj2V4ohT9zqSr2KNivGrEVV4t
2tY5B4VzZQ33ElXCBYGoJLwtxl+Y5d+MyXiTpGFTOqFOtKYGHpmaB27SHtiCx5u2EleI9/aWrupP
Cnbnin7lLOIJIUoSlMtK5vFtV+EcIUFTV2S3aGMQuYHDDClB4dlhtGuUbs66lvUppY+8DOcOuLTN
AOgo2r06LFGA62X5DTMDFGUS0HtMzLEehSelM4KTHC8R/fiFkgcWNpdGXHqZ7WoILzSFIBBLcnGR
KoqQwoZg0Xbu3GUWnW451tBd4RoiOS+AMBIcchROA6EtacO93QqEwC1Z6DUeRJo3OrHdhfYtzkLz
3iqbZAMCZK97pKqoMpV3GWiEtWp1tJFHfNb9pO45rZBBqVr7KouxrbelQQEXUUE3UhxCrEsux4F0
GRFgM/UiuVebstuFUM+SMWA8Kwc4lhzpFgWKEQ4vLQI5+5ihepS97fF0CbqCcIPXpG9tOlUxFlEb
nwyTkA6CFVYay/wxnyyS9WAKOzFqqlHD04C0l8lQgGO5jMXSEa23k3VH7EzVUvJZ937AgEUNK9Ad
sYdptotdv2od2i2LJq2zgzdJt8vgFOk45SxPawHN+t9tYpxw3bMgh16/C4gx6xSBCntRVvo5zzAs
aY0/uJa46RPHd2m7iEVa+CDmRLwuJB40nzYCjsngR0f0Q/BD8zvITDbXIjnEY00SaZG/TYRYODWB
urPyNS4Oie2cDXCf0hFvSUyKgZIioYt1GkRGLwlvIn6RtO1rYUbPEQDldetfO8+hHqcYWhXExQKu
40jiUB6k717SU+8w6ApCG/5DRBpi4m9IN6ARGib7CvxIB7lnVK0Uo1xIYQqWzM6MB0Ky0KlouBKB
9uFK7Dl/+JjPdz2SZFP08nth6lA4g3pL+vsCJUi6YX6qoZhqz61X9Psgv/R5v0vi2UkZoP3yx3vi
aMZVp/bVGsjbSuQeyN+AC6xo4KKKaDNwe6GNO7YaVxdFN81NPG1saurOgdSzKmMnRe9Ipcdg5ExL
Qyws5MYcoutbFoFsVXfKyrefjXbCTRjY/LkIEjB6NmvB2havnf4mQWmyKLpQWavSe1RKjcQa/R3U
AOlsZbVo0E2tEKudykoli5DSnXXklJa9t8eJs+gF2aTDCAdTLcdVDKC6emkdXIytDxwBfo26Tkye
P7YTrg5bvhq3azBy0dqGYbINtPohw6O8M2z663V+RDltrLgr+z2I7kIJ4Pi0zcIQolq1WoP9Jkno
pc9jWCTqmENx3DGqXWiVSpx6Q5JMYak/ye9eBIWmHhv/Me3ibwH3zbqoGhjkU3sqBFkbFKvJQjWB
QGhFxHCEVK/l6J3TxF60kDCuQT2ekSgSC6IcBzMt7vxwLRsD8v90TUoIWl2XvdHewitZms9N4a/s
3Ig2zkh/OWpoqE0LjKVMBW3tQQKNvkFWeN/pbI9pxryIsQL/9tjo6zpRMy5g/30kQRUOnGNtlNQm
yLSDJFj9MBugglHJIwjqUVtFXVctDQ6w0GW/p3Wh7+NUnAcme8Q4pWcyjZ6NrNpkuibW6hQ+a0ih
b7zaP+WtAjUA6pppBWKrYxRYtLrtr7soWKYRI9tcBKsJzR84pjFaD4OAURWugyq0937pp5g6k8rl
mnsXhN5sRJhH8zpnGKDjc01UcoCMWU/f+N/IKEjdpOiO5tA2q8xMc0I0LcBvSu+5Q6HRA2thmHND
7EufYFzKkm0OlTNo54abOgAv8Zhyg9td0BW3lw5N26Kq9k2WthtGPgCLksE1BkFhl5oOS5Yy7SCP
/4zGut/qeeLfd7R+BYQJVR1hUGdL4YfG3hDtRP+2fFbSXEe26GEyQ3y6KoKSaPrCvzh4b4FuSxIM
hD5VJ8AE2m2clWQSFVuPaTXJCc5BkXCUiZ7weGhmCSFUBj2yBUKA4NiWQbbuY+/Q4fxc0VZzOQ4w
uk5WdU5tb2bM7mr2cDeb1G5tqnXO4nk3NpZzO5f9am6pe8UmqEY37owEdRDbGUYlXQNtUVYXQEvt
zu57eB7+dFtPQXYIK+gNuY9WkTwlp9C841hb4bfQ24QT3Yo6uvYhyDzo4XU9+AwgfKQIvlipAw8l
auFiVw35W0HSgTSHhDXP969leeuUJGRZmf2tidMnBPPf2NzFopA+404gbuEIRgSS5fMYtRXOauor
XyoEZ/Cpwz3IVHNbFz3GIsx1DHNDWHdyhl4HiPvmM23khkP4k6dPd2PFOFU8Fzywo8N8Nr1EI9zH
hh1nzQjVWqkWiHN4Alc4QnQFevOE64K6na77wkMys0rzgL5u66N8ni0+ITJUdzAhqidG8CSNpnUn
0yDiUiWLoizLy6gyiiiCxgUwCb6F+IQc5dhqIOILcUcFW4AjBVn1bIiOwt7fm+LOMQFLEPzLzIFz
nJDKrR20XGUMmIKIhSVnEAJ16gy3m0UBJNNVrjqdy4Ler4OyeSMwCiY17oIHWHHjJVfK9z5hhECg
0dp2urk6mEH8NYMQDyhIVmz7YkQ0y1VDmWiwuEDPteF5BY8E+Dz0vj7d+GP5PFk2uggQc55WRi+M
w+nsmUv8sSCrM/zuU5oc2cBhZKvNdz53DCfoco+1DzB7SIcDZzIWdK8JTypnXNz0EQzmjoxFckxP
StCAOHfiaWdh113BgqDUrqfyyOyVOeSr7Q9imwNIK/zCOGdxKjloajiSkkcC0fWLiQL2poBIoSc0
O/EZz0hduqz+9OrDrYem27pOoz3YatNwZ+bMZkTy2ntKs4cjiOfAm6ezmnLI5y/kCExAvRDUNBYj
2NlsBHpGXYbDUK7VEmN+FITEOgkJaBtVGxLa4hsR27Q8AO/ckiniacDY9W5ifC0RCFhS7ALbwUOi
omElN3MFVDg+BK04oTq7LWPP2huWod0McfPOHk3+eMdRyxHmPXZIddWiDASxyJoT24w8cbkuGAVE
tzDtKOyBBG16I1tDk+yBJkXvBCIGZFnQ5IkBzBAUveoqxDGeFt2Ful2slOnGactvqRJBLfAS49CO
xVuaU+ekShUh8qcAHB4ixSBb0TjaaijczobaZtABY+dkwFIlco1E4ZuVy/5gOeadxugw1XCQW6po
MIyz6ysdDKs4J/HZ9vWbLibnoZ2kd+fn1VYL05fSSstbi2jWc5mzvZuFVz5kQehq2L8orI0MnmId
4S7OsX2E3sWscnEPdPCpIbLw3UqGc5JT5aQN1B4n9+hNokS4+fi/jy+w1wg9iAK0y0Wf4gQekFIg
eWv2JunQW4J64iMcZfKGG0c5jWZuuTqdAM6TDi1xGiTMI1JsIGawK/LUu+lCZCdelQW7Nm2me/4E
Z798PH9814fB/UgsoU87dN/bqbjn5R6trNJOPiJnGPMEYgRpbyEWlCaJL7kSu12jplvmBuMGO3/3
kETBUQzm8Jp7poQTM5YXyyEPDb7AsijxbTGV6l7z+UuIImYlJ7x/hSa7i1aCZhKaCfonVRgDadnZ
r3vrfgBptEUEoYJNAaFHJO2+qMPspu8Ir2Yawv8G6uy/bkgu6iyOVjgeoDCVCTCsTNFWYP+skfai
p8HSzfWj1XY3ZHPFNwOpYdKR/QWLkbUrHDw7aAC9x5ZT1LIZsMwFdUCNx8AXdYJ502GvXjBHM86l
MN7wIvpPUTEhD63RGzb66EMeZU0qWpWOUeOk8NIj72Y0vtutFTw1/SD3ns3++PEtuanqyhjDcmeK
yrzGGFCkxxGsqqJvuhnJi2IOj3qjRE/SyYFBaFJxe3OInpT5NUKFzZ/z01ZpmHNaNK5EF6VPXqR6
NwB/JOYdFUYFWTLovpP4Jp1WushyfgUfpJX290RvN6emsjjzoCV6Ci0cv7Vfe/CCWjJgo3FYNb19
6xBs9hQT1BrZanDN9BHxXhPhrFG1myijqB+4J/YGZBgAXEaIRiPvrCfQFiSUEnrTY65NoUacusHS
3HxgOWMQblykjV2WxAjMKspoXAIlX5fGqO3L1saL1OcSvw/pv4FfjATbDSfHSC6yJxYetdhRrWum
D6E5X1+pMy/MIYJBmiUQWUFhLioyxflCeGpHMT+lbFrM18DYHsO+HJgoqMOZG5Ox+2TPMhr4q6IO
1navk7nkO+dBHcQ+QPbfOkI5jBjbWVDFudOqwVxwMyg7BDOPilYJWO4m3JkC21SghQcwLlR/nRTU
SPSZQy0muOXjS23ZcN4XUPwsREEiWyHkohGr35SRrW0ZqzK0wDgVACXY67l10CU7inXFhCz2nRd0
EEbSbC17egM6dku4ItOzbTKc5GCxDKiTYjdP5jh39mS/gq1k+ToI3fmLZgXaGVfRN5Sh7W4o00XP
XrDMOPvN5tX+hDeRwALygDYF88bY0YmiFOi7bA5MqpOmpx5U+TbIsGSVsxyrI0ga4UGWI/0Sg66d
8flzGFc54475BcnwtYlAan58mVrzHs5SSjkfgYd45DokJyPy8jNZHfk5KchhbyxlXJBK01vxG6t0
c+7vfMv7OUUMdmwRNeRTTledpt5CImDGCQgnJG94wgqGIwrA2U3Girv70Lv+V56BO9yzefq7Q+BD
9f/2f+wDx/Ctomz/2fz1T21+5KeX9Ef9+Q/9ZkX4/8N7oDqI3//f3oPLS/aS/s//8av14ONv/Nt6
oFjWv1SLGZ9tO5wFVUif/9t7oNj6v4QhdB23msGI35x1o/+JuHP+ZUqa9gINPvINzZwl6P8xH/Dv
YTy0HUfqpmMI05b/jflA/q6yNwyarZalz1/QvOum8UnonxmWU0tnkC6SLQB5Ph7qxgABqwHDKB2r
3/Y+mkYF2tY0meWqNpiNlKGy9OeDKGsTGkuHEUBv/uhIQNtXyLET8C5rx/GYx+nMzYzimdgNncNA
l1CrM0LFrMQwdSzoNXmUPOjlH8upObb4Hhday5gT1WrpKvqiGVptJ8FFEaYSKgRIZinWoU7mymqy
UZkkktF+13N8kVkPfpxmfKiTVYW1gApoNO8UIrO+0PtS7f0m9/24ZLaqoTnQLN2YLxq//0uStpoo
Bj+do7u+nhcsSgXu2oitvyHgh0YcyoO1ozfI9CLXlukMMOetlfnSn7x6U8OcwirZT9tB6zmyJISf
e74USyPbRVmjLge9NDbqREZcSURYVdwQZQbQrEZHFNj2pcyjVe7rP3yh3uV2OmxHXX1Qc+0HmRgr
7qlNTBsXa+Ee4O4qsovbvEKQlqYYlBWbpko8+hFuVwb/pdm8laaFHobDAfT1MVmzciSL3my/S0OB
wuOTggX3iFQ75akuh9OUBhnTcqJV0k4iRbcFNl7zh6NOr3WoRJvQdlbCPjA++a4VnbIlf4ei3ITn
hgccHJH26MVDtAqRDDCRiR4bx4tdqKQe8bnCSrHBKvpNqLwirlu2gt6TNRODKkceY1RNrVDuRGku
8BhK5MrlVXQppO0kMNyyvDNwLa8JcEPSgoPWBHxoBqfc2vl14gYpPFTU+i8xzZGloX775Xn/B6OK
9rsRYL4hNF0VWISk5Tia/fmGMCoBG5aztktsM6qtEKZ67wec79APF1kplyOboxlM3xSr2DsOOnwO
tvj6mDIq8JcLuh6LygTE3FDED3lcIKvTFt6AwLtv4KCVAjx35jduF11kDMjU4xe++Bnm5/z/mhnm
n8FkfcIfRevXxGIyrxO/3NRZkqU8+7VKABJozBHcDd18ua3s8gXUydWzB6CZvoFtljYzwa230A7W
Q1L+hGHrr+BdG/gpubsiZZngRRx146YbCOjNsx9e3z0yO1n//R1/WJB+f8csXDYWDF1y1TFR/f6O
86Bg0DnY2BXHeO2Z4jsew5+1RTI51P1FKrJXU5mVvGRz6SJ3yxyoI+ki4RdX7s8P38JS5qB/YwEX
xrxS/3rhOuoa5jhW49ooE5YEjDzR87zWdvbVC338S59+YJv9w7JNA++lY3/ym2TkCGTGZDYuTWr4
+xnO36zJ02VZfQ+M8AjNFgEyxOeNDQE/JI4AXiTN1hpnx6iTzZJTgMHbL1ynj8alUmXmF46tT062
+SaybIcdAw8ElwPT1u/XwuMG8hmVNKhbuBXq5yDXaQEXZeGifaY2ZZRA29DCRVrxwE4/gya71ur0
QBH9Qwn3X9wgv3vY/vNu+HAY7nLd/vhkasU3Y69Dz2COoduWBWO//GUozaep4dQ8wmNkQ2pssMJR
/vL31/5zV2UlEJqt4rq2LOPz0xQqfS8yUKVurE+MVhsU9NzCE8QxAL4o2Etm4wZ4af3499dVZ1Pc
7/eIrToUBqoG8hgT36e42naQdZ1ZTuVyItrm4H26tnzws3weBqDXyc8QIsz+hhios27Wd1+8+rzz
/fHqpqRuMYn0ZU38/fO3zL6Py9qoXDXKmSW0d3TwDmXtY16wL9io3oNwunoOlmxFO/baISWMIQqK
hzJSj1ZRrae8/OItfZiwPr0lDawG5hzJSRO71u9vqZZIRbldwe+rpAc0I8pQ3f0wEw7Vd0vMLa2W
lIb0oIUDYvz2qIwRw5JbZ5q2813ce6QRIAjsijs9POajtnOShr/QvtK2ucJ5PCfK8DrlzF+44hnm
gMYuv1jq/lxiaOr88jN8eqyaOg06OjaVi4H0Bsv1BevJK5/09ouPb16q/rhWFggtDTeqzmbw+7Uy
mRoMkTZVruNXD3Y+Xokhu9GWjSROVM0ejNK5odp4lx2RXp21Evq4gCMJqxJyV/eaTID2ffHVHf2P
b4r9SOVhkrpmfbKBhhFE4LwdKvRwvQpYcTMp+hEX2TLm8Wq04RrF7TYJsqcxti4SlEgdtHdjx+/B
FS+75ThkFwWM69+v1T/c6ZqGThVDp6oh4Jl//5ftUuRRkvaiq9wpElfObU+trh7rLicvo3b//lL/
9ExTZDo2flT2Zyxmv79WRD6DKI22csO4AK9c1XcFMKFFkSBOYXJLOFZobRkuDsQL0MImpBbzv03V
+cX7+HM9tTUdo7KtGjpoMfHp9nAqqBtYlJkgOt5FJZg22PoDfe2jYo9XOhqvjbRuukB///vrav/8
uqaFP5oXldanVQXD66R5Y1W55Hm9WwWUa6UktSEQx7Qtn5SccJyhOPceQ8bVhAhEyug7qzL8R4QX
QHmBXogAV9IwRD/r0EBfRWDZYHRfXZ/5Mfz8+Og2Zzxd4vuy9U+PaUvbWZRNWRHF4Vwgv7z6avFU
AIGefG+R1pW6DIT23qrmxRc+aUk9bU+h+CtT8V3iLd7GQVsRKrHRHevCjPM17Crlq/c4f0af36P8
2A4F26JwPt1LsePnpRZkFdLEnHTCla6L66hqx1Ft7gq1eNAk902r5N8rSD5eSM4IEou/f576Py1n
KIdYdymZMU5++jxZPfCs1DD2pMjfqh4oCpMKUIlEQZhlfduT8Il3cw7CwEPS0AD3pvRMyMBN4hCh
LiewH4lvLArRQd+J1HWpgkGWDP/xDv60YfUsu+iWQshcYrHgeSi8s5LjdsMvNIliA63QIswVEYeO
TJcAzIi/ia7J7QySrf7+s/65eDm2EDqoHoOfU9U/PTLCnmOaIA+4RS/vweMORP6Ni8ghZ9oee6j7
SIH+/orq/An+/gmz8xIuwF0ieWbkp6tb9xpDkyhR3SY3kyUzbMZZ0wu6q7WS6QTbIBOA79bfppox
rLQUQJStBYepKBUov+Xm7+/G+POzZt3iDQmTMYehap/WySjyVKJmpXAJHj1YuUf4SngC8QRQ5jEb
/dOYoWsygSZ3pCzz0RLMM5ziU4plWwOuuECR8zT6zm062Gejg4wUy0UeMWMeEgO/GNU8k4NDLEhF
ZFrS1NVrUgJl6jN9SZeBxu48ZAze0g7jedgwIB4unWPvsxgWlVW7cuiujc/aICYvXJqOcx/45wK0
Goq0nqCU3qbPWMYPQU8wTwEPW4mrI2SORWuh9omrXZRGD0npX/5+2f74EC3BHkwRR9U6nys/b3pT
pGl6TkibGyQtyP+sWNKAffBbnBLgttepgtgKeAj5srH/npqkdQsluS1mhSj5Xf/tBvTvd2OruiVo
VNkfDZFfNrsgxTgryMV2MVbUSzpdLyD1AmQsaPhgudz0asNcoQBdpuoGyOselkBnNz/+flHmSu3X
G3t+F1JVbVs4PE8cg/j9X95FIkM1DUU6uRq81NVUBK8Ipzf+UG7ozz7kcmkQJvPF86v+w4uSTYPT
n2JW52A8P+C/vOhQ9IFtqMgI1SS7J/ePm4Resz7Q5UjtB+iuG3OOFDatNyUdackyKKveQIXe6QN0
d2zE+CgL5Y62822skjH/90uifX7YuSbzUUufzxmw4z66e7+8PSOym6gh4s5N0/Fsx+R2Of41Gb5Z
lbch7xLksJhTi5j+LauctErHRnjWrD1FbmYrnmi7czQayDTLV3NKXxTRPBJUiOkHbtoikvWhKvTd
39/z512St8wJlmWf4SiyZPNTPTfQx6gzoEVuHStot0j1+WCv2dP4hCflkUzDuIYJPwbOF1X0H3UE
r2wj85kP6oDXdOvTYhyPStskSji4jeEnS2SvCHm19Kl4j/T0dkxZjwfyWrfmpL40DiMsUnvTJnxN
s/5JIn1TCKpY1AbeRFoenK/tU6DiSIrGL/bHP875H+9Ts+b3aFOHf9yTv3yobSkDkgvjwXUQjzg1
tvJJrKM+vPVbDtC5vldCcTM7evSyJkAUnXoy6Me6aBFXmTvO/ZL5S1CCSsDw8PcPT5N/PIQMrjlM
cwkRqHCy/f15oCNdkU+G1WKs45+MqclpMDvQalI8DGMib/oWj7cPmcFUvRf2wx7kYhViOQFgyTIV
bQuLRTlr832lb3Cs8GClBTilIClu4QIuIzXy94YJB6rwHlNC3r66uPqfTzRFpGpLliKgMn/cBW1S
IoBjnOliW8AYuPZqQ+FInjFLmumHmh7/TAKejcQjiNYex1kXVR1VTAp3XuKtOy1G2K7r7C9hUW2F
3yyow/t9DnpSaljAs67rt4YT3IZMoOqqmJYM6RFOqueMXW3X6cV7FgzODnHooxmP1mYCDE2qi6K6
AQluRV8GSFuIRiGu6wBns+IZKXBVVuFO5AMBEyl9c1HiZv64jFGS2ys04ZdRBA4u5h5BRJjNEglH
bEIdxDHjNPiGEmpOS/LBYiSPo8xI+ZExSHMyclxn8LY0V2+SSUU9UhlXYUzMO8cGUZ+Mn0WjHsF+
ERIR/DSU/GFCFE3affZuGJfcsufARdAyWvSqqi4m82RdABUIvPzWsronwhrQNunqATWOvpwiXPoe
gbgtpsta555oQudSDPjya4O0eCYpIBzU/t+8PvByqesXzsnxZvZvI6eV0WUrun4O+YWlsmSsjzRd
eDeOPkSz2eZVF8N1kIjfhoQtyZDDvnU0ZQdJBRW0fSo67lUz1nDLeXl1Rga8KCgkFppPl9UT5FdL
JeDtxSbCG9mUa63GsTJr14yIMWKZGuma5ke+bM0cAYs2vrQTl98bcbV93D0Yarpl0vnOogsrZpFB
HS6B7mycmhh0y8/ap78/j3+cDS3Bjcyhg84GKJ0/NgAFYlBkIGxwUTTeGb68HyrrNbeK75CaloMp
3yFRXBFerThKwJJ6++LlPx8neHnSutEO8NKaiZv49+VgYlYr46TqXAU19DIddAq40Si3lr9KLTwG
jCOrAKpagoR7MTYFGkr89UsOrF/AeD76OL9XB7wTW+DjU4FWUR/8/k5StGp2YOIxNpwx3GBLFX6x
87oOht9cadcIOFbGBOO5y6JbkxgYgXNVt/WdSpzKJk65rZQdCRjxteNP4ahUlm2PBRjj5bosaojE
VYwwwAGFWA4hSqpc5eZx8MpaRkE0mh6jqhHKj9qcR0Ef/7A9NCetfQ7koG0+ntU+Jdlu0gNSdqsg
3zgDTFs08j0ZJVmF/Vzvg0vW6e3JbFEvI5UCu70JezHAZEUeiGjSdBWz3U2D0G9RYSFls/dlXjpu
4ZCn41s8vxJG/RdF/D9sSJKFXZOCWR7aJPPTok8RA6C/B0kAPZdAS0TRWBBOpCNy+xupG2n2TycK
YoSTDZ4L7aegi+HK1rQP8VTaKz0iJUIOO6iKhBP3bf9Fo1en4f/HtkT1Y1OJ8S4dnSL1908/UL3G
9zwaQqVCcKdXg9VRvESbq7AMdHe/rAgVLpI+OOnV1sEwd9MQibrpxrG/h6G2DptWnAk2hvFNMSUr
bN/DREIZir+N1pb1chBTuvdB+XOApkSgBlSH0rnrGyVdOnpVb2AdVIuBntMWiOXadFps+lQTC82W
+nZM45dwmjq0+TgzphZvyvxfuAw7rdZRLcdjsIQxDQFedebwIdYUB7okZ5rXcbrhlAPatz2RnUXK
i9fAKFEYoUVTtU3bjFnZvAVDwiCpPGodNxrtBisQi057CWKxKfK8PGoDZV0aJCOY+gz7bjxx08TK
yhKALUyzWASBHlzMSfZLTcFfg5wJZVOY9etk/gxVpJmChAx3cpRoBYKt3BBftEHE7p3KWG59iwyj
GfKs6RNj3aTnkY/ctIKORfJLeczzDgr0sNewhC4hp1ko9e0HfPuDG48YLrw6JSi56BDOhNo7nlZB
tCKga/t99AZ93WFdnsqMn1eLaJq8lZWT3hlakn1zOiZ+sbMyx0g91Y5xBLgszwZKaNdP8/ti3nNT
zp9W1RAFGZAG7bDF7WoDZ3Dig5v3tWhOgk16hsh+ipQPeFjcg4aYXy6qOG9mjngPjErZgHFWN6Mf
Pk/Bc0NO262iGW8kE4wrC64Vjo1RXRLu3gExCW2X3aXeMhzjzO3XjivnQ1JeRtMJDg1JLeUrjbrs
PoE1LpL6Eoix+R4X8aXbDhQDuzRBoZwFgrz4EYNWFbYJMlUiiUCTHIKRLKeifgdQxF3kubbPQ2VP
2huSHlhGkNgmuBiXVMMEi7PlrJkTZ100MQsb5u8ulH52C21paVv20jRE8oANRYfkz0ABlW/lYGQN
p5dxLjfrXjdeEhIxFr0VNa4eFyjfp0A7qCWxj0Te7evax/QTrOrQjG6mZHR9ZqTg1PksOTRxBwbB
fjKcB0Swl8mQCFBFRQa2AgU7CD3nAe/M2JsHQt6uUS61TezlbuQQlcA/qM9SrN5NgaduUoS8umwX
BqKqu7S3Wxwz4hqV1m1ujA3+zZLXc062GfI6RBtcaWZTX5Bi2pr6nRL78pY82GNAeCxRUKlHHkAG
4VTDz+cB+birCmzIZTxglCPY2WvTYV/Na6vtG+QYVESuNGnSrzK7GqBXiXQPUJR6aROPsfI82d6l
C2M+KBNPAtpsiyJnfFYnBJ5Vq0zbALXH2cSOKtvJvAHsS9C5HhzKXLv2TiifecY18BZAIeJ0F+gj
aXtmFOwys3tOlWLcGloGU66uMWcGO083U+RR05rExbXjx6RZY8BX55Mbn1Jwq9hkEAIsOBk9c34l
/hZqqAFGp6tJ8pmeGNxr17YXnPDkXTnk3a730nM31SF+RG2HR7racpw9BEnUbwNBMGUP+K3mx1iZ
OfYEzk/VziBb7eM7tU4fa9joJMDQeZn5ewA/MKnRXnF65n+Nx/7IAwL4ZUwuPT78nNX4iiRghwUY
Yand7yNOEguPMf1OQBjHAb8LAgvcdsGiGs4VblE7AUbK4aLk1iVLy3xjjkm1bXQ+AXBRp2Qkkb3x
61kEvP0oxUYOvn1EKWjL0nYrOgfgIDpAWdlmlBqnkSCotr4efK8UfMjIi63B86AKRSmCBJGTB4hH
NCBO82zp6b3EBTR1/CBiSnKyIskaD4Xnr9r2xRlH7dCIsWUrDmGk1MXBmL/IEBG/M2TboFSNvW45
cEDywUdym27VzDePHECB2ESacXyfWSNCm46+1Qwnz+SLz0jgxosF/tUcLEOmqruSBeObGav6YUyn
h8pLg4t0EFB0Irn6hZ2v/KRv1x/ftqKZOfJpsUbU2K6y2C+eK+w4oVLv+tppcfQT3WYOtVhL9re1
j1p0WTf7psfwQoEWUVZupoISo+mloFeKBTKKAwWAL4E5HnKhtijpI7aKgUehdNZ8OnpCczXOhks6
EbGSdzNC1yluS8t/sA0Cdz/YuIoCltKfUOtQ+RTL1o6sdUCYxEaKpl6hJxQnrVBe2MfIhox/TmZu
uL0NM6RNIGbCKTQ5C9mhQ4YExLo15/LnD+KzjNpDiY92UwwgecoIkaVtbIRW4caOvGmfpQlFHRO0
qnw2mgKRLRlFuXqfjhb0uY6Q8nAu80fD+cYOJVc5g8pIjwaX3j25FHpGPHnYYNRrS0IR1N0HUByI
yy1eBo40lQN9Xk3uc2PzcTyBsnjfjpkKPgyufNHQlUy7TWNyBZswICxSmLdJOWIbo1oLa7SqSHo5
BitIW8agplZXwZ/HZlltp1wShBeTWVh7+4HQuZWkp7qpJwoauPA03OKD04UHzSmvjVWrhKjAk0jU
95LoeLXKWAmAM5iAn7+FhiTRbGqbDRxzQrqagZFRZJtocMK+0a8O3JKx43RVYRuYV2iAchaG1pDg
hQjDLygTvXUxHx9E0P/UaowpfgojvDT2hWcai7rCPB4x8Na1etfkE2gJ873QGzbmAu2o5lTKGtNa
sILXSf5dPXnr0hqBv6C/1pLiWKTZQ+OPL1hXpwXhJsQkWDpt1owUiaxwFoNUvU1koILl23aFLhzQ
uC29Va0SVTKo0yGpkAYpKX7dCSvnQDafqEKJ00qUh0pWj4nn7wMVGVqKPEdFqyIF/Rw1xbjQOQhx
lfqgEC62iUlTWhfQ8RFABxAJ1E1cURNVseVG8tGYmasfZ0l7HcYNRVEKHpZRM7R3+d6m6qzwd3ae
Vf7Q/hdfZ7IcKdJm0SfCDGdmCxHEpHlIpbTBpJSSGRzHGZ++T+TfvWhrs95VlWVVSRHg/g33nktY
PZPoZkqoP1hgjZ8QTfOL5VNKmovg0NSS3ndY8fCnpyHXzp5xNJwWkuvrFrUTQrPxAJmlj8bVLk9l
ud0AZ4yxp5dPeWC9KdP3on5CWt/3HZwSowpx1GW/s2EQD9KtrINICapSYrnMQ+XtYUj4d3P63lW9
c7Toyg+j/eqB3bo8t8yXX3pkysVYUY7KteHJ3dS9Y1e7sNHG3rG+yL7hlIGZsYII50ElvQ/czWPK
mjYhYuF29I3ueSVoJDc8d9eBLiORolmP0OF/BtwBJ6tSJE5s1TWad7TjfFo5fK/dlh/C0BGeBcpN
hUCQIPlHwbXYbnok0uaCl61M2Rm1gIh4rcxfs2vI/erN3V5SDkadTI1D2BGYwbq6Mor+5t+bSN78
GKHQq7DxrnCqcpTUuLFISjbmEpO+vkpDcqJOnbeS/BwGHDnZx8wifM2fgROpd5AcnhZQIEQYVUkr
6nvQgy0nP9ERFlT+UG43ftYv0YjT77Tk3gp2BqM54hNAbvVBTyvJmSNLWQlVLLF1+NtL04Y5yFDe
IGe2T1btkIejvJwgEIsN5zjfL52kXwLaAM/Te7CuduSqzUEczusK82AIb/95rXsl7/E92hfhGz/Y
E/n9GvRmqkAnIEEVDURdR0F4tZSyMVZZVRxLBA1pdZ+ZqX3k/gV/Vq7q2Lrv0sd0X1UEjc45QMti
Dt+NGRaSoZzmIfA+ege8e2fW9oEskjNpLBerD4miWEg10lX3azGd7Abtuh+52YYOMRixkk7reeWF
JHwCZzE1IaOA3kjJolHvbYGqnreNroMUy8FynHsyno7k6e357Lwb9KHBbTgU70uf45KzUu9Q+i62
SkoUY2LTQSvJNQBlDKyai7Fi89aE8BGS+JTHxVWNT/+egN5pj+mqf0Gl/SKn+aMtcpXY11lf7XjP
dvE0ThwRna7gI/olUNYsWMGjuNaN7T3Q+ylGqqDbwuYrszPvcQU9EQG53wuZws1bql92UXaXBidq
aIbPObg6Io/Gew/NRrJdUR5L+tqXXbezO4ia/36kUGbGjkXsd7XxCbaF6E94+o9kWw/ubW4Tdlms
TE1mzcthlDhD/92dQUv+ob014Fr6w6YMsms8rBPEyWdgTcZ3A5hKMrWMM8y2ecsM1mek6paxGLYs
8XPyPOtyUkmnAK/iDSCfCIvZhCt8LJ8NwWeZZ/Zy7Mz27K/TfDFSvzhmO53b6kzy6Hi5mjIz05kS
1h2ckwZpaos2Ewhq8jeYpTVVNzMbmp2LWwHGp/hVN/4lL4PwcZ2bU1/CMnCLFhpFnx+4tIFaMKp5
bFV7u5HrtZ+ho5FdVlCme5b9OLTIPOq13c02Ptuwy4+8VeZjZmbuOTDS36ssAe3m9i/ErFSRW6lO
fcfoG6G/77hnQ2Z/UoP+yFJ2Q91TZqxel6v/CpKf43+m0EYO2p0/HbO/plQOVeIHZBCYLgNJowwO
TH4J6HQJg9XlzVAoXmjRvhjWdnkJykAlMsQ2ucEQVE1266B10nXYJVsrPyYFwD/CQHGwgmvJHBbP
DH6+SqJkwMAEt81AvIF9Tz40KbUNmQ3NiI18nKs/OBuX8yJ59NpieSVJDb9bNkMYmPMTz+CSDKnN
EHRZ/KfllamqdW5z6lXfE4Qden/ZJeozq8ohmXTb7atsSYDHxL7lbAA7SPU1tE5G+3Mo+ZZKe32Y
RqAkaWHepaF+Upui4iwbzDjyp2fpFzsZzBlRnkgFfgquxPXRy3wC1fTD5snDLMvpLLptiTYmHZGn
1e9MOsNeD3a4rzBlWzI/EMOFQmh75Gw4czWQK5dhiClN6BBlDXeMYCdIn8+EKZHj6aPQXDtz3vXr
hJFW4HHXqJ4CmFQH2xqPIkXKrFn+x0uOSdAw6bm94ls2+pM0FnJ6WJvEQuhnOldSXAXZeuTScdkS
8NBWuFJG9y4MAInWeYiqdpo+akEV5XniLEwMQSPgSqk64xiMzuMUuh7ocgohmAJ3i7nMp2z5asrh
GfutSMr3Yu1AUIQzNb8Hayet9eNUcMuIFWRX15OxWhpHvqSvWgNx0E1zLJkfUDiX716OLX7xGzsO
heAKhZkte34brtEgqtcHxq5zQt6YgqQatKg8w19rb0LJIeIsVr0riQfBcabI1WFnNke+NHD14tDq
rGyJer/2kq0e8RyVgE0nPNUl4AgrIM9UI6MZvXc9Lr8DwhgeysSWpOGG2Qi6b1SfQy/WfUVDHSPm
DE/VlL02JL1Lo6kINSlwnC8Cp7MJqIfA66a1uz1b82G3mf4HmGpM9RbO9tHF6V9q9e6nZMnb2iQb
MIX1Ai/iVJXDu+5ocLKhONpy6aNZmYgiF8uPLIZ2EKDVHoQCZyDYWvsa2Gx0u1qUoF870GsThlah
bI88YJBUDHAm58id25JA43WJJ60dF+KTPQks9IRhBqXrn9N8fam3H7TixaO24Bsjauf97EhXo2JN
Uy7qAGEQmlvyPKjSd3MNRD1N3RF9ucGwAi5gq/VtVdjykLamGxv++rSN6lDkzhPt8EfrbWDlip3C
hdPjaTWvWgGS1juzO8hrrKUKbunz72sruKnt4tWaAFLRIRWtRNxvDzB8Mc3urNDlPJ/mX61TPmUW
a1sktLxFPahpqPEPLE7fDQ2u1C/kh1fb1hFkO/x09j1kwcEf4VRI2bk5+ttw9CXfOAl7asKIPucX
UIYLH2MDVAX7lF3MjG+Zb6RrVSWq6B9mDGb7bkZsgEl/YVPl/aTOKi/q4uI+eOwa53dNOnk5pMs5
DTb/IaUwBwGBXrDPA6xsXposur/GolCosjGLdEa4EAd2ihkNuFZOEpylCSqb8Da1Q7ODFWm86cXr
D978svabOKqeqsHoyWQruOIJFkML1Dnr8lCx2uHq2m4Mk5SzhjH7sRfWnSGrbC+3MLZWg0J7lGDL
vUxG2XL2BejhxscxzbJZHAavz0+NNRIzWisGqNB10s4EPqiswxQWu9knosgxQMFM0GqVML6dLP1x
RIureoNcT17Ut2wXOyr96nmd1t2SvZpB9rsmgT2uB7aCQnV/nVx8DOnDsu3CqYdL5ONStheNs7jz
PhjNEJg8Vq86dY5OqJkVN/1+GXqbv1jrXYCl62Ct1dFR3Aq5npoXKyPQeAgvwh2sR+3RgzTXQtar
zK9TufDPO5DNPRNZAmrhF4HxWI35sM1UN6BPftU2Zyi/JwRLQTdXoVXAVR4mdkXiRIdSjRy/X1ua
Q20J+zdmXBjuZP2zeOME/5nLSAuivLo0UHtuxuCQgfFBD1pmcWY21b2zNAltIhG4KsxfJ0ihe9XP
Py4bOtBV5prkTsuE0mN+XLAEYUXzVlbEtztyZAxvFH8hVB1Gud7iDrfPld/9hfHOiwWjgU5LE8pD
ODjoA6afc6RT0CoYX+9KV4AFyeQbbepjHeCFaI2VdUq7EU3iTXcufhwCLMRqfo1AUUkPpIIi99q5
TPM3k/nuknWxRUow8IT6NFmNEU964UkejSM+Yjx9bP9cWcWp9tEJKD/Ys6IknRpCPiGqMLDF/P5v
o22EzKDAiG1waYzdv4pcMnU/MLfCjlSlmDRbDDxTaSamN3+Q0LVhQXhLLab3ebMWMaBWScZLBWxE
uY/hCtexNfZ4keF4zNeY1mY8wCj/Wgx5alpOvqkfaHwZRHg5PXKHWBc+CDuI/CnEgc4yWnZFzec7
N7uiMjEPu3GfZ2yd0EGzze35x8R3zUyi9ojg+Go/AplB0yyss6/YRMhGdmi1sldxTZt16FK7lWtK
8cBcffzANJdEjc+l0sYOST8k20I85J3zTe7gyULObbs5/C7fQaHlx77tsf/s+W2yqpdxsDIeSd1P
PAoNjfn8boVH3kEViXpFjNIuAZVzfSir7L7BQ1PnZL4AHoYgo4MS2ox8JS+4Ptsm2s1mrF64LR5U
aZIGrCqWDrYBKmlc9ijx6CR1xjpv8Q6TMm8G2lsNEiLI9N926PkEFRFthBBdKndCPDOz6kGGlYwV
YA3BvI8Fu3ek5PCZDQQREreBq9VJcej0KLAIxl6zq3d1ZJRcE30Qj/rDUGDpctPlC4GUwsXlfwG/
8vdZ9lKlbZO44TRHWDsuDvzNpHYpeMwRo4qtbEhZ+KnRp9145qHfqwZhddlVQ9IOLo62uj4OG768
fLT2Q21d1zi4ul1+ACtzKKen6TDlQFWLYdmT0vfU+EsJ/K2sk4FjRCBnOw1+/uohnrt6puvL2L1A
+OtukVH5+nN1r3yEoro48zSdLeehJj++PGVKD6+KFEhNEsi5T13Q52DRJtWiw5xoNMAqoQLn26G/
lacNJqtfa6Z/LcVqwLk2WkZy3Q/vJltcltr4wMnqHpF6fpagstkUsFq382e/KM2T7RKBbmfrSY3K
3M8d/zbUAi3tm6BAepPNwXczF2DQsjQ/BH7nfpLSAWQXHsgeEGRfzbiDVwY7RlFTNBFCwm5URL0Y
CH3fsl8pyWJVm3rJQsErMnmBJBMgfCgVW2kyOQH0GT7atgwHO7AVWHDEGLwuNpsNlPkiHoEjEwFq
HbMuLHcVdrodN/h3PSsqU464mc6U2bmKVyzkeUee7XVosAo7uNkAnTNQT6oa1lgjRv/GAmMxBLq7
TH+v/BCBBvK56XiXQrnAfbJs69aFSRf1Tvbt8HOXqrt4pnG0uMEO1dRbkS4aG/k1/x3oKNledPaL
DEdWJwBEKQBAH4xOnig/rZNi+KjC6pIR6t0UM5c09soxq5+Fnvt4WBaBLX482TwVUGEitaJaMzTT
LGBYrxZ2aqfBS0R9GW/N91gsAcUouqibzAzlcdPdHfy242r4307T/V2A40XgO5D0bDvSUIfYZUoN
T+oUcA7vVoKuEzvvnrq6pFPPrtPz9EsrXqcJXNMuG+CceWyQTuEjeEK2NEU33VpWYVFDmKyiBNp6
s6VJMOqWsfCQNjjhKb2ZQAzUwC1iJPZ9TA4LUIjF2J4Wjz4AjwAXreCLbbHWYeYnLcDB0hdL359P
JSJGWA1ETFThp7PN6WNuVckozfCkDZ9yNc/vO5NsHqsAtWSUjKbCoINO3LQVgzvhnLUhJNbvgvKx
uxOGSU2WSfMqJxnjvLKyB3xZkT/YwYWMrP0VkwX2yrx1U7GfjPWt7vkB1IKt1i3xdrXwB/Z5gJq5
H43iMC2aVMAxJox5eVjQOcqQXIIFdUCUXyN8mysHbzK8I5Ry88Wypl90+EM2uo8jT3vaCB7AjnF8
2s/VPsxXkEN1qo+hHp292ZQgKU1bJaVLicj5BY6feVTEFi4EqZdiwM0JMrArp9ylGXBvtyicfQmQ
huFYd5FUy8G85HdECdWRc00PFhCuVxJfOwX/Hc8rZ01RP7OPhz6yEtKEPTJ3zPy5d7P3f6dFbXn0
TykRGcZYHE0fv2vWvJMUrZ6zxr0xRHiqlSR6KkcHtwQdPJEKYuC0qjWCOpHMWPnZXWYsx1kFMcoq
9k2GFGIgD9IUzWfhlAPdC15FfuXPUAb1uRjGI7BgYGcq3xuY/vn3sGuSgMsT+U+nUYMdjgHOR21P
fMRg+zox1/JxMj8nJ5GrazNFzFi4+svRctvwkHf5my63X3nYdSdKt09HzDklvzjJNUWDjWM4Zh59
205ARnxVCqhSSl9nj0ktCv9hXZtXvlHvNnNHOm64M7NZvcuyuH7vPUZcSxB5i4d6720dQV+rYcYt
QLVL+p8R2pXnMOXOPYI0zY2v3YiLiZhq70NyBd7bWUaT7fbunZFBskK/G9HjrN/12vytVjoeuzfv
9SID2KWC1wp2pzWG6e5fP5CrOfYXnV/M1vkMrvQmSEqxaCl8hgGdwpxNAmyRzzKdOspjxB+TITL3
R8fbfg8Ld74PjG4ZxB3usOLQav9RrzwcIm+NmFv0QKpTiYAt76JSOTeV7Di/ywAYMsNaRVBRlA6M
/2xYdJQ7VDKjpyET6TnGR0AZurQl6TYrLPkqSwp7RGW4goccuZaybtvpg+m1OhEqOLCdaO8N4ocS
v5V3I/nKNN7ezjaqH0AOLMPn4i0t1JOfT8+rNpeIzfl7PRQPVTtdd4KkXtWK4XE6lm+9rN60417W
NrB2i1UkxQTuzPWAm65XMGrWCwIH2M/Oa7QV1Qu+pH6H8/bvIj0jmsf2bKvyNXP6j94dKKqKN5Mp
IBcovvWGqHrH49cdsuVZAP2i2Lh6WzLnc5LOb6f3b5fe/tJ1fdkk+vRynHOaMtYdJVlCDF1OwGbc
hJPcJsbGfibrxE3yZvjDPY0sBFw+Gkjz0LqK3SkYT1p3cj79p6Zx/yq/AGnmRkXl5jeIn0kFYDFb
IxbR9CR7Q6r7zqcyZJYNk+vIvRvucnc4Ve3oxDYTM7iDxMuLJ5lVz+3MjWq2/rdm7d1OyCwtH2B9
TTS3rRFZbOkS2R7dk0RcHmU2i0rHgmujxr0NW5ePvH0hnHSvF/9v7+VvpuLPTvaS88fkeCYNjzeU
59vku5q94WCn2bKDeHqfg8qKHLf+CuRwE1qYDQhSMy09noeZS+mamlMG9S2usCciVHnVgQkcPPXb
HmvvVrd0oToXu6VCGO2B+UxMGZJfQm22UNrY7OIidMH9Hlv8DBx5ujeQ5EQEmDsxOQCIy1ayWovY
vmZJ5Lq8H6zwCSCgh6RGRORV9bumJLFsNeDytNvRLjSYEgdlipTlvYP/affPPW8a2zV8xtY7Fh3s
LFj3M/q6X9zXXMMGFA6KBNc2L4XBvqjGiNfbvKRk9gJh3BfbWhzDdr0RYheAux7rFhWIIOOP0huC
EhBrhZonB0YgJujNE1Z/AzpklDHiFqzz48agGDHnZtmBzYmxF18pBM1MUIXiFLcH9j+SkVSd+Uyc
JMTkdKzfRkWdGlrMmPj/0QDvwpQghXHkTTUhrSFBHH7PVF6D5xtA+LBYZBOZfqJNTbg0/JZb4CWj
yeJX8KpTxcDISvmp2TQALgU7s0Ddsl+YJZG4qNj/lM5schqHhAgZ3yT+0kMz23EID4qXjDF0vinN
NLRmygTgNDZmfRJW+6RIH4vKNpt4Awxz5xcZsj4mpXfTTIp53QrkKL9cW3DSwW+uvL+FMp56rBpI
Olfmx70mbbj+CW3bi+ynRbc+K40aDpHLxdlj2bAzfZd51FqZzuxkvSG9grAS1b23Yolz1342vLhu
y0OVjXuyNq3EDDHlyotgqy5r86ewMFigwS4jtA74vJvpqdi8H38ZmTuQ3it8BQpt+ANcPp7VSdKJ
M6XiSF0gDeIr8hKn7pkeeSU0CC92JPuuqUHtMr9izHomguCuxXwWZSYyM70Wt2B7KMPW9ry1nQVE
Xj0UY4eWp5mZEl8nNdv24NOWRwFTceF8rLqMkdDKUt+pUd6VGLB2YO0x+NCGCbjEJtm9eSNv25SG
ZeKrCtbO35FSdktoHNQdhpFEJdJau6xy/JbDLPhNyN1p6Nzq4NS0XRYjj1GiK2KN0d2XuTeQbpz3
nPTzGcLfbbnZS7RK+7Mapuw0ljgebAT5EoO8xxJMEMLE4WZVsXRXloHD0agdXpmWR71up+9BvgbA
6a8kk+LoF6aDYmB1wISRR2Zt+UoUPe5wJHKhMRtYJ7a7ShggjKj01omemesHGTz0e7gKd+gjq6MB
JIOX2KU1HotniypvPzRAAeoeJ5ZTwOC1KNLxD/qMWNdI5NSqit9BlZyebFBjarEPspyA+Yb8EMGs
fjf99PmvfpCsazv2dr2JajusMfl0sGN4eWv/YGvPOrqSzqcS5Hpamh1c4a/zN3F1rHKqR/RolBJ2
/+MZwv7tD1AyCGSbXjD3bbvaX7cHiSXQHihPFFlE8eD3mKq6/r3tfXlVgstEVfrOzd0HF4A+GQX1
PkUlFaNNQbXgUvZbs4EI2PkTePoD9f0Xbb2Ka3eKnTWHKbLSDRN/EnGO3+i0/KoBTiYenAKg1ns/
Y28jR3TV7IWPnCVP5rwcA294IVKAYlXwsU7eLtj0Phv4emF7gRKU97pyPtq+POpluwC+O1rBcs5S
342M0H3wCSuV6MKvHfyQgL+i+pSMxorPwgr+5DYXTIiUyhwEwgVfujHS3kOamfqyqnng4UPUSOpa
6/SMVgCHSz6GfTDqNwv6DYjYXVoN54w3FzEOi+LyY6rCx7lvf/WLhE31GyA0aHW2/wSVPNkh0ihw
MsAQrYZbAb04Hv40Bn9647FaHlV7neaj22i8x3lQgOhd7oqMVbJMv5ys2vt+sZsaTs6RgkyunCLc
aztnVq+lSa+49SbxZ5V3XFiAItVHj8Pq9wwYGvWONb42TvvQQ0iF4Zx4eVLyOUaBIYmHM2nzvE+D
YeEMm9qdguKKp2GxKgmgb9IxYjFl4rumnpfLiUV9rtPPpdHHYmp2q3wWvYkIX3/kg3gtsvCXBKPf
wo1dVvtmK4fqGITZsRmwBtC40NEPd712xhs+rZik2HJH/PaNNCFW2QM6wcX629fzsLdnO9hIYRFk
1c0hrgqmgBqkzXHSFssmv0ibs9fW//OXlPrtf/89Y78OFgdxGdbagKFFWRJZnYCmIxCfNefVkxRc
onn5T7Co1/3YG3YHFYR6Z4fWm5VP9s5p4fDl9rUynb+RZPfvE0GnR756mrP8GCLdeKIzjqje6dNF
M923DATZjxnBOWDX4sICdlwE41OgIH1NIFUmCvtY5V5zscN+50utifjuCUIXYxgrs/uyYXWEmnMt
XEcjHhh3B/32GKbcvkr11E0kRMU+nUwgXIhl0zAd3KsLqMhLUitn12KbRhSUA1DUtdHBiBzRiHBo
mf79M/5F2yWeppGauKZt30KxinBurEw/F74uLfUBla8GC97ep7XXRz4iCmpPUhnLgKl5QSSosDV3
/0SmabcgxbQwgnddeKeB1bOhdy+lhWhC6ObAyliN9sOS/V2XgWGntsQeBJ68JT7agSGtSZ+FfffH
b1COuvwCWzDdpHDF4iHYiCwdc8LW2TlBUl7IqqSBITh7T1tc7VJwwFGBoDwuaXxMEFV2S/alQD8C
Y2h56cXCQ1cUB6AQB7Mb5ngewpX8AvFgyx8LlSkmki2UA2Yl71KMW5nUIZk3fdafnQTdzEuOtu1G
NyPCmnwyEwsh9KZDJiVqQ4qsvnLlHVzp5xcI+mdccu9VRrUiEaNhh4R0Z2CGaTH+YJY/2Z1DyePi
qras5cd2RXpP1gvgfYlDN636F3bWryM5OHs0KRjxlvSJgQVt1tj9ySv1t1zWLx9icavH6mDydsZN
qLbdEJC1INFUTwPm8kHn+hEjIIs8y/kB68co1r1UHW+f48oka9fgjsAab0g3YgWL33mFb2BZ3F3l
sp8rNpfMM6vHK1P8pRefruyWdC8q2+INDM+uM7O8xWw6I4XFtFX/7ouZhzKQ09FozeC2k9xqCBjO
82w99FMYHod8XnfYRso4ZGdDPFM3J5MjvnkCg91/zBWMzg8OmwkmW2drI5+CyQZCxyvZz8g6LpQJ
eIPvGhDmQYrsYCZF7Amxa2M3QgBB/BfbnkOO00wzppmW0qOvqiH1TiJerVqcTQESfJn2OXuJg22y
pw710hxQ7jKfyG6bjpgmQ7l3hSusIzD3n9Vqt4hTqNg1DMAdfvhSiD+UAjMf/M4krOneDW+Lbkjv
Jmkxo24vVk057eYdTx6l1WUgDYyBrkkciF0/Mp9xad5EbZ3W0nmRLOjkNSOpxPD4uGj+0EytSlXu
JeVQ/rVkW53csWgi0r3Xc5/zuepfKALXHTldTdy49d+a6ai7kpxtgr5yo7rjwXU6uZdq/ZP68ssa
COpqRY4cQATos1D9ti6q8WBAFVmHI1Vxv/ANYC6Uk/s5IBgpCneFUc5kD2eBYE6x3nrFSJwZKt2o
CYpPO2s/apk+WQLXWmi0pHWkADlVyOm4aOuTrFnSaXsHsZyz1nHpExLozda+2fJHYQK5Gil7x2E4
Tluo2TZqzSKfRVaRkQ/nGCpxMfWgT5lu6D92PiSldsmOLL9ve31N6RMc3htp6r7uv1aXX8uo3ESg
I9tfpfa29yRn9d2lc804mWK2YOKmWH8s0yWjDo3LCld/x3J5doNf1dTovVJmgE57vBltVNdtwcBR
U3jCk94RutJDBdXtgbw4VuFMpWF/HlbBMKj0/sx8ygLs7jq74sAKRLNDwIZejSMqtw2uTJZf9esv
KGehT/p6hJW8POVughuSTmcDgsmMqVxzdfAtvhG37kpG79hm5sHjnnGsuNDjdkBJj6MIfax0+KNr
ns/ndRPrIZ/Y/zMOwfE316Qr+yZDKbSw27UfKlzgxEv/hhIC9d4/LPyNubV3bib/+GaPDIPMGG8u
96PYQvzM6rbaWl4aDCTz4hscc/NtzWh7120EJwwBv0GYvbLni8oyL6OOL2TJ+lPXXgdmjf8TDDxn
V62l5kJnokpiIBmjd1NnVVHRl4zJM/WZjvkZE129d2r+Pwx/qTdBNOzNgUwviiZJ7m9ibkYBet+4
X0fEA1mX7fumRrTjDg/8njgW3UtTUQOa0Okox0dmRYvDFIIFKNkw2bcZAlUegmnnmSDBhTy5fKxQ
iCeMNZuGZzqzlHHCT818jRk55gTmVf2MCyEb2cSZXvUzBp7ctU1IkDihHJHTP6wVWUZWQ3TsPC/3
BFP9kZ1rnPqQUM9pRIhSuqaTqHIa4ikPIh/xks+OlAy49dWo6/42mPsiYdxLJsTsc/dm83l2l4ey
w2DiZOpm3L7zrJsis3Mz7vyB+satboisQUXQbHQcqSAHQ9ACgvd3rht4WOFgC9qZJ59p6SlsOPdW
2nJGvdvB7fnvNnkxUPyov+5EpswyiTNK5D3pguazYY/YVCp2UGaQMuMJlyflkdCjGzN8HAecutlm
Z+d27QaY74DerjbLIk3n556k1DMCiIZTo5BtdjtzgpLZSVqpwj+eAqZzCgCryIvfSzz4iZ2im17r
7wlZeVwxoUXikeOhHPWjRa52qFD3aMXAwzKR9ovJupuy4HEzXIwVDhLgtP0upmdWNYALQetoBndR
vqHyGpdQkEg27Ie1/rKH5VSzBjFuBmd5t/xndGhvTPWmXd6IN8O5Ts29ASWYQ1b61bZw1Uj+0207
K7h0c7mIAFgck0XyF22WeIhdYDTiXViBe5+M7uoegvCquHIHDFJeaT/O7VUuXA83kMSxP1isUDIy
SrrBRSrDe19WfwejPxIWeo33QkkBRvzPyHLT75v3RpDXRsWazt+hb97PZ+ERTQf+Oh776XEJu5u+
oNApjOKrKJcnLF8X3JK/vMB4q7DjgFbKTA8XwERig0vImHhRhvrZyR5j0dxv3x23ZTxcQCyqxGh6
pn/L8LXQKjnVX6C/Q8QGKfsyBMMxd0biglJuMIh4fS/y/ssX+s+aqT/mQiq8IKPOXng2RAe+DWbA
1HFeT9bBtbBp/WNlNEjjto3Zz1TwRXqd8VrBD20DEm8t5zDVQHrza+JIWv1xrBSx6/gD52Jflfgp
LJZepPNk8/ZiOfo3EFRWOuyPOkcmgeU0sVnPGNrCkJZuzded6z4E7nfBMMhv5KtpAWTHlvAoMp8P
xvwCJ8LZINXvpXCfHEYPegs2oqqGYJcLPEAD48C7kKE67Q6I5ENuEzkMJrg8+Dz2zImWLXaX6Wmr
YdRdP31j4mLJ+KZxpRC31JXE4qXYf0H7QMLQO0sxLsbxViStx3VEzXKklsgU9XmGKpG4iPUXzIi7
vizU0b5mxHio/ul9UZbPdXm/maNzcdX8VAGNvVtg/k8W+ofCN06Tsr4bwjkSd5bs0uyOQn1erKh3
WWK5aJWaDGz1wtMaBBCyR+x+ARkL/dpCHK8ZVuV6uLfskTQkJVErb8Phn3kDJDwPQuc+D23gnTBw
MftTLVm30+bvCBbh+F30s5PZ8bF0goIBk5ZMsJ9EyhDznwBnMcIf0RvTgcV0ii0L6QVeOWLa24z7
iiHLddVRTvyKAQvITgzi2FYhzvMWe3thmvnhVRR5cNRXJX+7FPzh1a93FjK/JATPvTfC4stiXhcP
ZVpymNRltGyMUAiHopROWXwEVvG0EvB+bDtSypQZ7o2pNPYhs6udRGy6I7To9O+omWWwHT2+y2h0
afQL2qYL9aJFZVdYydm1WEqUavATfzRwrhjzwLMQJD35CkVFP7T2f6qpToKy+SRkkOl3RiVhLpux
Hxirx4Hgyh6dgsgaon7smRgkRxFB55Oms++qjAsyD8t93zrWXs/2S83SLgrGoqMdBXkqjYWdFTY3
yx/tg2+0+xCPIafz8JrazPAKtqF7ARp9y5DO/P+Wbef/EhyuCDHkLZ7vmVcI1P+2ys6GjZHHtHrI
6eXEeN4623P3XHM9R7OffaQTYBfXv0lF8Nw0bb5rvOJnaRxsqQoXIxPC17Ku7hibEGAHPcHgNKm3
N2ko71bNCDazia6tSJ8YOZ1Uztwcwft+GggLnFXxNSqJzee/2DuT5biRrEu/SlntkYbJ3YG2v3oR
gRgZwXlIcgOjJBLzPGP3P1u/WH9glnVJVLVktetFW5qFiSmKEYwA3K/fe853ikTDfcIxrpWB3ND/
kMtsyLajnvv/Gg2FWIFOejCGuDg2TLiJlcrDXcfizU8SaxgMyW/gIB9wrh/940LZ+N7o2FpYrYxP
b4uNStuHdo6WrXe0fVrkNbr5kvNPsWuQPWSl/j6LIfAEagB3zi5pelP/Ejay7VX6VMqCK6Og1V+A
6ZXkfEZjWK4zAOBpdFMr82XQCljFiO7oYcL4QnoB0A+8VmwfrJxoG6uW70lpf7UFscVOnHI+++Ys
3AOCXHFdNfmFXwLI7evfmLsXgM3n3xuCKkoE1+bXNj45+C09r4IZ+8Kms+WlMRfMfJ3gtUsdzFUo
mFZVw2v49SWII//nJ4UmBMJ68etLRy6Mju8IJ0rMmuksI5Sgu83q8q3XMU1O1QOrOsloeA8gLay0
pr+tiTygMWxepClFy5hn5nbMMBnQFNCAEK9s02FpzCJPIyheF9mx11uESrpX1OabVpEHrPL4DMFp
SRmufU6Q/YlqcabHbl1FabBJfdVvW2WRfxfOu3ZmCdYrNIRBQsBIuRMuM2Kq42arpj/xTD2bZC9t
Jyq7la5MchNnTtR625JRWNQV6F+87n5tYCCCmO+J1n/00/I0Om52CqoHoGZqVTnWHTxBzFTuFprV
vBJ92DHCL2+ZNRGglpyS3LqpHHXRwSlb10/oY8iAc9E0TSNND0qQkAviW8wMFzcKtmvcVlSkbeCF
o/ZCNyA2SwaUBb0R6V9VmXVBzo2/op3SbzB/XalBu1ykVqBak0NhjgI5iVSnS39W7qOsz4wUOnw1
TbBtinifRQYnmCJ/1gSu7LzTnQvNfhrThvM1zUvXGcmJTHnj7Qmmy9S+IiBtHur69Otr5ifGshIw
XOleuAZjUtyJny4ZdyJhZxyqgm0CGf2Y2+egSJ6coSmY8IUtsSiYwSLVeyY5uPRykgPVsgkDp3og
aS+WFqIOf8TQjVqHnNaliGufVWJ97aNsM5NDcZBMkNchoddr4hA3ehkWv+Fo/USeAZpjmq4JSMpk
vuR8+hV6/qaM6HJvxHJM0VEyVnZ1MZC4tMKgfSe0CnpHWBw+3rn/j+2/n8q3f/z9Kyr1tp5u31Dr
5d9D+B1Qc/93av99+Pa33Wv2JQLs+5a3UO8O3/7x9+Xf/JPbb1h/KFd94IzhfgHbZx8d3pr2H3+n
QP6D1QsahqMLGKCOgDaBWLYN//F3/pVDaw1ahlDGwuiHbtUQ/fTXX+nLBcD/Mxn08sP/E26/a38i
6yGdhMIpJCYPCwkayowf19DQSR2r7tObKM5awkmSP7MZT9mAO99vOa61TEQARLeV/eiHyTF0GA32
gk6BTosn/UqI2smMKy+YWAxhmVIAAw8pKK8J5x3WMG1fK/KNHdJpmJv2zKrKlyxUHHXsUq6Fk/qr
mYLbl1iG0ayT0nEbm3mxSzMWpWLO9n7V1EdX02tsHzz860t4/ayMtHrpfLv//Ja/vg+u/h5WNMHe
cbizpuJeWeFVXRAriIBj6ZZgk3AHl45AXmXMXpZ//vEgTYoWNymJV3KGeG+OyTbDTszBGOkTCSB0
NG29m44fD25jTcdwrJ+r0f2CDi3i0Ah9CsIHxnIR4lDFdHjs7N5fVzL6WjFk63Jno2t/MoOo105V
URNFdUR45OwXEG/N4ogeb9ibqHxSG9nlyq0kBYAdbXKtM479jEBh//HHj4ckJYA2J6KJ1Oz5opGc
L5Ue5MyWCMxqy7MoODkP2Nil3hk3gbEL8Y1sw8S6k4rn0ur5z5gtm2ytfu/ojbjA65yyBUxgjVTR
9QxlAsmIg9OXZsSXsnHLM828R6vz45tUwKwSWHORxO6V3yyU/3onlxdBZG7jdY32GlqNcei7G8xa
BdOzCEM9lNIZKNauwbjDadck+gp1SWtDrklFc+uU7dpyIRB1fYYzLeXkKGmrO5JWsUU/xpGTg4pO
F7uxUVfMP24ie4KcgD1+bWV0ZvtAR/ONHEDXE9JTZ//P3gWlEs6u2Ed66alOPiUgFIhuNw5kpnWI
+rWcDtOQoVjo27VpheQojOWDm45ImSdkgBG5hC5yis0Up+8NVLUz3pBeMm0xi+ylKgcO+gFabbc7
iTTrHwlqW/mqubGSQZ4VIyLMN/D++nYiAahCAVRUNmFi5AFBLKCWq8UG6O29axBy33e93OFfu3eq
AmucJYtVYLrxF8sMv4YRJW+raRA4WFCOxGWwGZsPrhq/DMYYXFnIcoamBUgW6l8mv7uipZSh1fsq
4XFhkIVPNcKr2OANxPou9My7iccxfDTc/FyiXolcKzkon0BxJ9deWxln265Cp0Fcx00ENGelZ+ED
AoJ6VRuCCDwCfHL4qzj7Uy8MJMW5ySdb9wQ25Cp/yEwOTJqp1ENE72pH5gFA2LK9pOOdbWrDJQ+8
YIQ2lbJDwmOCC6H8Gmsz4kAZ0vZBkWxi1OEENJcHg5+JkvnkqGZG+MM9k5Xdnrgspt/cB+s2Ri1a
xvo6rpxdmPvaPpFlzYjDfK9dc1t0HDUd4NjEwHdbO4omIhBI9iLeMQZn2l4xFcGzmw3FGYVpT/Pe
GPez/y1QnWJOlD7FjY39wszP2SjTbaLZtDGs6dYJYq4+Q23QTetbGmLWikbNziKmEOGH/qXSb5w6
JyzeZuKYhdA7zJi1prkcYtIZA4MASifYxySKrejPhR6XLlBXYCrN6HtwiHBV5UaL8tI5OILWMfhG
5CYds49e93m3oNPghrnStAyVV2bovFmsJ4GZvkw6bdKw0FCUArPZQgZoVrqLurk03Eehd9lWz91w
l48Teuw+C4BwZuRk1PUlqorF1aAhw4jV5Uww67Xu6Jc1oQF0fAmHfNBDhoudMd3nIPkfJWisQQ88
Yr/IYUU6s5kK7RLT/VddxtpREsvFkDHUDnOLjc0hK86w6oe6S9bEsTjUqcRMQZblnMpHlFXBpiOH
bVOVisl0D0RJT2r/kJfaSYZqvJZVO62hpG8qYmKujaWrk9tEL0GhQL1QnF0IglvyRQ5xhHQjT2p5
C7V9NzU98W8EQoe5peHxEbrnOLBtUToiAuxinJsWQ0qiG+ujicbdaug7G92MM5P0x2MdU8A6p0HB
XhEVmevJqF1z5rwJUTnuZ+wHqgGbDaWyvJyn4QSPl8AU6Fu1y2FL1vAkZJm9DeOFLBzUl0BhtuXo
0ueKdfxdnVlh+AwsT/Z8HH4UhteJw+dr5KZYJ4P5xjbX76zb2Xeja6Ssu2I5v1md5XvKqtcqWpLJ
CM0kwTh39qYFlNCEubzCGNgxrkDKkXbBPllEfvQUYG5MhkbinG/QvMPSSxuqvkhnrCa5D48wCOIj
Zr+ApKz5iDA/gYmUWRs9CuTOAoq7zmc8ki7Zm5zrAsZmgD1UCv6i0W4KfcR4FmtXAc2DA1JT5vJJ
d+/OCGHLTDNWzC1dtp6WRDPl7qfCbXipKHBqa926CSoPzdmTmOmcoDk7nJUxJfe4ehi7kM1GmLWf
7waQzpeyALblOF9oq8e0mC7i2LntTOEcesbl3mgsDv0IHIbFsRjFKvpmLirLxCqa5E27MYyqOjC5
Ini3np+rKkdq1yT2Wcn4rplTh/QtRoe9vYjZACHEIkd/MQ8P/UhqCURSsjPp2eq5Xq2Ehsklm/dd
YEiyELEgItG6NQSZEBGJi+dGq48pkpQYLd8JVfa6ydWrwYqwV8a94M6rld09BlGgXcGLvCtH58ny
a/smzNDNSTW9C1mZW0lS9yqiPXCy/YYYQYUpIxvuU1jTaEbYX+sIo0Muzv2SLdgoc2B1zEMGD5O/
4Z7MevoyqT0uHhkPHg9ki7Ipj1o8PcLNwgFJ6bAtQFnqLYmkOs0GE1/9juP72TGbehfoWnA2M8Zi
Y1ccOuoBrcAc31i0MkYtLfd9EeZHAIJI60YBwWYyLoiECzc2hKq1m/sR8SqMVluzzvaAFfel6A7w
lMYd0ziBpYSEVQw9zBiPpuVftFqe7YhlFjtnxk1XaxVadcoptLj1cTQU8UiZmMOtol+MS2NBchkD
WoHC7dckk8BqmmdxnIi8O9JRokdS55jt3QhVON3TIyNuFy+BZ1OV7KZ8fKMdBQk6rQ596xhrQgrw
AmnYlFrtxq4t2obL88qp7zCC5uM5sIYHzSHrtMwUWBet6PPjx0PkWPlxiOjrK0yMyfJVWsalV+c5
Hl/mYKyszW2WoN2JiAVEKbdkLLbLg8HM00ZXvkLfQSXXWef6I3pRNp2zjwxmSQy8jk7iEP9GV4MB
3IXKi8uwayHGgJz5eEiE+xx01RfiQQoPp/79PPWo3DmhcwWtFubdoSjndg2EGTm5ma+6rjpWPUJL
biILIFd9GQ1hvpbm+BhkMUrRijZ2YQmMN7YXVylR2LN157Z9TXexKLcZJvQ1nZlVFjuMocZTzybq
EY5JThe8hI+vDCQM3QAAQ6Xx+8DVsuZCJ6sDiIwW0wFJyiec5AHKf8bYvupIuYKCZkQdPlbxYgio
bH7EZMGU/FUxvlQ+EJ5Bp7XPVNNaZQB8CARkBGuhnlDI97WJKVHVsTE1Eyh8F3U2tsUKoZK8hGaD
vsbiReBZwfeNlwTtZsskQI/POtGr/DzWfqoqoIoZWwu6lJ0vNOZisAXidoaamIBABSMPfjjGpb1t
cGDTXWYlr3rdOgTzVdX5nug1e510FOmGpb2nbd5cgbJ70PuWUnRGfUY9DftuJ3NzvDbj4Cw4fhBw
QkWD/O9avbd5a3vmLO7pwZSI4wp+AaMqCTfhxUdzcJkbi2kKYjPuYMzNPipplRyJBTXXDv1/Siv8
gGVu3jpdP+KTBeYnfIzt+i5useeEAz8nLq1NLqcvH/8g0auCvsd41s0gXNHNQDLk467sC+3FdLNX
q7RTxOlqX2fGI+cizFFENnulzpwuMrgQNgn7wyae+7vCjN9j8k4tg1m9QJbdYS7ySoa6bB/uLkMA
B7Mn0hG6zBJsggYXKuqwfdvOwbUH6bFjLfltGRVV6Wjb5KiGgsPPhKYyR0ZIytx9bSHqrlXN0pzx
BDWTqqTsyMBukf/gItj5RkOYLRCsKprm9WwZLFyj2BP0QeCh2ZxSs61W7vJWCYwKK0ZJrhVPGyY/
op9PC5mYlYnIX6YPcmI4NtfjuBPh1lzuFdhe2ICTS6rbwhsHIBHRe0e7EJdF/E7duJ/myIFrlGNf
xswgMncxTOHNbiyao2NG3jsrDwQlrt5B2kD6VkndvBYj563ZWv5n8fF95rGyhy+tJQlzw570MR7B
U9IsOcvnGf3CRiZqO1cazlNn13Zci+1QfJOhU3uYAsQ+IeB2ohOOxLnmOMdtU2vJa+2SqGxhnIY7
ob1Vtf4IycrCt0lxPdTptqWNO0GlRWEGIt7IhBf0OD79zHltKVhIINIXIMN4qvP4HQzw+8c3+9Ck
Jnm1cIHxVsTKSzdFpsTeLx0022F6YZyRGdqE8BGJDuoExgO1mfZFT/mg4+XDY1k8TC7O9FzyjouO
y6i3g1XQ3ldz+M6BYJFVP5lprA4uhCVGs9Gx6R9tvTlkSDX/arX9R02vpyiJyrdv0et//RAq+T9/
/PL/jYxJOji/6lZtaCi8fiuav/2v/65fv7w1f3vII778vnX18RP+6l0J+Qc0OdNRakmKpEdEf+qv
1pUw/hAW3IsFFCwt01ky1f7ZuTLlH3DZHSDCNFkdHQPc/+lcmeYf0mJk5JJIQMKd7Zr/SefK+LFx
pSw6ufTIpILGTttKLa/u++a/NKVbgsYoPCeOrTX62nOMyWHR7N5Ytt/vZ0IotyEGnrHPnhIbOB+Y
2+YWIX0CWhnjCLrGm7QEQvXdW3r918zjb3mXXRdR3jb06paO2b9GIX+9MFuwDi5zCZp3NAO/f2EZ
S6UoyCL0hJWGWDlEvzeAOF0z47sibPlWE86TblsXZVyHcNeSW60K7N+wbH8E2f7zNfCeuIJNnYbw
p9cADhIOZkEMII5hu2yzC8qela5F/W6Zns2EDOOuRJ3RmIjFfv37/7unFq4Uwgawa+rO8rl9N5Tp
6kaSJ2zw1BVkm6lD3W6Jftota1A/T/Q4Cg3KVnej3Oq3WW3LeO3H994lDYB8SoNfW3Ie+/HJ60or
G0Wt7yH/62Ni6Uc382pBkKhkndsaDpIRPIyG1/ASET76w8nFGUxSlempplj9+q34lC24fAwQ2kyL
/q+z3BCfPwY1W3SBgNB4g244+y60L0UZ40utGuNMV4z6ut1B3GYf7Jk3tTrFCIjv9cfY+dcv5edP
hR6VbjGTNJDN65+zN3o/SQYhROOlzcIUHXTFWl9Xl3Nooz5IEo7n9hLF1SHjxmv76ydfrrZPnwo0
K8Yt/GfAyv80FC2U20+kqnVebU/aFq/CF3xW+sENOHQMZF5e/vrpfpxFfrzrhMcpJbgLDcKBPl2B
fmA6Za4D0i8CjvzYdxqcqeXXztQfzX46EatUHX/9jJ8SC/96SuXwpK4Lw1z/iI/77qKnGa3ibMRi
bljTREfAEWi0XaRlFiLoBi18YEEEZ3q0GQLzVFgVoUSFucs0zVj7ICJMDfLjr1+T+W/edVDWTBcc
PnFe1Kd7IYWTUs4sMhSzQlEZaM3FUJk84NddVXns7ONy3CUiYJGqkhvpjNYhcZpHwwJmlk2LgZIV
87oc4nJNUi3YAzxOF+MEPgK1A7TEmF5LWjr1vr+NU9pGDP5z/IodaAnBt//61/mIJ/vhIpK6gdDA
EUzwuJ0+/v67t7g2RSWrCmknFnXGlyqhspHJ0eqY/+eC0xxswldQxdYTIV0vbvnMGRIqiAMfIGrl
PoXKp/vSfARDDgwWT69TReO2XQTJEOmuKmmaZ21u3KPBbkP8jagPpi4eXTcJ6cnrzBmKblqBS6OX
C31ygwbROUPJERtkyX/VHV/H/xG8Ff9mD/k0leF6klxDrBxSZ2LjyM/qim6aDBsVbOeRlEN8QkAS
QxBmCxcMLUqBW/hlXP40V1TXWTJffKlFxMnYnB+zagzvxjxCSCBNdZxyVjxmPPeWaYEazo918Kc5
QpVy5/C2QqqGWdpYBVWYHszCvNcmvaPXF5VbHCQdPeHA9+Rg70JDBlsDVABWhclFEdzE2xBwHqRT
NKb43lEaqYTxDyA6mB/TtzlqjiopCLTTo8ssne3fXA4/DkE/3iALnxwqC5esWf3jDfzuahBlHs1Z
ErQeRXFPM01Nm4/fRvlUxIaN+rkteD2OS2f8NxfiT8uLZB0l9wXSMvM3Hn/cY+wUtK2S0OsNERdb
VLhvYtavLN3OwJdq5wEP9QbxA53huQXRP2mIj5MWtk6DyitQQee1InV3WumPXl9Ke1NINV+IsMSp
M49wvUPWEdPMaq+gUZJBa9hWUfvWOhMluTE8SAGaKa4YQMN57TeL83xtAk8/RGl2wIuQ4KhnN4kd
qDq5g4C+NSv7NxfozzubpLYzGBMsewob26chNIGGMgIGC9USwuw57u4MVdL6sit7i66L4aAr3ZUS
PWBH0ly3NJMiYKRpifGRjuKvPxHj50+ESCnuFJOJqa24K3/8RBpHDXGVSAKFmT7u7Ci99YGeXsO3
b56ypcKbQ2IVnA6lR1lob76JYkGEwUtvYuqJJAazIUW4DMEfEknv/KYg/GkdljYATwoSKtVFFbS8
+u8u1UnZUdWn2IISK0UdYLI/LMe2hDkH4g36cr9+N5yfaiCej41PLjUQCMLP+gA/TXHEMJLz3Mm6
KiPt4I6zIvRH625yHY5fWJqEyURRcqQdT1Mgz7tND2LG47yP45SWrAi7ZN876jHSWy/LZpyKllGd
lVe0aXEONbM8V7l/CIuuPkc+HAPquj/JEPa3TcDpTgySjBaaJqjN0SwKZ1i2IPS+GPfykgACxE+b
kEvoZojGg+/bySP2FsC6+AaydvSvBlPetnWKLNmo5WGYOcGyvcwg5BAzigalehxJm40sOtH0j54J
hWYXtJlTZsFhtNxyZbBb7GyC4YDYaVhyzRj2jV4+K5pCbhhM18Y4nKK+zO9snUzXlhgNK+FPrQER
xDcflBwH0szNjmEpGwTpnP2dJKKEgA2/O+kqRfm/YP5hR4AiQtjF1oW6LywvZgV1J3Ci8Tcfq2l+
LqKoadBXcW6yCFVlVP/jZZRJU5tBKQxeWScagDq8CcDu4k2iQZdKkHdtwYgxFiybXWoIpnS+KQHO
VF6DSmrbhwbcOdLQ1nGETgjunEt4Q5Fft8IOv1rjMQZSgTso7K+HsXd3v74mzZ+Xa9tmmSAzigKU
imz55b67B2zHdYzIiAao1LN9tdBVyiy+bZkdnIwOp5mmOzUzruabRtQ0UiZlPDTZFwsLM209xOZA
3fB/t9h1ILltgrI0DmnGeDooaThNU5Uc6kmHjBh+w6OEktsZgEiMMOAM1LgbDJ34KZgC/mYV/JSb
tuxCti2ZVOgWpebPUWDp2GLJZQLs4cC7MiqnPtEKrRI934Eh/DYyDoC1aB3QqNUP8JhPqUreiszX
r2qVHVTW6lzNTD00IBd4yjH2RfCbKrc6R737AoknfWJe/6UiaXP96w8E2NTPHwmrN6nnLnsY5wHz
k/Ajq3zbIQ6YtK++iQ91hFmlcWL92oG86MWlKx7HkQaidOx5P2IWWospAMoXokfQ0CY2w6XBCXAl
teZyJpFyHdjWs0QzvmeUeem0RPaUA34KTF3QeCpA3Xnn3+UkMnBW177EhY6/3seTXk4Brke2xmHE
69VO17h4LwYQLKh9ibCXY7ouowkvkIYEpPHxq27sKnknlQH/X+8/4ap8tIcKQb+As5e6X+Y6INOp
N79FmRNvUWMubdXqHY0XklyQGivbb99is2AAo8ceMhd75SIKVFmxtvuKFn2R3lhzcxVWuL6KPJFe
7R7IWUE7Y281Akn3xEc9ORnA9kQ6yV73p/vMBaWsOv0i0fx13I3TpovxosVlfkPcgbOabHCkoc6w
1Sa4gJruPdCqZJOlArr1wLs4pGcAJdAl+2gLGeTUdAaVV9kamwy+GyAO/VDIxdj3PGlBftkF91VV
zZcwaZMWxwvUcQYMQLmYNrL0tDAv1tpI8ONEttBmBqWKB6t4nmkabtqJLmXKPEAmgI8Kd9zhgsd1
XjA7mTbA/JtjXqhoawLFXtkEfppWZXhM7niptfgW4j5ZBwlBB4ZN3JEBOEhUCByGgN1Dw+vPjdiu
NQO3CYrDXT7P0z6Nu03SWyUC9W4/i5i6meGHCGS9lx0WKLtjGbVDbIhCbqJqClZN7A4nfLbAhu/Z
Qeyt76h0N2vJoQEZtc5xXDR4e9duVtzycy6dGTl403DVGcmz2kci/8ZIwsSlEjcMvpKji2RjY+bD
meO/jXFZeyebxBOoF3Gv0jmmcbXmX3hgAzAO+BiK7AxeS1khRtYjpECta21LszpZAd6veJpa6D9r
3wgkjoAMQfaiTBgkSnaRn0Y60gSEyR0i78kcoo2Cd4Zw+ZaEMdjpZv+uTePdUPUXNsFrHsPXWyfE
Z1T0GN4aOb9mdezvURI+5iLCi2tOm9CvYTaU86EP55taZ7hgRJHrDWZ2ZIq67qnHVnbcI2rw+xcs
2FD9nDLeFIQZ6XNR7A0ATEERXRRxTV7hJKaNG8Omm3AEapqVrGVT7GwsYXD+Sp/QEFTHo86JPVc9
Jt2QnjTLUwOn+kQXH2thvimWqbtWMG1LJU7iNEZxE4AaTUjFtZcfkkNo3tdxUXluOcx7YoK45Q1t
11h1gi+2VZf18kCYPSBM/U8VgLJisNpdZSvmZYxTJmNhlEG+BfSj9/K91KGFAL5VQNpYc21Y092Y
7LOaHaIucCAM0HNYeaNjKkjN7Kqcwaa7mxsOjEZmNWt01e66Vw54o5wJ4OienZDCtFfHuLPegdc9
aZXGNkkSVhGg5Uozgg6iCCXJwO5k3uQq29ZNi8QE+NOiBVmhq6u9Gg8rg4TyqZtz6FUiIYHYr77W
yR7kDRWW06Ark+UBizV9bW6TiuxAllLeP7cjBKJm+hUg6NlCKlu1uEa8tuFTki24rBBeUURSbDNb
q772ccGx09vNRGJtH72Own0YSq1fpaUouQVzOBRMAvdm391vizAuMXUR1leMgN6YuZwqiRU0Bw6f
AUWY6DvZJAwR/UUCbAfkmpIBtZeNXWccrEVPcJy0armSL3GwBetE4NmLShjBKLn2fdWuW6W5NAdo
KOQNTTWbqPuymukc+DT46+uScJSFcsHNVF0ghsAiXaOQ6oh/IO0QbqXLW2B1ncGgGtVBUq9bA3fF
FPMDB1ZqnF+PTCKY9qF+UblPAhgUSLL91NVQFs+tDsJVS7YTlnGOR4BlyrFY46BfdT0uolnkT6KA
OWeW7k08iMt4tCWW2tyreHlry7ahQbJFVABT0jh4xvpHXVI09QpT5SYU40ukN6Ds4QbIaHSx8SSX
LHr5zmzmu2z2X2rcjZ5smEb77dcaSL2XEOa7KglKYLZ0JnAAHlmrc6syiY3ROuYJv2pKjgjSp3dh
ac06Cp6CGVu/hTd0NUWSXMLZOPt9ySIejqRRpAqN+Owc23BXR/hKpEixPyXtDVl41Sry4zez87+V
soFPU99YDBA31hwyKELlr+PRDfMYtz+5S8zlU/oy3UnlOPBhbuYbNV/LVj02MKfZbG2JpTWLV1VL
88atk94bhcZ7mrYPQ0AzIBlfUj9cOVH+EmT0BQqB2q8IWsKVABPugqynKEbmynqjzlpNFlRVxKth
xoQyQviL2/Sl0RPLi+fxthskrkox2F4yQItr5LiDZAVxIHksshurtb6UeLodJG26wmVFuF6+Vljr
CBJDo5/uxzF777rI2jJg7FZ6k0KWwQ2vOxidKlXvkzy/lI4O7jpiWXySNe9u0t6NI1HkUZbHPPzZ
0Cvg+lcM8KFeuR1ZSJaBmMz2na1NfoQKjDcHNgDaoO5eoQA1S/O6nGjmdYm9meAGruqaj44Q5au4
5Qf7bpqsafHZQMCTdtyPXDgGStomZvQJAS7TZgJachPqmsXzWO5byrmegCXOWFax6s2CDdRhyREw
j82hzJlRI4rVSZ5w/Yq10+ZDRQp1xVp8yvJohTbJWkVZHK19gWuqFo+mC9Eeg/lY6Y/LdyQmcKuY
bu+aVIFnYUSU1ceFzaFGnCnaDDXMF8WuGLAoG+0CS11A7IEhNsGyH9XD3dC5XwmEbFdmF18FPfuf
cacarGQmQTWAR+LnrIGbTI7Z4NVTfkjs6M6e28fRhqafjg0ovPkrDAeyYUT3RMZmpx0SYX8ZMWes
+wygQZMYO9kNp1HAKPcTe1o7mX8u7XcukheCBAlbjE0UQ8GwnWzAZoQY8B4T9sZ4cw9hAJZON5L6
au8/0FD2oJAmhy4aOflVMePWkgx+WM++4zYPKoeKEmVmfR700d0Prrw0rdi5+HggAvmhQRSy+/iq
CcuQRSKgc1PK+SjDWD82eMHXRqICgHXJkf7PfGRxxmtTBFXARBsWxiRJnGvn5p7pDBLJKF1Gn7SC
26UULHqC4gjyxJyMMivfm50Q4CXx4Sk7ZuFT8l7nfVqTAQKXwt3LSY5X1UofxHCqEA46c/An1dC7
YTTRQWZVtrfCToPOCc415FbxPoCyWGVDT1UjdB1K8LPfqufICblPOcduYkuhGULVcilw4XGW9L2s
p/gJc5EhbTS3kcZKVXRWdgwVOTWDX28zsDxY668CLXp1nURd1JpVsRartzaonQvshdnRRRjHbB27
3UwBiKF6XY5aAj5JosEwIxvPaqogX6o7CF/9yXkcA6c/yyy6a8Qk76qZ7NUAyAGUEudFZE6wU+3e
jg3r2gpz+xJ+iedUJdIY4ny3cHe3HQrubJbZKc5kftaaLD+7NYfvSg5yS274ZQzRHEzIsInAtF1Y
k7kJer08JUN3sHG3bhLGpbBvg/xQtLDfOmBRu5KbeMWRIdgXAwJKKQ9IGpdDNvkwTJbkNfijKzvk
4q57mAOBGuYd6uwAH+1N4I5vzTioU+fO473ZdATbqQkNDektRVDop6HBt2VjFl8T/roI3HXQWmzJ
F2YQ33CMaNd1ljY3LaFyDPXuyxZDat61w30N2D0NhuFVphAUwUjlCCW+2HVLBFSkk46QOE8TvMYx
EKyTs17ssykEGz3t83DuAZQ4DgHPNegRPP1R5pMuUM050JNUrs0obE/gh9zePHZTYW9GfLt7i1PU
umFJ2o0s8CLIYa/n9Ythgjmjk/xgFhx0kn54DgyMQRLxJNS55xioxqqRaB4I14uQ0oT+ekqLLdLz
coMYxoTyB/pTNjNabpJkxg43tjWUF1rQP/sN8NiYrahN2P1ADtBsgU+a6tV7Ar+4KdNmo3Ezb2LG
iZSwmOI6g4GmPgWPoDLShMBfS4f1rhl7w+qmh6CcLgl5H/azpqcHXBrodwrapkHWODdQJOS6qRge
WFkibpjBduwh/muDYvWqqYHsukiTD4GJ2pZsNbXWDTRvXb+nwzpSf6LgSUe3PdV4tA/wmnajHwbQ
NoyUgSs7CB5X8hz1wCUpfbaOXPI36FqMQ2PZyW4CI3aP8B6fI7lM30TlbE1jwOZdtZQYYc/KyDp1
G1MRg1kaDRr3gbgYAkh+Ss4606QovJalFW1iTPu3qrUYGsJpYasaciC/JboXoNOOUde73regcRLi
va0qjoE1CTX8apFxjx9/Vypkv4Yg/7vIkuEWRe/kUfcfy6oA6UMA8YvF0WPO5tfUDW5qkyyvRqbd
PiqT9hnZ2greUf9U4FgsspbkC/SNSWK095w9AXc42jETwZVgSr7WpdROldvk3ISUQ7iYzhM4tqzr
yxO9Lfs6VBd9lelrvS7im7mYFi8xNjc28AcJKZ7lMjlpaGm35oicsp7FuaqE5TXljCJ7LIg44bm2
Hb6M/ZRsteYbTYv6ZI/RUW96eWgbiQizSjuOvX1ywrqPDEWK4eZ/U3emu3FjXZZ9oWaCw+UENAqo
mEdFSLIs2X8IyQPn+V5Or9WP0C/Wi+GqslOZlcb3o4FuwBBkW6GIYPBO5+y9djkmZw9MNJJigreG
VJrkyLDQ2kXmnmiFYdO1EEWauEmv09Q+qpGTUhwUHGTjBDgO8WIVqV40mfg0RZHuoIg/cP2i+yQi
Y8c1J7XJzEmc1aB/TVzaLuPk68ucoKonoCDxk5Gp18rxQ8oh+ggKzN5JvAKPeTd8YctcPRToMza9
a5R4tPVwb9g4lEfQAiR6xtm5A+S/NrpUX0jUoAdhgb0cSwes5AwdCGCWKVvjVBGn+RcSW891CLym
sAJ3W4TaCP2ZKQBiGMRPHd3u5CEI81UKyzeOk0sftGzJq3YPEsC/jqihxggaCXFw1pMWERNpRjbw
mz5G4j16r6DDcwSS+bWVTjpXHRKAaXhhQzqgK3MwxCWbQNTptpOvaxknd71V3pmaa5KqHXjQ49Nk
n9bNofaFIuAkozcazcdje8h2/FqHmiv5sB6r6bpPpVr3cf8gBced1tK00xjmX1CkPCR20l3GVdCb
eCAjIQ8cct/KkjKP6lv/sXLANdtcciaZXnivwWjm12IS5SZF/LQb0SukSkXLdPSsHZLReoNhp0a4
yRIoNETjA9XMdVuZw84pjIcSi+XTLdDDmt0E9VhdsprIF1X70WmyXgHUlZtyzOiSdZ69sUTiI8Fj
f9UQIqkNprmr4ONf2W3hXkgo4HghxDtRAFUs2aacMAahhDc5rzNdsBWBEXmB3SCZSQnR0Ur7PiLE
Y9HnE0wuM5W7qJuVgojDl7ao7L1kBjzWmtmvVVTbK50VZuu4xhvnckzKKnI2npzD1ucoexSZ7PuD
JarOZhVn6kNrusDkws5+QTKvb3C8PsWOKY+uIeWxyNJxX9ndcJLuwFJsMVKpXu9qUNjLVlnhJYwo
EMbs00krA4vZlVb2SUKYaGbHgaExL5mW319HVfRXkqfCI9LLD36MhHLUH2AHyh0+I0idNm6kplD9
Gm+Ef/VN+RA0GcvX0MVrX2NJq8qe+XqoBZh+MgLs5DoNn4EKPZnpAMfDqN4SV6W4ccDRcY4mTaY+
0RrcJGB/76COgtUHycZ7SHKFS6bbI3kHMAFmdGEpZ9pgpCcXtde2BcX3U23p6en2HUSDe+kgNgqD
KT87hSjBisKxyEkT5PjpT5u+oU6fuGF87NwA4gJjQNp9ey6ea2DVfkzKQuTZxX6a0zvCIUERyb5t
iT3nEGCFuhZkZm8QUPIeuclZyeO9Qj569iFhlcMz1fBTo8b+QpxrS/nAbDZeA6XUUb520IDkr4i/
Y7s2Td6pzMlNsWyDmhvhPDZObg6JaUgZlMhIupf6EdIdJozUK8mtiN6qsE9PMbUMS4PlSARF+qnT
zEPoFM7XFDitye5kSmA9dl7ABrvxzHOtcXL05IdZojokisjDemxW5ujhXMoklo80JoAu0ECoxSgF
PS+Ga5+03MKrgp3Xoay4/rjntuHg+JfaJtQQNXe5t0fIrywSA6V0lJpJx9ZY9MxNlVs3D3qYgByN
IvDIH0JG/xWvWnI/QmtDypgkT4S7LJ3J+uoJApRoDzX4pER+700RR036FcQAgovF3Vl/HIdDCY8T
/3fkbctKPAjWvA8Rmg6FnnjtxxxR9NQwiFmFpFfhSzCm1n5UvbXr8zo6uWSrL7RitK5dTAO0g+zr
iUTbVL2p0QrmCOMClFmYo8+ZbWJ35Y++9VB0T4Mmo1Oi5JPDWfmJLBS2UMbU7x0jJwBokBtpRiiZ
8vqeTs5XDtUgjBoRoW0Sm1YEz4XlnPJUDFTf+nDj3Vp8nR4ei9QgCpQ9ooSzCHxvUNua7G1CvU+F
Lq0PoIaoIrRFcMiANi0yAxxdN8n4mHNY5OZBY5+24rnhFNgF2kc3U8GeMMPpUtRiuoiw2wQNgv8W
J5aXDd018DFNOCrmZN132bEbSAQYCL/VY5+gVCWGu4nMAhCn8gHrzzbKXAOGVMGpvBi6TWLV5sqY
m7VjFxi7QCb4oCYi7SudECekU3LfxdFHv8DkQfgWycMk0C01QIeXceggYhcKz/tUfBTIe82ZJJMH
QbuZA0VUyMGWX4/NYYAkShlNg1+CAAk+QHQutJWUj2M0vJKVp211T9p7UQPD7bGRr4a6xRqf9+KQ
okbe2ob22gfIhAEy9lcN1u828dLkWGbt1VTE3laDqV9owh84pYaXyey/RJnKjuwex3sW+uIeM2jV
1dc4dojbCGDaNYIafqFve9vH7RTpn7qePQKoRpODIe1asFOYWkta3JGWSwS2VKpECZ5XsWmg0kvS
ZxIi2jZFsybzqTvQI56WdZ5HWy2Jke6n2f1sX16JCTIwUTe3E26UlDRAND1elyhB+Yxo9BomFYlJ
Hcxj54Vg5g2g/a5nGQ8jwGAa/EuEd8XVKr/2smCdSky1DRvjAu8/OE5N9NpyuiMQz4Nf0XfNulM9
SiGUCbTf9eYqPee1tIdy5/kZOQBsGtddk37s54VCmygsswMN7iL7MXDPyouAGdv0sSNnOt++zPWf
TVLZNUFb4j6EpIz3qydZTlr7gdofUmXhVYfbFwCD9cEPie8oddFtaVFcWzWSlcFehNZJ/AUelLlQ
btE/OkZYbxo8jMeoLvwjMlKSVUy3ewzoddPdSOMvNpehgVf4HajctfHT8pPe0F8thCGvfR9k1B6S
aR8NfX83FCT+0Tl0P5aF9jaNMc9JL8dzbeo91FcVnZAne0qLtT22+pnAhfpQBgkVMCnlfTDZ+DMo
xXyOx+R4e8WtE205tIlXs4e4K4ZePXRp7G9YrJLjEIfiNMajWJs2jShRRJLAHdF+bWje3R5uWcET
Z4roxcMMvWLT3V1ydAM7MD84Sxg8l9t/3H4kjKKPar5KLSxTTVryK1Vusi/qZvowUrRae6ISHLh5
YsuDPCEY7g+3l3V7gXaUbG9XaWzDI8X2/rObG1DpPCHvb28xj9v6cHvbEYAHLAal+RTGCRlBTiu+
Nen69orn6+bPF3AUylrZdTbcoYga91lC+p2j1/J6u/ipO5af5s+1SD9ylHeor+NA+fGFMtaJCQac
OUf+4TTMX9xx+JpjgNxEzXwOuP3g7T9+PuT2nVdDPgdMikzsZmmZH/vjd91++ucv/PHfrBZwJ48/
f9Ptu1+e4/ZjlhjchTO1CD9uL+v2j/H8Mm/f/fjxctIoQTTu489f9vNH3r+dxPV2gXLb/d++qp8v
mjomNjykeTSJ/vNSVD4uCEyf//n0t18B/zo7GCC23/37Ly/wl1edmZ+JWyy271/WLz9tDbqxrvAv
/LiQvzx4vq4/3vLPdzprlrK0Zssxf2w///3dq3Ej4G1ma7frn2/nl4v983GtI9mk0EP/+U+3724P
++XzlChcVv8jwVIiCi1kizx2ESFiSY5ZqIFNyUnWLeMPon/IO7dctfTHd2lDVURqPYzr+a/RpC2b
ceh3ffu9bF02yBTMocQU9snm5L3Am1tfIHJPhzCiyFp2cJVvDf1/yanwocz582dfwr/9T0SHX8pq
pIcUyX87x18a6Lff5T/+1PZbefeaf2vf/9CfDBD/bzgeZnXTf4/n2H773/+LGtHrrw6H+RE/DA7C
+cOFfcHEa6KsQayPKuWHwUHof+joHg0s4WzkXLwP/2VwENYfCFB9JLVYIgwLVsJ/GRyE8YeO8Aqh
Fwsi3G2oHbfL/1PzyTX7bzWgvv1OyKUDsrNBiAF7gfNi6zeB7y+imbTSHLK0JfoVASp5Z8Zx8EIK
NybEJp9DK0aDFL2oCOWp7ck3FHAY7km5HjeIgIi9NA1c3tRIaNTYNLiH3HkgeIMYjgZmaeIM3Z5N
P9GTdhBCjy3MjUyp7NQwyhb6aBR7ky3IggURKG9k0WsKx3kj0cTJfauPzbJ26S6lgZA7vQ3RjFUp
+Ux5MC0dongPtk7D25tGdzuifll6IVJjjcSZh64S43eqkzR1rCbnRSfluuft08TL4qMcfXcltMmn
1Q3BNUlp/mmi97/WqiRc2fLEzH6fO/TSRXyMqhCGaGNf/LF41i1XrQIZUzhXZcSCm8cJMiMnoL9O
bHKUUEHONYtA9sQ19lock/puRu2jlZiEQKcKLDtPwFm9eKMSEW1UQS/NiLxqV4Y2dLIOem9bAy/z
yJDmYpFDXLpuCtzJoYzrK/9qBRxUTdWRHuAm+Lzb2NsgCQDo2lGCmZxCpyfGfq2lyXgxOliZkOV9
pOAkP00cojbIsvR7tnUYsSYuBEv7F6agZGNLp7oaJEoTtFBkKxZtWBYoIhbcOARrQNYlfubOGyYi
HECMQpOMQGtKujTYXcy3UUzFJrfbej0JDhYFn+xKZ7bbdPUodoDSaWfE9NCnaH6GaZqrX5Y3K+Ui
fpfeVKtQpyJD3IvcapnKd0aHVwykA6Vccik+NWVlw/jX4Jxhu/8QBg2N9V4QV+GnKAz57HXSiull
LIyy6beJ5toflQ0C5oB+GmmJ1g1H6HzGyVWG94Leqt+loeEefDYOnwbyNc7K7PRtW9nlpwExq0VL
jbl4QYObfMZCjg/E1fOPzRC8qLGh/AyIALprR6Fj3flZsmk5934mTSq7L9PYvjSm4gCBKqliEHU4
QTwK6oeebsnGjbMelJ0Z3pVVakvkJL531gct341KmcewivSH+ah31jOp74GlVtcRMf2mL/PwO8Y9
cnFiGTR3aZlmH/RALz6YOfCMJOnZqwReeEpGqz9qhTtt/WDMo1XhheGdzkp8wXREJoyGGXFX+bLc
txNnt0ynPbUkyGJOnjPtvW3V45n9FP0gvFkHx6FUSO5zu5WJgfdY6+PHznI03IINGgENqDSqqqAA
jZDXziWVOmCFLIsajn8Y+gBgWv03pI8uumVRHEMtq69V5xVbAjFMNAaJVC94nLN7zYmy52AqAc4Q
K+mdhzEc9iV5nJspAMawaIn5/u6RNXSv9ZN25QDlbRPHZp7ommjrhpn6VuX0oALNiu71KeF40haV
yqiBtTQeXJJ6OZYn2hl5f/jF0PLkyeNktcEFnmBzpdtIv5PCf0hGt9UVOBmrCqCfbavPINTDezIo
+u3o2oR1FLFbnHz8GA/m4BEXRBkNFjxitugKCdC5plAKl2Q2Wfdu1mqbtkjce9jE+TcyrwJ3SYmT
Zwy6sX9Jct/fSu7kF9xUDn78BAvuQYQ9QkXhyC9dH5P1GaXGZ0KyuZlAE7QoAlJvTqnPqXLSOu4x
5xPnjfmp6Rts2DqCfPIWu9fKymTAu/Ga19hR3rQ22746RDmtqBoG7WcYqdnay0T9NXUHaxE2MQx+
xN753vcT4yFESvE1Szz76gR+sOk7i91IzUBJ6VuVub7PIria5cSpc2VgB+1XKgSCEPstfCENNBKK
SbDpqVaviq4b7nxGzpHloiacwQL1QzYaOQFA5KGuckUveRi5uxllQ0GcJvUT0fLRPQzo6X6cBnQr
cSCGUzFVBcLGcfT2aVjWDI1KYrCWdkwooiSnfDTqfZGHnb/ANSVMSEOa88hTUfgkTaiyVnnZRx+H
xjVeoZ5bm7IjsdCvSD1ZDHHU7HKQsBunc3PM/h58Wbfuhz2fZ3mIhGGfR7Q262zKdLalXqwt3FSg
aNCUJFxCh5UQFZoDKhrr9oaiD/O5FEx5sdWhMAo8XxZLiTniXJddsKmdkUau1egPUx6Hy65q4ks5
FMHTwMpFeHRtRy+tAKM7oV/4XmUTsZPlND5zHCqPxMyM21qn0hWxcFTg+orhTUtKzpR+SiWiyhRV
trYmD7WX9LoWmSaSw8Ss/5kx1Hzif7Kv9DYYWHSPrzWeJuw49TAzLDUIBl5nXPGul2RYwCxfWXGL
osCXPnWYUTjxnsOdDXglHrRnKmK4gLUqOilDBTsxlPGjkeM7CJCPf5Ea+FvlmE22bpPSP/mpl5zj
OnNfwKanRyKVsk9G3Xgv4ADIdYprN1kbtVVvojxqH+rQy75J0562jAl7V3iSM3xQoehZtLKFV2BK
OeeEEW2ssnIHRwgqufBLupEEVyh7ru/0IXhnuofUFqwcTZqWQyEvRGs/6M5ofaxsUKsxojj8xnZd
o3IOgrt5a0R+SUu9Y9lRTnZgMIU0V02kBWubu2yjyym5y/yG2mCLTuICmST5GJeMmYjFFGtxV4Yg
Pnpz2BS50r7L1Ouu0KTdU5jkFNr7RjfOgPVRqlk6+6cE6cG84owokrWqgFgcGLV+RsGMHCsbvE3V
Ov6VeJ+QYCa6AHRVGqNH4OsX+Wk0PeskJLkPpIKiH9ynOgv8VqFvjKFPlWhtUozW5J+ZdBJTbk8M
7Wh53iajoYBLP6G6KFpKh1IGHSaGLDPEzkhoxK5qWZGmh+tW1RtJX3EWyAcePtgatvfFgZCLfihT
zlePO/8z45fFFCwliIM2TfMjOHijXedq4joZYzneARron+EThaz8kU7DMWgcG/a3XoI20ZrImj0l
LsF7nkxp3lAfYg+miDLeBsScBossoGFMIHSWiBWEOOg/ALnDx6l6K4LvjJHzVMDxliTj2OErFR9K
SFm3iF2qHnFaf1GD2CB/WQWzgA8+C9rFO/ruy759bKqPBPp14aOLLrNhr4i9tOCmqobD6H5rowfD
jJnj/GVQZngtkCx2ZzIs7uLmvq0eS9/Z+U7zJTLVsrdohMp+r4k188UCw8Su19EgNtsMi5fQ6itj
aj/W2bOl6qfcVkdXGgc7qWAx2E9ukwENaZZBOK3b6QvEqZRkTqNHvqRrxedSb18aQUyfkh8QJjZb
kYz+XsuBi3v+iq0tlDUDmFbwqHPSPTpVFZdLacXBSWI3yNIAuGS9drRKEUjILl8Y/Tdz6JtVUIx0
mmRdf5MZiY/M2x5U5VdunnHdR+7FjLC4If9PD7Id9ROKoWnbRx5TRmhF1FbZRGL2SKwBWgaONYKe
PlCOyt5iAY6oj4kikGpG++UtaMss+OxRyVtVsfvVyvtrxQK4VC7hUj34hdYenj1LXRFxZstpzPwH
lUI4QgaXEyHfjMSy1t6KJBX7nJVueC/10FjJfoLxSQVkCZrOX6NfQyxTudSv3epjWBOi3tOPWLga
bHc3VtEuGAU+Sal1D2EbyGtHRvwinSWSVNnZeLZc70qSc1bUNTptpNBKjG+Sk9EMbKfjgPZlGegU
Rhm29RNZNOehFPdlNPiAHoqHin48PSl/WBW939Ic7F7YqX6Wk2+s0jKkcDrddb7mLwIIMI5ewmyZ
RuQlZWyvVMNqn8YCxjfbhswiuBNyzwaqQgDSgrqz0hzElRzOYFS7zPSWeiaptlnYpdZuiJWMF7Wf
ROtgKKgTiN5aalZHC3uwjNXUp0SVz7EYKq9elAE9t3QsMIbUY9cWfG20osrmZOO+TbNaDLVEA4Mv
0VedH4DjKGxzq/dwrmJffyXr1VpNNfh2JSEZ2VmAkA9gz77OkVTapOmtu1raL340oBobalchwRra
7x76gXubDIij5nUWMNfAfo5La5Irje3WaWTD/TCETfoGBAkbxtSLV3oq1dHODHxfXYY3g2Y92pyw
yp4AphlEm0UgilQRKGfbOjqAW1KOgOxq7CM5o3drOenGxZJaSqE8Kph4ZOA8USAsuaNyZ+cIaImL
mirnGm4bqzzBV8GyUbE/Mz2Th8rknfbEKu7z0vfeVO0gImsc+aGfIz29vMqe0yIeQQMq86SPFuq4
PqM7xd2fsN80Wh5tjlXOnsdVl8ivveeuROip2a25KYa8cYk3nsQTeWn+h9aATJ8zeaAPdhL011ha
hk3YlWV7B9m7f2km4tPgcWumwZamSMYdqTfOp3oIcGyqls4NAYP2UUWuZq0RsunZ2vS62EbqWkAf
D4xuAlqAKHtlBv1UULfPC2SUdJEa29U+00irvpJ2mJFck3PSaRwdSU0l2dG7blk8TppPtjShRhyL
K8M+1ODSwfJZMxSpCrbG2FKI7tTc1xj90s0WXSvt8+BNjPKQIkFK2JNRbydfiY3fj+myqZXakX7j
rZ2RSGWFFXRTRGN48lqyC0eXzF9/IrJvHJW1a2fsZ4EyGF5HDYYapYNXGhNAlmlYarWcvulmVFXw
Q8z8mLWNfmpsHZ1rGYXVkQgZ+2wJ1BQeB8W1HUM1I7sDLYhBZNfFzFPrU0IhdcVxOvoeOH7BSajn
/mi84s5QenJ1jWE68CjtyFQy3vW9Gr8gbmxOFX40QjxZZKni5TRk4nKgHWto67oXw2NMp+swuRF0
GNesD9No0ysRBVqHekIMPKWec2H3MSEJH8FltoCd/JaETuTKFT72ftrQApvSi6wCUMGT217i1mt8
5LGC/SMewPYpLkfnA0FCSq3SPsRUPA5l9b3y24p+UQu3PR+wq7iOFRIYENTuJhIY5fE9a+u8Nsti
xZkUE+4wSuN1QsBtsXhB8ncKzd1VU5MqBO+hCNHYzNzDwh3p5U6oGT5ArR5ImmhiQzAJWCT/Quwe
7nMbAZRumvrW7XmBy7ikz5FmHZEV3mVIzHAp7ImtOYHEMhlNTgIGJxF7/lUmkUoVNSrMKbrDecls
wpVjEPPCjp0gx9FsP2pY5B6RtwBos6yI+orhESOMSn1dKnc6zcetT2wp0PFhmemf/69URP8/qnX6
/wh3+ffsW/5aRH+qdc6P+FHrNOw/dAs2ge/6Hu55g4Lmf7Bc/vAob2I2nwkBHJFmMsR/sFxsHuNg
8vUAvOAoper5s9Tp/kFOlQvrwKZywuPtf6XU+R5VoBsUNz1DQOV2ZkD3DEn+1R44uUFeWXKKWcHl
xg8yM9pQu8HQWXF4bSfcg0srgV2hxurMnDRtkwy7Jy204hoa+t7C3VAnZhtvfBZ5qw7inTCS6MSs
jnbWr8z17a+k/aVbVu6vKXl3l6kWFXsEstK1yfoNA8Wa/Yy/wArmN+TqvulRD6ZBDAflz2/IxWuW
aGEEn6hyX5F9B0d//mJX/srz1YtnEthDcTQ9jiakTXYNpNaFZX+iqwwLxE06Dv7xLpb+KWnD7oNe
luMF9vFJzmvomAViy6we4xXoXPxqkYcrqfFOjtC9U/0FsFIdOeUGz35/hrtbLwOTuJKumK6/FNP/
BlMw17rfvU3LJOqACUIYjvDcd1Z4WOpSdE1ZLjH4QP2rag0zbZl/bdou2cax5NgnWDvCVjvG9ByB
qI3V0vBD60kFbnORXXayinw4yyHaGZU/3sVzqnuo2DfY0wUVg7FTBAhfE3f2U1UONaJoKPI9Fgou
ZhD4y7pu9oqAg5Ue60hWSFgRezYr4aXLbSiwZWAf/Zk8w/byW4Wd5JNMnFno2RW7fiCGwcEo0N4l
zLhQHXzClSmN7JRrDevOlN2xzYpj1WPk0ZFHs1UQznGAwskUGoYvyAqdTdYmxub216EYSVwNMvsu
igvv6PW4XNG7wRSukLxbzrMCQYxuXgbWnuF4p40xrk8J7pmNbnqyZ1ni7QsstX/Rf8v9aJl4bznX
mC7GauvdByUFuU+Vk+DrQcu4aWYBU0bFYgkRCGmdttNV5rLrT8xz47jE6iTJdMRjhuo+TqxdNELW
GEHGcN+WdzVMH8pySLT0oLbOFD/OxMK08Dq5B2KNZT/MynhfmAroIyBjHCOtcYSRP23wTWerf74H
bz7VPw81i/taAER3bGFB6fjzUKt6vGWd1iZLKqXNTlghFe7Bye/62A22UW3YR5dy0nYQ7ixuCnBl
hjn8RXoazgEZCuFoFU0LQkPqOQsXlpvJYHE88+UmodZ72zoNZpudfG38TRjBe1LU/Km4AHEcjNG2
hRV3tuj+0uDp9DKr61FLlhWUIq0eHPClSfbxRn4reu9Y0Q5Z+AhxFjhhwqNNniM11PQ3XmDm6r+M
YpcJHiCX0A34BO9mXyTrg2TflGJQrCl3ZqRawR6RR6MXT4kMi1Pgm/kpmr+DK1xvqds+Q6N2+cjd
Rx8BotYh3YIJdrh9N7BD+fFd6NCRMTrHQwilmhO1jBpyNp+PapHNE4HR/O6tvGNv3a6ocGZSDCgI
GDHvTPJtATHVrAyiY7RqXONW7I7SemCTZhxuf1HzoL59R0uo2dErHXfxfI/8/DJBLjiO7OnBBtC/
ua0VWROutb45FgKQXdGmv5lH/+5GYMSz7hkuxDT/fSpFpaTljSknWJfQWJrQBJbZRkqM4JDOcml9
lYUJeU6Gv88DTWwd8V3HCfvPA8mY54B3A4ndgTlP5NwD4v1kPhAn5WQWSuChCmwO8OEX20uNlVk4
9oJ5Xj8ByarxG5gRCK346iJZ/c3HZ7zzpPOxgaayKVaROuXr4i8DYoxzDJ0NPIMss48gC6wV0cPl
OYaGz4krOHpl+0aAGgp6XwuPcYtF0Orvb+jCIa7g3kTDGT7K0qzDDqNEmY6LHAny+V++VELH/a/b
LiEikN7eeecLqzU9s0KnGWns5FGyutBazelgQlIuhKpPtdv5KyGVOEX5Y1Ma0W+AU+/d+1wp7hOe
GuyAzhbt/YTuakZa1CZn4wnDvQjjx4GcoEjoH1MkFJ+cBCNoW/c1Pp72Cd22ybFNM/d0S2aHGY22
NiVG3IPZFBAZdZJey5iHMr+G5VmuIROZyFdtrGPSedDbxl3PQL+9aeMytImhrPzyxcVQvQhwXK5v
C3rejSSApeWzOYfR6M4k7szGJbJrQPJym4YHSja/wdyZf71nXTYf5C0RDkRH8sbl+mUGTRHEUxId
S6i/h6h2qShBOdfvotbV7yxXkocYdXtbZQfVtS1pNPqHm3bdMMYjYIjs4HZGucDbCkIomMIzishD
Gg/uXspMX8Zx9DsQxjsMGx+bq1tAPJjxhe8iOvjzjI+uWUQDy+OPDZOs9Xjr0Gs8NVateA/+Sy8d
wj6prNLd+f7Pd+3Mmfnz+Oa5Z50D2XeMrXk3/+tq46AgQ2CuymUfK39LeN0MkLK0meKs8g+8ZAaT
nva/G9N/85YNNh7oIQxuVN1+95ZlYNBwKML5aTVr2b4W4NY3IXXF1eDHWJOd+fhf5OgXyFbMqHpj
7HaSY0ziuNdENT0BLIvYiabVgLVjPo88tscua34bDfTXtcM1GNIzi4TVWNjv1g4IvaEcKq5PBGLo
rcfFHuJerk3lPCVWlG/QRD+gomjvEw2Be2/hDW5w0KmuhlWBa8XGxGxLRAnTWwVQ7TyoJr+otNXo
jQbyUYfttEB6+pvr+zefqot8BZkIJJq/TkW1QVmpCBxs1LmebcJ4Ji5hC2klwo/GzKPdDfn6z3fS
X3cMjs5ufw6hYbqG8zm/qF+GHXXgKZm4hIu0xgSaGp8UYv0DZtN7PwpXMUhR/C0EnOKlWnpZmK4A
ch0Cjz6Y5dGhKrzsCm/5EZXgm58CJib5ZjXlwYsF0QuxoQbEIF5i82wQi0c6XWz7Nxtih5v+/XBw
TEP30f8IWzB7uO+GQ8LHI6lJ0prHM7Mb0ZM2A1FddA03ZHmz3nuY14IoguEQm+dOS1ej0JIHQlcH
0tLDCaWyFGsSNYr1XCNZAUJJFyD6w3VXRR7wguAURTYVb+jwG+js10paCfhkr171XldAU2vukeVT
jkFHaZWGf2ZfDfGoAO0utG92teoKA9aKA+phKtNj6ssHBADeQys8LiP9wMazuxXmRWIWUiO2920A
2UeOplybWUDWePex0TDaFJM8KhvSlaOTecHCgaA/ucuDuD0a6qVzAl5xScIgzBlv1eOPWNbEj/VC
TosM+kDr909FQ6vWqqJvbUVLFrXRomDPvdJDF5yIpr47PbsSNykusA3EnJLu+xqJVNhf6yd0Le3j
PUc5PGZ4mteM+jmnOHNWHk0BwhDzvWXSQPE4ma8yn3zSIcZIpTuzgdc+UKHeRRTIV4hCEbT2zosZ
Z+QnSu6+xF3nRlLQ/6UhRAf+KCbjOmiieiR/90yXJyE8O3GXoWW1K81sny0d7oIilGyNY2sTAUhT
ZXwtExfyjkF33QhqAuOEFm9bA1hJmc9aovvWAXRXGaJCOhWoLTUwOlimrtZFguYcGJFiCcw5NRK+
ovnDc5KPb0M0dJhyAIFrRdLz0TLLuq/NaK2bITPXQ2oXSHGngxdRh84Gm5zlw+Sn9dE0Sc/IYG2E
JEo4lkfyN6TI9VhoX9J+OAWSkiU2WTQg5Fk39fjWYq5daQZu1Yy+qasQGDvRknL3tJB5SkcsQZcj
i1cZsHEbtYkUmlytif6M9u0QX5QHM4Vycr1iT0ixhW3NogVscADzMDVEE6c12Jkpio4Qw0AJNC9p
ZA2bVvO/KqfOLwN02YWVVynyrlStEo+0WmUemtA4KGypi8i3vvmZ95CPGGuztDiq49w5XBBQfE83
1jiHPr9AFsO9KcE+h139FiGWsIegP0z6N8cei7lfBTQ+JaQ9HLjF80w81yFE/UaRYScKkni49/bw
TZcpgd1DJlcoL9uNPcEFzy17Pqy2OwypMIo6h/REjvJ5UX0JE669z0gG0kQyBImmziLR/XRjcLUP
sU0mBYEgaxoE9L0JaVmOg9Yvw6H4ko/1zg8TuaiMnDRbpQ5QjqYNIaT6RpuwzGh0t7aBnMSyLgh5
rRuIAcT79btY3UPgPbYt84k/Gvlare02Mnc1VJF6okZeuemjyid9HUVU8LN9blKm0tLK2aoh3zfp
IDH/ed0uHpxypVfQ9rMIH2jY+wUFffqpLRK5yei/5m5CiO4iTAigMzj8L8aJoJqUO20wo4/4OAib
dspmxT4vPzDZj0iNSE7Ok4ponp5Ep6bT1g3SeDoE+qNVkElNQZ4MdcMsyT/NjK1GAkUkvgQSIFvj
fKVWSBPA0zGWJkhMbC9a4Khzdh4NLI2MkmWX8ckEZfOY/h+Szmw5UiQLol+EGXvAa27kIimllErb
C6aS1OxbBBDA18+h5mFkVd3T3SolxOLX/TgLTJQXwjwFy4dpTf7Byeu/pFxALCBeeyGmtgr8dy7x
sgWuivccNl/SmmlUkffAOOBqMV0vaIE/OU0a3+VGdwiRcsi/wivS8CDI6+WYXVzIJpUZp7vY6n9C
FIi2qpId5bWYUurVx38esvLFblbr+EeFG21T4/HlMaNntab/URoY90Jwwpm7QrGE2sMl6naZnCk+
csvXuOg3edo67xL0NC+ax3VjrYak+pbE4Xe/rhQNr+eSMPOfmF8Zky6IBUMty+b2a27JUGatHjAH
+J+eYhCb6uUzTf9L86IjSpvN2075zPgqbO6zMh4rqamqNLt6y/wQf8tkMFXujgFZJQLB9PXmJRuI
HZrznUztEzmg/MzlHpqIB4MJi+VNWcyGayKMvvTeEfXFlc+XdXCZdlOKLCm84h0QsXXI9UdJavap
LZmnOymBAwMPppwYOpAnz3Z6NN8We15NiDAO3HEBJbGSaMobXrE4WtOvzP6LZ7OXkKXM8rOi0PgQ
IGd26TV94TT6W4lAPU3Ku8Mxd1ReZh3E2Nl7e4CW0ciFx6lkDpRUDdGlWlJeggbEjQI+CWNle+cv
CQ7HiabnoLeXnXLLtxH6N0Srau23cilfYDCusOUQAxhg17iMOXdZEXBy84pn8iL+VnQYLPK4sDFB
JN+pI/WGme4QNeLTg9wZpGpEJbzDIQH1zLYlRbJMIJP8anr11fULG1Ww/HHD1nlC30NUNPzdPGdf
7fpodIO9YUdvNt5geh9pAoIBV90ptIa7Iade2/GSB7bKk4wJBGFF2no6eU8tXOdl42iSPOnVc2md
8rV3R/bxi+sKs+ehAO0/6XMJavtOeeYDy1R1U3jOOpvvSwIOsWymXZXxlgbxC5ftU4smzv+N/vjQ
oZI9dI80ix6LTC5bps/QO2AKOM4Esw2T1aYZ3WONL+GEYnhvlV518EVNTZrh3xVD3EQWDuLd0oiI
FoDvGhYDfBIgZYx4NlUmqGxo8rd+7phVUmO0Za34shrzalvhRIhVRSRXN4usv2oK1E99YwzbkszW
xiKt1/a7vAYVoJTex9YAeaKygr1L0npnm+JgiUmRKm1SHvPZjlx6pPeub3/Pg1w2egpBeM1CHG2k
Yl5k+49XjSMMiTVUUNKbK9Zn1JztYzM0X/baygGyplr5PeU8OnttlMFukmAGRju4rYUgixWzr+JU
cifIRuH6XZaDVz0ZRBsd567NbGaRAdnxesw5RnTjDg407wI5rYSj4K5vKvr5av5ZlL596+hzUhrV
gduHuLzovKr/yrF5rrnNgK6h76QcBCpzB104IQtZvtfAVorC1JumiZLkwHEkWZyjJM7u2flv5tpH
rzS+EvVnMsm+pyTfoent1BwwdA4xt5RJQMki64TtETaLd31K29xY0ObQIRPv04Rl3iwABsCkGfOG
5W7aEiuOb+AsMcLkm3n2+2M38QTP9IU9gpl9qXOe/86qIc96OuoVMdKBM0mYFhhELOimtsSUlVrJ
d+/41s7Jq2OSdNe6BOQyBzGB5ukz1zRK+aq9dxL9McrBQlsqTwlDZkqdOZtK+qKmkc9U9ZpUq8+5
ExBpt7zh8DjqFmuFNfX/De7yFxMFgB1Om57G8aO/4qoooqnQBTHtfs825u9hzzzWhuHeYYHbYyu/
hh24CE+nz3Iwj0Fbbv2cgFbltQauqdB545b4Ys/GphgmKP2On+xm04/0wmy1/KgwRW+r2qk3pD/u
HcCSlSmGe6HiDxilIsLc88BiiouLkotN6yU29yLMK0OV7MFK3OowCW5EbP+4mY0VknMH01d8qUuw
Gzy6OZhiXzCHcU7adJKDtm4z2uuFQR84jXOWjVRBnBOQZvOI/SA8YQLj7uR68Rk3thE2aQQyZVfN
Tv9sTPVWZYY6JqVnM1qj9cnJjY+imMxrY0Heg7aQjEt550s/3hQsJhUqJNQ+2Erc1yd4KLy8x6Z7
yFVJjBr37YYrdPNsqTpqsAHJR0TfFdFmJPvZ6g+a/00mrn5hLC/aBfJjGVcHCJlvYS3th1PsdJTb
afqLPJZ5S/X/gZTEC/KrWK1N9VAXHtcazoP24EalrEBdm3dwPZhtO48k+zZt9+Ll5Bx9MkWlyqLa
jDHlzqBgrU80sfWE9kUwY9gUr84onmZ8TnjVT6SAzC1jaE7wjnGbs/SeYMcmMKmGmn3qiTAnPLSU
tEYhVtiNCw4/rv0nTjrZU8e5ajBr64wF6Y1LSUHr+AFzD7axhNLAScfn0QmXCy7yc01Zu7G6lDjQ
N3iv1Kekk4LnaBaHwmm2SOEv2lvhdEQCypU3heH5RdX6EiuPpyoOcETFC8kivtOGwvJTyDs9AvPR
A4WrAC75fuPmLZPxwZ/tW2pbd3UemXX2WAL4pBymxS9l/qSN89QoK9kVASFz11qSY21ZuwHFjj36
g2HrWk3UxJvRS/9oIgs+BAE3Adk3dHSIG+6vWXh/TXMCvWTGDj40YHCNgeWRrkhuPvVmhZTuCZRi
IMjucjMbSRbgpFP1Gwa2P7wZsGR98yMTUGoGb1fY9rvLT7biJJZWYM+KOP/jJ/GDNvpsb5LM5OiP
/t0cQf3oyKfSJ3njbjnL7nNY5o+sbZ/6HtzeIOUu6N3uXASwv7kYZacCC9SSLa9l6L5VBRn0llhn
TR8UC6kHeM45C9lZ93Ms4Pi69F6QfnVa+gcrkztxbSnFbnnNMsHmVxop4mYmo6UrrI2s6b6pbLJo
TWmeDRtcGFhL1ArjVTGJ8Q4ZkJzTMJovce2eG0uHWz+hpw1zy391FtPs1yyvsx2OFBvmUWCHt9ap
opm2rk2QrtQTJziz5x4IK9sPFHFwQzcSf4dJaes3C8gq/GthW351yviwljjfV737m+MXqhyeHda5
uHHfCho+hcHPlf36YRYrqIKAECIjV4+YqwBGrW2JyYTvmupQcudR5TzbwlZHruDPDsSNoYJ86qcU
g9OLRYdUQoLGxF1PUxMHnQr/SZplt1n1X9l4z9btjxrXZhwnp5Y2Lju3kIHyvMN1Hp5radwVst7R
MPJJLWV3TCEKQpeOyWZD7GDwI0+N69+6yuYax1G/xVIugj23Tn54hT6K5BKniqFckpLE6UF5EdPa
lnV2CwoEpcQWzzMz5SPEoXFtj2WVVBmOQhaZai6yDea19M11iRxUXZkcVimGvkVYZ165gHlx2203
FwZEH1gICt2Gfz+IhyyIAGFWu7QrePHi8anwadCzi0LQk471PLXBGapgAdHncacta+oJW3od8IqO
j+54TL3U3E0ARS/xKROuOsMCYVSCk2elLKQhWRrDHk9qdM90zgvmxdlnZ/e/seS0RIL7OpAtFzJ9
kxPt8pz4YfYHfAnduN4B/Pttim5v3BZU3aiNbRh9qBoDfN9N6OB69mkm7sOW9nItGpCBw1PRjGfo
VYT9yZEAd9sV3txwVLLKi0mqEUoAj5FRJ6Srcic+UvT0X0mZ1zkl7Z4EXBdmlYr9lLofbs4UeAFa
25Xxa4cETzcdOw20IeCJ5b1r8aD4iVvvOMMde5OQBOzF4RDUvTjHM4X3lQ5PpCDui0F9Q5Xc5i09
gHKyND93m7bbTD268bRJDGEdYj6cTWbYdDJpE0I+4LxBG0BpfwIiuxtcWulBFY7BbSPvT2ujy2zg
RmSk+G5MklCTm7W7wEtuRHgDzLo1PmKGapX8O3usrbQigGzNaWpXqt6Fo2Bzm4hWDNTObgrj1K0a
Ut3r+7Sq0DOCAUYtKouWARfU8a6kkHV0jZuqzV3Hyn4uNYVo5XrtDOVPmCD2DSL+xOoUjTQpc9/1
f2q15lpq/lhDnjx1efKKVzwDt7EuZhMbVSUKc6+m4dPAmWnZ1mkmOLBMIL6y+DVd+vuhKalCFASk
UJXcnqLetnjF84r/ueTTGfgIsZ8GFpPJ1Ovu9CcDZa6/HvUyqdHsAZak4JqpAC47bO8Ti5QIMZIp
EZzyoP2LZnBKeqoimY9PO3wmbKIGCduOlrC97IIYZAg/kFgPh8xjQlBSnjY0LIqznePhbJDJ8Txw
0WuHitMpdpqy+KOWau8U3ITpacBHvd4dJBKpTa+EVQGxzDQGPR/44KItNN4Fh2XHnSM0oRIRuNqm
U2vsUxfaexNDT7ZA2xBw25TwKI9YN0FsciIdY6z4CxA5UkA4xpcBaBgORILOz3hDk3NGqJHp6SCh
rXHgm8blVYv0v95339BHYBTYn6GtSRWEfr9xRl6f0TK2DEeJzmXVT5mMUeAj3AlQY1u6LGvUR+RQ
qpjhWPyypnZIiXxouHXsq8mNtZxNYi0e9Y1V90ru56mumdfyeIQhdtdqRR9VtXezM/4kqVKnOgZL
kLq3rI5/jXnNCQHC2HggKqQxBNvU7s/QzDnoJJxyTHSL0qH5UK7FoKUUNJD0qF3r59G5A3NS4e+n
abgRBaWe1epeHCOrz1z1kss4l3vZequa3gNkc4fLmMHARMKGz1c6SBCZcfWn+8wWiEhAb/c5hZ16
wISb98YCp4ADjJ5FyKPGg4nL9NSQ2dtoRWe8ROYxMAPXy66bmxu9mO1pyj5knaZ3Sa0waneRPUHC
KleUMnmDc1UYb2Hx5ncvw4zbiXKQJ2FpRBZzszQetXp6ImkGwTqWc3NqOmMnJ+eUOaS24kS+c6ek
VWDE9dp38k8nQQzplNN62t8vsfHXUXAqpM73S2/qranJcuUqJp+UCImPtzmWAtimSo9o4lT+Ov2f
jttY62l1Fs1YsSyMB0EclMu0iX5CmyKEs5DQLzXAqIUJDmts8DgWQc31AM5FGEelCS/ZJuCxDeL8
nnFMsaUPNd2WwqaKvX9zZPpje/a49R3D4+lwYBWU3s6bdHbnzADBrfTBqNRzE2ObDvE35csfxyOz
Z5d8/PjPHyhVB8QEuuSgtXUIlEsqwpr2DoFb1DpQM57AsQBW9htiUHqkWPkgYgDVeKa8DemEsaPV
EHIC0Ea3vhvol+ZQC3bBGjHOkL1YasDjpbmoyBqHO9/+mNzO3M7WAk2CD+hQ1su1r1dFMjS+sfNv
ugpD3lI1waYaSqI443pggp6xKcOSvbgb3837uIzZeBPGKJh2OUqSesesPtANkV8MiVF2KRN6KFmI
uJQz4Cdv7FAqtOFaSqITqQf0w57Vhat3BaHFzZiNForXnJPCJk3xIZfu+ActS5NS8ebINC2ae5bq
20j5T3V1/2S4jN8am2hCA1lx4xcuQbArryLnpBl5nec30H0Q+dSd711lhdvs71wtPw2fwLYDO0tw
C6U2c7Nw43rTyV4gSurlhdgactDYn9zY9ogG81TYCTnqxQYTIrkX9H2cR435Zcc1TYdY1XmdaGwl
w3CuazbgFns/bZZMI2jV3EwtGYd2Ppjaao5jMQUg3KCcI48TM0kpmHdVGRUlaiK8yZJcZQ/1hok7
Bhx1j2zRRMLUf41QJVGWLmfH5pmid6TbEngw9pYf/HCxYrV2nXtZ5kaUh9MPY+rqeYZ3kKTsVaql
5h4TVMEgxbNffVTfkWJvqE2w3un3RM0NTrPV3gYQhSxU5VmG/rPXi282EZSEMZ0vwk5+Qi3/jNRS
nTLbOOMMBJszVEyVfuGfIEs2b27AuTiNX5XMf5RhwBekVtKI4+bgq8s8CXAy/DH4QeJ6cntvOaQB
dhj2uY6leUV91Qh/jQfsN7YQupK12bM95CNDxiGpi0Nj0g4/0sVj0d492eDWMYB80UXHpTK5B9kN
/XwAvpQ17oszx7y/c/UwWNiAAkDm2r353EW2LU/q2ANtpiYwLcIzq1pkZOl/iU5vZbfO0IneHcjf
WEw81K80rHsVA5HRhvMn6/pzt5h3bc0HVNqd3gZrMD1dfsr5gShDx5M+sPVVFuVkZrVP/PaNF4nz
QPmbrBc2Is6cCxI2vhTb4c4KVk/OofTafjsKRhYynP2dJd0//TRwyqxZkdiq+zG+h8fxuyhCOoQs
fmbUiLiFK1N5zv0yFI+tI+lZTqGYgWLlUofoKB3kvr7x7tppOpgyCe/csQ53Vse3Xk9vY9+tpL6U
UoQBfxjgJ4y41PmYo9jLuf8pjfa1ittjEebJiz8lZ+dq2qcp/BEdzK0pfkHaeWbg31DDYN3iwX0f
Ylbmlp8BauN55rn1+LyIRINyqk06a7XzYE6fZBicrW8ZUMDDeDeO+7AEnQediYIS/uRgzELDRF3t
o8yav9255z6Mdt8G7ithxBX66Z8ZZJzoUl+2eYPRsciPk8iTu0xWmO7Xo6okUFj5xAogKF6LVP8X
OCxSDUEQIon9zXNAlNcx85DxrZe83z7GGA1kLA0GXg6+bmurB1o4W4g0AVcmkYPzXlgVK6LGO9aW
cMeoVG6bCmd8qMz95CN1Buk19DuP/FyXM5XQB8ulocb0lLvr8uC59SVCS6j3qZDDFmQBaf+4gySW
ChPmsHMz596+0+xnsNX5Eeja3HuVeosjW6WfyjI0/UeEsmzYrDAc1/x+XD13k7PsXOSureauZ1EP
BEe8fXUKAYHep9a7bAwyqobQm+KvLUFquy2LjTHjvyiHKeKqSB0HRMlTlzPMx/nE8+kPBy+crH2M
dsWBRj7WNnRP0pKkcvzqDcXVjWyC3+iEgk4uLuAk835KNOOjQjTeaC5oG7ul0bhnyGJARcuQxInI
zhsyX1fhG3AuafjcgCpfm4pNHv/a/hIc6XaAK9hwQ44rLG4dYsj47mnW/JH02M408h9/YXrgtVpv
VFtd0II4KsqADZnL8ZIwLWUsd/J7+9JWzKnKHgK/remMpD374mKjYdxYJMyqg5S0qzluncA986F/
z6o84eQGVJVzFRoAMibkyzyHVE8Jnr5ZEIt7jfWirB+ZRnewrD2mT8r9T7u2vadjnH/KP9JDcCLy
IPcyRbUC26y4zg7caTf2udK6hn+m+cd0yRAj3nhr9BRmBAMcNR+6wjiDWEC7mNPdXObnwELMEk5x
ZTnYFeHKqgXIzM+Op1JhDRAwT5ECjrmLDpyEkfSMN1f13x5qMyJBuDDiNN7pLNpCKngdjPgakNLC
A2UeKmAye2yQnKjs0NqTP/a3ZTswLyI+umlEfwcc9jsz2ubIvfKSAWpGTJw3ISd82PYwL1pY6/Pw
PTFNrtGw9Pxj9awi0ubiAJKegRtXW+k46yz73gZyTAIKWli3dO/NMrzGuXMJZPZfHtpvAgr8ZrCb
Vz/s9KlrCoswUU3pA4w8EjrPkKrJiqU0snuZ2BKXPUH9poFmfYQGccK4fT+5AJJt3zzz0mXbfsx5
XcC2HZJcvSFBPznShp2OFGTq19hNpl3MYrw1JT7CbuKcUMXhHhk0jAKIzMnUfPtefsYQwKsuxF2O
uwfhaY6GoH8eOXjWJbv4MhbhHuHj48sMDApRJzcKijV20454+c38JWtiWpO7r0zWnCvjetz45Dhw
H9HcYLj2E6M7n2xUwL2pniZ+Vbg7Og7fvbniqtQE32PNZdxLxhPNTT8dbFDPUm9SUadRZu57yyqy
t3vWpLiLr11s73Ku0Yn1VJYy2I1cxAFlcz0cj5yLkwzKg6rac9D8J7n7b5fuxawWrIN5TXl5h6Ev
8O5My3+xQuMdm9y5HW2owh4Lc60Q2MfJ5/hZTU9zo+5tafrHYkCqG8sJBAj9at3LWHI6YcaLd57A
b8WPc9sgpxfuEyKXf46TCgxdQgg1GAm92nOKZLNsimD47cEibPs8vNk5qplD3Z01kBjVVR8tCW+4
Nqrn3Ja/EDXMHROCvRQuXR2IDjTDdAc4z1wokXvxux1D5dNZMHk+gmTOFm0DEIVlIIAeb3hS/b2t
v7zCrvamAS27tNQmLDifQgv+aIr+aYxByig+q4MRu0fdBLDw539Xm2TnNDFUezRW4Ui6H2yJaWCW
z5Z5I9T/6dWS3usaEH+x49bhsBzHlxnn9DaU/PyCjLOHbFB11pnUZrBEeGqr8VUwE0AqqiY2Ss1y
yHVgwrJIzd9IbLzOIDmakVnN2CDrJ8po0o1ldV9+i5C4xg83HigOL3PAAzYWXEx7+bbTn5FRB2gA
jlGVu02H9jn3x32bY/OouAjE3AAM6yZjcczRejlp+Bz7JsaFgXk3cs3zZnaNwch+yK2PG1QFtoWC
NDPu8cdFPbUTNyBf3HsQgfHB4eqxuarKecMdIEoHEYWp2e0HyjkXk1nJzIGrjrP3vFXcGNGtQrdE
fxOi3tOhVXfic7C4n0lr+fLEoYrldxCiVLUW3YqqADajJ6K8KYcVK0fPLg0I4DAuDsBNUBfCuyEG
J6pXz6trVA/FJC4U4jzninl+iOgAiru495BLjvATzpWbcV1onfLQMLXNaVLlzh3lDt9aM479VhU4
e/jvtXVyIVMfUVtApFp1r3A/5T412M7MbbGwQXiCpGUyirNqfzJ33jWcsJhdeK+cCtN9Lcx5m87e
aRpKBIbWDLDT8T0XVrrx4prSalYaOJwjTg4lowIb/6GJ5ZPvTnSLxTbIICYRvgDALZFmyZPuVfM1
A4Nh6sM6Vubpn8EfjTN7MK0fhGMshLQR5VuqyrmfDd4z2u5f2zLA1x+82Nk3fQw3Szc9SwvsDtdG
/mwmJ2J6/JumMcXuvn7vaz7rkb0dyKJ78Ov860YalqOacG7tTPda7NCqWKv30Rz+LDrHBvGKv7Sp
Qi4RI3kbum6WEu6kqmtIz1yHh/jOBiM7gjQQMnCPZThzxllTzB1B75TyS9AlJjfO4bNyWhKhTGc2
Xd//TTR2JGxhPK4/YkQSkr1wHxauO5nK76DCnDmIm+xfvbdPy+y1yM2vJIR16hnWry5MhvNAILZL
kPzXQwcm+4Ihzg1rFjG2U4qe4oOYmvfZyn/NAVeMACSdkG6NhlL+h9bjj+WtM/MzjQKKKwr7eGj6
hybApLCENQIL08+NOdQfg6ifXGs8+GOe7YeO8UFBN13tARscrT9LEOz8zhkAApSRN+KosJKQcQ1B
WSbIADsrXZKgsH/XnoD3gkT6vFexSy2t4T5nM+tP1iS70Rteh7x87wqOD8wNXtoCNF1X45CeiMGh
x6DYcrxIfZFEXv7hiLk8BH7xKSYsJRmKHhrDqxm0DH1YvHe2YNmspLFVed1sa+DB/DuQFRom8Ry2
6Dtp7fIoHQCZ9eMvZTDInF236z2scIOTv41OOT9CjpIQnuLemjZhSknFGHZvANxL1jNoVoYPgKnG
SGDTw8WpnbIUrlHrK/Jfm7XvVkFoasmHx2REpRfFEhXd+Az209qRlR1Bm/IG1Ibic1RP5tQe5mpd
wAxC9EEz/MahYP6IoeekAicyM8UKiZUMKPH8ES7mxYTyHvDN3E+0guySXHwMjt1GQzuf6TaPrOkn
aFzvgsvob7e4Q1SH9FmZi/OQVE6w15RJUR/DuX6U1c2eJae/+ZtOXwdNnQ9uRJScAoez9dhToCGo
p0o7F9BBTLurH/bbaTBAfpvTXyuN14nH/KVN398u2CvJ6YcH9s15S6F5cyTusjdyNT7O41Njyn4P
wx18UNqRbe5eTTgOPuQDxx8HVrwZC4Pu0W+YS1UNHrscy0BjYZ0aaGldJ3gIcdnFEnEZkcjBht05
0ezxoeYetQAM0P196LSnJLT/GlZfnJUZLI81kevH0UmfGst6pXETDkCp6+fJW16GyisZgZkurk19
hh9unKyQbEKq86sVegolGIdOkjPmqSp17iSK7RQ71yHVz4WZR069GB9mCia0TKPFW9qdsxRMukg7
xV5KT3kh7zKb/Xv0wo8g9lMCfy22PC41B2lx0pMdzRa4U6vOG042+hO6Ls5iT6CRBt7AZGrsIuhp
lOroyr9OriNogX6yDLRRN5npF2g79drwwRI7VHdLPj/gVy6eVLN2lHsXk7HyJQ1hTmcmQC65vBmg
Rw8mGXg+cixasY8uG0/Lr+BYPuXGc9oUd2NPeW8BqM0LMudsejmmHiHu60UbwJixYACwupUTTPgG
szOxcB+SdSJPhMdbTHML9X7UQ7N5A4cI3Ok6ifmzHKz7ySawOOTLm9IhKHNG+ZR/5ac+s/9Ksexa
GdtHPzAuTYfC6uTU0BFh+vKAYWwFxrZtp5PbgCgsDcqZsgo7YH3XLQ2MdjNLL27xPY4s8JSnXgU5
HdZgwOQcxaj7RfC1H3F+xnsEwhNNROlWXieOxGcryPqz147jlrHzlajBqrlm9D15aJwef8KclVTH
V8vIV1IWjBqrTHfNUg739UQ5aZzid3HpfhNhBGcHar4HyW1yj1Rk3ptBXVyHpTt6Wjz1Q8upr3CK
synlwYJGLQ1pXrIZtLZAkedcGZ8rSqF3ccZcve32DrIXgoLPIuFV4XMef04zFYYV3XHyZGbJS9eH
N/AG2M76EH2VsYcclmO3JLgFZo/WF8qd7f5k4b+a8/kauICvYzVHZPK6U2igm9GA9FYh/lMK2eC5
M6hU7MJ17MDeVwXDvmoz549ld7hURJ3+V7QH1x/ekS2hbhNJuOiJo9qoq/803JSdmROctPGdbNzK
SDd13z3KqbOPlpER68dNmtFBvps5Wu0qlxsftaqHFtAO8zKMyaEXf0/Lch4AzD0CPCl4LVL/OMyR
4Cf7G0jrFkgXZNeibhZD39vgQF8Feemc//3WYY/fThVWcS9uDOppTMzeDUXxsiAd2tJg+ugKX923
Zhpp1VqPw/rl/3/dEY+tGOaLdAJiOe5IP2vYApxs8iNVCDXSMAXlHu0IzyHsKSQYO4s6IbwjJ6jU
2gi7ah7ahquPla7o+/W3Ylo53SPqHwsQROaYG+YUhMU967bz8O9LLxCLAjdB9mYQdNcOf2odc+xN
UnUFgTThFXTaGx50qC9kJaYguRhxsLwSRftq7Dp++Pe7EvPeGFfJE0wumDzEYiD/X9nA3YcMreQl
0G3Bug3B5N/fzFy6g3Lv3q5dWPqT9J57f2meB5eBBb9JWrZmgJwPRZ7tanKlN1DM1s1sy4ubeM2D
adG6HqsGYFSl3KjGn4FZ1Zse5TO0EQsmz7xJe6rbSDHVH8jgL6PuxA6AR3gYDOaWTFvTrc3yf2Lf
R97+l3LHrpYfFg/4X92100WtM81/Xwo9M92EYHTKlb39l8g0tSvv5vXLv9/++1IN7r1J3dmWBwlt
MK+3FKuE57Any7z5Fx6DRsEYWsTfrZ7lk/3h+17xNKwtyF4ALy/XxL7sjxkG+tIjpeLnf59a12C9
6oazTovsPQN3omCF4dNQ6ePMyXHPn1sdfE+XF89hXuik7V+IhMVDR7Ljj7Lk32H9naA7ZUc3wLh1
F82tWaSvFXOFy9gEMXbywH/Cr73+nX9fOqXcS1kOb7hzf0xcbC/zgEhjBb7z2pUZXXuM/h4p8FWR
r8w/AJ3K7RhgtyNd1Bxo/lKraPHaBAkeM0J09LFBzNzIvV6W8FojKFxRD9yrexW0s1ACx/STS1CN
lmE6F9Jd4J1S6Vwmf/ihfwsJ2UO4EHb3ks1p82AJCdxqgPQBPPRSSTpqEtyZNBkcQNKq278vqmjO
9dSiUQOcvE0qJtUTZPsq7j0yXIb7UdYRScD5k5CgQdcU5WL//nLB+U7gGPMM80lSq/WYzYhRVIHX
tK5hd6ODJjngz+q3TufywBDE2BqIjpBaoHsZoC9f2yLFvABGnK14i3s8uevqqngP4zOdBvnJbLry
lYZbeRoJztyMJbsQEtQI20CsfTG1p9LXhy708pshYlAmA+gpAACcHhmSsidgpcETqrdFqt4srw7B
g22lJsCkzYotwBLjZT0W0NFXLchEvr4Wnf+LWOHuQhdyjbZqAycBbxrnLe8Z8aR0reFZ5LAymxYc
TzhYF3BFjPn+/fLfF6dwCaPP1DQEeRHS2vRmpIH9zC0//QMukpi3GV+bxgKY2utxXwakl7WWzsmt
r2mqf9zOTi7BOA17ofqVQth/myaznkJxOgQz4Nh380AfMG2zZFQ4ygtg8rZs5rOrvfzOnvqoEu6j
Ykd9LCbfifj3qaM76OEZZ+DGSO1D6YbJ/b8vxVyn//9V3eifxiR24CsrB2vYZX/JZuErZW29VU5u
ncd+UhzOneSxREFkOv6l8c/8mCGEKQtZ59nHlhj5ljlGJGLz4791mELw6gw5j6o/gLB0YJREWLLk
IZGjdyPtmTzi4P+dMK880D0e7pMwpTBBVxehWKFNSnW5T4iIk2oVGTP3t2ytYRgaM47+LQ56XRUW
gKBseunBwpHjmQjspDPkk1i7XcYpVGdwAfhLc/lqU3f7AAKYSWaTZe+xmWaHLu10ZPhj9i6y4MMr
KabyoPdsvHZWl6Rq1cVZf5V2FCeTCXhMuO4zq6brXaR9hN0egpHAe6hmKCIFVCBIWNrEr+hUt39f
HOG+QQNGhFn/EjkiXuck3eUsff//P5BiWKLA+FYx7XJY0IcHo40AEqmrG5fq6mcGIPbC/W27+mxU
zXdFxz1ja+pwqPBcGQjjTUK5+h9X59UcqZJu0V9EBInntaoo7+TNCyF1t/AmIbG//i40cWNu3IfR
SH10+khVkHxm77VXBv/KScOCv/GadKQ6YDA01Lr5rVtsFNxc/LUjBPRlkiFil9Z4t7IaBNnEZkb3
q09oXM3GJ2QjkKn1kxs+0TE9C8W1PaLuCFVOpes2zhovWHxp6pAJO0s70LdayyzXvNZ6r1+gvuoX
I2NWtfr92hrKGGwRM47fL/2iK7fsNR1EGTBS+pkIRI8m7djbi+nKrR8xpYHTpcDagVLOiGgjyPmX
2gFpLH4yEEKvyBxn/baYkvvJSE6/39J3bn5OHFQqXA6V88bs9K3yjPa78qrnSpyAS2oXx+ziJ9OS
Ym+6JMj4buiQ/l6xyreZ6vyecmgm0FM0W79Gx1zHj4Yq872JnGafNH541QcTglx7H+J8OjEoH4Cl
tUN7/s+nJNtvMzGaeCJj9GddJl4LdxJ78lLHDWGBRLSEwKDKAk1xndviNdc8TlrOzcykxCr1bOe3
7iOLiRQXGLvDsmBc2vouu6Kc1XFipwH1nvNEIK1FWhypFWFT7zivrXVkZN3dHtPjoPNE6NWwJ66r
CrJKiwNT/9DTprveFTfG1eGZs/Hq5jtVhrbT5nZcS8/rznCSnI1t6zMLou7g+uOr6ctyn+UYrIWR
vyAI0QbtnmoTabzlNDOK7VD70XAGZolN2+f2u0PmfNVam/muYoM9uR0SmTaWx4KV/iAoiavB+Gdh
Xg5ix9RPqOH1U866oxVWce21sVilM5VJljYHY0Rv52iOINywS86/HwytPPVxQqQ4RwzLHZjWU5++
CzI7CT31yAlF/oUMVBensmawrrOr1GILZOuSq6n3/xqcNbt5SG6pnfEAse3bbEq2z4Z2qnvdW7V5
HgaNjjrdgEhChFC5M/XhQr1KfoYzBCna5EvmWrx1nHMm6tyhE+lLk6n9gCz+IwflDQrWRYfHmtcd
0SIOiQoDLOA1rEKfmPWRHEvixNur7Ieatc6UPcfDMkrLhX0tO3S2mja+lYxGvkvL+M8ny59oFUPQ
JMKqgbFPbGc0gHvUXf5zHhN4i/0MsTpaSTUPOXAUnHkuCSurtjCMF9/hd5BZ+IRIfju9N3Zdv9dJ
KU4t3fTaqevpfbT0Q49dNEaFRMYtEM5Lk7pvXcRogC5gvFDfjrs5abpVKjNAERDPVpnK7adRjDwh
xdGyW+0xa91XC9sYHaT7ZDoJUckpu4hCyPqOTe+jTZl9Jn30rBxD3WqFD46r8On3A26VhwGW3wle
k4e+MEKQ/f+Kx98K8vfPkEy6CA7+yV7UD7g5cSMuEXRZ7+2dLCFOvQHubI70rY6dvMaLstgXvMo8
RMJzooRrbmMD6ISzNAA9x8U109W3ISre1gVZ8PshnNizT/64NntzuI1T42xTiybIn6R91yDwBH5l
nMQSatRMLjFdTtqswb1K9kuF2k/LkSW0srtw/tkYGI6xrs5DR8TSij3aNY5icfHR6IRwYz7Tud3H
DW9LwM6l3RNKTroWAvRPKcSBrHb/pWjJgCm75Lu0q4uR8hTW+17cDE9jeQ1yO0kVOLq69HfTSL7K
EgUc5E43gR6G0op4Nzr8Vpa1Fo+3FOgBN9vAf7hjBuigj78DeVBXbyB5OBJUggWyo4PSGbUa3aRo
hDD5TE1NCbbAkDKuv17E1r7QUM62FbRn1cjq8gvRteR0/P1KZN3R1/PsMsknRjTuPe2M8EFztacR
8baR+C47ALB9rZ2Ke1PEUeBnnbORy5e/f+b3PDKGfjElTwtvK6+lOHWp4lPala/amMqdxULr/PuB
RNXqOIDxjWNPnlt102JJcYca4zR1SqB6sgVaVm88+TULWAk7C8xpZx7QDHHt1yFE1LqD9s/Lwz68
mj6TNLa5S/PyEPYDy1CHZfLgLO4wp7IRwSr3OXWGc8VE75PGh3wpr2e2QtIViUNmdEn0LCWlS8Ux
+XCsQNsh+Sgb3BW6KBFr6sVOicHbN4bTPtW6wR2bEVFu1wiENIKXzkltHUc8d+wkPXJ/nQws6WzG
IItHzDTlUJDNdgpxTr6aEmt33k+frYm5K6qd6RDbo/Xg1P5Lgm0V8sDsY2bunOsb4HFEEwJ+4Wq2
nQGQLW+tSrCrd85A/kjo/kORWG47MzJOGNreESIh2cj7FGR2QbvaA96321kHBx3KQ9thFW+8HCer
MA2HMAB439H8z8oJsM7HKLnyqijW41LfY4G9l64VXYQMS+juAlwfuoxt7OTuSeIwYVTjA0FcXnxT
sa33J7O7ZWykbm6fPlpD131VpDiJKas/bQFVEAea9UgSGMiRfJrOJZFe0ADAlEYTApZY1UTYwi3Z
VoPf3X4/g87Tw+Ccn7GhDcdKMu50HXKum+Xca2djOBfNe5hk1lUyAtzbTv8TERbxn1nA75/3g27v
4tjB8zyVkp0ccia9Yi/NNQTpA5VP2WLU+99/pA29H+ggU3C2u8bRQoj3S0bRlhPm9zOSQPsdJIbX
to6m038/zH39f79sM8jFPdTWzX++JUEdVfuyBQLPrOL3R/v9SZ1lTRLHiG1+/0GXUAwKQeTTIMOT
rOb+UwAfXmcYrFj2ZMkucub4FDZqOncOMas6bh4UUNPDDHH5oZjlppJdfAtVT0by/FVJJR/gvU8P
o2nzUmoFxHy+0Y4HmyvYgOPiGtlxSehYm/Fdsqg/V8uHpHQRxf336wIFoO/kNw0z/JfwXLwLsmkf
lM90c+zbGmUuCqw5ngNwfH91YT3HsMjh6jKJT4zh4FnWBzoZzPoW2hSP2JV1amGNJxuUy5lT2rez
lSTbZMvw4ECM2FPKTxlFD50R98+QRMnBynlahKgE5TbigXZxbf+ddbu2i8dA1a51IYAj2gE18taW
selYV69rK9P2RT6K58no8b2xQJaFhTJuzJ3tUFdn+pulFEtpy7JyPoiBV55wkc+hHOFG0XfsI6UQ
lDuNIFVZfVdhPjyWaUfObpofdCP3gnWhIahGuZPg49G6k15RLfoeYmg9mcOzCVfs7I/wyRGTQ/7j
K4RUewy3r6GL1AR+iL0ZEgrXAex/1kT3usUqXotY2xjM/WLZzacaY12hJ9tOIqrURygMjRu3gVV7
N+nM0G4qbeW785tnsw60TfaDaUOEbPVj6iy0rVyNK1tFr3WRQ0THVT2pDg2lq7KNGY2SxX8z0lKQ
ZmKNPgYc19yAUFor5nFrjK/GOkeL02ypbpCix3jLyRzEennM46RiBIaZKy6rOxjzU9wypSyMog1q
Q+7LKPt2u/ZO8LrSUv8WmfItwSH8oLfFRfn9xbOlu+4dZlY8wvBDaNVBMnwAJIBWqQtXzYRjH1l6
j2pLH166ZYVitciADOqoTZsP9Tmd7SPb03kVIRBcmvW1TmzCM43jnaQakjeTiYm6PjxZFXuURiSY
eTRfV/uR6iMaz3aKigkLqndKZp5YtsYorclVMDekeA5dbl6y5K2pilc5e8wldNRpktzWNtHPpRNF
jxISPnsnhHSec2IOfetC/AKV8IajV/A4xyUD3ZFcNo7u5eok+iJW/SZ0VLGni9EDWYl/0t45NlKy
sVUmAZ3kgMqSlTa8q8DV63tbIInWInUhh/dP1SZfGvbGdRcN5d6ObYsGPAKz3Y8JsHnne0wTzAp9
Q+reNDT4z0iUz5ItCmBJY1P8iWb/1NUJin50kaghSak2Y2QBRcbVOBve3vN+nH76xwOekYFh/6u/
ZOG9j0zJ8EIxe28m55LrA8h60OCskUyeRtaMWUumtMQOP6X+EZERv8MpcO9YmKCdLz5Bf04oPIdg
JCyCdSjJ9giKwgOClUCTHdE+ev3A8pS/cJpOKD/WlEkeZgDJnkjO7XG5gkotPWoSBnOXo94se/vU
cPujto1scAvDVPSkIMZ4tzvWJUJC0szEhGYcUcjiVH7xBuNhzHRyTRL50ZdTujYF0BFLhR2EZSSU
YbctDc+7wk5k99g5eLoMf2vU+h9fMdJgNUx/NZBlLrJ+j/W+2M5RFnSNuMa8kYFGZsDaAyqC2wKe
Qme3X5kER4iMHc3L/NaQ9dkWi/fxtS/tfI/O0EdkVFtk8JZP9mC3hyKNrlkPy5wjfNy0FityN2MV
yDx1U+cW52L/JIwQVPjgbKpwfLdUd/L7Yjc01aFvCx7/qhBoQPpmNaYYU0M0BKmP+kv3hgkegaY9
RAfAysUu0Yjck/04A0uDoYxd6ohkqtyQDACwh2C+PtZNQgqQd9C0BQzozG00kDbfKWy9ufkcj7PG
ftTZGlWDgiY2uoBAKcyvOk1+Ym9ryydBRNs5Iwk3uhoSBkPhXdYiXFw/NrI3NiZ0q9fJe9ZCquIn
SBs41iFpR5H/Og1dsYpKvF6QndeO3336Ou1Z658sx1L7qMUATGAQnkSfh3iiKXSizroGhXwUUXzI
B6QFYgGnj6DI12NDKExexSiUJhTetm+fvHD4QjSTod61HmqzXkdD5LNrUrgQDHZ2uEqIPVHeLW+0
JMiLls4VW0CH/GoaDWRSpkz3uWGS1JtyIKLyQgCIbzlFNsAxxolBdekkIGsLLgiXnoSbZMI/MEXq
pBRBJUBcL0RFbdNJBJHRvfa+yTxQ47e1ajARsrqG2WBthGuPW6M0SvhOxHf+jvT7it1Q3po4vaGF
r5xc0SGzuFtzXODxoJ5AW4lXrkOh5ETZMe5reWZ5966m/jSVobbVVP3lsYuRS2Lx8kwkhIIfGLcp
e2xiXxiJ0zx/FFn6kMX40Dqi3KkJvpXlsMCpvWrj1t03YPJ6W0ykBqXEfJHQANL8aGlRseltS24n
dcRpiqJ0YvIMI8Q/+U33nBXuezUB9zb657qVMVIXGyVR7rImUjWhvLMRzBrbqL6of/IwD9JUC4OM
tCwOuo3UJtyGDUYLRkL7Ygm7ZFlMTTctyxHanIqkGjW4Pe5JqW+9bNFRpA5QB0OIO6TvAaD3TNL4
wNI0HbdEw+FisNKdXwl8sBzLNPewTPk/dBs0A6UMDBnmJ5H8nUyUOISVX/tS8x6Fa7CBx/ZRzTpf
OfeCk3eTDMI8AU1n7CQx9ePL3E72hBCOgrn06XEaRK2FYqVqoahHnt+YQe1Eb3mMhjbyXhKNqnRk
dsZtEo4H4gOYrKpVO7ItrWLts8kpJ1NCRg5WZv5LbOZO1zoew0t6otR11nocI/6Gesvj77GVDR1t
gmeisAPgYYjAYLUSb8hJ5aM3TzwpEQTHXZCQypNVQ8S9KBiM5yB8tOGtsmXz1hrlc95ZT3Gnsc7u
AfyWmolnNLrFhZh5kk2nrkTBbKfs0L1JXUpiAC7UozY+Rr89aNipNGyLaHWXZek3KUWUHBB2AHd0
ISV/9V3rc/0gBQY9lfYwPwgExTLHIDMvi6Bf+mOTJOB75XiBEujjbWP89hPxmCl17e1WHCJz/Gxg
HXekgO3dWHw6TwZYtLs7+qgeHFhG9KQ8ecTDjNx840r7QcuM1VjMNmtZEBXJ2ajn7Cgjrqm2Schr
w6WSh2TJaHhLnLjT77BZ9vWXchrtxsMY96UNCyAmHDsUtAUEDexQnaN8u4N0NTbIljkpwtdaDadJ
utYRTrRcF6L9w630t8/eM49cv5x0gH00AFCAeX3NEXFilVunYd9xM7Q4gA2GvUXVsLXOAqKB8o1A
27yxvE7nLhxtXGtk/Az+j1Fqb0WL97+x2mk9WuGCfWId1BPajfaRJqMzOuw0bXsmMq/bNE7XY5br
f3pOg1OOlqk2ewAC0NtL4ngQUrYorDrzWCljN5f602BzTDlh6C0wIDcgzBntFetB0/RAvzdibWbI
ylBmmzsNYZ7vjCiSIYyhSCu3VVZap9pKv4TG4xNszzzRolj6uzLAXKTWLUzjVxzR5NwtcB7dajdx
m+05+hGSOSyFLMxqmo3Ra9pahQ9OsvKODDEFxsCBaLSo2SaTk6CEio+Tz3NVYYxY0/z+qWcP6UXD
hjnxjC/kgmLVl91Nn2IXAxasQwcCeD4EXsouUtPRBo/945BzZzrFJFZURx7sgsR/8Umk9p5rimNE
gfFXn9tImdP+dUn+LYtqPORV/+m1at1A841Y6axpryQ/CJrzsLAOSH9IAR2B4yET/6i7D5CWi3GS
39mdQyYivXEqW/hEjVEjTEPcCTZt5hyuzF3RzyGx1/MT+hdEd4n/nnrkFZVztU0TD/wM1OswRfBR
p97H5GS0XMWjE8aLipZAiSnLD42Z33qfbNLBeIk5PTEjhgRcnZq60s7SAT2R1x/Asve9Pe/93off
YXdiXdRUHvr42Nez2rZFdcyTYsL0mOxgSYstFgBo//CGVhl6IDd2vhJUhps8jBl89C/dDJ60jswG
TQKzDSIj7POMiJV8CSwwTW4iYK++cnKEVwN2/wEGSk0yd/0yI8svJ4SJk3b0yoMmPbGz3MrAJ1K9
Ta54kHhGerSVJzVn77D3BJ0Hi0x/mpuVIW3eSlHhkcM7x5R+3hifM+Q+noWIkr2M9yj2Lm1f3qTm
YGVx6hdqmG2oKTZvrsdtyzsXlOML5Kxh4fV9oRMwHkls+440HLy6i4ySEDTL5oQ85L3TAEwI242+
1MSGXZsPbul9kAyCMpEEiEIxvi9UuKs0lx1Grn8641+duXIqnLdUYH81fe+7qeoN2N1fttXzIIlU
4t54JlVJHXAbsjwYsITNznIrtEFL4I/SCvPg6dMTAIUVsNt7yLN2nS6qw0GZ68SJnmwcxMi5AAmK
DBE1nUqtkChOYUG6lTnY24qiOXehnlgROtemb3Zdzg04T/gdkJ7iKUxxkiiMS30UI91W7o+YPRJE
8qeuJkbJa+1rh7pAMFXEAh2BiQPyDXjHOTsnXq9tx7ZplfKQA4FBd6jZ1Pg+Sl+j6rDOV9a2FzQx
XVbJILLrAC/5k+bhsMNexvYdRV/DbJbKTYdPIJAwGSbUkipBgsXs0En7YeMVSP4x/BY+1BEtxMo6
jCesKxve/Y/Ehz8zdumX1sldGEEXdDGksVh4YSkYuAUNXZ+goK7nbzpctQrDmX+/yY8Og95uE/GG
rD10+hruWzv5GhS+kyw5xm3zqST9iqu1iFLz7A+EH29VQ5yrZXz11Zmbe+d21YfR4dxii3pPvPzL
zwW9okIt283buUHkzq7iuxjlMcq6c2t1ajW2/QUKBjWyIZ9m0qksrUI7Lvq3CDfKakrDn2Qe91nM
2USy2sbBZwxdnMiX+m3wrUtoULDHgnzMaTx3vUUy2dAuZ/MfN06Cvj7P2pPeMCoyjJKiHlH5mD3W
g3/OzfA498A67a56bm33lQyoeD2PlK7LTy1z9eIARCgYJyV/GI87SJMMqE9a9VqPtDXSeiFjD89h
xbjE0Ied8HuyJed+BzqElVGkKgQwKzWy//CM8jGepoEA0+QIOTyQ1sGnTop4dzc6Iob9pOZXUTTl
Vuc5iXfPLB4m9nXc+UEtyf6algMEMkxKqWCtzEYvYfehYSCBKYFpB4NNJ1IMneqLFuP8ZIS28pUB
z5sT+9yBtTRLuIauTpU2SSaTxeIJy7F2XixNqRWlbbNWUc3g2a3vo48WVcruq461N6YCchtWo87O
1fzruM8o9gEOdLxLGC9EsJwWJewx0OFRs+7wzi02KrLsVrHV7hmn3tAT/V30NhFEiW1pEkmoaUgc
3T4KqDcMxBMYGZvReSW15RkhB8A0t3x2RXEmzvEWSZ5Hrv5txj8u+TPEUDE8J4jvmrEGBkLyzvZ6
WBfpdTC6MxyLF1PXVvMwOmvD5XbCcLTMZ/w/WoOJM23wuzW4i+HWGiwoPehz7ORc4XDZi+SBNNsD
s4Vh5036t+Wo5xG3w0xvkjIz1qzqMY5gp2RxjGq3hLChN8W3p7X+fiCBipNQfGsJq5mMjfPGnvhN
/cH6yxiGZCcTF1GYknFX0Di67Gm4lHxehmrgeUMFWmqPcclDEI1OFZi0AyshZlDeCWbEfl0oLUEj
HL4bOg6FqMEwU7t2ECK3vlE3HvOS4DdpESRI6kXuHzyX2Xk9fBSNfjOQSW6QS17BWdzNbtowWXq2
fJxxCRwR2uUyqG0iNAtHozYUcAANr+DsAx2ybh2WlE6JVEuZxvavAYsx8EyoMDJHudxNttxRZhoz
8hNXNNfEASnmRt1+yqneqSEnvMy1vxbT54KYMR1m086IkpHi8XmOyr8YVRiOpj3ms1xQ4LDfVwC6
LFhfFGP5P3u2v0SunmnqYDEMZAy5xjlsWgzGGk4eh+YPr24DIYSrXmNMuyoKbjMd3NLUhvY1pymq
2F8AWKuFyavvaszM3B3uPB9vxz3XtZ+5fMwgWO4G0qSxRifMUxVdXq2lDykSAsKcGRI4SyThZG3a
0ry7dfmHZUG9sfv4KUK+GAEm5xBKyPOKo5XvReahhbOStu5b02WfNfq9iYXmpnCNi5hYNneobIZL
gmV3GAAJwVfyg6YCfeMhU9JH9MAJdmwQcxAhpzqk4omfW9+2SDDiRqzIAS5m59Ew7DhoCA7DK5C8
JmGZnVRl11s/gQ+qDy7TRHlL/LBfmVExBdnMBZkT5zGEODomACTkF/9hA1rz1++1mCxLX8UXaRe8
JSHP44SUTWh6bGymfG0NYTDO3HMUDIfZj9gnaR47w6x704sqOqOmAmFF9QJpkPBJxCqjYa0kq/LG
1e4OyoMjMusFTdlyineJvzb914SJVADOpFxVC69H+h9xg+yWxoFR9mj/Q8U/r1yerhvu9i0Ko7U+
6/VWq+t27cwMO2cfY3nPNgnghOBbG//L0lFHJNUd9rrELI5iGrgtREvsewFnPLwcRKd5WCRw0HjW
48PaG6LfS1xI68wNMVnr59kzHkugCavI8Ykbo4WGeEZ8d2T2SxzBqoTOAEGCohmxD0ef41kXux3e
CpNCvivQvGMGwZSdMQuYEkZb0vP/InoCCyObE91oeSyq6ZnBX81M1DiD3v2oy4n1dnOoxdTfq0Y7
DuIiuXfy1rPXBMXBtltu17bzx6PemYEtOp43Xfwa6UciyV+Gkau/yeVy9V5jo3i1YzBpqnUb5Mg6
7MqMCGM8Pv1K4EwKKL5eK0Vap4JQaTvze2QZTBaccNt39qNLfOhvDkZfgAL19P44a/pJ85prqfX2
ytfZH6cTLZfOlDoZsGRMlNhkEesE9MT3wtG/w56emuPqyC2AFtTqLqKrHg3dqM5FH+3pzYsVI4Cb
kOmXbUo2Y5pasDgP2BPq5adVDDqPGVKFQPkREcfoQCsWclf4xzHmZu27KaltfC9AjOTzwE1WYyMA
Y8EytaeXwfXUAT9CiEptnUKD2bQGRV6XRxzUTmoRVmlfHNwFwDUr5sjOc/OipeXi5/FG4NXFWe9Q
Amldz6UWjUHj22x3R5DnkQv4pMjyfZqr7fK/ps2uqfSMS4ZJfzNnGdpjZCqY240HxGEeQvfxk5gE
m/3jFgRYUMbWSCnJvW2QPdyODC0ZmXCeZnYeDKph5KJB7pItzUmYbendduhp7/as/ZRkx1cGSE8e
Nin+O3dZIsSnwvtQpZYcmhbkFyiflaGRkda6KOzN2L+gho9ZLPNOMxLdGg4+Cd0psXwWOq+cp5cP
s9XHa93zZipY/Nx1zDDCjSRNd4eeHUOFue3JVwpndZ3wSdmlTn671b5VsOWDMFmkRdpRKfdkjGMQ
NfySuo4FIRXafJStib7U2Hmuih48j3ZRJpRYKc/6L8s2b2PU0eT2D+Com0NseidtqXoBo8/bHov5
SlPD3R+TPJhba48XqbsmXFqpZLLeK0jekR4fhCV+phl5jbD79ajpiqdqfY50xZDIgSbsM2kw1JqQ
y79O64Qw8ECmWNzvm0o138hBGM6lLLDmk2V59rHDSu1F5V345tsClCbgyRI8dUyLLHF1jYmYWtt8
2M1K7Ps2e229SH+nAiQ9zw/vjWN0V9r44Vz6VOZ5k72y1NUvmTd6R38BCFnDk2nXX8WA/XNs/kKq
sZEGtDcYwmw7dLCXSRRHZ6t7N3Khna1YXgBGO7u0jdkq1DWHt5EFesYR7E+4MNwZy1iWIJ1J4a5P
71XP8iZuiWdKUfZuRM2WvTSrS/moK5UdSuJ3FTsdOluwQ6hm5904GVWgE9TFubKOI4J32hEoAxTP
U5U3/8yyL7GVDORP+xWOSYh+gaf7zwmsk1YWPIMsrdnrHs4JVCWBP1DZ9Zb1VCfWLrFcfyvHZOcz
dqynyr7lkDqeuLcAx7bvjYaSOWdgKgIDpaRf/Rs59g2d0YUtBJvAgf6gI9t3y6aI8zVkjSwjm00o
qAGQu99ZJ1/r3r+Y/bdb61eiNo/RJIt3B3Qb7dhA/2pVPXtuOX+ZEZMFK9mCVJrWhupHxiH90YAh
fMrsV4KS06MdVc5agl1ZK/xlY8pEBLxrjkMUkAcxoMGENUYxavJqESRtE4wTx4g+Re5GxPGDnaZP
YMidXeMg9BwxROSKgaYb4a2WTfPmDC1RmGVP3ZnVJ00u2tb61Kax9TREcBEWZ42lpwEhZz8atZxD
UxcY87llO7SrDPdWNf51iBgIi34yT0lvzQeAJsyHQdtAXYhAlanmeVQW9afK0t1w82ezPJDU+THk
eiDEYFyxMBsb/Rd1aVPb9eBZMCptOK5AweJp2tUtzpKokOQ7d9UrlMrPaCNMwJm0QQhgGTJH9cyT
oXuJXR+bIVcUffa3E8GdUktzHXNUxoI0HceILwLA+Vq5w9o4kodFczGBCHMwcSh2/KjwkltiUzjY
jSDYOan+ZY77Gcr0nomq3E4sI+CoymfB5A2RQ76Ge3CIdHZs1AC0PaYB3sUPlnx65jLjkQWJ0zy7
4QIVmLApQACALtMiyZ82tposXOuALTQj245W8+zk/zw5WDfmah0yy2TOeQ4iALwMundHOHu2zURu
2/Jvrfv2tu0WKQ1HSUGZh5GP08yuKrYpec0cOLyng/ocI/FS2g4jSFrfPHPPGn60CKCpbNmXjhGj
auohEJHsKDgbN3b7iWQFhzhq/M0w9H87YD4BcZ2vCG1HsD/cXoTcv8ykQEHJW4c5Ls+xzveyGnq8
rFTM0ZTvVZffUsfTg6ZepFbISkA8dxkHitnyCiXoVqiO661epocBvFRBbDbuGOe5HroN+/1PGpE/
UUcJO7eO2urGtGsIZUdvDm/CZG/hKvs6tgk4ifHNWvSNrfT/hE71z1rEFq4FvbZhBqI3es9oBzYF
9c9PNTdP/VxiTGe8Qoy3g2MUp0bs/6DTxyrYefNK8HR0dW1bsXF0LOtOZFqly2RnW5ToXv1ZoK1a
Q3KquWmmov5CJ/8Hyeq2mUCR6vyyeiO8lVEOaCQ173m0xEfRa3+FtI6Jb6tLP+7KOnp03XHPd980
uo5NGaYw0IxkDNDpXmr471w1tgY3gsVFJLRnkDP+etbGrddgUhl6stxqfYtF54wGBaMzCy407gWj
MIjMPUoEU5U/xbCMfRRSAc/8CXvzb6+/NPDmepYfW6cB7R23vkX8MmbvRhN//QwBre6hzZfmPG7y
WR8OKWIA/19aPOJL+MzMvGW8c6oGlrRePqV7iVGQKRIosJHmgFhdNerOBfAtEcR32cxHSBY6ax5y
OMrsnQxoRk0c2SsAOT+jhoSXcOtsjaT92U30d4vVC4IH6+bkKQ9vtuRpDMoUW0pMfsQ07kDCrKpo
jX7mFpvZWtY/lbuHi51sRZP9Ia+RlbLskFLMbhP4ypYsAGmwPSj6DMfj9dSaQNEzeuAOUIjmWOgr
yulFz/RTj4Z5ZjC/i30saQZQlgh5N6K65C9LrxP2UCzymq6tB837I8mnAqCJzyxS/AmlJtiXJwGn
ox6hDzXdMtK13G1aDNSn8VvjeI/EQ2znyYsPhqpvJQqTnu9buyFb0ghggVNJ7sA0/uS5P3IRzshD
6NGhAQ4cBilgNM9/BSLcnsOYE1w0ItyGvnUXkiLDaPqT4RPC4CXyNmMV2SYDQjgfa72j1Ru9J7TW
J5HGzN0v3X5A1Xos3PFtSpDzVVgvVgmrFfbmsgGRjfZjF7tyE0Up0EGirxkmWMAoM0h/yyKscxdv
HGmJhpeesByrMv3hOO1ZBwe24hpIu8HcxRZW0zIBrtXmNPYm7ucunjf2ALk6pBGCxr/o4PrvFnBt
iUOGx3j4SZS73LtohA2ikI59tKH99wOl+BGdHitMaP7kekQWgJxetY4XUSIdBzD04hM6vImqpmQH
VPEXetNeDdndzSkbexQn4zAhSYxY2qLo3kTYUs7TmO/dbl8Ln7hleqi2zsArZZ0e0OlFyCHEBxpS
LISJUoTykpgUE8VzqkLr7qAUSgZcQco0/4Y1Ey78vBdThNp+mPGfmW6hb9ypHB4YY6mmOnloCJ3U
+Juxx+2iaM/UZly5TCAPkwm5kP3O0Y+EvTbd2KYvqPidxFOY5teuRjFb87OXYkJM1JmfpiUfpm4w
ghJP6X0m9g9mxiEuzfmYz7YeWBPUOdzXSujP/8PZmTXXjSRZ+q+U5fOgGvvS1tUPd195uUmi9AKj
mBT2fcevnw/smk4KSVyM0TJNZhIlBCIQ7uHhfvyc1HYqwnW32XRt9pw5RbTzgBfqGfucsPqnYqNT
IA5Y/SK+ULJFddlLni2IjOlOj7ema73SNv/UQ3fq+8pLJyrdzujgUpLYB00dmJQA+pWkd3e5XEMd
RoogybTgWGjR3r5BVdu8k5v+2OSac9Zo7VrT6Iq4ehpWxzTV7uGHLu7VgeSnQ7V+pfU1afJGH67M
gAsIOk+JZsH1I6nqxpRieS1KYnzME7TWBBoH4xhPQu9BtE00Vdu2hClpJCwReofeCzq4TeoOvfIE
T9s2o+PbMpt+1RS1tkplweI+XRw1OTa2NV3Ma4HtvlCEIWJSDwOlHboO8hEiX8gmaHZclh6Y/FJM
t5DqWwuAx/FNU9AHWBxYN2spCDI/Jxe2JKgDYq/UuyjSHvD6VOCpcWhqLu5j0MsLU5dgz4POK7Cp
UyWxd8gUrmAigK+FCgdo5co/cl5yXYskcQXJk46SAM5K7gPtJgXLbHtpveqJG/kmN25Q2EfdC776
RXvwo4CEUwQlLMQOSGt4j6FJ4bD1o58wmW3aut4GXXTvAVk3XWFnheQiKq1NLmYGu5LlLhsd04Zj
ik5qq+k2kKxBC9ySw45V+F309lcRqmc/h2e7BjaY27G3te3wrkmgsBOxg5Xkma+Sk54a1VXgpA73
mpI8J9CDL00y1XTnUfw2QD/IpfRi2HIDZVZAOqTceFJqAA2v5XVbGdA3ps4vM4gfwp4qWT4U1RVC
Ha21vlqu99PWkMJRJNB1VotVxKKPvk/lgXTB3yDfAGGZz9eEcZ2aOK4xECQaKLmrCOBraCTcIVgA
2VTtazgK8VwouDaCbShdcpGktI6oEx2Yp8bpHhrVo0vIfbYcMLt9EMGp6a5dBJO2BgE8Kmn6ygZ1
W+oSYPzO1A9NQNd4IbVnMcmOMCWCzgGfWlEyvi4Cpv5N2A2JRsMwdWUQIkQEDEnp9yJgZGVq4a1Q
HhNNPVrs4061+ucOpPWCtvhjgtLRjejr1pFaVb6Wev2ZMKHedRj/HdeQhzKVkqdSAKkUyCZF6QFm
hfLNUYVfhtOEZhShJH0vpCJW7j1ouSDeQ0ur45Pz5KyIKoRUSInQ7B8DI41IG3eBehs75GvjBMYg
2Fu+ar6SUMkBmp0CYET7vb0IahUvE1HKdlS0iktqrP9HG9YraYpyZMSxF2oX3DU2iLjM6oyzTW/k
+vriKX+TbTNEYl4Dim9FVnVlLBCtsLFB4whg59RMH4R1jLWdVNahMCnWQ/UD3b8IY06fr7q0APKQ
KtYmBkpLgNkd8gCKEoWCHlg4ZxMILjcxRP2Wcubt8jxAMMOB0Uj01L2fIs7htyRNlQKg2rJK0nSV
QZh0p1UZDdNSu7UiVT0qSYgIcGNQV40c69HshBWYXvMuq9psY0KQPaO/JlnD7vhNjdAggSKKiiwP
Qpa6Oto9YBahaFGA6qLmRUdNoku3ie0e/VJwv2mUvckXOtT1ImryKS0zT3novjZFCzjI47ouhl5G
6irmmiRAjLwGTd3hm+LuJoC6hS4gh66qSgObSu7wTUK6h18MpOrBRXJmR6N8cefq/CIX0L+pCRQj
Aeo2JyKLZyWPfxZ58wQp80AMWMirNm8yenep5FSy/6WxJDB9JTpuUamvLLGotn2XSI+lIOmbAZ64
dsCwL1SFw1VJ5eQh9J0Hbu1c/kjynBRXhFAK17fwjNQ5wG0VcoeBjF+AUfFGbxZGhkiHNPzDqoHL
LPVDcQ/of1CwoYknDQo476CniUpIjjq7FC/kk/t9W2sEI0ncLDPuyYM0c031AebAvnLIUacEf5Ep
/4T317powFwtNBHOttsdIsQfdpmEdrOmtBZIYOdHorq/5Lo2N60JW1YRArJzBob3WEa//E2QNQzU
AMblGqoXQZBou5Okm1wkFsthaIJfZehX2r3pTGYKBKmdgQSBXVUehP/mbWtD5gPlQXLjahRwIHP9
2SEJ1m30gYPehQOHfgPp9PZLG+vSKbLE+y403O+8HBTlFV5Vab7YRaqvmhAuoDeB9Syp7WNSPiPJ
cyODgNoh+uVtKeNYz5CtEpJ3wFXTHDhCX2zkFONcO4Ys/qygLlmqmXFWkGm9oQoEHl4uLlTIzVXj
agfgdNpRSnsQ2XoR37q1DManUn8aSWMQ2FOL6YaCHmn1P5WulbZlLbarGnayuz5/gTH1xP6MEC2I
+7MsO+naygALQCcI1VuSuXdRLX7zEi+A2wV6I3cALeRD6Ex9D3ZLmDLPpg7uTWwpYBZK/hj02UA6
mRbkIWEfhzYk+y7iQgK/vcmGXui+AwodCIgoknJZyK4of9ELOOc7MNer3oVzUVP6Yg+jWXxb1JBG
p3QUr3LDF7nk1hrIfRoGbbWhtOI0Af0AWbB5c37/8dL+p/Oa3P6PlRf//V/8/iVJu5w4qRz99r8f
k4j//2v4N//7d37/F/999l5y6AV/lVf/1vY1uXmOXovxX/rtyYz+77dbPZfPv/1mUKkou7vqNe/u
X4sqLN/egnkMf/P/94f/eH17ymOXvv7rj5ekisvhaY6XxH/8+0f7P//1hywiOfof75//7x8OE/jX
Hxsv9Ii/nou//ZvX56L81x+SrP9TF8n2isio6jo9c3/8o3l9+4mk/xMxTkU2LclUNUNU/vgHx1Tp
DmP+E41LQlhdxQcbhsGPiqQafqT+U5c0w4J8XDF1JH1N64//926/fcO/vuk/4iq6Ray1LP71x+8i
4gDVVKSrVV0ayWhKKMTlNO9RZSU194QoXXFPAQiKVFmP0td36/HvMd+PMUjF/nVm/DXGSCedqkUg
OrA+gZB/cMMnR3u+/tzfz6K/njuSMW2tBhLT1iXHLqgI27nlJg6DfUsbpO5Thrs+yNQCjQ66yJJB
z1S6d4KZxl5lVq0SZcMRp5bdjIz41DSGkV+eoY13+E7S/0FMokgzJYXPTsc11fKDzclCXA0owySD
cH0avwcuf63VSMa3VirRsBANPAq9DrrrCdUQkHXArPNXLY9mRG1/1wH/axA26/uZ9L5kCkYom8cg
NjcOt5qBXNWvnskHbgVKHKXycH02UztqEId9t2S60lexoJXm0UhJ7vVA9RcmsI+ZtZp6+kgevLQo
kespT28Mm+q1a4IDN4uX668+tZ8GSex3r+5XCtCR3DCOWpUfOjX7qsBvRBPT6VOPF0f2XDehBMeQ
bRxVI7uEcrdvVesOftcZ5e6JtxdHplwUBrp/lQY+LGluikLY0lNOCtxKN9dfX/pdzfl/t5A4smnw
J41ppQ4tOR1oJpCBmAX4EP0pyh45nYFs7r3L9bEmduvgj3/7EmImN3Ef60fqgxJUedETDFgX17bv
UfRE3Jh4wzXzzxm5ODJyAda/GNo4ojSbIrSTVy9Gnd7LMdMsCSOvz2jCyMWRkRc9zHxKwCBJEh1j
gcJbQiAmNVCOFFRzJRqTZkxkwmcNJ9b7tSsKvwkJb4egk0sw6FmgCKbar1CbPfeF+Ov6fCYMURyZ
ueTFQWMSCx5LFZLaziHTF2jB6nMPH1k55ypyehk7Tcf7HlpI+paaIDQzT58ylJGZQx1jeq7Pq4c1
9DW+t1DIg6ZF9an116yRmVsoMygiIuzkT19i6KPLdhD5fSqMZsYQP35/zRoZOmyFDUkK/EjMbWIn
UxZeqC30vZ3o6DfXP8DHe0izRqYeRwJ4I4dunmToMRdQRV4AQM4XFtBAsmTm8vowH28i7e0m+87h
ilaj1Ly6cbRs+HNM5z4EpzzzGaZWaWTVQPAS2h0y49gGBPTkE3cOYs+SYljb6y8/NcAwqXcvL0e9
S5DtGEfPTu4aGOgyAcGWsIhmPMbHPlCzRnbsCipajr2gH5F7BfJUn109p3oOckSrb8j+kkp5vT6T
qc8wsmVDlnyK8rZ+lOQIOiGIGBam45+vP3xqK41sufaVVNLpITvmBfCmNP3at2UIgoqkGi0vn/zY
I5Om6arrhdjQj72ofbXz7KmttOe+wDKuT2LiWxPP//atu8RvnIqbwNErTwO7agb+iqbb3fWnTyyR
OTJot4icVNN0/Rgaf9KKf2moU0StQ5tHNmNoU+8/sucAVUxdrHl/0JPPMp2O3yVYlB51sEefHGGY
2ztr6KkLxT133oHO1UKRHYRTUrckeGyY+q8v08dHqGYOk3s3BDpBRd/7TCL07yGcgWgCcWzoqpRY
XclIrF4fZWqpRmadt3AQqHpKu77QASqEbhktXvhtLT0o9teHkAbD+vutSzNHpu0oZSlUqhZS7wOP
YrRNsunRUUnXBX1335Pebr53YpGdgQ/W2dqyfCDq6E6T/W1Mz7xYFlX1668iT73K8OfvFrWwRVOy
44K2fapMa8qLJP+bpKADNEtlenI0C3WEBRVtEidNP/TaNnGMntvQhgohmXqb2XRZ2Qale4i6QLX3
rkUhzqiyW1GBzSxpUpFOdDtf25lR0J0CPuFEfb1oZnbFhJs0R/4lBkedw4KRQwGgIPqT6i66oGaO
7IImKwYwiDi2+IOmNMhG5pGezLh/efAtH33Ekc8JsFDqrnF4yvNs44MvU2j7B2C464FaGIUMZJBO
XRYjcGmwVs6lQ5VZljdW3m/z5oWC9hYc3sLThfs2RtfI1Ogruv5VJ/awMXJXnm95cI544cmppfpQ
qhkk6IoKHgVehRmfJQ179YPpGyOnxYU4ECkghEiy+1DnQAkqIKAXojyvx9RwVjHsEwCMGqW8EXy3
onjqVGRaWaCvQe30Z9of5EMj1NWvz8155OLQpsjqMkmDkxbTX+WRN9v2thyuqwQU9PUh5ImD0hg5
uahMhVpRrPjk5k7wI3aqlEI8uKVX2cjCH/wI3ZsKQSo3AZ5S27m4oWwTb0GsKF9tLWsPKvnBV50C
MD2AIlRE8EhUaGQ7laJ9Kyvy0Qs3DbSjY5nKwERtP8V6rh7ctIaGzqWs8bnwzhh5UkczqQwrrFWY
XxSk7oT6l5vcWs1c+Di1TiMfWpliQYkkCqD/TtSlHsr6ORe6dOZyOPX0sfeUTIsOtYECOi/VZTLQ
5iqwO1//xoOJfLStR/5QC/ImLdGVP3HabxRIIrwQTUsgJ7ly0cwnm1KlZX0ybDFGvgsVFMJRM0pO
jo6ADDrmtD8vkkqemcvEgWmMPBT3daMT0KnAQ+1c8VR6J0oHJW0+Wf/n9dWa8gL6yNPEjdeWJet1
ggJGe256GjVqnWJKZvfCThPk7ClExe8kdeg/NqYacnc3lWMpdfy9HL37OMujH9ffZSKK0kcOKe5a
V880NT6JZbar1PA2SkB8x9at2WhzjlUevswH20MfeRkzzTLNrfLkBInzKtxkWxzdho63jbSCknnV
LsEb7uttvc3P3JtWzur63JSJw0YfeR6bTLAqtxzT5apba5uf8EVsUS1cJ8vXevHtdLpRls9fHgAf
rNFjWMiLhz//rGYO2InDRB85CzoQSwVYc3KSG4WaBRQYaRXcSXK9uT63CXPWhz9/F4HY9AIqYtv6
lN9T0AMe/LAlMqAzzmJqV4ychZ6KNuhbXFGqf7HlA5n9JVLEUH0pM0Y2tTwjhxFy2ZecigHo64+X
oVohLxSjsGfKyZxPmprDyE24PdLhSs4QYIlW9FXCKxGty/y2qW6vf4KpAUaOoja5fBRmGJwK51zl
xcKkRx0BvmUZyzMbeGIEbeQnRFEIaHhnCprobyRUKSSOPZmLrU2vzvVJTOwjbWT/uYZyvO7Dtm+a
yV1vSDsB2tbrj55wpNrI6hvXonQnk1oVTHqzwib3t1RtD021HkSwK8EWZg7midNHG5bvnS1Aa5zR
vOz5qBtk+1Q1tlFY77sOCDYNoz7NupTT1w0Izpk1kyb8ijYybidyAf9J4HwJUU4qBfnekpdgeVdS
BfGyTucPwluC6myBW80spjy1msMHfDdJozNimGii7liuyEquww2c22skvG/qS7jqdy+wfLFFVuUz
nmZZvsZbxM2XqEuvw+UnjVYbeQWoieoYBujuqIFroKt07cNZGSfC9vp+kSacgjZyChHCxQmErTx/
oW3IOq289f2tuYBkdU/H8wKd0RnnLE3t+pFv6KrADgOPkaJwYT2F34NDb6/MW7SKXpRfMDegak0N
2vk5M7HBmD44/7SRpwCAlbmJw3Dm2bg4Ny1ozRVkZs6iXrz4N91K3jjcZ5fK2t21M+f6xAzfwFLv
tktVdIKho55NujZ9AOX02HbFl5npTHwndeQzJI+WKZlk6jFbB/f6kkhv2S6gXl4oS9TD1uIK2eH1
9bEmdr068iExoj+m1rDr5VZAudi47fxgY5flk26mNFJgatfHmZrSyIUEYMWBlgfdUcmci5qlX+oa
YLyCGNP15094cnUY993nSBFA7Et6146R/pQmP+AqWWeackBgcmahpiYwcg+BKxZGTYrjmHfHRs0W
KTxpIP6uv/2Uw1NHlk8TMyib1oNap67K7ySswCtDdAlGhTDhBrOFuUg0gn1uFy4S4oGxytLcnXHv
U1tZ/n3tui5QCtpf2mMGh8EDwpTFPjfo178+t6mnj1xBYEbQxlVGC2kpmEf5pwID9OeePLJ6W5EM
ozf19lii/VV4PyL1+fqDJ761MgoLVMVA30OW2qOTvdq0MiY00MsP1589YXDKyLZzU6GloAytYxpC
1arAtwYPPc1W9dAkZe8+N8jIqk3Y9lvf7tqjXioQ31egtG40K9p0KgIfgNo/N8rIppE+VbhQY9Mm
KQPLeokQVK4iaGdhTZSbZKY+PbVgI8uuC1Hr/J79I6XCvu01yCfS4pQH6Z9xB6NSRvvt9elMuBBl
ZOE1tElIzdbtUaU310zTQ1OgCQJZFDzu10eYMAVlZOVVBmZLK7T2WOQBwoXRys5ndtXUjVcZ2XDt
1rT4pCovv7V/WXT9nZNzsQKW/Kt4NI/Jw1w5/w3m88FRq4zNufJdMy0YyN2j7tis+5Ox0ZfxivbI
hbQFO3vRDtGf5ibbxNtoBkMwlZl+u3++8+4YOXRWHnsg1fR15ti7Uuh3dhftU79aRSFUuSD85PbQ
Rdpei/0Hxf56/YtNras8cgWhq0ei4DBdACP9Bm2rjb4X986eHbjg7F/O1RwnXI48cguSjFp80LE1
LEcDbbPJYO0U1BkHP5UhfIt5361f3SWK2RYw5VQK9IaLvJCRZi5qDx4Y3973wDPokmtV71uu0fFV
14N4rlNU9F6r1krVsmbjZXZ9Vjw13RsJspmKF2pDBq3ZIi0Tn2RXAboTRenK6mTEjjpEHWXg3RE6
sVBfzBioPLVII4ejkkmP+55FAkW/N+/aJ/suutEP5hac9zJbwpXtXoybegGR2ir4To+MvhEOxSNe
aeYN1GGXf7D7397s3UL2ImSRpNc5zBblql7RIb94CvfRIllcHtf3e2/xM9zEl3axPX1/7lbSkl0i
Lp5vh+htSML4ZEK8jbAy13OR9oRLefvi714oMBJgO0XRHkUbiuMXOZ07XKdySvLIWUVBJZiFzlSF
XbFuVxD+7RIiamH5ykGFb4EKhYwO3QaLwQrEma06ucIjRybGVQc4D4OD1H5TrSENPWmD5fFft+6W
zbLjP4TvVpAfLIxFsdZW1QIZ9wUo6QXa6eSe0l15qF6sH/6N/kLnzECDuHTX9vK6S5iqsLwt2Lsl
d1UIbeWEN8zZAdLJOUJ4tzSW+bphTbyTs03X0OcukFNdOyvXX18fduJ0enubd6NmsIKZgljxoYND
Kxy9Ap7L8Ngkc3fuiY00hnWWQ2siB3d79PPvdrmVm5kzT554cWnk2eBSkeGX4cH1i/OVwsRi2EvK
ChqDnb39kS2g8VvXC7gpVu0v5TB8rENzgirvXMwEQ28+9AOjlcbRUG7EAezzg9tA33srr4Ody6XK
WZc7+2SfUA5f0bt5Fjf+jk6CtbCy1+Za2Zebahl9mzPUtwPyo7cYOS+g+TGkT0SrzV23brbphebd
E61sOBE0h5f1EaHxe3kv79NdvHhOl2i2HspzckkPxUXexUvtVltd30pvJvzRq4xCqgwiYL8QWBB6
Llv8F73BHG1D4rbcpbsAy/oh/KAj272RlrD9r4qj8Jjt5oZ/i0k+Gn7Ygu+2cl7H3DPiYUes1OVT
tWgW3goGqq37p3/r7GDz626UY3v0vtgb81Kc6md1E62SDbA7vo60rtfyQljNfZepVMXbyf/ubVq/
H4BXQ0AD09WlfKS9oP+m3xpfHKKoU3GJX4uf0owxTIUTbwHOu8EEq7c4dxmsvxgPNDH9jM7GMl3D
QXOQT3zlGXTLVJT2BpZ8N45cq2gHScNmO6Sn+Da7abbJ1rhnQR+MbU8aRFuKC3+NWtm+217fVVMO
ZHQbg0OmkPScrxp42RLSdLhu2xmXO+FCxhDVLoNETBSHT6RA4qqvFQ0yg3wRu93MuT4VWYxRqqIB
Y7Sec4zmtCAuIE+U77R9tnNuop1yzL5AoPcSahv1UmzoDf4ZnBFc4jCPz+6r8v368k1BHsY4Vh2S
iboYDr560y3jfbo3t86u2oar4EAmcgut66pZtez/am/ipxAkm4uuJ77cGNYq9lZPn49MjAth/lN6
25yDL/K+uwR74xB8Dw/eA+wh12c5ZQBjVGtl17aWJwo30623qx/Fs/+gE06bT+YuuQw8Yp/bjWNg
qywj32vZzMn2g1XtxuvGmfUYU9txFBmhHCHQVc+z3VO70bfaU7BTds7BPHl7cZPtq722DC7WjLOe
iHnHiFatit3UoXf76HhnQXqGuDR3/5z5GFMTGd3lWrMw4ZLuiSnuovseJ/wr/K5+kb/TkmsjwriA
C8MblHIWwl7YXx9zaq+NvERBM5etwml5jAc9kBZq5XrGSXz8ZPVvAFeFRnJZI+fRQgHcqnda+PMz
r0xnze/HVaOIrl+6ZINiDf0C96cXhZ/CUqpjPGvWNo0zFFCPTn6DRN/Czm6gaF3W8nPrd6CF5gx8
uKz+/cBVx4DWrujc1JXFIaZWD/I6pDgMv/J9eszX0JHt/Z238c9waRH22DPh6tTXGIUYSl2Wapzj
zSLjW0ZGs5kLvz9OB6nWMOC7k811+0JQHL4GTYpwecSwXUPiFdz6ubloUT+6/s3fotOPlmxk46IO
H5s++A+6B5+8Z+dGPni7eIO86I2xFs7J3rl17+GDO9gzF5+JI5v84u8TA3XaoCSAods/cm9heQvp
UfsW3SVf7O9OteL+uIZhX9/aR/nkvFS7Wajdx05AtUZOwIB7rNYdZgonBerPl3ZTrpp1vldWQ4gc
LJsNPIg36a9gT7rl2TrE9zL1hyF2+JyvBjD5+8yj3oxjPeGTAsh6iiIHIQR3Zhu+Je8++I5jiKzi
Oj38UswuW6OZsBC5sBdbFKW4MOarH48ukXe40X4m2+BsruJjwZ2dS/oif0WH4Biv+XVt3Ybnz1X4
1DGmllhTjzq54pDHqS9oSQ3gry6W8KDNnHsfHxewg/y+lo7QR0lQ4l+z7rmBKtF8cf0ZNzJxbfhb
/3+YaHps+OxQuA/WwkVaacd00+6tjX9pd/qKTtezdOjYHPG520UXfZfjVK7b49S0Ru7E61Izz6Dn
OTao8wril0h4TrqZBPPUs0ceRelLNJKaIbpEqBUO8IWdQjkL4PT6q09cMNQxrNZrZMdPet4dqNZT
/qh+Fc/hQ360N+VX70/jK9IY0kwMOeEbzZELke0o1HufkXL0ADwnhSqfiqvzwxBg7HWtmVNLHezy
I5sae4xIthtZZB88ycsfSBauHn+cgwV3+/NP77D5mSw23uLeXZEnChft0trqJIPFxS+XVJi/+HX8
ehcuv15f24lTxhx5Dk9pTRMqX+6KiY/zguupUYXn68+eSIBB0ve7KXmCFvZex8PhnPyF8EubIPa5
6L6kD8a99SO+KfYAbCnGanftoV6TDj36nzPiMYi1E003RlSChEVKZhNq0Va562Bsvj6xqZPGGPkI
2/Z1Terxt/aXbimuq7N38C/23j4JFllKYpyteIL+h7thCK7r/vqoE1Y2BqlqA1WJkhCeRfIWpnsP
FqpamvFME8AGdYwcTT2YScKOBas3wqU+aUfvLvpintpDdss3OngX6qUz2aSJLWeMvEXrpGHva8Pi
oQHUyGQ/gz+vr9BElDY0br+PbDKhqtogHCbh3cfJsyrceshdlY22DlRUW+NXfS4nN1FPUY2Rowj9
tM4zg6Hai3LpDuke1giMFRGdC4j4l+vzmShqq2McKTqqcoHuNFWbtAY6dCNn2sKT7KWkKHupp2zk
uTs/jmAFSlfXh5zaZCN/oNHii0whIxbuOVWeNencN4/XHz3RZ6qOMaU9pOWo/A43F+wScb5Cf+rs
lxTa4MBWl5n8M3QR5bZein7GYqbWbwwdVRpKn7Xdtke55G4WC4u6pocFhjZNQtVAEHZqAP+p+1wa
0uL6JCfWb4wjRdNMRm4dlychSGQr3yLhkihfrj97MJAPTo0xVjQ2BUm2DL6Nl6CcpgblQyGEt597
9jCfd5cCJ89s34McZq+l4QFt5CdB8WeOganXHv783aM7pQvTFk3ZvZWCKZEgoLnRJCWaefG3k+qj
VRkZPUojWlRLsrEvFUE6dVAVwcfvQykG7Q+KkKb7WgkdulZqa26D0ha/RfRwQDqTChehlZxHJ/ZR
6jBaNBVkt3DWBcokl15QQEkKqstvJRiUaQ/YOJ0Eyb0RKPdF3HpPIBLt+9KWEHiNW2Gvum56Exhe
vhatQlqFupPvzUIUVwLsSpuugJTO82NvDaNB8K2ErukQSJa1K7JMvGX1ncc2QMOohLJuVyuW1y/6
HsLKRHQORZuKh8Iz9X3kBSJMP1lPIFA12Q/Nj1CYVGvHukfbrLvRi9Df1kFknKEy9m+NXJQfhVDo
6SDlTuAHUR/AMIvaXw+ZCnpahS+s8rgRVk2fZTvWj5y5Xef1xstTcLQR3M23g9457S8maBawizkK
uZHb/ChJDXHbgQdpk7RQFC+lMOxPnZGUd3SotDdNXgcbtxXzp+vbcyIu00futk0LWeALsYdoeI7g
0o2q7zr5FV977AN1dX2QKdsdRWV6YMdOHVnmPq8bIk09zG+VKk0Xpp9YM2ff1DxG7lW3ENMpK8na
o2lpbDLdLXZi5vvb1kwqJLuUduNGeTsTBE2kCtUxODeAhZZG08jYu0i1hTSAmog3aXV7EXXP3utN
Lh/TKqas6nWUfdGtiBdF1qAfExWm/dXLe1VFxsEMZq4JE/fkMZBXNhpNhPzc3heJXy/DBInB3Hae
6DXYZQFSPNe/4oS7GWN6izLxK4vmhH1XB2u5bPeB4s/4mokNMkbxGqrtJp3n2nugeHtRr+gyr5XX
1NRmPtjUAo2csKT3RZLCpbJ3QqgmW1WD1CO/q9Nq2aTuzN1jag4jbxwaNjIAumnsaVBZQ0i6kNtq
J7VznCdTUxh5YwivqT8Lib2vYsu7axAq+ooyKG1CyILeG71ozHyKqa88cgjQ6iALEVoIIiTxbeRo
SMnlMxtoaoVGbqA2EMyFDNDc25qebglXh4qJrmxrEfro63t0SHx+cGaN0bZhrztZFpgwABUNfGOx
L6gnyW+SRWQlwkoFXYKgURbUh6SJ3ZkEwMSXGcNtdbHPtQTI7V4i2BqUZCwJJk5oI1Ph6/VZTV0i
xqjbWtBimL1Va5/WAPECM6Y024QK8L/U0i6Q9UnbwDBWpjKIWqETU2QawsciSnJLAdrEgJ6sHG45
BRGZc9y3+ozTnVjtvyF0TRpIYy0x9yj63OmyJSGtq++Q+/7WZ/25E2RE0tv+6foiTOyeMUlfaIV+
rLk5Nizq+zCnfahuz5kibT73+JGL0BXNgbJPNJG+RfvReEUOYpl0zsy+nLAqdeQcLCuLnDKwjD2N
zE9eXa7KqJsDB04tzMgzaKmfJFZp23sadguI+ZGic1FIMVVjBk8+NcDIJSAOYcC97gh7BSLoVvQh
i/MWTGZmbaYeP3ILUBBC/69oJPm7jk4dat6D5gMInkT/ZADyli56FymHUQw1L+iwvd8Id6Jb/whz
7a505Jnk1oQHGINyy0IR6siIaPJuK9hZ00y7h1JIOsROVj0ZsFfPHGMT1/AxQNdLGlX3YrCmSM09
ubLxU43cbNUgMr/Q4hLNOaFDgrMF6paiL/Ipu3gjD323dIblRvCMEFukOcKJcYvMUZBDASNUzucM
WxlW9d0Ibt7okpu1Etu2WrQQSQ7dh6nifO7UUUaG7ecOYix9Xh4D6GkjrdSQG3EvShH/vL5AE6Y9
xuaKTutlaZWVRzUQ4PyXUwe5lur++sMnbGMMy607N09NWc6OjvFUxChcpseumTlVJsr66hiY6+lW
UzpZLB3rpoj2Tt7V8NYHNho+mhGvNVstNropdL+Q8xZu/L7qlzGd+wgHNqV7q+i1etvJoB6he3TT
Q9lYzUZQUdRKw6i+JLrVIX5gDe6iVBvJWuaFyZnIXU+ec6pT5jByHAJMmmVvpnQmDDT9CHdsIB7f
2HG8kzTIUlxT/NN27O9dbcycd1OJljHYVxSsOGRZWLGkMuAKsOPHSHERuUKWLru3pIGsvatoel/R
3C/ABTqw69soea1h3TNmvMBbrvWDIGcM/C2hOldNpKOPttHA+OwUnqGDnS+8bmUXjqYufDn/1ZlK
gOiHAktTY0jpJrZy+6Q1Xb2T+xxFsEas121oVAe4qF9NKzfOjZG38JAI6iLRXdRiIqk8I9fnPbe5
EDxXLt0egqG1Pxw9VhdebyBZH2pVCrmZb8H0WkiookpDp53IRz8g0JsByJWqdSzaOgFrGX2FXiA6
ZTLcolJaBt+Q+A12tVuISHJmzUoNfYQhfQEAsGeF0TaSom+lHEOp1BYuLKmpvKUTBBLUCq0UWVRT
NGEba9sw8U3hyfay6/18FRclgGG5QJKt1CLkZcr4nuPFVxbIdoDWgnLlHFeWtWkEUd5rQRltc+hY
6YpPmqMPB+gdbQME8EnfQEju+iTvYU4P4ZFPozjdI5AikLkrvDtaXSAw12MZ7d+4rfOXT1n8GG1d
ppYA0XFdHg0NmXE9SW30XFC4siSUZ64PMXFcjSHXahnAUYLE6jEXux9wBx/Il8QLr+h++Zax+twY
I6du1bKZIqqdHzPpe940SABC8PzLYedcf/5E6DlGO4MIL/pU17NjHJrCqsb36G1pLEXPOMTBrozN
xz5Lvl0fa2q9RsGbLXdBI5qRuTdKEwVUHynIS5jeeFUwZ9Ef31reqprvTkBSCVYZVAknIEfTUvXi
jd3V28jNtxE83Gi/+TNn1cRx8nYSvBvIoj8ha02S63mcf9GDYEeKYKOFcz3LU48fOWTSHI1Pkqo9
4nx8uPf9ft/9X86+ZMlSnGn2iTCTECC0Bc5IznPWBqsRAQIEiPHpr+d3N9X8RR6zXJVZdbU4GiIU
ivBwJ5DW7Rt9ibxm47ZdY41NTbIKHTcGjcU+/5XXlYSWSHMpkbIx+v/KUn+tDwQTPLRUmI9EsP8+
tV5Ek/xr6YE11lgMdCRIqdLYTfM7SvhDJwCwbC89xTaWfg0kNjRZZj60bUyz76A9ggLVFeilLhjb
hgHQlTH7SraLXbUs1s29HB61QpqU/+zBk/i5gfF/n///PXv/WnbEzktXLZ2Bs2hMBL7ncAHOIoBC
+FFn9M5qLwXqW/u7smTb4UPVkp7GLWOR52Vnr/cvgGS25rB6hTGvkDWe1iaGhiKDprWNrn1LZKGe
JKQkZf7NV1D5+3y9NpzfGqqLjW2Gmgoa51NzD1EOEdQUOQe1ALBreWXEbO9nK+jL51/bmtnKqlsb
WmFO4dCY1Bm5h1SiAIOs/OaIkR6BSwV8t+1I9Pm3tjZolcY1OhtsRxoaQ7YaWgcK9dju9fOhNyxk
jdStWeNbLYcB5qyvj6P0lxPEHK1rATquC0+NjZVaQ3XrDy0EaAPTeBqn66SDmJZN1anwJtBXyQdB
wG35+Vw2lmkNyEU8hKMGJvo4aWdyUyS8PImadBc2YcPc16DbSSbGVQJWIir9OOgODxovu4cm3aNw
v8ag6KzBtgKdk0OfV5C+abzk3DkQPs0gFnNhI7bW5+Pv/3IoxmJILE49yPsXcUprcSVca/f50m/t
8crOc2iJKdpCLBaCpXhiFAdVy6jp3AOEFXfecuGi3rDwNbQ2N6iWDK1qYzY7f2oz1ztOpzv0eJ9M
DQgptCcCk9XWheO0ZRorC4cMbFKhEQVaZtr7RiV66KAPF0kbqjpfW7SVWROuM2SofBqP4Fqoza0C
io4gRMBjJRSk+JILhhTMf3d9gSAXFo4ROI9bDokjiByCMeVmcd87oS/gOf69MWyNuJUJKTGYS+K+
AATZza0mygyYgxv6neXIXTTSQpeXcu4/X7h/H2S2huFCgaRW4AJt45rmV3XvH2Xbn7429OpSTyG9
3Us10riol90ogX0Aiujzof/tQJj4OGd/mR8YiZp8YXC1VX1tOVmkoP5Lyt/z15jr2BpoW/kQScwq
l8YOmWNoxUOaxf4loB/y+c//tzmwNY/sMM8ldB5tDA8JL3tuHk0hD1C3uUCwtLWn9n9Xp5YsR1Tc
m9gkzXvB7QcFbcALhrZ1PFeWzCoNLlfhQycKzPjWAnVA/610ILDalTvIxbXdl1LCbI2LRZVIlmOD
iA11j6eq8GiQ5NNrCpWdC0doY5HW4FjX6UhfNN0cZ315y0R5gETa98+3d2voj7X763QO4GtaprSl
cdLZz1OSX4neveAdNk7OGuJK8plZrYsAIG+Q1HBA2jT+qJDK/vyHb5jVWuRKQ7hQ8242cYZMMIU6
Ug6SyNIbYlXW5Ch5Vl5wDRunaM0bi6aCHArVM4mzwjm2Xh0uE/itsgoS5RCEg/gvxF2Qqb2EKdza
kI+//2tDOosTScakQZtbFZXgBJ2XS7WRrZmsbmsIwlQwZaQ4a0ufgVWCFIVlXvwJsBXmNeFYW9BZ
5/qCVWzgAtga5dpZud916IWNJwgDIQ3XO3VAB9v7DgWGfgd6BRDdJYCuKJQ6fqlMkl1qErMj5ZDv
l9p1d50nlpfPT8vWqq5cwWCoDxFS5L3HOblxuu6Jo2H+a0OvrvOBadL7eBcA8swgX+pP891k9xf7
rLHt/ze9CT7H/x4HlTplOwzaxENz6w4vSEtfsJ8N61xjV41gWU8aDExIFnsD2UP6+6ZpL/EVbZy1
NXaV83Qmy8IoFKNPM5q7lw7ac5Ccl9AxpAIcSepCnLPhB9Z41XagzuC1E4lLN70ns00Dxqc0UNT/
6YOB/vM93vrI6g6nhS2UZKUB0NfzQ152wK9mbRq5akTvcdemX/zOyvjZOGdOO6F8Mk7WtyV9n3Mf
aqPNCfpgX5vIygWgeQX3bI/rtkscEjqQYn3rp76IZafVjnZffDUxbv/32NaegrIBcFwxyaBqGgzE
G0Iwe/PIKqbkbLyLbev/foGwNXbVVRzPfiTQY6hyBaXvnrR4bSDIm3s/cc3vP1+1De+xZkItBugE
WjUu+KGyZ7AM0XcUM8qvGeIaryodhTrp1LG45+SN6fZ7Mc1vJakfP//tG3a+BqdCdxq82omwY2Q7
/1C7AIf23N+CXO6LfRNsDUYtlTtNS6dY7NiqvLKajO3atG+gjV2h+8gepmObUzSsp3I61R0Z76Qo
edRCQu2b21vNm99SaNxCl+Jru7UGsKquxrvHgua8z9MnU6EQ47mXwLEbjuD/sJkuaevm48Diecp/
d0m3A2v5WzOMP7lxLgTcW59Y+QAxeIMpspHFIOD6Q/MUfIrwog55h+jIhStrw2i8lRfoM2uZKNHQ
rlbf6pKH/QCGxuonFWizYhc8zda5W3kAUdCuWaDaGvPq1vYYlLznQF8iytmawOo6z6HBlkrP2LEi
yf3gLPeqsn5UwjvNjQ670b1UVN0wfG91t1s1ELS1m7A49QCPWwbNz4nVD18zzTVw0tTgkcx7z4HW
1QBN8QyKovgzay7s8sYOrIGQvnBk7yTUAVURqkJtUYqrXkGf1LWy6Wv31RoFyQvbFaRMnLgCM1rN
b7huIyKO8mucYmwNhRQAEPsqK8t48TNrn6YaGvakkNd8NObIkJvb19yHFO2XXOWazRTSyk2CxIwT
A5Ed9OnvVH1Ll0vUgRtHyf34+7/iepSZDZKhskMps4AUOQgm4sS1vwa7Y2tGUt+f7NQH+WrcjOB4
q2T62+TyTXfuLzIsX9zslUWDkJ6OguGpaJRES0N9TwFiDL2ehTqx6gvOe8P7uSvL7sBrP6MAD+5G
13sQKYDeCXQLl+zc980FgPCG81jDIm0DyS5oICLXo+/IjKdpfqACTO3D769xXrM1CNJ3vL6Dhijk
uV2TnfoeTYuoWwr7rWN9/vylw7pGQWa89yhhpAE/4VwHE/fJYczQw12q7sJFtOE/1oBGHCmr5qhr
xKgORHLip8FL9g29hB/5eMH842WzhjBWows0UsEWcB+2JBiSWgVV2l4hjL8uKHl3sYJQLcnv+1pc
2peNR8mafJQOH/FvD6zI0nntvS8+ahHdROWp97n5Joxe7qBFjieE9rX/+/N92vrmyu5d0IXaxpmX
eIa0w3VmhH+VAmbwloGVtA5H1pQ7T4L4IkymzruUYt7autUFv/gdhXe0hxjpL+Bf8VCBGJrTX7DR
DQNaS2RbYHAtLJYg9WLyHA1vy2FKFpDVGaj/cpBnp/WFt93WNFbOwOPgdIdXTs6t518lQ/YbXScH
TOxSanZrIqvrPYXIyMQZt84VNJ1TS/6yquEh4S9ZhlwSmAx3nx+BjWmsEZF8KCtw+o3iDOyVTu6L
6XFxXz8fesNdrkGQsiUZHj+LdS7FzSyuBoT3KruvLlFqbA3/sXB/XVrlZNnWXMzJWeGXk6vSKkJK
b21ziZp+41Jcox29xgGkY8mwARl9B5G//VFEuETV+P9z1P9wMWu0o869Kqm7JI8pnOVJVzOk3PyE
hbka0/spdx/8Gf5fTtVz4jRgRyeoTnfKrg62rZODEHS8Il0LoiELuOIjivKvck5ZKJn1MiEbABFx
YM1UQa6cagap3QJCevxzhY682Y3AGPKnyZs+cJ32vk5Zfco9JWMoe0O+uulsdI25H3g19l3mCq1h
1fDDGVM0DebCfWOGaEguGhWOOfMCnrsqQoWwbgIoHOP/twmRkBGzvR3+EQrdIPEI8sH/vXgaV1mb
gXa9htomlAMpmDcgsR7Zs5jCSYp5B137LqjmOYe6Y5udVVZPh9xq/5SkV0E/+HLfdlWyd1lXhinH
OxEcPWAOxbukDD8iSpQv0MTzUIrOfZgsyyrDZHDQVu2NyfXUkyRExqJrgsRoE3mmMIGc0fIjFvR9
QXbwflJe/m0ZibxbRDMehsUvYtV0U5DgeEUt7cST12f2XTEjTTe6dh2gImCBSl41qC81gP/ftonF
TNDThr/ZmejORa8RE0q+BMya5jPjSDilhShDZpV/KlajHw5KgSH6XNuzLFoWNM0Hss1nkWDOjbDz
s16WfeU2f8CC9zS0EBfIffU6Fb0XQA2zg2Rvxt9qbmgIyDHoDEedhdSn6d64TnKiRfFoFiVCu9Ts
UPrmp2vQ3gb+tBeCPqGAZvajO0BrliGjuRd9hia3PkOTvQ9V78IqSCCcFAdpSpugthkabn3QBTo6
/9Mxc+unZRa6vEGH2FTp0Guy38JDY0XSmNum7H+Nojz241gEDbRzg0LpN9ca/0gU58ImrYudT7WU
wVIueb4zLGnviJ8xHvVdOr4XfYcENvHYrjBVD1VZ19wnVjajYRBUTPPA+M7OOXQKMj19UO2ibiKG
93FuW8Al02IHD0rCROXLeSyQ3KPZ/C3X7Rg71uDsJ9OWUVUDGenbCTlD5UIBClJkuPQ0xIPdeji4
2rphqgbJ/JJD3s+qkEkfliIYINYWLRVuFxdkooHIEQvUNvByuRlTXGgJbGwersHQ/KJE8jh4UxMK
maShtLQbaHf63pvqQ0duyndezedXTtDGh6xEf01Ia+3weq+/V1QuZwI+gcjhugjtjoLRtaNdNPuk
2Rf2bB6r3L4SY2oA6LTvjSmroEyIDmZjftl5Zd8DoWNFZTpDrUuChNhY/J0aAVB1x15933xjpBCY
ls8CT1cP80cqDMgBaABZ8s3PxyfpZq8eySHihili2OqHz5oT6ZP2KlGiiXq3sENrKrtxB00oJM0p
s8jBzQZApdCqOcqwLZ0Zqh51mnc7QSnP95XOBbbCtnD+0TwKlbiZLacFKbgmmmntvXJ0+xwkdIMe
8NbxY2J6sdO68EKZS6QzVeaxH53Hq6OQnrp3FzRU7PTC9AktmfYQNDi/u052STROVXpGjw97hFi3
ue+Hyb/pF7TY9bZix3YQJbjf7AEN0cowyl7oXDr3ghlbRZy6MoYYDujSc2gzUJxhcGH7YFrxxYOb
cP2TIk05RN7Mk7A07k+vWvIrbrQ6wXP0gE7b/XCbJG17SCA9spPcFrvCLuVOq6x4oXyABB2pAFjj
AwisRoRdT5Mu6EuLvNM7H+bFCTrk9XayqpnZdazVJ5Y47CAtvwcgOFHLi1+iYus0cFulUtKJLALM
vzPbRehOSQ00cH8PCJtzbtFmvLdd1w9HpIPToEfJN92NZcleWqtSx2WR2VlSD+5PjtMuL4pv0Ls9
utq/mUbSBmMzm52VoSbjO5Y5ZGbMIUwIYHg9ye5kA2Ycug33Q+rVbmQST2NR9RO45TPsgMWDfC6u
k9FJDminzQM/qZ6F9NlZQjIslHX50ABufKDE8iI+ZD0UYNQrFmV8LqzaPVO40mji85tMa/Ti9ugO
yyb/FYiXKpj6nPzo64a8CBsAJK/+aKCqs8hM8AYk98ZgwsW4H6uiPLtEgISsbGjo25kXDnnT3I/L
0P7xixn/lRfpFV9yD/ddX7x9HvtsRG/rXgPTlC5Ypmzr3PQ/jGeClFq7MiuBqk8Dqr8avK1CaUUK
bcw4AspmPLkvelc8EasDpbayvoZyZuvWAxhI/1FjR8kvffBA2RL6HG619p4/X6et8HMVRQMN6VQf
DcGxFM5L6g/gTTLiYwPnSyyWG2+cdSeA7aSLyW3un5dbnGd5N77M3+0maK6z5+ne+ma/+W/jk7k3
16i9PXw+qY3IdA37l40H9eLM989U6jzq1OD3gVcsVh44XMmwhyxN+LUvfUz6rxiYagiGOECrnsvS
3GlaXst8+sZMD4lv+v3zT2zs0BqDbjRl4DSyfchgnPL6rVK/IUd74edvjf2xgH/9/GFKKQhdkAX0
5Xi0Pblz5HAwuPQ+/+lb+/Dx2b+Gn5qmktwbICAzgw0NjjwNtCGIsJL8rRsu0Upt9HyyNX02A2mg
cTm6W7TVzLjW2tNHZ5xKWKRtN+KkemF9FS99cj/55SNjc4vOVtcES8oQTXIFYYWvAeDZGp8u5NQ1
rHUUquilu1cdXXaqU+reMmWxFyptLjx+N95Ga3h6z7MGBXs8Th30PlxTkDWEdUov0aRsjb5yCnhZ
L+BJYQPcGvTFyz8Nv5A12hp49abul7SEe1TJ2UFv092g7SWaRPY18XK2xqQPIskba277uExGMwZJ
UoxhBwWt68Up58fPj/TGDNbgdGCGGQKjFNy/vjsc8tatTri9219fG331pLaStm5sipPs9a65k432
DqhkqD9fG31l7dAUJ4uubKy+jQs8KyEnYslL0lsbrmSNTPdV0mQ+qPDiqfSSSEx1eiLU5LtqmosL
OeatT3zsyV/uRGVjMuaWxu/XS4hGyIiC9cPoC3524576H1Llr9FdvHwr0nuYwGLjFYfgLHAmccXb
1A2Akv2RtWC7cpzuAnJoazKrhHnhWc0wZ6h3J9oJy2HcqfrRa/Th863e8Lxr6mgo3wy1KlURMzmF
XvWgOR4mSTCN6sIHtn7+ypKtYtSzb+c9ijs6ZGhdTEtEj+WPz3/+hpWtEeiLnkAH0YoxzqaiiVzh
qefE4tiRz4ffWJ01+rywsqIwOTJXnLzo+Y/A88aYF5lcouHfWJw16NzNoano6x6pSc3e5o7cZ553
5xvri5XHNexcY23SzhLJmWL1b5ZuXHYWMZe6JrdW52NWfxmCNbg+dxxUHitlIS3VP2fKOY+lFRGz
vH9tA1aW3PtsqB2CzCRZbjvy5jSQbM1/u7m7/3z8jeifrOJyx3GB6BKpOC9MVcE45TcLumQMcNR2
k+1kqZ8+/87WOV0ZMYhreGZzhth29pDpql37nhg7O34++tYxWl3DbcZMAvwibIxPUdGRMNe/WX4J
mrG1RisL7pKssHneoaCJzCoxv4oB3Z7fK/lWgHfp8wn8u4pjr2HmJnW9XFjwcTW68UNS8y7sZ97d
ErcTbcTzerpGnzDe8B0AspFTLpdy9//eF3uNPfenVGFM1AZqbz4w9ANAZujClv97U0B29l/r0L2/
5NrrkrPoratshox9KtMuAALsgmfd+u0fZvmX+eG+HHRlId5Hte669+wfeTFdwFNv/faVZTe9rJyl
sYrYH2w3nKvOijzH/VMsiXUhwNv6wsek/vrxQ9EJOmWjf06SV+IOYb7oKC3GC+fp30fWFiuzhkk3
hZHGP9u6/omEDgTuH0siQ4+W6Oni3YUd2JrEyqpBFyFd0+MzqW0Oi8gf61ofu3m88CLemsXKrOvB
R4OyD6twlzslztwrg7F6dsQ35bgXFurfLtxeg86tUbvGoW5y7hXdJxxN4QkBRUHXvYIzzd19bt0b
H1kDz6EljuwBx17PkP32s+vM7w4+XlOZvDSNjY1YEy0rlBKcNrX885D8mMFT0NoguLzUA7NhZ2sE
ekk7pMvQfH3mNshZrZ6+Dcz8/nxpNlgf7TUAPUmcXFXj4J+9Wh11V+aBMNDsMgOKcdAnh2MMiZvH
qSrSoGou5Vq2pvSxjn9ZX74YXVSicmLojkb+x7a4KbsUdGywqdv+yrZR1yiWHHnc2O677NDRFvxm
0Bt6Um4ndzI1LRjxZLcvGh86ycqlezT3WHvKoVrdgBvlIMqF7j3XZ2PQNshxMlaWuyq1QVhaVeml
a21rDVY+wvYnC4SIthODapqFoynr1ySn/q/PN3Zr9JVrmJPGTbSuxXnE0yMtoFWGGuHnQ2+Z08ot
5N1CoY8CebzeLqAQAeJy040Bb+pdxaqXz7+xZVCrO5/kEogog3ilBp3B/MJKVM6cCy/jf7+f7DUY
XVhkSVKCoNTpf7StjPCHY4YAvBr73n0ZhwtT2NiBNTS9qPu+dWWSnDPRv80NeGkn+0JSZWMH1rB0
VqAmlU6OOHtWi2IwmXU45WrZuSWDHPGo1aW4aOMGWMPS05xkSFBoJ07IEEAi+77z5+v6g2ljHk/z
ovaf7/bWfFbugI6oFOJbuC57QDA6sAYGSpRuQNPhd5JdUoLa2pCPv//L6aCU5MqxxWSo5+zVVB7o
4l3YkK2hV7Zcty0tRtAwnHM9eUHtjCMAhM0l0N2GMaxh6EUDHg/4R7S+ZhSSYhx1x9JWvyrrUufu
1gdWFp3OyzD1Ni7INLdvmRK3LIG4DC92n2/v1vArY4aABkB3HsBDRpHbuRz2NstOIGh5+Hz4jeB9
DT2vic3aiqFDK/EzNGoQoC+aJCSN3BU1qpQzIVVk5gRlV8Gizz/JnA3GHnuNSK+WwWV60Us8UqSj
1UzTl8ZbnFPl2sVhGPJ5V+SFir1iTN9NliOhPPPyHdAtsUuqZmgDrx0+2JW0+1Qt2QAiNrCPBu7S
T99EinaToi7aW0hlKhA/ZC29dRdvulpAEhmmIAWLOS/nazW34sgnt9wPpEiemBz6gz212aG0oLU2
pDWeMUvpP3miTve53+qrxCXW2acjEui2hNOmyr+pCkDaZ05qGZKx1y90KhPoUqRdcY1KIOh3JpS8
waAz3+nZdG2oPWFQk3McepZOO54HM8sjgAGAVJSNvdw4sz/cJOBuAgdRSl/m3q9Pg8roQ0/Hxg+b
MQW101IqKK+VRXJsFOV3pTT9URcq381eS99Q4dcHu+TAMzr5GC11h3rqRAEhSDwPJKwW8a10l3W6
3gH8AmpbVhYhGEeB8vNGpNs6oGlrIfXJ+Bw4E2HPz2iHHp7RY58disRkD1kL5QrQhuZ2pB0GFKgD
idFy5JGq6kcogP1WqAcdKtK+0NzObpSrYrttFdrmOxZMM4q1yur0zbj4NRiaqjBL5KlOgcGTYFNW
w3Cq+kw/O3Y976Tu85A5jIUKz7FIqWLZ88b6YRWWtRNL3ex6t35iVpYGomUPi+A7D8+pwNK12cti
/I2a8h8wtS2PBCRwR3xyOaeEkKAn6FX3c/vamvrvbqL8sNfDo71AgXdynokoAGmbvavWxvUMfbYq
GHLoHGZsnzN14H53Dwnwj0aKFNIJAqLWRam+6akF42WLt25KJoDFAQ46FKK7GbgAS5gm3ZHTTEZ0
KvwrM3Rg4uWZtl/nCixOw1wNIZBHIRgMhj2aZ6oQstZZwLOCP1HwaR5q+JYpJ+43xjX4qxYw/ieF
UHGjgfDLE2J9rFMPXLEqAdUR3kGpdgxBfWiqCLSuKPqlk+m7aLKUx6LMatSOuCAJ8+danscpoYfK
96ZTI1tArBGV71o/n44kXewoka0XdkmjTmQsoLU26fJMqhrKM5yR3eQA05M3g/dCDR3mwMy2dei6
FhFgzexjkmRJ0La6rgJTN90DUKV+VJaliF2QFe1Ya6vrws+GO78Sb0NTm9AqdAuUWRvNGXumecEi
EOk80abYWbQ415I+TxMK8QCc/KlLRZ5YQ4EbIH4SDcz7M9fV2eqSb34FDHcrQTLhDb66TrPpXLB0
j4f875rDmdpL9UQF70M/V4e+nqujwwh+I092eVMeia7enba67gYWzTI5KNncADIVg//v7DX+tZOn
D9DS/Q5GsEdDxF0hZxW143zU0in3ep6W3cDmI2s7eWOl/fWc1HtN9HdSTrup6h6hiH612Onb2A8H
sIdFTFoykFV1RnwoAuQTr8D5fZym+srJVIzXxaln7qnVIDNmPI1at3hN00kE1PbCJAVTtSWtB7BS
Xk+zffKT5YECOcSN94Kq4r7P3UiVFFyP8x7CMH/GwbqHJMfRytitw63HmjlTSElyPXT8zlqSfULT
u55mRTRyCSwCldclAAWFqo51Wu+TKT3WJeAGC1g7GfxNgFjNHLmn40knv/IK+AZaPGfGvwE39B3O
9w70Yce6toFCyZ4AJULnLJwV2nIA6wLg+4DR9uXQ3PTK/uXyLs5KDjbcUe5nUngB+L1lyHkHWV5U
SiBzNqcR6EMjMo8/NJmuLGe6rqv2zLJOhVj6EGvwZPvpNcLtDCkQfgeYQlQu5avlzFVQFe2rN1vP
pWu9Ua2vJx9esWB7yd1via5uIBrRBI7xf5f2/JhP9EkDzYKqAM4tKK92um7vUsFfU3feIy66qt2R
QLsFLWF+LkI2WypsLHcvfRFlYj76VhdXaRcBDPbgl/yQo/sisCzvSCwwxVbWjSHZnb3oV1csAECT
8acnUPsdvObGylCyJ/NrXfqggNTTnRq7O9D8AUD6Xfq4M5rGvxsrupe2Pg65uloq96Yo0ysPSL9U
YhZzSYrAT73n0mmuXeU/y5Rdgy8AdVG4KbAMjcFcOK/CHgbADfxfnLF45PYNkFEOkJLuI2n6P9Pk
PaXwHFkJ8WnAJ9+Fo69yf0wCzxlva8d/UPZHl0/1CE7vKcjB/pGPTZzR/rZg5bO06J1o/P0icIb9
BMSN5mopi1sE4KAMIdVbshAA2pY7b6yu2VKdGtzAH5jMXePoPcEvkzX6rWfT3ib2cJxSAnXJ7Brk
K6/I3dihyPyDhoIgbtAMLEzNLa2qmzIZFMSuK7iJGjl6Orv8xmXcnD1XNntHou7ZsaXZg9eWhH2r
HtH68WIyZLHQynZDgZyG99KxneFjjnodBHC1DVg7Iqi/3bswn7krql31Q6Mz8N7P0N3Gi9w+jqlv
77vKFceJ85sSRPkB8g9pNKv8hS5DfwU05HwEgVp5yA3SiqU357gFuA6BtFuCwfH6AM0J13rJHt3Z
mUHjSH57JU4eSYHD7MtMBS63bwkzj2CiOVIUmFDnrp5aBR26bmzPYNy8ngTUSNw8HEvzOnj6nICv
KFhA0xGgPScLGXcPrWmrkLZYaAtc/jJf7q1hWsKMmJeFVGcxqlu8k54sxl6BE33q5zGeudk5qHCb
KsPdVr67FZCN0Bt4m8vmbuFQfwbO8pAN+rpeuAaviUyjXGR4fdL82k2bXY6KdsC8/gD98lOxFCoo
yHwcO+DMXP83b9wIft3eo/ZfBLku4sElMs7wZaqXU8Ozm6yggCl648HOCQkFUqYSiN7AH+TJSap4
AoYw5C57cCq+ay3rN4I9JOzn5lkX2ZtIl6eU2dZtT1yO4zVDLLF07xxeHlPWXIkGHrcBTHbwc+DM
mm7ZgVl8PCPuwsWePxfjfNcu/Fyq8jRO2TOEEqqQpPTGw2FIJ7rPRhCAad18q5f2mYOwbqHqODTW
ux51hJgFcSBU0Xd+ofsz5c2RNd1B6jFGGvuoUu+apRxgR9GeR3uMbSqein64H0iJkINItUMmLouL
IeNBL9k+6SB2RNRzmzfnvDLzCaoQyTc1WuOv1u+qd92m+76fy2Buhi6yhXVT5OJQud4+KdM4acbX
CeLwAJ4VSbhwGGdbCTCXevzI0z57AglleYLiJESgxZjsqa7YbnZ9eAyRuzcTMK1g2AVQTBFtR7nd
cRAaAiHMHP9cdPTRmlx6airPCYDes+/StGvvqM6XMLGdJS5znPlh8oYo68gUKpkCQTo2VjAu9k8K
stjjpCDtq1hDdm7fyXDpx5eENBz40+7ddh1kBUo76L1WRcBxZ9GUWSa0a9i6ypMqoq1BBGPheDn5
gitUqxviJEfCpiWQIGINVOcBJwztiaDQH3xI9fvCxnbny/Z7kvq/yWBPWLK53PmVtQTG2CBrTEY4
f+LEmjdp2PDpvpVwdeive3VZ8dIzHJkBxiRScAH3TN4ZYo/7svQkDHvgV5osOFnaewcm86maB6C6
+1YEUnl3jGYsBlEWe8NzR/cIFIsD/X8cncdypMgWhp+ICEj8FlNOVTItMy1tCLWDxJOJf/r71d3N
TMR0S1WQec5vZ/Dibdoubt2+F10JIuqA9llD/jn1Oq36+VzWOkbEnFr+ftknVI9WcPKC/Ro2YYrm
9NiWWYE6r073vk4AhSN/ArZbeNc88oQbIGPU7ImNmH0m4rT1mn+Ltbfp2E0Xd+6P3rZ9uMt+DMXy
n+uhfyX59r2cPdJB7MPUeY9GaN0mJJYc/cewsG5+IN/9JnMT5r2HwKbAQ7n8NlvdHUU7IBWdOOSC
htbwoahR4nrmf2P2/4BuBphqrE+WZxPJXpNAoZWbout7WnZdRRXfDzJm0qWsZf5PZv6v0K6/xULw
brZs6bT01mdHB0vUDbJMlqX0Duuu/MTyZu+cVbPzl3gwAxm8k5/7wRhPW2ZRsKzX8bwZOS5kHeiH
UJCzTY5H1T6b2Tb+XU0H/fzGd3QIGtM7OIGZv0uPxIpkMSY2w35SJyMYhytZY+phrowmGbt2ZAML
9+NE7GbCCC+Agfmle87AeAmInRkopD0yN7uvkMfdo7DD6ahdUZ/8xthOhplzyM5llwxb3pyoZdmO
+O3I5Zhk5yXoYtXbTszWuXGD4BWPePNKiPoajygmktqYjCTQdZcEnTDf3d0pXkkO1KmXtd3PbNj9
B2+p3T0m40h8+RYtn8UotsPu0g9iGtZMGcc8inM5ZurNN4PxapfCvPm+ZSZ9q3rer5EkJ3eab1Ks
472jZbnZkwczZlX228B4/8ik0x+QLO2fbFfeE7cOYNQ8zObNmuV+CaadumkxbdGsTRGzTmu6YCDY
mGfbxFXLFO21CCB6HHHH6kM3HZkDz3Plh68Tn5ez5utlwoZwzo1KvW7O1IjYn7uqithax+sA7/Ek
686iq6rsrmMwkgKeBaN1sHiInhkraHKcyAGJLVEUZ8Qg4zOeTBtxj1xCSgGEfDMK3nvJtvTAbsaC
12tKbsyC7tt8nkydtm7OZjVndio92VzK2c2S1amqY4POKa5Ev1zqxauTfHWzWN2bxyzt10fPEN4h
6I3gtLMjHZxl0x8yo8SnCof5LXTab7ebKPBdpPGqG7pSjVWFz7Pvb1cm6j0ZOs+L9FzaiRuszo/N
l8U7sBYt0H41Hjm36XHYujnNiZl99IW3pIM/7JE/B5gGRBP8mJWYXvNuFMxPhclHPrcPC1ndv+rJ
NmKak/qj1bRVl3RWUHAx5533HJo2XEyZLwwlft7zxxWdiKe1kOjvhIfOko9hpfjqfq4WLZaScTGQ
Srt2hCLFel3q0f3J6NY4vAMTY0HRdz/vppIbyuRE75vg9c2ewnuVqZ//GhzjQ+Z4CkJRfRVNS4Zt
1yyRufSPddm824t/FLMV73KN+VZOS+uJeB01IeNh0z4ZNFzEzmrdEQxnSdySh40U/RPt9d8Wj1Vk
jP7NN8bh6LWTde56dTNrOzUGH0m1UsFDbtQuo4q9fHtK8jFtAVxH53WPrYHJVeT7nghdciOa/Rj1
aopVZ751MvzeG6ViKNY8RVg0gosoFVULNDiYyso9Wf4M51pFW75cpmD7VhVv5hamVDV1SeEDuaxq
fw7bdTkRS/Mb2oWoT7V6ByTqFDvX9WNhrl9SsM2xGsaZbnhPplHG5ZxzmLaoArfA+GzmbcEAhEJb
+vOjMPMxkRkWxzw/mY1lJZLkh8hpsqfcKZJRBueRU1bX/hvjHdFP9GkyPcTMbO/kV/FVrvYdTc6+
tC0pWm+Ixa2xgyz/qcl4M6fqc9M7m1LvArzJTs8n3Zo/vbxL9OA9DLuZ7PhFo9bJnjxvHyM8dmW0
j/t18uyfdr19V/52Gnb5sA7Vi+cvL/XGtt4b92F8yP5zlFtH3ho8u5nao8Cc5rcJvd+TYi/J47ol
ViTflza1g8EB+GlvRh7cwk4HB6xF7SPU0B+2EOPXmOklaTFXXWvl7HFob+1hCTdKtGtruBjuMp+7
2fOf+rqbTrSd8Wrzu0ZGK8LYldn84uGFSDj2f8/WepyM5Vw4jCfzdtrXItadeSiN5u/Smi+eSb24
6VVRO2Es2L3ypgx3SAj6e+t18Z85149gEZdtV6fVHtZom6cmdU3r70Kqp7PKw9ZXz7IP9tQsxYYF
I3+0nKLB7aRvrcOjOFvYQkafNFNaDmJzBqutFVGnQeVmEWVfDqtCZx2tXPOFWONVM4mkc8sNvZcs
ztZQU+6pKjOWQ7Ak4EEYt+Xd6LAb1n4I7b5737LGufld7uOJGD60v4URDd035QdfueR9xzo0RLPR
di/L4voUw0lohslyI92TeOqGy5fqKklcenYAe0obszybZf+mvf67z/Lvxgt/mSvIYacswKi+/zCa
4bdDjNdtXATGCtc5uXOjY6y3h65zXozWeA0th8R2h9CzKo/3sOUB8xa4dHfga5hOQnFCFLWWaT8A
u2/OzwmjIua+BQ/KvNl/SgrFzsLxPHDBey58PzgBFp6Ks90dbB/ZkDPqaJ6d7mqwyl3m1R1pafHa
D/wM8It5kz1IcwOorNfxv1bac5Ix2IC/jHRLT031yPXXnvzMMtNgktUEjDIbE6dWQPfU7hnYq5bJ
xB2XVQwyJX2h6Vj2vBaTmA+NEs6HRbf4njas4EBVQdE9EOPvvk2OzAJCk0T26MLJEgyZO9vvsqmn
z4bEjn+T4ZbfJiYNhXWowkpT6/4to1rs5M19lrR27T3poR6OId68N1eOHQpiv75hhjES3/eykz0P
PK+zGk0MVaysfjQO5v62bz3RLWIWMrUkTrC4KLwhP6xmZSQM7c77KlxATOlu/0gyrxOHtKWfJNbX
r/bcNlnMKCme9lwXVpRLo7p2xjS8M2+AOfQi4/kozObbtDvLAbtqqt+7JJ95A3k/26saQEPs4cnz
S3Uy9WL8bVn3Y+U2oYg638zPYjHU0VLB+lV0nFBm39hp6/j2a10a+mwoOxijAZ/YnMxZThln47q+
ear8eioT6Rru9qiNrEwzFFw4zepSvRrecJoYwj6AXQaJBGtojpsry7dWBGTxdwH7ndDB3CSdqr2E
29A58DuaiWcp4+oUWiyxIcNK0XOha34kpM8fPlTCwWqV94gfjX69cS8E1rHeWV9W8vWPsyGyv7ry
h+9G9ZQs2sxBiWsVvFW12I5MpjmQJi7HGMdf+dB0CthKN6wjch0pOWB2kfnBrqc6FSpstqgx7f0y
SXcgv9JyT4uVZbGvB+sWTKq69lxRv7qVSkxRdM6TXks6yt2W9uex2E+GoWe+2jE4qnqcEoIwSXio
1JZUXHUpDPv8vLWbRxI7mewmqvS4KrzgSGVoeHMWg/pqS7HeVDSESqofDHUwGtm9DEEoUmfxZy+e
sqB6IbeTG3ar2uFh0K14HoYmSwqOu6gesF9HHl1152ry1R8IkP68TcrAkg0QX7QMnEvT7u/M+AEK
Dmn82IaCKT4s8zWZxiZICBrNj1lbmJdxn9rjQCTRGw9v+FNrs/iBmgt/n+YnwNW35n6Um4FVx1aJ
thU82fiZu8r/Oe/2mkinx2BIDyD1IlIsU0qCYfHck+f4RwyL5AMs+h9LYIcsf6sfF1oy3Um9nyty
qB7Jwm3J61nC4Kff+/aBWuLtYlHC9Z/Urfrd96Y8dfu8H6lHW44m8dRJC6JwWDpvP9fssb9Mf2ud
uFbUSGWWKk7uks/XorCckyR6ikR/k6GRxflY2Ot6XX3cW1EQSPFuUdX4PeIg/M4YYPgn5eZx6en5
deIvO87V5h+wDgPn1rUb/OcUqjjqALOjMFsCW/pw/48IvupiDP3+Vq3mYEVEQ44IOyrfWinTYyT7
0dnwWwlSF7oewCwtYJ7SKt/rjeLYe8o3i44Wds1cQxLeUoR9c6pFb3aRExriJ8LuJTgsrmM8KOWs
aeU2uk6yRed/FqOUn2a2qqfBqsa3bRhJgyiW8Zdo8uEQdFhXXV3VBz1iKzK9MkjG2bpPiKH/VW8L
HKE2+k2murVs9ynwKJV6FQCWxWehDIl0ZWzBcddmfg0H2YMi3SGQugKfW8MavymlHrEHtpmWZRGk
a29MRdKRlHjOhHW3evF7A0plWf3g1PdJECIqgoMy3sPAWuPJnP2LHgaF4XhpB568OmRtKu2nrOeA
oAesd/LUXNad+4GWEZtCP7n+4tTbbrhEh8McTr8Cy1NJo2yV8oFREVHgc0jcytcBtg9b2gn/JcKd
WD1Ps25+lvbiPJr1aNx9Pfb9vRJPRlYzkox6fS6aBhPhTGepd8/QgHM0jPyHrnKEOKMSmBPbt5W7
9+Rm4s+ab1gdmp/DMIBZz+B7YY8bXtX0qI3dM4EYSTbbJ9efr7m9A1xLyWy4fM6rcawaRqqsOXEQ
Y9gN7Ld97WbwhOrRQB19q/piP1agJjEAxosxhE1Szf5PeLVUS+PB5LeIdmeSFLhNbRzW3Zez6r+O
w8A8Z/Sl1lW4J9uU/ZvQhwMA+Yeg7fEk53hKd2csQVAxnG1IHljsPZcjtmqT1mwJoqjrE3+6joQo
rqYaHkQt6NNyd5ViXHzO1iLgGJhXcpGFlToSQ5zf7b9n1NwzJHNcbcvr1nM65YbxUnpDyTcnvgLt
P1jgt6x1GC+n1fxTezO7QAGm1ezhV87Ox6qRcXhKI4/Z7rgyOoM2ltz6r29qwuNmh0aWomAMHj7m
wLnshWHHOTxQwtv4C/6tjvIQcqMJTjMe42gIuAvyvpVUteJER+HBrm4ulA506vfKFRohgjUixbEC
7EUCwagmYhSqbD5txvQe+l1xNB20V97mnJu8+hG0483Jxc0e8l9qrNrIshgO2fJx508PjjOTLEBF
pDrUuWmd+ILz5513+dnOS/ds6Wk7eWqAw9gYlQa7fdF5QbAUU04qCqM6+gWYrGM5z7L0E23VZpyr
VSWiEVenAdfKnBw9nORPcLzwt7lafryyUya7SV1uuKvI2c1Lced9uU9TvYVdDAHtwVZqnTQGXKzb
tH/YzFnm5530hnbZIDoAwjdAsGgM54Q6ZrxhvvenK8RTNgbTg7eW4Vue6SzF2t0SRjt++MMKJYKa
oKzl7y00vEOJlfDcaWlFpTk1kOjdcK43o6RGAD61bbrgCZf/dPbC+bIPfjhHXT785X+torB3kP+x
jUf8Qti01/+nM0y0HlRKJgYvIrEcln/AYm7EfbG5sY3LN+VKv9TEvpy23XydgspPS9IfbjqwQWLd
6imfvPd2K8eT2a32uW3X/7LB4KTtiymB/HATKdyeKx8EVgprjsVgLglulpHOILz61tq/iUqSq4p1
B/lma6UFVd9JSzlDqsXQJrVdB+zI6uaLOTxUbLHRmmnnhSsrcWQTxlXnGedOFDOxrCssRx9gHHXb
a7l3UNQmT6WYKBsKukyfG2XUD6PdTVFhoUQond0/eXQ99IVCP+p4x54Wzfeh94uT1+QCgjR3E9IC
RFyaLRHu4RrGS9EfMydb4rVrP4d866PZ3rdoD3sYyg339KQmgKHeZWGQ9W/SJXP4Sf0SFKQO8ia1
r+EOFehp9YuviO5HP7DAaszP1UF+Po8+3UZ299vLLCcZSmONtK5/iGp638aOHid4Mkzafpd4/Qp7
X0wirrMJ9HxFA5O7Fb7SgtfMtfk8dh8ql2nknU2oenCMrPvNanp19/bnvjj3ndMm+6MNg+e+hI8e
q7S3A+OUuc6YlmEP3KNh+GHTd0w1sAGiWsN0DfbPoDeb66727JyLfPxl+BN3jx/QtFOF5cXMHJZ8
s/ZiHmqyPYL1P6bvLp4F8TsdnVvcyfrJ6rKG27B7Inu8AFjivcp2EnZXq3ePwsGJa1oysc2O+IeG
EbfpLZ9X1/xm/ukoq6ymZ8k6EWsLrQtQ00dj8II7nh7RCi1/ejrkHru23I61CfBFiMt1VqRuurn/
D8ep8zTnDEbUflA0tUv28g1+alC2CcfDV93rnvVgpPnRHTtFiyKgh8tmyblzPyGoLY3czpyPZI9X
6e63v5oMTzlPzhdi/fE6hvjaaqBQ2VRNUhrTP59CrGj2eLDaSbEBaAr65lvBi8btMYxpzYECWSXa
j7aDVm4cq0j2MX8vZuc2iY1MZ43A33Wcv4uHjdThxyPc4A2X7yGom4e2JYLKzLj0gU/em4IAt22v
jKhy3d98FL+8mjeaBmMYNNn87glEynKScpzqb9l6AIGD8dHvSkc4LmHxVuLZrS2VY7+k9rwWx8rp
H9255u80p4MxuS9mnj3UBAjEdd3Lg7eudF8xDzx0XQPNYvGSO9b2b7PHf8W6XwfCNxMs3iPagN6u
1mgYpfUXyn1kNzfDsqA8Uom3IM/yNjIW10r5E8RT52rvsLUjSz2hFom7M4Qb4Z4fTS+3uoNVlFyt
NAPSTpAHat1I4WBKS/xqt67MlB1h5FN+8GCp30gZ2K8y7/yTVk5x9E2TgvPQKUlGKfS3L8R8NXdE
ctKtx9etaqbL0DGIMUJlaJerYfEvSk4B0Y1DUH+t9uT8NSY1Eh/ToRAwrIULfRt0GbseyJfued65
CMeWPXv804ZVs8Sz7+RfvBvqsC11k72WYPggW6WsT+Pq7l9jm0EwzK6ezhSJDzX13mo6hj15rpCn
I8bd5ndZuP7DIihK6ycaV/y6Ma9eo8WfoBzaF3AunQZeieRH2c0vON3lNG3dmqoqGFJv3KyTBa5z
FmW2UQgaWAnoWHgYnS7jG9b3ftow83/mxrCeYCUr4iS7/Oh043jwt3E/LmVv/1nVvF+kKgu64fV0
BJjAPThK+3PnLvgtg634Nymyb9S49Om6GOI0Uep9kkbrvBL4pRPTp/9StyhaonBAd50RzcGEZ9Fb
0mi/6JPA2w3ouIxKXLXY0ByoAKqob+SAAsLnHzNXykN9h9b4nYyDH8rmNgW52qJy7WRJy26QPyoj
LNBTSn2wtBafA1H7c5Lr0I5DRagPG9f+A5a4xo7PYQmmNrjiSBy8ml5MmCdsirODSVx3DYGOG9K4
Rk32FplWH/AQyJaRp97yCyyW8eVTiYq1yDW2G2oWiziQsHgNJXxbpZ1/yM7HfzylWwR6vCak0pCx
NDhk6kgBjlsv9HTebX9O6d1HEYKu7aCZfnoN1Y61rZfDCMj2FlZ5SxSJjWavkOUtnIPqdWXQvgUh
Aa9s3c6pVFrGDWWQx3oJjCtqzPKIACGMzaJLbC5Mu3d0kfQueSwbKq8nsCcDstv1nNO8dOLDGzw4
SK2gl24ICsI7Yr4iz3aBMpo7jDNsEW+YBOHU2XkOfUAGvdepW5KUntsMShYgBdlPyFppOCz8c05b
z9lpdP/bUI5Ot3LioKjN4UP4c/8yikKcOyecPpx1WZ8rHwjdny202pkCyqyA0uhn7J2jWzQdo/5c
pF4/EFi1dAiGlsmbzyYXe5wNdvln2ir9MNumda0sS781wVIkK89oWm6dOHVrqxI9zRYxT+NJz12f
LF7ZxC460tio2zVFWrS9MiUiROx9NRIJLEGSt9wn0Ei3j33FBRMNvl38y5qmOO2Im9Yo95EpurbJ
byUb8UzMtwB3yPNDaJXGNdgyFyTRGMs3z/Wmy1xIdcR6oM80Bi6xzJEYSXtYHr298472lomjnEb3
VTSEoM5bpVLPHVuyinv1RRShxbUQNo/uVoiUBaU+TADBUWDPJTfPhKoOkVA0WEZGfjls+RIM9QlT
fndw0FF8S07Km9jYsnnV84cWIOPg8Hc+I+zSHMPBQoMX19zUCdUnhAR5SeDLGVvwXqNAKdavUeSE
GK0L+UWguEkR0OloKwO4KXdnlVS5M7sRbyjj8+6YHGvsGd/BUDbXIgTG6beiybFKmx1Kvs2IrRz1
MOyPmtKVPBicGmsftw0Njmin5Hnnrbu2Q17+sEfHYZDp9gdJghhs8lhfdEV9JkkHzhPrjYb3V83B
kUH1GaKpeKiCjIQXIrNiOlMlxDYtmwP/DjExF79AiDhpi00VLyzP1ePaNGWYkOVHelg1kn9Tu8t5
LScV88HzsS5LewRLQ8lTVdPR57x6CJ3OuUzF2h9dX3VfTQPbaKltuVoOisjIHwv5JH02dTN0x7Oo
wvV907ndExfUNDcPUdhfjyawCO6QnC5/ebKqcEYOCDKMaHWt4PSIpxIB47Y9HciwGCJRW3G1okHZ
7CRw8Db0WfhiMIgsso3LrOcctwC372PuqvrDvadHB/l4bEfjSNbFSxnORx6ThFObTWCYUYlCAwqt
iPVS6bSuFx+p355XiU3hel5BVtdjqqbgYi9ga5uACt4v2VZdh8IcjmZp3JXRDdNqf85nmwSgoEnW
0n4MR05q3zSmpJaMdn5TvWCYYxqU3jPf0D0S7ElkgleP0LUqt5vIMuzHqq+fi8WMLWN+rYr+Jduh
OPrxebDZVFzVP4YkYyJFks7ZbXKy5popOMgyfGw2oR58DrF0ITrzXMMVx5lREGxWHyspb9VAy2uG
Ds62i5twGivqzOy/eRkPph2oZF0AsSAOiRFzb+h383Pm1PPDDhUYInqDt7VPHnMvOs+4d7r3wEWI
s9iGdcH+nB/MarY4TsKK/bEK3vu18394o+Wfu24vX9a1sd9HNzPDJJi34U8PVPUwIBuSB3sinJvd
sF9XQBPEv3w+VfDst4ObIlS0Ika2haSSfIpHNMux8gL/QE80Lb0G6wrxrXVMNyS/gN2yYrtjRY/0
XvtH2/frw9jnzqVxRvsshO/HTZMZx1KHCxVOsJImhU5J1qBkKSwISeot8LUFXrCe5sxbY6AO51AO
a38lFl0lNsvMdRuahTu3soFky+pNjNtXT7gROgjUc+jVvffMnvrXwBXr47CjQ1Ad1izJ+H6ZZ2+7
6KZARQnwnVoWg/fcuM4nDPV0zgN/OgrDr3/Bqt+zh++oii4xcuHfsc8WCjfwQ2c7aOCzJyfQ/DLs
hBheA+fdKfsgHdivLZjRbTrusvaYj5wd5pUow3iTYj6C7zFyeqvYTxZFfMgq2ZEi2AU1v9S4F/6E
22C9lNJSMMpec5WTQHzizdV3LVf/R9OJ6SEMmxqjnD92iejyxo5kOfqMfIFR+1GjtJN4Kudd9Nvd
uA1m3hEmFzrp1loNzEx+C2AagG/c7eIV0NHSav6JLCQepGr09wSIdcj25kNYUNtQpM9hUJGWoCE+
gnDeb3bpcla0Xq8OCsEzh/+0I22fu4shoZKidd/WH6Be1XGTOykFw0ZYKxd6uiD8T5aMw7ZuIeR0
uAZPXHZ3t6pwulsr2Qq0qPDiDiG4xkwHtCwa4Ea2LZEU3Wg8trZWfwPubDRAU3Z0+pocMkcTlDUh
sSGRMpOPqg7aA2LjLlqCMfsayZDGzusdwfFDia+0XN7RaZZ/hNirpJOEc+47/G9lT/mlaP1/qtD0
a67lSTrtlwy7Bsy3Dq8bT8rTQCQhH4ONzCUx+Px/y8nfPgCenqXjL6SKTqwHmorAXRnDJaD14GyS
ThjvRZAz+jlTivW3TtdqWQ9bVuSncp+3tF7aEfA5rM97QCAa6mAbeddecI0j4CXarHjjgBnQBWzD
2SLV5hKO/LCsz0Mql7b/mFptpou1rZcs97qzsa0f/hy6h4Z94dg5oo5RWr4B1iO2DxhtQ9NsHpvq
LvvY3ewFEfj8NFRr+28TqLmqcvTiZdiXRPlucGzbjgOjwGzSMpbGnm6Q6hS5i7i/X4623Jx4N8k4
hLP3Xo1J4vwO8Tl3LmS/Zv+YJoJ7GXEECXJb9dhVlh2PWg+xO08uQKdjgzvsA3z7Kp0nypV89vJW
pgtekvtyG/4e5OADf1d/GWcZKpRw1Xn1tvnq6B5RAjjMK4QgctFetQnapOZkOERRGvOCJ91time/
3oO4XJUfzwBoH6oIph++csyTaQXlrf8NTuxREs1bEShQEK8Q9lXBMP5wp3yNxr5/cBXMbau3mtMA
bt+wCygNU6/J6Lv8qAMpL0uHeqsi8MpyiEIcywVhQL9YP/L7pO6W6K3IMuT22Kx3xIGHTgw/jF1/
ymJ78Vr/pW88nNUr2EVdXyqU09bevw8GWm5wo0fte+aDv9vdafVMM20t8hmDOxnL+mGlng4vtrae
3WmxgLayf8sQHho+JmLZeaB88w5xjvaRh+9HbRRvbl1CG0H4zZXsOHYZ+idtu7ccQ2o6OogBvUbO
N4qSndR29lMbGMgce/fEKNgksL7FyfbG13xe8c+ZnOZZUwZx5a9vfm//zZv2dcZSn293FwucyQ7X
dz/yIPL38cWzXC+Z6rU4WcjkE6jI9u4ggvCUq5dOvOzIrsRLjlLbarzUrYcmEr0ok92rP01SoyJp
gIL4MHzRJqEPcqKztBC8N9OrAV9JndhYHCZb1Omw0erdtIGfAGzZkWXn38M0TmAbfREtZZul6HNh
wnlth4ke68UO1tS2DQ6QHlZhmUfAXXcGLL23jEztOKarFORmZNsnFt3tAXVwE8/qTrmpoj22RKvG
lXazw+yGOVCjj1Kqxd5ieXl/f5OR53OL3ZbCWE6+RqAw4MM6sSJ0J7+1n7mrESOjMeDDDG4ZUna0
prlxnYpMHpo8QMQORRlJWf0nxnEAmbA/DC1PDkDzJQvEf6VE9TJY2x8txm/XxBnImIvtAIFPygDj
nf2+5SIXzfxS+s1b1nk/qYCntb2bEZEK/+yI/HE3SFjMWuoPx1W1abUOLrQ+X4Nb4M6kUpC75D6S
5XqlxLxEMqmYgi59MRoRmoR/We3w5KFXTFB57swOZRaNGn3tUsnHrCxA5Ef0W+ZsDzGkuRkXCMXQ
Rcggslb10jr5K8FGj4bhfhWTfKGR5e4oyq6kDCvmA8DuwUIKencSuTgergFZZ0/M94+9Y8SdV/3c
q+GTM2kAZFLOoSMq/Cq9oGaeX35MNfpPUWXrSdhmzqxur088kZ/lVKbF5r3pYkdD4r3Zyn0Md84N
XlD0oNX2oLb2PObeGd3Gq2j9K2ISfhwNDDtVcLli1WVSreUn4rQT+kY7EYvbJl0xP5Z6gB9gZDiE
oQmIKpczFYcCOcGK2K1SLDxgq4Iw1phCBXhg2bF8BypV9vp7oGYOncRafPGe6iPxM/9Qgh+WJfjY
CkRNoVk8GY67HBC8lJFgrYsa23nnQXgPPB6z2lxfLTirzC9gkLX3w+j2NzTHWQqlkXiThTLZCiZi
KlWyhO6HMttbNiKE7jt+xMyqiwO+MJ55v/175/fiocp3ftGcezF7cqaqjMh7LONQFK9LTnCtRUSX
NSXe/zg7j+Y4lb8Lf6GXKprQwHaSNIOCJSvY3lCWAzlnPv37jFe6/MVQpcUt19UCBjrQ/etznqMp
z1qDdF/mB4kYwaAotrWm9GehBPt+Mvbsm5nYYjw65JI+B2dwSGLzwfYQ6iDd5/9K+z7FqYawZmBd
kRRfpLC+ePgSxkY9qK36wmvpt5EwvzkDkSxOfY0za9cExhEFJPOAOn7LhYfalESwbTf5Not477Zq
HXY0U36Vc7h34miZZUeNENhCD+IilX3mkJL67PBQV+GPScYjeM4sZuAnf9UW5UGn6tQmy+Qlz+N7
DqCxgOpUI/0SSPWQBCeG+e9KdFeDGM4fdETKfOSwAEl/l5kIHRPEqPtIkxyCl2yqi8Lno6pBAkXq
vIlyFrnJqFdbRAU2srmBqnebKrdRVPDtjGksw75HlN9QNJOvVYfAzWIleasq+XDv9SZnMkFb7y2j
Vo6BDZwfjbOKWqRtDlnaMOGktvOGRkZch16D5gqSXWrBHO1ArrMms4o9uRivShlRFPba/OSMnF/G
lHaPaUE9RkDHPdShynFeUf6RIu2NTeok3r0yhYx3n5pGrScoo1m2NQz51lTu64rymoiG5hZ/xWOf
RpzXOpwDIvx6iVIt/1FxyHXkJDw7VZ74EVY4GJvJ03Y2e5ONlpbDHgGK+N3mCnqkgjMINqEwh6mo
v0Z6fKhZ8BFGcDsV7DpK5EeaNT7oA2ggx9gZCh1MBem9oeD3NCriYCNwuhr7Wpwouqg32TSap0mw
Is06CkkaoLk91UN9m3ljuxcofrWiJqdafC2t/FimI+k5Z3K5x7pOH/CxhUp7lwr9pLBR2iMq/FMp
GDYd339qK+NNUygFxg3OotYaxoMGp3ujKs33QJBPpHFGvg2qEtxQEUZbaWPyDMz6J+wkCr0hddfa
c/QroWacsg9PlOTj7WgxV3A0xDJu4Ki6QPl2oOywa4Op36ZxAhRccuSEsQJOtOYXJyfTj5w1jfgr
/GFrT5q8ajiUOigYHEJP3Ndm+CbAim+kNbFcUyuFugkiO6cIxN+g6M9lb6yvPmTnbRH51d4f8Mti
QqesBjcazhmkJ0MV6D7hYz2ADd9qbX0VZ+2XMRnkF2Im600aEKB2jrDYdQjyrxyMBk+50eonFTLu
Hox3tTE15Qa0yXFkRaPIXtuNA9Y1WaKCt0rvijX3Xd6Fxj6W022uDw8qdd+TjOtvdtIdFSs4BiD9
EVAdHaTJg5fspR+5RW74O5VDLCYxBZWCLZ+YKx8Tx3gMVIC+tEm2KXT9T6uZ38aijHaU1+8H8Msp
xZIDxzF/M39iEZsyrhHfh3n+lR3Wl9gWN7ZDyT9nStzkY3vwq5hVDsXyjRY1HY1TfccbRxsUiKds
+Koq6cibSZ2+RHFO5aQIb9hS3JLmMe5qQzsi2flr9T31mPwPp6qI8js+Z2VYfQ2I2tikOetk0YfX
CP6aTZ2artp2vymtn41BvkHhxX+0FE7urWJ49jseNcqvoJHcSpMeG0sKDMrtJO3vpIBeS2FD3U5q
ZeO3aFJ9Rb2J1OEhA/awUbX8ZmyHkxJ3GSfSFOKF5ZxCkjA3mcKBTO/B3s4bdRur1m8Rtt+zcwtq
HqdTWJO10XgIE8RmvdZcCwbJFhr9Vy1X7xtLPCFIeRqckdN4MaI+bU5ngeRG5KU7TdrNOI3byg9P
ehHfZENGNKG0rltqQJjcb4U8q/wTALb6aWTyrXxQ12Pbu2rZUUrLUrRp1JKMAn4MSLOvUTP9xiD5
VBs5Tq5suGs9+auWzjOoONb5Tn7nSzXfWp56GyU+FRXr7J+5qywt3o3n71ZqWUTg6pygaxmHUXZr
ngDmIqds+gz1vYhC87FEKnEAydNfK5ElNpku6xcZW8V94UfYvNBVIXwjpEAdrYAdkZnCgUfwbNSo
1Bv0gC+cc9Q3UkbiXnpq9lep8ha2Estp7MrnWw+FSG6SyYq/aHz9fynpVD6KnsWWOaTK77pru4Nf
9JzxpXQwI8/kXukIBcUuR6W4Jvqp1fE1q0qGlVriaD92pdkea3TcByvUTbIJBks5TF0UnqRepdme
GnUW4Pvd1HdDfrYas16hCh0+Thy5nfXZ/qErC50sRH24q1WLM9vIwLM1qVWDPT4eTW4x/hVjyFrG
EKmbR4U4/V+R2Z0tA7N1fc6y/lQZQqgNAgSm2+gPhqC7yHN+NtKyVtAxCzwRef77OwRHbMVlYtmE
Fo2pIzeqE/zuVSPfhqj9OMa2N2wNny8TGhaIHPKMGnl3p3CKeJh24k74Dv2s/Rb1GKMvX3sBV/I/
8Xm1EE7PF80NC1Z5SIHDhA87Bz30mPGKyJ81LsoCOEPOiCWRLmzb7wnAab2v2XhTevd9tEJYW8i1
1ebpeUM/xcIe7DPmqXaVuj50U4QmW9e2YVLsorA8UafdoKi40qEhi4AFdvAFfdrb5Xe49Gjaf9sH
xMVUFcRrnoL0ubK+Violk9+fu/SMZjLoSlJz7EAcKDN8lWFoq35h6Phk489gJt6g2JYew3b1E+2U
MLzLCAtf91CKx8s/f6F3zfP0Cuyqae+HvmuJP7r8bZXWFipL1j1dvvzCEJzn6bUilmozlIk7lRzP
t63YJmp7bWn+wZTQx4GlmNvP3Wk22OGhAdsJA98ds78WhbaGyoZXoyFK2BzXn0JPauZsnMu+yoV+
BrCW+LSa5JZK98bJlZXGXphF5ll65dji1yJ2AX3TcIBZsTeMNXT1AoXKnI1tJJZmHgcm4Nu4vdOj
9LfFBh7ZG8KjSbZ8n5HqI6HUVp5kqVfNCEUozWyU61PjSvFdlPcGvo6sfpn6eqWxl96U9t/xTMFS
oD6rzqmD03QbyIoaOfrvn5e70tLVZ0PabxApskqFXu85e2l0D040rOCNly49G89Dh/jJiSYHyKEN
m6HYK5kVr7yUhUlunqCXlwaHyEA9TrbHNsLohGtqXrtn1fp0+b0s3eDcud595aoyO4ekVa2rt2q6
weGJ0tJM000R2V8u32EBrjSPz6scvGcYtVPXG8eApaQXfMUtG/ySFO6uVIoYj04kqy/5VNi3U07F
/HP91ZiPa7Qe3SQBwNkjVVJVU+5ysHNoTstul/ar3Vacm/l/w7W0eZhe7VdNjbjAOw2awhIqvtK9
7EZRB8Bz0zcf1a3QkxeH7KUKS8RKt7CXmu3cF981GyqITFPYV7uONeh3Yd0Xz01nVmzP0dFs8qlP
Th6HCtceZb+nEDzaIfEUBLpYz7dJm+s4DDRY33Lo90SWJvdmrACHEQ6WYZYLxU4Fz6dSnun779gv
tENcRBzwUtyndG81g0DWPCpPqOenm8IR1Z2NyB1hFAHgrIipI5ARgg2xGQ4Gbqs7bfLGr2mfE47q
sOS9ClBG7Y22f23GWPvatT2KdVNlCdn35bfJLhU84b1NFXAoMpYOOSE5N6gCKIOYfbxvGyzxw6A4
p5q6+hsHBgZSbd0UN8XkI9XU2fH7ivHdNlCUOmlQvZqtKk/OpJ0PnxNrnwe1sUHKo+7TWh2PztiH
x17PCzKukHnkFgpJeCP+9SR8PBSiL444G5RrRc+jZjtYbbG39UzeGFJvkFsbGMUYQTdG4mOaC+l1
6Ya1Oe8jRWZ9ZVD6OvhGrN3a0Dfq3eVBtTAZG7PJWNdVlnUdrwDyLPvrZKsnf1QWKrF4vnyDhUlt
nm3YqX5nl4CiTpxE20fKNePXAIT+ypS59PNns3Gbh5WDZZ8ps3sdCxAFcEu64k1bi8RZGh6zKVlR
igIamZhcU7Rfpmm4SrA6bUZNPlx+OwvXnycZOhWIF3vg96d2Cmpn2p+FsdhbPnf12Zxc51DMoA/A
fUxfa1AXVfoSGCvXFv/mpQ/mK322qEK9qUaJhp5uKjj1E6ne3vfdSBybM0GvSTsUM45215sVWa3J
OL3GXde4ConJh6of9ed8MtKrSW/KN6en68dnZkTK5nrXoiaH0iS9q6jryO3yz0fsmT9Koq5yb4Md
rT7lts65rgR+0ltDuqP8YRw7tnRsMKvQuc7jvnsqoHVTwVXUBxQiGnU6Vf4xmEHu1CJKD6I7K9gn
4W2dPNevyljku2kaOzfTsMNWZ4Sc3lDR8Mkw3Bo2p1fYaaJbi6ojZwLNkMBmwgZtaa1y1q95VwjQ
8fb4dXTyuOoVByEDVAn51EQCzl1GQIwfFxjQNI18NJCZPzEcTdTwIqO4gnrlfdMo0LhIhs1n4SXJ
/ZDYKASJDLgTulpdC+AANxN1uwRdfKlf5SgGvvYTUyY6R7TP2MyRs4jhlUqR8U2JnepO+kFSbrBL
ZNd2MMbbAAXafZk51J/G0gQ50eaPVtIQRFCUzfRkG8aUYcdUqRNMZDYiU5sejTGsTlopNAqYnnay
xuQNR5OHtFaKAuSCkl5HCCZftEbktzIrkpSTEHS4SP1gTLUCUlta4sXSkHnVnhLtFM1pccUqDmoS
tXcONTKFs3AjRS1UYYkEdsJhHjoA0wjJ2kvO5WNlAOCgR6IAMhRhPBwpmHhEiu0Uk+6ji4SYPiTP
eEJH59i0yLbG1incpuH420lzsTXbEPxT5qk3fm5DClCoawjbCG4wD9VnvWG5QfMPldlq0eVMBXXL
pNY/Samdh3Lmjj+mPuiJk0QO4lkKKJsAHSR+bmslgXlhGpzncprOMJojsp2T0T1Hcb9pWeMlFENb
b2UN9C8E46PBPlsnJNIsJ94u8VBm/9TV4qca6NdIZX8papVvNA7pdkVXHO1M/G3pC7vQCj+3rdJn
XyikB+WoZIF9KvlCNejMM44zodysPNnSDDzbLeAbaLB4Mke2yWuKe8oq77Ru7eKLr232fRonpemD
GI5Pbqf3oR/ei4oDGoQs35ueQ2NhlDskoXvseZyqR0e79Fbe2sJnd54gZsac89aUSaGQNsMxUwr/
emA7v4JjFwuXn6eFQWBMcYkI5+RpReDqWhe/Yu8LnvLgXOQLAtbHbVJo29TG7oPXAPqZFyXHSuC5
9FFEfEcp0u1zPfQ+lXOjabNPnWomU6+n5zJ0rG2oBG9y9A/xarVwYe8xDxSjmhbEXpvBsI76Zs9Z
7LDvE8HUMSIZIaTPuFLNsT/VSiVPjVqS1nr5C74wsLXz398tzzUDdkxf2/ZJak9QgpoM3bVNunL/
yeufR8W76+djPRjKgEpVqNWrXSGNDAJXKyMAd/0nW2Y2c5i+aO0eec2JU6ydXRZsY5AknF2Nn3tF
8/lBSzkWmqRFKJBSZNsiL7sH6oflz4IzHWTuqC5WNkvnhc0Hc6A2mypKR9bCStj6Q3rBjP8ttYjj
DPjPv3fY6X7ucWYzRqm14dQThXPyup8mNAbgmbu6gerK3uTyHc5D4qPHmK1pTTMZMCEKENcifzNg
edZOWh7SAihgbIAyteW4jbJuhUe9ML/OA8ak0aK+S3zdnTqAbpWS7hUP8XeKO3/ljS3dYTb0jTG2
Ax1ju9sjeujG4YALFnHQ0+W3tTACxWyVi/SJM0gICacG6F+a/+ztn755Y0fik79+NsJjHQ9aT5X4
BOf1OhmR1+LQvpqSfqVqsvT7ZyN8UoIY0QvvXyqTvuetdzc2NJ9N5wclJ6Y4OC+/p6VWmA3zMUoR
QggN+XXcQriFBoCquxrWinpLl5+N8r6se9gAEY0cwNaS3fDW2P63iDO5yz9/YWyL2diWoOemKtKc
Uwa/iQ1MZECy9X/m0x8rXVmk/VuxfDDw/i0S3k22ViDNSY3hA8kkVx9tXbdvfYzAmwgFzY3ZKtYx
iCwdIzDeBojRsqMeDuwiMLxpH3TC3JGygrlEUdTrKELX2gZWSkg9cUQcLWTbRkOtPabts12ZIxhB
5Pudgjk3CH1l02W+uDZNFcIcat2d2Rpyh9YuviMx3rvOQ8/5Ebc+x/BhnarhJ/v2bKYJwinLNfvs
U7PYZISSM2cHvXgWxYfLrbbQK+aZZ3qd+87UeYPrG3p5ZaaRQDlbguCYOAr/3C1ms4td1fg+oIS5
Ua0hMqElIDiXk3F1+fIL/W4eexaPYR9nBHyciKjN9ubUJdcyIvEkwxUEiXEqjgmf5U++rtlcYyTt
AJeTuYY62CYoSZYNvp2JtpcfZeG7op4b6V33DtOkjmqriVynvM511yxiiJDelQ+LyBsct4qGlQ/Y
UqvPphq7BcwKS5ASfNDEgIzLR2fSv0MrHVeeZOkGs8kmGPAdNRU4rcnBCIksFTaV/zgheFxpiKVW
1/77qvBtp1qldhNHIMnjiJmjRhdmPMeK/CU1BuHlBllYtKqzpQSEijie4My7SvxcZNm2ir/72ldN
/RKrd6K9H8O19Lvzi/9gYlNn41zAC7E8OPHuSLjBplNJmcoD//vlp/iXA/u/V8cL9t+XlZcmLkeT
/BgDDek1URMp3lqL1UplmCNsElXexO2QPXpJIPf4hYuDqZTNbYFLFYE/yAXbwq7iW7V+RTHY+9Ua
UJgyUYAqiNN8uEL1E90gWVavMUYKZVspI/xJzairtW/8eXx99ASzOcQJC8yBeU1ZzPg11s8FimDY
kKG5EiC2sMuEO/XfNzQBmxI9IgPXSHvvDWBl+h2Zkf+cyDQGk57bGjlQvMKvap9CurbtPZwiqD2R
uhaJvfSEs5klKVi9aDZDEsPhpuigfNya/c92Wssd+biHCWc2tzgSG0iO6e+EZt1NofkS7/d6uX99
PBaFM5tNwqbNkik3rVN/FiPixgqDl5oxaJts2NdSOhYOd8Q8hq1WhjTOOjG6dRI/KCM83/bBskmX
AKsd+Uh5DzjI7cRZGfofz2DCmU0wvdr3TtqwbxwwyiEtAkBV/LG64Pfld7bU3LOZJRYAuoqCd9ae
05DO6mcf09p0I62nyzdYapTZjCJDW5/ywmcdFpnbPnH15Osk7zF4Y5T5c/kWH3+uxDyKLaxlmsEU
pMtm1HsQTVM8g6Pdht8rNTlHF71CbV7ZAy+8r3koWzXiV8iVHDOonWADjwfKIeVBSAwPHay/yw+0
0Ob2bBYIBsWwiDhFC+TcecnRNx4JC/jcpWfDW9OSKqp1tli+Zmoo4qdjAT67Nfqfl69/HmsfTJD/
TiffLR20wA+j0ucYJGAieYqx2BAY4ZUr8+PSiznf9d3V8yn3k1Ll7Sut59rYHjot/YZifaUYttS4
s9VC1gdTha+QAGr4bkfZ8/FolYSTYj3DdIum7ZOPMRvTeWcBJkPD6+YCIgxG3AliDgTDlSlj6TFm
Y1oW9WBDdkDsjd0AiM6G6WOTinjDDuVyKy/dYTao4T4SdagPbAcaCzNHsmlMFL/mU+S8XL7BQkPP
49QskXkApSgFJdL64dv9Sx5a95NH3eHy9Re66TxHDel7w14sHF3YthqSbZhqqTV9alUrrNnwFVbB
oZMmzVM5SZtCiXGbZYT9RUW0Jnlc+vnndnk3DtJsEJpaFVQo8/oJXfnJdILPTRDWuUXeXVohtQv+
tJG5deptCJwBzQFJMPt2+b0vtetsANep5asWUlYX36G6Y3/KQZCZOPC1Iu3qc7eYDeIQc5c/GSJz
befOMZ/hq9bm5yY3azZuR0erJvAlhet3pbfBLDltOCL5VHlNWLNRG1lJF1SOmrkxMcrZW8KZ3Lgy
mj7ePghrNlzzlBX9FEaSbjLd6+RBq0P6lJYcL6m2sW8LgKNdGeCLHz83wc3T02C/+yHBWwjUPXgl
TuHhVXb0cB/pwYrUVFvoSfOoNNLGqKMQcOyS2RIdjIiE69JKYohCbfyC7cD/iyz5j1NJcfIHdOTg
c/CPdp23yzEvgtKFWzIWknMPQrLuTL+wjySghLsQz8Tv1C9g3wIkxGidjl/MEStCanvxlpWxv6u7
xHm63FkXJtK5djmBz9/ooz2SKppwutJuE2DyvfHT1F4v32DpNc1mCgG1uE/VBN5PAS+rEN6p1kxl
p7dmub98h6UF8Vy5XAdR0pqhMbpZZTW4w6kJmZxGHMqaZwohZ/INItrM6dPwHIIRHAQa85WOtjAR
zsXMk5Z4oSO70u3xbh0KDi/3qtesTeQL42YuZ67rvLBGVI1uLb+F5C/YeXBr6vcB6ngxjfBg830V
v11+jUsNNZtbAKN2IF91XCoyOGa4M2uze2nCcWVWXHpRs9lFVk41YT02T6EkLkcBA302q35u6pKz
+SXwc6cqxnZ0TRK6Qsyj5+Q1wixWvqcLg2QuXq4KWClj0dAMqqbvygKkB7QGf5eQZ7SjInC43AJL
t5nt7VuJrQOLDC1QqvARsBLFN4F8RZ6+u3yDhSY2Z+uCkppvlkOOcv3sT979iAkrzMK/n7v2+aHe
fbZxuTuxiGPvNLLWGynWD/2bCg/z8tUXdlhzybLdmwMqwjh32xJ/bywmAhtzYFgbUFNkVTh6s20j
RX9IHS9dWYsvdNi5lFkgGkF76FArMqb4keCS4hCpeIIvP9DCyDZni4Qqz8y+qSPvVEQdFmmds3um
9e+FhbuN4n0A+eKTS01zNrAbbHnV5BPOE03jl6YIwOtF1NAvP8dSn50N64HiQKQEXDzIyBwetZsg
Q6dFnoK3Jto4d84PNnTmbGyDk2qLpApztwRHeQ9ga28iedrmORSSOkRfk8rk+vLDLDT5XNkMJlvo
jjUVbmXoblAoJyGLlUsvfaSM+eC2h7bGjZi7lfbXI5U8wA5cpiQt5fqmsyiqhefDKKvZZubKl3eh
aeYi57YswRJngXUqcgEZryyK7NbpS4dD5qJ4jUeQ0Jdf29KNZkO/dthwgzciy00EWz0udzUcdK/n
YDt++twdzhPau8lFxix1m0I5B6ESRBrh2A21ky1x8kRvl+/w73Tug25mnPvEu1vEo5j0bBysk5zi
59xQnuwz5gHB9nViTN7G8SQkbpOprWxPI3lUulCemrr8dvn2CzPzXDsLA0F2eHRTl4jHwAHLxtGh
rkwqHLqpEA+fu8lsImDPHzsc9GXwbACN5D+CoN9Wa/P/0tiZTQRO0gtVsZMKBY9JytD4gzX/yhyz
dOnZDKDj5oVtUVkn3fo1qA+R8nL5fSxcd66YnUY9SKuSnWYMpXuAl6vWK0NvYc7SZ4Od3K6UTNZE
nrBU/UgrP4G8RVot+BQMneEfANSHzz3C+Qe867V5KvAzOix8Qju461XNB8sN0epzF5+Na0ERUMbs
Cd3GH/9URvnXydaWOgufv7nKMDd1O2kVirKFU10XYnCNWLlKMwzyrX7Hun0H4wfYzrgy+y4ML302
uFHL6iHaEY78LdxI8VPe6lvQOJdf09LFZ59ygvqmJNbZfjTRD4tiV4Q1WwUs87mrzwZtrQ2KNRZ2
6va1vncy6Eg6SR2tzxT7uRvMBm4hkyxUAPKcqJJvBwE2H8SYXFs6L72c2dglQMnsgdDkrh2/9gb8
RPtbPa4tPhYG8Fw66AWjDSC9zl05+uHG0/tXDNn7y69lYQjPVYB+o0QpYyt3FU375kmouwAK4SC1
IJOz1B3ztRPPpS/PXBDIXhRYNCHYbjiVyhczGRE+G1OdX8mg9a8GUJeHpqsosRlNfqWmWbsb6jPT
qbOVX7lTt59b7871gUVUBs5w9iZlWXnoJaRWW/l9+V0utdO5c7ybpZKg06pYcpzfJd2v0XO2YQQi
4/K1z5PRB99tbTa0jbYbCANFrTmSNJ4roArz9nsZnHFyYHIv32OhE/87Tn7/+8NmaEw07acarsy2
GiNBsBdEqMJp1kbh0mPMhjnHYGYL2JgETfEU4nqDQoOn/gnayMozLN1gNsydIU88veCTFOL0H/3X
Cfi9GB/C5svld3T+tH3UDrOBLjN1EiU9lBBRLT/4IyzbvB3ak2p0QI5bhX0z2XjHhGCzlV610Cpz
OSC4/rAxGp5IZpIi8V/V+YVC4XOvS8y+4LFv2wV5W8YJlRXpC0MMVjTadwpicbMvlN3ll7b0CLPP
tzT0NlLFuVDfEzUE0fAussKbTNXWdKZLN5h9woGqRBr1KQ6P8uJQy+Smks61BCBy+fcvDGxxvu27
gRHH2tRInZU/BL+7Uhb7pi2vLl966ZfPxrVTOlHaOSQSBeQr+qBNWrBdsTqutO/S5Wcf7Sos0iZ0
JuN0ThvQunyDTHXnq4+f+/Haf9+Lr06G7iTsipH2VvVfoR9ykGyXr73wYZpL/0bbA6hx/uWl/pBU
clvA4fDAGo0/c/VzDlzxbxP7rl1NL0vIErUGN7H867b3n8ZcoOez1JV63UK/mYvtgoiicNaphFnp
4q3CXbkJOmulIrvQsups5MLi8rxRLSz8T8l9OukeHN7oZPskPlxugAXIhJgL7UbFrmsnCTIUkjHs
HREMt4rhENA58XVofWg3wRCTaKErvoAaXnRfEmmbN1T4o3tJ0WdfiSRe+zUL87o6G+G6R/6ZnyIv
GIzfufFVbx10DX8nZc1iv9Dd5lI8+Li4bn3PcMHMYwZ6KDBEcOh9Dgze1Jg8L7/TpUabjfaBeLSg
8In1I0oK/x/kK3MTmisrm6VXNBvrtd8bYVjwCHp14jA9EXdl/Fb1b5d/+tLVZ2N97MsxxrGGKrp+
JJ1UlmQDlo9D9nz58ktvZvbdzkTWhYHiSdcLky8pu7xu6sqNF5THz11/9t2uUsSUic7LCYm+Voix
be2fsaJ9ajCqc8HdpAZVm+iR4ToZuU2GvhX5nQnz6/Jv/7hvqs58qCvgeJti1Fziy+70yf6dJk1M
WI1wDqrUIyBIay6lpTud//5uQlSrXiqVVpmuQ3BsRsJV4VC2Yxi0VrgpjZ+Xn+fjtlad2VgODcCt
gSalSzbddZABrG8UClLxZK0Ms4/nXQjs/32MYIhMMPDnx/B/TtYpJiT6c798Nn6LMfEDC72pG5IA
daxzPTlUeh/sjSQN9pdv8fE4U+eyt1FIuPFGb7ilwgFPZQh1Q4nzASYwws3h7+WbLLXAbDCnzNa+
JmrTzSKi18FG1dBaA2dNvbnUjWaDOQbF5TVmXrmBL6wHBQL7F9Au4XEQgCjhUIbezqT2uPLGlh5m
NrQLMrgGAgItl/TFTZ3La88J4QqvkXAWStrqXPamaiDiJ8UyXMoTuFzzTaVeFVTl2w6bMyC0JHqR
lgZ+cW01u+AVVOfit0iXhmcEjeX6oAAn680WP88K0dH7OjV3ev1Ltb9k4ata3g9Fu9GVV9mvulYX
mm4uiSMnI9Y8FMOuQeCDGgGPa9KXeII9rea/yyYmULJ2E+CAeVb/Iiqq36FifSq64JhbzSGu46t4
0l9sgBeXe+rS75nNFUbTKrlnlIKMQQIo+uBbaIZHP8uuNC28UlK54jRZmDHmcrpOHcKhjTPTpe+4
mZ8dbWE8XX6Che5pz+aMJKLgjlNFugGImqIDEg33NXv83MVn33wlzrxcSRvhekqxGVvq9j0FWMoD
ly//r1D5v9td1Z5NFE2Y6gSdlanrmHp+bxlEK+WRRkpqJOUOFyERDnUUHskALZ+cvCF2BrUuWT5N
A1wyhhHNfj8hGkEF5ppEUBL1hizBvKr03/2YgLEm22efGIH6NbOF+jKRpPMmhQIMr0d49dzBIHk0
Ekt8C6MY4pUTGa+1U6hXpMmJe4Uk7QPsz3PMYZCoT14kKRcOoKnXqglLbTebyNSoF33t5apb6AR8
Sl394+f+bz38pBNPtWdzl1YZvWVWtunWdbtNWxWYirFR12gWC716ru7DMK2NZjrCkCiyH3kX3MSS
vNHLXWNpWpxL+xoDEAAwpMJN8I/+rsjLBhjbkALT9n8mpVTbjaJoWblFa6XeQ4YdMG9PLWamy/df
mBjm4r/GrB1ZaWPhikzRbwmvVIjRSu3k2+SH+hdo2Qn53xwDrYyEpdvN5qHMKFXL0p3GPecasV5J
jxkUhW2reCh+6JlK9nD5uRbf67kvvluD+WMDn7AuNNczY+fOb2qSwweOC0SdqMfOL8+k2hoCmGqc
41LybpAEU3XB2pBf6PLWbLqaYmtiwKm9m6sSmVQbgmsPYgbrWbG+9plZWORY82lraDKsT3HhjsGI
s5nS76DIv1N3DqJmzbDSRZe6/2zyKvopte3B0NxqighQLt4yqawhrpb6w2xmgKCdBV2f9K6iU7Th
MPClUgroyR2JGaP2LSrblX6+9BDzGaIuujCxg84lcvyO8Ild5a8ZUD8+nVLn6kFTqDWoFaR9ud0T
c/qzqH0+7RKM0ws4jH3VkwOGDuFyv17oV3MdYZcbRVTpke4CFXEdzbvPIkIwLYh/l6+/9DDnhno3
bIIiUbPGL3SXZF5vK8hkNTdDmjv7wiEM0SAOmmDhICAQV2s3XiPHtZ6w0JfnsNJUyqQ2UzSY03TX
yH1lTE8Ec1wLmuryky29ufPf3z2ZYxjW2BGOh0vwQVpfJvBWZrRis/i4nK3OdX0jCb52buSa25jF
ldOZr0Whkj+Bka+J21/6VPyApf92+TkWevJc5delBDUWQ8AWXBQ3JGufV9Brz/EPLffBQkXOxvoY
TcRZBKHhQnBvt5oMQVd3hnZrlsp07QeDt4WGk+3KmgPYHGHpxvSiFy8GDN9UXfzgmUOwiTqj2oYS
hBF/6zdllEuSGSrCaAhfPPpmpR4rL293Tps2cMisfD8aDbFmJsAdE+PYVrcA92djAn9cKi8wUtUj
Jxt3fU1MU1iq31NL/REVo3qwDO9mEiRqV3GsXgNj/zP5xbRNnfKl50idUI3C3xiGlx0ireh3QyfX
6lwLVT2yQv7bm3pO6IO+8EFdJzH5cGR2kghNqQ8dBqSJNlDrbWSVzmNAvsCXRimUg9+Eyk6VRfNs
D52yreE+PX6uR8zntrTweqhHEKQ8U26iqc+2prP6IV3ob3M5Yxg2TacHne46RX5TtAT5ihAalu6V
8THMyfcskzvPyP6wGD10tvlWDHW/8bVmIrmbxFLhlF8vP+bCt2JObS0TQjOzNtBdNRWEapU3DSEl
WkPoWpmXb6Up1/zEC1PRXPjo6BLETNVUrmKbhInL7AR4/0kZNZPiTbOyQFmYjubQVjPO9CxqnNKV
UZJup157iltnlylrlcClZptNd/4QxX6ix8KVzOebUTdum4H0nMtN8U8K8cE8MZc7OoVUA18vVRcE
I+Es2/r2HJFxSB/M1/KHNNCj7p2aTc1WvIFbPRq79KY8agd9T0g1pPn8kXNpJPDh1+yZf6rnkIyQ
zRpbZunVzpZFYRKSE2Q3upsYVvIVy2B0S3gmGr2qnIrPLWTnMsmMK6kx+YeujQLf31t90zzVdVS9
4BGtb8hBr66cJkuvLr/v/+fsynYk5ZnlEyGxGZtbqKWr6H3vvrFmBcwONtvTn6g5N/35bwqppLlq
aUx5yXQ6MzJiaUaat2FVkao4xt1lOw5I3+TGxuu3m1Ze7Uuja/5jipuZ0ay0waBq3ZIGrH2xDyW2
8vX8j18wJx0nqbrCafgAPHTbPzUnknoI7XUoz/ly5WZfOOo6WLLwe5BFe9CRaUbIfCcT/20n5lrW
eOnXawERbyESAyUyM3KnvMGFNFwxs5cn/v/nsWtX4oeFHfh3HX+JTTiALxARa61IsJeMuRAFeI1B
KHl+/RdCOp3e1YRspgWUiIUOYJD5gQ+0skMXgqi9ujX6l6JQT9kabnVpHqcd+jKPmMypJWsL51R5
f+s2+2Ul8tjOpb9idQtxlg58LE/yJi06AyJvoB10lqs3Kf0b3++3Rp2g92vq/nhD/fP8ui30/5s6
g2gBQIIa6nqM2tZoD33Xo0lEEDCngfcn3gvfT15qSvvpcYZg32MmEmiLI+08usiw+Q6gXa7PNlYH
VkCzzOuQDFBpC9vBhZIKrS118GTi71nntJ8FM08SZOCa+RCUzaC/zlxebc/PY2lTNOdhO8jxJWnh
Rol4aeqfrotwLP04P/bShmiuY/BlVoJozo3ipN9QCCJaJA387m0YyRX62Cz+9/x3Fuaggy+LjAOF
OiCdn4trOsWQC3euQAC4UvJbsBAdgOn1sqzjBCt0yuN7oMcbIWEsEiuox6vKv4fCc1CCGff8VBbC
GJ29tI5HThtQu0S9mYUirg5dTCPDAAGgUWHp3MtqaTr3Y05YD/aKrokYlL7IKSI37f1UzCs+d8Et
6pDMErQbbACUH9rxxbaCoufYqB2ZgXJaJZ5f2nPNmYDgLgfsAh2GBniUGeocpsEDiE6tmMXC0f1H
lvTFV5mUjF3hoZQJtdYAMrHQZ6GhKz4tcBllOeTX14KlhevJsf/rFKE02XspvEJEJ+cOpfzroa8u
u7kdzbS573fEswYvUpAKGsGebCIuaORKwP3/CI5vwjydzNF2wXFMDbxyGmnFm3gyvHsuTYh8MMoO
KdRmfw/FaH5wcQotKx85A4j9EH4PNhP8nh5yxXYyQ9GqJxX4Z6E267b+DG1rdxr39dzPG9cSg0DC
EZqzIgWKCobtlrs0SdgeV617nKBOf0MFRGdyxy0DNRfxjxxtZlvLL7t9mp20oQYoJz0S3y53QABB
W7M2mqcRbcE70LSMu3ly6T7tZ74ZIKy2layUO65qdejHdDp0qMYHLcrOm5aBzakaB4oMYVsebFGM
IaQj52PbjPnRQwXxqoXweOBm0IbOISB2B5En408u5Cup+uFjhATx3qg5oMKksnd88IqjO3kZWLYa
vAiNqR2hn9X3YBafEAbHVr816ahuKUBQPcSrMnoroVDw5LYOvKhy8fMLiN6g/oeXPkjxYvPTn81D
bKDqZw6E7EGel20gOzTXgUM8fs2s+K9Cb8WtOw8k3Sh/6DajAvWa9JoObUIOJPYS5T5BCLJ6QCoy
taD8LRWe2/bg/ehiFm8N0afPTZaDWNVpvXSChGcL0ckiqU1IywGkXHjuuBkk2ip66ZqB62fFPfh/
hbfhwKDGEJ71s8swV6YO1wU3quxNwRS0RQcTMpImQ3yX2bupauj9eVe84GF01K7RiRLKyLSKRgcJ
xxZpPHCEor1bKJAWn//EgrfX4bq+UY8eQ7ojsli/BYnj6+gVJLQbIw3tkR9o5hcrX1qazMlTf/Fn
NWXoq0kdFdm+NA8zZKXvuylxAB9i89v5ySw4/X/NzV8+4bsKAh2VVFFjG9Mmc3M/QvZcPna2y67l
MMmVyGspea/DdGWvuryGgi7gfD2DO07pdUyG6b0QKfKBBrEg70vL3H1oDNDIByVI9l8E6Inslbth
wWXrEF6YSVJDT7mOGjUlAGnVO5YxtrJRS6uo3QfMM3zMCJzS0Ge6F7L43SnWB+hZ3IuycVaijKUZ
aDeDN83ViXexjhSU5iADcGCJWFmcpd+vxXxdAqfNzRxDZ/2TJzhUuOyyDyDPcHTjPtucP2sLE9Dx
uhCFgOr55NZRVSUVdB7MDfj8/l429ikk+HKO08GSlkNOZA5JYW9ZKtsdqnD2Clzx3+34za2pM3e2
NnTcIFdsR6MpIOhWoXf/DVT+1p/RYfNVA598C2m//o5AWzbkTfNrth2oVrid+WCks7vpSmn/6ca6
CY2uIk9tAlU7x6EgljcNb+MO6XjTmgOuhDIz//i2ougERPzSmcI8qHZwQgMKFmHFCUHrmz0jcu0m
0u/mOM5WHMHS5pyOxtcFrPOysBLVRXgU/ert7oZwdnV+b/4RSHy3eif/9mXsUvm9UZgzBLnG5pZA
GWII0d6AUnHdMudQSNt4gNSt+uu1NCsCpLi6GwvF0c+W1/QanXDFHrkMsWUK6qgxWrH36CchH0SK
5Ab9HsWubkGvUPoT31mg7M3CDtXpSNpu8SFnUUA5GKx7Di79OzMpVQhNZgner3TYz/FUb4xK4ZGT
DRAhSW2Ga68q6q0neyAdCBoIQMyC5qQmE2gDTup7iISK1yxrnagcpvguTZDAZqlnbSBdmBwl6+cX
x21F2HPb3EhOmoBJdDixqc0OXhKXN5lg/ArIYBWaZpYdKgdM5LafklcIDkDRkQ7xNhdFU+79tjOg
Yj+NA/jkFdStPVCzvbmqNSF+DUINcRglgzArGkCAOJRJ5SOLC5HaEcHGyr5he77bttNR+bJtXLKh
LXw6RAWUrtqPfkB2LzUhg60QX11Yrf6Xjf/yEbu043iW0xBZ2M8t6O2HO9KkFSAL4y+AjtHQVhsA
1Zyf0dIh1/y05NxtZ94MURyLGqxsynrp6VSsmNDC80MHZnsTpCjqjAITMdAHs/GvAOc7lrx9HGi6
lzn7O0HY5fxEFmKQf7fsl1UrWzBaxdVoRY55P41QGKzw8IQ+ds7egDRaeW8u3Ao6SLtNZjaOAvCu
kZsfoyzuJ5BQxQOpApKxduWQLcQ4Olrb6dFhm8UQA2wdyNrZL3124MNanmxp8NPyfVmmhqQsngQI
+XNop9YuRIicOMArZOW3LxwnHXrNazQFQ27IP+K2REN6zLZQ1S5W7uR/tYlvzE8HXo9Q9rGLNh0j
a5idNOg9KFo3OaRa83x03glktDdyTiEjk7ZQJCHDnIcoWSGJMvN42ziDWQX8lQTcDWwXFts7UFn6
KybXDi2IW2zrqSnLgLAUAuUlxJ/7vqC7PM7Hve175mPbORKRRqu2I9+CFre/HeK53Ccylz9BX4+S
3ATFVsj3gok/A7hlUIZSYYkm8/c4da0PlWbiAVB4cu1lhntoxZC9jYLH1wmZT6RgZevtbVaBrBR9
8ekWDLLmtQd5cxrMnaceCqiIHnorBksfChP8HRUrfycFM+7mitfmyhov4QlNzcV13IOYruMZR6cv
t0WdbSoJUnGU9tz0aBrkhfK3OB2PPXrz6ItwmqAV6YatkW0uOAzT+e/xHCuOYnzVno7n+Mcym41Q
KRRWyb5s1LPbpqHhr7WXLTgMU/N8Hu99rqCtEM2T2IIXYFuCbbFKfmbWFBTqz3mvtGRuWoTalVDx
QUqdH11gnJAUDScjC5x0rZV0aQ5alGozZ4xpbhrH0UX2KG8DC+k1wyqvUpAhNuYlsbzj64h1y/H8
mtaYBOgfZjVvSPoMzZ+NIf2VQ/ftKuEDWqiqElIQ3HNuZAv1wyzaIZgluUfX/xoydOkDmtfL7bRn
Y4Y6pAI5RkMh0VN2YRk/nd/kbw8tfr4WKHrSNRKrOIlwSQ5WcTbPILpMInBlf5rO8AzV5nu7a9/O
f2xpKqe/f3HgZg0xjqzz5mjyoLZdZfdIIRzNobpwLpr5u1ZnD0k8gQYxGbeZaIJ0zMMym8OEmWHV
ofyAdu7zM/n2rsCyabZu1E2FkN6Z4c2NDelpmDcrGcOlkTXTrnD3FMR0AATGE5pk1RMn9POyH60Z
NB6x1Vxy1USi6N7snL5lyPWtLMi30QUWRLPmDsWZU/8mALosN5E+qTdJVXtXY8vJ1pHjJfkgx9ch
6lCUKYlv0AZdqYmIZJnxBwDsuhBCJeTqokXSMemEGeCO50MZIXv40TfWIfcvoi3Ar9csOWOG3U6K
Gseq/m3YEmR5B9NeC+8Xzg3TDNm1JmJCMxAyBbOxcbsjndcc9YLV6phxSRSqn10Gfdmqi1+4kgSk
ZWX2O66LZGXRlz6hWa4N/syudUGedwobbZlv4vl1BuHy+S1dGl0zVnNU1gD2aX7MaB/MTh4kKODV
zL/s6OvY8UZkELszIbFFDIBHoQ5X+Y8Of2oSZ+X3L22tZrcOLa0uIZAajAcl96Q2pl3TuunK42Np
dM1yPQeCEhUY147lOG9iz0OcSey17OrC0uvI7KZ3LGIxiBiYJxYN+723QYW2+iD4NoQAlZN29wKc
k9dZlUBDKxv2VeKGMwBrNRkPefrgpc8XnZ7/AWCjMsRRU6DHWc7t0U25dUrqVxsI07kr5c2FLaCa
7aYmGjwae5gi07or55ti/nXZTz/typf7du5SF+mPU9M1KnUB99mh8MfbzClX7qqF4EHHULO5yzn0
APmRm9WICmCxLbl4Ggq5V5PYtbaDILuoducn8y879z8vKOy2ZsaWNyBRxJw+6t/xYGk//DciA6MI
vGsHhZCgvjWfx8+n+gH55vnp/Df/VQG++6Z2Gw9dA+VHJ27RDSqHbaUqF48zhBOoPlObHys6tq/U
Gf2/kHWdPt2xQuBh9PQRrXk20iqd2olynrdN4ydJQIcMJRojbZq/zVie6lOZ8wdyuQ5YhJpKhv6Q
ybuCpyjcdOhoNyO/sMhtMvkK6UX4rj5sWM/XtAeXDp3mVbwqtXqq2iwqQBKSJ9ZtkXsXVVSxVZpP
4R7kBPIMNJoFUpB5a+LZNf09vyUnm/hmR3Qwd4yGXLOvbSvKxBDG2a9UWRAjjpJkjYVm6QOaU8El
hz6cHmXnMXXv2omBwyH7U1gobpaT93F+EguOS6dptSmygY6DII84j178HmdQIxNdyFCUrdeMc2ke
p79/Mf5u7ghJZ1S1y9HdNukcxqa1EY0bWunaUi2ZpE7VmsgYitCg1YgsQ7kHq23SXQJG288yxWO0
7Ll6MFrLO07tAFXjrGXbLKcANgGYYx6RqkDtgHAncM1ufuENegAbLysO5jCOK451aZ1PZ//LGuSV
1ZdlDGRVI+M3NfXWAexdfphXtN6kRqweMmM1Al646nTYdwqOdMmhDAJx0QGldaCFctShxe/zJ2Zp
dM0RJTb3kzbG6P1chlZZoS3mtUd14rLRNV8wcWBoPQsEDllPc2SMerVtTHfYt3Yvd+c/sXBX6Jyu
JauhONwqNzK86d6V0tqKtt9k1EFAkNJfjZXue4Nszn9sYbV0SHRd9EY/J2yIaqPLX6ExmO5Uq8Yi
MH01r1x+C/5TRzsbxhSDSvCk1DMf8MIJKkR+l/167Z1QFnbRl6mLi47+btlzV34mw/P5oRcMQgc1
T8JsQZ1WT1Fmyb0Pvb2gKKEBJgr+02Nzikkghj3/qaU9OP39i+1ZpDen2cEetGnebz1Vgei6guyL
l4wrt/PSDpz+/uULKqVD76LGEqWx+pOmBoS4uLzMIv6H0DWv2r5JDchtxZMKQFabJ4FPRPlI3cRb
a7ZbmoBm1LHDIFNOXci+xeMWXRj3Tp88nF/9f9KT39yTRDPpNC97L+GpQE2h4TdMSCj+9nVh4rJM
5r2jvGkDSjT+MkvQaoO/2zTDQvrpXWuQ/tCW/byVpVe8lykvjlXlIZvJHLSUkAJvJ2XWxcHpffE4
gtJ6D77uJJS+Z7+f/+3fowscX+eIHUgzDHGPN/hMc3eTpulfOlR4kNNfaEt9z0vzKY5LVH2mDxWr
tfT/v8LONyumw6B7KN6DwwGadAnam1QFVJRyQ3TwbTuowFgczcaCpcUmBZpmhzcxAjrk01ecyYKx
6Ahpl7eJIY0RjIY+kqwo1IzbAmThG6BmyYq1+LCK76aneZXUQWOcmP0p4lS9KU4EQthmDsqhuI59
chQQyQ1sNt67Hjovz2/kQgiio6YnV5hK9dBmMsQnGT2IGr/z+i6L166tpYOiI6dxSLBXCZRJmBuH
eULC2Oi2rWkHNn91pmZL8/whrt55tVbfWpqR5nJKWaatQ/BB1262lvFRme5O8GuVrQQsS+M7/3Vp
lgLDqDCHOTLr2zkvD/Op3pNEtPdWsA9LH9BcjpMmXWa7ooza7Br0KkFlv9XMCty1HqCl8TW3g4YZ
AZX1EtpJqRu0zs+J+Bvb/elCq/b8mVq4wVztaWE1UvCqzMqozD7j7sXg6G2B2m5sjhtmVpd5fx3N
PMWucJMetlJ7vxA2our2m+GuPD+DhUhIBzMXDS9y06HQaBBHT/6SXbdrkzHo5HOrysBIf53/zMJC
6TBm2XYV4zGzUParD/3p/podQC9o/AkYHagLjPKyI6UDmRltLc4Ho4zo8MTQUAYwWCgmGuAJfOF2
aKEEyUmZuRS6CWUJPpKeEBlKY7iuplUw04L/1Rllm2mMB9pM3nEGsjx0DWME7r/2btGhnq4cXOv7
dgXH1wHNqKd5gACBwbuYEu+INs1u4/ndtHEKCcCRObloFFXxdm6sNgkND5hENvnOXihFriAZNe8z
mjjvArVUlBwKdewtKJoXXpEiWC8ht6J668ooVLYBHaeLg0T4NpYjqkYdTee7dACIzR1KDiaz0QMu
sE7DcXLbQzkCoATVqPK68zz0R7Y+f57BQ3ZXTE1zhce2fFaK8kcwjCOrLxjZSp8mh6Ku/H0KFWHA
ZJs09Hp7CJPO6Datkf7k1JZQdC3FYRayCqbWZ9vRt4atBCYqyuO0301tp178ypi3md2Vx9il2S7J
RiNMx3567coy2eZ5M+6q2or3tFD8YImWHzxOs4MRFxi1LWl2i6YO+03lfvxTzkz4QQ3Nwz8S2gUH
1x/ifV/g50uHsiQoeJXs0BDZ72wK7DDEufJXU8z9rgBV5075XnmtWivZOm1mPqetiDc0KchD0tnd
Ywyti23W1/5VPrTlm/L8v4ZlydA2GhIabS42Ivb8ICnm8spzLIpwaEBHkls6ITHj4jCx2ntLJ9r+
aLiZvFLWk00vYhH4k3mX5JCLAm1XtsuJsq8Adf/TAH98lSdDcVW6/nhAeVeGzGHlfWan01VagoEE
JX1ra0KQ9ElOEvuNFiIrQJm+27oFEpXnnciCO9eh8T015wy1+imisT0FjVU3QUPGp1q4QGo3AI2f
/8yS+Wm3RjO0LfUG0UZDXt8nGb+P+/Y1i5vd+eGXZqHdGXnc9F1DIZSh6tuO3pcd+i3ZZ8Jezw+/
EMbrQGhfKdEOCdSzWkFR0syenZ7/vGxoLRlVqw76gISCzRlrnZfHFsTIl42shYOZM3FcD7yOeO4/
Kbe5dabusmDWPm3Dl3cZWtkgXKmQzo7rKaBNE3ZWGTb2ypIsnBUd40xUpiZgtSdAAr2AoVmVjvFm
5GvVnKXhtQhPzpmlZggDRrML/5wkhIWFjYiYU7FGE7twHHXwcjFBqBuIaO/Yc2iioWL917WGZ5GD
+sozmqvz+7s0D/u/m9AbWQu1RKeMXOeZ8UfE3SNd2d+l865Za90waPIUVhX1dVLcQSliBLaVW/PK
Bi8ELrZmrbFXJROtSB2Nno3eE5fBu0I5eNj5yo0PlE3TrWXWbb9iCAsLpeOYoYbaqnkGuas3x0c1
mVdeD8bPfo1semE2OvMwtO5t3qYGFFVk2h4TW7QbVhFgvwyAoUrau1tbdOLpok3/l6f9Ynm2TIji
EACLRvorRZschMAmtF2eH3zptWVpdo18rZJ8xuh+jNRmk07mfpKIuyWUBQ6KtFbou0Cw9UnMr7i0
6weksYyVIHPh9apTE0sipCxyiBfwDiWmiVJvi5cy2VXED+JZjDsvaeRxFCPdV3VtrZz0pbOhOYM4
Bxf5eBKiquQjoKxTCogdWZnR0tjOfw3UYQAZFLLwjnZKr5RT/rTm/Darpofzu7V07jT7F3lWKMOG
myzGFwGUwdj/ztHbnadPJrtIgMrxdYisLE+ogwZqAE3q3dme88OvmuvOJb/OT2FphTRHAFko8AMW
VQOBE3rtFhMao2sZjGT8fX78BT+mI2Id1qf4l+CeSurbzCUvljCezw+98NN1HGxltXmPDs8iai0A
2+inBEt7Y66sy9Lv1q7uvnfBMlTYKBcreVVxLxS8vexQ6hjYto17C5oIyEPlXgAEYJAkMvTctcz2
0i8/LdcX/xSninht79Ijn4riBrp9QJs5yZp6ysLDWod/Cqtu3RySW9FUW15AJuPKiZO3CWB/y6+2
PpheQHOz1p26tMOa+SJ1bnZD7BcROvpClLXCGQQbVrGWGl4wXx3hOXR0AL97PkeFaYdglwidkQdc
WWEDHJvjTeFl51S7yhvX77xMjX2Ugi/hgKbD6t4nuJ1ynzY/zn9iaVc0K+ZVZxFCYGW91+zKtMZT
qfR+jEOKp6afPYAhbQ/Rh4scNtPhngVoLEwQ95RgFnl1+vtqehLty/l5fL8jTAd6WohGoLeArrBm
MH90OVJbYOULmrgPnbS7Vi4Eh85/6PuTxXzNvC3pGGoeffdYJu1DMjovymjR4+nszw//Pdelw3TI
56wQfvCiGCIClGpUm0IGXl3xK1YONaLp0s+DprGszYjeyNs5cQcg1dRIn+hkmW++yaSBsNvzHgfD
dXegU2j37mQpa1uhZ0vuKRoXfiTp5BkHOqLVPOWluOGMxtsiEwJJgI5++K1U153F8/3AqP+3du32
j5StsVWAUh4yw+l/yVgUgL07/nXCczNIO5M+nZ//0j5qPigjacOqPIPGUk4imw+PzSx+gCYtRBfo
U1OxlePyfZDP/JML/OLq5inLfAR+FXJW6SsgRFdom4K2u3g0qjXG3u+9KdNBqM1Qxnxu7DEyqubA
TeMqc1ar2d/HW8zXwgcWgyBK8bGOPH9Krpo0ufU65whCpzuUjq6KGSykfQu57uoyACnzNU+Epmti
u3GOR0X77kDYYkKXrxTByP+c3/Ylq9Lc0MDdCbUsCQ4dq+82YrKaF99vp0PfEHvF+SxsuY5O9RlJ
+jIbQc1n2puueFXJb4uJkK+qTC7MQcemlj0K2XFaWpGbJDxAPu++HafHGGWolevgX//u/xaJmA5R
jbMJiYG8aKMyD8ddemsf3bALQbZgBEaIhP4UdhvjBp3xOx4cn+INvy3eUCxb+fzCgf4fDGsyjXae
g+eI+cP0MoHd7ir3HHtNW2jB8nUgq4cWuK7usgZoFUCu3k32Pjt3I883w+/zZ2zp95/+/sXmJWls
z3QAuTHzeTvl40FU/uGyoZ3/Dh3brVONStgRNIue0BT72JjDSqZg6dhqpi6a1MrnHENXwnzqGSy6
L08KKkS0AbrrmpXNXVp9zcDrZkJXOBunqIvBd1bbzH9rzNT4HJxTknRO/b/EytbYv5YsRbN24dag
9inAiSf4hILEn0wRxH5/z+/FwoLpoFbZF4kNuq82sg0RuggChBiD3HsripXN/pc5/MYMdWBrbbdW
Ca5pHKTQDdnrcAOkY/Eig3uwXWyhSX5lf0ioij2Zu2JjHIwP9Va9FT/NRyRi6IYe8vAiIQ+H6eBX
dAxk6EoGfVCBpwYV8hQV9DdGhmbW82u5YDI69FV6rj/bUHeImtivbpnykJhHnmflaC+NfjoeXwwS
CXePFn2Mn+/4h7iSn0bvP172wzVbn/raMmYDUhgMJ+1AS7d/9qyJXxgE/g/YlfTEVugPj4pBHIF8
/oP25d8m9S/hM8O+ajZfo8aP1lnsa2dWQJSXUK1vQrNfE5JaML9/reNf1r1xUQhB7R+0NJzsqPXT
gDRpPV0Y9+jo0qa0CsPmjhNNgvxuTe+g0m4lOF744Tq61M/LyoGnJdEMXAkC/aCeiiBp1kq/S8Of
3khf1qV1y6acsg40tIZzJz26ZcDcbNvcqS/8/Sfn++UDDF0CuRAU3FWDfQVaG1S9GoHUvvg4f+oX
nLhOAiw6yyYmCOuQYCQQrE9BAJSa95U9JoFRjSVa2Y2VYGrBdHVoqfJiXEkc2iZu5kBEu51AadPE
9+ensTS4ZryECXOmY9ZHoxg2A/gXEj/enB/6++cu02GgcmyHxkOLbiR7ebDBJ+DUQ+Ql7rs9No/N
wN9GvnajLtxDOhdw7NPWt6qBROjlZa+Tj1bu0euTDQMz76Z1VLk9P6XvuXQdpnPp5m1h8gSwt4jA
rg9ZI2c85gpkYEtHXJmm8A6x9NRVJgr7pspra0Md0V3ZrO7BD6Wcl9hCkur8b1k6gNrF7o3ZXJR4
CkU9gZ5OQvtqBxBmtm8mq/icRjNDG3K6lk1YWGAdRlq1SYnG/MyNTj3NjIEWqC6DTKJ1eV5D4S/M
R0eRzjlFbZyKHrk8b5NQkDNPw55RA1izv1T8umjRdL7czJzTGaTgUHYBAYOo3o3u5+ymYTuqYDL9
/fmPLNiUDi1tDJd7JQfhXO4pL3S8PA083qzkJZeOIDl51C+ObUwasApKmJXpZDIcyCwfqiIpHlGd
tm+E50MVgYgpvmG5Q/dFQdku9dLsSJuuuWmMfEYiosjKFS+4NFXNfXSsNdUwEBfiMfnNOM7PHEKo
51dx4YbQcaeTS5Dwzlo7SpwmC3qKHoquG5xtCYbIlZr+0q/X7n6Di1p0DuJ9CLlCl2qWdFePJnm4
bAJamM+Yl0HRCQe6ArOOwT/a4q8EVPL84EsGqVl/KTMhuZcCGa3ybVvd9JO5advfvvN20fj/AwGF
xFKVo5EsSprnxLwWQ7E33Rz0bc3msg9oAQDwlaVh5AaiRqoOiiZZ4M3q6STeahO51pzswya+eT24
J1/zxVZqzwUVSgv1vRy4rCAr6Jby/kAMB9dzfl33Rhcg604Cu3B356e1cGp1oGdVcYu0Pr7Ixg5m
b0LlzKC/wdC3Emwv7LuO86SWVwlaY9ngyZyQTU4b1pw92WyALpl8Pj+JpY9oVs2zXFQgLnKjKu7/
GBVaLEbvmEt55UzTCrxzaZ2c/+5M6dtoC3Ywj5M+WAI6yCrrg5aQFfNYsGydDzcfUiDMCllG0Cx/
s+LysXERwp5fnSUP7GqGLSECokgNpwe00R01jB9NPryPLgiPCgW/qzgLMs96p5Z/kAb4Ff3iyR9B
c3gSej3/E5amp1m/lafUIci0RgzR/zurx+ZjBt3cyhle2H4d81kiIBxdMFFFUC54svJWgF4mvSIS
NIypr1bc+8IUdOxnqfKqcmZckj6zrl2JugFJV2LahUhCx3umbRd36G6xIrt+LYdbIm0UJx5T8w3E
y5vzG7AQ2+pIz5JO6IAYwDYK0cGHUpGwcby9Ev6tmVp3STHdGZP3fP5TC5ai09eac2lPHGhoNKo0
PUB9aYJeKqZ2temuPIGXtuL09y9eUnlyiLus97AVPwv6MpC787986RxpNg7ZGrDAkMxECTWn0Cqj
8wNJMrGZWSvAUlhcBvBhOjSPgqkVCvP4/Qaeqm2/I+Dzj8XK8i8dJs3YO99S3ViCt9ZTaWhZQHDO
PaREoNhRPYEzb3t+qRZaLphOX5sINBCnMSq2oIZ0drYTWzeyo/4jRN9JRBHzFNt8SHLQ//bQDBNm
19nhxAH/jUfVXuhWdPheQXo+z7yXEcjnPj0/+UnpmnjxwlnQ+UsZKdBWcaL/nfJkr5ybbEI36VMj
15gqF86wTl4qiyFL8xHjZz00jEgd2NPv81uzYH86hk/ZDjPTLLchO5YWWHlJdnPe1SEYleoVh7tw
xnQgXwWJYArGXhmlRRs0qR2klfNke9OhGK5HflnHBtOZSt2eWwrwXxJVBgoZFkTHrSaQqGdYyUo8
/W83v4m3dDzf2NRjnrhw6vUGEzh6YXHsXuhP1FYP3ZbcT6G7zbb5U/rAPswn/8Y6qmtxlT/kn+Wn
Z2/XUIVLZ8H+rz9DH58q0hawOWKWz63jXU3qMgINZuveoKrxvpemHaGP/W42/SdjAIo8cTfnz9ri
AmoXu4IgYCkbtCrIuK024MYsN1AmSh5V3s2ha1eeC3lO1qBlt6nuRaIKINWH9Jb5+XhDMnfeGFlW
byxbAWCXxKhHpaz4xP8YDkYq8tCs5yYwmq5CCx9jVui4Sn5mbjXsjFmUW+JPfRKghk1CBd3ArSmb
4en8zBbs/3+whaPZ9D3nVgRidN+GjFKzqcePZLxwY3RwYS1HOXsDippW4t6BrWvn5QnSMNbKq3vh
SOlwwoogsCfCsiNfJsXOo3OzF5Xpr9j/govR4YRFbkODqPLaqEjNP3UObmdWTLemXINJLTyDdMjg
lE8NAYZGRZYLamB0OIuDZVvOlora3qS1u+cytraOP1k4bf/H2ZUtualr0S+iSgiQxCuD7ba73WN6
yAvVSU5AzDNCX3+Xz1MONzRVfklVnBQCDVtbW2tQr1+P+FqXXX7/I6toLBT/JgFV3Kk2v8NZ4pcp
t5bJWn8tEgs8tipsjVWoY2qHOW9I6BZF9oALtHb/9duvNbGIIQzCcsyVCT0BxXGXMHrv1PCc7NWG
ANVKxF/iBUtI7LZkxjoH6/vYZeyJmclPyDi/g+55j9+vy4T/xa/+MQax2VhxgaZOyjRlwJibeUk3
mR48uIJcVW+mW2wUglb6a4kg7LEihMmM6WTXw5PRqaCDfu1UyMevh2MlfCxRhGbDDHOiWp1cAn6Y
mDzRfQgQtElxlecetvTLSP3RVXVfwg3YBfEfJ6s+qKTzDxGjsZvTfAtPv/YNl9//aIEb0p7hZHuR
RchHOCy04CdlEJIMzaqcjy7UNraKQ2uDcfn9j5Y60lTEEAXM6c1pfNMw2t1FdhcdR6g4v309IGsJ
6xJi6FDQiXII2Z46WJfuC1LqoGXQN6GqYoEb5aVHVEtvUtzoBBOLYmQas0ChNbGevn6Dte5cBIFI
VnJgtatPtjO/QdbqUZSQBBwy40FWW2F/5Zi3xB6mpqQzbSUmhW7ZrgdOdge3tSQYp9kMe1oMLyIe
SagtojfOTP/G5L+kUGSRYcTEjavGbVBp50zcdLCdfzdJmd4LU3ZHJ9XzN7NlH7PbSuQgcIn0zLRw
z2WStHd55vLHVM30MEN+x2sji27EkbUJtUhLRJ7FRqpFc3KMMWhTKxAcvLzrpBj4EqqYAc/eNuZo
nnLrtwHS4QjdatpjLNmnFW1Jwa9g9vkStQj3C5INFpwzhCufOytugpzLQ90Oj5Q6e0CuwqLN91Vr
/kqoQW++nqR/7zi+RDBOwgXpoRmgZ5ywKuxq8YDTtuFFKh82cu61FhZRpRvqyp4YxDfg1j1VnwY9
uteOyyKMaNQ1uK4NdYomaw99hn2vGrgYVp8dK8PGGdlGNevvK5kvAYJzSYbU6iU59exT2A9zp/Zk
LoMoe79uEBaRghE6Y/rG5MSc+YXjzD6X3UsH29uvH79SD+RLhGCcQToUcqFwGRilA8F0p7hxwVLb
lzSJbyGsq24T+IH+ztpuQn2oIXuWAnMaF03vCULiA6TBrhNW5EvsICDwKm+ZmZ2Y6UJ2WrtBncLj
sBXpt68/dm2sFpFApY2CRTvJgP0195Xd7ayUv1t6RN2CblXt/5458iV6ELeuObVRYjnRjB7LwQLo
Tqs0+PoD/p4L8yVysCiSHpa0hgahvYMDEPek8VQX1s6aX5TBYVSvgnwLnrGyNpcYQhPG3pGoCTQM
5OQPIglq+p1uQezWHr5Y+A21DS7kpbo2DCHYU35lyEDxJPy6n9Yef/n9jxyClXbtcAsSsg5N/Mna
XXxmsmljP1lbMmJxOJC40uvsBqaESSzZN64xa72plHHig7mMm8SiswH0NuYwB7V9L5TtBlmme7hD
REnYpWSElEJ3XXgQi/BgFnR0jSohJ6t9pBBPM41bJ243gsNaNy7OETFEt1hXIUuhUIvJuu9j33tD
ceWbL3IFOFnpGC5R5BT3Cc5v8eTeDVAaPyZMmRvLZW0tLtZ7QeMM5WFHn7JyDCKZeW1zldmfxZfg
QRQbKlFG2JD1nASSQG8dJD1IBu6+nsB85dWX0ME+zgC06tl0ciM5/zL7zm19qi/GhnHf0RB3HOJD
252b+U7NFIYFZ0jbB/Q6OXWWGqDwPbRMeA6ohLso4vo4s3QKG3eK7uIKgdvjFJYsJeeN70LI/ls6
CFXsc2Brz/YFWR2TmMCUo5wPJqyBwjSl9l0O7YHPyI6iD7tpoyeRqC4sS8puxrwpvNiY3IM1Aj1U
E2sIet65sdf22gQEuXC434xVBDF8s59eczsxDkObVI+AILaHOh0jSHlXOWAmVf3kjj14lX39Uhdu
HNYdnwFYr6LX0RrbG6SX0u9cyDXXqZvcNjUhAQVu4ODUWfaLp3TYsSJ3jz1z2W8t6jTyXVJ1ewE6
IZCP9XzHap7eR7qqTjVA3p8K2kSdZxWRPuZ50syeXfCuxiFTls9fj+XKrrMEX7qFbbh07iFumA+G
B/HszJcZ/EA0iBR+zOTGkWJtxixCajubrYmLPQVoBahMrO0AZi3GjSP/2jcsA6qukDENeDgudHbR
/IKCz17Okz+pn1930trbX37/I2LnZpJWDegnpwmwNw8s1OG2TrjaqICt7Jt8ESXTyKyIacF/ptFk
wF1mPIZ6lnQXNy47xXZbBpbM2hcxAx/rSVSzf133VYsAmlgOh08ESsp9hpNW3tDarw0Q2a57+iKC
WlZpUGtSzSnPaewbvHtsNi3bVigEfInOBAA+rvOubU7WNI7ANnLzQYJh/UATM3lltW1/z+CgG05u
Ujzks8F9ktTjmYi0PLQAA0PjvuWOl9aJgTczUO1ykco5gHadWxD8AmZG9iGaGucsxnS6aZN5COxU
QU4bTKMttvHfT8B8CQOdmaNZCxzTKe/gnJkNYCBNF99MzusjlNU6j1pAViApDL4ekJX9kl3e449J
XMBkqC0ZHZAYTJOXuv05hXSbn8FQ+roGFnWeBGaDRqNmkJ4aYwicQVC/bSP2kcJo6zrBP77EhoL9
VROh4HIPXThn1j5zD3zsNjKKtRFZxJG4ohUU+aYIDHpIiQJSEDtnOoQMIzP2P2V3Xchli2hCazLZ
reghUSNmTxe2R6T0ijQPmvw6DDBfAkS5JlM+zpCZgyaW57S3Rn4m00YwXIm2S0QoTRmUdS4FQ0yh
U5rshTmPAbOhLWyX11FG+RIMWkhLxLYBAd65h4BBxU4N6/1o5tfVDpY6oQ2Fg5MrZ0iRRm82vH0M
ZJDS/nbVMlgCOtPCcar6orvb1u4ZSm6214zOK3Pk1l3yygAs4Zz93CSzyE1YyXIx7KHc/GKl43Bb
wEQ0oC5kl677jsVy7uYYFT8H25J2ngpn8pzmVWdbTgJr33D5/Y9gBNLlwB2GtKOQyXccRM4igUwJ
K4vbpNqyQ1prY7GcmcvNRtYaZ8QxZn5GYH9M2nl6jubaDUuHGFuiFSsbuLNY0HoyK1Z3OCyklTzG
XQOp+BRZm2sgiFimZ9DuIBrjuzGorVLmZRP9/1ImXyI4O2qmkglYrBMDxH9dK1i5ISvnZzYX8B5Q
qiq/6YR3QPjCCTCenBA2nVkIRcmt3WtlN3EWyQNKCxlB7Uedyjr1KxL7NP6RUb0RideGbpk8JMYk
9WUNNUXziSOXeQfjz3rnKCV+xirZ2k3WmlkcwSBG3MBHEeWQvM2zEO4BrYHRG+sGjACDbtVHV7pq
CfgsGtMwROyYp0Sk4Hn0IROdB+W2jb5ae/xiXy9lX8akKsSxgzRbRqkJf4jSDQrIpnhfR4KVblpi
PQdh5g7rBD+a3eTZ8tmqW3/EnV10XaRZIjtTOGWOuK5xj+iqXSzKc+2SfT/kG9F+ZXkugZ0g7tiJ
KrAZAnTb+LzP5ps+juTogQRuHCbSZHt4mEEYz2W/2tIyNnptbVwWUQHyfmZfTb17zEr9hsj2bOvq
3nSH67II2/pvBJ0jsxxsBcMO5oZ1YnsWLSDMV39MKYQXvx73tS9YrPGy7UBVYriaz1HeDZo2nw/d
XMQ+GZKrHOQtvgR8VmXBSp2mUG+9qA4K6HiZLqy1zYYfzLr+/fV3rF1QLPU8GbMl5leL8s3oda5P
5n0Fi0zpzQUkEH2MOBbk101dBvcvgXkJ8KwLc4Kc18UuMh3uKzneCc0fv370yipcwjqnZE513HVI
r6F4ViXWTqTfrbj3q3RL0XythcWOX9twZoG/7nzKqw/TTIL24nIy30m4XF33CZeG/9j1pxmaMjD0
mYFMB+J96qTlle1QwYqU+CyFe/3XzawNwmU+/9GMmanciceIQR8WJx3AiWNP2fHT1w9fWRRLFc8K
nodUDDCI1O49gWFDDnJLCWu2656+WNURspQqnpQ49tk3aSYHDafOzN0KSWsDTP/bMZRIZWZQ1zwS
m0RPTMT62PDIuu27hhxECsDV119xmTB/WwWL7buObDOp40YcWT3e2LT8J3+rHMMvVbMH8OO6u3jA
Of77NUQbRGlY2p+Sgsf7LNJZ0I75vBtTfeXeuoRtpgWkN+nF1am6gNFMbN+ZDg1rS1t65cC5hG6i
RDrSTM/oJ3veTfyWp7bP6Dnu73KQ42mykS6urIclgjMFgsCsXDSj4mhfabiwVPbHVSO9hHCKOIuq
SjQQ/B5J+ih1Lw/g5Mgne0ScdSYopXFcnL1+3djKRr4Ec2aAjbRNObnHpE6fEgcCPJO4jWr9zqfm
ANACLv3GLIX/cr8Rclfm8RLXOefSyGfQATD8QA7TDDtGq/2MNj7mwzfVRHRjwayN0GLZ6wiAqLZO
9cnsjMqXvPsNyuXb17229uzFop9zEfXjjGvsybpoklrmD9fcwh6vBMMlaLPNGiex7ESfxsz4gDLJ
jzmZ3opZblRG/262avGlTKPm89T2ZadOcZmaKMs4/Tm3yvFH2ZP+7EBG4hYO325gx6lz60JFAHJG
mHcU6p23McgiQZw2Scjieovrv7Jgl1hLg5IkUVNSoMTVTAFspsWjo6r6ZzdA6r4jtLq3RlzsBG5R
baGnVmL2En4ZNZEiUIAXR0e/JfBsdloGCxtYXMhigzC01sJi2x8YRxu0Tk9zWd/kvf0iHQM1esYe
KiLz/dezcGUpLYGYY+sCOJPFOIzTi6jyHZjDu1beNXAId8U/X7exMhuXYExZ1gZz7dQCGkGf5zY/
kSj/YVpb0jtrg39ZYH+kFV3uTK1oJXSKDZ4/AILpUi+7eAshhe2DlOTZaxuVzpvMJ0tspDIrIe/f
W94/2hx5ootRjxKEIecWl51ZYESB7ifogT3SAjdj8FfxkOpspU5rc2ERLNKclbE1Y0FnRAZVnHhl
/eygemK6W7ffa1+0yA2ggK5NCBKkp0pOVgoF8Vq9S9120G4wehjIiYzfjV2J+0qnbH5QZ+43gslK
HPw/xCYHibyNIohVWtDEV+YxVt3LVRNvCdFMdW6NmdvhLKbcw6j6GytCKc60NvbvlUFZQjSjxo4g
kIbzN8QS/azezyTxTfEed9clnUuAZqzbmhgp40fKxQMsJUOrEYFpm4eve8e8TJ6/pINLwUeYzrfp
SGWJnlf3cZac4aWzM+r6PsnKXUWNl3igradEcRNZevYHo/loh36j81YCz9ITHciHlnY806cIaP+H
zO5BmKCls+sdmXiKYsC6ErdrG5962bD/9qmLGGGDiWWmM1KtNDetvYin/qZPUc0w8qL0XLMUdz28
ZAMyI6FoXcMKiGyLnYrGydeyVF4MWN4WK2Xt2Ls0C6eir8rqcvWfO8ZjO8hTBo2F98oG1aEsy8lz
WR3tYQrZhkORUajLqy2D25VQuUR3RnMUJVNvQCPYvRfKgvD8q0VcD5dpx7H7AXl+/+v+XlsZi2AS
G1U/DiUULFt4inmzBL3CylXsMVhZN7LYSAPXWlkcNKrJhBhEj0OZ1TyO5FcJwWgrjb3C3Uii//58
tkRpMtRSLXgxIj9n0osM9FPseJaC9onx++t++nvsY0uEZuJEQxongzjKeL53OerRQx9+/ei/DzWK
6v/dFfsOrhx8gEEWiFz6g42VfAQ6iwSGaKF9ZnTlJ4XB95FRDfjC102u9dfl9z82xc5IcVGXUnFs
SQMXkFe3+113s5frrYL+32MGcy8Jxh8NmJGE148cUS+a7A7kIDDAO7P1I0vuUoNnfuRGavf1t6x1
3yJgOE3TUxsQx1PhvmVa3bN2DrStfI5L8yZWftFt4Y1WrEHYUsqRIDTRosE0xs2HCsZBKV+ms/KT
aCp2ImmTvU1Yvk+pET+OZVLCdM6WtzjGZwCcpMOBGmb+rmKa+3M3AUtM9AABOtv1CIOtRTtJN8zh
ibcfYTUL148kDZMyGd6+7qe1GbxITLrKViUdMYNx4f8MfVrIYSTXCZCxJbRzknIWXOGEVOCCxCsA
ShqleUPSkm9N2L/vgOz/nMvrAXzPrICqOZC/HzmhiCCdwR6zYpI+r2Po1cIc8d6xU1ibpHUEb2p+
r0dcq3ClFdaSM4YukyZ8WpTjs8EwvFHBHQoKXllgDjK+t9q+/hyLCP9glfgHXDz6kaDye8WEfaNZ
1u5S54LYqqrS76hhBEULPEM6ZrEfaSI8qB6AVlgCoQlZAubNTSbCuGu7x8mNgYKUdQ29hYTDJNYq
fVAsYIk06GSP/+F+s4zkUgjr2aGViZFAvxyOZnYC6FJSkKHxAAVPPEotpZHsVw824IB5Mf+MmDl9
LyOiftXcNCcviQzTMy0yhFOZMZ/YXas2RuDvRwNE1P+u6LJoEzrzpjo5uMIoWe/VVhkIuRUwVmbn
Evo6ZjMMl4yqhRFCPqJKZMv5tkmK7Pmqyb9Eu9oWRp0nEzuaWXyGdu5bUnZbRf61V18EUy7g4QA1
fXoyRNPvOgsX7WSe5Ub2tZL7saUeJuGJSSywyk7Qw70rMnIzpD184JobGJqcNIRfwV7HEWaeyQ47
4KFrXHgXGFt6C2sfd/n9j0AundoUbJ740SghXDXDRdNo8o2sYG1KLWo2defKAfB9eIQ4iQefY79j
v4f8ulI5Wxq+95GdAp4EH6d6tOQd7nMnEKQ1kO+F4z5FDsxZv55aa1+xyKCSaBihqISrEa6ee5y8
orfYuC6tEYu0ySgFtGTjDruohsjn9COJrcAdch9yFNe9/BLnahMyCEMRrItG3PE+f00jYw/Drqsg
bOz/YK49a2vu4CjaWe2uiQDHzOWvq7p9CbskBWChdcfm0xQ9DPnZtd9l+f71o/9+wGZLtcscpX2A
2ObhVNkkmAwS1kUeONbBwmErtdxwxnSdzaevG1uZPvzy+x8LLBtHxy4LHKoZKT0Gd+VRtrCW/Ofr
p4ODgOf8/3mK/YtA/uP5iKpQdBXteKKwJsZXSL1XmpRzAHSz8U/bMeOZNLJjQUFpXPrEuPBoQMu8
yces/u7aOjlZ8kYrTfeFk3/XhUvvOm5Ye9ehoKlEohtOsgSewjNywpVnTI40Q2mB9eyxvMtqL26s
6swqQ91WEYn3E63Fh0sGGkBJNnvJmIx3MFiLdxL4yV06ZXEo3FHcM9aYkdfYEgpbOF7jXZyo8Ks8
Vi+RYdSXstSHhvDPK6R8saG2IoIBwjhO+ndTuvJWtZKco8wdfVvgjm8eSA75d7vedbEhvI6q7IDT
WrXPIGfx0VZW7UsCFkQ0GOmB9SnQxHP70yw6scN9N91bVHcHReivTNuVl5td5UGFKrsZSuP7wG31
OMJlfmdh4jxrarxFY2OHsZGVv6syQh7aGhUcy1x1b1USfy9mXZyiuQJgZ0AndjHy1DmZjU8rz1Nv
4NkcyrZqg8J1S0+ziISUJ3NQwNE1HHoi/Fwn0/OQ0++AP7o3M+XdnZ1ATJIYDFqz5VDetNDq9fO5
R3YkyezPGm4EZl38SpwcRkwmgLDxyEEoiHUWdlYPvDLRc+pN8KwAtIeWx7zhFa5Qyg6lUnfsoAta
6Nm9T+Yqp57TQemj7lJ3V6SW5ZmTDTGAYrJ9W+WfNmD5geV09ujlU25T37mgefLabg9J1cxvKVzk
Qmu0nBtmATJt17TZGf2EW+SqBINdEwRo2y6QyghkQPeZ0UvPbpvofsyVuZtacEp0nRdn2Mq+93ya
b5Ssy1cjqsxdNWXdU9NP075u+FR7SLjVj2yyVec5tbA8YdtDiDwqC0Fz099TY/pt5ax6gD/6BGJt
BFQ1UPBWyDjyRSnACo10q8JxjvTOtknhNcLpEn82FH+ImyE9k3qsn5vSAdvIAeMTPZE4P2q7UwjY
WVTA2toZPwoJEg+0sZCgwWfhUKXte644UOwQ9H+wJ5OWe20lcK4x6jmI60uHqx6zZMy72wlEz50B
ZQdfkAjm80Mmvo1S5/4Y4Uh9kdNrs/ME/76HRBT5xxRDTyFzJkgItgPtfN6o4lBXUoQQe/xkTvNR
T0Ppp0UV+WUPJH0EQ7dQZra5z0UyCd+IQG+paJcg6Rxstwjc1DVfesyf0kuU4k9Sopru04nmU2Dq
8SltnHbH4qINBizQoObP9WAae7eNUiQMVZE/irjiO5JXNXYX+VLUBNbrfRrXWVjCZ+CIKQuBZiiJ
+nHS8oesmt40ZZoFIunie13UMOEDKQqDqRnpsZYiy7m13SYJus4uksDOoKmxUQ5ZOUwukeQ6KYex
TFuUQwxmBqkS76kxu57N5JFm/ES7+JCRYaOeunJIXsr7jq0eCHVGcYyzya/G7yyLg9J9HpsOXb91
bbD2RYv0pABIPdFzo0+ymo6kmqtD32d52NTxGV5Ao6+1cUcMbu+/3nDWtptFytKjDmlXqH7iWnyg
XhV3uG6iuIjfVE9baWAJ+p5sTpuh6Uykw8NnVib7UlDqzSW97gOWIO+5yelgS8M5WnE1e6UzufdQ
wBjvU8dU12VF7DIf/tiSCzWzJtZTekqymv/so1gXngt7yOtyuiXCWxJTNErC+K2xMxpGBfw/eskl
qjDWtU1cBuePLxhKVltsguHhoLnXwNi3HX8wY0vAbG2I7f8+HQq5QuUFvN5yVPOS6EMmg1fbb1dN
0CWwW9cQxKNwwzvavGMPKFw0OWiWSeSPbuL8/rqNy0D+JedaArytMkbFjqAcQh0NWeG0BbRwzpQ3
p4x6XWHP2PYrsiHBvNZbiwXuuj2xB8kMYAvbQ2kqhSp59xNMoZfrPmaxopGM9JHRofICXA3fMSLy
HdTA0ucqL/SxqKfsIFATPXzd2Ip0A1tivztmJXnROfLkcBHtxUApkiBBPEOUmGXSlK6XQkHxm6vb
5FZZ3bjH2LnB2LbTRkK+EjCX4PBZuRqibcMFnvTp9s+0E48UAlAujGPNPH4suy3PwbWGFmGAxrld
tApbMI1EBXnGEiXFjnzOUx30OgYR2/lW9F10Xf1mKfxbYWeLlGUhMBsEatoONmfDjWOPJGYTfj14
l/X5l2m/VP9F/Q22RODIHg1uBkOX3wi1xX671FL+9uhFSLAKlSZRhb6KU3j8GfTONubbiJdvqZls
3OGtLNolIhzdXcXC4QgMDq2PtKqfI9y7+VhaMGgm00t1pSEfWyK/UwW9Oa2s6Eh765bCQtjqROA4
egONsDYMi4CAU4eUrAXewdVJCEuSR9Zeec/iLGIBqtEoL42mexQal3HQUYGUqc/IOU43ql0r775E
ettuDL1QQcSxru3QneUv3pXmxgpYkS9h9mUh/rFrCQqPsxynvKOJi0Mf4qj07MSZFVhzkQU65Z/N
YLe3TguNHTCjI7/LogjK/DYNIiOS+yqi0SGzmyrQTJHg6zWzMrGXyHA5lmbTXAZLWuDYqeg41/Nn
nMznHszbjTZWdoglOryAK5c2a4sfxwYnvLyWEC3oi7eO1BuJ7ErBZIkPR1mqM8dWiqNI9EszQeWt
murzkMhdHI/neITCwFzOzxnNfn7da2tFUfsyf/4YyoE6jdlptKgsM9pJF/bgOUYodt6zy1mTuSNE
NIY7kDfugTm5yTP1kETRFuthrUMXhUs2wOeggWrKse6Z45VJ7e5yqIT4DeznNsZsJRotRYLdi+VK
XHbVyTTLW0uJp0KL7wbM1zpXfC/MekuMeG3+LYJFZ5kVCu45drsOqjaT6l945uB+q4FjomNtrLy1
j1mEDWHwmcyVW0OhLo88w57bX6j98qA2LfkKQuh4B3JX8r4xN8i/Z4G/7BZLDHnaEG4WwxSDDwzN
R9ASIGK1rxmzHH8CemK4AQZ5fIOhfOF6MAGF0RHPovLdmqf+Ia3YeBeXZn/CEKdPFSBz+6ro5xvk
cuRVDw75LTEGL7Vb569V3IDQhWhAYTlrJu6r4WSzAPOCZI/wP+h8EG+yc8XtAkLScfWhKChmYQRZ
nD1KY+XdEL0Y9qdDq9t6LMOxcgOpvl+Y/nGtj7aGFF43hZaFWgKooGX+recGLIyqoBz/UXGD+X6E
t4RvZTjsz7HXtdadqNEc9Y2k8ErcG5Wi9WL3J7gyQTa8cwiIGEruwYkPtTCDivavdZPOe7gnPMd1
9TMrUy8tfoypjVz1PkpvovHjIg5Rc3RRmp0c8TtzigPJnYBZqFs1ZphMsefQnwClhRBJD2coQHoy
5ftZtDeuipHqUqkhl2Tt0l7c0+mDWMZppKaveXLTxm7Ik/ZbZ817jqyOUeumaI0jT8tTZEwe6qIv
gFw8C/5WZhA1IEGi3tO8vjN4spOF2PVJjA+d6mfcle2yDC5SVlXsxuyDQxnAST8gPnmEBUXuDbn+
qSvrkevJ79V0yGsH4Pb8wW3oEwwL0h2Qt2Gp1W4YX2HXERgDYOMSVZxmBBiCpHu7/CQofOWQAzej
DLvHuaKPTQfDWPza1w7EQXRYqbvM/oxV4RFaeFZ9UPQiFONlybHMDWhxndsZNVb1MBSpB6ks4oK3
PDNP4s1HherVOStActqrxvVEw280iLPZYPv5pYuyHddJMGXPleIBTCG92dC3DW8O7UjDtIgDKDv4
FYugvhz7oxj8ZJJ7ybSn2sRvh3KfcWmE7Xxsrd/SIokXvTb1Z53e1ir2IRxWZ6eyuqfZmefm3fxj
yD3zTU24nIax4xmlJvtI78xDbb3OONfglT1NBexebECpfplT+ttsh1OkXyowjyLDl5imELP38iOK
sTD8SGRoNCGx3mBXSx0/em3l2UnDOjo090m5N+tb5R5Hw69fWHkonmQK9meAC2o8Hp9nUo/f2M0Z
UjtQ96qN5z45MuhcQpe99/WzkYSqfJztPkDdK+J+1ZxL6jfTY9V6NfzhbRIOTepFEPLQqKh2r/yN
Q1QCC0WWWZDCh8LeA7zzygcvtpMzZ21gvg/4M3HuE2i2HYT7StVhPjp2kA6O1zp+br/Nv41YvZNO
fe8dzIw8BQm5UTeWjEePm5iPxbE0HqE84M+Q8IhKC3odWJE7HjPPLF/J9Jzou+jeZI2nS2i2ZWmI
s80exdPyowNiEGVb8yfqcLB9OFgFDyxW+U3FQyyiTh+zxiv4TVE9cem59eUMG8xuiHBiD+gmj4hz
SR4GddPEz6S81fbO5bWf05fIOtP2Xk7PvDgM1X0vZFjUvlF4XX7um6DqkNDt8+Jd5bcVeCutfNQw
klEU7jteatxjPiXKd10PZeRZ7omx0wfb9cELalAlTzGdw/4JjJS8unWnID+W5i4lu7QZ9ob6MY57
Ex/5K71o8DowLcwO5DPRh9YMy09VAW3sA5xrf7a/I4TENjAknE59fIrLf+HdMrWbYbFmPPTDkbD3
2DgPJBTsEQ4pRe+Pr4kIy/EW2hI9MBnxLhW+6G4M9saSnSlTb7SfGPEj+06PAo4Od+1wqPTNlLQ4
jj/EOhzrIykCB1f0HAsfOztw66RoQpiwTNwrX6zaM3FBAzkTxOJ9BbtuLs8q91Mr9kR/KyzljyzU
Bkr2NMiMkBcTxiq0Bl+CKZvMb3X6vWGP0dQGESQKeIY4jXsEh2X3NaE3gliHpBg9Und+GWF5wyK5
+MdoX6r6s+O210dPubLw7H9IcZcMv4gyPZVIZB2W7xbS68bk3gAyM+dv9ZTvsxErP4Xm7D9TBWEE
0QYj/VDWocTtVUHfrKgPp8zySAsZh3j226IPxPTg6BlV9299RX1Tf+SyCUR9VwLDk5vfuHjtbRu+
gw1uUp6mvggi+7UtX2Vz05N97MDiulG+U51boKybMToh68Sbobg139st91L7f5ydyXLcOLOFn4gR
AAkQ4JZDjZI1WYO9YViWzRmcQBDk099TvfKt36WK8K5b3VGcMCQy83yHo8UoC2tIcnxVhXW5hIHz
Xmd7p/4QOTBdRURGHXVip1A3anUeZQOJefF1QuZdO3LXAp6d4saZc5NyjD2C9CUKHPmcDIOO/elR
mJuGQIg6jQhBizglEWoRUQ4WeWvvFKnjBbMwcH74Q7qv0nyTqq2nMUybTU/byM9KJNQf66WK23pX
BDLugKgZ4c/FcwVzl8T4CyDnY8gsuYU2MRyo9+gB8yL1vc1xqi4YifKyi/ylhvXFViFhUvDssAKz
FK7LEBLWb8fgiaHct7htxEAZh1/R0BMgLNytzsyD9v0IxIomnKsbYebbFtue25A44GOkebBlTe+F
Q+nukNYNIUp48gFNjUSZPdbpEjvjb7G0aEY0sUJBtJowl5fIWyHp8JCzH+XWn1iCuAevJA8H8raS
fr9gCNeshQb5O2rBGPS/C/mW19mWQLPem0fPPPDgveyccFoEas9zMjnPepZhbrJE05N4ucKiK5JR
PBBsTRm5SUlz47Xq6DV8B0fmMULO/jehTZKlUziNL7Xac8LjQZqX1ToPgA6BItTd1eomGMo4w/qm
8HKb+xJxEqIHFyuXVTctTaOBxql8AcwwZGZhUUUTJpct4zLUgUfC1bp7ViK4kpFrvmUlSlDlMDyW
egEQv5uiAASlUAuXRRhON7VIk3Wctil6N3H2exAuvvLAbht4A4RV0z0E9TeSF3FOwawZfnNwTrwM
m5Hqoqy6LdIXwl24BX9xinueggtZ3Xu4fjeMd8hihakvo6WTGyP6QwV4ipvW3wY/f8C7jmfzGqx+
uA6YX/0MXKdOslUfF6M/qrF7m/QQI2eOqheajtxgk6FhciA2EeRXq7LnilQ7K2TSnNrLjf6tm7ci
5zQKIE5PrR8Z+A10nCbgn+A51RfdqVuUId89s+wr5cFYphCJaeytk5rYKcdHPo6bBi49MvfQ9Wm2
Cgt1ObZ3VT3vHF1vfK/ba9pUgOc4+3l0olqoHeFYx6ZiZ3qsv7nX3J9w35HK/Z8od3lJLddvAWMo
qSr/dwZeW7hOxkWbHL4drEzVpvPFT9LofGuJwzcoELMQ+ykJ5bpMX1ZGcQhHPFw9Cdu/pwHWC5Yv
BUYPwi1uwf9e30uCEKBOI5AgQzg9ho4D7QDCzKhEJ0wUZEse+n65zYAPmDK2nbPhCZ6KaD5EkIBz
QT4uD+XqIJQ1XyAtNomRCMsqmtqQUnMPj6oPPxgw29MuiwtVxOjtogjN0yDyGdnXYxqtWFrb2k5J
mcJZXDiNk1Q9drFqQO0UiC7Ay63+zbDZVJxVIQ50u4LlbVQ1460HEsseMNxfds7ciFRLHWYFTyMC
ONgxx2PEpOUgf46jF4+V80IokDb+hHRk6k0JOwGTYbq90UPwELDuuZrXG9H6bzmCzXUQZTyreTdV
5U+Sr/Da4k++bL9KbY7wFQ+7BofhRZcyPiXDQ1Zi/1Y17IRbzzwGHYXnYZCaLezmvVtMl5cWyd+k
6xt7aKn3C/ybLhzyfHwehmyK4Vc0Ae6OiDfz6/StMZ4bQndBUAE1Iqys+enR7Iu1J/FUNSMKGlDh
5JZAsWDyMQ5qPKUsGxwJSpDNeDkebUP3JUOEswh4FsKT9qZvsjskb3ae52P7avpjvhi2WfCu40zY
H8FCIhyjPlK5JiUW4b5fYx3UR6vGL001xaL0t3wWkXciCHgNtLM9DtYRCkmbAt65Dax09wC+h6Xo
HxasecZNNxOvUX21OzvVzi5rrBOLrtmyzAQRqGfuU+8Pj0Gf3rZ+/muR46bvumRtsRsASoTiqe6w
Z63lwTv5R7mMIJ81nyKjtIM3X9FH49p1cTFgHK592cFC279pJuQxaDXhUCoD5PL1dhnwXGL5mU/5
ts71/bgOLx6TIVo4wsIzEDMQ9egN6cad0t+9g9FVSUTU4zLtAsfkNzDzzVFDWXi9G3gl4wntRHu2
NuKVYz7vQGuQN4Mdum3vZnKvhyY7lrbDoVH7TZ6hNC+GB3ghjVMywdzlCLkWO3QywM3wNv+We0H2
tZqJ99xLB5ELqu8ZDdFhCR5xzSDtHbKqjjjL6cZzlH/LUiS0w7ZvsIir3Hm3Nuh+Os7S3sLQCXI0
GD7EcFKdEAXUJs7BTvmx6FElKS/cSNASlfV+LG7RKEJ2fT2C0T/w+g4b/Xovg2bZDqhbgzeUtV/6
QIqn2ozZo61s2vww7diVOLFZFM7bzndfP881XEgEnSvKuamRO0ER++is/XHpHwE1P+prNKgLWZNz
q6CMwvtVO70+ZoG867J6X+GMZ2xzh/jgvh7F0+fP8J9PwN+yJafU0B+5tLSxemmZqI8NKhK7StTe
u2oNg7RDeBthZ/EMO1G4k2U9VMGLQfPPDuiwYA5rZxBfa9IFP7KidfuwRum8CxdbBl7kYqaryCyS
XBNjnFJ7f7vN0zf44zYBoJA1aeV4rPho0MF7OojQavf5S7iQwTzXpGN4rDJb7HjM5gVV3x6xazXc
uKR7oqhndMiNQOuRIp15jRRwaeScpRCxE09dMa14GtBFDfPwLN/1TKLPH+fSr7v//10tkAqAODFM
h1QESZ9mPcrAYttDZXUlo3chbeidpQ1LqQp/0f2IrgL45CpMQxxNVek/w8Ch/S3g2rr9tyc5Sx1a
R2SOKPLuqCxXWBedp8LxDm1fb/7p98/16dWQY6WrMckGa7ftAkYWea1Ec+U1XRiz5/J07fqENQYs
ysHhONcK822cqn+r+55r0sWwCogD2Gkn1E8izQDLzDdIb16pIl34wue69GEJ4NZJAgoHiGWKJDys
kE8L7kdYSxn3au/0paucTepCjg0m9dwekSA+zkW6Hxf54XL7gzb88fMvfOkbnP7+x7phoYT0fNaR
Y+6u+kYHRXnr5eje//zXLywc565C3GGalRL0+bzgkRFvafk+42DIJgSzLoL3mZ6oB1cudmFau2fT
em0yHeBEASWe9sLO/dIhm24gwvv8Uf6jAPxlhT3XojerbrRFd9YRpivbYmef2oO+m5HzK2OUyyL0
CkXuZrnxNwgmDv0d2anttPMTP/n8+pee7myq86Lm4FRiQAf5D+P90H0Rymtd9Bf20nPZubG1Qil9
6o8q6JHPKyKPlm1EbfrYg9zpn86Tnz/EhdF2LjbnLvAjvK/JkZcksZl/z9tg//lPX3qG09//GMiq
6sEKzgB5yjmyVNm7Rl5KKB1DFB4y5xrz7cJXOJeZk0k2TifRlCac9Q4HlzJcO33f+d0V1Oyl3z/9
/Y+nSNMRLcmBAONcfjgS1sag8QboTf38HV369bPJXnljRxp0nB8twvUG0X6olX1uRXplVbzQs3Gu
Jnf6bvEkvCGPRfqlY8HGoMtZiK9BsMSwcNip6cp1Ln3rs5neNwZcJ0RQx7X+nmbeXlW3S49puDzY
4RrV6z8GxF/m+389OH98igU25EbSSh5Sv/tqCi8NsR3yW9pn3q/AIdUrTMSGO5rivLtMQZ9MJXrh
IQwNorl27YGsmmx61k73RFSCogyGTC6awP0HxlacpZB5eHU88o+Vyv80un/crZBiaBQMgg58GL8G
q00cd9nAnO5Go/f889FzYTc6V6EvpVekPUEwAPRYosBar9j0VHLnu+v0P/7tEmc9CFXJfPCqwVzv
pyGSxQC60uje9ULs0NJ9TdT73zv5y5c916OntioWYjVM++bpNRM+ijti/LG0xXuFNoO+1F9ppe6o
zrY5IexKQHJhbpyL1CWvGU17iODB0/pRoktWoULWdF0Za6+5QeXzven8K806F5bZc016TyRE6d2o
EXqqZyJOlV79j9X9c/egihJ3BNd3wm8ju8OW7E0D8TwGyPd/PgYuvaiz2H/KAoLO4sE99OS2b+5z
n+4rkegSRO+OxaazVxbDSy/pbBEp1y7V6AE9JZP4LVPssKTOx+ePcGF9OncCqsoOeegOHY5r2bt7
szhqT9osffXHot2MQq0JJLLu0+cXuxBjkbPAQLr1WqZZSyC9lORpTEflnKQMvokKTgGXJnJ5QqEb
LoS9neHPg4T9NYuE/0Kr/51J/FxZrgVPc46c4wE5+Ye1EOVbM5UiKQBeiBzadLEr+gVaENoV4M+j
uKrMUm+mEjQbWM4XiQcm9lYjNJchzEK8I1vrFmTTDGn5fO31vrKBPJKyb39MmcNuXApo8udv7e+L
GT9XrLdrOiimsAbMxWuD/gRXcug1J+Ttro3jS1c4C0hoqhXSBv7JhqNHTksWkLayJ6w92Kfkvy37
PDhd/I9ln9u0dkQ/kkPBUgrAc4msEk/1ZuUTCjsAkF5ZUS49zFlcknVeA1/xmRwqmsXQeOyDstgV
owlX7t1//kUudC3x4Cw6UUiG6NFM9KAa8wi0xFdX22TxKdwSrCgfvcIgLdh2elMbM22CwnPvvVXI
uIUm7Moi/fcAiZ9L2J1KI6c8ZfTA5vRDoLeIdz1cC7CTf/6Mf18Y+Lnf0IycXetkGUinmkZq+Orj
1z2IsApkv0sz/uNTnKUfaqRaETvCFgXQpTDgOxfqaeJf6UG89IrOlpt1FVU3oS3zUFRNGwdFoxPe
DVUiHHmtf/7CYDsXUzMyOT6vIEfuXBqx+mOEJQZx7sblyvL895Wfn6upvTR3DVLr64E3qTm4BrBO
mFRcu/u/71/8XEztQs7eUBv4B1ghbUa0AqTua8UePRzYQGFDJusa3e/Cl5Bnc78ey5F6YMxCnTqj
A6blcIkNFn8/5VBjfj5eL13i9Pc/lpc2WyBNzbk91N23dO0i6aCHKGuvrMH/nZr+sn2cewml7lyj
DYuCxVRkjX8qEKnXwpXrj8bjAYlHJfv3dg7sEvaTZeh28UrI3lYUtAaU1Li4ayvh/qpcyhJ0ltFX
OY1QxxcrSa9oUS49/1ksMgwet13XsEOG0iTKXvUryihba5fk397vWQyi4MNQzb1aDhXzXl09F2D1
g10m6Mvnv39pJp2tBNhiJ4cQU4KifadKd7tg8CG0TmSaXXmCS6P9bDlAPRjg5sIvjsoFLbxfNshJ
pqE1aItY+yZcWAkZm7deudp/iYK/jJhzRfaqpzTtwKA+zHO5n2eRqB4OgPwHJgLknDfKa+5qiR3W
iKha0dqEurt1X3K7ZwO0eHMf9t53h7hXFtoLr/dcwI2ODfhMd549lHAN2uSk0Lue+l6SnYrpMAi5
5s59YRiKs1BidUnp5AtdD6UutgPmnztB/ek4VyLhC7vS/yi6C3Q+wmvOO3Dz5Pi/fC4BS/terRQM
4/nKXL/0CKe//7GS1IiIu3pGzXEuNVyS2ipTG9e4bI4c28orw+PSg5xFELRiDrTKiz0U+a23pncK
RncgfzUo355YIp/PqUtPcrYmuCTrZmXYfEjXlRxk6S7blFoDgxsQJ/7tEmfLwgKDZN9bMzCPxDR/
hTGTM6HhqkDfC1aM6UrC7NLgPVsbdJbNtHPb8chS4SSwFnizcMUK5xUtHLlz5WVd+iJny0NfLZXM
/d5CSOuxI2mgS4Z2eNw5I9imq0VTKEe/8z+lhfi5+LEboETqSkxHHE03M0eLGXQYgLW2TZmMztvn
3+bCE50rIFVdTzm1XQHQ5IPkT07Xo4emDlXWh5k2VwbyhQjlXAPZzTDZS3tVHNu0ODqz+Ao37iuf
/dJPn4bDHxNx9UvwiDgSVGtKbwqvPkCwfiWCv/RqzuY4cfrCV+gSPlTNa9Oj0/CXWB0EPR+BvJaF
v3SJsxmODpCS0Yl3xz54ymBrUzROCIw8lDY3phZX3v6FBBE/V0F2/gS3pNFjh5OZWD3h7oGxmXBk
FZuBoEUvNd6ho6aLezXdGMGvfJoLM/JcGKlF78OqHjRoXQ8ili7ayuH4ZhM59A6YEaLZfj6EL+zZ
5+43Jq3yvpo0OxjhmifMT3KLt7qA8eSxGL7jA6IrRRCLeP6VvN7fcxT83BAHttm4oBTeYeQWJh6B
4hLGCLmKK+ihtyCVeElhanYYtPB+dg0gX58/6aUv+T+CSdQBFay73cPap191wIaQzUWiECeGc7qg
+SV9cVpvPwVpgwbs8eXzy14YpeciybIvPJxZRpQ5lFnjZZohB5NoVZyWsglbBi+QoUEz9ecXuzCh
+ekm/pjQhE8UdFCQy5jWN03Fk7G5Ft9caH7g/GyxmKxide7iQYo6hD9pjUaX5ywBVCBGP0v2gZwG
BBX39kudAEVwZRW5MDrPdZIrGlIQwNvhOEOKtRngSxjLBX2fXTDgoFy0TkR8qA4a5RRX5vtpffpL
UHnur+MWIFIMHW+POSvN3m8KeUM9tLU6/RxcCbEuTO1z+WQBChlQOR491KX/bSA82xUS6JjaGzeG
LtfKa5ce5CxuyOvVp7DJJEdaf6froxoBjr7yVS799Fm04C52cJhl61E6IL+tBYg0jUJjW0rAF/18
IP9XSf3bdzgLFuABM9FG+ShDuvWI/t28Wd6Fz9VLWRt+hK4DImMnWNgarfIj06T/CXpxrIpuvGFe
N23g80G6uDPyqZNu/50XHdranRkymZBPqR9PtnRi6RFwR+puvHLXF6YfOy15f0w/WhUOhit6lKt2
ffV4+7K49MpPX3jn54pMkc01mskEajq+P4YjtcfAk2iQR8/a52/80gXOlg5DHdJ7BHDIAOV5Xbfx
Aq6KLd0rg/7Sz58mwx+vhgQpIjwJ9+6ZmsOY0a3qQNLp/ewf38/pun/8vjevYiohSD9a/jj3P+r2
l70mobx062dxRuXaPOsNLLemrHdvfJYO21nUSxxkLr0SrV7YE88Ndkqqg1G3Q3BgrPDjFrgaNNLP
a3BAC1kJ4kn9XGGZIIQi+8Gq4MqR9dKDnS0Rk8qQ4SY1PQyOBBZvxAwBP9gFyiPPr+hdT5/3L9P4
3HPHg9wLtCwYD/cwMzBqjXuk+zl8tqoh+bdxe7ZQrFymxSqgb61L9IRii3j313TcDCy7Rh+g5D+K
8V8e41wmqRiSS5Y3GAJo6k3KotcPZPGCFNzMXHxrhbQCLlu6WTeKdnaTOxPa9EXuWyT6gUarQ08L
EpbwCMYuqRT+o98iLVD0aofm3QouXcPT2ls/nN3KOaqynQ68hmujnyPVpIXU4ewNblyA5ZBMVX4/
BymPhETRrRDVr6ke/KQLguamq+suKqkCDlWPX0Ewe9S9820iA/QbfXfP5fQRDOjER95nBViIrNE0
lzNw2MAQ9IS/uSkkUoRw+EOqNFbucvDHwKADGVg3zVaQqywENX3+tczpC/qwHeAnPYP2cNTlMJQi
j/sf2WBJSKrilrmM7tdphQ4plwhfncCG09SiyrI8+EFdJIUD1pqq5I4Z0W7hF/9YMiggjF73KSqW
UZ+anzhDsLAxyyPtQfRscwPp7WLNJgfocY++5+VWnmQmdF7S2AcqIJ5Zn+3JnPfRsLLtOgz37SQ+
pq7OwoplP6cy+D2vUwZb6Ob7QKthW8D6GZiyddjRBjDSYW7Npq5RIx1Z1URuNy0Jb1a4N631gTJ9
nKTxQ11lbNcrD8m07L4GnXazLiuamZCHDb2lglCIQ5RJqvZn3s1vUzXYSAMrlBQ1/knN8tarfC8W
avnV0AAyCoj4EMncphxJVZS37aYocwfVjKZI8oykeOaRhi3aq+Neg4ILjVsfo6s+h5ChfarScgN/
Lj8JFJoLegcfAvxaGDcJa2OvggK6XSVElsxWG2rcE1Olfht590HX+bXxNF7mCsJW+SUN3Fdq0Eeu
eb9H5PpoFzjo1MT8zgbkZCWhGL6l/0SMfg/McjPVSGKjp+s79IQPoF7euRbk9TKts6idCBhiYylC
dCdtAJHdss4r4qqYH72M/26b6bA0ZO9X+SOAvyaa2XqrlvYpmM2bmcY2yppsSQLkoqKuaF78GS8G
jaAxnCL31PXfh6J8YIbsOPr9kQ9xKThNw8lK2nnza2j3A5ORPSITEGcVusq8bnE3os73ZA2e62wc
UK2Ai2jujXcTnhx8bW8N+UohPubZnesEN2QUESs7kZCVbrvab6BoGyBry+nzVAzH3nEgGjN430I6
T824kAMp3Clk6j8XxjVIPG26iGjILHXpbAD+K/dVDcVI7XXtV9GNqPbUNYfAjHS7rIVqMPMU5BJd
254SmVWcZQCPSXUSZZYpcDIwHoGUAbIjeKG+s2b9CYeIInTbWiWtholgEXxbWr0jUoswBSIvlox/
wJ2qTRhHZaOvXnOxPKgyhW0kHXBabu5c3ErC4U8eyXzZF1WxK9v1MXO8Gybnb5B707CR6c04+vBc
N+UdmsZvoahAFVu6gIlN0wb4eegq7ICare5F6ID0vMH7PCpgBLwZh/FUQiPZ5uNLCn+sY2Und1dP
kMoQvOpmhMtNPs8bS3q0D7Tkjhtvv9JJhN2KhicH8T4kdpkbSpFDhIvzcMRryGOQo7wbbDaggxqL
gm+XLRoti6j25K2kFLJMQ0Ha64nZoTfoBUNx3K6dANMLXoVjQAmM4CHLGIusj5bSySD5YyhbSxSV
87qGyGxtvzgrL9+qBZ7s6Ir/qhg+LcnA5mbUSUyteYKM7rZqoRysB3Y0UqKJCrzfr35F94Eg99of
n6TTAXBbTHvBtAyzKXuF9wlc4Vf5vFD5GACUCO5XO0cmW+9ql1aRz/lt4/nfaeM+0Vp9WCe/UaLa
OxlYOlpj9QFG5L1rgCXDWochN8tpz8v0jQjSRxNYiju3MwJrhudGGqX0XeAjPTz2BaB8s+EQvqPt
P+9UDGnNO/iOQ+jo6qlaMUoFCqjhOJW/QR9lIUbbU1lP7QbE3gy6OvfFa4ZnyOERKEjxbTXsbUIk
dNKM3Ylxxnl2sL+bqqmiMih+2dwVkEmxImz9BUQwk65hOUN02lF2QjSDFIYjT4G+p2S0wCqqonBi
JhWPV6eB+hoq89Qfbzz01h74yNkOBjvwwBF2nxb5TUnblzVo70hGprDyl1/VaH85zLyvdnziBIow
qsuDluW7hZx0S3PQAOdUJu4K9WaWe/fOXP8wVfO987MfvQPdkibzVo19UpTuh1n1F9A3X3UzfaX5
oMJuskeAoiHvXkGuoOisxngEk9NZUwATSBkbI15syYsILOMDL1CWyh17clJfYRek2rdcYq3gkFVA
R+R+CbB9JcOoCshUsK2a0h68E4tqoZ2JKgM5ziLtIyQdbZi51ffeUIahql6zFTjMpR2evbZ3YjR1
1DvTD3dATT8HpHvJU28OPTFvFwXzgM5AZUz8Pcib5QYhyZsv0JMv/efZd58ri2yWVl+yevzmuVhU
ddvwqAciLnYraI0CVPdDbQY0a0AoA03fiQMOT8vOOhTKz04B477eebZ/dAtiNhg9wdYpVjfyZP3h
VBCOWIl/6zNAzdH1QPdWZOaWBFD9EoASwwJrSdhjiYAWVTrHfMbOWbTog8t4izhEqnvo5BQUi4A1
z4E60pJg+2zyPeTit8PcPIiUB5uxz90kD3Szg0TAhFb5P7FFv3q0uYd6H3Iti704LwKAOe3rmK7P
+QSCjemzNBbGfVidoQndtbqnc/dzIbPatrRVt1WHAvMkJnGE2xQyUR3q5QKgy/umHvTOIJ4AP9Uj
99UAbEIjW/CPZiiQBz3cYjWDengsvrjZ/FhU/TPr8urgoGoYph56iiQmapx5A1pSXcuQWG+WSHb+
SyrlDIlITcmR5EN2P4iu3VsoX++LuYSavxtg1lFPy0MdpONjQwoeVsiX7VfFJnAonB1Mq8abvGxd
xC2d2Yx6rX8pwQJoWZ2SbQa3mKJ21e1PNwcVcs7NcOvA3BFk71Obb1bRu252QOk0WfDqU+fFOPN6
76cGCjvju/2WTO2y9/IFe6nfvUyi3RExLRtlq2ADp3r3SwsS5aaAOAawS7LeBAFsPlJHkU07Tm6U
Ww4CK4XStlc+idcAy4K09gG43TIq3PHFtg1Ev7kFOaQE2GNxCrrLNYcIUEjoBZGPDMESKqIWUbLt
NLulitPdbOQvuHjyZJjWH0Mxc+haa0Rm/ZhFnqbTRpT62SewDK5ol2781C8Shna4002BxuvM/j5f
5RqmE1GRQiy9SaXmG9VToD2LQcPCtQ82zgq5tKOgZknbrIoAgU3jRXC+LecFe6DxMZc7wPdGxyni
MacAyzkt/d4hXXTju4ZEzIFAXHhZfaP8mT7z0WY7yDMBpuWUfxEWcvRMkDzuXVn/aOCcrLfVMHWv
tOegaTIBamBngt8KvZvJwKCqnj36G8ZkKF9WKTgx6YRnbjJonoEriuDUVcZUsHQj3WaNipnaKBX1
r3zu3ShTLDuU0n9nUEAikoFgH2ar9MNTxLtjovpZdWkR2hY2dFApdyicLMMwYlGEVr8vasThDu0Q
wkIFTWhZ7coireKgtYDDMhXNw2L3Yw1ShPaMG9uldtCwwT1YO5X9bVD6VSRd1uzsgo7/oFznsHJz
AUOpZQ5TBuKFaQYauf2CNZrwIXFbv9ys4/jGg+Kha9o8mjG6wBOAUjJAWL5pNcZEzuYfYnJ6uBjY
+wEnn7DR+p71mAFYoNA0NtAwHfWTnrIc22vTJHXdTjF8Rp8qgqNN1jpjIiGMu/E4aKJjMDz6hYDM
zi7YjFz+Ex5fYEVoYWMlszzRNQKTuUN1nqXOG2mGn0uAO/YN+0pLwBJE2eD8t/ZoSpqQ5a0zaWNO
ApzdTPqrzSUcvCaB/7+my2ZcEHtPACQnSBphrapGUFggdh/H7HdjJr7BoyBpxev90I5OojVE91UP
ekVej/ShRD0N7hgIZRtXVEdhpCaRRs9AvJS2BcEDKlPc0hhK15YPQQr6TAeCCoZrAfn0WhbRCgz/
HZS3RSyxjN7atIOEMkBvStt6OtFrz3dMelVIXTbcY7lOw3qcwYLAQhXARRIwhP5lHMsUFVVbVknf
ErKpZpds4Eh3Q2DpnvAWeP3C2N/KA9GAkFwng+9jYk/DK+KXYesHWbNpYZL+BRIdFUp0XIWFbj46
BazAmoK6kEEmhSKLfrL9LLuQEfB984B9B4jV3hkOSEa+YgvjeMDXydRPPfPAT+hsF6NnC1dqeAHI
VZNHpJ73zgIwtuL2qSQQKtdePoYEjlr4oGyO4XtltlmgUCdUmQpRxnfv8wzbEroa7tHrgW0Mh1bX
qhwNihUC/0K/9EH6MK/pk3cyN5lV+VUI/sNvcPYTBi4TTJH2Ua0uLjpDkc1PDKSiM+9B3baQ8ZMA
K1XbhLIOgAtweuzXgZffl55DDl3l9xEQXTjvTs7vfkIOE3TarRY4qs85uR0hQd0MavhtyXRbkPpd
wQgMWt02i0vPHz8g1DCxxBsH3bhqvnQQdEYofuK7DroFQhuDEO0geuPCvjbhhLHIGcDMNqwrYJSb
TXD2hhjVTN14p2DaF2aL+30auh5cIQWAUefB2Ilkp0FUvpBR9uCqzCB9gZLI0aAJ/XHh1uVmHFIw
fTSOsQ7wBVtAK2eouSdnN9SrxXikL6huy9ehmkt4Vvtk5/taJoGUcKZBZLp1YE4CjhPLbxsLR1fj
YgOj2LE2nUfGZ+VnVETBUKEYTgfQNrvGYpRBw9AitfId2V0YXGkTyAiM8PQGTPDs10om85U2J9ub
esFmzrO8Bc2rtW/D4LgbF6/xiY4K5SiLPg4FqAHMz8ripiKD/9g7hTyOw7BsSbryxzIFWrPmkDMA
cN79HtRUrGAmgQHC16A5CKOg8i8li+mo8VlA1djJMThJiCeZrJUetnmDXIbJmu4wVYWByWjuo3el
FeCbTPb/OLuS5VhxLPpFRAASArYkOZGep2d7Q7zJjAIEAgFf3yffyqU2SYSjF9XhqEIJ0r2S7j2D
v7E6x47ytKvg0wSBeBEM0ksaEL/j2dpMvqL3l4toC4VrnZ1LLQ6pBRz3T7Q13jPL/i0d73sYQaLV
lVtqpq7HGbodqoCQBuXHpilu0nHN+WGhiEm0wnIHVtnUncWxGxc3bMMv0p0NjATOoqo5XP46C1Kr
DjmP/am4XMPKDxkRMuRtZR6A+DrOpvvgcExV0m59iJeBFRzELZROnLHAPb5fKZovlIV1rq2DXhcV
AxC9dmxjS074TeZX17D73s1UHnhnQFYLtzPHXsOgLZRriYZnmeBA26oCpW5ot8MWujq6SdFBwEoc
FXH+XP6aS2tNqzrXEg5UE3JfNFHciMQAFRnqrxSDl56tdaYaiAvUw5SbEUx0X0TrYlO1qzVTq6WV
plWaBRCbuKgLqNCO6I37FhSToMlR4pDFupXfvzCEzrEVg5fYzKrMaJhRQ0N1AzXEgbyiLfPNAc6N
1k8rWQxTXZQc9o5T71Y78MPzg8WqHLyvsV4J+IWGt8625djgiQFOH6DbznNe1rezolfF3LxbhF3P
zfz38jJaaA3rrFtIK00SB2w38tG7UOmxaN9j8wDSX2CfPX7MaqWxtBASuhF0UrAhE/VgRTbMZEfr
d/dP2QOVxmmNq7o0wnkxf5oTlpj41R1KsGYDa1dBd9z460FyosjXfFCXRtDCmivYINRcWKek/GH3
76Ob7p0KyiMt2X9vMrSYFlnczpwnJHKdLN8CHQwa1Vx8wI7jyeiGyBgQ6ahVrZnyLS0xLcwnXhYQ
qkK7LFFxdRKOt+8pD1mLo1szmrdkaulKvCyNpMW8b3boL/kTeAgj9UPAASBnZzMcQ9Gt2NbwlboR
DFpyl7/iwjTp1NsS4kPUZw6qpwqSDf2QNYG0xZNXQF4f6hJ3l0dZeCWdd2tmng1z0CSGIOZt1XhQ
tJH7MUX9aYBXaLeGWlsa5fz3T4s6HgdpKFU2J1p8iPRVsTtPPuFQrdYoNQ4e9EVLTmffxg3SZCkN
iEC2dTQxNJjQIoF6JWy7L3+npQHOf//0Bubkt2IyHSsaiQcdKBq/SBfgb2dc8z9e+kRa3MNXS2Q+
FMugI5MQNGvgsJOfpScFFDXy07jqSrv0Ilr0V8bcK1i4WBE85NGGU93DbEGvVKXVyjFlYdf9R+L5
9KVsnMw5UwBil5ZRH3svP59RUJe7PA9Ln0kL9mRAqwQ1FTMaaRJYDrjo+WsH5bi0f4fnYHh5kKVv
pMV5U/mG41cQvJbxcDt43SsudFAzndnKAXvh+Tpf1icidxwP6g2oDETnbqB7Ls6CFPetn6+7NncW
eA/9bOGgCOUmD4o0pZmEPZlXJnjhHKqTZG1zjsvGnuEL79d0ByyWijKowW0ECoob0Phu3aTZZbiQ
B/VYrZGuF+bdPGfJT6sKN6oBxlsTxNmHxxog0oSF8A2CLlYTwBfke6gXnR1rT72o5waAuRk1vBxn
6ab5e5b+vjwt/8juXyQpnSDbJkPvljbcY6lDjjVn+6o3Npyxt8qRV6bwNiz3tzlohkaV/1Rq3jtc
7tT45/LwC3GpezL7fcLGZqJWlDviBLGnJzTP1sC3C3uV7ro8tvNQon3iRWnRPo+U71HTPnpZB5jA
yppemn8t7n3H66CuAH2IzDZD3KmBiLHRRjMcSMG16CKhtvU9A0RHp81mKNjAVCaeTyZtd6bVoKcL
/yj3I+bfG4Hq5NheFT51Bc1PnltApxA+bdhxIbcWNMnj5cn+OsNQncRaFTRrTMsHKzMG3XNK67N2
KcRYZ9tas3xaGuI8U58isgdlMR+zEf4mpVNubTu7ryfI+TrTGkR3aQAt5DmI0R2Hpl7kCSNqyvHV
y92dLeeVnWTp8ee/f/r9dCZ91fRnKXyHXpW230NudYSs5vfMbKhOWq2zYTbRyG9PcYn2vSv9bdM4
j1XrP6ZjDAP4Ciqu35tsbUtPABOahMflCf0vKPe50SwdCOrwn5cfv0DGozo3Fbc19DSqWgJkGEMd
28bBqjD89ODWw7FV5t416hc1yT8uDOYqlIxyww+Jl9yCeYy6NEp5/vTY1s3D5Z/jnkP+/9Mo1U2T
zdaEVh9wiVEBse7D6KQcPVfsRDVk8h4HBdPSjgzN3ldleSh6HyKtHQpOiSLiHfU78mC3LuSqDGlG
bIytQ2m51S3sl93DCLeUWzlCM5f05XjjQFF0I3uUcg1U2G5rgzXHtmDuWYG9OXgjTx583pqHGNKx
twr36Cs6Qq13LiCqanQsvvY56Ie+GIurYRzaHXYWtfMyz39mbOSbHliqbdlUap8lLdwQ0ADborMr
N52CtWELZbhqAwsIij4JANau53URwCsUyrezCrsMSoUG89wQTSwH9pQq21Gp+lNucNx3YfEJcTQu
j35CId6aZnAOB5vwucpU+yNWlnuoUcsMB581O8eCz7MNAPy5heeFQEP1O4ru3fbydC2FmXaWsr3Y
Q2UYMlLoqJysxI983u/MNN996/E6I5hP6HaPLoDNwny3ulNuvo/DCgxzQeeF6mxgUG0so6T42X1E
981VAclo2CFeuQe+SbbVwb4tjvEt2pftTb0br/ltv0Ly+nqvozpP2Me9L4FUMVrdBfosIdrXZdib
zbxNvWpEh9omW7vw1PcEAqnOFvYKhk6nD9d11YmfuAf8NM6m2penZ+lVtCTLKiCzC8e1o2nIm4dS
ZDa2ICo3/ZCoawHCYpgmsv/epuedTz6fMjqBH4EPbCFA7mMxv6OLP1QBbyE4MXki+fG9F9Jy7WQK
VnkesSPDqrw9h/dZ6BOoV1Jo6x4ZS7MnI2b+ty7nVLdiJlPvFKNnzic3f7ZcGVjjbzK/zzlsK9K1
U+nXRzfqaQcrYC4QPXlFIjYTHqSsO0tHw4vCE/775MNY4PJ3WxpGSwOUTwWQnJBwaGoYQhAAUlxv
iJrU/FMzeyVuvr6YUJ0CDL54Dzsd6YNfz9C1lMEwqYNP3mv3eUQfs5jRqqvUymALeU1n+LpV3kNW
zJhPDJrBcJunL87cPEEefO2QuDSAdr5ycAdxkQagQtNWezWn0O6s7N9Cdt8SFKM6tzelZZsnJQPK
3DOgjdb2+YPbeBXgDf1acenrKwfVPZqTusz9ycBFdOiBVvKa9hc6pCuF5aXPowX7ELux5aBBDkMD
szhODaS641Zis6vqbmWIr4vKVDc1FUlZJlA6Rve199/gK7Wv6x4eBaj5Uw51/BLetbGc1kS0FlKl
a/83ew1ctE4zmGYkO/qQe8OfKXN/5coE6sG/tzO5sqstDaPFO2CiXlfQtjtRk8DnGV3Ymr0I2R8K
9PtlUq9l/oU2GXW1iG/iIYP53MQiFIRCCcSvWwcdBOmHFtrRsGXwO4gApe5dCSiQ7IqVOt2CVgzU
vP/7GWdWZM4kCjvC1NwKApBNDFhOOIIpj15qxp4SyEMENgDPv5IsBbqZuG1wPiAKoFhWkt3Cuv8/
JjA65C2xiTgNnQidAY34Na2whVWv03+9duS9DVD7Cfz7D8aGW7ShYLKxsjYWkjQ7//3TBjo5hZEI
aEYDE8yz3ayGp3TogFV12496Nn5f3gmWXuH890+DFOiIU+FMkC6lzUPP1JvizcFI1f3lxy+9g5YX
8r6mReZlcdSnamMC83HWiMFdAEaRK7vy0gtoRwCcE/1+6i2JwuwwbpiRVcd6ArwiFr2zknmWhtBy
AR4MLt0cM8gV5D2QmTFUsQjnm5gAhnn5Oy0NoeUBIKuMeSA9jSr5Sli1kwDj9fYaq3Hp6Vrwewy6
TC1IJicYXIfSVgc6CXgMjbtv/XidvKtYPwmjdFhERhBME/K79Mp3x8jXahsLmV+n6YpBzWADw9Ct
zN37Jq6OlmsAOmckJ0Lp74pmV8gnK3O9kJB1li5QyAPxwZI5FTxr4TA/wG/GupO5+zw180fiyZXA
WEhKOmN3ggAuHBhYfaKKPFEXqmylvZI3FmZbJ+Y2Ro1bXkvqUz/DI8GN+dGDb0rgAU6zslqXfrwW
1WZStp4aIZkm8nYPTZVjYSffqwPpBNyunTKwV5GspdOBQnCYYOkEMM7KD19aSVokJ/3YVDCSxNO7
Hp7wpXwheX0PYn3YQ70jqLDMgBKev3codbSgNsuxzmBLYKK1y4/QegxrVDlAcVjZ15bmWYvqYuRK
ASZunlp8KpmeclQ64uJ7caDTZeuuTsrChVqhqrPASt69QexT7zGFQrqk9UriWAi2/yPOupAIUtIh
cNykd33W3KiuQJvQZX3YmEglgF2vTPzSQUR3KG1B0bXmUsSRb/+erWrLiHyKpwJWVa88dkHi8Pd+
GYPgkQGgCmumfPzewZ5qu/iQ48rLTEQjM92NgmQP6kebAUjAy7l3YYPVTUt5qqqekp5EaRabN3Pi
i9CCNh5oe8a4G2gb7y+Ps7DYdKvSgsRDCxsZPyK+/8TM+JnmkL1IqFpZCgspRWfZSmVXqutR3ZnJ
GLD8PfZXEu3SB9JCHnXlNnNzo4Vwunjj4Lnsgei8tvkwhPYomhW67uL60mIdACTm8gbnKMstQpfb
YCKp1gAOkFaH0QR+PKjGlN52PI+3No9ZYJsd34IGiQu+JGJNZ3IporScAKggqOcUhqtl3tZhmY3J
kxfDsBEX1exYNVa3bQpnXFkTC59WZ94WVmpnkAC1IsBkeGhNzvC7P/dpMXS3YzmtVsZZyNo6AjLt
UWOx56oGwcoOW8k3XQJvo6EJSqF2dW7C889byRMLy1xHRCY9Lko5vDpP9fDTYqDO4MharzrILn2w
898/HbbhGwupAIGnT6YZKnCbfKiLDPFjlk0r6WDp95///mkEnJJKAlQnbFxqfzoBR8avB5HOj5OQ
1soOvRCpOvBRAscHP9q4PXExXINSAwxsvLucZJYmWjvLW/asjB6Ew1PmeXcofLxlzIRHZ5K/Tmhi
oDMENHidrdxNlz6VnhjKFiwYXpIIVeuDMqp6Y8j4Gletp8svsxCKurnImHYEtBZuRVIlJugZY7fJ
C+extborzgtwNUT563sjaUE/laUw2Fja0RDf+mqGydetCxnmAU5nIBNfHmPha+nox6zPClNy1ENU
ab1nbneTDupk1b2zcphZCA3dYwTMgSkrVQ1bVw5eYwVrv+FFdbDB4yv7wNILnKfpU2SAJ9cBPguZ
rqKVV11FfmQQtYS7WjmsLN6FuNBBj7AlZOjytXNko5RKQcFxRrW9/PGXPs75nT79dsRuj9qzZ0WQ
DToVgGm53R2y/M4w1mokC4vVPr/UpxFS8FNqOMbDs4y2ByXVPa3taztpj4lK33oOpuXlN1kaR4vw
1LcTNJJhGBS7QOtZPyxjACYUtrLpr9n7HuaJ/lPB/vQyTgG8YymwVuNG/rba+Ba025WksSBURXV3
ERdCEjhy2agLAmvKQXrFIXxf5g7weTDsQkBs0sY6jZkLgkkBA9vLn22pfPevKfbpleIS1gUmXBuj
tMvvijw+GL0IGYWNENRWwdBTTXOYSntniiEonTVw/cKS1kGP4+zbQqbgMiuR3sxyekikWon3BREh
qkMd4wScCW/2xQnKBWJPzTqP6q4c861d8fy6T8a8DGbuw4oLyqVlC9YGHU7Ck9Y2dmucAeo2N4pw
zgv3paGy9cCsYnMbtAPcHoNZ2vm9hCYAaDa+iaJH08/FppLl9L2r3T8hrk/zYXAC7+7aBZjd7u7H
WGbBUCY7s+dvlyd8IeJ1BGVlAvE2Kmwe4MWPJ6NI1HEuegbrWNbdwfcnvfveOFpmycw6rs+c2aik
YPK3NzZsBEd6b0wr28a/pfIFPMDSEssw1nEB87UxMvqqDZOmRHrxKvuu7dLkgKZTH5pV3L/4KK/l
AZUZ6J7cHneWG5fHGA2Lew5m/ZaUTRwqF66+rWHynetCDkdJ2z5WMe1WfurSJ9dSk+1DQ3woYJ42
ZP7NLGD75hY5qFV+NNtrF96FTUhHYxZFDQ6bn0PVJ5e7ysFN0JTec9etGRosBax2C/HzyrO8uYFi
IGWPNcn2BS1WJJaXHq0dMnx/xMR06LDxdBTv0hvsm76WmJHLC3Hhy+ggzKwbQSebRo7tOX+Upns1
5OqxdfKV3X9hcnUQZgLwj40krU5+8g6FtA2d7oRK4TO/pqG1cHTVYZheVSUDBVns1Dh/ugqiQrAz
KvpfzLsyBuuA+tju8neynfMH/yKidOwlOK9wtukneRKcHghkDPzyqrf5DgKtIO5ncAEFff2qEm8k
28bl7wbeR1kGccqzhP0sDnV8oBl8wPkTqLaAz++J91Tk5Z6PP4qs3o5eAx7+j3xIIz/tDoTuu9a5
UsNjDKY3w9UWeOu2/JmKqGEQ5In3DaTcHLBZU7nD+9/F8M6uOAQ8pAhiqwomAv/sm4EeMgHUPIx3
4DIOaQT4qXrQmvgBWuomxv+NXxjIsDSsxUdu3gAsh0ffS9zsOAefajdXEfQoDwry9c4hRpvKG55U
8uHU871rzRsHUjJFcpjhSD93YwARrlg2u0F9wLfYGtUunyCsT//UFNRd6BepfGuWZehPXuhAD0I8
c65eqhRu1W44jm9QNIdCUiamALSCRsXwyt0CXaDKaJzONcIXcz4U2VNRi41K3sQLxIDwjRPYoMLt
m3SB0bYhg0HvWHbBAJEANgIcFAMdO4EHMew5NJV6Eczwd4Wsbm8+lna5mWIZ5PyPIGEzmYGIdxZ/
TFo4LztXsEmv7EfbenJwTjororjGHsChnRTXcd2czvApc/xp59augLat0dw3HuqlQJPz3MWs7VJ2
QNEOqhHE3sN9GdIPp4wd66yCxnaI/JvVIU4rYSm3DD1Bq7nG0cVGf7tO7qYBIjNgSgPSuW1RQu5L
vhF0m6YqyEGCsH51zjUoRTsjKQI+F6HKnLDnkKDoTJg9Q4g9f26apwZ6kNyBREhahpA93Ajowfbu
xp3eKIf2jrGlcMJssQWJKwFJU66u4vEdap8QN30Q9rb23YDOu3HC/JTPKj25ziNiOcgqFXDzRoDy
XeH8uGshFWWM7x7c33FphIvPxgPE0obyBqR0A0iZQGnpWkL4qLxu/tByXxZB+kr6oPI/GuOvlf1F
S1I5p1gMYZ6S7eVwXciaOoa5m625AG4AQMCEtltpcn5XEUFWqk5LTz///dMppKNCeDAfRiqAVNgh
FSZ0tkr4zl/+7UspWdsQjbgv8y5xh9PM/lhQto4xf/CRCb/3dPu/v31My3QmtlOc+j4FMbOFPfXe
c3qOkgJdA1UsQFBMbTtsCwI0bKdgi5lAagV85DGU1kDeEpLVN1L6WSRwok2hSswlFNVj4+Hyuy1t
Btpe6QCK0rMJak58zvdDCs6b2Xbw3hFXMzTTUAkcKWjNxcpZcQHJjgLsfz9ljUobJLK64dQWkNB0
QdsMJPF/ELN8ZI05bYfafbMy8pL47iGZ7euMw9cd3fYNELHfqnITHeEcN35ZsdQDC/dslOUZUO0d
QpQ6VhbL19s38bXLe0mAVOlyAk/Hwn6JLTf0R/NoUXNvF/7Kif7rWCK6Q487DQWEmRBLRNoH3rbX
5jqbaOnnnyPsU5zyrJA9xMDkqS78Tde+4GK1H61bBwTVywtu4VpKdHhzZ4++6UzIM1TY8bbJ5re+
l8c2bXap5R7BP9nGhQoNXCi4Ua20iJbeSssPwFZ5WQ2G2qnrPci3cBk/grBv7dRkvFlmJ1dS6Ndp
iOh45wxejsmYJPLktk/QNoIM1rRp62plZS1Nu5Yi6nYwsp7h6cJ7naAsYcQfl6dk6cFaDjBgNF5W
HuQ8iin+OVvZLYXS5uVHL3x4HWVrjFPmxXY7nArffK3H5kHOHDejysc9V/Ur16GvKzVEh9sykuYt
NOigata0ocBCGqAYZ404SVAo1nyrVU10bO1U+X6Ti7THGRFyZY0VFiX8Z5Ns5VLxr3z1/2dlooNp
7aJMRtLHsEI8DLtpE+/NbbrhW3KABIm6BlownDdX6qq5kTflobqHAdBtsvtuUHpa2A9JKmsIkWL0
PqjLAIekQm3hyVjvmBc4YLL8ubweFiJER9rCpgxWIAzjUB/HoZABDs1WwmPp0VqMV+XUjENvwKEQ
rL6aGtsEbibmWlF5IUZ0RG3Z2lXt5fjhUmUvPDFBj0tWktPS8tXiWtQ5NK9ysDDMdv7l+t5TL1C7
olb2c5ja+8wyfl7+9kuZ19PiHJUmqG8xA1IgxZwl4cwGH8o2sYyDOcvMA9pW809KSPGa9rYRQtUG
pARbcG8t8y/MkA6z9Z2+5zYr4+NkWfQApR5I+NCSkwfTSkvUMfDL0Ls1NkJU89GohdpMNht2dSnG
l7Y1zXZrQqX1B9Ls/AwdaHtl4Xx9BCI6IFeh1+gZSTNEzAbbyS1drKD5puyNH6NBnvMZ4oxx0xtr
gX6e1i8CXXfeKUQfG4XfxkfwgHHJZMJ5IGNjQ91tPiv/QT2wnREfowE0Q+WUH2AvwoCPHfppvqPD
g4Dy5IFZjD0TAl68S6E4qkqTP0swjW8y3sTbqsnnlay3kL91rO/AUhtAXLOP3A5itDMLsDvkI8N5
qf/m19cyz1SmLrFK0kai805g/t3EykfJdPB3mZkeRTE+Spqu7EZLM30O7k+HGxFDwGke6y6CGKK5
bTz1GvfTg/Tlw6SMg2PAcj2bHbmy3v9Zkn8101pGsgY/reEMl5zi2BkgRzaLLt0qJ58+PDFzBRk8
WX2gSZm4QZJbxRuMJdw7ldTNU5/Q4sBSy9tLxzX7sAcRQQRQ/2v/ZjLrDyASlPcq89W1TfPuzZ44
1Mc8QX/3zJ1/14JBGuly0lhaANrdpzOcaoJ6AdjGc2o9cR8OJXNjGzfo0iYHlil7JSyWxtGSYIYd
NR3cHkGIbvy2mKS7F5aDm/sM4fK0jI3ny++zkMd1cDFJE9bDC6mNEmS6WzmgKeHNZfP7W0/XMcQj
YdxkPbjZ5eww9AZBELMsvrZ8FzYKHR3M2wm6fnEsopQ16V7gTvpoFUN+AFkQqcPG1ZSTcVi5qn19
ISU6YNgS2YBieyYjT87qRlZ5eifr2YUCpD1dYRsR+4o17Qe4M+1TDJXIlfW2EKI6klj1osiggtyj
aeUd25xjK4eIYtDE5UPsmL9Gx3+Apu9KoXhhQ2Ja7mkaTBZtrBbT1UEr0p9KKAomXei2Wba9vCKW
3kdLOX3iQTAFYgyRnHLUsVC3NO6AqDQ+MpvMKYp6hXk31kYdQzESKmyXB11Y5LrZEG+BcO2gyhcR
SPPCwdFXwKHYd997uJYRpiQupRxkcpJw7QC9BDqDa5hH6x9G64uUqfsIJU1qq9zBw0/vRvDqBBC2
Dv7AuGijNk5wfR2+Z8FOBNevp1N4vcP/bo/H3XF3HYbX10+3D6DXBceH4Pd+/3f/8Pf4dwj+yu3V
3f54DPbHp2Nw/HvlBZvtvgy2N1G03W6fDwf84y163Byi/U20wXPC8HTY4N/ZbqLN4XQd7nav4f35
X9tswtcwPISvB7CBVrLeUkRrJzIXfhxkVFiAOfSUftXVJG9j3ItCIJJlmPqCvXg15KpXRltY7jr4
mWDq0kyY7hGS/Ts5WzvY+u6B9ljZ7/41yr6YPB383CmY703guUKiwNtBMzkYwG8DvxVKPuIwpRG0
We/aDGoF7nOXFQ8qnndZ/9iXa8SnhT1EB0QTaPwPoBO32ENK53Z00RpsLINjPyzkIVOmtb8cAUvf
8Tz+p2OEOdkQCISC4jETUHpgkV9/VGtp919+/eojajnJMCEnbre0jaBoWB0qqFUexGx72YaMUGDc
TfTM4jxfqyEADmMDa8i8bZLG6kpC8/3dFKBkwU61NIIqhwq153jmvfBItYFkuDqokZJ7Comlk1cY
9W+nmcbkzK2BM5eQBBqL6En00NtNMrjk1igGQuY1BmmwbFpYiNJpQwBIPRSWDSxEa+XdQXVm9hdu
I+XpXF95rdMMBey+Qp8gECO3QhcKhofJZN0e2k4UIuv55D9ZhZp+u/5ILAg5A5qdehY7stop9uBs
G2XQZJ165gmdw4pJdzt4Tf2oGmu8A4KPb33VGLg48nZTuKrYkAauu5Uh5FuS5goJNfaCMSsd6Iq2
XfPMGhveUh3U3KULwVFqMbpymFxIso6W2dGoSiGBniN20za7K2yv2PZVZ69sTUtrWTs7Msj1papV
7tEhD8K6BbESRjH3M6jEl9fwUiXW0dK4A6dfcMUa5zj64ibPqxA1lG2RyQ3hAu5Y9TEByMWoIQtb
k7ukJV5gF1Y48Xhlo1/6fNqBT2RTDVgpKn4wC4To4W2e/rj8Zgs59V8z8lN0TqalKLcbZAGot+0p
VMG3JhvVc5b3+VXSxjQyjWkNC7wwTTr2nJMU+pt1waOxYembZ1XiroOv+ZWviv4pr2oSXn6phZSj
w88VG4tSurN7NMVODL+ys+rpmuTH0lLQAeejnOO+dkURNVJBgTJXLh8PHYdWeDAQaKXE/RljYFZW
WQdmXEhownuWyDfQZhZ/YXUGOeNmUHsL4vBrGLuFSdSh6Gh1DKTqWBlBDLneJVNe/J5wGTY3EDaG
z03ujajDSbWS0JdmUcu5Y9HOrIoRbMU0HZhsrsyU3Du4STO1pv+34HsHts9/N41hKswZZlXukZej
BIpsYBlIrbV9UKxl9zAd6e4h8sMhstNA05y7Zn5WN7dPCafTcaydCiTL+Kz6otpyPxQtu6pwKN9w
6qgVwNjSN9dSjgtjUJZWtIn8WLiHPMWZtGjy4c5sqF8GtpUgsc7jsNIQXPrmWv5JxjIpCXNKHIyt
AaiwWCQ3UzU4R2OMCfru5HvcE6J7R43mAO3mkrXgq+X9fgLbKEwoVNYhQP+99iNQy/+d29wfSquz
TKScyph8lGNoFvJWJXDNIcXa4XghBegQdrMg1lRaSRu5xH9xlH0s4wQABWetfrowITp0fSpl10qH
igiKgZuYS1gJ0A2BCaP/8q0cpgPW287NXWwmuG21RzE/AzEXkGZNumzp15///inr89G10Fmu2shs
+1vh0uEICetTBZ+tXZ4mxUoaXrjN6Qq+TuvNwOypIRpjCPTaryjObvAPmby5zNyOvr8yztJca8nC
9/oeAqF8iGowRjeMDh2AdbIImSXatQPAQh1SF+lNGazoYWMlIlrS32kTb5Qwd1C+2JEevCNUPGFU
0gChAhRpILgttzmUJFfebyHVEC34zQE+WlASz1FcIFedlb6nGXAvQ5c+jHA7gZvNqsbn0pfUjhnA
/zNmmVMT5XO3rx2YiszA6wUWqz8ur+qlV9Fin7kUQrWo3wNeCfANDr7lE8S/x2hKGWzTTLe6T4cR
WJHLo50XwBe3Ax3bTioIm7c8qaLZaYrzEnci4sRiZVqWnn5e9p+CCOY2Fu9y6RxdYWfw1ICvTqPs
eqWWvPT08xf89HTKk7ksIasc9bGNm0Bimofm7C30vS+jJYBhMH2jm3ASI3ERh0bZ+tcjgK8ru9VS
70TX76WeHOA+k7tH0o5/2nGEDYFSN2De/upL6JKM864ohqdh9v/AxeJ7DvdEh7oT2hUOmbIq8sxi
C5+p40zyY2etZbOF2PhXt/40IRNLJYcHVR5xf2K3I8SuP+CE0J1c0/VWvtvSEFqgDyQ2JscFUjV1
/gpZB1N6UvnT5RlferYW2vXQeFNMjLM27JxvZ+JZQWO3BawoirWq9NKS1YKbKFTw295vTlVq3qZ2
u+d2sXJ9dP/Jjn0RyzpknUDEHpcHDgmVMrNwtjKl/1gXQg2BrG1x10unOs02q/f4N4EynEf4JML5
qY9hz2AnJ55J+82D22p/DY9hBtdAsym6A4TvuipIkqGC050NoJ7pMAGeIrMU/hPbuakt0ykDE3X9
qMtUNgRD3+JOX5/REU4KsFsBzKVbFSLksySPlgFPpUCpaY6Yp4x948PZAU6G/dETvXlDYkqP8MOF
Iiytut3E2gnOkWRfQpTkHl7YAHn29giAD6yWJkWqm9bP5VORZN4rTnxJuWkcAHIOLk/UpmBOHbaj
N/5wc0BAOqDtgyolt/BteBgGWC1M6NZ0s1duhowY2w5ublu8prEbGx/+grXyAEesYfkAIsUBX2GA
jiggfn7Kux38mmZoE5cAnsKmcO8V8BcxDQ94TQOQUMMx0i2vuB86tecdDLfZVVMZpX1ZPmRe/9ch
dQPo5nQjDYD0zAkowJHBMwIYqR+K5i+GGruwzVrALFuj29tl+u4zG4Lifo8zQuwdCx6PG0sBuFk1
DJDbtq83pWBwZ7Ov0pHCzDStx6vWdq9h7tFuvAL2MC7QJLsmtuCTZ9XhAMcn2HGaz1BFezdy/Ixq
6vnedYu9sinQ2TVeMDM9d8th7wc9Jthm2J14giowbCuLD7+tr2yHPZm5Ve291LyCktYzV9OeU1Tq
cmdqzs6OZGN78iqPHRbEojVh1BnbG3iz7GaoSkd5WQL72sdqfjIzWAgqJ76qSEU2VipgN4vazABM
q+n3T3bOtl4Be8TUOBqZ/8eByiOv6BBkZ6hpkiVG2HfwYYHv6gZwILkZnCaB2km6U3Fz4Ikbb1JI
S6FoDlcfX92hS8YBa60exUz7G3voe9DU/BFYzP7Nz+v84EH32IH4uWHm3q4qkikoYMyx6yUgpYn/
rtwCXpm1F3Rd+erLCvgD9p7N2VtSNsVOzNBOrQmomq7sqhDMyjKM7fKGj9YPSAa+wAAkko7a1h7p
trn/P86uZLltnN0+EapIcAK3HCRLsi3HTuzYG5adOCTACSRIAuDT36Os8uu27CpvuquHUBwwfec7
Q7ENfQWe5syqTdB0KyCTucyUGMMsom2EiM5hg5MhdiElVRJSOIGGiOCCoYv3Wpv4T9MGz4H2PAzu
8g0B20cZwzYW8uubaeqvi4HfjLw6Yt0PExSLOwlZxbJ494rHh7Xx3s3YvFFWljtPDhCWhtM9G5zr
xhdH6jeIahyfg9i5xjvE6dGXaVT5QSaFt+7mYn6I68VLTGlr5JkV14HsX8M+uvXWEJJ/3v8SmrlX
ka/w9VjcXbUewjCXpnjqQwxItH7GxKFTBOQNaToy9p9595dNsCCEEgiRrMs29cHqRKBbXsBDOycl
fXPa8GGszbaKqxtkZt3S2LsuRNH9aheNBjjSVDLH079G3smNGOCVKhznRpQErgeVNybUePgt10Hv
eWXfkdE+Ip9bPCOjFrGHHMahKzxzMj4pxK9y0O0W76Vy9fd4lttCmU0hGMS4Edp8LECa5kz0DiEl
PI/nWmBkT33mzdJkZRvknOl0UggTi9iTQuDWEwhoXoKk2wJ87/gHoMwVM7cQrzNHjFSzUme7IHcv
CXuMbggm6hzGqSzxhBunDi1zoJmHPoCDDHUFxYhQ9TYuysfZR27s2oXvy0jvNLJaMvhPlrlqIM0J
yvBoI+NnpG6fZKtuZoPj90qrMpU6+hFU/q/WnbusRcYqirMo2rgAu1IbxX6ml+Y30vt2QTUuOSAd
hIaFwZULc7EJOB5ybIv4ziXS5hB5HoXVr05bd1mMMgA5tMimn9aVZG4R7Se/PWIJfIiEcHMvUD1C
pP02wXKPralscsQzIlUTCU1pLeyNQUhS0ilSg7Mf90mzTD8JGR8dMdzX4XwHw2dg0bEcU9EKYEat
Ai1cDN/RJg22TuT9ksY+wuUURjVlA74JZxkJpheBTMPel34WBBIM+5E9TN64GdU8HniFSEd/vjG2
vK+7/prFcAspdGizsPef/dk8dRbJGlp6+wFRxcghdJ/R8m0SMeB/7EXw3RbxC5D1lyKadn7hxAi4
o10Sc/rMCyQ9Gqtf1hIZZaDfq9xMatlBI5FZFe4B8KGPv+SIRtqPjkJWkIXr57TioaB3OvZefyxD
sO3DylYJGeIjhKhIfAzqnVzBkXdY3WbWg1GIpTD+XxDLxstO50B63lksZU6XXiUrjpNZwMq9ldNL
FAxA1A3/gw0HGoVZH5ZYAqSLEQoH6LYtEyZkcGPlXGRq8stsZHTdIvnwYGuWBhyVIzbblPXVkZA6
3EQMiXglRfZLUf8JKoHcO5D9OyA+CNPlp8QhRN2qQ+A530OL5BPwbPbYGK67cURym9f/tOtaIUZ2
rlNYqcGdYgwQ5GfRRw8oSFcTDg6IIwIyRYjvJJPBHt6PMCddCXmbkAGcK/iZpK1BkJc/hBIRrQaB
gBVEEF7gfOtKzwHiDOJR3IXfig6ahNEZkSxJy207tR7GtZoybNT8xYcCGxi/RjbxFDw0U0sTE7YG
P1efBkaz1rdGT/OdJx3/QCC7S5FOUh8FHFSwTakrIdTtOsLHCwnF5rtZ7A2RBG7HQTjCy5T+mVRx
75fIMqq4vHF0fwRno08gJNoFDIm5FRKmUlWECMwKzY4GUCPgv7sYCx6a5GUEI0EkCuWk4DXYMi72
ZqqQ5qZ9+k0qJo4gPNQ5kuiKVIZ9/zRDTHzawMpsWPa6hzm532Qd4e11RWL4nNmKYj78GKY/EIzm
0YBWdTchOhi75RKKb3OPgiRSbgKAm+x1XW4HpbGZe/1LPS/I4hzwSSearYAZG6/4roIGMhTEYRbT
7xlpcrw2t50c8sExWzpO0FLA0Rz+YF4q5+kWkb7ZtFZ5IMX3crwGAAJneL11SBema+EfJPO2ndun
g3TfVrhIICVgqyZx56l6X3c0l4ahHu4OxUhyl+rrBpFVwp8SxyvSFWxWH5CrtuNL7Q2nyYQ8S8SK
DTQqT5l3eMjSVukYkm0crQyHuPKGEokY0jJtyPjUabHx+/IKB5RsEMVdD4OHACqivg+fkanzrWW/
FJawyOV3jSVphMygpFzrm6Wcr5HMRxLI/tJgDr/1oobSA9uyN0OR7oc/ZthaIdMszEKQwHZNwzNZ
SkR7nrIlvRdX4K4IV8hcMO9VKbo06HBEpXAah7qGePG+A6l88LB7icl5GXHWbbE1KYo0UDplyGl7
oDzclLy98geU8H6EE1AwLAct7Z7UyCyOi/V7pUymlUr9uYMTkEkCz/smvKpIAtZjR/JVUpAWGiUf
2+/Ce5ipPAXjExIjr/2lyvoKqYNT00DUTy0QlqZohn0fuP3WGYLNIIZmI4cY/fWB7swsg22IZMvt
rJS7jRW5nru6+lOUkKG0odfs+wW5c7Fob2YYqsD+d143S7FchZRimVgGhLEVSJlGpi/cVha05gqX
QAI7GQVGWvNjjBBRJv4abHavdax38LjzEy7YzVqAFuVXDuLt8eamxd3PWO9l6UABY5pnJFVGWdHS
Vw/iINfC66p38UZA4Bmw3OCFUX9wN9aD/AbinNgbd0FU8m/asR4OFm2TViBRYVPHIjx4kLZQ1fcZ
Eu38RMoexyrpl8+IblTfB89GaRgA525HOb12cNQ4OjBEecO47Hegi9UYraTcVXOL3Nq6E9eCeM41
MtYFAv+YwpK6Dl5SV5PHU2Vk+S2ucKI1bag26OLj846hLL0rN4gCZCvXkKqXOsau73VoNuxmo+Rr
LU3sJ1R14la5ttvMA0W6N7YwRMchIH66qye4Z+caXNHPKDcX6uhzeXMZwytBCFvshVrWDBa4iIwK
y3c4w/jZx5X6BXD2XIJsFWTHpusKmIWardvDYrc1YdrV86+iGb+Wcuad65C18BbkRM7qIP132BBu
RxHgmGSTGWcnpNOmISIorfvj4ye6gPq5p3f5D3SCpDtOer8dDhCM2ZuRplxkq7mKPsu9uQA0/6VY
/HN9HXKO4PYAHkbYt9rBxxfxoXszCaV/Fte9arXafPwkFyCOv03Bf36JrWXJMWVPbkY4lfZFVrHP
dFOXPvsZ+AOnHcqM3wyHpu/ulgHTujU5UIqfq3G/fe3uzzAgq6Ze+34xHCBVCfh3bf58fN1Lc+IM
+IFCqeyKEOY0gSduw1htayW+h8zcfXz5C8PnXEJsa8/0YQ9jmiZClVMfq3rN1qFJlfvmR8Uns+7C
M/w/ITH4p1PE8W4MvdbkEe1MOX+iobowaM4lxB1i3wVdcemqunPDn91narQLI+ZcMFwusMedsDAe
TiW6CU7RMGUSt3WGpOivIejnMsdaEByDNYhJgdu4CZL4dLKs9hOI+9IrP72vfybTMgOpIdE8HEI9
6WQY7Jy5zckXom2q7cdD59JPnHVpy7pbJzb1w2EwfMMLvuMkPES63318+UtA93kiCyKmo3gpmDxE
bXxbVIiTi25JjahtYe46/buMLawll8dOPH78g5c++dkMXpAlDGebQh5cHm26Ms4KTAl4ASR2ePr4
Fy4N1rO5vMSNiaOhHGBHIx54SG4Cuv78+NL//THouZyxGj2Ux9WCj0FjlASVOgBRQ2bxZx5prvt3
Sv1/lJieyxXHedDwkrbFriaE/iSIhsgpiclOmKXcgi8ZwJ1r6nOwd+TGmcCqSlAPT7u+G9qNo5U9
jG5sb0nsL0OKSGT6rR4Rc68Xsx6WIBZ3LRrXG+LWU6biledLWEbPQR3Nt0i2gLVRS5ybCsqXe0Nr
NG0WD6f8muo9DTgi4Sec/EjXHGskpWc+XSy0Qnbd4jBRXSmLBA3kEEZ5iAwKRE5rhHojqNN339u4
tr/mNeKbMVYcJ/6pSi2fhqNsoemHTT7qjqZeZ6jbuxVdlXChd8Qd6++FwwYkJvu9ffELE6K6ZnOU
lbzpIJWPoj03g32dWr9O0Vhy3jrgUNgx+2VTeCZ6d+gKBMaGoJEgfllexRE47HE4uhvaUNhegraW
otA6QVhqpclc9+utruIuBwo5PrAphgOI9Yd0VVEPfcqotnNIzC2qg+jNt0gBHtZp3gzABnK2khns
NTLA9ntBKU0s579JiHK7DnWNGHO5PvsRGuGMICU5UR13ricKZ3Lc6QSb/mqk/bafx+GuGrAhQH00
z1lUlMVtZXmMF+yKe9ugVlbK52HCp0gco15GLwoZajdR0IwvgwfMxY1rfRWf3PijQCsYF1XLLxo3
LdSoI8Li4Y723caxhdgdM29aw+HG9FNwV1fVmuL9t1twh70fVTOu+ehMiPYLWtxYoNcSo8lRHmRw
kqJTPEdFbgi82lvB1lQxQELMjeVmILgJiC+dH571wkQj4vG26OCBMLokzIPohJQ5bfdThDFP6Uii
xwqDCqnvM781DKbFGToky1bDNgdFAaBftnhmuyA2OoFVi7O1U0kPU+dayL37OWETHa+UiQHpe6EP
BBZHp+p1dpCQjdMm+ymhFUy4UmwbICljB5+tDpH04rGLHfpoOvwx1s3fDeXtnV8gRc9OCE9gARov
Y0m8m7pr1xzz4riMwmZQTDZIu67XBf2DcrgGkRwn/rE12ToBcfbZXQxbDbyFaa/bESCn9b2rlnpk
o4eWPCKGyhz7yLJkjDuY32Iu/8AIhB8GQeZFstSk7dMItNUuo62qU66wB/phGzxIo+Nbvnj+QZV1
efDDBQyskTdJQf04UQvaGIyOwAucucrht9GlAj/xCF6XdzBhDGeIkhL90rEZ6EJM56diiOOdLXsG
JJKLDSu09zRJFd8u0BgBt+PlUeluAB0KuHtYzshimcNuC7ivunZClAnxasTW1LZP+OpqLN1ddGxq
D75IxMj20a1K8hAREA1ARi/WZhNA/3jUC8zcPTWbn8SZxjSKRu/WjO6yt1PfZAOG10HBlB+BR26/
8Wf0OOYe4A1TqB2IWWpUk1zlzTIjytot1jbF+s63vQ6mLVKNbD5bTY9l1bZ/vK6oUsgbA/iT4/nG
KWSZNqzb0NpUuWBaHdEBoACkUCtY0sltKF2bAykbEQvg6q3vdU3eItN+4wRY0OqCOXlEBpl2JAx2
NgqmzWoclkH9S7beoNYs0uiVmXWortbJGd8owroyBLjbZ4Uj67NmYr53IPLJkDbdXcfOcopnqes9
10CRK7iNLesw3UWxMtuCAKJEBLxFN8Yr+UGi3kx8dynSAkFm6Tqid1g07M9YW/bqcqRXRNDSbCof
5WXkNfGWGnGlYx++/QHsBbxxPZrWC7dR4JK8mtEbBB7OttWgxi0x8LRn+JCJCLun6gR/V+gkZi2i
VxPWFohFwYr3G9TcEpV7NcMcg0bXc4/8DHB5mP2x+rZ5RdvdAcrpAHMfBkDZiNTeQCzCd+M6DsjW
9tUVjuxQMBvgHkMyqpDdx0XN3nsv0CkD1PXq9AgY6Bo4BAYe8TeltyJEuvPQPxpHd1sPzZoWnDnf
67EfQFVWCCD2iUQoTIzGUxD5AZjFQXGlW2SxF17j/4RkQWxmOQXPM9pluVym5UddFcVjt7j9rqjw
GmB/622C2SUqkXOPNQeo5RIoCG+B8l/BlUBkVGMvHSigrhU1zBbU/TaDdrpOBFVlpn2+Yju0Oqnr
7ro4echDNHUUou2uygUY1LBU3rZXLhYqYS1MQ8pfFMlYWetrmVsFAu7oxPzgOgDT13nWiYuDwh3m
jQW6DMQO3lLwWplteOoYPI2s+kkJ41e+Eu22m6rx4OJTJqNHXNiBr83v0bZ6OzmlSkQT/YaLEMDi
pjcpzFWdEwNxuEZECLxFBK0QdVwjG5yj+G97A6uRirv3tPd/oaN3V8rhakZHIUFSicjQUMafQTJV
MjJLdwxHny1xApgo9EuXhmgC5RYZVDkd3T5B2hCSIpxlQtBmjw7s3Iz3AnTLjV868Iyhoc7K2qzY
D2KFiVTCTrkLtyamzk04YlXgntqGVnqHOaofYlKvt6OKSS5aeHDRGs5FAXaJtCfTT90CV57MdFcV
gOTrPoKYB4ZBZdHKPGbea7y0j6Ift/7gv3UGwm2sYdh5PdjNULq+I3BoSHzCnoRFL2KpVjTtpiVM
qhX2AG0dxRuDrRqNgOmtnqrfwWJg8gLq0sbllOZl4f2pPf0tiiM4vsC8wm8iGBLSG+ZS7EI1hMNj
izvCeeaxHx12BSDOvepjvKE4Rl4XGs02G+hJjVaXTRLGlP9oKHmCWf2U2BL027GwPTrkak2BsPWn
MBG0DFf1oif7sxill07YJPNwiqNUhPxYkvAn4MVns7AnQ+VPN0QU9EmGmPPWYgm0K4eDzuC8D6Gq
stALvxc9VrEYS++t9E38WocwBkY1IzfREt7BgRKTyx/uw7D4WVeezPwSTSCfwB1HYJXagAag0lEH
b3HgIIE2Yr/tPHMACrIFmqWOMfUhZxUL2qZR/NtChwc3I9UCvXSwYPkaTwkXOTSiXJsYAwC2qIco
YYpDA9QFd7zl77DZgulBBI6DGYybjau8lVTMmUfEkgYjM+iI0wFuIbzfYUagqibS3bo1RwvIrf40
tvjDBHyXutjFprYAxJ6htAUIHf2AT+IVk2EL957iyV9gRuLj5Agz5GEXnIBt6tZDjiH3KucGxjXR
sp6ae/eVq5pMo2WWxmqeTt3+92FlXlqVFidd5L6lXKIX7xlkBC5S+5kZ6yqp+gU+gI7O3RnNRsFx
ZCFVPVxhvcBZWNA/AY/XPci4z60pnU1t5Jr6zPRQTBePrcPaJNKjyQkpf1gHvz3Pk5OEZOLpgiw/
IPOOzhYYfGYu+uSpi6NgOFMn6QYQBEDBvCkbM4NBzIAixnOE20HEEeLtXo0H8LxlUzKu5sH3ojcy
MjRpoqCH9RMOycyCtKBHbCumce9c9JD2Ej2wtOHxlIRchKmOEUlpe0MSEq9vZG3n3NUu1Hvwq8Px
mv+BzhdlcVi+9pQE+HlQJOiyijTESpJIq0yODIAeyvRYJCAhPKMl1KbEYuuzWG9yo1BBcMcGm8Id
+veKx2VOYEd2jTVYX1FsHBvpCvSABX1QwTJkfF5B9KWTfu816HkwI0UvBRSRYFO2jfqu+XjdSzAd
R8TxZeBYrwd3nJ8YX29FU04JH3h9M8weeWhhofigSU0eFNxMU974RdK47CHyaXUbofkE0onlm0qR
3VoG9Lo4wfR1zzdSsxJmVN26gcVuswHci2eHOpevaDQood4GMIyyZpgepAjD3HfFtxVJr6AUTDdl
i+POcLKWhbWRSotleRwa102MWF74YtGDnZWLP1vEB+AjIoWrygvzYU3fAybu6+MqVqDResLyH5Tf
uk5BSBybdlfr4o1VUYh9AL2uoYTgVqJSSmtFfjDaPdC6woYzY/7BCBE+a3MXJGHb1/iLesMxp0Gq
hYmSRjdvUqpb0xKcKAunyh0ydhs+FTB7I1OZEdY/qL4+mMXAnQz24mkVaIteFsgTdiTXvGJFTpC8
56HtupGjOVpVzykpkBMZdGjRxYNbbhSOelCSaSy3nREpuFCg4kztzbgs66Zb3cPsedUuqEGQL4Ny
hkVX+zteZZVOOM+nfS0oVkW32yxlEWYoZ7pEj30B7L9e0k6j97lAN4YlCNs+oc61jLsW1nJAKmFU
JHdRUdRb7NE8q0yIhWSFSEpx7ydZMZLLJcAD0Bgd7a4DD2DA8aVlgzjlk6Me9otXU3R369SjlQw5
zYZ69igg4ErJKVvGJ1BphZrwO7oEYDpFHrsqJ4GNSQcvMHdGJmOobDohm2wrF9xQu1TRvvK8dROo
dkibdmZbGwnEu/lekxESQQI1eGkg2p9Tb2L0KimWA9SqMyggWxMMEPOMIHO5EgWYanuWur5bbqPO
nVIzsBvQGuBKFzaA3OoYZnAVFs268zaIO2jSmWmk78GQPlWIfITprnqOllEdu37mzw1vxTYoOj+t
6r69A2axIHKmbx76xZ+x/g1FsvQgbtDBeLls7Zo1bsi3Vkb+DibmsKWles7BMzL5zGych3bcT456
aOsRa2vQPRervWsmtibTDDsGizPHLnKWnxD3PDCDHpdeRueulXCTU57EIBnJmFRNY/JOCSj7O7nc
exXYV1IRbJJIQ0wb2P+hbQbcw1cr2dpeDkkolX4GORUKOM2xb+E0j8nWCjTwIwf0FzltPTdAxn1h
N5PV9kBF+Rvm3zqfTp8XVhr1jUAH/dEHSLeTqL/gK8dlroUBFaoB7QPC9kPshzwLEOgBsQ1NwOEd
vhEtxYOjI4j6ZufBrlpkhcTh26uJxJEXJlWcIGEEjaYx4YgMSpjExtjxFTZ9bv0mjHgOPRjEqcmN
fiyjvhtHpPdKKOxyzLbHdnbRU6IAI4oG3aVG9Ljg5Bc7bYOnlUmAzxW8xZyIt5uRMHrtaidCV2qo
sqovuzLVvCj7q4YFxE8ccSKqSF4sML1VaMKWkrmoNX33AT4m3p327HrdSEOPwtHTTVj12GRRwXZw
WaQRBp0z9X61Nx6UGdlsiPnBl4j/dELbXokO/PMWFkS3zjhW4Mrlk9hy4jxFCOuEp2M3XxvWeGln
wmbLPJQttiY6haKmPsYlldedUcWGBCvCDegE4zzsJhth6nDLWdBv40qDTenQIHdg1JuBzjvexuAj
om5rfHRHbYMujh/CiZGUXjaHGisdDhEbNp42Ns3iU4+1irZy6Ok3PTkeOsMKKrlRluiIr1QcSNt5
RzUVajOCRLsvsEDsGqdwUpTJp72YTNnSTvVVREqUluGKMkbZ9iCsrJ9IUxeY+7zbIA0y3EBUPyId
kq2ZDPrqqm09uQ3sqee6NsvWjysAa8jhgxcl85eUQk2TYYOaYQjpyHtWgWeZ9BPrHk3UceAwfL1m
bsNuVxyNcrid1OkgVLWH1Up8zybr7UnTDyhvy/4J+w/k1poarAZjVb0a2rjH3gdpoYgHDXoM5ful
6yIQvrQKk0m19Grw+LQLgwG0lzpahpu1a7pvMHvrs46y8N7Fwe6aB7AocOcw0DjYBfUtJdTDP4tp
v8woj21Quu9isf03QQBYhewEthhQNANMy5w7cYSFiRO+CSfBngte2C0W8hZUKYBVvmQVTmFw37Qe
b8AQFb4M0naZiszvY/GJKvMS3nvq5/yD75c+b2lcUHkg4EEKrE/4W8d/fw1MPiHk/1xc8blxlOPJ
w8rvhwhGIC1wtS81nGAQ/L/XnlezVuvp2lF/lN6aknITQWH86q/1l/oqiP3931/oe+pM/gKTbBuQ
fRRWNz7gv6+9mLOWh9tAKLZOBCnA/rUl93DSZPqTd/7fvQF67ti2rsqPDamLPTz7rtdiemIO+aQ3
8N8tXPqX9v3P5+TDEPHO+Gy/VPyHLk8iPnqnhhmpQYxe9aBN+y37RLp3aVyetTgYCOAWLpXjwYwl
akn0+lQagazx8fv/7xYNPTdxC4I2sBoV8F7gdGEXDm/sIfMiB2zXh49/4cL9nzu42X7prapovEfX
Fe5jYIxExrtpvPXXx9f/61r9H12Uc/e2mYQ1GRc05mB21eZ6O9ZplbU/wmewdRMvyEL7JcEDlrb/
nQYFfOhB9OzQAYzalBfBNiDgYbIx+/hBLn2Ks3m8jtOJxVyOh0V3ubbgLBn8ikp8/okZ2aUfOJvG
bswWpk6+DePQobUkAZIzUOrtAhYiisQo/fg5Ln3wsyndsRpLhIawYgR7S6OkXCscONdPhtN/t9fp
uVlbi4JYgJeJtlzxMJUCaNl7L+5Pos9PO9WXfuKsbVlBATTrOBwOnZtNODry8I7wJ6f9HsB8+mvv
6GxSRyfGktO78R5FSq5QnnTjeyu/tpOde7FFxoCyFiDEN174UwHmWt5T1NtQdOcf3/0FO316bqvW
OQVKVzYUO/gwjCKba7e8Mp7fjwmKUPTEgXBH8D9mEJjrEXU22OVI59Oxvrc4gq0oEyMwn9GABAOT
rDkL5+43yhW4R0YRoJ4pdJJK6eJrL/vclQ0MbQcSe4STKYAciM5AB25NZe19cvkL0+rcR22gVMaW
IhYFrB6YnQYaeIwTujmibos9s8EXx0x0tj7UTolzveqDfQcirI/e0umUFjSfTdtLj3G2OoAS44nB
IsR8KJ6Yvo+ESpTzwOsvsXlodLYqIDOTlTNCFVH7gZdbDPWVmOwnflYXVpzzlOTAtT1ypma6nyj8
9HQIIYMBmvjZi79wkIjO1gOoSzu4KobrfgjbI7qG94zUn8ykS5c+WweEKiYtT/ordGgewgHVmfzs
e1649LlfWQSX9ACNJrqPXBeMVBywlfdZwMOFsXLuVmYglYqsS+legbcuxbPityz6PXuvH68vly5/
dhR3Zq8pfQdjJWpflA88w323sUq0/9lWe2HAnDuR1RBhQx3n0n3XoMFrOVpfbx5ivD++/Qv7x7n1
mBeXEdx2kaIbu5CwhM3wsrbL996EB12g/w/rks9sCC9949O//+ccWiK81fpIlNx3xWurQ2A4n1lZ
XvoEZ9MV/A1i2zige8ctpk1docMQt3Q5uosO8pYXAE4+flmXPgX930eI1hidZ6eCI/QwBSdiuHfC
R78V/dfSsem57RjXAYIg6ED3GtYcM3n0y1cDG9yv3f3Z/J1nu8QAWhGIxJttOTcZI0c61J8Rtk5v
+z+OtueuXtBQRsxGhUXkg7gt+VGd1NVqrfOuCDb+6Oc+aCbIq7uhoJLSeUSb4hVK0fRLD3fu+TXX
fOHjaZazyiQcBJoVb7BUnw3eC0Ps3NLLb90R8ghsOEr9GuktjQD4AOctP9kULszC82jjyfoGsvSC
7l025Ssy+zr/ZYHh8jj/snbKPn5Fl37kNKr/mYDSdYHTEISjQ+iaqPK7QbYLgWurEGiK0uKTA91f
s5H/Ggdn81x53byMvop2ktQQMvoLglbLwly7Km7uwFyh36pWIL9EgXJ11fXQV4WU22uw8LW7Waz2
j06kVWIq4l65Y+9Cs9rFB9CG6gxdAHMddKF56MoWZpAABd+1bBhEk7Fub7vyxN8oZChvPEn1hjIi
MrnIZUyBmaHra2TNroJCzHk5TXABEzQAXaQDp2CZZQloiXu7sUOSx8ZtlnoXN0hXwn2S4pNS/NIX
OFuoHArvNAYKxl5E6zZcvc1q463qwJJrkHUSel9if9JzS61ajWgbr6489PKWhB7IOqCULO8fj6IL
y3hwdsBgHRqLoGHJA/Oh/kJPW40y//jSF5bXc8cspH4oEgoxQCl2fxLwasjkFvPJuLxw8XOHrLLr
G9D3OIwAyZOYTeaLFhD2ry/d+bktVjT4I9TFIKu6LTqpfb2NThIR8skrv3Trp+H0z8Rd7RrL2Tbr
fgUowQqZIlto1J+dL/4KE/5jwp57XFkFt2fOVrbj0JI0KQ/RliRNKdM2Ao8iqKfTY3Xm52yssyZu
W8y/uRdwnEWgse/Lqr8BZ4FlsnYFOtlln6uAfGYPd+nRT//+n0cfvHZUg9DOfi3Xl6aGyBUa4y0p
kB70tS93tlppOPo2rh/TfcMtrC0eYAaeIGj+k6tfmCz+2YTXk/QVmXF2G2tnq53qF2+8r9752WEE
rn+DkQJGf0Ekkq77NnvvDf/MovPSjZ/P8rKbfLLgtcRgkSbRGBzdzsSf7NUXNtO/O8c/H7WcaLRE
I45RAWt+0wn55WHV/rYEZl+xyL/0Xc9dqiJKoM0aUKw0IMAHYBwQDelj9FkdfWElPzepUq1EkwTk
ib1eJxDb4KM29kkLkqCPrt8iv1ZbnDtVId171uxk4uOxtwVhURR5COs4ghn1WYTLBZo99U7f6J9v
sTC/HhX2wX2PvvqCiMkXENbKaxJp2EPYsezu44CobEU4dpDHdVvd6xBkro8/0gVo+tzGampnECH+
j7MzWW5b59boE7EKIEiCmIrqbbmPnWTCimMHYAP2AJunv5/OKD9vKFV56nKJEtFv7L0WILBHrx+3
Fa5F+x6TG32uvWCTkeeYXdmbLvRmNhvkYuAueKGw/Y64vccV1KpTz5d/wcL8xGYDPC4cF8bFlh6B
J7Ibpw1++chT4w7nV17R0gNmo1zaCkWtZUmOachuWNw/KyGPnqtfLn//pX48G+eBLvqCo/T56BTq
1iqY6iY/ecINzVlcQj7bqvvanoTNDh8Ik2VCKQyYMC3MpsRytlHCOYIOcoVjs/Ci5kSq0aS2yHxn
OjJlyXqQIQ4dskR5tWjLK22x0I3mwmWVlqg9iAGFDqx/9AP26nVDeWWlWPr65wb6axwK6iJGCWfp
MQzBzkGRXdB5p0qQzeV2/q+r/2ORd2fjnJTIAkiReXUE3D+LkFnLkSBTM+So8niCvc1BGNPtzPA0
olroPNDNWhjrvExOq7d0CmJcFSOLcfJSgtJaT40R70pUKHhTszuXqL3ysKSnslPeoWz84E9QF9ke
hAR6crQcT7pxINBi2unuuzQP3oOY8G8UhPVfqMlmAwAOofjWh9zuwLAQvyWY8tfWyYUuPidmxaHO
Y+RmtchpRpWy4zr3OXhHK4fWt5r7d0mlv3b5NadklYAhU880HeSn6QNX3QmVJ8gDaz8uN+HCZDmn
ZNlaAsbXyeaYOKZal2BmrMrCe6iLElyE5B3olmydCXtlylx6a7N5xweu2BLZ2KNN2eMIUnY1lNXe
NDlO1xmqXuygtpd/11LPn01BwFoIV3cEZPrcSuSrp2HUsIGBRCSuzD1L43Y291BSJ5oYvLkAxf93
DITcp8CfwqfL33/h0+f4LOTCOMUEK/OxMeoHgFEH3mOZvvzZC+9mXhLtS4xBgRSNI5ScB6RpbZ36
D2hRV968wNzyjzlhXg4dZjbuIVeoj2ONLdiEhDRoFlqv/cBofPBFB8ar/VNL7/Xyj1noUvPC6Laq
hDNRt0aYTqP4P3uIdfLNs80h61CNHZfiyktbapDzy/xrKk07dKG4ilGoQxKkNk8PU15+Xv4JSx99
/vtfH037ARk3zG+OYjL71IQAi2BuvPK9lxp7tpcYtactTRnQoVn9C+GPUwnIMlTT1/b0S5/v/u+X
7/qa8d7Nu6MD+Dlut1sAX4R0KDJlG/drEY7/ZOx/vyCCnY/nSn3UfZ59R3EVj1zIqfdZH9qbAZk1
N37g1l+bcP/b0/71MFsBTGAnAj5az5t1ljYj0EwusqYgVb1yVFl4Z/MCaWQuDwQlM/wQVJDWPgoE
DpBEeGX8LX34eab/6/uXeQtMky1BPgXIf6dKguvVNA1h2eHp4+UOuzDE5wXSvUhBi8l5dgT0KYPH
bSyDJxtysaqwFG8MPWcXNwlyx9xBgaeNoJG48uSlHxf874/z8iCLOUAWh8a4v6ox/xY3DRYpeWVO
X/r489//ene9TVzMJj2A5762QIXLcUcEQbKlSMcrbb8w2MlssDs+Ct16eC8OBaEdKiuCftf27bUU
rvN7+MfkS2ajfShrowwDyBPKwwilqzEMvA5IdKC1Xm76pQfMhnueBnxokKx3bO2AAgeHgm1W8Db8
8GkQ79w4THaXH7T0nmYL+OghMZhZmh+Dyqt3jhv7tyA45euvffps8UautQecnF8exxQ0OJdzlFnR
vr4SFfz3d6fzwummd2Mp6hj0707eoST2xePX7jT//f6RsPK/PVQkQdmlttFHUrAXZBeyW4l0zohZ
71eLaPbD5dfz73FA55pXlCjSmovUnlE18A238U+psu+VDK+8oH/vOqmYDePW8sqXaegc2y7pf4Zj
JXaorE5+172HVAkUaN4FBepNEfPo1JU1ZCEmQedJgvVUeABPQ4TXZSNCijGoOZ0cPpBPcOOEbOva
1t8PkwPicPi7Y8Xr5Te51BXOf/9rRjHWDXzUQNXIvKjvyyR7aYLyylBceomzsU5HXTslgXwJrvMs
0gkuooH3OU3t+JpP/AfMfrc6ba5kTv17m0XnqYQgmskejmskrkOIkLb+DgfjnUi8TT4+0QYlfJdf
11LHm4164rYoCCgtHiMacPPYL6nTR40qhSuz79LPmI17q6qE+MZpjgrhzbGAfRmkNmY18nVeaPy1
MCGdpxSiwhnZzQK/AqHuR5dDcN6nxZOfBH8uv6WFXzFPKExHJtNUtXhLvASwtQgfHIGaJRrcdrbf
IiFJfq05/l9iIaLyaeeh1UfEc3apHj1AUBO6RRKy/FJKIZ2nFBYNmICT50H75jWAI1ry0TCKRMz8
i00+l78GfZxRh+FlebIGMxf335brLfh6fJWiImRowytDZKHvhrOhDmRniGJZnBBa+lgHb4L+0PnL
5Qb/72j2/9d1Gs7GOsoA8tzxS3sMZZud8lFn/SoYbbAdVW/+WBC81p1bdE9FVrHv8RSMbz6ArZvB
s9nRaB7uDfXtVhHhbcAIAQlOoSRNcicDaEWzj8vfcmFCmicmxsVUSBrHCFsKg2uf4M5I5wUlpbeo
EQDgMzip0bmWnbH0smcThReMAy897h7Pxd5Ab6J4N9ih4nF9+acsffxsnuhCoKddMBYO2jTPuVav
QNf5q2Ycfl/+/IVlfJ6gKMKJgjlbxofG/eT8yT0LneS9O3xtUM2zE8NqDEkKLsBBl3d+/pLTR97/
+No3P89Jfy1ogHRgTUZp46H363xNJns3FTjt5VQ8OspcC68tvZ/z3/96SqZp4RZuivcPXQfqc9aq
e69R0+ukVxpgoYHnqYSmoogTTIFzEFbc+Q5Kk/NM37ROo66sNP/BzP4xZPlsOggK5EajoCU+kLjB
5TOIyLduAgKDy3G/ttIJyj4l6Nq/je5R6Yc+thnDFhA/5dSP0znHKEEB1A5ciepLhxs6zz9MMrdk
IKs4B5OjLOrRjU/18Hm5Uyxtrub5hzWKBmPXGOdQWtyAY8kwKyxQJyGKg+px14e60tM4FGSVCxSq
uhOYb1eezNAj/vWaZxPB4DmTahOMJJ2dIc1FJ5zHBnlbIO72YfXQlrF3UF7A38oi7IEPoFlwE0wE
GbuheNPcDZ692re7y99mqdvOpg1Zigw122jzwINjOUexVE5eixDxZ9Xsv/SIeVLjwMZQSR+tGINU
jzwXwI6eq/ZbgSzzyw9Y2FzMMxtxQesLsFZhcBb0jo8fnoOicmk3pE/A2f/ztYfMZpG2ykji1bU6
Btn0hvJXfivSLNs51XCXT/YG1SXTlZ+zMNDniY6pECRFoZY8YiOT7Jm1UR90epsy91qCyXlA/6MH
zpMdCz8LbBkmGFeZ3xySGFCZgudfO9FD4Pe/MyGC5bQHFhVa8ea9CT5jVOi69KFEQePXWuI8rv6a
aSvNwMGOg/igMvOsJMqyxsKt1n0yvJOEHZHnbreXn7TUEu7/PinjU9qxPgMyH1j/dUlVBSYTUB0o
Leeby49Y2IHMMx05ERT4IJR+ZlkKAESrX3RmT1Dx3FCrngr4LLtyvPKspXEyG+sJdEx+2eLF5Qzs
HpSnDv1vv/iUGTgL7rfLv2dhPplnP06F3/k4BWGxzfuoQAZfFo20jsq+vzJ9LrTJPMGRacEEZpQQ
Ne8HhjsS1E0DDmyvfPrCyJjnN6ZZClv0hK9fGPfgG7tJUu9KBGHh7c9zG5nbFCksAeKglez2OkxR
rBoAVpY/t6IB4CW4xkJdekPnv/81PgZelcFYYDp0yzF/GXwHHCTIKt7iCT35cisv/ZbZEFdFk4mC
18kxE8+J/6zL8sDMr8R9b0p2ZdX4d8SW+rNRLglgGSxFZeuozKtPVFSD2gNdKBoc3K0wcMcVyoz3
joBK4PKPWnpvs9GeqmKEf6VxIHI7duVJonAIp5Evfvhs0RfCYdWIzCekTH9MHY2oeec0vfLhS4Nu
NrCrnFkUjDfJsUJqfJohy5iAhA3ieeVcecLCNDXPGowZbXrTY5vgCpwqkCz/jTD/l+nV+4QqSsrx
rjJRPXypIf5fFqEF8ANpqvGBjs81TDZTflDXiKYLjTx3a6KIN51QexIf+PAsyLgS9UdC3y9/74VR
MU8glKZKMnA2HByR/kgLGk/+3vhQQqIMgnN3c/khSz/g/Pe/RnfhFSXIbOfdQfs91wDDZ+1tPvDn
y5++MP/NrZgirwnQZJgnwNXYkRRcFiquHMOWvjj73y/eEVKWoHfF4IwXpzDpZQQW06PNgRa9/N2X
+uhs/GYU/pjM4+Ehbm5bwL3BS1gj5LQSZIg87awboI8uP2mpoWeDOS+p9VkWYwdCushJDbDhaGY4
YL2qBFTpWtLnUmPMhvU4BQnyt9v4UJHibtTqBjlDVybwhRljnhaY9N2UxOAKHJBq4kapm76kLbIp
HCYP4F9cechCi8+TA9OYhVVN8f3jBGgPqJJRGbFKkq/dS9F5VmDieTlRsDodeuY+aQApfZLvLjfw
0jc/v7a/BhnPBjgggPnAywh+1j6cj3yEYLcpq2vhgoW2naf8eXUP6QpiksdWNu6WmNQ74Qa3ubLX
WGre2fpMjWY4jzTxwTPODlTNlfEeyrwHN4peadulJ8xHcw6G2uSRGFpq0FubXwLglgwFIddkcguD
mc0Gc5okPigx2Bd3TXqnWPMbvuV7qtmJOQUu7fq3DJi5y4299FNmoxl+ARGMnh8eqiE4us646zXy
7gfx6Ldke/kRS/1pNpI9Mp03+thW6smFuHlaTeDIhGiXyx+/0JnmOX+VqEOAHq0+hr1rN10QJ5va
R6T48qcvvJ95ut+QBiUKQEx+LIjE/UOJC/KtDIKPMRzobeq7Xzw3uufZ9q9Bp/WYC2YrefTrQw2U
efOWWjBU/Z+Xf8Z/e5V/nHrnqX9T2oSBHzby+P37/cHZ3J+SJ2/n7W5gNItwhozQj6NydRNHH/4K
cbuVF7U7FQURZFYrCEhW7bpdI1f7CGLgge/qW9BVocuJnqFOW5nVx+VvuRSXmqfpVSEUFraKsZdT
GQgPYwkgs5Y1/B6C22NMiL+p1JjSFXX81IJXVUNmioNq8LWB/f+y9yargjbBW8rT27B4D+jDAGoV
H9sro21h7Zyn74HtWvcG+Q9HGG32fYX4q2uyh5EComXiU9Z1wxcfNJtBYHyHitt10qM0nEDLwprx
QOMCF38sCVH8FbrJDrta/na54ZbG4GwWcWRbmayx8ohqnSeinc2Q9Y+XP3phLnRns0ccYLuRpjwB
FMXptqhTzyOp4SPU0mw7WvINC4coxUb8a7PVPJMPBXJKJA26oBF8kyY/qELhBpA/l3/NUph5nsxn
OtG7asLHT2G4gdMhyg3/pCABR3XhjSud8i1vfbKqSQCgkALJKdS/Bo99FA2TKx033y9/kYUWm6f9
Faj5rJT1kmONvKY2iY8WEsvLH73QyecpfgNNxkR1OB/3vl3JDpyz3l35nQTP0l876ddMMXRuPZlQ
7FfDcJwgq4kczdA/kqT9DOy0v/wr/nOO/GPG/K8F/5qRKySVubQJ0fFgVKH5zxR2zBBEQBCoMZ6y
n7p7cZ1uVQwVOO1m43jmJrh6C7qwZs5FKEHShkahSAH2LbAo2x/w7hyyqyT/pcafzQ4cyaqQ+dLk
2BTjJyzeawe5w5df28J6Oc/9G0keAuCVZkfEDkPAz5BvFueOe69axQ4AFrIrnWzpJ8ymBTgICMIg
rTyWpn+AmBxgI0APL/8GyhYQPXSe8sdRc5q1/sSOWGjEDzBlxycolpMnoAGDKYJCT//mNJDNyq09
VM6GeRMiOoBMiCj1SGW2DtLFwEJuuvpb2RWgdyiaTms2qOkxl8yfVoql/m0r3ewgTVbdhkNIccvk
JT5copK3zwlA1M5Kc65/Q/PbbYac5yCgycDdD6WNd8AkT++6q/S9Bjo9XbUUqDZQrlQbdWKCR7KO
Vb8WvTO0kXXZawcSIaSyrvzWM2lBz7X1FoWvZFu3gRsVheogSSttxEOIJIOcwXk3pM12atzwg9eG
bLA0F6CiOSDVMh4nt3CXTjeCj/22y3sJ3O7YnP1svXtwPd++TJXWu6yQKdjRBRyycegfk5AVvxtV
6VvZTOSnlWVwNKxvHuvU5L9iL5A3qNIZALCEWGLHQ+QMhklFN5OwSAdPUbFbVLqnEa/LegPtWIBC
RNHG925WxGkEpKlkK3ANzakJ6+ohCDg6X9314tMDOeEuVM6fsgYdFMx2yK+8EFuXznh3ROV+NFXW
ghQ/IT8jDHjwFocp+21COgAd6ebDQwgezCcusMOjycV4aFgNEqUaxNlBqZodPLvq4Hm+ussq2a9H
UgJ2m/nQyEb9OOrHmIdZ5KIy6CmB0uAxY0X10/PLAuhYyb8PvenyNScpCOx1AfBg3GbvAlDUDrfM
HjbKSQa3x5pmSBnKOp9sSFBBDsEwAaKirdKPblDYCDjxYg2fQ9FGVaNa/HGssMgTi8roMZ7MNwdR
rG9lgW7RAK1zQDdtzSqhJatXGhnMqOGtx8euSKEb8JT6SLKAHAhqqrE1jMs+cjoUcqxRDK1sNKFT
f09goojkmMFE5hQ0uKd5PBywJLdH4EbyOx/kVxCrTYEewxXcgVInKC1iXVlAKIhoII7EXWl+ta0t
d8jYFPWKBi3Fije26X0p++QFrOkMZoO+zlahwjtFOgj8IlHYc0gE3dxD3LjpT7FQPpDhHURAG+PE
8DLGg+rHzYATE8IsIdx+ps34HqFh8zJl+fBeDRNofrJrPpuegMFaNHhtK1H6cs/TEgZSH3BzhO5B
mwcZx8ZQ20ApIU3Z36jJT1+0CPmtzPLmIQ1E0CIqWzTJFkGK6ldXQVqDuFRn/vgNcs9XNORkizsn
7+iBDrzBjUf87JJJHrJYFj8T2VuAJukPoBuL+85qu8+c3H8cS8d7aGSs7pvRIXt43tkGRRLsULV5
uQWrPV0XXYoC5oz5e1tCg+FVrXufaEXgZkmAYNSd2uXUjqAvF8HdYP2d7Z2cbGNdoN6F2OYjzIoe
aHY/fkYN43jTIg1y44bThOxNP/yBPUp5RrsmJ+3WIxSxYRl5Rq1FZ9ch8tOF8cojLTvHrjwjul3M
LJyKAS9UpEDJFWtme3GCfrnaWIJqvgok8TxGfDZMeL8Nte7X8dh5PKpiFwLgpqucDUkBXg0TUHyT
xHyWNPT34Gj+qUXANnJsdb+Hj7jeAArKDvXg9fue4zpvRW0RPiqA7O40dbw/dTzganJSw6Fu3NpE
Y8u72x5ihk+BlMvXcGRnj2aqbxIUvcE8UKcb7MpqMFHH7AjuJMCdpKenomLYao7ws1TIr5O4JQ/c
+yLOqq2DQ+HeDyAKYN5IXjzoSfeoJIeGoKs6/d2JSwSTYgOKcJ9PGyKVx7dxLAB2I2dXJ8DYK5Tz
IYjJXO8m0a2zge1Qojy/4TrdDn2DQAv8rs4PmuTkmxiG7KQSV+2G0MZvoPkWJ6UM8CCyrO+qcQyP
U409volrZx2aUW47SaqN1iq7qxwoYuuWg7tBxuR7FaLMEogBs41hvL2dIPitV6inDqIubJI1gETw
C1RVfiu7NjkZRjD3kJiyR+uKcR9kCpm9gULRWMWng9NlAGlRJEeMkpW/8ExeY6sislOBGfWnUE72
6HuSo9uMw7hpaJ2+eHkLXD8orG1k0to5hkVtnsuU1gfFG7nVMcm2PqQ/Uem14lVaTz/VmDYeHWhU
cNvcii0PBuc0ulreJC2Uq4NSKVipnHdvwB2clb4J2NPU4+3vEeW/R+qn4ZvVEhlkJpVvfZ8j0cAn
3maQQ3pqkW12QzNe7nsCq8JAJvtN5IBIyE4Fx8Ip68+YVcmdC0fzD4Q3s6NjexfLqKRAf/j0AF8y
g+2X2o2nx2TfIlHIoLZ0MCfVQ4MQwkTwk9Vp122hOgYEy69IfOqQ1/oTm7tqF/apA8C4jPlnmvBm
n0BaHOmcpndDVgA5WwE38kiHTtw1JYrdaVXKVxIq6sBu2YVPw1ANN8gd9X8az06vvc4whcI6FGkV
iFcXuZLTOiGq79dJzXEURJXqd95N0GD6CmAMMG834Eu3mwx59MBlO/7BOEztYuVI+IIHj2wF7vvX
feh+pDapo0afw/shqpyCqXV+xw2Wup4DEIysvCQD6d/oLWSX1TooOkSfHeB1W1Vhyq9KVPVOufs8
OSWDV2vojlkpYU2tCvXmIQ/kqInuDgr21PXYevXW5y7cCIzRKHR1vYVTfdpU2MrcTwPeZdibJgIG
pDyhAmAwAJ2jjgjy7WoNYhdyxDsFQ4Nq6g0Wv8lZ4YII24MajPIJxFxwPoSK6S3kaO2mR/EhjJ2o
i1zFhrY3yPjFGoudxHhPWwezIwv66LwleUItabeOjaB4MY2Al6QNygcvhJ6wAP1nk6ks/VMCSXAD
3Ulz40qGl9KAQQLLKwOGhlJou0Od3HVTKmABCQBS/62TdtqFaTXsgrYK9qOqg3uPAIyuHNR/QjgB
a8Po5ZhgpN2XAQUlGN5S+mFk1t5rkmN0ur0nUHE8FljOE/O99oHP6qWf5ZsWcRQSUYLMT0UCvsWW
I33iVkHYOwxN6W1x8GvXoOeWG5fAxjrFWHv0wPwSeg813FRQvnuA+Fddv4ZuvvpuPVDNVzGmL1B1
/ZI9tCP2mb7fYIqd+g7LZlKX00dsanmnFUDIvAOVBQysFGsrJMPDBtLa5E4kKqs2YUz1DpusRp+z
OsH875yxF7BlwmIL8XONas11p2o/ylvQWvKqkGfvgXI19BWQLm1jUJLktqqwr4LWAVZNYPqhHo8z
DkD6YJM7WQcCd7Ik/kBkrVxzCMvW0B2ZR8RtyT48h1zKiVTQAbDRvYeFNjkxWCQ2E0/tm9t1FO1H
pxHOoCAjdwm6DXRBmPe/F7DSP1PSiGPh5s2LhLQdvicYVXcop4WZ2Hj1A740vzG4TCqgyUr4K3Gd
qdxUhU2+n28eyDrwHY362qqDZQQKnDCfqk/PkAKqEFrRT3DFg7sxtuX59xvnlrIUm/Qm9eCvhl7G
x0qqYHEAQAb6qxH3qrV12IZ5BdkJArUxFyNg2ZgQ153O1BG7YZzChYT8wM2S8j4IhqGMUgpHx6r1
+kHj4yb2WYEFfZsj510w6a1LSek9EnFhxsFNho8Ob7xvUvVudkOoRV7OlBtvTZir71G86+zKBocJ
5VG3gTuBpxuAwr1vXUMR1zBHhQTHfd054jsKgatsVdXp9CiHin/P62CICLLfdo3Ni6gqi+SJ1115
Q4Qafvg4NcGWrDXUA14y/ACKEWjsZBinD+yNIH0hOA/89LK++DE4aRqsGNbheydH8h7p6PikYYra
KZ+6T9DhkKPSflqvswB8KijRsXuGrgx36mEGDV9cp3fMhmimZtgzX+04a8s7hzohqNxZu3OMh9tY
jDn2lHaQQePypXuqW6c88dxOb+gM3kZinGyZk3T7CZa8Iw5awRq76iJCJn67RarLsGlxZruFXBck
6GHkr701YMmHGXnAjQ60zqKHM90kiJMUWRnhtOkeHZ7Iu9IFIkkTAVcZDhSRKN0KQMh8BJ8cIGUc
mAJvLzHVf2v6HDUsetJPmfTE2h288SYWMBFg+lXbukDcdsLlxSsqnt0bdPb4JguM+N40mTwKIDjX
2F/UR+GlzSPLbb8rIe84pqKEOQnLWpTX9XRQ7SR/cOW0z3WBrE+YbZjew9cG11pFh53wG/rOYRgG
aFy4HY/CtmxebFL0N8wFkQ37oUCsmArgafIgTY1Ij8NoHrA6sjAxhCvUD2J/O6gsyKKsMnankkbf
F2lOb50Kmb4I92l6H/bnHSPGz6s/KA9FsX37uyuYfDdwLagVSGflaxUm8kicFJBvpgZuNugU6nYg
TXmfDGmxZ8qJsfekiCVtYpuANE7+O+FSW6udbtELEmGHcU0G2UVFnRT4X2beU1mVr/CYVNizhQbb
uYImzblIpVDOBlTc/kPnZHjydJGnu5brqcbWpmSv6H8TEOh+ma6YaIY4wl02FH446cZR7XTQ8lhI
38NCNQdo4wxm376CBgv/6BoUtK4gmShRYMXHQ13IHhOAFs5tO1ZA4oalGwkk+77pqnBXLq8bbEw8
ci4FqPMAJoS0/GXPvg4gdSvgfeC4dHngQ9XYNe2qC8z0kHsTfciJYJE5hyGNW0DUNyb2fkiTZkA9
dlFusKpOvyC3S0+8S709SUKQuigNf7WYPXEpYsxd3tuuikzcl1uhGpB0znofdxNqB2dYTRl0cq5M
KbZ9BLlRmeHOO4PxvdxCPqEOiFtgXXaTCbelHIoN2IjEMP0M8nAYV5Y2FlcB4MlFFhEXsiKBbeqV
G5Tw8yU86ifoQKys/ZWB+enYM0V2tkz1vsq88RfubsIVDmzaXY1syiOPp6Dp21zvTdGOv1FuDuQk
Ctz5jWxoDtp7JtfDFNbbxlCxY5gEtoq3EBzBxHDAPAnaPcrGXAjk0bHAWUYSrTuZYE/kFGCJTCEa
wra1jFRA3TVHQCEyimcPRWBAhwdh2nEj1sbsl0IvjbCvLc/WJBBqPV4fcge3WquUZOoWmnS7hzgo
3+fENU9srIGC6bP4pZ5yCLJ6Lyg2pAy+h4Mqd1y36Zb1nK65cNnOFQx6IeLo9qBUA1h2l2UenFDQ
lMFVnkASIZsHtyiTHUny5DX1tXdTIRlvX0ppXoVnIODimKXLESGoznZ8Y/t+PFZkAALA871kjQNi
cisrFNzi0F2vdQomYs+66o/gbgJyl4qTbWaQQoP0PpwzBhlniBFYOWBzO7KT1ybkcagsu0sMZsVI
5WP9w68H++gO8MVgmwsDZpPY/FTlxq514oqNwcEdeeDgyiZdIQ+oXM3WSWi9CGg+b2uEKN8NBCFA
8SQpf6ljnz0kEDN/g26oQFDAxxzalhI2UTi5C89Mn15cAPFPKt3c6tCRe2yv3K0wTrbH6B7W1dDa
myRj5k1lSQA4FEPWXZkyvsY1MxSAqOq5SbpB3aUtNDa4UeXPUA/A4xZM4Rs4WvVdkEl5pKZJHgPK
y5+O7Onb5PNgP2iLx9sa4KzGc/wVom/T1hTnHbCCwoYZ39Y4NY/ylTcahiMn1d9UBvBL03vV+8Td
4cDtkO0neKY2der5N2bi9MnPEWnP+7A5FDVEFiSFfcBCjHfLfN+7a4pArVln1D2V9XTj6gGTlqhz
gOwH7BvKXOY/MaTjuxHx7zW0PyAa1UGDA7ng2Y1mE8f4ydttLFW1yVANvec49mxthV0jajQ/gyqP
V1DSuHeyGNjOyzhs4YCu/RA4TW+dpmz/ZD7W3bpx6m0GTSKO7aE5wvqe3zPUb69rk5h3RyjzmDc8
vCFBOO4VibEZm0YP0RNfQNOF8UKeRGHCe5YjTt7QkbeQVzZqm0uYO5FEpfcjH4OnGsagSPfaq1bI
WCnUSg9TSSKVmvi5xOHqT6IK/eTgMuEBh24V4eqseuUDsAEIUrpRr3G6yxCB28a2a3e6TmO6QmGO
f/SSJkOWnKriGy8vLZyVGqegBCjpUyBpuuN1kOxdP8OLG0LxXAy6WmuJsV7VGme/vDgbDGUXwJzh
k2+T9RqKmRFhrohrFj4wmhX3QLbQG00oMnsJ6yOc9ZyDQrNsGYq099XQqKOf+ziw0hFtPAVNcQiS
wZ7GmAfY8wxQgWAaJ7DhASOgqzrcUIXdTlOH+mB7kq76gJEf5VjFkZ/U/TrPpf6oSxhOIMLNvG9h
HYQbqA5xBmi74qEYJ/mAMBTJdjnBZTXq/xzkbwTx6hxyhXZxMIDSpi5UicRP6bpXKX+LTVmd6JA6
O2TedA4EKdJbUTmptesKNd42ASL5K8RBcpRUhGQHUsfZMdRj8a2dcIQ5BtYajMRp5QIH/5MFafHW
D9gWDxBy/4y1Mi9JLyRicU51MgCtoXvKeGPDgJ6q1JpnrG4KZ32eH3oEY245jsgNnHx1AZ2qGgps
zAp33/lldeh7OWwbF4FvJNrGWz+kOAMOWfNObI7Nj4GMLy50gvKQTDzFvFLPgYVtZxW6mXkuxmYg
d6yp6l0nkBhg4gCaYy+g5Y/B48XL4GBcl12t4T4pJKDYPnnwzaBenM5N7yvHEwefwygy+MyCWOsj
8F1kBZoEXLcpq/pd3YYKZQrwyFWip08NwrivMMmSKNSuedPOhCZ3mDftwOzLPl0HW2mcfMM9ojXt
bVtgf8XN/3F2Js2R8twS/kVESEII2ELNZbvKU9vdG8I9IZCYxMyvv1nvqi+fcUXUtjsCXCA0nJP5
pLRfEQo0PqJODdktQwlnilQESs2UbJmHECtteItEgoj9VF40bdvWoOw6euV+qE20wokrfUqBobkD
RDR+sCvLX2Hxtr6lSGg5J4mVbwa8b7m1vQwJYz5HMIPXlgW2rCUOevcOwYhNDU3EGhtc96dXRK1G
glaLfDniuuTMkeuZhXATRd8oUl4REcLVO2owI5SQOc4hW40FUGxsrDPvDlJ8S3zInc9Digi5dxop
8QIsIRSgzaDTn6g5Oh94ffGrR3KE/HlSuyfmt+0O44K/phRGRqQXSfsb4UN3LCsDnX5uk2/RBI+p
KgUcFNjpQZfhFbs67SRSu8l0L1VubexSsf0YsewvklLEMVdcJyuG+IN9PdloduI7tneIlhYvhecM
zwXCMA4YStZb15LsFVg6V4HJKexHTyAVGf449TsmXdYH5eQh59yqGU43aGxp5OOY5OyXffudgz21
U0lP/wIKg1Qc23GvdL0X2nbk0n3/p9nZTVDM5G6eHojnnGzEdwRN5BcI7SrdAOFI13x6S03VOYoC
NRbSDLmFMlJvt4cB20k07pg+mSIf0IqizUZnnl5HwrcQRoVU6BTxUNgUynI3Yh2EYzq71j/+j4b+
SYOXXJ7FP7957ByDFh8wJWlHvGfLVBjKREjgZ1MHG52kQQJzZInuLU0qpGK1Y4OkxMHcx2PHXmpb
0gfIIN0tEp3Mpij9YjOqyV67AvTPLq8dtDAa64hJBo1BnOiwAPMRB1hif1da6LsMzubhkEiqd2MV
m3ukJxZsmzKUigIPArB8XeCEcaihrWhwyqgxXU6uYj9wGqQYm9j/nOO09nDTF9H0DdDjadyrbaUd
lEEkpAQKjd2gRX4qAvfSejfG0npLkKq2nUaV7WiDwF3P5vU6nxL/gmvO74YBkW6ijvQbwoDNS0up
DkuOQ4+jOvQCUkawwuj+rs2pf4qBWVs7YxRvlLDIukEHbQcaf/ooYAreAUiFXGSrlytgYsFIdqdr
YuwFdQG5dMz/eWso9aConEgIsjhGxkQRNhdZUYJGBu/XmiGFfCyz/Mpn4eOinw2RS/f5n5uNVh2B
I5Pqg23XjCNnN3ZXshXeCcU4VP68mCSrDnVo5LFFbvGioUN7utKDvvTiP7v1TGPYVgRFE4/pQ+zY
27LOZEDReEMXdJP1b3lub+PUQveZHHFmDj2e/aZiuKLmWRAfkMuf9M+vRhoZMNTOkB54w7pH0B++
k8my96qw+ZXnunSHmV6od2g3MI7ClQU/0w6YN+zdsB7GaxKl0TWa3oJEgMwkAo1OBttCxRmuA1at
hFubHdq00+vXL+jzq5M5NATfrDMCEVAc2gkuUcBIxBNhWXsT1YjMuSGlMOgStegRUXQTlXRDHAwT
ck0s/p9G5n8HF8LK/v8bNtT1C8QgFwcWNdnPDF2SBycbsj/Ii/TeMlAm9xJow3CoU+/UIhjz2KkR
AaYpGzcprc3T2Od6U3v2tHctWV6BN37+sZE5ZaR1GWHSRQGf1dP96Lt/lWshFVX9QYjhBs/3dagx
t/UwGWy/foWfj0IyR4xMQG9QF1MdukRI1GN2w0IvRxgKSzqzuu0WswkkRkqGzB1MIAqljEu+5l8u
1Q/b11e0zv+Jqj57k7NpYhIcRZ9YxofSjsUfD936O+N76OOlpmMo6kOXIpwxQfkUq6dPXD9MHAQx
WglCYPOMO0mYoLSAetQ0tk++rLt9B9n9TRZmFPv+/zCzEUAdW1UGnTeOXX2dB7z4LvOftz3a2RyC
WpjW2EXoA+q3oHgLNXy0fGL3yven9de3WPrGZzMIhKdDmwHbsEdR4YSGyLGoqvNNl54zR3qLlV4J
e+OhQtV6tM/FNfLLgoaWzGkjrSuVRBJjfgBiBtmhTt4feFegV+6Y5lG0qJkEbT9WwTRgy1Xrmh+U
q+mVif2yd/pkOP4PgcSxsa1KIctqIbTJER7pIOKB39Xi2ni/jOvPbnC58T9rE2SFLMJ2qTz0+SWX
PoJLLoSnBgmh/uQKZGzaLUKtEWGCfOvYLlG27PMk3UWwyh1dlBg+mPDS/pjaaR98/SaXfvJldvnn
Lyql9AG3SJH12NGtSumPCssmStRUBD1tr1nolu4ym0gcuxeqs7Ag6AinHxStJRn2hXXqW3bj75jN
JFaZ9602ET5WqyLYYY6TeRMQpG05MnPuoLGQ10SwS79lNi00doT7IKb0QByUWu+AcgpHnO+K/tvX
b+TzLSLxZjMDDi0IePVhL2E8Rpwq6d/aoT2C67ArPLlBIbG88sgWFhBvNj80mN5hGeP6AM86VGtj
9pKiM+VrpGx//UsWJqA5dyQZKcwHstAHT/mo7WZnwaMr+JuFlzBnjqDXoTLX7iGgjIbXmDXsweBc
gHUgQfEebt3V179g6TaznUZiSDmCoYXmkjus+fQCZOyWjq/xNdvh0hO63Pefr880rurSHuWUQf1w
YGlEFOGVZ7/wcufIEfj4NeqhuLJP/+jo0S++0dvc0GTOGilTEee1X8UHUfxGkXhl+XpHvK2NUmiu
bltg5vgQG5nRaTtg7UUMGzLoaSiSa8N+YaM2p4cw6sJh2HYpRBwjFnZhKEHC5IjCOcRwzzgii7so
H6PHHkWKGLl4XnZlzC697NmHnYOvj3SnTh7KqajuI0hAQ2XH8ebrobr0wmdfc1nDOo4w3/gAvxIk
fEP5OLQMmp36Wpzl0tI8h4EYh9cumqzJQbLf0NmufEhmIYQLIUzeyDi7R8PlRWYt8jS+f/2TFh7Y
HA7SNSaCwBEq/1okEPhlGxxYr6zEC4NAzD5sf0xHr4vxWxpoNmxFvmdDh1j3aEU1uqIW+SlEth2u
kuAWXs6cC1I2WDU8YycHtGp2tJg2GXFWcoxv+1rmUBCim7TKOC6PoufGqSRmRPvvbe/g8m7+maH6
qMsqF33UAxk+GvPWQ6r39YWX3sB8wfatspAUxnem/OwZMrbUCeMoiZs1wMT+ybcklLeKJe13t7Mm
6OUUZBRf33phhRXs//8mnB9J1RgsHg10A0GnAW8fRgiNrP4eJeF6ZaOQGn59q6UhPPvm0Y8XJeKA
8GayCF230kYY+HDNJrU0qmaffFKi+4Rkb3BtoKUFiGJLu6fUlFewXgtPaY4DAUjbykRVYsx6NnqF
3V3RZFNQKqgqjE5D0tIrZp6lG82qt7k1NCi9Ad5A+6NSfxLjhMKG9FilAYFc9+sXsfCs5nSQBE+d
WWaUB+aTIKPiwWveU7Qhvr76f97fTzb2c0LIUEBy3Q429iMmQ+KMl/xlllOiQ11ir88u4jvubmFY
iKFZ8/JVh+xGiKSrtcnh+1B9ebKIi4nUfxrl1IemjWngoPuX1OauTDQCZZGmasq9HAwPuGubgGfO
k/LSd2cCpk+6Q1gl/K5Kkz+ZGFYjzbdjZ0OvPSHuyEMp+Mpw/s9g9dnvvDzef6YD2nKD7iCGnGMg
92ogXV/VvZoeTO+nD31X6pCK3l9JAuvEWPA/QFP9RHzQizQ1WM3V4J+61IpXarCfteiBmCn5bc5+
4sxmqnJEqbHvKwwjRPAgyb4tHy0FTbRneebIx6x9jkdBrvirFr7rOeIkcoSyaYcSIM3a+1a1+7Fr
r3x3SyN1NjslgnROA3s8ZEzQwhZPk/mtXefKrLv0rc3mI5ansk+hIjrU6Y6hFd5O/cqhrxGkEpUv
t19/DUsPZzYvuS5zk9GDt63zhum5BXYJPYBkIvuvL7/wG+ZAE+0W6dggL+JgzCMEGkEePVIP1Rnb
X5XptSLj0k1mk5IHcCV6EROWJ+O+qDw96UihITEh0cSxn+EQvK3INIeaAAZcp67CfUp2voi/HbhF
BlJc2RRezhGffK5zrAmSXb00yWvsoHjz255+SojJg4vpkNxYP+CzCSEDYLxj43DZo5m9kH+GHAf8
oYVR5hq/fulNzL5rpQZjt0OcHETb1ZBV+95rPaSQ+Gpqw2PjDoCT5vm1mXzpic22JbFOdJm6WPXa
qLyTOt/DW/Fhw+maDdCnfz2AF74PPvvC/XRSfjVR9H9yA4+N13QpupY0ufLSly4/+8YdlkFDznpr
j2ItzLnDe0L0jcfKee4ZT5T0iOOCwWOnP1IR/eptyP0RNH7Tk5mzTezC49PEAJop/WnFFD2OIrty
6YVpdU40qeUgjMvQiMg51EVNdlGwoq1vX5nzFsbNnGjCKPSVXebhwcTefZy3G66QG2sV/rOVwZz3
9eNZ+g2Xm/+z+g6V5UDfYIHK0vzUkFAX1YlMv2679uxDLjTCjIsBVBDsttHyLLzuuUoL6CPb4baw
CDLPMEuhHPJxhEP7PIEfeDKocfqPfuJfWRcWuMVknmQmLFdSCBts1Jvs/DS2owJHzYFXAMfWE6g5
1r6GYjCEJDZbTYNGh2gc0R2sYP0L6MUKRi1l7wY2Nse4YGTfC+i3FBJXdZD6UlyZ8S8ryCdz8hyP
4g1RnaRRJBGZIe7yBMVK3lQ/aFz80lF8Hqh8QNX+8baXOpsKelEgxATSxkOZ/YiTfFdpSI3JlY7X
0micLfNDjFxfkSLLLeohxOk8IMgHyBC3LuX2bcf0OR1lalo7mygEq4raexoT6yKCA30NdkTf/g7b
xs6M/ZZByff181r4iue8FAA5HG0KJ9oPZjdF2B6VP+zsTXS3ERAJu6xx/3zAtS+6iApcXytQENNM
hZPMD0gV/vj6719YK+ecFESgxo7jYv7M+CAOTm8Xj/B8Vbu44PGuh6w40FV3LZJw4QQ/x51khW2Z
yEOhGnzEpwTCl4tV+5GM5kxY+gEV/xk+og9O4Rz7+tctvZ3ZTkBMZeyPNXQTBd7Ik+AVDO5wniWB
n0m20iTvr+zuF0b2HHQCw0FjkhJ4qlwne6FJAdMfPAOVf+MwY/9/GEzFiDA3aJv3TdHsvbp6l2zi
YZ54acAjND5ve1yzj7+j6NqqC4zW855l8T407SYXz2hf3PgrZt9/OURw00LDfKgj+GmaHaBIDzVC
dduSX5nR/1ucP5kr5zgTgdKAXREUtvrwPT7WT9HB3SjkMcVhBPvLWq/gvd7oDUdS8Zs6TDs/7EIa
lk/1mbz4f1DNfbscr1fmkB+6Icyey+14JG/X9r5LFdE5DiUltswhxk4OlufKfRNB0K55gsBzl2Xf
fKQWnQpmtb9yuJHAEskrJHdDzP7j69e7MEjnDJTehSQ+alGZo24agB6/09UZMN0rnwC7jMXPHv1s
r4GdWNpN02Afeg0sRkgiDt41bUcAk5y42kFsieTkKEnvojHK95lvsvvEjZ0dzWT9qkjvhBZcuoeC
6PY8dPmwwtmTBYOIu7AW6OJaLPlZ4pFtoKGRx7Fv1JVhubD9nZNViipFjRr+qkOR8Z+xbuIQYPDz
bc98NgOVLacdT3F85oAUprEHc9BLq65R8Rbmtzk2BSA5QsoKGumcZD9Zk3uAZTTmlERC/Yimwl3d
9iNmsw/pTWWRErx+iz9RcU/Kl8a5IvxZevazKWc0jZ9PMMceCiZl6Hhd+isWvfj29R++9HxmE07H
5eQZDgBo0TUqaHJoraZpeoguKNNJ3rYPnrNTNLzIGSAoWKIzZl5lP01vsaOBygHFyb+yTC98unO9
qihYPiDZGeKWLtn59ZsHCbDQ/pX3u/CY5ipVDKI8waFf7FU/wpTd/hyq5ptvZ8/cdLd9Y3PxaQsg
LjZ9bnloKmdc1QxBy9pmr1+/5oUN8lwj6beQjkF2BAlI5Lobp4HHWyec7FOC6FUiK3BdkBQFCwxi
eK/UNRfG7TwnrartiTUyyg5M2vZ9TA3cCZJcm5EWNkrznLSkgKYksRjWIHdsTAAje3aPQxbdmqwa
VpnXSZD5HP2jaXOg7Jyyv3LSWNgNzpWQDQgePAWz4OCCKnwk1tiuVCTZd/hwhl1qWthvyv5aPO/S
zWafPoW1qqgEFYde+PtSu1tfwI2ZrF0bCGBxZVVaek+zGSDP+yqKRDoebdu177MBOLXCODeRVZk/
F0VaE2zSLuQjR5hz1kkJ28TzNMJ6rK7hKj99RrjBZcT/s/1nhRjqdnCmYzZm60xZF9hRkBl9qAoH
i+uVc9mnDwl3udz9n7tguaBMwXR8tOr2EY7TRygQr3XtPp25cO3LnPPPtQVszR73KfpxvR1QKBZQ
6wsHfq08vXT5y7//c/mSwStktJsfGzA2HP0euXhGaDR8PbEsXf3ywP69+mjqzGst99Ay+RB5/ckb
JXACNwky8WxmpcNUlj3MbYwdtBzXdQ8Ig58aeAivpfF9Oi/i+rN1O6+Ur4baAtAPOaQlLKE81917
1E/DsSrqHK3ri6ccWVbZlYG0NFxnnzT0ESRmk6DQ14shcGz/u4QhdAS/qyuPUg/RlfeydJ/ZV+0Y
GTVtg4D4pNFviUYQoCeOPgBsQF2hsXKT5pn5c9EibNiug9AoGxCsyAQxVVtMJU9fD62Fb24uW8QU
0Xe9KKvj1FWgkZTxFDgupVfKIAsDd65LzBKImAtl4wHp6R7WnJUh4ymy3FtmVTyY+UdtUa+YVJsc
Ee64mRrvaJh1y4YZl5590IQAo4J8x+Fgmvy1NGhtGvs+8q6Jrj8/geH6s08aTsxMudLpD/GApqid
dls/t/9ObpYjuCR/aAhEYTEy6AOnAs9PWrd9GfOEtBaw9SqPpuFArQ+B2U+Wz5S/F6BHVHrafj2k
/tOi/M8JDL9t9r2PJaRXYz2SQxW7iFcDlwkEmMhXYE5N/amGo/SvI+t8C4rUsE1b0u0Aa3PudN8O
L6OV+aHGZvwgMJMErmmbVY6wnZ0auvijJxBRX5K0sKci7LFO0HuogLDaeXqAX6fO0eqK2s5+jF1H
hg1T3lZNUNnSi2FOcGGtG5uKFdPUPfcmYuvCq1IY9ZI1KG6/RukPGwcywjMgLAP6G74wUYh/Tbfo
wmfvMRvIxSrUAW+nKfbw1QAPatfHb8SrfRxjfbpqWz1tXHASV7DVjSs6FWLrR3Ap5I3tvjEioPy2
TRVUfW+HCeQvQMV56dpNKFjQ2uvQZp/qEgQH+IRsGIzuceLBwMMpdv3121mYs+YqzcIigy8iDOwo
Z0cT2Tbih4kTNJmHYlFmJ5tMNtfSwJfuNZsfkwll7Wpg7THq+c9stLdZKYvAowUymTTswSPOcld+
1cJM8z+STUtqnyWNPJoh1sgHAbIwdFPQuxDobe+yGE7pmspqM6WJ88cjaA2UgxtvfaXwaVPHeqmR
hr6Ls5LuiKmrE6sqQKmo553Tthk8YA699ux3EvAMHw7sLqjAckw2tGDeehyVGwgPYVqjUO0qBWth
hRx6dY5bNq1dw/nOQdF/Ciy7Y1s9euoOZBu18T3lHviADQlc+EBloU54ZHZJ7jPYvrPQr1S/9kS/
n0B88VxrBW5l9pBaND7CxZ7svGlQqzaZgO6jab8bGUy0bdakazh9VaBVPUBDCVwSDJR8wwcN8mTS
fU/1BEKmHRXvUaqLLWANYNLkNt+bweSrrM+zVcztAqA50q0IZtgAPBUvaIY2PkHgbta88uoVXJYx
kExRCeM/QPtfv8RPz3/Mn2tjW3BFR78chkM1xK+1K49VWT4j9f1h4Pnj17dYGiaXkfrPTsqpx6xJ
ykEeo46vOptvaa1Dq41XX19+aVp3ZyuSV7R2rGO3PZbgPSZp1twVYEmFvgJCrab7qdEPImn/phiK
2PaAz/H1fRdW8blotraFJQHMTI4JLIIGfl7oj2689GyhagYV5bFq+qOGqd0mr12c3Hjl2baTlIYW
MfIFj20jz73M8jDveHzLwRhjabYG+VFKh7Ku+6MPxGKZr9ru2gNZGkKzzWVDJLMsl8ljKqpHlSQ7
1dinqIxu23i4szlTxxwhChVGaE/4Rw/iUU88DT1ZfVOUGfPnatjGkuCWWn53LKL4ceiqO6hS6qDU
2Sss9sVWjDgcfT0qF57UXAZLxobVdcrlEWXUt2qydoXFdpVkt+3+5lJYZpGaxJ2RR6JFvYHKjK98
qxJXKoILk9Fc+SoQPOAqINmOrAWNo/2h84cUa0UJb8ttT+fy1P6ZijDlC9QaMfyL4m9WqM0I1OJ4
rVHjfm75xmuefbdSFY1T1Tw6CDAq1FoQY5272o92DUQn574GiAEgKqk2wIhVf3VvtWRfW/7wGyRK
8Fdd7qP9hbW7/GP34/COfkFTI/m74AAujU3yPoL18qMvOIoOuacA4EgFMD/ARq4ssKMCtPMAju0M
4WeSWu5mLBjbuVVVroVt2F08NcM5B5rg3Hg0OWoMytfSVnBGQVl+drkXb3pIKOCfI9a765DiQ3VG
B6IB2RR7BwiQoVBM1103NN+kBtwrGHKUjAIAEesHXznJio9utk2oGde+lNaGw2uI2TFJv0Mdhcjf
Nos2UdkNRaAtkW8TNl20dmoEFE6BpWWN+k8fedap6uh4JnWTHnSbmLVdaR9BGpF1zEfOH6nVArFT
pIjBKNK4xhmk6h9SokHnkpmZNrSPso0YG3Wyspat+5hnd2JsQaZowKEkgIX+ZWPN7mxtvgGt0G1r
Oe6Zqu+7ERQkK+3JKrWmclWTFBQxJLmF1KfQABTeA2jVd8BJ5UFEpnc2OGKlq+a5KNsy7KoiAVpz
wBnec7oDiiowyY8NwlsFQeRBXNxp1HECE8OPLqc9UDk77bT7zGEUQrHpd9E793KoXmujk4198ZKl
sgUCMIqQxJEPFnbl7DmzmyawOpsERnFQu6R/zvwCcAXXfxc8+0Wok2/yuuSBVzEZkjF5tLSL2kue
jWEa599M2oDKyqsjgYQ65Lk/rhCllOD4CeJMAfJugJxQcDnL8RcFuGVi5k8TO99FXJ3duEQSG9CV
BAH2gRUne8Y4WwmftCHrrI8GzUOIU6tpBYIyvtkJptqJamzAuBpWiaxOTjbxVWyV5OSgFwUeGrPX
ReJsxqE4wWVr7jDp/gKi44KxOedVGa1aPeC/U/YBLMWdVdgvvObFU0qcD0NhV6CVBkfNyQm+tIZs
xtx2/xIDso6Ik8BmPWjSxFDATUsLzxjW/9jlCBGUVhiNeRuITlSrom2fq6lBURVgSRvm712vOxdb
c//vAGNuwOPiyc2tH4VgAyai5k448Yfv6KfBLkMI5V6lF39TrfO78WsdjKS+o7n7e7hIWgEA8UOZ
NLga4WDztqCNt0Bd5R4YnQ7Xd1EBmCOF2nQNjQvQI4L+UiPQWAg6DZwMxBoAJh+QVrd3uHqyelBb
lQbhtQT1tTWbuPLvMz2dyVh+z7PpvubWEBRxd8htvGSPqzsbKLQAwD22htvCrDo3tlc4ApiVLflD
FcufnuM8DYK9lDHf1457xo69CHNi30N5kCJgjiYB8nH27egCWlycWF49sWa6F4gQLUG0DBCYtEsm
7952h5eqso9N7q+jxtx76fjKUuwrCGKtgHqPDyB3Pcb1sLMkTmoR3+hJ/W6wloROXWxYWcnArslL
1pC/dUrfzVBneBzKDm0YIQA9VvfGLcyOuBU+BKePgjhDvmxl0i5sGTuR2A/RXZzuTOS3G4G+/wpq
xhV3xXPmuasczOqgx3jCnEbXaPJN65RkvzOZ3bGIPGCo5sHYZ26ItPe3OItWIBhvfBVXQUHLLdiv
wcTY2RvNe9EO1cqD3nNVl/bK5YDHDpfDCC9+F5X6MHLYKgPndp3EK+0A8xFNZDcZ2F4bZPuSce0g
9TVomr4PiM7WqJfxM3eQQZ5m5WMeS7HKcTDEIWrclU7xq7L1z6nB2Rf5KTJU3HyALvaa2sCxJYZa
4UiHD0SkgpsFkP6loBFvXHfKA49EOM7G48mncg/Q6BYMaCcEz5DudARzdFRE9wmgSogTnPZDn433
bo7EH82ac1SOQGH6Y9AT8a20MICy3O/P1egEIxvPFrmArn089XGdR81zY7MfqrLs5xoIgo8st/F+
kpgENUuTgPfVserkr0ENT5EA8UM0YYmN/7410XuLARIkY3U/YILESjL8tYgGTYq99pSa0GHRdvRx
4O9dILuEcywjAcrgkG1AVANhTRSvyYhYPFVNJGgqnQGVS79TY923CT0WqFzA/U03ojD+HYO8bk0T
zNtN7K7LCUcQYHVPFYWqzMnifVwDhxIX9TFD7i9U5oCJpC1Wv8k/eJP1vTX0ruPeb2iLzsPE95hw
fqqqxBir9E+vNd/8FsIw7lRrHrVbydNXZC0f8nxiW+6BOFqT9uSogYQqdfZ2iVKiY8Zdg9U5yCvT
bV2dqwCoH7yA0X5gtTxOMLQE8oIf5P1zRaBQh+dhb0x99ouKBVFSv7O+avAWQMm0M/EO/cweWwoZ
uB25Iz4mPUFasnKMQmZBqv9AN+yFouwboOAuqJTW/0ONDUW9sO6Fm2yVN915VvQ7tUZsIAjqw23q
PXeOfFSTfDTIUw9ikERNaYpVCSZcmCbaPhpd+uEFU7yadHSKMVrQ5o5tkBTlT6cDb2iqscKPHgC5
ePgcmdDTIwTledC1+TuYzemLNfIsLGR/KjMOdwJ446zbFxhXAwNfLAL+KEDaA0Z1iTJPR1QaJiz3
gmyK3hqDxdVc/PA9IEPMNw9xX9zrFCuaKZ5kqde0Q30IbK2gTKZdKh13pzLQiixHfLiJ8+I2/TbL
QBapge1FrokN7CykAIAk0TXNoqfMR3sKH3DISUIR7lI8NPBaA3I6IebFkD60aV2getsWiANkIFRG
QGDVfjltMHiQIzXGb8BgHXlTr8vOJyGoKY8jNhdlxX+LbnjSoCLCw2k1F/BnjtdtXiaIGzyDjw8l
G+Q7dBwnWSwkEvDSoPGybeXAaV1M9rdS0p8FF8eyLp7zDsMHpD7Qu9odUwJ1OX87DIj+BSKuAkHW
scMYla0eAL4giqcjAWoRpD3+R9YNNo0tephFG8PbiAgHqtps3ZXFcD9aQj8k1UiDJGq8de049pq1
cG1G1S82+gky5tzqEl8BnK+DIOhV1ccmxRgvk+cIVDG3FzjoN4Cd9MmDg94s3H5vthTvlUbGcjJN
913Tv5Ute64Efj6xoifKMy/seP/qef731E76MCJQ7YBcDjB3jReVZhbWddMGpPI/pqG+zyGKQ6z1
XSoEtPcNNhtAGYURqo4bQbO8C6LSyQX2P3n1mEdUHYXKMTi8rN6C1lCeGJJNetg2MV02ChBXkHEr
HjTAq/3KbU9mK1jlgAIzOZ67HGGYA2CSF9DRdo0OnNykbz4dwMotenS50pJwEtZtQqZQYBcAmiO2
+G9e64KsKByF/QHUB8V2BNP1UTtdds9gw3tSUEXdo2BWPMuKI0jEcpInTlFUCBI0CRBZZrnAlnJF
/LMGovOtY3F5R+wUtVcbG5YtYKPtOeV+/xvsRb9cyYK1VSixE9tRQ81eVxb4Z4ROkTi6OKADu0Ui
92RPmGhiXWoNstDYO892DV98WGDx/JZE0g+rybOHQE9WR4PGYEysZAOiHjiSIgXVP4q6X7Se2oeo
Al4hGDPRnyf8pW9O1fi/bjuuzaoVdst5UlcFGgLa+ZYoHEbGPPmORm55pXa0UCydm/tyh/TAjWbV
scCBKGUcjOr+CeeUkw/CmWV4c+VUvlArErP6BeJJoBOBuPHQU/LYNXybpVe9kQudPjErXsRuRZWF
uuQBVG2UsnM/D/oEXuWB0h8YkYexGt8Lp7tS9F2oL8yNfkwar3TdpD/0/AUjKHTJyb8ahLp08ctP
/Od4HkWtFwve5+DU50qhl67lm409dRKYrkqutGOWbjIrR44wzdHaz4cDK9Qqje9KqwtzXay/HrIL
JYy5ty+u7CQppKqOvk7zBzHIBtTRCejiaHhkGub3r2/znwj4k36Pc/l1/zyqEsxPq8Hh5Egey/2p
KMMTcGB7UYQnupOY3o8Z9EIBUm+Qqx2E9M+zeHtWz8/pNrryQxeG3f846OwW3os2LY85UlMnoF29
uwrHZB09K2wzhuiaKXbpgc7mAF/mGo5Flh899jJi4lNq10lwFCfvSk1o6QazqiVtUHAphqo8Nv59
OqB8wMPRuStAxPv6VS1df/btywKkOFmWeFOqKv56LuoITZw0J15g9c1aa7rxd8zmAU8yRnWhC9SG
vne+9WBj7W3VD/Bv3r7+IQsfztxKFzmIwXLklB+diuws7mKHZYwbdMxc89HRhfl4ngjeuF1XNgBk
HwF2jYAOMBlSMQjaIVg4H1xXIpTBF0h41oO3GpsUmRuptWlVFa99UYw767/9wlRk4eAV/p3KNH/g
ktdXVoulBzCbOVD8hH8t7rNjR/hfgdEOqqX7u3fb/+PsSpYjxbXoFxEhEOM2ycmJZ7vscm0I14TE
PAhJ8PXvZK3ceiaJ8KYj2tENiYarq3vP8Hh5gOm/KPrJrjYpeBa6YNAftPukz8fqqae+f6vSvGs3
XTpNj3MlQXNHnkMPQ2ePUHNv1LCvIS37hq6o8yQ8e26RC/XyJMaI3DXn9EJFXerCUGui75kPjd0t
lKPQVWBArKFHkkFwW3Wd863xCgLxfjvsbtXczQDS9PqpHdxJbCPIjMNd22kF7LYGwnyIpssRThUd
tL+jypOPFLeohzYK6jgPxnlCejZh0kJk0MNWMDuqNt1AODwsKra33LqNKSB6P7Cawh8cCL4XWXvD
a4kv/51GECHtsSte+hlyh73QctxIOKvv55YQ1OXhK8AyqzpRz+pgJRe0CYGG5W0wt+41pK+rcOM4
IxjukGgIcDFHixmWV04k4FsRUTfuFMHBW4hx+tXB2vs0eE0Z15McrmUVEJQ5/ZLhMsbKFlJ9lr4K
U0Ye+cim5zJw7K0Dk8QjwCLfaYBkH8Lo8k9ts/amEW50wMVf31fF/AT7ulcFdahTQNMI3ihI6Gv4
ACUko9bWycYrGD4UqEjB+CP1ax6nGAj8a2mhonEWkYfJwL6IeBlHcy33Vd7clsTDGQ7XJVdZD7NT
9zsfNDrCAhzzFUGyneX0xi7gimZHMK3t6nYLu1gbet5hEDNph1tik/NeSn/4fulsu9zmO5gVUpSH
QgEHpqrZoXHcb6ypxQDP9NWqg2aTWeKG+Ti9LAlDFuHS29kNpwOcz9NNVfXdNkOlIIb87LQZEApi
/D9QcoVc/xYNU7Ufuw6lLSv8XUOxeaNH798HWn9mUYOxbwVurCJ+4lAMRsWHeZt88MSmCaD9WEOw
tNkAgsU3CoXlW4jlUag9h/dgpAiAG6z04IOqvWPc/g1oS/UjD6ALh6StPLSVzhQEt3V4xy17fnIG
TI1ufOsaarnV7QwtzWPNXXkgJPuTA717yARYial7V7UKPfLIemACvWUOixRUUF24UGcomQkvKw4Q
QYIGTFAFh2EgEu4FWDchNLpBZAcCiUN91JendiTlzo0qjZ9ePdLBv8F0DHETTs3N3LdAv+LRr41t
PaHApY9TZQ33QUFKePVk7slqxraPQa37VUBNDg2Ksz5VaE3vkujvAxQIr6YydL7xuULnG2WdTV3p
aIeWP/r72HxunI92G0e4TT5YHu6ApBdjLHyYlA2yLKE3Hs1H5lqwCopcVJ5tBMfJFfPVoLW3cZj/
Whdlvk25pJsZRku0yVD4oVP2OFUoxFBQUU/UByWOZlVx6KPGxmkw29vOK18HXGYPDo7rDeNN+ZQj
BMWV9PGPkAmwJweyKRX/03TpoxU1wxGycDweyxxa8FMIl7uz8Y3ttS9T2r35Recf094eQQKwcJFy
Bviqem1wM50JBGhaoLYId4Bd34Pa7ftBRw5irjo0fb0g9nJvgGK27b7QDn4UfjOWqKtZ1UOTURdF
ETgs1WkQnYJq6vc1RGhrD80N4Q857AFbhJCigYwcVj9a8gW8A25COL6ghxK6PxV6PDBPlEXs2jac
o2jT77J5quEgxtV73eL2X5dFeWKBBPagdJ35xp6q/GFwIbATQyca2DiR2SP2PDwL6mmMtiOdu6MV
qL9MQ+CNOPjmvMiqGGEc5BVX2TBu6MKrXvbWrymMyjtYBBW7qU/zk0I9H2V8jTpPnE/ce3JVX9ZH
Lw3lLS8nFDsadJbuFCRfnrTtwI2miormwEWYbmk7sxehrWAH0S0BoF4jNohG4iDgjbGl8B77M0jL
bmKw/tmw6QC3fIarOd9YxKFHCfnud0jIaxShUMd/rnoPEtLS1VDIqYdQHKlvl+2OhQMaRHZj1dfN
4JO923tRHUe4CuEfmbynwkd9gwZ+kMWNk8MMTqZqwqZHgt6jDJrRO7Troh8k0F9S0XIgXv/fxBml
tX7o0TiAXLF+mGmH3tAagfKfd/Znx7fZ/ytlBH1vJOX+Q38Nj7SNH++HzRX20xvYdN2WPsyn4GQd
6t0TOx2BXSle9Ype1FJuYqTJdYdmIwxs6sSy9SYITm19W7lrednSw40UecqBhQX3UJ9G7TwOdPwe
9mlSVv7fy3nPp5B3TImRIadi8F04ibSJdsUOJhYxKLm3ChJOkYcqsxQP06g2s78imbFwFzdZ6Zbd
Rkj4MVJQ9UHw62c0/Uo33F/+loVrkUlKDx1HNYzZbWKnsNrzCbyo7pVN79Op3ZVzuVFTdfjam4zL
cqkVtyEsr1DUca+YBF+qcbJHUg3wdCy+1SgEl721xjZaWAEmYx1VvcoBThUAjJrJ9w6NqSdwHstd
B7HuL47c+f704UZLR3jIAcQHZ82ye1SyuHML6wWfuKt6sPU68JFJt5Jonx/5yT79J8zz4VWwEIMm
YI0iRtcgg/W+0dTF0VQi2s5fu/SZ7HU+Tz7MMyx5cioVQKqqc2KnkicZ6W9hptfAWwvXJZPDziTc
NXhWTqeob8E6PwUlbCnbDJ32X/B1Xyk1LA2WsfltCMcTV6UamkLhiaKQ2jseOr7NyWvmlS259Aoj
AMB5I0qF9vJkrnN4fbEdevjbGWZflfxzebPYSwvYuB3nNsqkHYTok/47/d7dzs/wTMp3OMzH7/p9
uDtFb9AWIitsy4WAZjLRkcDnTm+TIdEp6rwbQl0ktgTo2SOvg3w/tQzWfVYE3HFJ1b9dpMeHyx+6
EN1MUnrYcM0V6YJTRccr7tNj6jjvlx+9sNpMPrqdUcdlkfKh5P8d5jjDD1BVgWFKBnF/+QULc2QS
0ieno6obZ5Ty6wm5Rv3HAS15k3VrOqBLzz///cO2TwXsY3Lk9idf/pAjtLUFb/zj7HjjSmlxad6N
838mAnYGUGxIitkKDnK0+0dqdfVDO2YygZkJR3+rcQDknEZAP6Nie3ncFs4ck4HeRxbcpUXrn1K3
jd2siyf4itUSTsYceoV82AT+GuhxYaf+IwB/GMIMBc0QUBUG9L+F1QvYEZyMAfKYAco4+cJXPy9/
0tJUGRGh5tWYT7mrcYXGLbZQMN0ZdyNQnV97vBENCoT/qK11DQcw/lcT6zt8cZ4cf00KfWEdmEx0
7oxuZZGOJSXsz0qRnkJa3CuhDwAJPECsdFdn/aFL/ZWNuTApJrMcTtNcORMBvJz3W7gEwssEPOYG
HlL+sJJsLISVfwW7j/MOYF5pVc10CiBHEKci2MNhfE17YCk4/1N8//D0KUSw8jKKlEyyat/xsDh1
TAncVmCN14cUJjBwHS/RlOYOvP7Cc46rJhLRLQTm+leB2/sVpee7aNC53x3XRd/z8kJZGlojZHDt
C9lPQ524bfC3Zhw688V4b4UVvI/T6s/llyzsX9sIG24TQEXGq9okt+0YPW+Ui1AgGWF7Q+i8n2mY
oLd2+VUL+8pkjXsl3FTofG4blGJL88fOnfedXvmOpUViZAohbrLg54d1AoT/CAyMLLcTzAcv//Kl
hxsRwbdUSADnLhNrBrmgp0htOw6Y3OWnL02BGRCgH8wkteqkZM5e1ZDfRKu5By1dN/YV8pxZjtsv
vcmkjLs4QmGRS8Yk8sXO9lt4sbs7hsrUWLSnXISvI9rKK1+1MNsmddwqZeU3M/KqMX3th8M8PAIP
dPkzFqbD5I0P0iOo8aJrEvDyGv6nr7pDAezys5d+9nkzfggHOo/qkMzcOynBngWXj4Sz365cYxAu
EQZMznjoBdBpnvwQ9tmOvPZ8YEB6uKPtUD91tgyWfE/uDGBtKC1rFzRigudk3X0tmzbJ4wAKVG6q
LXoSpYRDpwCQ7GEClK7uvohxNgnks5SwNJt799QBwATTShcQnyIQe6QIfGUNL0RFYmx0bgtoosHP
8zSM4encng39K4jS7BwAQC4vgYVckxi7Pc2w3yF7TGGZNaIwpUEZ2gaorD0CoNzAEVXqTeaMcuX+
sbTgjN0vZsg4ARPdJH0Lk5tx3EXSv7HU8KU5D02q+JyjM8eIE50cK+3itIyy6zkLbSCp++lQ4Bq9
ckh/PmihyRhntgu5qJw6J9rAnrRqyJ6O6XOkXKjNNA8+K9ckj5ZedP77hw0KnDD6DfBGPI1wjt6I
II1ljqSmKP+SyjlYZbgWlpdeZESCbOrmihFJT21jPXSoA8A3J66K/F3X0wuBpMrl1fb5/IemO46f
pQEMXhuStNl7yGAeg44mDNxXwtnnoRLyHP8dLQVLPTHbSDZ7Dr/ywt5b8A/72g+n/310K+1ytBxM
RBuyF/jYejEf6xdYHaydVksjY+x0qE106VAMJKEygk8GnBEp2gwrdI+lhxub3I9oAz9QqpNsAANa
uwdPIcn316LU51l4GBm7emKSwaOiaRKsIO8WFMsusYCFaVkNS1J78raUR+UefmPZAZwEtvJRn8dG
INX+OyX5iMaqdjyUSkrrqMEkdMeaxehRAfEIN/vL8770knMa82EDUgDx4Kqo+yTl9T7lgCDyYLxH
demXJ4KVy+zCsjV55Cjid2KQQ5PkwOj5QAQWmn8pCw1NDrnHwiAk4RidUtpgVZEN5NrR41+LGgsH
fGgSyWHmC303KC4nFuPfNC359dCVfwQQujKTRyhL7qy2vIqm8ci5c7g8JQuL2SSXowM78HII5kSH
4S4XPvzrymNF10rw9nnH/X/NMjRZ5E4pCnjuIbhbc52eMmmzo6Rj+TAF1L0Lc9k/Ud15Ny28qNFX
CFjwrCFL+UKsurwfNalXZGLOK+yzn2EEBBWhKYssv0sE0yAx9DsYPMYNkKM5SAs1g3KXXrukO+eN
+tm7jPgwkrGNrFrZJwoEwWQBa9lvWg/iEg3KdhV6UoW/qxTfk6HYTLKA5xikDCPcGu8cnOPhSBIG
gDJmmgFtW61h+Zb2nhFWsjTzmIZR0En3AbAOne87L35QhLC3AGcXZ4m7JjC5sKRMfjUlAvBoMPsT
twIAOBy6Hdx+34A3+drpYXJ/hyEY4KoI4Yl27oMtIXn+GApUXrsubFfaUgtBJDAyBZGKZoJPMjLF
ApD2yVNXYk5XhC4WygahSfwdamsEpatKT2ry/nSttc+tO9p+n2He6Yc0nnR+BffnXTaQrT25R1LU
N6JwD20hDgU0fS/v+4XlYNKAW2suR2ZNcyJs4ENGHYfh3UDbXYeS7+U3LCRBpoWOV5eWPdpFdCJ2
ttV+sAGPMHb8v3CC3rj2uL/8lqXvMFIJFXgNpMC0fVJc7zzQc7qxvAP7505PbM0h6XOdQCc0GcLQ
1WjAO/L6JENFlG27prd3lS2ogKRuAfdVi/vpXwgfhX8G1jUbkMarU60Ue/RgfVBu6kKpfTrAoNON
RvxSMCGfKzUrkCbnov4RBGNxl0UpDCcm33IPvSxA7gcQ6O/lIVqaCDMejQEkEx0tEg4xM7ftK9Dg
6CmqEJ1K9GI2JSErh8nStjFiTCqjSg0CyidRxuVtz5v5kMt0zZhhIa6YbOQyF9Ty0V5JwDA8ZmH6
DLHFE7wQv18epoWV9H8UZIa6Q1aJPhFOv4PaapLaT92ZpAf65eU3LH3AeYI+pD92NtooPwhycjIJ
N1ysV8hC5E23u/z4hdE3acjKx+NhrOCAxekVdz5ATjsADfnKCbr09PNHffjxYS5sFcHnPdEscq94
yLrbQJP84fJv/9wl0wlNDnKvc6jHSU1OQSQBBUGXfksr3e3B2nZ3vnbz28bT04ZZ2r9ig1teOWlV
HhppdxuirXbrlhZ4t7Kubs48wpeh7MPnyz9tYfv4RoRB492Rte+Qk0ZmlrfRJsrhyDbsxwwk43Ll
+5eWhpGfQBm78wN7hhIpkB5vTBCZQPdHJg4DVu9r32GEgR6O7Vml1ZAU7X0RwNbKtXbEvs7adpfC
yf5rLzEiQIZkkjtAC53GWu0b8budAFZHtTAcZAyU7MpGWpgSE82vJ4c1imbOCZieMzEYnkb59GB1
fN93AOGG7tvlr1mYFc+4r3iczgQt5CGp++Y6Cslt6IPN6vUrd66lxxvxQAYg1LVkBEHNt/aKlUlE
623rrxljLI3SOdB92LF1ODMW2WgClMLbkrb9DZowXClL+dsBGR0kNH9lhyydjyaqH5wrGACAipg4
P8R3vfdPe30FpyZo+WzET//ZffLvsntynSbO8am8Yd/4z6/NzzlWffhCdwoJKQu8tyf3bnnPBbjN
s15ZygsBz7S/IS4Knm43QJEoa19S6oBEWe0v/+6lRxu73dFhK2aK0gopuztgUZ4y0a6VbZYWlbHN
LTqgi8cnIHmAe9mNUNRD0CweHTKtafQtHJSescfznrAwtyoFmQNP3clgBnynKCacaFb4LY24s708
Sgvv+T/gfhaEbZ33XaIpTTjh105kXXcFsNg+WykWLGwRE7g/D3oG/zoHcyeq4roRO0qah562z8QR
j5Ob/rr8JQu3T9MAhxRN4THoFJyaViZ15LyrbAKoUbsPILduhyIsto6wyUri/blHhBOacPxIR0FJ
xxpHtaJbO+/vG83Ru4UDHLDLPJ1vu0pvLadHujmeFFLW2IfWlg69uAC0usizGLajmx5UVhLQry15
E79Yq6HhmaXbZGTZ0a0d4E2nlUcvrHjXiAKZKrOxS5EXkrl9hDQebDDyUxq6j5cnb+nxxvmfuZly
h3Eek1oA5gNVlW9TNTcQ7fia0F5oWuXA27miAUQ/kjr4NeSYFQfISy/fpxNwpdbXCEmhiVZkqsjg
34JurXDUL1q4L6rtgbyS32e2NhELYc2EKALk7zupa7XJ1Ex76JRsnLqOL0/CUm3MBCg6wq1lQfox
aejwq595wgT/hooc24RheNOJ6YFm4hmMVwjlF2s2qgtTb/rpWDnLIzhXV8kYTFu/hSZH0V4Rf/pa
lcFEJ1q8t0CASUvoN0FdrRqmWILvsDJiS7/9HFU/nI0D75rSmsQIyazHVmcbp3mr3PeV2TgfJp+U
uEwkIgTrONCvOHjHkVoF1FFIBKPJut5lhE3bJiTdRlk1ve4GyWKYQ7K7sa3r35XwypXryFJh0YQq
NmzkbU563DXD95E/tPzeD9W1k2cbm9h76s63vC1PDQoN0v8Je4WV9y6EchO7OFloItYKIqiWHkBx
TzdtF8+l3FWgxkC7MsvVSqd64WgyLXR4ENISrDUMcaHsBweVgp30LPqrrgbvNOeZFWM7DyuLZWHn
UiNp0KVoZSHBSpq6dDNPUUy6tUvvwilOjWxh9KMS2SYe3XbPZf5W5bcMajZQNFn56QvPN0GLI9hZ
uNjgsLO7wnu3ZECOHgfGGxKP+dZBH25lPhb2k4lQLKHH6egKAYg1/qm0yRZ3653q9UqyszADJkoR
op1QIBXotLWSXVFu79jQvF7erUu/3IgEMIuAaAmjVeK79DCKbpdL51sYiOPlx587RJ/EAtMip+C2
Ro/2HCRB/N8rmGWnIOt3WpaQ7kL7UwbWAZLszY4V/VptcemTzqP4Ibh5KcACiqPQlOaQlOyHWoFQ
Bs0ScMnWsqilCaH/fUUKg7na0d2YOETdTj49QYxzJUFb+vVG+h9VICLC8kkls/XsRGwzs6sCALHL
07EQoBxjK7sVzFWlPVRJaLWbsME6rd5d14ppdO2JE/faldR5aXzMfV1KeOGUUZXwEjIRtdppEP4u
f8K/2PDJkjKBiBanmgiw75LZzqHnn5cFqGG4BIB1qGEca9nXooEREjyb6SnoAnosFITJQvCPrsCT
DHdd1IuDApAEfZbM+slG4myyyOM3rhrHuITy6ROpnfFVWnl+pHYAnaggJVeigG9Q40/lvss12Xks
aPczlHw3veb+oxeQNWnRhTkykY9D4wU5LgW4WhYlaloZBNu8IYZqzlsw+IlX2ODxaXvlsF5YbSYG
ktVnZM08Y6LaOXZw35jonzJbEw5Y2P0mBhKayG5TpWxMiH3q+r++76HHpTe0g3SVzfZZedM2zkqo
X/qS898/7Ho75J2ucfAnU/uz9A9udqigEnd5zS1NiRFRiO1mleu1eLYH0Zz3JvGgHthC+wRuQ57Y
Xn7J0mAZMSWL3FTMiiug0H+msE8e6XPvRmCiTnd9K7chgdTTMO8uv2zpi4woA6ql3Wp7AmKvhuZh
OkA7PBvZryqS27rl0Jhx3Zui5s+X37aQrthG2MkVR9udUhyPEGvWwL+3Y7pJQdhkZ6E9HX1xCRhR
R9V+G1VFWyeZoDt7IMfgXA/mdCXyLAQ1E+XY5kK5yGPHxM3122j1B0LXGFZLjz5P04fFO9VWCRYh
Fi/IneETGmAOJChHKJpdHv+FvWECG3XrVROsIavEQbetn9Njn7Kb1ur2lx+/9OuNHKJ1II7FaSqS
AdLcqg22kutvlx+99MvPf/8wMKxJuyiqMsjvakioO7SedhUpyV4VJFu5aC0sThO9mEMF0J6HQiUq
E3Ggqy1jPbxIfqQONKvclTRraYiMzV3oso7CmlUJ1D2PXh29eYNcE+NYeraxl7F33XniML1Q4ABB
JhES4StxbyF9NhGLI68i0TGOuNePwaFSlnrueNTuoKjFjrwZ1xbQ0iwbG3dSgQ3yeSgS6jXdjdJT
8QyEVprI1i+OlxfS558SmHhFGxZo0EWNRCLr/sGRMAOAFGqssvoR0MWVbfb5RAQmVjHy0iKf7POV
fRLXsPR4Dhv5+/LPX3r0efF+2AeQci31GDKVMFdv/LGDAN/j155sbF57TMtpAjMhySHgmPn5xqFf
2ruwmP3vb27CQiGNETKBFT26GN2+Sav7fNArd66lITn//cOQ8J4GtSoJFo1oj1Ap+O6l1RrV8fOY
EJhONm4QwqB2ymUSVuwAmcPDDFqYBRCSbz3PzkpM+HzVB6adDWQc+wC58ZiEIrgFRPPoNf2Pos9W
VvzS441Dt2hJzzK4ESQeXDn8Pjw4JN1o92v40sBEIoIW4ZaSIyfKI06AeoBsaFnSW5Jy/0vHeWCi
DoGD0cwf5iyhrH+D/D2sO+CE5Ebd8+WVvxASTMuaXkxpICB0nHj59KRK+25wnD3ryr91aL1dfsXC
GjXxhmEBlTS08RB1nHvw83dDPx4uP/nzBC4w4YZ8tAfuQL4m0fbwJHICVWf5OGTzYYaiiWUHp9BD
C/ryuz7PTAMTelhGVBUsc2QCxHcGVNp0cG2F5Jfyu96Fw2ULXTM4+2qUu/o1aszC6jWhh7ijRZrC
/TTRpOIxPFsUwJSQRVUNRF0vf9aCtAFqZv+NIIWl/ELN/ZC0OOduvM6abmxXliSWPGpeNQ9IPI4P
mvC22E7QITjzkcP+LuuEV2wItIHs2KozH2ImRSkOWQ00mEadw9m2UhXvHGf+nSQgQUF91G9YnNMZ
Ka/f+fzkVkMVQEzIW2vnLq1l57+fMkx+5E8FMAGUQxcY2/77rNJ3KYed1X+tMRmYji+DtqmSA97h
ZbdBfWL578vzsDTVxunvQIqznTpPJp0AcaXapDrx6cr9dmFcTLihHZA+rEXfJ/BwadpNUE9TC/HP
1oVOL67Tp6pt+v3lz1jY6ybycOZ+adNgAjYDMsG1+OtbXzO4CEzAYShtGM7aeLLq/mjnbQhWwIZL
v/g8aB9PUKtxoeqnsK/nfEeAWW8y//7yYCyN+3muPz4aFGHVZzhAmYZRrDXSe8clxwqrZ2tn3u5r
Lzl/14eXAFnAIOySp6ea14eeTLFjkzuWQxMXUq6XX7E0REaIsGtVtS7P8qQc0vlIwGw/FS3EgS8/
/V/N6v9rWYGJHeQ0qn3Zj5iBagyOEhTMA5Q7ix28MQUkwjIdblCbVTte2GXsln23byfJt55btVe2
PUN7yoEnyYze6catyQQR/7ayYqatEN1Z370dxDStpFsLuzQw0gnGofEbzb1MojFKoQZdBai0DNZR
csf74g4yAgGoqH3R8UycYAsq4hKdoqNF5mblAxaWpIkQtKecVxAzlwmB0MNG1fqa8eiFQXFkmw6r
ri5LbzFu8rT0cA64UiZ98QMe2FxMMQdtvvpatm56lbhBFoEmigVT6PdW/h7guHJ5KS4sdBMf2PXZ
lGuKB7fWTd4UMYOd0+UnL42IEQqgBwWDtG6WiRycJ4dotcmt6Iax4VZO4UqYX/r1579/iARNNM6E
pJjbyFHPPJquG1s+X/75C+veRPhBszvLgxBBss36B9uLDm3NnrvSXwkwC7mVqdYLFWx4LMwE6CgC
BxIaJfB3vS1sGCWgR/udzcU36ua/HYmG+eXvWRoqYx/Xgc0DqBqqhHS3VfaXhvYXH2zs3l5AvMwf
YPBE2JNP/kRsrbK7sIBMQJ/ds565BKJA9VldaixjiG9nmm3DYqUCtDAkJpIP7g6QX7bxy6vu0R2f
I9muLP2Fa6R3/vuHZVlOkYY/iALdqPwxTlVclLCAYCTOYd4BX5yVtyysUFOet5YQ2YvOFlVuBol2
dm1DE80rfn9puZjovRyVqxa0SCCTpg6Oda/Cern84KWxOU/Gh7GpXWYpdH9lAiHM04BoA97fhqn3
ofS2Ml3rpi1NrXF+R30PXjL0DhK3U0+95Dvi9Cur5l+z/ZPD23P++wUhbBXbfJIigWkXfB+8YYBV
4DRm8eAoL2ZBH25lLYKt8s+iMqimQ6CdQdYVJhz5ljlwCIzOBg1O5M1bS0Yp9O8E+OGjlT53AM9B
ohDgq4I4Hf5jODqErAz+6L4MN7h2V/vUp9HVnHrBDSJfexhK3MbGtrDRMZoceE908Af3oj+XJ2tp
C5pBIxIeDaHOnnhhDRH/aHga2uEZDNCd1O3K+by0jM34UYZkGsJ0wDuGfVrIm4C3L4B9r/GhFxac
iRgMQ2jGWn6HcpRWaBS6hbubORA16qyysSkYtfNYFjaLx1TUezE3wR7KHPwnR9H8qmKKHWrdjtA0
9cqnDOKiV75AL6smg7txtOXvYIALH7TZU9/sfBY75Utx04yVHQN2orfw5aFXIkDC1E60vUXjo79z
cGF4gQkkGGZM2/VfbxApihCAEYtGyZtqhlj4xgktKEr2QbtNe9+HUSSnG4+JrVO95iRS0TYTEvKo
hdPt6UyHa2fS6krChodvypr6KGWTuXrJc8ruSsVqsIRwQQz9MtpVWQaRT9kM9xmHnUeY8m6tOLQ0
1kYW5LNoQKkAUaPhUP60OuvdY7UT2+m1DT8Y6E+sBJGF7W1iJ31iRRy98uhUwssmeIFTzsphtmB7
FpgwyaCAltUMgjD0KDfsd4GyRxYXf4Y3qKWUt8UbbeK02qxBlZc+47wlPsTCBtK9YOHgZVH7pnNo
Hr9+adua4EeVunDPghJmovtjyNmmRy2i068lTHsuv2Ahe3GN8Bo2uQX8CC3RcYvulCfeSpr97dlZ
FdWFL1ZWXA2dddOU6cPl9y0NlBFyI55CT58jnI/2XWt/S79oMRiYAEho0rQK+q1IIC2IsY89ameO
p8ertOu/FkJN/GOncHtzWQiRsXI+SfiGJaLTw18vLMcbr2Jr7g8LI2RCIVPJZhL6UBsXkGRCVeVY
edHT5cFfCNAm4LG1oy53bAw+OKzpIUBqAHpF2XneZo7Gek3fZeGoMXGPo5UBJxoh3x5mXNNyeOdM
skucWb9n49cMHwJ6fveH/QbVXltaPfIyxSlEua33kI/feSVWdsVC9DMBkK5jTz68qsuEpLUbC+I9
wfEmSZ3iyeLsth4g/315RpYm+/z3D98RBBANrgS6+HLK99UIFWvKvn/t0cbOFi2zgpGj5luqbivs
N5L+vPzgpfk1trBTN2qeHQsxCYI42QaG2/Wuab3xlOU9e6rG1luJFUvL1chZQAtDMbHCvdMV2Q5q
4PsscDYt9VbGfumEMLGLcvInnxP0n1pFCm/jWsAWoZ/YnqJZBQe7gncFKjtAuYRjfRvYMr93QIeA
iTdkP/rcC2E514wr5yDUTzDlnySjJtKx6pzMhushUEMtnEytNkuvIT7AnoTOPNSCYZFUu2l1Bclv
FCVc4r7UsN76GZYBT6Er77Zyo/KqFFAOzcablIbwi8389LrrhNp1TOuti7rUIUCGloxRAdX6gWUH
Esy23EDYO7yWop8gbJ0N7b0PLWaoBXTdrxxFyza2iFRXOg2RfCMnhrWVpa9zMVnX9dTTfVY02b2t
+7MibhXcz6NHftQAtMptx4OggOWLFW49UK7fWBP19+DCeDv456gX5tiBBT31JnxtchLCnfHcp5sV
dNKsgcGDW2XA++owqnbu4OjbDoYVR6Yb/c5SMj4NOYuSGoJ295ACZltVzRrdMehKlWlW36WTCCGh
DSSMNUzpDYzt0zjrpB5iAkdG4Fegpl7XeXGoOo/HbOrf66wdHjiY/ZBXCtt3V3bdLs0p7MJn6NLD
hi491E0R3YPdY0FPoRPHxhvcqxEc1RjjPcQlsWGiKmb3lXUMfowQjLrqM5DY4UTuAhPbpvtBcvgk
qrTfTz1Q4dBCb7Y2nL33GUfy6iOkPXNatHHTzxHSThfzqZwISFRnnnapgpKeE7TeLk/b8om0VQVT
EMLiDOrveLGVX425C6QZ+pKxrBz+jaV2s5MR2E0RDxx4HMKhAip/sBu0wAukRH7PI9kcaEObrcYR
tq/Rr7snuspPuWb5HXShol2YlRXMBwt4DObjDxUqcQdtuwFGlw39HfZN+R3Iuu53S1S3a8tppNA6
wB3/crBZiAEmLvd/nH1Zk526luZfqTjv3AIESHTUrQeGPec8OH1eiMy0LWYQEoP49f3tvLe7bcrk
7nDECcfJCdhCWlpa6xv02A0Jh9w59DxPPXz/aniNCrinfX71lfC7hOWS1Gad6WJD1Op9su7YdGE1
rz31YnuSsDfVlq7LY+bPfJcaqFAKIzXfxt62Lm2za89+vvdPW0cDPwrLVhWcfJyvvQvzwTm5MOYf
g/u7ULTYlYguhMSxGHCgeN50+2EPa+ID8JnjVVkH1ROLRARZ9Vjuh2v9MD0NT86bqYL2O78x9kn8
fGEQV1LTpYDoCPhOYUNEFJ0fAP+/m9AoNdoHPoxBIurQMmE8/GesOroUELWQ50LPAI0xOO5APzQP
aNtAwd6+MM0+NBN/N6CLnSwvO3C2XIoBJb2IlcXMl4n31bWGbVlkGG4eK52TSBCXxmUqwLFIEiOq
z64l3jTOT5OVZ/Cta4oLQLiV/OZD2+SnudOXLuxTLKKODO57XXMHzYqoKeYgKx9ZpS5Mo5WbLGG+
o+1Ky4XZ3lHCPqQ03mC4ELUSAS17w5K7NLTn4sJvhnYJtlUttxNmG/II916xr5WQW828OczzQW6t
uTc2lp7TyLYc83ruz9pzGUxYPw8fa5/w/P2fhjEH9FbBtl4du66+tirZhCOMRYK5q5vAs/gBOocX
7rSy2P8HDpczrXmOMAj3yyBBHzsbv//ZZ1iGkbTTJDEQRgjsSa+odQZjz8BhK1p0YYEJGuezLF8/
v9lKXFxqis6mnQ09FRgwb8rueDPQI4eLLbgFLdt9fou1d7JIe6u8VmC5IKnTtZcEYnbSK192sO92
axhwgyIPPxGoD3x+s7XXYv86AVB4Ip1offR1UxBYE7iCgD8+XurorI3WImoUJcwi6wENO6ujMFRu
cPT3BE6e6tIWsnaDRcFOM80bVU8wlLXvFHlS9AWeuZ+PzMprWEJtUyLqoZxrdRz9MeL5DzX8GNs7
uBchgecXAszK6C+FRIX2cEAwC2wQupSosHXVnttZeuETrAzOEnLbGYRlnFjqKLw6Yo6LAuPZ9OlS
T2RldzMXKULZKWseJR6+K3oZtGq4h2PhHrJNO1KYTegqSQPeiduybi41js61u9+EyqXCqCE6QYHI
Go4edvCgH+N5juc4uyn+TKKELoG4lujGdpAcByoop6mpCKxLCJO1R1+saqzlCpkg4l9qmscK+KUs
E7uqtdVWQ2chyk3vIMbpUqF5ZZyWqzqdAVsyMHdru4HH8V070dC49EnWcoElJLczK5GrBuru0Oya
4KPaj6js+epUEyn3yL+hpCHA0YbrL1Smke3fmKQnG9gWiUj3oCKarHEfhQ+L4s9X6grVkpqLKEBd
znCy9FG276H9n9L50FTZzkEKBAvr/NuU+ZsG5tpGVW3S0tkO1J8h+2VcIif+fp15S1yvbdvaycg5
j2UPnnE9um/+JeubtUufZ9NP+3MGugrMLTHhUZUV4x60ZckumCmcl+n/XEuev9j6PQc4pIQk/XHq
QYXJu8DJ4N1mhd40XNhb1h5+ESA87bqT79DzHdIIJ+6dbPuo8r9eeOu/D9DeEttre62WNmUgLDhw
cXdBq45yKkFOPLuNm+7QbiwJlpTyFX9UtE+2c+/UtzSb7Ji4Dt0lFnow5WhX4Ww5czz06bjJDF6/
ff58v4/t3lKeFDbOLgED0D9U3S00rSLes/jzK6+N6yKU2Fh2FDZ9/sGb4ezkwJSgKejbLL0LCcjv
Q5W3BAVLZWZTfS6yopHYh2OeO5H0s63rOrfwerNCxxtfW2r8+PzTfPC8fjcRF0kCSHFS2wo5KNqJ
TmRO8D6GGH4bD3ZRH2wUU07Sh8p2RecK5mQe6iS2Rza5WU8h6gI93Jq98Quc1s2znATZKlfZNxOv
9IXRWFsni+Ai+kE00geMrBzc/lTbaWzUThm3dj6E6HZduMvKmC+BxgSdOmWayJRoei+gqVhaRdTj
PEP4DWNdVGeXdu2VablEHEvbNGc0pNXRKQ/dGHnFhSC8orHjLXHGjtKWnytcGBL1cbsv7vlxeLSi
Oio36WYIvAh6S3v/IB+dEzt22zq81G74OE7/ZgItcciV3ZXJNIFXkZ7IDduqvbtpNzjpw0fuOrtq
j3KDtOp2POXHOraP6SGJ/cfmAsvU+nBR+d3dz6v0pxBd4KiGAA1xJDTWTQKH3iwYZqFsuM0N/RAQ
y2KPqcfqW5B1UXMaYME2QQbfNa5zbxQv/jC7XjiDtXEDF3BxqpqMEpA8DcSlQk1jCrayoQ8Dvj6M
ZVtBFHwEQ86ujOQb/OHHoO+UHbu0atGT99im8JS7ncpqiDJIrEQV9duwyoUZz5bl47TM5KEWvnld
WQkL4VhY305U0h+kTvURbuTkRbM03zikdG65Q9OjS+A4mXP4FgJKkt6ZtgMIOe+cMahYwnadMxlP
dav6vfBApxRF7UYGK8sbOLWnP+ZpgFleZsCcK81dmEHpInuUpOmdAKYuxTe/q9OoArpmz/KpgkWn
dMfbwiXGa2J09GSLwQo4TFAj7LHqeZZ1FY+QuPqW1Y4RuHY9PPWTO1yj0seDXDoe8AqjH1ZUFA9M
FikAD4BGWCXgfMWgeQXtqi6P6Fg2O4s5/m5uWnUynDlpYz7xZFsKiOILuGDGtmi8mx7DdgXNljw0
vdS+d0YILJJeQzvCmrLyRUNxHAasuth00Kva5rI0jmll8g0tlX00J8hlAgXp7zPDsEIBP1eO2l+P
jr/RSLhAVl3yJe35XAQwdi93iQZMNUDl2YX5D9NTnFTNeGXYpHhsfQYle1KW5ZFI8SXJUURuW+W/
mT7X1REpDQmaYR4iPoMetfk8LK/FifP3f5rWFApAfipBqKNMBrZ8Eerh8wuv7F5LxLvLp4ah70UO
IscbL+fiTWaA3WSS7v/sBovktwH8PBllRw6Oj/plXju2CuScaxJQh1xyiVv7FItNi7bwUUrnRh3z
7i7LHkrIYxnN/ecfYCWxYYsdJ8W4UDet8qPdnyYCTjR2Ol4Zu9wutrm+BKV3z4/6m8C1xKWjuTZl
TYc3PCqZPcIeMju1SWXtWwScHYMjKUfwQkWxZ5Z9gP65fX82eH+RuTXB2xRmGuC052FeJOpm6PIu
KqVL0G9Pqq0J9dhdMZsGXFdK4EUEzLjbSjePaeYY27kbs71KObxuMia3Q+erEG4aY1B6SGV6P2Mb
5cDUlfe1CuqxsPf2kOTbYijrq8zJ1J3EQerYJikPE+E0cS0nfk2ocA+5NbAIoW+8pq40NjC+8gLm
j2Y8ikbsYHhtojtCphipQwFHX3XJzWZlMixh93mDFtzUlP4BAtzfTKO7cwbzSfvun2WSS+w9+toS
6GqUIafuqkqfbf3++Txbe+xFfl4W9lnKvciPFBAexqFIQLo4EZcESVYSp6WCL9XatqoJ88uDXSNs
RkKrI5Fd040wL4nrrmRNSwnfjqnKNnrkHENU1HHZRvQKvqiqjppLhhkrYZAucm3FctDKDDQSMkte
Z53Yp6Yffz78KzJo3hJ5LxD93c7HOicWkcDaoQdaRNi+Eewzj9cPEoeYOYBZC3HjwZzd14qcVYyg
XACK7Rc4ee2IQflbZhaWDHx4u0mnGHd9acvQYmoKPn/Mtde4iHRO7iS05WBB+fraodBNmmc4h1HQ
kp4/v8HaEC/C3di6Sgw1pvcMTqk27qpp80cXXqLtc51WLcpfyEi5tbfU/MigAflno7IU4+1Fqqae
+5Cw626IewMCQmB0gPRVlxjVK8O+RNknWSH8EYDKo5q9h1KSH07DdinkpGRhXdiJVwZ+ibdvR+ji
jJLkR9xHx0U5k9jJhj9jxqBQ8WsCMVl+1hhdLQ4ZLInjSip4Ew+d/ej4nv00U0tcYBCtRLGlMG9u
yMnXUCxHbsTC2nhUDdShvAsA27W3sFj+gw2bR8vG2ZQPWIpG2TxaCX9sZbGBevalV732CexfRwoC
1Ng9PMxTu9uoGlr3kP1P/LvPF8HaxRfLl5szNymA/UflAzTg970RwJVliJw2e/2zOyzWry2g49qy
DgHCmyOpt6SD33h5ITisvIAl8N6GoLZVAalwbPWGopWrozGNq3zz+aOvrIAl6n6shC5SD7FtyJJQ
OhIJz4UkdO25F9W11mKl6QKpdoSxK0Pvw3sTyb4gF66+kiEu4fZEqkwjc8a0NMZuw5TfRz28ag9N
yevIybEz5AByR58P0somu4Tfj7M9DsrBIBHQiKMcBx74qtnf5tQmJz5w9xtpZB3TriIXVvTaWzl/
/6ejBynyqhnYjE+XAaVsGIeM8j8qjHtLzdymhA96C8oePIPaXSZdqHyO27m+FPNWVCC9JR4fxwxD
ILShljWiUxzN0MuBx8tGnpTcNOmJXxKVW1nVHzn9T0Pk8JKPGepExzHXPKiwJc9CHr30wjD5vz8a
LBV0bTiByBZJ82GqWn4oudHuVeaaW7+WVpTmvQM71JqE5tA0B4/Mf6ir5S3x8alnEsCNan5ksPtI
A9K2+jurvPQxURC+DWqU9Y+plMPGypP02jClm0GQKOtjt5LGYWY13RbCLALKRfVuTkBQRRL1+lfq
mc0OlnM1HFVdpg8umbMvCsJTr6iotF/LGj2fQBhVduUSrKXGaIywJHR4krmiGSr6SPyczspePl9R
K8FhqepbKOrJzrL9vTnP5tbxmuxxsjtUAgZH2E9aE3XhRitxYolNz01uQeTF8vdFN9ZfOuEbkTYz
9iAHBvpPpc3iTBOml0xsVmblErDu575Tu65VHyiXDL5ithXPteHGs+jNC/oma7c4f/+niT8YQzPD
MDsHBbZtA8/OshZ6mmkZicT2Loza2j0W8Ueqgeu+lvzgJ+mrXSQRo5aFPBz+F5+//7XXssgqciAY
TZelbJ83bG9mDxqyx6rVQcWf3eFSV2xtki2yCosV5VT1Lt23zDoVdhX0ngREJkWUYBfCxAr+1FtC
1r3eNDO74/ggM3AWYclUh46Kznc9VxzqzV5xouAER6KD5KnVZ97GTBWBE62FZAryOpHDPPLt80Fd
2TWW4HaoLMNjBweiPdDINyg7xo3tXyjyrkyIJaC9kZknSyt19wSNvWRq5lDB2DQw8un282dfeVdL
WHsPWSAghDXdj6m660C2IdPf2rdOpbyQo60E9CWi3WayGYSEFNnkemxnjA4FCNhzIpWmVlhaTrHn
8Ah/ScoOpoZQVHn//HOtDdz58/60WpNhEsPgYZIn0L5MZ4jRlnD6HS9JYK4N2yIYmMrx0FKv2L6g
Z3/7K783TkNXb5z8EsJ67Q6LUAB9Wzfhfcn2czHfuZ6OLOrdZEm/SVCZv3CUXJm4S8VejnyhrlnG
9mPu39bgZJlieP6z8V/EAOiZdpMrfbLnzIQA6RBnCf6XRX929cXRIkd9Lhl7RhDGoKdqekFFryAR
deHqa+WRJbg9AyAZEPXC2Xt2C1Bj2pWNsWE5VDRDp59sDYu02kJDOVXl3p14dtuw1LI2Pu8LCBfY
cEiGN2jSRi2wgYElAb3l0BgPOJzbIkN27qbXkl8Y6JV3uIS+J0z2SZ86ZF9M7XNqshaeXP3958O8
slssAcQeQCJ1XbpkbzX2xpyy0E++eqzfCmMM3fbpz25yvvlPK3UCMD/lzIYDlLLDgZEXR2EA69y9
NaBoGXRW+meQLe+jj/bznTxoB+STx/aQex8PCS/9IXDR/QwcLuAO/GcfZxEZVAbjYWJndN91NpzL
Sq32CZzVo9Lv+HszW2pbNWV+YXtYCRIf2j4/fSLHcIVjMOrsGRSqN2kCVp7QykEfiswR0tVLu+15
Xf2mYL+EEwvA45kw4NI1djY60DqHwnPoekrcIHhPdWD1Nb/xIb8d0CJBEdGgTbMhnls/2FlSxZ+P
7NqHXYQU6Kdb8KRIyL6a3LvO97a5rTeJoFvA5f7wFou4kkhYkXUYvH0u3BYqrfId1AuQisfJR/p+
ydFphTsNg6Rfp3zt2plOLUX381BFfvI25jA/nvk+9TxECngOAUVi/XBbKxxTI7T9VyuHczycamiN
HoYbauOYdVfMf7DFtsrbUPTPiQNDkz3cfwLHvclhqyjqx7b8QhMr6CHiW84XMtQP1dLfTIUlMjnP
PJ2ZrgV76Am028AWqfdOBpMocETzCQcYzw3NdrQ23dzDkJ5k4gESmSQNqA1u9oVFdl5Mv3sI9usA
jgOpGc8NZ99ADfmhQItq06u8jsAjty+AlFY/6CIupcxrDKcdsZA1CE2QBiwIiW04DebtbVe+K37X
wEI+75t3IYoL9YeVKb6EKjc4mXW1YdJ94U73qVYvEPbdpKqGebH/Z84N3of34k8xQ1eDK9TA6H5Q
5tEv8yLIuc4C6fAfn6/TtZdz3ql+uoE9oNIBe4XhZFsHGGMP7lHRC9nqymb3cRr46dLQJ01YYokB
5KmHpj0L712Co6899CK4KPTksgpk8pPT34vpoM3rzth9Ph5rL3URVPy6L6rCkMNJVimslm88VsYm
eBL9fEnzfe0Oi3jCkxRZXI1hIdn9PH+TGTTj5HtmJhfC4hrCZolITizI5rpGM5xK8KsYS28FrEYa
U+9UNSKzFqEDMz1nakM1zQH1x4BSZH0li3qg+ceWBYCibEd3DC3LDkvp3M28itGQi2YyXggJK96y
3hLRTHnVMYgmwOiiSKeXQfhuNBdNGcoKRbYU7OYNDKmLOGNVs2mFNl+hagk3mdxzEKZKPVwD4zI/
Jj5qyZApcUnI+qZ8RkFKTbFPE5EHE8pGW0cy//HzibFWs1vCpBunIhVJzyvFVv7XBLW12G25+djj
cVIo9p8RGYwZ/t+qQ7YSqG4cwayZrAsLdWXaLGHUaZYAvccwbWy0099L1tCdMVh2RMs2vXbSZLww
fVbSyCV2uuh5avAeC6DV41tSnq17KxLg1Pl1NJO9RZEVfz6gK4t4iaFGYVCD5pfq02h1GSA9tYqB
0Cp2Hs3lhVusQJBRFvw1upk6SzlC0HTijaPnWBHmPBhjZl8VJpuffD8drpskZ0ed5dZL4xL7h2U5
+tSDYMqCsqnNe1RgcBhglmtcOo2uDfAieLEx5zxLIPyUZHkaKEyomiZ2UBv8zp3KL23qXUgEz/vr
b/bdJf56VEbS9mDvnz5s0MfpndFchTkc3kMrd/auLtkGOpVvn7/OtS14ia7mIK52jlbpsW37XZVD
fELieAMGiiJWTOBan1f+ttT7kv/g9iXTjpW7uktQtVZdkXbwyAU/1gvs2dub4CWBIYhDZnlAFhqy
Vm6hRhxJegNuw4WtbQWM6i71k81eFF1ToEo20dqHhU2VWgmANxp+Kk1qiC9Z7woQdSszi4ps7kB7
Kz3nK/et8RuX6I2Eo48e6i4zjfHQKMv4SjQfVCwGb7xm2TT9q7Dyn+/T/+Lfm9t/vW353/+Fr9+b
VgMyn6rFl//92FT477/Of/N/f+fXv/jv7ffm+rX6Lpe/9Mvf4Lr/vm/0ql5/+SKugb/Vd/33Tt9/
l32pPq6PJzz/5v/vD//j+8dVHnX7/Z9/vTeoDpyvxrOm/uvfP9p/++dfZ+Trf/58+X//7Pz8//xr
m77Wr8tf//4q1T//sv4BAI+DiULBWXJtz8MOP34//8Qg/7ABToa+NkDiLoq15z4fSCcqxV9Z/7Ao
sfFXzHfgnHyefxKK0PiR8w9IriDX8xk60g6cOp2//s9z/fJi/t+L+o+6r26brFbyn3/BIvbXCO9S
j5i2y/Ao2F8dQpe4LsnU4AzGaz2J7hGe0weR+CCtM15vU2G5x7rSV3nPsj33+mmb4kaG3k8cMi+W
rZOtIG1UzgK7eVE5e8uu/VPJ2i1OSrBpdvNpQ0v/zE0yi1PD1M0oWXPt4yzoADNpc32bWRAfZWkm
T0MKIrVv2tue+VdA0etrCJOWIUVrLDJG0iJmK+hGJWa7tYphi1iDPbwGdN4vg6pg4oT+YmmDG2MM
LLRSo4pLx5IHW2ig+N4/nsyGK93d6Ew8ZHY6o6M9ZMesqkQIlhxtJhnVtK7hJSvsDQp4Mqy6wQ79
KfEibBzGlc7KKyyc4oDKmNzDVfmt8fp6Y3RgXSYNk9+aiUyb3FJw1BFZuWtA+NvMdjEFvaiLDT1/
HE3bYT/yBnYZtuVuC1u6Ud/PgZnhN1DQ/SrnZm4DTnGo8GRuAOjYwwjI1lvZ5Sru8sG9G+c+EBbh
wZybw4NqiDoQf1BBVzSHIk+q67SL2invHioujKB0jfGaaAhiQLVptg58rMrjNPjFMVflV+JRIxzd
5NpLXPfI8/S+8PU8BIC0q3jGUJ26s39fn7fX/VwXLzUf7gi4oEOTVjdGYnHUE0DRN6jk2z4fnQ0s
UqjV7QzQRO9k7vkBMRx/Q2zT37tZ9wwMHpIlUScHB9zdG4zYV4hbXquC2RGObvMuLRoY4BH/2vOB
jUxGyAmYbQ88vebZjTQsiDUhMQqdwq1DbptzhP21uRptdqxcoPqIZW8/JkqbD+1zJ4cyKvcVOoR7
n8eTz+cTo72ALoE7AMg8zo9WVoXenPSx1QAkPNXpdNW2JdoE0hw2Hs2sgzFVTwbJ/a3hd00g9eid
Pv4pUzMWSQ7kdtbBqqnMgj6phwdTWe3BkAYoP41xY0KL9GCCpHyDmx/HqhZ7PsL0bO7rRzwDDRtX
iJMS/jWEHXTEmj6Nbc8iUQ9jgU2WJV1QWOyLWY4sGqGk8S1PAmbzqE1n+86dqQg7w0B+UTxVgGu9
eLQNuVNH8GDqrypkrfupSGVQcKhmgf8WpHp6dUTbX3k0JaEsTWfn31RT882oWb79WPo1XK8iNfTV
ySAggvvYPVALdm8LSKbuExBTgtbL6iuzDW2tgMnOh+lfg0Jazzv1LsweB4f04READ3mkkMg7ZlNG
ojmb7WBghYYQB+zFUjZtPr4aC2MOBuKwyPKqXQ8tin3Z+t2JO3N3wjE70FjHNrrJ2RBC9xUekmQa
3I00myeH8FYEjgk7czgpeQBXBw00C6HUufl4kaUxuscWI+pYEFpyq+6ZlWBfdZkWj50p9sXcVlsj
YWwH4a0aWto+NEkhox7ApL4GbhlycmhHArLAu8m+6cvxBaBTib29KI7EnvPI131+ZVTdOx0LvTWg
Bh4XLOHPyYBcqyo7C3IRBoSNJtlFrnbh+AQN4yB3uP105G364sJt8Mp3ihNjznxj1pkbCWrm2zpp
i6OjvfahqlEm1+IuoYOOG8jWIQ8IhiKZo6zm37C176lB9Y4m6DMYzI9qeMkHowQavKHg5MJXPo0x
PzNAwi0nEoLUYV0osZVW32EM5TPQ5Y/lULz7Hik2kKnUoXaiQQ2PZMa1QTeN5eRgBGvXAQtbIasF
OB7gZe9OSE8fjQYlPSbNCR5ZnoCCQMVjQUq4J7e2uSvl+N2f6JXOq/ot8A28aaH6+rbX9JBUhg4n
jzSH0u27SM/eFOquAmUKonAsc6atKNR3U7hhPesq4KJr476HJc5EWRKyxqiB3CreWsiQhoNRviIP
whEaJvdbt/YOUlDntoJOlZibo1EWgPIfhSmADhhpHbTaswK3MI3YFX4AHCGYAEVlBWU3z4GsQHAu
KnB4gKp0ggF9fMemweipYitbEYkKUU+PIwyz0j5CkUmFFp1UnD0NoEG4ECmuoTEAngF1oNjIc6yr
2fNCO+kbGD2oYDpXRYHfvMvdHaMtliEZk6DJ8Q+rPeiImEHeJQ9p3dXQSgSXAlM/NNCSDNHke7Iz
/0tZVjq2OdEhKUIwpWTkzn0BDX15mLve3UnCb+cCT4XuAjgYsacYqtmVTMNs6kGq149GS4agqhq5
cbri3krlixpmgEOKEjYXvhGXwEtbzUvtW1Gv+nuIySEgzg9lNd87tnfvT9PWhHhZiN97Anl6OwoK
52rFrty2fGN6SHYVNlXzpLPaP+pUohhY1eiGY8M3278Nuz2U8/jiwII2qARvQjMlzcYRAmKR1axC
YduoFeTO333pfTcmfcKSA9I8G2C1Qpuo0QLcAkuGROGATge+qy3PCZTnq22fpAEsfepgJvkc1qVv
bjs/O1MJ/3ZKGFMBi/QKdrm/cSEfAoYLwWkTTmex9Aq4/VKZxzASYSGr2AYMmhu8gLe80zKyx+le
QpDlNGXqYWowMSzXTrcZ1Coh6ZZOseFgllIfRqpQ8eka7KHCSA5VPeHdqraCUoLwwyF35n3RggPk
T1CgZ56/6Tuh9pagOJS6bLgq/G6Dfrh76IzWPQxOHvcWSnA9m9wDKyFhkXslNK1pCQWfQtq7sZ1f
a081mz4Zf7DJBC2kg7BN3bgYQXNUQKPLUzUBc8K6lsctYNVsvuqH8p2UuYeo3BE8VUh0l0RuP1gx
RLiinjYn2dqI/Nw08FyVBMC2uBcpZg2wDa88t58RRcAr6jgYRs2dAXZJMMJJ47sJDTTsNzOBZXLx
Nx1RKy8GdshA0PEUdt7OwxIzAd4NGyrYteAz5HnY+9SOT2AGTSHeJLt2mQf8RJ8ehlGnQW+6HpSo
525bAcYR1F4XT2X6ZoqQcM1jDixNxITlBUrPt6IF1i/pz4VvriNOs42ubO+QwzI+YLR2t6yo2oMe
qgPoWZjsXm3iATJkgyBHoch/5dChC8x6ftWWetR580TZ7GAbKFhEJV67RK6ALAbb0Nn2AA7EAGBO
xzIbipgR8u4nYPjAKOwRIJeAN+BLuUS8eXbjxgXlEdpJoS+mHhQCL49p5Ru73uhfSix6Bljn1TB2
r4LkgIxCL2lMNGSVMrirpKQwgkla7LqQvn+lIffEkhJCmFkkRjDaoW3JtwVOv5Nlmye3SQ60kfeu
L1AG75qn2Ru+CUu6Yefw3WB51rZqKcXbBbwDu/G2HOcfbm0OO9esfUCGyW3v1X3owz4YFg5bZ0rt
OxScQmUMXya4Rhre+Dg25RfoGNFwbJ1kW+RINRJIoCYyLyKjrlIE5TuT8H2jQNf03TQE8d8Ny3yC
FahCNtxBg8qAwV7ApuzoY2Sjrq6wqnIPGlpqEPCGgCINoLqh15VZnGJJ04ehoF3QF2619RAUs6wU
e+04d3CGxDtTbjjADzgwZwcMNzXfjl53aIvphRkpEOJ4B0EHdi52QU3RsskeiZXubTd5Tg2YfMNj
fPaZc5KkfdGOwUPLRVAXjoYXJDAwNXJuP21PqFVdeSiqbHudPxuqw8mfq9gAGQqG8VhDs4VmdgvD
C4DHx2iAYTn3aX8DpfxXjdDkGkUeqnGIIAM5bGgqxUGWzbUsRBn794SNMMNN54dshHhWLyakSe1X
Ctgt5E/b2Q26kZwaUFACr3huGs5DOHXcjH0S0hm8tUb5IS3T16lVqAhC4T6gAGAG9URRXe2yv0cc
V/C6ZqCrZuuZOUZ36tpirxv6da6qV4VNJOwwIDE11C5vGoXDT2fv4KAVk7q290Xpz5FgLHS6HtVG
EPYiF2IO2CzFS4rtQvj5GzAuZRiRs95aIw9JHuG3buzkvAFSKHjMHV5g1pBHnidxVaF7YfAoTz0/
1A1yOTHSU4njlDlPEw5RogiB7XszTOSwfWKG3ZwrZApQWtDs1jfukAhigmr6LEjxJcPM19hQEWnH
HpdFqg+PgiOWxxznhJ2IX+y9RGbbZtD31BFeAEe8Bzo5MQ7G1nZOIdyg0zivO0jBzNXfVmc/WJAm
7A+ulT1xnEBnv3xGKhvOosw355pe0PaBb3XD1nHnK6u6AgrsVEDqOx41+QZR2UPrtV97X3P0qzuo
q0GwrfNr6M/CLy9qUNUJDZ1B8230gtky0qh2/SRs4BVHmv9N3Znlxo1t6XpEPNgkN7nJVzbRKqRQ
L/uFsGWbfd9zRjWOO7H7hTNRlZkF1EE9FhIIWIZTCjF2s9a//mZamJKl36Y23e44F6Kp2fYZF0XK
9Vjo224w38RiP1XJTAtE/JuvFam8p4SE6mS9IWNsw1nTz3YRjDJ9zuy+PI7maaoaRZGm3Y+6JFEh
nlo/zZfuzjIypjxk5chYHZwRK9pNs/vQjhW/oAayVkyndmFn1+392iAUzIfiWiXj/DwW4pvVNR6J
RHPg6mtxWFYOx0gJPqjmV20SHaQc+nie4UgRg0pxzinBOerVbWwpuu1umOaHRlnUn3m2j5LG3FO5
RX7W6rdL5KMRQ5C3idjbRXPnqmX1hzJF2aD6g7EUON016kfuoEEdNJz2DDt/Fbb8mEb9ue7yS2V0
/JPV2Y8d0Tz8+jdtS2zeaAq1sQSd+VDnfRPYR1XzybgYl3nlXAdmFt3ZUe6PVk3Fb1vvsj0Uadf7
1obwU3Daz5XGvamqg0goKeeBmjuaBHWPxt6tIvsgGj3aYeh4mlIBwagYTklb7cqWUU9VFzCkN/c1
1ecXY3SpxZTj58qFDhLdboeuzl4rahBlU7uv3fxjGm4oo+tcqmK8jrX5PdOLHmvt+tD24jlxrGee
62nQ6jTMR7y0+3YTO5vNidfFp1uaHxZs79VA9MkOvS5DVPtIK/iW1X6SIvVqJiSUpvazHtmssDS7
mpKNOFnydZ1es0mcTIPWvdfLr1hQfxWWeW0Y8AezNn5NUmzuDP0qos46ZDyUkVKgjKZHWAffJ2Ox
GFG6aSBbbm+xDte4i9/pwQ5CxK+TiFbPcoavcN5PxridCicS+2GWr101+f3WJ9cyL3bEVMe7up/p
PiOS05eoC+dSfHcLV12kdhfnSRFOIFSBbhEyznpMNfcznZarnnKHJYb1XKXtZ1zi/Toa0Suk2y9W
aT5s+Re1OR+xDl95jKef2aDHHofRRpqRqrmCmwSHclmKrzL90UTmrnbW5wRtV9gMyZueFD0bOtPD
eH2JtcRhsm6SjNuiD562j8xI3pmH40/txCe7r9tjoRWHcV5/6I19zQbjWcr4RRPLbp5KzFy3O2HP
XgejF6UUNVkistDUI7aM+2pig8VPcbRQJaxhrNtnfrJ1r1ePs4qv9bDah7nequPYxHcVrqp3Yv6O
THO7ha1rudX4a7Z9b7tbqaSzPROABQdCUGZnu6KtcCLG0RF6c8lvjAudHTenRubRTrR9aFkUH7au
R0FFHEAg8en0otIK9YOtL6vnpPUht/P30RbPOnnSu0nqHt2gsbOEU0A6YU0n7XdDk+c1X5+K1Qpk
jdQ+qZ5m2v6d0Y5FmKZjwhXdnaTof2h9X+/iTe0EDooBllbAiwilw7FOJg9Y9CHnQi0xxd82FF/S
nEJ07GtjH2ttfC/YWiTCOCqM8Y7SbjiMvtSeAx3MH+0xWG36FjCF0i+wvJuMoMVRc63AVbS80kNw
IVWsxilOUXVsRfXYgHImJp51aEA/4zblaGvHYFPNa0XGiF3PQGC98VTMWrC4dbWb8EE79Nq0i9wk
TCVNODX2AwFR7S1/Ej+lvMYFbDFQwkMINB+r9yxhAYPQ+COPa1x0P4u7EPTjUZTyetsaEodOlNfO
TtOGDyrIg5trQe5Ye2PWYCjNzUHq61c04Yduw+Szb+ioEjd5d5K29+jZHiSLzKtiR91WwZ1Syftg
TuXdhLJP7zCWzCbJWGhNA6cw/HnGDnYdg6ptRzqs9sD3HoE2wMsYJFTiFc91mtbE/KGV2jdtwHd/
LhP2qvYripIQB5t9MeFCLZN7K+v2dbKB0ehazs8uHqrI+VLOjafpzvOWtd9rEScHXUePLwegq+Wl
GXUCLOZU85uq/OwacagN+UHIBRBtWR0FA9vavGQG8dl64r5llcLE1bK8pduWfZezM6MxX0K7AFTN
L9KY0uNkNd/xI3lNOVl2y3I3OrPNycJ5jUM68PXN0dSemoe+im4VT9Y+ZRRLMlpIdFvA5LaMITFJ
4/SoVLu3UxlLUzo4aBdGl2n7MlmOrRURrxK3XlxSydV8xwmL08DQlu+iGNOgyoyf2spZsmnVh55p
KsClI/Pqwj5WOSStZulGKs6t89uhfnW5MKW1K+bmebJzPdAGN8Cg4VmM2BX0ddJTUM8GnzyGcmlE
JK4ZzT7L/FQu+kfvwtYXNJvStD5Ajt8rsfysFau5cuA2JyDWG+sUa4ODnr9ufWT4ThEbnjnxGMu4
eaoLzcSxoX1IuOcjdwKUa59UpVX3jfOp0nhfTRFmsFUT4tmQ+PlceStwnq8t+kwvNRU7p8lLT+Ra
zpVMk+W4xpsDE3G3qegZoo9h19fBdd9MoUuvrpRvp/PdVE3rgWrHd+ZOnqLbS4d9BCPgLIhrNN2u
zkmuiymAXFAEqV3BhIocy+ud9DRQFwFVLuEwzmpnTRqGvDWqLBxXgVcSrKyL+VQMqR+nHKwIRmcm
ddlTOnPz4dsid1Yx+F3e/6qEHsJSe1TlaPr60pzXGFzK1ewPmJ8EdMvuR9oQgpBZ5Unv+mfHtA3P
xYzFs0c5ksqkA3avBKjSXuhVnuxN2j9yvdOCiopzN1+oklrMd4b1CQw/Af/VOVyLYvRgWTdek8h9
3izndd4Djd2RZ+DXtfMNrPxZSMoXi/ap639YwwCGEPMrWuiX/TjpruRlnUbl6ocu18PO3O5VBtaZ
r6btl0XtTWruGGiYH6bTPc/Sj3NjCFdY8d6ixE4W87Eqm1fpsNh66+oq+06Uw76Iy299vWn7WG/8
ij7Z06SkeJwpSuaMbo/yky5Xf0u68Yu23DiGnbF3k+iOuMh7HcPWu7ZP8ssQgaeOjeOvQHWhPuqP
OQ9qKnCGztp1R6M7h0b9YeuOhjvbaYj1neRe291cB7x0Sj5V2237wVW1BwZCk7ms4ZTX5a4Aptuk
WwaWopfQ24xMEBYGaMmXESoqswP4JmnQ1W7tm43+VU84PKQFYpov16EgDrs0HFZtV+2xcQMqG2sL
lLb+mkDu2ydp/NaqX7IoEvLfc+zjEH951kAorDY6z9HWfmK9QXo0DSPepnGE75i1j6P1ftScgyyM
yhdOWBfNSSwyBifaztLhKHb67TjqwNtZwvPvaxVuyXBMjT736wQMDebLDHRLDxcaI9GnhfPS5kbY
FivnTr98Nar5KARHclHoIfk/0J2vm2lxIxrTg9NyFDfvtrv5asji0G0H06+W5NYZxLGXJAXVS9zv
lgKS0bTyAPWme5gqjAq6hbyIA9RRm5mQ9R7PwDjYguzJppD7auxTT464YnRLXu3NsTltfXYy8vmJ
wsw4CWE+1l3yk0ILgRknnRPheiJd3du2mwmzWTwsnS0O82J+6oiAPNMYgiifl7DNbN3HJc05VFMT
TDVQTjFnLXyc1vLo5uKDbn8xXWvcL9N2Ugw5zmNf/RxnUH/IZMAEqu6CrZ/XY9VRfImh/sWs7+TY
0OUaOhCvTSysptXLasbWcRTaUZMD1JYb91xRK5VV9NrIasD7IRtPI+3tqXY5fIix+eXynr217e5E
Xa57qwfBLhIKNNQ99vaY+sq1tTCd4p+GmLFEyis3nJqpvYPsOHEcVV97E7xlzZGnKaZ6vkOwMEeM
+uxnVM1uTGJmq6x3nUUX5LV16WTTUi2uxIeq/gE7tLc1Xr/pi2+KYfRikzQ/tG7f+9qM/LZwjaCc
qpd+6H9A8ESc1tdiz78JFmxygsmaq6BbreGaSXmVeqw8jNfzXZEle8XePyZF816ySjzCCvjnVeK3
cUPMXA7skkRAQM1KWzx2fGdLKz+Kvop32Vi0J8dymhOJdBzzlu4EWpfPJ7P3UqZY5ypaNx+i1Rww
vICx3Z8yLLtPhjU7J7Od7wY7fhyTjJ9Q2Jec8PhTHxWTJ41yDLTYqE/x3e+/XRrzfjLX/jDhl3c3
VFcryzJPL9w5ZOKwh8tFjefisTO67+S6jEzjum9TEu9S5raBmRcvabJQFZO31WEmSuMzi5Oco6us
6m1nTtCmODC7QHTMYO3GCMnZSbxWZoxSmcKiqoAltyTqbWzaL/nEtIDxtX76/WIV+15FU1h00CDS
mnAy7X1gyL6Lm3iPyeR9lSXDPokaYAxbLGFmUTokcbdDa/KaRb3JjDh2kn1rdVfMScw9/dND7Vb+
UBc7YOg4qDZJikSVdwc37XdMeZmTO8CEs8antElIH0lmkrmWJhBPzus2cvyXO5KRvpWta9IrJD+T
Wtz1kXhH2bd6yZA9j1YfBetiYkmUgfT3VfI6lcVNnNt+Kbvyi5Q00A1htidjMsKUwa8LYSEw9bzb
63oX0AS8MD4E6tWzJxc4cwVC8LfYzALHqf16xGWxrLkfa8MMiDPAUmrJ0l02PxXIH8K6AzsaGc3s
x7pjeJFBgMrGnbmYzYPqMFcTZXHK7Lw8unr+TZoDnSR9SqOPXAJCu6MFeR8ymu0lXl4d8wZkJc5n
XUYV1lXFl2wmimaNmw/kGYKKTtLrJ1E4i+WSqix5rBd7IYr5oHXFoXDyty1eCk/h7uRb1OZyzD/I
PqJ/zyFGt0mPO+DW2Dsck5ZdHL0wPulPa2eHTWd8KcfOpWloDCZYZGuvDH0Z0aCtLRzTdxuK+9n9
VVHSQryfQI+7qvC1vpB+pm0M57XpumS1FqRTyQczQ5aUZvN9QAW5t5X5QpPdBK5R3tmd8SMqXeuA
34VnjSCwNe6IXoEuYZR4gtv6JbKN74a9YjftzGESgZSb+WE2py1gi72nck3u52TLvHLK11NRPUej
9oz/1AHBqdhNMXdbYx+2aICL6ZjOoSgbPeQR/4zHlPJjnKd92vQ7YUPIXBEXFQw6/cRpC29bLr0w
YZM6CdMR5TxNrKpNs360lX4hmYQmsnL2W063mdvqGNeLCz163WnOmO87HXZ6P39J1QBmW9uXHpBg
mJf5PBCV3c/AWFbUEbqQaXmwNNq5ZrgJwSEqEfFTC45JmnpiSvXXWpe+lb+NuV0cGbjTRMKCv0+d
cadX0ZO9ieYST9HEvGm7DNS0MuVhYCB0n9jm9zQq3iyn/mZOyghHkbyr9dRss3sQhXJ2CYXfYi37
cgCWKW4QQTd+zy2SADaG+Z7e4SeUEu/gzabuL1bC4noqhFjvp+acqjo655rdeQMkECi4vd+mWFqK
AtPuzLQAmXTsjVoq8kjBlbEVK6g2tvMIVNHF1YFQHAI6THVYMt3ylVn9aIWM90Y1uN48Ja8ETETX
cqJSqN3CZuhPMGg99O9RNOuIvBmF626pjkMHUjTqJ7vj0neXHK816DFaFLvUfZQnqUObiwGV8Mw8
/a7L/keXIiKE6nn7hOXZsRFnbcN0aYR9UOPQ+vVcTdAXNn9JYAuZY/5TUy19s/bWlVb0KDgnvdLe
ztkMwyBrhz2+Z+zhqfBZqpL5Ts0v4TD2KK15H32WOcPcpQNeHLhwJVuOLGIItW3acmwr/VV3p12W
ATU705gHDXOoYOwJa2cIv6My/VAO8baqPxIj1/ldwZg61VugmWbncor7PXPvW1nEh/PWatCPtUxA
z2v1ZT9NqS+3SQQxXbrfucxR7ChlX5vjfSlZM7Klz+kMk+EDiODaLAcO0OzitEHJZM9g2l/qugrt
1rjeUHN97RwmoiiHMnqGbu5BQFKwiQFGgS2K6eAm2o/OcPZSdZVnVZnJAACklSwc9pX1JHtF9z1o
FFgGFKZiSk7F1NDVclwot/VBF38I2xlC11GQEOiXtZY2gDZ9ZvYAL0ffWa34uiTJiTL0y2TIT5Jd
QWAyicuhzJ2d0PuPLIux79Gas2Grr2oasrMg9hkPDqANU2QEVJljDZ85O2p1ZJ6WTAESLiOXWuJ6
qxEdrC2/puUtAjyenpyZfVkVy6ugIvLLanZoYAVhjtolUnPJ/dT81IjNWOM25/4iH2WdAL3F82yy
420QZI8QwM80Lrp9lsSfk0hIwZj8AsM7knuzKdBW4jXAHSvcE7Hx5Yed00SL8KAs3QA6277urYT3
WoYrkWq7lYgnWlnoU4Ps4rC6gUF5Ckh4e6maXl3qPnmraGhjKpui085ZWpXAwJh02W12EK0aLt12
0mlQL6twVghl1UpgzXLcKNguy7LFu2Gu0c4wP9YIh/YGpeWhRqoJrHGY/IU27kbo46bd/EraaDvF
UeGnmcAO3ImVb2mMbfJtfMRiG+epzHkqhrg+p9t41VxjwjmgP0cWaBLXlL/q1VOnxhWqjjKCzqrq
t7x+qO9sFy4ZAF0aatbwIBvMFs1eP9o8XL2zPWEM/gZzz2/GAV5qM3+KzPHS1flpy3nwjHG1g+xm
WEhzPtmMJ6qh8grOrGuuy71Rws9buOCcHIC4bx9Q4aXhkNuMkxqAufzroi2vxlBEjOIY5WmZ9tOK
huyaFVSHW9PuICdpwfYLJ9xQ5v18H8/VORtTdu5tHpyKZDtYsh2f1hvEjI8qYP4Wted0FPOhG6dw
LQwberb4ygSn8lVi0I/o0PPsvt3NaSxozEiG7IXL+YX1a1+49V3dLzfXNcp/t4s8w3SiwwQvJci6
5qeVJi9VygHuRkwEVLqdaMsb2FZM3Ut5x97IvRV3LuzGkoeOKdrW3EiMKQtvWsd3t8+tx3bsTvz+
5Y7PjmFmszyukeLmg/gIFqegAJKZRe+wFTyqFETBncyXJY/Gg0mkjZLWt8nBixHJs3b+/SdLTgzn
hCy/o9KLjlC5mpE6zVifc1m4e9X9muBanAyNecGiBoazI+N/IWigDZE7RydtPqweMUAXD+k+xk7z
btOt5i5f3OaQzdu9GBWj24E+Ja+ZBiV8JEyK7mt7Vmjx1Hi8hTV6sVx+LkRwfdNQVBauqT+BDHSe
NccW5bwtn6e+uHLEpKctX4YTtR7JBTw0bEGZqlOQL0Pu7oTRLw/uLXRjWPbFoJgnDMlpHWBUmfDC
361JdKFW6zFEyzw5iMopd3D7dlb9KxLqc6uz+iwz8wphIzmTX556VpOaHxSda8j1NB7iRRgfiVr3
zlJPL1beWzDE1GeRMHxtyvxI49Mco5VxSGtDnaoJzLLEc36bjuHtFGjXREyjn6X1m7aAIGDRd1h6
9abqmEtw0+8ME4hK27m2be7zcZp2RhGps/O8kFfkqSU9LApbYzW02k4KckRrrdzwQ+ru2jz5rhn1
dRblpa/tR5epUYholR+cOQ+00vF5VEt8zsrJQCemnFDfynbvdOMKTyAqHxJZlw/psJUPhgOUBdnp
Ob999fuv9K2KoODYdJaL9LTJBvu3ZOf3jXmq6AD7yarDdcp/MI4GbVtv5CwxUqHg4n9KBPWQ6QgR
yk5WPk3dCT4RDBGMjSla7JX2CWaTSQBlPhiP86qPr9lAGzfNmJNHKV61FOL221zHD3hJNifagxHg
HurpDDZwsRkje+4ylji9Tv4CoZfGDEqSVaf6JY7y4YA6lHlK39MCcLhEgutQlwPRoqu9661xDbdJ
EdcUGfeK03KVS7GHIpldMmf4VuVT/WJyCKRDo3a51lanpP9VdkZ7TrLLXAM9wrtOAh7+cjbyHhJQ
moDrIjWKRdadSks83ZxK/dox38z2EI2co600Wn+w0n3nANbWxtqFGTN0tL5kmcq8Ky5LrBeX3rW9
Hko3p98WEJQLuqPmaQeN93nIz9YAomsmHE1mzRAj601fcdRN+DGHdm5+Ier8oBnJEU61l8/QH3LG
QaequfSN844D2XuW0cLWrKelqnuP4l4Ekb+pcMnz5aRMmfowWMxdMw2RPwumccsXsGC/ISfR71f2
acJVABbjBHVB963nGqXL3J4qt4V25GAcW2jfcoyNF9oR8gnqsBNLfyB1+Vs1j99hPDa0B8ldZ8Qf
wm2rIzT1+aQVt97cGi+xmsaLtjjdjsKw8LmRwriHNBgnC9wspeIwjaUVAmzGlfGxmEm+N9fUDZkw
/OoguKzwYD3hZDByZvO+UjPMGSi80ZRfDEAbel0BSfQrXht22LYQcVXD71nQryXRloekbnl6slKE
xtsR0ZgN2WfZShb7mr66YsZkt6/PEV7UYqmo7Ec+r7GlELZkvqu6PkyHEtqyCmzUhoHMzbMdAf/N
i3GNYtaD6mXnTen8HCcczmNgQzn0VkKIszi6aGm9BNFqXGstf4hjN7BNOu/cimCqOWswTuptGItj
Nw1amHdhHPeMpS8yGR/dJn934GsGHYvLfUot8AWhpYByY3eOb+ag0rj73VfCnHteGPmZInnKZvMi
K6zoYwl8ZkJYsauDs1YX6JUVit/1TiWdCx+tY6w5kHdVGoFe10TGtnhy1wyWBTxfQM8grR3i2Jxv
K4icr000ztX4tsTZh7U89OrVLe3Oj2Fzn3q7+K5IfKa09+uWYg1pheZVGciVVrQUpuwlwdSC7QEA
3fwc3AiwCmTAtpbcx/H3jaFEvG9hTmTjpAFybXeu2z4XGb0eGcFn1UZtiPzH46jVdpMBU9e6Dcbr
9zpmmp4NFnQ1gkBCbM7ckNE+wXTg/RQotu1FWkNUTpwdtnhGqjeNu9oCHapIaCW4bTy7s9ZTDkKY
3oZ9O+7n3HIfYKpyKLU6d3iWbKBflgOJFnPtauHCLpfh/veLsqLkWJvmm8WF+sdfYVip4Vy5ObA8
a4w63XU5u7ER/P6qd1d1+f2nJHX//JN04dhBRgbTWQHsraYe9hZ6YxWUeeWPhqPuchWZ94WMYZJP
rE/b2O5LDN125FYzCr99+V8vaTvcy9TA1idvhbfF47pL1qS+l07PrLBpqnAeLfPy+2WC/a4KIO3B
BvqyOks9RvqWXS3OdDvdnjQOxUduN+OwGZHmD/ou4erhSCIDi0K/xXLbGgL6QnnJhgkEMHuv57V7
7NeYVj8pj5Mj2pObfEZbUl2hDYdpnoQWiRmXzV2aL8mYv7TbOtw3vzUimm0eJ1Xdp8bcP9iG/EMT
+6ea529ilf9UCP1TRfSe5mnz80f67f+ARuimyvofNELd//uPz5t54R96o5uo6PY//KESMtx/2VI5
SIEMZTuoglDv/aES0t1/mRgh/tbo6OoPJdCfIiGp/0tZSgpHl2iMoKahhP5TJGSiEkJUpISpKGQt
3bL/VyIh1EbNf0n6lEFSooNQCK2Ry0hO2TdN5V+k1QzY9VLGNqMZKqcixVBxs8zuSaJJIN/kZiC+
4L4X1bWnr2W2dyAAcFZXL521YAEbQSlcFoYOMUnb0DTh3Ghr4heEhh8SoDLRvKttVf8mgk2/CRv/
+aZ5mOhupW3dHsTf33RVCNzMVkwrSw7wEDHyg1mR1YA3OZ4eP/vb8dPEeEPDubvG+DEDVdr1gYP8
j2X8Ny3cXyVW/9AK/vH0HMdxhWPx/Ix/uu+Zoo1dDHs0rPeha+bxuviNJbrdRqKFb0l5UK39y50Z
rmsuVMKqWqDVudv/Ssj7x7tAPYX5n5TSVsY/PkMIH3MfR2nsF83aeqRrwS7VLp1FHqYsY+n/ZW3/
uXX/9ksrFt/fHr+BosfkP91iqmFAB/r7458ikwLQaGO/14FTmiFMpkh+06buodOGHMpdDha0xfZL
JlD8jPH63RBQrrZ+KM+rzluwxamc5/dEUanUhAQnxmWWmFcoKqEQINoJjWIVh3yGw9pmiK9o1ppe
x1NXs4wDqCw0xm1lVpU+TaLlxs7xMl0a902Mi0baQBsf8ix3MM3K0mdoLoyjSvucNvpu1fr7uIhg
5bR08kmeEtnCqV7ll66eynONSAFhRrmtL/OgQqcynbB3GHkSikNtMMuAgLGrlVaeWRauXzFk9qK0
TIPExuus02NiWqPp19jWy8nonzLW3rWd8blOjPgSZZkOPjbv12VheIi/s98rwmozreJ9bRbKtig/
aWVOquvMJNNgYLROx4gY1eNsLQdNIyJ0VuV8KAqzRbFBecI4BjyL0WHe5mhihXl/Q1p3sBovBPTS
HABlLMm5J8l1qboJYjtTHscQKljs+OVWhRNPNDsy2dO0f906o9znTKwi2HMulPqvzbR0vj3bceDG
VRWsMTU/fkcG9SA0GMSBVMFwHY/CaCX06vU8mO7NjS/eqAuz6sFamqsGf28/1LIn6X08LMTynVut
2o6mGl6Jf4vONPX3EI8SYgcHceosoh4gLJTIxGCpwMU0Tv273qzjWzM63phg/2I27vqMjSDVck1i
Q+J2TogV3Es9W+J+mRoDUNk4q27N9rGpz/u8h3zJcC7dmUKLDxZu93uZxaVvpOQXwJx09kA3H6Ux
rfx861fkltPJcYnaVU49HWYITFPE/HyiK3wcbi9y1j6kPr6tutOehGk0vq6VrifU1ISQQdx/Z2/w
dx814jXZc3ApdFN3HcNCFfX3PQeTwijThpArmeqhLIitNcjLkRK+08R1b9nyTH5xu+vU17QBXxNl
Hd1PBZ0fipZxK+eXOR2P2eSm1+ilSQ0nXAWulbzUnZhwJy3KsH0RfT9yamomFJhNHOKtuTjVmjKE
3v2bQ+R2Rvz1CDcMXQgGHrZtS4db6B/eFUDpEivom76n7RhSJZV70Z7UCk1zbOVIXzKpwEitozZT
HzrT3ay2GpVeFJGb/e9sV+R/fzOGrgtkupgg8t8/HZ2LHoqcTj3LwLNYGeVKQNLBgbc3xs3DSqg1
OKMucZjgJZHghrkNl2TQrFHCkIAu7DezsbMZ7ZwcKMaXBnogPA329ezcMdHVP9HkFD5zF/caA5to
i+FHWOKFNX6md0g9Teaa8gzfcr1MLdKwbm61O8LsS9i0mfna58u203TxS5nIbSBsRe9GXMqQcaG9
L5ooegf9/FJudXeVDo/w331W/33x8XHBL1FSGoYLqvD3xcd6XrBcTrjm9I1+XxjHSBX9nTZgZRDr
qvUGTCx2pJ+J186xPtPFyX+6mRXUTj1zLzD+KAdLPUSw848bdQOJCem+aaviQdplFOiZY7ykq3rX
CAC+7+AVPTUO0ZNmtD3Hm0DVZluHZqiQi6qlemph6SHGGpx9oevrsxOhOQuH9WdjWvaDBsXtsSsq
dLGJu/v9FXkR3ywXrXM3IA1bE6Rt7e2p0iMRARybD1WSTRTJOgRjcxChiBkxz2TNlAEuR88FTKOg
z1BlzRFhyk7nfDOT5rGS5vYTtqufQVzdDJU+LnP50FGxHMRCI4z70XqX1iRPwIeY/bZz5KG1x4at
tt7CaMY2EDNkDH3RmkspdF6cPgX+g7IjJvmrzkb6bE25DM+NapciCPLdGT5WOm6El7iF8xjlTEfd
2W2+69ohWcbh2hR1dI0bzAk3dz0ije2QW+MZdcsT0G5RG24n24vB4Rj0N3KRtDd1aDWxG1pw/QYA
q0TLdqNKmK/6krjhlkrCvEvDeB1G+UgOlf3swu0LTIFmQuN0bkeLRd7qL89aVk98spr1VOed/aQG
PGBch6h0IJXeq/rsScMl7TmaN+cwORXSqVt/Yjvmel9EsEQTXE+E0XQXQzrOoyE5w81Yf03Sv6hN
DYXuNIX2f/yfl/j/J+xMdxtHti77RAQ4D381i5rlMf2HyEw7OTMYnBlP30u6QDe+i0Y3UCCszCq7
LJERJ87Ze23/vytKExuA61P/GoGpu8Z/A3ILd0SVoZXRInOcV6LId62sSvqgtFsF441VnNhXlDE6
ehr0tpoe80lhbOHsZP6Mul2voQ8MD+nYMWtUDfG0ZrMsUypg16ktjIZ5E2LQeVHRoD4sv78LYn1u
DoX3rUzbq4li79NiErvTx5b9lslCmnbFxsvH/pFkoTEfSN01gQ3z/XkpmZD5TdlyZpRAf+rugMHM
PxZ9Ve+G0sfh0i5Z0NS3NTOLGdKiug+JQ5u97OJNO/9qe7Nh1jwkWzqlyQbX+vxF+5rJW1q/z5nO
GKkuwfuY/l5O2ngwGnM8BJn/7jHbpmsTkLvo44rIXbtEzlVyM/qlwwgbW2Qxj8StT2OxJ5vFXksa
i1+Db651vbTeIwvhiKH7zX/+3OlbqNiG+xaXbh0meJP/f9Xq/2QgPDZO27cex5vAsj3D/u9sOSKx
Sg/XdUCkkMWAQfQfbu+eIgx20NFKHLTJWN3LGOVB68XmtQFRzBw0sveYWeymcbY2LET80CkpSYFp
vvy/bzzOf5wM/+dOaIF6CHTPQ6X/f1lcLaYxSeSxuI4mk5jB9o+VZhZhleubhjKJmg0p63K0ymhL
Hg/AAztGKVGhf+7Um8QoEVdkGz0vTTLROmanXEl9vuAkjg4Tyb6HzM+XfiTu9NbkeqoiRsyIZ7dp
IMqjQgd4QqS4oT9QMMajLg5qmb+Zuct4vKRvJy5zj9mGxAmmv7Ep32cP9G4sBNlAVnOMuiDf1kHq
bOxKZUuzqaw3me3jh1s7MkXCmJwG0MEsG8xALbTXx6vnpXHicvMwJhLPbKNGi31jl9WF/hollOh2
bkcrETBIkCrFyyKn8pg5bnnsI69b9WZZ3itvWsXY4UPDJuncqVjVMLd9aLn86uaJyflY12FveMMx
0dtxMzmDdTMpnpc0eoKPavL/pqQzfqdusnQRxn6QezId6hw9ZGFO1oeruoqysqXGMttb46ASCkaJ
UHrUi7fK+6MNzs6r2nXn1eouM+71PAiivdtH7oE4tSxMpfh2jDrfMm41dnaKUrJIANISeKTufVsa
WyOljAa4KdeJjMkixBaTzT5dShppl7m2t6lr6YchSYzD8ytdfOiPnmNduymGBWlvbdPSeDd6fwdk
pF4QiRotuiaGqekQi+BaffISuf1JcHiKkV6wAGT7Mm6HfeC3w0ovLHOpobg4SeIl6NZ2BjtJ+W8Q
xMUjXH6M1cxQQ72wnIi3PuizpTZjoUxElpmk6Y3eOxk9MKylkRwMAmBtqU8XNs9ikU8ZAlM6etz2
w0de23+1qL8JDV5pUIp1XzbNPuoi5n+Zbxy6pjCBy/NVbRdQ00u9+9DOQTTFFz6Cca3FKExNVBBJ
NjnHmYIFF74077bnbSYEKJdZAJGYO6aRBXN+kRNcgtsRoXcwdSeLbLMtRq0f5TMDHoGnhm1VF+vY
9kHmj/FfLIi5ktZ3Gsuv+GB18bCd+wn9RzDZZyETc5tqRNy59QNSukl1f7pS5XC6W9oxiiw6Ni/U
/9WFKmJlVfPNopf/x4sEPVzcrdc605Nj4rVq9fwL073anthgrLJuRmMEqMBFvkzS2l7H4Oh2zd6v
iEiaRNVcNBEHmyJCdo4n3lhGRpoi9kmnVduoeSOdwtvFjRqWWJINHD4J8l2prLVhDdGapAx9O5aI
aTVtjHgD0EZhOaoM1L9OtgFdHK1sZ3SWdjPHF43DXYdX5Ufh85P6GL0iS9APyoSZ4fZas3ZF3fMI
+OOls860k4zz80WBHIFJU1ovE8fwzkOaO3Cls+OT4TJSJJ/zCbyGidJ52eKLWflmqe/0oZ4POoSD
kBnYAuaDu4P93zInmIZwaAjYUyQ87jUU5QxKfLGrkxZ9wRQX58kM4lUUcWfamedSs3S3iu7/LkG6
w5LdY8+S3rKh0cA5vZKbWqSEh7lG8W/eccLx15MToMsv589kymkMD+hudLR9adlu67yRvzb8uvkx
r8y3oSutw/S/LwXZ3Iuu6FuGtcUlpflzt4hPv9hW9R77Q/nbZX3BNdxHC4/57arJLHlofR65wNdO
3CXixTZqQedgwUIra2dG2WgG9Be64JgL70tPHZPCeZ43Xd6Jfeo5GJkAWMh4qE6FW6ZLxl6M58hk
XXguhaXyW0AYCbu86VCYeH04eUzRpJXu/Nz79/wMaofuRMBnvCIXFoFmRFgax5bJ8z/1GlRD3OAq
Y8b3zxcwPNo4ZgBvvg+m44fT49IVabDIiz5b6GMc7NJqdhgRJILWvmefi7z8ngvXO6MBQVnCKo6O
rnH2dt2PnLK96e7jda6sanofAxxCnlHK/djV7WfAloxyAU8GFf2U1daHXwmyh3rWBdv6AMwSU2l2
2j5nhsKcbTmYo47Awzu7fjBfWsdLqbgRe7ea8xpb8RnTc7QaWkO+JYEKAz8Ra9HqJuaERpyNx8XJ
ITQ09YceDeZHpJoTx541eYnqUBZ2vRW6qzb5YP+1sZH91kV/8diRL+PzyJ9ZYqXhIDO6YDimBSpm
rRcu1IxsxIGaLEy8ETf2AkwBBi4UM5q2XlBqEHmHVybz+jqvjW7vpS69pJZpqTCaFzs2Tgjhoptr
4U2d6ZptPKOuD2wbRD2RcLdRQQfCYkz2s+MEV+JoT1BjEuI3lDqWStOXA8f4bVMXP1WbHAtbqHWc
0PyMClJB+jH/MJkSsghPRXaM55kkvKn7ZKTw10oH6zMtH8F04CucRocfIp3kFsU1Kuakjohe0U3g
EFm06xsMZZYZx7vSEcapm3t4PAhr8ftmB7+U5ioO0mRhVF5xSnM/pOoa9x6+I+5xnAOBn/6OnLkL
gVhV9yrrLnoDx83Uh3KNDwd9VTF0m86RbEv1e5069VeqydvUdN2uImwp9DrNXw5iQgqjMSeCs8Hq
ELhbYaTWrXC1fdHONH2bRCKAI8Svk/JlfmzTroMKaPog/M//nVsdjA1Zcz5s6WrxvBSO1xI63LQn
Cw4N3UrirtPOR17W6Ef6jIivWk8/25FPd6thsjhP81XZZQRcBBlvUfkbKYsq7EqEfJ1ARSWSpL92
wgtCDU8CnwTQq8Zu3q36d+pn1gsIhmyjicC96elDO+b1677T6B6RpHZMG+WfE4d4wonn8g/pqEs3
blkqRzXST6ho2qA9fnMj49qBxmBeN2LxAznIO4IauXBxc8yTJO826l7TdGZJ4QwyMOLETQKQnHl3
mYYWK/ffmiDWBaGFqMHaMdSTMTu47bzp81YeY8LUr0Nja5fWvnEPmpjmE8xUHvVEFGjXwJo1hEl3
lIthXUHhYOy1YK5creseGIbS/aWokvKLwyEpaCnZsXPkbuJe1WEwxd+FpRKys/AoNT0nLl3N2UVk
AcIk1oETysPpxfPHk/RdzgyiLlacXFCyNU5EwjsSajokDI79zj/bM5+QbvrZ7skEKqvvcS5AcpQa
trT+wcswFINqo2NS2XhpOCgxXTotR7xotwGj5mLmJMA51UnK4kybYfpwf0n8fx/whiawTe4ab1M4
GtqQrLXWGrbke+MUCtwftzbEuRABt0Nzj4PeOPyfi9em0Q55zCXzE9Z3g05arfdvceJW6JEabSlK
dKiRUX3nxhRROlXFEcrZVzmodokAbjhb3fDLdegGS1tjSC+KcjsyBr0+L77mh3Za+JzHcvMip69m
1sxzUmXBJeuTv5OJhRxoUUTtaOy6xLFDi/tqWdf9WTMqgAc8xrdc9/w9uQJ/QBy1O+dh8LPz+RqV
+TdeLG1VamkTCtE0O3I4gTw0MQbquS5f9aaR0SLQh6OsAbOA33e3pfTLI7QA+wTEa1okU6DOnaPN
C8G86NRpZb80sxljW7uphHCPnqqyW6mbCLh+fOQAeNPMqGSzi3HTO6bY6oMLGa0yrQPuZJupU/WV
YBNegWF69jckxBNEYJhmER3ZOSFRY36dNebMYOL6k6e67o7EYPF8MwlOc0PH065AbOIL+xnRtkxV
u8Ap/yayX2SpEuupnHl4/aa59s3kYMRyT7NFKWXZxqc/Gd166owhzAfCRDIzdtCaWkjyPUVrI2X8
cJ1EZtIA1wFifis1owsOWrnUe7vET1+KUK9V8gtAT5ypM8rBCp2xGOhD8TZ4/8xZBhc7QNKaCzUd
Hc+fjshP0DIjenKtzr0Lels7c/jubIUxuC0JSEbOnplBt+D0y16C2vR3NlDstsuIIdGvVACQtGoE
w48gkYWI3eb6vDyGL5FRdke7FcGBwKpjO/XtpbZtcRn2mi+iDae0l17W6t1Re+R66MskpYx0YjM0
NMsI28dXbV3kC71hBo2qCT5cIa8AR+v/XBKZgaBLuoscGp8pYNavG8PVNmoou3UxXOvJBaXS1v3e
mtzfJPHmn8GIaL8CGO6iIIhdWgh9EdfrybaiMM6bfCcDfmDv0lpP3aj6tuwLkPH4DS31vDIr2d/S
rEK71cphVQ0qWHsGnYas892VnIyCs0lVbFokERtYKy/5owejdPtXIop81dnwtj2iSU5Qm7lX2R1k
NllHKeHyIfsb3inEvzSbw+CqUZX7Uc5tvekmHbX74+XowHVGgOCcgZv4B+gdrzGmhyVeN7HsJTas
1G3GoyiK34Gol61bNm91jlsx5ogH46CDC6Rhnl4QQN+GAKnv2WPujlOvuMyXacj9Q1p4HrSl8sfL
en/bavJvWaT/WiwI+I+ghw6B1xN+q6yVRGA8TWI8CToLJFyTWXWwhR3yVJsUMrp1CWwpF1nNeZXz
W7DK08S6j/RCVqqunFfD1H4jRV7PRIgve70otqjYYxDobAHPEsrvkm8zySpMu/B149muNo4qgxdJ
62pUdfMOOW+68sFePMNs3kvmTic5cSB8/iXDncBDtBBPjv5hz0hLpJt+lBmyqjzzwyzS/bDNAxiS
85QvSHkczs6MvK5vk79Dm+vwmgk1y7KSjkVgHhulGRcmaEmYDV0Hlz2dP2G/pDizRydEXVbRtVbz
FtBAyI9sjnWmhtemgl5IFKq1taOivRSJaneZ25fLiNb0IQVIuE5LPf/s2nkR2Mm9y2h30/xOdjAq
vG/ppNkaQ9e8Sfvs1R7n+jSoKt20iN+XWel41wHN8dURVRa6ECykhjcSakyDRwEm5uADB8TMhDCU
++qkyX9ZFh0SN3tQMjvnFj3gdELPOKAlOWCPx6XtomHn+cl+FH50U7I6YGs/JAz1Qz7hz4Rp4k5N
D9HKoGfzop/UcqSruMiwazCKl1RPTiEuI+3C5xCLNguO1CbLj2Yfsdpr9C0KrVypjL5dXreEfnjJ
8JBRDS8NEvoi7/cVc6d3s8E92zQxFlqYqKui98pXqbmrwGnajzqL+qMk9hjO8RrekfOTgU7K+/SH
bjLytbhwXzSVzLiskVXDXWcj6Q5SlMZuzsvbVEc/XuRrl8F2yjua3iGFOWDkkMQDuHJnmN03lnwY
Wzb3662rCKtHX8WyRxLBYo7oUeqPi2+NHGqGwN27MTJo04xa6JYGRYH/xVAhuUxYpLbo/+p1m1bt
cui9Jhw1NW18aaY3vTDuY5+qj7Irqb8bqY6xLihqUPpvGwdxvhs17qVNcOhzNEx2mTa/GaqxtwNj
wXhVWik7CH7uQ+Cg4c00fNG6As8QYRZZF48aOxm6F82MYI5W9dF5XCaINZSChf0GMGz+9HnwaHCo
6jpVHCiENOevFF23U6NM5FssAjg8xwYu0alIq6OhqyiUs89FF/90oxFbK2BXbECv9Z08dY5a0+Ab
lnWbGFvvAQR1iWJe1+n8XdKO2kZCH2+RlnIqgSxpZk1/RhrSn11P6880JtTKGW0UlEHG4TXuptc5
EHdtsF+bebSvbmD0r23ursxSUx9y5HwomnqpOis9sqtnx6zTOYNUPXf0dE7bQT+UCTsy9djXqA3e
0dFg2aW+/ot3wHgJyG7qg/FUdDzItjHCaqu95NLH6VJWaHFlAE2SSfq7PTaHhgbzv/zRkE9A1C80
822avul0/vG0yd0amorhAZqlODNBhcYUnHivAo5bNMbGimKMcRb+BJws4F0hjOqOBpKGFSAEiTZ/
1imYQFRyrwneH5Lkz1lTDKfY+t2OJP5Fs60Wna7Sq47tuSucF3RAxSLW3b30DWBlQ7y1HpPrBl0M
2nymLajevUsLOOrSmUMW+hyPHzd0w+P/2UHI2xBGwjHJKc6NOzJPlPlv3cjam4zdflNGes7z8NVh
ZX6b4nyTSMM5aB69I97YtfNoYqIQIQJk9K4Zep+l5vKewNWRB2QPA6w8PCYY1RUOwMJdF1nh7OvZ
pM8a+3QkJdubgBL9eCXG4m9btQAI0TStZ0f5Hwn/6sLVpob60pYLeK4dnmXNgE/pTR98qxzrlq+r
Bg5R1G5Q8hM22NA2yE1UtfQVjC3vLjibyqwOTQXKpe8xpBizrS+J3VS43sYMW2PFrWNM2Cu7hQM3
8q87aJCxK9s52WXxmZhMZQLV9pw+JayPuaGhIiuvP5nlMJygWgvS42f8W5D1AIlgnmrRAo9MdKEJ
C2tdWE68f7x7dVC5tEp4C7vZ/61pU/6qjVX3EXn2rRMZXdzng/K4QKtmK4hHN6SGWeaTED+mjxOa
7NnyzfSnYpPYyd+AieSuMhUC9NH/W6LjXIxJ73/6UhAMr2l56LVosHFenZ2iMs6VkTUwQysHekDO
6j/ZqGKA/tDqS+JTD33uw7IAnED6bOKvqB/nc4seBxQq/i2dH+hn43h2GHGsI3PFHAH7QuyCpCkD
gMY+3qDCm6kXU87Gw4f3iKZmmISK8/FVNlXZAYG3wWrODWSZj8Cu/EqAonYbQfGcJAZDzfKocKdG
o0J0jRUHfHma0qo50t7YlJVhvXdl8+rrqX4H5uKCrRNYR+IUuz2t1m1pUsGaOp++gdH81WLswmhV
XXWQqa9e0VPkQ24SSNBe+ADfDXhF78MDs5c+4GrC+a6aHPFok1hnRdz9nAeYXGNfvFsTAxl4ZP1j
gwVSLPPoIAaMS5H/TUmnvTqokDax31ahyCpWL6+iY2Fa5cbkrMgd4SH0mPpLbvraKxb2GTl9o48U
+yUQkMa1uMVGp/3Q1WeHflrvBgDRoJVuUo+7a9qUiwpu5S2I4z9miSvLTeboUvX2e2mPVPsZ/bBF
PSMVaLPgpFdGTJlAqI9FpMS2m5PklexKxGr8OkkwjHs8vvzROHxoZv8+4Cg6JrRnXtMcv8E0NEsU
+uqzgRB/jqJUfy0KF/UdELnD8yWgYzjWTZlvU6+6JWaqnxytNzdNnMxbls9l+ujLPi+FHe3c1MKC
gylmEc8tXL42TpN1wd2w85U9U7A2XwUds61Nuu9bHNH56S3BNi7l1hFOy0nl0XN+eOp6n5BqNxbD
FThfdWQAR4GsA90luUhsIj/Ykag230cz2aGasdd4H/JfahiYwc3GCvtsHubpMG6TrABhIG3/Guu6
sx8mGlKZHcQn/j+2LYfSBezs8j56Qb3MNT3YFR1NKAY763io5aGjRokE7K4iA24JhmEx5jReGMDO
15ae6MI05tccLMYL1c3aoRRVo90cC+KFtyRXZYvZ1rK7JE0S/DPGx1HtyY7QzmXa58fJMT9LLHnH
fJxpFo1fzxeBHD/UNOzUYBmH50WzO8RjEpUto6mT8NPil53Y71EOE7eIABeL/mZMNEHhW9SZ779h
vWpBbSQWt1uTkC0K0WaXBZAb2DKY4GpaEBZzm+4eMEtRueV7PFrW0qx7PBrUCKfR1T6rSL/A3Eu/
QQte5qn9cqwEf3bm/BM0JcCcMaoLVBy9W/4/H/NNi3C7T/fTA7FiAD3bOobt3pE7GYyOzCl0J6RM
XS/VXtq4A+XUOC+chdxVO8zjJnjwa0Rx15XevKjG8Sm/lNzkrS9fdJzZSGHg6GAJ21TjSC7No7h+
Sohjk/NMyp/HsZ9uCSwz9q0r4+0IeO5hByLWStBUdb177mbtZY4Hwfyaf18IK1j0mR8tUGTHu66L
nHCaG3VIrCqgkRLoi443nkIGyYLXdAwlYRPiimZwgEqdI4X4UCoP1qnFjdKnqXHsOls/Nrrn7Kpa
oo+AxUE9QRnchLAMi0tbFsXZkl8DXqij23tf0naTF+dRMDSuT8nam3nojHmwIijPWUo/dsPnxeny
YtVBKlg9/wu4BccW0CLmhBUCHm+XlyI+tg9vIxvPpzRmue2mgiNeETghjkuq7fyDnmJx9goEPxwV
sWk9BOO98MyT5v2njV3AgdHcwjpFVqfdTB3W0QhlY18ya8uWpTMvOf/XS8qM+pYSAM5YSP3RKjhf
mWe7l8py0mOsFHAsBvUAcjss8L2t35HTCdoqAc7V/oeu/RxmYz3AAIK66lTQxyA5o9rKTobmZYdE
m6/YEtW673V3p5V+/4vI3agdUyocK16lTVBgBaM8wpOqX5n6q6Ms9ZMFdwV+HJLhNjL6a+KXu+cE
epjSLDQ8OubSe7HKAbRvOTOd5lx81GKDZcxEIGoLwQrYGTrwG8qgJrVXQW6+lprh/Q5c7xC1Pvd1
3a+ozsAekM7ZVTyVDTdG2JldWewoavFPlp4KXW8O1voIDaP1x5g+f0OdC9/XpQG5EZw8wnqoW2YL
oBwnowY/XCm1bOmlX7qcc56W09poe+OKCjTdaHqHKTF33rznIDmQtJNn6Ye8Rz+diHfWZNiXWK93
veN82lk77kyBhJUngWVTn+tlhLGGTVwIcP3DSc8EppTZe3luHT5n72USOysydvsQTxftPqwAtLqr
YJdNUbIqacGeZ9t4NeKu3z9fRY35kbHUH+PRphMn4/zzP1/N7qsB+/Ma+GgV5w70tYq9CLuv3A4J
dvjeqpPvPrf5ad0UMpWpVkxsqitrdr8cZubeVluBeWBGlVRk7nglUjU+qz6Nhj2ZBseeufm7AQHp
GOSWDsyR0aMsLab5eIVWdsekL8h4JvK8XeMpM9YjHXxaUfWfpp/H0IlscZWEiD3am5bniGPS2Uy8
hfMeBdZ7bljOrjXRAAHa3qnq6I2Bex4moV8q6uNLnXvuoXDS0Mt4Evuu0g9FkcLHzfXivcBFTbZC
Gv0yxxSlZDpTDStyXTj/bCd+TVyCSl0qGw5rNhj3arTNayGb6C2r79REzrquE4QYVpaeKem7bTsC
mni+FDHCpo7EkK0xK+OF5enfBPV2HRgJwAbf1tZ+nw2/4Kit5qgA2KdctaTyqs5WK8k3j9pyqUxD
2/c53LSsd7BpsDusMMsn5zbuLrhnSavKJBM0t7t63jxtMfvVkGUw50Gxj1ZjHFnH58UxK/uY6jEs
vln+zkFu7qba4uDKiWk7TEb24cQt4uCURuDzpZzyXVDRFtKGlw4q7F9fNz5GHFkY3LwZsg3leCpV
9zXWFYVWk++HzC+v+Ld/MXzHMi9FdfKRKbiqnW9dbs83m0Zs7VK4B0F7ngqkGEXhASRGsgQuHAKE
B9kW6CeXlHybddRoHVoPFZ26+uRmjHnx1+3dwOPV81I3VL4NXpe28+Q1oD1TkCcOVmkYz1HhrW3D
G7c+Fv+NOTty3UnDvM+QMJeRx1lRVLj3FRCwLz0Wb1IF/cUwo79uVU6nDL0H1it9YRZ9/Wrn3jHS
Sbl8vuprPJSDlsHIt0lyVyZe6c7sGYnbFkI8dG4bW+HIfF6KuPtsYuiw2CwRvJmz2sZegp7VAduA
06uHBNhBWBcEid9tDEr3qFOH0Xqwu8s3AuLp19JDvzywomBfq2hjMcUMR9h4dIR0OF8zGY9tPb9U
gQKzx3AUhCUnJ2QM/guTPWuXdlPPfYVPOPGto6HM4cVSqAvsyv2B9mDshlTTmC4XrFwQPBgJd8W7
VugNUkLZ/2HKtBdASOZqKpgmUoPlOE9Pz6+eFxGp+MRJ5W3AE7GpnGGjAw/h+8Vst/rd12J6HlUs
th2m/58+z1+snhLDN2DeRNFjepfBY64QjmSpW/KU8+r555hyyTyCKL5M0TfdE86Y8FykB6i0OsUm
dmT4OPp9mj0GAb1TvxZeOi4jjGNbCMYBbUVvvEe8K2lpGkcQAON94PFzFaBYWWkwuAZ2GPDM3lD/
eF650jNtWlHU+Uf6c4j09Ni+5QSG7BRZEFvVMfzux3MSd+N2wOi9IFIivggYcau2VQOad/848hGe
TNdNadApnIZq1o4VustNDaVwGUd1LRclQ4sNQ7HvSM4DKeR+sisgnRxo6TNT6TRBa440nd7rACbU
qj/aj0sbm/qaOIwFsBR7Uw4i3bvE7PAe0NsymrKDvWWJhpXBhv9oF87GbyN5LozoFR1CDZWSlc5u
6KKMyfTZEBMQPu8s5vN7HGtpOMOkO1Wgu5DIPL7kuAbLQ/cC+IGkDCwRjn663Ky7GY7HqfQ0c1sR
nbd4fhea5WAjXuRBAF1hwkYzCcPsZO2er1XARHy0mbSPusa6Z9czTHn71cdSEsbDzEhr7vKTY9Je
bQfE0JLqoKzcbVL7zsJocZhiAIErDEDCD0cn2EmG/wTKrUkDwVrtDPeAHREx8FLrtgwhaCHkUEKS
ez6VlxjDhR8zmX0ECwcQLlCqSYhvOv7TXHnnHDeDmL310Hy0E42EI2P566Rrf0rUFVmJabIanCM4
jZyBzDwDGZ26PRKOIbBCd/D7h1YFVL7A9DivS2/4RJsTwmAZyBQwBsRY85dNg7eqnX1ha0t/OPj+
eoQy2HLYR8TtG8Y6z8O6D85guXejUfC5dz/8iqsUAp8fHfDGJt2nML6szrwyAmTBSdYG/cu5ig+B
+GVXOQYneiZABiKYrt4YlukY9gRV59Of6KSaXV6rjWGw2hQtx3T0WTSFm+jdQU3LJHLmnUiMtYxf
xNajRlMcP+QsFkirOHmPy4H+/6C8l1b+aS00xk1EW8BfVEG/bYe/TjOH3j41yq0Pz1aUDzIEGr5J
X+hPz3Zw9b9HB+axokv2plIAIr9wL+zaIjSCfaRHS73Utsjklul448zugQb27b/V73K2kfefevIk
8rFclnMIITW3umMAt7jl42ebJiep/auDbEML4N5B3K08gNspobNB/aLMeZVonFURqVqMqzsHRJBW
gtyHMDhqVKzl8lE1TG4feqDoAojtExox9SCvdUy2C1rAPao3vcZ6L72dMuSGjQPGh73siIZxUvz0
BjzAZlMkEL2ij8gwmQSh3mw5xONeZ93jV7dEvFRJuoeqDvukXTYlMHzAYDh8YCw4tGbr1xRksigr
GOtZtKfU8Y32pOgzL5QLjTl7+l3pfLpo7aZij4JJC9wvJtVHC8eENZi47wn30gfCSpTNMSRaBRrt
ucwFeUiutZY6xyq1fkCQkSeBOWnaVDylmrUDZwmXefDfzEns5zq/lhqAtAwQf8QTNrLl5z85DwtS
qDOdt42ZmhzLHmER5ri09v38Z06RLgbxRVXxyZDt75FgmzyNYZMyaYlPMfbdAocKfOvIyXcl7uGl
5FwZD7B8ehTnabyJeUfFnP1y2dMm9YNK7FX3k0PRW/cG1jP6nt/VwMYiptcC0+6ZT2OtzD/JCEBb
8gsBsh3G/oxWZ5VO9tXvihJtbL52po3LM9vn2pn9QWxaNvZKE/u60dZiRqSKLGAEavaI7ULKMmKJ
Km7+EIWJhzsLZzUncFq6mIRmGO/CIKg5XWc+B7Suxf0uXia33qejWJTodbIoh/sABSs+yQTAHto2
NyG3pcjCdsqWw4AjMRBBiLqwnFixEImHuCO2OgMIOp7qPWaWznjlUFaEllGB/0sFbI4ssL6qWuPz
AG+WxkfIYmGbBDvvQUt31A2YAajEkbueJbIK4i2TzN0jeUmwwdjjjqleiM9kY4C+tLP5naEx5sDO
2bm1v8q0kH8093ddvA7BuK2keTVW/4un81iOG9mC6BchAt5s21s2vdsgSEos+ELBFvD170AT8TYa
uaGa3QDqmsyTVAcriBVrDeiyFQ0kiuRXQpQTwrvXZYCEruAt63lSe1c0hiQ1WP0T8woBsqRJqe0t
zbypa3fCC07EeD3XM5KPBNkotxZ64VVh4BJVZCcJvir12FsqfLJwEZMDw5xsjNozF1fhsoJhwNni
n5zN4ikurPdBiH3KKss0atYow9mZgj+FaWxC/aG9L9lU3+NcHCMyfgJ75tky+L9gOndDOW56wzhz
C95Yca4xIzMsQpVm7SNVY9t7A2nmgpEbMKzLn9z5zAn5sQeXdVB9S9PQoNCKzihQd64tPplurIXj
82TyOrAGSbsbMiU3HdkFAKjNC4T4ZAk3qnZWxOh7AGBkN9u6ar4jhrSHgcSrEalEQExDIW2mvCxf
liQxNRnEg7RLCMbVkahzjHAbxM2h8rCHt7AO7fJ75AmE9nvfCqI3AMtyrGD/To88i3NLvU8xnRud
gltnFyNoDhFraqOe70HrXqysemmq4b5Easftf0kt795JzE1jyx1QX8DBC5A2uAP69LdwA8I+nsRA
7RwnjGsg24PJ9+LoTIDZoXdIhoEW6AcIovUNFWKowt/RhGcDgCJrw732vb01lA1IUnPVS7ZKuQak
7Fn3LjeRsuojdOLfhleM3B/bv3gS5fhbAxvgKYR3t8++cSvLDUYdxoqVfXJE9AgMbY9CuWRfu4kd
xU1MwgdQHYgJWEX8DZ5/RH5geErjow/IzvFZD+CrP6SkkITNcJr+ihKOj/5WDxlQOD9NKad4flnp
3iJfL65LKlEGAGUOqx+UKpM2mFtotwJ5VHX64ybOZVbtOknuSuGvwwTiVlg8R05Aqk4O41ntM9O4
SJtYg6xhqApbXTY8n5zcJwpLPBBjiFEGybydb5ls/aUXPE2WuauN8HUwmy+0grlkbwGSPTZ+c6u9
1HUDd0XsvMl/6MaMDCh9KAggNEFzTEl914YGU4zQPEVQ26rpjwdu1Y1/J7Ad4VDs0zK65mm3Tztv
Nwbq5ifRU50RUYVesvOY88flxggfrdo+xKh7SYAoUS40mAbBqargxZwwccu70mfoUWLLBatXGBlQ
VYb3MbrcKXjUhkDap7d9xE0T9SVwLOhG42x9jK4b4u1xbyp1Ev48oZKItxmA70ISQhLWtj7Y7Hj2
VnsWfe1vh5SCtmTTtrHEXcKEsjVmXi7ZfdG0ietxT1zxNs6ClQsTS3dIb+Epoodkkrb18BpgsbK9
eVd7HSk/jdp5o3n0vHhp6gjKYjcvsmBtF98+3Xufx5u6jk61/ZLC14sxnULk26oyeEuoPyvuoIYT
pe5fK5vSRpjHxkh3QiW7yDN3bdvgYyhYSw83vxKPGgUNeUoHGC0PCIYRSacoeVtQbeO6YS5sQ8KF
PP/ZeRHyZyP7bdyYgzYi2QmvVH41vWYlcyZaiTx1w2MRpo9t0J9FjvaHZDhCGzQSqwQ/5NClV7MX
pAqga+E879vOxYYT/gX3ilKfKRkBEjlTTDQbbmb+QjR6ETNg3L6pp2OLXGUzN+PXOPApz+y/2K8F
6Mp6XBaPaVidJuAWm5bYxYQKKe7qYt8JMncNUjxYLiAgXDA5CStpvBcA7YLkGgTyXM7qrozVnxwb
wBo42y030odak4AZFM6rQI3QV7DhlI3camLsW1mkr7UdGZ0m/fLIT1D2/JEuRCdU26uRjZ7QxjFM
dA2BpqYdgVeURLyQqaCXSFl7u0G7OLp//Sa8C3rzF+2VxD5qAS8AMJSjMotN+2x1iBik+d5H4oWc
oXdTh0+AsitrQLjF9QLkjLkxdvyNnpBpSe+WFQG0aZlpPNnVJUS2uCa0hmALjzk9BE3R5H/Qkov1
a8v4a9F8/bH8PFjr9BRRCW1SC6fO1LJ5LCfmvw30TNMD/qh6Gs/ETtbctd4EidwPYYUDiX5RRbCv
MBqx5bcYZ07GFok0IUnWiFepbLY+elNbEsNRlZKv0/C7TfMdlGjcjSTf2GSgbcyShrIQ/hZa0lH4
3W+NuoEZCQUQ+Z7ZiVWctscdYSXEEViAEuexefeLl2AwUEnB9VmVS2xQUnfrYDThCQ09G9fwLRK5
gWCwgZDXXKbaykg0IN+go/pCwpHz6InZw5nss7IJCEnJCmWryHeNqpJyfor8hVjPURlrMtaJM2KV
7MymtWEj/KGZgu8Rx78X/GP18hpsMd97I50ysJO/5GwvVoyBCJsLC3UDkm32SRyLCzvyqAMq3Wn2
vsypAbHT3P4t4khiWJGgRDIFWyMr/WydJSZTeXQQo/U6NdO1bHzEgH5KpeETgQm+uBnSJYzUI/HH
6L4l2vzY/ePrc9ilL3ksbv/+DzbGxUobZ1eUJ+mXX70YH9U0wfZ26QwZ1aUCQqVFJgn3E5qdtAnf
jZjwRbZnK6YJN2V6v3Wff/CYO/SFPiLcoMSKvTM+Fzhqatg3zviuSctlZms9B5h9+OMpZGHlvvQ6
QEJmF6QTWC6lm+EfJPkSMUXS2mVotzZz66eyxfMyr1v5luXuUpa1fdf8UaNHbA8C8GOBYir1nHNo
TQ929WzqbgmkVdtWhj9mTK9bRPe2Yb4VgcZsjO1ibTBgG7ryFPRYd3DLA2xiLeqjMRhNkmjTOrhN
A1b3oX9UQw2RIPKAGRJ0u/FIE8YKmTbc2DXzEsWct8vKoytjSoPpzajGYF1oW7NpBYUey6USKTax
FTMqQflXmtXfYYpbmnD9K/3v2rbgdHteD8Kx+xO4O5/ZW836o82zlyJlv8tS55NUzg6lAKJe0zEQ
kSWcAoHzPRWkcTrdXSbRJERGKU7FLfBZavYFEXpOVm9zcUolAhAEItEKfjseC8RZxP/cSad6YPmk
VqnjfoqMa6Bu/fWgWSx6huut0cwPOYVyzAOgZI5PVBe1njP2X5n8axb1uOIExuCKKxhkFxVUVeGu
n06yJMFmYmERLhlFhtXqNaD/zWRZGJH714D9wYZQSKweLgFWTrFj6kIj7nGsVwDLMlu91RHFmxN3
mPdjuY+L6av0vBf25riHhh/qEL2evxt2wXQ9qlnjq/82zb9mMrAtN2dnFxvAlkwVHsYimXhhWG8U
xNVcyS8SKl87vMuwO4aDM1FZIPvMVu7s3HoXtVb5HADgKh5SQEOY9HnEWAnhnc0zqPuPIe1fI/dh
aDkx/fI9zwX6kGHAAuxllFNVCeEDPNQInY719H1geMxEWkjBc/amOpJ4U+bszJXxjLOebwKT4Fz4
ddh6bmQR3eoBuJetoVdWOOPhGaE9rb488EfrzEnabZTxTJ6IY2ayheQykfd9TOSvrG4WA92c1JUV
SM0HXMtJMt6NQFZVV5xnjcAVEYDh6U+Nt3KM+muXhKeYAFkvXKKPCWnpxNYSxSE1qrfIXMIggvFo
aRwfAAmy8cvu8MIMcvFsX5N+MZf4Hret021mK4yWycIKrhfQRdV/pmVKZhXLkGb45Ck5bss+fyRO
Cp0juTpeRAs7xB9JBCsWQQqZfIHHtUt+V52EB1+59/mSS9Mb7nvDs6+bfsbQ+AC1dxyHh7o0rrrG
3ZH5T0lpfOdoygzvZbAZQDjWT4xJYPSJpYtZx8eor7Vm4qmam7Ab/A3UEI4mscp8zsL5YsfzI36q
S4IxcUUKKtqVjI+6nrtDGzmb2kRRbGQ0qlXtHsZA8ytu95ZDXdN2j3BGSCNgDlabnMZM1f3UfcTV
8p0X3mMeorDFjk8MQlMcq8IFqI1iEYTyj5+ymRdzT1ip7l592d7MSCIo8uW7Jee3Ibl2pf9IROsd
vgvD4VoJiOBZviOymfDop+KPSzAHCwELG9no7wECYVmyjCeL5CluYj4Op32n7UFV5jgeBYfYmHFx
7GTao6CKWSs1d2ZpvaRt/778lwr31SASiG0n0w//yY+gm/XWK3atbeyBrnOGz6rKkNWRsBsYC6Ia
uqudVatBjpeoLH4Nzv2mlDzyYgJlK1qMf9+DKLFqyu5BIKYk68t29XUcOKPInIYmIKsn0RhHCKq3
cDSvnZMdJ6HpPMrvhoLB1M59bKN9JUOiSahUcnIUGHMSWodmfuNATksZksl0fDZK+ePwyeKt9+J4
ZoaFoZxD68lNu5vj5IBslms69IaChqs/dWbFfkDC3bZpcBzzEKqHtDPiNbTAvywgTlFTHQykN6HI
Hv1ULTgxxkjz73KTtxRehfnuNBRI04BrukrprorvcRDXMbR+hgxMrOwU+qmePhGhAGnjmpaLwmnc
QqFhYF12t5rrLVXVt9VTcsXFA5yYXd8xzLLmi4wjJhnyLJt3yJ79GgMUOpsseQafiBTN/Vleo1nZ
f6I0/qri7AhR6Ccg4McHZbjVdkNeXGlhlZmhwzo9OUNQ64meXg11gviV2pUHcf4nDLapBxOCj4us
oPfW9U98oHe4bo9kC0AV7WNKq5E8LMfccIvvUXSfSKzaSrGM5dzWWtWVs5uZc7lmzgefFDTEwv1s
XcD3NXaZwe4JNgqiq7dc0kGUU6nbKMTzqw5D1swkdpVdta8MTAjOaJO64Xn0bmSN582vhZsMV639
bmt2ZzDE9k3g7FqDEJbUdfQaYsQ76gUGgVX/7gTFr/YwPVj4g9ddM8DzJ5cFOZVeU+udB8Sz7Ogu
tq8vdgYuGhf0g5MwOx7M0UfPwOdT2HEKTbi7FczYB9w1wIcpQysIJyrmna/JAzZzH2yKXmApdXiJ
B3A5ucl4rR6xOQAmlhKJT2BGq0jxKVQjqKymR4do1/QuejKgR9Ny6DH+blxNIFj2nVp+tZWVS4Kn
RybZHLH5cNXcMzBF50bQWLC2BLF9QgbimB9pcKJtVEfjzpHnymtBdNhX0eb3XtJ82ZDigW125MZ+
4iJ3V7FL5Ca81U00onsYHfyapQluhRIlDIpvURoPsudRVDFlRtJW1p3L2PoWpPWw6VqQq828EP99
YGfpXRlm92MPuSnzFKMu95lYF3Pfp2O4a815QWvQXk16eOkD116N0lLbgBXz2VlcEJ7hHyVJB6e+
NENgv8NdMtfePlEcJoEFe0C58a5m3reOyiPWBhqkwmTozzoQ+SF8YA8hsWn28twqovYWZ8JAfUBU
Acui0jjqNj0L3WdUdmJkdPI5S/N7iNyBk4S/Y00HcCn2Fkg7V3sSPIQWcZzmDEE+zxY3tgbaMOF6
0gPqcoad2vbTdemLvxkL1lUocVwL5npmpO+8iGW2w5Yj4u+SlvkVaxo3hdCWEquMg79W+M6Knxf3
Ch/GWJtw/tdG6e5Lp2rxVhL0GLjlp9/Gr+hwsfCKeZ/SoO+ngqiSKAlRudUN6r3k5kToD/qOzqoO
0UywvasfmVzB+m+nv10FMCxh92wy7eVtLdZDHY6A/tXFU4bmpWW/aN1OqqqIQFXELuDZWFU+5y5B
U5MeUdADClnZdfprkjMlVPXiTN6Japte3FVyG893WWwb+86YTuSyINzKp1cBdYXo5tPQU/hUJDbw
SKof0ZUia8NlprgQQQyNL6T70djKgbJlASxQV+Nt9Pe5nR+FTeNleBFvN61ohScngeaSsEpFHE5J
VVXmtpe4joYqPkQurFCveBsR7OMdsd589scufINIpMbGmQDNSNgBrAdRubiaLsUFym7HNEUE2Hp4
AQJNSFkdX5gKXS102vUciPW9P6Qt51T+1cXTyTaTs+8ku9Jkn++0DxJPW0zmqlqsP/zjFhhPl+3v
CoY1558Ptj70GCqZTbfzF0hxzqNSkT7EOGG4JUNLtGVe3ksUaKxJTnoMGrRg2HoS0tAyy3/HVv8d
pt0v5eFHlGbf+AnWHibFNGVtQdAbT6ycb9/8E/C9rWNRnPoesV8115jrGbWBQN4WJarFoIdq42H6
HJF/QAa4V6hO1928XgRnm39/mlrWD0M14uLCO9GxAWsEC/YSwDWqSB/K7MBsfTz5IsWNhSBzXg6n
CkqurKwXtKPfprTJMEudo99kX2S4kIg2fBRFc7BUdYmNeWsazTOCsr1LnTjo9qocZzPn81uW929u
ozYp3SNeVnpz2m10zPqpKbD3gm8HCJedSoaI3AbjJ0z7fYxrwHYZKvUjtluZuKuQLf16KBMcRviM
VrQNkcCs6z+VVQr5ONjgCTUhHeNOltwqVts82TMhrf0MnCgENFzo8b5tiTKzZv56cZRD/pRX5Ytr
I040ljdwdFC0c/7CKCAoOU+/CiKfVqRC8SW77GGuioeus19jdz6EnrqfrdpY9falzk0uYLvFGCXx
QbC990e+pGV2r5P/Yw89mR9d8NzWCYKcgn2LGxlQKpxzzD0XAxeMman2bU94XHqrpeZYFdO10xuz
LZ4g9yV8a8VjO/Yn1cVnhkUoF16jPKE8wGvjpcGrN37Wc3pzfHk2XPVcV9XFFli4635njDNvxgi9
KQiGL9fpP2H70PtljGIaI9pOIdMiI0xnto3dfUvKDBFsqxGuR7Bs0wwV3lNFcI93CT5eEL2Dus0u
ZH6Rma8NOtrIs0CzJx2kEarjNKaI1deZ2ndlfLoFhZ7EW8KIfFUkGmk/d7Zfe9RhOv7IQoCF1oMz
Fhy5c0QiDqCCVfhRucziCTQI6A+529KJOTgX97JiI97BQx/Lbo/pXBs/ZpLHdKUhEmf6pKLgAavO
r6XqaxdOP+Bo8HkHz1nLeo51DupYUi2DBJ21O2UpJpXgC8IWubADj8Pl0/QsALyNyl8BtrFT4QGw
CnnCMeQmJsMI6mfc2Z99L7pjnaLEiaH0AZYjmTneQkYNtxg84xWMoENbZ1ePEnxnheFeTsnZdpgo
zR09UolKVV0Kbv8MRNUKCJ4mMIrxVbALRXynDeM0Bjmz58B6byQeaJvVZPKZt+2NMjgnTYYaqUiJ
ohpZ4XFyczT6e2LAXvwMXeCY3QOV2SCMuH+rKsOid63xxhGbwt1MHyZwKEbd8J6bbrO1OydfZY0q
d2KaP1E8P5dV2bLIt3/gRHuse+kkU7L9vFFSVIT+fiCVeze6yVbGzSsgGHRtuPbOFZYQ1LvGkftu
Py/RJ74ggWrg6MIExnyYFCXf8X+wqW5dxl5WVB0iLEfSMZEGTF+KVM/OrwhyWCy0nVPfO4QjqBx6
dJKQNeWmlC25eGdY9cUNuze0q7Z4fQeGVkfpBAr49/DW+1l20AmEaN9XmwV9L8awYR+ISL8bWLJY
GQlBOeNELOurKXfwcVf2xxyHb8q9+AkbaasvmHoo4ynsSXEaiAKP6lM7TfdhvYDkI9B8Q/KAYW+Z
IMfPc7OLZuvXq0ccFx6fWjnX+8ZozkEfvtnVTbRcQqNk+tQQULJC6XKSQ3glmIcso8oBaYjOpFQ8
Igxv4BmXsvR1iisx2LtJVluiDrg1VPsQTNiuPY4hAowQvBPCGuzH8KUQOQzNEFlFV5tfNoKmNK+p
LMT4q/pgEy4YJWGOL6HdX8exXQcD/4oXwfS2AjNf2f6Fpypjr8YZVn6Ix6Wx1DvOE+p+e3gYSlIX
JUKEOhZvui8eI5uQ+zk8E2Bu4lsinceu8LtC5VoHXDNIRhkyiutU2zSRGSOU0i5+hsHBBo0HgNW2
L9BiAgOwu+kpmP1gHam7pk4exrDEFdi+kvmVrjFNcV3LnKRynzFm1H3Crvk0pq1C/rzCS+WPDe9A
w4OxC0x8fwF679fMKjaRH12owi8iyw9zl8glSQc/KWAp22BSjr8oPoHM5cSOqSv+fRmreJty6xlX
AjW7L6+zsH/JBxnWyVR+MtsAxDTeTY2z5AvisUlH9RqHzhlVnl/h0rW1xbtQWo+BsBC9MvAY8zN8
OJhxDLOpOLtLwkBwlQJnF+w8A2864yNP10OOqaCwDOR5GVQf8ZbINlwN5WksRvxO6o2F4G1qjG80
b3QlqJKitwFnehJFj8isvsY2+KnRE82R+0d8pDbNtDExd1Mm7lPHhpin9/6Qv1toT8Exch0ENhhh
3X6nHPAIxlNS1cdwi048XsNrsg+lITMqKWQrZNlnb7niykzt6Fn4NSUVePCW87W2WT1Zbv9nqMJX
5ZOs0qdw8LvW3xUDetAce0bftt8Ra3qjdzetqx76Qf9lIXI1AcQA8jkYVs2Kw6lZTquDZ+vHLCdJ
yFiaAHcKzqaigOzBDeNl048s1Ay6MFxiaHYUApfCy4u1Lz8qqn8dKc7WCTe4QaADTpXQb3kfMsUh
Y9T7QtMxJ8yR3C68toW5x2ybrQAXkm1r9empYZk90lEdTFE/+apwqMuLEkkQfKox5bQOp2xjDzZp
iSbjQQSGG177Y1VJlIJN/egU8i4WhMFiv9pmZECs4sLYMIZtCTOomnX8HQUos7IaIDJg0oQiWF7r
PAJOIbxF2OLfyZynCldxTRFW4TGdGvJliSyL6k9dj1gKzSVt15JH5qPsa0NouBGb4bJt7O2U81DN
O/HH79Fnx7D5VlF53ytim2qBthDvPWtpL8QU11LGF/mjaYQAN5SzWOWNlX7kGuNhYdPBcN+lJNB0
n8PAEStzDiab5GzqHodEvDr4VoF7TX3vrlF8m8Lw1d4ezB+M08tTZsipJiGQANutdLrpBiaKgM0o
EC33ZKbpqwf2ka2yzbdZcL0Z6LFXseMTMhcdSnP8y5MfooZ4sKwI1BBBRgPtopiL/CQMdtqCiRcu
mmym+Rpnbn4ARGiAe+vKVubAQ0Ji/CBLie01OpuaUjhWN121xs4XwULch59vtn577WAHr3qkVDsi
+/YyDcVGdwRylRqCmVB3Yxm9dynZzWjC29SLtpYnO5iB4bxpgMcVWAaPrUMCbYYMxEoIS3bzbVaZ
m8rjXY8NExVOrlBah1bEqFzHqA/mluzUbhtVsBcotgwIHgHzRKZeqH6a54KO/8zhsku84smAgLy3
lsDxee6Nh9aLYddZKdMmrFpu/eww0DqnirzfubILQgdaXHCZPx76gGuB6KOGrs/9zodx2IaOW9MM
wr53E1bTZpxdWPzJcHyggI+2ZIj+aaq52laDwB+SWI924k6HruU2wJgC1bjvkcO7NQq7Yqa/CQVE
ueZWWTXb4ZHpQkxxx2ruVIelccfhTjp7NMFMW3q7eLq5FetlIq6dE/VAvfU68MI2IrSgTJ8HlwEG
MnhvA8jG2ohOBKvSGlitWqDKbEIBSarQUHhWQdtVb0gVyW1IoUQNiYvwr0vQvkwzaUAfGqn5KbcA
/lJvrzPia7dxNM9n9NdMMfKCjiNyvgi9JpvVnT7SQpYr5k56m5gT1pZJnn1j01lNsq+I4HjxBRFo
IPoyuFhJ8YJDjg2HQ04Eivj+okMQFUgT42zb1TCUAHrQR3QYe1jQNvd+6c2r2rKdvcLifDRaiK+K
ZeFLqObdENh3xlyUvzyZdnB13K9Mk40lKjVe4yr/SZue0VHC37ZtyUDb1ux6IuH890vkPiW+IAiD
wKmuJUHkj4W6d0UzvQsVvkfOR6t/FRDSy39E01y949c38Pk+u5aJVpzT+DKohLiOzmSknMtwWwdd
enYZtyI5SKFhx1K92kH5IJLBWjd8rbVVK+P27wd09CQT5tDHsN+ukIf7L6yOyM6evObK+pshnfK4
FCQJMfB6L8Psevc2PmRgU/m7mc2fRjv7lyArkBMW5MDi+HUu/36YsyBDKit3Vew+TW1BFu1C+RZq
fmtn+sSxCqpng3GDr8L+K7pHqN38tEvBSFwXtt9wngBD5WC6xvjvGFi3GN/EQz9GR9C6010Tg72q
2ncKMgT6g2+/GE0QH/79MndstQfdy/Own92jaXHI2A6Adir1LthlXqsOk19YjEe9qznl6ij9Wl+H
uMjWVdfXl2oawbO50RHVELpV7C0fJOtEMB2DpS1gV52tPNcMLzIE/xlwHDAypAofLac6ZDB1Vp5y
hjPaY4+nW/XRKtA1AEn6O2t2HyLXM66iwgQntc6vVjsuMEZhsXMIzWskY/AITvyexFBQ8rwwN3VG
8nCZ0iO3SSie61g/qbmtviYTofwQYkqyGznfmdCoT0xNB/ZfSXjGLYHgNXMpFTF2fDlGcO9mpXoo
6vnZ8n2oBT2nNR4Gi4Or0dnWg8y5kzayG20kSO007BAyWxbzZEG9lwU7RFXylkXZsI8MAgLRXRSU
emV06xd+ISsT7KsSZVPUBdEehNijdLsWvRwh1nmt1SZvHHRmyNe3OAckC3GdQ/gX7k9vyPLOsePi
bvz/z0TZRkeKjv9+33GK+Vj5PCIDqYtzUWLpdsyifRuZaeZWl/2J2A4P3RpZQXjOQcJseawvcJmm
P8w+8hIwuMWjRPywHRX5O6yIUuAbibuP/H4/+Q3DQrA0xKPrI60PdyODAU5+RGwLb3QEpvNiJRxr
mjV5mdhvJHIxbWV7TfeZrpu27O4xrZDzBfgUMcyzIrf03m1rBk4LJ1hkz1oEAf9SCtxY8s3UkXww
G2CjrqfRmsqav9OiiwBJuzXooq5lx5Q20sxaXSdmnz3G/+W16PQuy1v+XCbA4vuU9Eqtp13Q0lOO
IGSEkZ0yDpqzF32pRAPoJlTqOWZK6CJBYVtF8HLczwiM9ZtnSZ7pvo53EbQl5kVWdYMAvk0as99p
okaveIDTtWPN+NzyErYrDAjFAIif5r7/NxHFGQfidAiccnwNNVSqenInkMfz+Op5xgdoWBh305Ae
oZQ1m5B+4GWS00KY696i0TK2ClHzPiQ+9Q0BpZ+7yBlN7a4dj+g9lcFmyd0Ih4kdHerIefAWu4td
yGovBrqPNhqmdcMyAkvCBCNjFNuM3zoPLYjDbKqq+2wwyCmK2eJY8bRhJyROtmK9PhbdsXNUtvv3
8eT6p3R0cm+n5X0r4/bOLgziDYRvPjk8NDaESMv7ZCR+CkkaCDSF7wOe00RRemBzL+bL5NbVfjRs
pOL6NcL49EQoucXNlyYH7TJJIYlRbxjgYxoc41ur82EXV0aE/i4E3TAW7bYXHrqr3igf7GY8axTP
tCMVO8GYjEiOI52+CPhxjxNaJbDK9hd1kfFipby+wGqOmWkae+0WIR8P7Uw8fap6AyaTxOD/G0BN
n8vMC8NzmyzezNp+MgPkLHPbHgA84R3tfX9PctV8dCKUh2jHrCke8f2iN4qASB8mMb9EeM73pq+D
M3ODYdfk1N81tgwChqO1R+7E7Lbp1Xerd2K1nCdvyrGYGThd4yU4WIV1ddF6N9fk9wwAeLub/UJb
2BaX2Xf0XhhDdKpCN8KFXnWQGEZ978U1ngrfh9VHi4woctPELc+WpY1tEGQ9jJg3kH9MRJqjnbGF
QkCKFCjRnGteZG89k1FDzJYaSc0k73JlP6Gvz/f/TE91hVqHMPiHf37foQvaWwKKSxLO3ixmpsSZ
mv1AMAZGW2txlbLK7OYAJb7LJSALQh0iUe89/MxsVf37hey5862BN7djBhBFzKAMJ8k4euqT7c/e
Ba5KQHOt2EUvbiS/z2+VzIKDnpiIzz3lp1s0Ryh8DRDShgEGSmTzEPjLNK1ELTSowWOnncvtuDAW
bJqxtR9Y0enfL1ExHRt4kw+eV+tLUKrhWpkyuTCAXCPyjIXZvU2DN11FrZZ3LTYv2HOKnbIl6odw
TDd2hwTGqFjeENI84ijmE8bpO+yLpB/OuCS2QH2SVykhyJQCZk6fOuLV1sYvFyIvdJFJCEFmG1gu
czcx23uIkTyCN5qsV4KCjmoy97FGwd0UQf6k09toSpDfRYA8kymmupT+QBhboOgaWjBwIPYheIJF
fLTiQlzZXT+1gsvKzvV0YaYyHgsKHcSKDnOMhTdFw7MLPYcn0QjmdXYdsYv6Il93KHnBNfflq9l7
yKDHbuc0HmMlq9EnrOHGjo31LV5MXYzqnB3r0t9/jKVetYeGQZTpJWSpkepg6Hm6BnLTW4bAF6KT
HQ+3S1ov2GmleX10SbKPX8DMB4/wir1aRE+jyRFW2rX9SLbprQZGxxHFNLuXUMlCsipJHdkMJrZL
1XJNZBJwXtN92U0gb4bTHeaEt2uYv4UJUtAP8eUPk+Mf017sm+UmT6YwZcDWBgcXYvB9GR4Bvp4n
9lR3Cm4urajhnsCJPRY19ZAx0lp6A+PwIu/G5ypyQCelX3Nrtm8IKtF59gDYygCnj/RRiqX6LLEd
I3gpuv3QMVJw9Y7vy7n+Y9PgI445dlHiVwEJYzmZh9d/P0tdPjzGHH5Wpy+dm1Znk2HIBklJSYKi
fGOgdJnY9HWTC4fPUwjeBia1PGpFDtlgFRpzftJQPJ76qg240guGsuituwp6K4ObO1U0DcfDFMG6
gfwstNvd9XVo32kXpHccLUY1cgqeEh7qc9+wgfDAUXUMaVc+kSKPfjvhWKl6EEJt2cMUtzBCZHH5
RYbFpYy/RibdMuqglwSiIsVnUcekCUrc8ZwZHv8AXW64/ID0l4zVefAxgPBLsCLEqcyzu0f9AgW0
kF//PU+XhyrRuvpY8UQmUBrem4c7ctsHof+EewNKhJO+lp7hsZxwDi5LvI0/ueI0RVkG/DC8652c
YFnZITZBiMKUVgHWWaQskfwb55G3d2Zig8OhBaJqESOTluq5YloP6d+h9IVqgDx4zC//frCIlN7+
j7Mz240bybboFxGIIIPTq3KeMzVZ8gthu8qc55lffxfVjXvLUkECLoqdULoL5RSTDJ44Z++10e0x
SLay7lh4hPXClZevU8HMqmqlcZYF8ihcNa9ja4pX8oxZwNDwJlUB1zd6eyBG5qZH2HdNAptsIaev
X8ALPodjFP1QTrCxqngzK57uHXgGJOcgC4f6+vD2bprdkUOYP769g0ENNL5+Kqqqv6uqumQrnaXM
KQumjUFWPrYRKY6NjV8soCdzsxuLIeGMmNLcuWbyE3lKVRCuqaBi1HSpgzarOHSq058qusuKzunR
Dazp1EexOJWJ5SxQUzRL2koxw/wkfjQDcW1DR/1NwM+SjSzmT+JTtfFH1NJepa2zRnSDH7ccPOay
VcVJmF8yJBGHAeE+lqoKebheHd5+AndJkRAOwGv5c+JAcuPVgmr3G+WepvTfmHd+MQD1rjy2vL0X
ON4pk803AHpiJkV5p6EnTXZEmrwCixZdgBnYu6mvH8f5nYMQ4M5VdbcRM2pJxNNftAHzZ1MfZ6dE
YG0jO4y/JQUoI0An5Vk1wROQSzafGsT2QVP2izPGT5TV2LmQpYRKaLdRCoYGEZrF1FV8DOYBHoS1
VKu9gxMk7X3Qdz/NWdQcqspEyxiLw9tLPP+kqVkihHR6ZbgNzGVS+mhK1ebWzITxVCVauBwnYW7f
ePtaVETLFIH7NomIZRqHcudB3GRy6HIDpam5xScij28bCNkwX4qLMof/P1UWj2k7uWtGER2Nzhzu
R/AhosHRWKdgqUTY3OKkibeRE0Ub4Ukkh0P+IzMRiY4QO25OaH7rGQbeycFUr8OYLOMmhHri5XJf
6ka3JNPIfB1khiCtb29ylOa54zpgpOF0c8OtXWPm8C9uPfqnyOoWglng5e0lddj/W5FLy7PT/o5t
l1iwTLY3qHXlsnHkhSvwSKE6nkUZ090jQeanYNAtEvp0cQz98a00zRob+AORK9oEy0oT+h4dSTrT
/+n0p+Or3VZfpImYRPr9EemAeMy2hCTRwTR5tee8oX+E6ll91iVtXFGzerLZjkXaXd35MmiH5r4T
SXOvtV5LBrWz8xP9O3z2rV0n3S7MsvjAOP2WzBu90A8kAzG+tv97m4u8YwNf/JUVe7t01Y+iL92l
aY3kIlexe0kdZp9wi83dkDHdb8gtxQjix6e3n0TrUnyHJreoUXZ7bYrYXmQRAZ96dk+B+avioboJ
89ZdQrgAYijbR5J+CTBvMufq2TDFAiiLi1R7itFTpqzeWlb33sIh0KEJjacODdpKZ5onWSFOWVQY
y2SInOXnmRnvEz2UoQxpS0W1qaB+iDnS8B9nt68mL4jI+F5AG3S2pmr3rit/0xDQsH3gaPz8b9Pf
h0Px19mGIGqQ+thyHDGn4f3jr2uxDrOBIAYtw0/yC379nenEza+8xMIUQr6/H3s32ASq+V40CJBN
A+bl2K2qsvC/MZXwnevEWHdflNLYhSr5VcQJGgU/cXeRScKO7pbmrZiGeK409p9/dut9uqMybNsx
bQsKjG7YwnoX3NRHaW8zGugWbiOPPSdnz845IIrtSlEMeIdMcHb3fF+GtubcgZksim9jnrenkRne
FPGQSwciqVPIBTgKKgKyLVOu2JV7iFyuYyLMV88qy2VBoNGqTEh79VQX7xRIPj8Ywo0dlL9FzSzE
RCS86BtNX6SeRge15tmTW2qikUAiWVTWB20qXOLtahdFlnFUuu09W0a1SnJrHab0fg0aNCuqyLXb
ez0NV3yWbTnXyQUU5wLLK3sEYa7TWniMTaKTkuZaDwJxCvWxWPcRnNcqx68p3ISwhLLDmC+xzn9+
xlFmf7j3aSEzEXdMZQgh3wdqxhLUkTQwehiWPBu80HryXVolbbgecOnhTKVEbWHhXXQgcVvRjNQn
WJPSzKlRAmZLOk/lvU2a1sYrSmaNCaPBrmRPWpcsfMUwdtcGtDlqEASXfjJ9q+xousuIEVi2GQMW
sLnWntK2OdFpcx59GdFhRk1qARzGPJ1f2qbJdmZVhRuUhe5TXRcP4KraXwn6SZ3mWHyup0i+oIIO
MVyWyU8dEZ0OWqUz5y6CV2uncaTN4AT6oe5SZtVzQJ6L02wl4Q5fsQBe9MY37mi7sK2uPXEfSVNe
BjQXRbUMnBrWYC4OgJchueq+tnemQtt3xuhDxaGd2PcOoy/NcfeW1opd2oc9boJ0HpCR17UKa2Na
Qnyo7vHeVcsJg4ThCQnKPG3OSaOjggklqgZMrUl+1UV9DJyweJKtJ++bylrQ7nN2nYFeCNPFhZld
+GSUWrnT9SChg7ennzNsyMyh/gmMfgspRK16n/GEq4mC5z4mQJ814yE0BqQUIlBkD/AT8qT2wpPY
uWMTsdUcJzuAU2sOn19h6n1UlSKVWklpsfAJ11T6HNb2j/WoMAzZIjiHIJ2KR9jE8m3Dt6rherHB
wLHb9tXWAISLMZDAwxik7V3DFo1A59JbtIZvn3PNPIUw68IxffEnhODO9AOUxjhnBYV2uh2wrx/H
RlvCzGEOQTBM1gjvMpBMkgrVHrXwmyE994rD3mhLlxMmZqs8JK2AvOPvdQSwwt5DxXnRTGjenePS
fIEUz/jYD1afnw9zXsPyZPTzbA7atXXOxxySS8ShALzuiHfpp4K8HujDqBXdEgior9xxr/UdHiVl
awuy7F9ciUzFC9oeyyp4OwMt4Rmp7MGC3Xy0OdXbUrY9ffPuW5D4Ixo7oc5IeKOlIMAKDKH+d4N/
ABIlYIxhaQZ8zWY9Fo+dtReG9YyhQ8Myz5MnFPIpWtLKlGswYBqo16s3gVWKkuIWCW52TeJWKwM7
+YFJEapUTLxCGdv3fviKUc7aea4bYsmV0TlWwX4QKvsdSaLgNUZeX4Tovq3978+bYeisVcK1OW3v
ihQ2qpH0vDjHgsJMnvWpxsHs59/Lek7AmrcAZp96u0SKg846f2Kjtc9/9ADeY9QzkbOwoJbQh3Sy
J27Yv/PoNaKI1QPzGTmFvui7ddZmUBQa6dzRM8UTa3vuorAdfemQFrS3epw0tRgnTpjpIR7B1uy2
r2ZVo8POyW0aO7LMJB+QQvp7aM1RFBjHkpCtRNWwzIE8Wo2yw8bfAaby6BwwnTPSjRu6+saTzjyE
sn7mkdEepZ4sDcVEUAgre2bLcdViWVw9Q8JWy44Yh+r7tgvPBVv3xefXp3yf70WdwjKvS1egrAJw
MheL/7hfY4SOQvV+sVAi7I5DZ4e7KsYv3cTuIStD7HMqSJldgxYFxHvI/bE/to39I8kjWO6hXd1k
UoULL4+ZN2KXgNzdW1vUw1/mPP7bJyUgbS5YgcRSXP35SZkRMO7AKopLIBiA3wS0pYJF6kby0bOL
Hz2zkWNbRvaK3oaxwo27q4ihubiTeLAyq13lfZfQzom+YzxlmtOmTIpLz/ii/PtQXHM+HV1n/XMM
Uyjr3frnpVjVvKbOF+EEUkmYhALFZCQv/ZoszQAnxKJI8XF98S2+zzzmW1TC1B3qTf4n9XerTJE1
qhrhZfB3lRtvygP2pTQ/IKG0ivAcGLJqrXdJAYsFEFw2jfpODeYrNCtwr7Wm07vAtPnFh/q49CmY
Vq5r8omUsNW78q6L8qrSR8AakdXsWrtsTzHQ/J1Pc2g1EiuyDWQ77IokapC/ql0/tk9ffIIPxbHF
8uta0jR1w3GIdP3zkmkaASOT/uQiibA8upCvsbV5ED34qxSSqk2uTFqfcbejgcJjMxi+sd/cdhZx
L6SLGV/cbOb8Nfy5qBHd5hjCsWzblY797mZzWhQxehKSpxK0p8Dqyk0WtxE+rcR+TSrA+EhhdiIL
0xNt0EfYhfIbGFjo5ZEyT7E22XtArt+stEt27GEkrYg4WFukylgMyw+wGQLmeS4EYLOW7aqRoXcd
umdpBn3MXtswdhR8sO4YhJrefWNm2m+nPDW1Cp6Jb3uZ9AF8xZxgwwZMg6kcJcehb1+KucX59uLa
YF9SyyTlGp7hfeXU7iqagmtC5+BsEKN1l4khfJkMJI9a3faHt5b724sWNn8rJ/W2vVH7xy++5483
nSUpaXjOsh1iF/Tu8jdjI8TZhFDBz/pszppcGYNRPzuIgnYA3aclDuzuTi8L95iTdu6NQ/qgz2Nl
J8hokrywhwiUVwJyc+TJaeOfn38+4+PtaUnL0R2YW4Zj81j78zrUsgKS1cSWoMRdcHLs/DaJul0F
Qwk/dmgZSDSZv6xC5y+6Vu3amYO9+7pCIjIHDw2F2a2sltrESTvvkvuz6Z7y/e0FGjWK31Hk27e3
Tf4cgkw0dOT7RHf7977zWqUGz6MB+hzsNXcXFnTqUjWFZ1vYB4oT50z38ItLXX7YBluWoUuHgFTJ
Ns95XwdabJcEfYiQYVa6Z4GILpZXuqceknN0HfFlbT0/J9m89s7QsHbEKNUHY/7XBjn9wMD7gqWF
Pe2Q3L74Lj4WqFRkwrYs1JIKJ//8mPnHAw8EA9QC3OeLlmnCSdNqF2g6OmSDdBvuTn2lBWo4cktO
Oxeg1bKk5dlkryKFFUR4SXEMpnE6tr0wzqhpMqCYoVpUlqNOoIzM0zy2pxNme+uMSj/NOqBG0/A9
artpZWEBpY0SmvdDbWNdBUq8BAcCO8Ym+6th4vb57/ovD3fLNA0qKMM0yIx7ny5aVkrVTFnCha1b
CyLwaFQ3Oro03dYuyLzXQ1u590EJ7ROd42EItACgzEucGss2LOojMWvGuR8avBEpQhcELKSzytC5
fP4x9Y9fiU2AuKAYs/m0VHt/fiVpgGCJq3KOj8dIQu1APV6NzfPkMadKydPwx1y/MWCRtyRK2fjn
8dJmUbqrYu+B4ogeUZ5D8Xdik54WjBs1TrsWEi1oY15MNmQ0cRXqDZf4lc8//Fu0+Z9rOjc0ux2D
dZ1qX71be7RQIwi8HhG/07UGNYskvG2Hx8a11RGD018YjsC7IGhMKqLz2PHLUxaWhHRHuDo//yzG
x5uODQHzXZ52SvBMf38iYxW7UjXAm6pTilT6Lk/c8bn30T+4ptkD+cbiqOXJvnZkcul8xz7AbX0W
nkuPNQr1Y1w65s1tJRAR2/8LYI62s7JqzpsOppUuE2ByZXt8y5sTE/dQrluvMGyPaceGLrC78CVp
BRl3BhSRuDSHY5par0Bk7VNbVDBn0QmuBTmIaz+pGRH9P359nqxc885sYRDvai98Z3FSVmmyqHTn
72ky7RNRxd6WDbOE7qI0eIhusa4AQNzcXFckiw7dN2kxVfFaM9zkRcBEvyrmJHD0lF3gPGjmyEDe
fCXOKTnFtEYWtRaClJrf9mFu78PYaO8tibxxEql9TB2z2lYJaki/1gt7BXt9xdY+UPKHTeZFP4qj
QkueI9ZVX3QC7Y/1MaXxvNt8K+cpe/68i0Y+TgATPlt4LeDIqbjEpe2/YKNKjkYKQt/h6bbxTEhZ
fHXDQi/yFzBMzUlMORqTOiHhKiBPoRmi8MXtavRAZnIK5nZZMrp4CEB1mxo2xZggSKwg4ZZfdjio
xptgIobtU58jFqsLIs70BYvsihQSAP6eoaOO9YnWSqV7y3AiLE27sM+15hd7wjN8sFGteFAprlzg
rcPa700W3cbJzr5q6HGAChCkb2i1bzzjb3olavyxMzwSY/Cp3ZV5XaONlNUttIti66C269t6dr/V
j4aI7V0M2Wytt7G5HyEm2HlgvBaGZ22suCW7ZUxT9mIBw0gmg6soiOudmc4Y3BWR9dOKExiA+XA7
XCy99eyGTgf9QU4PUivUEi+/tfn8Ev63pdCyeXjTOTZouqu5kvjH06kdYwIYdQFrl4hKs/CsW9ZV
f4kMQ1+G4GYTm9d00otNHQ0xtlAiDNSg3yCpGU8OA7o2q/ZYVr37AXY+hGb3mhBUdMgd5Ho9Dqy3
dzQcp7vPP/e/VDg23lDXwSFr6PaHyhbMJmb8FiqiAfi4wodgDOWiHWt/FYsCLCNfxTYDXLmTubkL
AigPdc00pwZGuxCa5R7mt/b8Pcad97fn9Eg5mpFEr0on4xyz3yIaWwRNOnkMnWjsjWfgE2OUQc3H
1d5gZj1I34mvzID7OWJ2wB6gfzfCZGJKUZv7SuFc+fyXNj80U+cyXijB01Vny/fW3/7Hl8XoaExV
CObTFYRj97AbDiGJwHfd6LermqjAHeOz6OR4tE6cPrgNncKiW9n3THbE8i1ippgTTyH1hLDj4akT
lxotnJ7U5pA92yFz0SjkDbbmBbjncGWJPD5NJhbOBp+ivdLjKtr1g/ypAr2mf+TXRCgtoACQ9x5s
6yFlBAIOb8+1XO7KritRmtr1Zhw98hYqoVORQNBxAypKSwREdTndzTUXBamIL0a3RSYjvmn0kui2
4d9C1Nl+cb2/PR3fPT0dHZalo0yd+th4tyMyuxpijZNlCysKDZ4gJCsImcLNDergGmY0DXtaAUDb
e/g7Wtw+IPqJyIHvsvupnfS70S/Grat14a3XsS1J1MHsTWKsc1Vk0wQif2E9kru8VnmfH3Q9RirQ
ddGTU1XRWjjudOg6oCRuKXMJv0wG69xn+Py2jcHI6a56L9NhBbvOUnoYvN/ay1Wp8i1qyR9v7/pI
dwk49cpFas+ZG5WQWwIe8G/NjSMfKtdXN9u/1EuuTX9VuZYBlFZ/t0hELjpHZuIQDAjeQZP71OYN
zgwdccLb2ywvtmbot9fS7VnVNcdcaeBzd1aRWiuLVvw268C1JXD2v2NTVpXAm50D/0h2id1bZ9+M
+4s/HegYQyZgAk8vN7/24ejjJalWeQQoDYH/sPMnclsiYSPxMb74JeXHvTvFue4wHTJt5aj3e7rO
s6ysiA30HYWaNkGc9DsrtF5GM3/l4vjP/WGr8T7Mu2GpgAUdfMsb9p4NgQY/9/RFLf1x0GbBgHYx
M1CpYgt835ActLwMWZ/YA2jJhmoqf5BREF7UhD2+DhBaRUa1VcMoDkFavhamcepYFV60djh6U/vS
tuOxsgbFU9lVS7MriWzVFYIHGoeMLUfycwk8r/u/IQo5379YqOYL4s+7zJEWhQEn0rTY9ryrUS2C
7PBMjnjsW5jdKLOcNWD4+7HsAeMGSXAeSU4+ZyQ2/+fF9Kse7GlRLgawUDgTiDYNQCrYF90wqm/8
pt2+RBQG04i3oWFiNpxcQJGHxlfA94npXltRZj9O4GEL4HgPIiHlZvC08mxp8rXyGvO+IVDmrnSr
5OLeTKTI36jk87Wl6xIHy9Qs64bbHVEzaa1+ipfFfSSDoD+HeTZuEu1bmXT5zofyvoiN2qK2KtpF
kTkNSFHNusWk6vphQzg94/YvFi3rY5nNEM2ezybXg40b9M+H9GBaVTEgG0MXDHIYBMeMNtX29D+0
qwJjsRKBrRZRpoCyVzikWNbqw1tWSQ0pdOONeHJbW+EEFWWwHSNQ73MzQpua8GpM10QDJ63JLmQt
sv6bixkmVnpMze5AJlb9n6hMZMOUWhpJgzm19OH/XkYj64kBvbWMAu6MNO1fm4hJXWnjSWn60Hlq
IvaiWHhe7RBKExlzPxi10H8wuuS+7MFMk7+BsR3RUASS7wBTvFwkyJA2muECxOp8lz6wcxrQ7Uex
3axE1RqrWHewXBdBtmYbqZ8gfbMqUL3VIVPFsXyYwM8SeQvM4YuVwviXlYJBsm4hnjLo9L0fsTha
5qHlYDl0ZlPlaEQ41Fq9Oxvh0K06e9RvaI8gEaxaC9ccKJii7cuDVhDyoPF1gWqS09YbcZtMMXDk
pic6zZYrXQ2gOMmXxXPsiiN/b7oMqqJe56Me3GwoIWY1RZdaZylE2ew/EPQARRJVdJ3bMCMmqKhg
Ur/qdX3sIc49JJN/HJMF8n2FGDeEIab4GlAcu8nNcuqfUerYr+WsHwli196nRTi7PeMdlxlkS6Te
+8pp671t3A11i8baaAPScVp79fkqY318LPEUd/lwPJWgpprvNiD07eEYkTu1KPtoE3Q4vepGG+5N
IpQPWgdjD/Lf/dsf+XYBVTS0yDdKaiqL0D9phSXJ9k6Mi/D1ywAOgZiV8Cod9btAWgX7OLHWMQO8
O8ls+67i4bUvCxsSbeSdyriRd8akuZdOyPw0YNRfBFM6/aCpuiexLnnWe01sGwL97jwn/UFY73Az
5hc7tr5D+wyI2OifYxH8QpOaXUzSAIg8ZDSUeEsSvEhFKmq0lJnzVJHisCf/oFoFlsy3Wd9VaEod
/5SHjXeX1GKTFPm8f27b70xCwzOUsV0RWUjY/Ism/S+2/LQZPqztrrRsU3EmEPVY769+bsKeZzTg
nnqsui0OKPZjVTBqpwqelB/qJyd2s2OKEcAhhGSlJm3c2UMOVl2FvXkn2Mzq6tp2PUDnsjS2w7TE
JAaVLuustSTK7y+jlD9YsAeqeMwhU+Gj0XQqHUZSWzz08dKdwAwNojWeMgvHU9C64i+jJ7sbyP/C
bQUNAwuRk2QCsLBmI0EKUm3jNCpdJTrugKIr5aYuU6znw1Dc15w++oG4m3w4IuRvbOXkMS6OJyIa
MwUhqoEuf2TsPufG9LcamSv+BxvnhvDqpdG6v0qXai4qKnXrPWbCpXEUPhi/u7ab74gQolAcAEWZ
QjGyG0X25HW5d8rJGkI4+9NKYwvktWneu1gUmRxPsL7HbW62gs4rEcSMceHVtOhLTsns5wAcaN+R
7U1rt43cTc6cFtGnOZtm9EXoRAobrYDnBVsKl2EVrmo4j1fGQP06JWZqH8PQTVHLQSzlxQoE6F/B
PFrWDTMqLO7PTpu9jI0nTxh2Q4aXdbtJWcUXFn3EC3mvaDRznf9Ype9NWPosXk0ErDxKZpsS8hZA
PXAcp3gZJjLbt1MMLbMW5borRnMzYIHYqFSGZz0rt1xs7tGYX8I5on1QXApGko37sDK7x0zbWgJf
wQAi85EJyU+7peel2m3bUvH0//tSC/ny+fLyLwWYq/OPOT91Bar+d1WviCs9qjuLbWVqnEgfhxXS
JDYxLAPJqTVhWGbUDs+I7R7JkgWaPKLh0cryd06ddVMEzSynGsqWaWZPoW/sEWUUPwG4EMWLhdb0
nhsdfvu861KF+qJieJu//VmAMQ9hGEhzTrE/tt999sgbZptAUS9SZrBrR+OiKapZJEOlsGwjlm5J
KTEHFXf3UTeMFO11gK0tc9FDWThJeAC15B8uMwJZmPnbCYZHZPfh/JPm9xorj0y2eqEnpzIbYJl3
NjKnYWSEnd5//kXIfynNXZuWMqU529+PYzVUt6akG8s3EYTjyTFGufMChsB4C4LF4DrZrspUdaPZ
IqCBwCHEHLvrUKyc01HuWze2b0ZXRueBueGCmJCJWVMcONQqBK/OrKDK/dHGzX0QdNMZTfj0aCVs
rxyLOGj+yxcRBcaB7BXjEMOAumsQ+WHh4a3lFX+DNckOVlpaq0AL280U5L9tLNjXSpwrAXGxLDLM
UYN/9EY9vUZTxQqPKAopLKYAR+o/2TCvJ02zXs3huW+zYWuWtbM2NCuCDNFtMhHV21CPSfLr61Wj
AOEw1UwvxEEamN5saKK48eBQ9bRYoTeVWyA37Up3apTgCBd3daDjQUR7kCMHJSEq7K7Z5Biw7X2N
ylGmS6N05YO9FG03Psj557LLGhQg+bFIp4SnJDIQAjrjPdEn2cNQAgcg7go9mZbOARZqRTxJ9y2b
DU0MIA4xOvKVW0EByjXFXjb/K2AQfSZkazwmePYXaZjNgHK3Wk3E8i1pLeoHGn/XCQ/6BhnRgBFC
kopkTMMPaPF3XW8iDhgDjQyMnomGFrRgAu3oSdVAPT+/2j6qVW20CewBbaGz5XWc97dOWOZJqUOH
UnrV7foMPsVgfCthoi+TOPPLDfbEfjO6ZbKVdjwyvumSFzmjrhod82Q+0AGOQSTc5SaA6D7r0x8x
2keBeumXX5mHBOHhb82B3BMVoK9wS7EoHurCHwkBHpDFss4uAQu02zoPn0wM7K+Iu4Y7RnPmmTxv
/WbGxdVOz/BFpr1gdIwSZP4xKJtprxLPgusiaFGZEcldNU15l/7rBhRUsclSi+BtqxxYeRNxqct6
IqTHc78b5uzMnEwQ92SBTFz0e6f3jH2OjSu7E6Q1fVG8uR96WZxmmgpM7RCZzIPUP/c0AfizqLV5
YOdt/kS/OF1rdlevTLpeNFmy/igbEhDzvHtpRdUxqR6m49tLkAdYsoJbp18H/VpX82tbXTv/KuSF
wyWoSl76c6n2tX+x5dmVZx/T5bW2YEawiAUQCUw4auWMD9i7Gyv4oQUa/CYgOCuzqarfGAwPXupi
4wlii/a6pq782z+6skU6nRX9MiqZYs2HJe+N4EE186G/Hbb5EKePHN34GKaPvvbfY6qePO+xVk9D
9VSqpyx55sjVUzo+c0TJc6XhbYBE9i3TnjkgatxpVdr1RCTBMHQhPdzcIN8QZeV+T1PUjRjbXiyV
BGusOc1j+2XbRxcf9p02mwwEs6hldR1dxbtmmTR1mhAx2nZpIZDckwqOlw6iZJ8eBndvcJLUgdcG
NHV49DCXkTNVH2vtSDqXeSBusCpO9TQfg3uysjM9dg7lnL3s3GVIDS+Og5HowjFhFHUvhXsp82tF
WT1dh7djmq6ONx9FefM8vgZ4fLeGn+XNZy6xSjgnjxYcF6hu6WPdpGqnx/5Rw1sFedkqd35hBxc/
j9HAm3KT6zuNhtxezLC7vdbtbVLnPViJXPPzERBO4u695MDhJIcYJTchEepglYSLH33vWIj5MAin
yE4yO4HCGiFZYahMzhzAdPXk3FrnetMbBze+lNZ57C52fCmsS99dMgInrUucXDnC5Br119yej6C/
pvY1tq9NeuOwhluV3tQwH+TbNfpKH26JexPDzcrvI/fWyE4/uMR1xK1Bj3WWoLLaEI7ngN2Ptagj
FslkQbKFv4HoEt90DUWG31b9BocFeaX3ZnZvvB0yu+fwbMhl94594ypD6YeZVNk3Fd+Sfj5E/N8j
M6//ORLz6oakzFztt9eguRjhVasvyiAR7ILjMQ0vcXOOw0vYnDn8ht3xuVWnpj3xWrSnOp4PDDkI
qKz+qN6OBCaZe6A9yBFXh7A6BOGBIXHW7/tsn/R7l2ig6AtZ+EeVDHooVAOS5h9bSfe9PyH1YYdV
gULWqQf5Q5DHzqprRL8aMHE8jGNbnb3a5ddJzAcm6MSQzZq/qm9bgicUwfD0VCSKi8PbH729EABk
nJRxCEfTJQXeRi4O9YIEu266Ba5Tn7W2XZcSkXYwwkZMIMcAEMnH70FdLSwZO9+iigEGd2a4fjMi
zX9up6Dox8axtmx6w//8+4LCOrDqvY/ych0DLr5TdtFd3l4ybHqXsFP+ptFr627MXyYqzXNllMkV
AxgemPiXpcrkWzvU1a5OvxA+fKyf5yE7GjHLQM1sMKd5t8LXZP4i9s4X5mQ+RnHkIhia1mrGoYU9
W1cxgoWZqhL/U3YOsq5mD0/OyUgK15AOD7plPjmmGd+wu4UmG1wjbleqaE1Yx3C9BgDFF3R5pBbn
Xzyb5Lyu/VE988kRg0tUJAw8PmxxHTrBeZsOUH7aoN00U8VTstKfEuwrK6WwccRpYV3JaAGe7PrP
Jmp0MBz0Nu0ubWj0dAT+zrHato6Pq4mrfTknCXxep+gfH6CMgGjLAHjAZeC8HwZF9jSyowB21Iwg
hHMLg4vpO/62FXBz4NLY57GlC0eNvOpFFoEuycdFPLOlYZNoJBW+mGVabXrZKmgzHXkLfXqMXNTp
+ui9Aq65NPn01fzlo0yHU0vjDN0gkwR00O8UA8yW/KmujHQRicrDiwY+0DHJRaiNhPg9eJsLBq/9
zmwOWQ3NzSrHjVkqdKCpPR4zR9tWiPix3LTELPc8Fz8/qR8FLHw8ChOFhBoF9YchwIQdmoBJuG1B
6xVPwL+J1uqriJaB169UbSBHZut38iwiDTGJnfWOyWJU64wXnfG7CFtgjx49vVxZjHdBZWxd06Hb
Oehf7PA+NiH5pO6suuCx/SbCfHd3paReDRV8z2Ccl9gSBbJbo8yzY7PCmaaq5M6xp3RdyUZHjkaA
FJ4qPPwdLNJJn9dvZArz8Ekum6LD9xYQyVq5o32SSp/HMA4IkbZDoRCkUqxSZDlnPyVwOxbmCH1H
u2OT5TzTwmFELT35YKnIWHYjYy5dC12iMMxsbQdsUb74iv7lujeQ/CM3ZGCt2BX++YuLtKBzio5u
QR+7O7R55BB12dB4FXdpaPyKEAuvsSXj7+lWpsdv6yTgsz7/ENa/rBAGixoVECqij0KnBBmXk8h0
BmoEa6ETWgOhftuY1ZyaUvh72J60pNli0jck2w9L6BolTfREFsSvgLjhvyBN7GviR461gDvZs8Ol
Iwz1VG/Uz5zMlRuivvIyN07uuJHEYfCRK41V2j+A1Ubh3SxZP4tVoWh7BfV4xM1cnF2/JUgxxds+
zu2SpmjJlICSHCc4H4IS3wa85p3jNOJqJIb7qJVFdGcgfMclHXmPts3gpTbcfPf2/yrRRKvWu4ua
DNGW7ZGeiDF8y9oYbX3yRJbeYNiXKdCOvijKZxu7jEwDMSfM0KML5T3amFMvIC2OIi23CEnce6u0
RuS5JNZ9/oVg+Pi4ZpvMamBC0Pmw1fs2NTTatqXhVIA+Q4wy+e7JUej/3n4qVHuzDMrW+Ug65IE7
MgY5hmY+2mQ3NbvO3Q7ulmunWetEijfz0Rsb19uMxv8Qdl5LblvbFv0iVCGH1yYRmDqo1UF6QVmy
jZzjxtffsSGdcy3plFU1jWJTst0kQWDvteYaU4q1E8xU8hrYtjBO05K2p+HigLugPQkKzmS9fVrb
yzepycUwztaugpC7+YwrEWXxydCkLO1EKI8YGXOLpLtWi1A8RskUuTHFYULhw9UIN4MQptAeQnMI
CW1snJAExQ0rDBv5LGLe1Vqj7Gs9A3wkRemExvQUW6dtPfXZ2bVAkJ7t7mx253k7sz2sXKkCTZe0
vGSkK02XJbmWxgVhlP2mbrsarVSzXavt6kBnIRcUKkl1Q+BJcmh4v/kI9/XAT3ddF4cmd14ubLJ/
+OMXux7ythVQaHFsDuuDB/zlvtPOKa4zRsOYqMpppTxRKWd4rXH/HmYjKCZw52mcFVfmTptzbpfk
dCVj9pzHf5ppV92op1a3/ZFSluKS6A438rg42032SWF259kmB+yYOqP6YROWcezIZIk6VhRP7ZXp
xfoO++Ibs3LdY9M43aMYvC5KMyrCTrl0j0liPqkClLfpycRQd7IJbhu+5nm7PYyZoj5igEjvHK81
PzHIVh7busQtVLGf2rJtdY/UPsy7kRcLagtCYWFGTj2+6GBrb8xhO7fcGR0QMaYdVL0HxwEDIrw9
64/cZshUZ8TgaJBGfrc7NzTGeu/Yso9PRJL/TaC295hXPY5FWaxuGLlj9LS2MJkDix5mvY7Mp1Il
75rRy1oJicodDvZYODAJvQFEA7yFIdONgCFIuGUzs7uFMTePWqW8jptdfc3c9ituX+hhesxb8rul
o/pLk4EZU9re3Gosl7GG3QT5D6cLAC3FrCqN6B0y+NQwyYmvizQuIl2E4WLITiMJQkCAspMrpGJx
ap0TQ+xufmbUeh3O23Cu4/OgnQGyd/VlXi5Dza6VWchjmV+35cKkL2pJOMuvs351B6kuuW36FbXd
bUqkegzru+aOi5mU2GVIyPzNiW/6fvRiIpNuVXsPdEvx7jTwJ+19rtzQ0N5nGn7E+6W9b5Ub6neN
yg3NbN1sgoX8gb+za9FuSBDnl94wb5rpzU5vRi+PpXmN9yM9DuRpcGX61n5yyOn+JJxcPXTe0DxV
BH8RPi3yZyI+9TtAfPrjZrVvrQHH61JTy2yvU3L12qvDg+1qYTL2rnzpFffq7dKrm7prXeQ3fl6k
xoX9mtRg39binu+XDAeyb5V9G4v7fAFbSZrwrS7uM/uW2GBVpJ6wLrrWzd6l5Pcy73I5aPNNt27b
fFt3CetmONyyb1P5XatzRV15I4dhdK5YpHVc0o1U2lxFfEFLfCk1qbi/uP3FyQikhYZwNtg0slfc
VTXnDei/ciqYNzZO1nQi8Ch7w6eC9iVotHHNZcpviloIodytjdA0QmxLv7tFyQ3Pjxc4Q9W4zTlM
PbBm/9mivqrbbOX6xE7OdpQjY9snCpvqNSeWalcK14CgNga15AyeFAkzSSW1xuEWEwsQNkaYLlIM
WSvMWWdhAUlNlbLHoK8D0QUGybdH2whMI4DE9U1DCXKIzGf4ZCEp7I4ddllkYdtpI6KIa+COFv6t
KEsxZUql7XdhoUP4yEfrZKdn5vBqM/eCZVOAyOodbIpaO6FWO0G8LsZTNp4SL0qJ6OXl4MoF+zJG
rRYJ7qhltMQhEnFYcmczwoQX0kjFaQgSDg1qYI0BGSdQ8DKCoQNk8UJ4WUbA2Nw3TUOINu6FvKJN
oyfhLt5HGNSp+9s9Cwu6//HBsda0THZbDi7Jn/wXnWbPpkIAHTEwVKAPAlYJWdpgQZMjhAdkdMcE
T6d2zBaamUdiBxIupQn8TH+q/AWw9OCLyqe+iTTTXwffMKWsXQ4LM9MvFL/a1RDNC8hsF6lXE9cG
xXcgaivwmXyS8VBv+aPFMtyfLamVH0fyByhc+AvtDczTgKHZrdZ+io0P7BxJtyQaG0fEOh2tw3fN
2RFBcfPMg+4dOpUeDhDogwY7alcC0T2Roh+ktEe3OI6qVL+rVUgFPMaFX5NBWzDiJrV1/kIBhW06
CRSLT54NRSwkXB8obcuTUIVdf9il0f/IMJD40v/g+ogKDMp2Ja7PjD0ydpEWjntwhDjlwy8lGRHp
uT9jgsl9kfseSbPescHyJI6VeYTCYgisPceyOWbk9uXHPGbJQA7voYK0I1NdDoDqS8F48IEx6zhy
CZEgyJDPNTlu5dHsjmDCcezmsN61IwAjILM6XDjnaCY+ySxo20V3Rgx+/VrgOx+oE/jE2NJ3M4TP
hqnkExS8RX5ikaUjxYy7HHPnI+PjtqS6XfXmDxbYcn+y/GGUGjcyQ30orNouQbeNyd7MH91jlvlg
eRJDSiNdcD0uAy2r41gf55qhiiOmECizrokz8dCr8ij9X0IeawcfBInGR4/lekG06DGfpQb12BGq
Zkk1Cn/EaXl0Ch8JPtBFHhek+/3iT/tx5XPU+U0gPPJbSfW7KF9lfOgUsVwfyBLK+ZugtAhbzwJb
803N9xxfm30HzNvsqxorKKZY/aWVmnZtue96R5CSWKBr81iaR1McSTYfx2NPADTrNz5XPt2YKbOD
dqL6wTDxpB68+TfVgd0C+NMF3PSw/tgWs9VUtPQfV6itaMsKfC4utVhnitdU02dmw9PnuDf8eVmq
iIyDFMOZq/oMnrA8GTTjXXGeEmwYcczqqzS2J5qDTeiq5WnBOhcWc8IyFZIY1vT04f8PJfMQB8d5
95z3YnqvJv4z71vy3k3vWvJu7CIDDPzpTkB9U8o323ydtjejf3VNqdh8dXgcv6BUvHjnMn3KxctQ
vpTiBYitY35Ew0Dj4GOafMyTj+72zBCgVT87u1znQ7pI5csHw3waig+W+dQYpOMAOm6biszlzHaf
C6EQldHEf+V2Vr+Qexj1+PcesahgjZrG/FAyx/zh32+l/6Nii/GKNrrH8KtJ7eunKpI6D4A1Y1nx
qp0Hs2WUaz+IkryZpsTq0ywYnFehv6qtTaLmaGmXrss/9R4XaEJejOPCCknVQEsOpDaRLFPk7wLw
y9EloexUZvhUoJn3uqEFVgzjPG9kemBTqU9TubEU84pLZa3q0/7UwI93DsxJUl1Tj2aCS66JgqPL
cTP3WayrdTeyCy7j/JWEdetCaNg/D5l2rGWY+9Zpd7O+sA4l4ZZBieTcj4r70Z3ITS3nnmsI1LQj
WNnIGtrqpcfd/ZsT3Pm1rEHPhGleWvC4BmjL/XiCr7YeF2q/cYJ3Lvc5adJsnEGcCPxEq3eqtNPm
sT6RYt3yTQnUX49ZJymWLoh1S1zKI+sWZLrH6Z7FizJ/X7ngAsycgJULMsnF2VcuLF7yQq5fWLek
6/d1yxwHrFvGXd/WLSxdGjbAWTStkdHKRQsqrShH7SnZly5x8n3RIuffILBmtQhgDUJrctLrfmgU
DLCx303Y61yhPEyAwG7/fpY6v5YkDGqJ0iTIgJTHmMyP72ZBtPYIGrIlEwsESUlJ9Tpg3b0K93HG
EQjqrhXvWb9h3HXmMCGMBXKzu132w9SXtEHyYjl08Nmi3s0W5oTwmQ2lbv4x6tqhBfp5NLdmCh1a
PDQ9GWbk+/BnWkos1n+f2p/v+z4+NICT/f0PCCr8e9UFYSJ5FgxeDXN/It/DJbD6UvOxMZsscOq/
ewCZD1W+vnpJ/rUZrNzfchE/T4tOgka20W2wFvecQHmhBW0/zjoWmCJX6xe9VszLNMs83r6uX1Ss
oDf3qz1QH2s6r/hMZvEf8SSqr+sYX2fq8C89zoKduNHWeLoUb3MiL9Ox+Y76izbo3ZM31P3fltqp
d4WJQ6CwYJVjsBv8dqzaj//+0UFP+nXJh+UEz63KJ8gW9KfPTqXIqBBm3x4WTW8pR5sUyhy9eWAo
Ymr8jRaAd+xs1n4+S/meZPtd1UqWqs+QMuppy9+yjunBYFuCFeuVITUvgecFbsFAUOh4AYleZoFD
NzT60BVSpR3mu5Y0mnYpFivkCNFoIl57WSKriYxdwxJhCmSgcmuiZonWJprJ317kMVuisYmSJTKT
qMU42DB0GZUNX5UQsMyyK7VCfQ21VsCwhOYEJx2f+1A+WPx6fWgANO1DT4R6H1Z2aImwsMNs15xG
464+jdxGqk2jeYmYAhkX6gHM5OlNxEBxu0SikaKwUjJf3Ejl/BVeRBIpc2QkkTdHWhKB/VoxvyXR
nMgHiRWi2JTasAJ2IRQaC2j8sWGKPQ/LPAR3jwqXQGcpQZBRHSxTsKTBlLKX+E1b6FdECGVFm3u/
anuOpns/k7bK0inrudMBNY/YsNWqIEQgr8Znjf5VDZU2Ih3AfbadXMF4s2XP9BhIkliyKrKwlp7z
DvtNoRNd01O//Qwh8DLYgEzSkdQz4WzaQ5p88sgUAgsp7lsxj1fKO8kt3bgdtY2XvqvLwgeUEkrZ
jdp4iDUwd7MK8QHqpf3gYr0+d8NIXcybi5fELb/Kf2YqaQe6SM4DZmPinmp2zJPqgYqdzbNutUTn
UlhqK3W4qPYfmgRel6NLTEbChWBLBbExIjE+JZbyJ8MG4xc6pY9LpXxNc2v70BT8u+bUFo+AV5Xf
zen+WuqHo+BxO6I/iyVn74H8owrkEI9SupPK21nYczRZIj2P+KxAAWbPFvRZNRVB13vbW5NkLVUe
wA5EKc9Yw7OC/CKsRZ1hGxEuIfHapAMMXgtC1mzFrOTT+WYVCulyoxH/pnz164gu6FwD8oLJfh/K
/e5n+8fvnfJhtkyIYFAzHdB6IjEPa0W3UzG67gwmELbLmp/yzJ4/YOXyQq15oR5oPpECqfyGa/Pr
gB+2bQ/zts4wEbf1nwFcWrFuZrEUCoxD5jHKtG1udpt9xQ/gBlZp1IRkQ6nNvLGL8pIkUwDgVZgJ
5jFKANSyJ50bMst7KghccbY7iK06TLTBPuW2lbH12rxPY2k+ub3X/mYEhuXcL1dhCHNchVUTOK7+
S0l4TOpyqFcjOSxbrHaHBL4mxlFFHF2105jTnIBvNtIKsZg6JR8Ok8G+M7WJW97/oLFw7mUVOAmi
BQNtduzzNhsdOK3GO+Z1VUNuTSgwyHE2Qx4wlA0PU7b9SY6JFXSDM16MhWL5/mjSlvdmGcbQHsl8
auz8DYusOE0NgeNtizEVduOla+b4MpozAJA4XwKb3GlK/aUH2pV63d3+sFar4aw6AZbpyn1uGm9t
wqRVVJ8ehkUGUmtdCSyuaY0W1EIGEM/7c0Lk7ZFxofS4SQzx2thMWdAL89201+5zNwbMKmzSjlIj
fexAbh+SfiaJA3f14/7cpDfeA+O5yvCfJ3JqBlgQHAIx3JEcWfa6scuVVuN1HifK9ZBhOdhtcceS
llSXbfXz3Gmf1IpEZlUlQDFvBu5s03DfM9F9SQ2te4RbTvTdSpB56SnBOGpTZMbN+FEzSAOcG5fp
GuuvrKaWUm4g3/usWKPFU507JjiNYy1mSliWNsP/hKFvGBLBO4aJMTZkP8CPd0oSTrmInVfMOlay
mc9VbLAfz2lzlTYm/kIh6k9SI0m7Iylv0nXYmh5rE3vI3+1lcY6rThF5oqsPNpTbZOGoHwe3Tx5r
Q9FfTe8P07KrlwoedZLFRlSYQ3peQF6d90dU4r8/aqvO4+o7d99mYpwKqEM3tu6pbbfFrwdGBEd9
nC/wF6bLBPjlUgElJxtm80KiRO7g/uWfS2ZJgtkbxWkrWF1BgHtj2u5WpTkztfFs0EkcYjBDpijO
pISo0JahHxPG3H9RPRqfg3DvRZZj0qnq8d5lQbL/1IlqO7odWCm7VEaadJrJ7Ik1ajgazfku7TFy
K3BJxkR8dFScFMyXPY4ek6y2vREIZA8NXW22Tw3bz9loljOYvuXMjvf7I31al3PtcRKzd+WGy6t9
msd2e3In7atiDuYZa7V4+vZ8OTAc33jX/af9eUG9yc1GYkzMDR8W+93RK8VjxjjMWdO5jwubQQju
bE+e44A812i6J0YXn4tkJqpxUzcSDEoIvXeZfDbbn00J6ik1HFv7RLdDKkIo8L3ShYG08u0wzFtQ
KwkIs8YaMGbRhGNcDVetocSgiigYq1za6IuuREG3s7OGUPIeurkabp7KNqhZ1MgbF16P/rbFJm+c
rY8SE+6cu+60/zCpfwOvsE6qmEwtSky5/F80osdL8akTafWi1EnAjdx97xmL69psOVUKPWt2lHnS
eReGovL5bn9qAxxw3Q9T9rlbXAjNnTmnx50ivki4/EAPsJZJXgtBNd7Ufj+48kfXI+GmK8wlnNat
u4xd8+ckiaucmbU/EErp23I6Z+ld4miq7qE3oX7T19HDOetMrCVkbScK1Gob+/XdaLcaXhyg6m5q
JKcRg8Edfaj2USUyOiv7+Z6V9F8O8MAPnUG8OJDL4VqQCXaGcPBMk2IA7OUwDFuD7MoHBSCvwca4
Su069PgfRptO7ppJmtvNq/OMwpwmz3PVEHdYsxIaVxpVSiNh5LGbtktB0Nh5I/0PGInAf5jTyZCP
9gMWa1a1wtiolDlvrpLVEUGi1s1Veutm1rpxrpv5xdXG7aJYDoO2bOIOzBltF2cPoHS3hgxxW39t
q+qtszGfp6NeUD6N2YK1JnbSNb0YzdCf1XFuDiaAmyMMOUJIx5ia1+iSnEI6BGuXRgUFlak1EyhG
hzWr6/xpLElRnxjpaq2EoQ5gcyNAfPzeMIyoVjjHZhVnoyKsLSaG535u5+ZeMYvk3qHhrB0IOZ82
pfVTqk5B7A1YTZe5PeUO/VCmZ5woBSZ5N5uaR+hq//0wkfN1h10DwL21HVY36eWdIh2jpqq+mvK7
kBNEfzc2bR2RCDw8JFZFrjQrCzooKf6OJP/irOZfzHGYn2bTnkhpEOlrl53ilk9DuI6gqVZu3w5K
FffKwarcg8N34JQkbU6sbCvTnwt4eFvTXyBVxptV3uMLn6yjadScFAfrLi/WP7wsTYmoHNLHhAK6
lynWubWW+AOGjKs2gNXVlNkKIC2t96sE0QuxrUd3InPZ3dRT7HRw1t11OSiFWQdgprqjcBpBDTc2
bkVenbRqEhQ35788hc2Y2ebgc6XDAvPIB81I6DvmZnxuEoaRgO74a858TzERhKaZSfYM851mkpx2
qNMhfsZ280UtcueLldRAgxOii2ePXD+ZamK6s3vVIX8eu5W4tTVVP7ej1/w59Cbp7U76Xsbz5Mc2
k5KlZRx0HB58wARfVJXCUNB/Dy0ZdJe8tVQK9bntW4nxdbPN9tlcTeOkGaRwNYSKhEy0upcpUxxO
av3DqmGHbTIHhy2TPRHrzeSuGHIR/Wa3/Gu3lgBS1QHDoLNf/sV7QQqV7Y4TqUwpVq37tNcj3lL1
qMKedLOGxsh0MSD3Hfh3SU71GB8AylMT5wrIQBO3Ls8/E4o6HbrZe24G/bPKPPhv1sG7e+DH2q3H
QhhOnm0Y1GR+tsttgFNiB/vZgVUyBX6lvLetmpMtxpjN3u1lNfP0ssDiimzO+vmi68RAYqLxrHV4
AILnC8oFB2NmL78xgOun1HKPRUlyXkZ6ECDHtDq22odkDYlMUWHRs+ivqob4o2w1+abkf8JAg61g
LHfAJDNfHc0/XS8G0zrLOn6X08bQdYzeC9yP0r6mhcZAjsfsduekFOpbccD5vUUbExAUGbImhGuT
h67NjJcY9JBBA+FrbahnNMCctH5PvZLescUZCHQbbpZvD92LFq9fy1aoEVYB42zGMM0XUUOxXYAc
MKj2/O9nhv7rAp7f0OaCa9iY6ljD/1gCa7RtdLlrVOzLoMDFTvkZqm3GZGByrGkRWEaPi9/o3qa5
brkwbMM93zkvTI2aLlFZJu/V6ml3gd/bOf5ouLWn1E6dUAUG+Vh54kUzGZK1Eo2seubL0vup7NL7
tuyc35hT7F96ty6FIIavmWa3KZGaP7UAtbqE71449aFdNfMj6Zub8XfmWdVzbhBb5dRZcWsz5XFq
vrLsLK77QdfYRhMnrkX24s6P3fh3sdZMIQ3WbV018pOYCY0p1ffCKk/eoh8dmZcE5ofRN+YVnCZT
j6UxEpW0gWwG6bpPECW69okYNfUjdWa2E4wafxHTY+pyGdFKMpE26PLPeUWiC5U/nBHl+DeTIEsw
zK3mtyLV76uB+B1D/caWMDqXBfXC3b1ysuwjpNOwacTzUBXXUZmbc6pn6yvB3z5TL85LtRSfFEt5
zIZk/rjP5M3x32RdDr+ptWia9fPWz1UZOnAcE6glPudfei1uYiYKUYgHrffhXjuGlLcrg8VNX7iX
qvpAmMGsBKoZrEogqnBTAoMg0pFMRCmHjUMRVZD6cTT4mxsWRQQzqSoiZnmRjkWzj6g2EtidDoz0
RIYTuRve68jOT44TJaz2nCjOT4oTodSNsuKUuxE39PVYuqwqotqNWuKcVaq00aRGrA/5hiFngLAa
eUPErJAyRI4XTmXkeaGyS9fDNA7nWYq5p2nXnIbI2wLdDnBLo2EMgFiJJBhp5AJ+8+dOkBe6qh4k
1PElTYrqug3tsZnDblfdhAhedsd/yw6G/WhDS92CtpjWuzSziJZ1zeFPETlExv3mK2/9cjfAmQmx
wuaWQOVbM3+iYjVGIpREeEAnu5up3gwwh6qU090wx3jdLValLQZkWKLdcMYUu9r5bhiCClhZT+75
re1vHSaY8oypLb2N/W3ubwI/THpbe2mMUWCip7fUvE7TNcfsyczvdBU8LqVKQJIsRoiAEheYY6L9
LrUF2nPBCojyWVoBkajO39yALFNs+hu7IXChP1eeMAJqpKRLQ+BQSU1VhCFQiaUbcFwgeIWtQ+ht
WDtceCM1i8ouctfIXqPNklrS09rSkjzp60nd5XVnxzo5HLuz1Z1bl+lYnKDnAjferny6IBoXJf6C
qzJe5uQ6Jle7leqTK0TAdrvWu1z3Cm/IlssMqbW66e51xpdT3cbq1le3DlNOdWuWW13disXPSIJZ
btlyKyvSJW4pXj6CJeebO9+U8uaxOgYWzJchM68Dy5FrUy4fXeOqpUxsXPvpmpjyOJJCz+NSSnP4
ta+Gc1nExeKdFhemszCNzv9xQmKDRPghMUNigyS8GD9kEp9wQn4zQy5sv8hO+48ZcvuPE/KfZsj/
OiGHJTTK72ZInJAVPKrdCVlQWe3+64T8ZobECakRhdd+N0Pa/8sM2W9nZpZxQiKFRBJD+iFxQuKO
ync/JNaoLvnBDLnhmnKv1q5sA/F209wrmnjbRah+GXjXecshLFX78LieMs3579+xnVL0w2KGr5hD
ZdGjzojh9WfwHJjzaoQJ1x66Ki2IEnL057ry0rt0bZ0LES75Pe7rzh+KtOXas5KwqDO0PMmQd+BX
5gNWcIOAyJYgI4NaHvlpK6yntXyoPYwEkE6SgAqpxRnXlMFg2d6DSMnDGpukZ9yFK3LikW/N1LN5
cZQVQwUZlzePintbxBjhtmQOVAUokDo3zdGulPR1czyIhMyC/mZdR0ftlxsFqQKSX0YoOAM8rvzz
fxRbMSj2XT4OBJ3Mx28S9GXsY534G1uU94T9Q+/Hq6/0/sAovcDTLOUUgbeLIvICy1ywDwhiM6BV
6CgBZSsUwwQgGrCmVhNmdVhPIWwxJLSwpwOghfqu3AvXKSwZJdTC2gtdbja7ei+0pjBhM+2FoKwK
Paz0kL2u9M/7bs28SwjgACVNmKYha7o8DRm/LtOws4ONaz9EhC3IRim8/NquLgnYASSqXzJyTD9A
9Rtme3fF9IddaIhSFfGEgxR7BkTmtqVQBWPnJI+AthGxrqjxfNjUsKfmPBgRRUvSZ9ugzYOPIANI
nzPYJOmB5gWiANoVLkU4FeHah/OusadCEvZ9uAipSYTDfmR2Q7PCvA83K6xEuFphIeSD7D9KBMMd
BLeFRieldaHIw60LwXkgQMWzG6DRJWwtEFqw0I2fgqYJjCkwUin4WZ3jo1zzU9T68eQrjVT+RkLs
6GGEk+rJIh6PBGpDbBi6ozYfabujzZaCOI7i3s8B/xH7K3wi09Ac++uusYcgGYDeWPvAMwPSQBQz
SC0pZmmShO5tmNZhloQ5J8uubgrrOgScMO3q65D5w4W1uRaKKfS0cK1DRQs3TgM9NKeQ3FB3l9Bp
mt45dYi8XQoZ3fwvOEN21Tb2u6C1ScILsJ3f50mwsEKognwMqCu10C5tP7P9grNkksp2MQjkuEeO
Cu14LGBshwXRw1LrfDRVqZJ4cfvYQ5zcRb5X1vuZ4SuLT9JE6flTHqAhp3kt1S2BopN5GXh6oHuB
oweqF6ycJF4wc55wSvThxLnB2ULGGpeHEEg+6UNcKZs+NK2wF9/VihCBWlqssOT04cQRUukuhW1V
F3prqJMp3oUq3cA8FF04c47kjJiHk0sAR8CV1mWwzg3siUGzoG4gMZJ6IqWmAXxMpEw+douk9T32
3ZwmuRQxK9i/kTJIUSr4zRX7FwshhnYG4UyHi5TBFuInZ0UuqlXpBVN8IGHPDpCRa5sm5KyrK2EJ
9tEeu+K6P53RHv/2CCvpOtwx7/Jh05vp4A6s6K0lee2GLr7NOvmRJamy76YcQh/tjFaCpZiHVHEw
l7h1f1r5qIXhQBgtxYe8Ny/bmqT3e6qVlU4J1Y1jDYvpPCQpxeVhdO8sW/nkFvr0OHl5/WyUkua+
/a61/itAxtUcCc+msUdnh1Xijxdsr4+TMlcccrz1NAMgr3GLNeIltC37JZM/7U/psC6hTKHCPKfp
ZZ7PjXl2KyniazP9NMto4JMznuxSyvGieooSPaIRU8Dos6QckofTk0MHvz219ikwWIllpM1LudvZ
3s6be6b8vJQXNJWXebqohpSXXLvu6iTXppOavGvVXQdPqqxv2XrL69sASbkNkvUWLzfFlirK+2xX
Qllrvo+Le7foU8LNHQX22KqDhKW4c4R1p7SXOLkkqVRpnqf5vMxnpzp7FVuu08RMMnzS7GiUJ3c8
sT+0PeIypBrYJ50UdRzXkrJ5eelJWaUa+6Rl58o+VXQodq3lhdDtmRfonpfporG4mSi9SbXMDneU
dq/mdlW7cw6s51rVgHyuKF1vKKtvisyp/c0u4X8YLFw4ZpCTuGPTsfoFi62JeonbkvR5aly4EGel
YJFSmQ9pvCjHuWmN53VQGoZboSuwBHq18U1vbrY9xiA5PzREiBgJweal3g4hlcMRBCVczgXSvr8y
WfowJfq5tpzhI/XL8eOgcOkyhvHe3mquWBmGYkZJo8bZmje3K4N8Mv8a++y1sb3kI2zGnuwRWSuK
R8om2V9NNc9favyKwobcsTIiJeEM1HaTTvtSlMPJMrmojYvePbZA+A7b3CvM8XTVXaas9bGwzP4j
X1Obdffy2jjjCwEStNd0asSUPplzTDsbOJsx3m9W3R6yerP+cOPmPjVeQWd4MtFzOndl8qS7ixM6
OnvCqTasR1Epy7HXsrei7p0bM5RYr3smfFsFv4XTXAT0BoYbFvW1T/Uz6G+bfMAKKJNoGOxrU/uz
rjAtlAjjQaizdplSdX3cD3lHUGFLpct3zZhAiwL04NTXl1QI9XnotDfen+Us5oqGZ2bhpR+0K+6J
59UWKtSIAWys7Zp3Gpcu7HS9tNJO1dlYAFkkU9Y/93/PAvivCwbocT8oIonPxiFfuu0wxeZ2oUBm
vrX2hRWw+d6McXsW1upi7Eyyz7R03tS2Ku/HdH0AydlySV1UX6ckQgo8FAl17p9cSo5PSUwFLS46
gCRpPKUH7pI6mU/60tT3VWw3THAwytiajf1O/eovTTHqr2sjzoT2JGCarZvnMlXx7zeD/7FDpvQi
Ga4q+Did8cEfr4CjMyt2ZQ3EJiRCf8pGfDLxxmC5C8DzvVa1r9sG16tVcotBI0V9zlk8lmCQfcIt
FOYjvDBz0wRg2RPSKlyZhKDPFFIu/38Y5Y8MSdO1Z/I9NOLsuWw057NWMBTcKKRYj8vkPdEO+Wtp
3VtivXjlayxenfI1T97SXd34ZtgAq6WGhejssGrei+ZdzT+J/JOhvc/rp3FXv37iblZykVyG5t6Z
m/55sLzHf3/fgJz/stZnmY/lk5lngIhQt39845aOuFxLMHY5q8pDb6dzINTNDmdLWz65sFvJxIav
XMwajNG1BNDgUAPV5vOUP/atC4+nJ0JcMxsfkjJUslGDFySAuKdZ+sVwh+SxzRP9kGAyexgmhxTH
GsZzr8JQtCznauvG+slaDBvqjn7XdrwfqYNXnPDI8UPiKJ890DGsONi55no1Eq5q/RUzJXvYbNim
CuFJhTbcm/bIbcpoWVc2vRFZcaV96Kv4eRtz423SRVQptfpVc7+4qgOm2N0EGdccxqYT16q0HbLV
9eqUa+R1iSJ7wU+cvnjJ05hVJTsscrz1Ij/Ya18/eBNm6JqA1cNsT2AqrP+j7kySI8eyK7qVspwj
hb6RqWoAwFt2zp7BCYwt+r77wI60Dm1MB5FZEsOTRkqaaRJWWYwgHA7g47/37j3XHM/kWOSnTNk9
Xc3fiPYUN20e1xsj5dXIvKjc6rYUHhSeQxfKIrowHYs2eNkTra/ml1IvH4cO4iRt/Y5dXkSnrW/b
TbN4i/1oqLxeQq/qJVlBvBs8+L6aHs14LDEv0EgTqLoR0v7cg/z8w1TUxE1HNJLf3SrHdwoYB8xj
eG2YS5A+ubQXP1SF/PK+Gp2m93RT1NspkO70YXyPZiCYhNr3ZygiSiL2Nqljjl7VI8z4+gP8lX7A
SIS9Hh+Bm5V33VFZGpIz2SpgHjwtDvAmhMa+s2qMg10bAOLAclAYNPOTim1pzcplW6Mf99TIEJFq
f1RDfyBMG42JvbL7H3mHzzFDbaKzzR7DF7iYOVzMqbrq53z79Sf/S/uOD82SZLE9Q3FlHavcIhSZ
g4Lz32OTilTNBCIU54Hb27JBia29olaYzqQeY/XP4/7Li/jX8K08/NG+aP/xb/z3S1lNTRxG3dF/
/uOmxIyY/9vyb/7r7/z6L/5xFr80ZVu+d1/+rc1bef6Uv7XHf+mX38zR//x0/lP39Mt/rIou7qbL
/g1C5FvbZ93PT8F5LH/zf/rDv739/C03U/X2999eQGB3y28LAcb+9uePlsi2hYz0Lx9//Z8/Wz7/
33/bNE/F0+vT8T94e2q7v/8mmcrvGh0Pi2RF7naLW/63v41v//wR8S9I5B3YSgxpF6hsUTZd9Pff
FPV3A2WaTIangTHWWMj+bdn//JHyO1ABR4P1YyiOoSFt++dH++UK/vcV/Rvh5ocSYFfLL/5VT75w
Q1UN8ggfwly2+scPAYCGUEoBnzIZI67XsvwES7kul7s6QqoHmZX4LQZgBWweE3IbMWBq5AtSMYV0
H1b99UAAa6VU39zhfCkffHh//VRHQyk7lbDIt3wqYT5ZY0Euo/NNuXekAPznIRygdSRCYR07esMH
TRsEedJwiPVwqvjZOqjc+Qo/1ppuCB6k75a7X1+MfzmecVRTxTYMG9OuSduzAk+nBwIXzDOI3krB
xbFIsc5dsBC6sfrspPGPD3fkn5f9l8v86RdqWOxpjCWI0T46W2EA11MsvlCrr13mNmyeBXkjpjsU
8xXZhdvGimFL4AwjMrHPfkokKLxwyUThw9efZTnUf3dG//wiWO7xgduMHo/pEHPT62oE/clvKrC4
z5lFukjrW9gokE3YqNWqQf6mG/sHaPargy5L6oeXzSSncpDbXYKGod1LFNL4frboyn4URgYucBAb
i3yBSMgbc1b9WH6ae1Ts6jPu8xMuliuUiJSLEX3LRLf1MgKa78mNdV4XWCka40ZUjs/QBmZtuCHa
dcv086zQrbUkPdZq5zuiOGnn5yK57eE5mCbWCHv0JyEfqhgHlZptRFtcdoPqEjq1mfRrUbZXBvw3
UF5OaJ2gR9gOqGOD7jlN8fcGO0JmXBtsYU/CW2joLzFudUkoZHolbk5ANOjKi6luV6Ut3DyJry26
4I5Z+oKGRd2M1wb69l5pvSJRt4QnoLTEFtRTB7fVqkyN2wxtkYXyMEOiKyFmSfr6YtAGr5KhxOKL
JQHn2smNQ6yT4kDvrW0EdcCMo8h8rAYF5l7szrrqJxD2Gn1coWAh0boIXq1ROydiEByq0+IptXdt
m2xNYLVyVBBo5hDiQZ0bOTRokT7pxmm8tP6C2Cfj23XIKs0w2wwRdUJa+0OmE3KFNdzQr/Qm19xa
IexAhqnjJDu9BpJKtkjO1gaJmDphOkTyqSJTZbXcNqq0zg36TDYzQHEXEZo1x2/pjETevq+dHixw
Ay3UOCyMybHPVkkQrsZMXaXD9DDV8q2eMhXk0UnkHnQqib1F6U9V8U37/Ncp618fl6Mnt0VgboEP
S3xtPq+iHyXhtcXV10+k8unqYEPs4KqpDgL6X58OUpggMCA+9uXL4rQ6IJD09IO8E157Oq/ydXj9
3Wp4pHn+86zYwzAVAAjCqOTXI+rhWEhxy2pok3Jc2/maLRgq961aqBeOEewGnsqphIhjA79IiGlA
bTBDUXLbSbostN4b2mHbhDYahUuQJ64TTE9VSMpFlHzzKjrClvzxUZd1E+EMsh7MbL9+VFsSWdB2
rFeGG93o78Uh8rhxEfO44GO9wDXX2m0O+f+b7eln1/3jYRfdxocVq+zFZE2Cw9YjclDCFOpB87JU
/+49+NkG4ONxjq7EPNiZkCPuL/UyuqHAvYPH7wHFHra1b+wx8GXn4tZsPck3vjv0Z28CFUURoTYK
UJHjbzZSTadrMkjHIEgHFwiyuRdr1i9zVeyk0iWf7N4eVvGpje3Ft8OTbmPtvr7zPzt5NDuyDvJK
Jkd00ZR8+JIHqrZ6GkTCNKrAfc0n0dOdqK+EDCWIMdDXR1su2fFL6OPRlsfww9Eax67QFnO+s1yt
JIoLCUJr1lRrxV59faQjbcYfN62uKABSAXmhQTo6scxQ9S7OrJiv1nnJHQ9RQbiKN/WD/gDf+k52
7c6VfljfXNHP7tmPRz06QaC4NL0h3/lhQRZNuVOCeyqRr0/tCJz856mRVk5kpgKg9HjpEAPKBZLX
Yr/x1b3q6V7r8Vaw77Akgpbx4lvJ43x9NKAX5hpL6CqHU/CM5vg2+G5Pt5zP8QWFEmGY3EB0So9d
JNheJ6KITd5N+/Y8vgoMd9jF+/hsvtQaN38NTvLr9rvl6LNblmIB8QbUFTAVR8+rlNItQIgc+8ZF
+jRfJ7sKXmZ1bViudTu9qKUbbROX6eHauvn6i//04rJWYzq1iOX7Sbv7cPeSaZwDledkqWrP4ina
MnSi4vkO3PXZ+QH0JjYAZZHFivvrQ+KkTkfLlPd9ZLxglSyaxq2o0UGH1uN3AcKfXb8FScX3SBVN
SsCvx5IUPZ3lZW+RlpE7mGDUkUR//a0ddRn+uF0NBiMgknWKtuMlhpJwtNAVxn7P4sb8e4XzU3bp
7U5og938Kt8qbnZBAPomPDRPeeUCsUhfkkvzm5f8Z4utSROfb5T1AFnCr+eKSZK4V5UljsAKVL6R
nzO667vSnZiRTDZtjYmiL/nmpvm0zMJeZf1knPMtH33FQR6FPZ4gCqqqcoOSGQ+0eqc/gda7yivV
xV3kldHeMqeTYER7VH4HDFx29sfP6McPcPQenRbJaZtlCZz0sy4gYN2ixipywP8Mpqd3vTD/L6sC
z6Wy9GcUQz6GlQ5CqmppyhN/9FLw5m6zgyty4nhd40bn6rpYnk3/67vssxv54yGXn394NtMKg8+E
I8G3I5UQB5TN4+rrI2ifvbzIFpERcizczWNBi8Ky02mE/fpGAGo8rR5zeyHfgV/EiiyVhI9wO5t6
tdUUEHUN1vqk5D570qt8N6vtRhlfMbWsojZeORVct2WIdd/Am5GnYjckkdvXHaIzZnCD2Dq5hslq
UfCozq7oXzJtwd1Wd91S0UB2mWztu9fKN+enHNXnVW6ZTW0Wia/gwggVhjZm5BV64FoLWr1XXCl6
XijrTXqb0TDugysrMU4iMmTmtljX0ttcEL6AXS2u78H9ufUcuDHVS0v+OQjYGq+h3KnfrC6fvufh
c2NdZ35HlXP0eEEe64ssZ5fY+fPa3lCvb6E9u91q8ptzOuBe4X23dz9i7fyxon085tEThb8J1Npy
zHqVPwkf3+KK2u+5uI7WsI5iN911d5rXXQEFCV0QIF/fiJ/e6h/O+Oj911RyZ0gwLH1yK11Zi11R
3359hE93/B9P8KhZMBSyPfYah0D+SbCSS4ybp+/yzfK9FnfzqmNTAY0t2nx9XO2zFtHH4x4t0YMs
lBlPP0/xWbApB1+h5Ag8zYUdCFjGTS+Z962s/exp5zRoVngR3PKaP9cFYzmxSfb9dtpG3zwYnxaH
Hz7VcePKwSyjKKQKsuEILsWp4ia+5A2eddmeGh4V8retss+u8PLqX3ZW9CSPG0Rh1klk57HRSMOL
mKjUb6Mpf+oXjt8JFnwv8MHy0kc/3mMktaU2dGH8OrxM1cqN0scmtb1Yf0Gsvapmk/jSYlOO5B4G
61lcCMdX+nClgm6KJtvXTeIiyFWwowU19B3i49Pb7+OnO1rMe1xtYyRsdtHW4IZK7AkCymNSqQoC
SXUqQfiIO4a8rlMyo0DZE4+IoZGpFv2MeCVyCbv+zuf96TUxGCBQqS3kx+XW/fCCaWZjmkPiwth0
88yfdgdyb4wTsgbPtC1rt3EFcGsDiDR357No3147O5xq4Pfc4Jv3EGkCn7zQLQvbub6EdcvHO4ou
D5ASWk7sIzNOSHWprXNZPIICTerRVcxXsBBuacN1jUw/lB/T6MIqbD/vnppuvOpS5yalmgwIDdXS
iWW8ctWqXqXkhcyCHUqf+wmI0qqnqohnP3HMnRzCzZd5dTESMsPwroUWVkV3lvw6QGoIR83tx2Wl
a/Q1fj22dgMU0JDgyZdpnk8w4a4GcVmWFwBZ13J/p6MOHLvI60n5VtC+mpVyncBH00gNNTLSZ2wi
0pE1ikh4OnirwEkgft3SoH2MinRTqBVg/KtKhmhPyN5QaH7Zy88j92YyRqfDwL4ySHMPVQu0vMIX
qbkDzezzDzC7l56skWWZR742SD4RE67dvIZCp/h94U3tqv2prV7LDEJnFO54LRhT8vIahtzNLOO6
GO8k9IMqyWoj8sNyMTsB8zHU5AydhRuC2w6oLfXOx7Ya5JKroYuzaI0144nZjmifxzP4oa5NdqvY
5zFb3egWH7anWd1hLGtPNYONLNfXKZxQkplpeOY3cYDuMQ19lEerwNBQESq+3oSuLIe0Lad9Fva+
gcU6o6U7jvouZWDAlHZVK4/YKom8RVRWq6t67tzWxNyWp67WSzsMUHjIYG3G9mJnYtonb4bssZER
VDTGXpMxTErc1tZzgaS/YWTqtNl+qmBsdaanpCa+SdkVFGHWc4QQ0Fy816Q+9lKwJ/3Bz7LbYsmO
10MvyesVYdOuEPdSlYGqNtwMtIuVwHjQ8pPEEACfuSOSZF1E1G+B4Emq3In+y3yvjBV+M8VDRuPq
CDDTrmZ5yq96MBdhIq0H5ZACr0vNB/K5nU5/0yDbkkk36CqoALgU2a3UO240V24l3UUaLsWn1GJ6
OUxerqZrvFHEECQXNBNWw6C48SBWTp3whqsRNN5kdOIytlytDCWHSWzSjP4Y3S8Xp8ST0Qg+99gg
x+5WdoIuUqL6dMDWgjlXC78QAXGSHaCiH5HofQZQXiFHnmQHPthlfxwea+hiEpw49GVeO5LAlbfe
ODKg0DYVJDMbYFQwkvrF09DSh7acdyJOuzi9VtiF2WGH8FfxNe01lKdV2pymqVgJulYNNq9ePwzA
1FMwrAk2jTqTvM6afYVNnj2TNJIr/XM0qNdpbF6EivWucZfgdt13yOoK+4mv0mxtJFhXXbJQpUI3
gzYaidesj6lfhgvJkO85zo0IBVHK/YvMJR6icJMNZF3O83Pep2+VVvo4TVkm+pXZT/eKZK5I8/3R
kJ9htNrl3KX70dQ8Q5tvBxvDQRC+B1N4o1b6PSKny15jViElRB8/2nADJlqexHq7Talum0assAyx
CTfnN7u1XX1A2VlL+yRP/Rx5qN3QMexH1GrWKfHUHrhoVhjlSSq7s86O4QVovW8K7nPMWcxrDk2L
PQITqJnm61FWTvOqXBdYW0SUelFjXinzzFqU2mhhSJdUWxetlidJTuhqDJhcB9GclRZrnUzPYpJa
d0oMFAsEJ9j1YSAawRxyIMFF9TaVyQMGJez+tdgK/KM66TJdRzvVTE6MIX9s0/KGcQJPaoDfuIMZ
O3eFm6eL52y6ZRXweSOdZMMzKnu3tkk6CYEkkHRNAY+ny5PGi14aCaO3bwxgryF43MoUJDpZRDfO
tPuIZMb+XzWsCVHpaUXj1SSgTyCjR126GCfsFbLjdkq5Qbvga3SeFcQSiwG0ypDoN4RC0lcKrBYg
gg5fnLhiKYQDeKMhkFbxX/dKT1P7ouwQN5nSU6aLkyToHwJH8kzc0kPZkqcX3BehuZatzFORuMV4
MFSASW6Vxl6YjHihgP4V8rVO3HiZhm5sPY61DbZz2JFDBLGEzg8zmY55nqOhrwNTm888yMo6FoYv
j9plRvwWOj7X1nTaU9m2W1IHwZpMbjToLXXNuG8V6L3tQ8Njn4bO2mjaLQ/CHnKNK6YCSREVpXHR
DVCTKtsLjPe8aF4zR1xYkwNXTjJhGt07LcIYec8h1pOh+FZxJWcQDdunNgFiRy6mgVVy0rddeqfZ
z5ysa7SY8VE1W/FDl//I0MIH1VMUlbvSeFCgKhlNswthJxu8LjpwICpNPqWOXQMQb99WsCageA4O
9B4ULVzaOL9rVOGaA/FtXFGbNqstnZY61j8lXRlYX/vhTVJK4gEo4jSUYyYEkoRcg2A6s/iyldhm
NpS6soVMSsNnFmduQWbUaMyu7VgeTq6GDVmWKLytMLf1PEx9d9pGKAT1ZF0Z3wx+Pm2d/MxhMAj2
YTRzVOn00hw7WS/FvrTFbLZCWuq1azYcbLphcX7XtVjq27/siZmDI25dAmx19dcdnm3UojZHjmZd
iFNtm294OHfjLqOo+LrM+bSgIPMO7QJdaEv7aeT8sJdEKKhbfc8izFuQuO4VnXe8KG5xortM965K
n9Qn4/Xrg37WVbSJp3MsciNkIOa/np3jCIXEbs5O10tCiWEykzHajG9F+yxi5ZupwmfTLYRYMiZm
2yan5BgjXJOeMeX6zzMEL2L54YXmAutbDTeAgUGYb5fZmravXPl0PlO303PmSeuvT3gp/I8u58eP
oB21M/DAN2U4065JjNdCJOwl3qLh8utjfNZ9+OUgR1VBOlIm58PSE7qW35few3wyjl50r7s4Doh7
9uz7+P9SHv5y0KMbdVTruEZVT/tBqsioP0mK9Luuyic9w18OcXS3dInFridbzqsyXFL+3EUxEASj
29gLm/20TYmeClEh4s+OuJ1mt63v6Lp6enFlWNImZNCuTO03j+h3n+qoLky6PhkQw9BXbBQAkzdh
LjzTydzUVFDtXCVh/M0BP2kZ68hgl8nYT53e0QJUOGOVCpnKv+/huvKGljvhKYAeDMQLcOcheVqk
TP5Jcftfycz+Zxqyi+qtuO6at7fu7Kn6fyAkU2Qewy+UZH1c/Me/v31Ukv38F39KyazfmZNCtrNJ
EzHZ7Gk8839KyRTjd4J6+AGTIcdcJqofpWQmIxuatrrMhAM5/39JyazfFeRPML002G3oOLX/jZIM
0dSvTQL0aOai5zHo3CBoQ7529Nj07E1UxL4rZPIEnanOC+WX7moUxRSwmYa8YjZ8s7FLN5UO5ZRW
26Egj5w0ZtnF7niJeMYruiQ9nVPUnmOgXoW5HcC8rJ8c00CrUneRr5S2Z2fvITAWtxLqtRKVD+Uw
UWaU+ZWVa7xEIKPVWuPbIr2VnObWlqSbcniqbG3wx7ql9TyjG2504UlkNmtmsweFEZ1SVsV9+T6o
4VVoy6dKpp8oU8/6UoPNngISDns7peCLEjxLsLI2jOdPSGVqPTUO/GCqCAqEj9UtxKKRVoJiNpvW
BN9g5/0I3o99dpeE12jALpj5SsCFu7ssaS61TNIOUxeDlo3xqE1wjebwmqDdi7lJJ18ih5Y6/RDV
N5JRviNL3texEm7yVGv9bI4yN9LU64zCTQtjfDTjswkeB92NyM8ic/bbKkYoNLSPeqM8Gt1eDznp
OYxsH3Ihp6yRPYsHOlQYHfZBsIZZRayhg7QoS7qTMFfvJsgXbpIE2UEZy32oO+k2kE1fJ751rwod
EBeZFFXpw7a5zVuA3Y3xKiIfibi5a5QAAnwkHTDgh1renDWaIEcgvZDMEF1hTXuzT+y90YGXcGtw
UvtJo5Kx6WbUYfaaTeznixzNEqitYZtLOhHzKforQ15FkaHBbqAMqNLwRlGj11AnLRbCWPWgDKh/
7IQsCGRMY5ZpVPo9MmZ7pMWR5OHGFhmedisC1CPZj7Ns6ucVTir8KwDUuyQiiyPNWFU3AeGhvsjK
O4IAHnXLNACAmm4hLzgX2QL2adEANZTAlaiXxrjd1Yh3r6VY09w268SmktONIkooq4Xy4MQxG/ko
w0hf0lcOwjFyRSh3hxLccxqZOjiqCrGZ3r9rTpK5QdvjoBckRoU3DZtyL5GJj5LAfMetvRfqiDtd
QAUvSlvedBTQKeqsUJnknUGjatOmwFyYCEU3XWrctcm8QnR9Lo/KAAHNphJy5OzU7qKNaivFDl1i
5iuVQ58xEijiIwheVUXt3Fp4MXVRA/VMxWstdzzhh5AMpbUpqnmrErzqcXPAtaIfnVYOfZ3xgIM0
UEz1pW7Hkhyol3jMc/4+Gi4J46DUBtE+CICAd+TAECq2FYmSYsePiEINefYbWd2RQdNDkqW6G+US
U4DFftwwG+j5ynhAO+t31KM7YfIRlT49kWfNwPCopq6waF/BA/L0bmGl92i6h/Dc0EmMZT9dQqED
L5Qa5BZUgeeo9XVEkigNGuyFPBb4ge6imdjD1Ar8uGAKxKMGfbsiGa/twc1KkGfUG9WpFr92AxqP
+sGprgfAHXx1oeQl8OItLIpzZiDKTqDVa0G3UzCR9nKe+6E+Rugd69qVMzpIKg222MpfKsmE8jgo
BvPQFBFfSffUpttCdzF7MEsxuFz0H51KgJkZMX5IQvmH1U4R95kc7+KItI4Jp//y9AAFc1XTuh4r
5cTqz6sKhZKcXDXZPkDyjZ/L4Iu1kMNVzqkFj9HvHI0lTB5vLUk9k+kMRjPZ644ciN04g8lNBH5V
q3lpOyw3GTanvUSIB6inFAal6TlWApAnnBs6RdWrGY6HvHKkXdg8porYVnpVQ4TLyxX1PzqUJQtd
ytty3VtwyrXWeoMhmhKbKklQk2h1p+pTbOehr/Bm8FinDwxwx6XoIhMpBqVYaAKhn4FfiALYaLj+
hTkbEItAd47iR1D29PKL4X3qBdkZuWCLdIIpBRxjpdx0Q/umduUdCw7jFEcKLysqOYk4Kt+pxetk
g/LOMOs8k3xOlJrGh02JoFEkwhvoDIgRtVlYtjtTxB40F0/03K9AzNza1G/QLmDL7xjB4g1slWBN
+huEJzhjcnLG2OCc9vxuJiCpYBK/Ijmi0ctgL086N+3g0KRm2NTzXfZjfF4b4WNj8ooR2WZkqI9A
wVG9QJ4upKza47ki96k+kFV0K8swILFg93J8kdiQylLVOUAs62ikqRcSuIA4Z42TDpEWN64cXNZY
O7k7C9ze9G6MqMrWcn2YpvxCS4LHTuHtu/yPpAt+OLWVk6VxR4AedDcGH21Y34ZdjpC4vZXGHiwl
9OVGTS4rUx1dQ5dkVwlBNbQNjN+knFkr50NFn1MIjz9e8Ue9iSpi84jbJI5mYnDMdKtjunBxpL7N
DViPrjobiy5c9Xp76NVRok3v3KdlqG1aGZmNVW3GZd+bqZMbymlNmV51GzvtrgXPehcDlCtk+Ofl
kyBqXBu4eokM20iZ76o2Ur0FsxoPByUqCo/MRQ8SdrIVqnyja+YpmMy1NVjRikieS9sqMB/nGVF2
6Yw5e7SeYlm91bVqIknAOMiz7fZsS0gLVUoWM5aRuj4k8sxNpJeMGHTheE6w7TTmxx3xd/p0ocx9
7sKSTFw1JREYX9tKCniMyzjACRwPcHCndo8J7CGxh/VcV+ptqRWPY0lvXrWHXdDkxbpVQfOFQCO9
GHcPa798VSlpuM4rfVnIvbQISIp8kmbjvZyL3sVKMQGGzR7krOQLsLJn5skv2dTTIeyst9ZuX0gs
3xZQFxlKgIkeHAW1M2jnUl1PGWkao25fiEmZcDgHTA0UBYWcj1wjXZWK2ZHqkt/FTYcjl582RnGf
sBn1G3Lna1mw4bDUi1gUsj+35XUgTdrW0uy7VId7kWa4MRVCQ5V0Se+oml0JtshLuvqyM7NbkvkA
9Mj2bTs7T1YYQ2ogvXE2xupScTCoSyLxCqxdWPMJZ5iIrA2550TcrmclDSDidxl+xqVfU09uX3qt
gKRYRadGMdx1xauNiZPgbsrXlLCNVLCkDiBF+/CqHWWe6eKcN6yfthldUtt8qYPHjHfIap7JBLR1
qKLW2LNcworrnqEqep1an6oWSUCBCDd6YhHMXDwERgGSWrLpdFg5Gxuo8Pacg3GaFW8s4k1RW5Yr
6c5BJ7HUg9kIvLydZD+d9WWol69a0cVby94ncaZ4dY3yObPD/iyd9HrdFfImQo/RRXZyKCxY5l0S
c6kmHsK4f9QVRDUVgROhDsxILU7C2fBihp8bS5J6uM1oFdJQsHTT/N8qNkR3U/D/a3Jw1dMedRJl
gDus0Xqnl72Z2vKHVpud34awFlMjL/ywlJhOxBK5XIar6817ZTpvzpTz+buDbSDdEI1EzplQfAZ3
UB2x52HG3Y4TuQ4APzGQRMmqU8ORy4rQ027fJMj3njpcDk3awKYLnb3uhOdNTBytHnMjW/BChcKV
ywUp028pr95VbjYpDWmHzBjWRwIMFR/B++Q62vjWp5ADbZ24a72R6fDN427OxscIyqPXMYLxIDc6
dIIXRRQYblrE7IvYtPV6eiWjptfjZC/n47SOlOxtSKcFq5+dFxb0j8aiAVmoVrOJg3StQ/uD9gKB
0jQ6G6td/Z6myauaW4B2tWJVJMaZMccT7XTFcU3D3gcduU46qSlCCk+n7G6gNZ1E9qaFe+c6ddd4
CnD1oQwH2rEyr4Kx499Vb2nTEvfT6hlXqGTsSsshNbpbsk9PZ2d8Fop5abXSdZi74/hCGOZFr/+o
xLwDbAwQb6ZCs2u+MDl4y424dYsGFjG87Gte9+/0B/2GNBQtQNDfq+06A3276UX6aKcG3UELDnJR
Rg9G2TCdaBaIvdSyPzE4GvEYr2lOONFUwnTNcc7NIX3ZusyDfaeMl5PU8zUM+mkmGBPZgbEvpZ5N
ugVvxbAvkrw/MJqcL9hruY7J/IqOXuL2oXRrtMSG1ClrrflalyQYLa9igNHhipL4SXcaNkjtS+PQ
Y6tJBo47wi1Q33k81COYHFjP/XM65Noq57Zyoyg57+NtVVD31WMSbszSE7onE6dQSylnLL/0kXU6
Z9MpMRQPJR50TtXZqi23UjXwa5vpYuyamVdDmLlTBw6Wd+666qSaCKFzMTywCYd5x6MuLeRi201w
tvjZqDm4ln/EM3NzzOZXjVKcd1YFV94DQ6uhM8IZEpyX6ngI2ExWxrvK9KFO5sqTs/CJCu+JJFDF
gQDUzRHpB/y9Qj3h9twrtbk3GpuMDdV87CBaitnovBpJoGcExc2oJ/e9VjIEtw5ONUJwlutd6TR8
Tw3xNvFgeHlAJJIg82q05AuhZjbYe3LC8iFijorjsJwxs/Tzu1I6owtMiw2PCjczuJkDySXN/U4U
HZ7msHRrY1rr2cgMaXgTxt1UPouJBzYV5rkC88yI5tspke9GXdWYHrHnchsTSf2UPoi8RyA5hBdK
q9UMW+stDUwY+BAPLLaYBK56dl49U/KS9QXMtAyYgTEoZlxN+34i00p761L9bIRSwbSXkZOJR5Kb
YxuaL1aY78ADu3Uk3TWDFm3Hsn8NlBthUI+GSXWrprbvREQqFOSjVAbltNyR3ASRweiieO1omKMs
zUUMAFpCKndYVLjQ2exbZLW6TnoTF+q9hBas7QmlkpE5FkP4BClKEGp12SjlddGNF+R534IMSVgw
8odel2fP0oc7eVBBFpOM4gw/5CjPXtjqPNUkb82s+37JLb4uZp1yBiA7X0x3J6mJeS6s8HosmElG
Ik/cVh9mNxDWuzpqw0pNd8GMpcsMphI4YYmpx8ic3RQFL1o9YOvRWHkUFXC7UH3HYfIFIJynRj0H
nAnOsHWo6QQWAIvJeShGnSET74oYB3+lY8S2ZPwbRWXRUJ8UXlFJvabBUXnUpgzkwoy/Qc27Cia5
QtiXbeyqEad2wKAuGFFEZipZ7cQYnDR8gUZGZLDZ8N7oE6g65NkuydMd/uhq0PYS6MUVEgCXiGeY
S4UrVxGAm5S3tZDEY2xVW9MCKCw7YqVaZeUPbKL9gQqiiLvLUJanE8XoOk9DcJtVBLNVIxICaX4f
izrYFTqObM1qHbfmhu6NgQo25sYBY4M9Od7pWQzWuHhEfAj7Mi24QSOe7f7SLrqrWm4g3QIzqwLt
VnYURm9ZkHuq7JwNdf0C1GFmddGQSxtQmM2JV5BkdOXKSIb7Ajiyo1dnzQAGwgKSEi14HMdET6mM
5A60ipfVtUGZygMGaLrYmrF1Fed5Ro8LM5ouV9Qg1U5LeWkHYMBCqdj25B5fZpDiXcdIX9Mm5+3O
DBYbd8WmerAvQxhPbatc4IE6LWBJ8j5YmxHcKNDwzM7VoNylWrzVSIJlu8EmKY99UrWmlSn/cASV
pD2vmSwzNbaGybeYZ2Z5H5ziyzPhthBIEwKwUvV6cIcm/4HhnADC4hKPrAWCHrVDN6YB5VZ64Uzm
gKG6MWAt2avphx2W+MzUlW7yhu+r4NHS2aLKdlj7hbFYylQud6H0DykYfCqC6NyOXlQSI4FLIDKo
dzlvYI9e6Y3o0XuoPQR32wrwMPW8LGfSeBJy44Q+znQjhbUqaslYRYkue3NNQlSETrgs4qexicsH
Qci27OOGLw+5JVP9dw17I0ROzHEplutdn0cSpHsT20iyMJaCWFrX9ZgiAR0Z/gNMRiyzCtuZRL7g
vc8hoAmed0ir0lVdDAy+xcys9z85Oq/lxnEsDD8Rq5jDrZIVLFnO4YbVbrfBHECQIPH082luXLtb
s/bYIoFz/khZHXGF3OTZCraS01VzG7fFa7o0LznPzdo1OKHKwUYrgThEtRu6NHZR5f6l++NfPbac
ctU2zcp2TzbGuyPPw9Bdl7UxvQQXAx4tl1fTp7/9XPhbNWVvzcYTCJ4q4Nk7wzZVZZD0Eb/vmt3h
vvQ8QtatYtf6/mM0eR81q4+1TPGqS6OPiGpAM1Xjyo/FvHEkf/5evU4hVbxJS31cjw/RtR6UnMpd
wyCB+5CMVYIgnmUJTuqMDmH3hYQ/sE+21P0q6AnjihNrpW/R4o5qX5ZhTCiRIOk6iYJpoyLnOe8J
IGiW5l/qqu9B5vlaYoZj41njdl0Py5Btm7DgREG944Izov9gVZspqMd/tJk7T61anfk7v9YXn17N
OJjSNYoXopwX3teICBGqrQibitT8kjntbz2hwCqXgniF4t8tVQLFTEPdEIlkN5bZ6tCLkQNTFf4D
AbjeQzqWq6bxz1DWEIzOzfsvEupazMRlP9l3Xm0IG52+BzNcC+QVLcqsmsTnzH+LljRbZ/46iAho
q8LxGJZ+QKl9cEu3ycdN1M/RbiSJq5tg7I1/BZDuVr4L12SPh7IemlXhpe5qBnMcfYGDgCunpGet
0Jc5sPUqdZ8zK9/7y2SfKkk8rKsYCAbf3vmNePSDZ6zW8b60Vb+1avRrPNDErK/NOH/E1fikC58+
HJuzOcv/Gp+g2gkZvYXXBvM0YcfrIa0/p6Wtd3VD20egTn2ieNF9oGDToCpRxHOW8selpHwKFOtG
Ae9bV/S75cz6UhbkWpXdqS7pWOYd2iRTu+wKZzCbvLwKmwLD0MM1MA0AWoTDFWmWbqQ7bfooXvse
FY1pLqrt3LX6ZBTnZTv4gMZ0QC8Vc4Px+xkkdTgmbozuglwtilVt0ijD4qdUP14Ov18UCcq4YUpX
an4qUpXdGw/ZejgBt4ZNssl09FuJob/q2OJtB3igArtBkCEjUnmD8iQU5W8jJkAnDT5C2Tj8GXW/
djprNw4akc3E6U3nL39DER29upwOMYVB8YbV55Y+RKdGXOj4wsG07NCMI90qB59lli9eECnUzoQ4
urTskBnYGXenkGHfYNKrqhNas+dkNZWV3AjhylVhWaAjqeeuNbOdCNErgv6QczFZB1eqiL82t7ZX
kMqLMWI9jnl63xdAFEZdEQHs+rxjW6rLc1qOLXvhNViSaxK+BDpat37IDxCsj9Ko12rKz2J0jkt5
672bU/uOfoA7ZRGa7ZSkgG6zxPu0YstsaSHC7FF5ZyJjnvB/x3ezEAWpJ9QbOsupbcA3E59ZbaRl
XVuVRSr3d+MbMvIjEG7bjR8t88OdeFws5DJz0BzlTQGXgeKsrfwBKWa+8xJRrlRDpVPcP7leSWkV
PgVeFrCwB91jMoSzv6XYNu+tePU164r0l5Nh9ZGNt7PDDkkgb3bSIt5yZkXnEhpJCx0pY9E2cION
pd2DmLvfwUoRlES40HzOojYRVIy7Xg7hExEyPmmGPXdc7gu0Ux1hTnqW66kcScFVy2eaPgduiiip
naBWU/u3TNo/SQNW3XvWssbEnYxF9C6ZksdcvfeCHs5Zi7sgJ8cacJGSKo41lVBnzUUyk3DbV1jT
HYcq8zJphl25oIQNnd5/iB02cs61tUdy+EaHzVmZQqzR3XAk98JfhdWTb8vHMH+rDC2R06isXaW5
loQSnBG9gY8iitrp0ocst+6TgPoQtyNR2V5L4HFv6mjcyEPKGts/kde/pKMrj7EkQ7Ogk7Gjf5NY
KReWg8lsmg2BB//oT0Bsbe77qUGpR1SjE5fvqbtcHKctaf3ZlHYevVKXzUx00zkhhmwHXCNl2Zy9
Sl2TaOEUjd69gdP+yVDPuQnd5nGebDA0ETXbUURrZRxuyzGD42AVs8r3uidKMeUW90qCWdweO2tt
7NUYOhfj3I2k0Llz9Zx4IB6L798Nnbp4ef6/gJHk7uEJAXwJAqv+1VEHddYh5xtqQ1o8c/UYvYB4
3UVKPThxu/VKBasEMihoqMRqjow8CtSfToX7apspDPvB2CKu8ky1XoboMAqAsmmE/+uY83y5V7nu
9mpMPtDHn/2luPSwes7i4YY55j6dgzmX19zxKghIoqpVj1bDqFVI84ZWmGP3ISbny/L0L85lUk+8
/Kyc4KvtWfvmYNn7KKhXrUWk1WBvrclFzGvJGzFVXhSM7K7387fQeWuU+psXvTnEdvg5k8e/Glg+
EDNX+5RDYGAj3gpDj0HlWWsvqNdtHIpjXcb/7MGn6TdU/KZifCC9/imping9JPLJ9t8aU3AM+eaA
/wtUhEQBPqW8PgGJDTQLVS8yas8znWEwpHAdc/YsQiqBE90767ngGcrS+7Sn7g8eh9WyIiENfqpJ
LrbCzyXA+JJZPcUZefl0nSCijpae1xSIdUwMXcINFEhHZ+cRdTmWpa7kKcGmTJ2MzNcUsKFsz2++
kojPJWgKwpHjfGUNhExzO7Urf+X3+sdEepsQV7YqHP70LqImgoPaN4/XfjP1JAF4imIqNJBOXabn
Kqa7eJEkP+cUCGQmrO+C7DPtLG8bp5l9V/jlv8ADp51iuitivRwm2VBgOhTbeexvnafWc9vNu/5W
EKQ9tC+oSxqrZlJtpnMTnd1u+c5rIILQrYgbHlzel9n7QpzzYpX5uEdlzKjy3HRZvudSCldjlvy0
QXp08vCv6YDeoDFi5g1vO0/uV2MVA+Hk4uoAJWf1uMqazLuDgdk6vTnNXgiYMaHepp/rkkvKXlSO
iPLSNMVp6pDmO/AOgxqulQ2DBq5q38IcwWSUQu7NEaZyCHJR5JywTUiV6lYF85uMAJm0rDa6pnoz
LPUBOya2vY0vqXxw8vYiK/u7020EViFelNXwIQVEogn17r5YHnkRKcrbheC0ICBpK6Qn827iUTdl
dA7C/mno2lddw7sFrj5GBT0ifkjvW18SouVrSZCs982x3uv5XzWO35Xtctefpt58RxSCFg6K2ZJS
bcv2xbFrPkSK2Wkg4jRO9VMF+Uz72sIZmq3dOiDaWU53sxx/cEudadlZ0S81YnST/ItR3zxBXals
YpmkLCESqDL9NLxS+lNsgyB4gLFnqAOSiojvyK6zFbowbRPIUzl9h5zjxQjeFWhm0S65CDtwQYjo
W3G0+DKhfL6h8Err7tJPxaWZ45OV0i4aFfNtqO+AQimDapkZw4rLQaXc/7K7BZG4LLa/uXb5wQ4f
TDCDL4bJQWYyWrEvYVcPIcRSRLeV1T0VQ4YfJLOeZVihTY6gs8cMFigMaVmqCXa32wmNObUvKbfX
AAuve/I/85m4kCWg6hvZbJIIps02g6ilf2fie9V0XJZxci0Lv19pyjNV/zP203oogxdM7VeGHXuN
reHLCWdKEKU8pn6cbhcCisZJfJJXeLTb9n0ri4oVi+y4LnDKnZWWrx4hjTsqstBPw3WH8fRm8BcS
T/1rN8JeN3H35CRqVzkBWv0x+WYh2Ee6+KyTkB4cmx0jarBYY/nx5zZZMaX8tYup38ueahGEKW/Y
1VksXfunienNhWk/QrldTMPAao8WJq1GkLQU5yzSjG+LDF1a5JrPsG9PavRnzlQ7vStu60NB7sRq
tvNLFwbfsvJK0IlbMe7e5jPhPbVuCncPjwNxo9EyrLqQam277aujoTGQdUdMzrEPPWtVd4YaD27u
ZWmpWRiK10lnbG6q/OkMOdppJeUpiqs/AOEIAIA7/dgAmakny7L/poV/CwXmucgzxDwT0dqp1SAH
b//1qfU8VyHpKkSvzh0LUOVOhwU+JuCPtomc7JFXvNnkNLKrgtcwHOWGrkAWdTKsSZBsV+6wrAMC
EOggSXcz80Vm/SOYz93mzWfbQO+FFtOHZainmtqceYKuPZGM67BvNmHP7F0mMyiqvc5KYJPJHt99
su4DXZ0hkL/LcGb9TpzN1HH8ZqnqN3YUXIYpJ9cNWcfgspn3y85yfXx1vrkgTTpxdPFtXfkNdH1T
sNevoS1/Up8mqpubpAhd+niD5bfDfjhl3lnNgk3d/NoDCmzTdse8t871HL739gR13Ma0FOh2K+1z
bAK5dXNXc4wLXLB2Qahte9+8OUVdI+3wuGDcFIUzBsSdoZxpxU8c9skcrQe3Ddbz4BCTzJmTumSG
zy0LThTq4S1XA1x7WH5ZxfwhfMv8DcJjoWmfiEaynDOZHSDRSeKfnV0U8ZRpZ86Ofl4zG47cJ3Vx
0oM8qcArN0uhkGA4VFMl5WD2NcQiaY0yWCsBFC86RxBozlIfUO7Y5gNt7l1HeLjLry7UcCgEAR6i
+k4KCdHPQo4gAIJZ9mrnuWMO68qdQciVPdKRMPcuYchRuTJ1/U8xSK0mr3bW8Djeqmx8kN6oeAE+
zrCna3KS2zc/YGRjWv5pSv0a90A+MmT/5K6LosvgYhUpW8arhc5H+FefTuZBbYnGI/JavZbNjekg
MzFhq+9bgguma6LhYrs8eKWE80+b35Rp4aojKREWanp2gmwLyUzvY7LSfpquiEb8mW1xdlpFaBQn
WKaSewyzt18Ia4zksC7CGHekX5xEU2/jHAF7LvJ62y75vgnE1m/yal3FFoB3FBy5hD9UmkQXioyR
8ZukoxeEyGkrAY7JDAlPgz0f//+S65LczGB6MF1Y7FBP2BCKqseaRflVkgFsARCeyvQrKH+bZQhP
pedK0GUGxJFlbbIXcZfG4+Oi2y9doStLqeDcBCOqfozj5yVK+GSoi17GW3RHB3zXta26l1r9AI02
hD00j3VsHjPUohvEGXA4NFavnEW5SEi6nxE0cFtmI4Huws8Ptgay0p5+as+BjVsDppI1dyg+EE4d
fDmiLDNXEYTPkSLIpx4RHFHqhFaaLLJjk3Lfp0FxIpeG40EMdy4ISMfBtuoGkPnIlQ/pRBpE+2pV
hdnNY+Zv6Ulz1iZ1ToVPFeEswDJ5sFvTak6u2tm6Itv7bv9JqIZ8aUhvdIbsoy0owugyJEaR8oLb
uXT1+vhXGqZVOO/ayvMVRHSxmnT5usTmtStssXPc/Geei3BfB/ZLhvhrm1o1CZKFPT13i99x2kXx
amaZ7QS8U+2J7ylorbMdic+5i3n/vf6qvORcIWxaL64G7BbFZWCP6tHXxKWBPpTh/QzOto8ApdGQ
9BiR4/QA2vgoiQxeA+tIVwYPS4q1fsQrEaXqPpiQzovcSvZaeD+mmri2FoTK/pC8WUNxjLiUWcEq
sS+NGl45UvcVF12MbbTkn7UI2x6EOAqqZO9cxwI1tYd7OZHBOs33IhycAxbYetsQiNZ1raAMEwwJ
cFp2ldoqEgg5bAQeBVe8+MJHIOTY7daR1YvLp64Tk+2GIaFIr3bY0iKAzSDrV64cZhg7xh6goaFt
flJgpi7uXtnsSEC2ijeNJg2FVo4Ap+eeHSmONvGm1LONn5LUfeJkeSOmj6bgDKn1hMGRStd1VVM+
v6TNHTWUr3ZlX+eI/vYhkuFG9d2ftvY/wgoIeG4fK8emc5uubSQhzZYdGrHquLzl4Yz2YEr1rhvU
PXGsKMFj+6P1RvOQmvCZyIxtP914BJ87NndS+xirFBPTcpkdC+cJa8+ms3gCiwykwPZCYlc/ZrTn
1Gq6L1R6neaJ2YD1h5Ge9jXjzBtOiE8dlC8U+PzNbPlq2S3/2yi3lZu/Lmjx7jD8M6y4gDSDRUh8
lZ+LBB/r0j+lWFqMpuql7zZVJ7ECk9u+SWSXbwPDdDbcOISMHmpqCQqI/7DjlU/49CgbrDYmr6FE
G+qVcsigaGVA7tCzcs3Y/nTslu5lDH4sOLH1pGjKIzCfvLrRrfnX8EMUd7QytQM/hHbvpPJ21gJG
L9LhaUGAtq6y/to00Yco5oc4KvimoihYCBi+syS9rxJA5szO7jq82bux4xRaCIsPmvkmI5op7g5e
x749hh273DTBleYYBWXazCBG8MdS2wI2Kt2Com7Cpb+4twsaEAoUIsvvvAIBntfNK7/r5ClG3bQm
ibpdK4fmuzx0yVsP5Yc/2P4qY3CBFldrGFZz+v9LM/gDoXNTRV3ntG77ejjOEWfW6v//+P8XGk/D
fU/t59kOH7yyLo6BY71ZhgoOW0AtRqXDMDvMPZWT8qyt6Ud6KaFEhkIIMmYPs9/9ZkronSvEJ7d9
vlryjpRNP/ubJNLfpkP/rWvHesrmQ6hCnzJ2TjbPCiOgTlFuC1/uAs2cWle1+6C5SLf14MYrm5J3
lUnwdmdmtXA+8hCvTWaylHKOeeOiSNxmZfmeIXCxcchsCjv9MPFzYcfLcUrFoynNFlsUER/TuKIx
9Scd+89xUSOszECBGRolxFvvczC+p4HWHHuYhl1Z/ZW2h60FYXYWL8WeZBji4pNlL5CEjWkBjCVR
STVogTYLkhoCfvJXqDayF/GPpSZBEZf5n2Kwf6cbJ2W5MUcNoqO6UBi+9BP6xQ9ymrfCV39STYW0
4n0AUS1X8Wibe8/Ax2s0E9pyMCYGVD2Ld2gvdm1tf0/4ZnMyhovI9dGEZz/8LReBdTX0lwOKsM7v
QUkHTMZKzm/TPD90BSrXG0cDRSL+6YH2DONMKNQW5LcwCyvu/GiTCQevaRvdKzrl2HbQ0hrd3jl1
BsEbtOT6o3xGsb6e+CuP8NzkMYqP0YAvVMV88hLIAz6IeKTGrogJPmysADwx4SbhB52yorxUHZXS
09AhaxDhStsFRKhr3/ONbc37VrQWyP/kqXujvOOMPYWWaocdMiawMvN+GyRJrhmea3kbo0cEjFFr
xC7zNULwytsMLe690bHW7TCRzRh8TVYwXdrpJ+/H+kJHUErlM3bSdkQ2gaFq1e88QtEvix1TYUgM
DNheu66oNz6FE3yZzT64hQ02W5MiaEnN8O7J2tyxdNBbILpdhdH8ICLyyNKRFhRvqoYVHwuyibB7
9hQz6exZ5bbCVe3FctyHU2RRDHHbd3HjFQN2vIVFTnZ+cqlgBunmjr9aya1XiT5H3dZ+kztzXAbz
7CPauflYAb8Wi/IYorqK8J5kzHdP198MHO+ka53TIEPrpcfDqMUFYoxKUA1mINFByiY4zlX86VrU
3KTRvSBbYmNF4wMn8j6T6YusW4L6CgTMrfnrUU/TIjtb9UP6tVTT1zCOx2EOtwYsAgeiWC9ZEiDP
GY++4hyWDi8LmMUDNPZP40XPov/pOdI2VBU1dP2Y4tU19TvRECjng+6plvLRyRmCM6t+IIc3haAf
f92AuolylA9kyf86rGfrkSkfwNx9kFHXHlLXoI5F3Ae/8oMevtx7S/PcSGsk5NLfwrbIJ2M3+6wy
cjvqbisX+xoU+X6BVQksOz2mOtoNIQXHdo7/pymH02yc5drPJz/JHyscyzt+Q3dTpuKfzOYvWtiD
rQ3FGcyU/HkNwKP26BBySaK6iUmOuGnp7k7Mk5HNco/XSOmIKUKSC1BhK0iaEbt95m/YW8UaxulO
JRCJJVuyliF1f84/q6ufEO/Vdz7JC3fEihMHn8XVzheoyjM8GFXaOx+SPjpqZTGkZt1bY7fZ2Qwx
ugTPRg5sQhvPK2gu72nxVFPLZQuyQKFBNCSNnV6rkP6QJt715uL2NEjYKtjbOqp3gxkp2R6cdqWm
fptbHCGeU1unyah9suQXFy3cnT3y5rjqDFUTHWv4I+ML+CPKUDfSxDQCsXukCiN5foMn55jy55LM
YFoF8T2jYjgGAP3fMYKcchqDz5u1b8ebHRyIN2jxSEWvnXUJk0y/QEC6j3U7bspIl9iIIRnnofWe
3KKVG8cpnN3//zUntW6prPsZnQllP5QK5G4+njLN01W0Ijj6/tBwP1bhPrcn/gYd6p5gNuPWVe58
p/M0eAPFytbo4FO6maJ7DxDEC8BiTcrH1je1g0IIyaYgmy/IxTmpSpRnE5dDsmwtg6ynKrrd5PK6
qaa7Yk1dDnZHgzoCcbDmjOrqJB8fWPjdbUTf9tYpUAiJoFGPEMDVto6t5nlpODm6pBfcSQV46+L9
6Thf0UH+NqUVXpUR17oJkDyyYD7ptTZVSiNhlzEHU7qQe7TgVpX7HOSEI4siCF5EShic7Zev0qvS
lxmkZUihbwQz2s7MSXEnbEzVlaeDRx0rdMeJepPGpy2pPXkTMbjRRAiwJDZBWKP9rxdL+4wCgrs8
BfBv26DcRO1wLdE5XnprXk9Zm71oh7IgygZuCvoWlaU9Up41olvoZoAY0i02kxfcNXU+vdLa5Eo7
of4mPddhNZ1Fo1pMTdgR7Hm62k3foOaefxwaR8jBRf46TW54gL0kaFkvqCgrxflmRTs5DVhCul5s
i0H/ZPC9J1HRTuWejamia6cpzgSEqzdgVJeId2A/zuSjDKNhrss9YiK6PNxb/H9gMwrC58cEzwIy
X//gkGB+sNXA4BOYncNCvq1NEpGRTOHKUr0mLbnHOg0hcpdAnIiE/mk6V+AV8P81QZ3euQb8q0fZ
szalOzxK9QEGFR6nsDkoMxQHHhF7Q/MB9GXEBEqOELL8HrVbRFADP3Bx9zItpnWm9HRqMTYhF1dq
h4kk2RRhRjZNf0xS2T6Dcka91zzYJCIcRg+OsG4FCRv6RvpkEZ1bjY2OqJoglXjYDkX+U8jmBZO4
LuGJi6x7zm88mU1WBKB4u/ImG+AEffKHGN0V/X4reiVu93BNmBisTXvuU7e6d4mLJoKGdB8ral67
FgdEZfVkRfRyM7sD+HmfsVgaw2mQzP5FDwIj8cz9IubhD5ecvRP9BA6E6G2Te9ZPzDdCnubdUHl6
mzNErWHkrGRHX2TgIJwjwc05qNnbNLcXR7fYjdIErp+aX+taKBsNUz6ERLZgT7EzvTy7cfaoMG58
9Y0ObrT7rrNHam5vgwc6gnqdOaUB4yNFpumHtzZv54eaceLBa5KPBdymJXPh3ZZ9dAQ05TFyXXoJ
tUcVrDYIv0rASq5tFEbueCki56VsfRigNiDDwRn8i5PPdAKO5XlsBYWAdv2yQF1R5MbVy89vtgvP
+hqxk3UU0vPWPWofjuQcRMDPkh2Bj9VKh0X5DGxk9jmYybpI45/AjdRLXVh/IS39v5qLEYVY8jbW
oHOQTMiHdfpeF+41F3byY5/Q6V0Lj2pzS7SQrjjVbXqmC1w2jyLI7tgqfXp9Y+fOz/u3jDKj70lb
j5RLDBvntjLGwsuPKi4nbiJGXhSmT1kH2cI6Qk2tc9MSwPqt/Syi63Tuie9hgq4zx5ytoH8I+weS
8WjayllP56F/6RE0I/Dz8ofSjX76ceoPUTz77JjVcB0GdMKeRZjk4qujiSjDiwGXULvxYjY0AWVD
TBtVvKx5osGbdRSQ39eRktMzyxXmps2yu56lV6AqaQbDSRg1zGItabV+yPqFBkDmtHb2S3zCSTcf
paGjMhhAtAJ7vqrQOau8j4nDiLpNtvjVnXJZN1U8Lx+jZX0s4a1CW3bFtc53uSwz+pOySx8TUtHl
hfdaaryYoLQULCX0vslqpwu3etHJ1eDdOHHEoAtOxhSaRlERiU9p1406OkdaP86iQXCKxXBLWhW/
cBUQ0lP2nx5qrc2Qx/69N4MAjaO6Cl0mu3HJBGSZ8E5uLVkMaCtEi3wf+e1wDvFlGAc0dLYItRh9
Lz02Seke0ZBZgRg4+yXNdlY/btzOY9OjKrCx7726fRUdQSTogRDEzkG+UXaRn1rv4KXV8DCQBLqC
3zLrNlTiXMhfb+4QAZjyH1DfORCMKa50wPM7+jHpi0EVg4TNbsX7lHKluLQfeqJi3eVuB4JpVpnI
36xMtufR+SxwFgbJsqwhdS/WED3jvPQ3tk1iyUTx3IAhCStj8JqL4m9LyAaKC+RlCfBuqHk1bawW
x6Z/TU3rvy5NiZzV8r/8duahyOiii5XA2rSgQjUievTFvEoMsSA46JxD7TlffopKvmsRX5nJZpL1
v1AtLeTko30WRNfHikAXNw/RR/nxuVgMFQT+AJ1U+v6mTWUBD81pbUxM+k++jdvAX+mR76f8Sm3q
We/GIP1jyVbfsVbU9yn4EQKOwdpzgBAXbrePrj+d4PLus7EiB6ukXjQOALOnRV6iOE1PhoDKJp5h
cqPHJhTPqVcSjeWQFp8tLu1Od1hSzj7xRyt2y2XdltEdyOZaLyZh7omehC7oX2w/7VR+RdhJKWiU
UM3e2SEDhLcyOfgjXFaQ2vBvmXtvDGr7ED6i8deQe+sO4HgKGKz8Kk3WGFsf+y7CtYCZS/kUpCaN
i2je+6h0/mvZ/XdROD9T3apVcFO3NUnxkozy08pDvaF+/tZBWSIBI/DFhJATQ2I/CxKFNi72Ci/F
mAbSQmxKgU2y55Xv4pk3hnCiiHmyJEpq9N7mafnw/eSj6OfnMeSfnrv+YBASYkhiMqSpYd+kqcAb
EJ+xXo83WWXcdewRH+MSvi5Wrh6ygSGhyIJk4xJDVRq6SdsxWEVzjCzJqEvc2+s8ddFW9/chQhTk
eAHg6vKtugxVIcYDNbxQpPNAsjvYT3ffBPE5T7MzQc9EALmslUiCo51nTWRKTPCSJsUcOVP3HVNF
Ylfxpa2Rr6SkTZLLMjE//03yxduQE/WFLOUbEBnbRxw/LHP9XPXuVc7e4zSSnJh517xI790mBghu
hwePINXVyPfxSa1fx6QwCdHTcRcdVI3Zx562uq+Z+bja55J1MrV9lK5RQISQRZ2hXHZqmXZtF/Hc
a3Ea5uHLReJbTuXm9u0JoLnHIT+5oFgCbKhYSmflE1zmQO6uRqwFbkJlQUAymHTbh6HgaMSsvbUK
by2WQyJsTouFpXhyikvk0y1qlmizuGQReRWOCeM0T57r/KBiIKwuNGe/QC/YlU+wj1etJd/B+qwc
rOHIoIwUTzSrs8XPWDMcHhb104zpvCtHdDWVu5MqWEnEpCt0xxh9rck7SUF/a33L5o/PcGKD72FX
QWC88cLyWbWmvvz/xTj2jCsN9w2JOzqwXjrpxZf/vwwZgroCQy57F6aiUW8zDejL4b7KnfrFbzKz
kc6oyf0f0GclROO5DSXF0VRj7CpiqAtL623FCo+gD3XzYHZBgiwS2/TdlIRXHU35BjrqN2/Z5saM
EkahEOWGWbBxHRhrtHDOdQjnh7ZogxOGFOfK1TXvU0aZVVC7fyT8Bpdht52j3F+npXOXLGl/11qw
3KnVm7OAteEVbnJ6oKaT1ffFwaA54HqEMnIkwOv//xXZUnPs8WCsHNQos4aD53ntjzOyrLiUPlIj
oiW9OdWsd3xJJM2TxcDz0rmOd/QXQaCaM3LFhC1lFVo8xqF6idoFVn3w3gel7eN4+5LpSmysZt7x
Bv81C1WV9EZMR3/4FzCIHnofB67XAdPDhYT4EqNErU3XJ3sY4+Xo5QmWkRtDa2XDMbT74bhQqew8
I2bMt3k6+EDo/Lkdcl0sPokgoLwXB2vJE0aNc4Qu9BAWVKbBi609twScbq0TvAnpVYNjHcqhPPZN
+RdGqz+HJvKflrjaPy9aXbBLdy8h0lyghY4miCXKb7+2D8KDKSDJEbZHhBXykU4sUd1P049YqiEa
kPZ2T6O00xUv/kuzyGhXDOWutSviq9yFxCsxUkHrY+ISqBVmuzyXOPA2PV7jdUGsS9CA9QY2IWZk
woEmzeEJq/DZN3+zlBAA3ScJz2Pv3M/0s2fZllDStyZKdr0azdkWpVm76Ikb33Wf0ZM5/RsDQXYY
m1s3MGI9j6v8YrVIbDO6xgdopkD5H/yrP+CVG4IOGLHa1UgJdiQvcebnYp+n2AtjfXSX5bnlbM98
L95SbvgzENzNISEbLrOYwcc2x0wWvzGk0t4T/wINiRsL/afvOMR8nO34H9ufMCoPEQqYXnJZWKL8
tfu0WakRcdhtfoiuEQkHdYfEca5Qpw6MoLWN+jZX4leP+RlvOWoTYnyszOEKs+vNf9Sd127kWLql
X2Uw92xw02ySFzMXEWRYSRHyUt4Qaem959PPx6oeHClSk0L3OcDBNFDVKFSltui2+f+1vqXM03Ub
BgcO6vWqG9tDPVAc6WqsHn6mvYwjAT7LErK19axc0zXxR/u6xZ+/YinvcR8YCUjgZt5WaM/tudrA
dLDdsOl/RbN2W41dw5KO4rMUebETlLIBoa5NNbB3Wi45LvgTsdfNAyrjW5EbwsMY2VnIpRHs0C6N
X/0Z7UmpmjgYWvUlS2vH6xOqqTSclTjxlGIcbvLmbOWZZCfdvtaWwhmmnLCZGDitRmr7aPqIYa2T
l4oT+FpxcBalGX8zp7hH288hvSI087oM/GMSNqWHk/pWq0BltgTYuYTpuLZqWdjJiQMCabCmv0Wk
n7jT8/6AcXUbo0RwxwjYha75X0VwsjqVkGMZ32G0vU/LadWWxzmg/mFJX9u2hGB6BpLhlcoCFgfZ
nR1BVijb4jEvLAiMLauGyKaHpg/YafpBh/G9zSEWOCW5B0iawhjh6jQlyECGaCsK8SKI+qQg3npp
o1L2QNTUC1h0bMdepF3sFQVnCyc1ELc1qoRkZIlT5nWdlRy1cz3YWpU27uSEgEsdK5hxpQl7mhqx
z9tl2NVV3fogFjTremhT9CS9pq6D5llpDWKvbF51opKQCiJec7O8WuliYO8V2CWJrNXals1rXUJm
UDkOqJmeXLUoteeBRvRMfkUt15pfIcfPvpnIbuII9ZMPk0WHuOWy7wXVYH2rp9rZlhnGcnxJj9YQ
IOGFXyLZ0WhdFnh1NNJLpatlwtRFlIfilLQxL0RTgkQFQbVQfuaepBiziYz4jmUH4TJtlS+cuwGS
Ov1wqIPysQ3T3eRoL1FUfzOb9qmPWXGVBU0wTkO4pfclV4X51QhmXGr1fAa28khb7qTi8y/a4VEb
uitHtFsN0vCYx99Kqzz0mRQeETSct+KbuOKm4ITEKY+oBc8FCrsQXj1AYDM6mPrC06jMX34fHmPA
v6PTv2Cii3pgkXqF1qousWXjQl9VSn8yQ6lvFRNi+xC1dOJrxdPRU9dTZazGiCunzHNl4eo7WyyV
SgoxMgZE6Bd8joOxtCSK7I43iEjM8GZgL7ZSZe2sSPvw11ln3A9deCd9rCR9x2HS5+C8zpOiXNeI
8dfBPD13oB5pVyfkM03ggQ5qrFD7j0wbvyOERDW6TgJT3WrF+BJZSb+222ilTsk3E5PZhB28wzSx
ipIcoaIvoi99htMgCb807VIXJrx5Eyx6NVjtWALCvN9Ks7+nzHusiT1b237WI7RrUBKnwGOQxIUC
B5taZup2VIZnjl8OVflBh+jgH3OJychp7OshEqrbj7J3e4W6EJIupNad8OrAvE5Ih6X7AqEEwLS/
7bNgrWkYXQgTNl3dn36VCGdThxtmZhNOfv8JNQSW/zSkWwudMrWkxQapfp46CndSm60VMaecAFBm
K8gkXX2Q34H60mNshhu9JeQ9J2ZPD+U1tAhzpZr5idfoWmvQXWnNGVf3mdbIyhrqaidEe5QZutRx
IA+40+N1UPnTHrndvul4na2MhpvTDvuRomc8TV6VT9nK58tZwbb/MVXRjZ7SYzW1+dS1yMqphrGz
VujAyxYSR2HT7+rGHwXsj5RtLhVGnb2BCZOlGqy9v1AUxTTDvk1PvjUSXk2ZAfMbFcyO8rLvFF+K
Or6NdcOmrMO/g8/yJbDTW1NhI1DNIByHbN5rVvFUjKW/og9N510bf5byTsjhh4WcgP4fWwFJyMAA
RIVmAOncSekWSCAONkmcloivQxrdSKyRPFts2FZ+1Vz7+HI1jf9QSOfQ81VsRo5nMGL11Jtw0Kyz
+CWWqUcSACI3HbPl5AxewCGUStUvQ1ey664h/YmfKXWHLhzq3hBNTZ/4HVBj9hyYz9ZNod31AeQl
s9TP1EzOA36un2Ykvsd9QxwCzpfui0ipwS92jbw4zPP8AjZ5ozcBJIPJ/2Fn9xmOYBwoyEpTFZlC
A6fmp0qZqWK/dbSNGHV1KTL62OWhSDRInX50NNrAXBuTFKuKEMBVpgkVwySdx9Y27xQHLxQQiMfA
6E7x5KzmCnSxFPliS9NQGrN3sXOedqfPxLIhO0s0c29aHdQmnBGWqpVu06jXCkXMtdPEkBoAIdGb
QffBSWs9It10s45WVjDF15M2ylViVze+xWk0zZKfeRw8zRZq4qCqT+HQUJxMNv5sU+exymydFN8j
IqeZOosnFPDPfqrDwtLJM7btHEHcIqdrr9pp/NZmCX30fKYrjQleUmbc1I5y1py+3KIrKXdRXZ+M
uVjY5Gp61KvuHrUby0sJ3sIgpt3CbaIK6mjEt1JrkwDfB+zY2P+u/F4BXgFa2lKKW+S6FN0x0ozB
QUsSZV/XxROGUegBSUv9Ovqiz/02mJ1XoTDRZS2FlsX62Y6cK8L+1sdIbZIWLSL1qkZKV9PSb4rb
Mhv38ajAQrLE7NKao2osVWvllUGC8bOgrhVQtSgqLV6rWJewPJ76ErEi6r2jbtEkptZEj6fgaD5u
soQyO5t2MDgAj1U2s0Mvdc/8mUdYG+Q03/XzNqeeyM1sWRqtgig7mBxa7HN0pKiSmGQc95twjB9l
5L82bbJQfT1b4avzI7XcWiEbkrE8tqH1YDrhD8Gj95fKgiJU7F+jdDvctp6GtNHS5+fI9HlJFTRX
xvzUFPZN355mWjRU/rvzlNM5NCudfUQx7FSFTmQfl9fLX02PHxGQGhiZCoa3FkOJ6VNS9qQRtqu+
QUEhmuY1t+p7CdAmHEDyKMu2IqDaUrD0rrNcfOPEeQTyk1MWLIhKkHiSfLwsrdRuHKL7No4G/kt0
Cu1u1hpNnDvzek7ipynmgtoACLo9jmxleJZBVvqExCdbZWsY7NsBLerlfCVQ8SJ8Gc6l6oDzbOXR
GuSuHiYeA5uefalfT2VaIcauYVnn+s8xTG85oXYAtKpDHvU8IfjQXqAXOzge/qGuzyIDl5lAznK7
wjnKKDsDsLhqyBNxLDX2KGqzkAsccoVeOY9hJNYKwK+NytZhLQscp514blteZrNs+SyS9BnO27ex
CLcxR8n9VFTDOUVJqoraWieO+FZJcGdO5uceWgE2KYv1ZnrSKFi4HYsFNKVuJlV2ig9pW4LLas99
mP7K/exUN2SFqsXINkKddpNRpW6nGXzMFkvtQIKnF9Ts/W2fSHlFxLvC6fINXS0mCEoj0kgfCfu7
btrZWldOe5Bml+0w2W4Tn23xQvHTLZsylXC7VARkpD3LFvdiGBoHCA5PsUkla4ybBwwx59nWvjf6
sA3IOibXnM16bf+sY3Sh3fSSV+b1NCPmaTvzzqSou24a/w5pHzykealKIGPj5L75a+cWx9oTawTZ
nwpFTiuG/RlHzwKyIB0sQNIVkvDMyhWSr6gRTGa7o+37ZAMfAgbgJPFXDYXSvni1/Jilyu+PCA4s
4r+bDYCPho5190J9pjsUImLLoM2I7KCydqZG4WsGj2UTF8MuA6tg0n5PUml4U1puTXs8lvZ5mIHu
Q7Cljx23p2rMN5PP/pvCNJ0mxDE0AM+ZCfw8su6BaKtGNWyNdqcK7YcOKedvPOp/DZ9z+Snf34RH
//OnLqHM/13xzUKFS/tH6iYBzu+hm/yBf0I3TfkPQ8LVtMlIxm5lL5Tmf0I3pfiHwWJu2pYwAVvq
y7/6Z36zvcQ3O4aqmqZt4JQA5fp/45v/AV1ZXf6nU+WGR/wvQTe5lPfcZlOqNPEEGX9QhgX/5CzU
2Dc05diIK9IwOKzqatVeo2PEAWbm2sEppuGabXICV71Mr2oZyB1UdcwfddW0xy6FIUDmV1gdUyqx
Xg+V7LGebMnnWiVXOQGqEYZRPV/TDWPLOIwtG2obMlU81Lnb0Vjg6FdZt3XQ5TdNaEfnLhYpJV4d
3Su0LP1H2dSJy3TknAMkrutu4oC2igzcyFSrcNO1yohAq4jH5FR3DSisAIr7XYRG7roikIEvnXJS
FScKFQ9d3DjzZFDjmpNbBcftTZ6gFNAs0hX0kTPPos0m7C+JyrMTBCi7pUPCsGENJySOqLvstFx8
eAYNqVWaEO+ybmgR3QdT5O8QwTQ3mh8HL43atTdRGEU6zuax9Hx/DH80thmfSsKRN0ZiZzeVJvtv
VmOFL4afZdxxyycsinLZI6Ko+qxJDd35jFVbG1Xra210VO3KgQpTq1Hmyoox2NNOQ4g6mME5N6p4
16D4J7l0Ck5UuvGaVQoWKbvSzTNqDdoc+dBup1g626nKzS+NaKCCkiRN3AR2kWOomM5r4wT1DbZV
s6T/rM1HQzbOIYCjtbHjkHzrsjO/KMgvj3EySQhqZuPxw8anpYfxlOa+3C8xrXdlmnFoxD7af53r
rnjEvt3tKZ6mz3it1b3mj9XO7hc9jmMpOwobwWvbAKIarBDSUmDAd531Mr1rke7S7+ic78CybE+w
rYOawpEYOvziRs5ThFzsAA9mg5yHClF6l3eWeor6wrmZlKLaZl2VHAVabmqCjbCQ7QJPXVFqwRiF
bKXfUxhTzojfo+8NhUw3qDOMSbmeEjjRkdvxPfA5zYCsCAAwDByHy1nVEE2WoOELE1phBrUoZ/d2
nmgO+u4QhAY+cANrkaMXpHcEiXHTZqr0DHOE9SVwDVw72bL2IO4BtdEkoPzo8lln2+70LS9F+IAK
BhfYrI7ly2D005caQA+Et1nLaSOVhA27nQpz8WurGmAAjQR8YhX48zOcFAxisZ1GjRtNATnDbZAS
JaMjUTl1YSR/YdpCSJBj3HRR6eM8zzVscG0aFhpGhFQixE1MUpkxEVGXmZRwX4R+jiqz5qwYByYG
F6gutE7tKC2eK5g/J4iWFvDONNrbuRNeW2MNdqPKklOoDUhEm56q7qTwz0hTnHMYKoI2vzrbVJdi
sz3pAvmoNSvBV1Mv2PBwlrjN+rmhM18lDzXUOR5XlDiDC6EJtD7y4/CrKjBMBFERfNVjTb0WXRXc
ZC03mHJCx9+bKaPiG/iQ6LKuPYGyiU3qs5b9bI04PFcqhc2bYk6KZ2RLXFlVmtw9deSXUrSIeWmi
GL1PgUg8a7WNNniqKn4s9zJ7RpBdP6tx2dzX5RSBKe+SWXH1Wp1OVsDPRX2d2siYo65/DB21Lq/z
yYr53KwK6IyZZIorWA+gHrZTHB2kZctqASymNbVhJ2436Dl7Qa0raH8MtSbN60zTAItwsuA5t7UQ
MHusOJq/BIm/XNZfj1gzwijwSmY9VKdjx00rlSk5DQJqLapNXYz36sg35iqOptyrVpS8On6il17p
1PVrgA/nOMDVo7wUmidtUsVB+GUwuRr6Eur/OO9R4tNHiTuAHDSkq/HB9tVsn0uJYqZU2+DZgJPx
kKBcPVSln10pYUvJMHeg1JuBs2vQ0txoSFXvNbMqn2NUsvN6kH5+y3F/fiDHM7lKZospFgMQO860
QA0Rs8cHs8G7aCowYyNpEH0HRI1mr2WNnO8VdE1Pox1W+CL5Po6pPvLvMuyGOjXpmB7jOM+5K1Q2
UYaVxT8bgzOBmze5ARZZi2zXGKJuuArsOsLfVcG3tbUYKJQV2nwncGs4s3VkWeBhb4Q8LpDln8v+
mbNuWGYKi9UEo6nocqPbqH43d9/LQpGIsQekS7xnPXCCuTembj9n1Vc8MhFCo2XVklVd0aWbLeJA
lBQb8BrqL/VTqQ1RhZi0mO3lPU5BsMiip2Gk4OvwDDsvB84ggVIc51RBX1tT0TLxXM8CGVAAYTQq
VIxndVKJu0ZBk4vaNNFQHo3YSxEqj45JSI1WsO9t0aRmpd2nh76xUSxG2ZBaQG1aRxwQRKT2LxuW
Ijz+MYVKF6fdvhJZ7NwVRij0xSOvZ5vQQi50T2WvJKYDMQS0nWoE2VUDUhjPVg9kJ+K8XPcBQn4c
0M9BZ/sPTmT1+9Jh/sY21KmPRhHyyZjRpOxA8iu1Wwsp0zUiR0LblCYf1T3ncdiGKMXUM6aUQPxM
a18whzccFKkcUvDJMukoh0rJGx51y1Jei8Wlhkhq/MJSMN6IYhgD8BJxiQBClVjEUmM+2405sokw
je6ntP3mC6gJTFRQTQBcNlBbbulSVG4XgKRKYj25TmdkS6Gv64tTtWayn2v4squGXztbWaiQnzrM
FRwk0yL91oUN7Rmnqs/6CDZUjHCk8clQLJcF2nE0k+qu7dWmWrG69J5dVfk5aBRlqTXQX4tzNd47
QyZ3mlk6HjBU0AYixtI3wxj7Uomw3/Tws69nMxM3LQxTAt0Q8iTIfV/zvq5gFmjxIYf+s4tF3b+a
Qe0/5ug7WHlqh9JDkvkvsK8rJEbD+IPWe/FoSd1ArqLhJ8+wUp9B2+UvfaWpVJV85UnvW5ISEvDV
e5+ld98Lu3nkFqDiL0xDfSVfM974xmg9pCZsFtqYUXQK89F4LP6SvhqTshmQRxySPravzdGBnQOs
fhNxSt74tc9BNb8xS/VAual9DkSGsWDGMYgrdJCvxL7me23yrS3CB1ivs7CyF5h13ZH+XUQ8Ulnv
EL1qJymtcN/PinZsoYqACqmbYymnvEK+ACdasJZhDdACdjo2VpSZ5cHAjOBgiX2NptGidwqsK6J6
0DU3HNIzY9Wx3BIVgboNH1HWQ0Ltq4pD8SAmxa3VLPyJAIRzYucsL32ESvIw6Lb9RUlHY6+JgX69
EXDso/4Nkpda4C8zKIIvjVZaz0TA2m4j8eLhhWvqXzJSh+ticMxfTp5VN4Le2iEzOlaHpm+8zo7C
W2H7882SYX3O/Tq5QddGNagV0VXfpOgxLa3dJ4FWbuyMvlIuy2rbptSO4m5ymM0E2WMNnowkMlEI
gXDymkrUbspe2htsMJ12ZUw7v4dS3tCucYGM96fWUpVDY5IipgS94SmWVb6apW9vQAgY2CqmjPA4
4D6oqej0iGlX50ydIlIaZAj+iDO6ZSFhraTpGdrr3uRNCsUE+i8dUreFu47Wr7YOfWsj2AgBT2Em
pOAUCiNf934/v1ZB0z9rOhKrmX46JvBiOJATlb0MYaYfrSZnJ93Q06HdT4x3D/LF1AQRPq3MbhPL
jH9OYZutHTvPYTcBD6sMNn0YCeqnMNajDVuS6IQCV/0yIN++1TUtP5uGMb+OWVJeiRaHAugIbFd9
Oz2ERoRWugB+UUh6zxusR6gKO624QYkQ++xUqRvnHH8YkwUrs2bc961UR5RrLYUg9IRTtSnz3N6m
UTDvQBBlR2F3kO7ZCfxKimz6ZVZBvqkbYrjWjabpu17U6iPYwnyfDpp/g/yfU5I/TpsSKt91IzFW
oUh/AnqfrAuQxTu1p+mbSGP8Eg8tlqJSUi8dfWf+1hlC2+t2irQQ2z32Hr/h/iMed77XOpsJir7K
PvftGiGbzy5CUURfuVla4cPGOCowIhcFzQsfjkTPKfGnqIV2bgJH3ss+Uk5VaPvXhlgE7boRB0s1
DlrYtu6lSkfISqg4GnJa68HyjZaGCSo+Ko9+b9LfYFu3oNHD/qFnOSuAKMoGJqHdDPeiZEEDm1c2
J8PEtuenVc3WPxyP/VQqTJkTitKYtti+axQWCxWdWcxSAHPVTPbkR9T7KAntzYh0czMVYe+1uqyf
kWOQAmVSUtnXccX2uxaZdd+PGZueME9H2EStsVbMUVAs7VHSJFHldchqb0VVxOeG/9KrNEe5SdRg
0XbXYjdWYqb0Y3V80kNyhIYU31ATJw5Yr9NtGCNGa1SncNmYO+veUaavdhElFDSd7tQnpLQx4+HH
w5QnvaJW5Y1MSrH3m8i4sehUMgmZE+h7J8837CP0h8EHgQbMztpAoGg9bW7pe6dz6Wy1tq1Zb40U
YS9GKTs0jdnFKWUuVIYa1+1cjPh2Qk5RVO3pJFPDd25szgNuMaQwFSJK49SWikMpIrIdlMoEKowz
qg3kMwru5pANunZtpzCwKnyYBzGF9qEdO5QBA0TXMZvy3exMxkts2dj0eYaeAY9+T8nD2vCXPHAc
Te4xH4t932MN7jiR7ZUaRx+vEeXAJhDH0EKkVedO7gUyJ6uRL34XtIXjAcpChiSxgTQCxjbSlOLJ
zAIWjlYraDPo0Zmet7UznSbZUbuYvlFIYOsLkGcXIuPcRXE0HfjpiTcDn3KLRE1/auUATaPLfPWm
KFMF+geksiEe1eeiHYf7Eqw/fCiZr8vYrn/KBJHzhP9gbSkgQNAjN/vRjHGtp1kVfJcTuIIwrMdv
TkbyI20S8aKWlvQmFWJbFiW1Z48NrUnOO0gtFHRsHNmHxZSJ6TAUikIZIOmfqN1kZ/C7tFt9Cp4n
0ZWp25tOeRc26GAJ3Utd6BzGHXq+6KjpnDthlwvkHbJEgRPwOiUG4mHKB4S4oVvfGk7YHXVhWVuo
K+Y6qAN9JWTdb4TakpO5AHUAdnBuKAWnM1vB1EBztf6qgDR4MJBPWisHoa7XktyIOW7UJrhCpuK1
tW7cOTQddoFTJl8NWiX3iJc599aiOeqAujDJz7gNhywjrbshzO5biMLnFhU3M1SJfnc/W0GwblJ7
+hJ0TnsqWKFvxihc+hZzGuw70jEQqtoicMNxRhNi6OVz0lTFPrMnerRmExxGGTkrnrgn2eeXQIBn
60qrrHSbpxpxiSo7ruPIvDQQCTp057nOGhh8M7wczLtX7L+HHSl6+uvMh7Mp4Pk8VFFfEepgG/kW
JAYyMZaG+yJvwIWXQZ3QliwyEx48ZRcytRu3TC1iPaQUXItWyNzzjQl9oB1MN5SP5Uo2JUVznWMY
5L96du44UCAlKYLGP/W2rZNskhu/VBlFxqrq2/FG77v8ANUifM4VZl2kmYi2gMfnB7Wik1iHzbBh
A1IEXlIo0TGBhnZLnYfSSK3E5xqJ+T5CZoqRbprutNQPIGbF6kMYzP1uVBQ0C5ALfrSxIAuERvix
R31GhS+qtgNBsLdKpQ4/h75TjnYZOjc65IxnYlsgX2D5eiE0tQQNigrYIMSPtsuC8eznEaiWZUfo
ZOoJXQOa9UB/xWNYuI1BEcaucc3OOb84VbDo+Nd1caQEKFFPoHASva3uc4O4UCubKiC1/gKtMfT+
LHNC+bR8lL9sNN4rcwjZNfE+3Tul5fwdx/ZfU69+W67+36f/7/KkiFj6f1e2d1+jNnpf2Oa//2dh
2xL/kBphzipBfCZe8jeFbYs0KWKkNDw6tiMN2yDo6Z+FbU39B31j6taO6rATp4r6H5Vtmz8lbNXm
DxIuQq38X4mTWoZ/G2BnGLphWoTo2cLRpDTlRbYciEbZsxtTvelQ020746XcIuvDF6xuCld9jrdv
bs3572i8/5F3GT2rvG3+1/8UFxGBDGiCNyIMS5qqodOrel9IL2rO3lMzCY/QhY190Lx0U1yTE8km
1IVBO7hw84AzIHZ4bHZ/Hlv7/WJN3dGRWZs6Xnr+//3Y9OScCHC55sV7jJaEWXJQ26Vu6E4jOYx4
cjKX2jm40W3lCb7CFSkpqAGR3n4S+fY+wosnDUxS0LGge8E7YZoXEV5ObVtKmZODW2pPavS9U68+
udLlsb3JJfx7AJptnJ80Ryd57P2VAu8eYYhTYWKSuupukFa7CJRf2h3nVa+4Uje5NxwpLd8ZW/zJ
d5/FIn7wWnGB0tApy1Pv1Jf39227ZOl62lnPnS5felflGc/qqt2ZW9jS3zG/f3I7xUUM49+XaxlS
2ByFTYNuz7vhZjVK4ziBYNp41nd8SW5/SjdAZNedC4YwWJfrwO1Wf77HFy2hvx+ixGrHg7QMouIu
rrEzwOWlmUDR8RKfkWw+0zz3cLq0W2v/56E+urw3IzkXKZOtUohmHBmJbcAaXGxIFoLu//rzIJ9d
j3MxFSCXMYuBM4qn7EjnWkGgOneb5Kzt/p05wLKYbCgiOTTuLt8O9IktbRhteVwQstzc9ff6zn9V
1saKtqpbf8m3wL2PtvfJFX50H9+Ma13cx0kfukr6uuYNt8kNRp21fiSfwW2wzK3QHbjRBv7hJ5PO
R5+65fCh6469RL5evJqSs20farbm6YDaFJPWhP/JZWkffexvh1h+hTe9SZS4CGtHhnB2nSc2AJHw
727pLazje5+rc7b5AcP9eljzJRym3b8zr1pvf4Hlvr/5BUaKO2pb8wtQpfW0r1BHYAG39227bh7D
U3kU22Kve/V62hHfY/2sTkQUf/5BLt/b5Zz39rcgnPHtbwEDbZj05TYYWygku2Q7bIyN9unVLj/m
T8NcLGBDC7OjcCzN66LgWaXku2rT9tBPGNYQR33yxi5vx58Gu2g7V5ZZVPRdNK927W20a7bBIdmq
e2OlbInAIq3B/fOAH1wcWZW8qfbScDe1iyeZE0lu00eDKFxf2+EvhbIEYair3vn553E+mrH/Wpd0
cDwaMOKLyXOqB63rKSR45opw6s1QrTiJrucb5LFbRLXr4KT80MvPpuwPPsa3o15OpNRt4mHsaJ2k
++nJ2fCBuGDE1rixPPrDJ8p4n61MH2x33o14MamGxahZCtV/r3UJGncT8hRXlLOzn4rXuMtmR36D
7fvqUxv/5FF+eK1s7Ngsajpt5YuJZ6JpORrY3TxVzw5TbLiBGD5Zlz5+ig4TuM4q75iXE7lCGQaQ
F6VO8574kt2SnZ0eg+v8OK6XL37a0YP6bEJdXsH3n4SkoSeFkGxapTQuXtHCNKmmwZGmvPrDCXQX
Cfzk25/cPPH7hyBJErZNh60aW+PLu1fVlhylXED+PLfizvhaHELeFTy1t1TE2T7Z35RP35YPBtVV
RkN/4pDbaVy8LMkI9ntcBhU6Glh7W3dAIhBSUav/5Ev44Ca+G2nZKb+ZsUEkCDNtGCmqSPdAFIJb
bB0VXz75ypcfc/GsqKFYePhszZamc/EOzpOq0LZjGHQQHsrE7EvotqtkL7G2rpX9p/vAZTr8bTy2
Fpy40Hsi+3l/WWWJQWM2k+Wp+bfB3eiinvHATx37NaasZtO5KBTX5Zbcn+dPLvWjZ2eiX1rGpaZy
uc6PBO+FpU76SHeYDtpBWemu/oyg/0elr1ov3KW3w7fw2vgkvf6D54j8yebr4+7yrl5c8OSX0MRG
gDIKNvMax5FibgLb2f754n6fSuS7US5WIT4EjC4xoxjIfqj9qrww/8YICKs40qoWNJaL60gThYoP
ulRv6PN7A6SvWYjTn4f44AEZ6pshLi4ijZWKRGKG8OURgz89Cryj8jofHv48jvjgJaQ14HC2tyhU
6urFBMXrmQVTBkzM2OrLErMBwR3v5BaNgot4eatbm2k4Gptso/S7f33Wl/hYTWd5+znWX04hPcGV
rWYweAJ70USG41uHf+f6OFIucj06/Pbl9aHuCfEzIp1ES3aHyna8qn+gnD7W1krfEvV7E4jV9OBs
SabbfHZ2+OiFp/LIpsHSdKaUixeFjlNUmct6qmDwMUmZAMMwbe22/uRt0T8cyKbUwiXqKu6S91MJ
sjErqgkc9NK5U88sdO11Jix1ZSzy+lKGueUloC5KhBVZuuuqfvY6Bcjkrk0iskBDuE/bCnAghcRM
CwifGUjO3cUWlV3U3nbSuaMf69dppQBCU2tTEnCtjKBbBmU8ODDCzkUWAy0sa4FIm1o0ZpjBmDgv
lbRzV1CzEqApoR8hoAgbhAVqGSDwsMsJbzOJgzD2lc82Mx9M5yy8qopoxV6m9Isnb+rCJL4gN5nO
xYaUxU2/Mx5Szmxyo+6gGf/5RfvoCbwdbfmg36xRrUnIdTKlBAe13S6lVSlQAA7t8c+jiN9PT5KL
YgvDw3bU3ypgTRTUZIhWJgUpfWPuIg8ZnLFybuWm3Daf7gc/G225xW8uCrmbqeBsMDkqqet+H1N8
KnfFvnDxPO3+fGUfzdpvL+xi8XWsTiKBIoNL1Hs6+Gsd+dZ/boTlN3hzMU2D5l1pGIEUAGIJo62T
19d/HkL8fqp7/3gu3jlbWVRPLTes8uThrzrOAbStF7vtrtso2+UGYk3zsIttP60XLHfoYjvB/Aav
jreCN/HyfSckfCRsKJZ/ve92sCaqa+d4wwZw2av9bTp+Nnn/tUn404AXr3wYqH4ZWQy4nIrC1+QY
uyQsUhSNgANQmPzs5P7BK/LuAi8mOaGT6JzbjKdGwwvogMcWRdcnn/FnY1ysu3PSViXp89JrZ8Q9
6clxfv35FflgYV/2PuhuKOtKVt73b2EKwxoXFRyZEK8c+Gzyq16EaRyUsRefXIv48GL+Yyz9ooKE
8jhRuraUvI2Dh6oudQMv/Ub5qHoI1qGHCfa6+GSC0paHcPFSsKPUmFxVSd36csmTZUZe8FgtYzbE
rB3S72QhuPmmumFf/eh434OH6CG4Sr+OnnFl7CK3OWIrfWyvITJ88sF/dCyyhDCoZLHrNNTLVTEG
X+SnoHr+mr7qvbHGLOG70h3Xk4uibC28cj0dP6tw/b4SIOCXwpKUd3nEi9Hg7TyjkY80LhpVz9Sw
IMEW8xRTeUrr8pPd9O9v0vtxLibnjhpWifCMcZQ22Bd+Me6zysH2mNsEdhAa9fTnN/eDyW0ZkN/a
oMtj/tXmeXthCtUIFYG96QFVJQUMSc4NEqFTdg0w1L4iWOgkX5zDtMeTyLv12eFB/32nugxvs7ln
02jol6cHY8whPnRc7xEAyRWyBsq+8jA+pC7P9BDvVSzQq3Gfu8UaKNmOBut+PiRnuRmpPkU/TA75
6U5bxbfDpx2S31/697/axaxRYK0b9YpfbYizbSmeOmmAX6NJM5k7pf755+fw2WAXM4iVhAgF8Cx7
jeI4sEPpybZ2RfARRDlsi35+ps+if/It/T6VvLtC42IqUZUgkyiz2N6YCCKmiqjff30HxRCQ0Cza
56bG1PH+u2mZ3SVmFJLbgPkM5ZVC+GLQPf/55n34cb4ZZPmo3mwCrLnpSli7JsI1gpkFYi2C0X0U
WH8e5oO18f3FLA/xzTj9UPbjYDHO/2HvPJIrV5M0u5W2niMNWgx6AnEVL8mgjAhOYKEIrTV202vp
jfVBVFslCV4jKrOmnWaZgxcvwy+AX7p/fr7a9feg7rGWcRIHX+Z9u6+x4Dzq3ucRL36gNw+2GoLo
TVC/5XygJH9ewLEySe3/XoTVuEOaGslTRwS9eI36fo9S6PB5hI2P87fm8+aliS0uKGrNS7OqR+Aa
tlE/T/XDfy/GanWm1QGPaXCCTFXrKziar1Hb3Rmh/+8szv/8HH9Ljm8epZYNKfM1woTdXh0fB3oW
adremJQXV8Q3QZT3g8wI6ykYR4IAB7lup+jarEEq19ZVmoT3itCOtjLLG8Xa5Su/39/fDey/Z443
D9ZXzF1Ee+w6mvrUi8JdYTU3neGfeolkTtDsuwCL2VZtNuJe3O3ePOtqdVDoNs9QivHd1AllJ02r
weTVAmYi6X9zIfp7rHjziDDgO0GdGehKUtL40xwbgBaKGW7M2IujnZOSqWoKjSHiej5Rc29Sgyei
qww5ZeuYCAtGrdqYthcyPHyxf8ZZz6rR17sMes5yJ8lRf3rtOcX88K55SXehaznFWfdvJc88jNfx
aetScmFVWircEqIQ3VA/XFcrUxRideDONaXqPgIAH2ubxZkL++G7GKtzUJwOLfp+YrQujr3UZ0cB
qz1n/NoeonNxbn+0Tn4HVSYqT5sX5K3nW81AE987eEfE7uhWcmSn20OIgAeHBg5bxlf6NZwO4Mq4
kdXaCrv8+ZsRWhcgCqQlbNGPjsHW4lftxujcCrGab1IuVyo0MA57Rf6FeuGdUksbT3FhAiAokTmM
UBhRSY+9f4pBqws1m7kqjDqJsQYEJK7FTbSRG7sUhV5c5Nn0yXJ2XEUxVAyH0dDrXhaURzHHLkkJ
UbsFGwv+BamQRcV8KZybmgLKaDUUwG6KNJoRh5ar0+CAJKasC/XB1tn0hSeayLzMxc3M+3w/+1vb
WS3I7+KuxoJQlnIjysRdcjTFje4EJ8VdEg01BdiKyp36YHmjA6Np79vpYThDLXFMLz5b59gJX0wn
PaeOuJ0d+JA7olZqktmVKM9ybF9fg/BKruehMgGmWrayQ5/horRUSLPCVNkUan0YratgqzVAlNug
yXsNafUioU/Pc7RV217+hnevWRVZvwy6t9Eo0Ve9OtDRi1cXaMNND4p6/RDruPt4Ol2d4bMf1qRT
ByMti70eCTH09MB8EE2wbY6YSXXrqNwJoVHS9pZtnAA+1jR1TZMp46iSRBXug3SJhH49ihXFjsaT
T6w/N4tAzHDCGxwQXJwW7Hy/teh9FKYtMckyUUFF1qcZq1ehYuGQQw4jrXWWTz2OGq+ji6flt+Wg
i4D5p0Ljgds71TkJ97gMBCy/w2GzevZhfC2/QqfFfbneSxTt3q8eIa6ylgVPluzTTHYhOenHkdp4
eAVAc//5HPswulahVlNsGoVASsG5e50EPggfXHz+Po/w4VT1NwJ3apXV0NLN1amUCkXB5VZEz2hw
se2/xrCKxn0X9u6IG1QXdPTyKBsxPx4MVkFXk2aayEVV9EF59S/jAS5R9kN9JUvU3TR7wQPK3XoG
TPvZqY7YJe4304eX3+o/n3n1ARulm3qMkFXOJeVZ2S3KKmSVRx0NkOQoz/Ih3MrOLn/juzm8euDV
dxTLOmY+EtG87p6TmXxYvIsckgT4rLNTb0v9PhxNCEjpSQIEgXKVDNT7MRrR9pvoqax6INv83dCo
8he5MKNdoKGvijtQpBVmQ7vPx9Kl9wokS0WmhWhNW08MPReSNs41xlIr3FR1NtrYcbQbC89WkNWr
pPsyTmiCUz2luJ39RzP8+flDXFzY3j7FatsGmNwFLaLNv8llHCTpaP2rFLuuvUVNNB1i1Gk/twbl
h8PC8sHevLtVegDjVj/TSMd6Y0gn9ODnt6UR3hUBauON51sSJuux+DbSahEVcrpis4pIKtievh9s
tZjPSfAcgr+Qpu/+2Dh+sE/qfuM49DEzsTwiDYhUr2XOKuuCqBmNKSV6Xmz5rfph7PLb0JWPWYQa
VHMSN3nYWjw3A67eaRzUepvEBFwOKFpyVtz5Cg66UO8WFeOAKdl+3NitP1yMV8+4erlpmSo0ji2j
k0NPBk7ve5qfoval015rZNQbn/LiXFhUHLLEbPtQYhb0AgYDQm6kqPpe2zX7/qtxE1J8pda4VHrI
zRm/P495MSQ+VLhRG9QB14K0QbKKsEVI6RWR+EDfGaQXrXj9PMbyXT6MUPK8SJfU5fK2eolDoOl6
QCnDE+lXNId2x23HHo0eQNnG3f6jAHv5Xm9CrZJXcTtEUZkBRkuP8EWZfYdF4E5fCBhLO9ptzfKP
VVTOLijqsXWkZYG2hdXigpsrPd8546OCRkEjvAyZuJIHLEyttHTrOLAyXAc7CdNcQ8OsgJbLLxAm
jK/aHESt+/l7vrBJ8PiLigpQj/XhIKPSlFYbfrjkPRU4NDFoM1HA7U+/BZOa2MMcbNRoLs1IIi6V
QkYPdYr1aWNE/yNbpKtpOHdh0LutRHJykWm2+/Alvt4Sn19YVdE+SLSaW9gY0qP7fhukpTXT9CVz
P+D+jq9B7bZ6d9VHvbo1FS+MWSLxWCLNcwZv830kbUoNq1CWSM7oDngguAA3XawHb6Kj/wuMjnz2
vw5X2sYnvPiAlgzM0jARX6yLeqqVtxDouY8L+eQNheiGFkX5ovI+HymX5glqBs75XGNV1EGr84Sp
lGU0TAEl7Gsf+y9bkqExY2djG3cCvqvYI0Lp0Da2+ksPh4aFRYBHo3dwtQ40NDWaOt2gngTguFHz
66SHUSFtLaMXw5jAtakAmCwtq2dTWLGRsHS8w+kB9nwj3qjj1jpz4c7ATRQ2F8p2IqyPRkkuGz5c
DdJRJ39f7sYDIrtzbSfutr770qxmDCJmRTGsK/Kygr9J0bRRg0AGixxPGb/qwQTTWPIGaDVyDD2r
2m0MjEvj3uJOpooy2TagZO+j4WWF7Zc1M+5P6skoH8vHzPOP472gXZU/JKIjJKSj1JGOnwe+9NEs
bmCIGGmTIvvxPq46TmlnKeQWDXWBtjwo2ZXWPH0e48JmTp8MKUyGnk7xcTUwQjGbMl3k2UYroz0g
m+nxDp5ipbpCabFXdKEB5CVvaU6px/Pb3+9/6CjoRzI5SjOn171fqRRPILGIS9c8XsJh5auOacjC
3peVFtKrFvOyuwImZ4wXYH9u5zg5G00r7iwtUu8ac9T3LQ4m+4qpdcSKbzplgqm7JhLoGw2IqxOo
hblP4JpEdmoN8Q1WoQOmDJJ2AsdmnhvdlI+Cr5nncjLw2Yosus8ssznH2QyLrPdpQ4HK9RPm3HQS
5kzZW2Lr//RTTb2y2sw/0qMfoTYzlNthbutTWwZ/FEzHTr0x0m4EXt4zE61x29J6jESMwcYZWsvQ
pfmt1ljWYYo6tuIWBmVE3/gBR9hmXxoYxQFGVebfWZZOp2ggA7Rv0lC/U5ohMXfD3AzfKxgHX4ao
LC0XaDfjL5JAHBsJ3H4X6hh+UaFuFeBOB+tRMKr0uWvT8j6QpukptaBeIVWTT1UXGldzPsE0M8dI
JdkJshMPAqnHPq/Pq1sx0KQbCD/hgQ1Nd2o5tb4rdWD+wVVSIW856PQegOpunEnu1GtJqsw7Kx4t
yZFEGOY3RiHkz5kaQmBTy2R61OFY7IWmHZ8UtdQ1t5LEZo8vnY9F1NTVLWSrujvTxrykNXIfA4Qw
zV8sfxTxhtTpoA4QfFxLQHbdqglb18xAn6FNa3/6NM67cVprR2VM/Z95PZpXvJdxLykkq5PRbHS6
aFX9WTCzhUKXDTrMxnyQ92EzWccG2tmTPoQWpj80AIserhfTD20aq59pH/lu29HEfyWnzeiUPGkB
66htU6cD89NDYPb1+9yHy+4UYxw8NkoAqizKQCLj46c8wYCd7yJZFN0Wyh6uoFXmn4OkCnawx9LS
KdI8UXZxZ+mlqwfmRAIMA2eroe/arpp6yBwZJtRpDng6c+Y7dHELLi41IozVcNcCRFRgKCf3tp+h
DqffHGaWrAmuJfYyXpih4YVxLuNKp1tXQtGiCCmN/l6AHutppSEdzVLEMkRWhXMYjcE+rsroZzVH
9TmoQ4AofhsfQAQNTjx0JU4yGIvj427hACxJp9poI0+pQ/GFkFjtGt+5G8DITmJnmnHRnIIgOtZa
r+7najCPmJrLjqwUxbET03onywLpJDkme1UV7UEOY22fVUN94MQmOFYngHNV8HrF0NY49lpYPHRt
WbvC0OGvUwXmKY7bwE0yTpMk6qBdcBACGjLpZW3rwjzvF1T6MaGl9oQnJo5aCUbahT/CAxBhK2No
jyi1rX0FNsGoWbu0y3E+paH8LtT8lCbsOBxqaIgT7qWmUgmvk2hmTt41KGriGsoAzSN3ypQhCjHo
sZ/tOp3xKSlCfNARXOL5oiHxBVqoROikE5OHH7B69F2h6A2o2bp+m4eAmlqvAMunANDxM8uhy+dg
DGHx3CoAvAQVSwgpMhvMfFA9TKzPu7iy5F3c9t1db0rAftpxwv4SViPOnkWOT8UYH6Yg9O1JvZoq
IXwRYQnsWuxz2krIDpBepB1/jOtTP+HfCWx8upMrrOxFccIyIsgifKYF80ufWviXF4V+LEuzuQk6
fJWisW53cSIWtT2Fc3Ol1R3znQbfY4BdC426UaI8QGAJX9sgCq76YihssNkzzqmI7osqLHbmOFs3
rcK6IchacJ9MgtU7RjIXB2xmw71ettmuN+buW90r8Y2J7/gVzrn+PY7zcHgCbdzDJ2htuSmmL6af
m44W5Mpz45fdkzINaJ7o+/o5lTWEoqgMkytfBEwVGr5OT0PefdMEuQDXqeau3PA5rSHMd/1kTS+q
gpI9ikXwBkU0XmGGaHmYWc/g0UudNgG1FZ0B6Imdh1Nq7VStAAPfWKF439AVipOqsZhtjqOcXEHh
NI7x1JvfdbGH8E3aeviZSmbIwxf13cTS8q228uBrNgEXAT3fX/fR3LeeOSCntkfca8uTFYvyeDaH
XHumaUiCKyAo7a0uYaE0ylH8G7WweYtVKibcQ5IMPztDmva9kMUNRqeylLsBWYHa5X4WS27YVTFb
K4rjF2pPYNhnXztkQaR6OMViTIRK2NCdCtS4rYjJcABnMp867AwE2xoCfIs7URqdUYcWnWYgIqRC
t27bFtLTOIsY28rYa6ZD3Uq3sTK01HOnUOi9yCj6r4LQWA9Wp8l7gDJPtM+z15UA+IOwKx143tWX
3rKEp4EZa8+Ive9mtvt90+A7YLZNdAgCo/JGmPSv7I3mTZwE0MzTWLv3ldDHT4sNBZZg8MQiDajF
aMi0zHK/EyoUW3Pfx2wpfXeQlD7fDy0V/E6qsf8DYA2Ezii9kIOkW8ZhZyP/7gAzSsUXRG3+fR6r
Neyq+VeFeaOtaa2Gx0cYsVtOw0topO1OTkLsrOBQfBmtuT6aUN68Pgrba6Dn9+Yg+E5sdUgRaxAq
wCItPB00LfefgclgL5LqvQ76fMjpKp9VkQvGqHdU6azQOFbgojkRROaV4ffV6KhVldW2ZYLgWTjk
g4TwIUI8rvmqHNlGX4d3ZqfT0+mzC0DjEvoQ26NU/ymoOf5dpVH7kHS0/gmCMwsVzbiJ6bSJ3Lc4
GWvtI3f48npQy1Rn3YVc5A8oxWw6dtU9K91oG1KXL4ZKGLGZw/BFCOP+HKe0IoqiIILYnsdfecZG
CKG6VTx5SotHVZjSHFPmBMh6O4l96k7KAl+a9Q4H0LkDh4SjXvPK1K6fMq0VvpFx7V98fzEFqdHb
g77B9gc4k+FiNWrZRpWF/QF+mQ+VZ/Slw9zmnEUiIM6ZAte5iqW7gFoRvS/oIbWqhmVSXWk+HBcp
btXJbQMzCN0M8qsK9zaPLYD9hSncjHk1HvKwKkxbbsVuBxuoOSSSor6GbHWhkzRhcQzMLL5LcnwT
4XKPLwmbmmPk3bSf6rH34rrGyz3AQLA1+p+9EZcnaqZcIkOZnTmGBGnHkVgfJC2Hj+cH0U8Fx4Bd
gNnPMZ871MS81xKsP2dcNSySbxwk48zpQPdDkBwCXFeSQUsfhCCIcfKE5ep1qYJUNxNi8D1F5wSm
GX0vc2t2SgBCtjE1lc9BMpgcDbqwXRTmtOu0snMyLrgHQ64SEk+JgH9Ybu0GfPckUjX+lNN48Jpr
+kECrr0TDPk7PX2Pk7VPA3VgqeXQjOGQIOvXfjPM0k6PDPDGKjhXiC+zylhUMNiwfHxj40Eqb7KB
74s5yZDeYLle3WoKXtOhXksPMqvcnr0o3fX6NLkgVXTVBns7wRNsRo80h7rvI9kqSYrVrVdijbvD
RrfnKIcc1cNqmsOPbDTHoVeNq4hlXMPyDXwfAgGl8xCftUc6OrKnzARW6wC0At5WSxYvcVCsfagp
zYMWJ+1LO0bwtCqcHfd8BPPAuVq6JSfY3g55P36ZcCXs7CQr9T0n4PjMUtOfDJ4osBtpCv5kVm+9
RlXLFp2GYfP6+e3sQi5tKVott2kd0Z5orq6AhR/ncBK5t/vXdLA50oH+NXthJ7TXW2QB+WPSHA6H
xWWM4yhB10XYnBRsUXOB8OR9ee6el1YeH4c8XKEAgSAJsmxMkctmZ5wCB+LWk3FMvn7+uB8Trzp3
UGvJvvBfzvPvL7xCGXag61I0C3L0Esgch4I8UPafB/l7XV9dPcknc+ukqZnK+TqfBJtX1AUxo5z9
Kr9mjV2dNOgewi8K+zsT+XJzntxq1zuT4sz32nV1Ft3YMwQbyuZGHebCJfjtL1lLyDN4SPgi8Uu4
YeHg8cNqnwpMnz5/3q0gq5daS30743Gje1H22vXnBGRUrG98uI9icJ0v9893qsjvv5w/tw1bGUHk
vfRLf+Wu9TXyrJtmN3wLvliv/Yt8BWRkIzFzcbi8CbqaHLECi7YPMSrLxdax9Mcg3Wpa/Zj5ef9Y
qzyTNivYqKk8lvk0OfGj/wqHnW7VG+jCXvs88D8ON6qvWyndj70Fq9e5fNM3+a0cjuwwFcvA2Pl7
OJnsxjgaHOZT/dw89tf1SDl1S3lwoWK9POzfnkFRWjKt74Nm4VxXtUjzhHSL/xIK6MydkR4MfwIU
V/izMh847FdUc63O3S7nbsZf1SngsudlMPM5fQAVtQsMEZ/SpWxdXy3FHgzb3NbTdzknh+stoc/l
SfLPZ1+lwQxFblOOLbT3+A9YYi5iwWjcWMwvxqAkCB5GA9i0TiMqUcUJTuT5dPG7JX+JO9Ott5Q0
FwfsmxjLn78ZOBWWFUkxEQMViScOd2EQIty/GustGeflIfom0mq0SFg2jlJFpP6X/Bodkjuaxs9G
6oo72YWG6sj7rb7q5W/8sG6/ibgaH4EadrLeLO8PK8gyvFLHGNvLL0b2szGaf73WwWR4E2w1IKZM
7ues+/t4yo5yLua8L+EttjuuwSQMnMJN3PwPx5PPF+sL1aN3cddbQmqoAmZjxF1qLAHKvUO2V23p
1HuzF3vh3ZYqfDPganuYMVAV4+WtpufqB8BgD1wKHAwMKChYoUzZmmkfE87vH3C1Uwi1JE6Nz9Jm
jaZTDK8Jp7fsV1E8lpgw+fVWNW5jQvwV+L2ZEBaEMQykl+9o2c3Vgk4xdiR3xis4og4ZGPZdFHvR
NodqeY4Po9VajlLQ1JbG4fczUShkBXd12sPUvXliy3WTvXqLVwQygNzZagy7ODU4NyGCwefEWh+c
FPLLOHQQbKyZ8rzXrMcn7btYKxDet5L3lw6lpO7/GW31CQFGZKIsEi0/ZzSeQcZ0zV9LoSd3tjal
S1u8zmYE5gPSP3Xs928xUWpVHLA18+IGaqogxNNuCJqt/fbSyvw2ymqbx6ZcMot84kKFUWYdnPVO
Ayj//PnUvvgoEFg0kwYreidXE61XxZbfgJQUF1g8y8HxDtLDvxECdN9CTlDVD00+YSIZk8lZ0qvD
5Fu2YGGD4MfnIS7u0pxO/jPGaocp+0QNJzjALFAFFuSah7s8sG0zc1GhHi0ORvnoRiwgsIxNp5QO
24rBS3P67U9YbT3C1JA1ifgJUvxSmd9y/VrvgJ4HXzce9eIXo55JWR3+/YeCZiZoZRXOOofaF/9O
co2voTMfdFe9NSYb0Z4TnrbkPJfKYlz2gFMsQAPOYqttp1Jx1I2Z4Lxdc4/6M/3dR3Z0s0hAF+0p
frJX4nMRYaWDq8JewCXFhnPfXwXH4awFOzGjlcLpf4wIDW+7zBFO5iG8+newbbz/N79TW+6Sb5ZV
RRDNGFU4nbw78GmRk/p2cU9zAHtH8018GL5Ze/0Qz3vhuCkvubSwvg29mkdpKYl4u/OKxlJx1Jby
Fzaw/RjYVgnJtr5tJuxAI5xT0sfaOBTFVqf75Rnwz2+krZY/bEiFgeHClrJrns09wNzspP4JWeB7
R8JBANsN8iC7U+T6N//WSvUm9mo9nLLQ6slMc0YGVatFuleO/u8Qo6mNoX9xRXwTZ7UihjXtTyKO
qeAxB/yOXd6p+UqG+Np0l7P4kgbX3eJhKwexFXb58zfDCr5YLQAw5tu2kMZo8E2q2zjeOhMsk2i9
Nb8dQasljN1Ga/uKh1uATqpT3ZWPvYu05CbylpYCVrBneRflTn0dQAH8/M1uPeFq7VIaVY1Tsqte
pz7qo0/xlAtV2G1EuXTIevuEq6Oy1iZz5s+8R3SQM8616amN42M34hdQSVflgGe0mm/sb5eeDJUZ
eZWlIYGr1PtvV5bhaND9aaCRCZ1ISLBvfcSMaePJLq39b6OsJh92WbU/qBHurL/qMKWU9zwnxyTd
6u7fepjVPCvLcZitkTBmNdlx/6xhEyTkmf35YLj0mQyy1zCCkG99AEXNCYWdaXllIoVOdP1y0tyD
9wfRGph65tYYz4DKluPgizSEWMF+Hl1eHmI9D96GX01ySanbhmK9ASxS3kc3k0dxd4/x871xVTm+
mx/CwZ12E2S6xKViw1biYbL+8/NfcWmTXZDI5B5lw0IM8n7YFGkSm3NdGPQDak4Myr8Pp43XfOlj
mmiryNou+Lt1YqPWyVX3dc3HRLa7axn+zmyYldeLytbp6OPw5LhgoZFbOicQZ6zGDT5BqSJEpcH+
LTopRj+n/rZyMgcswqk5J/TJB7+i3VaK78KWhCMiB/9lIMmmutYcUo4TU0vnCXVqkqf0GFxRVtKd
9liBNbRmcGfRUf8mu6JA4uhf1+cRHGdFE+027Oj1GT2XG+i3fm940ngTxIALrPvSMje+4QXJ+vso
q8FKIXseMLVgnDwYD/oTQqzdQmyccGG+Hn4t2Bz481vqvAt5zfdRl6H1ZkPiXlUIqsiz4fdyxN7j
mxHQh1OBiO7xXHIFVrrvxS653TzlfByzBEbyjLKTpqgPRGHkjXVWY4fmmS/+5PjSPhK8/pjvBG/6
HeEUUF+HB9wXva3AF7LjS2D2QIp+CvXs1XxMg3yS8JxCN3IUT/qJB/RI/NMBFXHqvMH24WDSfjR6
1quxB6r8jTqqu4zprY3y0kx68zvWiZAMsnNhSqPhydKdL18VFDrb8Gh1d58vP5e/MLgY+hepBcD2
ef+FRz2RU7PB7lvezztpV35pf2cnwRN/d+7k9i/6Tr+arjazLvKHpZe3/Cbq8udvxhXuO61VKrMB
MBpMLi81cfxdRitQ6m1ndi+OpTfBVovSLPsIJjWC5fJo95gr9H3qIA7beJNbYVYzFPCaXM0tbxKn
RbjbC1bdLvbRvtn1Xnk/7jEm2If7z4NuxVz+/M17jMw+ySp8fz0fq9Jx+q31vquUW6v6VpRlrL6J
YtHUIegRUQYH2Jni4uMc1E7mjVcV4FZrfKp243X0sPVwF6fAm++2OivWXd8r2URY3UrdKHqgqGuj
XrCjZOPTbT3f6rjY4wniKzh5eeH4UCR/Uth28bQx0bZirNYVrZ7i2ioZHa3/omAFFFcIlH5+Phou
vjCVviw2eqCA627kYsKSbJiJMejFvlPqfScgX2wFZEzi8V8PBQeMQNwWyO+tvk1hYEIS+3wbS0Jp
MNz1hrP4ulnyv9z5DDPV0MyFdcTB+kOgDEnc2NeRxfoUU/rdJSco5btkv3Tylc9LB0zqKMf/Qjnm
whK12CkvwBiajHGXeD/oW7nVZsvAS29yerf8goOYlzhL6fm/BEfeirYagqheYgSilcVGO7r17+66
PaC43Y8/4D+7m0vV8tvfn3zxQ2C5BxZGSxHtze+fLVb8orMGojWevzfIDD8XNwsBOoGwppTOfNdT
aFIPCLq20t8X9lcOuQvcFD03CZ4PR7WmnzncS77XVgV2q/edqBwVv7o25N6NpfyLiM4UdcwXQXg0
J+M0jf6zSE3cNtX7esayfFAk1y8RLokFsEVB+Ibx1VVRSm6bnUaMaMxOfqkr6z/E/f/f0eV/Art6
M/MX1/T/8SdvIyxWf2R//tf/hKNW9P/nf1ddxKbxH39w/I2XyfL/+g9fF1n+x99ubVxY4HehnmCw
DX+aln9J/weWBhhCSAa034Ue+J+uLqr1Dx0L7aVlB2rCMkj+n1u5avwDaINE/pbuBpoO/jVPFy6R
74e6QcsC7SWLVAtjdHpl//abv9m7yjkwuPxQSZUTili1X+fHwK/2YxzrN6TSHuMitvZdIg+nqqwd
I0vlm0yHRs6CFiYtrkXSIOxSs6eVt0iyg56qjxENh+eh67/VUxXh6DdjnzLO5qHDK9zGdrC9aRR6
xcepxZ+oNB0xj7B3xoL7Vubvt+desiChauIJRfNebNvoUUJChjbawgJGxY2wHCPzqFRzYYdlXxx3
RjWbx2oczmnKL6hB5mpC3wP/QPOWV8rs5ZNCLxcOnl6qd+iIsOU9oI18MMQbzGTFPR7otVvirW4r
qMc6/5RN1p82G9EMVRXFfOk+bQbdHms4tgBZr6a5PKRi8Jxguqum8XPQRPwlqUpZEx1gXQWA4LLW
nkesKGsZCT7uTYGnJUgfW1Vzi1aWURX76XVUVucAz2DcrqcQ8RVe2aMgPWg4ouGS9z2Iu9+pOL0G
SvGrU7DFS8pr3woPeRHj9lVcy2l732XZVYpnX7UYjvZZZaem+RzExVPZGEfInr+UVsuR40q7NG1p
vqlHKlrJrhenL/IUpHbk1zDZxm9+FN3XadnyhZBMB9WvsTXvs8EtVemmrkiYRmOEzVeLog7/ac+X
5N5DsKej9h7z5N5Uu1tZnZ66PNgN5XMrzLXdpYvxVvFY66YzBsZ3tNJsERVQBroJPAOpHTo1/LLp
mn5J/Fk/9FlJL3x0ioDI2wX+ZA72b38APOvXlSCcpD58SELUtc1E14Y1zhnKB0GiuCAsQqRJddB7
7jOq627mpxPeshybs1wH+jW2tsV3HSpdPMh5VdqIWwV0r7gX1Z2f7YwwcCuhe9TmqX1W6/b7LCqu
odV3USA9pEHZoK9Vge+mjtG35N1xQLEnc5CwHc88QL/2bMzZVZKP+GkEFk19VL/dScXqupaCwo7o
SnHLsnlKK+jpuHVHuz4YfvmR1ZwCgMB2Gqp2GFiVK3TltwJR4zSYnmyCrxiwIw6krCRpHWa8Kh6k
CkVnqmvHp3Q/mVZkF35Z2FmDXrOSriMhRXKb0OfUjdlZTXE8HkRfccwcb1YuTS8m1oGuL0yhy+ay
y7lq7HSoiXYkY0RfS0Bg8SENRvTlRZI8oQgs91FWB85oBrd52/H7A41KZRBlOy0rBScTj/o8+Kfc
T/+Ehn6H/adA70T42yyK4DDE9W2eTYvHb2pPs2TZMTipvZKo35pyrGxh4LtWkTtads2ACNW0v1bK
cReraMd1/hVP7BBZRxanG1pivVjEwk9ty+9VLMdOOlWHNJIwuQm6XRP0liOkos7YwaEuHJ+GOfnd
c6x0MCzsHA0/2+WrYa3Z800S/4dp4MKX+Ba+5LL+Z2rgBQ3yjzw0K5epQIPfmN6Kcl2DjlbCXSEb
hzSo5T1LeeLE2de6aFWXo6stZ9/GsavsrqPToU41llOhOUjJNB4CAyqR3iDAFjsX2eZwsmTjhzSg
YjTCgRNFFO5niDZoQ3meLg7vcY8PvUiYQ6dvKtpUSoXigdKzlslpujdTt4x2rZoOXhvS0I2vqjT3
5MWE/laZKZpPSmvudRTIdhTWCIZb/apJ1IOKS/m1QVYbWGLlWPV1pXczHwQF/gSGPgo1F2noQ4zV
vbHYsgQyrx/vO7vtGLI42lZ7HfPVoWEo0bGA4sgME9ePEtfEVdvDTbK1+Z43VjKXdjmRCZTQmiM4
yezKakxbYAmJzdy8ySWW/WE6h35+kwwv4tDQ7aOodtliYCwayV0mRTTF+3wiH2NYu1RM2gCi8Ja2
rORQmlZ/mhDAur7SVU4rijj4JeWpJ1gV1BBwpUUA7ruqGH2Pq6a3DetunouJf3gYmsQiC5T8Umb1
nJXMyUgOVRdEw2PYNIzpou5sMcv7L/6dFdzLcewfZpHVXAljtzL6k2DWX5u6dmNVOo9tKrhNl0du
ADjRHnCwn9PpRgPZlJq5vwu6WKH1o8SMsEj8nXJQpJnGVMk22V8DPpULvALXeyhqmlg5XBhuYn9Q
bGTjt1MD3mX0z8jnIYSofebqxVzfoIxn9uAxbZZS4vZCdar4z3kwyW8ZBbbaWXwbiuY12K/fQuRm
cQSfMyHJLi2eiEFpsu0G4a1ZZMd57hpsFjN5b9A/o4m5sceR9XcxTRrCIAXFb8pYymc9cUUjZOEP
K3nXdDENddFtFPudV5pwvbhgswurioMffUf/RULfUJKkS8/Mz5Dnr31jdsdgUFg0+l2U5aI3aNGv
Fomy3NSTW+uhm8Mnc8B4UNWBWpt35WTnGJof1DJ6bOTZk6ypsfMIx2gpBRzS4qpoh5H6h/YY1NMt
fR/MukXF/mOe03knqNE+CfQfAQSLnZFlDKxcd/xWSJ2y7Pc9xUnbT8Vkn+l54dZt6fRFLzhaHYBb
N3yWkim40RuzuqqHr6rcqHez+cRSa9llRay0t1KOIcxVVddCTxKD1pn1HEEawxf3gwiK1pDsw5zl
QLXouUp97FOhn7hRNhmO5Q+zK2RJZCcczdykxzZubOdXVPHXQuOx0cr/l7Lz2o1cy9L0qwzqngV6
A3Q3MHThFfJS6oaQlCmSm3bTk68zjzIvNl+cKqC7+mIwAxwkTqaUygjGNmv96zcIA+k5LHxFqfiz
YMnx4jQ7pAKF3afh0BGC2ba3OEmZkPqYK23QepioFHPhu3COccjJSIsd3CM25tJfVO25E/3vXE/6
APXZ7CcMZKcy6e4IlX9ObKH5vHcjaNy0CWw4/NKKNeH9Hhe3CetqSlg9+ddQqh/NtJLmW7T9fb7J
Iyr+sOhHSrS+/R5zpM8OOL1fD/NXPSsiUFYp4oyd36nLb1VaRE5p2nqtLIulO0ydb6bOiiN9EiZl
q+7MssIOaynYQNtd2vXwKEu92hMW2/qm2xD5N7bzRQxMt63cIEo7vVNak3ZMD7Qh7JquPmWpdW2t
ZSVhlrD7ap0vrXDeSm/tDptqZbwzT/Gz3npejTpUtPE+q8VnofBQX5FO4RPOgtx0Bre5LvatNnw4
Xvd7mhAFJo6BSUfKEZHnTWhtvbarcvGl5yBmszdksV4rBIlobOoN27XQmvsxGvRkDBRj5ABMt9SX
NjqRbP5Wy5aoG905LYn1s42C4HDlDnr7y5L2jOSrFG5hTwielD1X2hp4XgGgnHNHGd6n3jhIkzyj
iWznQZYDLmLcN55FWnNRRH1q+yQXqb7mOQ8ExKSB23/1bL8PTqCJPfyaeI/rjRZgfCzuW2nfHu2V
Mleopq9nH3J8HsxLtn631cWyrk15/yXML1F+utn73N1vlRoYHBu52GFaUHMjDSjgLWH5pvycKHMa
eIRC/27TV5xbEH5Fc/lb6sS6w5gPoWsbVazpYOMFEguo1FbGRj8v43xiluzXgtDeLkcoYRNt69xv
mbtTDBk3qQyM4rFLhD+o26FpiUIou7veXVHCWYesmHaz9660E6XWnYCkw88oZoj+GXP/pgp6WfDJ
N9xjaZCe+lr3EV1F6uTGli7jQULZE5/DKn1qk3DSBYyVBYNLicDlw5h2CwhA+iVGDi7tQ3GoO/sH
zyoDHUVe03y56kV6015qV/k4Gy21/XI/DsKfkMiuedDZTWgm6Ovamdzyl3pKAxOtTkl74lXxpr5N
JhUoMbe2kj3yScXDLMI6LS5jiTa1GIJ48/adfjd3vS/GA8mFvrxdD5gtVy/O6AZYcEeu817Psz9n
C/s1lu2PilgqX/TH3Ctiw+4ir872Dhc95U1J3jM/7ES0676xxLHs9UM9bId8o6igyMvsjYx3PhhV
C0SyIpW8zwX1z/okH3XMju/NH8yH5RQmYyi+W4HbfBEN8w4ldjqeMQ8usygpw40g3RoLZjKX4hZQ
T5S+FW7joU0yf5o5mV4S9HPyVvUZ2llFe+H5/MrVhcIlSD4YVOWPZcMmCMpx1xdHaEQtGYB91JBU
Is7uQ/2urxFp1bMSeck11S52gWiaQq7eNVtUqPtJ+dS6MFPvVDdw9aNgkt/H8BXsE/IcvxGHiTO7
j9zKRclymITrN69TSRF5mag+qVYGZUf74Sc3V8nlscmu83oxttnPnedGkNN9JpuQkA9m5oxiw7Tm
4QeWcqEg6G1kl6fcPk3LW/XJYunwb3mx2meO1g7nTxInq50s9ka3b7Nw4mYI7YekOJZZcisVU1xC
y9gwEKGeRzjyWBcSgLpd1RKl7070YarvOq7pPpbyd5oHjvkHORDp9GIA6GYiHGbKNXHoJYK0OOSP
1I9DFVRbAJkgxaQ2izr7cSMlAFk/PnnYAnWQO/Wj2/nKU3lPIubod784WHN4bly4Q2Df+ETon1Eh
gGOe7DSwrL0Ee3NihYYEU3s1UIihbiJOXm+LOa4zSCg7gbrRCc2Hm5ZPDj5CInPBSuDiyH2fYZ65
s4m7qU/9hsIqLKx4FYdmjdbiaCVHASWTlTRru0Q7qg5HFf2L3PaV/J6b3+JXe23yPYIpVfrT/Wr6
5oulB0b9zB6JlG4/9REGT3VyKVcOnbMznyrviTEo3Kh9qqIM1o8sK9l/FdpuZpDd/G65sTk73Ie8
fDISwqfqn5nPixG3OGz9e2lmfoXP3xoVw9lUlyBhLFM+6dquhO5Cgvs9EiVEbeNH34Mb0BvFrD+2
aDa8s866ya/EAcI+ujwM2qsTXuFVnYNyxwqvpj7N28Fxd2MV4imeM5hdnqo7NKcNXVPxtI1+n9z3
c+haJ9iHqbYrEIPzX70zUHFerW/mbwX6wGNa+RYFjgQLpqcdlJASvu4iRwvtKeyMR/f2Kwf8rzSJ
VMt3LV/h7v9M0ouloZqPgMLd4VH5LirsHn4V2ADhX8EKlqFxXzLBfYUy3n1jfi7dQLDA0N9lvkww
fwz6JEprXJGCEkNb5bi6gVcG9vjJPjdw2F2iDCFzfdVSfJL3zuivTJ3bwF6iGtrrdslXkq2vUxHn
ne/oQf09VI8udgwi0rNrp53XKZT1fZeGrefTfkvqnnegk/yHs6N5rajwu1ilcNVoZKJUHOQc8gIN
PVD6kJydkeOFTz8/pP3Zru/Quq+fq45syydb3HOFr3G4L/2D5e0KaGtpnCPd3qqYIsPDYzbH3/PG
rOvJGY8VDFn0UNrxvFCXQAg9z82uaU/2kgcty155QUQGqEbhOuH9kMMcjVbrIXfirIglpkbGfcXb
TsOqJsGHGi2uPvngivbU6r4TN/4cFY/pErKPlDWup93W7xPKoy22lYjdnypPLa94Te7WAX6fcnGy
CDqUXoVOv884LOqdrR8L47h5SBBfPffAdreHs65d3Im8y6aIvCbErtMlGVx51Dirs/yR9SMFdE3l
vhRUpcuThxOg/uw64ZKv5NW6h/514FnqoYEQEcUu90G26+uozBHa+8l45oZgk4JDFGoAzCO8o1mE
3S/Vvis+pBGX62tRYjsQTkUw7xBRqD2C4lBRnyoZJ8xkuFbWaDNS+oeDVCI+EOcNo74OoQneqmB4
NGtJaO2N/sTvyicnuyJgtesYZK3njslJQSHWtAlmxU/mY0FxhaCQdOo6ADgpzT1bY9VP0gonkAAT
0Aida8C5Nn/oPzbFE97tA+L7SzVcsytmFR2gFiVvoCnY/PpUEi3jbHYwna0TV97vYQ1L8dSJwGui
qQuAkwrFV8lxeyscKlzDJ0lHMfYaOm7XXy+THjrFWd0QW93eu6JclyGiKuq1Azf32sea/duyImyo
+j7m8VaEOLl+zK2bPYjsvmOa3uzwGplHgWfdjoN3LQ/DfaEf3CXQfNO+g4nnFYEhI9IheNNY3lOm
KG9yi9rkqqt756ZdP2bpSZg/U38YjSOZVKsVeySOaQ91FjXaAxU6xW7YMrc3d2wzZSkCpb7yQSdV
iAKGu4dUtBK1zRzSg4Pd4GWN8+lwVNW92py4fBWuP+fkJZd5+pQ9j/4gCEUU5/4NDWuz8fV46g6e
ey3eEvUBEw02YTRuh/rgGVHT3N3aSnu7IDX1hh11wLSceNuKclG1gzIeO5JDOPnEy8rhvdIyB8s3
W7HFyq/xgrKKbXGnZLHRRsub7Z5MGWjPPIulO8CMdQRC57jpY125vSFtiNLpq6nwa49ZAij+xmLP
aW146ICfG3Sv4FtdzJGrJ9hZ7Lm9Z6TSSpynF7Oi3IwnJeYtjV28uDsKGgYvThd2JjsAd43YSjhI
L80SAKC0sb7tButgteGgIV29jEXYA+SYL1offAH5GRt9f1B+c+eqkKUT6nqsRIKS0wn8qwqWc/kM
CsPpxL7homWHUCFo2jfutEE936XrpdVJWhN+ZaMHPlv8H1jEWO5qa6+JeBkxRDp8dS7NZjBds3mJ
JNDfAMqdFdeywUnjauN5Y+7lh5o+9YvfC9+WL2Yba/1Txj9eXDfjRbfuUuAGDi+Q02g1jq59Ao6h
XPvW5GVx9rZ3R3lFbYLdORe0DflGhfZ9bbkH/qScxPKPzomqHcZLG5sflCcwArUpMMczH29y7NJT
Z53FdjKGfWpcappH/WAqdxVdOaAmIy3zmOH6R1d5kzWQaYPrB0+5jIT2pLQhwKZsItaItb5N1EbD
cVWiyo4B2EesU8CxvAB3IZ6o4+0X2siEo/5WQnUrdBYnrNoMWqsJArfH8ygjjRLaJ9/GfYIJxhJy
c+afIof05yuar2mvlncxZDgZAet4imfk+Ijnh+NY76pibzKUfzXVCwUJdaxeRU7/TmXLd/Fiqkdu
6A5uMO7Mhk8TD9DhKYBZt88bAw+dvyH9+U5/NcFgz1NYzCHLrfum6Fy09UfmY0sFaX7V7JlZO1I6
esBmJZj41qtX1ejGsNJjzbyqJtL9IJtjq3yu/6pI3P4x/1xXng+f3WNyGB9xvshr3Nuyd37YFlgD
jri+/em0IZWgWoQoztcX9RXg+eg2OHgAtdInXOUdaeq42D4mebCAflrhim1uuL7gATFw1N5RMtJk
NLu2hZalh0u7t5uT0jEYcBY6wUeNM2RDPVgXXpxO5cGZUr8Z57DCyM01G4xa2iDJ+4PhW84QjUNO
rdXph0VxI55YZgX96D3A6w5rbcB9pC8vddly3N/roj+kVdKhFvRH74YL99uhxa1aUcwX6q8Un8hD
Twvs+fbFG/323Zifku2AiIwPDwfGx2WJtd/lO/5hVRXpF7xJ89dVO25FTPFUuzudqhaVe3E7MSrM
e8uYNlzv/Old5I/iV+KGNIIOlTDFbH1bmUpFU+PzRLIQq8TYysqDMS7+yF5M6Ez0g9FjRxMaHmcN
xgxhD3+ku07y4j1t7u0luUlUIqNr7+fUDISO/zMWB2J6cqa3BrwRhws0/D9j4e10E3WftYRyfNEm
Eb8axre3DKw1Dr27vN72s6Lt1872M+20ttFMkND6uOW7TEketv5Xx3hCvQhWVEYI4VUBSJkA/bLA
rH/cChwK9EpCoGhcHCTo2YRT+KPFLCMtq0OoLqQP4t7aK9NZut1dkrFnt9JPHRTi2O+60bj8Eirs
cZ+w71X7Gr27eXae5TadGnrVRKWMvHYozyg07GilUM0N7UGdsgfDZvuoefiU32HtEgxucRzl9ozx
Q+hoycnaTl4+RiDTh3EV51SKq9a5/mSNZ2vpHo0ykKM4WBzWS9X6E5nKQBsV0CWNf9zcIazT+HyW
R3XAqmXxQsTiw2FYD3NfG4y7NhFJKkqrBtbpiqLFZ27VfFUffxKt7+JyeRxwA4tLmTzmVfUKiZtr
wFLevezXUCaE2K+eclbTm99Qeuls5gtMOwZfJCqbqa5HcsIn64j710G3mcOmSnVpt7k4S5OKZtah
adpCb3dzLn70lpBQr1U+7d/YZ/qt0Ae/n3LaJo0Ml3z53brVaerG+2bs94rIXnBAqoNVE11Qrx+p
yaVe1OpJGA59YcuWSzlx5Ec5MJrhLKSK1duDBL8E5r+VP3Z1ahZfU4wXkbf6fss28mu9aYsZO2Ge
olknLDzsCENBETRry4wn/zNZBYemJV7wY8aTT2TcJXoemnr1ZOvpfar8dEK+kKTQZsapbiF3jO+W
Ud2PI2FhzWYEOsikOkl9N3rOvdb02p2pqzvqROR5Wa3EY+H0gbkJg5aHaetQe8e2sgEXEW6R3Er0
p0lIA60ox7xsKKKKuvGtyS4jmd0n0+BFzpSPnGO9CCqPWtjjtnaXeq8X33NlE6vMk2BINuL58Tvr
cuuhz7Q8NGqbga4LPNIXL6VBxTTkRAhL/FwwlNhv0vlTkPQbrGsaDGOZMi+dg3KWRPZpCq6fw1bi
8IWlz1a6L6IFQcVMJvWzm82HQwWreR0+Z4Qlpmaodt6jM3sHhgjYYdjVAV8Lm6ore8OzraKU4KJf
C6wyjKGrqMan46iLN0zAOK9xM/AFpvEhysAi1PFDYYKjPltYafjGaJlMl7q7zfvVGtZ3NWCoZpZ0
ZBEMprNngHsrDOaQzwCB1mIOzMT40ArrT1nXQFfA7gxt2o8tN7lCvHRittuwvfRxL9vpwTCxSBkx
71NKhq6KZUTZrV4z9C8rHfaVMLFmQVjtFxqGMtAnMGMBz64zsTEIEATbgFW7fYUms3jVjOYlt91o
hp3qg6UTmbyQGo5TEK1cAsDaIM/rG0Q3RdUFOFO1eLDwmVTZUdo99zmRXbvZfZ1dugWvY5vJ0fo1
u9khMdQvFbcja1VoKxvlUKAvGRULyyEGPHFdKluYuQInL1t7Se9tBUFBvRTUGrjyJjqIbSZ0rkeh
nlxLqfC52to4GZZnq0jAhqv1d9mVgsu0OCKL0uObEC9Mneo3yoQ6dhbSifQ+i6dpbeOuKakJRjAC
jIUgfJbDSzJ3LvViQiejvePf6YYqAxgc3qJ1WM7VOOhhP5R1PM/L2bq9d2fpPlB4RE4nuIsbXAZd
rrliql6d0XpaKiNOPS77xsaTdRZ5OA4y1DNHv0vc9WeUdO9eQcycw1TZnmuT4w/9VMrDSmAqKMwf
Vg4UOxsQj2/VR6+86E2x55D7sfPuoGWSxq6RVSA9TnZtogNLS4Npg9j1a/q8YMC368TVREPNsNw+
aIzOI7NvWGMI01RQ6bicp3u3XK/LBMhUOAC9XNx56bh740HLy1eltq8lboW7ZAWiSSD20WcvkeGJ
g5021WnQ1q9V5LvZqjLemXpnTSlQylrcOf3ygzQyDwczjfqxf7Q2ceocpw/hNcu4Vqp3OwcoYKSf
rPbroOMRDkuiWCj124KTJGOg7xczUBO70LensgozHbTYcdzYGO+T0pRRhjehPzr5ybxNMat1fUtM
5Z4QqvdELH3YbVnOBUhl7V2aRE2ox/ounBaWkN3pOah5fq7dAnxHqzC9kWMwdX0TVC2FRdaR7yCL
mJlnbNdMhjIre7ec26mtwf/EZv9lW5vdoLq+uhRPioF5e5YD7BpjwW63XE5VYgWE5A7U7Rn/eBs4
dq5ft8Fqj+lav/ZNAywITIOZYSwyLjfTTqN5BTiCjH7nkmgEZptDc21A3i0RqfIWedatQ5hn+pPi
KR8DxatO151QEoy5cSwk3EfC1l+bDt8cQ/tFTu+n5VRHofZ7a6EeqrDpNyzUiaY4tyqTWuOts0CA
u8yIFGnBb1tcsavqX4bTcQst9cdYAEpC2TjOor/vahCqQg6haNuXrLB+f7oqXmbdypRK+1VneUpr
jqW1aIu3paDlr1vkyJNZ+iaFWpkCT6kFzbbdyB02d9Z+eUhWwws16QmKpZtDZ3nGV+6dK2SLFKP5
qibvJdWlchyh2g8JKS6NDnBdWWwZlWmzaaWwA73sgBm863uVw4c91efGQDSEndyoO00EAxwIzur2
41wNoeVW13FTQgN738Nie1/1UFp7hrf4zTWYAHbfazJjKGKSUFGIJ+aQD9gRfztFqoTMT7RQ6gC7
s5n62+DYfm1s31hiubehdlhl5XjQzPS10wrtoE0JaJBZwwrFibMVG2Tl6VpwYYQ4QjIlJFoFnoR1
9qz2e5mTQ9dAfNIlOFaVTndO1Y+7mu1jmll3cEwmfHkn77V6uN90PcTTyvUtA6/WtLmJf8fEYf36
ab8OgdNoOPDJsOrcCV8zC0aEs+wnDLhxN8xcTP9hu7C/VvNe6gkSmcr+SGrlYTKM3dC1b2m6/YFS
oTNgYWABr8ot8V2WhQykgevJxpjH1mD+lANTD1k+wZ4BIikgNE2e81ktphkq6Qyst8ad1ai+O9Bu
MHQ/l6rze8YvzW95JzKYHMaBar4Voa1Zsz842G8NmSH2lZXooe0uz17KWGpo9a85w4DFGetPCbko
6huA6n6dI3fraZl6sNy+Shihc7otyU2QWeOiKKf6FRa1sdet7tmUUxovSnO35Q33pPxW64KU4o1a
Ac7gm9mZJ6zVGJVoIoeKNoynqvLOkittb9UYTc4zXngzlMG/etdazb1QbM4cJBlXopK8jO6pSd2f
JC0fN7mcnc6FdOJkerAMuGdm/QlxM+r8bbwNeoctmDJnZ4I0lwxeDCv9KOvflR1U5VIdUvmS9U12
UKRcIr1sYQYqr04BZqnq9cZVy7Xd4YWHbNHGXBeFdCD6nRiB/tJl33hlHcxZLiBE44811Azn1jXD
WOvLHNGzzXm9T/NcCVStD0n1+HTpe3VFywlpY+8axY0nlbozI5Q5TueafLjs3dOk4jdL+rs1cISx
U0NlgGiOUQ3Ypyg0NWdESWmIf7xNaeTdJ+5473gp6Qfy3VxLLWIwSmdpJm9ua9/JQQWvENLxvRe3
Bm7thuHLevBGTL7GvH/dMkthfHh1nRWMVG+ibdGZmasiFtvesCxW5DL8KsyaV5E4e0Mw/uulNu0d
S0ZrC95kdC/T0p+7pv5V5M51trMz1KTfEp/PGZF0WZ+GGjRWmiAlqTW9Dpgcx7AP/CWV74ZLNbkV
+hCU9ntrTfB5GJpK4Fv4Zy0wXIK8cuLqVkQarzmamNR0UphQ0g4cHlfP1hM319jBNC7YXda4pQEV
WJNgvyv6oc1+zdu7JqYWoxvIXm3xmtVoa6qHdFUZ8DkW8/9BJe7UNQ7Sul3xjVrGSlEEFXzKYMht
osqpXIu676jaPSDObXveuuVcLN4Qai3Ns8jNjwXVvJXrI0Pa9lQ35N9MhqbCN1t36mg8EU6zqzbb
8fsKrH/M5dO69C9t5RwznZZtMBkWVXqP8UppFCkYa6NGptK+uQuGuFCrWBDVxjmyPiSpikGpO4Y3
93h4gO5JyjJh0LJGSgMY1C500PNMM+Hle91ejJ2BN+YkhLibeo+7KuuiSmEMYxnrcVLGDsvNUmNy
pSThZtr7SoMgQ4LCEPbd8j1IXP2gAdfMnTymNFWLB2o60ZYNnhMpzvbHxmL4mDjWAZ9NhXja8nOb
MGo2ZhkVSnJQ7cmKVQ0laVJ1Hdw8nrXsEmVnZlZ3Igupj7cuOY9TJq+2XdJWGGMGDJGNJz+BaEh/
togTdsMHjBWdUzHUj0SbHCyi1yNzlYFKovzenstbH37pMR++8PI+IR4Sl97nyx7TTSqFWRmC3m7a
mLY2rufCOacZAB0Mg3tzFDVWkOPZ9aq7Ilf7o1fnELLsGUylsXYDLFxFZikG0ozaXPsbLnV6xPsT
G9/VPWkaXUhmeWJvrQklwbY9edXsxUtKwZ1xpAetsQQwb/v9ZEj83RZzODYjQJtuFuVj5tFriSxX
j1DSxvIlbccwxeeH1s7ayr3tTtHUYEmdAmU0c2s+2uY676EdF341GWHt1MrFSFcvdj1giTKn/7F6
DhRXtfaqAa+z0aFNiQ0HDrngj+w518Rgws8gfOcU83ptb+tbcix1TY7pLhaSUT9RKqqJoNnSjd1f
/0S9eF1s5YwjaR6NuCrOimFuwK+IWkjuKWLsS5dd2Wsfc6sXd20vf4ZkeYSgSYonCQa+sKop1trC
oeZt7HDdmGNpsszZlRxWOi6vIE56wUQHNpnaoVTt18NaLcdiVb1D7XQHzkp5skcvTMfVCmoX7mHr
4Hxclk6xtyf3UybWyGElkjhv4QLimhI04mZ1qDkDN/M8nVEc7FO7pj9RKhDBWV5gZuuAMkNzMKbi
062AbwutSiN1hGGK1lFR5/XQNMldam2MIotOxHojYGGUUKEyTj2nyg6zmMtDc+vHphsFF68QiKzy
Q1kgPuDFU8NPXKlHdCw8qzkLmxnL7aJXmzDvvSXGar8mpMCFwFsmbVgvjNHs3HSeLeCDCi9nyzGH
z37Md3JOdvao2J82TiBGrZufBnSEqoMz1tv5fHVbUZ3aFGfxFJxv0grzNJU9jDVjZH4NvFRWK1Nk
j6LUAeKd+An7sq/QkW4uf5Ybz+uiTk/4rO7h6VO1llBe2Mc/zsr0vHd+dBjpe3O4eZKKwBDDl614
b14FTljq7gqv2niepPE9Q6Mt5nrXmqpzspb0yBlpQqvOjzxE+AU341Hpzs9dbQ87CFjXEZKAmgr4
JMP83sm1jnQHx2MUkUOQjDx2ahW4Ro2Pz/B5SooV61jGeaax/dhu7UXZsBTgjRROzdj8ZAkt4sqh
F6f9wcyVN7M3BbV0JaJ0caNt4PVKx6yCRIf/P3njfujm9ECep0HtHxh2c/RsamLcQo0wX0AaavPY
tgzzyjmV+5zSPbMd/F54wcm2zVdhwk9ynO67z/ja5BngHGKhwM9qzFQFTi26ptZhX5uxUzDTVoFA
0l4/egpIczor3k5JnBMNcocf8Mkx8zX2qmrZDx4TErEgt0q0jNlOL7Fg3Zjy6vnACB2q8FBA32Bq
jfv9dHXThREKg9XOZGl5CdhGnbAcrfKtT8o9hrZCHUVYVnMTlgoTAm8q7zcF5lneWW+4nwD9qvbe
XYtQy7i5beZiydAn+9z+tNTbQ2va0W/S5KxW4x87V8tDH82yKnj5K81K0l89vGqv5a6q+jhRsfFy
wE3XEiGvDXgIcUV3AhxmdcB+/P3apBjPpZSxHI1Hz4MxqeBEu5dKi/nsYMWm4rD6oJ4VNZzu3s4O
A9Cew3hwc0e5t6QKUquWW2RXru5viatD+PPgGfdbbGGMG+azCYIx1xLl0SYZG+KeYC/bsU7/jH1a
vXKZ7TS5uL5T2zfuoVrvLfpUvWysfZkxj3RqulJhs2Yd9G7a8lznW/rgudMDPxqWsKanDPD6N+79
9HkEJU8cmowxrL002aEXqAO1ZFhZLsxGXSSHzDLUGtfxpNy1PYfEoOIWv07109LEyBDqe6dVWO0Q
PBVnfPe6smC4nmbRZDLFw7CcKC+zf5tJg4E4KW65A60ZbmLoIjGDFySdCcO/hQKHcIDaUIfko7iB
YqbA6VBIJiP7lTv47jed8pmNLFN1agnxNMwXjoO13QgX1VSDFCOKSbfxYBJoO6vqbegi3BJJTuFg
dSyMPB/DyZkfRZaafu2oj62kUR8wEVfafgdtHHJruSDB56WUyIX2fWL5Q7NuHJ7VI+lEJvAj5FUi
B96cChdvRgfqizKp9sXMeGB53m07GyXoeWMKsOUVcg8FMnBZbf2hdJkqZB6iF/jfSfyX1On/S/X1
3FT892+3v/PdtGuXp9nwH//2L7+75N9d0zc/w3//rn/5S/1//PXl9E9zE1n9y2+ivwRXD+Ofbn38
04/lP/6Bf37n/+sX/6nOel5bZFvfzVjD5nz8k+Lq/l+FW/9Xsdf//PmTftZ5P/zv/9X8t7/05/Om
6HLMv5OVomPojlKc2GUXmeI/tF62+nfTwgPBU/VbHK6nok2tQTuyf/+b4f7dJH0KX1vHNjVbvUnQ
/6n20r2/o3QBjuIPTdwvPP1vfz1b3vr9P/SKPDWe9X/+/n/UY3Xf5PXQ//vfCChDt/ifukbl9sJM
8mD/Ern/F5FXoXWGLPC6jip3dv+oY02brsmZDal3i5YwCrD7PL8ihcoqDUKVjnF0QHNU6eoDps4w
b4GZBlv7Lfql6PChbcfppdG0EfcpzgbcrRV9xFzaTBSQNW0FWI4TL9+Y7XBsl7QYmzuYwyun+9Cd
rWTcmI5ZK3kVs2lLkEhRl/alBDOpI8q7JoNKO7ZZINykVQ5jhdziYuWqpTAHVaUArUmHJvMQwGjN
Ckc2UX+p8wIp0ZPrrF66bBu1B+JV3PJ504j5joCY6uVsz/hck5qCAyZNj+PJ+42oEEhD6djhxuQB
mZ46CRP7uc0sd7jNqdbtvpQO+hJXQUh2dvXSuldsY74RS2Syhat0cw33Oei3H9qq/x/qziQ5ciXL
sitCCDoFoFNa37InnZxA3PndFa2ihwLYTi6lNlbHGFmVP3IQIjmoQU0oTnd+ftIMULz37r3nWe9W
NDc15hqoYdzsyyA3Vr5Y8mlMqGbuq7BrCiwdTAd+lGltWIJRUML/ZuCCz3wgJoiBJgTjsRYjysAh
TwIxPWV2llVHUqlZs16YLzPvocQ0bB4A+0LJ2dwAeEuUyrOUicCToVUgz+CZUMthN95GP1mzuAfI
SY37nvg6Cfa4+zOz5fCW/KJO7rHUxu+Uwzyd/xjTypyPY02zGDbeahI6q9ezPS3Nm6xsepLZ7dI5
R3aMw2LbzAl8LyKLWGKsxDHVuy8nPR2omseISJ1V5PLi9FGbvo750uWbEMMylrDWJUZkWKTZvjEO
C+ofgcu8bT12dumdeQcycyLjVYuTMUT418ob0d65xIZgt/heEF+yVPvJpQ5ZF7FreLnMIWlDDeyz
mXT2OxN2HTO/6ct0kxVzygQuYE59aRuWvTwH0Zy8Vn4dub+9mB9xPwi7x2zsqKbkt2gwZkRgGMJz
xNa5blvCYmdxe9y00yVJYAGyrydF2mgygRopi3SWm8CTmCSXLKItuVvadkHsIBDEdgQSNuHrVJAS
pCi7RanKyMHlPkhMXF/KsSIYMKE7vU89dxktQkPuLh/wIa8Z+OL1qLNWp2+ZxS/NoNVy7WO95FZ9
J3QYjjsZK+mvs9A13I49m3b0Cw2d5jFQGb1gNvPTtuapHuItDKoooIRxGy/5YfVZFx9YM9N158RK
xvFjKJp+uOQ9uJh1Zw8NidA8a61gNXPq4c5L7MHd4DkYrF0gXaQfFJRRmB1D9ZuTNpgpLcLO9v90
ro+XndukZ51DslQMZtum9w4lK2EYmseBhcV6zJvp0dJMrjbRzAIGLBPsdjmncOUzpmZLn10CI6R6
ZrcGVN9F+Pl0kSoYfwZOaB9yq6LSdkrjngoRsIPdnyqKWva40NsxO+1ug4EBqSdoNabLZGk8CKkk
5ThdqABHNrB4EucKCf0FL3As688ucjAxFKRknRVBoyy6zvgQSuKrPc2hazUW42OnHRCUYgSdSxmF
TsHExXTBJYhn1KYkqQ1KVm6N5U6Oo9JXu/f8FImPrTHEXyM9+4hcKizFQQurR+AkOZGs3EzUWG67
0O6j1UJlj7pF6pMdKigPKt1Lkh3eiw3/rKPtyw0zlqSL2W9VsRLBeShSZk6P5ShquU+BwMVHe6Jy
4k23ONmWOLeCq1v3mI2lt6QawVgW5ZGk05Dg+AmKApPY2GFv4ObKJ4qTOPZpDGVSn6vvE5p3lsVF
YU/0YDWTTaYnyYr4nbhJWh37pAyyex2yVQtYPdNTch7YPabWZvmZuhklExPYt8qfXZmoUPTPyVLY
X2VkedbaCiMO9KGOcGQVYU96rF3K0tk1bsd5bzPHkLuqyELMrI3thyvt83xdA4Oe9T5d4sLh4PWy
edNFRcicB0jCi05i7IF1xTbeXdknjUUySqT9iai/P5/mUVnpVktiKbHI7RFvgRO9q87q34PYb527
rqnCd+1VXfAHFRGZZrGbxKXTtnnGWUKaYS3j0GXbT+fhrai1M+c/HMK6KeEh31L9Z6pmZqql4Ybd
zNHs9CvdBrP9c5E0Luy9iAtVYIUkIUU+OJsESn2b0sD60iNy1OIuEXnLWRwNVS7upnFMf4xFseAk
8xBbWZpUsd3KQpH9hZOjZ2VNnMks2XiqGpqrSZMUOo9lqe6zV9IZ7u1h8QTul4bZc23pOMGORlOz
SxtU4Q9ViM7bSJWKab9oOFu4Wq2pvyRMebHTzj7O1ECmUbqrkC+cYybimi1bSeDipogsp5lXUR0X
/WHqLAGEwhonC7el2wiaoz5NdUAzJfQUv7SpTXQVWFmXPXnawZVmz0TufnnS4tC8y7sWHStuGHWG
d6Ot1ORwjjLf+al4L6yvkUubQWyUIlH+RbBMCMmZ5M76Gi96qLb8sUPD4tk9nMu2dOxDn6txOTl5
U8evVc6CSOcmeC8Sz0PApYY7xa3n+5wuNrrrR4VNNAvL6sGyZ+m89SNF/LMMAitdOdPULWv3ttL0
OnEmpoQvI32um1RTz0+jE24dxYavO2+MibUEjR/Nl8Tve7YiNb0r8LAi6afXaLL18MLGttpcqQlN
tndVXrPZyji9OvVxnTVvlYPdgswoqhTpR5l4j00ZjO9T5WcZdpyWawpRtmqurEVhHNooVaCeTR7q
Nw3v7QhOanLcjgfPCPXnJgh44YTVVXiNcDZR7+BuLJac4HuBBhMcZk8MeNesusQQEdaqemhJec7b
NM9J5XXzgNEDO8WIicZqpPmYtdf+caccLymr16zwZyv8OfmrZd0Rfja24CCM9imlGHHDKFjClR+y
cO2FX8uxn6rOc80vUTQ4HhPdZ/lmyoUV7yZv8pCi4xmn17Vv89hcl0QiTIeC7CsCpJdHGINlZqyb
YZHxDQOwvshm69dYRVn3K/PcpL5SioGqOTnG8ZevuC5T3JWuKbMjBWxjWNYZFWP3MERR0+5sS+BW
nm1lPcA0yBf/FAfBxKgznhIYhseEvSuT+pGVfMtX2eeDmU7dPJfN+JWKSulqK+l8zf+brmr3u7oh
KLr/D5oqmpd/x9C4L//Xf/y9nfr+8n82VEL+A7RNFEon4m6IEH3+T0Ml3H+AsmY3JYwdMC2BDTDo
PxsqN/iHFwEgZimKgBwIP+P/NlQgN+DlAKGkFQK9ITz5P2qo7H/F0tzIO/RsIT8aIG874rlHw/W3
xqrtoEC6KesK3cWzKBuLDid6tFGJ0gjDjCRb7vd17TR09beJMhurXiPO2fsyZWXXYDX4My3/r5bm
4uegzc7kBRIjabelzaZtFCbXPnPLE9lpe+1CeWGgnz6aoh0es+5i+x/aCuxfTKEJuQbNwc8c0g09
Br4hax9je/HuuPn9rTsyqUOQOFT8H2nvpuWEV+29ls02rbrhskC6EbVggYSTncYuGs9O7v4mRmou
4N7WvP5o3rNixqij9GdS8qDq3aOl/PFa+XAuilbicvBi+zJ05XRnezVWqAQv7Mg+y3WKhUerxBzd
vHgJWx/bTZ9DDcBjQOprsVb14t3HViXvG8tsJt/ddyr74rSjAmrzy6TK/JUOY1hPunjwhuxX5yZ/
1UW7oQH78iFBrLmzE14ALCJeNB0SDaTNZimZorrqIyyYM+6K+qnVBj5eLB6HdFZrzqV0FeNX2Wu7
x+mN1cyuG4LLlGvrsR7eCz/fBo25tzqfcLBiPR/rMDsCIsoQ6F7w8X/MiVue+xrHPYm5Q9f/Vc8O
aaUAVcKr/T9D7WfrqWXRl22iI+NJte0y4obDAj0f4IbQ7LZsz3OqT0zNjho30XaJvsPThBx0CLbA
o7xbSUJOEZvQ1ioiTzNPZ3bYZWu1NOmDFVbjxpLBaiEkeurU0JxU5n66blluYy6CXS+DnT876jxT
mN3Rua5zv5cnEWHSjZvwpTWk9HqFa3I4zvq27K6Rl1yzNIsRZiYsw0LFGrNJvsmn4FHZmLwiwBzE
YHLnKJOWV3k0D6mN697kw1+tg82Jt1QO7F6UavDWdRfLddwBfFmm5KkNSGC7UluELesPm3v4nnto
30N3OHdlepK25z/a8XQf2WW4arNcHg1ogKEb46OcGsnyR/fkTniZRdy9RBnqMu8B41QPf2JKKLBp
vYewZMtZPspfQ1Wrs+c5X6nFgJnd18Qye5q81pPNmflZzKI34v9FPLX7mSWrEpMUFxazAbOZkyDf
WHZ1SW46WPue+p6/rW1Dch/7pR7MuMeauOx8N/mq0iy88whcz7XOVnnpkdqxrKvOnTe/qNLjOPgH
z0Tend9b2Q/mMIw6Kn8XYFwcGLN6RfVhrBrCRyXI2AduTLqO621w8pvYGVMEReRWSCYn2yxmxRcr
TB+ajuG4nHaVIVTuSOW99uHZqiufnNjovbJvaswjMB/y5iPP+wvuGLFTCZ6+u6S3Z1ajHib3sWq9
4sjuX0Jgc8O6vNqruQRDkgy3HHSOmBQCuDwtZbUV9i0SOeTWmd6KKo0x07Xqzj07G/k5X/vRu+eZ
v/FMAjCnBXMwhgQRPZFuhxKzh2Ld6Spn7mswMYw2psBi+j2F8bXg1LoUwjmlUyTPSz5S70JDYdmh
/aIqO+QL38oEmzTbdkltp+1Typh71Y7tH6tWN5Xl1NIV7YIOLkjiiQfpGbZgDsvOsNwQjUO+Ta5v
HxdzzSlqdqNmtJzVtFmGtkOHsT7TS+DgmwHMDmzZnfqQ1Xxsm3AC2kMJ0+FOGZntwsEtVhma6Qoj
IhlCKvAA68lO5QxjsTsXUVbDdHWrQxKK+6TyKIIG7T3lebxKVfuhh3Yt6k+GGIorDZZLPAPq0De/
paOUPmQluTcvnzLm0wMhF7s+M6iGCLAUJ+2bTepUZjdE/bUOTMAO34Wcu4nKy1gbfSlzWC+lhQfd
ElsvTBOgSDUXiFOs0V29q49z4EGXe4cBx65po0/LLsCbLPzfWjEHz6JMn2NF8Cl8G6JwOHfCfRaJ
FWxLN/WPdhYgQ0xENLKJOXRHFqLAxhE1tdi71VIeO9VGpxy/K7ZoTggABicrTn8Gyf3fCoP/HGn+
fYT535jEocc0iAEqhSukEs9zo/8Gkcx8AFPaUmJtOkXP2ljjGl/ZcpxUgCJ+i5B3thbnSAU4+buw
P03dn2ZGiFOcSnmeMeexkOMKjvm7f37aYlTDGlOEVfqCCl+XkBoybBXXZR6T47//8b0bLfS/BrDh
jexm+4HN7mh+dNcLKWf+Xi8okZSL34TsSZu4h9L0xj7ChCbDlOCSKx+jqv89i+QQhsUP6od6VXq3
ywMQ9F1T/AKt8lGb+7DAziEadDuPeGtZYjTj0tcz1hUT4dLQLouDXVwHAgmjT1K89NaqV+OGid/a
zx79POl3//4X8/8V3/j9izkOiNTIgWR2A5P96y9GpTZ4hVvhO7edvRMXvzzIgEmHxcxUxFDjIosI
4mN3pnPdeyCJEqYsBHQRP9ni+zS4zJ3ZWrxpYKIQiojsPZrIRTVYlDqPiDETOUqhBfRVGvd7RGGW
POJ2qBJnZfWmZcEAcxG3YiEprDOQPgQUC0sEF7TKd46DwipLrl37T9rimh0mH19qwrcd5nI3ZBMO
TNd5wT1NqCSYuInCzb9/fVz3GxT7L299FIUBkwmJacu5rdH711eo9ct8EQtCIg5hFl/E5ZXdZOJY
5620EO0YlPo8Iff//Lz1v4KWVjcvxIxg2FT41qei2icJ1sKhtKaHCeX3QQ+kgFuD6fNcxdbLMjen
eurTB2774GXJgNnUKck55RI7ceb0vYtWYdMmn5y9zi5gneSuYtz9yaIOd7FHZFsyWV3Tdvfe5FT3
yaGt0/csbqHFtEgU5IqT/ppXuT6gm79+k9xAdLTrpczidYaU++BV/ry1uoWxQazAuCB3nRuO0POQ
IwLQaD1VQ+mcehVGDx1A2BNwjscQRJx19/13JJFkHz7YHGnHabJfeC+ZXkd4XetG1gfMHcGp7FS3
LlANV1Ns9dQ79XBqFrZPm7zdd1aszn2J4LxE5Jp0s3TH1J4H0h0QxtZ0kFCtGts701QSp6yGPSsE
CfDeXMaxd1UJDAi7TrlBWTZ23xThmj7S3ReYVHdYiPW2hVcSOJa14Wxf1rppSJf3YXfC/YwbaM6O
7mjlj6UVvFrCTffBVGRnHroIy1V+/P5MtkQ0IgmX/vttGuV92nX9zlcSzJJnx08jDgRURz1utTI5
Ry00khAn3yqX0XKWY2Z4VoS/3H6cVy3jw7eKswAvSPU1jw08DbVMewdCC+Y+84SNUp8Lp1o3AVwN
pMl+F/Oa1CIUe6ZfOS7vilIw9UDwLVZzCDMQucIf9EtlATOLJbEqWfF0kkt37zMrvi9h36yjpBKE
z8WJp7fYVdAoSztXhypqEBsKJQiBod/O8cuorWdu2fLEjKxcl01hb5PZGjAQVFStOXymDMXqTF6i
Bb1l3vAdlJ0FUt5U435s5UkrcukALKf7PKp+1v1o/uq6znqe4prKpgvTi3NLzmcwLbtskZysTv44
GmgwFh4IxoFiE5IgOKSD9TlQEjzBDctPYRILEk2FfxfMSQUFgyFWlekj+y2XQ+MWu8UYNqMMNdci
e6vziEEQY6s7FXjtS74kn7VFUo9iPTnMrG1DyOZiJjPDt0pZLR04unqTjs9O117MVPy9fpNp7lJB
jqhwCes6BYDDAC8HGYOs7PdtE3+0vDLsqrn9nRQx+DoUjUAzE96rUfrHNQL0fLKceT4llf1h1b29
jfwTQJ7wKfR08hK73jtOl+4i58a97akOViQNiFs3Ldi7QHvnSSfThRpgunz/KRryG3gn/0jyCiRd
ydHnT24BnqH2r9OgO0yENvhTu1suSasfvxOXvfavRZlHW1Ih4dYb+x9F3wVfjtM/w+ao3nIP2QA9
4F58fyUW28MMU3A15Z+4u+2fQY6FJ2tr+5ilc4mBxnxqkJGfiY33ubR3Mg3bR3Zfdo9G9PJiy3nH
hEsdihrjeT3Y1bW9fWgmR561WvBMhme+2lz7UrZs58utrUZOW4NAq/eWU/ACF5F9LsHAYeLscSEO
AVXRcjMRBiw7H2Y55fvKSQ2B1mXajCqDxJX1wd6fCv9QeoN1jhu3ItDRqafelM6qYFXBe9zHf4V2
W3+GDKkWRWCBxUdPVZSmOBP6P7iN3B9OySYzTTJ9bxbl/SAqdmjCEPtDKpcrSB8c+bcvwy2oNrgV
IHyXHNrx7IpDqqV/KaZ6k+IEfnA8aR549JqHdkRkav3UgGzhH6BI9YeusX/A5SKyJTX/6nKeEPhp
sRF4EdHLep6vQnmNy+UblXfoHpz+t78cb/8M1BJaTDTbYFzwGiNKwMi+lc5IMATDgnTeLYv7MJQU
5WnFCE5w7x6/P8xDSlPQuFN1/Ocfv//2+/PWqd0Nj8EvxFZohRVW9n7wzb07UuBbCCIBZ8wp92wY
e9OI86hBCfB8d6PkeCIrNfCKscAa9aJhtLzC95kxUXYVDzNG+6INLz3bLy5oFqfWjcVlrtwcY3DB
ngy37Z3DUgX9azbqo+1BvElde4FctmT3Ze901644fX8yTNl0EkN6dErIEpChJBG0UFBzU1dj+NsM
LRlt1LDoopLoj/FTeh7ehR0TxXIHE2r50P5Plo+P9w5T/xxy2EWaSF30HOl9VzVPmYy8U3L7IICf
H6KIzAOa95uj8a06gXcKSFY2vVH7CbFxXVvxV5cSW/bRbneGzdQn9rOuSPjixcdNV8zxca4afzck
tdoyAbuPW9J6MubBPYRx+QyQCRpTWtDKGHhTNDULywjV4hxYo/yGDQDHrqme49TXz7Nr/6aLDE/f
n2HDNAfkdDCnbNo8M7XHiiJZYWqG4drePiBvNlsbPf3u+9PvfxAtWw+bIdplpgv33x9kxznp5tK6
DJuCsc5rZELnpZPP0WTVj2mT4UyjF8d6y7IE7ep2W0f9PjIjD5u0+tUnxaZcwrsyl0ABUvBxVVMQ
WtHjKxdlsmEW1l6DRDeHNithpuZZcteFBCKcMEqOVU8iq+wtRmm0nXvQTOUGqekpbPFI52M/n74/
jFhKt63iRy6ai5LAtwCORSxUjHG+zhSGXmePJ9M44s5ryJYQoKkfgjgyB6k1AYlZVbu4YfQbB+On
m+MjbbOB7B1Di8COH3PyB/AVZ6y5DbIOUok4ifEwMet8i6x84yrRfobCB11ENerX8cmMxFyZLHX5
DQBjugr+1qAvi2BeVCfu8JOE4x3zrUZYV2VP22H0l3d8WZgT4Z3YUSHW2sbHmYQ8WkbprjOMEqt0
septP9UuxCjnN63m+MNMcr8Yvz27LROlealPEQ96npND8uwtkjx2ljKiofh8dNyE10FmjwtxgYMo
aiYS5KZlfk6rKuRtt6CbeIv66Y4wF1lrsppsYy4mzwfoXP5wDSeHHvOG4EqwyavQcs+ivGGv2hqD
fWa7jzWPgYPmnp0qtGt7Soq3eRHuMczacpXMtP6JTz7PkqTGNdaCg8GwsuqGQR4d0Rziqr76nRs/
6KyNscVYzVnL6QI5lN4jVl9KTocx6vpfVVHeppd1+OpOvKLVHENtkL4DFjBvt+xbaq52a9ihK0y0
HRM13k0SuuPoJ+bnPDzloFg8O30wfedvW2N45sdEosdsEyxgGgKUoquNRLmTIZRY7YMJBOiWPPRc
B/s41M4+0W39ICI4iLOb609bsoZF+tMqVxLgglW9+XVhfvjovvTsrXhYPCQmxKtDKlp9puj09l1t
d6c0b8dDnznz0e8mnORjFWAaLxWZEOxxGq/rycSq20fWYDY4X/B2FsQfKIM1gSuaIhC1r77XYpWw
2QfDs1b/zOyHrg7AFTfteBRiKp/GIABTM8VmbZcUicBm6Sa14P7CMhgc7RnYJpmSae/l8/NtLl3G
vf7pzu28KeAn0KxZm7qpwAgNt1K0BqLgkO4ih+V8UIECR6iL5wTx5OzCXj3wnC927dRFj64k4Vol
+ymr3Gs+Ort5aMbnrrGKNbJrs6s83n6Hi+tPv1jzo6n+LPXY/qi088hL9Blz9H9a3Ah3Jmj9d38C
isQQSuhkOY+d671WsdxnZPoGVacfOCVwQiZ6fJtSauDcMrQ4Sy/wNXpyU2UlZs7Q//JCCdwKnvGR
Vpt0nEjuC69LNxFOjPXC02wpRP0jthmI2lX9Wqr6lx3b+keWTRC8XLB1Xjurs44B9HjLOKy7kpPW
0t28rXs5r5j3/aCOiV4CSNsIDrsah/R71zgPYohwdafzw/cHtZjl6JvpxnmPzt8fZkiYRc0DS02k
lBTemLMmCIajRt4rMlKR6tnQGmmeaMtxjgNJhKB/QQp3HwMnq/ZWTNi2Y669Tky4QBYT3TpvYC7p
Nl5WyPLdCRTuvotAdWeu6e7rulz3BayTOVgO8TCH18HK2ME8+SGB3X45RcqIhzYhT2Iz6NrLDkNH
oNQL7wdTbg0UoivG+XNq2vusMv3OkOPBvzyNRBu1e8oHJzuXgp2vLTkrOw/02dQOqqfO3H1dRvVG
DwTl7Sxq7h0vHe6mIQ4+Wjca4AdA0TNe3e+Yqw+AAuL6l4UxeZG4RZMAvXm2XrsbivyjDcPpvTKj
OpaDtNe1CX+zXTqFhBPn9y5C76H3D1OPLM8EQz77arI3IaEFVvo4GZgcon9Lm0D6WNKXhCGR6wiY
GilPDAtTwbkeGc0GnOhEnMpql4gyegvqlFZr8QBzGj3v8G3R+CzU61nQFWs/MkC1bbVKC2fa5mOU
P1YlECEbNhSh3mnTpfX7pEE2xXOUbayxqtaV6/QPva7bXcjxeGozke0svuWqbItTMqvsYSDR+rBE
QNRKPEhFVe9IcwJs8YnNd/Cpj8stB2gHy7K33YnpAWiGvgkWYIL86iLVBRzxcFoZ0jgi4PpI4hS9
WUMQWOOswPJlBy9eMThfo/1k6dE7jrWNY5/d4cfy9iHr9daGBEDspBxOZghvVl2XLS8iGdd47RWT
HgMIrR39O9shYAtGQgK1S+fwXJbQMru6e8TT8lh5WfbQkEsWYZpdq7y7z7wCoqQaMZhEbnZVTpdd
meea44T1gVTgiP6NWwNYQjavMqxDB3dhMB0H3vTSzGV3T77gUjOUIR2ICJGNSbRpuAcOGOurU+hW
LpacDZmk9rlzZvmM/5ffNyEjNxS0KlJHxyJ3w2NmVQChUOYx6YbFxHoFbMxxmBxFM4Zwb/xlh7ms
3+DVAO/SlN5bskiziRn07YrlSeWJ91SlVTTdyTbAMVSw7g9e6Q5Q5CEdrY7o5RifphLFiMXdMZjl
HMgPjoxNZhmb6JkYr6PPzLVutHcIlpYVjFUH18QDH1dl83NZh+84qtWls+piE3kkVhhVTA8BLIva
eRhuH77/tEzg7+vCS//2DyVRnm0zghb6/hIx285DpQhygC49hQXXURupfG9iyV7hMcqu7Dne1mZu
sTIiJ/o+QtsoCP6zF8E8WbNgclR6ajdwqb3VhfvYhVPz1dZC3dlDND+HhudFT35LxTnSSp5VV9/K
JlJ2uX6uYo2LQijrB8v3PpwiNb/dCiFpEfqdwp9YB/jaZgm/dFM1PLK64kH7njoiHQe0qTJ5nUv9
hejZ/jXZzdHUdfAj8bHAM/ueztSjWs60UzAdgyrxPibLKtejKbLTwlP2rc3wRtS1eGKGwOTWV9dJ
iRSXUNSTNgc0X6Sefe196E2ys7bSa5KfXQ0HxwVZu8tD/342XkplKJCB6r7/Euz4mOy0+yiGGGxj
34zg0iJwmMYtX/OsIVWL4RFVUBav/oSims/OwsimLl+nREHwyNO19nufvQO1fks7xilKNPOh0Vn1
Rqsa3Nl9t5yUsIG21E61qure2iy+xsmJhpmsDDD9ZenXU0idmrRF/CQt6T8hB/u5R9uBx6+XWIOh
ObD+58tLkJOU1SLIwErlFdqn/fg4YUJb16Lbe9WwIvCDm8P3rbtMGah1or/zmwEflOV99tWfro8u
w8JsUE4+BlNCZDmHymLP8x2SLkwc4f9KLHkYDk3fvXsxqE01my/fL7u1Ab7o1+1bDpRqzEvy0Qs+
1wkYfSTUR5lMbLlxe/fOd56TsTkjE98Hyofm7hNBy5/VUiJBzT7hIvqDKXdG0qbDgNFD7yjPOoRW
5k/hjf4oD8WgXp1+/rBcllx0Lf58l0p4buw3R7n3w8hK4e6ttAPagpzUU2Jhubl9hU4Z9fHkRY7H
ZqVKnNBkrObpFiEytV712F059IB1iJaYTOkxNkIKKNP+ty9/Vx6ZDsxG9ioqjc+4n8MYe9iEgUjS
BOVi3gs7P/pgAVJoXXQ7wVrJ4r5r8RstYNmZUvmbZo7SO5jID0S4EDbNS6dd3FvK+S1cuRKA/X2H
/088kLdVfXoWKcQeBC+XeQFGF82gcoLYWfTPIVHxO/GOyoweGtlvImyuAYOqCPc2jKOAmDlPLteh
S+vJ+OMZK//EothjyjVrka3rlqNwCW85pbm+693m4vfer7p8DHIWLCCYYpokBGccXhewfqMJYMQs
kHPsHJG6Lz77pbwyVCTf1VRQPjrn5CzhpYN/AY9rjFYgEdpdrRByatGmq6RU2ONS/Sm4g7Pp08yk
5BrZvDoOM486gxg/T/zUY5cRHucZhumU2FSaiTevekAjLzeBDknzaOirBgOsJmlPZj+F0N9FawLI
Sw1FKoSNvsnUIxnNflt64V9NmfwWpWkApbWPfUuDBJI7XE3BtkvCY6GZewPBxw5nFVx5MO2mNADh
zP2L5spbl6h33wPGpoP6DyPqkxvlDnoh6De7fIl722dbx5KvOJguFajMvIQAoU0zr+P4F75easrW
A3C8xJ9OtzwHjq93kw1FOwVuhH5OaYdfW4np08l5wFZEWW0bDj2mlh+p0CcAL1tbzBkBI5TNMizX
RBUDcsHeNdbho9Nh1dBD8d6PeET1jTRTT9WKirBEvroZpjJmmqAAguJjssW9aCM4fxqvddUwBhAA
ADJ3fqtIEAStBbbbGVx4++3KuMlxSRcoOBLMWW5RMsWDN2xaZ3pjeIA/szxNLKODjScBvF4TlnTy
PRcWavgLEaOG7YoFgZqO6mc1NKAFMF7ukxpGsmBbB7FEGLX5dbKado37whhypbHPMShBKt2JAcRT
owDYGyvYJBbjiFE1L6FZ/mpM+xbRH/cKMb6PEWH8W5huRZb3pXJ7tSco68L5tUF+EWy7o2V7xb/4
6d/CEOjnrD9p42PHHaVTJlUovTz+iAfjbVxxNo5r24bE7OdqdwvT4PB0DiUl4ooQ3S3Oiz06Sajc
gxpBmZBkbVALwNmmdv/lt9XCcG/wt1PYvlszDvCQJB3ijaQPiJdhb9kD5aDedqH/WJgD4zle6YKI
VOl51ep/U3cmy40jWZd+IlQ7HPOWMymKEikpNGxgUiiEeR4dT/9/YFSVIrPaqq03bdaLZAYHQBwA
uPu953xHKgx9SXiKjPA56oyvzjk4MzzHgcg75Vx4HbwA9EO9JQp8RP4NopgI9S1KcChRYIwHnIaH
fhQUkRDkp3UCGoHaKYxzYmfUsGrhrS/StmOM0I2vBHB6E+kfkTuiSXTgFj0bZt3daa6hr+1QvZCZ
8tCTJnka5xuz7eMjBi6WXxBYyoFGIQJMDOvR7OgFBrRqOJeooME896eHEZELkQYlFNiKr88K83UF
bKXlDR2FkcilGaKGNyXNjYJFlxuWS9WyE/ypFGmSfFs7nFamgpzs07oZlaXW6Ozhc4OtuJFio09F
sSujdl2iNVwXMw1Itu1bkRYhXGNgSEMyA/XTg9UzMvYUkZZ1MJ51G+eD6pD5yIErhRWcKzf8kTWO
t3Pz8T2oKc2783A09vZlCPBsm5LVVdc/xLL/wp1ur03tbBQ5whyN/CQkuFZis1Ci0TZY+TEZZv2n
D8eSNBrYQhmJ8/CclGqRkmbtupDVsWEaNkVjsimqgRpO1mc4/spgnUMHgiXprmJ660t9XmJkSLf8
mNJV6iLpLM1N1ne31iA6DC7JwRExyfIxA1xo5Z/2TiQg4YQ9x1p4iC9pEiTZpeG4QoGTowewZlho
vPcdkW5JEDE34QVTAuf3MA1QcmH6Yfqg4oUKWJJ7tFUpGlQK0LvJgzmqhRGth3aXOF15GCEuxnat
gGTX26kbc+zWEac5hl8mbWgrYMUviaShQjdNDGasz1sNKnMg5GeaWhZk0hQqt4K4HBkkHLki2rB4
ag5uA+0LpE7gxyjNJCpoL9mOIAgsL4M6TBV93bXZq9ZNaGs1GKEOrpW15Vr8II4PZp0SKFfWAXZy
F2l3WGO9TlcMVRRUZXayfgR2wpg6jAK7Aw6RLCcTz6arJq3wSFuRPsvcE7Pi2wIoIIVpC3Z4mqz7
SfuVztebQKAs6fqBcBUUtEaRnv2BEahvKK8AfsJzC/0ULtetawyPCbSYndBDqGdJ+jzZwt21cY93
9ksTVMvocrWUddaxUd11RXwe+ixYYnIACgRxP6twJMqeaApZ7EBe/3IsnNWiKSCEJMVXRmV+jWQ4
3kzm9Gn06GKM1PtwLP9X4Gb6ojOqH6r3n50xNihNJl8EdwFu9ZdDjlyr7H9V5D1VlE7xDccK+pd5
47bqvh/xYRe2uyxUcEfUHsteRMqrzNQ+HC4QS28KHq1qoJBWorEv6NlhPOCgs6LopFzQ4UOhv2qJ
DqONUnAZzrjdNhpODA2VitYsOmADslZZyrCzNjiRLpmbJA/4noPblnAzUI2t9mozKuPwwgqMIKi+
N/scfLBDKTSXXnDH2IZ80aVi5vKax2AwIRgO/iv2pXGdmrBQdFPTX8wGD9pWtmXwNmSJ3OqcnZvr
3cDwEGHY0fMICe+Q0NTDXzXJ20CHnkiyxkVGevpAUph2HORU/35PhkyYsnq4pAccnzdGKc6p76IP
cUHUMXsxdoxyAtIxssE8ju5SKginqM5uI5wor1E4TWtvDKI9ptzk1e03rSjesS7Y5zGtXQA6hdx4
QxO/dQhIPLNLb7u8+HLnflsn/O1Are/2es8S/e+HJkx3NKHoxV0fav71quu96+P05X9v+P0QlcEt
nVD7j33NrxIUjW6vr5IAF/fegJoyHACZi9i7VSyIOTh1Gq8yIEQACZql1RkzzqQ+p17CEkgTN54H
/x8SCf1Hq6eElQxUkDHs6G+jNwH617XiPBaCG1ShSZG6fzzUhOl2GB04S2oiCuTfn6mzwAoGjvP7
rV0fnx9ynMG5rXxYkwBTgQzPr/jju+EVeUpb6Pp5ro/btC6vD33v+t8bhj5nJBAGfdnt/fnrjkOi
aXz8ANftnfnrDliKMMemAXz9yAOaTOG0zH7Zb1L17q0X+h3gzX/d/f3edLqj12ev7+G6byFQBc7f
6e9XUOul88Xd39vPz17vfn+Y+RXj3Gr9vUEAffp693uXPi0B3ze8WwTxJBV1Wb2NbK09l4ELRrVr
T9d7IvCCfaajQYFLHw7dlo5hA2gvEvdZ+ZjVYX1GfALs2lVguue7yXxDJabcDBLg3fUxzCj1mXIh
s2sL0gEBQCQFWBOJYE3C4vP6mhLqz7myC6LfqsZk4cgmv3coIkIEagr73/vqpMeqB+v778euf5Nz
Itg2mRh+P3Z9MQujlJoM7JPr3etNJJMSGnyDwGj+G9e/6/sJag3XB8g2v/3rE8WQjVtfKEBm/34M
0wn1axp9y+tm1ydU4lpbVjD0rebXXW9cInC2BNRp8JtIlFgyy4t2fp+RNzR/zOv+sf5luxxz1eJ7
u0Er6l3ameYfjxle3e/wbpHtMG97fbHR5mI3xY1YfH9PlhTmjsue+r3t9Qm3dGiYOSC0v7etYjo/
Dv2WP/5GW4tsP8zL4j/ei+5X+9KADfv9N+LJJpFcQmW6vu76hE5S2V73WJD9/l0T9BZ7JtR0EP79
fcAr9vcyw3b1/RjVLRwcraDzff2O2hHRRhP4X9+7FjJtD3RLfn1vxQmmDvng/fx+yKQNf2Bu+fH9
PhGauwcMUm/fDxljGd5MYfv6vftyqCGf2v7z975yGi03HWWB74dqlWLrt4un676u3yNlIXkjTP/h
e/eN7zg3dmZevnc/hQ5SZVDo14euG8okzI+G19x/7z6osGpmdXH3vS9YYeMRzNTJ4CqyZFLMKh1F
PqfyY6qn2iNGmIPmzQNcqbRHUcQQ6s1+QhLEkwUm32Wbp83++ixwqnpt14KoyPnZEhH4lnChfnV9
1nRsHfuRZnO95dmp9ZJTqMnn65N95cYXnSUADm+vp0FKuSbrm4frS2XV3Uetl99dX0p/BttmM4qb
65OpNH1yeoyRvC/eYRhRpaL7F/x+D7kx81VaoGDXZ2ufFTI1CzrD83sgjCm/83Jxf72Hu7l+oFK8
+P0eElZdotOSCxYv7dHK1HPtj+npup9hdmkWsS8P1y3rsCDD2Iut7fXZPg34CnqvXl+fxWxa7+3Q
7JfXu9TLQC2U6A2vdw3Wp/dDZv/ekyvN6dEV/3wLtN93E+mUv99f7sdfrcyT2+sfiVsD0Kyr2/vr
biqpwrXHim97vesHZo1AnLbu9a4o0/zA5Iimwz9/t+l28LX36704rIZzA7zy+kGvDznlsUV0wExv
MhbAYEB80rJ9Qwx1Z8uCJm/G8hXIZ7aEa8NqtpbHYQDOY8jaPqpUIvvnJDnQoQd1kTTBjXBs+9EM
Yn0Fm6jbjkVnP17/pbUFGPL57vV11y2ud9uxaO70lsaoHtqPlRDDY5VT5ufOdWeOlx4LxyZ+at4Y
Hwp8e2F1N9N115MPtFRX1va6wUjHkWqkRJs3b6+XtjrUWHN+726KdOek6cHluidNE0gNEP7O+7H6
9v+gQNbF3zW8xkxRMKWw8CVhTDJnyMIfnh+vDWpNpXSElYHUB4KJ9WOMj3rw3nc1h71vgxNtYQIy
D9kO69i3YN3NyILWLtSnDIlu0mPnp9vW7TFoCnmfiQxOm54h3nUQrpczMsj1kNkMY/XsNPIzLtr0
LgxqZ+WqDmFHT34YvGtIdt6b1cEC1yQ4Nh0iwmOWqR9wl9z3Ni5gyWOTutMYm8lKTCOWLylxBeC8
7iI/o483KvMwDl9eGAMU0Ip+g/OU0hPUt80QVeRh0fvbFLVK9kLnjfUO/AOHqKIo7gkOwlaqnFYd
fUIWhD0weschGJop9RZEpXJKi+DARJUsrsyqT0ZsivOU+7QtWLHlnS+3FSmcC42i8DHNg2Yt+qEm
F6Fx4T1gflZch+ZTCn5CQWRXHppbmsyo7IGWrmsTqhF6+WET6jWZOFpt3dLshWhEafvexpTKx6DI
lDpS7io0ptBPNe0Zf/knpIZuk+ZSrNw4KNEBmiXaBl8SAh8c8iqLP/Fh/bqqf/+fcVL+QlP5/8n3
N1NO/te/CCX/kZ29K/LPrn5v/uL9mzf57f2jDPQP3TAdw4IAYEqdjPl/mf80FzDKTOwzDcKzORF1
1NT/dP/pzj9IuQa9o9uuaQHR5Pz9J05Fl//goodFFwW+ZxiWZ/5fuf9wGP4h5rcsNOG4EAAdWLTN
sBr+7UIAaaUDS23buEDzbdcma5MYW0nTeBi3DTKbPPAQbQCfyJxNHxdH7Po3vefvyH4iUvWuFfG5
7JK7TidQM1I/woySm9ff9vnZA40fC66H1Ozc+D5D5R1M0TOmo1erLi8ABmnqgrfP/LdSn17BbaxZ
NHwULtW/mpY3zOpmTgWgL2R1uHrCde5YBFKlZy+C4Wromzb8Bcnij1/vf2POcP/jCzEsfi9qBAhc
ZpvlnDX+x5UxchqKlWYfbCNVG0tYHOkRfQQFhfIUzWWZwCeZmGL/RbUiuJ3Qgd4LfAzLpGtOWqzP
WusgerAS3duPPfrzvMa6o7TXWFiv6VSQrO3AXkSeFZ6jjrw2ZbWEEIU4vGlM3jmM7jv6gw4TnKq+
gNkLwnQ4GGFxNPQv+Ej93tVBJcTdcIOphQ5aw/VPeY+jbRI4kqjxlBeRvJgH+rVwHLQ94i5izRsj
3tYW7zzvEVIUyQBI0FPaIe1xi8RoXQH7hCtlAjlnpTAb4nIQjHVH9bGz9UsGAGphxdp1eeXdGtAC
rdIOT7yXY5Mm3dIIWsK0hDEd/Aa5Y12Vm24ya9RTzJ/9GLg4EIpqY5cweRBGZneTPr2H9CSO0oZz
WKMrxoPU63d9P32iU2eU9/X3QrUvwYuXW9YNqijNNOv9f/+1zb+Ogxz+hmXbEiIBh74uTfdvlo8m
rI0sDPBO2FHDZCJ5K8AOwHqHWliKbNqMekaqWoVcSxavriTsJImzN68bN206lBevMJF+Fc1yEkNw
gyXwIUudpybtGoSYYOHbNncWVT396ud/FJHbnnQq7JBnGN4HYnH1jMaAE0gY04F9ifxAo6/sVatG
UrKFwL0pJxSQlYslr8FmUmR1sjVFQUFswntrk0m9+O/fiITu9NcLgmE5lg7Zh3OA/13dP38c/wyX
shceec7gVzk7YSqucqOBemaRGOa6ihlX5G17T7XHqAF4Lz3URcKJTrQhNnHspNuigz6BNGiVlHPT
bCRgtrdk8wzoSz92pn4CC/pUQ2AnuCjz9oP7E92uf7BqjmS7Llf//QPp/3FC8xlMJhvCEZYnhfjb
T0wquI0DPsZRhj4qTVjayDrY+7iM1gk22cxTxm4ygJ9KLcavOAoMzOMOywM40Thx1zKG1aY89dLo
rn7UW3nyRAeXreJn/+9vVVrzQPHXb99EeYuTb9YmOzjF/nY5zpvCM+06gLcZQAg3koc2CbNtFOEL
44zZTvAs6SAWNE2u/8wmgD6ECJBHGPnmTRa7UFFLkkjqtj1o4whxwCLdkniJBnyQlW+krsiBopMR
tHeiRa4aKANsIfSaqPDOpkYJNQ3ErgsVCbH5nSODhwFlHk4nMG+G019i/ysQsbaQafooJrg9eruH
JBGvy6KntSYuMGagiD9J0As5s6NDnD75qqJcqNNGm0aoP2XUAbbES1UH6NqNmhAhPLA7L5YvKMg+
hO08AAoM0VQXLNOIEAzj4Qmhp408Ey+G/VlmiML15sWH6h926uhGJPfhy44pb3VEAawB1D81v6BM
NYgp5CpCpTp7oiljE0dGejnMleEDFckyyYMj3x52UorDy7IPPwK3ojPokGaIn+0EHPMDWPTGxVC3
LHIiM0jfPvpBe08tlFKaqe9cODMzvm7hayZ1SvIxemTtupG+smhCNotoatmORHUQXhHf01NU8fhC
3JH88GNCbLXE+KgJHegL590mTjQUhA9VExlT2XSoO2COjgHWvKnoyIt3OPurvICGnEkVLcwBI5Db
E9cHVuJoWIVxa3utWAr0QWXva2us/G9l7Jcka9TAv5CQaLijViY4aLPN95kL/69m2bpAHRA7iuTl
dlqbdfRgZuWq52pEniOZiZ1EHyRKlAmxERERFwfusRKNv3FD+qkGQg450Z1JGV9uElnfmJN4b5vw
IffpZyS5btxPddBu6LndhrE6iwBF8kS0n98OZNWG54o4aVb92kvT68R+Fe2i4MRsG1ayppZdlM1a
wRd3WXjGEtFsvDY/udV432bYgk1a7XzOKt2rzrh1k/2QW3RyWzEgWhgJc7LocSQcH5BYuI62n/h7
k60rqvUYUznrLN9elrYGtdRG1IsuQkDu0di4beNVb0fniu7k3GpVxKnGT3GbfuaGzboOR88ewcuX
zypfwXZclvui9l8sMRjEarzQ0+sx5kYHWw7bxsgzsLeop5o8QpWWfvQ1ARhKxWQIxS0e2IDmteFW
gIE8356jUVYecU4jK9FNprxt5yUfioS22mBJSdHifaRqLD3rBskqrRjnVU9SQC6tWuPJbhaIjPAe
OhC4iQ2sad6QUC3OCUHPKAM2TtqQReeEHvLsOQUy/ZlHOfEvMwzKQqDv0u9E2ECjJtKRBIw+XsQq
6ZytC2HZaIqjlk5nE8X32qawI7PyXtfgJNuW+dA7RbNVo0ix/vLTQ5FFohQuOICCjRjqh0pvkG+W
+rqv6gOiq0xvoxslMwj7KW0cRurPaKRAVnX6S58n5FsRR5sG8bOT1/f6ALEplCnOyCJxVtTa7u3h
SfjSXbZKvdW+OieF81RmIWhzmu0TQQNOXb5afvo+DuGB5GxSRh3hbOKmpZmI4z5XwbpG+L2LPFjY
RpbhNib9VvPNfZfU5RY7WLSog+AWCoe58Wl70YysOWoIXXZgCCyMMXg1/fghMaK3QGpEuvTJvjLa
cldM4qmVsXZKWuPezMF5ki6/NjNytlz6mTryC8cggdCG1UNqKA4lHxPfPZRFslgNHzhaZhAK7Gcb
UZbtRjIphN/rptj/GrHz6M5Vrk9CghMg0vcJoO/A5Wip+abSrW22z7LjrVdx9xla08WSuNEGEbzp
A5I6AwJAZ435InR0gNX4jVmntFwbciK0+onpJnpjBWEJbZdzI015kGqKyGAtSbAAipSXUD49jeTP
gdCNVUXapRmdtdD5bG3a/hUNXNKmAopLA/Ha/uDPHFpKwU3DDw1R6+AbMfJB9JRMkMQtiQJ7Iydp
r6/LfEXu9Jfn1tvEKn6mVT4u0coyG57EQzK291rnTtt6IsJEoB8lPlJAeIg7esmUsyVZl3mMloC3
/kMM1ktIFMdCV9WwrYXzHiCKQRfwgX8VTrcGaRcdirv2yLGmc9w8piMnIVDaN8iqS8ewP5sSMa/w
j7HXXzAkW0vdJpiJKyLmET86WybuuWCKgYZPGxBexq2WvOUFOOuEqfZ6xOe/Gka+U9zly4pOHzlZ
WoaiAbTuF6Lyg4dAp9ehmkxcbifhvbvA3P2svU2F/ZEMPSHfltz3mC98yYU2sEhxrQfQVrOWx+r6
V+T1qEvkwQ7Dc1C0O9sJt42VD4ukM55G+4iSmBKOWZEZ3td00krjwzTSx94oVpk2fBlO80jV9dhb
hCxDFrlLbSSnsKoWyP0JPZHivpef1FkoXFrB0cbBUQdqjWv9q45uKjKQhhElMTEymJ1DFGnQOYy2
44eO2l2lyj3Lt1GJp8qJYED0xDK3lGpzu/+MkXWe+xnoTKD6BNlo0eviycsqfzl1RJCgiR8p4EHJ
Ghg47Y5rb0YgKGUZ0yakVacDvbT9ikik5NOi5xnG2UNDl92pPpwqftSz6JBLGk2dARpDIO5w7Gf/
y5sUUrbWzVYTjfSFJ/IvQRocCAyfZY4Rrm0YyFoRHse01Ja4+P2FU8RrsNrtoeZ8WhhRcKGJgUYk
39iOzbzMhiIyNoQ0im3Fmm5Df9siWLYG8ffT8JATtQQlYhfJlrWAAp+P1aqS8bD1h/ILp/87FYNl
yIm8tEbGYIpWHpzqBZcDAcIyvzQuLlWHt+Con0BCS81bt+h9gJOVC2hPr+5UPDdJ/5BkRGSZyr91
RPhc1TlTvmcw8+hA6J4uhlLcI7xlBtHukNBAYbBmxb9kGADqRcMuCXGGeOBY7O450tUPpyK+JIAw
s/Tag25CnGoz0d/rmMyEAoWiUwhdmrNYxGzst9blnttrMEij6VGociUDFi1iCp5HDWx1b3o37VwZ
rquDRoMTeSEzxWIDyF4uuhg254ByamHR8Crifs8wdLHt6VecRNEG1Mxu0BwK8fXNKOljutCyaN4B
9mAd/q5Fcbp0pP5YJfgYgiYgBJEEkA6AT1mLJzFoiiG3ew4NHFgBJqMS7fadSp87OBYEHnVb3wgu
DlaihVIjh3pxcefCft6RxE4eDsY29EwefnXWf3u/zHdJpD48B0BHNRH1m6J9s6RzK1GtKQ9qtMzJ
/8xxiqIWJp/X4dJSu4wqlVZCHxte4QXd2YX8amxaSC4LwCGjXOnXPw23dnF1DBx/RDVaIr7k/nAz
dkSRR+TTLYdoWErRbsNmP+k1NDJ4gRs3ocSKMjBYWzmyADN6nOCq2pO8NLF1X7SNsY0BRA+Egq9q
HQd2RoBUYstb9JApMzrnh02UOiddgqFXwzSxZLCYl2z5OiB2BDsu647KZyrWvrkBsQ0UHpd9GXKa
R8ZHJonpQXLbLnHTv5Vk75HuHEdTv7Go7i6VsN8tkbtrFw+egWmW0i34uUJ79AcNzEf/LNDPLd2x
RNLujA9J69/4dLUJelpGenWInPRJK5pPlkvY9G218InuycmDKbdVnT0nIca0kFp1AWCvdRjscFbe
l428HSCiMvI0HoyTJF+Z5AYturE9ae74IUs+eDZqzKCj+teSBB8T2rTzFqHkS+nEltWvvrF2IMAZ
D2km8OMnMwm/vrca7Su19bcpjA86gUZ4Pl468BoLaVcUKsiD06sX5EZfrqJKUCdQZZg3RQ2DX+tH
vyBz/khZ9nG2o+OZws8sIF7LLslhwhGMcOk2dtBWhS856h4zDpG3OjD10VgnNcA3LTspcPoI7F1S
iLoOhT2q/CTelTOGuPWAcKDgejccBQgmukPXeaYc91DEb6SWgbrq1EMMkBHYVWZGb05nvE1eB/+0
+7RD/a1p/ZfIZYWTaht4louUqF5Yvu94r36NfMQMpwtcCUzfgkkbsDKKzBa+LyJBkUORBKg1xKL5
OuF5qXV2SxOzrDOdklAmsH5bIme99ka5gb9pMwBStD9SCEOHxiUFHJ/BrXBqJKBVfQ9Gfq8zV1mU
rv6R5qBBU/cHszVnCY1sq2jVYyVh49afPsakWOtkrcC546BkVAaiIU8qYnzoQySl8/UE20kA15yw
sqJeuCiCQguMpR5mxyhEUNiG/Px93q09GK8LnxqUGbOi0tGOBsCvkIkSqaa1ER3a+D1vSVXOWf5V
+jCg+HROjplvqKrSB1fJPc4rFBkNITr81zpz5yIrn7Al0o9ilimlon2n2asqGb4KZ/yBFfmZdfex
16u5cyIuBl6nlsbWJkmjRzcpHkbD2rr4nFgNDYe4CGGqFibBvsDQTQvKR1NXFOpixCcpc/6qIucE
8yC+VDrilo8TVLM/skiS49gXL5VKzl6Q9+tVP5GCY4HkL7twFbcOnsvh/fql9059jDUE0X1yV8oW
DqkLfQyZ9M8Ity95NhCBGz4YK7PZYXUTO51aIJCrMQGnh4LIu0KmP8YCYTipSSdJD1dEYJirMDpn
cf/Y6pm5qlO5h6P9ELqExNUivCly5g7Z7IvPMvMpahjnA+OUdbRPHHlQVBFZ5CHM07P4cbLte08m
d7Q6ngQtTOSpNG+gSRFG6qyaPr8rh4Acc/1HUYSXbPJ+NoWpw8Fqd00V7zlN76i3fySaRUtwusBU
uAvMbI/BlSWej/+wHTadRz5AgKwHtXerPyQKLZjh6x9FbKJAINrSFqzYci+CZq/lZ3dicmNhcVdJ
cs4fHFRJEx5PF2kVHeHxMP+9nsNoSvzLkAcfdRjtyoDeU6AVuK/wkQfRVy8xoCmkMUxPumclbbz2
ZaUvq/yzwUHBzKAulokLQpfFNEIw1nKfAQk3XFoI0SxzLI8iP2bx9NHD6kLnET4Ulm4vYzs7wyD+
0VUV4dsSXrVuP0jH+sCnv4qmnxirCehqfW3pqOhLmwizBbu3IKvtZ5yEr3KYHuNhLHaZxXAREyac
OSgzfKwdJG/l6AR192lQBlKm99YYE7K+wq8qCLHruasiTPZOC70iYIERKfM5nODFjU92lqG41dLz
1DXMeeA/YKkSGcDWpj2Orn1IhoAh2EWqK34VsvwKO4eVTDfA1cpfGfCRecfwh3uUf8SCozHX2q2t
As6+gofjvj9KM1oXA8dMSHzIIkz8X6S3Akcdqoc2Hs5xJh+MMRpXXQPOUFrgyswPO0LDFxbyGEYM
tZXTnNVEFVixZMEeRCvO+Cjy8jA04lib/Q9dyp++Cxs4yZND9Hz904jjD6kqXTSF6gDj8xWfK+1x
5gPjR58TClfkqPqBLBRAH1c4D3+0rkFVijlul/YvqH4PRIn166ltdnGjjq3RAxsKFbretF4ZPVf+
NDsONaHLHcpCETi/XMFLMiM5h27XrGjVF8xbX2JHvNat+2H07takbMlouJFq+KK0T9Q61RIKJEjc
ARSshtY4KQC6ZKPlagEfOVs4Xn/2XlVBmGwiia7Mayr0eWFTwAXAq3p75eczLcRqXuGuHIOYiUGp
joRYIfRMnRQqEak2IgDMpp9Jt3KpGfkkGvTkKlH9Us7GbvQNUA7F0lo0aysIb32U3V1nU6np8FoA
AwJ8NbszjHFTY12gNmJuPJXvlWtsiFN1V9Int1sPmHOok9uSMh0LdQ8hu+/IxigD/bmOoOn44zs+
JW8FyOopNbJjhbyxyQu1JFl4C4FDLR3vLmdi1CQq2AfDmxAGyAwhf5CMSviWgwmq0MSushFnk8bG
QsMjfNahOQYQG8MSR3DdYmTrwMMzsxpxqk+mi3saQ1ovjcNU5/oR5NBWjC5sfMf2Vu7k3HiAula1
RfDckOosNSbngcuhgZu/6B4J/L1PdPXutq57jIKuRfqpUwv6KgkLfciySXFS3qdwbEjoShgHmjAk
4wcnDn7I+LnAsUbF10NCMhtRS8XH9YGCrKjUdDuj8+aMKWNeY0WsPdNO+5zyuRYAKXPVC0r8i1CE
+X2AEzNhPc6En3lIZVSPlahgOLYhEkG3qh5nMvXOI1rTGXHHt0alvTPukmRL+zlg9CF609w7qRPc
OFgAuELe1qiVj2nkqUvma/YRr90DcL+UxlgGBXk90hClbGJZSIGYdDhldgr8cfiVYN30ZSyDRaJi
4hRatUNYGB/Ib11HtleCFBM+FYZWXKgwuPgKVHQD9tY79kpRz0yH8MmVVGCh3RtHw06HdXhXxTSa
Bn1AllsM07nqdbXLvK7CDR5r51QDruU00v70GW809fuVeNqBmGB4DJHOUqfSNhMg/x+RK+64tGQ/
havtxFj5BxTflGgcKHVBVVySUKQ3wsckVFW2vrRUXh7NxPIODbVySi3pLZiR9Pb6r7AiDJE1oM2S
jy5jUJ4GV1B4bfxwOpl6Z+NFxaXcZBe8aoSXZUN6d71xzD5jSd7deHWT7XqiLBY2POZL2U71TdPE
X1FQyEtiaK9dgAC/R7hPQlaMN9OIOKi4Pt7qof5wvXe9wdZz5/XBl4FEZz3xTXKeQOakskBfcAZp
Ifvlpikf6sBFvT24zWOuknc5lOXG0rVpH7ct2cpO6p/TToU7J5kPbT6Lb1nFAzVIOmsijNcI1uNb
F7jKUsHDWmsuhPkO/+TaEi5Gn1SxyRBPsc0akLMnTuRdDcX4GqBFrKjbH5LgYmvbQj5cjaVk+Il1
lRC2QyScQ4tyAqs5OONaMyPMZjK711xWSJOA4zXF1TLPpEeGRJG+OLH9GcEvIoeIGedkcRg1VaOt
dSLM4E1dKq0mrKmWb/RelvQu9FvGRnHnzoAN6EKw0KAyOnKMd2C7gHc5RrG209Y7guD2DxCelk5S
ujdWSAQ2jiGmV8h5qUhBoMir8IQsBu9KdVQN5dfSo85W4B938USWnNgXLYKKhq9Otes0wkymuGS2
cG4OeMxw0gF+SAuuzWFFIXq0mnuOTR8cnbM29TABc9q5J2vaeYV4KSELHnAWWocOLAAHUwhcG/Ls
kWW1C8Rp9l+qAKqLgQbaKh/1OjeemHVgLmjGk5w0h8hjUF4oU7QTESg36HTy3TD4chfjjEAe6aIY
Aw4kTACyfaiokYTRxinCcNtP1NG6YCxOVlZ9wWNKCHIg/4HiKVO8uFJbw4uOokyiG2wZe+zQlOar
9uQnQXVKSTZeOQGk8Ix5clkl+iWw7q+nXEUG0W1VKy6mIxV0m5HywFVqr+EHXEe0MXCQpBem/9U2
rLoJzQxBu9EQ1xx14KRSr9oqd1K7q/E7yEfqYOBMN5rM49uRLquignkT1N3BbaX/SjHr4EWsSSFo
EWCdO6iTGsIuqdv0J69of7h1qD02Q/2L77q4mYbiR4vNeW+Ok3NvMJLsDZdRvxyPQemLDy/tXien
Lk6wRLOVDstgSUdBOzTYAzlKqIG7BXVIf74BQDyjs2qwf9hJPYJUdiqKk/P1JrGyn4iwnEnkh9Aw
4rNXcgroHMBF6dXHwZ4D0UxEtAmuZzqzhx4jQTX2GEnc12yY2i0F9Hj0JGIE7S6uKdPqkUPYDemy
TUwKiO+64S6u6ZL0RuJsr47qUEAkGglfdyQXdeJpbiXZX8sy80wmoFxyR2ouUwl114uM7p6jw2O+
V1HBM21W9CQV3jXGcMTVMaBa0M2bCDzOoawxbE99tLHG9qhlNIiFrq17aaozMCeqaaf/Ye9MlhtH
snT9Kv0CSHMH4Bi2BAeRoihRokKUNrBghIR5nvH090NU9e3MqO5K633v0jIkEQQc7uf85x8GPYu+
rEfLbPJ9kmhyQ7tWkPNCbqO/aDfIA5P0XztLygtRkTWnP5WmH/vWBkURIZs63GbmNfSL/qzutFZ+
dbL6UQIabU1jQMqcR9Yhrs0XDAMQKOjPokJQTJ+/b1LtgcHDY1LUKAV9IjnislnLJCR1b88AFxV8
wfy4bXBE1MbSOJh8XpcyATVZbltbz4qTGenbqnGj54LD2JwMXkFDHmG7AX8U5YAS1ojoHox6m1jw
t0vZoPOruoNR8BJhOGIHwDt2rdipmmjbDmlwP5OiwXtXM53q9O0YGulD2UQfBXjFDqMXfVfEzZOv
MuSTGnLVeGifUX2fuzk9HFqW/3qI5Tc0cNmGk3o1BfYL/qWPdYv4PYhbFIwU2XG46Hkr1J9wCEmy
aRkuNfG+qh56jbqKdxMRCYgM6qdM63ZxmhwMawg3hmCM3EcTBDoc2TDWjBsbWyOw/aYX92i1Wirc
Jl0FBf2bATRcqc9UB6wOoQnqQXrUIZYcaZS/Wdi+kl3ZA7vplnFM5pQRrzmUzzgMfKSjtYYd7342
dXwx48B9c0nwWHf+It8jR3CbdmON/NEhMLUlOQ8/4ucqBSqOgzY5Zn1eryszvuvNoT42mK1tG0N6
sykxOe1IKLJIo5RVQPwRSXx3rZbpq7Q3s7ch7LRV45CJhtZFPcaBOJG2Y36O5bSKQN+KIvEvuIEa
93GJRWJcgJrUc9M8mGaQMhHadZTDTPPc6IqTRY+15EozZXIfyPyrjKFZRKUl1qoatg3UyU++7tuc
SPPb0JrPWHUYK+qD+UGZPtApuJEsiXKTuvCfbAN3Ud8YRqDo+QGYtUpzg/1kJHc18xvzLgqiHh0L
XES22eHcMoNuZcX4bKySh0HDNi6b5gcLhfVM7pRZZ1hQsZXRkmKOyNPfNIu/1mzbaw1X2nVUNc+G
7WLJ4SBYZKiAUdYSe2ItEuxxdH5kbvKZpC1VZpwSsG5O+wwnqd3gItOaRv9+CjnX+oxGpUcCdrB9
tOy0GUtq4tkiUdSxYcZU/bBl8/bXHTr+tV9agAWG++qMw2Pvtru6trs7d0TVHxKnsLINsQvaqXos
CIok4LNcyXrsd0bsjAtjE10Axp57xIe0Lp37vUS0J3SDcspwSKNMmUd3GN3ao/FTMtBVoJt3STnj
k5T9sARumum4F3Px4ljN942G6TItUWggjGaz6bCxtHVa6qbkCBq0DLYnuzC4YJBtew2laVSWpE8F
Y3DfTw7KP+orXiIsTGXgIKNo4rNd4wyDfQPrZMyfo4mdqQ779g4olFcQT/26WZvu8Ka3BTAv9m67
OTQe/Bh4B/T/fQCXvosl5VZUBjk342yNRnIsiSsh8gR/PRJrIccABLQMQyppZx4xHGxtkLwsfzdj
wnXozBoNbhc8dGOab2NnU8Ko2Un8KDDEczf4+BD9iNKOZh+sOyiLfSXqL0IP8jsg7A/d1pv7UMBb
gD9AZV9XL5YZJStbLaf1poPU9y1RzV5Rz6AlB9MfShrjADiSAztYYcn1SqLeKSOcyLEzZ51kcsuO
XD7nRld4ecfAzqk6/TkT07ZP9XAXEYO4zhv3qvW4O9lhvDfDRBwbMJP9UgcPP6VbHKokW6psLyCG
Z8vduYem66/rDKjBNGHYWiZ0pzB+nIDjVpVbNCdjRsmWDO18iiN/bYeQgX0ntw52VCDvnSv+2h06
jx+jCeAqxCNKwMDpS26ORU516uQHq2/a9WQ5X30VMS+IjUPlajQ7wRMjJpMh38JEYh8v9K73BFlv
RHUz0RVmcAiz8dsXgtXAK01MOczSxRAjdCPuFj+GX+/K1xO2obLxkvein3bMTbqi9TlmmC7NUwoW
MmEB005ZCFUSYqZtordGdYzMT4XZ2kmjc1Mw42xKMg8KNaKTahUJB7n6iKvoXUXQD4AO/aNh5980
QfgMc4sFvFkVDf1nIsTeXDSqItO2qHubVTfYX7W+SF6FOg0zjTJggQ/y3Qaf7EM9cm2AO9P227Ud
PQkH2LoHjDD8/DVocA4xwLzJRAIblNUFZB2oXM9+NhQ0cQvXEvnd2fbFgkCDXbWGbq3tGIN9gAoU
rwyhCp3iOLbKZ9Rrd0U9K4AcIA7XWTC+ReAhwmLvsP3bMXIJfFoQ0gfoKJCXMCcuoGC8TiFvruNu
20JbS6hg9uBf8Hmi2YZB0PNGYx0y0yHr7ZpYPIXuYl0VkAXj8SNLHoyIRCwfj64QI5RVhbTeIwr6
0TJ2pMN8gGG+IYrHzcR+kZJo4MxW98ga0OtTFb8gDSVs2Vos62pPjt1w8LPuMo4G9JCxelcj6TGx
n26HDganFhvNXR318w5HkcFbZklMWcM7InXMdUD7lMoyfPXxDgVVce4HXe9xtS9/4vieA+a1xR33
71qjnk97/IVQ83oy8zHxUBFJUVH4QKaheZihRgAgZ/dRTx5N7Y4LPcKEF6C0HUVd7S1N67EuWaRK
DtODpTvhy5wPZ8t/10Q4PBStN6cxG0QPMysjcc2v+ERR7VlgTEZ817Ox2FrpGqdYEfxEHP2iRXDm
o8V+AlHVEDq4ytrpu7mosHCKYBoZ/sSpsk23WMmMj7350xXZeSD8dZ0kzlvlv+mpQCXfVGojNf88
JSH4Lj6FWhzai83/0Wawj2UiUx1TjE/JLJ+YbcabPIW3KoJyT0TWC2Fr5lO0PJA0L/R1IiUZzo58
71QzsYDN96QI6s0cMwShGPwSKthSfeyNwKZ4amLobFjvL2zfYIVpns/gbFxbSln3sMqIvKAyJEyE
CaphkDXMbaWUZ8SBAzHbzqFXM2QAMIlQC55xU4eCkuT+Kq/uu8B4ikoUCpYdgJfEy/hOX7x3beBM
yCjzPQtkHxvduA/Lfi8qR9uBKM5Rs2865pqYkFYnpE41Ixurf3aBM0Ha/XXvhJxX3WL8Rgljl92N
qO+ccwtGRhW/M8Vw0HC3rzCDQfkzPJfn7lpl5sUmF3KlGT8EAKBGe7dhtPYAn/QTMzNqnoR+FNSP
GRbqJIR6OPLlmHI+p26WshOJa4EZh0NWEcTAtt2QNQJ9uMZURgpcmSC4QclZof08NVozUCeYeyyB
8SebdUJ++2drNrdDOV2nBnV9bF+nIvhRzdweu5BfQEgfQyf1jT2l6b37JCCjqcLSr6OjxesBS3qY
V7pYSc2wH5ZY+KpRgcefbLYiwUAX78VTkjAPbXAWTFCcbGZD3S3t8xGD7ddmKEbKS9KjI1xSyqT5
XlqxeKwWPXbtjKDnSUtLMvuQNMrsp1MK99ws7DxeR6jXgEFQNP2dMLQfnaA8J5xV2+o6qnIwXHjZ
Uv60B/25TC1QDbMASCmK6ThSaK11Igy9WCypFfE8PISJ9kgYoNpPUUd125OphYJ1LbE33miQb1bl
3NYPQQfkFbpntn98kEwRvihkciqFHctsgssyYdNFQuMeNSX77Rg/lnX7WcjqPTHkKdHhs4jR3IiS
rkJrzB8SvYtHRCaN9buh++OFCbpPf7VzcuK7MHZv1qVQ6H4aOW5cBpPoGoWx5oh/ocWJnoh0vTYW
zpRoMGEDRYh8Zjd5JiiuekyjQ8dgzBOZVWxCH2eoFnHTui7xxQzJDkZh/zbZQh5LvZy3Aw6ZKzRB
q1m0OCGYTrXOJa61rXGLQmZkgVbjHsPE+dB3xX1U5ppnTO414f3ZwhZ/Id1Z3852Mm8Z5Q6Ocyjp
eJXTT2+wufDxLf4RPfB/4pq/SSrWBZqX/1lc8wRPufiP5+jHX5KKf/3SP+U1lvqDHEuDWZaObkNh
3fr/5TWW/YeLhkNZhq3D/SYo7r/kNc4f/KgyHVtYYkk0hgT/n/Ia+w+HkZxE72AL2kfL/t/Iazhv
fiN0W9Jh86dNlo5BeIK5CBD+RKfPoz7o07jJNpA7V/GEr69toSjQDrljbaE+72Xi7FVRviRdscGu
atWE0yNfk/bB3DRNsM31am9gAm7a1r6J8B0OzPjT6vxj1T1nuKjrPkMcCxYDG55eNnvfQajTE4RU
WJyM40aBf1lECQRmR+dKJUrHkDLlbMpjKMwdR9y6AsJKsI8y7G1omLxKmVeZkPpaew9n/A4GMWmS
NSky+V3gNNsgTQ+6AoiziidLT8gs0Da+HO9JygU0JRhyGa4yPSZc8GR35m7Ii6dQd5/MwX9KouGR
PtRCMDd2zLLC+KIF6VPvWPsclm6OA1jWNls5bDJTrdHjniCaH+NwvvcdDKO7ceeerU6diOi61+Ot
aDGVmhkb5U815nkklpKyCc+rvBt6BuhT/F3TsXfHsTNHx4M1/BoLqgMP/5hniBuMYetqw6P5PITj
qauyTT4YKJ76h7joD11U/k3AiPHX6GqlHHhwurRwvIS0gixs0V78aTEMpSkjX0bZZor2ikepk+g0
o6MHVN+OBpQmHPJgYsKfy9gfYePAWGjKZx3zq55rT40E62oKEH48dfM7J8QbvvqpO2cfG5BxaryI
yMWG8xcBL9Ako30sttq5+RtJxe8SEQetGNdvSV2hmbHkImL409eYh1BrsykPYPGqZB04EJ389KTb
+ccYQDrssXJLqHX+9ObTbeA2nf85Ned3ZcTvH/qbLoup/Bw5RI5uqrZ87szryBikAi9eOZl7+fcf
Jf/1OTF3RYWBCoy9wDSXl/pPXxAuYJSHbYTXkKiSVRFkax/TbMgsjPmoh0cAVC3+qpawZ+327z9b
X9Jz/itiZVkjDgaT2AcIth8LXeBfP9sKS1HMJTQux9cOc3YMU3GA6YJtwDaag+Xlu58Xv6gA37JI
7YiDOqjK9fq6e60buenc+JGKfFVo1SXTb0XVMdA+R1p9zJzx6d9fq1ykM/9yrSgQLcSLNtr839Qq
VtFLTK0jbe0mBaN76Jyu2sWxfp6Vc2EYgu1S/cKmFK9Shymge5WT86PCa7J2L2JM/ubW/feX43AK
uBYm+7r9262L1GzgAwzqU2lii8gPKW0V3UJcl4qpvpYCq12tg6lrP/pMvtM0+2pKMlCC7Kg6FBhW
9fI390fYv4uPeJrkOhL2xAGAAvSX2vBPKwnhv2bOph9topZnV30rFVOMzGKgHai3Vn81rfgrY+Zb
KOyJLNhSM/KPxKIlCI1mFdklyB7rrDCoT823uXzA++CbacRfRpRS6kAZCuAmwbV0LhhKn8NMbEBG
PdW47MNm+jnEhuf45qGV6S2M1YXQ5jOKlZVTqlthbGTMTDxSZ1e6Wze4OSQs191H3mvfRGOeDFi2
bT+fxzV+WpdiSg0sM6ubMpr1aMgHvZVbsINTZ1lHxny3XAu/srgkEaZ6T8sQ4JOOFh4mgx3jRery
p1pOBx2QsGrqq5qL4+Qb59kAvczn6MXluyaRRcCZ9eu7FLU6d4VNwuRgnk07eO2wABoxmI974LRp
wf6ae5CJU5hapwLWZtKlpw4C3nLpQwvvbvlmwGgMkmDIsf2De1qdtReZ/rMZ3CVk5awmay9zzrmQ
x1NU9PwjzqlQuxCfpFNGKit8J4UtLaIN/33A+0hzG92LGqPHwE3tW67NQVBSSRR8GfkNi9/S3qmr
Nwcwb0Iohh0yCHmiFmfscxuGNw1Rox/a84Y7sXDX3cUsxVlHDasCt4rjVGNfaBTwyHihpoHmQY/N
B5kEPwvJiSmTr4gMqly3d2bFsJ7q9DLM9n5M4Bdk6l4vq0eIeRiYc2Am7YCal2zCvv0o3eTFn9E7
tSVextDiOuh71UzgpBi6djNpwQfhkbOHLWyKQZE3Dn3i5cAnRA4CULTftQLTcVdZp8qgQiBz9134
qAHsROy7EZPnX9fq6ISPFNWubZHHTS0kTCHILbHfl3GjloUxRnAAIV0HL60aqkcsCMwweNV9Jpoo
129WipNe75yKKTsalf3YpF9ZyTKa9NpYuTB4C+yRIAQTx+I+ZjH/kjYsnKhuPa3o9vaSEc6rkRgQ
nsqR0Sr6OWMVVK6xIhgUO36MDFGErkzN0jY69mFRTvskGJIpHjIOOEfXHvajhnqf+e25TLJfb8Uw
/Bjr+id/cVUUvC92cy1dwqFKw72AIFOdTM9A9DzBYnQ9XHU/Bgghoa3dLe8UdPpj3ILp22bCzdf5
474WfXWuv8FwH/PQdFqT9TjSN4e3bnx2/ebalyQrmOhTV1hu8SeXhQgTwCs1PEZHkz3VgbmwNlwQ
xQT2VfVeRMwlpkb7nMcX6LvJxm7YApe9dqKSG4L0NpnBV+YqYDmne4bcQv2tziA9i33WiVp6nw7Z
bVCwCUtmUi0xAONg/8R6EFEHkCXLE2GP6AkgzY/LNaIR4d3ulceY4sPM020tp08VG2eOCwY37gmX
JPYaajm2DlHxdzXuRAVlMdf8PQWbUcdPbtjiReuzkpkHMAZ4LxwA7V8/3RbRqxn4G2ZCXBZbXJh+
6Yb1QNr6s8oRZU8ITv5xafUS19Yb6Irbex/ayMqdMO11Ovs4p9112VP8jP87Vf3abrEtbdLTbBpn
rAq/sCA8LjWvHtqgxNzwPiUsWyNeAGnOQbA7aAEsqG7g8odzMc7fDQKe2iAHfiy3FpllqlO7XtmE
GNCZa/lNc+E2VNOrmPlrS0nNhGI/+jwzI7OfKmub+BmsBYQTy1Yv4uTLtcaHrgawNHp69NYBmZnj
5wAsvhPcDSeeqjubl1xWT7E+/CAZlthH8DpeWxxzBkrpMpjJSdCdy/JgCsM+jjH0kGVF6i5v7GLO
bUfnsqgP45xRB9dbCS3k1wIWCokJ2AB+p+UmwXzXKyQPrLOqK5YmK+YhoIsq+pKqeXFrLFwH5YVi
/racqouoNk7zU6WZ5zbQNhD4OHk0cjbsjDMocvVDDCLrRMEjs06yJV15ZhS0bmK03r55inrugoYI
YFWVGamc2S0y/ctsB18EBFzK+oAN6z3enVe/5GeW2xWLdGMAvhV4xU+9gRpMr7yuvrgMC3OzvqYx
Xzqomw17bAB/L/lS8C/JCudP19YJP7MH8X35r0q4l7Lrf5T5QyxPbgOwNCv2pj7MflTVqWvN83Lv
RjbY5ZuicLgQfH9eHnTk6yyGrn2Iu3snvJbdeN8qcU/UzVbizQv4w7bhWCfsnK8B6RAryHF4Tebu
Cdr++dcV6lZwcwNu0WTzCyLKbj5WnqnPyagXR1Mrr5o2wE7seZv0o4OLWL8YsIih0j1Ie1j2Tgff
CoqVjaXWanLNjZ2pl77pvhUN2ZYq49WcZhw8cYav3WrxKQI9RMC2nMdtXF9FEN5yQ56DDN9YeKHe
8kWR2T65KYMwRD+XDoezGSbE8g9GgCQnNj7Ea1wCgDnyxTbtSzYU17n7bo/R/XJ0L+VWMMD6IZkC
Z01nvxz0sC3PrBjY0valatVJOcG5xLsyXya2lrynM6OusNDv+J+yxlwlb65Ew58TjNbwZl1+vSq4
5kqxQFOX1Nj4lEVIsAIWailQ8c7NaelVSQdmNom/jxfCXKD2gx1CJZxZGht7hc0pXs7Qy062QWAT
kJ5WtRvHTDtAzQTLqAEoWbTBzi7HdtOvTJochEb6hwl6y8aNQ+mgvaiGLqAPhp0TRIfGDG8KSY4+
cHRoobXBbOM6IDZf9WV6W6rzONY+E/h+ussS5ad/bf2uR2UheDjWu8w53peyPutZUErITZQB4pUN
DtnacEzJwPCyOdxH3IQxNKFzcEw6qD+waFgAgdoObyTtXQuGowgKU0YL3AGqENviDoRL+eiEXJyR
mSdSadf5g2GDQ0iqzl/nkVayT2vOZYzcSyQEwrthl+Y5cc6cNpAdNhr5uj68bhlcKVMXVyoWzXLq
hiWPReOJ+Bku/HHwUe20ZkSNrF3GKfki+PSETSVzehyPhxrugupZ6wnOB0DOyY85tz+bZoD5vtS5
RcaFQiG5szG7WFWYInjIYUD4QgVfg0Ovttpzr9dfYvAJHjLVvizhFs6FV3WTJxIkd1kUfaWu/zmO
cpsPzreA4qxUxs5J468SgfXKyNmTJjeHKuUUnmIdNWS/EMV8Tgk7XtVYoW8WzjtiQQKFWyb9wS0d
oluamrtxxB+yNb77LiWZ0HmVfTUlm6Y8z0FY7PIMn/O0IQap8SfluekvrP5RRvIpsjnYyqAPNr6d
bn4tWdlyIRAM4cpq88oKs2qr4jNiN4IXR+z5B3i8qKkbaK6eUfGzZqieA8d5GGqbIEWn+2nXpra2
87z1lIx0VGjxlyrbZl2jPKE+CHZprX3PGp81HsE0pKMwHFxh21xdddntAoiNbDSg1wiTFCPcOquv
yEBvrXi1mvqkjwaADkO1JC0M4AM9JRyi2wSZNsH3aMotQP5Z1RiMqIIiJyJ4XRazsSfliPfErbdR
zHJ3p8KmS225tW6wq7Fdsxo8DK3AJ/taN1ZxVAoUChwRUqp7S5OeVczmbiZ9Y0UCvIL8ilkJr3gk
gY3iGv4c96JYlhyjJ6JZGmdVMZAy1AzX1ELgHrfxvZkZ52JSI+xEjkMfT76psyi5RpwONYTh2DOz
VvTZXEsdskntC2NTV82JESNmSn3+rBUgzRA/55WprBdVq++uK5O1KfHvJxL2AjUDfKYngiT2/UNq
4RMPBxtHzyWtoxnxPRlxPYDWbiZeXUF4k8iOdrLe4pqQM4l03bXZqXcxYsQw9FOxygnoOwJsPaSD
e5sgU6z6wf/uNpx2Mux0r2iyp7627uyOytZICWbgX2ZKBqZjYBPY5aOq6v/xv8FDQ0+vd5M+b/Kq
fYwl71Xa8M5FffpKpXlJLHk2FnlamqvIY9PHueC57k3Gc8yR6469yxmxTC4A4DsbSnnZkw2nFCW0
BZLXQiIgZW+VBMsZ2zNLy4kGJNlwo/vcoKMviZ4KZHuFSPipCkxQs5AowB5+xhCnt6V9IwN00T1x
IldzIpgzURXCVPtqa0I9bP+xJArpV/cGBnVmIZ/4H8ho2UH80X+nQXloBJtTmvVfg4KwwVY2kYku
O+D7JD8uH5E56uS28a2K1R4Vt2e3wdGcW2YLvJi9c/Blc0UnmK+W02BZMZURvbXizlbxbSltNV3f
pWlxcJZGsxkel+ZigSumLLirB3bzmbWJxau76vLwa2ySr17jWywn4LCoOgx/pJINEHW2FoVkHt/s
MfmG38QmhXa7Du/Kc1aE66aqUF85OwMnoCL7EWmaN8RiO8UkLKA9b0Fo+3IGOMbIYWpRWOqv0ez/
EK1zyXXk3ERnBe4M/xsQLhdsicNHV+pP0grhVvGtsYYu2upOEIVQ18aeXID7ZNIA52YOHRiZtDJN
tkRXABf0cJJ6wUYbcdJmeAq7LtV1wj3qItqcZqnuNJvz3FpZGt4M1fCWhYCOlqie+w7HRJG+ggmz
OTLQJl+pEl25nUabE4QnTaZfhtMG8XffO2ndKbmF/vLGwbrXk/6lN+UbuMJlDP2DYRwHtl8S8Rou
EZ8RvxM/wx7Era6Upw8UqubE+QxJrCvLH3nJ0meOcw0S7eL0HCXMy/g8Xs1uKJ5qP7ylPe9AEmRP
dm0fghIHBLjAfCu6ojK8kWnOiVlHXxAVcbDwYetU3UvZibtfa1D4fFYu6+tkJbdggklBxB1vFDWG
Xvpnv5f72v1EKPvtb5Cj38cGYIA67lPGYvJlYke1oIR/xo0yJhNYOoebcog3ohMD00CsLgEAqhBD
JWbhGFHvAhgcUX03RLXuoWKMPFKgaSKZQP77y/kXwNcSOoIWfRlgEJJk63+9mqK0aW0jB2mpTtfc
p1nJyWPt7fA9UPFbXHIqLm/Bv/9QBjK/w4t8LKN3m4+W3AXjNzxP74y8JThTW+fLjl74E0Yl2SY6
6SGF8C98jyhJB+UW0j4JfZxLaMeahuAroobsAGIWKGiqCOrMOMV738Ghy72bfHKRlldYDe11aeC7
uH+r+CuMZkFElo5woG9b2sNM7x+kdZuMBM0YUxEApXp0L5ldY0/hMF6FKRI2V5etKuk56oieOAJX
7KuSzgj5px+SjjAYFUpR87w0xtAZ2DXo+4OS0n3pho2leFxK/m7ZQwq/v/Y0HlZNQ66aTTK7jwuC
oM3WaSmol++oMfSYqWEWXKxzq6uJSAwwgpaWNzUjRqDp+2tOPYSZGPuYIDKkuk6VvbcLtcsD/1Lk
xRW08zrTLWaGc85IBUqimx5V11YT556/iZ5p5072ZWAWQjK9pZfXBqhNH7j8pTFbfr2ZOYuDutr5
EaWyvcwtRh2WUxl8/epw2PQwnhFYoy3HUICt444ciXjdbuqYcz3wKUMQEngNVbdXK/M8BWwkmriw
0zDwSN1HV+rZrjTEPhCclFpLxeA2lMQRSpuVmKjLJ0t706z22LvBGdeTg47W1oviGhYrLUmforvj
2dUMTqaekzLAnZ4G1OCbLkhRUJRXu6e1sMBHCiCsPMUrxYwm0C2+qOv0JIHdYrd5C9n//+alkr/G
CH+Bz2Ft2abAdM8RQP6/g8PjlDcd+CS1nN2TJCfXyGja8BD19VYL1eYOFumjNmuPrlMdkrg8FNkS
yDAjJNdxtcDV7eBYtxpDmcEK1nrCKeBQNBSS47XaaCAdJv1zbIY7hS/T0Gi7X0+MFIe3ZEiel/WN
qcHRUfFji6F+JDJvqo55Rz4qtq3xo7Qwukuc9Yz716K6p3zDWWP2MONchx8O7yUFn6TMWFrNAZFf
6Odrwl5+aNF0qqb6BUuBPWqTdRsnHo5Kew6Owb000GRYhV5diPuObK1O8X5WcNHhtrzqZQa0iazV
xaxTT6l6ChAW6ygSfwthCQoFVEhtwLSD65mqDZagty7AosjGa2Ow1sqi+VYhXvXafdjQoixwXOGA
tA6mfU88UGKyFqlPqSIL69SPzcEenaflTUik2hv0VEYOoMqATjL9H4iWhLPob0rgSBWbJ6In2YGj
Wy/VS5UiuPVhSWpxx3bhD9ugdB+aNnmsOfcwPBGr1szFui2oqvhCh8BQL4HaZRP5SMrksKpcl7fM
/HRFeVeZ5b6sJ1jUcK2rk0EYlNTh8VjjXQGEvLJG8zjJ4Ig8aS1846HT9MOvDff/SAh/Q0KQgqnN
/0xCuOvyoI6+/9Xgk9/4BwNB1/9wGPDAFRAMdx2O6v8kIEjrDwg1KF0dR5mM80z+5Z/2nib8A2bB
yuV8E8yHlgv4J//AVH/YpmHBZnJ0tgVGRv8b/gFGe3+dm3JdmBsq2grGiZBC/2XmjDozjs3crry0
T8A/S6O8F6m6mrhAZIwK8sEEiQWWJ7oOgl1LMgmxB9s06iDDJiOsWKzQYj85mNkSlmgtxmAdNveM
Hp5EQQJtIjrHE6cql7t4DEZMOgHdVCe8tCJ0frYQ1APh9uzy1cZZkGRzgsworJYhQ9sy4+cHpBZ+
k2aSrRsbhu8y1RpwkNioNm8w5CnIUEnteA1jkDixDNIm+q1qH8xo+1E5343oirBUN+nxp55oBIl4
OPFx3yT2A4UlYAo8I3urRWG1CV3zI2o0/OUxaaHTQkmaSWyxXF9hoYTS0Iu0/iUaX33oEliGMeM2
3FcRtF6s59gNEEUyo4YYx4XRCf0XsWx0MFMsaKZSog1JUBUJxFOEX0Uf0WAfkzwc7o0Adl1zc8m6
Plh+hM5fG+7GerIPBclbUKQXJ5dzrfX+cXCMDSr/Dp4rOdF4QKC4RfaczgPj/uQzbYeLAeyMSTCw
W0qMe2hNOM4w2czGTyYC6HK5HZh4fs/8ksGscr98WZxYhhT1xbR3TZdUCV3sREwDYJNfgzgLoK9U
4n22fmAWsdgyhjt6/PxQ0ATMtM2YQSFgxLi/lqjes9FFNxoeZNnAxC/wDp3YJRcGF015dy7TaGuw
bXlShcqjkcSjHHRupByLhqgndomWLHFgo3Q5LlwZMTqBgeJ7DO0zZrSYRk39G9WvT5avewwsJah2
UJCiKWWWtXj1uDg6EBGODcQ03PLa+DIVmc+yDl/blLh6/71Dz48n2Q8AU9SUQizxR86Gug/EBLND
LTsgEtAVcQxWp7XEHpkeoBOBOK1A5DJY32CFvEaa+9SWySWu0sKjhIKD3BU7VAAfKeZNBGpgnkVK
7wbvTvypdAOjsLbWUQLHR7cDRs5CWl9Tn+7Huk/X7fgW5Q5ZAj2Ich1+Og6owvxI9HG0JScBMh8Q
vafLCHqZhcKmUa+lmaTHuq/mVUxsxJPe3eKx/hk2FU4q0ZStTdz/MpuMRWEzYoC9+ZCY77qo9bXM
6gM0AkWOkcYRmUto5cOwQf69mDTV2xl9dFoE+SYfSYWYnNbe4inD8U+7GAHNluMAfJ0+6Q5HqsSa
oG9d5WV6jhFkFeyU9tP1K5ilDcZWcy2AChht54QubzOJrhRqBsTFX9Zzo1gXfYQ+ZwTrkvqUA/HZ
8Ip72ta2DD0gqMwrZ+czTbS7qvUZYLkVgICb6OtALfF/NsEaE+2oN7vWTS0zTPqNrSVEvEsr1XvO
RPHROMTzDG7oWejnDwLBt2F8M/M82SPBYuCndFyr6pywIHHG3eZ90Z3mM/Cj69gGpqC016pxxOJf
8M20cIwo8/x7qqXvQ4AtSmjjgxuO9veEzraLwzfkAsWmoHBZ1WRiYo4O1tplWzfRYJDmXb5WESq8
MuQuL8t7nIkznstq26REo8qR6TLzV2PStDvm+rOqw62MIetj7tb36JTzAZ1OXpEU2vXLboZepZKC
WWzusjqhCvfTsDej+gNbCrxVcFndSGQJtQ7jZ+qIpaxRkKySpAE40axXzWiR7WLYgN7Eg39UrRzn
//F2XkuWIumWfpWxuacNcHDA7JxzsWGr2Du0zLjBIjMyEY5wtHiceZV5sfno6TPW3dYjrqbKrERW
ZWQkG5xfrPUtHU11ckKqzw6PApIspXZHxC8+62Tl09ws4yxH0X3oSz+PiEwZk9cj4t1xeSBpcbmq
8ZV5x3BgBgwXzf/JhntztQQo5uvmOyO8vK28B9csfnipgSRANVe/cc7puAi255vSlrCxoyt4cB1f
JCcnS18Hh7KsDGLvsJADtX8cbJAT7rbEFQqXfD1ilEWajs8iRhSARUyLnuxbqrzCuJtzCOk6w6rX
GtmrKJtjUqGK9zPCttfKeLfgW1c8pPQYK4iE0QaoPEg8rLhZZw+Wgwe2pQcf6eEEBGTGPoegxHIy
d3nt/ybOaDfZ7vdgdLdZP0JZ8Vg6DDeG7eIsdV1QoiZjX2O80z0ujjKu29BgCLhbMiZqlo/j37KP
rTs70QpUkvV0dsz8kMflw5dkURoJT/WCEo5EZBUJN8Gj4NofqhhdxpJM8yB9sX301NGq/ce5Rz+/
jHJPhwzKDbwAtrfnBdH9rvGTG6thHVUuNIYxc+The44Zbk7+D+bN4963giMaWc2SZECtG6c3reC+
UTGrbWvGpgi00gxVgUbBevbzgfDbDTTSQewKB/yaHCdF1ADwBihBkCLo5+0RLhDYM84jX7LFFW7N
5Zsv++/E9cnO8ciJS71fiwVDlegLwHIL9ukYNfiAvtGYEMz7OU3MMHNY804v5oRyoUPtrg33xED8
ZDo9PtWZlkcO3a0V8AWXPvu2TDwfWrb7fjLH7R5WrCI5HN0YkGy2Z1x3k2n1aPNR7rCMXau6eoWm
F0SShwsrTHvT9rE4GYUHhaWoD7a1bR82QzmOEJbOMg4lZ+xQZidAy/i1JdYR24pRVwXsi5MKgRN5
WmCo+qsvsmdjFb8DL3/QMQutGIF12344vgaFZnMnqqB/AgOGmk9HrtveT9QJPAXFIYA4QkXAkD5g
pbz2GKudW+kyLlxMYG+q0xa7uc9WQstNAHazYGBwhUXLSyiZUKwIhrLjGaPTPkNNDgsPd4FT9NGk
c/CdVfuD4yCcRqDpUMe6oWHVF/ftzm77py5BQecwFLQTjV2N0VKX8dAI781DzL+rTXmsU5wtYiHh
LW1xaEiN+aB7GqdkxMpmode0ZixVxYKKsSHCuQbq6BoPBgIQxo7WTT5AowMSfWNm+GQXyU1TZShX
A0i83W1TUWIEgjTDKt0zfmsizx2BjXAgexICR1/Ez8068HWFA2J3cC5YGfcqNs4gSGBecR3dqXvH
Bp3zJnJ3nT89LuzI9JpH1MPkovftlWTMJ2IeDmmfIt0Z3F/1vPA5oxiK2QYEsX/bwCjZBeWnXdD2
dqj3ReNeDYxALE3g4rXjfKjdjgMRlwszArQRUuHNBecSq/qC69LhtRx6K04vVDK4qe0OOQqzH+zZ
t8Fqn72Yu3RdPipTY5dYbHrn7Ups3Ftnjq+e5MqWSdeF+VKwUbA9RsEg/dpzTRAA1RIjUbI1mZWU
oPCsl0Zm/m0Vk3e3pNP9SnAnJ1XoJ8mbP5RnTf45BcewuYR8kujQ5qFWIj1iZ4/Lt0wYMwXd0wbL
JLE4ckjCUxC+dy5nSAADzjUO8xj/gMnd7hdt3NQGe3tnRGkBj9aOAks/E0oUaZBY5UbGEyuLRcqa
XOZ3FUQDPB5RrgXDGcpi9Bh4el28iunU/wlsFq20wWCPzdDQ84UJ+U9KMKrWtLtJJoAudm1xNXFm
TnZARPeLLJgsIOv6WkV+mE371OGZgvJdRykmBA7JTfzT0kuDOoiQK7/UX0Ehfi+pBnaQEZWWotjP
yhKlpMvORj7jZSGmtf8rSdk/ZXi2gSoAQvaW/JRL49p3bFtSs/4QRGNC7lVsc3nu0aD8CmwwT0X6
qXDnI91oKaDpzMW82ByE3YuoS4RvWRwaQXGg37GjQXh7d9XquArWeqX8MMeBHUSsdqYepz0irl+q
2t6ZOqohrYdjZ305aiXmr052sb9+5z/MgrluOuML8TgbG41suMcjuEtLXGuL2d0KTLNwaAp0QuXN
GCde2NjK32h5URe7vzFFz7jKWQB0E69FdrS4d8OO8KWdLjgajPqXn5jfLoOrzcU+HXAF8ybif4NH
hfvfXSOire58BWi4hpxdm2zPIeMVewajEhMLQGpECA5eb8VmC9s/hs2GhIH9SC0L9rFhhVgUh7oA
J8SYGVt5l0doDNJQRAs70lAaZQZjI73WSK9OwzpvdjIu0+AYx2zoykuKttwbxdHuJqLAl4DL6s6g
2qAx2S957br73GIOPHRjzfaa+GPHX7/cpaa6bqgXdYUbzrTY7PrvgsrXzZKHyXD3pYYyY8tHa3b/
lGX7TFb6rrCDm0WS2NhARIsAtrG+zMmn5lPY2dtfpgJ6lcJ+rP3pOzY2CHIZ38amQqDZcfEG5qyA
vXFPQmFzkNPFMgNXUSk3bOaYu6a/LuA+p8zdpILBsld2NoeC5pIN7GNeF89kFE87UecI7HuwQM78
kDaEqZPYTprrdPZljXrTvM5rAKAu6REbqO7EOuyaBfpql8kld9zbXIOf8Kr7es0+bX6dXRzq2KMr
SnFmljo+lUrmUTfwbJBIeXVHSTTld5klxKJKDJbUEqFPsi066c2of8hpEVuJCG5uOKdV/bL6BHDA
yPzJQuzn7M9QbpX3OnEiqr4mFEgWuBLouueAecAQgw3ElmtgT4Lm0V2xCKSnwOe5z5wqP3tKcl6a
KAbTldDZJenBDAT2aYXAijS0IZyEV7525chQMCmpdIuDaEextxE8hW2JEiwVV18P3sHpanPfzVk4
6/EBe/Rd22oXKqV091OzUavQFkwehYjh49NyTQArTJ4tFfAi6Fq0CuWxwjWHnENvQJqV26qy7h07
h3KJymGwIbxX07QtD/Io7fBYe8v4w66Cn8m7EBv7m/FgVMeM5QcqnE5Oj+BTWFLBrgm2+I7Zppmo
ptXEa4ggFSI+Jn/mI+Mmju0Va4iB+FY4xuMja+piv6ZPWcE7A8FpxrsaYEHY5h/c8LdmliAFntFW
DffdMp6K8SKEOKaquG3rBk7nzZQ+2fjXd+y0iaLm8+6juXWOXPeQ8+9JLIyW8aQWDIp3VocZfhAA
a4JTO7un27OjgN1Vko3kGp87y3hoDNhkw/g4WdBO5LM9r7dN6t8m7vBH4qYAjlsoksvQiyc7yQ5/
ndJDyxrVZKAja8abPhIUKTtAUOxQcswXM1tQwXuVdeiHOdc/wTyFoBLMXSYYEhj0QpDmig1d/7MZ
fHG04nNuz/dTRTsMFAklmIn4y2T/3Kz9JZjtz74pO+a7y+Mg5kuReJc6l38CalsH83EzD5fZLx+r
Qd0YurgZp/GseB0KasI16B/aJQiX+El7xkcziPuh6H5TBd65XnWByPAgY2ZPrSrf5JrcZtNtIMaz
LUhjHknLwCfX6IvgPYijmVCsHHGoZkGdmOu964EEZZX1ywnW07xS2On2ovLk3PDiJ8YTT42zc8zh
MpblE5iti5s04446+KusvXfLSdE0WC/tNvLP8Zc7dJgO/u7d4hvmTtIjA6gBd37RVYLOK0TOdEmt
o2cHKx5B/1gKpJAwboE24Fjdbe+/FusTcjACaUt0Hahf4kPtVCDOsxIZk8Wh3il2v/wTJXV+seKJ
ZfKsnspbjvwWu/JydaYngeG99GjAvbq/CSTomMRCsN7XNAa8tgg8IRsB5BGY2NL4aWbG90R0HCUk
cwNC5Par/B46cU3q+QoT6WCMAlzuZguqbDbICdJ1O/mB1/2GbKvPmYtfVx79rj3wFl4OaeEd7Kb/
7Y3+eS2qC3uzQ86v2qTxzzEo/0DUpldlaWAafMtuA4/BYdX2VFkq5yvHz5RqF933PpfFepPqYi4w
oGfLv5WdwbWigopiCAgs9PajkaET8n6VS3uHaIuE0PEQS3/cjbXzw7SqszvAqSCdU5avszPsS0Jx
dp4h9qwwjzjIHyzfOk2YupkKGFHevSduQldkTicDKT7jzvxkOOJWId4tPvz0SeEGGm3v3UORtd8k
ysaW9IFjxA/H7K/GFP/Z1kwmkQemgRvfNnazz/3hbZbJdZEP5aivSUrJn0kALIV7RPTJ6euXb2Ch
oPjXAP8xgtFEl1EJtpcIMnQLdFngm4++wCEZVI/ABN5GDP/jEZj3A5hhfGC1sE89AyX8on+CQXIW
N+57W6B9KhsmuvVQ0aMwCEJZA6xr/hjohi2/oysvZmSO7QRaeOnKMA1oo9xKnwYLxVDCjolmezyo
fMHpysHWWYFCu8b928hjx70mN5vRZnNFJuSe19k62xQHAHE98Hnbq0A0d4aG06Lp58Iie5eNe5op
CaK6m550OSBiY1zU1cv4qeKvWrJ0tAPvsROZuYV+IzaiP+kKqjHGOkWfhx7zSKh6e7uwqygfv9TM
FjoOVMMBGmaiGA4ZHvRdjr5pK2rKUMz2a1cGd9VA8xm7fxihXMwSuDn85F+buLdNUKRixGM2VMsh
DGZMaLzHvGhohzmKDcIe640PFM8LvxICNLl2jNWzmiERHz9YJb61uq7CqtLflmo/c0a3J94ce5iv
nGAc8Q+F0SVRBlocHMCD3IIklHghXZ4u1GTGTdxNeyYR9T2plunW5E2HnwmrRuLed3VbXej1HI2a
gHpFpdkd+KbthZ6F46CnW9fHqGAqvpWktMtT2nbYo+v1DmPdnVuUfojul8kyMdEkWAED6scWfzfy
lNGycDU2LlliJphtZnLJ2uSHtuNN3Lr9T0GgH3Agl1FSp38V3SCOWSyifG1uOortBz3y8A6F+Wm3
2c+6HBHDEj8d2XnwXTbuobGiyQQ0uyXnhIakqfOZE02Iae+AvoWUyuhIberaLu++F9N66TpOrljK
G+CzKjIlme6FQrdqEalFTqdmLkmDUeS8Q9wOKH8huahuO0jQaxxghKaGfS2aSFUi2DVxbKFa3ccy
v6VC+5OPWwuNLZFIdAZ5MekmUV4uXpjpNidpIC73zKv5jGhrFQOKY4OJHsnwRAmUtZGuGZpMiun/
TGIkZmNR7DG/SdhbFLlifK0VSlCDG1yvzcVZkjvDi4FptdTseDGMkMEqkH0GQwZTmeMkeEc0ejwa
MFfDpq8k7Q672t6ShyKRXwBHjgS6AUbS+sv2mCea/FrrIkZSbZzfqOcKuulk5TAHpTPXNpYC5GWu
zl7qtSpO9QAfoB/HYmfbJr4RRg2dhCffcUcO5Ls5Cgd+npp7aAHQ7WlkSY5dyV9EzOHPP4mZ52cm
athXgzlgPhFhQPw67TmjD5lzlDZOcg9C/YjN3D7weHFzLszI3BaGkzKWJaRtBuwgl++gSjyqN2wM
xDHTiNMVKk+dGS3fpSwAGHhAgzUUmAdyxxE15lGVDt+WlLeqSe+nhkJzGqqz5O17XeFXdXpSXMS+
wXlJi1Ov7V3njDxRjPj2gyQER6RXH4u/go+GZkvdla5JmJG3c3xrCqeOh5rRz5ELZFsItewTmH6i
xmgIETNwAeCQg8RuigfRTHc1gTFJq1hQcMLTyULvG1PzylQlamf9noH+stMcZmJibrV2cNLWY3wP
YHl4YGtGmCwfIOso/SJLX0SFBttBAXmtXfUrGXz/NAXHKiuWnQwes6bDe2FmBNBTvWCLI+MhCz3o
HTiJ6hs3I8atJ5YpGyU23sIaCVogRUEZIrkHjv1k58BsB0rtHcMk69xhLOgDZ0JMyFg/qRhZpp9s
xu9qY1qutXVRfuXDpmBEHfDoQ2JiaqsNkCYLORbByATIru8M6fbALka0hFup6hN9kBENso1dxSbh
27UWWpOB1EFET7THbWID0xzYHG1E2r54trKUTdiyYHAArcdUlWyTW6svG7RCZN5llrpFU3hSppKX
hWevmWijs4apt8fwHwHVcO8aLUozp3joUnXtHEihdXbwk2gFk3Y0q3YK2dqldHrNfMyNNQ2bked0
SGEkCJ5VcmgFBa5xIHZXhS4y1X2q3K+hC8abch0HfkNfiWAKz7RoPpVmexpt7BtkbrPlm/mWRPkR
oLI1xOLA6X7HSKzCMmltJrbeycEddLC4iXfNXNyXGl00Uq0mmu2vlU5uaw1+q35Txhhk5GTsK0zZ
0vEEA7BYVC7FVA/h2jAhnVf17afzq862k5wiUHlYjHLev3Prbpm67anNKcXdXv/gRDEYGSTBXmYB
sWcwqr1Os+dV8KlzNR16xxtux6Hcg8FM5wLG5nzTa/gLjnI+VCv0cV0tVEOAgetyMXdz3t4HNduH
rEu/YdwZx54OrC3z340Nti9uz1ajDB5yjybPYfmxQosLkcnc5SWJFixX9XHy01fAKhv0XviHQZt7
8PQERW0MjbYMaMPtQ5xuzVnuwQqu/U9ldTR3MbdSvaQmAScK+zvKdlaSzHxb5BRNHzpOSUdKx74r
q/SSrU2oGSWELi63fBOzpxbr7wRhNs8zl3KCg8WsKxn1hyV5G6Qdc19BEzn0wEPytv9V/TWeiSEn
g5vuNYtheSD4qdGWzQAcoXpGKYUWG2P2lEiqIEyyoSi7AqQkmnbXHyCLprQC3LOhoRzuBU13kzCY
d9tHYdlMOpofwVT0b60xvPhpQksPrjcjL4qbH5W4qLZtNU/vKR7iG+46hINlRXJJjLcv5jQYNCsJ
s+iOo6TyCkqjQHJiWAd20uwOTHpVBdHuQPTGc2sYNxJ09a2pnd86SwG7YwoG0ErIW1Y9ExAhT43t
f4IgB6LvjtVex8leNqhnFfpJhkrej44CdvLrl7GI712LrmjyXwlJ2gtneQ2c4X6p1BPJVJR1h9Ke
xj2XYG+OccAqioPfqA0CqwGLxk0UaIk/6ufiozoVLh2ykWVPioKzJGBBsErhvJgegmCftVR6qVG6
ezIJgJBiPPS94Vfd4evK6lfl+29IdDkOrPJV9+NlWNUFut/TSC4TAKVDgEK+6apb2y72SVb+0nL8
U3ft94LNlfH0rpfrs83UHqgIMy1HrkS8MHIdE6u4TQSjQe0imNVQ5HMIavvGtmjc6DKoCfpdA0V3
Z7FCSwviho02M4+iyN/yuHpUZvI2QzKAf3iZ2oXgjm6Su856ypsGl385u1z64LfH52ov9KAb7tyJ
6c3KxjyO+JeM/nmwARGXkhp8ng2bt7NAMt6IdT/2cmLR0rKOB/590VKdCCS/Gn7jn0MgQDUzGdB9
Vo4yLhUICuwCs1lqjiiHszR76Rr7OLJ2uYHhFeyFx/K8ZDJ1b1Use4kn9MNsXvpLl/pIhFPwrR2V
plzIOHH0yLzLU9k+wfiXq1xevcJ5MWtVnkpefWHraOPQ42C9S0wZ8kORgV7mTk5NWPb9dFOxlTz2
w/JSrA7ybUsfhcwrhGZlBaA2jg9ZsG3gtpgEWNndOVc4FirTYVBLKe6JkoiMDGKMm+KDTiZTEprz
OoIRsJajXOZ3b6FO6rzYiZjnPrElWg/mSmhbvDonyS6DopQMupLiYgWrOQ/jpch0s6s9E9Izffzk
TU9eloGccNuYu3KDQiH46rtCHoZhi8mwj4zv2VNNjFsIywU1y6xgoHeYuZ2yQRibafor9yRbWgGF
n+LIGwIS2gRPD/l+9JMy8jUhXGBsRDTOVKiirJAi8GRGBfUv1DoMYbbTERdvwGl0GO9lKkFQ0hZE
yvrDB7HpJXNEg5svqx6W+sAEqXoezOzcdKCTLTMujrNlVpcAHz/eHNTRPBSswXmThN7gBkcJs43d
KYLog4SX85Ik/TuCzeSYT46KYn98rHE2MSyaX1jKMIZhgeBX6oAjAKVOUbsnWWTXqTEBWVQSkEkz
A4Us9XFEHP5WJ78NOa9QOAhvadbmaE0VHe4E2MLS00gLvTKCDYgWZT4AQt+x6WeLlePGxKLjA/L2
l+I8t+W+5Y19Jmnk4MWDF7mGF6Z+7x5aQ58Jfm1OMZFfOB8EYCV9KDqvv05YYXfaS5EtIOBinI6q
CFU0ol1oC7t2bu7jvNzY18t6B38QZ2UT25d+5W2aD1Z5TqQFXHJmQjAjr0ym73xin2as5hGz0KBs
b5MI2Tt22kxdWoazdTnNZL3rF7NjGuUyfrspIFUGEvsa2D4mZ8XmPU0NRDJpfijWsxLCOOvqzSVQ
YYqDVzE4FE8c6lYCTCvRWJ1dO3bDSQIljvshdKVj4DCFp513NCZenkYJVfJJyeyOMfZ4JEUFb9RK
75wn7JJ0m4LxXuOwKSgmQHRfbKtMbkuYGSeHLes136LUiQnuGKqYBptHtd6MUO2TzJkxo0pnL0k4
IIGBjblXYeoxp9LfF+b0UQ7MH/O8X5GkPcxbOYsTtd0LsbxOLQsIgHDPtvgtWzLugFjWeFsSCP3x
UOwqb4kKx3hTBjzSoWWuOMfLD1UWMdYri5iwKXmTCVWysWbmlZyDWOJunJjXngLutpP1jnX4rUtk
fmLai9Jym1APdnYek8JHCGUxwmDqs7B7NnLfPrQ8/hT+8qhTlzdPMyIzmtwHNwEX6QYG9ByFpjWP
4ngkMc8ehlCW9xwQ2GknvnEjhs5rNoynMS9Cv42rsMwIvaT5ungNuTMryAJTxljteuKTTHnuB95w
rKg3wubCQNlArGfWD15jXuOp+sIGsxcgC2a2DIsD+dn3ulPt45SHJGN23deqN71BKr4Sizfz5uCz
Gv9mtim4t8owN4hSdN9l4DGlcq9zombC/qBOjk0Jro4KNNhkJzaC4YhA6J92SgMJBg+03/Dq0FFq
5uCiTh58Y173FjF6EPwezdYHMYTUAXKj26G5DrIj0PEhXCZyEgt3zG8SXs5ppZHJMg0H0Vm/dthc
8JYBrhsEoNjBD6KCLb5ZG8GR7dRphFhXeB9EAVyaLOE1wiXkronIVSQjKk/Lc0AHtRpo/+wM0Xs+
tiynfXCwXvoRYEwFgsNWwu2Bq6mcABZWjZDviF5D4hammTFEsibMrmXO5YCXhUwU9Yb1g6pfh1Ms
/phF5eOVU/fpzICnWtbknBtkHbrMXRjFVRapMxuyQ/b2EcXOcogr7lAzY6y3aqRhY4Jr38TnZ7mM
8CCkknW2sD5V+UD05XVaFvcZIPEdrj1MJ5uKJL9HeJNECKPvhYkEB+7VjQJbfjOSy97G3QNrIopF
7cLRy3viGVilu8GCvt/4iaydjoyFq0kgLlFNJnUb1DMHfnAv3KeRsEYrdxDCIZyIuiWBKxP0BwLf
j7bZVBCmUK84HA+pfLfconsD6h1CPeWhAPFGOWETauAePQcpt1EVfgTbicDQ7JaYZN5A5no7j+x4
S5KkTk22N4I4zAhjFU5hh+kQSD5Xzzi2jvcebKZUF3wI8XcGOUSpe1KI3lXGwlhWPpIUrRH9t+mD
mdTYrKj9Vh8BCjkAF4TvNlxvq4pqxqiUp12D4KnNDgMMmpLpKCap6lLq+oafpeBqX0kAozNfjMeU
iiKUI3k8QfBWbnXrkDt0kmrE4EfVNCh2c6j4iEAhl6lnkW+2Aes+owNgAI8OBRuGeeuelMvxPKEc
xERsXBrmJRQe+m6Yc5qOMJ5VcTOr/AvbKXKFnEZX1AIjWJa/AT7OTh4ZKBFVTGSWjnlIsYjHJGkj
iGPcYjstb3SZvFAXa0JdOpbE5BBMDZhVR6aXxk6/Te1laAjrY2a/FV5MZsOUYm72BeqH5mkZzfuC
ExVieHsjGEsRU0Xys2fexIO0oQEHELpMn6qKtVvErfVNvHSxp8P/qmP10WZgUykWCUkkuhg1l2dF
jqDQMwJ7nxPMyGhGHIPWrvekh7Ho0QsBXbEosLjYJ/Qad5pJIYIGZrk6YL1WMiGo4EDK0suPVWuT
OdRnr1YTJ+/kQj3hpN3xmwqHcZpBeYFxDORAcgzba7Kb2707czThX44vq2Tr2Yl0prrZYnWalERq
0w358AkOS90JPglO4LHmKauVoY5pMO7LICFlrF6vsc25IlDB0VNeKFV6UlrtIQomQDmFHi9dHJYa
SZpeFkL01HgI2Fi4S2xSlTPgthJ5nKdg3y0mchvWBApWuR3zrGmLNXUd49VwaqgchYp5jFfeFJN2
gRXD0K3EmoemKFhlzOUdhbSOih76ZZF/WJvQuEMyJd3htI7xrYFWGx9zch+UGnaMpGjUMao6lc9u
ZDn1F9CMJcyPbBcsq96Xrc+qieNvksaTsyUNeq54ViuKMWe2UgaKozwZZX2B/s72j5MWCsVFZumP
BaRQNMfTZ7FmJLgpRKZzGjKbz4gYbB6d5M4EWkyKcfA4YiVhcGCjVjORbrcCm5EX5Acj6Y86fqtw
L1+9jAmJGAkiGWoTuy7LNSYmmXIeNBlEOFRv2b4jDLCJPJYtGtyFXBl8/QZYjEodl7VAXQbVICfw
drbrl5YZOyqmihEp9xK0MyIs+yV5GZaYxthKHKQwA1skqz3WgfXgDDM7hwS/j1MOMDOkftQC9XBC
nBuYLvy0vaEBBPU22wXGEllSfQL/W6IsCBD9eMwO8Dxaye3Y5+dFLx+uNXx1DPvhHqQ3jNC+umZx
buo2e+Hv57Ju5h/YPoMGGUNReD9EDXBNQF8CEtwRWVoRc4Lq0ULy4Cj72JszvvPUPq6VRJ/MhUed
uQPCY4RJwyhYkQrNwIu7j0+ISByE0BY2LUm6IcjQNK1OhNchaGoN0CeKfRsFD2kxQQMtxV1xu9Fx
L66JpKWOPGv+7mXH3TrRiQr/D+Xrj9gvENAx73YF3V+KYdL0b9IOH5wwnsi8hWUrcEc3+YSKZ2IX
1TZsZwrWSGX8XFWc37lhR+gvvo2xPDgJEy6T3GpiCUOMXc65LbHhzAHq4TFudsxUyFNog1NtYxeo
EUrXDkkWS1Z9pE467gwkPm46vJIhjVzNygu0ESlRVGUrHws2kaQlsOfw+vvV23upk7+wgw8QVSf0
watG64DCQFpAjMslIwdnocoo+4EnKuXadL49Hicbb/JcFZdYyYdsYCidJGVxiIfy1qn6AKmt8SqL
5jBIg4NwGaN1QgfK9AOuBu6vGo5IBCHd3XOJSPxhOwzBDHsEkkFIT9kpcZsrEex//A3TjMUDTod5
8B0K6pm0SqPsD8qbiDyxvM+1/jK0++2Z1GFlxU5nMteTmBImv4RXl3L8BMBz32P/DL2xfoL6wOeL
ST7fFCILEoG2qAh/lViICuc0lK/9aPIaJ/ajT9ArcGV3bo6ytluGX0lLQLQKwD83zu9iVlxltNv8
APlnvGGcleFf0ExUmGSWliVtkMJEux1P7qD/ZDK+i6VeTvY6Ux8ogqhBQEDG9pAeJPptm/h0E9GZ
0ClUs56mFN1rPKrnbjU0uzfxGfMVp0C8Tr6tDjPhrbug6pZdZfGWVBUyg4BQNgfrrYud5qzoI/it
UuRA4n6B8Ls313Qj0r5MWPwjSwP4WIR3KuiATOfMnauRxgHc1rL9Wmp2PoBJzsJCr8+6cTyVVvJp
kLCUogFg0SV+xmr+HNEI5LXGbKXIXWhaSEYd7CMuHesf65IX1itiA3LNdfGaGnO9d435Bg1ARugD
228jlqwuC0IP3PUdZlByGC3z1LaQzP15OcvCoLlLsiffHd7A4NWRMnCtmSPcSNUNx3ZCqUggDahg
xRZVYZsLh2C579nNCUMKVIyMqNVsoIPgaW9S+WgXtXn0VNCcWrvxcI/a6OsdlIs6Leeo5oGuO0SF
aEzNU7Kw0oMNHZld/sOzrTvNrGbnlPKn01u0Hjr77eDLHQUYkq6k+PKnhh5ifcksP71FI8qsUTu3
o3eaLMA2wOBEbD4ZU0tUx5AfkpwCBsggDnja1pkhGyvCS9vhLKxrZkIjkQq2PveoQHFWVuGikW6T
zBWXd3Ndvcy9/0vbEjgVN0vNj7tl4p5YN27ttnnpO4bKtvic8DPBcQveDXPND/iBeJmxd3Iz445P
AEm6WI9U5w1LkuXLc8YHMgY+A0ZFaHjQg7ou+dOuvCYGcuq09L7sZbxxiPi9MWcfZpURzKdsMn9q
p6aKXILkkC7u0TGC/NrHnzZht4c4WN+zJWNUpxqwR8lyziCirsbtyiRsinlwyUqj25vWG7yr5qEy
PLJLWQMd4rZ5qF3v6f+vCW9z+/2qKbz4NvvuP/7tb+6/6Kv/+od/2Vd91qOC+d0uT787whP+49/4
mcnvevs//1//43/5/dev8n/z11lwIf/3/jrCcv77f6u+/8lht/2c319d/+//1bDEX5zAY3tosm6X
Hn/+p8XOsJ2/IPC0bWxM1O3Y6fDJ/81jJ+VfXIL6eFcEnpDC9iHv/s1jJ/mCpiVMnHee6VgmANP/
/N3/DUTKhfufV+NfgEntjXL5dzZeB04oGGEc6qa7sTDFZmP/O69+7hRkMLhMMFKt/UcoKLd4OtXV
bxmIUMaAzBuetFbfhVQekNy+umtX2zz0VAxTmq2oXZCT9ZQSBAWSkTOr5rnxW8I7S2QrK2a9w99d
3n/xDVv/BBdwHKIEJFfADSzXtz37n/CmgVRSUlopDEEky7oa+MMiicxzzDcLZf/Oh0s2jknkBRtb
OHPlwQvgMiZ4sOPcdU4eQUz/529p+5z+8RoCkgV1YCEEFyIwvX+y+jPnDgi879K9MWJpSVecExb4
KN+6d9fqfpH5+MMYvTOlPl1FMr4asrVgaflvQ0dGWY6DdznSqgw/6CAurBaX/TjBAS/S4tKV0ons
xUBi1wpsnv/rTv0Xl9LeyAf/8NlbuDWF59iSP2wwmf/42bMvUcOqOyzcMxWebKv7YeHgNOes+eGQ
ozTJ4sUxxp75CG/bxPkffJ3ZctxIm2SfKMywL7e5ITORK0mJkm5gWkqBfQcCwNPPQVb3/GPTZn2T
RrJUEpkEAhH+uR9X+VO3OLbrVRk4aikx+XLSGvPhw/K14mMw/o6Of3EQLkolFnR/IHuJmsP//du2
vP/5hhuAFbhyuTs8h/f+/79oh8avi5y+jJ7LF7+LbV7+8yIpUjiRL6GL/b+/PruJddHWF8eIIk6I
64dMEqjYQVhjo/Lff1BMnXXxyL6yvjfMof1+CovVSFHXcv73o9fXXp/2dTrv/LjCAbj+kdd/4NSE
UWq5N8JMHvDqWhz5Z0Fq8kELRYoJkS+b6Ih7OVa/plH73kfa8uxGSbRLdeXetYpnJ5i/5ubY20cf
JI6JQTy0C4fBIBf7k/kGsZSlSn6UOmkKbwi8uNG/ofD0O9+YdKq5iuScAOwLPH/8pieLccnofQsU
+xq8NyM99Mn//VzT0+7Jietv0xf60XbFcOsSxqnlQg9dJ2vG4VPPAEvL3POE6kyRGleI1ROmkl7V
XF5fk5xV66RxzrMej5fI0UbC3nzEYjdeKgI851WE9rWSKU/pWf556oEAeL4+7bjBu3BK6SGRY08i
cNVI6Hg3zkaFTAhzKsel9frq2JblwcqpxKApeVMXKQXaxRoZTac0CV8vthAWUhMN3EsXGyEjXP3/
eRltIUM536GBd/esp8sEz/SnyQx9L7S0/aEZH0msi2892bqj2Y/V4fVlvQL64I3N56yZ2jE1/0l7
yD/D0pdfF93VYBrzmJ00p/wqwH3sFzudwdLwKXGBCEfQ2J5a29EfUWtecgkIu4WnFmSJ6N4l6zsd
ZynTurZ/f32pQGwgltEMIOn4E4gp6UlRwqF3eIjZQ05vkVFObwq3HHohT/l/v1YU9l3SuvD6LF7/
WBrzAygKZnev/wG1yyHKigyIq+cLJoHhMmrMCadmsa7FpP79rM/N/mzO0ScdefhlMrlUYR7VVQgQ
1961Maoj4xeYJUP/ABFgXdn57LJ1khVZFDIVA8mj16dS61lz1/8gBH953DY74a/SWkphmDvNEP3k
UuP4WD+USgRGNMtjiv2LSU1iLOfMANe0qSYit4ycJxpukDr89SWitTTk/NaBTWi59eJYnMfUis6t
3cTnPPnRM60J2ciuJkFd3qFEdIE1NxyTZU4jRoSLh6F6fYDoqF8AHhDjrfuMmkN/U4Kd3VFaa78V
9preld1TR9TTVVWeU19gcUwIlM++is61xbGzTkv7OulfFT2D7PksoBwtxS5eUf3uvT4NxhTOOJ3e
8otdEqWkIYT6S6f3QnEs08gKaY7FNeQImzbBoQzn1OBQ//oQ0mLHGxUXzLs6wu5j/mYJ9Imprm6w
7JpdV2QruDeODqU7LgiJjdhYyp1PI9FxHOpfhN1hfO/m77PHydOhMS33RHeJbMJBbb2K1Qa3QGam
KSIuvK+YINOt5CxOu5HnhnU03ovSci94EEgoWN2jZx9+pGEYuTnybYjHjnFvShdDvVXecDHiwO6T
ZD8pT11nmrRqN0IbkIymlKe/TUYcVB0RU+AByWmq9PEa19aFJtm3lHvtK16nkjVgvEkB7ihlRd11
0zlbHp1hRzul03GngIRQkLSJFtffRljsN7lOtXEmKTVeIyR93RMCMY5xUiccZ2Mq2Yzx4gm9piuz
yGk2r0HK6MVvE2tYxRjobCb1xRQMUg3Vwb1oyDqQhVqDNjVAO2N4VPC4td4yT6Sc4z2dHfVeI6l3
8pfpt180+qNR9Xe/crqjwTEFNawfT/GQqKOUa3xtnFwV2pAbyzhNkLoT+IsV2Linm3DysCic0dYX
boItl2qOpZOFUPeH6DOKLSiji/3RsiI1OWfRKdawjqfzV23OPhvhEmacffLPgEKuBX69czZifIDD
fK0poLt6GbbVMn01xxq/Go4Pm9pD2Yjoqtn46fjLEmq4OY754NZIPl4vpTSOUV9sMdRdBBPHOrka
NXKNy/j32izKVJvOsD6beaJZna5zYGvYrTv1nk8Q4ORAk+S0IgRtqnajxZ4ecA2No5jFm1jaQC+t
+emogOyCfolKX4MTOhxjnu9qUyOg7rp4lNdqIESfDVc/bfRbZGD6rKzJuxYphEPXJwAkotE+VlEn
rrrSjsCUfy2Say/q8upKAdopSVv1O8JY25padtHL6HvrmNZBw9UWjklQd8XyqNTcQgoCtNeP0Tl2
Rpfa7oXI+TLPSfBqwcE+dVXptGscYqFLBJpa+h3Gtkpth06Lb936AoQrw9KdLAdhzXeYgQ4r5XRj
fCdwxysCHyZV9ZXPQT9zc86XTofVzYrjjznJNpEElTMN7tP3l3imnguqYdTHKZdsglqZ78T6M41Y
oJg1VRFVNe18ASjxO7eN73GOr2F2Sgv9USx7ZngW7gRogYbJBoN4TG3V9qnK0OxE28XrOf/XRLsM
OxlzDucAa01CjR5m+8p716jluZKU+ak6ooRG2jDVNdakVD90x6IcMNkUuQqIkj/6gbpYi57pvaDs
aGeakxfoyXDRm+VrNA2SZ3vtBsuKukSQ098iNhMMav5ksZ5cR2zQiTXPhJDYMYeujp/fEW446P3T
1injJIQOZ3Cccf4t3t8ENYVadNg1GAuS+VsMaogwKbaMPB3wXR/wa+KZdk2Sl0KnTiRTyPnLFFeH
QpvkuWAJXhz6uIomWfaE690dPm9s4k3/20/oMIxbauGXG+ohxZim4xw4bl2c+rdmgGqLKZvdxVYv
Q71qL3FpcGfVrbv3fdgDGoN/mGDRrjBBAIM8ti49N0RZRCxBXGZ+UxFStmLj0lv21xneUCia8ktj
dVC7I5xLDbwEGVHgrMsVSrROe+lNWUzciPksNn3csVSg7WydvvMPXtcRuY3bs8pHeXCn/CMzZ+88
UOazXUXlgERTd6U08q9s/CKYOncIh1j/LJ3EPdjzAN6bfUVt6bBmrZJMGhF76eHfjG3iLrlLBQbW
GvwXQ0m4X5TAuyimAejs4/Jo9GYtOvulMn0rxvoHdnE7NFNUCVp8aZVfc5SRgbXOS93yw48IocUT
yp0OIstwl7+SGsOwFVYW1pWLWxtY+I49pslTnOGSCbVIxq4KME+/Na97NvYO+gQPvR8hsfQ1HjN9
vQlGWRqodQ9br+tQYHTG9tH8dtql5FFNoSG+kpwNw6bRoAuV6yYSewvDTfdcpOAr6zEO12MtGRif
/SPGIbe6emPfn5cVFu+zKO6yKfIuLazAbMJU9NpW9OveIrEOXp7bzLGboTxMKkrOsZE82YV7t4lj
9aZuhHeXy96NyuwnPodfBFca377XCjHN9ckk1HNanut46PZWQzvKqNnjZdTn7mgmw8fcNqAJiuiS
+2N7rAg2h51jZttGQM16rZUg+tUeZCgavVoYwHuw8qo21/eeQBv+z4ueYukop1Rsp1k72dj7DpoO
Vizua8XcBx4Fo2Rz44zcQJlvLkdi2EAs8AqwHVY/u1k5F8aaH6ZvJEdT66rT5M6PSZTiCZXad/EH
lXOFB8QwnEDBx23SZfx4UdaVBKxVTbBT3LUNukC8xhdGSNg1zQeSF65a79i4tRfU6/qrhqnbmoj1
CYak+SrXkuMku9o1hzHNy/pDkvVUBSSk2nLzLtgoWrMrPzAZ7xrdIj0mkt8dsQhoxgyWXVI929Hq
vlENitWG/C+7uQH5teZH4XDqkD2uBCjCkaH/eyWj3ZTqRJOsIfQMLvyk77pgEO33uu2TgDVDzwfS
MljvTnWafr4eRwVklCssFXfTTw31jqZ919rEv6qGYRw9wk7QdjxUEhzAU7F8kVPpPAbr0zLM/st/
3WOW4z6jzkp3UjkLQMYxucHeLfZUf1wxa3V7AMbnheDPuSi+G8qWAQT2n/RthH4y9GeZZhZzM4nE
mTdsfRbZ3YVLsm9ePeakO8KYJwW/epMAfaxKgVmPS6Y3B3WEd9vu9NiSB00rqrdGr7/NhvRg47zh
F5/YfVrlZcyadB/lTINjGuHu9nxx1T+UVC8/7NQ/k1/EW25rjGWy5NB3ZDcbQPs3p2R8ThVN/Eh6
fhc0wHSfndP/xg5R/Xa9bAolZvhLF2XDpbKteWfg0mWxT+OJ7LGsrgaGJFIsiz9tI4Azp9cewe2b
T2EbVmDK1rtEwB4qZyLzppGqd6nRzrBpolbUHRAfEvv7ZD0Iiolhs+05fz2vqzFTRxjIIPBwwyja
TE0bEv3S+ScKKoMy8nD6Owcn9sRXkQx4hyULblNHF4835IEJFE9XRWt2FTtUTuAx41fiBL3reCer
6t858yboN/kHDn/spG3Bgsz4d+Dsvof1k1+o/CEVB6VmyIi8k+d2rx3G212pKcIyXRMzRSOMvdis
yXJNyLVljAW/XdEb2Ge/gskkzeE6D9mWDlHFhigLTFHOBCTIRtA4+9wYkYZMSed5XP+UmV5+SLu9
0cjb0bqQTJdO8yipyEWwZJb5yH3uHgNPzyHNu8M4Ou2p7PMqHAySpVVj0bZVFEAzXDs/Jv2ZZUl/
66B9HuPcOygSAxuDR/tTEdpgJqSqUzU28SUmrJ90quUKJC1SVQ41iUXXbMq6zS4Qh16PF2kUJLt6
09qXZgzCv2vje2sm+rkhdneaBt8+6tmXrrCpAaIGa2it6vS6F/u89HkO2xi/2+7sp8ws1hWwyvCC
JBWDRMdYYBXpS3OAYUT7d4wnVgLyWCAxhr0nj+ZaibhgYN402boetsa8z2fvR2WM5xS3zDXqNPNq
ivg8ilLe/FL1zESHc234/bUbtOi+hk8aiWcVUPpj7Gvt3NR/yqmkvAp6tnKGv228UkUkkK92wujd
tLImnj/ZgSkqsg/zAK6ZAJ1Is+k0O6sFQ6EC4QHJ9oCWP2bBOGUeMy98vegxrcZZRFbJJIr9lkbk
CfQm8Q6FJa1D0lNnAdOxD3MYrIc0w2v2EnJa3tzIKs9Gln/kJbk0HBkLtqa5aHdWO+VXLc2LK94P
MMTee5LL7uhIPXtX0aokFKol8TpGvLVatbMyludiwW47mYrr0Ujdazbyj0sjAXtfiqsEw7spbJgC
O0fMGKdsweS6mcuvY/MudNgiNLk34WIZZLqquofBGEXBrOQ7GI4cA+ByzQ0pn0VHPFdv8UQWDWkA
vf9tCFv7pS99UNpZ+SwysNiTGx2x0ad7OKf1e8MssO6lA5mxKo6eWcYfa6E7SYAifG0IIrIkPAVY
VSi/lrjArhgTc5bYmdBAGhMjLnSfFov+/npYWchi58afH8boGF8iE+oMNqHZn+rvZlOck9lsL1qO
uJyOfdj2M50btfM5191PVeUuf7dr7yJ7jI5xhRuxdn21x5doHepoeCN0X+xKVwMK4WVz2C7NR9s5
zUmsCf7eJMEZQ6E7P153C2zslQA8VSctG49djclEixN3ryIPgsW6VLpu9U9X2bc6LziwZNZHRSLl
w16LWPzmhP23+a87k5Ruw2zpGq1wSNxJxXTNAJPvNMvpg9yajKeK/UAXrMRspxNaIivzOdXmFscq
AbFcu/ewKA1poJpl1ZaHsMPfrPdbH0eCnFz2D1bJIlKA8gFOxkZ8Ln8OSF08/y0KpWthveeiVueW
pQao3gOeu2iM9OoI3FJGOZaBH7sGNi7CUmaGBO2PUDXnL32jkeoitrTMsAXiOSTvRM9QjFYyZKTn
+grWdO92d+k75d6LsiTelAzPNr7P6NmLEv1bZhe7dKrQpPv0NmptHpK8GC51okOb8d1rVTdBUoKw
65c+Dv3VO6un7TWJtSLUjGKHZDFhJa0MwMtfX8/+PqP7OcE0aGj+oWz8iOZ08Q8bZQ6S0aNVaClL
x7ZZaPUCOBBgmSa6lq06myWj6LUbZ1POs9n7a3OHnZjAnC3xOo+sXbRI987U33q3dU5FCyZUup0I
lc9c3qPWh2hiOR/IkPFD5i6gpITx7lMRGN0CI01u9qIdMyP7nbWD/3BmPyTKOhEspBDUxWsHt4Uy
6WWV3rLWCwjThmjr69C7PheaoF1YwI42dO13YdY08aB9+W3b031CA0OFS4KbTx5qNc0fbsk4wi7z
bRqnWpA23dmrlR1mnUC4WorxwydThA9ovChT49rk6ZbYublbcsJFDQ0nz5jQ1zVj8jp4BUeAKj6g
4I23dnV2RSuwIx/Lib0tZ+4TQIELlCxjU8a0MnFine+vFxAi8930P3m/tI0/VEQ29Xi+GOsB+XVK
BrKF9jrAQOcNGrnpRi40FS0nKlklvCpHC01RGCenJH/ZKfdYetIMRJy9WynTaEy8BhdcZpC4XaAM
4F0vgIXN9c6xoCEWsTFv5OxZ9yylmMTI6e+NBoFxT4se6fqUHwqZbqj3YpNCHpFtnnkr2lG/SWtU
WFfUuYZwd2Jt905SZ3+QuBLk12tz5zlfXMOUe2tQGUHvTj40tzskqlVXgfIZ53rz5oMiIO+avFVT
8bWrRtKB67o1x/OtNpb22HC1c1W7MjTj/CvWySRAlZOXgX0+/BxiwjvI3XRemJ//2TRphGLw8di/
e7YRbGJn9am1y7s53vJyMJ6DlfiHKXJd+pL04STNQd9MNsXwuh4h1Fl+eQaOiJI57F8HFpOO6sGS
I/UHg4sL9ndp6w/O1dbDdYv2EDNz2k69wY3BdYk7U8ZF+sfL+08Bm9zTp+5C527KOu3aCAiWdikU
hxezA1cnVgnYcVVxmGaC2JbROhcaNzvwYjiebRe9xOq0t9xp/y4UlZzF0pSICEeya9qQfhnYkKJ8
SQRSQJiOFyfvoGXwzfpK7DrHts/IqntGDdW519xoq5WWB46qy8NUa2+kVMgW0SaG63OMAsck3Ftj
6QqkKgjPiFltZ0Yw53hq8sAd7ZIn/Ra9naG8VREnM9p+HyE36Mp7an2rYW+S/ankYTdo/bvp1pw+
5N8y6t4EpxgKGXJ92vZxEaOS6Aei9UsALdQM5SHRdqmbeu+LMxh7LUcESfKuvbr5uQcv/1lDEuD7
9I6O0148zRsPi5fpt0Rr8Pw71h0eo/a1XWw7tBUao1/C11CFv6fVLw1gnqhNbsJwyCP7jM39xxKV
oKbEcorLj0UDg+KrAfdcZMH+pi/Tx5+76+iX4wytPQsi37dFFGwsp+houK3HRGnmSazHXEQJOdKc
0tN1rzHMLf4LJ1oe7rDgd1gBWRhJdobmpW9qvKvYou9KWOU/9OF4BSdN4W3EsM7BejxYXvJzHuIx
KB3x1V1Mh9oUsAGxthqoSmvTCmcIJg5WgZN7v9qkeNS0CEmz0U7lwLGLivAC46XesLl2sKAxW0P/
X+gd9ZwuVGYF0oEjIq5OC/BjnfXHhdl2gmF6mzJVDxKrBtiD7z0YyT8t43kGL6LVSGs5nAfCUMvd
XCbiccJLiZ/1aCQjHnmSWPGtH6o7UcmD1FvrqUuVbp2O4h86PbrOcwnP2EHceFxmBg0RRlMmgama
6phCr8RPvJLSUwCVICa1fTJPPH1ZkI6DV6kNm/ITcaXsNKr+KzjP5a1xp52ccw+z1c/BGD4mTE+b
sp0Hmve04WDkgPjjIiMgiqkpoSKR8U/yDe43IQYgDEQFmASZ1jTsVYb6pYuZYpgo4/Qn81BldrC4
UKNjg9MWmys7+KetyIJ07NMB8EXLIQZBgc+2BDmxbgnJki/7mijFVjrMDhUn9FBa7Ztlzd5J1wyN
tzn76Tge1SQjvTFohwAES0cH4JHnu7Zw0T5T/y0DzLKlmZfErI0BMU9hQCgK6i9TP2u7eFX1HYMu
mMYDv5GSId95C0XgfrZ64m2ZHyYaN4OUCS61jN7TS/WwJuNZ9O0Xe4npXfeJEICipWVbL9W+pWgF
7m7f3fqGGaKEY7N1UjoOMvq5gqkBmZMtBZbjRuMsCXjmMVX/7iin6qYvKU1Xtd6GrZ+cAB4vuBB1
/Vk37Qln/g5pn+Iq9v2XYmgZ/CaXjlPvUhCMx/AJd2uWnyKRQOHoZAYVgnqaZCeygwRRDP+oOeN3
pa+FYmX07NkWv1sv4zftV8b0lVBbfSlICxMTGf8YZU5GNuqq3eDTkoIWNJ39+ssgaPppuSAOjqOS
IMPfcU87612k9j+4gO3zEg2nuJImd5okelJLZGpJ2zGnWR+agD8RUGQflMNoCWDRE02NS3VKnE4/
kQb4U0uVXSQpVxJ36TmNm3+0yfxnrOKnUSf5SjN46zkkBq3sl0slIcEOtrpJvzXDrm+DsZrrELat
CIbaehRLoOnjza/zrw0SFieVRGGcKpcdb6g6T1qmncTN6rs/MWmH8zj2xHmEkm8l7Ti23WSH1tGJ
YJdJf6SalxR1tHupDnSxVDjWBau0rcIqabVTC02URiNSY6oEUyCnnNoTDItT24KAbK2TIdaIWtNA
cGpNikZc7WgwBKPdCdAUROL8Rzup4WDawJrNHkCAm6t63xD0fLaDacArgYSFHNa/DVh+zbTHo27q
0wUHMQMP8G2urf0UxCySrGqfNWrwpkO6p/IpJ3fIHP2s5xomMS0BqOFh0S6icX6IxY3wZy/jsS5j
F0k61rdtS5dSW4ymebCs6kfl4k+Xo3hG7lq/MMfRjVOJ2tLrs9DykGfXHvs5kNYuTDGqbh3iZKtO
tTOl1QdLROsV40xkCw2FbxzvJZPEM7l5d0Mx9lZYvmT6N3DkMjATMwdtOKRk7jPxzsoaaLKd4evF
5A5B6XVi79guToOaqJ0FNRL76PexTItrk+DR0Aoe96xCFw28/d0wyrtr1sabyvy/RFSHbUOdBWs+
FctDxKgtq40xNHw/YQdXVaggZN+kdMdr5fTfpi72L1YrPv3JagjHsQzCBGiPIurOZVVPt7QlCobL
8IT37p8euivjQPg8Xt5Zp9deJPY4c/x78kgnByG+087pFw2DJKKb/t1pldgORjTxzviXtkzVhXcf
TzAqVNBoAFfR/j/tXGfjudQkqke7OS8FYAaYkGxEWp1AOkJgQQEgTmbsikKpd/4RcHTDLOjGNLTz
wkh144hqPndddjBdjv1FzM5ekip4aTOtTHHuZ3Uc1CXpPhbN7FLRwTRCQS68bMUzQjiydGgp0STG
HcZoGJ0eoeVWqpZHwLvuWfX32KnaYEHT2nlpZQY54ds9Ql73lpDgIBRzkXn9To0XcUqjTt8I47jn
hN6f4wJTbjPnafzMGOVanb48ywgT4npmatO52lZS8XQ2DGzbarRvyax9BcpYflkK/WDNKywSXRn/
3vhs3cI8tjZ+34wT5uO1a8kn+6CmxAkzcsJb38i0Y6KpgXg6VCbaxq+Idt0TZ4UPhcE9FbYZvWfF
EMwZbXPWJ3FCdcv6FeEb5d09XtJ73RfUqo5GfIsrlsrUgYAVx75zGiO3vkST2TLSIa5gkBsYxso4
yMR65iCt9/gsyEvpJJIlh7bAHKTJLyKmDmjy77FOPGlhPxwwPbXuSfZ9lPZM1n/4ZaRwPBaj786F
4VTfs2QnyuHN1sb2mfWwPOr6nOXJsouFY2B/yCOOSO43G0nusbXr1g7JaRV7l5kco5qqf/jNfijq
j379d7zYNgHQ+Dxzo4UuItz5V8sSM/kOL8elVuZ3rPMGzxzG6fPgLWd/StNj7rZIGRHLDBJ56ybv
pTEiDkxgP+imhUMwrt74oSrueQI8q6vZGeFjS/d1VdvHtmv0u/QQ5KK6xTw5zj8QJi+i+nTMsQAu
KB/WPC6YaQ+0zqqTSOMfiuDYj67ncWHqf4wqEQcpYuOqs3ZePZCGYzRytohncVVo+xs/HioUC8/+
6jejjjccJDhTWkBhcfZlFBw2GzlMAW8MsZ3VkjPwa9qT/NXw6GoIDFkH7rfHD9M7/XQvpmLPKCFm
VSzxjTiEwWySID5u4wNPeYDgdRTjRU/TcGlRzTntFhqA77qt5x0UxkvbGMNNUy7Y88i6Tn6MVLyk
x8US6ZvoweEAFaY0tdbSS9zBpe8S9XfUMvU2mP4xifPylA0GTnDX/+3hsHqX8VLsZDzRnwufuMz8
D7EwcpC2u5xdi+yIqc3qNzVpCHKEkZIdEryB5oKRSjhU3TVjAmp6HS91mjvirtFQHXWYszq9o7J2
5pM1ouJkDeZuODTFgTJPfeMuWsRzrANVPHgty3dTnZjRqlNRjvB33ark+8mAnaxz/X58eslHDQfg
rLnDnzma9fcSVPKmy8Y3Bn3+XYASoBmVOIUqHBFmppwuILJuDv5qnAAFhChYVqGXG7hTwCza+3xx
O/LctbpNmoYeYDZPauA3UduKu8vzjx21Ge+iyWm/02llh0munWqoyw8eo48mYk5ZqhyG8rrpY3Eh
xjQUmJOYEN3mvIOBsU4H1HOYWv9sOgNETZeyGW2s0Zd0DvWg4ylO85CbbFPUm9znAhG6Wwa4cNsD
8D8UnwG4LpFx5/Ya6XR9KQjvMcTtrf5cRHlD7sPHNjUsQI0N7w9pu/EGVXxHsxIP1tIpgn+1cAx7
f6dV7F3WF4yM2TFV1fV1cS3/OpeIBfnCMC8NyKytHjOKttancFMl6xNL1N8pvzZPjlFUN1ONXyh5
FAdrmZ1zh44Ir5lRwWT21zGpOFgwOK9OfdsT87WYPZJAit/lmBU3f0ChcBesnBMBp7Pn1vPWzcEc
jWJoL65l5WHVIf663ciQAwZYA+Uqwb2yZWAorpAi/cBTCbkwCrffs67DDMMuhZJNRkcU9LkGBJOX
bGmXfKk1i2Out2CiVvlDKPK4XCOSnXpu3+aVjO1U8E18npC3/JWLw3FIC850SWoL4Ymwyh4mIGcB
DrKd0GAoGQOkoFw5V04hpz5NtLCz9F8mAGlzyjkpRlV5KuIOl4eiztsbrLMvsvQQR0t+pPebCL+g
DNDqppNVJuahXvAoThqAz6aMnc/Wle+LDR2fmOkc5InGXnV2D5VvQwsVtB2QGjr4vfFHImyojYRk
9NKTiZrleKE17aA8V2xdcw3fKXO+EZuBRJ5IWkHS5uF1k3VCyOiOPYvpNh+Uf+6K7kIgBzqlXX3U
uGRy2Vghgsw6Ti842QzbFPLRs170kexAGuYsJqEa/Sz0tMbdRqW9XLsZMNVQZE+KGULgmRgi0uGg
UvOpT96nwrnxGeuxPDvYNxj3w3FsPMAlcHPag5VOBXoYYTmaMcpD0ZdvRqnBJ6ti+CrFkD8YXfSB
n09WYHH1U1WU8V0M1slyaTjTuyENVNUQSMl8OKF+0/NeyW+Dw0HJ7e10PxXVwXTqQKdUvUTNvNoT
5hKG/dVJd2dr0zjYWOpPMZUpe4K4uqXNO+yO7I3uu+OCUHrAmGatnaTyYLAcBToDdX4LoKyVf+wB
pRz9hgGv3RtqhclRxTVkxI5s+IvDusF2IlXvzCwxzoRZAyX0+F/JnAkZmE2f91nnHz/E09pKJdom
MJyL7izWbTT1x1A52QUQfLsvmpKact+B1c1PEk88Exp4HOszgwJXajCWEd6Dm4fW6qozjHEIBFHB
wxzzOwSY6N+cjK4vsqD/Hj/NgSiYZnEDtTg//v2WfER+uDSKWRlR+QrMcDcGqXTxWI88whiYd/vy
iEhDfd48wrX2ZBVqKQ6H1xbQttGNYC2jzyzdttJ1qm7QYE2YrTvGOg72lcU5LevVluYYIdL62bfL
tHe+vY6AHRHxizNm6qJHTgbXhlGiK+tPivoeBJTjx9ytBnAGluzg7Pe+ZO8hkT+NNMeTpxCVJwFY
xI3MW6Lv/VUpJmoW2lB3Nk4CfKtxYRCaYtCfA0fIlAkfHMis2pVWNfOELZuttxrFWrYJgZnw+JkB
zOsZCbpaa/62XE5khQZG57U0DnmVHbm054tl2hhO0uxRI2Xfx5gAdsVekBTdH/YU8vZ6Ya7h7W3B
G7RtgLoFc+mJK3ap5tJS72yClepz+52N18HuZv+hKj0w9GbcZ7AjyKBjkwDVn4RdKWmil2sPJe68
QBMlLuZ1pJpyPYdSk9NurvFAATxI3xwXX0aaj9wb9Wr3w7PoZPFzAifvRAhxep5jYOM5+wNZGRvf
vC3cOno0lfHH7tir954ptg1S68brouYGhZY3yBp/2vmIMKGRuMdKGIXQIeA9MHsKRHJZsrJ8lHb0
KWLTuLLzpTHCa35HeHUP0qDJc9YGdBGW/62t1fiVmmZElNaZZ9gm3vJs1Y45Nti8/ee8cKGDLIhk
i2xD/ngZAGr+vWjM3ab1pTFytnLVgM+SAGtrD5hrNP9k6wXcYK2ON7Q1RceBRrqHUeFt9jJFz94T
PE0UIjSBDhaGgIznWkemgtr/Ye48tuRGsi37Lz1HLYMwiEH3wBVce0iqCRbJZEJrjX94X9U/1htg
vqos74rgao56kFgeZNI94IAZzO49Z59rGzIal5qTFlN1VtSM7NpS/3NQij/gP4itjeRiG7SqeQbR
CSnIK4tZ8drAgcufaxIaZyve8Acc5ABnqUftbGzoO6SERa5CYfQb9h/+aZoP4az1UsriSWWLiQB/
ElS0Qv9jSp0Aa/4VfR7W9xD/wGS3466h7Hqwk356tCIs5USp+YZhfxyNMaCxlde7T/BY5KXw/lAz
37wYFZODNh9a3cgn5O/BS+R39p6kaeFCPYcrA3fjthyU2EKILcTNh+RyC+BtsiLL+v0iXAwpja4M
o3cOKEeqnd6RfZfO82hYqRSVShopSWejd5azL235Bm34dlpYIcDORvSBRv6o21TIiuA5kCzNQ2WL
zNa4SrMN9k0LsTWk2KAq/vDBpHqxdho9OBlVC6ZN1R1XH6tmT0IAFuaiRzoxGMd2slLXFzTbgbBR
27HzV7pngzuqEsw/FhIs6tqXBEplWNnefjCLdA9hFqBoV1of2/EjQrtvGOEkihzNeHR02q+iaq2t
IHTlkjQol0eg2JAX2STzmH+tdRQaGS2ZLR1o0+0MzdUQdiHpk8Zj2lOAMLLBhYGeup1mAHgdsvE4
ldS+1SLFOOKUtObLnroas+NDLFl84tmz1kOPq3ugfr4HGzlPRE52xhFAucSZAF5Ls790qnxs/eQ5
mXz10CiQBZiKczdCMIewJRhXedOrN9Hj1CR26nWy5M2UqU6PqhkOCibIVVVVCMI6GC3kGJLz8cU0
9PwQUccDe/LCKlN10fLEbhumOnottAztVJFAxdaAMatOK0sT3rUte2Q6VRCe5Gh8JolBeaWkG+zG
GNsrEdinAKLDGUd/sh1GYENgHvrvhbStM8D0fj33ZbaF1f3ow/ZLX0pnQ5sLkKuMhwsriQ2QG4oc
rdwu++7SUeD0juNwTGr5FXs+EAMIIp+nbCJ7LCpRWUnvQXMyt5LJV4u4n5Vq5sqhD7Ub3c7xKZkc
0r2yfF+3PIc9I+yfG1/+OSmW/mwgREJJYPyZxq94GpszBH5vm2vmc0OXKOrm6lJkazfnkiQEBPts
4XbJPD0ngenh6flhQ2YMhdhyAznwjdjkTlhz1zlRm+h9TBAwldAPI3XuLXPlCkqq+WJPSgnmUDPQ
kjfJESdNt6PUA5ZZqSRS9PEbzQPCa2jkr4YBxYbqDPZei5A4ztpko0z2HSsHLS7BP5KEXJsENebV
kB0i2wZeMQyh23p0D6uBfgbP8GFHx3MOc/HGQ+1PDwOMl5uJfInIFOpz7H2GbVHG6pOCkI0woS5g
u6Eh3v3clrN60yGuqXEUhcDl9kVP5RzihjU28DPLzRMXNGCx9mU2vgayrLhVp+k4BQUFVpuo66h6
jadY3ehaDgNUScynPqXCwp7pZWA1cQqgh6T16G2dwBNXeMXaepHgJOiorhj5jVc6hfKUhaxEo2a8
8h97Hrt/9XqgIF2qdIdFuD421UlOrLzTsQm3Djt2GAbzZrQz6/5svnRGnp4DNu3nrqF56A8RaR8h
Tgx96EoQdV0+09rFVbWYmmlln9sASQ683GtoO5MLr8DeUNxEcmAnJhEhGllRy41aT3hH6M4eoTcR
v+BTchc9ZPDUx+uQ0+8+/dx72UwZcQgTjQ6mt4lihWs6qMbN6ZEh8BnR7M4192Crb17V2+dUjWtX
GSsTKi5ITUP47M5lPD4sO+EQ0zs1lVeuUH5KG21fGVAIEB4Dnm95CncTDokpnouzcevcTF3ZpyTF
HqvM7sHPUHBPMG+vqpi9kmOrl+WAZM/amQXUEMvLVfJcmiE8ITpDZjP0x5LN0WQ4+74Lyhv6goA8
DOdLaYTKUxb7L7B++qPS1TVwbuaCvkGLFgjtFR15s9bM8qugTrKNNFt5YSkoDg6pDxi6gJIlhp1u
02aA3yjzQ6bX34Arx08GQOO105IFak1Wx4xhKcdqPmQ+jJ4OXtCBLMY1i3D/+efjN70tAuTE5l74
WSRVaVwpfts9azhkt1bSxhT3WVj7kMFXNQHem14C/106NmLyr3olvGNm43NHTX4IGyAyQiF6FfWT
PDbkSh1HwlT3mr8FQekasyatQSG2bCv7PHbDEEm6r9vpfnmVYeLfZz2JS20BdxX1JvWUrC0+eqzm
cbg3JfVT1rVTd3Aqpzo7ZvhhFIrtKgPVR1RfzbqQ1FKqsm0uzXzQuclOc9mt8JsfIzjqnT62iAr+
efBNXZxiiJg7KyRKcqkzVDE5aj9fLj8jlehxiYePIzz/jYFo4SFU/eoWY2Yp7Gy8mk2xYRcn92lf
fzHFty5Ww6+9WRknrcjFyiqpa+hmyc7f6z8WfolMqC3opNNPzmG9/NyxxV05Y4U4rWJgNmX2QVZT
oYrWOss8mlljHbtGpzdrY/TvqhYLqyPTmMkakYYi2esza1kbqy9Ia0iC7kIarAe2B6wTzwoafvBK
rmGbvCZqnT0kEeFxLS2JvzwvLBO8j6Pzgh7FLE1vL7vRDbQOpMF8wIlTYwns5TZLq2ifzfVZh+XJ
YZzFqKFh6zvEeH+oCsUJmOtbzdPYBAf15yKibB7Q2lzpmChEVpzDiPXMoqqYy2MCMNepI3XEAbLx
yuJik7Ic+YT7CXZL9WKREQNCNQAeCOfnphuI2foNUnEoQKknHvq6UB+6SN0A0pnWkDngtBtDdNV9
O7ourxSoyyuz1+2D3V4gMpWPATysiwFyPx59hi6VGotrjU5WkcdWJ2pzbec8cRWH/gweyzMUARWv
Jwfp9zx/hIaygWmmMGR8HCwCfRmkPGSJvFPYMF3ZkisMYEnxKXFcetCk8OlBdcn6+tVnwzdGA1bT
jjK4giAExk38rbH8C929Xefn9UOLg/kU6u13Yrd5oRU05z311k1gLcJOdXbcf8G1Tcrgqg3WOSn8
p65VwkNCzeK5T3yqZwpgsiECy15qaN7r2RNbJwj7CmH6YFSYRXVIcX7lxJvWRhEYzKtXYzLTY6rY
18IjeSJOqe/+1K6JDCcVNDd/zWOi+GbRvLDTwt8XOObW4VzHI4Wc+OtxcsMUtX7cZU9pJFpk8/UT
pp/gADS5XOVSR0swuHWcy8eQLtnBjmgDFIni7NHdDntMxA4Q4Zndg+BmM1bkz6keVy+S2RmZN2xk
TXsO7egRvp5NnAqW66XG2niROA5JOq6SLGb7oFQeWBeyTBZz02QH/QPqYobESvpVRY9TqZ8aqELH
PhUFWSptvYOTBJBm3p6onc1iwUBvQJFRXpJCAWOmc1Ow2rgQZcrzZWCJwKprv4h5JAUTuHFkW4NP
R4pjdtOlT/0fI/YYttx2+kD/Wdn+fKhJhwZPnUB2j6mtPvsFoS9TBZlab/WVsBnRSMxC1ZIPGIPJ
yMXxlRAS8lwD8m1HvBOm2ennRkfH2+G3bfTXGCeKq8apfTbszsYeSjpIpZzogahnUTLD4/naWxa7
8i46q6PW48RUjJ1Cexe/yQht34xvMd3QPRumb0UCI1t1+hGr+WzpClVMmIbNEtWQ/Qtge7r+JzYM
xKYUVFYWe1dh23vPh/9uUbAjxbfP3QFzI/+M/W9JCZj20Kyp6Z6xVaGkDofLVM1AelgnEV3ZU4Qo
4dQZhc/cTwRnKmAzEXylNaeWfR92SvXoY0akKV/WH/yE8KG6VrGZoCQwymYEZ+UhxkA72gMWLJqL
XUzNxZsPVYG6WcakYlHU6uDJEQWc53URb4HXbQyZW8floM2vYrD6PEjoMq1kHr5aYMmPRWs4+GkJ
DJV+sw+C8UdOIRMGQ0hX1YFpvrAX8DCOa/pgn8JUWg+WkZhAcNFsJmpACTT3X4xay49se9miIHgj
/Wa+Vedasw0zKJu0mmQhIomaYF74+ZB7EtuYiL9RxQ4htHJpIpKF9ElzSxkSDqZar7LsU0yx4pmi
NBgvCyUPdw55QyPLCeVQp9VAx5CI3XKeah3fUh+JqbBJ0e2nfRPa6soYVSBNIUHAZVHTD6/JBtTY
8c26EcfLXpsIIqz0J/FIPfHsa81+cV/iDYUnQ5Mdivsc3uthhkfZp3xJSDkCazRhBWBWA8Ne4iJ6
IPBwCrrioZmC/VQn4ymYF6Um2cwsjNdpbkQHRWavQtbNgdJkucetTpgtGX86/s0nGVRPCkjP9aI1
zarGPCB+6J8qnUwTfTqpmFTQIYIsRSW4+zkXBd9zQzYP2BO+11MRnCjK+WthdI7rEf6+SsL6s1co
jxr90Q+xsL7y4LGu7DhvNeLidVaIQxda4on6ADiaCcdLi3evR9TEJNGQYMAC7hJO+Jp5fkyHlIQd
FjcUFamofx8qbRco9SEoa8VFAWSAdrfjfU54n8W8pmK30sYKZ+sgVp3bCbDKSdhgz5vlZEvdrYn0
3LUlHCVjkp+yJkqRI7TMF5jctxRGMJiiYd37fc4TXWJHXFb/y1WDAFRtYqc23CYax6cRQl4XQG7U
TCWhcNG9JEOOxbONH5AiY43LB+ImtEzfe0x5kNm86TOpBOfAVJUPfBX5brl3iDwSk+1R8oVCatME
GKrsTzS7xa7RLfSlJcW8yezOU6jsid6eTlT2voegd/eFhDifxrV3HWd4T9sjNxFJHR5YTLp86dYK
RWKz8+vUfmzReM9E/Z4SNJtt8OaDngfPbWDilkY7Ezs5raSuqp7yPv8j8tB4NwNSq1TbmGrWvZhj
3KNoowgnVbNFPsGe0WhNuWqAWD6M8wz8UxWE0Px7kumINHONLrqwqHEH1p9qCw+90YeKhN++3wUY
eTG5FJ9pLGQH1UvzraHFwS4DYOuOGH7XsHDHo+jjb4qSkGEZBACWFad/aLGv2gbbIAM1O1FbhnLW
YRmujaxl1u3nYAkPFkbd5sjGqlTdODraKDOm/pUmmFBLm4d72ZE9SzZMSTpMWkEa04CKEeqTNGdr
ZGQrA4ajmEaW63e9sq9ncWBVRAqLiCw4ioKm1Aw8poTzEktfu9IV+RSjwyW8IXRZ5yIenJkLC31h
8nlAoEG8+pPaPrB3Xi0P8IoQibVQUoGRusD/aeKKxSZx0dUYOjcik80AI4MIln2VkHyuZU8Yn+U2
tOrgWM4zbmv3pyi1BywjqOGdIYwu44PtVbQglDA6OWYU7oewP9lFh3k2Lqst8D980jW7R4LYxFoj
uO5KC21GVMXVXBZjVdoQZiMios6WHtxy0AQcCd3q5/7oj7IvjCdndPQnsqVeDUISitGkld90Txoh
lkLlgUC4Srz/aWqSdcxYUowXKYUNP58KGKjFZiD4o8HaqykvqRfWLyN96Snvd31qhLTOCfHVWbad
YxXJdyFG3w1HeCR1Ij4Iu5Zub3VYz6iKE5riUFvLlWe7COvjUj0VmpIBGx/ydaj+ADy9pSnWf1IQ
+250yI5FNbdMmCS2Pv5GijON0NxYFVdhYdZTa1Yk7BwvUJslsqPusUsUjEMoPoTreeJr1j32GI5u
mQkjuE8BMq86Gps8LrZRi/K2TXvjKMucXOOclhvRAiCdIYqll+WQm85fr1TJYMXSf06aRuCv5xrW
iYqqhJ9U2RDikCK+iYy2OVGTojYcie5ZqePw2lb5ZywiPNb+0BpybGqDfxGxZNIDDRecOWpnhMA7
MPvGs22zbG8TiYqltsQZrW39VCg1sGbQ92XtXzKeTuQMIk9ng7LSaq95krS7NoMBhYQhjIdynmB0
3IwjSK2l7iomod3msJKxokrQxGAP887MP6Y8U6ccdxBGRJb7pokSN0XOf14OC5R7eUWVDCMRA8mY
67zL2jikh77WYgvNNBvyA/qQV1nkw9Ebkz+WTo3Umj9SPTV2S3+2m5u0oWYiG4ron1EYfAyA8Rz0
vsL2Om8lpqQmYo9cV7ctAcNWI1tU20q+FWb5KSbT+WjM7I5whLWdMwr3s33/pilMCkaAGKd3Lst5
L0qw5WBXlspTit9takgsRfw3pydtk7lYJRsMubKgQCG8YCeGHkBuVO09g2qxnjfGqZcYIAjrRVDO
nDhY3TUfe32XAy5Z/5w2LX4dkCF+fat7Wow+sJpm5Dt3GusB8Nf3gAbNNlElQiKA8rlTAA2hEHxN
CNvb1PhkWffNndfUeFo0megR/3tG7oCjLdJwqWnFHtMWjajUPLe+Ze0LUXydnGRTE2v5KDT77LDf
3kWNiA6E0n82nFq4MkYSho+MByblBRJiqh3NW1o2bfhk2S/ToKqfsbjTwoZPQNAN0DzD/+7VUQCG
FtCkX2vlc8W6buvT2AXwEKFiU5SahTS9qJ+nXxuti+gIRUXTfE9pDRSsZHVv6p+hKiFCUMn4ws0P
k9Quqt1f4oG5mS+6A8ar18W6SJQvMHB7bHdmkxlY01lbjqZT7go/Z+nbjYfFbwuMYj/2joeJlMkX
+OTJTJTHcW4PkZHbonJEvUvgGlVLwtd2oD1iGgSA+WcJFBOIl7PXiuJ5CU+QQpghwNHEaWl3L13a
ubsuYzZnFl3q+dCREM3O/BjiCkDi4j1ituzOupNcUO7hxUK/uSqNPt5NRKFv9D4lHq8lsUZNzJcp
J/Gc2wbfymyGxrik7lM0YvOWeWCBVUWzgroPLkX5bfk/gBqWJ3SlK8Qj+aEiNz0ZbKZzfqWDTmPp
2Dk5yqC6oxZuWDfCB6/LoM6hNa3GWOr7aFJpLw/J5GbNF6no8TFuCAQou4FkvrZTQETY/c3Th78O
3CzZtm9GpILAHyxRgjVJnHFlsDzZwmlxzoubPI4haCIi4mcegOs8NNgzFoX3EWPf5y4tyw9CQ1xG
RcKVKCtxQhnmtZ2BMv18aO1nT6vSn8iKBonCvNcM0P5bWxUP1GlRhejiA8CwdZIj46Qo8aoU8gO/
kL0nEIByLG9wWl5ZFroXLY+JKJnbqsvBml+xC97qws6OdpPM2q0Z0dETJlBGoeZSrjOPy0EEOgIT
fXwCXEfBe26Cwqn72rc1VQ+FhfNKVY1+l0UY6GbLJGnUa1JzGjKotQDpAh3wbvReGnSN59Epo6OF
Kf3nT1Q1d1FhUMYA6fEqO1Ii1Rx1q1Vn2o74djSKtdAvopfWwTDVo6ZQLuhN5w/TmXA2xG22jwz9
Cw1l/aOnkKsZ1wCxEDf+WFqiZdZcS7seDw1BAFsrSzIE2rRKY/MRExsGJkpAZktXIAFTvJG6fZNO
Q2rQNCL76Y1mh6Q7IT3aIRMmiz4HBbA8HGm0nz0fKquRXAeu3rn1DkaFPS0kinqjlPQqJHOGC8gV
njxZFRsr8lQaDIQt1qHpb4izeY5a5KVakHyzZtW1J3L6rcxwteHtYu7VFb2Yl1DQsFlmg7xsuL1F
Q9JqrMycMwNyLMrqp+VveT/1urRL29GGgGaQSquE3YRVDvEuU8rGop+37Qqb+h7N30sfqOlOqhhT
fDn1j52ev0gEP0VkFJdYJy7XrkkY5CGq3XKw7/Y3vN1YPC35CR/aTQwoJOPOGb+0e0Ykdg8dZYOm
D4cuZsDYAblCYrgl6IAvZgw4rBAigbpTmcdFQYXwg/X2XKoHImFRwWH5YCYBDi0J8VvOjypbuIbE
cjJYLX9P6kXojFjkRm9fmfA4fWOg3yY6ASclERdbpbNZYynIQNqPreVvfc/8lFCYAa+Lqxr74ixx
Nwnj7tXkJlGHHP3afmpMShqeA77T0EW7XySq9TB+sUi/Oto9GadNDCVcIdDQqNPxEPepir+rIpRb
Uhxupf2lpBvcN7L+MKZsHjx60PvCK1CAE7RFmdQ/WBphdAu9CglauCtirkHae5hUrTSdrZ7tmXQA
vg+bYNl2iDu4I7Rtkw7NgOPnPeMH+RQ9N/hruvpdSKM6UVRqd4lCA1TJix/UZJ2NJRh0EYkWLtCn
L9SP9JVV89REcNKTx6tdgEOs+2hke51jiKonFvceSKBymDaDZXyonY9U7BrEzPW+6nMLSeRgncb5
sPyox6z7BoMqsY2P6+BA0IAzFKmPYBLUx6oi9M5CThcpUlBp8J1nhxILqzh5bnt5s4LQeYy1xnnM
2ek5HtskxyE4JpgU/TG1C/TI4GV34WRrWz9ng12zy0dvpZH9Md9FkmxanC5wbxOk/xiBUvjQI8XL
cYLX5FqZnrhtx6JfTDo8iNn0NmZcoSydsv2gkhQYD6R+hLPrG2Xex2GkoVWiOViJcThZrQNVvWp3
4zw3VOlk4zVBe6mx+12J1MOaQ0Dn2TtH8JCRFFqlTzoPpbdFLge5dpVOcXpc9PKFZSBgRPgTGmZI
z3jkS2vFeZGPDz6LzMB0kPoHyW7ZSiIqntODa2pejfGEYzfZxCHALbpa0VkM1RkjzMYsIHyLPHoR
Quon3DVrUSBARuKItAKinufQ11Ch+Wez2VCpx3TnFLS9W3LMxshSt43nVI/enOEIzrcJmye6r2tc
ps4TpKBtWGJeCh4We31Ri3GH/vEzKSkRFgEOVG3nSXleNqY9/PoqvPmtIZ4UDZ+BblTwtgREeO5r
Kg0ebUNiWQ8FSi+e4b12yihArRfltm9iErZGVbv+XNFQK/sUtKT3sHTB+RC5jW/ZnzQl3g4x8zb4
nUvi/aDFQBfIm7AtiuCFTKSVRfrESUPOQRnGhss0QNuyStxDzACnNtb7GzqWmMJq7tERspJz5wTD
TcmjQyVpeS5SUb7fJ38KfJcIy2uj2tqqTHFeL4tvB4Lv3srgvbPnTi6BMoIPrtSj0fkWW8NMezTo
hxe9XsI46TXa9QqOIFooO2npxp444vTEPKdsiZhLZHQoAL1jlwzMlyG+mVOOr09L61ehiOYw0AhF
gzrVrzYq4aNErbgyHVm9qkX2xRI89fRCVov8fa0T0HiiyrrV4zo4kxKw0hHqIwOvq43vIHYwMJpv
BofCpZR9ucX1q5JTUGd7cGtgUBEXUXmhXehAxvOFODfEj+o13qt09nkZhUCSGROmU6rhg1P5gZsk
Du2uoZEoTqHUOynEqyLQ6b+a7Y5tGj3GOt13TiFPKeszZBCaifYjKK5aWeKiJVr7YdSzA7GH+qxB
VlzWCFRZsX+CPlpHapJCmzTEOiE5rhSNAkdAy3H5EB3UciM8DAyGx8EEQwo/kuiZme+IgREtoVZi
B8jDfVTTb6mteT6MvWBtUW4d6UQgMTa/0mXCbJKiby73uaWesGxkB0cFFK7ahKaaKLQ3wzxXLAd+
P5/kSmJn0jmog1rleaQ/qs82gYxWDBu9bT3PyqkdzamsZCBjP+q5zRvDIwlUwa5Hs9ZPsSE0hbky
MQKfAhk6x975mNMovi6HoBafIShgEmUgn/Q+JGIERGg8SvPSzeJuLWL/W4bsWkl/ZTU1Un0UKQ+2
JMtnWYE6Vg/U4695WpXXeq792gFgWdsB+45fuITCheCPon939b5M0s4fDSHbAw/7FYCYL5pnqztb
Q92gm/Fwjti/nVUnAn8X5ACd9Ei96cXjkBospSHWfqBAtMmT+hNkMMrqeID9ldZmaFHKmX/kha+I
QwgRmVpCAHz9hz8WLUugNMf6wgEQYhyx0FpWe8tBV8SwrwiaMk2kSjOeoFya4mbEiC3rlLpllj4O
fXKbZJWfVV49Ln8UWt53TZvlB5r/gRCGxl203SXwspOvsNTtUv/wr9YFt8SxcFBgJWP0EVQE8DlK
99ewjtxl8SxmkMbgIODUwfXYGqpAJEUbVI8W114dnhx93bAv+tZZyd4LCvUz+VV/eE3xZxZn17Yg
fKEeEOIhYh0/JeBAcBayZlH6C5K/ZJO0FqvAEZWMUs65iX6aE9wxhJ/SOqYt2wAoZ/G/YdUQ3dQB
MLle6U8JiR9PmKAcElwVj1LOHFHgUAusqXOJzJwxRPRwsrlSKsupOmiliN1mArQuRNDu+xALAzeI
84yFu3/U5bgufv6UOs+xgYdaT3Fli2r+MS50pMGM2uUfTJljX/uxuCx/Gah0flJRfo2S0gMJiHrW
IQNtdJvcnpFhw0w2IrckyBPtNsXN16FQuw6xA42jv156NpQzh4rk8oeRN6auFhafvdizj1GOhcAK
MucIE4JAQScWroqDyC1TloIjaqHeYttsC+xoPV21lalPIQCDQN9T6zf6Pr4qaFSvTW1VGrtNVhOK
VUEbioSgwPvff+0J9ZNsQ3VvTHZJOyFIkmsWspfKBQK65R2WP/NDk4zPeMbnpTYhKzzUyrWiAs3A
uTWghC1zkFLoMs/Lz8shSoqbHhjtPhbFt3EB0oUamXjY8FGnGU8tyzlKUbD9lru+n3fG7XyobPsT
xAof2VyT7FHWX5YdiSwctiXe9Nfh5y4lUZufHO2/iOl/0Z9/ksC//42o/nfA+v96AYCRpwtl/Z//
z8IO/9dPl/B7ldf5n827/5f7I79+TX/U9//T/5c8d+jd/6Rkz7z4vzjw8wn8z//xv//r/4a58w9+
wtwda0avq6o0IJjYwjABZvc/Zsy7af9DE7rh2LbByOQlvPa/UO66/IcUIMvJhEDSbRAO9S+U+z8s
U/CHNjYIQzUdR/t/Qbn/Oxhd0VTDMhABmfdAdC1EWpUM1hZcCx2ACYblx4Du3fVv38N/oIXPEPN/
wcL/9fYz/PzvgHi6r2M/oGKqarLUjnUSSdxCoqq/dCjFYYwC+iH3imJEsH7/E2eK93/6xBlb/rdP
ZHER223sQZthFRvdtESU4zrQ58/FhWxVh/c/5q3vjevy94+pTYF328/MbYDGhy0ve46WfYiWf3n/
/d/64mby/t9Ow3IoGUQOSrVWJarCZGJin6lk6nge7QZtqoIwsUImh+D4/Q9844TkHc69sEXRWfMH
doljDcc8aD26fXUbhL8A3hNZ8J8ujLT//YzsEC130xIuYydjHr16YQAmewV2zgMOrWOyp6lW82x7
fv985vSE//h5d1z9wuIRifhe4uBDJgwMxXb1dG6ljU6ifG5bcyBR3OgH5H7Uuc84QG0d17Fva+n5
/V/hrTOe//xv1zDxMd9iRJJbgmEkqqn8T+TIh1J0YN4H//L+h7x13e5o9jmDtbfHhojfsbY+oSSx
tqMukv377/7WKdxND4kNwKHWK7klrTr8IZjsz3WNCQC3AColo0G69v4HvXm57mYK8tJlUVITg6+D
ugan3gdNNuBi6P2sJ0crWPu0/iYxW5rVaf9K72zz/ie/9QXeTRhV0kdFoZVyCxlqmraVWkX+ppCO
7v/mB9xNFdrgqwSyRubWFAT2rOCtzbIcmSKc+b0zuJsrtIgUL/QjbIvy0TIfWFxNyrOlIDb9xZz6
xmRk3M0NtS1a0Q+SAUQ2sNuHKJ5XShfEmP7JFlor/RDsg2jSf/Fxb1wR426mcMhNS1pt9FxoLVO6
w9BeUHgP07xz3//C3nhGGHdTAxJBz+4LxXKbpkVCkpl5hgs7UxMk1ISUDr8YPG99zN34LyGpUPBP
IZZq8fQSo66/oQSqHuooD26/dyZ3o7+PB3bzgkhiTRnImFLLID45uAbtp1gCKvrNCzJfqL9NZIHt
U2+0ULVUiTEelHQSNwfwTLJ6/yTeut73Qx/kguAbMt2W+suwEtFgfKbAUWzff/u3LsPdAG87K7ds
YZpul3AZBmQAW56sZBiS11f85jd0N8bbUM9Gdog2BV5EmzMfEm4PRTDaQ793EndjnDBLWSL94BKU
le4QmdXShwvtAqxrTFu4/L3vSr8b6ZY26gjoB9NlozVdNGeiNoBu4TJ2Mvm9JaF+N7pTh6S9iD6q
2xgqfGLpm33xWBFJHJ/0cnLEsVECGpejnwNkev/Le+MG0+/GO+oUGEFUwdyu4jK5Ae7iZpMNiaL/
YqS/8ZjU70b6EI6l2WgVNgzFJ1+Vtq0pNwUofvTpqYbCDeNRFf7iw96YjfW7MT9CQoFnwr0m066w
dqJtlR5/u0YMZu5boXqNZYdswVYbdfj8/hc4X/7/sKjW7yaAZPCptdPIdtmFBCrQNWOqv9caBpEt
cP7cfIwjjahkGrNBcxYR3P9Po+Ho8vH9j3/r+t1NEKNnsvyNFc8lRKKF5kqybm9axeb9d39r6aHf
TRCywyFRapjRdcHJbCf8rc3W9qNkdP16bP2PwCj7dN7+Z/I6sIPLLjjT7eiTHWsEEr//W7x1jncz
iJ1FaDf60ID/6SEsMSfnB4p7KkPvv/1bd+jd/IEr31THIbJcQw971x+xUyMiyJ4UO5/cIfXaX+xb
3jgN7W4CadXKtCN8otQlpuhLZJfKg9fB1Xn/LN5697u5o9R9kpORL7ky6UlpblWbjPM2rAChv/8B
b4wt7W6mqEPqpNoA5rIZe0/Dk95o2oey0I1xn8F4TlfaZBb+9yKdcJa+/5FvPJ60u7lDpznAfVSZ
rml7Ke5Qy1ELSmB++QOjEnXh3/uUu0ljMiZigUw2B4GfxFuzSfHdYXveBCrM1vc/4q2LM//531YJ
pkdGU0Qj0K1bInK10ITCivFl93vvfjcHmKrA6sQDwo20MF1DjCV6fsy137yx7qYAdlG5DSaOyMWa
sFMREH4AUu43v5i7oa2aBUQsIHguLbkJJVwGzbRD3/er5flbX/zd2A6itin0CqOD4qXOQRF6uWM/
YPzeV3Of86YXnSThiHdvPNyORsrTbBSx94v78q3JV70b0namTXZncV1xyiHjafe6MlzAiH8ynPh5
sBVXiQnhIxVaS61fLAfeGOTq3SCPhFKJ3qu52EX0WZAFsfJbhACJgb8Klwm5aE3yi496Y3ATt/hv
YyLzZDBNqjJzIuQPtrckbBN/VmRu01vmL77CNy6/eje09c6ivxp7PeAos3pySLDaEpkd/2KHMV+H
//DoV+9GdZMx+SGl7gFulKQdl9MXJUbLURCPqhvepzpP2pXjRb+42d66NHejXG2AUcA/Qq0hyXjN
Kx0v7aTt4wJIvJdX2qoYkl+c2Ftf292Q54nvxbGqNy66U+LiK6mRmQW1I9i8P2G9denvRr30/DpW
JupPNtWLY2POotc0T04OjZ9fPK3eOoW7gU/hVulUmCS7qvX7+tlT/dg/Q7RIfvzWKYi7hzl+QWhv
nTZsB79FIDZOL5ZV4DKfhWLvf8IbZyDuRr8ERmMgt+22ZRJQoK0JlS8d0lref/c3Fj3ibqDrCJE0
L7KxnWbKZwI1glVXO7eijo5NIaPfm93F3RCPi6lCl2n+dQqGBhVY4tL5xSm89QXdD25pe61NH202
Q9PKnd+9/v0vaP7Uvz2yY4yk9KV593KqyeAoxgfa16gGY/IB6dX/5jncDWpcWnYOlpUajqH9yPXM
3hL4N/3m16/dncKQJjZg0w6tGQbkyQjGrd+bwfH9O+iN+UjcDWJEU0gBRhQKg1btDad6HhoyTP8P
Z2fWHKeuReFfRBUgAdIrPeBuz3YSO36h4sQBMUsgpl9/V58nR9c0Vf12ynUiNZK2xrXX19IZEn76
AnV4vtJGSxUZoVymcEOpoR7b4aUiGlr7DnDzB2/M3lOC10pRrtwWLyy3ATdCup1V19QQayNZ3tkT
4LFYzq9g+49kD+sqUTAt6eGAIUDJielFn4Yc9H97yI7h3DXBRmc36gn7B7hyA4oUtqP4RXPnGbkI
F+0QQXf9tx4Jek6GTbreZT4/5WcKmFidzFfPj4Svp3MYM/1bekAyKxFIv93VFBKzxPIhXJtPwpAg
KVYG29exHnAj1kdNXTATuY5maJ9A35jLHNzBET4N2/Pf8PUgC7gR7q6EEEDDARjq9Kl54iCL7puS
oS/o7IS24t5tObEyOl/Z0tcYUe8ICIfhMK+jBPoTkFdaZwuJ5rQ7X/pSdxhhr1XcEHDgIYDn5K21
xuuxPZkEMWulqZbKNwO/nbJymqwuEqkFGZL7k8TJY96Uj+d//tcrU8CNcOdCwAupCroIT5/QPwwJ
Mu/q9KlnyRE5QOSyMcuMYEcyhqXgTILcAuHdSmVDYej2950/vpz/ioVGYkZk4yUbxvbYo+9cmANV
bfwsJufF9coVZvPSZMWMiGYCqSPYIoBvHc92REY8Fecx/GlmiLsh8MyQNhbDbpCqrr4dYSoFFwTY
65//toUeYka8w2QVOCaUHBXYHt5NU1FtSyTKQZbBgj08UPXKCWGpnlPbflqCtSxcu4jheUVFdp9D
PQgiAb61cSH9kvzvZR9jBH7MBKTtQiFFp4eY11HzfVk2cCh3m4ciFRetxAEzAp5XPhWNVXYRc7IP
X3viiAkneDj/BUtDzYh3t3M71SmB2aQfkHCWwBm/v270+HRZ8Ua4IxGcZ0joQza/gjWEW9c7ZIy/
FZJd+PONeKcDHQdBUD6zhgeYrEMyVR8dl66sHAuDKDACvYY1WdIh+w9Ln/XYnxgNEA7hpInsNOQ9
VCshsbB8BEa4O07TBDPUztgt9pDiAQLZ19/jwNkmUt7BhXZlj7LQ1YER9VaKIwcSPXWUa2zo4nnn
ErjvgaB7vqsX1qXACGyKdCYy4pFjV8PbXEFaDFOY8yUv/fDT3z+FcgOJJZACOLwSpzs0bQ1z9Q47
Ur0yHS79cCOIRdGNqdb44W79bMMpf+Qf53/3UsFG4BZIu2vmHP3q1OyXC2vAnAdXlxVthK2WPbJQ
BiCjkJ7sfJunzo0yDULE+dKXBqQRtQxCq8wueBc58X2e0qjuihOPMQps+9Ft3QuHvRG7MBlIrIba
cJiX/HGGnZ9l+78kmItI1IYRm1VcNjBP+rDPwwejHmngNvYEyKVpNnjtQ7J4Hwwrs/N/t1v/f5ED
rde/xbO2D+BydMLN71k0HtJXioyWNEzekFQ83fe7aldb2+JRfY+BMllZ3BYiwjdCOU1SSeG93UWp
TG47W7whAwPCTyt+Pz8Also3YnnAO+I0gXazg1j8SuCNA2YT2ZNI2bTS90sVnP7+KaSV1jaeV1EB
K7wH1lTvkG3cMp9ftiz8n/oO2X5ItOPtTpUEjm75e+EWt/B9XCl+IbB9I7CdQQCeOjqw2x0IOJu1
B+ImhVT3fOMvLDq+EdtpS3vI2bUFDxB4O5ZavwdzveGV9d0RpL2wA4wQHzncVnKOCQSmhQNSYHNo
nbYeSLwF/HJrmLad/5alfjZivEEOfYzXsS5KaPPLGvqXAVkldlysbPcXijfFdT0hNjjiaKqKCryK
nJZkq8B2nOi5W+mNpSqM8FbgU+P2f8SJAsmSag7eMjHcgrr0/XwDLQwlz4jkrAxsCveiNpokuVWZ
BU4SZSI6X/jSbzfCWCcK+lbd47AF6Ty14cHkM8jW5xUd3tJvP1X7OYhBlpwSQLoiwCIAlVbkjY/w
xbrst58q/VT4lDoZLp465MLAkT4tyBFWIPeyL1dCeCHIPCOEXTxzQjFsKQB14qeU+ccis7/V+Pmw
YpPz7vw3LFViRHIN82HeU1QiuSCbmDdXjCU//br8Y1X5/nwdzukXf7H+eEYkwzuvBcYdnFffqSPk
+fDQc1wkPJfeHzI4N3AX4dsqSQ94nMk3Q5o2W2E3z9TqJCBK9tohZWmoGYE+WAQzLtXortS9bzsP
wIHgW8vJj/NfuVC8qZTrBtKmsF5so9giUeJCld80B7tcu75b2PCYyrge5GQfTosqGmCPGbgjrPbj
9hFJHzp0mbhtYVlx/jsWQsZUyAk4KreAObXwIm6ACYX1PLtwl0xPg/BTwAyWcgvoVlSUIiUfYNvA
z24lmLbhkLm4IDz/+5f64fT3T5UA/DpWcHRDQ00dUEbdtkjpC9zBvp0vfql5Tn//VPwIIWzh4+4B
M0rfwpPT7jbQqZLt+dKXfrwR84mLdC9FXAXOqvMyZNkT1PugjDQrY3TpxxvRDrQgXNLstI1APaMD
LGhreHsmeELOV37/qSe/iHRqRDpNk4RpVoD7M8JutnThFtc8jBUc2Cq9u6yJjDAuhAfIZocq2ri/
lSy5rfUIB7G1h7WFHjBlcAWb4lL2k4oUCX7bPQx5LeZ2J86eWFmTlmowlmsX1vVeLzBA9QCvOGAa
rxOJlGRo/ldOXksVGAt2CUPnDqgqfAIF25j47n2c2vep4n8u6gFT8tYhVRs2dOgBTKjX/eRe5zCh
YrF72RgyRW58gO1JJhMVwRTnB9TmT1I1z36f3Ddy7V1iYZiaojY88isbe26Ax/EWCJ9rHNslcjjL
m0Gxy4YpMSIZ165d7A+WhL0ze/ET/2bC03+Ry9fL+sCI5HikZZ40GZZUtBWS8AFNTTyWbDRtL5tH
T+lHnye6jmTSymouo5yPwMTMj8rNH7XFv5//gIWpiBhhbNs4HFaeLSOGRFsRprDGhiFOXT6fL945
NcQXM5GpRssyns19NuHnywZW6uWDYvJWWO07kRbIg7X/XQQw16gk8cIMRkohbmycsJDZZd/nGlHe
Zx4c8BlBMi1X4IK0gIAMwKSd/7qFxjO1atqqWO2NQBvDfCMFHDQgEjYOjPf5yn3WUgXGSk2n2uZ4
NZfR1LQdHKMcKU94cSrXHnGWKjjNXZ+W0SnXmikQMiPPA+sCTnlBA2cSHgxqpYkWQtw9VfypAqd0
AWkAcTyCAegf3FzejH7XIjE9u4Ole7M/3w+nX/vVIDOCPAjGkcFDpIlIDvKnQIa37YPKTHCuX/mM
pRpOw/vTZ3QFtJstqXCxBdjSRz+P09GZ3fxXPo3VmhJjqQ4j0kfYqqgBYIyoTrM67HxglnL3aSyc
i+Q2OK3/+w2wcB1KK4DBNMzLm6uptdv9UNTpymq3MJJMkVpPejI1wGKio735xYYz3BUNGKhz57t4
qXgjjglmWQ+cwCbiVSzbfaAZoaEX1/7aKXJhoJqSNLyO5nXV9E3EAnBgWlxpKsW+11X1y0vohftK
U4wW5LA78DuFYUS7Z5G0j2k3v3DWrpzilxrJiOYkhjtbAd4UfFT4W1WDYJFSuvaUuVT46e+fQkCW
U8Dg19Iga8BSb5bvuAedl/2Fw8cI4abr0iwgXg0DJfjA42pmC06bv7ts8BjRqyYLmosChbO66+Ac
DzI96IkrZZ8uh7+YfBwjbKUYIc9kLgAi2SSs70kwO7IMs1rF5Mm3NVHXVhr79kbHAZse2gAsyoPk
LhhZDoXx0EGDHePkAG3FwxQhz4fAyHyYMvVrZH6ZbSvcd2OhzLsK3nZDnKhjAlBlFllzlnoPpM3x
8sqJ6/dvdpfn4pnHtddd+R6sNECB8eECA/MBR+x8j7TVTzgE0fihAx83e7cTP9d/iiqAjzHQ2LK8
80/2+iFcLILpuiMdkMlDo8YTycnh3hOHWccEyW8s1d6pYJV/hWvYObkaeF9WSAxofPswVHHGD3VA
ePykxzF1rm0Z23CnpZqw6sLuNCayEkY8+OXww7Xw9h3WQ4XrSOBIz/fnwixsKu6gqJywPSyaCC4C
b/1Y3XMnOcaBeL2seGMe6/GENIKEWEeejjHLFMeg5tHM+Pay4o0zh9dD6OOUMJcEOxeMRovDgXPM
/iCDfWW4LzWPsSNRdgK3EbxD4molA+0cUxgZrDc/U98u+4BTvZ9mGcC5eF8FMFGDAwSH8tiCvxIo
sVc16crLphrbmMhSX9i6cv02CvDMc5gDmF7LQtGn8x+wcEFkGxOZKpO+7+FdG7FRwZVzmLNrbHnn
HcxD3MNEBNCzjn3ZO61tzGtgyndICuJoLGRtw9Bc/oC5rBNOsV75mKXeNuY2G0Qqj7KmjlQnvWTL
J4BFgLPXP3E/kl+477GNcHbApIF7GMasn5TeuEvhZvnR6HT8E1j4pJXAOHXu/8/S8Gr4d1x1pRxi
K+3QLbT4C+300TuxUs93+ddbB9+U1zV6UD089WqclGv/W9WU+jWfrfpPSafh51ST+u/5er4eWiAr
/PsNgEzPBJRTTE2SzywkiQjwegi08I3MZyLDXljgEo+Il1/nK1xqNCPYh6YqHHtMsF1h9Zuu9XAC
s1y24sML69+vaQJ4580JFmUC5hAANcCNNtZgR5f9dCPIBxvJ+LAHRJ/URXFMWZVfd3lr/7isdCPI
26xK8hhg8sirdHBMK2K/4ZA7rYT1UrMbYR2MpZzLFltRWHkXB12xDO/p3ZoEcWm0GjHtkkJzcVrg
WMmOtGjusIl7I2L6obty7TFv6QvMkFbOqEccjgFeqshHioSCD+DRy24l4BaKN1V1nkuqLM1ynFr9
oLcOOa/gpBcDYbmi81iQvfmmrA7J0HHsF6yKoNjq8gdRTRPbxEHlNtuhra1v8Ka/s1jQu7DsxXpy
ZP6kpiPMjr36sjFgCu9UQLB3zLCrHCaZgvFaZrhDLNOqKfYXDWFTXefbZMZhBJNWTGD9Ca/bluGS
ZJRgc15WgRHfs60VUrFBmCTEEdiGDNlAccUD4EJ4voKvFyefnUbHp62C386lAvkFCMtEvLZdfpXO
+gUJGb/PF780yIwYL2D31HE9VxE4pu0Glmh/585b++1LhRshnsjZaVv4WYP1QPeFmx9deKCf/90L
8c2M+C4BWU4GONTAPg7CVpgpRFXqPvppcmsl7vfzdSz9fCO+u7RQiYM0uoh7jMD0oB9gDqKqlfBe
6FhTSzcEAsdu9C3s8+v5Bhbe43buePaNstRdGf1LVRjb8BbMlZpWThlhv3YXgE4R+y7YE2tvCwvt
YwrokhEvnL4CKp1nFr0icSquwFi47BbBN/VzQ+4L1uekjGAPLKIJML5vdUb7qzTQ1WUmTn5warhP
wUX5iOT/yi6xSa4ySKHga+q4z3KaLxtBwanlPpWvGtiJxlyghWBcf8M6bm+xDrkP58fnUvcascuH
fOoHB6t/RlIkEXOPevMh7TI6bYfCqoO/56tZ6mYjimGYBEAoSTBJ+xaY8yOs98DltGxeb89XsPQd
/xfLopU9F3DcK/RTUTtb3dlPiRPvzhf/3x3FF7viwIhj2KN0zFb4AK9otwzALTBTHiQtgW2tN7Ie
97VHbycS/7VhHo984pV6Fz7L1NlVAGxaObSUu3YmzhXJu2Tfg6H3XKVedVmAm1q7QlSOtt22gHd3
3OydVhRRUxIv6oTHLuscU1rXzKCgxGVVRP1c/K5lce2eWBQAzq1c/i+10mmC/xQieoK3E+BeeBXr
kYC2QSZ68yYCT93PBQfl5/wQWKrk9PdPlcAaKY7hiFNEswrevSI/1Gn63GTTyk5qIUJMeR3tbTyl
I6UUidF1nIVKkvRboLs1JcPCiciU1wm3rao0PnUByQDu0o08Tmn3mg2k3hW55YdxBfbG+ZY6NfsX
sWKK7Wo30+Cb41Mc5dxmAs7QulRI2XPgjAWjn7XD5FKLGSHP/TmYvBZbfmfoYDotNLSvIfNd2V6k
CPV9I+ZZP8QNts/4jtSftg6c8+9hXg7gLIwILut1U2w3+QIvDYO0tokDc/hjZoNTA4gHzGvPd8V/
j59f9IXpZAfcsjv6vsawQpZDiXxSaXtwJYH3IxJVHK/fpwA2tFu8v8NWNVMxQ15VxtL6xfGQ/dYU
SXMibltPQQLHYAU2CQHGJEjB1X1tatcB0acZUglf+Gz8DXoLve6brDtOAlwNEmvw5GaeAq5sl4LO
31IHqUqPKk7n6T61IYi9y+A7PG9JaaXtLamJ4hsg1Op+ZWO6ELKmENCbfeme0trhjY9ntJ7n/Gbw
s/JqoHb2cr6Bl6owpp7Uykg/9z0saTPvRxvbW4y/x9yaVvpvqXhj0sFhdiotf8hPKHpQUlx6kHP3
yuXa4WlhWvBOsfVpUoMdD4yw2/HEka0KF/lDk+p2fIIWYzuX0pqPAXK22aHlVnaZWgKX6f9W6UgO
plLv5biTtnxgtIZin8gS3sh4VO+QIrWyJixMQp6x40hxtefAYBiUxCYR8AoFuA7PYsemqvb+0K49
2i71jzEHOXYidK50HgE5IZ6hWaf3DCy7X2PmWCuXsEtVGLOQDav7xAUte9eOJPe3UzF27G9LQWe8
EgMSF1dmooX2MtWA0EokGhwFcCQEXkf22htBQ8qQMCAAB3A3rF99wFq6MzCVgUmKe5tYFXlkl39j
9gqZ9K6byd8mI0DjNYfcYTtogO46tXaBdrq6/GISNBWCFvyZcSUB3P1cWVepk27hxRPanb2ZZReO
TrlzC7kf2YWDwlQNBiTO2VwEfAtjnKA7cHDkQYLikCL4SV/YKwN8YVxQY2rwULYPr39rO9a6uRmB
2wEDqAaXGDvslX3bwgpLjdkBbmpSiAlPaEHgdXsfyOaNsOy1g9NS6cZE0AtcmBLtpJE/EbZXYhKb
rEj+np+Xlwo3wt/2G6cogiLeOr042jEs+Gt/peGXijZi/uRY2iJ7J97OM0XKFHbkjly5i13qUyPW
JzgJihYusyBiuNcq7a44PP+zy1ZDUygIHSXY8D6cPJtskEfkJ4INA5R6UmT7822+8OtNt7zYC+AZ
Syy+HTXMhlnVtCGs771dYaUf52tYmjpMdzw48KrYgw1OVFXqwxXyFfmJd7BUeFQj2ceWfz/2gBQj
i+cDRIPN+UoXZkZTPZj4QWL1gNZGxeQW+76Ox6MjMTu2JHE2eIhhKxP9wixlygitacQTEpiAcPok
1wqYpriPbwawbDxCkC3e3GDczWGlL3PK9E1NIUg14DaTmm9xH2WBZXXKXIHXJJu359ttIU5MQWEK
qa4saMXxEO7fJL23nzz587Kijeie0nFMygQbuwKMOjRJham88J7OF77UD0Z898iQAOSwjrdlE/yI
h2Bj9a+sfStxVwESylM/6Y0o18Q0S41kRPwMt6oWxD6B2+vEBr940n9jVfE13d1CSJqiQg65Nw3A
QtkyWs9u2DmpBDfS+av7eLbC8+218AmmcFD7VVwFknDknAM6mz869dp754Im0jdlg9SfHRi1Acvi
TBbpr4EKLsmvwB8hEoF+Qh3TyYOq14KVOax+59Hmj0OnanBgkJjb/UrnQdGowwZdXfbWYPrfjZYE
FcjtTsc11SWHvK9Ksc8CIM5X5pqltjz146f9OFANnc+cNNhqPlvekeXAL+3hoo4s9fOdtbDhN1WG
qsv13MeN3ukahph53D+IuLzLY/Xh2cNey7UUzoVJ0zUWd2wZPdIAvbHTTZZij2XfAvNcgdprXZU0
WBGmL1ViTANN0FPwTFFJr4c8tErnzp3FYZqdF+60K6vmUh3GbEBTDXcWjWSAzJ33VTU/tEn/Gvje
By5T3s/3yVKnG3NAnTNm2yTudmAHliGzLDjajNTeX1S6KTdM2JTb1CIwg0GCbljnKgGMinQ/zpe+
MMGYlngUV23E8WW36+y2CoUfQ5PWcWeTMrqWBrXQPKbeUKgB5Ne66HYxXA++NwJE6dC352Blz3V6
yPjicGAqDWcvBU0OzKhdpjBAdQt3etu7dQW7qhp6VSXsJQ3WkgeXPsUIb6R/k5kwr90JfqIR2lW1
wf3umj/hQmyb9ndkcMlc5F27k3Wy8xzvjhJIrXkr/2rwdaps+nO+z5fqMWJbA1ccJ8HU7sDXegLc
8aEM0uuikfe0nZ5PCUErC8tSPUZ4e7n2LSLRM6A73QOsuccz1FMxWHkYVPF2EmvioKVeMULcAulR
xgWBzxRymbYc+XwbTPJrnmtLEWJENyhRNAZ3vd0FjfsuCvoIq4u/NQj05ztj4cebKry0BFCybsAi
9HgahJZLod2f43p3vvSF2c/0vCucHJrLGsezOtY63U1KT/Bh1aUo95PvFmpPVeOuWd0v9LdpgRf3
JKYOgNg7ABt+w73/FveFr73rJbh9YIdmXMt0WPqo098/LbJAtQdd56Meq8SlmvSGu7EB0CtP2RWD
lO6yljNCPc8wsbDZVTvWAIbVZT0WKCX7kHXuQ1vGK0/YC4PLVOhxeD10peepXZ/rfl+moPoJC/y/
ZHKGy6LQlOlNJfH9WQ1q5+AuIESCwu+ZZjdlkt4Pfv/uyHrNHW+p+41wn1PgxWvcdO3AyZRhbjXH
MrczZAkl90FX/K1kv3KAX+p/I96rYAq6gMXNTuR9GjbUS8JsBvtQ+b0K1WivxM5SZBqBH1NaAIXt
o5pOppsCjGe8g2R6Zaf436z+/+uWZ+r0tDPNsVYJbk6gKQ5yvHZOZJ8Dn7qBQfDNMCBrPLfGF4+O
B6Qz33FB5R4GqCp0pLfvvNG+aHx4pqYvJqhKQzW+S2X31ydMwM6ueU6kc9vAItCXl2X1e6amD08W
eBiYON9Tywt5b/0GOPvb+Vj9egvgmX55ueM6cU5ksJe+LjdUDlXIBy++ittSX/dzon9AMe5GeQn4
+/kavx4bninpcwpoHWe42O3neCy8Tes4XX3tO0XFViaGpQpOf/88x7VM46zS8D1L2a5uZVjYl20o
AZf5t2hY2cluclF077rRLLotD9rtZc1iTAGAw4g4DSSa5WT5xRKkJpVSBysj9evJ0uNG3MN+B0kk
U023I7IFvCq/qVTzYPvBSkQuNbkR77YHoRgpS7qFP8d+9Nx7WonH8+3y33b6i2D/Px0fXLNSRSoK
I3T24RaD9wfe9fqo4xhA27Z/JUP2UzfqzlfzFI1pr8F17fKnHGZJO12mNjiYdR0Cft5vCkIfCffd
MOP5mn/i1zOqZ6oAq8aRWaHrAE8rVfZayALvgrMzQ6HsyCNA0+r5fDss1XNaOj6NamHlDfi3sb8v
GwvQZqqn6sPVyNy5SsAlTW877HxWLx/8/15hv2r108/4VF0wuXHVZ7LYpeBeVuPGKUThNrvaQ2JV
G6rCczBKU4nUvU2qQIoHYDSfJ5wi7IbGLrSInQRVoy4aPy33jZNkOfxYZdw6V20hfPlGyABpJg75
WQdKuUoGNSCnRBDnmqfgVd31bTw4/mGE74OELtAbmuI7RXJR/a12KjWGvQt6EvyKbPiSkgzwymbT
O50cG0CiGydItpPsByDrKK9x0IhFbYVjwLIjyQlA0VXafPdA2guLYlY/VT3Tv8AVIMM7mKUVXMOh
u4xBfva9OeTV6NRH2JGlgAD79u1U8Q6pqJMYcegreWm1UeXFVLwNzGmsY1VlNNFhUCtxhATLj4aK
glZtp+reBZkeN9xgUU8zS3NAK0oCx9o6AMEZt7s62WTjkOw9a6bgSYtDkfIZyGTHfqkctWFjsi/8
6lAzAMkRYgCWFmIYx20ck3LjZzYLmQZb16c74nJxgPFVH7GqdcG5Ztu88f40arpJkSG0cYLxlgxy
79VIOYj7IZp6wDhdDo57r5yNYMGmtTM8SU7FU+q7GyX/uO11Vg8yrMd2Q2GeDAbcNZxhQUXYc5lG
rSyO4/QEZ5tN5WTIJrkua6y4cKRO81BoGFoONVYuDevu/I3ORZS7drvRrQ7b9h3c5bBU+Feyu1d0
fvf1n9bJ/gDn8E6sdyR93c7SvRtZEzZ5tZkGe98VaCsYh2lokpq3vv+DE6U/Pg3us5rUEX5KoVLi
IFy0WKNCf/re8mabzu0N638MSXqHNr9F0sjBG8t3lbdeWLbYOqhJhJ6YH5C9IsOTbH7TQbAxFrV4
gs4XDl+xX1+NHInIo9UDfN11wKOTGFx7N4kjCLBJEfp5oQ608ci0xdhEDnOSYVeKS0jVTRwN3zbb
aZb8Dk1rhwNWPXwDnmfrmv4mk3toq/E5y7QfqsE7lgoU8olugozc9UCI2xO7deP+p+qT71nafxDf
K2CZ3WyRMZgjH3dAUq6VvrhT8k137YM3Y8hJSUDG1s2uKtL3evZ+OZX1Qjl9b2d+WwRiU4Oure1x
m1ru94H48H4upw3wsvYukOkrg2EOUqK3udvdFSLHuCj739aQtSHIazsq5DbWzyVLsH/cJw18n3oP
ue0TubJF+yPnzjMRZEsbFYRT3TyRGUa2fLz13BfHD/ZgOezGzLup3AAPSZR/74filtsFUN3Z25SN
N0UATG9zAs3KrVXmeHA4EJ8DWO7cFWnZwGG7vWthP5SekNipfajt7AqGFjuh2dXgjBHcSq6TtApl
5lzLpLtHolCyrUW902lyAEhxI3LxE+EWzkV8D2z3S2y3W3D0NrPzk0/8Ie/HveUHIfR0mwnrPabB
FJK3Cv+dcX7XoOhmGEKnuqd1fdXNwCTmzQ46zgfdWnvtN3cJhpRoqh2gP7sBoAqn5dlW6eI+EepK
Fx+B/9sl+Q+kSUWVYEjOwa4x945AQYNXTV9ckeJEm4Lje2i4eHaZe7Ab0G4SHKsARYhcqrItMhVv
XGLvc/CEQJJGnzI1FDft4KXAarP3ycn2rK8fiEbGYdOTd1hl45KNvbtNczefWBpjf0yc6mbiYq8A
KAhLuxpOM8Y3gLgeqmG+SmL3uRyxlKYTkhCRm4rtvMuTHbWDB6xG8IQZPHB2idfsfW3HV0EKkij3
kavRtCVgBGC6J5Pe9jg7b0e/F2HSwV9OW5T+nPO4egYyjjdh1Y1zvNParb7pDO9NIaQ0wUPnMvqc
jSNg2MFQ6efKEdNWpuBbt7kqNp1AkvgU//EmpTYV7Eb8Df5fXT8D4Gs9UEfDN1nIGhrSzHIQ16Xd
Ijs+ZXkQCUrSF1oCJ7JxgUwHtCAtAhn6HhrnBx/AOg2RlAAfcZHRoERGfRN3ISOd/kb7vvpR8gQe
tw7FlLqdYadWh33alDu/tUUBNIWau2uFR4iHGNa4ZDfF0BMdvdovfjE8ir+yALdstVLkjtLOunXH
mm7iocAWqpdjUu3bUStrVzoc2xlvdvKotLzuF7GgBg8mKn7CxtdNNhBs1691lepT1j/dpP1c3cSD
YBuQpqtD6qJEYNoLuzqQQmpvW8ZwOD342dTzm6aMnfzDt7xWPzlZSZ/HhEOH4hZWQcKusZpfAJeP
v+LYrX6wvLMxTTQUCHth3cLQbxp3DVb9j6loemcr24bfIqftNS+5dd0FgADuulZ6CLHe4npbtAz5
o9BikSN1am8fd7pS+6zoOOZy7f4QLst+znFaI2wKLJjPXdvWhy5wxLOaPft3ksCAAsQn4Ltv+pLL
v0nZEnsHJJT+iUyw8UOUmdrGQ5Jv56IiB2X59C4Xo/uHuD1t0I+kvkoce7oT6MW3HLIl2MZ16q4H
R/R3bA8dfZirgkctFqaHkvryCZ4d1fNUSnlFNVeIQQqe/KarfdzxxaOyr+J6ZIc5TZywpyV7ESgK
URoo7BtoO39vobvIjsz1g4PMpNiCi/OmHNpWu3wkwn+quRI/T4g1N7RxL/q7s1y9bzVv3UPXgudw
r+E0PG6LHguxnGiN+KK8wsI00eLeH+t2Z4Fi9pgO3vBaMmf8Tls7+FZ3TnnEC4C3F1U1RE2Xij0c
uN0r7gXTHSbM/pffW6oFimLItnnXsSua4DdNE/RrJyDyBrRq69GbkFQy+RkEvQFaEfOHZU0bLHP9
dzU6Vbats8nr8RQUcHIzp33pbYKZ5n8H2ykfvKyd4I3ep9fVMASvAUnKjZWmzgYyS7IZPKdCLRIr
GE6AKQMtNCdwy/rwZrg1pxvYkQdw4hikVOpOMOqMm7lSmHqnsSDNE1xCRmuD7Dn5rsee2STE3pG9
Ks7pSyFiOwVg3hkSpBeD7fZewZdabAFBdALwxROnP+SjcL3dWGGDE4fjDLDI1YjM7Gk3I0vLCud+
bB486H/b0BmDsZ02vgensD1s0vHamuZ2koRBkw7x3wIDdbBCu5gLmcB3MtC93k1lgyvJQ0GHTqtd
48KNpSwGiLB4igniQcByrNzkfs73Pnx4NrU/DqXaAHRntf1GNlaqQ0o918WGtyJPIsvct4Ikzx5c
gjZdIq0YB04ZP4NrBf66R2Ifc98QlN/G0U0qbABZkshDEkOhO/uphw1MbAlnF3hTZ21sbLGLa1IR
1Ww1ZsGnSiWxuBmy3NvwcR7VvpzGBgx5vMhYv7Dh0dOtXSbcjTjzAjfbIMeoojcsGLj+0BrUxOch
t5CAMThtx4+VOziKQloEC+V507slF9ei0HnwWFNAe+uwqTvd3gy9O91ijmHT3hWZU+wGUVr8KPXg
WVvQJYn9NMh0gJMZGvtng6tEhj2i29tArXXkO8ABWb9JcjLgdr8os1/JeDrKDYHLeERLWdWhgGfW
HNqVW738j7Mva5IUx7r8K5/VOz0CgQRjX/cD4Ht47Gu+yDKWBIRAgAAJfv0cz+6Z6s7p6hobs7Kw
8nAPT3cW6d5zz0JqlBa5KwWypRvl1ig3IQrGhqCQBz2zrZLrBJ51S96KLlrPckDe1u0sQzdtwkVy
bxPjYnQ45q5wG6TdLzwvLR3qfSvg8Zsvuq2+IEOZ5L5rfNm/4Nws8I5BnuSU0aokUyZww88Z6S2M
1ApiUGD5YEiCR4vgyRozzpmJLeS+3GSQLmt6CoMxVvsWwpMpRzzbGl4j25G/K9Ni8ekWWepN2zGv
SecOIvqttfMcgc9S1+P3PjCkI2lhqZ8gLCdi6qMaejgbIU2lWdoHKLL1coZuxsRZH2gvRDJg6SeH
Ckrt4bFeEYqeXbxH2/fJb/vhUNTBeg3JRQFkLRT1I4mrrrxPOgiHboltVwS7iclFY5gbXL3+segH
ST9rkI/Kk2Q9XXYda2ZvT6izy5MMaRi8gaIcJp++rcW1r2fvCA7U+pEoH1YIFtLhgoQCpC6EdNsj
YvzmdQ9PUfqqAOBhxI6oL3bXcqfW66Lq+mlfCTCbbgNC1uRZFovxo0tWKA8yzf3asVSSxNRp0jAz
H31ELmqs4h1DI4lpV5hct7rCapJ53UJiVOu4pFDeavB6Vw6PgyuplzV4KB0ZTAYFU7huWmyeMW4k
/KvzqapNInJskaLMoH6Bobf0ms4/kosvwL6TslueyzKRXVa08F+Qab0MHd8p2YXdwajGjPk8sRgF
ooopL1eExiAj9iPCKvXKY4fVAc0DyJoB7Zk7gWvL4VI4qtXbLFUTPhaw3KcA7hcwVwRWII5WtyAu
K3CAp2e4f0bYpwDJqApMpHrFbNjCLMY+LsgKHwQ695G7NvXXzgIcsUxUa51KvBFuIDvNNHpGquGA
DhdxznV9L8lkfGT7dpdlbfL6kUzbKAnE+J14YyBdOtqwr0/WmaJUqUM0cLKHoQNwNwejhOI6wpqp
7pNisuxsQ+rMnVG4rg/zuNpkNzWwGs57G4jliiJa9BYuo4V51F0nAIIvGKpSOH5gA/4oq7Bhp3XW
MbkGJDCIbRt6QX/siylUMdooNVqZWkdjXN1VUakbn0LDfXAgDA5nbdlYQQGNzEtUssmS9nZI/INP
EzPeRKb32u9B5WJ1xRQ1QB3aslHlZ2eHQV9NmOgrMLeXYn0Wni/HO1U3UXkNWaGkBxjDMHWehgAZ
yJt6IopBZ+BR8bUiw8Wh3xjm6X1GOHOF8iD2Q3ks5bhcLpOGBkUKMvlMNqaDiUc6j0sbPLReEh9p
0ND+gAHmHJxJVyFaORt8r8buCyq7zfuGw6QK6Rf2Cy1jgxURIZFjlzbQMFOsq1WgPuqg0fYu7GKk
chZxpfyHCNA5+YFbpgwOkReiPxsHrAzvRQy2rUx5revqfQaF2MPmRvva2cz0PBwOvjeT9R2+xOV4
EF05Bjftao2/Q8atu+V6bA8GCPh8hfKNld/orJl4IUNExxfiFrBrkRHuTTjolhYrsI5u7WAlmpbM
XweS9m3rNTcxH1f36SGdkIIv4bcQ9OUiaatIZdwWEztVog2W93rgXXEcaQzxAMA3uKKmBc5VvW1V
VcRf0TgJ/xHdjXDbGWXQfEt8L/YeiQlicewbJYdzUkX1mvO5JO2dgk4e9T3oZsj1SA2DHCA+y3Xi
xKaw7FRrri1ZXZTFJoFewPnCI4dRGNIoDM5IjIT1GDvsjE4XAW+oBykgq3BfRJa1ewfya5izsvTq
vCVxJ94V6yx6UOpI06OH7MsgSRHz4DoQ+djIajCVZOefIr8K5xu/JfD9XrsyTh5dF8AMK/brcnz0
qI5x2XHigStXsVLCeDaiKwCtmpv11CmtPQfUJRoUxjxFLfGCKDTDeawGfJYLObEuzj3SdrtHFA1B
0aWh5CY5wgdNjpiet5eVoBiAU7EMQYiMbgYigi5DFsVUv8gas/vmqp3EsCQpiXHhPXe40ejzIIeF
Amwh2BNoxhXV5AUOT4uieTHyCMgRZ7OCOoKQDoCTNw/NvKsd7oa3iAx23ga8Vn6GXda4o6eLUW4i
TCGuEpQydkyp3zbzMVY2rnTWsAbzPguW1JjT2PenvWeWNTphNMijJ0KTbiLppIQ/38O2Vo5NZg2c
Q65Cr7/k4mECypaX2qIKslkjlMQEkS4INd9h58aG044YUNz0ARP0XNIisbc+MtwliCSRKRWIGBQL
qknntquLbSJLrO7Q/xTjN9EoM8pt1LSVbFMBYx00obFu2kinqpRLiyx2w+o4ZWNoe5KFhnnGT5sV
cC569nry+YtYGxofsbs35Bq5OWbcNjqaapyTABywB04JD94nb0IBmYbLQNrPZC5j2WZSopcVadQ4
2GNkLaxuo+8DiCOhTQX1KDAqfIywLlMI6iZ14Cspq09kqV6EAeUYR1GbKoM6ANNhKtt1W/pr5G8R
QlvJO+vFiUKwHBsSklEzL+Mz2t91uobChvq5n7goOfiQcLsfFaRczU0gE83gnFKb0L22nSe6YYt7
V60nCmB2RE0YR8MPJqCJhGXdiPt0X7bc+mctvZg8O+0l/LmO6uQQ6qlF8Fxj+VuJTnz+Xg9txXPp
dARxjRtWiWqaC0CnYpprpK8NkwPggCv4hVm4Ez/HFrfqa9yB0qpyDwjwiPSNRM32DlzTWj+vM6xi
0xEyjCZLBFXB9QJ0l2hUebC73sbSVcV90QBQPY2Os+bgGlL2wG9Zg04mDJoieGK2WLowTepFhFHq
jFI2QUnS1WI3BLSLofmRZvKzde5wCnIoHJ136tpI9tkyd5fNwa+Ckj5FLNaq2kFPJMIinaNK9bmT
Tc0O0TCWdNOXa2KHvAfg3RQphegWLugyKMAB7rQ224Vw1m5b9LIfMJ/0jlgSpPhom7osN2u/CBen
LR9a9Zww7jeHRffiShcBui48dT8EC8ao6GyALt8tSql0QH59ChF6MQFNJM0QbIYCPdKx7xyCngFq
BBghj9NozV1AgSSWp6VLaIXoSZxAcTRxMkieIYaImy2yN1z5XuGfJ3ChD6ZJ3NsSAYkYdlvZH6Ht
6JY93BfpE20hMD2HkVbFt6knXfM80FiuW5eQesqLJOTkQAKAqwjjLf3qujJDD9NtInV5HrgvghtI
ynzoYonGoofkplVC35HWUxkWdIPLNwoOTgSEvUZEIji1YGSZrkkdOu9V++PcV5njADd/WL9TC/J4
ZhWWO27nqHx1du7Xq7rU9Zj7rgNTJG1YNVUmK6rahkfcFpZteghYVTZr7rCxauFXeY+ckfCbC3Qz
ZVYPSKvAogyDhbTEIl4+zmsfT88CDjfxlx5LW+NtUS2Qd492rV6yRKP7WoAOI2cbzI0LwzyRbvDO
EA8ZgMDdoLvmNV41LW8EGATJE2+1ExWyHCKMH3JnR6yfe9gZTc1OqxIxU0tXrPZOUhIkd5DUrHqP
QRLnb3GZFE218Vhfi5NdPabLTb0Utpk3Hvzw2dVoofWIt1hslnXISKSa4SAlNHXpQqP4YYkjBDKk
rWUTf/LkbOy2ENDF3dl4auu3APZcSSaqUtU3PRJr4yfglQUuo8iuMWpRgd7K3TE5esNDZyhtf0St
Qd6J8wtFMkgQGiNTlE2i/VxBkmNX7cpl8GNQ6wSRMkH0zXNYu0lfLYFt/Kd5ZjU5rt3oxn2nwfXE
9d2FfXdCxwmHcarIVDwHq2jNphUEyZ8TII/gNkQzqHkKfIXyE2S8S7e1FL6X21Ij1qpPvTlu2wOm
Owy1QjRjJMXTUIm6OkgzsuVjnpOKmVRz4/xHzxR62peh5aBDoLdnuJTbshD7JWy5xN7mwRXuCbYu
SQuMOwrroy6pm4E/4c56SmKimi7zEkaK9oCBRSOAXy/JeBQV5TSlawR5YikAO99FRHeo7vu4ERSI
QhTwClnDYS3bYGPAQzXRtZqITex5SQoM+LamhLNhuI14pdyL1ywQOaalP1I9bVFdzdiQ9cr8+ltZ
GiUxs58LWp/lIoriZml8YxeA2vAiQShWjYKWYxylk4VtkmEtFIYqKBnANgJwqzsA7GUnoYNHLTXF
NypJpOUHjOw6zbKVSj6YvJiTiSwpgL14khvLwyl+hHKyabDNDuFUP3cepia3KA6G/k4OUsRf/siS
+SGqKxo9lX7UksdumWr/PiZj4DmYZcIA4R1ukMI5zIMbbHAIMMVdRnMSsTE+2W52Be7nOmZXfrhW
/R3pJnj1KCxWdqOUUT2aR0IEyeq2m8xpqeJFnnkAqPtORJ11L8vUlRJYkwkBp01NDPTKjFBCNRHh
8+OqQETNLmSR6Kosw5V8xv6FG7cvwUvmABPFMgBAVh5mSnEwdfueVlG4DRACZt8TY0O5HdtEhKde
1DMA5o6ayM4HwOJFUu0XRiKRjnCZ99ELAAAbsqEzhcsGtUCqgYsDs6sjQN5wOi8w+G+Lmxa0tvoK
VvRT/NwPPqzBQtcsetNP42g38ENq201bL+QK2Cu5l1grVJoMGDLlle+5b403onV1Fu0k+mIWfAlv
LR4o0D2EESwNcKmkuveKsJnRUgSBxRyt9WkaYE7ZnooqmjElS/oF/lRTWO8srvMecxaQpY8o7ag6
LUFcmyMWYYq1kYlgzNliMch0Qeehw1NFFOX1pdq7HQKsOdcJ+tjktmtIJWYUVDCnLW7WqOBDcwUX
G7YgpqAjy0oyhBkw7ymwhXvvFK4zlpUjtqFrLyKxymKUATrHLMaK1ONVhxyKy3WKRRyW/lexLld6
WXxilNiTJIC7GWxeM5LgOyI0pGWfs0oKcofaPSy3CsOjl0RB9HdTAOrS2whjDpsDKW4xVxyWNkzh
Sx8EcJsUAeDmVEOZ0AEpiCofVbtyln9LorJenwCIoJkxCwin4ZLY+bHwaXdJ6dG3SZHgM4VGcnst
V97GewrOcHWNCTavs7nFx9mt1AizqyXvo6ua4fuk1KLIuy9b31tS0ayG7DHURa52V5mWp4Wy9rXz
QqHOdS/8l0Fxhv5NGq9PZSCm4MbXI1FX/VCG7a0mlMsdFHIDYN8GuOi1SEoqssFUuvus4X6MzsjB
RGCv+6qG0qPvveUMXKtTOz4WEbv1HEqNLOq5xRSFogXtch3BFToDwa+BjFVQH4twHbGHsOPkDXBi
I1HhdUykyqJczicPlMN0rmuCLXZeE5lBIr88hLHudbZyutaZMKiP0gVXKTksiYheANPDXKIMPdTw
KL99bxvVDMUZ6f35teUG9WHZYbDBU2aWEjuxaWQU7CbttH2o4SlUpJVSMNYMezRb2xKiHH4XtXHp
7eBsifu1chKJyWtFq/d1da7boE0TJI0g5CL7Vo3d+oFlS4qMhfjGG1R2yXyCQZgfbIoaAYBnoQ1+
7y1988aW0dQbEeG+UaQBDAuKA8HYlXse5qKlQe4zQf2YbLBtOJ7DvHdCWd2P4RlnrS6zBjvzZ6h8
+AVjTonsdMmiOsjgSbe0GZY3AdpXg7o+CwI+yOOSRBP/4WwfnCZWcuwrbQUIALSPhd3FM1bDvA9t
UOYx8IX5FDnmitxoFL4bvVThKYTbPFCzWq/TGW7USAqZKGEaGHxQ93Gm2rWx+MBoSQ/cV8ylHOW5
ecTGE8i8HJgKb7oBM49MJWDhkrTBHxCA84Y+rmYIedYEjS32kfbIe6y0ecNeQP1tqDAXzmBIONUb
OhbdaXLgGOR69JzKgEUkNxjWNV5q/VV+TR3XTVqXHSa9K8amn4gasU3OmYFVWDai7CTQ7qOU2JUJ
QmDv9WwIRnYe78k9bSCHAm8l6jHf9weCIDBl4S5xNQVsIWBBYfnbhKuYVU7H0Q/zoR/Gb2Mparml
FKvijjMv+CwdwmEwfraGyd00orfMYCaQqNMAJ2kIqy1oVHlRTF6waaxd0aCh1TtByTvrg194y/vQ
higDlqWXmFBjzFreYI1XxVH7JbY26wcNzz2KIVPKYqdGXC+8dTeereBU1ng1ZnLIMpvPyQCDwCYf
Sjms30pegyUFd4IvVjjQAdIepOEm80EWHb9PAP/ii4cNIkEc0h3ARZ9mTMdgN14Mj3OdEHYU9aqB
/6yNlw3S8Bmoe0zZA3jmwNQ0MoZbBMf08dq5N89hX0o91JBmSQtWGXHlOtN3z64HFz1OAfQnduM3
EVrLdIjZWnlomgGvyDTCZjyuKQBj07QpeCsTOOCWTLpPNq0LWflmomkB51P72q96WD5geV7zocBw
TSBWhs+enw+0rOflTxh8P1Vf/44z9QvvmaGOa3Rr1GbcFnsQUvfJNngmm4Bl4SbYoeZLwxRc4l2d
z5k4Bad4j4ZvE350Ga5weMb9CRnvD7h+v1qeRYrOzhh8DFG8khgHoDzNGEH9ZxraH3Fv418okBrG
tImoON/6uM82DLNSpNvoCuNJ5HKlpcfMC8a0/iH2+2mDqgFNSQuavIXbik45Jun7sQZRF+ZUf/6Z
LjTDf3fgf+FOwuIU4X8LSKzoigOzVWMclrcaGwQ62gAlfGqTfo32cDWEFdY8FnzKAPmWSQaQTP9Z
BPwfEfR+oVgWbh0xGx/4VmM1VnlVMnfmAjwF7MfhHkNRFh/+8zn4oxP8C9ty6M1iQkrZdi3Knj/A
AUY2ud8Axt3XlR7sn0jM/oDU+avDGkDIPmlsEG1ZXAT5CKusTV911f/fl/g1pbQbotnATCXazrwB
ous/x33RpLxb/kSv+AcH6Vd3tbGHs0ZXCEhvkY2Ugtx1EIm8hlfSn1kd/NHh+YUhOYK3jCkdi7Zx
2G9AXwYtAIqAP7nN/ujNf1lKhJsr+AhWYFUBSE3jYRYplvT5T1aIP3r3y+//idwZ1B3FyBnHJlgb
lvIxQf7sqv+EqPrvtQwR/2WBYIPfWAhWcNmUPAk+TVtd9nq2wD3IR7kAFt8EvcMe6sWou/7PN8Qf
fZ9f7v8yLiyHd1S0RYp29BL2g7mWPvuzPF3/8sn/zfLCf7mzuVwom5ci3E5S9HxjSJ/oDBbuUf3J
mhYbrejjYkzrpDPBjVdWq3zzzUoEDHEkLU5lKLviMcTHqvKw1NYr/n4a/8eH+5/Fl779+0cwf/tv
PP7Q3TJURTn+8vBvj7rBf/99+Zv/85p//Yu/7b709ffmy/z6on/5G7zvP/7d/Pv4/V8ebNqxGpe7
6WtY7r/MpMaf749PeHnl/+uT//X1810el+7rr799ALQdL+9WYEr+2z+eOnz+9TeoDv7pzF/e/x9P
Xr7AX387DN/76ev/+oOv72b8629h/BfmJwnhlCc+iOcXrrv9ujxD478kvk8pNKXMh//rxdSj1air
8RT/C+UxCQkFkhMQfpH6GD1dngqSv+DljMU0gdKEkST87X9/8X85Nb+fqv9qp+YWlLLRXN74p2nC
75cRHidhBJ54QDkH/giJ6L/efeB4tZYK0qIunTC1FeJ2BgTjrTw6r7h+PbCrIemtmhFLVui582D4
nXVQmYASWD92GnWO8eMTn0p9MwvhbQnFCLKIgugWePtOKdRmXiDFxhIo+DkIdgc+hhwekKS/hwsu
ipC+Cj+HGaPVWn2FaKNT/8LsGQF+hA7pmhKE5sO6TO7GFGiQkRkaPoyLvlHNcr2KYnodIe6aZp/h
g7DyulhvQNwGA0AQtk9ima5VLTbA9uUpGMM5TfyyuebVvEPgaHJAvHaTthj630WGVshHpFWKeYu3
9V0gAX9F30HFlp9zM51Xn0QvahAnGOexHYmB3goyFvc+NO73NETcGsCKMK8x5j8bvTz5EHUfecuG
Dept+n02h7pKom/eatocgMYTK8ASM3Wk7qJJPfiuRnsToBhHLYLOBz4/d/3lSTZ8+qUfZPUwhceA
abKH8YkD4rzkIAiyN425wi5EzClthQ/baBJCTV7zlDcDPXSmZVdNCfksi2WOIEN/kyhtN+3AoQ/W
IIU2Yu6uewq6jg8m91D0t+UKGZuo0WPPoE9vWTHdFwihAD9wHI+//5BlMB5nvx5BDUbcT1XGR7Hg
o++Zx82xZQkImqZWF/gTD/vVHKFMfZshTzjUMp7vvHCGvBPo2q5trH+E3fVnUAH8XcMYzFHsYAfY
iri7n78D7e+HB5bA0aeEwsZYwhrLd3fIMXrQpecykKUgJMHb3PeNZluEU6u9B2LTzilVA7OzAPTj
abguSPXgXxhmWAjW1FZjeaWS8Aqqo3mPsRYUb7CcSGGj21xRIL8AxaXBUW4ElNr4EdT1kLcMU+1K
Dm3q4ND02MdM3BP3ETvfPLq+TVfGlwdfRVuQc4I7KI6Gp1h41+Dzs5sy7CZg1LrILZ+Ts6XggC6t
FNsCcoAzSD78uNTdtm06e8Ig9B8/hClwvwAcRYtvdz6Iq+cZHI2DCcBEj0bA2t3LEI7BVWC4yqdO
0ByDnQmoYPOAZcTb0ary8wbTudwJtxzUgEO2dgH4GQrulXEBZqArwDCYaHUuuZhSEBT6TY8mGHdb
Ba6QjzYSJd0GtXxzUwQnllAAfMGk9rAF9nYDCMZdgSl6EG4wmF/SxaDY7eNR7Vio0StVbM6Z9xIl
cwHyWYg3AvmaBkZDZJCcNExhsZtdvJN4eCLck6d58JB7Wya5TNbySjQXIxbAA9vQ2hqStuXoGfIx
A664rw3+GMgslDXDonOvxG7YxgWmCyq5Q7yMzH2wUA6tDFJ/VKkE5eQCioOXjMOTytJ/AHG6uYjk
TSC70wju5qli8QcISzMB7RssjQHsVIuq3aFx6GHBz/vFZjNmxWdV3ZRiSG7BMjqUAAn3sQYp0joC
qJR+kiGM00a2uaND87CEM46kzhAgdiGrg63egqSnUgVzjGP3838HF2ukrow1Sds5VPk/PVUhl/L4
83EB1G4PPVH++69+/v6SXHn8+bu/v9kyRSKLYZpwYFWnjz9/+LGe82gF55gmVXccQPQFUwpg7M//
m+pAqtQE4bMf8ARVJAFH+PK6mXeYuyXr3YwLGGNr1R+jYurR2IPtUi4VMgh/f/zz6YCt+CW/vOjn
Mz9/QOUbbYiXvK7N/CZEEW5+f+7nS6f1DUyNOUsWiKdmFnoPfVBORwWvK6CAqnjEQCF5COBO1ZED
YgUQZw+g/DE22DNA7fCPOLTFI9VI/FlIAajl8nCNfqxJEp19pIk39/Hk+EMFsOgRnLVzAcL0zc9H
qwcuPKj0Wjc4S10Uph4ZRR515SHSPiDKzvrvBqRpNUp6WqLBA9tpqVFEwrjJU80WA0wU9vA0bMpu
OGAcdYPE93WH4VR8TYbuhsvqMZykt5ujnmz6GWRkTYMMRLFnsOj5HvO6L2MrnFbg3FlcItHdV/2D
FOMxcolMY/CgATaJjHAYA/lO6yfH7xgDtLnMhw40n9TwjqaeLPNBl0/rHD420nuyY7+ZkNqSc+Pd
DsN6g0IA2hzg5F1zngSFht+ONJ33tVe/YtwMEQymdFnVJuc2GBdMCvMI/Kalc3hRob7o2N9fTCut
F+1N1Qcp/OpUpuZnuHKS1Nf9O27wp5qRXeOzxwgMxHGNH6ek3Lg6TtKQ8RNmh3dxFB5RkGbQXwHn
dfN95VyTTveeHq6DCbsUoWXKeowPI/IKE79zUGY9r27AFb1epwx78isjoKm2DblR43Dnz/yuIJAU
lP1OmO5oMFrzeLvtY35SMXutLrkyVMxf6ANS7M45mzVc7nzvk0oJWl7X3BKCeQbuvvExCtYNSEa7
SUbfYFsGStRQfY348tAWjFD6VKZ5gP9m3qkQ6M4KG+hpO63RnQLBsGjd7czae1ArcqHfTeVBPxB9
o0n8YwzUUydxokZBN/Iyiht8UUAQ0t0kYXcFkVkuZgkJB5vuKVRemI36etiPssek3X9UXrNTcX/E
tB0rAdRMJxmq/Yq0rBmAQ8o9hWYjvptnkAIvDL++2jti74EQ3xX1sZVgzwcrNmU9g1P+uAJ4TSdv
eWQr/UCM6CNZpw0HoS6x3hUt5mcw359FGFzbhv1QzKKkuYfffj4Se6w4A5BgHULrQKLLSs0+x2BT
EreZrX6Iii5Ie8w+Mc8hSOQebqqqOBIJnY4eY/A57dtKl3u4MKSjabdrtzyOtrqZXXm2pr4pOJDl
+hRH6+1K/dtqIfuu8N5tZW4ZxUjAgoDkvsEO6sjJ0GxFX30VprjnkKenIBXdQiS/H1XzKrHxycnf
k4mcNBs9nDVwm5ABlQbJ8sN1dstmbAPKBWA7eu51XC7rio86SF0sxTAHQerOZk6CtxZHEAzeF/jk
vXgzsH4H/b2rIIelgTpHNLlZoo0/9/upgVrHOsDL9sksuLVgrniAafsXG6H5rJsfs++9Bn0YZgkA
4RRpRzXUYXJuMOQQzVul+UuNDDp6Lby+wK+wM9G+MeDwA70UELu1bf9krdnXWnwDFa3IYHHZZKpk
t+2qnhvLnt1FFFLDZ5OtcGuIOcDs8CbowjLTIE6nLasQWQJyVw9bDUbLvRDVcaTgdzokwWOJX4u0
W0bwK0ymoRVJTYuBnRt9kmKTd2lacvsQmO5mUssxJuWH5vh2snpbkDjlRU+B1z4toOClHanua5Lg
SuJ1ClbkAe4xUB/VZZLiln8LQW3NgkVdwdsWgUPQI9UeANq6BH+jf1rr4DWQwRuSlXZ+kfzQs5OZ
VwzfoQF9txGueLIum1DMRZaUCipPjB0wx/6m/ZBvoSW7Smhz78OxFSoFlGo1SKARa7PWtGMKmccm
ZO21xY+0SJqPWNfbatAnSXCjo6oGkSu5b0ofI8hIhRkGt2cX9fdBX7xGITjlqGDbtF5WluKyQ1xd
/egP4OomkA+2YzxlTQUhTot4j6gonxCl88BGLJ3K81Qag4SyKHgb6Ha9Ika/oDnAslZNcCovlq1u
zAeolEmKzOksLJujCHpYNqMxu5QDV0HkbcASsRhf8YfhpYC7T+oClbWK9fm6QEgQM4d9JMQQLaCX
wv1TJuLsXEzSOmQOXPoZ9tJheapQdlZ1+FWVXputQf+yevUGHGFMfVJRtG9kSF5JhSOwaMhlCmhU
BCYhqppuI4jwwb1Bt5ZguAsG4y40ILnjvfpGPHX1ik1flU9egg2ixnGvZpDMWv/7OM8x7BDAbfCq
fYtpRTba7mOiy9farTvkrlyvVflULO2UM8ill7HYNegRhsH/Spbp3i0hqKqXnQgu2Q0IrODNPIYj
e6Ore1pX8CdsEm7G2N/DMO5H060yDaf+uirdV+eB2tbM4lFDlJuE5HuhTJ+SqnqREGXO8hVG5U92
Db5mGdyPIBDFVVuCg9y8LH70BElT3pTRvZsWkfl992FLVHFDK09rXOzE2F8ndfQxDPJ/cXVeS45q
Wxb9IiLw5lUg75WpdC9EVlYVduM2/ut7SKdvn477oiqQSRlgLzPnWH9s1b7UH3FkbtxR3Rgxsabb
5OfQNg+DeDiWOyZSMfQjZhk3m08UwBTR7G5Bj8lEwxenHAIgG2i9f80blv63Oek2kUOg7vxBDP/l
hnWzqJMPFfnFYuRk8czhFR8LX4Nzcibt4MTqPdHSF0RJgdLgb5rdd5SWvzEw3JCc/Z6ZSmbePK3e
Vr0XL6y5Qh/QVDlW0zTQ9d5ahE4QthViiFZujaY4WBiOua5snK6+5fMcLvBZ/Y4Hj3b/CIJP9ngR
1O8s+eH8EEEu8j/M744WYSp/Fo7KytY59hVvxk1Pi1/gSju/KiYaD/gUOBFpaEmEYUiG7ZM1i2Np
DV854oVFPSd+W1t/66q9qJOxnRsvQDf9olXtn2ZkPmpiVb+i7FqQI5NNcLaR+d4rQ1/Ncfrt8pbg
Q/6Mc30FPccfPA1JfhzQegvd21ZV9MM4w1egA6rQrp1Fvq/XU7SYW1YWBZk6xRcwJLHyLh91BsF6
wUxDdNpp9kE+1Rvm39DT34w+Xuqxvp8fTeLHV63H6iFL22ubx5vJnQK9i1/VsjxWSXag27OsVXer
19bReRzONbWK5NRFBkoB3E+Z3LA2jqj4mCKyUMyDpckzSqBD0/cXDMPzKMrF4wXR2SKfaKy7qX1R
wltbTnpJjWlrK+NGJ0GdSvkj+43oWAHiEdXKNKrrfqixnpe73lRyP+xrh45ZkS/qqD863msLcdIV
8iLUD08b/wrd/VWqzXEak0PJUrNIO/fkKiQrtoDqz0VvTv5Q+flkjYu4DCqqT2X7UNjVUbWrDX1q
VBRZDvoTLY1fu8onbjF62cpBn82z02t/ipDqpG3rhR8LZ92q9PTmqN6nIt04c/zejuICxk8srGm6
IvzwldzDxjqr17ZpXvGenwsPm2uPcNdniNXNmsePRta4jUV7mzL0DC5i+Nc6Rz1NkeBPE9FNTl0M
6bU9vcwt4teq1eNFA8wPj4H1a2zze4ngtXfUa28I65w36SfrS8VDlkPbg9XQjHUHvQ2tFjivoaq3
reKay6RnhZ9vRdvd+8Z8DVF8kAe2vrobo7k95FNkLBI9id7l1BhMtImOQ5YOy2ZmqvNci9/Kopgc
M6imWARRna2IquMgZd1b55HJAddjAmWQdrGMJ3HUS2ZCTFZHO0v/QM8XL5L1GKo9Ztvl5Ir8oa/8
mnU7X0ZG+iANlGJjuuKomimeN6f5aICSBc74leq5sbIa4+AgmlyEk/wVT3hqPRnQ7D/hE0IuCcZg
oSjzmSqAb7XaybRCHKumfe4dYu/aIS7BtqAHXuhNr2igL+3gpkcxFConavdW13r1xkxEnAv2nYGr
2ldSdb5EvHd4FFAywKngbyfUfIoIpkLarNG96c8NxQXNYJ2kAHoSBmPh1Wru8c9k6irGrYl3BVWh
lkfqwmZ5vDGZcp/XdfxdZj/UGwHGGKO1sXOyViY8vlU2Cpr6ocSIm2aZj5oH4+0rtdKCAma66riP
rKqw/d7U1mJU3E2aZLO/xWAg16HdFHuKF68sxVmor7QazcUYHjVUFpeWtg32InehRAnG+SQXy7nv
Ehyv4ypqsmmF6/Na1z69RW2NY+OutCC7dGU91ld7CpEgy6RfGI+PahHvD2GDcBvvr6+FIXrdPNuo
TX3Ow3ZcMi3xS8O6BLcAnxb0PYQcCZPn87oMcBxECEyybyU0/dz8rUmKWollNFuML36VFlg47XKp
K2DupFlCYA6HJYqAVYxnhwRnVrAx9qhbyJsGizBIl8Zr02n6AT+WuhERLdRytHaW9aYrmrruPGuZ
WNGtyYtmg4z8ULp1epnSkgGsFDShlE/VzqQnMZFXBoBAFqrVya38yJF6LOZO+dMnfUDpjFgx1E4t
UnVys/EQKtmt1Zxsj/hiV4FeDKJcq1eypULQkYr7aRmNxPHZRcrq74g1Z+HYrrXKhDzpRVYFqub9
UESi0JTK31laozsnI8hLoQaczF91DAUCIRd2VdMldsPYr1i2GgwIDHx8i39JFgHSd/3NMwvL7+ww
Wtta8qfSxF/oBGXQ4WJtBjWYvqEE5CslBdIAZv7dg1QGeyKECC/mZaI1+g6faL/q9RBDYDLExEz9
bkiT8uACzeCuOKgpjfvpgCEsL7yV1UFJHtoyQ0yBP9xw0Gxg6vQqr1iHGKlhTEjGufaHKWw50rzh
Y0CP6gvZ+TNhjFeI35FZST+bq7828zZMNWYpm4yS0uV4a7uZQ0+ckOtic+zCP0i3NRQi2bjQrC3j
JuTVM/rfheZ9qm6ZMNC34ZIjy+uEEAVpfH0RIbIwr7skfKs720zBiDrap1uRF7/POjJ5Btbgck6B
T3B8WmaCIrFuLxaqslU7GdA9gIwuSj38NnViljaZNSo1GYOH2hkrj9PsnWi4Z2O5xhSYvZf6tLdd
xHfNw+FCxxeWlTOtoogfMKp/6igxFzKeox2OEVZqV67sNPa9BFfM2KFBN7qXiJDhWM/rNirQCU5/
MrmqVM0J5hGDmqbLm1uG/Q2ghrnuy2xGI0Ch2vIELArnkSeo88qyuTo8BhxTahm2XmQVD+u7vbDy
4lpMHvXugyHbI3qheO+pzc4Z4k+bQitkUgXolgbdpXVU2rCu8berqrdZG/EYm8x4hyrM2+5tATyl
fsNgsCvCVT6N4sS/7ugJvOugabRC/25k9wJiugvUgaDaw2LMz59XK6zMCv1R/YxX+721OxbheX7k
qecu2+Wo/zTYIOYQkwJGOkUqpbs1TnOt+mUyF91Cg/CwULLxj1E5PpQOptQOx0h81NP4IZG3LTLm
ggakEGUfX7zKvbn99CaNXY1mnH7j49O9tyLErT3i4Md79yEGQV/H7AkrWspXKDAWjt6Ua6dSCjzA
YuWNqk72lrlLt7uPLR5dHOHVokzaKwo3LajUwd7KRD3Mqc7VJHAIlbkkE16pLtfeMWPSJogPlWEL
xY288lj0M6j6blt45pFVYpMjTUVMGoQ50bQTqAjXDAvNR9q/jKlz1tJxHbXVVjfbO9pL5tS7667h
QtCG3t8pp6NtWPmnVI9NvtIc90spwr80Sn4GdFqP6x8Ov/bIeIxLNhyb0rjNobb2mMGWdJ7/+L9w
Jj/rjQ2ArmMo3XVeNWcmY1cLrxU34qMxnxapsI8j7n3PAf6hWG8DoM6O+KsLH4mxh8jyl5LDV2Ra
wamV9ipLwk2S4fTxyOPoJej0IWyUr5QaF3XtbjrDOBPYHx5vzUHRmPD5rMy4PIZj4mVd1JV1pba5
YOiP36YDl5ASxEXCxSHMRxMbkvhSJAUq40odg0aG3Nix+a4mNoVUrfxywno/dZK5Wr0vi2klDXkn
sCaigCQ1HHvTeqH69jNjc9bHa01dT0belhF+M6eScZyV+pXx1hfDhVMirS3GQM+pPgtLUKapZ6ih
9KOKCEcYaY9mQt8QD8W5S6hdlIxoBtmSjfmaOjorrH0Z7Oxrsli13f6Smlxje+ed0tAq1K1j3YUn
m/Bqnn7PUX8zDdbTDtWehiGQPyeV/MAslUuVjiuuTie7vBVhfes7TtSED4RFnwQ1M5cUe09McUBm
O34po/qDAhspHCbrRd/1v7rq2yyTT1HicOwnjXZWZWy74ZHJe/hgkJfVvm5+OhJTZNKKZTIBvW9t
ZeU4W5iNX0Kq2zDTAwf9qDm2KxNS97FB+r0Iq9GHtsbgc60H5YPB3M85b0qsSyLku9Bk6IOoVQPL
PEUMyiZLnI+S4RJ9ulJnkFRaesQy3pORC762PNLXpqj+9uZWNbW3SGIw8IrX4Y1W4VZFfk9rbFXW
/TbstItCa6pWu21TmkthB9jKj6WpPVqWS1tHt2wxZ7BJvmavu9nDsB7NdFPiYy7GfSPis9vMP2Oh
XFTXOalzua/diyqMk5UMn2RwS8ZoLimFH/uMIz0WX4yVOMXY1zUrLgLTqRZWDGPZrHFX0CU4e1Z4
oeG9B3PSG+Ner4svBgS+ZjopB+LOl67TtlGLrMVJ+1OV9CdKnDtnngNZ8CX15hH+zSXKhpOo0Czr
cX7har2Oishg+IdyiOz0BUJ4PuuH1Cmuum0+Er3+HBuzWLDOzkZza1yMAFnlUZswtQBzHQq51F3Z
prUXwFzjqL9gWvjpJ+ccWtEVwcXLwCjJMTKvYnBfVRu3pFParyN2F7VU/FyUpNH1MVSrh7b5aJXD
T2zUJ40Um8v/jzc1OMqdz8yqP3JNO+S8p5gDroq6Iy7+i6xIw73+l4U8smORgtYS4K/ZTbTdQFzd
CIgNcz4XvNmG1dhF9+hOXHa7Y66nG22MN5yQr64bnrJmpTjRPhrp09fdztJxBSbzLonFPm6w9qsr
L44/m5ymLEVpTq0Az9ZbOqj7x/uwubRiCVyq9V6phB/hSTd1bYfI6C/Os5s0vEOrfHqAh3KjPgzz
Bxfek+ZFd2xP11Kb4OVQpi7qP2Eas4B42mtfzG/Io6kBzb7WJnt9GF4jJ3qxbQ79OtFex7D/CBHr
W/pnN7bUJbHmUF1L166n/PBBW0fkdA2UvfTinTZV27gSB2gRkzuvzb56MZ3BXMd5+dO54ybHKzCM
8tfjcZ097CGoXalDnjxzx2QlnRYCqKIM/7N42Du6HdYdGEApHj3nXY3ciwTzNvXJwaHSR1UUcc0y
1sxtZsvN41vMhn7PoDBCWuk3ChlhY60nYS37/BW6wurxDtXO2FHgPJNYvxMqBY6XHPD+bUiLpQ98
yMKNSsYj2jPMtY0U43rADw1EemW5eGOcV9Oy906brLBqfMcOJpYyqV56JbuMJWHlpG4R5h/1xrnq
mv3ixYx3azVxhi8fyKCZYvhkWfqr14aLWesHu8Gz0AwUqLR2kZQjHcFG8ZauAhhJVB5T6Dy0iGW/
cmL9b4QHzy9V8y+jfeNj5FrtJq/fx94DodEkpyEHZqEVF6k6rW9CmctTO91prouuSsJYMbR1KDSy
paj8AWGU+J1GjbzQqKYphbJSzLXsk3qLeiSClTN8FXhisV8/ZAdJemn78VERQzVqtaLZhJm8KnqV
3ZVSuKjxhbtoev43k0hsi5xokE7hMUwvud4h/c5FjS+i+nS94U3WhPEjycAamoTfepR+p0TfzSF0
ubgujmELUMDBBVmzSiA7L/N1MVCwaivJ9YHRHA5NeB9N+ccwc+V2pLuEzvEux+jWUqCebYOBY+g8
OXlHivbluyQgDDKHugJGjqWoDXTeAzeWBhKgZP5yYudjUMXlT6W9ZoltYQHErGlX3Ys7U4oL8fZM
Q97RZil/wrBbG2kd+crMFyLqMvX7xjfpRZCe2zG1K+waySjGReZEFd+YpjC2mAGMvU3Yk4aOz1KD
pJlmQdBHBzlRaBzVRl2FQKz82jCpBE4NzYCu2jJ+bDpkNdCU0KIDPWjvAz34QyLIhon6+UIO0exo
vmZsyllRNgaV6cYaD50zM8BQFa+pN+Tr/CetPS6rSvJRRtWMKcCkzFsBtjOryls7YLwcqc97Pfvt
mNZPiqHAj4jE19kctyuaqrC0SpoONjGRSKeFHWtdUFcse2WxKhucrlpIPE0bZWHE4lHw+8pnukGm
GNPlNJXfCB0umIQ2iuF9ikbp/XSW755FUu4h+yHJrui7FHZQuvSRFPdgAtHQ2uHWoIFfVINB/6ya
X0jWqIgLN9kMesRxIdM3KfoiaEHbBZNJuNOBCMmr9hQp6t5uXFT4yaQt07IJ9KnpD91cLcVkc0Et
WfawSWHo69HV4xhaKGHSLMgPbFY8Tyzh2DHyC4iGlxLLF85S86qR5B1Jeo44nj5Opi0VPfl4RCGg
EurboIZ/imaOV86s00FygDZI72iM5Asdh+pujruMLoSMmdEB8KymkWp3bx56wYCU74T6ZU1w8Neo
ul1oV8YuR+wH4UD6vJ96FeX2uSwbfS1oqFTEFepo/IzUQmkm9JMfMisMdU2QRwzJhG7wKsb8xmgT
aF9je1CS8Xci8Mm0LmW2uQhLH6HiFGT1gRqvd2BQ61uKTtGfKGEfgUYY2yxv33sLgX1BRtLYFPxd
Sf28VMNDb6WHIi3qjQi9FrMIqQaO7sVD6HiWkGgcrVljYX6JIzAAVoNzrlG2yTxfmoh+aejES1LX
99madzgGjKCDR7ActRtpGe5qdaT7ZFgAFU0HvcoDkodnUqVOIcDo6Q86tda/uOH8ojCCb+lpLVx0
T5t2SdX8deM5iNyGJvcYbiQtmwp2xg82nyzNrWvhmiFLuPA4jjPIOsp7pbfoliPrTyPMt2gi+GSk
8CqtnPjM3NF9ZMQTUML6W6E3Tvv7Y4jNcVlP6QrW8rhItaoPTOzJfNrT5CrbORvVV7xm+PC0z8iV
N6vSnnPLtUCpNqokA/LS5jtM/nRuditD5y9GMVpKJsCOYaIOUavjyZ3laZDyYDDyaBXa5PEKtBL+
mOcgRkCh0tZcYxIiJNfo0VCk/aZmaV9bqXM0hAOOUiPb66tdWE09TUV6jnUeBSAZqH6H3TlxQQLW
0FvizMkBEdJexZCESo8G02jF9q7ro98OyqZJDj+abiUX10m/Rq9isRjdpYdDJchHhanvwMpAHymy
ouSeJOBYixBsZ/WCvHKm3/3QnWdY7xtYfpfGQuCGDGM/dtpfU47H3HDlbiIozNSmO40ixuOtOtvM
1WxSUOL1KikB2YHIEap3b/yReFGvFXG0pnyLVPjUZ/NOYcEuFLlLElO+4Y578B582dXTB5zkrZPm
3lKalMOK0dtJM/muRAQjSdjf0BJ2XpZtGxQHIdU4YmFUE7hv1uByFP5QeMKlRittCLXV9KZa1i0a
kRqIsc0oRuaFb8TdVRgt8YrhREtAHc2iKItt1KiUOd3hr4Aw4TMY95Ll7ywAGNV41rpUa0GA7ZzI
48uDEmaLHlUJ/yImS6M9U8iGIFfaRU25eaHRu8OLYKnbyDSWYVL9eHREDppufwvdMMgR87s6g7Ur
5lgHSKOvIz5p4BZ2eWlYmZ7/4Qii76pW7lo6Ws8kEpSTBWr9KAHaZhHs+mPiJkHZ2CdnbDlOgL8t
mtapWA2J4Owx3teCUwbGuAy8ub3GRjPD7zFgLuGyKrvoV1N20LAMmLax93vmF9H6Ta5K82ohSKJR
QpxN9NVr1MChIE5BNNGBiyEr8o3wMsp9CssYHK3ZrOgI5syRHXadLjRf9BwWhVLROiePCIyyvZvu
eWjEG1JYgiYcZFxtckn7MSMgnu29kN69rbCUKVF9aEWCMdGsXlxF/EFBO6AumJK9V7p3ZQa4Cm33
Xmasg+6AD/XDnmfmEeJOXDi97uw9D+6BHkerIgqvVFHKOkaEFyZ3a+z+wGWMH7MfkYgojFN2Qz8M
2+I11H8ynL6ky/UeRKWWz/4MoGbRWdUHazfQwhS06dR1IEPhwCfduBlV5Ex92GGi7vSl7QFHpH/2
oRqGutWrKKaslgdtzqx2CKTjC8RiJF4kaRCUD9Y0vGiY/fzR4pVC7KK4RPUl1VhkBQlnXM9Fcx97
7ZXSgLZ3FBrNBaDKNUY1ueml/IAE1m7o2poUyyKOqmImzMGnDpwx88i/w1rNNtIuyAdoUk7mofdQ
XFR6tyQLVJfEnF9FnxwpIDUA3cabpcs5KDCgB6DXHlPf31SdPwWPtIH3IltWwu7DHLoiAFfSBom0
EVcA1YApROXNm86hSwekIlmt1eY0SqdeOpS3KWGjcPQYzlynSn+wuopKslURrdZ7TRvzo1lZC0OJ
wUtqyW9s8AcLRrOjRMp2sEgjSzkdzDT6UZkhtlbtrgTJgoU5RjMSFt1JOF62nLKMQikSV7OEU24k
hK8j6a9Vx9EpRixKV+6OZspeWolxA8ZVSouLV5ldqB7/bWS2ZkThvO1l/0uo9FHzmrPKKfUxsKGJ
usPeFPpLZKGs9KSzUQius2LI/BSHYdBFxeUxD9ifCsfgA1erpks/oSpGQRqGTRCPvmwVyuz4eBdx
D2aW2oxqzivdw9JojEvs/zx0rCWrJoY7neARI72zTFWKAX2xHvH6kSleIkORK6FTlwRG8zVId6P1
UGjUsVP2c+2t8VLXS6yGvyy0ZcEwE5lk3rgNP3BkEbDC214Msl+llh36TG8ZwUG4F0U1g1bMcSAg
v6wsb8J4C0Fr0bhcfVU+fWslm6S35x0skiXpURdkBViUWgwkPOYtNstTjgwviJLTBN0ARZxfYcXx
3YEje4BOOPbzojH4onT9gCW/2rQlX8BojySQxrCuJ+2ncZMX02KYSNuj55vCv0OZoQzLMGDYY/Ju
GfKYAAnEw41Sa8g2mZ4FcfFrNCzwwzFlHrq/GlGU9zXFezWb9Z80YypJPOgFYedQc5Uo7e0su+nc
N0ARJUWUb2mgz7ItPzFc5ztsuM7lO8m/73klM3808vp1ivAVenOqXhKVSSRkjcSuhNutBvSbcXk1
jThEnOBHpkPUogErUmX8dNKxX4RMZF1GnuZte616b+PM3GdJa6x6RFwVQjlCAVk3b5Mz9YAg7WEh
yWheSnfwy1zhwph2HaV8MFoyuc2p5941Qf+2mpRdHjF5MK/FuHdzGi9urs3ftWZTv5jmjxEAStCp
xn5u1WjTjVEJ/44mJT34/pQk6l2f3WIb9o81p5ojua8ZeWA1nIQVM2lYJ8p52fSdm6ztwjIOD/6l
0omji1LZbOTBwYAHkSnNxZHkiAKEkDEdCcteCD2b1o1H3wie4fw9D+HvGTbDbYSuyRrE9M+k1+fv
BxgArBxpXTSoZ9YBZQX5vt6kMxoACe2dRlJh0ub5zw0GVipygpZzp5fJMY3Eq9KLaqMMU3J87kKQ
iQ2wn6ZlynAITjGFwSSO6c3oodODmVgJvdd0rU41kuNM9OShqxTo57uiUV2ME7XYZNrQvXc59X8v
Vb2Tmw7ZO42TVm//FFGZnYdyGE9lOaYLcqb2XVFJYkxroJVO9byq7WFrSqXdG5NlVAtaze3+uW0/
dkZ1wc4uCTHXatW4EyJUdmo9hEtFdOV7PtZnoYXYGYltt0CdvsAckJWbVrKGzzds3Varrjm1tQXd
9s6Bh7/Q0Urtnzfl4OFRAs0AIl8U18jbhE1NZaK07jCFMBQ/nA9yrgOz/jTjIj7oA4E7uoSjU3be
MRzLeasO0dHV8+yg9160q4iKFfwd9MLjwHl8NDWe6v2sVXxvEZTqx5ZaZM3++b8xc9h87FNKK9uB
F6cQDah2sCyxe/4P8XyKNh77fu+pCDMfN56dp7syqtdtaKEXbR15Sy4MvBd/S0lI7emlcXcoB0E6
fHjNC1rvjR3uopISYlM27rLGTL0Jifcr616XenEvXPosw5blqiZTEO4rI7dnip53p5nmV5neUAea
97GoKZpqDz29+OqkbtwT2m49MYFvh85HD6enEgRJrIxk+akFe0wVqyLtY2RKiUW4gMmjLqsXfZ4G
DDWIW0JdbanB2fNL6OCMjR8zCAywx+TJO5QB6FHs7tUwuA7CclnXTmgv9bnOXhtaj9uEqATEZJi+
jtBUrtVI1m8SbaWPm3JsX7AsJafnLq11g1DW5Fhmaq/FIK1XIp9gdPRpWcEP4Ueb7FdmfI7o1gdn
4T02YSbqJxvM7PNOWuCrEi7xxSw+UbY5r4zHdl893iRI1/JK9dx9TQG/LDCaMqN1IFuFLXDFGNf6
cWK1W9tKw1fPS9qlPZrTysgN7zUWhbJG2F4HJZ+vM6342hV8ds2CuZYalfKaWrI9KbFzf265ht7c
BKQAhb9bojO5TgoK67H8rYfZ+NKThhLfxScEafr5eZcxMNtE71+g0XABUrrkTmW/YbU11W2nOQlC
LR16iOOROD3urSn7AgwzqGoQgNRtl90BetmbDmc4vw3T9hrPE/umRp/63Gz5Ggu1PVpjxXVLze9j
rE+X0e53zy279saXjnoyVF3vRbp3PGjiXtQ/VsZxwcDnIZjGublPCgz8XOjXuI7kPeusk5OmGqJN
wZAI0d51rf7UO1Gdnlt1S32Dlr5zGB1L3kGXUZRGabGyNXGvLYvuXkH61Rpdu3tu1mWs+kXKz+Ap
srs3fUmDU/EaggbktSICJNQyejooYZmun5vjCFm7hBO8zm1ruI/dbC0bx7yoo8koiCqa7rboy1Xa
ltFqBNN3d1NrXRfhw1qyUpVeOUbNmPH7cyNd68WKy2nfKnl25Qtnv4YYqK9Fi4KHfc+HKWqaw7WP
hvW/+6o+rgOpA8369+XUDtZZZYUy+Pf1ENY2655Ckv/vvjJvYC53dDj+fb26ku1eH+P7v7uo+lrH
SstJof7zhmH1dxcl+ue9/fN+H5+jmoUPMS05/7uLwctHiXD6MDFh8Nhbfc3sgo09VMPJha94ft5k
c5ScbaDZaYIW7p+byPXwhHIJ6MP/3WUQ916a/PK8v7I6+wApLvK7QcvPEzRemoUzefwwumggLDbh
SebAbFi1cLK06+cDHSZNBEjpakZMR8W1La0l6DCirMfW86ag6JNHhX4g3Xk3FUh2EvzipRAQxxnN
Vf4is77C3qzuBnN46W+o+ZrqqOmPdett3UqCPuzNH5E4PyWM7dcsj+e1QNK8YfiJFbhDihR30Odj
RS0R3Cns8Ofm84ZW5oyiLVKPz02oZHgAgFot/933X49Tq+wzElJs/t+LPJ7/fKXnvpwSMwd0sv+v
12BCNexmpwFJlpz+69n/bppVrm8rhR/w/97Vv3c+92VpFq+xOVJ+fnys583zjnTyOgKSwXC4BLSo
7//vbr2eJ7JxYeS+mTjMAXs+8nn/P0/C9PONlEizy+JYC0u+q9O0MJu2uUvXHC6eXdyfuyVR0Daq
sFM9Ny2WlIAUStk8N6tw/qI/b5yTtqzeavNsTKJ9r+A9HZWuQL/5eOVJU7W13Ybz8nmvkpudj7Yi
2luPB7fS3FW4BW9KUpYvlcU5/HhSWarzPtN4/88nmTUz3WmrifXzSdgMSZvR+xxrZW7fdboXjSW6
e67U3SVttX/ee9MWA0RYygnPJzkz/oyuM6Lt80mNrXxSD7TPTtaKt7a4Pf9uVpbu0SvpTj2fo9YY
d0Aja8vnZlJYrV8CmPrnvVPe3PVU427xWOQvBfzt5yvXWj3ukW6FC7PYIP43S9QuPzaPvOaFwgyB
DGazAX972TaGeGkZyXMzwltZYQ17PsDWjTZgcLu9eu6rlEo/O4qHluzx7Mdz0iRlVVNks3k+gv7w
cEyK8Coer/HcpcA2pZ0dJ7vnvgTw3J4ZPDFaI17keSP16jeW5HD/3Aq9Wd1WMyKf5+Y/ryTck+Mq
L2Y9uocW7/+BllcXxEwA+s7xLVWNBAEUGwY+xdjaZOHc3VsvPk92730DK8t8pKjOSYx8qY4NSun5
TM9TtmDntbda6DHtf1uu1Sh03tterJ4PkBomB5HMyiFn9vIZxKf1aLa73wOC8mxs6lfT7QfMbGa2
yvSu+9Kq+/P+GfhcoMdFyVhqz+VCR5HreQcCOmo2Mk1vHC94Ct0IFd7jFa32HA0zmmrI1iuzU9Vt
Qw+EVb94e94flcJYxLajnI05cg4V45YoZ/LxE0Zp9WOWfjR2WaFQpxOr4218Cx1993wAQUWPGKSJ
TwZqsJPtDoKSFt8LZbxTlMXa3S0bbeNBEl8JGSkfnaf7tp5MH1DiMAOjfVMMUG6SaS+n3uH0RiNl
/PJClKHjPH0S/dIYSEu5g39Ogdmkt/Z8xNCEV2m18z0qVWftGHG0CatCPn6Yl/rxErGHZ8euIYOD
Ji92Vcx0k4HBoZ9ONwQxqp1f5B/08DKGgGRKEx6U0eAi/fzr/SadxP9wd2bJkSNZdN2QUAIcjuk3
EIiRZHCefmDMTCbmecZutBZtTAdktZrJLCXV+pFJZt1lrGIwMDvc37v3XOslGypnrTkCRYzFuUHr
7b9v3KSwSTyKeMAEr2/Uqsz3aTS1N0KtXt++GmDTt2no7JvR7p3dhAh7yQpPH9TEObx9oEb9Qjan
1l42Vd8dFZkn3tjZ5UuU3L59AL5QtOa4aaeHNT30bpzfT82EAQkPrvXEkKF7UNDHQxDV45XFQgZR
Hcel8lZFE2HfqWagb/VMJjsCJZI7ps3v351ZAJ6dcMivLY1gLWnDRUJUFT4pAYut5SsKNgrLtvAv
MlPTz7QIcqDh2+KbCZE1s5JvpakZ6ymwFBZUoXFSbdw3b385N8kOCx5q8mogthoQ1TIQpTcGJfL3
3XOc8tm3HabXAp821vhkC7bXuef/wBrYeJ9YEGSBS10GMTc5daQCh1SvPGvhj7cPAGlQ3EoFoKjH
c3zRlFT23y6c6isrmUzps5qZ+GWKQB5UmVZXuoJK5v3ApvzUcxvg2ogNj7eufsyMHLDa24/Y85F8
gXfVj8Xbf0VDHB7imhL5vz/04ce3P7KtTB7ffqLGppGnEaBa0SvTWX/4unj5zrcPvX37+2/e/v39
66isJcsycjM1pgDmtezYP378/feRhtyqCtvp/RDePvm+9bcNfdjF9y1B5ih3saO+f+fbZz7vx/uf
v32TxlNDHTOOfzapTxjOsjNvH3/7qTBk+Z6H+jfK4hdOw//EY/wfIDTOo+810LWf7WeGxi/Yjf+H
QBtCQp/4r//iWfwG2riru6B7iT6SNt7+4p20QcLAX6plGJZp2UII0zABr7yjNhTD/ks6DD4W4Fj+
ZKFm/Iu1oejqXypu0+WXpk6qgYBu8zdsQ9HlX/xnW/AroZoqn/pPaBu/ppqa0lJVIW3SGUzDMIgA
cX5FbRBAAH2vSii4AvRbJ74ZXZaD0m7DwCqJFEjrm6oTrcv+zP8RuOfvLTs06HHLCsfUP1FwmKf3
Ug6A2xSAjTOSO626U7tZr97ZL9xP/8wT+ZWy874dg06BrkpDNWGL/HqEWk/dm2wwLAl9jKKvlApG
FCERdBqyym7pNSh4T6vw9sNt8Pfj8hFjYhqfNrxccahtgt4DURKO+Hxqfb0FERfHs6fUoRFvY2FY
ult1UZ+uklT147sht1AMB1iID8FYlN9k0zaBl9EDws5cAqTEu1xqANrioVmGQ9mQ0TNWk+eQiuIN
Nj1AmSwUegOZQruxkOS1h7qRE/aVXIJiRGDej+elwRy1pyt7GQ7A7PW+tg5FS47WDNkUqMbUPUbx
7JNDnfA2OsZBZHcvDT7NxEsqScdS6cLrLkyKi0pMyre4BziqNZXy2DQtxLKiDoOXxmm1G2zowrgA
d5j5O9lUqGipPiD0sn8og0WrKk2G+a4auusugPpIyzWwaO5aE4CEyaXySFYYInV9A5amRYsyRM9l
Wzt3ka/r2HuHzKNMARATabrp1n0lqVZIpU130fJPZOlR47BIQ4d+l9cDZMeVXVXIZJQyd+59RJn+
SVQd2jLNcPAmDH36UI9Bjaul02DKJGE1xi8ybmmCFn08Bqu2a32K6616FdnEspASZHEO0rl8TtS8
ehapNG5ET8BKPBCCrvAYHXOz53oBWzd+WtmoB6s0lu0xQWWy1uSYr1Vaa5f6hIFrCAukE/pgnKWN
YGFWmgaZpS1rqzLIy23ZQRBYjdSbMWOrM3dv1qpnmBmKPUAUe93JQtvFSa9vKeiHXtzNzg9s3jmi
DzRwZZmZh9wZsx2hQyrCKcQmOlSONcC/8AJ/bLLTKU7DK0hmFIUVfdSKaghqlj4kDTPNz4QjNArJ
0wA5lfSXDY7H6QiSxVk3LVUnGUwovpuk2iqKWt22eh7vkRfH5LwF9RnaDwKGwngwScgolAnmIlVt
pjSYjETQU4VAH/A697pYGxpAC6rHGgTGvO8nQi4tAq+aUKlVascZlkwURnZ0rtiVdmqpdp1T2B2O
k97rq6E05wvYOdMVAj3HDTsfww0IHossIixUL1B/jM4LoKssi5WaSO9a405qS2poAcIEQ1evtEGQ
KtnSYMTEhtud+0Z5SAHg0YD3h12njmRll6StHYDNdz/quFauwFs1l51ejxciSpOfE8UxmC2Vda8P
ZbE2qwGNdR/SaAaIbh81Ame2ugp8azAJaMNHaI9b4H9geZqqfcr8wPzpT/iE14o0kWcmk4TDo+RH
f6A7yJQdT6gG2aw37QbOOPyEN4ODFoUDooeaFdywqIsLxHsEYKTUnyXGp1QCjWbWu8GDH3op5fIT
w3zganzke2OJ4Yw5Vr2joxD+CKoqOlJDGV3db51LHNc8OwG9bDVIuYdBRQ5YKHp7LVhQn4lJ6Be5
FRF7OkN8GaUIr+beDI8lY/0JTL/6HHSl7Q1I+i+aSnBh6VSh4g+M9FDWKglAYyRvkkkPXZY84hkv
VXMRVVWfMy5j4J+IDTjZzdxtQ4E5p7YlUoHKqI7C7GLGnslot9bsz0ReWBBlQOtvTTF2ezJplHsu
DWSKEH7nqTGB4xJga5Ja1wQI1DujeMABoO26mlISHvWZfk1MRQU40Qj5oNQZ2hKny1/Y7fYbKxNU
avlI+irDHTbr1CQ9tCF/7Jj1Ne4hvZk2VaEFnsk58ebBDr1C7Sx3UML5fJhMHgw4xTdtuVD1R9gz
2Ir60cv8hloiN+Ot1dIF7+NZP2Ay1X84bSMOYSg11DeQXMa67S7yqkounaQ10L7a0yX3mjimJY/b
RIzveppsRmmTIYt0XP8AGTg/OM2QH6wpwPGO/885E0XbA2WPzX0HNW1tk3TzU20hg0R6q7k1qAdX
5lpwKxv7pgHisaMJCFJI4J91gkBe4s5rvTnu7UNGIolX10b64iiaTZmYksxUzdpZ15ZIlJS8k7ew
i+P1OCv+GRyJESBWFJ45zmjtWc12ZwWZBiuJDHyLBV48EWucQqgKJ30l6RaAi/XFUdfmcZtXIfYd
lZA9SSznjmK0ecLepCLcUkx/GzZa94B6JNv70xBtKrO6TBcpeUEgxfmQkYDTqfVerYocCEI5bjqw
MJGbsOjZIfsbdlFQ6Kcagv1pFGAiw1bH49FK82RAc7qJhC+3Cf4ltx3V3s3CEUOt5qvfB9v3UQjL
jJYw0NKmEMoPM1XKiwZi58kB7IYLdiAZDODxVnUED6ih5es8V50tJvsMYnssn3RNNmf94ut7y8Jr
1TqlqkMTuzb6zI2hyO4Nofc4HMKh3ZC7ZrAybVuCuTtgBOGYLS/Zuh9XRSmDuyqMF7EKVQpCYVCK
74uGai8y8ZHHgnuS5FkcpuhoWkgmVpydEh+TegUXeWeL2rnI2lS9z/Kx7F1KrcstAGR+xbymuGt0
crvXVtQ6z6mGi5pwFIVCORigWyVgQrAhURx1AFB0U92RL1bhZnIKyZLE1gdvtGsDbVo1msmapbTM
vGqaqLGDFLdZuTIJCN1EI4aTqA2TaFhN1ZvXIZqBmEyRYj+oBB2QAWGC/1KDojgUcyMuEUFPGOR8
gmlRxqio0lo/sLc96Otq3Rdar20crc+Z15BRBLV/rn+0aWO8wilO1kDcEVjPYDluG9BlB6YY8pSg
3JRug8wN5lJk9evMBAizmkRQHQJGwXaPJcQnRVE3TVQfxL8QedhiV+Z90YUM77Vi3WMhUSc46Xl9
1YLOPhCvSUBIA6DhdkLyObsOODBYvBPD+Zp5vbaxctx/rk/8T7mDuRWMtOsspJZ91aexO8hmuhYU
aS5AnsQ6Qo+km73K4clEd98Etwa+rsTrS5nYLkEhOQh+EUZXAQllez2bKXZ30plCFIPQrVFs+VbA
0+WMLRysCnU+f6KaUP8bFLxzUaIY603esxvo89l5bbckYvStcPCvMhPlEvdjHng0NOVTyRQmY1gc
cp9YcjMHHdOVGSYwW8m3imoh0+2YMpqub2EfX41ZmtM49HVIOm0cGChSy8WRJ6yaCmbtpJtJVnCo
w6RUvks0ohM2DUvsJiUDA9lBfL5kdpcT8xsZqlzNcWwB72tny8MdFO8XUPNGd4roQiByOTipmtxV
qTAfac1zQ0AgnM9GBTYSdrWpOI51bRGiRTZ3McUkRMa11gA+MmHnlREK87IvB5BhTXfIkbaMq6j0
nW0UzGjntXpULTw588Jbq4sc2nxuOxe6xGQ3YUVFBGq34yvv9fnMB800QSOwx+l8tmFXrwyD7vKu
VfKi8sKY063oCFWUVq9J/QhsxXInGpvMOYkzwJPYKv1TynrBuWa0QzY08egQR26SuOdK0/YpOhdR
z7ggrP6gtovQN8zzC40o0mCttwYG3qThWaOm2cU0M+zmPmY2pKxQkQc3qaVX40pF7b6VjkNiYJXt
e9pfz0nrlMcmHNQVnVmcZ0lq3Dg8/8pqikX7kDht/m1OtHjXaPYCZekyMqotGD/g/K+Jh53bHn4Q
te+9MpEgulKdwukJTAiic6t2ulNaJjYTw3RokV+FpmgORKBr9zLUBbkmyJmJRqnN9kl3YpzVlj88
zKkRnxS69RfKQDeZhnV77hCNN6AXqlRtZ0JjZACRcX/NWwVfjt6EaLRgE333m2LO3U4pquuwIzv6
v1jTzAIj7yzPypCvlkCg9uVg4B7PK2v95+Xfr1Bd03Kk7qC4tTQUqQ4u+U9E1EJXfFXRc9bVwYS+
jR7dOYtEzZ0a2W/eNvUfVWb+98oup/I1Z6b7+tqev5SfCzTL9j5Wfv7e/v9VyKnGmvp/XXvZN/XL
a/qx9MJam399eUOZGn+ZpsOym1FBhyeq/xtyKv+iEmOrqrRM1cIWREXgX5BT/S/hqAa1Falb/665
ADiVcNkFMiNs/su3/iclF+o65Qe6qaAKYdpwVyni6LbpGMvvP7CFe9NpqwRev5uoJ5m/tCgMP5yF
fyg9iKV08qctLDfnhy0U8HRUs8hmt11TYnXHNWKw88nrnhvTjdwnBGA38exmt+kOh85Ov03v6K58
8QD8Wv2wfjvKTwxXSQJlOpYcZbnGPXMeuVSlvzjO5UL9cpym7UjBpRLUj8A7Oktx68NxUlXJrDJj
HlWvgR9uhoN+KvfaLtwE2+CcJr2nu+pm9mIvd50vDu/zRfy86U9VpSjKJ6IJeLGTOOvqxY8mu/3z
RdR+HUEs8bYFyfghHU1Swf80ghh0VQICqtjCId4TIL71L+Ve204bQKyrctutfC/+olSmfb5xPm9z
OeoPJ1THC1qbDdtkvbeC5+rxKlp9l6snYg3X/hdb+4z5fT9CU7M1SqQWBcBlbz5srY9t/BkIPN01
xFH3GTnt6pz/pXsyZbx4/Q3h/gqwz272hk2y7Vej66/q1cuhXpXuz+5oe6bXre7/fNr/8aybBgVZ
i2m4pS639Yd9kkps+bENcWsG0RSHFjqQdB1n13/eynLzf3xA387zh618unFlEqF7Df3JTWvb1Ztt
pR41HEmT3P95O0L844Zsk3KxSjXD+TQS1E6okhDOhpC/e/f29lG6kD5WBJytFA/F8eqyWw/71k0P
N1df3U3/fCr/tW1N/QThD+jeDLwcSUU3LyQTlOAI0eDPx6f9+fjo3/96ueygy1G8c3wA1LfLOKfv
As9fM+e4xcez+2Jrv6Yn/P1Imv8+omVvPtwcTVsyVYJP6NrbaPVK4sfWXEGM2pVfDC7/eNl0qfJ+
0ABhW86nwTNu6i41O05d5z32+3C9L7bVttg6HmTqlWCb0VrheYzd3K1Xw+qLB/OfxjZdSmFJTWD+
Nz/dNGpjdIOusfVQv9eal1n54u5fXsq/3v7Qieh8GPhqicsERP7refSZ1Md2OI1cNSIo9+0P1cQ1
6SqPyr1yEPJM2QI3dWsXq8gXl1D8dmwL8ZytCpsHwuIgf910ZeiWko1wmvAyrOb1Mxn3QbNyvmcX
8wYoyEq4AAUve8/HFSRW5uOwnj33qxfXl3vxeeSzHFJldPaiXw8eANKfyvcB6+umuX9UXWelra6v
9YP5WL74381H/eBsDTf0/nwzi99u5k9n4tNYH1nk1OQ1+9B55X7R+uGNvxg8JI8MEPtg9b1bW7bb
K153JjZi9eOLzf/25P6NnqdaJtF2fJ4FzbndqFphoExYkf25pzS2tbdUsp+d1SnyMKYcjEN8HV7H
19pPZYtN/oub/Pdn7NMOfLrLRZ0g0gT47XZuvgc+sA0v/a226e7DW4g/GxSibrNuYN9ApoXds2pd
jIhf7MTvM5hPO/HpQR/LMWBJw1mo1/a23FuP2obr8Dx5pntLfu669vpmA6E45on/auO/jc+oIujV
27hezGVe++kpFFZLnUToROCNCgymsPnhDJnqWlWefvHUvYUD/PLEW6owtSVtgFGFJsHnbZWkIVbV
1ILjoXcl1z3+oFsF+jHFoCyDsq8WN1ozFc9xpVt3ZtNbOGZN8nM80D56uBmRD7WH1LRDwzWrnqI+
Dc3sCUrubG4t6iEUb8nnWJXW/IRB715RxhiUxwwGeJUH+Vx7ARp3SixaWWvYKYbCYh9sZVMIy3yK
o7FSNjNInJLq4JxU+1ilJoTbtkiPpDalBFWR801GoJ6fR1AX74YpIbkItzBmNZhVK2WYI+mixR+e
/S7kph0QkWSlH9/IOUd1OY21BnkqtEtqQKFGlyLDbwD1VeDMXzVGUFPyCfrousUi8o3AUVKpMsUR
AkJSo/+0CLw0PQjiqfaNXqoBaLFv8EjVDQBcu4cGss/qOMCRZpVQ9LraAcnX+1NCUU2ERK85sAlS
ssxwgtBvVFk3W12TUUPWLYruJoW3dYEx94xM2vSmjKCt1LpSXjYIovd5r0W7OYPHoZJPdYAf2F/z
t0ARxlLb5Qo9VZHHOI0cs3lBR92tW7hj2EuLgkqZ7jhNu+qdduTbtJHAOuLzFipEk/xwygWhYA5V
8gDazH+1aLaQbhdkCkJM0otXs2FwGdE2SbYxZznlRaoNN32xpJehQ090IhNAdjh72Wr+WakOA4Id
JXvASgbrPvFtHH7EgtQ9cmmEecXPzOopshRRGmDeJaMtiUard4W90JVacSDfi+A3UTw7EyaFqITB
2JrdVQCCZ1VbVKQRkwPKMPITOneTTpSP46oYYhfx/8guzmBUqNwvoEF8dt3w1My+7vpmck7s2pMp
jWnraBiU84C+WgR7k1yHjI4vPsUgauq17OV4aiY41Wm+6ajXYBHnm+oEcep+0B0KMaR1dt2qz6ay
crFR58cqBp3pZqxwoUH103Bd+VO1hB6a90rjZ1tMsvVdGjdmRP1QEevYatt9SiqmB0O8vsNS32CP
zvt1S3l01UyAS3FCkAqk4FFqpiTaKBCo9kUOWSYiIWxfdMJYq3O5GBOmwjXRFcKsG0A++wUPbNTY
mP97LKbFkHplXA2eDyjUoycqCPTAHaPLijaXTHnCOjFdWaNd4mxVlG3XjHCyIM95VU3pEZoCsaos
l3HNxfMVqefBjljBmc5cC3mKmApGxyrZdn2kHXzYeZ4kLZFaJcGDCnXklRgb5GCqooV3ZF5zXRol
h7+UTvkV4TOA9c2S646RYZ0C1bwoYq3fOmXTXMH+tFGtVmF6ajoZABzqVSjkJEDwHaRzgyIuYc+1
Rr40iHJj00SaeqTkXN8RCWu4KsLxV5tHr4R45ZfJCk+dCUw7ardBUMstAClnN1Z+vwcCZD+EjUU3
PSnFtcFvuLUVmrTVkGYrOl4ksrXmAhVTinUSG9y+smzBPA0V8Y/WqIwXRMj2WzsNEvSNS6V0sggv
yQPCDFd2yTSuV5vkOwMamsuonntARK1BWDrWA2ESCVb6NUFffmhi45hNMhDMNt1YDeLbCBfUwVTA
gDhBvyfR2n9Qa/siL0AhAMIaXkf1EKBMWCxnJgT4DNuVRa3deSloK1vySKFv1TpE79L/gkhM0Nl1
1R+npqD8Ha7G0L5nGT2etdMu60++BTfEv+iG/YRXqUUxGYNgWez8Oi7m79oIUT+XBTYJCUF7vAsz
tIx71f8ZlU99cZr0l66Jr/RAnGYzAuk22aAozPUc/pxNeg/RQjEX0aa0zwYdluSEM3SKduQunfnx
WY+rb+4hSjMeTtU5NxmWarcBM95tDAjoKDHu+6j+qQoYDunZ7NzU/j6G1tKuU3WD2ZwGd+Njx9um
9LxRe6vnc7fWpav4O43Xiqg3czWsWyO+Gox6q3GnWUtnmbdh7LKMoWNtEQvSTEp7hZZDkKlIkR+r
95HhT+MWH4J1XsX7gEFgPRDC7FfZJuryu6nNN9lQlzA95FU4dLj3o/CITOSJWDeQo1wI8tl3AdrN
MlOuxtzw5g6WZuw89u3LTMR8ah5Twihy1S0HBG449ztrVw/bOr2iMAx8+XWwkUy+KDZYE15JdpC4
UaXtZPlajdYpIU5alx0o85q8C71lvB42lQ35XKjctqSguoXzkwHV9eF9qEtsgH6NucttynPZHbLp
J7WiSz2PTul4CkAEGBprHf17TrtgCSllbMP+LyPu/oKpanDscG4CmGQxBpa3dyPRYwO9gYW5naU3
hzTzr2WzHeZTg1ga2BeNXwY21ta2880uI3gkV5n60KbPib7rSxSPMJ/yHDXs9ximwGSjkHeuk9D0
+rjZEm3FiwD9SUZpm6H9aJCxwwvDPs5lsra0l7oMOaALxfqegPVUw0d1CWkLvrX9fWX+yExll6bX
BnIDetJboIcdgJCMYX+r59ezDZBtRhKaaau2vC2whaOB8IT8riZ70fTbqYw9v9j4sIuCJ1Olf1eC
r3slaYXLAveLaNS2qUE+3edQ7ZFqVt35qHtaNFyg0jsPu+KJiR/g++ewF65MxQV5Nw8O0MxVsfiK
QHJic7NEsx7aAB1pi6URMD0OKq9JS/wK4OJKHO0djgugXmbSwGS/EmHp5ra5Nstru761h0e7uVGj
u4D6G4DlFtCuJB17wneO7Nv1h+4iiiGePQbz/VDvovi1zL5n+J1pWK1wCDlYLvyKdAfbNYH8hUWA
vOjUTye4PRsh4xNpTzez3W7aoDhvxvou6btNXYXnTlsXXmOYB3j+52mDtag15I3mZBtrrM/HKb0u
ZxxEpXPh+NqdHGcgELN9F5rqZV4OkNN73KbGxTB0AP9tx03pIJQrZrHmSknxbphY1ECnWY+YSkLS
EsuB8TS+svAcWmA1RtN+gAntDpoNx1BsYi1ex2G+SQMa6rpk+lJB8LGTZAdV5BS0ykNUG2utg4ah
t/NrqsNC62wACI4JRrXJxyuw4O12rmOcuBip7OCepNlyODSTRvNsBiFq0gZSIE+pylXmaIzCGVmW
DOsEXRESOmnBhn+N3Aj6C10sIXgVEHnylixnN8LfRo5Z7GJNL/cOE9foruhKQ2zq2n/wta6ihqJB
TicYLs6OlqGO9KSG4Jtf2rMgpwJPHAnl6WiTxoXACiZpKVk8TBbdnqTPXmKtEuMqEDnwirkvhttq
UgSNN5ETpeeNRZaEh0SoOeDqOBBRsQUIAY2zHuxgXGOAdAw3NiI495WeZzuoA0bIbT1asQJvnhdQ
RYdYtUyCJCabJmpZaTN6ZihpzIbom1N072Mvzo04eV+l/UcNllumif8fpcdpVBz/0Fhp//t/SyNq
cTDPCbR7y5tb/uK9s6LZf9HCsB2bZTtNFHsJOH3XtJrkyiEmRcxJuwUK7RKJ+ndnRVp/UX0kN05o
EjmkXGSYfytadeMvSXScSnIcRXwd8d1/0l1Z9uvjUlPV2DozaVVKdenkyE8lwcLIqrl1GN3mAqhS
YjwhrPcRHw10PAMSEvo8O6st/VaqTEKsAg0GrMeUDrDVyQdbHVxYHTc1aKh5CF6bivL+h1N5+V7l
/SgM/byDQrUdJLfSFghAkBLIT4WXeAjoQUX6tLJNpHDAI4GM5zbab1VLD/wg4BLA8uZ5tj3y6g9h
EX9v8rS7iaps2hdRUm0sf8kA8CfmH2Qokzsuxb4om59/3lODC/nxVLKDKgGUNMs0umGIjZdT/aHe
Cb6EAEAD+NTsjCUJ0tbTTNXuvDCbZgukr9vHQX01lcrMvN42H2ZfNY7NlFWuHEAS20EhdhoFaCYc
cs9lya+MNN1J2LEeA8/0jGcOKMaT34ziyjKN5rrVy9uA5M2j1vEsu3GGTqp1pm8VQPwwhUvagJgx
gRBH+RqIQ4dI7FGVJnjDKkb/qibnlpzso99BuaxYRy40BrollgIjOgdCoRJdTwqP9VMhFAMYY5/B
q7GBWSlyHm6UuEOwn5JJ4DvIODrAwn8+n8vt//l8OkiCeWRsVaBH/nTlZ0BxWjvU4BRL5YRoz14l
Ce98h5DdTQJgaBX5zj6u/H075doZbwvEI3nMgI1YzY9Nlkp29/jFPv1+janFIo+2TaIdl0fn12tc
IYnsaWbN2CHkeDkQw3aWz/N9SVjvxdCqyjkwnSCdzes+KX/iuLbcOu2n56xQH4oOGtqfd+dTMrTF
LUfLy3Z4u6DV1pBs/7o72MObrs8ot42tWnpWG4bnmRkPm0FjKqq2xVM7yvlSbzMVjM+iLy1l1m6j
MZd7+nHlk7B77agzZT5kibEvDPXJHgbnUWLTQecLtq6U5hFVl8akO0vXGXxfVgVJuO96WXga2lFU
pU16zAms2fz52H7rrqmUXXSbY0TXzwBkfTrVeYVRvBpV0qyq8l7aKIFKDSVwHwbfihkmrz72O8yn
GIhBU6OePA4IYTa53pLmTpDa+s+787kIv+yNhBYt0O4LhqNPNyOEEio0yOgozmRIecIeujHP6OWU
qNml1OJLB4roF/2o38Y+jT6UJSxcwTwBVP8/tU0nEB9MPyxyrov8TjESBhMdBRJRMjyK7dQhJ/Vl
uw+jyKecwGK9I2kDWIsebaL0EURddpaiuLhCwvQotNDfhwTVrzIwh1+M0mLZk48tOvZU8EDQXrZ1
idDmU3WUjI6IIFCjQEuiPwRQkqh3afo5C7enJkd7u1JLhcbdUOp3skjWY+D4EGlb/wBx5An/9ky0
jxyO3SwebD/h80aazF5i80Q1mX7oyr64ULOa8l03MsQ3h7p1khMF4XvY1M2FkRF+OLWQrSc8j188
ZZggPh8dz5ZhWoLiu1SXl/avjxnxctGY6Estq06cPSqiLYFr9WXaNtCD4G+tqsm69UEh3TRKEZwh
GQ3Wal6+qhPG/OV3I2SyG7zTyrGwinCNWFjxBnA7XlO36PX8ad1VeniTFOZrN4n4zOpni8KDP2+y
uj8oEYkYnQGBwlGKRx+eE9GYsHj8obntbWsLQ+7op6zxHVXLN/EZIYSNB9Pa2ckO3q4psLL5CDkO
lWXlN5lPOtWUWiQmi2Kji4H3psG0O1Srp7c3V2Iyw8yScwV76llBhiX43kRD/Z7rtxkpfE6g36Wk
y/cEvJ0XWUcZYBnjah9sXD6TGdBo0HIgRfYH2xx4M5Vkojssg/bVWBs3sCtvEb9hi8U/sYJlqD+o
oNbxyEWrsiraa0bN+RT7JWRkU+zKIgbik1TFRdmpxQXkiTOZwO8a+x61wtRYXhCP9S42Rix2Qxic
ByyF3akGya2y8b2QS9BldOp4c+8VZs/nFI4crdXPO5UBMSpJ6yzqNF6Xus+i1zRDr4M1eNFTv/Ds
SC02/XLzIfgsCLkZXMdOmtsWIdlq9k31bAoyyk2aVMpDWytiJ/HnuHPrD0c8fI8K4X5HkQGZoiSt
bioJ4JxJvnN6+0c1j46n+ExoSB3FHuowsS9z9ZVJ2SE3fgRJ8AzVpWDxotrHzMRzUiUVNSJfWAgf
7fxe1B0Vt0AFbscIIJDBnodgR3nY2nXSytei16unjnRQN5/b4Ayk2yrGYXAMynTmevNTMZE8kHfF
VRs/NYOT3YJMIFjwbYAxtGwh81s1yHyr2hlI/FYDVckIb8FjYIcjrO96vmol3pFGqxAMl7k4tJFD
AaoXw8Zqp8pVpvRHDabtiqqlQ7md/E1u9LSQ2clRAML6+h4ySf8kJbOWt5JtoDZkyXR9eVZF07ey
0KkL5GAJEuX87UGwDTu4boIdi7jk2KgpVFJuYXg19lp9mwhJK7JOSmDBXFcGY1f02h1KymwtxiCn
QGpnngEvOQz8SxKRID4zXA0H8tiMYzIwq7DbgufSwXZRqQuQyBZnlirbTY6jdS9quyaS2J9p07OS
VJc53NufVpZuXSm2r++0IDT3VWyZR7gt9xHwszPWjXjCKx8JqTo/BmE9I3lte7JtuX0jUssOc0WX
RieogI9ZT6U6ofxkkhoMyVm2/GMK9YRs39g8Iwxn27R4ad62rbYm6cCir7iH22irpM0AENiESqpP
8wad/qtmy/IpsQPTnXWQKg1dzDveKYTcGI3pvf0VkTzGMdYL8zA47WskILzQ6yu8aCCwCzeMurKL
1t+9zRhQF6Hvny1508PdzrQBXLNBxX62xsmtxVxucGUQg0KG2i7UGgHmNiSerstucd9kN2ME0ikg
xC/pjePbEQRdd0PyGumb9nCeKT1Ud3Rol+Qfkfts+CxqUS+THKaNni667/EioW76utkmvFbOy2o+
djnA0FnkqBdl4rhBkNoEXU+NB0mTgJfwSrfKaFvk2bcAp+eDU05PxFDsZVNPl9RAk7NZAT9ExAxp
x4RcVsU8HKCCUgZR04sZDf6GCM94Dccqvg6g2SSdU+wamlg7HaXw0Wmdbud/D9LR3JdRaVFPJfet
rNRjGhNW0wOLHTUrX/dDPJ4Sqs2bQQWfRKjbhuSM8KwBjAjd2iDWJNCGp7efmiwc7o2pf9Sifapa
8znglvx/EHZmy20j27b9IkQkeuQr+14kJVmSXxCybAOJvu++/g7Qdc49uyqi9gtDsivKFAUgVzPn
mBdrDMmDfRyPHpk7uyZgZhe6mdo45LG+uAH4SNPEFi1Ud+fu+3BJYNrgzbDJD2baEblGucF1ku8E
0M5FkXf+sZpfXJ04zUoJ6JM2yRZdQ9FtuBxM5vBD2RbhC4VmPYeDv2blIvfcNvaRmaZ9NAt8183j
gI+DQzOl2oHWKNuOmV2utQR4LRN7gLYqZFcyZGoLfXhrxAV8JxX/LtOpOATQPhiU6OoicsgscdDc
Y637xuzC2AdRbxyCOOX5Qrzx3SoZk/Y4iXDrxz/AOZ9xvE3L3Ma305kZDPEW84lfVOGzriE+HoYD
ToPuxRnIY0BlzoIMUQ10ztAyx+8KN0PbX/y8vYJD4CY36nDrWmIA5jsNRyYqW+vR84SaDgJo7rgk
SdoLFaDHxmB3rckO1SOdBBuh+lXQxd6ua7ydrNr4I061S+9wAEdm9iToGbaFBllfdNUt5ERduaOb
b0hglCfsMaPQiTefZLGSfod5DJUtbqaBIY1uDiuZynETHbghCHFBTn+dKJw2nmA05WWSmBuggaWd
hYdC1cmGdKxD4DbmvaBPAu2rd2viffpt6yVLfCe7kDw6EELx6fECNZfo7cYnvw6Cw3Yy0mEHhDQ8
MfSKl26Uw/IaonMiEpYyZJ+vU7vqzySRhvWpmF/QbcZLzx2Gjd57eMQC6W7yhqnlJsXHuar9znxN
o8LbEQb1hKGUyk6W+ja2wHl2LYT5GDKO7INLlBFUq+fyCYhy98QbJAaygd+sh+qp0rpdN885c0P+
6Cmelt78EdWDY64dd4pPYSnjU4VRFVvCdCyDNL7bLfFeZOk82z1EekCF+T6PHLIdseuy1EjPmDtb
5h1T/+KVfrFIyT9iJlloKzWa1UmEpC7HwtgP9sh3pVedqsD+CrMqvTSwubFdWM91Tww40vXqNmnB
a4kleFnIVL8XjduvCc2Kd6mTxSs01Fa9Gd1Kh/A4UOVBpI7MOCcigf+t48JRi8is3UK41w4QIuNV
kZLeUQ94xmqessuB0OQjiev5Gzf0xoFfdfeVeJFlkz5VPkCp3Kznp00U3FKG74WKzFcv7vV1UtwH
/CSs79znNoBM8egGuqS1l2QUUayDG7r2Nf8EVQyQFdDC63Yop2+pbmwj1m8Qi4DN/ew8qqncPVDb
UPAGqOrTrMhW+fyjm1lwH+eBBz4XjgEPddlUOtDsZPbkT92LHnYKDT80C8Ih6qthPgVEYGmMmS4Q
RDjvILSsAYwqpqAENDIxOeml32/odiHPMXC7T7Wvcf/1igCzOZqg/Om5WrYxKsnVBBkv2nZOZdGD
TquuTOp1FXPr6p1jvE7JUK9Bur4OQ/tuDvLu9Rn2ivk0QvfOGAZAtRzvFZFLRwVwkx0MW0Tb8o19
G/Dr+vcW8h8aImZtmFXwqdPW2o7zkOf9nwGRBLJRmCQD8bjDLDgRrUKie3OnyyNmShu+mzUM2FDz
DiSiRauOpf+agrF+erwEibtmYB/c6rb68fjAQ2WQ6oMTdm/01TZKpv8y7PhHT+cg9zYFkjbT4Kn9
93mW0UNw8r2ePCl2wKSTyYBFH6k2derW51z5F6tzuksMqWrNdnS4/vun9Q+xjy5tZpyY7bHpAARw
/9ZSeoUb4vHxG4QljYdXS4UbxVx7qfB4Lwshqp0FZJLW2MOFrWR9cVsWaVu2yBsDI8Wpc/Vp13rE
YdCdGKsQVPdFuFV+8SPlbf/9zZp/l4chdcfEgPwY/aEOn/Zvb5bsX6trYMYvlA42tYsdVobUL0NO
kBE5h8cpjO+lAQFZNUEHE1YSGm+Yb3OVc4ozwPQuGoXFo4jkkRmuJixNCyONh71s8MN68BGWVt2P
h77ofvZzenVa1/Qz5B9vwlrYH5ULtNOrNGqYSdt4IWGq//4j6v/8ESEpOyj7segYBjrk/2yCyVKK
hnQ2pDwqSvi/88ZDY7BEOkO+bvOswQ/L1QonGGlBpkloUX50/C/v4u9DQV3iTuDC8Gz+GRdYwH++
ixDurVVZLraYStdJv466ZiHYlSv00bfKSxiMPA4HlCAGxicJv9CsyoNN9HLoOeVPUnbRI+Qq+y9X
wD/GVfMbcxzGVPgnGFc9/v7/3NyTJB0QTDjUWSZlcKR1SNAtBvO+RnkSqOdcT74I5qPhy1SMQy2y
9m2D5Ch1reCM+yH/L58UQ/y/TS0MWBXIyGzPQsqMrePv12SYZ07t6zzVIkQmWCz/zBjk0hgb2FqD
3x9Kva23gVWLj8YrvoR0u+e6TedcLhQ1IKPTPGAAJ4roQPJ5ctDCuiUIym5306Ct+keaWtTrZwky
KUlsvPx1Ak96EvJbmCWHuCXnINDq6er4+S9VO/GhHLBMllX91KQB8SZz++R87+A5XKJcjgviV+fZ
j8Zq1mvACSnduURhHO0ed8aj0cKFWtOGcntMQfjjz3DpT02sPF1tldKqm9vIDz7be9Iwls11H7Op
dvSI+VyQGmy9xI58ekwaqqlJbob3LtZ/pttTFoK80Ar9BU7suAZkSaE6v8dBt38Q9kTio92g+8ji
a86ydO9nUpx8D0SFKjdsA62LMb+QgVcv/+pFu9DcU7TZC5dOY10QU0hk74AGqqohiLTKIczUcYcv
K/td05X96jvUEyKTKc1wqo55EDdPncfjxJFin0xtvocQmr7xoVv0XyoWzf3xowhN7jrPNw7O7J/X
bXoKFdr2Spl2cfQwqt3Nzv+d+HWzCW0/32cacWK9FOVdJIIxf2c7HDZuuEks3d+kQ/RR0hb9aiAc
i9gd2PSn1tJC7IVRtcfzKKu7Q3LMpzWibaM0lW8+DIFlUKXDSy8rAA6g7W5jujIHeuLZc782g2p8
DzASojTS4zn7Kly28zUEFI/Sba7JdS97IXnnZ2BO5S6MBdMi7m+Dwp+KgWT7ZC6CWrd3iRTtT+Cd
iXWrvaOZhOXRDe5tqg1Xt0mGE8lzDTseWZ2aprVW3HK49fV8KecCII7d9IVF0J/LxtVQpFSZ+TrP
wU8g9xGHOMiZolB+j3NFRaZ/yUIneaixxGnIe9JuU7M/VGqwWE047t4ywHT6E7exAw3WqqJLZtfV
TTHsqWTnLiH0WqvSzblU4HVIo9G5SRhoL62y+iqFZ7wSpxRc/vc7aCNEQEY1LAcp5bUeZ3hDN7jf
vLrlxjC8BQkl0e7xjwjNECh/8oYLdbzFtejXfZL/ckBik7ynoPUNJjhkZv09TS+oromSkzHxqpha
bUPygLWxrPxTGlO2AisxZzTguY9D0e9D1v+LqbWnpyqFAvXn4Trlnlq7wnyL2dkfRy/cd70WnFIq
n0UVkhujOAHn+1NfJlix1x1pKW82VMshtqqrH2VINyPjZ8re7zlM6JyLxgrW9A3bpME+Scw3p5fU
f5aR/ULjT2RaxIvI1ZsTkFFjQ/cf9VHcQQPUQK5btlZ4rddKK9RpipNzN18CFYLSjStRke50J3zx
zKY+ullDILBOl3dUvrPMfbIgBshxp8lyP/66Ekq3vUw2bAxAgpgWFI5QYLVHcIkB0DI8zYV9ymXf
7oUmzg2GnOvsymEHgD4RJAc3TzAFoGsINGhF0tzDoEan7wiSkaz+NrQoMh4vdVXm54B2mVUhFEnh
pOqZdPs0ddDbjfD+8eoSOD4XK1rKBNesC3ubtcHvtHWHMytEY697G5vmc/nozKH6qs3jWHYaHhOQ
PrdgC2ecakR25vzu00m8RCVpCo/vCGuPfbmM5jMTVV1UzSnwhjt88wz/UEzkAj8eteC06zUbr2A/
Mac7dG6fbCaH2avnXBJzGKlVsWZXdlUfHu1x6jJphcSy/PO0DkcDkqJZXsMmdRaAj7ePf7wGqbCV
/LZxn5rTyRTpFmbyUc31WRl6N2EjFHMsA5e+bKJdMZZrR2MBKcAv8thCQ5qZ1dkTiozkJoWyznJt
JUdn3LKwWIvAii9W3XG7B/anPTXGa9T46WWc3E+Yd+GxEibyJiNyzwb3yNnUAegaAGRJMS9BKvqT
f7SrlgCgocVI7kOQCa0q2zU2ah6TGckKBHZxCmMbimzWjuiVBntVCS3ckLkyrriuo3uWu7Qhj2Lk
UanP0xyVmBqMS3Pasl4qPgqXZxpIITxbw5AdvTDYxvbAnVA2I+p5amr2A+az0IFdUOduS9fODiA7
j2Obj9+hEBfIUNudFg0Co3lYLDREXoL59nqoMSpjHf5m9wQ7eDGs7syNCBMJSJ/L2KoeGbnDl6WD
DmGu7pRRGruanHALRe7J6i0CDjljN0FReDezJYsvKPsvk279lgd6s64cGm0rIbsOoaogrwwqXkdS
10kmYHgfHaaZinglWX4mo5d8aWOVLO18CHaPyQachhaQHCenLNp3w+lJkyQLYtVEZvfWifegHEhx
COsAocoPLw7HX8lAelv3kpGk8qlF06XNfmYFK0BREvOgPR4SZskC3FJZ/dGMRNgkep1dK0Kg7cwh
QKkQLMKmwVmahinfnda8j6iMBv9uYMVfFoEypt1YOiApeFctP/dRj8jzDZJ4UwVadaK4hdpnFPzI
vfhyrcQ71GYvjzWNW45xfOO1IA87JYKjC16Tdt1d104VPI8N4nXOgOkji4KXgGSOMktvFjieLTuH
bulJ38M3Erpr2e1aW6kf6djvBPfKbeQg5pgo6nKTzOeYkXTNNoUHtYi6Dz+21Rs69P0oWERmva4D
XAzcXU9HtYxtHQQBNO+DnlsBn1L/OfEoZLCqh1vkRXNcCluZGnJsU+r17bHQsbJwn3jqUNZdtxMk
IRACj8xjiWiMckKWLIR663fSxefGmDjnWTdukOwHxFnCceyTPj85RppfcO+ne2WIoCUQdkzRuNES
VKHF/IBKeIOGwFmpQEOXND/dApGTH9Wy3KRYXYQkHj6NiUdAfGMd+Q1ve/Ik3lQehKeeG3NRB8S+
m84Y31tfvg1J3H2M6KSWFkPhF8PtS7ylw6stmI9ZJdjMvPDLW+lAXfod6ILQvYyClGWpu7IKk5hA
kfc7fY68fYxMouSb62TagnjI4oM4BqJ7SL05NLUH1jtNQemCHUF8F7MEIkdmqfG823dpCwtVP/aJ
MTDJYjWW5sOwcFsiX+Gq+qhDeWutbBjUJW/aYCWH1u6Hc6gCQui0/MWw64PW9eVHygD6sX/TTUI8
nMnJz64OPCqQXb/PwoiHS+yCv4xLhh+WiD8mioYNVRpCvmpGTs5VTdFyZYm2PP1722W5M8fvPza8
dBN0EhZbMpovF8jefzZehoXZ1dKJsO4gvSMVNqxh7lIpsOLa2s8wm3rTVe201fSRCGgd64k3mnue
ZOMRHaLd/tAYin+bWnSF/RxaV6WpdenDQZx6NIORRZR5nQafjSBkBd/loIOi6KquXGWFh0QUqTUh
QM3RS4XaMxrHYuA5Daxkvk2M7q+/oEfWqcSbb21JxnTc6uneCX3jZLV4VhqZWk9uSimqGiNm65CW
C/AvL8XgejuyeElZLWW0E+FSE6ZLOAzngz6/MNYd14ML4k06mAqyqC8vI6yGq5ESZNVbfvHspOF3
5ba/iBaYpR5UqBZZmjdYomLW92wmrclJ1f2fF5VipYtHUW67ecRlyqnfIFPX4Kyj48j2Vju6X7LX
o+UwthszbuK9T3u+rF3Pei3BQ7lxMm6DDkX9o6uzNU/uxEgUK4gyHeXhcDRVFe8fU5uMn0gFPL8n
OXU736k9IpBa/QVHg7fV/PGqh7nJAcJFKHuSnquOKVrmpJ9pXMNLnV80M6zPSgOUISpsGAmzq///
8bDF+vRKxKqPJ4BNqHFJeb6HGoFgW47fbQ+aUjoLEZwAj0uYr+2mqF9kGA9X9Nzal12JauEafn7L
O5vo2CySC61FbAyyJ909RnlspZj0D+eUiLNj0Zi/xqKdrmMYfcWA1BatZSRPrhzCP2sh5uEXNn1z
4z18y9McdJZd/pkRTINwLkCAbiRQDuteFkSOzXNY9PTVwa2GHQEkXWJp37FVAbEDB70i4yEh1qh5
IUxHfsts9W5jwtiLnOUwK03mqBJYESmNw9KJyre2Glxo3y7XTSrB7TPa2msAh8CVEnX3+HUlPzGc
ZH+me2ncjhvCLIAH6/hpQmay53repeftGGxCkjtJgCuwsVYyvnitIBSCTRkd9cqxNATD7cgWPxTG
a2YjEwcz3+5ZJfwY4BUfQqOvnybBo1NmE5FzZMBGXRvfmL5PI/NdUOfjW1G1WxlBWtFLZO98QRpX
an91PCLJgv6rNh4lMcOPhirsLXOFZlFwOiWueormf0MlnXbggXg2pfOLoI3+TThqn+Wkej52ybAM
++fCc94nNSDmCvXfSWWKkxNU6ClEutOElO4iE67YNoPsj3EgtF01f8WSS9tNtfLx9Rhkc4EmOnYj
WUA8s+OLrGa9ehmvDW2qjwJHz8bWGvuZahaXTEyU4yqv7NuoBvPNbnD2NGrkeNPtra35z7Hma29i
8N/dWCN0NZ2+V7Z5HKAlvfp9DPxO0UFXsdiVrFpecotWd6LKeII1mV2xRKxkXb1OSKd+CdbbXTai
iNfZaGiN8n7pjrY0Cv9skBV6HYZavmjVCmsZZiDcd2sk5O2m1yL2NozsWNpGYCPhCe3sKLNW4yT3
iECZU6PYW2t2YK+NioCkmaJycGSS72LP6pcQtnQuOnj5JgPElelLtYln3GVSpPCcojJboxdkZJeU
7iJpOxMB0e6hwkg7k5ox04KdZdUOhEvX2dqW6rgNOcWTCmj5jwSOD7+H8T1Oa6R/Tv8NChnq0Kon
1puS8goU0Vk/xumti8VhSlkk+eTwBXaMUH2yhytjiWZLLNoRlNdnAaLt7oisPk2Zfa9ioKJ13LqL
VmCWWEyT0W7+HLZ1iQuumZukmnvs/PhK4aUoLcKtHxWFOZTGJTf3AecH8IFAEkGVhtcWWtU1Ialj
kxspC6/5W2VaIBAwZO11LBHoIkaGxH3zAgaTJbpG2GuQWv4K/egMz5PhjqK1vI4FA4JYjPuwcpuX
3LR/wOvq8e3U/k3UDVkwWrkWkBzpAopqX2VIZXMQpAIa39Fn3ww9asccJyJkvkW1WcXvMFyDMyt9
xc6jNZdFnerfmn6NBL14M8JyY8QARqvIx1IBWWs1sHh98dmHF0X0+jjcHy/eyIq7dM+8ifDcuXX3
EgaYrTSCoY61Id9oaJI9tjQKOMe0mqVfoXywArUdW+R9cT+s25Kt+qATTde4ymcGpfSTzVht5ZLP
hn1IN8sFCWvVwegSileZLZWNAQfvVH1rkynHpMPC9aHGCfJno9ZwpujGsif58p6NQXSA/LxoJHET
CZUbVhKyyDTYeHd9fKt8w0L7gD3H8BDlOFFAyAJBpNmcsevhhWGWRA6nF0/Jkx5qK73uzAMdh7WC
5sSt7oEGdSab5SAgZzj2eXx3Nd1dE+sTr3IWf0RCjtqFKLIMRxWyMqCy2DimtjlZvvSWscZ6l5D7
T+p33Euy/qhQwtPVer8HooTWgS2KY4TUxUdy4PzUDdPm2HPbtTCb/AWRm1jEZxEW6p1DOFvp9GaH
OgMnb+EMsCLG8qLyj48BE17lWQpMTrIQXrAiCCa9lj0R8RENqDa07s130vLDYOyxDso7earpKhQR
oYvgCw9dnBGXRu3cEgq/VpHDj+KnMzrLw6ORAGmJNdIQ0/oHBDr0HoajlRuTUdGin/W4Vix+G4kq
D83QH6RNqjqnUvPkITopZeCcNaP9FhH/eGlUnS+nXjeeUpsIOjHwbFmKIR1XfWKr9SBGlu8Ilzd/
+vOEtR1Ndb2yemmsOruXh9EIn7vHHdxTzywQhKkV5y55rrBmzo+vUNhwC1YNHWfYYAKOrbchrTdl
S1aqW/vRhv2JPIegKYh1se1yM7imeUXHsy0AoJ5hEjkXMJtMlALjMsr43ZgLbYqyaY8z7o3ww1sR
GQ7p3XGFnceKbmouhl0N81Eg7deub7RVKe3o/nip8d3Ak9Cvj++a0rF45tfvpZgBJhjv1v0YNTTm
LIqINrT1zZ/vsyjHJWW03/O+aqgc6jcOA99ladhIVsQI5Ombn9AraU+Pr8qSZOEhC4FvIUnY+hON
A+QlGwMSZUGfyulYzYK4MZnqVdZr73mXkZXcKM1fTFY8np2BNHullmL+aY0gy++BDP+c9dxHLBkI
31y4WIuKove4vv9nVfg4kZ0RemnOCcWC81EelD6ypmEY73pSp1djTBAV5dfe9M1T3Br+zfV996qX
zy2w0l0w4CMd56dLpbOscudg3IRjayeCqFk2XCQHwycl9PEJZj0BH3oBoD721qOe+7+ahK4k4m4e
Rm28u/kUX3Qt2PwRyzUEt03JGD3XDqGMlKRiZdX4znRY9eBdXLEJKmXfXNnYt8FgHOsOEsddSKpd
jANtg1hjkcLz3w5QUHeEZVoXwgE2dRLJdS/KhOwYLT6DdTOwi0XvrIjqWzO49tJ2qEiFm9nPZpsf
hO/xFJu6gt58/B7NW//HS5iZx6hpmXxNZsg8KXC2tWEuO+mWt94S04JBpHXu3nSd7BTdmxm4Wf8U
1CQPm2343M8NoT2qiNNnkk+lJb0nnMSYKPBMGbUPlW3W8tjzMRszeqXMIxY+kK1+fLwYRV7tTGM8
OMk0HloS4OqgpB6aCuT28GZpe+YlV2swMlGvaFmbA/QuEJRFyWMgbjJrXfF3s4/oYrnauPsztp4n
nV3jNqfw91DDgW2HuDs6pYanLrV/kKzpHCvdto5pS/C7kYpbpye7QLsbagTpp0tWRQyMHi91ZHza
vVfwtDTS8ZCXCSNPasDHBWimyCoAX0f70PF4kuRcTMi7w7Ve29YuajlDC80u7yRyGzu3K+21GYPZ
IgjqMulqxPvGV14hNoq6iWnYUII45mHweNEdBnPsTfKV7nafQFHKc992/aWr2w/ZkMlQclhR3jR3
N+bxUroxERfOxi1i/zAG6ucfnWU80OT7c3WC3iVdx0M6gWnO2Z/W7kgwScFQo3JaIoCNaD105FlH
ddC9sLsPj63RYIzJPjEaWO9zaUXMEtENJpsqMgSZ/xheFG3HCqhllw3vZiO8VeIU0xMclX4bmmmP
ZJG/VKOPoTakMfMrl4Z3Kro3HyziMsc9dnh8i+TpGNQVQ+WCSSSOluHOr/IYzXtjEnyJxzameGWW
SN2DzmqPJenbWZiML13oD7s+NIuta6fmN4waJ2yl/SZKMuqPZakjbV3A89ggMA1/OX30CqTS/S47
VuWNMqOjVPgv53P0iAEXF+CsJ/nrWzQSj2/jNnR3Jm7y0qTetVTrfsgq1tlmKv2Crbq7TX33A3Sq
Wqf0epvIiLNrUaXhRraWCTSAbz3TfFaWTRiQQPg1tjTDOvXwSwcb9YBqc1o0cYae0AzDdToLZ4xI
HRnvThd7Hu4UpTWHqbLNjVpCTNVo3Yckte4s4N9nnuLp8Uf1FNiALfEXqja1/7z5yu7J2s3Kv77N
PWDJuautR4nNmuhG2mCrQZ80aSixJxRMoRjWQSqZ2lYpvRk6sZxhycJkIf7iN41z43BdPr5TUDRe
GIDLYSQ20SIZQE7cGUyTnoJMfQHgy5FTcIHW5GofwDlfpnE6gsZwfkaps3Ya9UvTs+7ueCys07L2
j3laHUYzD59LAUhSTrt0GH+NcQU8/FHkKb13lpKyg+dio28NwXPh8eAOJo6fjIfNYmSstXgcmaq0
bcKgEe09FpnJ1NmnIUKjMz+uWzJsyqQs1jmZ5TtGeiPBnv12tIvq0gf4q4c0ODs04Evade0jdWY8
ajt2T3k1VjTyMRq/iJY1ZyG0I2QwXScjJ0YjSLwPZrjxqMU7ve+bJQWdPOmYk5ZSxvWnY3enMs3G
17ZuAVuGHpsdo1o+ChkGfdWNyjt7Sjs+1xp+f+GNzeHxrMXIQNdqA1xum1Xqpgwr/vfFZKmxLPRP
u21I+5xHety/20kX6WsFa+I0SAz0g620m+PyP9Uja/PQGgeUY5xsG9Vn+sfEfGoVOm4PNbR2Xqy+
WySuvq64tEKsr9kCe03x2wyrFxE59bMR11enDZFRdkV4U6XV7Qr8mXjVlHkt1XCv2DCvIcYR4jvf
Acn8UgdteYZxtmmJEm9KszuDFTCvTphaV1SbUH8zIocBHu/x2zrv+cDVNZW4/mfhucL/FoNDP7c9
rRA8CqzBhll/NYMXoCoLRbqE8gtJWQ/J5A3e1KyUcyAqnsAJeOs8L4HJked+SrHD7kvTfx9okxeV
ypKrrfqcnNTmqZn3845KzklTo0YvYAfjWLuFaQFZXCurI8572stZIJSMXbAiJ4j5csk8s4kc/5jB
pCGrPjL3j+WAi2hjZRoYUaasGPeunDZ4wHCn24P8dW7q0Vp5XVWCcHDdkxBPbm8Q/wTwKm317oXa
W9zDCux24Bnnx4N5dH1t2WdJujMR+OFfEqdHsVrATtn5vXdj+Niz8lHp2Zp7LT4vNq85dGIdfDuX
Yrty0pE0gsekQtRefOvnp8/AebTPx7mMtJ9xeFa7qmf+PGL3hThzsizIB7Tu/s0I9OxqQlPJ0KUx
tdCI0p6NDKaLT5E891uaY3vn46w+k0hBBGHnrdoIW7jVvY5x0d7MiRNda1FLO6m5ZBpoXZN42KVt
GZ8BlphX06g3djeB0G/s96wlG1obJow9fubeMgAePqmGOyfDnyTnP+8cBg8skPaP/+rxR9EYTyiM
2blzbLVIkge630G37o18CnzJpt1iYh0k5aVir75FmRyASka4/6iflIP/Qo8yNP5Oi/SOdXkvqLfy
EerKn6Z9Hr8/ljHW2FqX+bG4oPjkMeVCXp/SUbyBwfyYopyFjB5XFztoQ3wJVX5O0S+uJ8Tm68e0
tY3wGvhMv7nNlrpsnY2PlaieTX5DWbIDzrjiOhHBt+D0Aw0Mhbrv4hXQHrDXs1o+7JpwBzXtu0/c
Muh3Ry2b0PT3JfMuINIMXuwGUoblqK8RhuHdzzQPxHh2bRBpHoaq7M9Vj1ySKfCGT/YzS9AaRXB0
CWxA6dgUxdND+6gJKDK9buVoGymGcZCNF4H0mdMoDQ6UPRghnPZGd/Qb/rfc+og4t4ZRfEEF1p+C
MPlRaQxm3EIPf1jZyH6Ns5Hd+7eM2nOZ+S4+kBhHYZZwf+h2xXGiGPEyuSMCpgxHjRy9je8wePnM
2667ZAjmlmkXHFJwHmzVfnTOaG+iWL9bvWKyR6pcOQezFWN4YkK08Ue/20kZMv7Rc7ydYgCdgUY8
C6Zo5eXhO2LIWFqEYVkwQdFXTqaIcBrE1YYJ/lWa/CqZwTs8tYu6WhtEwO6IoIUuaheAM7QJNBls
A2VxUvi9HJ8B7oA10bAK2HMOwZQWaq38hv93uh3sOMHsoJhIgTxejsIgbUtLaNLUZ1iwAEd1fqtg
qOMGch3y4dh5GIL9fx4aH5SkCGcmHuhhdfS7ESG8d/f2TdrEa/DQ7+wz0Dl4xk7hhdwHfsz2plVI
0eGDCFp3R2orFszB0tQAj5fUlEPfscM1m4NvkNbVq+gAKJ6ZYpb81Avqq4lEV8Fw2GQAvEZ4M7C+
+gr7EvmrYezswZ4vytJfx3Out+O167b3VqUohivjpqUxNa+sWt+rIfuuhmWqRdo6MbMan6XO+LD7
qv1fJJLcfNV+BWZP6GqTlSsU9CuunPQQ1E+OmFEXiZYzAZbZvplmn4FP2iAN9K9wRpTxOyzHcFch
f2NOkl1SqM5J8t70g79pFAOSQEWkaA6xzZAVl/Gkjb9jksWPkjC8FUN7RtoxbUwlhqOj3afIxRSq
4+nJyizmOeuVi0pLWSTKBJCUikHtBO3dM9z27IZ0guiG8uVQsWQZxlRx1Kf+sbYJzGVXAZG7VK/z
nP3kpHGxatkSBIyBPNM5ZsT2LkwPpUchmfOS3TwuJlUx5O+ndGtwnSXKXzulZEbY8ZQRvSG3mJF1
Mzb26JIGL5Ur0wxvnSLbdRBfueV9ZVo1rpDtOFTdcJdi6rBp6tyVYv3vCmBHvouT2BzWWao5rH9r
3sG9qqN6pVXaZySI00lbunPf/cwd0oCYtxlLkEdr0VJw9fX4U9aOvcZ1RVAPegb8acyrwjpqVpGF
Bhw67TZQYtaheu7BGXaTLY9VI1GVTG68D9zhNUmyZjc4VLGANDK0FIXERJIZxLGTA7sN0v6kTbq+
TZLxl09K5Zgwb8RDsQwMm+GmNuEh8C3c4BzGjm3152wfaEOykFoWbrhsSDmwu/bq2+3eC2fVeIqf
r8Ou5oYB5CVNyZWIWB0HGuoZpl/POFqSk4yybaO1JaUTmxkDkxFpsvFCSQg4OqXMqkED79jJ0omL
c2wQS9xkCM3HOt6Xmc2jE2mFXmrPRAaeekk4S1kf6oDHU1HaxQJ3+73hB0bQy5PBKIlNYB6506z2
SeSyPZgp2ZYWQ3RsqxE++rr5f0Sd15KcWpREv4gI3MG8UkD59v6F6G5JeA8H8/WzqDsT86KQrqSr
7irqmNyZKy3yC6IJnT80iZRoczNrkFq2wUrLtTeBRAnpN/RXVfwRTtKHpKd6b0HOZKUykBgtCeXY
yrNAUVqKTOxnToAU5KnNb23RvAAbpT/pVvegjW+RSv0MWDR8iEpxh2nwy1GnLUqTPowl9JKoing7
FSYpWvGw4jOkEd6lUpl5EtrrWv5xW2cNTeepapLcM9ekPIyT8OeRnZVBST+257ERu8KCZl8l7ZEG
JKJpJTdyaW61zJnwUIyfFRJfGCOzt6XHEiljszh2VpuGHSOOYOzsd5zx9r3gPV8xsEyjyC+847RZ
NNm/ZpZFYFsp5uGWWg+ZuUcXIJGXtfQN4yohQprtTQD7XkNX5NmgGNrKjeeEXtKdqaFS4JzwmeiP
O1f09EKPqeFj3zCIkP8g+lzXogZOlVh4TOMxPqscMdgYmoPi4J6nXpGsctLvq4WP6+o+JQmCnTqd
llTtrgR86ZQfinvWLHVv8gaB99M8dZ3+6IQuuLP1uW/O+t+CobRPle7g1Up11QXGPkTpBh6WNoRx
nZaeFc1WMLQ/kU2fEHcfVLyRGGrN3NUznQUSyuLC80sY2HA1LZmLACYDp7BXC1SummkQLRakRBvK
fzxdMviPYinBH9rxrjW7MYiiKd1HDgBGXUWNBZFo+HYz3BUDH4LIpNwirkNaplamB5ZSSrYSLvXL
1Gth0aJ8xtmhcyogipFgHp0HS1pLPyoxL+GgcahMTaHj5V4b/1N6vAHRwrGdZtXWbydIWEbDPDyJ
nLAs1sBsXcuLsw81ZTfudG3PDjh6Cz61Zwh5n8Tz7m3D+hAifsNG3dy7TglkggeH87KvJZAvrPkR
t9KnyuDXYxb4YygipdCD46sp8mMSW+Ixk9+Sxcrv6u671Ki5LCmcTsgoBk0qf6tJx3xkzOyx4zb2
0NaXNEbOyNw0EE71VC6jwhVvkijWqTf1uIUibK5z2ukHq+vfbNhhhgHBY47u18JcfKtgpmxaK5ia
Cn8xEjxFocNQBZn5x5AcMDgjR36yDmfNSJly5WyybCRUUI04WsZY+Ss6h0RnpN3hTqzCWLnruAYf
CCttQMs3vu2zqatz2GRcXVZEUVS7ceUKN1UdBKI21X1kOyiq2qfFRxQ/mMYOjQVAbxmZcOYg6DkL
wCFy5K1ljEBoWHiRQbNH27K/LT1KSDzTfbIxzocs+8GShdtXSS9z5AJa03HtWROvkNud2ry/lJIF
dSvpNtdvYHdYHi2bnoz217G7d578Z6b7RaDhKcFYmpBGmVSTiu/BBwTkVSXxPByCpEmX4WvihAXO
Tocpx5BhwRZlyCnC35g+gPiRu6gBfTjEZRUwije8aqGiKolK7Q6HPJag9qVZY0QhpQpmQzxo+UT/
qV68VBXYOY6pmMWdbyxOQdI7vqEOf5Ih4anmFqPApOIReyYWa++w2CmnubGAFFbpRbMKnZN4nnv0
4TJvHUdrl/QFJP2+zDwl47gvgHvuinr1s3LOL0rFkHLIGGJ3NsPKZkPs2n9kV3+q0wxeuGFC3I1T
oKt4Jidn1A8TyiLJw+FCxDuiBSOMXOt9GNnIzaWcfMcdrxKEnVG0yruQb7pZ975LgRmmdQ3gFl+K
xfNgcyhIas4QpB3fACqAkE0BpcmWvCdsEu6piZw2nuqHxoabZvVpWThrmUSkOb0Hep49NbIACidU
RvUE05pI4YlUAMyVatHcKcsx7TWsdXVBtDxiXeTsl6QteQmqRSjGcbCfLs4hZWS6fRBMdvMypTDJ
6N1HM96SvoW+Z0r8tWlCRTT9NrA1I/KjM9hGVOOVgavIiNxPnMVVhahbCwmQvFZ77coYTmEBJm8u
st9CxYNZawrNxZ0TTpNq+cy7tub25NE05hhy7x0jiTRcKyS/IaJCTyv7Ezcml3OXJPXd2N9R1QvE
DBZTsbScjFS+WDp8Oj1+KyqrPerKb9IEivRp5dECta/YWWcqsS1acaV8b9ou2yODc/QqFj40hKqx
HDSwVLrnxdWLMCUIk3Zs36ZLvZBibA+LY52saTtRF25/5gysmBDBpopdPYu51vNOgWtXW0L0UePT
R/iyVFLdazbEPUNVQizGtjfzOOCAOHTrPO+xLvAJ6IyQYVt+tIa9WNM/g1jsQ6vZe7OVmp/okhDR
ymdJo+Tx0A6Q3uycoqWMpaBeLVAvWlCnLickSqmrUxbZoOXIuDGbbO967OyoFyJ0B90I54oS9sHU
z0wSED7z1C8FQlSnjruxyovDTJppjYB6J+4T5LQlLGoAc3k3HY2o/QAkgBBmEBWwdVvbucveWAmA
2xn10YoNH82Fu48YkeOzwqLfDc+DYDGlSkXsSmP4KtxKeZqZoaVwMyz7pyp791O1NzJqWqbeKAbu
LsMIbLATe5Miv50uOrgHFggdG00NNpoXR5HFkCDquAVpuh8Ra/a2njevr9R8nytna8iiE3RZd0fv
sF8JVPEBWKtlUbYXWYOXzlrsUVhOsR4ePH2pUJixKJml3E+8xRCQ3aDqnCS0xijZkXs7jTBnPQco
3w5ozUNtYzNpJ+uUuubKEa0u/ZoYmpzfaSfLqSpKZFCysibgRoKymb/dXm89gJ8dCLe/HLSSfTnb
D0j+G26PsUm9TF6WlrAyHO2hZ1HeO0zSEYeVoBHyxMt9TXJ72okxenRmHIhFp/qQVoSf0O2G+8Sj
UyiBPrViEGp9cidgA0bjT+OgXSwO3ndGXrsZCxPiGq3MUcJBHUoT1aMdLjmduO/aAduExCJ5V455
rr51RXogUlB5WZUbu8GCPyAbfI4efVzCxwSY+6kGStLEaz6R/vWHvPsyEgJODETv6W1x9phLWzzC
uDeQ73WHzyMO2rjt3yuCniEXFRw2GYIfQXzQmT3IrCE9mBEtWgMX1dEpmRjyE3J/83ci/AGyn9th
ZC1KBhz10Yyge82Tdsc7uB7k0uJTcF/pIRqPnVH6kx392P14bGDxBEyMQf3hhd48m4x8ihrjZqEI
3FD80kFPOA9MBfFl/JGGYfoo4HGoj3t9qvR9Z+m+rmH2qdeZyz7hGXL8C9Lvte/jc1suQ6DSL/7Q
LpdWIWfWmwm3zSGPWdIAEMRqZVwAJ1eB0TV/66F6rAkDsT4wPLGrT7x92b5J18+atYXXzPKszNrM
zLxtes+eEcc8st2TIsCaplzn2ApZA011QfpM9sCYuO9TiRMQzwsN26Qosa6ug6SIfkNw7dJSOy/r
xJJ+xn/oHKytAqG2Ab52WlLs+rlDx/7Oda1h/UeaZYEYUE2su3Qdph2czukcr5Jqsek5ooL4kqTL
m7GKJaBKU1OSr8U2Hu1KroiQSR5GPX1X1sprlBqlRs5Ax2rNoqY7eL5a8zfXxfTYKNYr9j7jrKzy
We0+INXeYWWzPQaeWDw6yQhdiUKHc5jfpglb7Oh6mLRAU6pl7WHOFCwJJgP75W4elfJOVCqK6NKe
4FzaFPupSUDFExpZ9t5h9g04+Sb7YubW1mILCTuTgyBh7AMQtrtiTiZCudx+7ZjO3fmGF0jFXtN5
K8eCMShMZTqs+gc8cRi+SmCNQs9PUSLtwC37lZn2/NVV9bPLV+5NKU4niRW6E0J4yUeRlksQH+pd
36c6c4HhRYUucEeu+MC0MsXel7ymDRYMYQ5GWGkq4BU8o61pBGNjhC2MHmDR8w7f1VONGh2008+K
JTZIShKaZVXROD4epnFc7/WMTzQcxgWH0RPjH9JvTu8JTMee7La6Omd6TbvGCmxlHoJZI1MHbsZX
Nbjxmm1s51pcD8RCfVRzvOKlcS6G76zJ7YvWeVoVQcGN5mOPo59GPLcN0ALu1kSlKljEJ2vUcVpV
va9aTXxK4XkWnGm9KWs/m7F/Mzu64gqdT0eZjaHTd/d2XCscD5Yja2qz79PxI5KJdqiV/IdBbnxC
Y4Y9HGOzlJOJbU5XglWM6fNoWydstjDGXDXxVhv0w+c4VsNpNOWvKLK/YwHHNnVHLgwzRTsFufW0
f3EravUKDM8BNXN/i0l/QuatfG5zM3cpG4939mNhnw7LNh52+8JET1ox//sD8LEOsvyunVAyVsrK
TmLMX+sMRagu6tbXcnT+rFMiP11HPgLYqtSUSmMrHc52uxwWbdzAqro4QGR/yKhjHTfZyrLlHOqx
oB9gHsSOMAhSQoZzwZzsfSKM3Nc5E5rmuF7BVx8MRxgerSLIthKpiQso4x6V7tiusWuY1AskzQyh
p23GfSfX+qgP+ge2uhH9p1UDzfhNZaocjPR5sXOmRdn8hr3vT2Mm/B2BZ8lEJ0kHAueW/gQo6drY
GP7bFYr3MqzYPxd3uVs6Yjt3Rs8bO+Jk2SUF75FIdVRqgyC5Mf3Ma383MFnz8ok0wqBw/KPfjQgO
m6ckVu9ZxXIYGO56nTY8UsLkc3x2fJEVzQ5RuCEPcFbt6lvvigv4UxMTr3YdpfjXJ0WO6yG/t8bW
RdT0qgQ1rooKGOGLQK5jEged4WsuL22PC5E7pey43yY9wpfNpSOhbRs1KAqR3iB5r0w0RVpdhF1c
J/nSVCkR0gmCsYyYr4lS4GOv10+ry5KrKDF8aGPBgYLPJywBsopB42QGCwcGsrFT/i6G/iYTRQ+5
f5PyIqHoNAx4NeIInsG/jr3myh0ywkjMM8Jj/ZVE3YGG3sIrcZrXx0xH3GtbZTxlzSbMesyF0Iac
obio2vI9qo16Gp3qGzFGBdyAWlxpC/iO6g5L3Ss9Lcah7rIv3ahhw4zzjxRVuUP/5VPQj29jpVgX
J9sbfAwz+DFBNY8O6vF6dvtBx3eSvKM06oAaQaNEKayDDnl+D/DuXwKQni7ioNXmHEo6boQxh2Rs
FcrZpmnhXSm6g9qY0W5SZBVYZsrHhfwdi+QTPitlp4zx96RO5kGHau417K+7CoQG0z0VQbsaoDaq
j7mQUdjnBlPMpfhKoWzoUCHkws1FUmgaA8z2Mptnsa20h2ysiqBvqzFYjP6qDMk9PYG/JqZ87nGc
Ih2BR7Bc/kyRSrCwZAtdGGm9J/aQ3bdexTAm1jt9Hwlirc2cUZdFJNYfhQy7fvaMTspjaeAdI2D5
XNA2GCqT8Q65k0Yf1Gq2nd2Yc8vlooNIMk7vndJ/Utx965iQBLeQAMG/P8cKH1OpzddKOzU9nJ1V
EASROl4+y/jTr2DQyJs+gtc/rJ2R+nPngoww9NwX5PMh+3E6xWxhkSgsx6CrKqgravoujfS85IU8
CD3lwJcpGmvcpnbnMn1wUtNLbBxJA9Pxc9SJu4FiBl61UXKf73I0n3aL83cxl19tpD00+k6ySO6A
URGPi5T0NK/W01RnSliaNvCdhhBNpq1Pep0+dKXq88Bnj7kzPQ82Oty4vC1ybJ7JnYb1Mn6SZKgv
eErfLBJUsxZd5yq6lt38HNd4i6w2ema8wcVP/05n9PdccN6W3y1VCMESadVl/JAadQVbirSgNSRw
hlgNemeZPTvt80stafIYZJ75IGDYXrntsl4vf9tI81U9My4j7mwxd18UIKGd9/zBMgPkJrXoT9Wl
NHBnvFLuCo2FigqOr2pVXLQiyv/7gZfYGxj5BPESrfuxjH9rJ9vOfMkfgwz63kyTHquTGyqmY5Nf
4oxctcwgu+06xygTOPxhbXre+bzc5wZ3fqyAQGF/OgPvXifY5DWMoJH6YIFS3lW1/pWNf2dEAG+K
Ve3ajwubqZ0ID7Pxz2zIf2nJhcdYMJ1Wf5YYvrM2IXwWpvWRuVy4cyD0k8H1QRbGV5UYDny66Ki1
jJlEBcq8Q4dtFk6BebavlV7bk1PU+TTBzcOyEaSTmRx0zBYklrIAW+u4c1aLxg0dF7TDdTyuVF/G
SMCxzEJjpGa7Nib10BQcpVZCuCquAG+dkBD5kE4m+xx+GsUnEq873IsxZTuHHLtQsw5m0HfG34Fp
A/1SPzNXS29V+4ADfHE/opEyrqDFQlvjIx3kSF2Ygbhy0TKOUoVKP7NhdIbwnJn6X7V6o3T3zVRY
1LL2HT4o8SddkqeX5WukrGz4isFtb9Tx2zsal/tmPNlq9ndIouJU1tU3N7s3Z7XTI5ZZoAeyf+pd
p913CNmpqtEGMzvokybCkPxeTBoSVFZ0UcyUx+BR0v8mYvjDa675doYcnqVx+9XgZdZnKqbZ6jqf
pNzenTPxWJiVT6M4uH9gIWuzZ6QEtbOnwYMv9EvYDC8M4b67LFddul23sWjpyr9sxoMzNCeSOyPr
wDZSsPruiPr26TSIzELnXjy2SyBnHjyVS5iKGpiI0QxtizMSS2UB5StvzashOBaYBXHLFXEo5I77
FS0DnLjhK63imfZqVLxVAB2LZu7XHO8A68WZEzL/ZacBAgTpI4BvWvu9qNk6ZMQwUTEveTbx0rZ6
6qd94psOIgmt3iCVEvN5dWVxcrT5fXSSNIjz+oSeVvhtiYmjlajnthX20WJdO4ZbZ6QeX2LWCjRN
wynX71V1aq6QuJiOjZRA4Ka2Cxxkbb92O6mx1oikeE0lygm4pBNmC3pwCmZvcwUiSBDIipLDyiV+
p3Le1eeR22oGo8GVDp6BFTYbsYyj0vHU9zUbkpIiEriGhRDGIHdnT/WdRpMGeWGiKYOeXHNyPoEh
f3TaSjcHHS0BuZb7cY0IbzULNyEteWotfc9kNwplS3Jh4MiYqiV18E6/N+tS7HKd3utBvDfJBEwP
n7dhYGwmMnlk7kFuYt2SqNZz1Zn1TjjFEa4VkcgdZD96bWLxd8QT706fEbcLV7XLo1Zaz9SUuFgx
NERVDh99RDybYUHz03LFX9IP6smnoHWWjikuD2LMcqJKDqfSwc6hTMsOzGVQJhRpzVASvEjD3x8R
qY8E+rztcC4da5T1aaWEAf8NFRAZh08gIfxzrAZM0qSXM5fbgTVCFqAMfpc73Nj6xXhEGcFpZ8Vc
nMf3EvtkLaL8qauLwySGMVC6iJNP4xxnBAAu8i5HNWBYLGmUwhRfzcpTmUX6ZyyM8uRu2uAmo1jd
QrJjaunnzhyDCSnxq0ZXEfTqK1AcIhHwYH3Hzuk8cFrfhgPm87ofnUpJiVnKdJesJWUuQt8xCffG
DnIoVTVciUuUNnTAZM6LnQPXJVhq/k+2zWtAgESw3oknhayv27HHOvNdZcVYg1SE8gFnS5qtJEmH
+beMivngliM1AjXT/N58x3iBZ9Me8yviDaQNg2KZuWzr3cBgrhzQySerq3xXVL8ZCXS1dVQoBgt4
KTytY8qb72xTIxwC1RUfud8aS8ufzitUO7L8XKRpzCnF4+im79PmTzadx1VXakJwe9xRj25sRo9W
YTDJLlZqIJxLPyu7WhX12RLKBgRr/xXuRDE73xKnh7U8lxBtyrhCEnaV7xjQ6b4FruS5xIJJRSI9
y3Q9izh6UnXQfBrAsnlpFc7/dooaFLE5CI0DRBNBPqXRQar2iblm7eEc91Y3H490cOGsQ0PrYgcz
81qZnl3+zPACggjaOxchtYeum3qlEqFrEjkpsbrvF87AgnMyvAk610p4NYPUncsYNcwubJ4i0b1g
wDlrVkyNwQomDOChfdiKt3lunNMy9huoZfHcrH5s2sTylYqjdjzoX5ZOhDx7ckZF2XorRMgq53US
Au5oqP48N2u4WeCcxXllP66PxKQgMLQGYzq3o08EQsrAIViLxXxMUxpPl+UvV7nCWy2eWm4nitLP
F7dazsR4raCVlPt23EGkFH1QsgcPpKJOi9Tu3L5pw1xWL0ZrXQ3DWe+6CYpT7E75Dg3yWGYJSHRl
oYNjG0Oq6B7xYDyNSQspoxF5iDNg2An73JrJ4uEwDKzKME9kF/kozHkUONN8MOX0o44lRsymrvEw
WfdIjpw30Qz8ctb8gHn2elkZtK15aYQcg/FOQFQZrMw4rK9FpX5NJIKeoy0iMuc/iVuU94DP7rr8
dy6mB6QKeWksJCQg94Sk5oKIDaIO5ptTDTg7bIVtbh0mHxnYGyaGnxNITCy29AQRYULf0K1/DNQE
gkdyb4o52luDEUOr0V6VzL3mWXnVjKjBwakqPr7mR9pnrmmWdmezRCstVO1NTurOWUCtVIP8S7VV
GWINoeBn5pvqP+HO4Egx8FPL7qvKmfT0rNGrxSOcFlzSXfDNMZ+lQ7u5Gq3VwLCAWE3JfaC3y0vv
0HtZDZxL8op7QNTQqkSIQS8FbhzZIyUS4IpjUcMaXF+iOAHOC1IR/mwyqOBuGxRJh8iOGSPP4NgL
J4Lw7EAp1+eYBEHx16xce4eT60up68GPVi0UYKy4EMcvJGdxlheFyY5PWlylMpXDPpD8SVgijLGn
OgmDBs3u1b1ICQxEzonBW1hs5v2FQceQTI9arZAPVA2MI7Frn4z6qQMRYw/73MaEhvfiy82l4jlr
Swt1rtJugzNdNbTNCZxdMk5UjmWExvyvyNF/9fFZjTsGwjzOc0vDSK4a8WNuqegP94WSLXukuIuK
8cXTXKXxUwyxYdk/NU61oP7Ro61F1okocxQSmvCiUasOtSZCMinWwVzjgAGN6RuligBgLIHY9m5r
LOXFUbntz5YS1Bl4bhs+P37CCZrMUiploCt27icz7aBcepmcYfGQPzAOt4DsUAfuQq6FAycdlfUU
w6Nf0lNaDGBqmCA7cqVL6wSRpz+3Qn3TkBkhW8ZYfDgNSrJjF5Jsb67FyYglJHRd8vwdxShBJ+vH
eZDXqdOxs3N8aBChsAAn1zJKXD/m1g6/ARljvh8qgKnKFiJB0G89c7aVgyK1L7nutPR5QnyP+cso
32j6NVVDPbBMil4Sr5gVeRejOZ5mtXky4nIvSZKy4HXuea6HB02jt6s1moEotf3JcbrFfXJpczIb
VpHDRwBRfG2xtnrdIu+UZhSn2DRJZlvDtSH7FtrZg648aCKB9qiisxm9czA4O3lro8RcGB2ViBv2
RjE3C/8Pxw1vnItanbBqdUn8QMhXeFgycPm5ECi2YB+kIN4OXHFYk+DrzDxwxryC6k1AkdUiHu5v
OK4ql+xdBbNPFDy3JbMPBdk624qhIMQoXIAw9xqtbR0co4y9Sthyz+UJl6WNlbNk2I/o8nLzhWoV
SxckIXMP/hxfSuKeE5z0uxiHOAN8JL3bH+N0mJ9xATveLd+9aVcbb3nIJh7DtSdRl2J9xqv2ij0J
AC14157wFKIgDHleRU5mKXVPa56xPrvxS90528lF/swghkzF2auccx/Zt/pHPNiU0+oJ+2Wpdbvb
C2GICcl1xQqI9RVOJIb1HFuzNc7XPHUoxmq0Y4fj9bWnlN1aG9ObBdSKOiJmGSfQDRKsvK8AVLgP
rOqTlNWTO4I00xW5u/3LmqhJWXS9vER15rBz5MQyZVK9SPcbNzMHz7mmd2ujDnBuTn2AJyKg4qnT
yP9wamY807rGe1fHHV5Hnch1RsvJ7R2z0no+QeR/EPO0UK6GJRVWibm7oeQmLBCUeBhxSNaRslBt
QPjG53sPTMK8J87e+RFUFqJCS4rTUcNPKfWMDvFW/P6HXyvNwXyxODJvUi4nHU7zJIsJlyGWjqBV
XJusWIulDFTtlqK5/VCtiDzJYOy1sXtYmaU8z+6+nxk6T1mlHKBuH1VKSJ5qhsA7iiqYYSrEgq3K
vt7+Pg3Ou8Q17Dcxk1mM8SEZSrG3OeNIJPbgRo6xF5hGUz3DagdYdPtupVgjmCY1/4w+Ez5cZPZK
mBNSWJJjMr3xe1VJEBMUB3lcNmrOpIXwM+SvA+epv1XNGQKmB1tZLZd9rNBrETsiu0yyeJkosSLE
6vYk7Aji5DYhPz48BhtYT2iua19YIz/NXlWPYsZEhQ3EfemrY7fF7Ebg2bdulJJqlyAf44gDEih2
RJrGa0p7wTydXzW1n32T8MPZrG3wtMscUaLF+jjhh1NkLf7MhUHSDX13BGW1lOxKBUFhX9OqvxsB
5NxsuUYCOHAj1iXDI5rMV8Di+6Rv0jtcirhPE3j81lrkT5PphEumwTlabaq/iBUOfdneV/yq73Dl
1lEF0Udfd7Yqup8xQiPGrZA8VtpsYLPircssxi1zOqwfc8aJr5weqkQ2rwt0Kl6kOb7m1Qey8HSd
NmB+oVcRNtjxYZ7sT9UwucGMc1Puxv8YIr1WXppoWR6ylmN2t8aEbsrlTNy9f+xMDos3epKWWCNW
vRpnbVHGoVlhtmLpsc7l+kfhvwcLaUkCujxdWDiebUgAfpK49Zte134UUZen6zlFf2rJhjRIG7JM
tkXcyanisWOMbTbOQVFiLLPbpFsXg0FidFoeYPEzziBXf8PDpBI7lZVkV63IpLYrb0QWdt/0jF2t
u+hMFnYp+DEKKNVv1KbytCTGTPlK83oDrNtLCvKRxrG7LmpX9i77QREV64ChFZQ8druoQrxZlgT7
Y5+ZBMMmDclUqqjhn904c3/MRrg0sIAmnIleCnYsLApAzOTgTrlNrUPtukVoagChYzOhBTB2s5Oo
OBIPLMAPBvPiLQN9e1GxJgRNk618gzaWT3INt1gila5kg9CbdzUfwIOzTPKAE7fkmrw5Bc1yufRo
VckG64ohZWmGfT9t+TzQ5EkYGaSdJ1vRA7VIuGhvb0mU9ATWc1R5/hzZEAa3d4qSuGG14TGJgmiz
1VwrkuLhSEkk4YPpVJuCMs4N1cfBzvWqaaqelKyzw6rHl/f/fztW1R9wB/Z9NzL24PJcHAoj+cZq
fsyJvadz3e1NVEjq1DRw8MDA7/gPYe625xuuut1SGlWKYFNWx1QVb3VCmeSG5+pMHPY3It1cljgj
hnVbN5LnudI7z4WCc1sQCVSCvqiK0OoLrAMN1x9qKbgk1w6aFQHPaY7/Q6nVVGqWUr3cNts6NX/F
mEhIHtl0GbYfRpUMFDRu7ZD194xGLmzS2/r+fz+Uzqet1+p9M9VPE1oC5yV+y7Si32YCKXT71Wpk
FYd3+vnGAzeC5cOInI609YAdoeEhEItpPCmUYbZDJ7+qgTMuZkLjGtdlesHDwG9IBA2BaY1zz9tA
u9/gzMuH0M+WTKg2tsdot8Zl9lGMNqNaS+Fm0VkaosRW0VLIXxk5xmdqtxepftDXmv6FaIOPQ0Oi
/o8a1NcCnlr0N1YTwhYWCQDabd4UBYY4VpRPNF5pt6Rq2jkOtRwXgInV8MaQGTAIeBrKumG144Z3
1F/For3lZWlcu/TtttBGkVtAUus/KAJUd6wp7v3cRHwRVfwATVE86WAsptwMIOyy6U9tdcVU9giT
XvFNI+ab2+idihZ9TURATgQgo0MF0i+4oRNkPD3MW8gty5bmuCh28lot7tMChP1uabX0dUw1VDY7
A+i+/aax5eEEO/owtxzVKczGmq9kZwe3+bWe8wbtjVT/2gNvViS40SbScNTa1KYMRTfvp2zKH/uG
xbg3UXQXdrpjtoin/9ho2QQBII43vEqxxyICjTtCIkhbeU9rLeqsht9gi++sFVW7tw2/daSLs51h
FUE/ZeBLmQ2VVLQW/vfmkJequRTzXu9yIBNFZZPaBg3ZV+NrhuiIy21WznNCYgXvb3+JTViSaX69
rSdKXM3Q6GyTxAoIQoVTiFfyQTncAO3r4q5HdAouDiMjRjtv0x9wBo82K9alJTToqUPnHFU1b4Np
sqGjEDsP4rqbr23x73bCKdnXuL7CfdKnwQ6pN87P/+3vdW4vD7XTvElTuOi3rEaJSTAQw0cbGJn2
1NC+c+fomfmUMXtdrYYqEtVcOJbGOmLNeLTcjmnNYERkGRYb7XGJjjyU3W50o2KXEjDxGR6fVBxV
90NUMxffzlzMkpzH/74ETIUKfh/ZHAw7bt4XzIGb2Q6sS980JyXbOlVwuZ6sxHyLlKjYaylzR7wB
MPHgCjU47Q9u32UHtliEJ2BGvJbbX6Jq5YHmmK1koX60FIJoZR5hLGH5J0eMl6orf01oBEM/1i9x
p16xAFpoQBa/4gC/U0jGv1QTdyslM4m5Nf0ls6r2ntQbdwY+DqwlywcZbzhs2/dkk6oapcJljbh7
iFqgXZra8idd7S43bswomv9F+vyHJDP0TPXMKS53xYSLmQk/4xvRouw1VNMk5m/PSICPVXCD/OZM
hIzBMB9l3IAtKMURm89dViTN7oaR0WjhfYhlgusVpx9e938ARfh08JNJJHtS02AqOnF/+1I0RPZm
L8mtsaxGSpCMBHORk3Cf9eryOSbMbsuebtQ2Es/u9ArpYL8WWfIdF7Xc5aaGPplabpirzFPg1+xv
mFTqsctwzI2HeqR0z95qBzTykS0BbGCo2RaX/98rC/EZSQC0Zm5uz/bxBjC+rfoi4azcxvZRw4lE
ljIFxdPCPAYXCOCx5zh5u7c1kspRzBIYx7ebGmaqmB5Zmj634gjCD+k/FaRfjf8/nEuOtHj8jAMp
ZJztG3hfRpN5zCZJHsq2sB+2wxxIi2G0vHEHtKw4TjkURTxnadCbLrXrGkdka8saQxpgoNHOP72K
qaXK9R2lSVThVBGUk/9+qpAMQX/pfK1uxZvhUArjZqk44HAQb9JJmLvq1VfV2/mlAmHFavQ/1J3J
buRIlrXfpdbNBEmj0cgGauPzKJdrjtgQCg2c55lP3x89C1mVCTTqL+Df9IZwKSIULne62bV7z/kO
YcptZouVMSMwJYaloxeWH4OF9+lGmxwrdCz6SDKwmTvqcawbd1VV3+QyYkk1Ey6FyZgQRO2S1mPP
EKdDS4vRb+OkVrTXPO9JQhy6VKw95czAQo7KX+3ou+S97v6eQsXrQ4mOGCTEtB4paW1GKkTkWlQ6
vYeS6HYkKByl743wTpsaJKb9YDxkHkmwfVz+KshhZQwPl0OC01xUbDm3tfK2arJ6kklsMhI+glHL
lxwESX/roUw5OY2D27NKjOCIqNdfNQWgbKlgJfWacGFdmTvd8L872sabZEwZrt6SffoTQpR05yLn
2Y6ufQqLJnxKmxMVffHWWCn1T2WHTwBB1O/rjsUNMP/LZrZ6hJNfb5zctZZ8bNWmcursUGgZHydb
PFrgUMqGXCwVVB+4Mk+Gzqw8xMh96T3nG9OZSSPO/s4gFd7Xdvc6hVa7gcJIa8CzvKecmM8usLcT
QpYlyuj2kjfabgCjBwCcSSizI5yeSQj32udAlgYeUu0WlNxcwGsNcSS3RcXXHXYL2az46E53vjkx
SGQl6xV3dxeM26ykqBptTM8yoOObZfa+QyBzstzhp0/gHem6k3NkjYwhwDDzSlhjHwvWMy+d+qfa
5JDqJNYLy1b0GSbt1UpTB22If2CyNq4Kuvq7sTCqO4fbdhFXjM6GvFWr224/D7lps42n23Mem8fM
GYp7oyrpTRvUBbeUEwH7fj81+v62mcnZPl1ZOh9jUstMYlrmDJLbd8fS/0FaTAfe0e15QRRZx371
kBu9ybvsuAeZ9FcrMXflHGtVFua17jVMAHZ3CE284M50AlnSrlGfpk+jN06AIqigEo5/coaLQDgS
TBY7ACAQFx8M6KzkTRNElU8tNbogd0XqXXX95x/EiSd3JKrRliyDe29uKYwJIfBgDjYYrj9or4pN
1ecyIdcEJqXEqbtUqeMcOFK+d8htGI2zdmkiJqqq8FD7zVVFkDkHOwS70BvqKrLoET9cA2/Gd2az
GMtJbQerrIUVQL0/0kDuKkKak30w1GTKtYl3bl3kRaUTF/cEVccLk02jWQ5FLVa4P9/QVoKYxrK9
lKL8nhAg7BO0gexbvsNJLljd4lBSV2P6S1bVfoqwRrI/+ltJPMC5yDrKHKYZWBIgpRdegFxu2Oj5
MO60koi3mdV2Car08juSWFrupg1iQtYAwc4H6LiiNQjnByXTHPwDbSeY3QocrEFdMVWJyFAqy2c7
HiOacHRENCM68MJAo2jxst6+NXrts4ROs5SpQT6X4oRcu+HPssu2SZq8tow477Ra/oxt+oJFxLqf
GY9oA/tn2QGIy9uZKHpbSGhZ36UNXWE9l/ZTHOnnMIDr35DeTARmn+7/ixLW9PsBCaZtPDreQzAw
c7qz5a/JoVmzjJHclbjItmZZsfncx96d6zwb2rMyXyrxUltPKFQWlWkvFM57SyCqpuYxhbZivSVF
ZnnIjB0hwQLESrNtsp3TrNq6xLP+c6yvdXudG73/pZtBpmg1SSoL65JLXO5acjAIlaDP678MvqTv
Ma1KKq4BH2MIfxTxdvkNZSicwj3Cmh3N7p+6OwtmKzIAauK7s9JZBII2R0/IUinqF7ImmYMGmAcR
p9/XjfWIbnONO4udJzIf+8H9VZj2OsvhCk15oS1jX97XRXMyAYnQw+dZWNEuwSvq5x1oPCXTBZPL
DxRKz2QT8u7OeUhOJvdCRTNox0KvG/cPQdssXJ0tP/KqRw6VsI+YGuOObtz8qcZxAY4sxj/S0HQZ
1xpWbeTOvRfjag/IKYKUajhMNkvBBGsiF8FKjbVvIGpHuakJnZQxh7ePFNFdVv2bLFXzr7G1pi6F
oRsMRy3DNoy/xtZmVVm4zUCUOODaVU+7626cL7FzH9eU+6U1FgyvuCij4GKrf3x5+57fkHypu8hg
KnTwZ7q3B+GXQA60LCHRQehYj6QU198vBdVt3nPs+dscqf3/O1X8HH4wkcu/m9tP/siLsQppO/7+
H/3xZf3Hf7x6b97/9MX6luF9bb+q8eGrbhP+6cfw3/5XPv/N/9c//EcS+NNYfP39bx95mxGY9vDl
h3n2ryHhpiTc5H+PFb97T8Nff44Vv/2L32PFTfmbKZUUOkJ4Syd3lZ/Vf9XN3/9mGL8poZSCKqeT
MkRmyx+x4pph/8aJXto66UlC6YZBJkidt03w979ppsOfuXOwuK1mxK/8T3LF50TUf+bBOoYUANRc
wzItBCS6Pv8//5qFTbxrEGCK/9a75EwcZMQ4NnP8dzvQ1oKPyiI2vX8TlvtnPjH/oyMNjCLcaCQv
WkL+JaN1GHu/CjzxnWFoX4oEiHlIaLg1Wk/jFPybsBdk9n/9/f78v6m//H74XiktkIkgRxQ4a+vK
wzNdcZZj19By62l2ovULWca6sS6EGSIg8RvLWdp9OcWX0JGkb7t55UKemxSaYsGZdtY0M1OB/Yu0
bRPQBCezDruBonRgWvEElXemdPHecYiK7NYt6w05BQLFihHmVuiOGHSnatJn1bWIH7MB6k147vQy
uESqK3lWPQ2I6owSIY6eql6TU/kjMK2uBPeL60zvjjX0VXlqm7qEQOnDfhDJp5iDa8uDV+YZzW57
aFnPx7gDVRoUzvir1gAgb0cPb+tCjSgNmbDThljHUUHXjLZ7HZ1HXDl0safCQ6tDW2r88MGafebV
zCqOGje2HyCWDOco6FyXrpPZFI8Rp41iHXQ+og2osTOfSzf6/CAZa9eghbARGZgp7ANihwR6gx/0
PpBkbaIcglpRBcSt6Um0A6Y14fqMDCaqoGtH9L8isZq9SjP5NpaprrZlzOn0zK8RMgLiUCEWdVuj
eG4bHK4bzjTp2xjK6Ueq+S4zPr1EQ7UBHD5+5SEVzLonFSR+FWaZc3j3p3B6wfSHQdfMaU9tS62u
pTMQpxdMomXRmXCBB4nOaAcpT56i6fIGy0h3DX1IuLagFKynbIIQ88pW55YnZvmqvRIp2HvbxK4Y
3LEkTD3zA4NdcZFEEl7DVIwp6quR1goesaj2MFU2kQY0boS/w5GVAshdRyyY8/cq2fo/064v3Wph
CVsyeUAIx2x9tFWJ3XOROBoMFryDqdHpF9KBgJxMZj6O6AZHX1tgmssh04Z21IrHimkwdaJu9slp
MGs53Cl6W+Lgmx4tbd/1QzgH5QBrBZNrFse4MOy0CVYF1BTtkftdkjPKr+08BEVaQ8LvEgSj0NGG
eEt6T2d8xVRb5kte1jqtraG1hkumIA3+HAF+sNcMqdViU1ZxqrTn0s/RH/l+PGYDo29L1441fOix
3FXwQKxfk67XGKBMKRMco2Dm7qN4NPtH0LrI18HT2hrQ6QblnL7Akl6PG8fxU/TQDAWHBkaajIBz
jiUggK+yBDXD/mdU2rwhdjTNJZDeWDjVUkx1V74QCZP4+0LjgPgD4gc+XD+CjAhoNTAz8Pdd70bl
hYzLVH+wvM4ITqK33OJohEJwem9JVoeBAKQUhlzipkCiU89bGCPohYXqdDPZC9otmOvjWHQZs1tl
Tif6P0O0NINOQ5AThooxrY1/xI5leXZbhPVQFgT1qF8bZcEixrvsMGPITIl9S6YkEIa8ChTAfU91
0soS2DZVk08KbOlavr9pAN7CvnC6pi+WPI0JiL0vWvvQU2rUx1SWqXcyQhUZhw5PuH5EFhS3PwZZ
drPutbAULJgai3eH/s/eNEpvoU/kw+Si3nBHKBZmKcqV3kLH2zBpZeCJyi5IPhxEnLjp1FgQXGJ4
uNA5Z9PJWBGSqNlPZlIZDg62ZMD6jw8j2xqkwjhwlxk7fTUER9OwTznLnGrO71awBOJVMGGvLGQE
UEFRhBP6Ins5olgsiloTW80ca0QVrtOG1i+tl7xeXRbqcHDTqMvbRSHs5IliL4u3mssAekFAKwwr
GmghOn0wYr9o7JbakhMhRGjcs3RnG87g2dKMKnoXQeJl/soLq1kTSIhhvnWLJpf7SmdK+hNymF2u
az+ULvJQV/e2gRuaJO+2ZmZ+xQa9jot00oZBmtYTTKkLp33289wuDggqE8QQWtRY1xIERnYCXhMn
r+zWtr/JsIqgFncMI3iWZZKHuwIAu/GUlq4i7i+2fZa3wagsSFz6RHROOaimufvPqzqE/GHx9Rm+
/18o2SxS8f73ku3Zf88+3/9U483/4PeKTcjfdGHrluOQX0QFNhfhv1dspvubVMKEBGqAEbMo1f+o
2KzfTANHlOtQ1xAvhyfvnwWb8ZvlWLrl8tNMWwn3PyrYTGHOAX7/WrNRr9mmFLZDTekwdfxLTaMm
nkISeQ/EQzWLoO8qgn6NU5WnX9ps8KthpwEcmhX+rfuhRBsubbN4NZ1Ovtj0Zxh0PmpRsZuLCmah
R4cTthIOy63A5OyzZmkORyoX/5LQWoYD6knQ9piK57IYEU+P6XvfWLvRLFaJll7NMnlKCINAZshe
4Jthsaic98B2E7zCpK3p5nc8md3Srdpjly/g0H0kafhSZLjncS7aS9kYZ6hzzsIWxScOk8Qpf4mE
SBkXVSsuDpSrOgdeBi4f2GPgE+WmxshPf+ir4Gpjx15UNPCTyWGoE+UPZuoSPYnSKTeHh2yw1Ebk
G6ttfuUEu618Mzm7teXwa/nXKC2tN5Fpa6hHGOfkWhtEsSmceJGDBkDkoZX4yVErDwMGdfncV9Ub
eXcbPdG+wElwWu6Nk1k3/SJ1kujOFVawEpN+SPQOIaUudcAYxVZWPooDKkvZ+AQtAA5d2hosO81P
aqzCwU+znT6McrrvMSzDvHFe06EY4HA11zZuqlVQAS8zXSbJXVN/osAkgKV0GcdmLiyf7kmLfjGv
V3Rb6DBGo75uhyRB/p3dKyu5BAVRX0r/kpl4Q3E/N2XydeIlj8lM08mgMaELwo3BIVE8jjQRshO7
VLDpguJQu6oh0OyrN8R415rGmqUREYI6Dfwiow+YPkc3OzRWAf6tJud4KH6WvvuDgwx677E7W1FI
Pq3p/mwCjAjSL0O4Fne24ZhrkctZTwGNQYWIEjMK8ipBMO86k7s1pbs/dyMq/zDSyLv16VdG4KYd
gc7USPulbYD7I/ltJdx4pZGZ1TFtOzSt8ZGT+bnwcg9pBHyrUjX9KWn9R3Ma7YP1x8XxyKIyQHNA
dWrCtZ47BAESQCMq8xXn/b6CpL+kKNP5tDj6MXfFuPOseOeBfj6ExGQvSmmeC8LrYEvV1QGP2r9e
bt/z5j8Ih0JfCxZ4ap5pX9RVvs1DkoDy1DsMHluTTwDolKVfwOxwSWbsBsREKKJzEFe5uAXrzs8P
ghbM4fbIhBNnWgXBUbXdHNIQseHt0e2SAUtcTpRaSzUOwXEc4YgkgUpWskYKW1oFl0CVB40MUD4J
Jf4ohzLbhXi0RBP8EDjhxNj0di3UBG3N0q/c7MaqS0icEuMv9J31cbioyYPLnPFsY9/MD6Sbliuz
j1E0NqjY1MS0LeRd0PH6O6GfgshvrYWWn0Nk5js4JueKjtHEvS4mBNod6K3CYBxg1K+3Z3q7sIuh
drw96dvXFnCBlTT6OYPdn9O2pxNL8nsXz4335MECML7ymVUenPk9co00I7KcL2OrRozGhrqMUsvc
ujkqBA08gdXgJprGtjvQluoO9Xzx/AuBI4ljeHuGfNvUidR2ADl86ObL7dHtQkjRsM4LBHbTZH90
SpGAEkCLMvNyPCh/5kE38XfeBPVaxzSLlrtoDrdHk01QhTfSZqxQysZYS8BrAUgha/xA1vJmUrDv
3N7/8jAJr/OqaRjdc4kCs6FQWIfAbveBIWogClzoYze/P7p9ibK0XuU5Ij9bB981kQN60IH26qSZ
yOogWzxZRkzxyWh8RRsrOwTz5fbodmsPwg0P4nOKc7HS5TVAQ77oU7qlduxdPWQ9jPWtcgex4dA0
43sUe9Z2dPSfHpa7zai1VJdAG/aG/ewEytu0Vv+WN06zn2rnBNfcXHNYMlC5qHsfQP5SleKdqXIF
TDbNtFWeAKibpEQFpg/AoZyoXnIP68sBe+tRkpNOX7be3e7h2z0htBTbtZU+FsEgDhZtmMPtke8k
2bqRWDPatrIBVuF3yUgxmSQWYBt/DhU7pdntOmZxj0/G4xtGNmwqxgI73jgAD7LrHY5GLjdbyC7E
64iWPc34VAegEThtHzMS7Y/xEMhDbMz8AOgE5HPhyDkFbkQXdgg7ONWkk2tRee7KcqEXQYImGwXS
6BvYa+eLylo8H6DdAAJld01DSqmpOCFkuoXn7V5CCr9TGGjgcIr9OEuYuMv0vRj1o9UU93j0nH3R
6Ey8BtbPQEzNsrC9CBNdtjYkIrx0HqKECW8eQycHYPeEE2mS0d7m4Rwn8OLkmvb7V5z5nJ1rqrOd
d9F1MsQ3ZofoMDWP8OE4NANkqnR4zkp56JZ1r4KYMGM6C8NaS0PuTFG4753gsDHmR5K6eY2agQH+
tGfOwwEmgF+kEbE7i7lCDDso75NszgvEdEu7gMM9W5fq4TwBI60Lx7jTyMZgHBAwLObswKnE4Li4
rQ31IqYYqKSFGymZuXYg4qt97A/3BsOvI/FkYBMM7Zqzgi9zV/vpV/PkwxxxkdqXKQyHfWLHnyi7
n8VA0lhVwv2wjIo7EPsdm5FCepmP4WLS1QWadb2INcc8NZ1caWV44IhCBgFJtbUayjW6eCCYgY88
E7iB8FYoOddnukzOhikSM9xQhpcezG0/CXxLqAV1VJNmBb2n6XnTJrTNSG6dVyqkiqCibkJI3zID
Xwye3x4LDGh2cKzZgnAisSvOnmogibQ/XHp0bg6YvnvoA/bV0u8Zfcc7CwLrDiP/WrdKBNNpDOuP
6Z2e1sMuitQF+hrB9u6bXoN46XOQYLM5L9KJMJWDtUY5n6+Uj6m0HWi2oAgh44PyzurqnYNau5IJ
rQxpfJieNpw5AC0QFsI+BUKBbwcNdIclQ09mLJYSR5XCKm6jTi6G6hxyYn+CIbGLBCCuLivvWHqH
lbRQUetJ+1l0QIBDjCRDI7cEPg4XE5DSpujQZ2dSRSu7dzGmpUtX07lHsgbvLrLyfdBIIIjewWlL
9az3YbIhRcHiUFwAkvLN7xCOOdm2eXjUGFV0TuTz3s0QPw++LaGsG1fk7cmqZu8Xke6LkvnTppnB
meRWyA19vItX2sgrzUhj386gp+r9THwG30R7y9iPBXatarLcZRA8uLXzxbE3XhaBJFvUqT5QQH7Z
wfRJrgG0IU9rjpprYENh9r8VDlmaYapIqWSDi0S5n8rG3snyR+XyGcusIlpllDiLsB4vet3N8/mW
iQnEqolJh53n50gTz8UY0gnylf6Dc/VznPjFg9nvXCixi6yYqZht4gJPmKxTaCPlGCar2A1e+m1p
OD9UbQkWueRsVeNlCDNEdsCNePqnOPYgdXkDOhY+hqDpQixqqzzLTthsdl4nXmxUHwT+xR+I/46F
ctINlm4k+Ujgth0an3viRucEwpSkEkhUgFtRlyP0/CFx8Wtu8IXFpqclB0OsI5YMZeex09DCMyax
lpljlGsnXXkakIvYjdG+FYfWFOVmjOVnqwdPZfjGSyAvQ5OfKqDLL1XRMIQrk1erDnMU7RgkANZ0
yy5KanhjXPyw+8ej25de5HZ7JEmnf35fKDCvulkhkQmjfmE02i9fKrVGq/I9+kn7kDLpOkxyWzVt
vDST+krpFu7ZMN6Yoj6FoOXPXlkcTNAra9uo74fB/gX7gdaMROIWz3d/0upn4pUY1hQ53EfccYsg
rbECp27Ngj75+GD8JMF/26NDJptHkfukfTgOnAlHVhEa+Y/WxoTfxfUXjZriUpnirXbyJz0exDlx
qOeIi7k4kFWTISOwggbz2qummlXYgjQLz0AYoJr5APaxqS0JOVd8sHxED7GJicZOj9SxayMN9mQs
Q+ljkV7UAKoKEf0CVbo1kuRBH7zXwY4uBETkU+FeVYFMNVcGDvbB/FkqThkjW+E9ZIz4rtVA7jhx
ZP70SPiDzR/ON3PASz3hgLpdNAAgh0J3v9mlOzQ+dn+S0VOS2+UGuqUglDSzV3VtPg3g2Jei7D77
koDcqNEP/Bzu9mcfptmRDMCrU6oLCvMffVOhkjUnnGtFZa9TpHpLzcSLTmtzpTkTNVDk7QfNf8lJ
uUCGx3nTvQ9U7J0joKt1i5KbI+s5sKPunEbw7Aw+yRabIKD9NWrv9wma012sknrf+slD4XvhKtdA
Jrep/uZOsbOd2L/XJUZhXiSPfUIHa9lfu5gjUBc8uzX+NDyBPY3X5KsXxg8GQaiCO2QFiM3hjKJj
X06kuy+qNYjVi4JxtqIT2i2KmD41bX7ErhyCtBLWXF8KNJ+1+IiiYG0RErwmL8jjzwiDpG9IS2tW
hESRFlHaxo/Kr6aLqXDXhzk+wyrR1z19t0PozCECbricqiC8gxi4plhj3lsVR27dDzMf1DbjhLlo
E8hPmDifjd4Ilwl4T16wDoMuglPHb911i6cJJ0S1qmMf9Ob0y5J0pUteR7ITTi7Ct405FxK2E28a
vcmPVamJRW5mEFBSorKJR98xVA6OpW5s40SWePkdVI3CWYVh0m8zBFB6i5ITUO1pKnybUqVGQzC4
BgNT/xiMOcDu8OgNwAkdYLADsrx97LEKUn22gEKXfY2aGsFVuxw150zIrgP833YWrr3Sw/zAq4g+
u6SrSGZ7t5DwCtBIAXpQeAlD2WpopAtAEDUGlF0ho/Bs1/p+X/X6wEfP2he+W+9VC5Sqxu0M+RSj
Zz5CstYGoFj67BSyJxx5k7svlf+FeW/nV9a1BW1eFdxZpv/YF84ycfRsrw3Uh3kmqGxFuKtFha6H
FdyHnJVrBZPvLFOgS3CBD7p5Fab6OZHWgCw8hB4xZhsz4JekABwLNXBUUXf04B+wQO/xnCLoZmVf
oq3091ond4MjCQGzIA900XhOCJSQDXLRMbnPLLNeMmZilJajkFNEqy97/sivURx4QVJsRdL88Djc
znOulQm/4eSGu6nNBaErwAnJ45ILpfsfrpVYEGXhiTDbBnRHLjeTUfg/JDvX+NdUKY9AMUk0k6O+
9AV0gil8U2Y/59qTOmplDwPY55cWbpdehl+Z7qpTSWuMH+rdJeqj2MclaNN0KOVJWqZYgMqgToMl
52kKUbKEEhK1+UqaONQqE1bFxFgNmJwm1U/SxOwDwsU9QzNKeNYLLw2WzgAIz8SqWVapu7G0+lmf
rXal/R1mU3PpOtwjts8KF5cN+3YsxKEPtBejiz+1trdfksQHlWS6+4FSC0apg3JLtOmzWeCSNvuT
o7khaRvQPEkzyKAJdMvSLPujGZMWFYQIi4pi/A797EqcJJHSYA4Iy7L7Z9CE/SynoLEprw6PMFPU
7jmxGdhk0h4OU50imtZeOWsGqzYp9MXk6UsgCx5DnPiqCP0Dm0lFmAoGTWbb3jloXFcSZeIAhYZG
Ql/vY6cbjp1DkUkvvj2Ozds0MkPKNPQpbjc4K30ch11rjz+lHVprN28wpOJDo96rFonvG+hSqLtY
wFNcqFRVnekeDEUkNr+SfvInzGl5L1ARj8N7NnTTOrT6djv0J4R08ni7+KXxj0eylNaq7HRcdRNI
5Kp3jKUcixP8g28cTy3w60WuV/UWzsNHA+r2CMukifXskCtg07j4j7eLyljNC9i6tO/iaKE4mxAV
ygh4Vlo4UYYmhmA7pBTpLsw5DMo2eZ5i9xBENEeyEMgjlnbtMrLKnQAbiZWV5eMvonlGbEkaHcGj
SFyYsP3jNGY7skGjoypUfS1j+SLLSb55IYnedVj2SBsT+Wa77YniFrBeVxjbuhr9NfOpGHSnH11a
Y+V2YriURThe8vkiMw+CPtB1yH9IuKxVq3c/LAH3QXUwY6qcN3xEBMGEjPrZTNX7oLzp4IFxXOC6
UGujKbp9OOWbpi+5c3uXDBVTBSuvagA+xmw+PYLu9ajM7tiZDXNoG+QcrIxvhhHdAatASKfXISEP
lSSOe5yUK5HDySU0EsxO5D/POKm7BEUkis0geTM64ojhqKfbAsITnIDS3AdW+04gVnZfhbJ/9M0M
uEeXvOl2S1ncg1Ag/Hdl6f6uGqkssoCFtA8Yasdx+aHqubYvMX5EzaeqcKwgvA4DWzsxmpprTnGF
hQBKUDon037InAYDmXlX6Hl1nqh2tlOZvDetXay01v8mvezONF/z2GlXWUy2grcRWawfzCw8Qr0k
Eywlx8VGElbZ6ioHgR04QRTt41FoxqraB8m1Sck8ayMPFEyAvd+xorXrhaDfbD7FnF3bGBRU72bv
HPShmnSvNlhtNvp+43lEq7oO4THJp0Mu54peItwAjOVnXP7RuazDz2Hw7L2TctTFH0balvPkxo1Y
YwlIX7uovIZNrr/1sX3CbH/Cc0LEXd4tgi5LLkSr3IfUxFmo5PuYW1fH/zKV4+Ie36W+9pJqTYYR
G1crwzZiPwr46PVR6226dQzEGQgPeXgGlsSHN7qQhvRhud5C4nK2CnCYWErGU8foXABHWg6hvCd9
t7mPW8z6gmDv0cNlKt+IIghWnc3i7M5bozXEK/B1+kp5g08UQbWPZLvO0xblrvjACfcscxC+04zV
l05+DeI5FyIvVrYLkyIevR8jkokww/ZquFQRFR22vMCziLph3/QuXMhglrW4+DazYMZwCpxWyMun
Z6YKDFuRv0losAhCSAuYFAfAqXmdgrCFG4uOLKkke5JPu2BOTYPZ0u1I3B4Qr6oKuEotXzVNo13j
ONfQ1OSDXlsHVL2PhTTlGSdevVBogdayswq4AzRkb49uF9cxHyAk7/Db0vZNBbZCb7jUCfvo0Gs6
VAe5R7eZ3Oe9ZPfnRxFulayIbKe21LNdVE4vFZTMhBHFHkrEwZiyVdQxHejsV11xNIN7VtO3ODQd
NMEQxGDoPQtCXJA/7FIivADT2ndxXOdbApRfwvRHoVfJzu1I6JZBc0XNRHSBys+4aHwmEgMhDzLl
7dZMFy+7uxq8egkWp1sZjvXLpku9pm15iSzn3qGt0naAi+hOFdvKPBO80j/Q4XpMRbEmf77ZpozO
VriKz8olJ9rsyujY95Hz0AtuJtsgC6LmnAOU+JlFZTfEfr2vS53bog0e0sjI11bfP0JlZ6vBRZEH
E2oDL9wPou7XuoQKIJ0CsbAztqeo1pwnO2cTVw7xgfDdyPGt+fUtb3jsfPnpG3cWv/aKz4pa9sgY
dRA89MxUfK9vYAfQfU1VskW44ABnxWsVazs+4XLZTPbOz9yVjTFqVQ1QhkZS3zy4PD6Ganyu2bjU
qXbXsR0M68AtkT5SXlUyVEcLVyXZG9VZYBu4FOQGw4AKDQCXAR9vu3k20kHb05WyJc/IHBIc3wmi
XMM4s6a+QI4pF1e9YZcGnFax6f9IGvBcBV10EficFVgNN1iEMWLAr4jdDroCJU8YdC+6VyCHrowr
pxvw22EIjsHls21lm8q3zVM6yFc7ZYih5ZWHToo6PEzesdE7GPV97oCW5gIH9ruccpfjwZMUaXk3
e9tlFNTwLTitFsZ4yDrMGyOwqhih5ixVXvM54PWpy2tqZEcdAAoVmyY3/GR1f7tUI0UMSpBlb9s6
5LQCogrTQoJO6PuLA8KFt6Jmy09CgIHByH3W9LpYV5GVHK066tZRk2BmtcxHYzKLe9zbGxQm81rK
cASzNELcpG1hoALKsQ5R2vzU1F5E9TvP80CG3xeOv/u0VsxuLPpqpnVxi26bVXWCtJykCZI81pkR
pKecUnPZR3UH4NXXkIdjC2omvKtBZj5lhMHAdzHZn1LabapzGXlKjtuj9wQO86oX8lAaJSajflgm
BD4UYy8OKe0S8lHIgnRjCOPtkyc1YztpKJWVbjE/gmfQqPCIzOVHEJpPRsx9oNmAjfikppxQe3Lg
kvK+Jj5gWRsevSrpwzpYEW8foGWC5Nh5hM2UJbVpld4VTkU4FWORtKy6jehQoMWats6spt/S6lzJ
NowPiEWOowvkJ973pfbuehyYSL3dBUZ61Yi+gzcPjnwWytONmkMzqJCHBOwk0OjDGPnpjs/+rqmi
cu2Z0zEV0GShb6gdIbDRm6IJ60XYHtuJUJBOFO2ugNJ+l3TGEYB4QHV3MKIc26tGDB+y+vYSmSoi
1MwaydtKzDXSjmwXCqu5kyRGLioV/YpZ9d0xWOkuYMxZBQm5qgyXaLTFJoJacG9qFFYx+WqPZQ1e
wtc8/aVu6EgxnLmWZTa8/iByovi0iyldKn1o7ytNyH3TWtrGD1r55Aj1CWO0+jSCbl9nDMJk7Vxj
YTB28NS6xzJnyfAxi4N2AT1BfPo8Z4ysA63LlDramOamYcD7KqwTC1VzEoIJNMOz/NWpi0d0ft5n
aYgjIuThzKlj9jub75XD2DyyI+0I0cdckzo60r1lpgYdbCmKIv2clgXq689CtekyoFV+H5aj2qNr
dDdDUDRPTru05gUuJjLhCcuTS+fXrk6JDnGyTQ3UBP/D3Zkst81sXfaFChVAoktMCRJgI4kS1Vma
IGTJRpfoezx9LfjG/0fVoAY1rYkivmtfiRZB4OTZe6/tGeuhUEX5brT2E8CA5adV86MeO6PftyaN
1NRb7WauvJ2E5HtazDiDrNLJU65rEgelN/kGTrPrUGKHWvAJTIAH/yxZ8hEpGb2lbuv6lg2+6K5p
QatNjvVac3f0Y2O9Yklgd2tsNq9lpgs0ct7Bym9cqhX5vOZj6yHFknrZvN7FzSwsUs+gmljlg9er
eLOWehn49DsLvORGIemChBJdQ/IfltIg/7JF3M8Ne1sMuio08Uxv5N15Z1OqBdye2RpvWmI1ghGO
RE0+nmKVdCfEshnF4GdizcxmkK7YaowOI2ahvQKpww2id9a7gneQyAYWnjbnGgA4wgozqLdvmdcN
FHxt+p1l3ldlFQ+lAXMTFfcubsWjiwudtAlATBPZ3IjtPeSHbzLr8Z69xR/W1jfdGI6Gx78mpbHs
kLTLW1d9dg7VBuDmc7obBHyihBM4zLqqX+5icwjGLytJS56j/MKSaf3Dqfy4FNMb0IcnhwMKfiM8
FCnn0oXxSPImREBVAuCX906SnrRhdvZlBu6nqc2fnuDPWqibLMw/s2uSzR4/eTAR4ZbRU+4hKdet
8clrCSobOWiuumdrFNAyEh7vzUSFsAuZyHjupQlrPqdTypwqoEvr35Ghwcx+tZr8GGK79hUNMIr9
SumqX116N+LcA7nxpA/9ZbK7oHKMwOx4CMX5J/s3hg20JH0448VDpndlfFaLxdasb36tTo4wqbj5
pz99ROZobNlStaJ7wzr7qKDnlHr2jRhzBk2cAKmbKdCOmEtjy7tYOe2cuTRUULc/EU5pApCmv7oA
IO3M+83d+K41+uiiD2tQD1V3nTucf4O6tJ0tA+RemQkKI4qZ51ZkPmvtiueuTn2SI6DiPP2jj4HE
15kJ1Tdfb1OU/SrGVP4ZOevnPMqvvDMs7gC/esU87oaVwJJGkeqxNWsrzAzvWjfpcl8qEw5VH7/q
KbU1Tq0/cO3cRY0czp4TLw9uzsw/d3F+SM0exIdR2btOZp9ty2TiFLuxtrWAtobqutbm2+SkyUXw
/NlRsMTICD6U6DSjfhxDCS7BNcAlithMX9MEEHw7ZJmfJqUKC5sDPHg9mnhgINWTBTGxn3i0GDq0
2OS3ZxUN3yDS97k3HbEguwC5L0kr34d2A+USd0JH3S1rY12K5BF7MnFEjYVTtIy/pwg0SJd0eWAs
E/vNLCdxt3zFGGf2FKQB/wZmRl0CNArn2WM3gJKH+mihEIONqKML2sK6j2wW/Cg32YNFB+F/vsga
LV/Oox3+5w/ofkGLtJk/bEyGXC//9bf//fFcxgt4+Yl/85zPR3cCsOHUJaQlSzCnGK3DMMUKdSiS
vytaIY0IWdDgmt3Jxdt3EpuQnkxMiEPxodXUlBbUie2FSE7ZsGBo1EPgOV9SsgfrMX4wC+S7QkQm
m8EJRJPDqBfvV4HS7pZpcSdKg9t+0j0LFif7gkryPTGChkXHiYUEoTyL6SlZD6U3HIwqP1sJi7rY
XnZkbL+ztYtpAOHDiPPtYEvvRLSPwiTY1LuI0ibZWiiu3lOt51uhmPeYcsak+ChN9h0NFKVIyOhY
5Q8QH0Q3gR07N4k3ru4TGIWYRTshZkhz0jcaDmARMdbjbCLrSoVRjPztoSeFjstWtsGkD/B6h4u1
aPsh0VtoYupLn2V5LknxTV17g0/9PGHeCPGRHAU66zkBOE5vUI0gHZveCToeD9iJm+yc0eeNZ0jd
4eWUp7kBPqbj1rFzsHsmOFk4uRSCJUiEe1UYGw+BM7nx4Rnlzzp79+AbV4JNuJZL/nOXu2hgNg4y
sE2E1Je2IVh5LRPxZmTpt2kDqFl0bpFlmj6b+TDvwCBA+VblberrjNtAd08RTEAdqYBubQIDapgk
bYTYpPgy5XJf1/WLPSLVplVnHHH5EITPvhBS/uorohZihrgmmrrRE/xTWrxnZsS1VtArXOB8WxsE
s5yaaBawQBYGV/2t55L+9AQvUhJ5e4vKrjLW12Bc+/yiPGiWLQHs1WM3zwILtGy1dbg5HomhnhgY
3EF9dIuwLbgNRczYRkf83rHnW+z2t0ykr665/DI4Y1JuTIeNQ4kaE5ypHtqCJ8dzNa332ST+6OUa
TLQ02kNFxcoCqWRIRPGaVfpZF+JjlAR8ie7eWuqTd13tVYe1R5XBpgnFK/1YrWE/QQ85gIzTy7S/
5S7mf0NLH8uqOeSFTTKDCt4Mf8mud7lk///2vxo2ptD/u//1/kul/7v79d9f/4/7FSOrZZEvkpYl
DUzFtvgv96tmCP5MODrEG9cVAg/sf9tfhf3fdldD/58GpCeeFbaUhokt6/8ln8Rk839GeMhOOdhq
BT/ZBCslCTlgh/3+ukHg7QhR/Q9KEbOkKrogYv/o92wemCk9pAnwnyzOdbjOH3mluSGJg7pOLsrB
NZ/F7rDP1uR3phsw2xw2ooV3WktHQzLL3WCiOCIWoxM6ywtaMUOTWA8IwUgn8LQCwSO/1ovfqvDy
0yijj2zVexoqTThk82uCk2bNsvbJa1nE9Ilxw1B2WNeSJudG7w+uAd4p0QfDb+cgkXP2QJZecSQF
qbYk71pDdUpjEE8djPR7LezxvqJfD4MDtvBZhx80W95fXJVYTjmpWJ57r696++xsU1vafM6yKc6Z
g4c1hhJF8QHWpEyP9mp1cJZsk3Nud9zm6+mguU1zaIboKy+e3To/MRd/NLHZ47wb5nAefnk1XjzZ
kgOeYo0jIgVD6UTTp3WmwGE3EtRhb7wROJvzqDKQmtCSqlb/O1burdKXT4suxyJ2abqbZeiAQMAm
QTSbequuVBes1LelYFyjeXdPGCegmfWkCYKTmXhM2WOHVfncmi2/Z+6xPMJAkUzzk43+tUNC8DkR
f1EB1mNOhKNW86DIjfZeOMM7xZ0jJkrzvNjNfGYlulOi+5Re+11GNdP5coLXBq+horcpGVhu18UH
0QleloAInXVAMorhZQbGPybW56LNvxcLoF6Vg6plVRJhMigR+w9LW+OAmGiaipjeywmfSzSMNaAZ
XWDb9E78R74zUkq2hggB1tMrEubVct/VaAvYG18gZdApvOPoheWyHYimjjqGlQWFi4ymBd8hgeWA
mJ+SdbVABQowP36eH73UuFcCjrbD4mF0cHFOtZoCwmAauirGuKigBAwX7m7422l4MwpOki81jyjD
QvzRXY9Eldfs+7p4HeX9yJiwU6aDfYYEPLsI9YBfG+SAgQAwVP16irY7cEotGuh3UKMEWMJxSb2n
PGce7PqztsKFx+JMT2IyPui2sn19oz6xAfljjizhXUzSae6Feor3XJXZ45rFP32SDIC0x4+Va+28
uJk/1tFHKb9aLTdgNYHlTkr4phnwsB0RSLTg6mUeOp/UzXLdTtOV/S7mt5ajP6u48jLReHhYcocW
F6pzcCbnF9zzLmyTcdojw7wJtHff6zerhIdml9XgE6ewZhBf8+20GGNFFhEPuUzEVzXkEEGNu4X6
xQJkr5eabwRvRn+otJPtqU9qvIo9Zbt3MUD90SY9NcgAAx9E1T7adyt+dfOPSBG1coeOZNXetVk0
o6YM16Ge3yuN450BWp/6P7pFpB1UncUra9Y+IEuchSksH00aV1aSSC3dg0j7+ES4JYCcduqNTuxk
qt/XnXcwHUIybfOhV2w51FB9xuA4K1f71efO0SSXxmZB+fDWvrO8wKmRw1AyMgYQKT9Yv4eOieez
hGlBwvhFrM0NuPBvjNnVTmk4PPUEVCbrCccE92zCgYMsxgxVrA7xujU5pOQbUwGhzxiRB0C0GVvg
D2igzgMX5hOO/2szVuc1UX8Bq1xWtbL9dt6GgQ1ALuuOQD/NsbIYdxV9DHGSvPVslvdw8wkl1uxn
aaY0gbd4or1MVMjq3Dl3Ts/s1HYXI6pO2NwgngOdsUhHGVn0PTMuNWt0FJN8xXIdGJJP0ryxIJ1s
G02Bgk5LFw5Ikv2ohbOIjlYJ8wETHKgG0pGmqN7a/NnLmEMdVGZfyDApjAHnBj6BHrUIHqS9py67
PGURRLZFHsQaf6UCj2bVDUEyjLAP5zfPI1VONH62e2uv96c+2vAesy33HMT3ysT54WkgxFMLIpVL
8J7dRB7SNRrK3uoYSNsqoOMSk7Q5k0OnzUS4HceXwn2whYeLm6Asjzrj1PD0Phnleuo1mZHF68Sl
s/VfcS85lc90DjZSGw7cDeCru0fXC7tC4aOA3143jPXd5H0DyaZCtGLQR88+QiIeA1bhtGfdCN6z
dqA2lq0u1V7LQgX0kByGMn7lVunHWMKPYxrT64BImD4Vkf6n73hGORr7kUU+du4EB8CZNQznse8A
pdwPxAaN7sM0Ep6c+5rgRyxrRA/4FLk+UIgaG88jtZ4rxeDEFcw9TumPKm3soPZiumBj+a5ha6RC
tTpHrr6jPPzFibD4e2t81duMT3Frv8xFwZl74TQDLR1msqPjWskeabhjeibLd5iSl7yzOHDqYP2n
5rs09ji+7DsiBjfLrCssPwPaHimCgxq1aybFYxRTYSa1hwr8PvGNUUGwRsDoFeKXWIrkmPKhMYW9
9WtwrtWNcVuIryRFt/7MfAqJ2zI6Y6OUWLhQq2D6iOLXjJKB5KYKsLptwl7HfkeDvTQrp0y6f/S8
fyOtd2lyzW8isNKRSY/slHkECNowitewtaef3uOOiZ3r3NlkYOOORjpPHsbVBGmL4j4v8KUybDk2
/UaRliebyq3v5npor01yz0Jza0GkEXfaVqG54e1UjlOxq5b3str6OGl+0aFjG6p6GeaKct3M/ozm
M+gCIpRmd+xi4CTLOaUq0Xdr0Pl1H3+gk9NRVtDc/c8b/Z8vdjKHlhjeHZNI5Ow097rYrAtoK2mF
XQLE512JiL4b06QItnyIjLzf2CFSoe/p0qPgZu3uV5HqPn3HklI2Wn2T6F43VShVPHC6mz4Mx3jv
V/FsZFYSOimdjsAeJB3E1DbCJIoBlPMS4Pt1Z0ca+itYFsypJl2pWiGN/byam5X3F4Ts9CgW58HL
Xyac3iVlYMfKdp8dTV743z+HzL11BBBJEuow4uah36tMfvaT+m1zfVywYQ0gaGkLsAfn3Zi92O80
pwDYfWd77Xbvw76LcjtR2Wi0VwKsHgS57JGeSRYCov8RRc8OssqjF69BivFCrScCQymbOqTr9NDG
5hFS4NZlDTrXW+mtAB9OQ4Vrs9Xx9GBV7F4jhLGZAZD0Qfuo5lbup8p19/wqMt8AgxtbJtwkXk4K
ECDMJ+tdbp8SaKcnZ8K07RaNPEZYZXEbSp8sJWuc3GHNmGEyyzaKldGBW1J1vSc8iknAG89T5agL
ZDmgrUt6wBmCX5MAjgbQiuNom26LM9v6Y3k8MRoY6Hm+B2l0TjafoGPGNxhBRM/N93myT/Ms04BZ
74ciFJaJeXtX5BNJgbYNMpuFSSS7t3bzC0fiknjWGLgs7omD3FvIJYFmNI94B04UXb1NuTv77fin
pQF350wYaMgjPUsOCNSezDR/RtrFmvUXCZAel4NxaFL5ONc2b7Cg7p568yhe8H8U/Mtta946Mn4h
JAr4RE3iM6dQbcpeZUPmnywWMW7GPOU5OQqa0x6MyX2Sf90WZYwAV4M9qsPgz0a9bPXjPFMTufwh
7IFEq3KCVLSG6GiHuIf37sAOAVPssSZe3FjQ4wt2cHa2R2f1hzVDbinCRnfe4rGCXZAU91D46EJw
6QKK8x8WdcUha989rXlxCB+D/sEZBGIGFMtt7vU729l1SfY01N0rTY1wbBN3eHOT6InyCAcnNIJO
CJ1iI6jZJ2/Q/iCF4s6kDqDKYzaw5i6Na2w445uzGE9e6X4v1bc0KG+oHNGjeAxH18yftwjFMgHY
o5rtj7lVplSLOZIFaqivsf8kVf93tICGCdxhLBZjGyWj5TEJOGlMzlkz7Fwc7sMAadwwXvqOnjQe
ft/4iu+lzMnjWjRoDhsfgI0/LpBwnvUnyrkeooobfb2cuSjfZwpQBB+vrjO+Wkcxs1PJEY+skZbx
qjV0T3vVz0oUmWVgqGvIJhaVsvWS0Peb0ueRGAPXesNkYHf9LqPZlyHUesweW1ujmdczcG2jLLVs
ZXhIL48Uzn7iEaP9eIENubGKXrMspokzvRAVoucITBbnCO5Gjv6I7drjgxKfFq987pVxs93oXR9c
37SXrT46oaygjC6t5HexFmjNKW4dLvz8mRQDzvGmfF8I4YwisBljFdvoSFab9f0WJzjWTCX8Dveu
n7fOrUr0MbBa41RFrMehFcCxpDlcr4zTmurMgAbZvdKLMZ/3Pql4fJWT/axDFitHjj4N6SjX2zIy
HD+A+WLWTqmmMId5OrN58SX8y3BCZNjZz27LWwzdo+GmUf0stnPXeSu7do3zLZE6A0bNpVdUuXjb
wc1wi+NUAvya585fzYj7HWVTbLcVhpnmqudYzo3WDfnBe8qmlyMetwejTZYAQg8jpLZX7evSvdO0
BtWnQPGL7lNnPgHq6A+RLvyENeu+dzgOu6nxHS/ZR9fXdO1wxdK1w+Ew0ivzUDvq3NiwyobS4nbz
PRoduM+VQTNpdb9rp/4ANybyo6E4VSUb5SpfroZHyWvRGXaocLY2rSSBOv2swja5ayQEaeOjnfNW
GoRoDlXi7DIi6mdR/waUu0sgkwcVBnkq0yKC8hDnWvMvM/zetSlWH11SMtGM9W8lQjjHxvDUOEMS
ACXuLgRc/cTpY4bOfAIbzzHfXLIb6iiVriWrxSyjJLYgQ4MZRIWlGX8TU49DMVFNq3o3Brw8YAPr
vQAkgkLnvDd6ngZU2+3qjE96M5NSTLaOHNNL3P0kHRKkK59w26BLPU0xv9bRQ93eljpujgWoi2az
aEVYHUdNUzgDB4bMMmbTmWDZ6mlLPYjXyGQ89gr8FqnRlXceUbRYxW+56Llrt+xu2g60JybFg8jW
b8lcoNK02FqwmPxK1uapXMLCpMlCNZgyerlSGd0RIZ656Y4ZDzUYgYACPe/ZHKhkqKW3XyUiWoL1
sYe952pMMHWX+F2sOMoB7DyT4ruYuDwdQ+FnkVhWGkxWCh62K9XbkFN/DrEL5nSMh7Cr3AlvXNww
H41cFsBJ56x7UWQ0HXJqObUtVck0wK1DuLrY17BElev+WpyXZBEuaLK699smw/k8lpcZobEo8EEb
tBbSD64H1GpQ8As2A7mlpp1h3MWpcF5jI6X2rsGho6cvmLhRGVfnUXYxab+1DSrAhL7VJPEeLXg6
NlkSugWJkTxjl+26XsXzZjohwTwTjCV6W/QYGWsUIGugfa1cNHuPUEIhmoGi0sYUR9pEEA8z5Wfb
quGoOQRtmoLaoRgOtAUu7mJU00dZbJVpBssCIh3FUWXlbSTVSz/8SoFqE/+KPw2yjreltOjwG3k2
ztb47VI7S9+j7bP1mw9ajTOndPv1mLH195ta2LxtlMfEOWdvqjXPHn14fvy5CJ47K50Vz60ary1j
hUPTCRHmiaLM0UHD4MXK/D1htmLSRVkv6H/FYsfEYs5Wy6o7xYunWUjl/MJ1bqn6CGIYSK4NS9sf
ppXk12RQgcytPOcE6dcZRsHalC/L3H9x6O4CLxpfqEG5AIUJY8zzL/T9KiztOm0rqnyHH5Ed603v
KtbmYFAqGumdCrnE35NsyHCNJOhIq/gak71yRUrXlvxj0qqIaNV9eRyOEAjtEcIphI84WBrCuSXR
iFN84eBP5MGZgSy3hl/zeW5iVVNq5/6gvtB3B7Pv317HdL/whsy+GfGFMkTUHst76/TsHIPHObZE
UEYOroXkqSWdXzzyOKSltNfGXEXsnayHaMqbU2Cm8sutZhrkTYJStNjNnA+AGubNeNOwzCV9lNzR
uwEuwwoGgTCnwbwmV+BiaeSAHqh4IXBR3LgT1DvlCaJgBj9YbjclpvW3pL2ZE4AMCzWeFs2CVFrc
+mnKtrTlvrhSmbfQQojjFn5nZwgotVbYOSPerkF0BxAE+2QUbgjnkw/RVF3xoyGE5zSb0z02Hp1i
6zSZsAZNHi1H68xlDXhbHgjY5h1JaL0rbrMnT3gh06DASkfR0jIGXOYoZhqAyEocLNsLDd3oMd5B
R7cTUKsx9p4TR5aTbJzAXNvykmbiCNhpOUQl0QviG5xAmmx6hEjdE1B/M+wmeskooU5xp6268dZj
dUN4TZVfcRDdWt9tbgXXbjVf2St/DW0jjtQvsYDVsvWYewuuHDP6ndMDQw+QHSSO+O6d5ncimI3W
7J0BtcO1/AgAms4eu3maMECyvoH7GGsc/DwJcqpQ2+ZzeB4FxZM5JWp6weentYoWARmiflIzKDGE
gSd646P80KsluYxq9KVDYnWkb6ZO7nAcDAenjZEEkWh2i6SIC5l/l0EwvbQlVjb8wY1vaYlG7XWI
pSUKGUF+5Uj//tD18P2yKcAfD5OCcKOlXCPg86yjz7JelRRICqYJnqaHaOITmNVOvrekgMqFW6Ew
inOhczvP6mjYCTx/O08lGt+ORkVJ9hnbK0qXLc37cevrGuhcjke2OTT5XqOhDipTP0krnS5ORxTD
TtCla4bdtsWfSSVUiEXNr92FZSTGosDq6osu1uqYEAvW8Bzt7RxvWG8pXwMFs8+6jkNi2nz0S/Q3
xoy7I6iFFRkUg2Chj4Flsym5MXs9d3rD7vU7A+3IxGE+e6o7rGarn7jUIQuNx2QxqLbWeIK6NUnJ
BLsnxT+vHclUvI+eQsswfZUV075dsvfRI44MHAs6m5oe1gxWpFeav9GKix2LNhAfGeFqRmKgqmv1
hcHnl1VQZZphDKQkeROBbZaokzYRoOEi0SPp7Jp0Cj14BkQEL8oCqiEIHRE7pVEtnnrKZOmsi2SO
WF1yGxDzREELn4aVLsU6hhVczeRM1UDjQuNAgOJWyQKDeIvJ7XSoZH6PSLtmOd7XboP0e/kNTlG1
nS1hXgmb6pEhCVdZxQcjVyTE0oVeW8fkV5RS9Ir3czeZ5odjoHlsoffReOx1o30tsUZhpk/4fWKb
bXneEE9zcN0NIuihnGaDnTySzauQJqj3hs/REWxgyUk3CNeH1VHvrpSNK8bGNpNLLq/OTQNzoXSz
4eJQiwRA6i6P9podPcfSTp6WrjerNzVfdIXrG854K6SLWpMU5r5cm0tWiebaV9Ytmj3rXlGQdBe1
2e+oBn/ZmQzeuhVE7WgEnJhN32LTcqKGisQ0Y4mZ5uFELZEvVjhTOjFcFgIMmb1uOQ8WbTkjMfIn
0oR0FGfTN/lkSoswbT/mLo3ysN2GAHsPhVhqnH1Dxs5jp+PHy8oYMbvIjkN3h8VGZzwvMjwjbPQT
I02eWHBPD8rDKz3nJewDyAb62EwwYjDEtsxhYtVtQlaCOSxrxCFBOaGai21xtZZhunYPpsbCPU8I
llCbsnekLS/V0n/UojyUmju8LoYwn3WmWQ60d20xeg8Tt1s/mT18AKP9RvhvNykxBvEqbmLh/IhB
XEOoKqkij9eXkU3KE7ER2F1LfVvVonzqGgc/1Uhk1TNb3NXUrigk01kVeuhAUwtLwlCHGIjciSTy
44IPYZf0FHgU5LnIplL7NQidcC6JUyOlqtYBpXbITffgOo1+6aOzO1f7PO6Lp39fuNlQJrmkWjB/
z8WGx3Zhd1PvN4U9DChqDYHftgAD0y6iHNYYH0A/qaciAwxeCEXZsK6FNeRnZPmJiZ69uKXzXrk2
/2ebOqgwN4A2NMPDChaQKxdahabjHiH2yegh+yd+NjsHQXPNVFc/TsfaVc/tS+4J604TkKanLfNh
yketxJK9yil7/velXx9XQ0+CSksltdPeHESF+0n31rHiLnfw1KL5S6rSQzm5to/nJZgW+Vw7Xnl0
BeFb/CvbbCDcc9mcOLrZZ+c+EYu4yxhJrZl+0ZKj42EqHZetMYdrNTCgeWJQLMMhta59r3GpyHfS
edFdisvnrt0vhZsQkPW+FwLssKVnTCyNYMQXzX7gKdEVKYY7bw3n5LXNxzXs4a3g3Bxw3un0Mtlg
xcFuVFRap9Z4neKFI7AbA2fQCIrNwxE+LKGVgl7S0qqAOtj2RzlzK7fi/r3csEhqpgKNG2By6uaU
MiaYRe8R/PG1nPpdTJMKQCB0plpjrdu2ZJHwgPLr4XAQ6luSIuqPpg0iybKhL9tl+a6n8fiUYYBf
RfkXyr26ph55saSyKAFesBqCB8WOCGDG64t230DXwAyqTrVJ0nwo02MxYMuJ/mQb3MXRN4BFPNcX
p47BCAH8OTLeB2BMyrOb6MSlpxnfi/puO2BL8GxjMyLxB3Hs0OnUCZFQevdq7BZRauinZmtA1Vbz
OZshpTsrZRipQo3D9uLZ7Ipp5fMOnmHdA51Sv2jZoB1cLfZ9X8NiZme27gsZUVWDmJRPFGMA678j
h/lNimLXIRywyobvLUxiU2JKeWNZIAEdqYKxoGSpc+P03mwpTO1GOPjwjWLF45MUtL43l+EvzJi+
WqIDJ5AXnGW0URah6USLH/mNbaZBVI7vqW4S1XQXyZNDfy84QjGAwpOfTapcUKXxSMuAEV/b8VTf
S8sRgCMYmcZS+9uZOv/WfP2V2s6faoQlkS/z6R8gJVmc3+RBKk4+AwYaty38ceujN+nT4oFgPy1Q
/P3GjKgAqmEyanr82xNJBLRIHo2Y5WRBqmzX5FRtrkaBu4ZX8I+Q4+XyakO1C7a+trJ1R+7vvAw2
9a1HhpdIg06g0R8WdsqRhdoye38r0RHhJyqHigE/X6/1n1UR8hwNcoVtQ7RM0kuaZSdW5y8TfRgc
/Jh6YMrbRw53G/zwMy9QuqkYbq6R02Lzl2AlgSSlewNohG/1leQ0l/u5th0Ut3Sipv1wvGmP5qh9
YI9+HLamUWpS2BiTN9CL/GdRthY67G1oTiImUwLligXiwbZcl1C/fcKs8fLh9Jp3bp32q6jb/E6j
CFKgERwcufy4sfbU2WTJFrE+627PETEqvzl77qCVFMdhilkKmJQ22uhdKSL5pdGiTyiCkK0cGK2L
Q2ilW41Qo51HAMsXokI0ySI8sTRl+RkoQM7QrbmnzAXge6XSN6LhOAlc0/hVRpz+hpA9U3eVTrxp
FDorp+xV06R6WczkwbRN0pAdi+y+pznVbbzlAPFj04o7Tkc57YaYqMSBbTTM7vVaQ/05FbkCJzvH
1R4+IvplIoqDTOonbs/ZAfJkcxozR79OpHvpnk/8pPSmC8bEd29lda5kDmPI5InVO06Ig5hkaU5d
Fs8Y3xI8o2odM8q/2TpdF4kZbDjhj3qzu/OMa30eFZvHzaedHnMDBwmFHPeUL5K9ryGBCL0RFwUg
qo1A9ihU30vDSpZui+FU0gTkp1LbqEzJISkHRt1c1ZepoLBI985FZs6XtqZesFUMza5kDJ+XMrSM
+ZUH5Ees5WbQ4fiNCCIGc7PnrBEjEbc6ZwJ3ufz7UlqyBT1ewJ4D3hYo8ztHpQVl9EohPXr5uFDK
13ovMZ1YQcKahHM1X2KVv+YYbljtrBzlF/0F3CZWET39mTh8H1IDMze/rAvRFoewKezwbbeYUl89
nxDrnCNlcxPHPFZExbR+USHjBK3DLWHOjRji/fiK8UELUk0+kXsfw2ZLlM0eRo4a8eauqashTHrv
Ja8mRsUpHoiUtNYl8lh61rCd8qmMKYKKDPitzdNYFLTcuPNHgnbr15Xx7fXWK4kHPlaZ++OUPBvg
rHl+geDn//tOFRWHB3sigpWyML8s0L0wH3kdhhtlHrQlY2eeFgV8b0GR24iiZhNmvcyEHQeX4GUG
ngB0rA5uEkl9WthOmaP4nhPamLTagVnVUx0/svq2kZgZWZLrv++nhlTjIxCdKobZcNWHezerxwvF
tT1rsooE/xZzddsrHhgiKIY8FZ2pbRwBqs7haaWOSo7b5HtGyBqYS8+lV5LsYBXMA9dhrawwHnps
0M4WwR7+VrtsNDCqktAptOq5cadlu0qNncumcm9vWLMM+cX/Ry6LZMIh3Ig5xsf98CX4hLRNMnNa
t8LELJ/KchxC+ry24jPN/Q+/6h+66t+XAc+tnyOPhMP6YU6dfhhrbl7r4GGyaDqJidR2w6iPvoHR
hPyFfW+/mivZHwxWSrlUa8FtSGKi0Gpl461FX7BvP2CgVo/KZtVqaWly8mrW8BbtGKLl6Q/rA3NU
yoli4ffHbsSbQy5dAo3Qo8+O2pwEOMx0ETV/kjk7uHP8A7fAPYIDNPfQbA+RMU83mXBYMiVZJUdp
O+FQqbT9CCdyXvF0EpweL+12BWImmffI+N5uIBN8NmwSyoLkfITvllofV/qexfara5yba80iwOsZ
OutnsYB6nssX3v7lgmGPRpjJtHfc2uZEV8cOnl4M3vGhXqzu3tJKRIH+PEMd5SrEZdZYFXVXvED2
aPhmC8XrLAsWc15zX5tWfO2M4jCbkXvJKYYmQQ3gotT6o2WVW5X1PCI7JiVE4wx1N00Tv8it+BC7
6TXORhd2EEn8mlo4oLysoiLs6HCHjdy8rgVvopWNz06jvVCXpO2x+bes/BTV3NyemauQRGrvcea+
4pcy5ZWnza02wA7B01kOXFn6PeXQl3IS9VPkzK0/euT8itT1uE8t1R2Hw1s5GZvqKnvkJZYlImYn
upJd2VkFpnQ8IGgFTh+ixr9lfbZgbJlezR5KgcjZI8Ienv4XX+fV2zjQZdtfRKBIFtOrEpWd4wth
t7uZcyry199F9eD2YDDfvAiWLEuySFY4Z++1DR0Ve4JhOkzapyhR1INJeCs8wFU5QX+mpd5z3SD7
L+5eunZcEnWzBzquTJ25fnAqT/jQuCWonY1Z0axrJnRLPLwyY1ajVUlBpCI+M9dg0SQJzRWHotfR
LinoUETSVpL4v1VdI7DgU1v1ZFH74DCqLvydwoLdDtMQ+I3GTuP2dyjjj7efiAnRfSJIqRjX0zFD
Jz33tP2TzH2cG1MtnbsRjQGd8F4/hjFxgXjJqdliIbUoYdYz21uIZo4/RqDRAaqSg2G7cp85nrFv
A+i0A5XXfbf0QwiKj5+tyaE/MbVyPQfRq3PHaUK6p9MiBtGkxuYsYP9IhoQuASPVDurpnooZocvH
8ZG8lW7lFtmXZA21cmmWslhl1pSJvesxZnZDEPjlDN9smuHahfpLXjM39ePSmKfrQV4jZFJnmo6B
VmNr16Nvs4Hqh7Ri3nRsI1eyp4xv9Um/DjMIGEKniFJ59FHIrWRlSzL0FpZcY+ZIvlAmRYm917Xb
kI5vG8OvcASyLc2uj7fjG8QCr928s6LUWxfmogFbfifrJONCR8eKJxD23vLTbDVcQshq1kFOoTVX
JU5S6xBpNSoxqk91p995HWNeMXNAbDYkm4pTBxN2VR9Y7cBtgd2UNjXWvjAKd5URv0aLyH2IeTUp
jL1ZQYYfIx3VegaxqNgpif4hC9ufaQLmBxtCgzIVUohjBRCjA9VrE9Z4Kn5sy3nBwggyw+3GBf3M
psuJon2rNbTQ8+csJotRM8sZnXaL+5mlbYbE9aiGxoFWBvZ106UoDIoovVpIhnFUP/Tsng+349SD
VTli8iM9Otlmc/6T5WawakpWNt19Uzn5webLsHC9oWHBWOMO0cPA1yW2HR2lME2pXoLT8c0k8KtK
Q7KDOp3WnrYvIbRuKYWgMChB9mHSRm7iWK9sBbm33KAVDxZHi0l2KhPR7fCzMsFM1g5AO/Giumqy
12MkKEUt/9Ltpmzj4igrd97lHBXqlt0xbJPlrzufFiAfvmcmDEWm7ycJ/SDNC8onBlZvYRq0V5Bj
/iUdDSyMkZF+GIQGNsZ8HTmLD1P0csu1oVTpkDw866wpSbNOqs71ddkf0shC/uVqeMlntKRI3Xex
19dX1rQTw0WLrr+i3lNN1TEY3mjApReVC/0oY+NQ1U55ZYzbJWM4nnqtyykTJd+FRhgPqXtXKgiA
/RAo4aarqfTktIKWbv6ijN4Xg9ZedDv7JJ+x3os59JZ8Vdu3tOmHjK/FrF1t2zRGOTRZ/UZACk5h
OyF9RgYzC9gSSynnGiVot3Mvv7pOSP+s6LG7hFyifL7drM2hjqj5UWqOd0YbsIDXEI0ZFBRAeJuY
HPpyNwM4ABWKa8WOM3WucClkgFKvdMmhucSdRCiVPc7dtJ+pLcQu/fZH5E0ZFNniV2ph9rcbRAqa
OwH9Nimxh1u8dC69fNR6ddlwmY75U5oRZIOLlzi1lZWCOJhBy1MJhT0OYq0jcfKcADElcA81Sdfm
G2fo1V5a6rukj1+7idgJYOBr/q0Mo2oMKeVes6ofAlLdYECsm+snNUbolEmQBi9i3PGUX7EWHEUA
fQM3xRLmmt3bVMxC1o1UD1YlA/A00mMOw6fIWlR6c3BH+xZ3IKNX74IDa/RsnTveY7qEcgs7P7bQ
x3zEpr6qQ7BrCTnstgvQzwFrZ703+BFXEYz6XVKBYy5dGwGTdm+yWt5wPKONFySfvUaodsEb0lw1
QJwP30yFnLpaW210Kld0DnPKFHV4DqvGL7NabRIRB+tGOndW9BXrNbMWwq2NZ6AL192XyKbIhJKB
UnRuEIWRkxrQ7NSgvshl++hi49vQxAFuPcq2lG0qmIIVPRZSBPk+bersdA8X2gce5mEpJRv2laRP
Y40IV/kHND4FTYz0l5zGfCPLEg1rgViAzQhTqf5DytATQsYfps25rdZxg14ybg1kVHOybVD4z1p1
MtsO044utN2QWNQFozuSH36XmFsQb9CP6t3uC4EQ0FsSxmuLDE0vS95DaAyJ/oq/STKEyQXBSYPd
YaWMyq6I13oEm7NlNZYl+rOe9SdNwxA4WC+WOZIoabEoQgEX1OIhhTZkBlO8YbIMIF8ka8dsfuWB
diRXOjq4amMUCnfX5IQAajHMu+w1WdY9DqBzxNGW5nfniDc3r7/CntxKhKwQOn3baV+DgFOKN6bA
Yf+2AzZiyYjcoSX5pezrBYWM2LK7CBuvE4t70WioMSpR4+H7RU+PQAZ0Xeuurn+7rJ59Qxvubc86
5GURP3kDC3hCTMVB8+rn2IjsncY07iOVzrdOzvVSuoLlS68L9oXtecxQIWK7PkZO8hTRqtmC2pmj
Yl116TG0hNw0lYx3saqfQhIm6MqB6ibBczTRqltt2q5HXGjgMYpdHafPozU/GFyVawfA8YqGcbIr
gtA8z270rDvBsJ+jyaGuQZhz14V/+hTcU6Uep5Q/UTE+9Gb6hqpFgbj/oNsfYZJj4NSXSz17pXl7
RKoIQnxC0a/FxJaqB1I46MrOB8MwKIE0gr59gMgUXYNDawmXH8Ux8LZbU++Bq+UCkZjmtMchSC+S
kJVdsyBA5EJn1lt9RyFEX0fjpK88wsYxxSQrXcQ9nCqcsSa7IDOb/dgq/whZoQsfixo7pbkeCAXY
wg5DGkQRFoEGxVynf7cMSuo9+EjUSaRhSDF9oUY1GEb2Vq+9E2C1lq48Z0wBVWW9A8GCJs/hc8D4
5TVjFBrM7WjyH9QjULjMQuideyhgTGILCxZo9BgeE/h/VCS1HIxGvB6sprkEihBztz/VHaxE7Cyr
2eCmiPEm1qAZNsB3a/ySVbK2g9E8JPpMZ65QByOfpvPMNmnTZIuo3O4UhRHXWU+SrXGYsgWJ9bw+
xUZzbRsEKIVVb7mGHb8z6zeEA+UBnBL44PtsTgF9QCjckQ6R2+pHBeJLIweEIlL9Swb2jsYHI05o
nMY6a3cVuCrIVjgfzLPDCnEnyUPbtl6zR+13ZCFFTyZAfZ97X1FU3WOUuLDJ6Dg4HOght2mGIyah
Ibn2+k7bJSYYoTi8Qz04bRiIrEyLdh6ZeyjJjPcpabctO2+S8mTuXsqEHlCH0UAMULJGmtr59Nok
inIoMYCo5oGfsj9iCMHyOcFQ59sCO4q6ztcVPFnQ7SuigL6mGb5508Nl2xHw8zIOgHQcqjy7q3Kp
wFNowOsrOZlStca1B37LJPe+KCQ06C5wT+nn0HZopSoI5DllG5G71iow+gsCrMFPjei7pOSw0/3O
ID1NIASB8Et33m4f08Z7rzV1SoFj7UKMsDAY7ihkbVK+VCKeaM6VNaA9mYXvURFkH3bgomiy4nnH
MdyVOqCubMAqXBTzy5CN3klH6EUmHB7fNHg0EveERQvgaDf5IeWewxg4xXlwLZjoRkYc/eyeTZma
sMwiypspU6XTFhSFqMCvbYE7qbVhLDVaQByhPnUb7EVIhfs9ZPMO+zj1hkKIhhVt1qzdyGmRsoQQ
wDold6FtV+uIss/KtPDq2CYdlwRTxlw1+RPXGfqz46jrH/A5QwgO9gMQaLkOQcECfEdClRXph3BN
XmjYWiqboUwgR7crhARjhJvepEo+eu6wGTu29SX3PMMrgVvqp3bAm87Jh4pOI4A7onyJ7nuVEcQC
CaFELTYHaCoWBU+RU43WHwoOIbuY+pB1sN4MABER3ytCfERHyP52Pdr0/aj/iGGU+3DxrVWxt+bf
ZJxwkj9aBIo3Ctnv6eCOomJieImPolf9dkaRtgpr2gsehdUtn+VCVgKy4cXNHVCDhbUjawJOYPUU
FWa9EXrGtZ7KHhZhPuDO/oUHbD7oaU0uimtSR/agvBYlhZhOJ++HAmpgUxod7HNbjYDItPyUDptJ
BfpmLlA22tl9XnneBWoUsC8yphYhmtVDWzZyggbMap+U1mIdcIwV+vbCVxJ/Lz3s+ckOwUHjCvrQ
9THzVW5w/aPqOwWmzeo+nJfRJH5K3MoiHzxlk9ll0cdQtiMeASs7ZiOD/ZzX1WEglRvISzbY6UkU
YXWMZswbjiy9d5OmMAqtkUWS0CRGZDN4hqSynZZ8d88zkwOeBUhNWIbAhX0g6fuVkUZw72lad9+b
DOJu9NAUlfpQrkGCL2q349xHA3LsmUZ78stj4/ZBIyg71F5qQK7RH90scqGiWx1LMLuioaKKO/wt
4ymd229EjY/ExJjvasofZ8U7hGY3svPjLWjz4wMeCiSJY+HXCBEu8L8AUNK4XBlUki9hToywID1z
k9QEWBajct5jXGMQ0j6a5atgE2kECANnVy8+AMVmQv+Nzsm8iySRGZbBAR6/hmo8JXEAv4reiF8o
iC6J1j3MyAA3Yx93z0EF3wsKKzJoFtUZ8o8w6d6czCr3XqTZK7W8nzdr+hoKoDyNugo2s27TB0Ng
d/vvZBFbB6EpsZFzOd2NNjWxYt4oGRycutUvDf2ty+0nRECPOfAaKJlQTdwW1VDkDOBoH2OE4J9G
0MWbbKyPheyzfcoEsQ2Roq8cnM1whcY9hpv0q6XptGlatEDFSGeFmiYb5kZSPdZ+SmhNa2Ufb6fV
wPh7thrOh7BidVhCwIg1huyIK2vmXeahwgZpI1HCmoG1pxeoMGTxaVYczh6GKdUMKpwq2OFQY70w
iGfPwpiIVv9ucLKvGk04WUQAT4UIvW2reuTiY9b6dPxFgv4zFb+qOtBPMUAdbHNYCKkTr6NynyZt
tNVcx966KcvOVPZ/kGgNB1OjC+VhxNqmLYN1WTbgUpI7VtEhzI48PjMHkEzQwlGKr3WUwILV8dkY
nTaxwDYmP2B4VaH2ywCKsnbnASs7OaP4qkrjgleF1l02Dsfee9V4AS0zyQsPjNCP+mts9AXCjGEi
QPizKVR5V3XJidlgpyfPnd0Tn+e1J/JgkMCBjdjNg8TxNmjo3ceoumqKzObqLJOqeVIu0i+ZXIvB
dreUJ+p7cxEi96xkW8G7GHHaHloxxceAdIdtM/X9JyVGimljSyZXKeFAtuZpah0yOI3qotegQY3J
Th/C3n4mX889sk/8g4ogugqsyesm6tydk7ucj4KTS7v2FjU7J7C1E17lczLFVzKvtUMJYxH3JM4H
h2y0E/tZFt5G1uxpmbGRb/M/QVZ+EVEKuEEjGa+e+BYX5fc6nmeNiL+mW5lLgxS3yqXVRftIdNR7
m7EV6GlznfK42GMgRiLrFdNWX74cksaKp17XX+Fcep9ootUa6ndxSZGV3ROFy66ZpX0z2h9RS7qx
RWw5G2vzpQORL2yUntPt2Ku6of+gg063ms8QARZGo4I1pBkN2FI0AgRjdWcP247Z1jGa5Ex5amDm
wAg3Z1C4q/BRLw7umFsUHujiyiYF12QGe7As66USS+Ck8aaZCT1qkr+3I4vfN81AGmQ6J8PsrRe9
DVFSLgv9KiK8xu3lJSLgCPmkdeT8G58T46XWNcrYisvaBH0saEADrl2BKdpUk4ulwK5SCpbLFt9h
qaNV33GrH63Okb4qBJbAMYOqP+BQjr9vQ21KCCyiePA7KWFzyMevia2mgxGzDLbG7hp0afDpyTEh
WSGHxtTq4bbg+ACxYO9aUTaQ3YLtLkLQswK5l6A/3YVm4+f0w5ml02AtTHY4vWS/74biSUbVhp7V
i51RomF1RK6vy4YiWc4Bjt1S/tD+aKW2M9PoxZzKhKoQmYZUgeFCaxixi4Z5vJcCRlLADFGgyilt
JKN6QdZKY3hvtlRvVtb7oLheWd2k52rujlMXPkpbfUfSQaPB9Koaluudilmm5hGbQtadhMrIdTI5
j5bBQae7NNDzJnvcDO09osiYFugCu4QtuC0NA2Ox9WRg/VQOPdtGgBC3SIXsQDSu0rD40LzqQVcs
msblO/YyL7nWRQtMIq1fSAZ1TlJjLDbiyF3bkOhyKyB22G22YrHzYT/DTtHdmYTydhJ1K83wQ0O+
gV8v+gU3+HZTWtSZa7gfjjkfm1aYz17puadhYFHX19PGWyZspSH1qhv5HnrscEYpLOb1kam0hY8Z
eyBoXOKIaOFRvatFTuyRJ81tXnfNPo1F749OAvlz1l+jjjDGictAqJGadFPQs9frjZWsWytAJtwx
lDH8U2TM9KcEtuojdZxfQyKdPVMS6cSDWX94eFQoiVQb0i9xZiVtRwcoV7tpLNnZBDgHo+wUMkmM
Qy1WLGnT80z60RRPP23GQZo0XNAx0LY5qB60hnUDHclvaKARPMa3ebCe6tBiSZrnVwIQQr/Fb/mB
PhooAS6rbsDiOBTyeRJcsLdnTgxGAlJ8T0HitrBCjUAprtKaIyT68L0ZX62hL19Reu4SNX80cAKx
REAbsMwvucyEQ93O+LFbrm/qBJzBxwCxLQ0Ic206pruXQ6yfGLo1RCRryxXifTIKdp5TKrYlTm2W
OIH+Tg7Wsohpmqc8kpI9GUNhMkYUI7prhK3kQ8btPWqh4ikdCoIo7DlcB/XABwoZjkh/GS5gBlEI
9sHd7fkEbhm0WEt737TOpZjKJxEOct1bDkv8XDsr66LDMv0QeGCIKmLJ4krN+OjJnMJmDVwP+cM4
UgpA1fsYhvNTIVX5ARMHmWeoc3IYWvlRcDQ5amhQUTPtigpKvat64+DMGWdGVCIrH5jWRd7dxWb0
I3pb3ceJXT0wR7331RS8a5QYt5PuIPxIQ+29CuVuopq7Tuug8Y1J3uXsxtAoVf1OloOkwCzUe9pP
uFEbhxrWDFKZS127gMktBm/6hEMRsDO02MmzLDX5zz7yQlCvGpwXiaLnrE1ZtRZZFH+kTfkVesUl
K5R7pp7XP+lRf3+7ogah09hS8czFXmbvqfbn78NhJXwpqa1WPZa/lBV2Fyz0scb7gFplU7L32utI
WWo19IH9YcsoXetz1l3Sdgge9Tq+R0eRpE2yQogzsePvJ/bufD4un54CiYresmha08W2PkbV/mRk
IrE+FQ8xmDha0Un/0Giokqlie6hJ3ktR0+PSIrRGGP+e4mR+qgJxJa6Art+jq7JpX2Usdluzf+po
NvucLuOGbd6uKaiBFOMcAntk8Y+Qynvv3tLKbl7Cofb5whFO2BHaEdiDOxpkTMKxSwsHVet1mB/R
WocPY0Q/syaI4Gpk4oMELzoODQ2YxKQL6NURO46esRmr99CgD6Ys9Vqn/dYlvwtf0MARTpCcTfZk
I5EGe5RYdEluN2NLy+p/e+z223+/uD3v32P/7v7Hx26/iP7/G93u/m+P/Xup//hutz/7v5/3v73y
f3zs9lL/3u3fy//fj/37BLe/uD35fzyGU4jSIVnKPgZeUEsqnxiWE+1o6xQ0tNiDDjeT6EQQx3im
1jQwK+Dlh7I6nLMKdjEmJH7ME7zIuP7G8Yx5CqtNlO/V8if/7Tn/7cfbr8IK86YTkKp3+7tKdzwG
bV/R0D4JooBOUy5Q5fUeq1/NRDVpRC+9blCAWaoftOAI5SpCTNPDVJxvj2GqL863uy4JCIcO3kZL
8RE9owins9uzs1ejIEovNNVZ2dWfYkSOQXptsBu98ZdrQUnk+lBAE8kGora8JA5T2g+N3/HYQHoL
ZiozOqVV+FMjABJ5ncbgTU/BIi+4wwptvjU4XKDaYXAm8LkZ27Vwspg2k/d2sH+1CFupnzTJBVi8
se+9+NHrZuCAU1IyNUdfgfldV6QvWTMBPIYVGQDgTh1ggw2sp5TJ2d6qXjV4MnpE2TB/W+LLbqxF
jpeNV2gRFrDpYiVib0D+bDApZhuUlC1BAqDSAn1GK8S8Tk9QbNlJf1gxNR/Tw0dltdgiQYeYtQaq
bV2OxbwF5UKGdt2f9EopYhODl32VI7cJAPZQQ6r9ce4u5G0aK13FPwTVkoS2JYP4V6+wP1BPklC0
CF0D8guRJrkQdAAO0w4WPSlbCqeHhJqId4ZDcXZr6N5dpLHum3+mZGBvEbf1Jm0qFtzBsTcrKJWh
+4P0aptI5e2ZRs+QQK2NQ58iZYNY0yqlFDnvSUV87CsAesvXKDhGdo91k+4kBfYhgDZTELQdDyN+
EM1ax519D3f0hCat2RZplyCoQ1c4VCGyHyp4itY3nVQQPYNWP5VQi9aBR4XWiu0LK8AB1arjDyPG
BeFEfiQ8Fs6h8zxnLtsLE20QzVIqu2wElxoECp+6+YPL+JqpKdxHtrknTe8RkAmYhh4JVZRFV+Xo
1qp248+sJoFrRKK+uZ21XdepcyxQDJUBvPMeWMPOKvovTi6k2TZ/pNPgF11NBkBMTFPrsjErSvtg
zRZluVTBjM2RdYKYNXdBuwCH+IQXg1U7ux2+YCtGtWC2OvDvod0ZiDoOzbDRUO3jfMUmLJ04olhp
hedYH7YmveeNS7GNnQJ+Qp79RPUEtQ2dHn6pYjoJqT8n4ZcXaCA4Rod6AenQFBTEpxKs5PTWOcbL
FezSKF1X8UJjISmJkM+T8EJvk+TUmcOIC/b2/0eNZLNxu08CKprekYIehJbWxrTkhp+Yz/jOpdNu
G0MwIqXdk9YXK0M6v+saKbnATt8qd1xDiOGKmzmU7CasjaqpuXU1Fm4mVXmcGpAQg7dPK/0Ht6C9
GQz4n5wQh7ai5hOwV25MKnNQdrXt3Ks7Ut8PgW1hgWkRBnqZaBn6CHdhK+ObXBk2jZ6NHUnz3BQZ
F5IEgWpaAjQ0pAVwenZ35qOZuzIq/rj2SCoM5cSVBVFgN1JKQUoF1VHOr2FZx9tGlCdLFGgU0hoY
O2EAmQufiKV5xSi5dO+cN8p9TyXmc0qLHA9t6eObwxL5OcCbC1Jm7pk2IbMsXfRubC3qgBMSJ5AO
TYxTCB3eJ+Laci+FdqYaYlRtw1y96CWVeqyjwN7gDThR29xKN+9RxiXqbOZLUBEfZ6g86IToCYOZ
xost4r9Tw23Yn3TbJFUkTtlBNeB2enBlJ50BJ2Qjs0lCw0I3nyZnacf3pZxdtjW4TeFrewQpwMp2
Sbpu3fromrx02cB0CZa0piQPHruKDjhrxmmtV9NJB5C2p871Pmb1NWO1vbXNb2tKkBVY1BJGgY4u
S+mlRzJ5nSbMdXEU+4bNhT0DSV9TM9gWUGpWGBN0vO3d21TpK/xKKbmGi6joE5EySIOGURZEy1uV
9+1S30oPhO2ebtPi7SYtzEXNFPydNB17HkAHMDX+e8btJ6eafpV6/CVJeVobdB/PpGSSSuuACLrd
7dhwn28/Ze7onUtV2T6q8BdPdqSuSRmsZ7ixBAl9iHpUe0vtDScv2EsNeLJKvjriiVK/b/DqcbFb
L5qYvpsRbNXkaL+iyN3miSTgLX0KNfBABoMm3oKVW3uCcyh+Qgfm8UEYzQi9fIwlE7EI3b2VcTo3
lnxwVfQ6txGdItNrz/1yMwmM5JpAiap4oRQzRFfaG4x9I+tU8VxENdxQuIhbaYw2irXiGUj8G1l5
P1SkXip93NIXDo9eG9gnN13P/fBnaWL5VgAU2kIJ59jObh6n73yhgDSNaW/resNcG65Q1bC4SCnZ
ToWiMJEzjcXmvZU4BOcZxtFYJpxKDmxNE/gUZdzsdItao45O26MyFYSk4vZuvvI0mp0Y35GTY9Rt
KbHtBnTsaVw806PG0K5VkHe7oDp3pQL+FLQbYWT2eVpuciSZq8HKk+1swGVULnG/gfc5FnqxoRUN
0DkzHVI3oUayOV7rejic6x6KnR1w4IKMZmZXp2fbmdNzrlUEVmbmsVbdZYBDR/tpoOhG/+/MSh5J
SDzUnJmXqWh+14t79PYq/UhNpPKeb3ckYrD1wIpqT7f0mrRMP07jwSvwnqoUqIMtHSpYi/E3as/x
ZDbnxSV/HpRlHi1SDdvlezamZKKsL/BUxdXaybCvCTsAopBWB2jRLObDapvrGmS/XzP28dPgierc
IGmhb6VvtJjCFRhxTkpdPusthBLpxaeM1DXJpoEkMSCh6MTOyfLWucEIMIzGcz2rzVRaIcoeVhhi
Xo5+AkId9NC88ib1mMyh3BpmCVuPD78UcLsyPt/u3G76lqSMSdOwhGKD2+dN/DBkLSwM5TnrBFLx
39F5oBtSQ3HPDCdlttbeIkZ2TO97PuWwapfvFfvYMlqF01HjaN8mr2nU8rNJrPBZpk6Lzi3DVNRU
z7E7Gz4ayPoQOsHe9jjkje3NGwpR28yYomOdmP25XG6Moj5h9yY9gP4S3ihCgkgmA6jX/zTNOssR
31H/QvYxwSLzEvkV9d5eWDnR00UHSpsqN7t9FJjh0zAz8XolSgVFmJZCk39WJA/udKQItORJZZjH
9NhH53Sc6MpN7N7YoOF3RYEmrc+I5EhLE79tQ/roENjPWox+LJ3He7rx53boLoZinQLZZVMtEKYs
h3yFUq9PcSmE5Z20tcqP4u4nYjlilvT2XDdc/13/e1OIyzCDZSKC/DE3iBE2LP6RZNlV1sKvZoJX
eMPzvxvCekH7svb0C0YeMyb6ixUFFukgZaHQ9eVWCzL7kDsSN311qWLo1SmkVGw8lCuR9xeJ9tIq
jUVbUBNibMltPo+PAF3Rw1XuOerk/SS4LLUk29Stn3Z9ckQsS+fOvssxQu+ZmcW5XxZVQ/6aIFFd
ZxBO2DQw4d/O7thxWaZgjN4jqD0DoKETn/1UAk8xhA/XCoDad/LLGi1CT0P4Ql7fHrx43oQoa8kL
WhbkVnCgT6GDNPR+bi9qL6PK7afbzP7vsdtdw2ArkTr23+eq5Rq7PePfH/yPv6+W07PcGRFJmp6e
vRejXfp1VBI6JmL9vS7Emwln9MEdsvphruzX28Oyk2JXSdAQt7sEAz7gRiwRWKXVfd6R5bX8MV57
wBys5XzwHc3e9fj2uqUDGtrteEXXjlHYxJBokdlKwi+/+Pfbzj2psJWX21NhXLDnYZFnkacQff57
lk14/bGSzjWeSuM64f1cd1pDAX65qyti4g3XHqCzB/q1zpviqrt/74AfMa63h283GhaqBNXkKvIm
n54a4aaNhza4MK9GP/3XTU/jfG9HaGywec7N0F1vT7jdUJkxry0wyU2dgBEpOqw5kXShHAyOfcXj
8AJS/T0JYTx7X8OSOh2nxUmr0JxZqfHiCRwgopGX3GK3g4P09d8e/lZ8QM/HkrYDsWmzdVvVHUrn
IsagEYM+NDqnPWHSp0ebA6jrlpfHfNMcex1d7N+fzB4hJAHWaPD5rUM/CPrPjoTw0EIiSZaEt3Fb
oY63m5FJjEhroJle7ZE/hhKBfbLwiYdjHe2wupoRn4VFfEZECWIOuDbVodttukS+d0ucekW01hI2
sG+We7eHltikvkeprXUEfkfmp7n4IQxnqI6ww9jIes2DNxovLKDPkY4ANyfp7Xj76XbTmG16VCPI
T0Lje0rCRQWwvF9EqG4+QmMvqVGiNmH6CA3lHIExzQByh9ehtX6za4wwGBe/lc6mdR4jsjhs2R9T
yuDb2DDebw9RnnJxkHNwclQUPpxzEs773NkAH4K7stwFps8u2cxB/uDiMVfTUnwKVEzEX6d8a+qw
2SIMbvuq2UTU9xDbAVGoWWswqYCVimzuszQvjwwO+O05EA2paWZKhvJ/LOLMtf2e0zHfqkXHbfR1
MaMcoQgWltbF0hq6SOBWtklcLxeV4Azp40Os/2EHiMjJidgfDBNBZSSzlEdzyaiPXefbMEwFF76m
q758H3+/Aful6gCfhuac7Wh+vQwEER9vNw7RSz6EHxyO+M/yBKEovsqX2wG43Uwk3+7SXLwGVnSw
4AAjQ27Y30Y1J96+na2LrbJkj6Q1LblLqDyLQESi5luohldQqO3u9m2y4C+Pty8bmucSO5G5yKX1
YBtrlj955ntA4ADxGlhCOIUt0y9bcPt6j6N/+U7+VcbqPqvBgOhvge39yciJ2koPTXYDhOJIevNG
mVRnVBj86Gn+fHtrOtDykGr+38+xFP5Ie2rJivaGfp8jw/oftbK2o6BN9RxwlF5GJ/HTGYrsOK3u
wUgQaWxr2nku436XwO/MpX5Il2x5lqPAtaL4jU58ebw91C0/gQquNPPZJKJ2TXLSB8QUtINpUkS7
mVHhNhb0uFvw3y3/qEd4NF5VeABcskA1BOFg0EbZ2dEYiclJ2YxhJdeB0ovrhK/+auqEG/Rz7myN
JkZ6V1sXgCgxUin8otpPZ1J/j02Uq1YCPp3e8d6EmPyHvScen+5MdFz4nojuBYy684UZ/3c6wEv3
ZhbiGDmZOYwJRNcMJzDp2ENpaIImNV2LcrtsrJYowLOoE+OaKhb407Kl4Lraeg7QMj1I/utm6Kbv
jE44pCQoqGPrghObQugDmvUVEg3kWjBGiCOJTpHgK5dZ8DFSvyA5pguo6n20Xm8f0DP6URLE+6oI
4Y4N5B/RWSBRJWQls2oDdgJLhqzoNYw1/R8KJ7RkgqVQ8Yz71ub6ngF1TICd6UcSBwDlCML/yMJ6
rxu4+6lJf5U9JmBnWmzzCrzHDEUzyDssIOVUY+9pGspUOLWyuPfDMR8PU9DcVxyCXY9jZu0IQDuk
UCPZnr2jkRrA8WLt5FlegVcAwFJpEhcepx3YD2h3rC+PDVCLAzt//naZMLSoPQYVL0I8ddJmui8R
xl4bx93YlmZco9Tpr4wZu1HqoD+HHhgc4oinCiQfFY2KSEC0VXQfZmyfKMjdPwTa3Mkh/9WGA5Se
xGQ/WjF9EbjBZwe0jXQ1pQRoCVpYn/mAQJMlrSpoyspqOJragEoj+JG0xLdIgmyMJUTjma3ro8WM
jip9H3P0mEEk4PJ1imV/W32FrvLpiD50AjIQi6c3NITKnyToj0J5ijH3As46oXvc3wn3G4uWmeH3
z7UF80LlbBNDM1+Nudj2+Po2OkWqmtaSP8af7GcQcpt1seVqweUGHq9qIaNE5rjpZPM+6EtzZC51
bIcGfUtMLdlMr6F3gpG5dDeSHHNQOvHRxBKzr7vTXHON4GMpjhAsK6fozyibTTXUnwDzGBHpd45z
tJP/j7HzypEcSbf0Vgr1POxLbeTF7X5wLcLdQ6sXIiQ1aUZlJPc0q5iNzefVPXfQmJdBAYlKREZk
ujtJ+8U53zGvkQRaxjfBlbvkYzQmLnJfufNBxuSgFQx7ybIzUMA3TDfS7MjUkWdp0t/jukxZ/QNQ
r3ATu71zwN80bQqwaqVBw+Z60wV4cwqUybmR7YisqQyfRWNpctP9fdG30EcGmB8qRFbue+Qqaiwt
csQFqITziDDolZH2Xa58axuLWS0dB5Zf7HqQEhmsq2C4yl24KQwgjC4Rk9hZ6sNkuM8cAYjNCwao
swEBhPBBYG1kmBn9rWOXxtpHUh1ZZXiUQ3UYQjbEOg+IeUkeeqar9M1I/IiEO+Y5jwfaj+k0iB5y
jIHTQ/QZIzEwEZs+DXet3dx1HXo0o8Oso619go4Btm58qJorgauY+h2pVUc2Q+0hz2EzGe65MEEX
t4g+Puo4/HAct7qVDWSgrEU+VfbHsHXsRVL58Ukgn1hZyFHxUopLJLFXBKr7aeDDLEgaCaDAobwf
yiLZWG36Psw9uRHCI9c9T+Suk0xAx5hRj1n+zrkUDDBthtXXf0Z6o6PkK804P6DmlGvYCcDtZPyk
oEIgarQBmJDHIAgQW5XOQGJECsKW21zStzrAuUZUL1fq0RZQOZkeBKUD6Y2sheWj+K1Q0+1zlCu8
iI1Fg8orVjvaqHPJmnKbhVVwmAb8s6TwISIFb3y8Bpo5FaGrKtl5tfU+EcVDr07YmdmaT207WLug
zOkkZzhfdLgbGFJewOFeDZSZVRDQ9NUMb2Db+CUxyX5QyWVA/rHT+ve6159e7kOjtAG1lUw2Jpnt
iEYBf4qaDZ1s1W6L6qx6Vy/C3I9OyaXjbfcr404AeOamRSqEwINRzFgQ/iEJOmGQNvQbvrxzaatR
VM/EDQdBuyWz+xC4mNkC/RnUoCjYL4RXWzAhxCAkO9wTqHNzfIVE6BBAejLm2gbV0pNkG+qXEtq7
BacHtZAFidYuAYn5+tJwK144pXLHJQ/F51/XVnm1dFglbPIRd0eQEu1s+tNusuZfPgvcew12fYtl
9oKfyQPvygNXqPGIm8qsje4pr8tmG7I/2zP4Y1Vv9XBgevzOBInAOtA7w2KGZuFe2ualtfLxXiPb
BkabjAckU6gCxMwCCnaZpHgShkMQki5YiHp5CXtI3BWpvJ/84BkNd0PG2BXeXrP2yiBcIxOfs2Ex
KnTT2BSfMSCcuuza+d9qRRPF8Pc5jKsPJDj5yriSMBmNhzjIr/vrT7+5Ur4YFKN6e3c7mWwM3MW8
t9B7tcP70qUKiqEKt0DG1akk8HcwnU3Vewj1qoLYHB5IPjiHkzMkj4Z5aXzMrw45TcspBjowo/fm
yQbAj76CT5A4BvT04Gu7VkJgRjELTpqlF1HC7m0E7jcnAvY8lHrDOH7kST+by95+jjGjcHr33wl6
a8YZI7twfIFq/ko1GFcxd0/G7CdnV6sTbemrEbE+8h0HN61lH4FCIV6LofCGRnfB5I/pm6k0oFAK
udIBuJPE09I1+iezg7wbAUcpDPebKdYtcXLIRyoICb1cRoXbHyuQ+y8dmry4CE9TO+sXbfmPnXpJ
UKQtB3y/WNXqtwGtE2vsYhfbUPUiF+kx6swKPAniahYwWCor/yRHnW2CqtlbjnNiGkLueYDydqqN
kx3oQ1363+bsYzIC7YcyZdj1w3BRaD90+zvbnbW2unwzgZhorwITPdJySDJ+gZJ9IYys9mPaH4Bb
Pru+ehH1eFH7SXuPZRxwWxSpi9GdbLWqxM6T9j++iMtDHAS/jELjvn3lCEcCJNCHl4lBk2ndEUR6
K7ioF53Zf2SAFBcyG1a9n19oAwSarw6NrKnUBpTnRTUmpGR4Gwi7iR020eXLwcZfZpyIxD24zERd
px0XbjMWa8zIhN3dlsq5JYyyX2B16SE3YHy3jjnvf2om+Ro31QOCONwYA5ej82ApyzqJJoAeKdJp
18XsQCXI536yXwfXJNkZUxtB2wNgzGEbSf+SavmBke8x4gpkHDMexsz4VeHxOqk7jrmzha66HvJn
MdHfYs68ccVhrMKdGn8bnV8cWtyF6MbP1qi3PvqEKSQst3PBHU04pqWEFNaVBn5xjFDwBpEZg87u
q5+05A7t/ats4pNRU1/0tznrWVd332Ej6hXj2Wwh0Q92oYII7g1rv5Xt3V+/mN2tcq1snZHll9gZ
OWeVs08TplATXufd2CXhvW8692joWz6YyCady9swCz6jl/dukCdvCS4gb8s1j3PUzDdNl/9k3YxI
io1HG3AF8OCECepnn1PFqWY6XnP0K7ocTLgEb9Qe0KOADVujmK/a5Hk62PDgFDIvq9UzF1z27OD/
TgOA0hmzsBnh8nL0IiynQOYS9g+LUaB8813jtUJ7CB3HzFBFcrw0tmeDJjfl2sFuu7TIQet0OK5F
V7ywddRrXyQvCcC8wX0jk0sDQhXWxRGdBzyxJUCkaeWWT4/BgA9/E+EqGlkHQGKzEmLYsZ+PnhpX
rHsfJl+kxTfPs3ptW+BPoK4hMQNAthmzCVqC9JdpPD40CRvSunOj1TA6+a1q42Av8DubmswM7Nq7
OCRa1o1DSqMKdI8jme517DVXnoVzpEiQSXSefcOuF9zVtd6BjmWuE2ABRAnETbaVfpwty85liDuv
LOBSjFnIMck7Xv9VIhkYfXL07ac+9KxDGDsOsLPm5CY4F0gsHNbQn296Pd0Sn31Vsgak/EEeqVh7
E2YFdGHGfqj8mRCAnhEuoXAPELayJryP7P3UOnBiIhyEbSi8lVIo09mGDz4KTEqF1V8xugAfDavY
G/H1xLNgzhNislVl/FOa47QMAtFD8UaSaTk8xtorrrJKPg0Xb7lomd+mVKQQDfMddD8CJC4z+SS6
MylcVPZdYFA7BL788DFTIzzkEhI3rEDZNfb1l1A2nnjRAoh2wxKFp0AiBuK4I1qOyMEfz2HNYvXE
bEgGAqRHhmJP+g9tSjncqv6jaSECBgGFNHBK+GevvUds5z/vSVDICDdCrmlGKNXF7xBRlCUOuLfB
9fZVjf955DRZsGq5K938ACHiBfU5eX05dUqjXV4vOMnYUPd+HgBEK5g7x/Xeuhpm+W6Q82Q5RnRX
jajAkYB0RHAGxRjK2g6DDGH1NMSKBbHd3BARnV8Gen9XlkQ3U9pJigM/c3lWmdw4VdHeAM+SfPT9
rwM2CUbwW5ZEtDNTwJq7albGGKNJbMx4O5jZcwBwch0Xd33hfxNzlZOlRP+l2FBL5kRQPDCJzoO9
b0B7E+sGQN1Low24xx/lhg99P19z1okxvDoVwT1YCA6I8PRvugrsWZf5yw5Zy0a0aHabjmlB6sOt
Hpt9OfTEKLLrAsLIC57jF6b+V797/IatIGPt1T5N5nhTejGfjOyxlBaKwmk6MLy4TyoYZeks1m7P
8j4fvlyVPlrW+OLELdEKyVK7+jdzKmMdPZs0Sz3O7arH9xO4MMHTaWMVnzDRDhHT3fVMmQbBA51+
OoHGKNBvc/SYn1jm3ttU7kT7SUfknSI82dmU/8wWh6rUCUJw8zDWmm0H5RbZKZvEwj0jkLF7ASJy
DCWbMqp+Y53CZU/9huxFHvJMTtjCKP5+DExjboNC1gx84vM6Rc5DIPPBiinDKpZS8F5+cAue47g4
O1Vygy/KQPXugJI1XkBJ4w6YY6LHWXL5nse52L+UOfABhYgOu1Swga33UJa9sQKgwxSmYG5dMVm2
0oO0GrbKmtXvVSRdFd02dAMkAzkuXs9uwmUNqo1jo9rTWTtG/kKDAwmrMI62zY+b5ItObDrAgoPK
jK/chuFJNQgSsuSz0PwTcfA9djypNVHoo0Zabebg932EoKQUbacmac7YrcolRGmH9pAIWZgrV+kg
hCoG1BYNJtFIV/OsqoNdUJzUqJ68BAJEaY3bsmm3PPBvJ7vuN3BdbyjLxWL0QiohdoNCe+8hvGpC
QHkVXXjDGOXT85W/nsd2t0u76hI1GFY9OzxnBahMmSZvbqy3pjf84M76lWn6lspmlxijsRiK24F+
3pkxQHiSqEUE4h91mEwkkKEiyFPK8ow5G7frbL2TUfM7TRNJrTMMo2FyIebZGxkJDmj17Ria2WoF
op2V1CHwfl0GDQvPpM6/XgMuB655ZcdNYbdGE//lDzXcwcl5LTRO7GFGXlYUwzFNpFrZFPNulexY
MOMfjWZ8yWW57t2MnSl4zVbwqO19xCowbRcp74Kc3ZU3I0OYzPg0SvJ3HXKHE0gpRWFv0Yutc7d7
KHw5reh04sAFoTX1HxxLT16HcldTnOGtMK7BIv1IaW0632h9npIy2hBxxXe7RMt39E0Z22zwybyz
puGdk7Xycc8EOKWWQnRPZll+o+SiS+zK5wnvg922yYKQm8c2JK4StBta64xzfayIqHP67OdKlwrn
0aUN6eWNExE2zxymMYmhdht2hwncgTgE3xJkXGqQiD45kzdT3LX7ybO7jSnltkrRqbi46ePeAuhW
4zgAMYCCPm8Qr3eIzYO8nXeBhRVtzMC6OVd87tA2UMCOTu9iIEE/uxisMTkQyz2iQmh4dA16GzfJ
3u8zBot4Ve5c/2A4xvwVZeOr4eXvSdcae9/X7TM05Ws+U9iurOTajYGUMbvueoUGy1wY7c7RSUtr
0ZsbZRMXC7Ev3nhSkZf3Wgt5Q6zHAQU10gInoNMZDUQ10UkzA1+jwdtPw0S/EgYvmUK4XONEbZ0O
mZb9m3jp0+y7JyQ+LKFB4fl2SvAH3XafTE9T03/PWflUUUVcn7Wf0uOCcQZ1NGbrLEiXAk22CXyy
5gfgjEGtoCo74lxkMzo4v6EHEvYqIMhyPQ3y06KTrK+U0nh8sdi3biiMAq5w0Dq4gjyFeCEOUR+F
/cbuGC5H83zwaHKA43vUYtZbapcgUkXy28mTozJjY2m16UtG2ZyfC3/MN3MeXI3vPSM1G4VQT8Ys
yJmVbyV3rsBTMo6c+/aw1yx/mBKEOOX9mnvQeLCcnzJv82VP+nWScDjXOe0CC/EEIZD5hbTnfnTh
4psTRkqoF35QfIRF0xxrODp8Wvl3r5MRNWT2NE51vnND7w66ULCWvkM8Q2/hqAH3XW3mWhVEaABq
10jhmEGYu0EoZ50gq8szxn59tJ3L+EYVRAfVxItoMz2DlOMiCqAg8lgG/dxzlXnqKpSq3sbGJwiH
ALE6SPEc1CJdQWZzlvBOolXspOdZW0wFSGecbPM7CB1eRB08KwUIg05f7aLC+CIeC/qVwSfSaPVV
Kp+XjVB1MIq3VkK5y+IvFmg8EzKCYaIG5xGYEVBdv4Rn79NqegYju7ILOu+sspi+lNWTdZ2lWFey
J2D73Wmu6xentHArpG9qEGAEMmPNWOZg+sTJh1bwXhbc2WjTbs1GPNpsYj3vG2oKfzmaNShKt20Z
9EBFeBoE9Xb2mZNzniG1tytGjyAO44b4GSGaXeeC9s0hK7JObbMOV005HVPZ7onAhkYvKL0N6o9F
VCaPzggxlGC1e0aFjKCobbJReMQrNGKhykNhMtQ0MuaVk3stUZKFrXxzIRsJliWKbrwCwxEBFpzv
LnPbJEQhoqmcZ99YIh47KlmcR2ykZx/3DFymB1vH7w1bl41WIej+6mIlbLVhBKHO9blB8uEzZ129
BGpkk4Fxa+KfMCJQ7fDFGKxc6hY9hY5g0YYBJA8oUW0yhNupV9AxTcCNxE50or8ibYhyqOtTlzLk
aYatVeLrnws0bzZpWjHtAkPq+2ZSWyPkoVNXr5HpxocMFVd6zUVgzkU8tPXpHUvTJngzHT9BY/0w
Gwsnn5xp3axJuWPoPBiEBmTiHrnVQSMfXTSyfmJCAABCnHoOQgVzYIvvhoWbMd2Ew7CJHMtc+09h
3L2gXXhuDRiqDoVBTaYSwXTmpwf4/ew0+a7Eny6j1QSDUKPy3wwNYgqBY93LzOdu01lRv9Q9KokW
9MH13F20XfIkyDZITDM9JFTYublqOt5IbV+QLKWrssqO9jk0AaopAydnVZ5TwsBhQUdojtR8RKOz
jpnxb7MEVSj7dNzbt6WRtVs92O9mRKZy3JBaJ6F5mqn/VXkR6+nw25Qot4RXw9et/QeIghGLoV0x
1I9t6r/XWZBSQuFKTUoaALSEn6U4MYQ5gXlIPySiv8HJVvBEUKYO00YYPJUCJhxXcmnfVDn0Rz3t
CXB5YAzJSMPNfwSbEIYAhrN2k7d4Jr+oT22auDS6YcoxMc/Mo1OE7K4T3ZGV79V3LGC4dvWzUzPI
rTKK31FQjzg0yW4yf2smlyUBLk4Qb1wHiy1TwQM4FA8UJaAHP6hd4noGFLitS71AKjF3mEvB1zsl
FHnmdDamL65enutx4pKTSYJw8JPj2/LM4T6WU82gz/rVmXG2QxzZsibttP6xlQDc6Rk3XXj1BoI7
N7wM5seYPMQetZYO55eB2JjGrR7BDrSrKGrKo7Q8+LkOeJ3eiuFpYuMOipc87u9HowLlXYX3rF0v
PnKOJcyDbA1o46duGQTPY0UpGhC6M4lrElBB7DeEeIz85hT1ay2YAQgTC2emsP2kmpn8C8yU53YA
eoO3+MwhO+DTJ/aoH6x13Uw7LWF4SQI1d7EKb3vLe8fUkp7KqP0S4/zbRsGDK8ZLgDqxmZ8zuxso
sYa7NOXGQNlyaFPm+aq1j5ZxGKV3A4rv022p8D1uoz587Zk2UUXR915pyUNvLQY+FvaJ+4lNOyU0
hWDaUV+Va+64XeB1H5IGlBuB5iYJ4CzPoPO8UK6Drru0BDMN4jEm8XLZEfPnSgYxFcKllfa7n6LJ
cg6c9r4Zg9smJmSukx38bHcL2QZ5oFU9lLXYAU63LQdvEGelrWJmEsACIx9Am1VjCCRICQPYWQmm
CGPuvhMeuqxiUeFpdTj27epuyod41Zr35Fw0s3ghEvZzzodbzvNTjMd3TU4NxLph2Oe9PIE/Ek8R
kbeErFMuTWcg1S+FkXkbRWy7AWXwxvaObvfTjzOnK6jf4gptdc2ro49Iw9ZytmFvg2Vz1OOQ1R/A
wbEzDPKkiIeXcHf7zpa8cXdA+VhcRpcRauvCVfPWaEH9QKidkZ+AIskRINCzPjtmc+ehH1CkcMmR
JzwGwHg58ByH2jysHDStBFIwfbCUe8kmAiLZsbQb04IvKotco6CV2yAyDcBa4UlWBLSYoCbSinyQ
kcAGydK6S7sXNfibgJw8ZsOElBgMTapuWGUhzubI/NW1ynBfsiqyp4c6Gt6yPndv3IJNfcGW3DF4
GwsevFGDus4XsJFs5K6QxUMeuumyEw4lg8eVbGj5KxKL6bG7MoiPXJdeLlZdsyqQQiFtsj4baVDZ
Sbl0yFE2bJRrrXn0dFwu2FEFjnxhCTwsXFdzWLXdJWrJMNTlu+XkOxWoewmwW4RcWn3hAZ8GVWlh
ZUdaxA3uwbYzBNexpQ/RTNpTcCdsT0Kt0TMD2Q9qEWNbUi55AREXscft0yfjUfvtI6ssvBOzw5rY
8++D1jplaBzo6o15HYfOW7VOoJVC5LcXxA9vQ7g1sBN8UkQ765APELTF8ASxLNvWDPAWIQ/3wH90
J/D/w22Y9zwPyxwFLLmRGuXA1N0CorAWKGQiZq/QvhmjblwGOAxeJSm0RrjH+snBFMMfjON2l0UO
HC0CnCBEWTxmcnKtDJIM2eGGx6Exb5Gec0GNrb2J4pIo+T4isSmb7I6dToqq6/qLbxH5EIt22phT
EaAnrWB/RdyaULYC4uYN0QMtjIHJ54gDGFEbfAZ6xam0iamUl15TsbhqCdvr+BiMdloXXn6kzmHr
4lQxW3Gb3VSAQX1MHXXbqeiXoMRwRSOmlhN4RlTSCTaHe/xaV3JYSCxNikw2CL/4RL5V16ody+8Y
7ARL3bBtD5OrxgV6HZh3JR0OSZG4fhhLgnHWR0xFxZqViodckkxqe1ilERXrIFG/9u2D5zBUNGag
60l+S6wVhpABUaGKUpLJWE8XrjoOFdTYJGh/+AxgCWZ4RXqvw1LCc78X3TdojI1ROrdDRTXJElGc
dTccbR+cajyURH6Vb3qmASUVzCCOswc84zK48pL0y6h0tYyxF8N1uJ/68dUObKJHyHmOkKbghFkH
rQzg1D/w1t25LXJGzEv88SZ/c6bBPMZGugvtB6QOetFF45kV27QYNp0bQ6ZxQHE71IymYobXZRpy
sLynCFGLbvZva/qCziVZGIPWxoxSAOkKAB19mUeF2h+4m5ptN3O7kkoeqmc25eGOEF/GMZtmbm99
WHJ2Oe9CbyB7DPHVIvKv7repYmFHLnJZuaeIebNtTc7FK+wL/Kplyvm4UrCeER3VELMBetXDG5hm
3lza+moot6CmflFdPOY52/gggMUXTBaUPIJa6b9xFdQx4+wWC6bjOxsOcoLNbWfFaM/BtSk+2Jg3
4CIQjBHCCRQMYIaHrsTMY8D50WsryRUos+aznqof0jDkkvC7B28yB7zJGObmtg+3dlc/1iYOPhl4
18UI69aM3G0rnI4qjtTK7AlKyaEaecnwQIxoyaODrl5Gdb7JvPDiE/OZGGLdWGyB+rR5spvkywvi
cWUOhCRXFWwh7b3OdhNAXIPokVivlevelbORQaBydnke3hgZRo7R7DMGlPXWa6W7Fa2KVtyKQ/Kc
tqjsSHz4dXmqjLJ8HYqIyEgmgdWtl5zmtngJE+RrZNdx+KIYkMMPztgvI5GbFGKPJKIya813C9XX
Eq0fUXiefMwSApjHiP7lr5Q0dg2WwS47t0C+cCxJlnmKc4QlWsl5DgpMRL9a05rrhP67x2yURtMn
lQdDTMEjoQ4KtGUFF3THOo73vd3nGSx+n8lJNoCBH9khh41d35rrUBKYFuv6Nfbyj6u/YuXAIO3g
KCwFHfSac0usGa3SqmRjQRM8sxqGByWicmNrpneWT/cLFvIxqpnEATXf50KbS6vfi+Qr47KBAqFW
GBh63OrEQ3IHoimKFYp2fMGdjN4dMuWQCawFVqXL+KYJnJrqxtsGPJ0QX+QwkqIQ7Sw5aURBiXNZ
3aELgQIcZG82dBlUQC0xlSmJm57vH/Kyj258h0eFZjAt/ZYAFnvagN+9B43jShDSLeq6VSq+hDDD
pYly1xjtei+QvMG8bfKtz8O6yfSDItS0aa2LUUwsXoK7DNnOOvEMshpNvHuBl39fn6cY7gVJKyy8
y1Bc7BxhkZZ7x5QtJzrlPi6hgn4ESmdKIAVBMDTbLL74mwmCtnS4lUSgLuMA3JTwoRUNeNtceSrJ
gOXzeoEyV6O5b0z0cPG4wDflrBUTq22v1JdlhicSQhgXhdyvdeQ8TV2yh77ikQ3S3bdtf0cEc5zj
UaqEHW4RGL6zz12h4E33nglbioD3zhv0rSzpRwS7YTYaBD9UCoeGMf9akim5Sa+/tnHollO31D53
ZJYNd41DMl9npauIlnsVGNPaE5RmiZA7bYzvLvo/qF9c+ny+jZP6mwTBUySoqUs5OAcBPoVDDxJW
R+m0BegLkoilGF0ikblBPB/bAp5eEumQKx7lhGyAlw7FNpxMyb6Q/dZIJuFS03cjTFGSVlVtSLFJ
d6UULi4yTu3ajW2WTc3ajRgCuI50N6HjlGjbsnPPRnFhhibShXa0z3VvHoGZXyLYgGlDjJQCgMxY
MOb/BjBjc0LW0zzwsBvoqtq4ee1dgmxIQofT2WYXkSU765rHUoUfgJabmzwG1pl7BLXFfXFKwn3W
sEGF/14cmzl8tDpUWBMNTZ4Xv4MXMay1ka64w5MR9ydZCGvVRMkvyth8kSEVyNpLSlrWLMNqybXv
LYIBsQQAfjiJEeHZY7zD8GWsq258Vcr+DS2fR2xXLZMJ5LFK3pgW+wQtkQjvvlNQMSUiurJBblSM
6lh1/c6Yun1jA0NrjIdMddHKb/JzQbQYIqY1eepbjKqM5+wPHcWP8J9fYhG/RlX0U7kfJqrU3NA/
qYOaaYpPpudhWJDJsQR5VNjWuY7T06AjlogIfoseKZuVeu5ZyfDC0AjlDJEQXVVM6ywPGCz4BlaN
iMXDPNqUerhH+rL2FvDfh2t4O6VC3yQvzpUDNqkHBKgv2BoFV0T3lWu2UzqApFam/SOBbNjPjemN
ZciTjJz5hpCCL3M7uLyFijLobE7Jqymzb14t0vY5NjddxKXbkDu9cW3v2+b+YMvIOylAZpYlASrm
1AX4x+qXcmZ13fc3eRfo81+/WLH3g05Sb2xDSRrqalc5YlNwMSKwTqOjgdyrBYa0ZGzkLcsQJOyt
pTLQvrmZrkl2YbAFXHjpGA3ML3DVp7xADAaM9cEmQ721boMpP/AAvOqa5n0juSVLBc7RNPajKo1N
qczvNPE/lGH3Z7eXq9zwnwYLb7vvwr3JBGk99V2ACOBoW8Zr46Mk7bVZbnwH6xeRMp8ssPN1GtKK
TeHbVEouFSJDEyftluOs3/DOAIXL3d/GqkEIugUTBP5Jw0jfWpQ5BH+zPoeievKQXh+8Ya9g0Zyc
FhmuYSj+sHnvMJ9bwRQB1YtTdzkK5zs3JqLo0hjcU8fqUEVAOW0JiOjPP/7jH//1H1/jf8Y/9W1d
4Beq2n/8F7//qiVRZzHD9n//7T9e0jyVP9/px1/f9t9/7J8/5b9/y3f966euPrqPf/sN91DaTXf9
TzPd/7TMoP76C/j7r3/y//eLf/z89VMeJ/nz9z+/0HZ015+GM7D6819f2n///U/LCf96gf98fdef
/68vnj9Kvu/mf/3Pz4+q/n++4+ej7f7+p+P/zbcdCyC359puYLrizz/0z19f8f5mmdD6Atuyg9D0
be/PP6q66RK+yf2bH1pQN/iPdHfftf78gwXdX19y/mZ6rnB5KHroboUV/vl/Xvm/vfP/95P4gwnw
bZ1WXctLsVzzzz/kPz+i62sTth+EwndszwkIyXHNwOfrXx/3aRVf//z/aKJK9KnAyYgPnsaeR/y6
rz3/yxKl/dMBFj1ilk1PHjrulccVdKMR/1X+fK8FfpXKkNN5VFScUT8jLvdFFRzjNr6rDWB81NwR
4hRSYUla6zZ2aaKh0BZAxppkdLgA4xLFLJ2ONpKzVTKK85D+rwltqdFjpeETkVzfdTrRHsuM8ts0
LvAcWZej0Dqy+mblVdjuoU7mcY2HqiFfvnH2cJABP9XN4zw5wO0GAb+4NBhqYAvEMUcdjDCTBzHI
h0XMtmrlmdZbQQqqqlzmZGRFzIyxq986CC9dh5EvMMIvI1feMm5RS/hxwyyj7G7ggCcYRO2KNSrC
C1oPZrcxcHb5iYPj1Rij7r6pYn9TQKCizIjLfd95YgUJB3CjCp4tqdJ9kLGrndD8r2QdoboDd2Md
Va1uLLp4EpbVM9K98jwg1Fj5qrhYgB2QB7671XSqiN5ZejX7iqyekCCHs4n9nXGwzblemxo0v+xn
Ujqs18zI9ZqO8Zl8iecpGZ9ST9Zssk3kA1eGBpQvzZh3pkKS40pppo5VigCzKm4KFkNdbT7KBGn1
7OldUDER8HVK5V/io5A+r7qM7afZRQwWVTh/TAMHEg1AsKZvCBkSx8Y+19F7S92SSvfbv1K30IPf
k84aMOEPu5up61mmTdVDMOj0qaq9t6CIih0sBBLNNMh1XYLFZ7/+g9ycGbtGvuZ7UBZNOqplknnb
2ACAIIoToxy9njp4FUnT7GJGp6qK3yszuOdia5bklriLsJwOqWs8JVPorbXCqTVeWa4OpWkT2l8g
7+qlVPVHLzlBqusRM9b2RiPyWAxpBNFrZMTf5IRWt07zDmQgBHLXN2uZA0xqEmopUnSxdDXIc/PW
uUeoxBChBE84UAuQ3ud8d5X729suAIqsYNKiu+4G6kB/kWA/lzQFDb2D1dwRWcClS/lEVC0qJtdc
Z5S4VuqsdMhECzAEajAn+wFUdqeAQ7NWs1FCCo+yzfA3PHi4+8J4z/4m31aRehnL+IP4ZK5xHaU3
vSjHdVrqV8dG10SlwQTdMqa7ekQ5nCLSa9uajXaunXXs+o+tG36p2H+tC26omDgg3mMKznjMfvLQ
h2oYPYQ1xiNzgNFtV0IjzNPYhIkwORJLj5S04+bUNWao3AEjU4QmAdN9gOIZg8ahTPMvMxpJiCp8
XLB2eJXd1yhArAmRzpS66zjKiL+bDBtcijTgeosOd6ZPpHU6Ihpz9F2E/0FqfQ3LJVkWpgpSsHJ8
GYGirX2iHArLZA0Vsay1cMhbwNqFYmQzCkaUWHFgOWoqG0/+5Al6AqHgO/mzg+JXtUdhaqw0hjHt
KrN9tDEdLaGFpeuY9Ss504axoymOTtgxceS49SX7Kyk6vr6pwq3WU+mN9x5mIGaJoP1Mlzx5LuRh
Fxjmip+vtjPkigy5z1R8zEkAf6WtNk4wv/VjGW5SS8Oj4p9DVMnSd1BHKDd/LbP5l6UqNBdzeE3K
+peK5ReFwuc8e5feKrHc1fNbmju7ssxWM1CDDGoJhLyNJrgencwqmtW5LUtW7SbZyD1BFnDDhoZt
PTtz7b01FC2VkXyEaJgZVYkNlDPscsFIJJLdP3lCbQHhuqtrtsJCyMSgOfMfmyD9VojagYvt6oB8
aQEbfQ06IDqUpSqumLh859vWJx5MucVPa+4m4i6y1msW2qd9mycoeS4fwMISwiGo0S4wcVq3g9/M
FJf2fTZpFs1zBMto8u9b7695JsDPsvDuuRFfCaLPCQDM1TKO2J34U/BVWtMBBO3/Zu48dmTntiP9
RLyg2XQTDdIwmZmVrrL8hChL78lN81x6A72YPkrdgiRAQPdMwB399xycqjSba8eK+ALXEUCBMFLv
swoTQqO5I8AvT3kzEsAwOE+ziieEzqyC7EPzPlTcV0AYnxsaOBAObVo/+0eD77qsYC+M+Rs2h6c0
z+l2i1Pc9kGXupum7h+0PqI2u+yY1nREOAnwdacV7b2zCkzXRoZ0lY04sOwK2KmbP9qjfjcCVC3o
rQQ/SiRQK30MM3FsK2yw9shdV6/LdI1A+eQkPQ1fvT3vaq272zV/rUqomk2U9r0qnXcCCfHKtEf6
bBPxFIkqgnw6kBMimM9YPX1GsEqw0Imzlsk7yx9Eg7p6NsLFM6QUaLXjCIdFp6G3r9UXZSnn0odS
wTlCOLE1/ZoWPyDuVr521AUenaMPO1zR1AYd1hkpPAhrBXM7Jh+WBN0TVdPJJmfxqOEMnye87nn5
wyOSc6naoO6D1hTYBWVnXVo3uLaa5cu+96TavTjstwjx/xq9TUQO6i6mwWLfUxQhFGAZbWYITG3N
bQq1yY9M+yIE1Bd0lVs/jsDWMx/O8Vc5Gh8BIhvT2B0G7Be8zWkFphLxyd67prVrLLMlQTzY6msR
Up1VyMq9xsaEpOuwocNk57ELZiXCWZJMXhIP2xaECAsQP2nEvcNFt0HbsNdcTs+k58USh4JZPI9P
Vhjf8Dk/t43l5xbsWkQSQ8muIZxeW7Qh/Iq84lVLH81UvWVNfwkNuzqbYfLjYsbEUW4hHsS8/KUV
6WunnZYaUzoOMn1+6S0whLE98yww05MzqhQyif7ZqowHXVO9AnhyiL+4d+atSf0MR4Pf9ukJ02wL
JqX4iif4oyjFkvLjqunOxrJq59PvqBaqX3p2tO5AGc5ab8VBdObj4h1VGgVwX/FgZPkps+kqoVsi
nxxsFLOFWD3k5dJ9WG1qg5obnccZQF/kvOXm6ZFQPAcBewWzO0pbveg8O9mH+Ejib0FIjINTdWnb
Wz5/kUXNggNWPb4NVv5i4M7P+S7Bf9hRIkqQJNq19Dw3BbB4asFsooKx7Li94QYcxg0lVtMuH0d2
j9a91+R6IAeS2tUuADuvaINnEfTrtMyPyJ9UsvBB/nlx2lBnrNWnSanKjYHLhPp3vpBBe3OFeegt
aCCklXdTtUxa5rCLS2zug3pvORlWFIs9mXpNo4B7haEBlt11t2GNFFvX89+cR1eRW8cysLZhz1ZS
qTyuAOcUpxvcxktpTPwy1RMdTM66yZz3THQEliOTy7LFTAfwZ6fjPU1IyZqELlaVSkX0UH3bYuix
MCZU3QS2D6rvd87aa9rV+6LgrK7aHuchVLGlCyCIrW1n1bs+lfuKE6jQ64szzkfOnRpZY0aobTnM
E2YuGUM8j7hYBvlBmM7LlDeHaDQfZzIqedhRFh18QSdV+aetvwle7doZBkKyBPbJy0QgSjnCebEl
Dx2qaMwyfOaI3aqjjs6uHVhYnwws/B72qFfbzK5NgKhZ573fRvX3gAd6D5mEaBL2YpUdydwOJLfS
fcxgU8RszN2IEZG8NByd4dRYyQF/7yqxbkFKZCt+CLnv5iU/i6ifB2vejJN2o4X3NWjiHcRz0qYF
DpA0lvOmzmGGTWaxSvs3C5N/P0F85ETEUPTiajUsCxviWfwYqq/gwzxkU8Z1jb00VzWwA9Gdzytn
beq1CLVY3ilBAaMkfyaqNIO82Fex+Bu71J+04GbD2JDjI93bu6BuNzkx3rw4NTr4fECkfeBijWab
D0zNsdEHp0fJw64n0pCpH1amsfSZtlZ5K7EWZYH5a3E2DzjLJYTXubiXbnh0g+ee/5raZKh1VHz6
7Pj8ondA6Aq+8KJ7XS5oS3ya6MaoUnRNAn5yqeiR2UNsaU86hQYj5SFCh0cTRauMqqq4FYv7/5j1
ZJK64EEyHZquvYmwwwl+upKglllAuZiRh43uO2lZWw6LFQHPMNc6hcE6nMUeuO22GSom4WFXw6Rp
8eQ6EbQWK9iwGlg5jflEYw8CVMqSQdmGrEWt4CfCiMPm5VS02haTINc7lMqoVOhU7kkNlTtOWCwy
53xI93Nvr6NQdXDfgCEYQFCylQ+b7ubKv9JqvmqOzGQ2jI2axddIGeot9i0IcTTa847gqmM1y6Mh
l69AtVaWhJaL3Nrhnp6ncEN8ngVMeNedyEszxWdZeBv6t1F/xve/SQdCzfxKmqN/lGJaDxltM3BZ
Vk4Jx4ldUZmHe8eIvppW34Sj+o5uy/bD3M0i5qAq3+KSemBbbqNSsu4ELQ9sRcYduE8JLUkcTIFB
y6Y7Lbf4L/WcUN+Va/Y6ztgO9QYrCHB6ppx2vHHqOpLFXWUIiZX0ZrFAXM91hZLHJWk1xOpjw6/d
49pvReF1BhGUoubRRrdtVh5KGmbH1LkVFA4Wrnrl2ndOJD0ZU75Tu/gwcL+aQMHqEeCJNDJ8q8UM
N2qo3YE9rh2it1sAO+uoAlM2jm/M+sT+yvLCE92koiTDHap4U0pYSwuhNSnaV4d1exKdD6Z1I1SZ
YImGgE/Acc3+0t3kmTr4Js3f+4Kejwt8KIpXtJonXh7zVBrTm62oYNM05ys3Ql66wATxLBU2cdoF
q2QLCZqHh69anOxtTEVpsjjRH1vMoKwp53gHieBDaID9U3qVNZUFTdorvq4yaNTAE5k/sAS4NDhA
uB3xO6xbi74sKnG2hEFky6YT41TkprckwfoJVcKNHMrCZ6wj9sY2nkdH++gdpPek3lvCOBaUElh6
7+NTY7wzyVnVHBy4M8C+K8jZMw6qTcyjaFWWptcQ8WnIUw61ShcqtgOA3k8N/WVRFD2NLKIO1Gmc
SKE5xPwZbczB0+Zn1IQflCAeVt9ZBXuoif8qqN9ji7cbmwEtoJ4rwCblfbEHFftOjn0zzljsBQJ7
ne8quHSuIr7cKnRgwtSfZI5us4GnLYrP4ClPI6uFOm5/VczRfPsFRwa6AMUjBHfwAv0EJpwxSStG
isdOaeq1Gha/Oi4SzheShSw/yJWJ6drXnUtsVpy7NqG9Abflzi7QZabJ3BkUi84Bwjk3gMX63Wot
l/riKVHt9zhzafSY2cFgIYWN6ZbtserC9nOcee5NKUgOY2TcIMuj41fvo60oDcrQO9JjU2zuUipL
dqCP4zWAUIdHNnOzNnS4Bue4vNRhF7zqtB3uTcU6a02TXOihWgLRmKTnUs28wkZBUZJFOUfT8ahF
6WlLLDkH5ihLVomJL5NxY/T6jrKkugXLxbQ5Q3cpmJO1DrNvW1ZrU2OjDx8lIWoIPVTpMRZOtXTW
iaMrp/9/JfapzPnff5dh/7N2+0+733KROtv//ocWbfZ/m1brIpUiRv8PWi0S6b/8cxF//hexdvkr
/y7W6uIfmjBt27FMS1VNx0T4/XexVuP/0XFxu5YpTHgMGjLp/xFrTfEPx6AtzMXk5Vjsu53/EGuF
+w9V1dmIgshwTMPkb/3fH+3/QazFu2T8V7FWpdtKdzQuyqbA+W04/Hz/Way1NUWEDJXuGg3qoozd
EdCqlzjqsdHucrGsC8VY68a0YUOOZaKlH5UlTxptbU51srtc7n+6pGegTfewgLAB5uRXqSC3Rt/q
hSez98Q6hSMZ5n3sdJRKamuDVgOVDEGa+wV9RdP8YWufQjkHlsSBrK0hG3mCSajPYtCsFYbUz4qH
cdK7cE31z/xN68BCk7dI6TMexDftSyzTgq3EOiGnlwicfJi2D8yhLf8CbimF3mLZ12BEP0ZMHz3j
sFM9VvVr0SePH3n4xM6BexIA1DsUEaM7GmSHbDdbxzz/Kp5ULY//1VKqord4y4a1pjcrC5et25yU
6kZPi42zmWJSm4maFpUiO+F344eoNuCjNoU90W/yRhvfSu8v0np0KY7GaFF9lgzDIvGC3u+CeFOa
7YGWCR1WccDwi8LBiXdqlF3tHAxMTnVGZ8d7ah+TlEB6w+3V5erBPQ4tAdFaan926y93oqoaf2Xj
eoZiPFLvdhDRCeFyO+GMKqAyjuZq5nFrDhwkcMwBvyUCYklA17jgtOBNMxFBcQGvBL9jUlPPbrwW
jb1qqOkMW8TBfRCitkCgYeKLWxy4J0mKKBWvcf7tgk9p5cHk/ha7y0k2+7lC5ATjOfQJE9QheSRW
tEu7grufA262UUyzDWeUC6UNmTfD1DCr+jZospOuk8ajUJyCD7vdNCpzuFD3seHy6sJnimq69ECN
+pNxH3B7W5mzbzj7mzY7CWinRT8fDCwAKhKadYe/uc6QVCTzntvT80BmiU0zPVKPIGQwpfartoZV
kT4UYtMpFEXuNaqtE+eJCXc0ng1hXmXU85C6uAaFWBX1uBEvVX8Zmwcnkdc5JJrFbXIgyTPXl4qE
uSmgNs4zWUdGSgeOVVP+yMizGWkcuMUvSXBbjAuhR3WE0u0M5gQ2Bk58kMBhm2Iif4gwu5RGS9yx
SbclRk40wMFIM2+r7Jmwy6FOSXgCuaKPdN2PdNNRlUnQemlnwiJDfBoAVZRANTbw8dThHq9TU0UU
XBLfANELd3+j5mB4uZyk4adt7Ci+bHcQYE64y1krJMjCJBWXtBBYCfaN5csMQaB+IHa70t+dkLAx
tSo6U/eiZ9dsaUc3PxIQ2GX6ZzP/GTST0MozTdehARvdpl5da7tcmkenyXfEGCxNWcVwQ6G3tN7M
oxxZgeB1bDjIVLXfcf0jLA2EAgrZ6Mv41XHqDUGznQ1rtLQbAAZYhyS2EPUQVdqW3GlcfAqXGor6
CTnFSdCe2bnPi17eDh9g5LrqO5q/bJVlEVc2M+Cj535lxg0V6VE2YL7EAKAM4yevt1U+BzE97FCR
65EGJqKHqWof0vAOPINancajCQ8Xie5nBWoPDut2rVwm7eSw+OYtgI5Yxrs4/5OcRNj+R6M5qCMw
q1z3jMrcp8yQNt0YMqNngcpqAZBRcw+hfGZtAqYUyr9+S+iMdI1LbkUeQwnAYZCpsPkFx0XYIJjO
Bt7xxYHGHSdt9mByiCYdG7Rssm0o/XSZ+ATAv4CjbHr7bcarhBOGJtWxiz7Zp1v0BG0THO6rDhTX
trPxJBQa91uQT2R8ZhGAWmUKa8k8Q0HHT87GGyd6ypWhag+zZp9Md8jPwrSehpGklkYHFJfz6Qrl
G5wPlGWxlLnN84+Y8f7pDPk7F5bZCQ4We2ECX/obUbBvGWfsZRTHC12gbjrGXX2xuSS0KrmRdbTN
MMN7qh+52T0j8TS7wm5IDTWZ6ReL+0Pm+0m5TymdcFnrSkJVEPp0WCeU966yylE2osVkRTp9rY3Y
S1Sn/8WxaK7K3BzWlZmO+9TF/W+58T3l0VXjDVZzbmoBgO23Ei6cqyOsFV30bmPaQeR2qHgv478w
UaFFU6DhELKtgJmY9VXMPgUM8zp08Q5mwdjvCfHFjPs9Tm6JPrDCPF5yEvfSUyqyJeKmZyTComaD
lkkiYmkw7DCINqBDojr+wyvWuwKyqGpmmzEr4V9byS+3S0Bkq7qK/XLq6V+bGDuhhmNRpJDZfO2C
91EzqMvsuPMP2VUErFtKkQY+Md6faWs3SgS0NbkSTexX2eTS9iOHfYSHIXLwJOlxdxsm8RVxQ7m5
Jk9wjBX9rm9wJA/22B8oR4W0x1OvrjkYg+lMEZTXda29taNwJxrPzNAe+9r+43CrV5bWOHsnBoaV
RcNjFtf2Y99kZzw24Mncilm86y8axqKd0Z4wWky7WKcGOssdRB+i9YJO+G0zus+QxaBS2dNHIocv
SDfjlhgXb6y01pUE9NPlT+1AyGb5ZDRweElCV8QV24Dtooodz6ydx6h568aEb4DbcogZhT+qnMmd
HUGB4SQxB8GXQ0Svdd5tcr2MNgTtu51MpPNMqtvBbMf3w22Gva0ZB27HPX1vFGqyUXgJbTs6JTHc
10AmHIDdN0n6/gCidtXy4hCwJ7DRY/sFDbAmKPJiQg88wT8iaYNLWHHZ7LBy2WdtQ5JgW0//Juuy
Vye2i5XEwuJPj8eZh+E5ECEFvXNinhPt3HQOV4KcAckd808AapLkfvlj1j38DEGkqOczCgIO+Y6Q
cRGV4Irw9lvZhN2fRrSLmos7lFbTtwry57HB4wVlkC3BFO/dzKKnKUh3SaM6OxW5H90F1Dpx8yCp
YDi0lHUOTmQezIkeyL7rUjpRBp/Ye7hn8VRTlkg4VW1i+RAk4Ytlk7zuHpwGYakprM6bJYsHJ4G4
yR/miepIj4tnveW3YwasISk6Gv5O+8ed9bsYVAsTZM4+RnYPpkJYsnWHBzcp5UmW9V4lOJrH01Oa
uJ9N79D9LXdKY1yzrt3QoFt6Gsx63RcthEAotYyCFRIUdhkWFSWz0NHMkOIfwG44FLWN6CI6V+SM
jBmjZehsaiSwPvQyiScvp9yx+5yhOGlHq7+0NVdEbHo5J6Y5sD3ADSnoUow+Iu0bXJOh/RruhcrV
hqEh4zeI2ruT35XYJqdpXpBy+CUvCDth8eCqyk5J/6wESxJylMz5nlDhx6qn0je9dZXaoUNFqqpo
j8gCd8yTzj1gn8rOyVeBBXSa+JxYhY3heJCG6etQ0dIi8CesfPjasy7+gGP6qbBnNWGhEQfknGEH
2Xkal0W2WetKe23id9L1Xs67Byiowc+n4F3l/ZVleEzrR0Zoe2hecQtBxZg9xfqoaih51rnW2gPJ
pubaVumThR265tOv5geDNHcv31vZPEbJZWQv3sJIznKPOYcYMB7VhT7D2y4ZqSTrjz669uj9wJM3
7RA92OyRoYJp82NZLF5ZfSsU9QjsxNLKJ6F1NCS7BMxZD0dCXaXa2ZwoCqRrCvKCSm1wYgag4Hez
4gJ+xPItpzPxQfKrD1g8/JkvNrNPybqBtLX5Rl/RemScyAuv0RgnXA1X+2HPrD3S5VR115hAj8Z3
qIDv3ADA6qp1Pl8Ccio0R9DKsdejr2i0+bxSfpGT9B7YFtUrlQ+VTPaOelMpM+t7MF5EyRrrOwJw
1Y/bkfcqGztuMCfHnfDP/aRQMlpMncosVlH/22OfnGYuSQ3caJ5ilj3gxl2l7hYOZRh+Sop+g6uK
RhczdmYnNm9rguEn29ml1mu7Y7/GaHObo8d+AGrTPyu6SQOqySn3Qosf+86QsoBum/GoC/LlC6Pt
szjZwI8hmHWhC31dSkmjT3qexCYGOIlK7LckgTmeSJjb4SXKeXnxXgfCZgGbsGKSIBiXGwYrojYj
OBxY67Fytna5x6Z5jYn1JiE/BWUApC633Qh0rCftuJcY6R3jHJpXrbxWgqedclXDR0dc5YAeZav7
yD3Ug/ZAeFUnW6gCdlcJE+UGCLXkMIxiI9WU/Q8OiuHHih8CEC95c3PID7Z4OZLgI43Sjc7rWdmD
F9ctU2+KF4jVOXE/au/XMGseZTrdiYpKMR4MjbthZPtFW20BVuxVBy867dWg39edc+rL/tUBGmSM
R0M52hE4HjbGY/fG04udwLxOrGtacEOjzsvZixhiR2IRZjUOqn7iy5hYGDFRj2vS0+zc/Th/m4Ab
a/Oe+05p3+Iehw15Mjf8sAjW1YN5rILPHhMVt01pXYwGZpkOPlizn2uAdJ2s8ae4+xqNlRDaNWYx
0GZvZiOfheDZYNNBMV10jSUrWR9Djy7QGPcV14vUODSF8Hr1FNZcCAfmXEzLpIkDx4+lfNLtp5HJ
xwBU7kIyNSyf3L+v0JU+ly5QMYFj6TBVpAKxDpBTJhjCbXTppbTj7dhULFHFUxBou3j+GmvzjEG5
QEdk6wCUwSvGo82PamgvBG58EXWcaribC7vbstlNkSRGEk/jSAa234TyEd80oejvZcEDZJJvNTXy
VPuuMbr4Y9NvCiSIBRmqVeDmbK+xQJqZWcSeNAfFlV9HwRKVYG5UXgrCJw6AjrDaK3wH6lC/5EPy
VcYc7Vpob6fQfqiL/Dju2V56WnIJ9XvtzL4d9aQNHmAHkXEAOKI+VxQoKk0I0QA8076xGpgd88G2
leNsIexikcy4w0NW4QpZ3jkWYLK092Km5BSCbd7m3rLoVqNwL6zmVvFgNpz6ISeQH6YvE4oClRyT
Vm7ooV6bj6b9ZAImqnSMnzGr8GlK39wkPGZRc+lTzzYwqeKWoAxk60Y8dUv9ZqsPmlvtSFauoTQj
G9viI3d46cWliZSTzdmooVMXik1KYJpOrPPYOIAABXlVu8nWVtexaT5T3siHlU6PbFnbhzZEQeNn
ZNlh97zF7YsOx8QM6yOuop/JUbYjtc5l4dxYOt/+zehLI7XivCfqLXQbOoh+RtxC81uTGIfESZl/
n63gDzQeuoPgtHc5NzDnk3g3avopaBq9yVgctemvJr5NccWe9eqGdOo3loYtBWj7qms0Hif4Bm0G
2WyrO8TmcnhI+tScIvppJGzRKG291hxfJzhj6ugNYXvJYvLPTYMiId+cKb/MZNQGPnouDqhisdlf
dDPcqtLeW65FO8xjnPsq+Qlr+bjPZ4ULU8fMIY1sG4hDRr/biyamW6oXNLK/J66yxm5/NuOK2fd3
dCHhkE9S2daIvw7lqKhY6A4waRYW3p4karjE94R+ABrKSwWCnRX9xMVdhXWzSx3GVWCCcf6lFsE2
a6IHRZjv2rIuJxCd2uEtWp5kY7uNjUe1DgleivNs+iYKOXnelanDdKHe3iENijS1N4uT+tcwYsc6
wVvGjDDP0LxxGD7TCnZIKHZg66eZjV9GvArsbEHOL3Rxz9XrAyF2KHkjzV3s1B2xdtuz4txYm1mC
hPZvVhhvBLK1xD2kpbsro+pBLQUVwFD6g+MSQyXCfAumqxHhX2s5XI1LZebHstDv5cBd8WrM5b2i
dZalbc4SFFtmpT7Gi7tI5fHTfLlR/ySAjgAxIyRrMCr+URocVgELv+lLYkfvibUF0GdiQgIxFmpF
1+9x/cxztEleA/ert7+i7my7T7k+bGdKmPICYkO/d/N8h7xGMgYH9lxHrzGqTTNDwsakatQjxsHS
m+ZsI2kGJwxYa4ehCP0kztfu3bE8QqmOBn2VxXyydoMHQTLsUkJMLLqOHC7yaL4udXlopnuWIne0
A9v9wdpN/I4avC3Sw/wOg5+bZ1rC+JYNvqBvWLLvNGRyAnrCelc/GJ4wuV9pELVwvHF4sMmtovhl
wSHGwTXv9dVtLptdxu61qp66zDklUGpIIhGQvKv60Yl6L0zeXLxz46zv237wKqPd23F/4tuwMqYf
EC6bTmi7ii/nDKtk5hwkfUTQj0YE3hTCktBxQH4tk5c3t7dRFwjKzIRWzZLzlgajpzOqFKr7nUKL
NSmxLCuWKibMEPVVC0gaD9N3Hf1lKd4h48C1cts1xBC43LbSy8pjMcjjaLHTGUnz/6pqv+brBkyz
4bZubUy3BIQQbCmBYTNyHVtOnojtazHziBDE295tUp2RiwbAsTqhMHbUQtbTJQ0bfwJhpxUsuNEk
pim5Pc5ZBFSj3YbYleEA4UxIuPpnC4H5kGfonOklMUDiAanBvYX1kJt3VN6mrnm0Wv4KV9I8D84h
e8lvSOwBlGr7qBA8dhcoFfMQMaGlLit16nX5W3L08VhqKZQDxYk2xMwKKoM/3mvKmlAz0AQv5K7s
ogD0GWKp2RxaNrUDZmi5s1gitSFDXHExaeCc7aMR78M8OhULl6O/DFNwaNOzcPnD7kaEUMxQ81gZ
EksnhidWQkPUESeAdas6lX7CL9wSDx3SDR5sXzrUyE5nfMjQoFAhnZ+l1mLqUeYKPLR9vRP5tGuW
Kar6y8bXlvw9HS8bReokpdpNgtlFcWPf6TcVDKGAb2mv6Num6xkX32c+y830nTbu1qpaX+qfodby
3ZhRpnLfrn26sW2e1SorfvDCyrqrXxWWfH3GCIWrgpdhrE4DVFFbrSkv9wZJk1HcncbkEk+fdizX
dQkVFNHX1TguHM4bTnUZ5EzfKbd2etFnz8l8zTwtXYDhdKCla1YyiCZv5kimxxo2Zei72aWz9gq7
jCEu18VY4zWElPmSDNN6wQao3UPOiAESprJOekb2nmB54FzUqebkPDhM0lUX+JV4KdoLjiZfx1ne
FU8VkALprikoIp53xj3B796wH5HQhk7WfGEBDq9sFXJ16rNv+AczCAq2iADocDT3fAna/t1wbyHr
eSOEH8s6w0l3mWWvliZu3X5I4n2qnqlA27LQmdXJH0Gs9EiKZB228C73+WmamO/smaDxXZqHCnk2
xJxSs/FVPjQAtmRrterQWUziyXeTp5s0CX8MIAXuU8s1qs8fq2HaZdpnRCFt8zW4PY5mBiENLMbi
V5OGT4srBTlrij/8Oj7W0YEGay9uy31qsEJdKsug7E+Bvl2AU7rurDFqtpw9He0vlnPvcBzxoNM5
92I+d/kmxEKELh6RdKJHICmtYzb/atimDZwUk/ZpN3tDcAIr2FKwa5r1hoDzLh6D566U7GHpHtS6
j5JZdJF7FeEB9gcHeTc5t3onY8PzXXCMGwCgFBgGoTrt5rQ4WWm2vPn44dM7zQ+HRKth2uw00rER
c1doxTvghGs5eG70mQ/lyZoQcLZWnnq6BqXJnDE+bWJ2QM647ckJgqtbUY20yZMfk/4l1ymOnXKq
6qeRSYaY0QYoIK/Ph8JCPwO251Q4Sc4TI6qcrpCId4Ha7GAXLJIKz4z6VZrLzb3dSG08trI6TVWD
nYftTX6ZnOnZ7movqCkTpwjWDhMfgbF318KtDmZKOMEh9Ki9R9HInHaPcAlq4XrO45eOz5IdBJus
uFXaFeOZGL9kXe5bBxJBPG3g2bHJs9ZNeCwwLCvdH3gecAtYR436gd3nKtdvAYYXuBZbC3Kg0uKG
n95m+YqByLR9umb6bxsOkRy31kLGCJ/LUtyztxm4M2cWREL2/PI55U6dquq1qiS2qw65dz4M4tWC
VtuQaZp75zGcPwdwfl3pHMumfSBWukqVbNNo3RYZl2g4r7g0yCU8zVGFJR/4vzM176M6v2QR6hhA
qsnEjlO0fo0YBB4UYft9LnvcfBxyPGor7MrOYG7L8QsWw3npmRsuLjRQzdpMOlkCrdziJqZ75dWA
tNhb2fuAMGdH5FgN+eCEeNxle89IcTClH5waK2wFtAPn7QYDs2Mnh1C1vSKN9535oHRH1wlpQIEd
wrkogteGK8HSFprW8Pho16uVhoc2WHW7QOdWnkyu3gltSYmECe1uuFVuijx5FmziyirhMihWxUjR
jj7siuKapE9OVW5bF6luALWOszKFdzvivVw1zlNUQGJTBf2X+VFD9tZcLJjW29IM5BA3H2znNGjp
g2ndZrxYY4l8yeVPbQIvCgESOk+Wi50ch2L92ifW89SM3yDDVu650AQ+RVK61tGA9ojAupHyQGqH
oAsydUEe8dmOq23aPbvHroouPSFVvb7SCA1iDIY1DmiV9XZwL/VLrGEMy4xnYHswFmTEt5KBDjFY
/tHcdWlTuiQwgSaSpC7/Os2Mt6HJPcBfK7Xv9pNmbGREs2v907bJtnHaI8Vgu7lJjgS3Iyd+sIEW
RZA14+X4vyQ8T2pzXKPxQ2N66GSwN03KB5NorQu0bFi7CN2Im3veh3nyiDpwGZEQk2M/1N55EPry
m5PAah/D/kGdqem9jO5TLO6RtwTjNfnDk1iJLmlMNYCAOubN9WuS3ZzkOk0EzK95qR9razU8Vp0f
RvvO9dpnjd4TedIDH3o9PIbWTdc1bBsH/cP6JK/7DazcGxUmu0h4LSxIrWvblTS5E1nxZqIkMi8o
hKoIFU2/uSYOVlz7Gr7ZqU9eE1ASJbMTmzskXfs2ONcOgSO37jNsfmXId2HtDZzvsIlPxeIjqKbH
GANB3Saf7qQvvDSvYycjiDDbGt484OWVdp51a7ssPuhG98ah2CZs4mtZgc9CYWjqg8rCoeYJq5uM
UZClG+de8MEIaayDlkVAh+0kS9Fm3GV4JC0wkjgr90bwTizagtuaQVQwuDi3evSWy3QLr2dT1ixF
8UcyW6UwKmMghRGa3IATh7AMot51dJTP0L4rbvEo9BttRmJwNikr7rZE+bRgHFuvACiYCHBizYQy
9UcbnGc6AcbC+K75PWp9V2g4vX/V6Y1pnh5G+9UoCRpoHyqI/7b/1Ad54iwQLJOrmZtbeu6SS8FF
QOeMsvngUfWzsgttbYNxiW2usdXwUaWfViw2UdbvtIqz3sW2DSXU/ur0iEswsPYQAC6cH+AAaa7z
rtxi57nUIPtiD6ByF6ol6Q114rurH+MPOygv8QILUtdJ1p3L/ItcVTG4K7AEv0rNwzIPrm4o1zFd
AcrB7el90l8iWz11ZbDr+Gwr+u/gnqNZe2X6xl5C37AS/9gLth+6XcKSVkmQNEe23xFPddFBWWSc
UHYqD3T2qfDVrZfCfg7zv0LgWwsuOXJYakyXRANxxVOSkPoWzgHgrpa7+WNJGC1Q6X9u980YrbUc
z3KmUFAzr2fx7VTtmSbNnRVET6VJlgPLmmvYvto/OPJ5SkKkA7QUZrvBfbXyP7PgNTg4MaEINGBM
xgE2MJOna42sJgiy88FrsIDGzNq4VaB0KU84MTgBOCJ5W7jODRXsuP5UUhJfEQiH2esP2dmuII5U
VuLT/LvR+3GP+foQZtLvlejelmsnG66yU771zt1CBTsQKEHN7HZdlR3min4BuAeSRWuXN9ul96iz
gflnT7JJfslhIlxgK5hyz5x/M7mL6vfEHrlXy4vaYgX/V67OazluZW2yT4SIqoK/bW/Zhp43CNHB
e4+nnwWemTkz/00Hpb0lkW3K5Je5svhRIP8d7gYOI6PGGC4alkkqB0yHKTcggwT2MKaLrCzPuuu9
juqm2ZjaZX7kDx6LOGEkw0/xCl19vjAwkn9vaK1QMYU5Ckxk5nSIXtgNA271vxyjdrjznlPKarDk
efe2RcrzjGJvut8SP6TbhtuqqXEiHepBB6FVP8cZahXmg6h9TWJAKbn2Y9M1s3Tcx5zOo1ZES0ca
l9ATl7zf5Rw3DC9qODqoBXyNbTPgth3TE8L7Ecz7PVLjnh6uvR/Q/qg4OqIJ5IXcVu1W1P1Dbrf0
l1/07xzRl5bYfzYjD54WK38QYHUJvz/qPrlJQE1lW/0O2SahNNubrG3hGPugpiUND7/vBEeYVfAU
yEQX5wCaDcuZj2e9kDbCP3NJs7fm4AZ2FoofgUxXMIVy5+CCXhc2K43pQtppyVTWTGPBmhCiQHCs
mkdnaL90r1kdY6ua66BI6twnCqvdJEPJK28229qoI8n3n55RM9uUxx6BkNnC3SVRBHDSwxNNbhGj
Vdre8YvQlowDl6OETsuOZkI9R6TWlHxrpv4QsWlJbXqyTR3YJm4dTfxjILBKIeJy+sTyb3BBJvDn
3XrYuLgYr42sTkBF1p2Q+7aruVG8O309N4f4K6fKO/5uCjDHfFdgX0T7XPshF+4EMEZs3eaYjq2G
q4Zzw7uWWrcYOTBjUeoe48B9rxyfcy8dJv2zTAx0N/xZhPNC/zugCrLmzZ/DLAy5OpbGMWWumGnG
SarmY6C5xqufq5kTHel70rUsAe1OM5kye2uL6dw0/gzTd6sRMC0pC008qrgw+8zByrjLfoxg1r0J
ryi8tBzJtABU36Kv6pds/uRBgx7rdj/Zvw72pSwfthUd8DnOI3pGFnPQLMcclNg2pnj1gslvpdNA
M2QYOiGNXGVHfeHIGXTbczXx8uajgT0TRHJlNYxawcfX/S6iPrzP3h28v3mFGO372q7LqKfLNwOa
RcpJgEFJz5sj6/ExlZSb3ZoG0jWtnx7Pu2Ew9+VyjTeYpkW8ekCN/XRdOMRnZLkj/4JEoL2waK7y
+ArOhLkzoNrqwTSmo4nrDOfFkSeEDi/e3OMqjjXI/MSLvF0twUX29lHRQW8qfwfra1nX8GiQ6NFD
FkSgFkZTbAzJ5qlaSnetQ6HgOFNRU306vCFbnIHzqAilHVtQ/pblLxosyKSZN3dkhbC/FWFCSTq+
fdu5Z9zNATcuMWYvM6ta5bey8pmHAo2qpr1GaR9p8ceoHQFWZwgI74bxHk4cRG2uImIF1waLL5xu
ekKS9MXm8Ft1tDrKc2xT4N52T0WTHSrT+1IGn2L6lneh0d1pn39XNUclPbO2NRpMKsS6GpuD3sTb
stUehpFTETbcLsYWHoLb46y06H2xriPsyZInXnELR78o1cYuoPxUZQ83dlzogw56HzFnTgFwi4w2
WQNBP4/RELzvkBaAlEtZEvvPWuIuYfXhfilW1xLaShHo1GxNh2j6jjGwDXW3bHK686I9gUhYWa+G
9lMgpAw4GN3szZHj1od23Jffo77VAflI+nrYP72xhmqEiU49aYPcjWC1QjO8Fb6xo7dpYdMKYxEB
9falT1qVsbfCR9ekZ4kV2wpIWMYktvDGGf6jbn5M2T4V3abEBU6xGM68T3rBVaTtwBMvPYruGPNP
AtTkXQ3/+gxRyCCQzL2DZN/IM9tLDF96fWsn58dOEVLYGTjKzjyJmEq2QOeWbz4GKVUTGnmmOjrn
obbu9WI7gi/pGKrrZnQau/ozFP27TCUQITAkWs4AxqKaJ19JToK2u9W0Mxh4rgMYRVjMiqm5DS1n
F4tV3yai1Tfy1NOJ4vY+qRTH/ent4J001To3YxYTvT1XLH6EOrknDB+Tx7JQf5LK4CiVxWcG1LFe
PbCgmuaj0NJ2WUu1nIYGj0rnvSWGXJLMWKQPmEN5N/hQYJLx2k7lY5kHZ3OAFj8q/AHiONsZsfoT
70ZZ/urQa6viME3JP5pxqBHxwEfGhD8HUbHTbAxOarlMT2RH0rU2mcYr4u7VMtvwGAe0B0wdl1dr
EC+9a3z79GE3s1W/9inXpt4OXPIL1RLjstBMQmBBgHoLp9CIrHHrVaROxgxwM0Yq/25qrg23moMv
H2LOCAuyWcWj6JmMFsFat/tlhh200xvzo+1hjppG2p0lL3Y6UdeRWC0dAsyKURWS94weKjuPrsSh
QwpuCGEw8YGSA/Yom1DvBsZSwOfhnbMaeFQ6D54O/9dsvp1W8zg0OtRdhFiT5tYhI8p4+6XGZx6L
4BC1JP+dVhKlCu1ftmFrZ8KPQAHl5mNIAtmztprBBp2myt/GSfEa8PmNa3RA4GZrhRXBjajH4jg5
gVShEPXQeC/aCRY4xr9vVz00Lt3zwRt1DEM+HDn5rGf7BVb/veVB8atRkpmdpvMJHQ8PfyFOSGMp
oovDfun6O2UDogfYrFHmliuF9yza195rQzGRFRR7wXm2sIiq8I5B+WOSzzReP0p/fPRmGE/q98mT
4WBKUb14SWEqXcCzG2w2VRQ9lMPcEx0xr2rsr65hCYM80L8mVk0LIcoaEoS76rUMW0tw7VXB3bDd
d8O8IuTNIWyTXew2+rbrIij6wdButABA5IATcZH3DLlyMo9dVLfUWTLeGfTUWvo0JuKaQH7Eg6pz
vGSmbiXVxtcfSyzJpWyxN6KNDzgfFa4keQ1o6TrIcvikTK3a9eBat9NADSKGNe2JINCYS+qfwwIu
tYwFlz1o/iYRX4l3oQiypwHny+g/hIxudZ9Clu6LSDFAetDC7PsRSWnyFsS+KN2cxrVDFlYM5/lg
hVi4NKhdGbulRele1TEVnPPsHIRs1gUdkAeA0rVtspP5qEI4GHS1kt1vwj20ynD0GaSdm13fsDMT
wJ7uNVqX63+W+BwcXq3I/KelQGgZ88xpE8gCjgE0kkgZdyCdUS8Jl8I3l2PLn/bBJWJmz+MEC/Ww
q8PDYH6kWbPJ83bvmV80k7Gc4Mtxn2WEw96iOsFmfOcucvLRTYHOvlOs8JG1jfoN0udyKClomzZS
5/IdEpwl5D8x56O9gXf/W2b+i+hCdpsHNtiqeEqLV4ry8NTW+9nHOpHd8gzGd7c8GBYuNeS6k2A0
5hCL2yXsuEh6YIt2uuLHEfUppNqlvhUM7VJIybH46MWI0viaI9rqsUCExL7iPVmU7yX5W5ch7bI5
1haqATHzgbTM3H1MDxOcVm8VZkdV/HKF0DgchCOre4/pQBJ5ucAoXYC421cBE/1pMUvPWX0osOGM
ITiTvl8mjyhOI3fg5iTCIxKG6V0stHoRj5ug8baDse256dvmRyfvhV2DCDNJzG8sRtv5tA4gQJYe
5Lpo72oe1DRFXXexTWt3qbE7GkjPwTeyKL0+J/wOLPgwXrJjHH4HUY5I12J8YZL8kcLGNvOLVz7M
AySNAQf247L8l6cED5heQEwoBJjNtl5KEP0mBzQzLDcDT41qTx7KKexkzX5zkXDb8K3gqRlM/h9e
lRzzcw5fn6igg8l2dmLaI6eI1wlR2pQPRR0dSRCROgyxbaMgFm9RvS/TeNl4B+JYS0SoQh797kd5
1+LqMbelbQh7/Hkg6o2DuaazQiNSYR57kgINd/RigsKOdztIVlp1tD3inUDNWe+zGJ9c8pRG3SHm
ih4UjyOomOprKrHRq2sJfTQ81Jic8BnF/Xl0f7wObdWf41oZ06S1ww6r9+aCOQV4z3d73FmYJzOM
xj9uDVVl9rjxIZ7xYprZbOj6tRJWlwmRczCXpvUjAi6G/bqZ+Cm4wlMYHRlUMhjPYiAcOy7bgCbV
CKDJMYyegastTK6hsdqExS9OUIoQuTbtcgNjDcFhHIIWFe7JsExZuuUhR3ILwP6bOJQNAF0sJa24
aeXa1nDT0E/FlaV2tiPGtOpN+taxT758TrMtfDEvp0blKOADj1sR1uv5rTMXjERcgUQpVlQjDSRB
qo0+zHIcjb9wTX06Ra8dKK1UvVXxLxstmb5u47Na6mHO9YR3Q0RFasnRDuJwutfjp8n6qbudn3yY
GD5LmEdw89wl/lMrNVaa90yVEmJAWYmd3VF3bE+AspELZi771cnv9ijqnay5lVRl9zUCSVzlSlp7
OZoJlMZQrnJmtdAauGxxE9qYXhIQjYk0wLb4bLQmv8UM+hBZfnRBedcEBdkcQ3pEWxOii3npuSTZ
MjRetNBdFT1aO0TqgQji+B2YqQO5m5uU55dvVcuYMsxzBgKtQKphap47KMh2uh0G54HRtvncNh8q
i8gPJypd9QPSlKPdSivz70by5XpdwgCNpUozGpJKFtlPmP2/aTG+Wgm7J/YwXsFbnuAsCq3H2quc
bdBa4KTqd8lg9TMt6XVJuSkYjLO4WNJnqloWfC0QtECq3t+k9BT2uGYgJJeXkSZBPvYG34huQ1zy
bjLkw4B9wuXfYVyBcKuYSDtEosTnEItdlt2z+NS68B9sBkzOrxNtbUE5Vvw0EiKysulQqV+PcC1T
ou3U/zb2ruqfSu3kJN+GFt1Cnl480WBEype4x+pqEXxq162OEEcao7c6sCNAhox7jZHEJ6YUJFQW
x+dseHE7g9bgD43cjgYRhMHivDnqSY+ObBDA7U+VwU8TpId4wH6Cj7u/5qLLVmA81nQDvSeVegBB
ABq34s48gWcyzbLAGkvpS1zjfwM0Z1nE/TVHfiO3Ui7QxqeOzKwXTFcSnnsQrxx9bYosIccGGzrO
zWMyRMWWnf+10VaURvUXs6WP1pl4cfza2tG56m45Kfvklk5hFlMKwHqHj4jNT1IANsXWY0LtlrBJ
6+ca7UiqKIY9aN4l/m/uK6o08S/QMtKT9bzCJT95jDmLkcWZz4JcKLTGTamPS7gFNEKO/otTdPlZ
gSikI9Chc2VKTo4OH29iNH73wB72/j1MGptcHCBnfXZsTSme0rxXxkIDQVKlaOUp9HNa0ix8hQeZ
qWHV98A3Ztsx7VrFOZmwn2OP3gVl/OkqDAociKnu7ZO9a9cTr9SqzbWnYGbEx5fKpxbB5FYGgqdh
wgS7e+woxKHLzxQD8itk19qctnVcMs6Okx8knNmPgy2Tjy0DFb4hng1CPvIlD03YiOGVHy7ktAdK
TTYh1GX296rCPGO1GPhCLT+kjD0XAH/Z7vSReuZIbgGUMJrJECTCYAfMkq7PMnCWLl1oy6mmosmP
KJ7LOrC6MwxoTn5pDVhbw+Wk6Iuh3nCjrtd2HODACJJHghg7/BKcIzB+TiXWhDxl6wdO+J410Z5k
4ME32Pn8oLuOBKZPQFZ5Ios1VHB312YpPnqQtyHKRmbjkZ58JtPsfTLE7jCUFCJ1Xnj8+7VRCmjg
Mn4ch5jp4PxA+r6e4Qd8+febfw+JaY+HSPUNY8n5y7/fbEqNUYreXVwKTg9cPnoTxDNfjthtADhJ
IoxWHkF254qYNjkzzVpk4tDOD4PtTf95+Pu9//7y77/+j9/7+69N0/+/f6zIJjpyKxL1vAWXAIBs
+oA9zCyyjqKVRvCcrF5zdam93nYhBz6o93oO506QIv/7UqQ23m5XVM3egQjdTn5xxHmYH//zHyTL
KzXkyknGA7QwsnGmaMfDfx66yFtEfYc3GPgwriTLPvx9Vfzfr/7zS7hwex1HnhZ16TGI/8+Drkvo
L46vcbc04qOJ5Qph1jwyUQPDQvFtNjZHpWnEC+cHM2LWp88P/+P3vFKjrDDt0NIjm622sY9/X3GP
R4aKRzQJ9AyDew0w80xXc81vvq2i9r33dNkssgBOWps4MKpzL9vkik5jBNBr0JrGEXhOCOhDD01m
r71x1CL9//t1MIC0DV7/+z/8/am//7XN+JR40srWkxhoQG3t//3QTkV1/GltBk2U8R7/HnpX5yb0
31/rPAfMR1uEA4P8Aj3u4l+jKnU0zYxYDZwGDK2J+Th1zmtBdfaR2xe0yJuWpfLBC9A/tIhmNjjP
k4zqm6HDVWBs+6HIBeESw6GOscXZ9g0XEJMG1rPfE1ptlUtfrMShTEZn3Q84sqgeDU5WpP5h0DE3
tSEoRNNnOgoK5vHvgYBnjQqkYX1oixJqWkolJdx8tsiM9jNt6dmVfvQn6vdiWrQjanIdvBK1B3eo
8P1n3zNKhnBxd7QZcCFYcY7PnP7sVZW2DlAYF1FIxg9mwrFqMcaUmrhPnSV2KaTUNOuxFZB831s2
ZzQXo2lhjSSRY+Q4aj43eaZvTWvCMCbKCpJsYjM6bi+RZ+T7sH+CWaK9+Pi9AaaPVMObwZZiPBDw
UA/2thti9I20bcd8ea1P7kZqwyrXcVgbGazCAHz2otHUxY9J9wkhKCsKtOCguPUuppjhgjPSeVOK
eZYR3jMX2ayemuSUQ+6B11Ff8/Nk00/Rdn1ANxcqfSjxNDrgJKqyqi9Bsvj7p83aI/zgCfOYFWQR
+nB6orrP3I+0ayB6dE+WRpwFa8rf/ziWyOiSy+Y+U7hdaI6xtmDjMf+4KDojoSSH+8y6K0MwE33e
bAbDw+xS0WsKoDC49Ri3OM2n75WI2rVs03ITpBxBI12bOVOZuGYgMZZ2OaVb8j/T1bUbn5Rth0Tf
TO/CnXqQILvExtMWq3rcKbxpwRT95omPrVrK+JoX4txNhf7Ka6HWOWjnZUDbCcJo4W850rYrZTVY
xpL4Kc6HGivn7DX1/N9MjOZRYRX20j3iEPo/LQXnCHwfBuzhxQQFtoHGMX6E5GPsIquufhPfQUg5
d4lCVISazSyhte+N0jvo9Kuh4MkOBmXdDLe0bjbOW+6Gerr57++V0axKKxMnVTu0l7amL8cXdNJO
zO/Jvec0sefN9e+hToMSC0J8VzpNUJlpBxdrUidPzalRmsxXdcbTRCOg2KaFW51AjdO6NdenhUbj
H1MJEAeJPN3mej0wjEexsdkIm+CU0Bt74oQt9HMXWwaDaYqYuaUiqanR30LMKc44Z4pz6XOKyIvC
XbdJharCQXtTNwONVyrNH8rGyUhAmRVto0hqdVXmZ8+jTZiBMYYYk/iKj1i+Ktp2OHHgD/d6lJyb
+d0YT3ifpw7zhwQFEmG9bcql1fqfeoxu5rstXc2uQxB1UMxnM+3cNbI+aQTDB6MVp7YxeFCtYEzY
Is04Z4st5ZjI0L4Gkqmph9lvV2NRdwkU3uIEykxRSXK5899VpspZmYZxbUq6BOGqVjelNfY1M0kn
wTrsW0Psm9Ee3mzuTkxSbT4uz2btYEqtPSI8HACtqLWvNjy2e2x7rwlGdCZTjHv4N4TThEtTC7Rj
WEZEhVpHoaROPs0kIV1wJmPeMnoY2kBAY7nXVYJOlLrOg0/y9Sgauz7Gwwge1Mq99ShE95DkZfcw
SP9m+eS5eamNVToG3oMel85acSJcObKTKw3nzs4B5kpE0br5uvtSNKPL3se1TnWWeq77vlsbzl50
rM140fs9M5K73hI0BcR5hnOqdkPfV4uxjBL8ReNThxX/lEAEWkctPXVTOv0rnOKpV4TAvUjQBhim
0ZNbEbBBMuFlj2E6x+na4xSxVyLuVlLHiVJq6blggHqljrK2/SfHDRXRrAFSV5aacOpxz/0tUp6J
aJ4WEVaGQN2tsjZ2cLO5AmP7a8kSkjW0q7E/limvdjvY/dE0wnhPU9vakziHzIogoTHmAQVJNW8u
J6AXObGYgXV+YxxiDAkyCv/z/rJJ8Wiqbw8ojzgw+yE4N9qpNv2cPxLiAxy8sqAkJBIXnYpHL+se
BWxVTTQM/a3SvpTBqJ3/3lBujBwm8mhYmaEf7jie7/vOjY9sX/W6LGzrLcRLPxunil3NwnWppNS2
mUNZ59DLhMrzwL9Yj34OScxnsdrIkAoSALz8cv49h7PFTimiD66HXCwtts9O1+2HZn4IzASDbDiJ
/3yix844O7ma9k2LiX7IH/4+cFPPGDNK+WudriEIotWnQuNg53dugIXAReoxAlVfZJ/KXcWbc8Eg
jDyQ6F5gmqoLFxh1AVDAaYCS90VQWlsrMcKHxmtC/KVh9J+vatq0zaDFDInsv/YHj2mpycPKpS8W
jprEKUYviGNaah+DCvCDSi2HRpAC7AipD0P3NrR+fu5DzGwOKloMihZq6TWcJyzxw9B05covnK0e
qRjB1Ryuzej81oEdbell9I6gLOgw9jZAzX7cQPorWevUEcNxtajqXIVTgvBDncoaCPCmxIu8YwR2
1Rlz4iIUpNs9KtAM32MA2hOxH3LCUnCwj6WJuKJb7VtUbDpKmX+FKnH4FKH+3KV0E/YouiM5OLPx
IijHfnSAq4zVJjYJa7H1uzWGBA977tY2us2Y9pdBGSs3q/eYdznojOaVSNS9bCfAct6yl1QgK8Gt
r2jc+1ycS+Hkftj2WKUPofdBpZ77aEoLK1JFCVEOHSzEp9nqFZ7GNPAO1sx4GsmgZUYoWFWmywTU
uov1GLEMKFDSmbc0L3aTk3Hzw7vVw802s5Ij7JhvUkZYqT7nAgbtNR2aM/fP9ixmM0npENTROPNb
vXfJeKZtfTaLdKdxAIgVRhTEUi9/MQru5MIJm0PfjQToLqMes8OVYp8OMetwdUUMBmzSkEMHLmDh
81sWdnJpu4xjRvwFfsY/FnMNCuBBRmXpC9ALRLhkTd/E3XKggXJ+pNKz8v+pKNGXWYmPwMq8o9sp
RTvZvO1Mn50f7YVAkRTaVJ5avX+VPu6zQk5nWfYfjs1tq6lpDvQM/OsOKCZdFFD5G6Pcl4LRoIHl
Nh4Iv0Wmec9Cy2XE1NOZYttnwadmLelNPYw5TcNMlBAb4pPrOo+a8lfuMP2oEOkdrQGzV9D6y0jL
w42WvI4WpBLMChVFz7Vx9Ef9KAgf0IIT3fS8f6iNuj75QBf9zK1e+qTDupHyo4/FzXUme8F6Z178
BjkPUj8qPM6xQ4LRlN26wZuW0voTAgewQrWpoQKgMwb7wKjaDWOO2U1rBavWdN8DBbZljKuTawbl
g4eCjjFDraliQXDxNEyW1a2KEu1d1OFWOdQAB+pSVBVQz7Q+aIT+SGKraUXrA99uH104rlU70uXa
vhX9IZMC8kkKVqI3p6ch6bNHmyzjiVPbS6sHt7/j39+hz5MNjQWO+nT0AvtJb3GAzbMtA4gBl5C+
beeggbC9ZDvKMcQtgCfdDFscqTnbnhMxwErz84BtkDFVs4zEuFZW124Yt9bLKfkUTfliBYAHPJvi
Qy6o66G7eVHdXelEXYeqyHdtMoy8Pi6hGm6hnbDgvYzjPxF48FXE8IlFgNy/RYselDdI3kE5i9Wk
0woAQz3fN77alhM8ERvHMPVdPX7JsQLGVoHN9VDajZFpleGClqx5YSsjwhdOjHBr1PannRvmUQzf
k2NiwRoPja6KLcHtdyl8tYrzwjyL1iSOPh7bqH9vMg0idRlhMBvVdhxynm9lEIztqx8NFsNqjODa
wuvaNMFtgqS+CHGikhcpu1WCaAWGp3sc7JhuuxZpOWqvBIXVIpHpWzCqX2nY+iKJCn2VKsStVGC8
j7CEexnO/InZXIu72GHFXbmNxEfO2+8IBURnxNzo0WvNJWLdRGW5ylDev93xmtXJV66SXWuT58ok
L6qWUgqZmrJaVxGDriSttCUW8o1QlVhNDrReDTExgEdkDSW1Glb8oWyAqEb07jJU3fZtjSUAjpyb
Sow5De2sWcvlv9aeirhnSBclb63ZvgQ5JbEjaq1hqkfozMyX6zVqqciT5k1U6kemfUIx/dwpyDYo
OHjCFUnYs4pka5Z6S/Gms2olaBDDo42MqpOmNDdmF9HEgTulsbMbFeDvgckQvTMxFPY+g2sHTZ4c
JQsg9I0lZROHsYnudLt4Vf7r25Q3ZVFpLIQEM+D6P3qcvoUjIAonIByFir8LWsNfFy5UntHxf41e
DcsuJgZvaPIHvi4ycz/8k7b2TFUZZvCMeQ1E5oOlgpMOEbxze+MBygLHgjz/Nuo3w4LsNprlJyA9
yvFGdnDK6D5Gj6OOrK01BZK4wvAVFTon4q4TuDMQwbykXgJkPDWMiPMRQicWb7LIk7cZZPeQpSCX
ykX+pM1dLK1g/pLVb1x4iOqM7J+2fgex4a1uZhb9q5KSpC+1b3XGAu9Z/ZsfzKHD1v7x4R5v/QSl
KSJ9JrhFwgORdxl+xb711NjW1uimlzFmqFTWqY6ywJBQlgxTDADccbxqrE47xFHwrMUgBIcm4gRD
w2Mb4MzPsb0NjnmZo0XSUxsTKDHsx+oWKROpLiq3YUgvgHBQWd0ZHVFnIxMUqMRVQZC+b+fvKzT2
dkHcxklwHwyB/mJMCGOWOaxi66uKU/vgzmPfqWAuy3XfAWaQiArkYvkScRpdQ8PY5pl/9IZhBZYf
DDcrQ6jjJAQ4E+oFtzsGwCZkwA1nKubMFnKuPRLDU2T0ZUy8se4pd/fzRxqKjz7Gwc6ZoCJ4Ddpb
555QnQn2jmJDScpzURKSr4KE/abnH3SsCd7DGGFL4d6SeNWXMbs51b9GdimhRvsj1jH1wMo2h9JG
p0XMKPjWUi98G7rmaWTrBPxCq2ggSpDA9jZn2bJS7kUk8oHXhAsjS6+xZZ9zLLEZl34RXVsH4o+T
81pHGbe2tPC/k4oPSWsXRDfEqSQFAJ4jOVANgqEdIrAn73BpoGh67Gg1LioDwaDIHvsKxwYM2Fba
YieDbz8YvlJUp4URYm3n9rnMMiznLHN4WGX5z62xnMkiuU20KGRCbGnKDp9CPKM9lzCeyXIZZn2y
pGKG3YVdCVRP99KAydsHqEt8jBnOihQPB2yxYD3SMrYEn3JE+4IOSQHaECfPRlbtMKp+CHHvm+Kx
yDIwCXpFq/lMqFXW/MTgTKzG8dBRt7b0PGMnyqDbtF6eMyWobkYUvDuxC9GVTWpR19kxqfp0TR3w
mMXWWteBs5jjcBMhiQXldbibAa1xHq22dpTsOFWhA7N/V7UoN83Ak1TaxlYMzVoIOEuaS7rPjh+z
0CC2lDZb0cIHNYSb7FPXIApo3YsC94gT1T9AORftnCYkMoZHsUArjIibmrq0sMndej4CXlaRzYjL
L9oWrU1ltNAhvEemLGTDhnOMLr5qWyYpZV+ekZxuEZGHXTU/f50N40YOXEQp4jwIlzirtJ4Cx6QS
ScPnMLS/ZVpRJSU7mCnZVzyn/nTA+rTs8YkXuvGqVKMvMkrNITqo77ZJrljnGoRF2HZj4D/EOsJe
PkUXvRCUP/vmRvOtV77JiQlh9JaMQQoyCc8NFY9nwH7oZY5ENeQDsJ0KubIrAqykfo82UNUBNldf
0fDlRwGOUNNacYteFvMJD4hPiYMF9lQoR1pWwEaMFmQv3eDskNv4cPJcoI1gSSi0BGdMj9czJnsK
ReS1c4thzeiAN3JV2ns29X1S6NVRi5ldwT2Y6DIpeDs5ugVrd2jnztabwhBnZPYbVddHluZj67u/
o8VADiQiLjfoUaMyHlHaAB0GOjt3/DFNbbX10+YhqezX2M5Bt2TbKP/0NRrjivCj/EP0oE1mpGwI
NKW8zQpxdHx1TqL2NPr9NfNUuQ447zHZNDkuEubhJyd7bDNEMXFQkZZpQf5QtcEFx1pOdg8aqGB3
BaDwQQwOeaST2UXTLQjZxb9udBYOE9KNnmGgzg2a0PyemoV9bjqEYKrXkfEqL6D1L4IZjHJq1Kuh
FctR43y91NgxOBMk+kMPTWbq5TZGmuASWINlnUEVgK5IOhnd01QXz3h80lVWc/wPZCkW7uQ0h5pd
nYPZB94zoB2+AfQA2ejoNANNLQKmE999GrnXFJhw3pNi650CpqGy7xiGMZLgtFho4fjqEnWm3gXO
/qVX+ovl8/NLjsaexmBuAtlKuQzusEobcTEDwp8tGIzT7mNNqW5AtdVCFOLbPplTxQqcAFSPYpsP
EByd1TSXmnJIeq0GhvHwYNa5XTxn3BWLKCh2cVK6ix7wik2f72x8g4lSHydNfU4ExmgWrZm1Qsvv
Ag7/k+GzUM+n3nuqVawFdsLERJWYsTOLupKhpELDiRLqSjA0sdxwOwKGOBqww8CGAcd37zIgUWBp
NqVLtRnwj6Ho5k0Nw6zEKVpjjKtQrWO006Wy+MN15+5A6QNsof0xaCMFCsR5TeWttz3OiCBIFsKN
8e5Wr85M8VGd90L54EdbYjGwGtTXJN/EEG9loj/W+jDd2gQYdyb502OTYo43hu1QN+3SpFbJUg9V
GB89b8Bl3FCwxxzmUvjSW0K5x0xSJV+y11lNHX/dUwvOnsEb2XclxsyBN2NlHZEoy7XhWhdVtnSP
vZixLiHrdSuXwljQEenG78IPol4c+2V+9xAc1l5EHffs9s3DodpAO31scjBJbqJj9fRQxcdanGoA
ih4mmK3rK7xpqfyIJkbyuq32acdi3hZyz4eQZSVSSy+wvosg99gFfKCJDot1U/tbPwRZWaBYJQ7h
Zc+qSJh5Gs+w2ZFwMCv6UXX2amdK7sztiAG5RKO0JH9qc48bgY4eORXQrnT/K0UW5EwJ6YT5x1M5
qEuuI1cLgsrGFMvNhI6OykcXtUIjFhEdulnVVVtW2I2rue5Gw4EoWkL8msF82hv6+Fxn6bl2mXxa
dVpcooGzlVljwnbCwtxFKFSJz84eVCCGK6BRdFFqi1EPNjo1kzuv/F/UnUly5cianbdS9saFZ3AA
jmbwJrx9R16SwXYCY4u+hzuaUW1D+9AOtBOtRB9SkulJZhrUoAY1oWVGZEaQ9164/80532Esr9io
zo76SKsMWNV9gzuOdECqxt7GwRhZ6alIxi29X7YeCAQyidUS5J5WFuNX4io4wQfQDkForXOPhWQJ
7xvbMuuPsYBREc7btoiec9QK2bJdD0t1X3BJR/m6LtDAwRtjwX4qwiDbdBoNqojzP6VP14YgFZkS
tm5Ajd6sSQXCgBJ6cBhNt7z2mfFtFrWBb8QbCeSs72ejOvcDvGzGaKsqJLE8DcT1r3+DFEgCWQ6P
NGKnsPZYpRBhNeT7iCMTOHN/43sIt7oJs2OURxzpLi90OGwtFzJPDQabWUT623cDCFq4dh2K+iaJ
f0FPInWzfLICbLx83ayflFUfKe7KvRsg+Ekl9jarRtNEdLTaErH0aJrlVSXImSITvdoEAHrGjrmy
PKiAWviHaLmuEpN3TpE4Jkpn2Fa6vxWJPqKJPGgjG6+EcPw2dKbUBfbKszzuzA7vQBiizq698TQR
DXwj+yFY29BpEUUiCUq4mJaPB+yWGqzNwtmpKPfsvH9PVD9uDegArTOKVZ/p32QuX3ToFBtSy3s6
BB7TATQ+drjaoq4fHECVTo7YI0XME4QXVkWsH/xk0WjjgOBY1P2PaUbPBcSnczeX7zlhrtRN/b0/
utnJJQ0kJAZ0B3aPpqwtiI3rXhqzGlYyjiEIGTch0ac31C8odFp73jkur0ZaGC+UmtO59DOWGjNd
qB8bbFN45AjDOOWEHl0pKsec6fA0hoJqrBx3tS72lNEno4f4YMymuZrdPl7zh9mI+3CHyn0v4n3F
OKiDEcOzD5JpTsYdqS2cJva8Tm2y4WSpCKpDZlkTu7qyAz5mcV9EG2YsfESKozY9RjMxoYkKToec
+FlcAAmtAjoY4sYqvMFByzchjW/sDp2J+VXzXMamEXPs8nOYZfsYEvhNx13RIiHwi+s5vpo5zpQZ
i3iE0IlbPuFUxTpQDKSmldm4nY1oOEwJnKF5/J3YeN6MqvO3LvuHkymMa57K6ILOFkhO+jIECZkL
yRI34eAfbyJoQfg7GkLjhtahxiYpgJeaPSAs+Z3C7tHhjFknDhr0II7Hcy348PN7D/GA8ggWRwbr
lm99QDZZUlbZiD7aejkwUOtkdcH/n2I2bKIrLWGyd9zmj1sJm51YvHNGjmY1ebd5EV0JY+JtZt0H
xoNWFe75WkVpzoSkOrTNe52+m00v4XiO64B8e+QF1udUyU8n5OfoSoguQ7wQE2W2sR3xPsrsoSsl
/s5SPbUujvK5hBJLCmGNfoiTm4lIliOfC4IP3yfmfbZu3Sz7Qn//bITuVlfp+0RvsRotn8CQCqLI
iDN0KkseORP1QtcMx8mCnSg0gqxS/clVTZogmeQZYvXt1M3qaXQ6cM7VdMAzc0Gyj6BfVf0GxLy7
6kvkvUyebzIRcpOAG9xaIewSPvcktrgriWh+8JixJxG2+q5KQQ7SXGlMC5t8jlCsK73LWQ0SgZMW
tMDtIk5a/gsfj2UWPQjyzz2FEtRbRrZ+e2JdNd5gHORUz5BNWj20p1781m2CzjUP34uE0JQGjwEA
ziXZDmEp/FZTvbGDWCNTgHZsKrEZMvdzysdHBD14I4nx7ZC0WtMjSUTI0Yz7wDh2NiNS8rbZC+cl
mutqiRBMBOi7HFZep/WhCEN5iqjTyzBxjjEHCsqsHtfAkqlY0C+LtlxNEdwH2cGGZDMTJOVbYTI0
1VNvcATp4zz4FPuGJOZllwyEVoVN5u8bBPlmWqa7wEzfmRfXkCDg2PZSf3s1WA0XU585dEuQOiNI
DUFjLOCwFSVi+wZLEXJyfiQm+ejfm6T69fKQkAAZzjtvyJ4bRMhDQdpDVAJOQo+zSTTx7z1QocEP
GPT216zCMjhLNoNuxZDFYHTt1jgbLd54IxD7Qfgw3JDE8YZZJm9J5mbYWDMaDNSHHwQELT3oNY89
Zk6tc2eW1otuEXM2jcVL4QXtDVLriAnyvGk7QWgQck0krpgOJpSV1F2iooLMVglz6Rs3lJR6NUZC
LZkPhbiF4xjVmBUhkjH8xRYfi+88r54aWGKlZaQnZYEWwOnDu1B0KETGk4ua8cZxxre8zPDBECbn
Ok17IIzqw0xwVhp0wqrbVCYsnLav9d6S5m04kS3Utn+ExUia1SEAheiiaHcxGZXfdRuNALH8N7sI
PqpMgrat70w//aNiVNCZ0ZQglPIVNeSus0FvDdA6WCuxlZdcqzz/PBomLiLMlSw8h612W9xDfoYr
pk4RMDANMpHD1JmBcRdgr++BRASFfHB6/Mua6L66p8UO2BJjVNOcd60NN2G8m92KvO9Y3BsZTqwM
pbBwnOe2b3zeVC9fxfmnEf7kmYvayBMYCJhSAgnE/duaHghH0huaGE1WpKtTP9m/iau/eo3gMK5H
tfIq4uUxuIso2HUQN13DeWcD+BGZOuRjB+kcmHHhIYuNsMeUIaVo13waiToadhUc0PPcuVFbn6ae
sq209b2hsfH1BmPa6AcRyCkdocwFUfKJhel5thIDH5KBnN17Q01Gpzk1h4KTg9mqgzSXLUuLK2Sl
RzKPE/0cvOnB+XHJGLmJtU91xUAkH92PkBJ+pdH3ZEQkwmudbPSL4S4z53hVl6yGBmTT2L6Ii+t4
cOuWqEKSDG/6ePzr3HoiyY9D5pDzEIQaozmBIBc0PVveCLlDfIDlzpw4wHA8/ELNgFuoRnaMhf2Y
hiySCkb7ns9gXUgfL2n7TpwP2X7SFGsBmYUQOnxXZDexCV/iScCcyd8ymOx1H4qV7NQpp33czVP4
R/m+OBGgPcI7PHYWiVpNGR9kP35FrZuyVCOjaKJJC7xYP6KqRyU2ZOeck3kK0nbXDOIuUwEWvBp1
Zos2lwjE4WiALuv7R9X2HcdJtHYcGbAmWUEBv0kREKFkuTJLOhAKAUivgfytzG7xh8KsS/LhKWjx
DvbG8EyQrYLHFtw5rnmfOXB32tD/5FRmFmzPCGMmLq/OUAiWotFYE4fXd3xs5hDKQM0YidIRA90d
gNTpw4arv05Vw0nQwbUvDTLE2Nv3e8oO5gIWyUB2UH6WNX9AnD+TIp6y0ESilSRE5xnkpg5hs4ee
mIEuz46JxuSZMQuzE1IZQ9389AyJh0H8DAZctZJTlB+BvXXHfdJNKG6sls/4OEObwGLizjRlkjSx
pmUk32KVHNiiL8M90QDjG5lYVeO09XMwmZ2mpICtvmFLd659TljlXgx+xhu7DbDMReNOFlW1GYpR
ri0qrUQjnC+THvzeYL4X7gisHwSGg2isZLIzME8BANf463T0d+0MTqeiwdiUqfFMWugSnAAHA/sN
5Admbj5SC6IY8VDOxcs879Ks+ukH72hF/G25tHcTKCv+IsavkcPiT7DKMmY2ZX14KI3gJBLMXzni
7CAy3YMZTfflCG9EINohmRHcm1m+UHuYm9HHgYSio0Bq3xP/wm7eZ6Uo2b53T33SPLbIiYBXAHLq
JyZkyn6kv9opWwCBb8iE71R5ot1gqGLLjUH3w1gDJ9SI6ArGyjmc5z+cNN1NNpEdkHKid8mS8V4s
jTGBpo3lkq9pcArIVh40RfjKCX34tXBwbhyrus+HkzeB1XaTOzPFzKHn1yp+Gw3r4GhUcpZJl1yW
iqfPsS8JU1MKLBD+JXYWSfSCYbOCGRO27+zpiZhdNMJ15m+WD0eNV4ZNVoGSYhwvcfVmckOuHDZO
3PvNq8V0p3bxCVbp9JzkijxzxckyOBWc/lUSg9JPx2++i3OeeHeLCXgYuzMQ7qemj2A7tZssCfR+
Lg2coMy0c1Ir0QsPb14bTDdI3iaygrYGw9o69AiZ9cxrG9zpOAAalHTPsQ9XNHgs4+Ezg66/rV/n
lGql7gHyerV7a+XxK0Un4YdWKzbKeeUEJRbWG65zb1wN0KGIXRg7N7c8hCdvlHsk7AohoIvJhsRX
jN7pdy1wO6OziJYxgtGM21jQas82kiMRMEeyLOip3hLJZtofrMzWRpywEU3Kvb2wWbPPkZnrjrQ0
6qwBB5yOmZiWwTJiGvaJamzgWjuaJihZlksYkpTgfHsQxbNF0pm7bBp741nkdYB7hklQ1FXxwaif
8nwETQ6116JkooiCMmKzlGGLszNbGM/pzElieg4zQNGfBPvFSeOdsocoX03NeA6i/CEq5G8xn2o8
KQEf8oTJ5KqNAx8YEGR1d2BCGzPeocLG29e43T4vgnMnenXCWro06gAXmeKffN95MWce8axs9CZ1
vwwHlF8gm9tBCBwakfoTk3C7J5DxGQE81qYlsXBm2nrTFuHadJmZeIwjWQAM7KA8tjQDbGr4aB9O
xn4J/cGnH1E2SX/8kzM6WseDTmEXMJGXgqk+ZVa2Vh5cW97strmylEBI4DvfhSvO/hj4W2Y8eCxa
HM8d0IV4dtZzIz/cCG8iFlwLAyvNEkuoKWMoYWOFSohZxLNH3iyUMc7emV83OLJvhj2RwT+x3b6k
sdzR2DyMJIfUVog31rnyZGu0VUxIYx94WywZg2Mf9EO1ZqGjEa7y5AlrH0keJI9hSbmEvSWFe5OX
obEjrsSHfWqvx0Jf7cxqrobC5+jE7aFgx+kWndrlkb4VTZ9smopGeBjCgy/rr5EVgTGxskpjD1Gw
wvSY67sKYxbN+wg+oCTgE70Cns9MHEyHeQ9kmgPV49oKmDh7nfWFms7lReI8IMJg081s04EpGuuq
TL/i0bgvq/wxdfTLHCIbYCb8VQUkBfYUZnUv9+guvtI2yA5I2Tc5XjvLbvs1ZqJuH7juxhqBeNXx
B6lAHryZ8izBqOKhI56ra3GuC2yOUPOnm6LHvdI1gKYDpPwssi6RORtHRcI3opzPGFolWaD6dUpG
dgDxkwn4dqWWJETxOE8MCiQijzkrQED3jAQGxm3z6DHiy3Ngf8hnszp7CTNK9BZxLelL4s1qJyZC
5Tv3u+d9l2P7ZLeU6gaBdhhqr7Whjn1GA1KN5Xvqw1ssxJs/phmPJAv+rI3tTSOTB22/EB62n5sk
OyPKJ/hxI7BAE5ne7fsOdL4xfGhbvJVtf+dkznMnKCR1Yh+RWkMKrdYjFlT69g8s04+iRe3TaQuM
qEw3NpGk1hIU7rmKRlKYt6wJ9Npi5rJJeGFN5VQIK8q7livXGMvnqZf10Rv4B2ZDR+EOd0mD/ltF
cPFnGV5TiX08AqiElQ9CphizR2X67FIZbY79UxgwOnU9tMdBnr02FdkVad1QiG0DfH8x/u96q1rY
ONhbcJZNC1MCMrDOk7OboGDHA8QB2Y5QIeCQbOWdX2o27Yspw2osYJNO9Ro4DD6m6SWSoDitKj4B
hCn5+5xmY6mr65FwpFgiSGzWhFwCivGFoJOfImy5arlBGX4NJPPddNYmmNxnUlPg5pJbaxSvSB6b
rTb5m5iKoF5HOcrz47j8ttuNv+WU3QZFQEBfMd1qJGDrpE0Z4opPBI3FyQowurSM3fl4wuqw5TbO
sL2HpXtnJvmz98hMMNiDNYWAnCJeJDrKr4a7euyvc+7WW5+S3Oa+o7ycsf4b8mCTcoug/W5ol+Jm
iv5oO9v1Wtu3Ek6Ta2HC9hV3vBmjk5NJexBN+isI1e665zyr372Y8NW5Vdcq5FsqhrUTeG+1zXFD
mJ2zzuN+GRzXvMF2sA8t8RsOrICspl2LIWW2VUBBitCKI6zbuko+AqB/rhUcJjDR69KluSobY6MT
9e5mBQOVYTz3fV5uS9Vb67lHkOxtRAoCw/elvw6E/VoLktUp1daIDJ9SkymtRfwTmZaIXZWeIMAN
qLeQf2K78Urc1cV3ypZ+TbirtXVQMGWLFE8U0zdRKBQeJDmrZOa1Y4hwg4TzlFsE6gF0xbG8oME8
kGKTWYsbaPOueEp8dHCMtsla95g+WxMLS7AJS3aQcejhoCND2GCs+4yIkkpC70060BS1zyxB+88m
o/pd7bJ6rKBnHfE9l5Vbr1A0tHBRuue6CgoUrSAjIpWsvYXukKNwxhWLOnkiAFgazZNsoJZg5VQO
DBSVEoUec2+bqcGt5ErvxqcYCW1Uq2HC5rfv1D61rc9oID9W2nAHG0y3gDiIyUVz1oz3STLsh7Rn
ALZQvKbEITHRq9+bmpRsolYIxcjkTzS477NPVk7lJqz3aJ9jUXBFyOx8qVjIr/KeS6Cy5dcUvKVg
LyzMNGuwWouBzPoDrjddjSiE1jYa/vVoELFqeothy4IcV5B41LMRHMGjrQl0wPQXY8fy4/hFOZ67
5ro8cOtNazsyDnMbPBg2M14MGEHr7OBMGKRgZud6yTVjt4GVPvefmOmjcexnPprCYAo+NASUUCt0
KgeECNCUhR3lZOP9jCDhyeshq0dgrWMlzp7qaczJLp9TuP8d0E4mgb287+1vWalfyRux1YXrr0X2
VfsM9EktWuUoKZIQrSONoVoFGmYXgVuOdnMOpRL7WWVuuUNC6lo0lb4YaZYc18flxkKhK4l+ilBL
oMO2tz06sJURlUSa2iwvbcvcmVUnoEx411k31k5E0BWq2V71iuROu7jK6NUbugtolJMLUC9tnozw
l8Hi1baKRxrYBOYEs2U3l5tUpk9KsuNr6+QHT8mrRWwSvERF3IIQEqQKAIRAz9spZh+UJLW1Nw37
iWiyyi1OXoWPpY5rzlerJrOBj3PWL7zT5r1UnNoT+iztop7zBHArFOlz9NFESCi7yS1ZuMVPper2
ajlQ/OJktOo7sib417zoVQqPBu3Ojfz2a+ND1La31Un6K1Or3mnLRDjmZOAxZnpuro5L0Sr3liHn
QeILPCIcxYQcmtT/DsPnxsXQyojkwuKMQzpAMp6HwLPjN0caryMdxNbV1TNyz8cuMHscYg+B6Nrt
bKlfa8QL2mSkcjglUpSaD1u+gDnQgyD/cQ++5/UHFigz7xN/+fgwovwpBHkC8BpZXEX2eGAG8420
aVNGnxxfYMQXDM7invyYl6y/wVsu5ofF7RKn08tMLm4RvvXOwFIUUpZZHxLISU7h7uIIUVcdnBBG
IF6M6iN1Pt9OdVSYLfG1gCEFSuysyBCYVXYNOEgUOsYCprS9HPDYPudw36psr4PiraEqSMboNM3Z
m5g5koxxW/lvrUVbPoRQMEgTzgzuoS+CjU91ct+8yTq6CvES2e88cceBWzCHAQSfkc1gcERSc0th
tE7r9pOE64+OZMfhBcMsAX5KPwV6vLCmX9f+IqjgW4SbrIbytWl4FRTtgOzaEyiHzMlXBaoDLhmq
U3M39qiHxcYug21wx25kIyVIiVzcU3i8t9rZ+OE1ZJQZRM69hFRS2hQMiyrBHVlBqPAU5uCMk+IR
B/foqd/IZg2qA3u6GUjwGQJxcNN0r6z4RdZgHChUFa8MHelbheqaMv7GVtYu9sY/UZcdySg3m+aq
LP1tiSdB3BGnyU2ZZJs04/GEOuq4D5MZ0aNMN7Hh36rydppogf5DklYvyRdXRfXb/79Rq/+ctPqf
Ko9VEFH6/89jXf23/9r//Mv3f/+3/3LQVdL+/F+5rMv/+vPR9f/4m2H93QmgACHs9oXnOLYv/3cw
q+H/nUQgKwgcm929J1zSV8uq7eN//E2Yf/ds12Vjh0vIFBRqf/uXrlLLbzl/t6Vnevx5lic96frO
vyeY1ZGSyFiKEnKIysP3P/5GvDt/mOvZXuB7AUgCd/n9r4+HpIw6vpF/9fJB9tQlIHOwaObMqc6t
H08o8511F0Odb0rjXZmsfmxku2h9kuAeg95qjEoCjT32HSNK1TysUFHb5kF6hnfDzwYquesPhRr7
B38CxuniAXPcMdkEHtue0CqRKFndJlT9dFfHTMzBB50Zql5LNxRw5zWonohxCKPKFyb7/TrozOk0
p9GFYR7LxZA2uCBdEz07sFKbhjNbrqd0xMGTRNTgKaOdm4AI52NkwKhnB9tEc/8WLoBMioT0w81e
rCa/dZOo+ywbQfaxkHfklNfHMU/b58a8KHPaDiOOyTkClhBH1yF33EOPmhq5TcpxFzI9XC/wnKxu
mcgSEfk/v1S9k57/+jUMXEC6sZWGRuEtoqitk2lna2oyEkQlxstYxuPFK4q9QSsSlFPxaM4dr7yv
L4ntLIFzhXm2erEPZ0H5jc8Fn67RMGmOC6bGZFO1sSog4SUL4saEq5oQNyNY4E4OBjDX8BUscUmq
GDsiJH5zfgDd/RQHqrnth9g/L8VmBw/xGjeU5w4Q9r/+zTa65Jol1QJ2dvpDuqRPQxc+p57awbox
X3zCrcnWCMBONehpouaphb/Ty0mucxx1RG1F5r3FwMe3UVA7bWvhTGalbOPLvnDOGvZ0TUfX2MdO
Va8ZZtibeflTZk0hpIuz5WfeWS3GqjLFxEZv/GppCt06r8DGLF+wNrmb12HZSiSLCS5bvgRt6Oxa
LIx09gXhbuKuNxLj3Aj3bGWuPjQyoJ1oSk9dTD9/9Qfr2VM0v4VI20urluUXlh3guVHs/ea2QmKm
2ofW94EzNZUOT3IxEk2TjS7Ld+azEc96HxppcY6irDgDJ+FbbHMb2OpskexkT0esheFOp85SMcfG
MTE9BG3/9O/lTExckd7i5OQOXL7INDROVWGfQxG1+79+SSGDP5ixvyVlXqd8PowYvPMi6fabYFv0
6Y+aCRhiP/kFrBQZf0S25a1XwZuOnmfP1Ts5zO95P1nHZG5Jn2vqJdaY/DoK/HqJOmRS7bvLla+j
f/6i6sLYqTG5+z+/HuWkpbZl+t4yz0dVareXv74YDD8uVubBvcxmQjgwJe+6ANWmY8NpQPVWn62c
mr2r2VaohTBQTh5T0ylKNn39Foj0MitHHIoYe1jcUCfbcnjqB9thIICrQxseM2vPaEFopt0G7bMN
BWpQ24nMpW3b0Kp1egguYeGcEV7bzOqR+Ce1jTOQvyjAoxTBip8hiWtnYH6RhTunl8bJwJl3/uuf
IIhQvgCUoxWbzXNQBnDqCtDxZtTl69xH/6cafhiKjkfDwXP215cqzvNbC4rLNqpZdli1lV+GlNYW
DhJ8FasOsciAGlwVUWdvJkWOn2liMyvLxkJaZ8mrbGO65sqzLraxc+26uS0Cgmsi2BGkgOygVWBZ
Emzc9cxHe68zGZD6iktQASIybgFqAlUkXPlUsMGoZa4pc/C4lGp69cHpB8ayZJ3YFJPYC3a7iRsm
Z/iVAKngcelltS0j6PxV9WJLZLJzyOOsR1w+IC3cJmw2xaRPGD3o7oLmUamZ4GLsfo0p2ThBr7Py
/FmSS7EyA0HsRxB+BbL9iSiETZhUTpmRCEvkVZGWAR+O0QDNie+pCYGVDunG76tPowF/CRSFmr16
FggcovS1UM+pG8PIstgOlJb/gbH1kgPUKwVirUVOK7v0wawqiN3gbuHgo9ct2pMmwng1cHDWHY+a
N5UXUlX2FVi5Qcp7J6fsTwb7Qsf30AclWpnwsY27eN041rkiYShRLcxCFG/oVHIIS8FDtzPxCrLc
yl5wMN6Ta0e61w7HBwoxgxi9/EC3+hwG45qBreICtGsuDPh2XnGnJucapdW4tqVxmZl/e5JYFUet
41jtCV5+dDuKNiOyoR8zU/XCANJKRkuVy2FtgNvGHXcmMmBTSyfbtgoZS1yUEA1LfTRExoSnOoUm
3Shb+6dAtSEQzfQztxHnVhhtYyzKJBgk4YxsNPYxiHl1uJqYdHuscTZl+C4GBk3Ux7tAZxdDsmZo
kbSwf7mdsU+Bkyapl7sIjVL460xJsEGul+3i0nqlZ09pgzat5/HExuy44q5vdqqDN1WY8I4nv6X9
1OqiXKkuUTGciRtmQBc05QEH9quOSYnyKdXTbPxMBvNDN7LbezhTN+Ho095Xhzg3Pqag2bSIOW68
oTlKZmwYi4S/rgCo5gUzw4zlB3mwIMCKgXYnGYlNWDWLkgJUxHIFMbOYsmw84gU2VpJkb7xOKGL9
mqzpks0NnTlJz/KlNc5mWcwLdpuBdUiiUB0djDTaN8J8S0P2JZQK+ByQ3LRF/gCrqFwhUE3WKuNE
zB590BKsr2xWNs289ifMUhmePMCqnAhAWi75EERQs3o06TQhm86PmhvYOLtEYXO2gpo6jFG/bz8D
8+Ws8a0Hp+rao+mLJfgUu14x9HvPJ3ku95MEyT+ar6C7FMpoToH3m01zeUyqwds6rfleZbr6k/n9
BwcNZ6sz5juO+F83tG4JDat2vVQTP7q7tZweCqSZ6E02eNXV61BM9cCjiV7t926ViEvQ8fGcBoup
vKdX4aiKjdcjkRmjYV4GAIsfQSlYAwn1UxXdhSJzIW7xtgxDEmyzHn0ZDa56ynu49RCB4gA61mi7
00ZYqP78YUiJo2uOsDPxdBkuTGVkaKDKJnfBwACZROO/1hMamFln3z3akU1lh2zv7GPkOu2KUREb
nBGaYQ+d15rLcM0cpoDnyxeTwsr2CTv/65cSpyrumiQs7oJWcV7PBa4S20O8hmeObtCNTjMWjFMV
h3exj4kxdMNs01fu/WgWVJvVdbLTz3Duz9XYkrjcAk+C9G9shYsYVPscuBHmp+wZS7UPnM/SgC0S
Z5cVMfl3L25tnzEalKxIg2eQV/toQv5CsfWcmBpK0f2I9BhkIvEYSpqPcqoe28Y9GQCs23GoD2mn
sgMWRz6H4ZfwhDwjmNF/Flg5QQ72KwYMta/tkZeWY+41CSl5uQ+TU5XKq26W46Lhf3R+K/IbOith
XOm08d5zfAKFOrfdIDxRLw2lzWrwRHyMU5CMpUBiHbHKsMc7UZNDSrQCAjyzPep6cM6DzTjclfiP
DSc5ek15bbxCPhIFIG9MA2yAZKDy0NJPM2jNPwB4/gwjEgJSzDXbEJOIVmTztyMZrB6F3EaOfb4W
+ImyYb718xxYdJ4258HqmrOGN7RYIdn9D+2rQkt+8PucgYvUE9e7oCDzUOC1puEebZ6JomebGD6i
iEK+TDxxE0MP6+pPMSQha5FKG6fOdEgwX/7Jbv2P1lL7wIOIH2jf/jMGFe60Ueabom1tYlEMbteB
VNeJOfQ6bed7k9SCVRnoYtsY3VEa2KfbcHhJTc5eUHXNzq7QOZh2fOcaKQtjCuIwRiiNuBc7KPk7
pnmsXSBpc8CIm2v+T4nzJrU5hQs7A2CMZobsKkFqoQ0GD8/BuWFusvJKGax6JNxDW8L5cDuWAOxk
3dhyV97A0SQ4BMacJItG6U1T+AMz2bI9mRbWDbcYQQxPlnqY+nreh2T43LA3Rz2d1qdhtIZbGgJm
5DdBSZA5Zodma1TEgIROCoIkZl5FMkbYYn8gGvypmt41MhpctS4W0CLZZIL9PHI2ObaIfgsQ18LZ
FQmnS9Wj0XCn6JqWEBCz9NtWk8vuF9Fz0ho/Jj6SIZy++sjKj1w76J55KEy0VHLSK6sTB7vuLZbQ
uLNVgxdnmSFHt/50Z7tm9ezPkb22u5n8K6d+mFMsCMoyCONUpyhkK8Gm+Fr0EZHIqf/gmRlTtlnd
u0YUQdpEQJcSrX6MWYUlDdAsh+MSm/i6J4V5a1aRPkdts4GwlG28nAm5xkurhooJ5DhHiPi0vCAT
OlhGiaDI9Dlb+iC4dPNRNF5/8Zp039naX2cJWVH4WnHWkF9aNQ91Fz9XdeddZJb8ry9VzkyN2mrD
MDdFDjJWC4gWmC0K1hrbBXwOnveoCJBjomet8hO9JIIzUdaksi3GCqyVGg9fRczuqNGtxXe6Cz4T
P2h27pR/eTHGitHG/JA6BA8Sz1nDhUxill9zBk3PaH9UYBe7ob51EVuhqhj8lRA+WvZ8fMKsHADO
0A9pgdEZ0e11Rt6CapjsBiyAfYLKbU5RNOUVrrIFOuWY7DBC3jJWN9ysoCZgUrne+2jUJxAeixql
e3XA7m0TB6U7CC6wNJ33FSr/TYzJ0W3Md0dsE0Pftw3fesQohQ0mwceh760Zr8CA0uY3Px5BH/pa
6HqkLtUxmip4HT0Wbdl5FheofDBDJGk+3Ee3ZPAtPdIL+Y/wlMc/TdeTNWchyxTZsNHVbG1tPkzY
ATRywdanJwnRS1lXnOoelZ9FggoAVrQIppVesKDv2ThX6xrb98YxDCBn5XCEan/LG8iD4AxcUlUL
fzISuJkLIAUEfu68nlqv0dBux1dR0JL7mURUbbKrxHu8TUXz3OXS4YZECMV2gzcf39lsvPpZttVg
qFfNgCggIDaaFLTAZMutt0zDn9qksVYG/eFN5FuktSwAAxNwx9Fix2D9orjlRQKjemiDemeNHkIG
CCYGyuQbQgk4fUG9ly5JFto0brpChjwqzxHRUJu5KH/A60V4GIExhw3QWgWnx0vhasBcIDS6ZEiT
NWgOzKniOyk3wzid8wmjedoJtDQCk7RbhMjM9WRte5OJikq9r6BvXkTB7GKKv6QHLVS4zQt2L7DR
gozGFPkb5eJqnJ3qPlCpoHeciQ+Xbb41cDUHhSe3QRjmJySpx7Ef6h0EAfMA2qqB4pMzq8qIUVDl
4owU2c72AKqalWQIvshPUFA2T5aPoqJuHyB7b1IUhYzJrVvsTBSs5StZp8nUDQ/9MD+xeLVOWsmX
YU7kqqo6MnU9VNf4BoZTG/h/mr77mmb/rrfp0mI1HRxXP2HaBVIC04BCPnuzB/Hq/A+OzqvJUSSN
or+ICCAhgVd5qaRSdRmVeSHK4r1JyF8/h3nYjY2d6e5qCTI/c++59QyouwIyBM0A8EvET0J0Vran
QMVylf14Npq3xhHf+FnVZgwIkKv6YMEarEuevC1IenfvwWctGOpgHgiJvOIlizA0TyWee4y+jwMQ
FdiLAapu/ZhjjuO1JC48XhILPks9E3lFNJWT94/l6PL7e8yh4N/say/ADYKGu8sKltVz/dLiwUYJ
Ud10nD5VUt3NqOeKlpdGgslA6PUOR27cN9p8rsz4My6tj8Iz1kmftevedd8oXFD/RhDzJ8xi1JbI
rHR1dXpsSV1V0QiN/bHMLcyhbKzW4ZNMXRvU/m8EfywFm2KMf24D08foDk7uPkjsHnsvQQ0P1mos
iL9tmpEXhfRaGBe7XjrpiauNsEYZPnR++x1NXbylQMjxCwzoTEuiWZE53xccOHt+Y7yTWUU2kAuF
PEfFqX35WzY9ixcLO6rrd9167Lx1KVB/J5Yzb0q6nXFRsmWxK1D8RsgWBKzAqnGXqrXL8VszYXFd
5W8A0UIpd6tN7ItvppychWgdVi4aiRH48d4qgFk6BXF/PohilTK7DPPid44IWzSiqzN7V2fgaJnb
6EcXdbmapXDWOACVu88s+VQDvTeXhSl+vIR2jzC8klnycWvUxKyZ3HLHsNZgi7AUT6ZDXWNkZyGb
mC3cyCdmDf9ci2M1myCQhjlMzHqaIIfqDjor8VVhh+i4rjOqc5nSwbuk22dLCGgLZiR36FSBiSGI
Z3xM6Gm0IAcKtbJRoK1qZAkRsCGMYj9hlW7thTydjPJUeuqsh49Og7hBIbEe3eiYkkdgNidDIVJM
FVuP8VhNPkkK82G2mCdDrwnoCKvbrF3U63wVaYUoDLVPj2DPOo1EE4Ft9VGdoGmha6UqwlnLNcd+
pzk30Olplqc0fsiN/tnHp9eKTz7YDf6beZs15CU7Hj7wTDT6zkwZaXIyOlFyZ+js10pfDcP5hNEn
EZ4hJ4ytxXeK+ywoBm+H4/wdBVpxrK1+L/rqnSP4IeHuuGMcndN56WDFWHaluB5XVdf/2W7/5KMB
n/PkNcjJllP1l8rBOmT9FWZqEUZ3pvPN0nHnAkxpU8yQIzOftp+JNRnhWC5cDIHDNELiR9+KFXGD
HOcz1PGvVs0hjhX7L0325qRekyFjBNKgzK8EhFWFIs3lfI/Q0aM6A3UOtbgyhVjpuXuPA3kxjIFg
1jrEhj0Hu84ZTYyNsXlqx/DcS+MRXli8ie1EvpvRb0lSOBpHHEh421P3pkrEmU3y1zjtFyYmZDzZ
acAjtMoKlHx8A6b8SEtSDWADsNjKXBSacBiSjKommhVirUAfBpeFYKDsc5DFW84SazkCkdlAzBP2
K18ycoeedPLgM7Aw++SImRFtkeMAjAWydWN9xSPxxvXyzNQOosi4u/PHmiKVN7cqF2JEi6UgrpkZ
Yz8YCg/Sg53BCqPDTjOVIXzQ7IGJBl7BUPqWNbE/mtAUR/zpKXlMIINuYGf8GS3qaxWbdy23JJmX
9V3ouk+JzR54jPk+a5aGdjteZRyxtEaf5Itzid3oMCdJs1c8Tlbev0/1LRocn3yO7KkzfpPBYIwT
GDCooCZ4IV15SrtbRg25QNWzVzS/IreerK64GDPdHr6msQwvauCMTKdkV2oYBTijeUTie0fFh3Ga
EM+FCIxwnTrx+DcyHGekcDbN/qmw8G1DJyuy6B6/GlEE/aiQtS/b1fngieiGBx1rx0sa0/ny2xJB
CJTatgjEooGRfrn//2dtR/8PPoTfljfDV/vAYSSK+Lk4c08/u0lH/8G4VNgoY8IyQw4URJc0iz9l
DBTLjsePQguCd8FHuVxUYSEOLGPfAwgmm4I0OGM0Pl1yrvlMmK651ORiUodwY6W0Mgj2Tqp+7FiV
DFNHjMbUv9ZVdlKtyXwdCEi83Euwev3GwbBHYCrThycspwfZtfrQomEBZLs1LH9rLHmC6fRuu3hx
B/laIofapAm3TG8F9w1BU97Mg+Y06DbT6F+FuslEAYMUCeN72G87yNphAI8EtZ5kdUaMHHG6AUYN
gqDyDJ20ieIMSZK6s0q9b6rsHko646AQA4VEZ9o7lwLF8oBuwxtAREweie7zRAgU9/MyqX4D7Ihj
q8Xz4+Qdl2n+1UwCK3JdQ0ko8pPnDp+TUxOaXr/oDjONnvuXuVJMc6J7p4j+lUZ6bA1UI7E9c94H
9Y8XlUdm7fahwm9uNveD6hQNGpExvQvfQNA9ws3YYWELVkaGTKA0xsd8ovKojLFG6ogxxdEMjolK
JnGey2Lx+IloepKIst1C3xxjMTZxo67iDTxgZnlZLYk6dv+Rm2sAgKN/VlfKtXVZ2/dd3p2SdHrJ
ZgfWlEEbSeYsTuo8QLjDBOpbRM279HocQYTyQrofDXuRoVr+yoACOjfYqiFu9Qy1SBRWHMiAh9pD
pFAZXpADTNkXzQ0dUVjcJVn4xXIDC5DbHINwgnY0ckqILAXRsrgBStLioQyJZvj0guYNUy33Pc2B
6UZX9vtL1JO+9LX5mbJZG4PgAT7ZKqNtWBuBQX4O9BznlQElAoy8cgjDotWA2033vnXm/MeKxLCS
UPzrqbpg8XmzxWNPnWbM85EoDIYWjYK+M0FQL70tvt0I4TyJ6y1qa8ADd1Vknt34jpXybaYSwtMA
/yzVS/lS/0N+27IwLBmRZ+UPRmz+PoyyOmlvCm++5DlNB9xbRrvEfNkiDVYd+Zp+8xZaRUj+T7iz
G+6JcQxehT28yLI8zK3+Yj4O8ta1Nr6BY441ArFrpI6tixxeYCMQrdIJbQq3eqtyuuaSTOkaEttJ
4ltbEAIX9ErIJeMQAzQiykM3Ghs7s7c+kOzVbOXn2KbiMEwArd4CU2Zz0pr6USytShK/tUXZbUK7
+kYf5mCIYSYAZAgmIh1+lCsa/2ROQbamn0kHRZ4Bs79YrlL4BEe28/vSCQ4wGzOU7d5Hk3wrX/EB
jdlhsr6EwJwyeC95QUBmnZ4aMYLUcwiAcgzFkKVkUZlmBxzFq7TIMeg6cbzufEmeObCkOh6fseMe
2755DuzpH5s3c69XUZDc7L56i8Lg5lWImOhkAfZ2jyI/sbBHu5qwZLfOU2reB43/DsDrwF9t70U5
nhRZsCjIOGUWbFZoTvTsrt7S7e6UiU2AcXOUu2cvVGAuuWfa0YIspNLHqhcY5DT0L7R0eEjR8oWI
KSuOSwBK3ToE20XQF/93wC+rjIjAtZDP3eIu82T1MLKIgMyvD56l+BU80CjvnwgRgjqugnOp+xMa
OmQ1HlGreIie2EOuHYmXeVFe2t7n8qjHTvmIv5e0OjwgKJJ2YaLx3OOXLdz3IE1/jLqApOqwVTH1
D0OVcuNF0VMEGmnPrPUU2JiaZBbuohknUwM+qMReXrskwYXej8OCg8q0uU3uKPEpb2YvZNrjvtaK
3JYqyYvdbGEQE8UbiMiGAHaWPFkHwySFY5qxUjMzqPe19/9IYvy0bAJC0hpjl+TuF3MRH6ZmIaNk
HOF9wsGAnRtDtG/cM0W6E775UE/BNZ0phBurJHZ3JPAhacvHsNN8Jyxfva/clGqbd2xVpvjZVGh7
K0aebM7ShznCD5PJfoVkEom2MuadkYpnv6OSjp3wHoziAhSMnwf8IwhNeSXJbkKG8No7uA0VU95d
JJv3smESZihipxNErZEFsQVzd2+73AttdQp848VhUG7FR2F174V+SuqA9tU20I53xGt4rJQm/0GW
xJXQUlhrAJW/0n4wZX/Ehr02AA4fLN5w4BPPHjnPc1PCLsNTy4qM3a0gKbcqkXnwKRVLMhZZnApG
9cohgZteU35XDbujyi235hjDVrL3ftV7B/yjSeBSr5sLFI8DY2W2M4dGat9NBvk+rjMdW9txjhaw
DMzJ8CoNF1RM497bGEMOtl9+Rg4v+FSy64zNtkJuCzWmoyypdUHWnecsMy+QmwbehXquBPZje9NM
LJDZzZYn3wK/g2kCy/2RfScT4+mW4G0erHzYpRDGiCn/1LO/zUJc34p4a4rWzWBHWHeMCRDlIIdN
kR0abfD95lB3R/Wko/aWJZJJhYlaT5RQNRmYuW50KIhUiWhgk7yxiCaraKCtlBkE72XQdDuh/JcW
Nd3szxf+9Z9o7i5lyAUX53wYXXNMatzfzEkzn7Ijot8IbfaXgjdauqxyFwQDiezDqOHdxfGtHpMH
e7kVWkpckhoRRoYI53Qnb3OuH3sMNIYs/5KoQZhnXAePL3BKedbsiDVFCT5oay8jMiqr1PXOY68R
HGoWWpIS3mssb93klrVpezzEXf8Yx7hRB1hzeNfKL6GbxxDxcwakHOgcznlH7D3ff5+sFNWzveSB
MPfT8eKW5eRwkNoPmTzUnvEW5/2dG+QfZmZYW9cv3x1kRg2J7UGCWMdCyDfO8ZG1DOeJxdpODfd+
Em5bKa4gI0nPgAMrAmJ8ooo16JiyJJPkpUWqRGPfeZ+DpV/zWl3HZW6f5sCNZbIdXHQzE6MuPR7T
tCfSDQlOaTFEofAABrXzhvZsa8Ih86H6GMh+dtlDMG90byUySI3eFNTsOZ6TK9KmexFSrZhghNdm
hnmxGfK7Jb9Vp/XWD4xjzKBhJWrs2mNs3ZQ0FbjCJX1MzNmdPy8XIWHPUcGAHdnMnai5q8V06yv3
NRmPiV3OhMJwiqvqua+GcxZzB+VZhsxSlc6unAFY6/5Tu957s4BCeiZkVtq/uwmpmWiHv2PEwx2A
yA18Ox+oC2fXnK3M0Pm1mB2vLDd315DK7h08OitvZAzXdv0pzwziO2z/XzbspyXRekb87zA1Y/HU
V70+IoHRJzk4i5o8v8f0xXJM4G0dNEvAwb90dfFi9U6zcS3NNRyETNF8TMeuevaZFa3sb8NjWsbS
INmh11pPS9wmRHW1Y+mXb0SyxBAKE1ysRtazB64CNRtV3i5wk/SQLDecC6uFdchFER0bjma2ofDp
0dUSbrg0G2P6h6D0mZKtPMlqvoQmtNYx9Hnqk6bbjCN3u1nCNFyGbcaA8bBSSxDNXECq1ehtZoQE
mtEMI42UiPl2g7l2I5lYriZj+moxQgZM56XRPpd2fTYpO5dJNPxAmb4reEorXBgHnPv+ppAKGEFN
KkD7ndndR9KYCKKT6VRUAposwK1w6F7BEVzMOs+3ZUJ6M0CeNT0MmyvYsSPyAmRx/2RJ95cV+AqY
pX9V3mNSBem+SO2H0HYObd5CaGyZfpdICDxs8poFXZnfFQYTJT0+udz+bPl8LFgYpaA2smMAZsPv
U7bmny6LUypx9HRWc2IHRxMUxMdK8EkXzilI1LljhY4BPYQSwb53mkNceG+ZBn/S0H2s59B9l3UG
6fmx8bxPVipwipElbCMXMV5ScmrWDr73kRjFkP6Tu8/fAaT3V/g5ixPN8ofHdsrSZvs04A+5xAb3
Zil2eSj/gFBMDEgQmigwgzsmcePFjqLvxJhgsEWRvQ/lbSw9LtKe6L0Ee9M9UXU5cwKEJn2K0W8A
lqcXf6rhbIfYekTvgDvUEg0Jt/QCSC2aUR/xWPd73fnv9JTZMYiyL9sp8SgpezekyHBCWwP5Xpjv
8zPKLbkfm4n46MzbzaU0NhSrx8onkbj0NEOW8JOwkmFTO8gGLRtuJdtKKfA45pIkYtYhBdFvM10n
mpUIQgfuRoFYYNWGCLFBlvHeJVGGUJsIL7QHP3EsQBFprDlOiOvHI/00at2N0zHVarXfXmj6ZdWF
p9ArX7A73NchWb5qYtUIYZIBWu5ucLFjWm/w2GQMrmat3unj+GZjwpaYPu41xosAS4WlCKlEwPPl
CUW0a4wqEYwoWBrLeAtKAcW4rP6xEgRP0CI94eTJbOeFe5prthvukSN9lo35MzeFsWtM40gC+CsG
Fii5xG9Eo+WyrMxOZvSvmJKD9KvuyYwIqc50c2GR2G961yflfR68DdP+ZIvWnrzGhxKcjofakjKz
jfkomB/phOhKk7KhQuqf5VhXDQZm7lhAV4rc3xyo/P3//wUFjIIWlEtbvVoz3VhZmEztkuxZOj3N
X++OK9d2f7q0VbtphhSdkvS4AziKfUNHP35uvEq9pM4yKVx1O+UZX00o9Fno/MUy5neaXrG1vZYY
SYzeuWLkPEf9dxGQMBbW/auamycHoNLYxq8xG7VNkcxv82boWaqrAEnUqDAHNrjuZcbUznBgqMQE
OC6uUnI1GSXNrXdFmOHcx4rViCjzaoNm986pogswj/uCUrMW0FH01B1bLzzHwj6bQv+atskB+hmU
4S9BkW+oSl4dhzrf0Z86cC8sIxZvxHZh3rotkVg49TdTjjuZ+SrLQwJL+4MbVHfAKaE3LsDI1tqP
HIJuZePN5eD0w7cgJaiUqBz8V84T+6u/op/euixEPzihuAkVjvWSWUqM8AcNDt147GIkYNY7Fs3V
oMWaF0BIbvxagoJDV90lSl/6poesF1nB2WfmKIP2caqgRmL0fIYLkROrMIc0eceKdV3HKOZgtrGN
4GpsGUB/ulNBGeEa+5gBz7UE1V2QWgpVsHqLNY2s8B24zybP/4jEa06ZuLRzTARzR2Yarj4GhGAP
QhA4wDU3EGYRHrXeN5AA/2j7qbNm4c5OL3A66tRDqKZxawvnz8w7jecKpnFV5cmdJcJH5M3u/YwS
WcyWYNvMTaIKAabd4hJnVbijsPvsYnDoHFUYCIwDOd8XMfS3olDk6bTZW+GXKbYe9jVquDZW9RSF
/4QviRcco8+8U8x12nbjkX/B4fbq81wvbwLOVqzYjXgDGkZJQWYhJ0wcAXnC1x7v7GEgu7bnTMiH
ryLMwWoE8x4/6ybyuMVDCpihfnam9gf9QEz3a9xK/BCCWOaq/pH6kBiY18iIijFdhxZLJecSTObv
vJHShLXcF7syrEGOoHGqpbJ5lYovo4XkSsnhtwGaG/bITVIfajWBMhyjqyoGkzoe56bEuk2lh3JS
SbEi8+XmxPrFHOUOrfG9IseGvdhX391C1TExVedZT7ve5/lQZX8Xt5TA7CPrKXyOo5iuKTmYFRLZ
2FJ/NRn05bwgI1jWY+/Ij8oGBj165tWyxXZgpbRViFBJ2GBgFbS8AEV9jL1GbNzMfegFxhsnfbWc
/BlWkVj4JBC84mKDN/bDAX97BCl/YvlysrV5p/CETn6ELwxyfEJ2aa0+MzMAOqXrtQW5pK//Bmbn
lRgeEvOe3cjGoBokbW3defV76eX3dTo8JqTSMhd8JzOEbb2/eEgofqH5BLwM5FGTgRK/Gc591bME
zYYO+gupik2KzRTpIvEGg7pWIzMOhOwkuQdoyf+flPtvnD3noXHPUGq/MfztUPmvA712KxqiNNrn
xtK7JocoTu/zkalhOiLILVT7FWF3Yyb9DipRASbtDhxghIIGah933bfAqIzh8RN9Gg2lYjZVowYK
B/nTNtm9w53TR8aLdBazngSTIZj72wiCrkkxPIAgvY7Ij+GKOOvYD12CBAM28M55MoZyO9nzP5mP
4WmcWG/KogF3wdWIgIEYU9X9SA9qVdUzK+oMszrk+egDe07fUiO3tqaTzOd+yj5IJZ73ttejxGRj
BEKMN5LFfu7+1VI+tTImBJbZNgCUX4+VwqoBqbEpzAL4czIfh+Y9ivrrpL7p5ssyeFKW/Cfq4QvJ
ytlXWLGDki6NsMiwJlOJfIMIPU/5q0BmWGii9h4b1pXb8GlFdYu/EONxKeS+5auc8psyorMgkn2Y
DGfhSZyghRIjnYREVTbiUhPNbTuwKP0++gnziiavxgtYwhpRrBvoF9OdN5ntvlxgA15UyB1D2vsh
48RGvfirCwWoNUlPemiPvZM9ej1sqKDU2Gcd79rG8z50Mmi+PDxQVSd2ovb84WMiP5YdHHK2RBd2
wARzCfVL/U7WXyCXVVJ9YiHmrnO5PClzTIn9E476n7J4YUscrxQNEAmaxIMPE92zGQ9OQ0sAtAWq
3569ted3vwilN2hK1RqMw1YG5J6OMxQeRsMH2kn0JrM4idnk11D2BS67srx/AHfOaSqDX9dp/5Zw
aJEYoD+wbpp2zNTTwP6epla/kQFp4YSA7VmYJMDkUYkMXLcSadfjDNwvLuGcT2ZpHUxMpbQqILDL
me9KEgq2N2bwirhe7jph790EfaeD3WBuPwI+hbtSOvGVwLfdFE/pg6WLjxqRQRbPBGIx67rMvE0b
ltIWZNZTO/FaFQNO61Q7p7Tjb+R5Gs1TzQYldIIH8BqsPcd0z8IZnTnPjIywIiRk2jeGX24Ct0Ry
Ics3kXrrYIr2lqfDfWc3hL4gnfmKWucs1WBs/NpGUDbRm9SoP7ay+0zm4LvzK0jh1By1LO9bTnZj
cc2hg17F2fSuM2/d5+ZflwKccu0fpxxvVXzGGu/vYSjB/mEH1Wc7FYCHnK0MU8SUoDbNGLYJa754
w7WIPAN1BJgmjLb72VX1vyGA5USvDigHNp7pY0bOzUMn85ekb0DZeCyMa/wR2UAjZg3ujqExzDpn
REvv3wJjFoe5q57iiZXu7NnX2mR50oDDTphfobHOXyUnJpv89tzP2Y2yjNaQc3wLEriaYfAI/qlC
3LMaHf/KRCfColTZu3Y/BJZameSqHQom2mzci0Prd99Z7/1mM1MwN3G+Mep/WTkidUgnb42H4lQV
zEYY2/+Nw6c/+mdILOw4nCO0iggKuPnYmGW3d4Ts170NngwvS7kTUMqninjmWpSQB2v7JWP/YmfN
Wx3P3SkGllVj/QbKiDLSrcCEZ0QY80HDOdMD+i1nvkZclLB6AHMeHIeIjgnh/kq0ioRd4wpSazlq
rWrdo3W4X+AcTS4enDCeD01rvhiB86kzIu6yAqAL84sU8bD9ryziZIu/dudE7hlgwXOFbfWwhNzy
BpXEhjw0M7Ng4eOlsfStLkn+TvP8bIl6Dz330yiwjRGjh354FWT9UxXU/T42EemwGkNBMAJbAIXf
mwmilYhE+DB4HW0FCBCIWkVY83bq64vZ5pCO9K/bdyG0pvTQjGTM9uZ8wIdrr2zl/zZi+uE/05oB
qKkfQkWEd9S3lDRRficdA8tKA9Cqs9N/BjbjaBpAdwzdC0zNTR81Lz1nLTMkHNT1rc7Aj5VQCRwy
/QaLHdbyPwDWXU3jmoNNQFiLU0OxTdonEP+s8B9tEyRP0wCWmn5EzmZS9rUY2NbldvAwTszVmR5d
7YKmhMqPEIiXUjcPLtkeUYEB15yvLbFB2O0EnGyk3J2cwAOG8NGS+3YgIq4kyBHF6kaD2mMwbAQn
QNOpAZ+iHMWOnIGjY0z3aDcvZuHAraeAHoKdm2gEEqD3QiqvVjrPWiDFIwpkFQO/lYBJyD89quUq
FjK4xiHOGx2fU0EHagHhXb9kOS6eyecXmMMPGH3ghANYn8CI/vVsoTekBtxqUf+C+n3um4qAkxOx
IEhvhon02SUgeeQWKtX0bnrNyYsYtxPTMGzcBN1rMxMNLFDEEZAW0yxlJ8Ki1bpxpgezw0iTuFiX
pe18OtGMxc8wtnnuZ3u78357Dw5uWLBfMCJ+WDo8fpeoQDfu1M0ptaaD0XyAGjKwU6uHzKt/hgiB
hO/xWWYlsg53iZGSVBFNHp06WNt8qt9CFHJbEay2xko2Hy0aNQRs0Zbu6xKY6qULBC0PtcGmrAP8
cgFadK4ByPQ9AzdCaPLHqhYvcrgfa+vOkt6TB5RvJSvqMjvnKxXnLOuSY6nALyaR+e7GTbeGpMNn
4bvvs+xHlgL5m0fXuSpMDmCVxGwG6JBBT0oDv0Xxbf2fbeMSeuQ3DUv/JfaE2AI2qvbeFGF/BDxr
rwlu4sJDl9AyJc2Z1AxcvXQ/5ZOo1aW32jvbQpFlj+bzhCutQ9iWRbXeFYH53CxjbX4NqVn8HNIc
CdHBkQHMHNZYi8OzeWKdi8YwYxthZ0eIStVGOhOpAiM3+LKKcPtxQ361tc7zcBVUmgmbqwhQ8ZI7
ECsDkwetjzE+j2hs1EPqAywCrpiz4i54UmL/xACNpijq7GMMcXpFWvtSI2WHCuQRkRHeT5hB1vWR
sEMI3ycFBIRYFcVuSr9rAinXgSXtb2qWPIFrn9XByR/Q3QX5g13RXWInYWERJLC77ulS5bbth59q
QM7dzWohqfEjcqhRm3jIu2oGyyh6XIJRGA4czSJi4t7m5wYaMgAABLhgt+650zGV2ze0mPGzj0xs
lQeusYtasq98JB4xjzaBgube6tyapLmqOUlXnsYSmalYwKoJVCs/i56TCfb9EF+cIOUedYY/a64Z
IcTSOQI6eWGH1D9A4UUgiwduVcfLKCpJMNBY4s2eKNpI7t37QT7tdat5+ixlP1Vmc2xDfR7lBPFX
QzypTYCZJix6gDMrF6/yXin3Y86rm2HEdBz5vlZECrUkZm4WD27gab0WGQEz8SA/mJeafNueeQlz
Ay8Z8j6Ujf14ISWs7hs+EW94Y+WeYrutHnoKuyH0jbdGSQ7Pb8MJthb/8tAVbAyb8ZP0mfVMGYmZ
BCuZyOTes/h8Mh+Nnl+W17KBn6EhBisBW28iLD1wBhclWUw6yuTcTC60PbErah1IUtPjQt/Luggv
s+SIrik0R9GGR9bfCDNIcl9JCkS8j6KjNLGL4cMcFsBj/6yccJ/SMCMwCKnqAvYrKHweEutrdJLq
ULmDt5oHnC9dDG7fHZ6IT3jwUUkyFLOeelt3xH/1/BCA+ibkTakTLSFMzi51p+flZOoC7HDf6NBE
3z3ad2HgfTA6yTcIALsVDQa8t5EdKQlI6HE4/VjUnaq8fJF90+4rmDGpbYcX5pEZ2x/1oZnMYd0x
LzZn9NpJ+ACilI+CZKSakQqijC6dnjxCZooseNciv05m/BjYw5uamPvmy4lBF9mpVsHkiRHMoNKK
nD8GdVu+RbAudmQedKoPZWRe2H78UkxZEKGD7778AvGBrk6bTzJP0Jyh+QMGS3XlsK5Opj++wnnr
Re1TlzCBTLxvo3iwHMYC2BFOTcgzLX3+TGOKjhx6f6wlCEtw937GV5wOg3tJGcc2e0Z+68DmfrYD
fY5K7mio5AjrZl9sVJkQIU9QrE2Qw6qra6KsISeW5rYIxRveA7XxbezapFLCLaLkyd7cvHgsKt1v
AyDIK9Oe34oiuNAMP5gzCQwWt/y7N3u4f6cHFq+3oOYZ6Vm8G24LXExMJSBCxsGCPVNhpoxqzJfW
VQ/RoobswuwrcusXp30OJiRZfKsvnTO8lTI7hFH5kmnk6MKH1JIKGNLd5N5Qh690JejDvfQLOkiM
47l9qNxtMVRv5Jr4G28+oObdW4o/WlvF1WvrYpdkC2+nPpEAs7dVS+T7dyC74/IHGYFAM6hfrcp6
88izpmFxb1Z6RIj2iuoKQk4KXiUkszcGSsX5wyzA6naJv6heXPnSxC8gax47Wt9xoK6JF3E56qk1
VLWNOVRHNcT/kplPdriLQ/3b6mrrddZh7mlg0h9qF4hDdbeMtKlcsbgb8dXV+o6klRmz0tOM5VZ4
aAmipTRF0TONwbttI8wVojnIsg8YfaxCkgq3eCmWgQt3k125J8ySR1y1LPP7B2LIiAjkzvYkCmMG
OLvQhVFHtCWPPMWEG7q7CsbqNtaUiD4v/6L0GK2ZX81tFGGKk7AJtKHPuYmxIw0uhGztnSYq1g52
FZ17XK6hf6HW9AhEA+PTeq8eOmjGh3dRz7JXgeU5NHP3QWT1lz26SLy4ArPOFmeSR6g1OrT6Qzah
oOcn6/P4bhRnKuBpsUtwq+feCYghuNwsfhI6IEOqYIbIpTMNalonab5YE3DTZwzLzORUtG156GAa
dXPGtZ66+zLJ++PI2tyvNsKO2hf3qG14QKFV7jEwvbuG2EdZR+xKFe2a0HyXZvziLS+wN+PaGZzY
WeORII6JeREwXw2OR/Dc4yS2f1XI0lSA3KHDc/iS04SL3DLde2/02fNzMmageghH+lF5/oq1xFsZ
HkcrOzzyYFrUxEQg+eUL3lRkY35zsATvcF8XB3yIhwRFVOgImIRt+cTsdqUcsSJ9cQaYyF6TufYb
tSJ9als8Dnyh1EfskDHyMzBnEx7XwSW1y2M5i7fQmbyNQSRwzSUOKii/9ol5A+3+NDBmtJruLh38
VyDWtMikdxWF8T2Z/AOysEltyjAAKp6DkUFEnZu3kE2DESvnsQnmq2xoh03x4Dbla1KKZ4o9Qrjo
CtO8OFiMURcP9WSzjQgkO5gRPQVz8wb/8ldtdYSOV9ljL4kjUgXmHJpXfDuJIh0uuBOcF1zuzZuM
eRu9kaEKHw9VLW8kduOCZNVdIKcfwLucwhN8Ustaonhs9NLEbbF95y7zS8x1fVGhz5Tb0RQdCDwD
J0lXZ3sV4xFoVHstR/8fV5SFC6/DQclXYrIuX4EofdED0sPCoFr0kCq7zIRpUunkK3lk/Yc92rFv
g9dtJVAaeyIrIJbRF6U72iQKoFUqmQjwQ4WD+dN7xGOY03zD23sjcRq/t0mnyopAqPrA5rXsWnPt
Nf3T8g3NSAwP9nzzphn0H3hQgz0Ke1w+RMRzfWXyZyb6kdPBXBNBYBza6I9MB/YceQR/yO8PfjU/
TE5ybdxiM9aFySC7Pf1/Bjcl7M2JstupkEnMyKEXdctTKV3gU4uxUUMM4UGNtf7tqvk30XZz1xBh
B1qpuI4Gja7hQpIDJGfCIa9oaaP1+B9zZ7IcuXJl218p0xy3AEdv9qRBBALRMIJ9l5zAmJlM9H2P
r38LvHpSZJBilEqTVwNZpeVNOuEAHO7n7L32usqL+wEhlqPoZDpkhX85eMOdgJ6gYGfsK/3OZvcL
9orMFvJ8DkPdP3YdkbzVtFbF+Bp2uMQ139qwxFwGJTELnKbupJ7DqIk0sYT5gVTAGeeFkgAatVMF
YCUYYnIo5QSAZJdx6qoCIrInU8CB+RWv2BW/SLlyDXadE6s6YcfvrXt8tQqWvOzNAwRpCF3AIc5+
RoAP9KzdWqoZ3Mlm91rpsNlgkTrjzGvvgw4PvAn9SQUWnuG7d+ra3AZSgdCh1mhg8j7prGw5tPBc
CDb+/UvVsNVPAvWavTJ4Ww6vkaQj6uCb5ANQdjpMLWq6K0Ek46TSDpOiXssaZeAUWnsQcFYn4QV6
87APNf+lBwOz0OCUDnmisdvPqWHwSZ6fOcqvJoe8Kw8dbZncaOIequA1/6hdltQP6EKzWGfdpT+n
jDRDXrttrQKkhQq/bO0cUIj8KhcV0yvxoBvYogfddPMWE2NJKVn3fiWkUqPP5IVv42jzPqEJW4gq
V6/ZjL8QK37lo8Ot9elHnSj6phjGV89j8SShgjApcddgp1ZxOOisMXPDwe9hro98SSpvvIMAMOxo
CG/yTrtnW437PZ3Yj0iG4bSX9aQhDkqTG1W3v1kJsTZhTz292SewxaOGtEoocGx/+mu41tjE+YwO
ldinNU29OLkrJUpMKoe3pejqu1KY+7gd3UrFlJgbzy1dhkVjN7c5udlAe2PYXGm6p6Mted0FC8S8
JOqyOwJoMwDWkMlRLopC09bkzlGiM6/8kefN8Cxau333Ah+lWg2R9YRMVV4BVb1o4kegCNi1ofNp
WCVBZJO/Y00rDundsuBssKopm9psNC2NE/voEa8tQ49Mgoo6LWHvFnv2bIK1XyKT5yH50ZLrSngZ
bL/Q3ONcYs+iEAWnaXycjfgqa9hi1Z210tPuTtTs8oyQ9EjP84Fso0T1Q//Kx3E4Jt4jHvkL+phY
VlIOE2X4oBC33Bk2H2REBaZi/cDUd90Z6d38l7rKboHM6of5u9G6orY0hwqpSdmJLqw/XVAjggpX
CVoOSXenhRFPIPG9kGWLDcmrO0uqHpQ02BZjTwFXv0saVV4VpnhE9oY8IbkulYT+Bq65XSq1j5Vf
wryvB1JOBHrMhjo9pQ+nNLMYIVwNqSFBG2MmGx5z+h/NBZl2jkW/mKi+GlJfGv2UfeyrPRgPapqj
WBUaKXtVhwBKDR4QHq4m5MNUFWjihQgPOwm1MoV27jH8nbagzJjazaoqkbfM+ysEM30J9RBDxAul
G3sZ4l3gZILsHgwewb+t9ITN9KGv830Ril8JOnJEWvFPO8u2NuoRDiAAuTmovimV/pj34ZWXeq/U
7mW6ZwoYNc0JJevQmsg+aDC390VHi0m1Qd5BeXkZuocp7ArSW6NtVqSX+IwTV58ihOi5fc2H4Wp+
WayeFzsRnJoTcqSABrwRpBmvJDVGrGlelPzstqTtSjggbDzBW62g3u8mlSBJGgH2DImYO4PCrjaa
om2b2NGz/C3xw9al1aCE/uiQeLVIUjJpkFoOtBu2Y5KSfl3d2CYhYHlsv8jIm515J6hpIwAnOgTs
kz2niKdutvwvwW/v+4YPfqAm91VKaI1qz7zLkI1lnNDiz7Fxs+1f6uaFVYe7LFOeUWq9pnEdAO8s
7jG+VQqK00HmNKZWjhoLclXYNSH9RGeEdLuscOdFQ0t0NZ5K4ArdXZ0PF6Yve5v5R0n9kLB7zVyl
asUqZ2lDh3dRKMzhLOKGkzu8SCgaSxDGbOgQHDf5dKc24RUvRTaWlNNbopTkAhsr7RffAt3Qvkhk
+OHJ2FBYuZAHuqwqhlc86lhA8rFfDlayjgzQ6SVY7yoEOq200c9mnPaUISDH42/1q/6R0ESuDwtK
EySbIcGtVPNwkbxFWUphvyLVOR9W4a3ERNQLdRg1lF8baS5xW/lLLFHPyjBNg8a/06ZCR7asUwgh
sEzJlIdeTR56jwZsOTf0tlE60kFSfth50W+FEeAqIu3HFCWtaX6VLB0pJEnhVg/MACm+sc+87rID
cUmyMzKRwLjEsUbr2UJUzAnkKgMraLPNyxXrjY/ZDXvPjWgC6sgBBgxFeyFPkRk2gcKMNnooV+kK
ZEMFPG4+muz84qHcISdeVlFxMSfxAI14GquRA673iCwNeaWK6I32LSrkF2vCTibjuV1acnhd+RR7
+L6Gy67Z48F/GQV7RMe8lqJylUcmKO+StICqp7zYJWvbm+ipj8MuMomMhBuCREF5xX3+luTFXorQ
ZYqomjONB+qNHCxI6Y1uCZ7NSWs3xnWm8mA1IcrI7qWlV71E00MBVSjtCrAMplzdIAdetn5EVeYt
/31A4b+kD/73MX6w/ts7nNB/y53X5vW3P6xIkm3Gm/atGm/fgLE2f/s//Mu//5f/07/8r7f3n3I/
Fm9//cuPvM2a+af5YZ79RgcU2ldgwd1r+hr+eP3wL/7OEzT1P0ixllXFVC1hKeKfOEHT+kM1gNRY
qmpqMqoRhvl/PEFQg0JXhK0qllBNVf4nT1Ax/rA1g3dPRkmkAhZR/i2e4G8wQUvTOEkb/FaWIPXW
MMUJTDAxWrZKNbYmSsRuBbMh6ts/b/efs339J5nwv7I2vc5J9wVBaJwZQvD3R7xChG9DOFmjt4IP
sJtSazemt0M3W2eco2n/ZCDm5AiM+Oe10EvUOHMK2WBSfx+ol03Q2jHX0mUSfrk5t9xeWriD/rNh
oEAeX4+m9p5KpZvr8a87DNx4PpYoQr4eRFE/Xoxp2BrHDlmVZV07GWWoIzOofDlwpYtsizRnGTjZ
BQc2t7jEh7M2z8ydkD8Zz9RZJBTd0oUlnzwIhtp5iVLYgdu5/aPJEWtFsryDtsZeUkC55jC97B7B
cSBhcFBTrvCPfH3F4pPnxBLIQU3FsFARqPOMHD0nkpA4wFE7dKNt46hu4aYrbH3fkUu4xmO8wna+
HN1ya77SpN3lDi3OTbRu1piOLr/+TT55jn77RXgtj3+RtBeWSeU1cEug1n14KKwbKoRn3gpl/in/
xHi+P62/jTL/FkeXiz9tqNl1B6629jfxLj1Q5oXks+Sb6wQ30BQepP3X16Wcu7D5DhwNKXVWn0Wo
51zj0K+0JarP/jJfG1vOZcvm1rjo73DqnnmwlPn1/nCdlpB1RdcNRTNPb6sZKpleNPiclvR2HNo0
y26DAGQtnGJdn3k3xSej2bJlyLw6KtYA6+S1gWWvDsTPhG69ii+Rol0mDmeO6/aG2MZbtK3r+BpJ
lZOt46v23tqE7t8/bv9ytfvkttrz6iMsnaX7HQR7PMe1aSljkCuhW5T3bX/TqIevb+In99AWKkdv
4KyWrb1P99E9TPN47NrICl2yjql83A/DqwEZ+38xiCbzcRK6YSj6PMtHg2TVJAqpw/Ch9923mBat
XHA8TS2x+3qcj5OFc8c0TJ4MvnaGBoX3eBy7r8wmiavIlUsJoD4LTaaHZ67lkzH4kKqyqXMz5i3m
72MUmmJbKuU8NwzsCxFTKmp0QEBfX8gnT7kJCE8xbeDBiq2/P5dHM5YniR75glONeQUqbZk4gVtd
aAvZVVfFQ7D+erSPz8A8mGUY3CCbmTv50E1GEttSOGBbsH9UMHVqXuPu7esxPq7GfA0Um42BqbIq
G/PvcHRBg8opk3p75JbDSxgn9P/uLPXXzMH7epz5d/19eWAc3ZSJXtM03pmT5WGIBUmxRh+BSaIa
Un8vkRGl0UuU3yFv/XqoT76pjGVqbHVURZNV/WSsummsAO1M5CLNpbO4ShwKQ/0SOugiuDVclCfF
mav7ZJU3dfZwttBtUyV34uRW2SHZalNqRKx+cBSWyB9W3rZbkK+3hki4zNZnF/nPnvfjEU9WQGI0
zayKGHHciV0BTeAb/UVHWhKPl65kJ9v9D9b4+T09vYnHY568x9qkGoWRcOKnro5LSTeeTDNYFxMn
fotY9mbCv+c3+cVoGq7JqSQSowC8QmVUpuGL8aalaAgQz1fWSazdwr2/tWug+2fuxpmp0eY90NEz
Db4zrOjg0d6j8t6FT5Z+deYJ++zNVIVQDcXWTFOft+3HI5gsEIE9p4I1SAgwNywUR/oe73ByrPJ9
vS/vaYMV6+jMevDZu6rylqKRNGiayifTHxpjTUAH76pXmcsAwgDrA+FQw6onEf7rK/zkA8sDbcmm
iSFc2ObpcgpbJOdjLs1XWOzVu/CSHt2L+RwslQUK9z2OFn9NuBXcogVpYMtoRbP9zNZJfLZmHP8O
4vdZppAM7y3keqOtv6GdtGS212IZgTRgzwq2aFnv+739iEDM3ETu/Lrxe6GtXWY30jU1x6/n5NN1
5fj3OVlX/IZ4lbTn92merRt/U6/RNF0QkcJuFbDY2lp9Pd6nj/HRLZj//ugxNmioaYR8smSW7MRh
KNW5fO6S5in88EYfjXHyII/oNUOyLucptnaZ6239Ldl0C7GYd//WmRv66dfzeAJPNqbCp+2m5Rkq
U1bJyalZEpb2EnfhztjEV1p65urOTeDJogzOpkltbEFuqYBCfZSqc4c3zmhn5u9kFVakkgpkpPL5
rJGnowRN10Yq4ossA6QVF/0ef/uDkFEgjAH56j3KYG0YSPNtYX2gsEFQgNKe1KFxWQ3hRTkhUetR
2IlsA5x6qc35VDEMgk5F2TrHj5C8uKLnS2Mt7GlVYU2HFvzWkqmE7PfAwX2VUVWiCt5uEWainzeU
a2Fb1aqL6CaqXYjeGGxwYPWHcjToFVkvig7BIgqHTSqqu8ScDMcuoic5HS77yX5B+nyjD6S916m9
GuZwRpR6sHGzasvpeCPXOirYcDMpAZyjOkLkqC5yjXKgHl+bBbQKYpWcrtGgdlUyIczI/9EizMAZ
qX7WK/WhKpW7iAR7qITVd/SP0tJQE5QVKcQ745Hod1eWpuc48IBd2iKBEY/H37Kshd36v3oMhSA2
cnljmpCmUePfGI1Awzt7PDrRot20NFBqYqWTjEX2ruLWesKkkVWOiD+9jHt9VyYI1HADQD+xbETv
OeIhqFd6uG1M/0YkJulhwlgAwh4IgpmIAdOs1eRNLxHO/WWokoCYB9/ZwYGqg3xA8ZksFbtGbzFj
DOIOHWdCdO6F4fk0k6QHAqjfFF/8qEPZgE9L205CxiwyaAipuS6ycTV2yuOoQUhRlYD0QjLzAGQA
IPUOdo7QP222ekSachwhXk46eaeYtJYbJEhrPMpkjipXtd58j1O63cmQ7adUvkpsIu1Tc7jxCimF
9EDOVBbzFY/o+eLbhfkzomWiaVfaNKbsh1qAAhR5d6hUUl/00IP+IQGtoJhvF+3NkDa/Mjn4ZoSe
dBj8YQNoTXMos4JVyJF9DzHlhVxJL+wRn2eVa/dViEoi1zw3BfsYKOE6yvJ9rhHs1erBpUJolTsE
6msAf/IQC5oNufkdV02AGr27S6dGd3F1jVswhdWe5OLnmNbViHJrlUKtXHP2jDd20G/qVvvV2din
iOLLVxgs4EqXlPkjk2DSsduC+VojEt6Bkf8m58WvyWAnmsvypm+5CdA18i0SpHUPNeWi8otL3Oo0
kKje1jUIVsIRNDH8QKeWYOtTiwXwwrWM8mpRhdTU8Rf3KHS6e32Kf/oVyWMg0pctoagLKKIG/Zjo
thlxzMsJnVI7fohoUSWePvsQHvqY7EH2kVuusFxzSzQopfKPmrxQNBgiW7cGCtxYGNsJmfQDgckU
gc2BLO0COUGsoEc3zVDGDYbuRy2M2OW9kK/ShoMdWcG8JyH/0wagg7pR59s1IsaoEnq2eiPBeJ3j
zqdWkR5y30LrI+eEPs3uSiPrvylNK7bJFMebojF3wDmle3WoyuVIdtK6qOfARz+v120CyNMAA4CN
V9/ZQ1oeIFAhCZKl14ZACOYmwJ0X8PVWMgLIGiXYwNjayXKEVBq9hfC+9QWLA+3wh7HET1H1O6vS
vo1V8y0NprUeo/XXpj6jHT4Wd4FCg022yMFMCHw09TtkSdUy8aU7BFx3ArLYrrYIpzAbVBeaNi8M
UngAgYQm2o4G15CVkByIQIbMWvpg5FGE55bn7UcLA1Kv0fMV6qMXEEqvw8RYRFmCj55YCYQRs30+
1tNtOOJch1omVvWAJF6mNECHADVuDCpuUybNppfjQ98n+zCzN1ZLxBIEWbPU3ByCtVyUL7h7VnqG
j8wyfxV98Vom5UoS0QF/PIc+lbDxFuI2PI63Loj25ig96Xm8RmR9gwsQBLSZQfMxPDZEkb8vU/W7
Ng1A/IlgQ+VL+FZk+PFSYl1Z1CnNfSCxMr0fpZ6uLAiYnjYR12geIgNTvaI0B+wtK2Uw2dLq4S2t
MhSLYJf78BYQ6E2pwIRHwB9L/vdkkq9JA79jLdpqePNNv97IqDD5VIywPYr8m976V6k1XBr25BST
ddlBl0GtoNCJ1G/DGIBj5uOAwGLewQlQ+RrGxnNBS2SpY84BjvPSp94DNPhvetVvDDzBtkQk2OTH
JOvViKfCGhWLPMvyZW8noBVAwDTxi8SXU9B/q+3qnn7/De3vayzgV2WAYT7xmzut6FeiHh60ISba
PpmfqbLe176UA8KiAS7VMb/nQLpcjK4PwJWge6g1BXzH2VJGE88Ate40TKoT9fW2S/SdnwV30ahf
6RUHzJaufhWBHDID9BmsQjn947r5FqjDLdZXbithGveoCzGCEI1+NalScqFpTbsjYSB1Nd0PVoVB
FIhfV9cNkcd2OGpuXLFLYmexC3SAMmk7fLc967ovdNA14A3omNa9q+R2uwwKkvaCjpxQGMtmKG4C
ebhsCuOGmasJ9QvQZw+hwkNFEENgdw/YYx/7nsR5AxuMKmvjTRDzwBRp5RQYoMwaEYihr8yp3+TZ
HPnJZhg4yrDmzXJhnz1ZPgpjIzmUs1R66qzNKIlnWck3c5TI7Opaj01f0kDrd5oV7QZDfSjG4PvI
EgWNx6cCq+W3cVNYhL5ZJDxYw4OotTmeJNLgDHDSQRyLKTD2N4FIr9TCBmqlOSn5dFKV/MrM+ron
jNoRoF+RJQ/D2lJcezLadeBVWL5alvFkAtI3JAMkf1Qey96S7/XIvhit7L6DTAtnyESAb9D3867w
gf/glR8O6GrWCtrgQMJN6ycboRUbkchrbxa8tYDUl4rM3Q2q4qdXokoIRfoz0fHr1mF8USRauPVD
8RhY5ToXWHwpfYFzqbcoia5B3EwL3ZdbR/hAYLT5PJfZ5EIa3mvV1ZfUcbtVncfh/NNpPqK/INl9
RxriKyGVd5yN9nbNAbSMuhvU4shoOvECwpL9dKRIS0AV6nowdGsHThJVgERgjtpca7J3bxpNu62b
4jk1jV2Vmfe2WaZOKbwnA3szeizlaVBsykF1xu5nnHZZqfGxay38yp2KkQRMGW5v+ybvjHvZ137G
EpYF3Yv5rGT2GpIZJ0MsqhOSZLvAeOEh6SBRJSUDKYPEAzPwewkHA4zESL5S21InCef4YdEzcX6d
OQ3srU1UoQHnHArbqLsRPahZw77GAZwupomvCUHja2V+8FAj8vUXfMApSuwzI3wmURsutOS/1WF+
46u+RSwxJs2i/jlRDoMxXV3XqeKgGHvTjbhek6TNFOURVCE9Si6VAjSBpckpOD+pw2FDxhIsqrF+
aOK+cKw4I4x8zpA2e0Hf2DvwlSt2shE+5vMC5Sf4WkokBiC59Ggvo1DcBBJ+IH+oFJCH0p1o0ECQ
eo3oFh4p81jUezm2Xj2YhPEw2zorPEWyxWXHSuKCMduGYXBfZ+nNEPsPgdqCakujNezDlRbL3/FL
Y5pSDFf3EFAHKNTREzS3vjlCuFXzxm3RMDiE/12zw77R5OQ78StkvhT5VZxZePzC5FqOq0tE28oS
u4C9IJUCUVkZ3wZSeIcaTXK8CQJJq/QJmIjqBWlb6chV/Tr6I9KUKkHP0aPat8WFotN71+T83ivb
q2aqrlorfkjVSSyrgi2IYaJKKUN2Aq0d78PIcL26InAhuEnLvluW5EuiRh0WmNA8CpKzRNiIUSxK
YMPGkX0FzsalWhozagwnjLlLIh1NM3bShk+IH4lVO1aHSc8P0RAAG60OORZTf9L2gRR/90yZgBF8
4k5Z03ZXk5CtT7DjOWRRqg5+lW9HCTnVpL1UKmSBifV5iU0bPFASX0Jwpw4hwzRi3UcnaKLowrXR
RdC5LUm8qsF01QYg/gYg26RJs9uZ6juUSNuiIQMDJb6GJXLYq2W0x7tyRfT8z76TeGRG+yGbw3Jw
iS4nnBxFi2dH7sgibmYsUjNRtdQjxFAwpqg9y9yn0e+KrUTIe48/eJoqBCvtgwecYxEHolqSXP6G
W2RBQNEFhmWYLD7YjqoexAO6am1LCCeCE9Yc9CkQdHG98iteFG24qVTvYWrQsHRsDL2svaBNpi01
D423E6uCe2QKBFxyzto2sufpie4e57h4UmQPsaYgvSxrsKuW+WJIA7khrcw7P9pUzQ1z2pfJ8NJC
Tdok6nSdFhm+jKgUbopCG22C9UTokv0kJOGvzRgxqtFR4TJf2HKZq8GDcRJJWbw39WVkeKFL1qux
LKu62iL7qJZlJ+JFEBUHkWK/brsIJmEf4/mP7kxT1lmeRbKfyPgkbWc/jtOFUWhLNZDZT/PhAmOI
on9MtiVo/s0YFOlWHceHyG6dLg2vSGgh/yS1sHylvmuF1bewS1+DYKKJalUlN0/cEneXQ80u5Q00
e/blBJQbY8qhN4NREBnaW1tAr0qKQ5Tmz5mwwdDgaiaGflVLZNqBA9OWRgpuujNCee2PWfiEGGhA
VjZVS1g5eBbZl0oqRYc0nUXgnibWaWbUmCLwyWPLR2Oj8dlp8zR5bA35Tqr6Gxniz9rXNW0jq/2m
sMMrVUHKIsV5ckANYpGvQAWgHOVrtjjRkmckRHdjlAeLZLCFqlffWqMpHKm0LbZ3Uog7wiPIXE8F
n07Vcyc9Me/zpNA2eQHnEhwPepsoHTA6+zjqDL+5zArSolIi3hy8JeaPKhrUDW8te+yoNx75Ys2p
DByXqkZO17HMj0q7uHXRfOVrqDGtaww6FP1eV50MFnpNpODCaLA5ebGn8pWXflWafDVUqOMzzT+g
tLHmU8KhLQFzosJ+HaWm2YsBss3XhTplrvJ8rKJpQqYaPKssTguzmupHmkQVrXMxXy0IYnjALbT2
H+YKJdQhx/6Wu7Hju9GZitqsUPlqZPWk1D3NUo0ayKWr3OFaCK5VV6xoPThIEpf9HkHiFlrQRr8M
t+qLdyUcecMB1UoX+vbrKZiv8IsZUE+6bxWVDE8O+D3mLne9RsHuariwz1XAPy/BIpdAZUM7jwYp
v8dRTVTlPCp5HN3mwjuRG3MN9pLExrX8XN732/MDfja/GuPMoBpspdbJdfleZAUt32iXhtIGABsY
H3GmSvlp7+h4jLlGe3RNnhUEnKCoikbgeQDQLugqIoJoVmbqhNeoQJahc+7B+bQUa5gGyy0aciST
J48sEQwGB25uWL0aV8YSvMTodDw09DHXoNP0+6+fj8/m8Wg45eQ5pe4YqUhJIxd/58IILyfz+T8b
4ORGpRJHllDlwTDFbSLfRJZ95jZ91vI5voKTu9S31Cb8uVLekPMAGQzv5nMT/vjPruLk8e5Y7xBu
M0hGHIjAZN/rZ3QFn75Bx9cx36mjpw2zZJWm6jzEPrxV9hHP2ntjFAcjRX+wAGeWqM+aVsfjnXQY
pnheG0u6GHr4ooknM3u2C0KlasP9eurmKN8PS9DxQCfNhcy2/UFRuDBVcvUrgG573OIr6bK6WGgO
L9N66h17jZtzlZ1t1Sjz43W6/h0PftJqMEXOjivkKrP9uCJubd26nEoWuAHOTui5V+mk5eBDb/Gj
nqGww+w9j4JfVll/D5f+l/KWT3tvxxd0sj4UtmCnVfE+SRv7ShAXTmXEfYlIwnb8nec8PU1Lw+0d
dW1fxksjWdowYhcedNklbnpH/fn1zT3zEL2r2o4eWq0B2wl0gM9L07tGRL2NMJvJhl1+RhN2bqCT
ZYQaZkFcFgN15bPg7JpoV4NO5bQ/M86n/dWj+T0VktQSGZtWztOaaCtqYp6OEi9javVV4tJGRsE0
rEjeXcI9wFI3y8VmFcG5l/Psr3Gy4JDIinM05XpJHXGCn/5FufRX4aFZwDbeeVto4jsohw7cj5Xv
mnvrcG7jcGZZfd/gHN3ZxPQ1hawyJtxINtrw3KWbrFDO6I8+0RySyP3Pr90szj1e9AD3+TBG59ne
2pVTr/INiKtlt6+2mDapBTvhmiJLVS1wdqXbvbKKVuNCfmKjhCEIGPl/tia+/7pHF20XIsrt+Vsy
f7A8wLdFXe7kLNk1UnZuvT+zXLy/6EdjpZJSWta8M2t+zFpP7m+8sLbmkt22t8CMuTNujdXXb+u5
e3qyQrXgbcp2/oqZxGjJhElJHtQpMty+HuYTLet8V1FdI8UwTP7v97valXkGo41x4MTu4pqG4HLY
t5eFO79C9Er1dckZZoGxmqwLF3q7c04S8On++/hXOLlUTipmkU78ChfB1r4a2PwnjryaJUeBQ0qT
4y0uiW5YLKQDPd9F6vqoGL6ehU/UnpbKHJiyxfHjo1KjUEKtaBt5bqrLy2ZrLKGpeHzTpyVYKrdb
g+1bardnBv34VFkaQhQhK+i5Pm4ftWAIfQ6ZxN46k6s4iRNdzcLl2lHwW+Z3xCecUXx+1IJYmqqh
q0H/YqNJOZloqt9hZelB4tK/AjAAcf8xFvuxvm/V16+v7eM+gksSiLLFrIhkWn9/qiKLDm+o1QlH
mWabuN2md4PN+ZPFZ/cN0SXaC+SEiNROVWqW2fnIoLXETfbFM/KLNXFyrnqLBROS9J/HJ1rl5ebr
q/tk/wcI29RsXSE1g2LKyYddSf3B6ggU4XEBdF8s1I20wg7vEjW8mt7OnzQ+LgaWbmqmIsNDQbB7
ekJtya5L0Degy4TF0wPLGYbC0UhjP3Ndn4xjcEmqQv62rnJhv9+2STbIE523RYNbPo6r6ipcpSiE
8AvfwwNja0v63ZkxP3kJDJ5JRpM1tGCnh8PB933TjIlHACnfaa9ldv/1NX18EvHkG7rN+8Ua8+Hn
1yYQ0b7sM1fe+ZvMjdfKOtgQ3X7ukfi4eaU0LluqhdsHUas1T+3RJ6Iv25iurscIj4OjLcuDeTtv
AIgffjp3gP/kkmZlJs8fk8arfDJUbhiFVbZt5EK2XsgKUhOtuexMauHZ3SDqTUjMe5w8fz2PHzd1
XB+LJAskVOaP82ilBMopHV//6p6+EZII+qshxEXpzEAfF6l5IFNTZjqiwAz9+0TmppWXiBwjtxLh
GoIUINU9ZbWFadAeU87I/D888Ly9us3lGMLGI3S6c6rAYQe+JuVubspu0MXrsoluW2L7vp68T4ZR
ccXPSlrEyPapshXYeGa3WVC6tvrTJOMI9K/jQcD8epQPz4XFCEejnLy9uRRRthz14h/1o2oVbGCs
nHnUP7yxFheB14bvh9BlVovfbxBWuyTSdEGgiVhXUvwmq9avry/k47LOEIJlQeWNBVN1KtqGW21H
hFRlFFasXbKdVW7s8bKlvrLXuFkuSjoUTntm+j7WkOZR6UfNmk3to4w7VOQxQ+GUva/qGvrjgHQl
tMC9QzTMOlnnK3X7v7nQoyHnt+5o1ajyViuLpJtXJ+NXcE3dcWdfSo+z4UPeaBcGis1zitAP7xdX
OVuGTNkwdJnJ/X1IOaQtHmVT6EYRwFRjhGWRRrjTKxOQGylIB2Mqn76+zE+eGFMIy6KmjoALTezv
Q1YG7bR2IOq1bPcCv3P6/euf/175+q1ywA6Arz9eP75ZfEVO1gylsTG51HOW7NZbZ+6wqZGTNmsf
/eXXI33yIh8PZJ6U4IqwrmVytRGMl5fZ9L1O93Vz/fUQHydLEUIh+0OVsSx+cBni7iDvm0gPF7Cy
U1qHJjq34f5kuhRBQARLHl9FFtrTA/qENZxGInv8LSK4C2urXVkLf1mtyzM35uN04eHEkMnRAl+E
fnq4MMCS8CCy7nnFYybf1lTPjT/PZrO1FYPq9Z93GW8rf/6RF2MV+kFz8se/XRVv2V1Tvb01h9fi
3QX7j//0Tx/sP/74/4dJVqhM1H8fm3D/bq69fE0x1963HO1Cdtx/Om63P//6l/d/8adJVtP+sLCy
WqaBLQMLp87D3r/VDf+R/odh8l7PynZQ7abBavJ3j6wm/qD0ruOdVTRdx0DCLScgrQn++hdV/8NS
dE2wNzL1f8ceq/++RTDFvFzzRFns5OYq/2lfoaiajlQy/AmVZbfrtlQX5ojQjcgKNNeI6iDSkkL8
Wusd8KeECqbTdBpdMNyURDjIvjtFMkQJQB5XQsgENj7k4SUxe9U+LKJhZ+kFhKxKGcROjiNkVnL8
HfSdRgevbXd2AxhFCn5WVkKmjVL3wJHTLlp2g1fcyWm7qq0xUBZTNTMomuG6Mv3xgMkB9USqBABE
7WEdNPrN+196NSl76VStaAQij7Xzm1AiqK1sgB7lYXQxxoQEjewCV11irmyf6BWbUA+irACi+LL8
nW7pmRoEO595cfnnKjfPr4Xl02ZHx0KKbe/k+w7BXMCuJX+HwKkcAYTuAbWrvUtSw8jesQoUZ1VF
qmPbf2eRR3/RGeIh6PrvjQJqtzQSBBNECVQgNa8LWGc0BFPrIohQWdeZQmBPHSfpnhSJ93+YtZN2
X/oHUWXqwwDVsUibi3DwshWNT/WJ0+t1NlXlTTGGCIwGIpqYLLF9/7fvf0ztrN4Coqk1a7iZSBtZ
Jfkw/38yt8GT9YskJvcc2MF9XDz2Rtovw6SNNgohtGjL4nTr11Bdcr2+0t3WSGmnZsVTqnnxIfDR
BchemjkIbPOtPStDbDBykBCz4RG3PulLVqK6BGYYDzk5wHEc7AOdcy9G6EtDr63LQK+7madiwOvq
YsOVO9CTfhU9N1GqOrk+/9jGDp/D0tqJFi6fbhCXFUewwXJu7jovq5wdkOaNkCPgoRd996Sro7Ts
VRHu3v+Ye8NVBcjsRg00c6HBzYPTJEuHEpjH0obQ+NLZNbANjLNJWgebQLPj7aTm+drP1u8XO8Wp
uIQxtc1AuPitGXBfCUrR6zrYZZ3Gcx6VHdr/MaS33wbfIq0qN9j/jZUe+8E3SW43GVEPo6OT/Ze4
oE7VQ6+5vT7WF2GKaRhgBOSYAarapPeXWqV713JJNE0L7jVt7W8FlKq9qgC3VyZdrEUz6bU7H8ZR
AISkACEG2L3fykkzGhJYcsfOfemtHxHlwts0UZBtSF8yD6qkmuR5g4uyTLEGLqQj5OZ/JrkrkF3+
X8LOc7dxJV27V0SAOfwVRWXJspz9h7A7FHMxFsPVnyXPAb6Z/QFzgIGmu3dvb1uBrHrredaS89rw
poudkNDp20aegwTc8giKpKntS8me9NR3qJBqyK8jrNlIxp2Gxgig5wrPmtwNnfiatPlUJZa/T9LA
O/f4NLZpT3Z8njL7Rp8OL7PXPPz8TsMluJ98218lcPm3dtyTwhkzBYAFC94Ct5zUJeV+8lzJuS2s
i9CAR/qyRXFVdA+wk5/goRQXuDjUClI5ZuH0y0rM7kEWC/kcqz53zXTKUCbc3V3lLiiDEn7eAlty
DNyVZw/2SSTOb6W3EObc4m0ZSx2/BYK3OKtPjU1a24COleck8Iv2t1kHKNSM1g2LdnEeZtHcfD//
aiaX9A0tcUzfs/qEo/XkkH9WjmzOdSP7GzEtf7+4FAXmP95CV6AJElghhFozbjAnpYIXRcLtNes8
CqzSSo/taOK2yoKnsbGSJ7OtX4x6vMWQH+NaybN/fxCLNR8h/4SeWcoLjOFkNcwq33e+KlB4jnLV
1tK7utPiXScHau+daQ9LbdqZiFkOLuH2M8kU9N/LPUHfTzE+h9a4JHd0Kr9BCrUpTJ3YvBt718GY
zTVgwSr6+YKkd6DWC83bELtOwyJJ5j1kevFcOzzRdGIx94B1PU1y+vR1AX26ILWImQkoKKyqKzea
4NpLs43melrW/+/PRKGCXWdiN/j5KzhOsA6Mrn1UMbE+06o4pxmr6llTTYOIDXN4nnvlc2Dwo9p5
vvn5h8U8J1vZaZQ00gFh3ZgXnwvg+3/96l9/NhFwXBZLvzh6tRnQKfztrfRc5J73ocneCFvA07t/
XZGDrpNUQ8wpmkZz+MCnSnrPxzbcmjSmOA9+cSgo7LN0gQCIqQwSTlvf8hxTRQsWfds7AjI7TM+1
5HIZCtd/S9x6iTT4ODunUFxCJjszgVsF2vXnAaLJhx/3zmFKXcQfmgkjVrv1wr/MXhGNgf2i9Vgc
TL95Ud0RlychtXp576T/mNnpuYyD0AUI1hj9AQLjXQlAT2LeJs0rusiboTRMyRlJHf6oc7dEvjf3
/GZR6TuFrzglkuuZ2rbRcholn71azpNevMkAvBmhzg07FzA77W6YzE0gKlQLbjTn7UEzJbWDLzAu
mz42NvcvRfViDRV+bYweZEDsmWqKMste+bUb5QgfUSCs5wF6rmbsNeFtKUSjvbO4Y+EVRAEk5XyA
5rrXx3LfpuVjTDiINNGKpgSsq6pe9Vrw2Kb5PnbAhEIYG50HLqcbq/W2g85nY4j3sCrOrHNuhbAx
d43nRMldbW+W8W7eaTZ16nG/nM8soiHQ3OkY9J0kWHOcip0N4c6LMDmjFhA7rGjYOzsoOVWUk0Qf
kvGkoCjen8T7E7F42tXKZTgMJcZDcRw8N8KEuu7Qn6Jt6z+GgB9vegdDGhKw1C0cVAAHWTmEKVMc
r5HbhFR6DgqRwiBQyuZclMz7c2PTNpuFQ8neIAujUY6ZDGAhEKehWoxwiWAKh701Ha0Ro6/TRJ4l
YH9Zm0GbqI+AvJvsh1jDTI9CRm/yV1dgMyrkuVsmXofp1CekbOJqT0xk0yoI2814gqfIfWM6Ejd9
bSWR9wziEy5seLYhZm3KfFWUzSCZLbnpmnblXc3UCsWURNq0WiBvuFZy9Ce5H+LfhaREzNulrNJT
IJHv1Zjq7tQrq4Ra30YpV6vRXNsT5lQ1YETzKRot5IzNjWE0UV8grRbeoy66qBd3Ew8UNy/wPxP+
azrvLf1eBWsYQXsj/SNFjM7gtELHQ+TvnT69kJ/f9AAeLY0vzhpAAE3HQoIadYSBqR4wejJCFpFv
QUVT/q1p94k5cvzSNV+JSaqk8M+uX278AAdNUH+XgoV1UkJE5L+JrgXlgbfL52Y9xd3Oqu1tnK55
g/3tC+x6YF/nLjnVkirPQFJ1LbDV6p72q8EM7UMd9c12rZz2oNf1Fu8g1OIkSkx/U2qg/IXzmonu
fP8q6XO7ZNgJhsipSeex4uGdU3j3q554HDpYqoFzGdtp1wumNqTNJUnvIdfCQKl1npmbmD6Jqn83
nb9LVAsuZCToh0Sq49SQ93PazRTv+tdOt44Ic6+FmR34zte0NlnjRtRGD2nM6SK3UexGWyXd7f3P
g9Y7IxU9NZm5LxFKDFI/J0F7yBC0gSKHN0WAVC/Xljs/2AiN6Pod7v/f6f4pnWxevPtG5VxW/t6y
k3PcTgcoulEF61ehr215Ke+vcedc9JpYIMrMwp+B9J/uL3KcFntV1twAu9Ack5NFTSXHx9mkzs83
N5p4ENR0qJdxNdbl6/1aWAbzRbKx6N6p3awtVqq+T7/OKx/zctgNpv5BgwxyTSUkr8N8GekC+UY0
zwNe31/361lx5O72aI8g25eAel55ciilmby7eF3JIjqUihQowpFPSH41cCfpLq0wq2ZeB8iVSiBp
1XfLWQ7WlB0XuCLTexuIqFny8/1V6DXn0RB8RYDoy51tirgkCFJk49W7cgoWF6xAR/41aV+1BDDh
VGu/uNFux2r66ERMRLEKu8J9iRsZlYa+80mD9ikZZrgwZcnMMCHdsPDBEd1h8q2NMbcb01MPDhdM
UX1ZuJEq6d4mx0/XlRVfqB6sRxWfh0x7prID1DWv01OF9VVy19M1yMaox9qZ9qbDMzXMJJbHW+2B
1sdtDqozqlsw8ZO9vDq62ueGcbTMcWfCwhOV8+EoFwF9H5r92uxIJQH8hoguqU9V+ltGRQdVcfq5
DDZkUr3gMu9HI2nWwHrp8vwxBiFZBAVbXZ7M0YNXN1EytGx/B/YEQ6tHL2zguXLfsxYe6JQPp1RM
Hz3vX1ev36t5N3P0GNa1dvA6/6kb0tNIlLcSn1b3GIvgrU+cNWfPD27VnNvGPRaGPCRus0HJeYxN
9DVJKT6wWr7oMNUZT4FLbdXW0Wr+bfsLCP+7DYM1R6mzcnPdXtsBuWL7WTMTrohqh/96J7zd7KAL
cWdTXy2+9wJRP6pme5vk5JJbzmeoVvi8Sc1HJdN1k0BTYRH1h7X+KS7G34GrPp0hjdQML91hWdeZ
fAq15TPlLE7nWbY0l6c/f/xj0otsdPfbrQSIhbj+xc7oRAVwU88cyZTLo51a8NCr5UhVYg/cl7sL
2X0Yw7mFBHT03G+kI0/ddJns+lGk2rM9dNe4NW7DuEs791n4yUuQINWo8w2C5GaldPXutnAJp6a+
tXFolDDEM+LTZIL/1JX5KRcEgMarXkOeVC3p7UGc2kT/SiV+HXt8tTzcH1ksz8iwnnvX3ywJZ+UI
2thmb9tuiRiV77Asf0lPfFEoOFWT3FoCj23abZdKO2RL5PGmCkvNOiqveWeuDhzRa/g4QsFtn6Y0
+HBdEtawfg/p70Ymx7Z2CK9N7MPWQcs2W1qvKDui1g5u5phdNHnpTP9mzcW5D2D4JdlvlS84o+K/
el5RW+bmKrOrQyh/GutDyvUQ/8ZjFzgnMtgsUozDRGlH7x6JC39XU/nQiOCG1/08YqOEdX7/dKaL
/sIad22jBg+M/reVspUqjdcACjGSI38IrUtXm29dsHJ6Fg9ojZG37IR0PiR6erTRZja9YYd5b3x1
4z2Dx7f+MDTW4yMwa1n8Xqb6YmsgeIe+A3r+ZWHsAMbObtrOpwe2Ebu0DnUtgw74aczu5xDQslnk
77Ej6a/i5UKNEWHvvWZJyXEZkws1rLRmlkmWgNdb+92zfljZv3urMMOBbmc4+6i/C/2XbIeC4iQn
t6MM1javFCH6Z+2O8qqTUx9zMTPEeRDWloXjZBwAL5uMjqqH9E5J5yQHibdG7nortVFfi9z6Tr3i
kIKutu+Srxz4qOi7kdVYDqpHOywmZW45yIe6tLnSsgHb1nfhRTCucYuhqfQAOw++oUVLT5eOJcFK
13J2TLs6Sfn4B2/wP3c6l5i0hLzbV2q96NM309VNf4fbSlCzuf8xW+j4TIubqzzkhvcVaN1V2s7a
6QUeUsyZnk/fPAp0tVnUcJRc9ZVBoAUlUZZhq1b9C0mik5qaN5o/j9odom5djbLn3vvpCeK0ccFa
+lw2qtq5peTGJU10W+05neDEC58aMkmZNeO/HeU9teWY+qgqLp2LDuW11ospasoRBUWKF5N2w8rD
gEMviNkE186NK5on7uxV2HQl0rbJ/ZUHPoq/jKJQzsJkNM2tBtK9ghYbl7XO1t7lg5Zgyp0FLXm+
6S1ZybNZe49ttZVzdl3a6XGaEGEjpfqcqidbOdvANx6k7u+sskshvSOoWIZfuJ+OMpF7RhyPvVc9
TmzeEb6noaeMF2V03z5Np4AzKE7ZaJF5wzH3U+4yN5POixDaZYFQmZ1VTZHF48Vq7DgytOxvhyl0
FefVZ5xzS2G3b8MuswsGP1wrCN7Tw/AezbLZ8U48OpW4Dal6MEoGnV17TASY6SHdNFrKikDfl2Ya
yuFVDc56ifNTMNJ0L723RlQRm3Dy1XecwYtE9tLn8d3MGBnFt8ZNSJ/rc1rQC7Ad6u/seGLk3j3L
Yupd+qYe6Z4CERBlhMRuv9TfxXhnraYRstZVlXtRmVA9ZEFvoLdDb/BUIOuYTC4/TE/fh3RG/sO2
ClO70cUVDTFz2uVyYFlXVvsB/F8fUMXk2h5Vo/2gGMas1GJ8sIl98odSnfqAl7CpGAhgZZ5n76Zi
/EtOx34kO2GZXcUL1NGp246nfBro6iXOiz+h14TBnqvyEix46+Fucau5MVnjNotFShMPRlxuGt99
opP6wHB3k6WE8JBdgOnfTrQrrPivzX2/nH/7PTuMZkFK7PVhU1UX3bAjIBOboKLpoadre3YfbU9s
ZN1GGQvAhapEVcfI3eSZdafefknNf50MfdOV8aGR3Z/RyCJdWSFyPSgMMBBy91C1nomiId6kGZjR
6r770rVT5sutPeT7yXbXmFufvWTcDMjIA/OsTS3FGutU1+kvzaUqhB2+dEuY4ykFF2yEKaTngLWp
bvWHeki2Ma1KYp6Qv4vX+rFLv8cadNMfSEKHBHNI71g7J6h3vUe5jgvNhy06utW0vRxnrfTlPNvx
fvSBJ5p1ZJTrVmM4r9pgmwXuLTX1Q+WayyqltbQePfHtltQI+8GKZNf/RYR+m8sUx7v/Vqmc39d7
J04jyzGuOBy4aMt6K2Gsmswd4MQ727zzt/7U7SY92AaN/zevz+79bhSHvldv405/zbMJ0pR/1GM+
KaO5GuLkgQ4x1qxbPbhbMwVfbzgXa1FHPCzMg+XGTvR1ZjjXzNWALZsbJfur4+W0c+WJieQVeD4b
JD5wekKHiSujCXamku+9+pUO6T6ZKOIgIdGpvEOPY5jj00LOv1Vnrlu7jNTSYMHzosUWh6Iuzp3R
Ri4Y9aLiqm1QSyql+aaZcLpzFtBBfUoKX+2MRX6r+3YShdlkt5sO/FlMCP6r6+dT4ro63X/8xQXz
kMLpwdLrRrXOY1S3ZfwRx9Om7YJjllKaGof6wVI4DvjIFNYnyq1fk8+1k7wSM49XB0jIKOg8cS2b
0TfTBkvE/AC69LhIBTti4trv/uVV5EkumV4uqOXa6nt0vrzpo9bjdevZv32tP9JsXd050kyFN6U9
v6sxe+oCEMuNYyHzsjfossMUZjcDdYDE8Wpu0I94/ZvsgrUY2CZPAQMLUCZoHEKNhqlc3A3N7GfN
9g5N322m1mCIRbGVN1lkqF1vDE9BAnihtpxzDUQ7aPN1oDmbUVjXka/qMVzmk7oqCqbelAXlTF+W
OpR5HVCsyuI5xrNtHvhf03jrSdg7Qcg5HB316mTlVlpwA8bgQHnrXjuVUMpn3d4tebqdMwyXmk10
x+gOmbM8unq/bpMAoe9ySPv42BfjeSniiHnhZ6N82CxW9TfWA6yJszradD2BYrwuU1aECaNGbtGH
giPvkPqqLxF6qvtSGkqGU7CxbbL7UoTULAZ27DyFvJfloQ6LVcLwdHTrPdeHp57+aeo7B5/PkJQG
l6Dk0Olil6IYNuKW5rix9TC+6g5CAAmmpKb/crehWIyfqtnZGFUc1RRX9/mdo+5XsCyCS5pUq6Ld
zG0WoaksuYea15xpgGd0F4NiTjtSuDPuPePvqfGiPBDmpZqey/uyzQvmL0p963ywboufHBljP4/L
n4atsp0lH6O0ID3HEQNXNvndvmyY7haZgZI5o/IN5grHVgPhgtBhO205s38WfbplLf9VjfHJSbQL
hyOYTb/pVbKRQJkK5l1bbi3Ek6CuL/qcRVn+ZxgBcYO6x4ATFZoZTTUbXaY9tvJfnIFGeWxRe0tC
S90jeZK6Owc0+p+ss06pMnEYZW4Ya/yoPu92moIGIH1PaV+2Yu9ntxVS2vLUquAzLSm5FnujNyBs
aGBM0tDyOLxUNlN2PWjOXfvQLf4emyZV5TuIyH/KGQemnBRFgUVstiy56rU0TcFI62KfzfxA6D6x
CW1d/2jr+0QKVG3mJmEigADch+dd0G5OcSHCMmJjEQouQBZUATdwdkuNaWigc+gXE+aA4Krx0TIQ
wzBpCitBtdcdDux2d3ZXhsOoXaHHbWXF4ZlDmdOToSfBIWgy0vQFBerTPHZr1+7XkzmsveGGhC5P
T13W/QpiqpRYDxKaonnSnbz+s5gP2UgGmWM3uZxLA5DBr1z+xu5yGJBsj49s4MMFqVigx2Ft7H1/
X/oC88mHZjzrGbyML8WPjrgOJSS9A0RhOuv4u+JPiwIDpalRbv29284HLsWL3jNq9JBicyZFf1f3
vsbFe8osL3Kxq3HSzSgOpTwFaNeGe7utxVMGyGacMgA7L2567OLXMgNaUHlnxXrLNBSzv4Uz2h2p
jfS77DJGScPBHw8aEjV2SYhk6G5hsEm8d44raUWzQuhF5CYMSnvzKqrPXnuzm30QHzPbvrRqWXv9
n7GEIuVU/c6YvYvu7cEGc/72F44I3szu3fOj3DlOxFAJxuxtvPVl/umoeL3U2oVprgk8wOz7d6yR
UQIzv9UlvW7cfxxVH3xvZ6Td3uUqUiwYmLS31rZO7MVYAZRpOOrat18vV39BQrsb2rcKiQFolZCs
7CVfMg7c9W3BiWJWAdBYYC+7FE6wr/p6/pAX2mNSEJo1OJAqmf6BboLR0pv9LSvZ5FGjwjc7hyMj
u9lg7UKav4ByZXaKbZZ/H/nZW1fMJ0sXM/NshkuyP5hioyjUwFF3Ary0i8FtQa83YtR4b+fWVVpR
bjTGCQCBcbI6YC4dFIlsMOPH5P7QMvc2neHRzZQflksd3E2T7allzcDCtBUFb8XZwy069TetaA8U
gXdDuWgsUxlnSg5cTlObJ0d89KA0HJZexuiecw5W9iqR/bqZWudJN5IcFwA72s7WLgEqP5rQAjGz
N7MMtKp9M43xn260Tow633B9zjstze2LbifGVvO6vxxbzkfNmGf26mI+/vy2tejE52VXs+rjn/48
NIHzmQ7Om9sa7WM2OuXV014xPn5ziuccq8lcN0Q9Hn4e0hEfjJUj1K4QRxwHG+EplMe3ggL82mGH
/zDkJz7fd9d2apwC27S3fpxzbj+LOAmzDrWu0SBOyeq8iXw167e6dW/VPDe7NK24JTT4qruFEMWy
8N5w6spZ1ShNz8XMTcORvr2xaxxMZd0Wl6CPnaehytG4xOLDUy/TzHxO82q1ctjjIk/tuUwZHKxP
cc9evuseNEOvQ21K2+8g/2072sg8cSoYLPpu5HulOPz8Cvt2shUmLf3W4yxgNd7PuLX65BNHe677
ACzbbHdhP6oxanTffKnr42AOzrN/p9y4bdUe0yXYVPqUvmti+j+Smv/oQ/wrZEE6jli3YwW6/0+c
L83qxCuUN4RaPEzhYKXcc52gePWyXtvYNsH5vpv+ijrWvxkKoV/IT1btitOy9Vq5lbHDAaNZXMs7
sIxONSLrvjOY3SYYe9jIb/4tGPS/4ad/58X/o2J2/3YDKyAVDkaXFgHHXf8Zrcs1cA1CH/WwsQTu
qHEJxVgvF63XWR/MItK1ubo6Yxpf8uF+tO229UNucTRexEt8dJee3Tr6I67zkMHy5bGaC8rxrt38
bqXiL/hFfCScsB5tr4whxnFxrDJEufeHJev/lMbLf/+JjP8/RUQozSSsrXsBKad/RnJFZfqpLBI9
ZNfuE69rm4e249uUUrtMBqcJltRY/3uSWatbpwfN8VpEtuNLjtiM24Tr3HhhQ2nP09Xq62D7f3x/
97Dif6Zw+GQRZaPxS97Q+Pn+/y2yqUTgKM1E85LzYjP7hZ1fWTzbFn1C8CYL84/0LirzbM0/Jep5
0edmW/DsXX4ehIqj//4dmf8ZPecZuhdXMCIABCZ3bvwzLWskmj8E9/mo0xkjlDJNrYdK4pAz1XLC
ysPB3vCc5bwzdPMgXc3cCwzU61IUOYsW/FuVfWit4iLcfEJxWa3bgSGGEzT6q9M0TCKy0bv99+/Z
NX4g+f/+PNLb8EiMmaT+PYLl/6yIyKbqWPZzIDcmTvnGgDqEALGcsBljp2k4ojYISPOeDh2H8Le9
My1/2Xf1sCfbtIYdZO7lZG2IbzerFKjnxjdijkO69hAw/UriwWO6UiKuy401WL00xN7kZA5UhhKL
oCBbkhGWDjvB8WPuLBekOr8g76m1b8i3ror7UJVE65nkdAoCgck4rqjj+rC41aNcrPiJK3FIFg3v
7wDomT7luZmGYQX7hY9ZgRdnSDNO8gD6jXMAnstRH0oMvE0Mm5U+Wdtpbn6ntfgsBC7O3G05repg
KC4siTnb4/4KKOFmWoJmKPgZ18T/G/cyakfrHQzNHYI04D2S2ra3mmVVD+Lo0e7Zm6yfSlK9myDT
0rAd5pPqm6PbO3+60t7l6YBGZli0CGjTuuoVPE1FqAlx+Z/YCJ5SrTIOzJ9vnlV/av60oWpQbXgH
PtmaY+4QtRH88DeZmv6YBlbvVrMxuBtsszEmM58//Qi/TP1hroD/MJb5VVbzx4jPqEhgNpmG2E7+
ws/ngq/zZyvMF/XuCYtB1hK/FtpNQrh+U0NwAhkEYqgj5NbqTWiMecA+jMFELFV1YA+6biSjCaly
BL+Ay9jGQ6jS1BCTDMtfJngk3TDsRT4fvWA8m6b9aNNeq4Zz6Yxe6BrzRx9wYBaz/1BQ6aBGmpuJ
mmjOjZPBUjWHlVY/qRaNU62KkG13HY4jqxmBb6nC+UQV32KLSy0vyZIXwX6rVxz/9pVz4hjDOMmx
eS4bQiB9qbqozfQiKpIF6954zBV5BmYUScg/Xkz2fGVuMMOJ4Y/VrvlpO8wYhTB2948okrVxN47i
k9t3vwqC4YVvM1+VfGRXxoCCrGYhHS7dk4/EcOumAYcdWtWvZH60muJUCJGCR2kJ4lluHM4Z25Jc
gpdiVsLuNsC+lyeAxmY6HcGOGmmxz6X5ymLmb+3XZsgZE4Q5zENPfTptwJE8t1OSAZSKlMzFhyI0
YWwznzeFKSrvYA94qO8xCdKMm0HnNMH1upeZLRZRm5lBr3mUMv5Dt/HFmt15XU3xNm2ujYFdc2jd
4hWXmeWUw5fIgmta92vhEDcDWPHl1e9mO+2tMj8Jq9h7XfKSCzcLDc9j5KqKqPXda9uJbN/pHEFm
XlZeWqbM0agbeCHtK8FS43HyS//mtG7OwVy+7B6rqfLZ3/IwprN/oWX/O+7SS5GBSrUXSjUmEvWw
HiWGqtSEXdpb9a5Sif9UA5xYN419YrXuh6OtfXHIq0W1kdTrvs13/Shvypg4Hk96TJJC+ybk+JwY
zqPml6fBLtqLYtc7ToF+STwNrWUvHXo1+nWp0g+zSvqtng1bCna/bN81dkSs3lqdJS+5p00M2ZN7
HMpR4dxKAXooxde8+MI55mQSvar709XeGHHw/XfI4W6xsDPDRre/asv96CyGt4Fwd4vBmsoZGgjj
1XLWusa5gst91GzEyLVkkMlJjJ+xCiTEOWy0H3duH7QX/sKhy7m3BP4y7xgmb/UJvX2adps2UeKc
dLjDjCSwNsp38pOOXizpbH2VB+7CqHrTD45+Kst83RtlxcmIMV5aYptrnaOVQaeGanVmd7asBBoL
lLFaBz1pTDN5ojzJESYzfTTJCnqEXkNNA1Yn0uQ5DpR+6jOuv55WVVj2AnRYTc2C8tUT4CGRfzGT
mjwcug6dh0CAGGup/sxmzfu/O0nPyQ+CDZ+jG/NTUx31xdoTFg1ODh+dq9UR5sub5jiZPfbs3MYH
XGifZim8Y6HcJ0hR5oP2NHJgupGKM374Tk3YKT3bIhJZVgGLJib5bN5r9MkwytS6Z2U1eeVFszp9
O5SmySUe/RtbWDG9tDLhZuYY8N7F6F8rGvu1JvMn202fgsLvjmM1Nue5qqFpEPPRgVudOgNOm8mV
JIGCWXlAxszJ2TMcY74BWtQsuNS3xBFU41NonUy1dkbRH9lJb9JGoWjW9UtXNMkFM7TVkPKbZWpi
Yxwukz/6obCY9IDTI/dYrKsmps6Oc/mc5WzZgz551gPQJ9g6T7LJjuislyu27HMCeOzgaAwemym/
qb4M9YSlEozQgPBFeUla/7uHac3llSu2ySeKTNAlrWvvGic6U1hzepZEHjdMVpOdPcOAxSPaXALN
W2OSnvaFZoPM0+Lnrsyrm04gKKt7uTaYG4QW0vSVo7XO2coEKaOqv0ztkOydKth0baDI13QzC16S
HxOD3b4aIJhVNncW4V0W8mobQk3GISVtfQdSdaEazf6QtQ7a+Dje4uPc8ewnp5+HJCAXTuTiUhpc
cqA5cxZe5eMlwVW2Z+TxsfTCeeD2O2xjBKMrbyA16S35ezzX37HKGd33xBFilRGrXViDaZm+NmKr
iowOVFcxJ/FF83G3D9xFVt3kBzDSfh4e/Bz+V632hUnMgmMaTrPLjviXy34Q+2jopepS10a/sxe3
jAIvcTk6mINT7VfpTij9vb2nyGPOwsOkI6pvFJy+lJZ5qMusIleTMiLJ6uE4LNzjUWAccabGZ4tZ
wohiBcBbj4a2qLAKszxf+UKMR7zaNtkLh4M5b3F2aYxhMs0+urLrt336stREgdyqeMlMJSMicmS6
jB7TGuDijSX117pzs6Nil3pwc07wmmDCv4s44qCmpX3pa/vm4T1jdOrgCtds45iawa9scIYTQ+c1
G1DuzJZ16MV9t2q56JoKIR/IrJ+Z5+OwlDELSa/2I70EqNMGCbewsbU4UKynS+AQmvGFxy0WEWZN
WpWpTJvD+apvZsUBYRfPB8csimuQE/YDZvNKuhOjaVw4+8TiYK01xTVLOB+xwZQeE/ZQHJau82DY
y8SCwouzcD/axM/MqcD8XbfpOp45+UEEnXEmTTCrSjUGJYuDvKbmvE4g++Rc5+pNxD5oEElE35m1
97WufSzZnY3JjGi6M6p9bhZHQI7Ow5gz3BmsZo6K7KRshvpG0974LF4MXfgHDvq/huDi5bI69JTV
GWy6v/pCjzcyoEdKUDUSxUJsqkU4YoM2PNvVUc0WC6m+7ncVXQGKCg9GkgL6zbQzBc0hMixEjgkh
fyeHJcmU1AhB8qwXzYSFkRfPnaPbx1RjLTN4+hA1MyItTTb6ynWlvRsTUgAuQ9xzM2wa95EDr+LU
1QwePdZRawvmd1SXrNPsJhEXVn/aeXGdUz+UQFXndaLc5VCbw8AgsCWXBzENsMttNlkxsXB8nz3O
PUb91zCTAhPKXGuWq7Mo4ZrJ6mCntdllablXBAOham8hH9t40OIF7K/Crw5jya6J469ckp7yxBqH
monw25SHqev/9+Hnt5Jzjk0wt28F8NrTzwM1hX41subdzJ2FayR1Gen785urD8ajR+RxvfSetlZW
uV5yLtaLrbEnHzdq8sZjOovH1G59Uq8dXcESSoK9dAf8ulbYyXjkfaXlF08H2quKprgsKcJclg7z
qtcrjmu6Nr/o94efXzG2yS8IIaeQW2wWDTpTnWLR2r3EO/Q0aASHJBWdpSe26fo1x5f2/D9Encdy
40gWRb8IEUj43JIAPUVRXtogZErwJuGBr59D9WI2jFJPd40kEpnvXbtJpbUuRmlcTXPx+7EAZuVa
irRMp06Vp9+KimNXdPXOlAV53E65LeYRCVdBxBw3qb2JMhCmhPAMdrLLEmmvwxQrRrua7h8lhoNd
ludFGRHnHLI9Qu2+DXd5LLKsQlZxDZP+1C6KtS29JBPyAC27oNYmCQs9xDZOrFen6I+Utz9nbfQb
VQ6Adflgqy5cT7X2ayucsP1SbRPX5A5kzs4Q9Yp8epB5/pZp6K51dUDdX6wKrrcgRwuWWF2xbUJ7
r6PDXtkDdABq4nydmXO5Idj5Sy7VMU2zem1MI88XLF4JE6LdZAqejUMpdbYKaQ9Jr/CCIUrR9WAj
GaLJrF5JmKJoKWmmlC3h2ktE3nkfJDJ7VUts+QzXxmoKf9tB6cHozNmKqIPHpLK+DUJQt129sFxq
tGT2CZ6P6GyCIfoSW5RscaG4IwkSBHiuQ5bvNZnkWnyXDbbyO4yLSfao5qVbeU45bMBIURkJVNq3
J6e1ya0Em0FmEQY2C+Gq8wwG8wQd8JRZsZ/q0MRhCIyrpp2G+G4dzeQs4C1bOd2CGPUz7fJ5P5Lv
SsZp7tt58aWQUAWmHm4ZD7SjvTDxjYDDPEsffaGmNWNzt6miazdQyaKbyKcGaKo6RXZgAO4K8kNB
ONq1NxEv7pqBccsJ1UOY9nlFmUHFHY8fqOtgdJJpzbXU+NEtCljz8ndTKWzyKMLIhkY0EuLkxeTu
k+R4E5rPHwXYyq4Ku03UWo/JiLWY7msqIfxMIT/MdSRFfTt8lUm77FWbbZNx+qWW+X7so2qrj99s
eg80CzvkzLXPUetc/o6lbHLjFU4CrjGYKytRiFCy7D53ZRbwkb2T3Jhx2JZBq0S10fkYbLkJ+Mv0
UxWnRBD3tbbPJdkywjth+flZmkY7Vpp9G1/zs5e0x6mPFDYAxd5bjSfm4MPUmyRLJV2DnDhuglpv
7qKammbptV+ZhAJmXtlIreFWbJ27LgMMN8eekOC2f0MyynGs08SwGG5LtOXLeLvWCi5G3zJaquh4
UBq7bo7FkJyrJvmorVEPcmtA3EalmuIf4ttCFqieQs/NdrqD+izv13PLj5pTcI9jKPo0EIPTreF0
GHbatxIkfVfUYbd1NMQYsyfFMZLdlYKY6lgltr0m+gNaKzQCCfvOh6afdrpwI8qCxketDitUfATx
cHmFNgfFKi5Dko5tzBo5k74XRzgjjOjdlgVNrgv1v31ITwRxLCuu6mk3GeIs5h5Ztpu6m2wU+86u
3+YEgetcqmVtr9hEoJHGeFcUP2HjlE+lpa0Nr7u4Q4ELwCEZN1fTvyLJnksVqwBivIjCqxVVBJvK
8OQMhnssJa0e6O7tjZO9jTVV92W21bNEPIcLnZuV90xWcXIcmlu7rVn/Gz1EgdwzfD6bU9yzZgDp
PWOwOOqNInbJpU5YVeSguj1wQSWqF6u8T6mNzpq+5pol17dvAJIK1QgCaVE0k1RMvnvYbBI5YO5p
X2a9NX0JxlolzQR00M9+U43FLhflU5Et32D/amUXlnXF8AaLs05j+eNyr4ONaMEYp195OUY7bAF+
ZDbLzlu6aznMrU8ErVzNthOjpZrXqnNrP8QDh1kRCRpluizZPFYoI1jbyAJfz6Uog9jpz40rhlWp
195WOqykbulU9wpR3N8fNFXiJYhJaF1idHgk19PknTz3zmDudMP59DiLT2FXfFecY3Yy6fuJFuL1
XLMWxS3JfJY1+mkaHbmsMC3k6tHtUOlFdXUaZ/uumtCXoXsptrils61nvhRNc2/wYVhnaf+rKX59
RVXu69ggA/WmT87NDmAk7q/SYcXIpy7baiOfUEidB/WkLFNsIjOsVkKBu6tIQ/VgRtuIq0MmrXWn
hPbjZdkezc+hKJzPqkDt3VgJ6SeTPDQWqgxWk8AwIOdylBdUja9JWjg5Wd69NHCWrgVlhhhHGsWd
Q9CuqbTijPRm0657qT2noiRHelLvNBFADEHwMS3cmEkwxCwy+rsZxabd5t1hzJezqKxfiS7sWMJN
knRl39cVnSYeBkffbuGDWO8fWfPI0RlJ15z5pXoTZGURUmUT7eoSGT/lvB4crlpnbfFRG1l6nyTL
t9lPrJzpTy6Uc0jqeWXP/XIphlqsWGWIfBkGgvM9+1SF/SXMiupMAa6Pi3ki73yG5I2aA707JNcW
7oOVuueaj8k2T+nENAEZHLt7mHi6mI5p90gItfGBbmDNnJ6Q34LmkKFtT0bB88LjRrD/8qg3aNQb
74qw3dtZIH5eMX+hKGOJc2S4XQBugS3iTWLH95GXbWrwBh9JN1iQnf7ryFhjbhu6o9a55FLpdkCu
SLKyegb/MPaeMCTyf8+ZZbcuwJ2Ii32PXah2zTPxXfbTmG5VGtWH4vbZT7hfX4SkorvuaBIw3OZ5
jKIn3FZN7d25Shs4hxfMrj05drgJC9vb67pakPktL32akVveYewdJwQNCveGRXdJmGBhcZPlHbw6
O88OJUqONu7rv8Vk2uFneA7rm9J9zrJ17SUlsn7Sk0FCP3UT5n8xv0stl6eMX4tAtIYOqwF2sNto
z6/D4LIviPFuzx5agwAbNbnBc8locjupxDzsqmqiMsFkhFehjqLcjs4VgeAbqzxlDYnERaUVG6OM
FKyuT80EqljV72e3f+pM7arXR7fEDtGNksU997I9gYmt5vj5MO5l7A7nYjYyf7SRBoAgBVVCpDN5
z9RR0HKvsvTF7Imp1tpOkletvuiXmNZUynzEznQvrSqkQ4H3ZuYhMxRxj5G1bNOQQqKorRuKSyzU
PcZLkgtvm/7GEgvJZLt7FFXHhWtvJ9KG3V1gV4poiNd80bvbRJsyMNclWRvJWyO1a7RglxD5NR9E
FrQwKFYBHjW4H505KvoPKnLW7JkpZUZOQlmI06BXmYwJ1a15DQfQpwg7dN1OeA8QQLot8pnRKVua
LATDzdQLhhyBqCMc5nuOML8N1YtFV/GBa/Wrr81xb+qHSaqWILwoYPpv7gvzET88CFpHCP8iJJY7
x9jk8Z22oENo0lBtksQ8mxyxEN72XdM5P8RW5wGExF2YDmzxCFDWXZULX28TEpGreW9Zii7cIr4k
hSj2kDQxU3VqPKSxG6FGhJ/I2S88tnevQzrsKuHXuUtPWdfcC2ccAnZqfKkAcKVVXSbN+7ekdXnA
Ov4u6mth3XiR02Sn7rprs4+8RkgKkJyIxL54kh+mzMcHe0Elt8ScUS7Wv7Wp9zfHOBNnfG4T8Tbd
UNETFY8PeDSPY9u5qxpo8A6hNVtjvKoVMle8E1WghtZZaTJBbJ3XzwMjx61mSGyxSj/pQ7rn0uXj
qoWXFIugv/SZuTWa5SdNGvGgJxiSZvQfLQ5BgDdkvl0pmCcICRQhb3Hm1fmKroeIegbVr+To0EKH
sFakHVUb5HOgtHEf6VpZOWo/ipdFq/atBm9FBEDqO5Mk68tN7A2iPELRy/BdUnPGX1j6aH7Hjmy6
vOYqtYxXSrG+e6KjVl6vMZCbANS9Nb5QoBEfmm76IAAUwuXqISaNqoGsay6ctVM9pgmibFsmQ6BU
uauk/uuZ3ns0dCez51ehJCc281G6b0LZ3xspHUB5ZDJdzRkigGiSGyPM5jUW1okQgeScxJN+MboN
odDFkUTZCNMnvACpacw+Vb2rBhdV22Sditxp19BXz0kkgGFeqhDdfTv0r15bP7s46ivqRjVk8GMk
D3p/iduEdOcenqPJ1p0d9+8NwyI6zfxxLM0ztmAk+DHOZEWKrc9l06syPQnU+uB2+OhRURzrMERc
YyGaMrBKUBNT4zWE1x+BtlBcALTo6cQC1mYIDRVLhRyxODLxgfdqMjyk0l1nBSn5Wb0ZkubVTBAo
o+JJgrS0YV69eWNzuQPEgJVOw72hxEZMDZK7MrCKb9STu6SPeCiHal3HRE6ZoGpmX4H/dzridD4Y
c7xy2jzatLi3cQQv3F+ox5tC30ibpWpBNk2y7LGWco0rFjxWxb4+u+8OH+ZjxU4EU++UJ5wm6BmX
P/nxuBZOfJVtXZywAuh+xToU19ikbbuGipznbb4AwAPsRY5ub9sDkLu1QugxBgvwVEafMTFj5b1y
q2M0LLQ4cb5rqgkEdQhFqJU0UsT1LmvdkulZ9wLhFBhwKTFii3rQl74kvbKsDqmKh6B3vL3h4dSq
ias6tNw02JUF5qNcgaKpbttnOh0NfQwyjVh2NpMdWwj1CoNW+LUevxqRGbjWeOzzYT8Z9pOq65fF
Dl3e98zx2wx8p77ocJnrXIqbDKn1Ge3uKksawHtmFUQCiW+XY9UNvd530KpFadif8qGbUIWt4xw1
v0sNiB8rZLBmyQ8FHxUFhiNY3XXd3VhT9pLrAAmVk+GIj16rRn7PHXJoCtd8/IHmag4H5tx5zoIy
g7DMG7B8mE5ZDOdG97Z42ms4vw4Hyuy9OPFTbdLCKUb7Li6ceaPbfI77ZVpPCb/AVKpVOCVdwG/y
12mNYtv2BjF9KehIU9K7ZDr1vXvTUzc8aXWNJBjFDuBxTFVA2YSb1ruCEd2JCNiiAWeSjLrTkJ6d
kJJXXasmH8KqI13QRbOScbNTArFGqaE2DMBW4M4mAbrW5GwZ1yk2qed3G5VA5tjjeRibp8pOYYON
HNhwid5Eqb1Xup0exkiZQXcah/5J9TmWkui9breAZed5rhhMMvBGe5oPUeE99cqNUXIIwc0FsjHN
rvkUsbeBxTivhiFrUloaA18RnhEro+zQnReiqCENAVzLV/iTCz10S2AslxkQ44A3c1wVbnYthaE9
xwVeihSEdNStdt/m49btBvtOYpRZDwuV3SOLH0MtbF9lOHthpLux0xStZA2LoFS7OneezBTCthTp
uuNJ8icNHnWgsRjvDsZjJw/dVVx7aSAi55e4qpWnRrUOZ6OkI9JV97lGGnLdty/QfeEurPPwMpY1
7SeRUu9TtOtTd2vmoXhDADdvlb23M03tZDuGEHrzv6lrkkN/FvbCJjQQIlBU1nVBPRfRLNFWjbEl
asJG9Zq81W67VxAqg/kuJVVwFmpfPpcaekmez5D1Pm7JKrFyQLGEtsXaA1bxQn1Ni/WlQnRtIVuc
kG+ub4KhNCz22sgiTzY4pkN5kh3/i5dh3NTSmCYmdxUaFmvoExOV71k55bET0GN1ax7ss+gtTqvp
kmoZ7llqV9xJpVtyeq5eSI54ja+ZA02zmauW7jILuz8MEeuMY++BC95bI32ZENWJeMgCj4VmVczW
m4MmTnUVNTtDvHDC5DDfmCndgdADlHOo4XgylxZQz+mGJybdgHhxl2GwuUapfmVCJN4VfjsYs/Lb
pV4LY8kfgcovn2/Lj1jIq1vJFhz7mKa8Wfpv2Iv8KMtbsdoA1zmZzVrkaLpXInOto5Ho+9Yz1buW
2CvO7B5J4dVEPr5yRlpIXT5Bclx2SceUjIOJds6QMx9iI/VV415Kkn/WSTc6a72SD7ZIbRBOpgXb
7YxVbdiJT/bCPp2AaGA9NhWaWXi1a2jZ763VPVKHR1FLx1vpjv8aarZXVklYimH09zNGfRq0GD5n
/Y5yJoQlXYk70hYrJrMy0G5bygQ5W6PNXptFiLksJDFCatSCdAIF5mTFva/gedaiI8uhy/unrLLG
LSMiUT6sV5OJJN254NsZltK3XeyTuNKZPXKxNi4T/XKHQr21U03pjTUN/NXtkbMuBn1Peuxiv17G
+xp3aXmo5vDRmOJPdoRngzZ0xnJxGD0NWk3yfsQBTIu+mQf5L9ac7VxR9OkWNVCdRcdpXl9KeLNN
Z+V+vuCNzONyQx7QtsuGn0URYJHHoD+GN/1MEeY/RFFGgkvKmACoan68hu6jVlK2uFTRZTF4Nitq
lghkoioQKQNVfxiwS6YYEiYQ8Ia/xZJ9GpwlRJq4m2WilC5NIjYvY7nTO3JX+nF+AZwL6AHbgc5L
X/E7zTG3OnoMZ1vlKWiwwybMeS0H7Qvxt4bEsHHEqkziQOjj3oH2gDwJRC9YRrL4XYYURydHoXub
zm22mqBxDwnUmvyB0Ove6wbgGBnM0uuvVP4ASd2V3JbRdDC7t9pQeww3izueTSZT1Gyrxh7GXSsc
AhMIO166Dzczf+exeZeV/qrq8U0WH24nPiGxassFTRENZZ+hfBisFFCHprcWW5XVF4UvKCG8RX8k
rzJBfKwZm9Eks9G0nVVRsr6U7xZqo6CAqkbnhOfVwZidewb1Qo2OgcdkRhxBblG1AAP0m7r31tQe
4DvUTsZoH40hZGMkLJYDEtkXKRIOEEIQpoxa1Xa2lg83N2ff5OEunRD3hPaNGFMhFtU8X4+STSPK
e1z8d3O1vp0zNjlHSvQYfsSItKZT3IZMPbGFoTDR6x0XdLeOZwb0SCRYwSxoHu2qNdS25qoIqq7X
V0ybj50ZHiznYMpLFYHeiMQ4hdRkbfSW4dMW+HCdhj44Rk49t9nB0FGiFMyBNHU+D7WAFAmdebvQ
N9hJYmpzcURttZFNuIVqeED7TN0T20uJhdt3atzEtvXTo57B1MbMak3Wdsjif4WX/jNG7aNrIIVi
t/LLGTGEPuGXGqeFDsaB28/40Kui8vV8OSCz+8kX5HVWaP2gvt+FlvhoK/PJrdGRtdXxlpiQLv8W
rX2Ml5d4tF9r2mMCRxRQ5r846Sp86KhBl/Yf2wOrlwlBlxlbz+V9KhKRv1Rm8q9vi+IOq4uoLXPd
uI6O8ah70qFJ1ovqW9+LSXmdoxT2gYAlyUfImAVdyxb5H1AOc20h3etcfW014p69BbsdyWAqY4Fx
xuKjMlx03Ab6KbaZS2M2jA42gSwJfcE8CNkhr1hFJjOut9HQ2Ngl1H1Y4EyKOlasKImOeG7thm8k
bYafWEe4W2KBXREy9lDF0ZuycRzVrf2ll4OEVHBRtvSkKli0ief58NOVerOhyfItnjj8vLz9tsP6
flwwArtd3/gG8Thd3x1i3iVr5sqiHe3fzUTvM99DchAKE/HjV1d9dO4Ue7ZT8fltUTiu8JK8mdqI
R4FfHwJe3LdNytNB8+SMZuk4F+O1aNg8mrE797XiYCrTnedAA7Uhcz/BnjdnxoyjKr0sY0hHqew3
TQo+k87ytSpoijSMUuPpdHZZ0RA6Ynk828iIidxCj0ATvMmNwxp0UKhhOSt6krwj9OWGvDWGkcN3
sZwiDxKBhsh2QrG1vfLdbKjdW7I993KxLvSPcMjnjVB9hPmFT8ZkUAmWpn0WjE0TvTMT4AwiRM7B
5AdcVCOQoSQDAjN2R+redL3YT5gpoqbwTl7/FDl8csg2RGeJplDhIIM16r7CiJhI6iIRMb31ej7i
geXW4mO9X0rvXOLTXbm6t6M0cNUgnDGEc+4tc2fK/DNVr+Yccmxqt8sMO4mn4PqouYULhPhP6X/G
rEmMlMuIKawPrM7OpiFSQ3kFfWQwzORQNexRzQh+41QIOBP9XoXxEVRx2Jb5kj96fjnaYuel4oho
KlxJqEuoPxVkGv3CC94Zl+yKgDi9m1Y0CtJhw+BYrUuX7yfKtTcwD9Xqpq9nw8ATmwZZOL0WsfuB
O6GTOkwz/yK8vQoqgrQYI2GxudiosZu/sFB/h1X4kc5Oe6KdMl0n9UIYWzA3IztIkvAESb2Dhpwu
Yk5+jAxhBcoHcLQIa6bBLIkEjco/TD+30zEdu3dbyK9wcu7TapcpKmCZIQj58ngq6N/96W2qsdVa
Reawd8b81Zh5k1XLNU8+E6rYK6g05af9eC/bHsamclMeAo4i+kkVdZSrqutsurC7eBO60T3htJs+
my9jClTYAfTafMs17rh117GXR3SyNzZWLgIP7pxWnw5FZpkrz8UihAfzwcR8FAHwcmtVgrnIcqB9
bBImhUGto4wYCpjw1kb4LaN4r9tdQvCP9sNq+TMShx1YETb7KOdv60MNV9At8qysv8NWaquWI3ol
Nfk5ye5pQFdBaIO5yizGLjLEnEAS4ZQKcz8uNHJGDVxDXXmHcMy/u8kFUe3e8Aa+GW34GjFEP6tC
/stBITCbuBfRyje65vHOLBYYcTZswDU2c+2dXQpZt+D46dqhITmtwh/YiY9S5WfU6D7MwrIyUC04
gEG6qksQbUSsSflWYARLLLNii4n5b52Jzt3lmvSHanK3Y23vGiAdnbWNCHF+XCqRV7WVWMcuE1vK
7hGsajO2IvcRydQhHNbcbPDDhT4RH3eIrIbcTgEG30ScI7lES+lnqPQO8W9YGkawWKrn2UC9WtoP
RmgzI6cX4SYn8oYicI99SNzXKukqZgWPzca75eAiRKSHk2bpxPum7NJY3ZYzuKbill8k21/tJuTx
yluYG3lLzA31xqsUMLGH8L7HpLHTZx2nvx5l24VETEudYE8/01g7D1b02XIb++DpoHWOejMbm/7D
LP2gc92vzeFX3Vzy0UmnKntV5//6aV9oDB+NwORkmCA+aUHNgXB5SJ3lOkWEO47dvKb28nMyjOaS
1CUC1/QjY6BgbBurdajP9j5jqF6F4GX3VnIz+lZ+1/8wIe9k1nyOI1dx+pIgZNlbJVoux2oBPiII
h8Ub/VhnF8uKmqJDlWzzaH4WKEy5ot4GGWFoBqr3Eaz5CSQcKKNHfFL8aHdht5O2yv3WDmpbJ84m
RLdVCjOY7ClatZ0At22p8Z61Qz2L3wRTsyM6Yk9T546ZY1lrVnRyE9DgGcydvuIG25v1Xnk9qWrU
Lwr0XitalTdNGb/qdgw0MoArajahaAUlnk1r5uvFyt94dzZxFc6bhGgBpY/Pabq852p58MbxV2Cb
LkYEsjF+qxvQa6GW8CORv0PjkmoT0ju+sJ76xrL4o6Id2pie00IjI1Rx7Fng5ejJbdghjnDJA8QN
F0IQ93LTW8Z3ORvkbNGnTb6AYljlqJzYunxdxxc7IWGRZZLfUVdqP96+siQxoXwCp0NbWs2VWJBH
Dy3bQBYQ8j0zb851Wz6OWuj8xDFZNqh31piox20k+xubzUusnShnNC8RwEfl9uJpHJv80uvd45DY
k9iNUdxe/uxaniBcKJe4KSX6CMLmpne7zV76yKt+E/unUfh9Cz5SA9LJa8lJi4yO9BBy+TkJBB3j
WuENRJggv0ahpp3//+KQAVRnHOWGLO5wj6M9tOz8a5BltIkZOb9aT2P8u2C4onTcxshfxOHNOK3S
z6H1DmqK51d0DmfRoktzVNsHrq5jKqxqAZmSJM9KDhdziasjOhTvAuA0BTzLlU8QHR9NgZI26rKM
vNxKBfFkAiDT6W3USYGAZrzrygxA3DSia6Q7EMs3A117c9YxAd5PhGfenCDNIZJNfnVo7MTMSJqh
XQ5f1BNf2lqGzzVWdx840cG0zspgVuNSkL1QnEUMfnz7BhbNEU+zU4W4XGkjlfNb3a5bQDLOtoUm
da5g2xun+2QWuo71yzlSi2rdJZ2x7P/zRdk22QJLOJQnZkp2ZeO5DQf3IU/cf2HjJrvOGbj2BkLZ
0m7Qv3LHCR+0mNbNhbESOfkYkqDEe6el+T3hESZrpvtvxs+4Sq3CPIdZZ/NfTsZ2KbjL0ZXLi508
VW2JdXrK9AK0Z9KeBa6ITeEYZL4UoDV5GJLDCDZukZRcT3O7pcYNOLsT2svCAbVa0qY8uWZ1No3E
I9YP+aXeqhmVQDQFWj1QYoLkRXGKV7xVGtkY3i12VZF7xXUXPmErh5dZiicWPib6Jpt8eoDlOo61
gk3qiSfKPae3mFfC8sZVPhaHhsRF/89b+Pfi6jcQA/HfRuCSu2OOo2WIY/PPRkfaJB4HJzrIOhFP
ia64JnDhbpyZJrjWaw/zaDUn3Xwwcq9/bIhwLCfdIohoTTRK82iGwciK8PD3ReeFiw8G/ZMZfYMz
P3rJ0S2TZ/oy5uP85hDU2nrCPnrxwFvsGCGuCC74Q+sa//7eHvg9AzMctpLdnHo3YKwqTvn8QbCf
gbe8ezFbMyh0ymwQM23NPlYPWGeVYtqMEXoRXBASP+NIApQicfyLNi1tPlJ2Ux5aTSfsrmdA8oZw
kvgcWZ+q1D7OLb9uHcpTc9KL0YzphRWB2rs/L545tVUgxuJYWPJkLr28N63+wZHVbz7TXEoQDlI9
hTb+tcj0e+Cd+VomLrpFTXrPZVWthgmn5uRod3/vaiLIaGWyfRq0vjn1/eAh6wekalU2npo5VKuu
3DN6fNZzuTwvHXxrVrbEGEzyrZJfjK/Dc19Ox9FGJRmTrg2vhp68ITLMknrxNE/24v99UGLBCDkL
6Jm4xHzWYnuqUdw0sRHgPZHbkM3zHr2I6w8u6pC4Hr4oty++3dh+jaQRNIqO+aizjC293kw3Y3uZ
cXv59tS1JCm7y27QC4lmIy353Ed6c5qs/FVO7Ux4KuEBrDJUNwEzP9Ayjeqje/KonX9UxsLhF3vk
av1FKOsKGA6viLcSuVw4ekzhm/DFRZdoCLDi7mwKy/Bdrae2Pie+xRxN99ik4rPKLePUTPiJkWkS
mNBM0UZZyFNDwon/XuAB411ra6/CNdqjR6H40bz9KTTmuzZDjh6S00xi5jSCOeeSrEwPMp9Xgv/Z
9McmVqec6cnjyNmNpVfvhqFghJ1dP5c2s8g8PUVI3MhBJHgm1XTBss0REln6dcjhxUnJO/+9dDbG
6sEEcsMJLC8OJP9ZjTJYImQq5hjXzxDZNQKmZkuS44iNSxzmlLwK1ymXxylLln0DSwJg4WKNiFuU
M2b5byRxjJPwARgrP3rYkFeZ6aK3M5vPOSO+o7BtzB2xeYdLpD2lefOkvBpngdNq77mMgL3c6X6Y
m890NptT6nTVJnWjCJEFJTuMEgtZklWCNjWuKyqxMeXZi1vuNGNgs3Izl4DGxiadVVPBEiK9UE2d
3nML6le+/xejn2nVKvtkW7MCX9kubo5/YnxJFiTW1tDIIbSteZdLbAB5l9uPXpIQEJgTBedkAzqS
FJ2qSFuyGZnagbXUzmuksTZTqLy+CCMSxPXhjFMtPDZqZIMTcCmj7DAu1Ch4Ncb41bCo4tgjdznO
+lIcMzBGqto7rVqnEb6t4uYM/XvJerx+Zg9hVjQZOQu3ZyGvxXpaGE9tMgf+/i3NauNzAYyhjJDw
bYGeQJha+/D3kixsxiRx89gjw4114zlVN4AVJmZXKNbbvnqxG4a3yI2rfeoQleQkmTrkOpObYc36
xop6gaucvFWMivI6I0EoxzjZas5Sk1XONzeQw3QAynpMa28+2UZJ6Z4ar1mDx+gWOR2WBI6IuCSZ
qZNc5334gpwRsXDSotFK4n1k5uILqRFxRMmL6bi7yJZ2MIZZv3OGdNpHTn+vOq+862XzKW6BEk5P
SEEd7s1pOcxR8k/zjGhf6/V4QPU63ceSGJNk4ecsXO9tHtBHCoIBYtv678WbyquZd9Wl0BNry0r4
ProInBz0hu/tSKCB0OavZXZAgdAcNu5gvprFwmxc1eOpaIjHHrRTq1mnQSeG1CYc8s69vURj8Rwn
XryF/5IHV0l5+PuT3unyUIs6381hv+uiXh11UK3/XsqpITQry+NfCjqWOw/Yc3R3Quof5tQvQduQ
fp4j/D8a7MvkSzunv5dmHp0TyNXlP5txkS/L7v+HCiOw6zs5pjYwqsFaadp455JFdfjvMiEgtUDl
vCvCpWNlor/k6EZZzN47a+kBXY8R4MEwCdqzzCMUpnn8+zLK02QLpQc2UtYn+/aCkTbvULYivYwL
MhdhPs5EnsEb3xY+BFHeychAaWySbE8pTjB0lzq5wM7ktZu41KbtaClf791NXi0Tp0w9nRzXm07l
LPN+5RIzrRAMYnIx5mDguA60Gc2vY7cPDLQuysrg7wvwne4hHoZ2pyJKHmpr2tfS7QhOZ/hU+oJx
14S94HFuebKLMvgbhSvaDs9195BgGaTqOwvcsE1fEYXnBNgVAyuNk75WXk7AGHPyVuRQRGZ7B1Tf
3dVR2939famFIYnCbXGpO77JzIQW+XvX2Cmr8/9f/vtnJSp87LewYfpWQe0eeyIRdsuSXHJr7KDR
b2PTwn5w5nBjelWB1f+PsfNarls7u+yruHQPN3Lo+o8vdo4Mm1G6QYkKyFjAArAQnr4HQHUf+++q
rq6yVaZJUdzcANYX5hxT2awmbMdaFxaSfH2uPFDCoVYgCTKfQxUcjuUXMfQ/F1CE0LoHoML1vi0q
99UrYDHnM5Yg8lxWCh322TzgJaPKnopM7hibJie/i6iCRc+cldTsnd+EyU/+OmhVn+XdLIre5HO0
RDE7jrKGulDLazaCFpCmWjb3mT9yMtnxXQqiDnRIpJ8EEiAWg7d6QiOmhaZ8EP4so6yJfzXs3fJB
yJOAokj7VpeCJYTecQ2ys/oqvOwy1cT3tGFxZ8yBE1gseOaY/iPbxOKUxjDClWPAo2n9gl7fG3Ds
TsGh0vx+15hluNOtfHjSXfbGnpvGxzhC++Ck0OZ6gExe1N6DYeMM83MsHVbKEiZzu+fE7fZa6ZvI
uVnqGEpW+88nj6G46oaN38bxNYt0BPV1mxxwhNsb/Arlzqkl+QO9oV01r4exnMsfbUOXElBHPHdj
HWxtw88vpsMKpEwcnkM69UYWRyc76X+I8ORlY/q4VJzCyvM9kx247ybt88A7t5zYnmXBAlPo6Ur2
lCCteUkzxObGJGjr17iPmQr068IBs74xmQNupzoM8qPeRNHBcJxzgsKbjUcuDgPQ7zT3jEs5G9fT
3I52ZY9Tp5o/5NxDsTZZL6GU577rgkOQmz4gVxI5VgjFgk0MYu+Ms9oRKB/MmS1ckPumBjjyaegi
LJng0LExblk1BMjxI2v4cJtZWT4qNLFzxW+1k34M7fynWVrRPep7Ttf5jU/19kepO/em3WhnPYmp
sd2Nh5qfQXnMIqUFSZ4hHrVdwa9gGH0YpMsLdlpEAMujFVP9n0erGVrvSg9t8OCU+GweyJeIGpIm
fB+GdYw/zIjuiKWZLks94GEJQV9Hw7DwVHxcJ1uCdYKVi2VzXCVS9jstSR70qjsYlgvus5lp8PQi
iKR+swCMDsjWMbcZmb2PoqLg3YsNcSmbYTuKzt0Tj/L771oQzZh2bdvuNSUM4lAyGbyEAIa63Kwx
q7VmtxMI3FZyxm6Ekx2eTcDV2wB4LfAhhTw/rjJ+qIiWmg5r33A5nwbb9zeOXW68DMbHCiC477Qs
vlM2CrGtWFj2TbhS2Kz2CfwYeszuwcgrODkFb0M8xdHVwzznJDBK4zH+1suenXGRwKrBQxQMorsm
HMCbbvDfvcKDcdYMd7bBzTeUefvN0uqN8vMTNbbxrJhoPqZVt2UU3IaBfGSxhoUtktMxncYtwS3u
V200oq1sHUBGqXvsmLk8omUEc15zKtUSX04LCjbHr+9n7MmMILLAv0hUbkES7MXMe3UYx66QJP5o
mI05CdKWlUDBAmnS5I5YqB8aBXdaONzoCRXJyjIwAzPydI/sAs/+MrZgk8qk2rgW2Ek8uCHt0fb7
DiV8bJ6JwzXOXYsjrKhqnNaMeubTn54hbl8m+IMOXsc/f4upxPuQleVDU/M5PL+IjNdd7ZaHOhb6
evmxDZ+1etQ5NjZzWBME7Vx7Rpfrz/YObkNyWG74yRqiWWB/TBqeoI6duJvPyx639sYalXPK7CCi
sYDYk+UNzWdaHJczpeUXsxVEEkQ2GjucdBUmkweZIPEyE/WeFo3DgRUGJxKQpkdlPja5j96VySCt
+ICgYA5Ewo+k1u7c+AMHcTYtmyQarzTcRkCljlA6gXDY6GXiJn7wLB8uW5jfodERdwYedPtgN0F1
Gst4uLo4MoE3ziWunLK3JJIvn7dz1Cf9kagRBHuVfQhD03tRFVQarFyfZ3xnCGc9pLraa6bmbEuI
KVsVevbOYGZGLoZsToxNLq7ji0PTUegubTnWhynv4SqqR040+ZjQjWDsYCXbVM3jWNhftTSIL6Xd
c4/IxrnmGKGA/HSMbG3u8SiRR6+f2MsYePgi4kWWzCPfVE9An1gTKC4lX2SnnvttnXmhdUdLiHQ3
bsxTlEz2m1MyNA7GY1XmxdUUuDaNDjYAusOzwzlKoBLDrbHlLzNTYOjMGEURY3NemgutCC+f55Ib
UtITdrMdatXdxkpv5h17/trYw9uoUgYWbu8/9kGOBIZzefkjUC4GqJEEiSD3Xv8uP8zRZv8zgZho
IAxfopCnR4hqcPv5dJ+wpG1UGbNC9ngSxa7xHsedenLz7OHzrTN7/FpUrX/Xr5ONXRNJtJAXp2Js
anf6pZu/+fKHJJhk5VVlunXhyFxk11HVgYtgSVfhwZr/v9BurEOc5A8Zz+V7Jh+gVFtZrZdRhNX5
JLcwdOAED/nhAh3/po0oBzcvuVKFR/2hVZ6+t5Ok34GouZclDj5TRNktQhjb0Cv7RCm+6i7lZVy0
La4oRTHtNt6RAdEZqvdbCaTv5IG1ItnR8tujN7KwAV4Lqqq8FCNoCZtE2vNnkZ0iXYtGLlnpaM8a
8MqTLur8lYc+ZLLZd67VJrsSCRcljNixNpP9NVREkEPaCnW57ovs6GYdi9e6vaY1C4Z8lNalqDxj
G7A6mkFoN+T9H+TYtPe9aYSwdY3iWwNwDWBYw7ucTc+CIKXUCbRrYwffyplv5nf0QsuAkSKRtKaw
Ns4AZy9LZ99pYA3nIoetSr9NbDfaGyiADhOznTWXKc/LItMY2ERU3q6j7kiQKvcklEr8t3yozyEB
Kh3vIqdTCFNI2JBJY90NrkMiV9kE+0EINmuW5ZxbLb0nA9Zf1ZEIrqVvmDdXr58qE4+TdCjeGf8g
PnX0/q5Rxg/oEOMl6stbkujpLdaCq5xA2wpdAYUJGzzq86agqU346hgtYmhb3ioh42jVWRT5cmqZ
AG1E3UNaATFCZZA2p7giUW6+CKlcyRfoHZ3HBnQWiMXsNLhxYvUrqjQbv1jUs79MfPDTwYClnRUg
oU8c55PbAUJLZyTcjJpLqKrxbIfudrkuTSfAHuNmJxR24UHCAluLYqBkCd2zCyVkrwUSkY4PUdyz
oWubNMAXbSz8jV0HbP1sAtuETVlUOlN0XO5ne5QCnF5IaZXn+dFJ5X4CTnBK+16/YOKWUHeog4Qj
s2PXYfOxqxgH8DyVNjxEd8JoYBrkA6t4O/6WVlb+akZgrHEKmizm4ZYth0ToE0gyRgrRia9fgjhF
FJbmwYllxbTrLPbrlHwu8Rtmt2YGPbw71I/r0vS2PZiCrTV29p0WiR9mPdYcBfxqDBSLU+nUe1Q3
cm/Qj5/vMhu3JsMYnkfRA1mQ4812YrboEgKVYkWNeySl7F0eomU/ZVuth+vPiHp4cJofsWaVh3Y0
OqwRWFKl0pyTALqgtfV4TywH/oYlI9DQCfBCUJRdU1V8o5kvbr6mf82yQds5hSdPk6R98OLw6rbO
EdFp8QyiGmd098RW9VZaVr3mTiW9vvebG+kFUERiTV1jqfo7tsE3BRFo3y7/VhHq7YaNOmniGYif
Vh+GQ58DgCr6kMJwSgvw8rOaaJoHOt0831n+l2+mlCam+xANGYa7PKkx1EPHQfBhQkgecNJMPjEO
tOEsHZhPc+7yiPOs4gC3P9gQbaA2zdxetenwfRmTmCMyTgpCbS4Ip5aXlJuXoTfxns5zKWYV/Wr5
Qif38gdiQzEiaN88JblnekZDUYoA9fMAkxU3RF8z5bBFPMcRuUJn5F9U66SrX1rLYWZpY/MXlUkM
TB3fM0QlpaZIxge8YxZWVkLSPObMm8oGIK/59iacwYlpbOpbZdUO+i26DlMQ2wA/yUY8UQqICiOi
nlgPzEsyYu+VxrM956Q5jhXuzShXm1q7xpQyv3NffIQthQUFp78fyDEqLSzNLeSLQ4h95UjGa7Zy
+PHw7Qs2jgxHt70dkCo/KB7UenQy9Lg+VzAPjoEFw6S3uWtSHj3oy7TcA387p9BN+IpwmAcZmCHL
eQpN+MTIuEbf++kjBqS+whpcchPvdS9uT2zEEG1HNXC9wGOBNxcYaTgWF4s44uWi1ttQ/wWaDytb
aZwVzxU6GQuxFtCBo6aaV60vpg8tLeStFhZqi7khQqqln5pgJ5Qzr5Gd9NGaZSOaXQbrkSCuPSXL
93rsAVHUw1ExPtgVA+Jyn/HMhkpcEF/XOa95RjEvA/pAz65AhTDF37oh4j82LGrvVwwcPBnO6IO0
vo1J+KSGgl5gYF/hh4jkcgUrJcZtFdTFgWCx4SEP3OquC0v11DvW3sUjezDmUw/9dXdsPOeUEgJ6
YYBmPVR9xyLIpOrHdrVxErJkjORFyTrYl723EtKeSez5uCrAhxwtTjvWs+bF9k2xFmWS3HsazGJB
tJwzD3ikh6eDAzI8+tF3Hr0ApuZv1SB3OnkJzm5E3ekcBQUKUHwzJ9BlesY/XHJinxLT8h+apFLg
irx3Jr35i2Szojkpeqm4p1sgqIfSdQK8jI17WYUMHkqWWMTdQcMbqukS3OC85MV1vNUizTnXuSnu
Rrf4aZTueLBUgWd+/pXi36/ZiLu/cdjiEeIhxFsCXD2RHSniTtlcgxbHAdshhWkjrc6BaL4aGpNv
v9YH0kxdnqcWvXE1JceycpmXOebRKouBWzA/oQy1jkaJlhdb2/TSjQj64eafQ8d27w03AOkJWFpL
G8DMbg0id/6ZRNm6aCboAOg8rKuHA3ozzaebJdm+DMKzNgiWQa4W5RkTyXT2g6jaErRwqdFlY+rC
8Eu1+9aK5kcf9c4pt4if0EBbAkqRw3XEDDuzDUlt7Qr4nLDTWmwtJszjrIgOqY20Ku7xJS0706i1
sn0b0SiazSx8J8Ztno4tMzEvdPqD3j9lrrqNXQzOXzE6Pc8fGs0tnYSF3ncYUGt1HdJwWQHLUU1+
dCuOFafvXmvG2bOAJEAam3MuGwYo7cJBGM41faobEUDO18NjrTFnmVubHkTvVU2Epmo1kQ/c0iZ+
7ZadvwLC6pCnFWWmdrTNGAafyRoPuACfyCMeJtzulqXfVVoi18uWoqLYh60gmhOI9UfqsWKNCiG8
kmLr4w527KuYwE7jL7y4wrJxU3HSDYIZBZuls7Ii8+yARNtGVZEfspZsQ9FNkN4i0d03VBevJoHJ
29bJmrXbxYSaIPUl/BBAq+7HT7DCec7sIPmkP6saG7VwhnRP7YN9yG/yPVZbzq7GL1eTxWPUkBMD
gnjo1uSmFsQPaCeV+sWDmmUqpWb/AOlFS6lPb76p5QBdQmiJeQixwh+yw+BnNyT/yA99vsiYjZJp
WzyQfnvosyp/rztnj54zIrBKe0H5vdZ83zvHyPgvPDeYpMcfDS0vhKzhQvmAnC/sTlMqkGyDVEoj
vT2PWtxvIlvaq7G1bp4I/X1ZTHtEmPkVvhgJZtp9yISMgVn6VBp+/OH569LWwRJkk3Y1WZIgKf85
y1P2gOqzC4bMJ6j++gmA4S0ocMfo4gWMgHggeLM5eKbKNkM5e74iaIzgXlf4GAcGqCZAV/QYAKDD
mjkYNbEG2ymLkZOmlWBlPN9ltRjigzuvMtpiOJVFoFNm6OM2rh36FAeLXxALDaf7wVCWOpc2PXfL
BE4O3D/hrZl3Oo0wOEN18wIUzN+M89uUpvrvv7mqtdkebIWOIZP1VxyDWKJ7z1hPhs0syxxs3n3T
2tdlR79OieZjUD0OHQvmcTC+5T5qcMbF47szxt229T0YZPNlVVWlfodagmkoL3WsvecFaYzU6jQ5
SIL8og7ZCxXV2ZqXo46X9ieKYtZ23p2CqUC4c88cTp2U8uOLrqqv7hQXJ9RnHnAPBqNtW7vbtKua
61LcqdxsHzpAfLYfhU8iI9t0oPLYJWNt4znnSLEz+CORF6KbqMzv/Iq2NTKBrh6MJwNr/7Gnh8XG
oAVrQBH1tpkgUsDiSi/SHcBnh9nEpBTVua8jF6chydcyVyOpum2KeJTuo9G8QycAWra6+5Axm7ha
PfKy5ReAPc97AoHTrf1o2IXM397hSsxpw54njMPS6dlIjC5BLls2p9Q3Zv9qh9D/3CKBcz34jH2p
qzV99DcFsoF1q7XNKWyat9QhptMMmm+Rwy6ThwyRSrnlX6Oi7/YOJnBHg68ml0pvjHHKMobCEM3k
l7m4+7k9zxOZnzgF56L7V88PJrmj8d0tv5S+73m0SjH2p86MH/Up3ve6qd9NXqiuaSLOn0OKKd1g
uNH21czChV3dfO2D6FUff0iZfjUGeBZL78CjPDwVeTcdGE4hF5lGZ29pP3twlHdDutEnn+KnZPZP
c4zfwGpTNi559djncN98BAdsV/BPtrOCIB2m6BxPAxPcWRioJU32bJfTW6yRTI1+QhJk0dP29yb9
zfJw7UiXm5AEO6SNhrX1FgAbma9QXdI1su494+vX0X4etDwsviPiQxSqGKa74jsIny2TWW8V1PW9
nOOhZ3WI4ZE6ubx/EoO/Z5lkThOWvbenGxwfno4c0LSHPEI6sm98gFAPDSawGxNAvi0muL1w8Jqg
CpvOPdPSfTb1gHIJvtriNXNWTZ7AM58Qz0KDpuCf2y/doH5n9MxQMw9rZqHDU9TCmAjmh4ZmZwFJ
IKgJLA9wE0Y5i0nAZM2O0+DBiwpWQ0KzVqo1TyzDxHb0wuqYg/lBEyhZwc11deZD909HEg80KyxP
7vQj0iw8/Ms0sK432H+15xg24NpU+NdrT90KIAf3ceKeBDE82Sr9kKXfX7GDJatJohlj4EOVhi56
HVVjsYMTih2m82GVVdRk2BqHhxopmdKN+Nk0qegQDV1jB0gXAi6A9LkerOqa54tvFwA2UW0C9wuG
SxOpj6pBgWGzwT+nKtXOln7sCN3bsczSt8uTdJ4CakObP8TElUQJMBW72ySzDEB1tOMi7vN9Mms+
erJOpi4dPnwXW+HoP4/AHJG3O/dJyO5J1zV5qHrF+8ocYaOGMt5htsOvPN/viDMOiBtzQlqzmQqE
7sDp/L07wRDsen3chX5hoAZ9Nruc8XFmArPCWpgwBPBdmNM03asFD8/4By/WUu9HPrlsriGC+9LD
ft5bzK0iru6oCFhZzMr1GOfluZeMwpjaMgU1Ik/tnEi+EvswHbReAdpnnw8AODwncbdPbXFSSIfs
wyxhbEyucTVNwb0+gPbpMsKAEoDvTgTaJzJQxAdYbA5Cy+bYYXAL891iV+qhN/rhDCNW7XQ8jitJ
rqAbp8OuYRRdrN+iAjOI0+bDY+TmLVI5wPF5rZ9gm34YfZTfJw5vmcaqaL6iu1ok5FGx45VV+S5Q
cRw8Mf/Wmj6YG1cEMgPh4cAwjoDY+mdMHtFGNuqbxxNgU2bDa5lM2n40cezmLaxOrXRBl86X8nKQ
RXBVd4oOYjksMqaAWG4ZTrV1BwbY/zpNPW+IhUrsNWcVPBctukJtyz7B+tSwCD+dLpY5no1qCl6r
8M1DOraTo95t5k3mMiBjuvi2DBungBzFgpQGYlIJ9WIbVG0ZCPHEVcTeYt/ViUqHl5plIHyrmAft
shQqM8RN/kBq5ZAGKVkW+MvTmJE1jn2xcxf7HPhefVXg5YnE+C2YGXyB3C2tizbOeQo1decy9qFj
8e5tz7u1HqQN6MfrVJd3HvqXI75JecEvthnmRUfdA2UtdeuFfhEh39IFtVyUQd8N5+Xtbiwz39Rc
3U/azzR3kOyWKUNpl1mDncQ7T2/Cg+lqOCNTX7xR+tKfBU16bE0S8PIkcPae05KqpwE8GHJ3E5pd
cNatbxZ4aybuAIvA/pWnAKRPaJsjdXcDqGxBzHtjlCEZm+cROmElQYoyfiRGkgFcva9zL9zVRQJS
iy2FFgQ0114SXCOLcJSRQSArDVWeSWOQqw4EZTmWwWeb6vie+cA4A1NiRPE9DICzOKI1BIkHFr/a
VQZIlpkfD7rcoyjPHqpEwmaBA3/kvhxJNoueOP7quYhIzq0zfe8tET9N4CgfxwFWoEVa0PFz7FF2
0gUW3dcEoIhyR0JT9WrNseJYlFbsfJOLjTP6c0GT2WRxaGXPm+UPgMXhClSTz9TYsWqAe3X91Ehj
XrFW6LXoVw14EPdIiGDpkAF4UeH4W/RltwUnUd8gNb84xaS/TaSiZwoxOqhrnr95+N2hsFODq64V
yNxrklmgXQwUMJpj3OXk6PbquUPd+T4pCIYDYq3VIn7hnXgOBmQ6vXSYIw0WlYdhvPgdIwdWbhi+
AtR9aeIA55u3ckwg7rAEIz7UmbTNJzAbvn2Qp/1932DrasYhfGZ4gIK9x5hOt1Eskz/HiE590gWf
xQR7xeAKURBB0VPP/bApw+r9MyNgKTY8cy6FLdneYF+vSPAM1ikZ7auu0ZyLYQbpJpksZ62Ytu8y
G7hePnrtSVS5JO2LIxOFIUhzgAJHqetwwATjipMrE+uNTqrjsMiOvGgkDElUTYe+Hao7xw9eE61/
R8i8RRWQP0IJ9c/h8lW1qG0OOQqcKaufYr9/iSJJnBS3MuyLfJ3Pne3Q5S4Qg2Y4DrjXLaXYl1OA
IC6hehpQxR3KxkD/1Dk4IfDnJwRbHsVEGDyzHP3oYz1fE+K7R8Wd3VdNGl9zAmtABm3lMIy30agv
kEijs9Oh3qranuTbuQouMcVVSEN3fKv+NInvJKOQokJEnp4U4OI6X52oYXIa2KOGZnqcr+oW9JKy
dwQ9trcmNe/I0nWPtc3ky8UCzaKHU63NXRAz0V3Civae8ROC6fmkkFHMnqW3tvNG477Em7dBjoyx
Tfudu4YGI2xq7hV3at264Unl6HUs3f4QtUNQWIti2kr16L0qOkYU5C1oTvBa2/F0CoHLELcA2mkR
TnrUmBuayp+5j+CzYRr8XFra754lL/QC92fgXUT+2JiTeBMdae9x07zIwJp9kab11lU+uv2hxalH
lA2Bv5xIS9mwPB+1gIXyJOJi68S+9po1FpN8MybTYp5pWqLeLxBqPCXwtMOZuz5vdmqL4i+IsOdz
3mYH30bit7Q6jVFhzip8Azk9ry83QwkmE5dWgt2MHKlt2XnZZgx1nvhz62eYxXfJaziWKIRKbk8j
y8YNeST11wC97OrKwEbcEJUjSnJEv/0sG0SuBSwMegg5RnuUkvTMqFeAk8NgN/mwUEoqs91ysUnp
PQaRQicG0Pu5N+piha35vgVgjaiGc8jEJbub5u24SNyfy2/HlYyXcyQzN7sHj9g6FIGLPpbRDlS4
eRLkznA2ZI/eZnleN2lt0tXNg1oRJCwunNZ6QcUOiJyAQkYuxl0Tad4ROZ5iwIhvCk/e3LOgsiPP
QCTMoPw+2OnEJa5cMyd4ZyjJaWji8h458LjVkV6es+pBarFzy2K26F7r3xlmC5PQ+yHn9EM4MfG6
kNh3e5ckqiSY40hwwppF+5iwdjgsm1gEa0dZPwba8NDMHZ5M6ldjKC9UXNVXsyL9ENMIsu26oFMD
uCudLHzBc8h6fwhPzA9xYvVed2pGmDnJKGD349w5wDMhYcgp3kM8YzrJQm2ACqdWHjYJvJS4j6vx
m2eRBIaAmgjPYZXiD9z3kwLzlDK+FDO5xwH5boU+W08V76Yi0tadIe2HXir8elXNKooqKnqsngMz
BJ0ioSYpF4qOqmdHTPVkwdT6Yc1xeQhbGAb1BVWYV6Sn5VKYuqQ6uxareWMa8vuBccFqEMmlbhr7
z/XeT7F2YiIJ9ScEEOzS7P85qlF6FuuJt7UGu4OhbykdOL8L5DAWGqCKlTJUQ+4K22PzEIxMx/t0
OOlRh6w6qYB7OiCklkuE4aM4xuCo21hVcMLdd3fKs1sVOOmtC4bHeYZO7IS45LIOj60f83sojSel
W+ot0lftWMQPYfqoRUVy3004+vJs8i6J3R6mqrIAHyKngUqtnnCINCygcKjlQBRWy1X++XhjAYyC
GckMh8jzRHIw+ePDsc/slJxLubWMPr5f/khQVLYe9HIoejZo6CHetehxd8PUkvflVeLYE066CXAf
IZocL0ufIerwUAqtvrIto+fS4c85RWQfbcneUDUqfjGAOhGlwg9B6sdSsTmmFkAwa5lcjKXYJHaY
7/E7WqZs39OaIK94tBEQKE3tlYb2nIhqWHQeRNeyn40nRZwVb3EpHoIuzt78stklBqr5Kkmtl6zK
wE6QJr5uDPRFWFXfcBEUm9pmg1ME/mMSsOBZJkp2ELCzjVAcocyiMYA+bUWhfhw5mfmOhFaXCssn
RSL4VWyWAlh+Sayt7U3NoUyQxKwRkxbji1SRCffOecAToi/SfURId1oIttporNuA5OLA6jU9zIZ3
QmQMsu31aUsT0ML31/xblLfXFtw8Ei9MlbD9QBWMNhOczopJhS/c4LVxo203uvqh8aoXN/CNqyMs
a8aveN6pz4ZHo8uTO9nJj1Yju9HxY3EbTMZ8QQCIXLJNZkLzMSYDFhpvui1PNpxRMWHbZIePdgtk
v2dSFCcB6PnEqq5/2jbPM09j478GQR+9kYc3YI/3OVYb+KXjHIhltA2tJo6qY8HDm3YCAbEMWL8B
p03rQ4PY62xkxlVY0NJrsrGjUKkDvILfjOD0c4IbYStx7mzkvEVI6aYyDy+XY/oMPKfIYrCvnnli
ajNq1VEXPajkGhkNE/ZgTID3DkduOirLIc67jV2Y4+Xz3ltkRIc2ZyMQdFUMWw5BZkk/uGY8P10y
KBqMIXT9NqRhfCq78o00h/gY1ukHryZ+QkrUrlRqmOfa9apXj3nzdtAGdO2KWkDv2nyrmyl51P7o
PLnNQz5XfNUQdCfNj3dOL5ObX0wwR9yfjtIJvBBN8+jFhdxqRfLTx7F64+RnO2jp+R4yCedqKYjM
TCAUlHrPnsYZQWCogry8sfE2aVNPZ+SFsDamGDjMVPywA/ERJUSeAfZEyT3qalgNTSHPXZ3Zl7TV
z0ZPsiymPvnhs+ot4vy3ldXeG+hheqXU/eWN+uu8cdgNHuDAIqkeCRcCRXdFiKToq/hFlSjNN4bk
JMBpDSAD/MbamHeCWGuyK/xjZBMghhjKtihT9dwKnsO6MA+w2T20YZl7RrgFP0Pm/hs4MQTLdhR/
0zutOAUGdCDVGcU2U92sV7JBz4hEXJmjp5tCZ4HPfZDehkA++zNYRcnC2NqDqS4Sk8jOtcObJ92C
+SFUi67Qokuf/9JVQksc94wZPi9i34N+i0YEb1CkXiy252erwgcxxSUe4La+JipU93mTQCQrtelP
6SE1JKLLyg7fE1PSLi73+FkhlzJpOub8mIfORA/a6WbybvY+o6i8yK6EMk9v8AoYc1I5055v1Oz+
6KPu4raVw9oca0iWsS1DtPOke9hDBELSZz/QSyimzLtaFdkIWIR3V0Y4UuaPVFGUlzLDjUBr6rwK
VKQb12bLCA4qOXgTmiCw0x+27xFRtMxb3Ni+LLl+ZoKYE7Sqnmc0LGXypCed/2RHGF1jeqJSZu+a
kw3XeIb7m3g6rJhNc2Qx57e6ThyK2J+2sgw1IDPcEEv7lDZlhAlGEAdTkKQ86OZwVWy+ACEVKEOW
IUSYf88WOWHrwNTog/xsd4V1EKnszpa/18eOmId5+sjz2WJXDKJpLuyJL+1lBRSlGShvVXdIrE6/
d+zgdWKFCgOKLCUD7wEeZrAVWtc9Z6iNSKSvp7coC0Aw8LXgb+gdh0hD8dkgvgmiEslmY+3Y5htf
s4RxbFfolzFqv06zDrG34JNFjmadBq9RzzhYvrfIM7dAgzHjO532OvTeKWLhflNdtUZmj71KtuYj
Jz0MbZGzXS+aBFCXOoW4sLjOO5IHpDC3Id9Uud2Aaqc4ZkupbQSJtxFSZDfTC9L7oJB4XtL8vfnJ
vG245ggyPucwEEGxtRTCuTIcgMrYCu1osJDbQEkk9hK98S6Y3X+x5wh4IIoTKZPmNoqj6MbB8EE5
hpG/Ib2ZKIlDnuXXjlnm2ZmncKmZ/YbvavPk6Y3NkI+3ZVE5tUlwl+fiK6uX/qL1HsvyaQv7YDpS
Q9qwwJV7JMd8OOJDH1bldGBIwFKiYnsuVaH2ywgZEv9WdTqbwBzgatsOau/l3rAWIovXyVCKH31S
oaOJi9ewa94rFrYrR5nZQ+pryRXzm7ueWVj2R0SkSMnxJtg1EltSWzUgr7x5TWXzEOsNutz5o1yH
4GsN+ckezXrLQzHnkCawURP6UzgI4wU5EOEZ7PPg2hU79ureURpxtGZwWb54+SnLia4nKRl9nPU4
pxmgrWQHGcnvUAHvRw1HRjfp/Jqws1ToUngNGB4DxxEIpJgfSAZZqQH1qqtzqCHKudnMbrYMR2bw
LQyGOem2Lfx2jxUOPDP6+DRGHRM+Olqfb1ivSRwaHdElUrh3U2Eq0nO7J4O0HawfkHE16b3VARQA
WRJjNNFE49flrPLAN/oQWwAKZOdkaDfnJXHuf/wY/mf0S/yJSmz+9V98/ENUo0yiuP1vH/7rWRT8
57/mv/N/vuY//8a/rskPOi/xu/1/ftX+l7j7Xvxq/vsX/cd35l//89Ntvrff/+ODbUkwyfjY/ZLj
7VfT5e3yU/A65q/8//3kP34t3+V5rH799eWH6Mp2/m5RIsovfz51/PnXF9PV/y2ab/7+fz45v4C/
vjz13wn8/F7+/L/+zi9kc399scx/GlgSXd22wFMZnhF8+Uf/a/mM/k8WKQY2V9tGsmGb5pd/lDwq
4r++aKbzT77SdXTT9R1UCb7/5R+NAMkyf877p2V4egAvBG255RnGl//96v/jXfz7Xf1H2RUPAi9r
89cXiF9f/j2P0Td8k/96vuuZJt/V0fkBq3/LY/R6Z0KbpcPhaEiqqKIJ1VvPj7LzyvStYIZwgh0D
EdMeqkdt6B51d0R1ko0KbFSCcM3J94PlsWjMIfLUQ5Hh7fTvc2nHMK1M7+BrzEAjqkpChD7wXSHG
smFZ1nV8GpMnpKHaiTWhdQZdF9Eh653vbaK+d88mMoD/Rd15JcmNpHn+ROiFAw71GjoVE5EUSfIF
lhQFrTWus0fZi+0PrN6ZDERMhFW/rY01rXvYXR7ucPGJv+hrZbgDeqvd1ehFCYECDu2E77nyQYV2
BKIilY+YvqFy1lXT2hHD3swz4xAkL+MoLNjvFn4r2A8PQ5ffGV17BDrw5NUT6pAYmmBHPdk1jxac
xBqGkGc5byLAS2ddDgNtWBz1KCCsnGECtY/c16CHcl0MmbbxAq5eUYc0Qbr4XpaQQOFcFysNqrHa
2yvZY6E+yLchBtaoST3e4jY33v/5o+7a8X7yrWibdPVvVes3ousQSM0B4apjiYQV5IyNcCKKb6a3
t0jJ1mHfIR+e+XdZVln7ISC0BN/b3msAple1kZH2R7SlRNCTPQlEX8NYNVf5WNDtS+EEtIicgYsa
u8diAjAVmYP6KREvXaQL6nw4+NQSWwNn2pYqjgDJz0SIAJtkby9EWRwqr7bu6aNgh+Fo3HZBCaFH
KMkW+lf2rNS+tW2VuoCR6MV3dS2ejdzaxI0W3BcV2irFqhsS+8McFNsFqo5jguQp1VxKbAalOi0u
7zIUMNtClHthgCigEY7U4cxZzeY/hj7+qE8z3MfXN40Xwliomt/JJLlgLdjzpLShlSd7S1GRQI3J
Pm3lbowgV1BslkebykhNA0lhSZ/0Ro13qUqZIgOCDWYV+GhjjHs1JB8RGUsIWuWYe5gDCaX9AaM2
2FfJRwvGEzrvYguoDzNh+Dpe0SffwpDXjeAZJhCEl1lx1ksR8jOL9qPN50P0Hsk7oIoh8i5TRvGR
2sf4ZGnJoQmT3wH2E19FN/kkHzaCCql5z6tffzHwq2+Bg3+bCbfq/E+tyL12JhzObZOlL46T4pCH
TWFnGD9FhtQjfpiPmjNGH4oBJEgZAZzzICaAZc32LTsnFflLmczb3WyUjaHLeFM1+gdqIJQoAlwL
ESNUNL/71JFCJ0Fk7/vIxTcGA4506L4VWrVH2XXCZg8twWn4qHOD0ddsfgl1+NwpFV3NytyCWdql
cUh0CBd/KAEfjI7xOkxQCwwIzIjwqUcUPXQ8BWIoLJC5HVVufH7gptHrFAhWCrMGi/qQ9sazGfE2
9/hPGRMGhkoAHU1Xxye/BMqcWdhyKejgbCpL6m9dMICi6sJfmaT/IDMArKRJh4I8U1Ut74C51iHV
vXI/YMOitIaLhekT2sWpm3CxFAo6lC2FGhlTlSZQKkF6HafaQ+gn+1zJ2QqjK+jj6iHVdTKlsQPA
rZiGhnAHkbLtkKg25rAZbfXLJPOfIsUH3jLoHhUG3fA0RH0Ex+hV6I3WlzUxjI4k7Sj2YWrttMEx
PxcOfDFr+i4kaiSt3aMOSZTgY6vh+tHwIPGMocKn69J6zUcsAUok3b2+1z5W6H4gr+x97cGUPwBr
IZQyshfdsjlkhnxNZ2x5Tt+gSWiSWyKCo6ngKR8EfkeIk94FdvmXBqPh2dFHdEv8ZGPWtkdpgZQ+
m2CxBEZE1tK+Iqu6Db3a3OmclnWLtdGdamef+kLdWoXsHuFV9vfp6D0I5GoAS2npNhsrZWeqNQYI
s+AVD4OBDjF2Pw20PFhyskAX2Z5V74tSbhxbTx5qqgZtgER07ab56DwUTaDT+PYPKrxx0HygQlME
s7O6etLSNsJzq/3Y2QhT06p7Eg4IER5hsk88TQNkcJpCVOsiBws/jvqAkCWygQmKSdsp2HZmpRyc
DkCNqmdfCW/z+baINrodhxur1L5hS2RvbaP+yDH4axroHtIaRl4VHz0vBp5Ravkj0sRA0KuEjie9
RyEGJNWIrA51tEt3kxmLQ+SFP9D569ALs1PwheqmLlArrNJ7JHjsA6oL2lY3Sh7eKXy0x7Gnuw+G
xE4cvpwUcNrgYnpj96zmXbXBk7PA2X0MdjaY3N5B1QLTSyRrIhnvGs/qQHQGm5JS41HK8GutthSF
AdkcenSEsjTmLcose1fWgEViLv+PuNMCtK2a59pqAcgqyhbjNJQ12g/IpqmrDvAQCKDNVAbmLkf3
bk0wU259HqitF0BItnDHUX7CijJ21pj1xz9/eH20QoUJQSuEt2tYKFqBvJIcBLz5dHjUI8U/6Il9
LJqJIELzSZkq666LKHgNsv+MJW+4HdonDpf2qBUz/bLvjoZNuSCjKH0Hf3g/ebBMhPJXwe24avMh
2cW5eCOXhotVPHc22GgLB0Hdtn5AuhnvC0f/CiOOYoyHhH4m57Ka0sJ+SOBnRnaGzNOwCyfzK+qt
1Q5Bn2pba6BbwabCv6BbFhEV6dAYQEDmCJTV7QbpJt52r8QxeTIgsIWQ8Mx6FvOyAxz3urxf//MI
/DWMw+L3r/Dt/4PIWcwR7f/6f7HpWeR8/1b8n/+dvw+b//wP/g6bhaH/y7GJmYlW/w6X+ct/OTpg
JMu0dF3nL/8rXJbGvwwg3pqjGpql//0/+ne0rMl/qZLWt6ObUp2hTNo/CZaXTuEW/xRhIUKBqZfU
TO6S01g5iXEbCoZCfpqowoVjeNDFTz9tQcKHBzO0VoAYDRD08ht/htGnpvnMv+ma73n6UKAsNQSA
U/HhohMSxzec7Be27/NP003HsAjmHaFZlnX602JVq7uwc4D3NN8jLmICnJ2cDmlDVP7uM/07hThJ
GU4SBuvfIzmaIGkwhJCLhMHOUsTffUYK+CprHf+v2G4OoUyMvzf8Scb5fiBt/s3vLM7nkZiUhoOg
LRAssWYr+XepSTU6PmHlqH+Crw/do1LpsigCLWODmhv1HU0QOxVOnz1qQVA9ObHU0Te1EQEfe22L
AD9aMm3cPIC4y7BrnyA/S0X9C+Szau78XuKj7ef9fnBg1fTIPCIEz92bt2jZ0g4yNwF1rfucmjzV
9cLrtcP1hbwwPcMx2biSOQLRX3wyWllVAild/0SV62AP9kPWJS9FJg6YpploGFwfTef0LVfTAOqn
k1daQtOdORF8t5qlrqLnDuLukyOrgYjVCB+yHG/rmNf4Ho3W6Klogbgg2ASpASkxqqJmVz3F2DwT
wQsN31KYR/d52Smvdmcpz37rFT/YieG6cNpxp00BOiM1rECaF81DTg2XUCWDyp+b08ZJuGFHpacV
MgykKiGx0UuZJc4nhMPNO6q2MLZFq99fnzWJ8mLShk3WbTDredrm4sSybUpj6ID2DRrUEU7jGGBQ
lz1hbGQMTw14mOvjLY4hKFkHNo/tOJZpao62/Ka9VSiABPo5q5JPlVbROTR912xAI+TZ8fpYp5m7
NY9lW/PlJlXNNuE5nX7QwqJxHSja5KJQ8VGaVARRsESY5u/Kz/94DLlY3y/hn2Fs22Ayqsn/2Yvz
3vfIVpai8o8UHNOdaDA11SPZb69PhrLF+TCOqgsVDwnH4l+nsxmGviSNtvwjQFuxpyn4q7ZTeO9B
7rhZneEqgjzyuui8n3GrtocpjDu8Lw1ouTd+CPWds/k6NPXg/muGQGfi9Ic4E8qUwQAsOAL5OKwK
T3GKVT4LljrONiUloyqDrEJgAQTKvP7RgbbyeOM3LM7qnzV//xsWi+E7htcIwhSID0n4OenU8oFO
6y+BSAAYGYzrUcVLHvMGo3osLurG1Sc/fewjVHurcbBvLMmFTc2j8l8r8udZfHdz+ImUqJbQEeok
3UDjUQ1+JIq2TbzhxkDi4rwhOToap4QexWJLU/EaWiwhoxfLQQ64qcWTmd3jJJXsuXWUFR1LxNws
GLuvZgSC27fgxxZF4Nz4HfPyvnt4/l5+/c+xcqSOhdDpFhg9mACwFB03rYO9WfWQ1ayHUkHfvTOK
L8GAoLbSeB8cv7xxCi6dNY4zBihEGlwiiychNCP8gobOdikToxaC5mAnbp3nxZX49+R4WHXTFIat
L6/EYjDCPihH9agPcJmjZG2TNCP1gmA3ZGgrniOH69v58qz+e8T5q7/bP9OoTYDhfMetihqBuRSy
KLXv62Ncugydd7Oa//7dGFrH97L6kEAc8YdufB6ipwQVv+uDXDwIhtBU6MM6fKHF9qTbQ52rVtUj
jdH71rDuA3SycWxSf9BBuzHWhQnNV67QKdBS41vGmg1KMmXf1OpxAIQCFnVrTtkXb0B6/Pqczva6
VLlyLR5IumYqRaTThQtLBfuBcGxdikAoXySj+ZBkGGcosf25ly0pfKcd2S5gqgFA34glz299RjdU
VlKzTJ1yz+Ki63VFJJYSOG6CrRDGdemDHRlrzLvWRtSgOOochVO8OXn2qRudo54iqXl9+menwSBh
sCxDJXQmDjubfpB2jSzK7KjYrVvi/JcBuA7B46I1DBc+UsdPU0u0f33U84uOYXleTJUWgE3OsthJ
CaFfZMiKYfHGiv2yWgF2deM+24boUWjonvmp8UGY4RMqevskz9+SxLvxI8522PwbiDt1fW4CWHJx
ZCDRgxSJyvzYZgVeVDr8cUuLDz7R4fXZXhhICkkIQX+BPfanBfHubBa1X/Q2KMWjXSbJmjTFQw2+
S/EjUG49VReGYhcxFrke2cNyqJ5EodGrwnMnU+4NxYSF6B1rC9jQP54S47Bsf7o05JenpyYvpIYv
eOMfc7Tt1z3l40ODu+qaFoK8sXpntydtas4l2a0kAVbVxVAJTA8JCTJ1Myf/GoryA0DDG1HyIhOx
dYNAh0zLERJyLvHL6WzMBLWHIio01+mrQ2kiggVqLuvVO6ipT0E+7q8vnjgLsebxJEg6bE15gcz5
K77bEKatYyuldKmLRReSyNauwgCybv2tXYnnoqWH2grzqJfOBjTFjeU83yGnY893/LuxS9TsxGgb
qtsjKjlzjBFXIUfAiLc3bwwlLoylkXNwq1AaYkcs7tZuskvqoZnqNpFXP5TAkHe1L52fuPSVrz1o
bdzOdIgVKNkpNHp6a9OHkQ/qOA62g4ZgSqRaEQJ/qvqp9Rv56fpnuPTrKKWotmpyF5nq/PfvV8KP
h6ihf3UsSHH3GTTsFYm2vetFWt64ai5sMMozqkrpRKODsowgncivjdH3PUSV1BJMvxIDmAMCsdLN
ChmfqKzFqh9q+eP6DM+PDmeGQipdPY1ZLl+X1PLSvrGmyg3C2HswAwQeQ7UxXq+PchYVIGupkmMa
c0WE8ss8+ffrGGdW3yIu4pbWiHOFUR/8DLsRb0T4hqLg9cEurKQhLdMhn3VsR1+mSUpvqGMAG92l
6/dTZvJXPc4I18mjXNGXYot1cXsjfDuLEJjfuyH1+TS/mx8wT2uUWZgfFQl+dVKHJ4Q0f9caWLU+
fK0w5LKjettZwdP1qV4aF+K+YSN8Q3NjuWnQkis1NqXuVmb5QST0LXFRf4pyJDlCMwMO0infyjig
iWBNN/brxaFNk52qCohqy5y3nGiGB4oaH9Mi/+Wo9lciaawDAmQHBgA79lcd/q7hj+ONr3vhSNqm
zs3InSjRiV9spQzOFkKvlO/NvnnMAYTYofGYRcOX6yt7IfyY83ld6FxMhmEtyxRelUqA8LnqTl35
4I/6PlJ/UrpYD17zXNYfx7ZYYVjfZGjH+jiCgki8/gMuHBmufkugQKIZmlhePapa+SkPTgzGEOA2
ctZPNZJGPl4idXqrBHRhTUmpVDAOtqYalINOt6/RQyWx+0g7xtzRa4UORFnaoKvH4tf1SZ2HkobD
LuXGYecQTi7uUyowlYwjXzsGarCV0vcRvKm+6yNWnGrShgDs1O9GO329Pqp2aS2lNj+jphDzap7O
z4xLOzNM0KjqPdo+X7wAhhUx1qyvNnwryvBbStd51VYBdiCNgZS+9SOdHJIkz3Mten50wa3veTz9
JTHO3fQaNgBUZmHyqXs9BQjZRvkuT7qXssRYMxw+WCMmNNfncHEK7EjqP+xFW19s+55zrtoUW4+B
sB8T7LmzZFj12Fa0qvLj+lDnJ3uOuXWTjArqsi0WoY5vWPThmyF4GSZ38GK0G7/he1gGr63zXOdP
NF1v3GLnF7Yp5gfWUQUHjTju9PMQEnfgRTX9mMfjQxeXDZK3eKTVTi1XKHLAzczyD9fneL7j2QkU
IqmaE3lY9mI5BebIXdQqCCml+c8B/cmixlcg8J276+OI8++GW5MEgK1zmUjASKdzs+3EKqZeq48K
vIoXhVZY25tfBr3fqrDIEODb1nlQfWxUuModDCJwPiu0bre2maAdbEVrreoeWye6UT678I252thI
iNYIYSyDc8gzdQeNTXFjJx+GVY5vK3ZEEVxSnNvuYrS0dlWaGK+cplkEP572N9blPL7l6aBAwMtB
r8hZrkuSOb3AF9lz24gXOc94tJKfmTnCLKNklEyZioeftY8xsyXN/6f1WmoTJkGWrSEoKa1lMG+k
eRvqOB+7qOgBO1G1eF072Cdfn+OFT38yyhx6vQsKcAkwkjbReyyR82eQLOshzg/Q03fm4Nx4jC8N
5YCgI5JWKYotj2zVDUGGRGd41NXwJS28b1EwffBNE0LWrZbMhYeRMgTyzPAy6Mmoywc4sWK/7kQb
H+sRrVy6X3+pIKLWpeLfj8hXKUVxJ2SJxRJUaQ23IX8IP0cIsv7jxZVi3rmoP9D7Wj6PnRytBAtK
/zhE3REG0Ac9NX4polsBTD9cH0rMH+qk1mnQOpgbbczbsdVlQCnM3LZLchEXrNxBRum294u1ZX9C
mbXqklWCXVfafUjatwnTIbAfIb5cQXGr/H/hyFJvl5wVwnTqn4tbUoDCn71jRreBGfjmkSA8yann
Pg7DwEXxBYOhQjb3vafY6zEYbxXbzp9uU9pzw5kWKq/Dsu5KHURD0UdM7oT7+QbTisOEmRYYzN9O
p92DYfg5qw5cX/lLYzoI03N9qhpN6sWUi6i3LLqzrRs0uGvZqnjJa8x98X0tpXy2yuRl8qJble2L
g5ogUtW56ch0T49thvB7bPN0uIiy48Y94XesTc50N4V4q5oCOUOtRsJZN/HVuD7dC48SeQStaXA4
tqTFczqyhsuYg9FfcgxVbwQ8iXxaqyseUmeivjHUhQtjDmp1rv95dZddhLgFK1KQyrqFEby1sz7V
FNSvNapH26lv2hvBy4WJ2dxNFND4Y05vTyemp3UMwrNxXCCpJsponlgpiJg+ACTL766v4aXraQYE
z4E7/XfKQadjVRj/BhlijO4g0BDTjHrfJc2dE+b302R8wuXyJ8pPP3B+cRODX6D1H0Fo6jcmPH+p
xY1hUy2wQVtoM3p5sYd4duI2LY3JdRIbTV7MZu09QrAoBNe5gVS51m4SPbJuHJc/V+/ZsDyrwN00
qmDOYtg0lm3tB2ELVW/8kCJZ70DrlyLftr4/q1GCXVPKXS4lgKDw0fKjx6iQm7Kv9kbXfYhHDPJC
p91EXvR6/atcuEFBQsy/iihP05avPQRRJe6RGXBLvRgPgD3zTWHotyqO56VygkeTKi1A7bkNu7wi
pQixqxqayZVeOe7ruA2+mkFgP2E/BNqj9GuIRrL55Kj+uJEgFrcqWs0fQxMDoevzvXCHkLo5QAiY
NvflYhOGFkBHC9bO0Sky9HrKvwT6QUg8QDEp6vCxttu9j4zp9UEvLDJDGfJPynpeMAdHJ2w19nUX
5Q79ITAC/UlUtnYjWL+0yDyDvEO0QzjSy4egtInLVaT53BjniTyo7xTzc0XFI2rfGnVXNcp9oVpr
XrF1Z6s3ztWFa4sHmG6IxcNPYXS+aN6FVEItc0z8EtXVkvYHRL2Xwo5+eOaw79rm9/XVvDgUSaNK
7Z9u6/IesZwix5amlS78bSxR6gNOtznvTg4+M/8P9osz9xkkrw6v67KAPSHprPtwaZDvTJA0ayN/
X/u5+hXZNC4Os7c+6oCK9omk03pjSS9FN+xSnWYqGBCSlUVyjIIKjCulk+5YlWg1t2P4Q8tHOGNE
yfsIic1152fh09QKw601kPbBWE44gYTJVgmJeIbRHJ4jz6tuxLQX7lDH4WmC4cHKiGXUlY0KFs91
r7tI0iOsqw+rEdg4VAHrLezJWTRkwK5/8osjmoRXnFtCreUzZc2ygqCwJ9cMtfsmwc+wCl79XLxW
sfcSjPCar493aYs5nCPOKm0YY9ld6mlwT1WXa27Ytyv6CHfFFP9A9m4fDN7n60NdnBrOElRf2V8U
C08PztxFjfuxbF0nHPEbD1uAmaHT/RSJnECwN19UPdbd62Oev/pU3cFuUfOVTE5fvEaKh9ZCjh/e
sfWGz45aPduK5sJg3l0fZv7HnD56FoEp8SHKj3Rmlm+L0zZWmwErPeJSsg7DO7j1q9mi3WyoXnyM
si+duLFPzm/30xHnv393C2ErjeqBxohF1q3SCiEn0M5DBRZ2cmcD0qC8cbNfWMmTKS5Wsi9qNRuS
xHzRy/olaB35USC/uGm9prgxtfM3BMYUETdVXUq6PF6nUwPHlMOJj4ujRF19i/izsu1nR8rrn8w8
347UeegMzlURQWq1uHMyLBnC3vbLY4u+2MNQm98C3B83AbImiOib4UEUoBURmk42+EmjPIqV23hI
em383IcBZVCwdzul7uOHRgzVXWcmWMdmA04EBHVwRdr8peeAv5l5334thRo92U3YvaSid9a9TJG5
CwrAezYsG0QE1LUXKSNmYlAjOz/RdyXqCLsSOfc1HGC4h2Pe3U2tbu/MLHdWTQuJu+nLX3qNTFug
NvEXJwmz30EANq8rVe9Z7TpsGE3V+hwq8bBW1dTe5qlhbVOw5U/2OOQ7LZyd6jXBhZaVEil8XObw
o9G+gtUPD4muqHAqkqY4loiWryV+e/dB5ZcPqaqPH7MWPYtENbKthmDSZmqBpt/4QueHCizg3IHk
MrRRDDvdB1Oahy22EsUx7EiCqhYUaalHbtIXb5jY3IiWlrhLmquA9Gi0g1ym+gzf73S0suuLPrPi
/BiMebM1NYjEzeiFWLvYvzHtMvdWl5qbGL7OIaKIuDcmT33WmrLZ24EpH0ykFrZtTvFugsvvmqNv
3Q1Wo72VXqTNnxDuWhFaz5hW2nfJKOUDXmHBB0OY6G7rCB1nLTKFld+0OwgZMRqH9rTukd/Z232m
7Y0+tW6UH/VL52yOoubejS7EWcV91k/3pJ4dadBriP2OvrnmoMC3iqilOEadI0uMcaZXeOkmJorc
B55WrunpDLha4l4zxFbzgQQu+6wPDorDylD1n/MYZ+FVXrfho4Ywklvm8WuvNtEWnhWqcpFnfGrN
LP6Rgp7bOrHID32J9yF6xuPvsaJpJMJm+kHggdmSpeLvh9LrKxaDmJr84+1lajA3gYjz/IFYP/3g
SJknvamHUH9zcGp9cwim70XQ77jnX6+PdP468I7b5AIUXyVNzsVIKJjgHxNXKkzl0l8ZSrPNteaN
k/Yld5Cg8avHMbLvcFZKb0zxQpxMMwUIPH0qnQbdsoFkTpPaDvbQUbNI64+KWXuPGIP2d21s6c+1
U8rtlBTpJ2xvaqwhAJZ1cW6gYtP0++tLcB5m8ENMJq/xRlI4WixB2vpl7Dh+zVmWKC/pL1UGxQuJ
WGf8eX2k811NwAYacM68SUOWfRYQmdGEKWH3gg4UxMjJQlcy7+obd9OFURA7mUskxGqaNvOF3z+/
oVEHYWoO07ER6jef9M63mxsP1IUhZrwVnw82g3nWFRcxYu72KAAZwnUA9xMjIjx+v75Yf8LJ08CF
9w9hszncFOeFVHRX43FE1f0lGB7idBbOhIaGCnyuJk929ZKoX6wk3iSoT6GscuABu5+8W8Wus4lS
pQBwBAdZqLZpLuEXCeouURlMKJmUrUEmN2UvlVFN2+tTPYtfGIXXDo0a8Jo27ZDTL2YkEhm+FAr2
WGH2hJkDTsbPeMzcSE0vTcbU5prwDAd0lpXpcZjrAkYUHL0oV3dhVUZuF8fOrbBW49eefLd5NrRm
6RpJShnL7oEfwWSz9S5zNRSkGi3Z1XilRL3zCVRo1wSPdVxCBrhDq/lJt74Yo41IWIWWLQxMs9lp
/pdW1HRXXgVGawKjcY6jSiMP1LBpR642vZbtgf9foh3IrmbcgG3gpqMc+S8oOsorHSKy0doeil2L
XLG0vuTmZ9XPtw6qoy19pLn8nKHWwj8JGXUz1u+r5IX/kI4HK7lx4i99WesPQ59qx9xOO/2yLToN
0E1VB4vdEkNqXKU2NkYt+6DEkPX6Jrr0dantUE9z5uLeEpTbeY3aRU6O3yO+xndqWwaHREOY5voo
2lljiq8L3PAPNWFugC5jkZpowovr8CWPaiKfaVA2mK4A9kRjHgHHLx5Ok00V7+eoNLCb/E6HOb8J
/VxbZyDHnlGH97/WgxI+KmaBzsc0STwCVQv1eSG3np82N9bl7HqffzBN0zleB967LHpFmdJoemhb
btDBeGwy9cWbzEOAzdpKqYgMrq/PeUNzHo40ksYdw9LUPP3iSL9lI3GF5ybZ3L/PRascFBHYL10f
/CUbGazy3EHBxURc3IDh8qwHSf8RaApmLmoPTYjY5t7UG6wf0yD0HvI6Tr9e/42XdgqrQT+MS1zC
ijr9iZGJHMJUD+oxCbIPpiM+1Za4uz7EpUVnuecHlXYDmczpEE7tO4gBRbZL63If4oyKuhzmOCQQ
Eefg+lgXpmPOaHcEbmgKnBVCcAeUiMzo0s3Tqj9IrW7WbS7NG5nfhZNsIuAOE4hIHKjb4iSjlBPl
Sp7ZrhUb8VqWMMM6v4QtiirgjaEuTki3dFI/dW7ALobCjtKZrIShRKncVQALukr/5/cSn58nh5LA
DC5c7NK8DJwwlYN0rRrIdqUav70Ju59wuLEPLq3ajCoBpSNmauFiH4DVSyY/AaRch7WGmEbYPSSt
0z5lft5trm+DS0NZghdnRp9yCy52tZ9ZTZaUueeOtplu7a782pS2/dBadnVjUufgU1hMFhq+FD5V
lTLvYqhIlciS05/As6ICAaoMGL2js68daxnxkqH48X3Ikc+tdCv+XPC3h0YpbrVd50EWzyw81pld
RApEBrr4ER226pOHcoRrd/1jnKFoj8L2U0V7V6m6B9mlx/9gfW3NIQEFQnzWfWubYjItr7JdaYTY
uAzll0CI5za3f10f59K8wO/MTF0SbLGsYZeTMyiYpxdHmmFgA2Pb+Onj1dBnCNyzewzY49cHvHBX
kWlB7WVq5JvLG3s0NOyuPAQcnYraX6aG4aaoIusV9bZh25XGrQDprDzG7rEJtZgh8Z69bKCKwFQy
tFuyo6Z909riWbPuyqx5HnL8/+oW7cnY+E9mSMONm1ganMXFhZIqE0ErdnqAWPPyZUhzQOdDWCFT
RRHLSIdbbYhLR5H3hZRScPjP4tlOscxuEnGK5zsiKALR+6mL7gK9+nj9y13cKnCcgOhIHrPl0x7o
gRcHsdYfpWhenKhrVomp3/do1KiF/zQZSKn98wFnYhnhBFWJM9AjneKirvAFc1tZPIat96G1cc5w
WuSIZNCio2M1N4BIlzYnvSALXguXDXCi04c0aG3g3E5gu55Eg0AVr3XS1itHUe+SpL2xTS7ea1yc
xlwnZo7LEBJNeMVRQmm7be4SiT105o/Cwoe8vU/Fl7T/hF80Efn4fH1RL05x1qrgEqPLsqypWrmS
QBgWnTvl0x1lm32GlU014Dum5ofrQ13YmFTteO8E4suwFRar6aue4kG4bNykRp40m8JVarSuolvJ
jcfowpzob9LenuvSVAmXJy6CeJh4uXTbpDN8XHHMkK5Mmd0NHm4z8ILyW9/uwq1CcwzsKAgC5rcE
RyRWk/ee3UsXTFn4VOLQcXSiJt0VWl3DLrH8RzmpIZSzwkfBCeVJmJ+YePRV/oCS/a6Ks/UkO3Wd
enGyn6iWfFf1xN+kEIpuceAuHFtLQwBBhU8NaGYJrhCoFqN6mrPNbGPnBNoeK5s7C1L3CleTvRYh
QPTPPztFBMJDYPbnZEzZA+KLkBkFGjT8RklxoA+C74x2C747RzOLJ9ki4ufkcOeZYJNPD2tjmYUa
O0hPt0W/L5AsWxuzEkCaNruR+uM6KBJEHpS7mCv/+gwvHV2gFFSKJUEJs1xsOGvArkHOxZLaGYrP
ftegUl0GevnCS+MpKwhNUPDVOqv3TeWThGi0Jb8UVeXdiF0vnTDYtxQvVaKwMyRDmqAQima57qIY
92bE4i2Pwze9CH9fn++l80WQh0oFDVDwbYuVjo0ej8m6zo8pusexVe6VVN90ItJXGML46/9gsDlS
njcQ7c/FrVGyM/s2MjU3bTHoytu239eFM66DBB3hIaFCfH28C/E/0jjQqWbyABX/RWQ3mHlqy8rU
3bbOKPJHtbc31ab959Wgk1HmC+Vdly5GD65Bx1u6+N2vi+olNb5cn8al0/B+GvPfvxvA6jwgjlbc
QtGaLb2Q9CkptWu6thYFyLjCeaN9cKDQcONzXUrBqTyBT4NxTvF8WU4LjcxDAlCf3LYpga4krYom
8MBjkqt99dNEv2GfBZ5zV8cOVoR6N27j3CkPCQScldchFR115rB10qy6qxzyctMLqn/+rPO7gAty
/f0RlzldGxlbfuVHWeXqhf+xLtAn9odnQOUfLb27UY+79BkQWaFLRbo/475Ohxp8VMTHTE1dZLl+
hxqiSrKlLBEfpqZCpqn9a2gE8laldqN+e+mWNyhr0uBmJ6vLB2lsK6XrElN1hwp3txJ9+qKWWMti
BYCz0ksX9/mNc3NxROJpwC9ktkT0pzP1fH2MBzGBKgvsNESAZMjRbkp0OACWt4ntutp2xhDdCF8u
rS/EZ2vGpjDTJZYtt4CEFKUTH2WIU1EtkVawwE9VtEOnfPw2WsadJ+3HoUxvDHzpqp0RBFT5KRKc
XRNFXCO0MnLV2p5efBfNEL0WwUDbVrHLG0fq0nVLKEO3E/czqhKLGzAtkmHwRQuuKLL+6qkdPZbR
ZK+tSYhDnRXixswuXYBU3AEtIIEHmGlxAfJcS62xe831ciISg07RXZ/6/Y1g8OKkwM7AlUL5hNr7
6XbpvW7Sqe0LF1+grZ37n6PUL1YxVG7E+ER4YwkvzomC4NzNmDkqi83ZixCFe3tMXdl7b01ofIzL
/u36hYuQFD95GYCQWlL8hV+jQfA7nVJcdgIP1CBxC5TO12lXOCuj9G2Mklp1rwzyu5XaKBNjoLpN
DfQ6KXh5m3Qaf+SaOaw93U4ftE64Ef5+GLWjuUwBt0f/LnLWZZThaYAnMKaY+TdqHBi+tLq2qQet
Xo0WzdcOTxf0zJXPUMB/+oMGHxcHhR3s/GIV+qgOyDIftmqnfSb+zXZDge9sL+tpE9pOgjMIVFZ4
iXyBJv0cKdRqrcgutjIt/UctQpHECbJi3ZhlgBmNaW58JrouDEWurd4b1wh/V1tQExkqdYGJrkeU
bnD8w/NKSYyVOiSzXR4W5HXof+3NHr/loPvVKO0DfEj84op6gJdY2KDVtWbdmekbUsjqCmRktuo7
/l1g2vcRvoObtFTwB5hiBQNc5yUyexcR6q99Gb0UIQbAuElba9lN94bT/R4Jpu+sAg8tRR9/oej2
HR8cWtd98yvJxLcAm0vqVuF66BxnHcrq6/8l7cx25Lahdf1CWwA1S7dSDV09VnXstp0bwVM0z7Oe
/nzyATa6VUIJyb5JEBgxixS5uLjWP1gt4HGcJvlk+M86XiK+jAG4THpHT9ScHywDWYGi7ulWj4ri
Rnn5YhUW6rTTgLCc1VdOaVSYw+virwLZKVwVENmreCc70wAJW7KVYRd7vkTJL/uU1hMyr+gWIqWq
dXvby5R7YDSIoiBI7BQGn4B98YwXzveoD4ApRZ/TxNafYD0gfhfphjt60SdoJJ9zbMjRWqeMjFo+
wophdIih5J5ULCF3VetN1OOG+lQO2d9k3p/91pg+TaIEbIKAr6aPj1LdPGNcGb7qYyNO/jA+2YX0
SVKUhz5Pn2gp4SRfq7mr1qPxuUjDb3Ka1hdv8NOjLOJ0n1Z+8ioHdnyX9ta5i6JoP1gyGC49vE+C
9OeA/KzXS5e56bUP+zFg3kzCpBF2wmst29l2Y7p9XsnH22dy7di/P5GLLCuNYG8FrdJdms5yqbhi
sVBt4eSuIYo0D2flkrk4zeNj2WVSwArYZuHr55lJ0/jmvTqYrzVYLwzNv9D2h0aIv1Jvij3F8ghr
QOWlYe/KY7CXwPluXMMr95JFgZCqP1nYrE7xMQjVOtYFOdoT59BoiApxrByxuwY8ESfevw+qMB+o
o0F+mIXkFveSp5LFllGJ/zmmiqioqCpwoXhjkNX5zLXIueg503k/zodLaii6zFbPk1IfkIYgVNmf
pkz5dHunXAMiZkj2u3HmrfQ+X/Y8K26liPs8Tv82kIWKpekSe9E/SMX8VgtlF5cINKEN6UQm/n+y
ebj9A1YuD7o1YJosRYboukzYghQ3T7BB2tkfADA4ZhHnCGcXzT6I0NA3q6redbq8hQNZW12Ip2wT
m6ooiJ+Ps/b0wMdCIKrOutWBTSt9OfWdODL1o840N3BFK6cRaooAUzMz+hEX/DjYNObU5SUlvnRq
8I9fs/VR0d1YxrUx6K6x8yGa0XVcbBet1/Wgk/yMGhMOftmhbqXd7Q+1ulMYAcwK1TKE3xeZi9Fi
GzlWvnwxMYVIougCtnwimtISl5s3UZeAkwcHCSMwKBuHYaXM9Kd1CCt0FsRbQlg6urmKh33KWQ6y
Cw/v0hl70KsqbqhV+ltR+7ca4uBGRFlbUpJBWwfSTsd5mTtJMXYFcexPF7DmMQ4n8i85DPe3F3V1
DJpu9AHQ3IMq+HFryIYoJ/ThggvGdeEhopyCVpk/fPq/jaJ8HKUUQ59waWZn1cMSrjyMpAa3R1g5
T7POy6xUSgPlOqulSq70pu9fSEZMtwiTfk81nl68hMLufxhqlgudO27UphdLZoQYFvRVLJ2NKAsv
VF2texNW7KnHHX5jqJWvw7FlzynzK5ZH5cd1G7F4z+yhzs5D1wAunXhtqcPGVb2ytT+MYXwcoy+x
+5rs0DsjKvpWt9lfyhTv8Of8Uip652YSliP4Wd1ewrV5UbADBcfT3LwuLQlrElD+jXNZVMjiF5O5
k01Er2+PslYdRJgHdW/wPbpNMeDj1MCEVkXZ8pEKK370hgC/Y8Ssq/Yc4i7oWf5zWUkvFgh47NL0
f24PTkuSv33xKrHpUpo8e4jyiEV9HN0vldKwwRqcc1k0T1j2qm9RVigulwH26F781GCCZz3GTfmM
mg/eopoMxdmaviKw+nt2djib3AcH7LYs12gw1+xG3XImBTup/B9QO5r9bSo6XIL9l7x/m1D8QOA7
e8gkkkY/uesz4y5u5YchsCA4aYBOEvRpduA5Ea4L610RYtygqYV6MPpiPMZ6qThShx0YnlQYpI5S
4OrK8yi36WelBXs0BPF3Jeyf/dGwHwAdFV1UuYYSa8h3Fwgemal/hG5cP7WdEsLNVzD1EconT+7F
Y5Piz2Xf6QKVerpVGr7jnf1LeUnHXV6koJDERPL+NfPU0gkaCGnAmWuXenF7wD5PcbAZj4+jhdT7
xXT9SXLJ1vVs19UQJOIDpYfqYI1dhFeiKNEBb419ZBu9a4HIJpo5Y/jQW6m34zFfs4pPAYJJYoh3
U/1dk56iWRwTG60dal4SrbTW+CINuKKXhorwKbDC+9Aehl2Rmro7TlghKUzwqKAlsy+wknSAKeRf
cPKz9yIsY+yDROKOmAo4ushTl4Z4tMvHOjhIhoVkSIPrbhUJLKqSanSpq/89Up5+1GN4/4LHwW4q
PAVpShF+gnsu30uq1h3L0RvctLTl51KM/Sm3RLdTmmzco8ALsbjCSIEZpJ9AlDe7UmQGXoIRNFjI
XntUb5KDVUbeTjcx76Sc0e/AJuGgjls4XJ2chc6b5gWLkOTQkx04sKjqx0npxaHus2gX8/D4qxkp
7JgaSuNWk+CNrCIj7PNgYVNhSaBOQXjfp5F2tupIPwCumV0X8PbIkC97TgxfQXEU/XC/LoGp5LWW
7AD2e99nbdkdBtdYd1hjdR/EarFXxsF3cR4F3h4AtSqzKjvRqYYGENg4IGPq5TaFGR2ImsHJb1PL
7VIJoRAlr3bKIMoDeoYlitIxblZl04+7AUOwfY+HxzeUVXDzoxm2UzKrcu0KlLwOUQSmBsZGEdK9
e3+Is7u8tCh/qlHoKFKjukHMRZKSebiRkYQwSDxzh7WY50SDaHatngYHJJrKU0vfG71TFbMOAMWi
wi4XDu2AHp6iuWEiYUTk6ZiBhvIPz061z1h2GI8mVTQHwhQcgzDjeMoTvWNT9ZywxdtEomZxDOGu
7IxY1K9hH5a7XMETOgM7f7JGvPMSHodOofgGhtoVUL9uGF0sX4e9MmjZr5bq7i7NAkwGpRDbpLxJ
jr6VJS7Sdt2+UCfqIlZeoB2PcmAErXkvt83gaLrQjlNhwTdu6/ipBaN1h6Zr8BwRZp1JwhFzCtkM
GKuFDiKANto+ODwFUPJ35dBNbAtQ6/1oBlhONHg3miJ1yrbP9+hNDzg7BNqdL6OyYJVWfLQQBnK8
3qt3UaRoJwQS/Fdj0rCIzMLfQY0IsjFi6J1UYUKmx8fIK3SN7K7Ap7ZpXQNv5f0kRnOvNSrEVSCJ
e5j7zb4sOzaGmuAUYOVin+di3EWxneCTaJl3atNA9bQqVANTCAF6HWeYHwTqy//wckcvNlazM9Lk
RvNPJjbyobU7lzsJNKpusSmW2b9eR+kUInh8xvfsROndEd7jKH4D3MTOoXekKN5I864F1RBveT/i
4pbHywY3nHgaL5Xa/CWxY8C0nL3UOus4mcTW+Mn3gwfd7jFSj86m3hLhh1M+a6/hMKsSwm7fjn+S
pOXlqADgoTtJ1gbF4+PliDReWGihbp7DEtCao+F59qJQmTxrWBLTp7M1aU9NBA2FXIjgwRzMildF
m+x8XMxPvqjag5EgKWzXJcpa3Mt/hflgIjwwSY48NqlrAgU/qYmEKw/SQs3l9u9fSzfp5UJPp/LN
WVg8RRTLm1rb7vRzM6W/AwkvHyl/1hNrY5+sPXlmAO2saSWo1i6hHorRQCvLqpT0XJ4OaFq1tjMV
KQhL1e5Lylld7rZmindC3w37AejAkzr0zSGovGlL33l1zvBsUe2an5HL/rXU5FaGnaR3Dmpbcpq2
Uu+8wqK3ITJrI3Mz5gfBcnugrwczkZrKDBH/uD1GyetzhdfkxebVLhxbACxF0Pc516hdYbXXlDo2
F7H0qwr15quNe+7fU9A1nybJiBonxGoZkk6EFFIyEPQsz3rBi6rfJRkW0BpMf6dIrQ4VNsR7M5zz
gE+bnufgg+1jhFQq5A2KUd5JqCwMshXTyy6b7DCOmEw4Ipfhw9Ziqg5B2OE1WXuetsMVUTpFafE1
QX+YzlqgUYdNSvkO24vMd4YIkN6u11P0QmGp+pFLQAy40rTwUFOAvXRBpF68YjBR6ZiCfpfKrX5X
toHsZJkvPRhaX7yqyMidQ2pQL2EaQHQD8XCIcK/cqd5oQ6sejQvGtd0/XIqMNWIIfXvTryW0QKBn
5TNZgSm0+ChNIHmakhfSGVgHyYCkSHdTtvntV+oxtvpH4BKgJtX8RWSQ0rzOqKn2F1TWHtANLrmd
kb2XTOmoaw2aKlO40SpcnRf8cZ0+N2+R5SHT0zSduAI4ZLL/q0RObQbl3166lW4ZyQVYDJgpc/Pz
alJyIuxBMc7U7DEeyqtfohKPadhobLps7+nW3WAagatJWwiZ1eWEXwH8jbIM2LSPJ6lpyZMGS88v
2YRLvEGtabKiZ+zEMkfRpJ+TMdzdnuragMDSZsV7+COAFD4OGAPmkrGEGC9TUn/qNWNXKKkT2A3a
eBI+bZKy0TVbW1o+3Mz44Ul5hblOzb7HW6S1zngA//Kq9BVn4vsIVkk6itIBWfg0A7+4YcKNR+wf
qvkySEHEo9lv0gi9QmDLVoMo1QRgWS3j6jmIyuI8BUrzhu9R8HNsNPnZyFtuUSPS9zVJTeXUZaU+
Znj1PLUmTpOiMYP70kOsvyJ7dQeJl3fRWNJ9bxTFXUJK5aRNFey6Xo+eQrR9dlKmpMepwrk5Jw11
aRcaj0Ux4qGehuTimb5V1lv9mmgNznB2E3bL4hGba70c04a1z0rne9C20uhZzj3kFdsqeYzV6rvX
k+He3kFrFw1/5f+OOZ/XdxXh2Z2kHUG+n40if4ORewpz8UmavA3t3tXLdSaLweXCwvHqaIDC7To6
+f5Fxwz2weNaPUm9xdu0KL2nQMFwvWx5Do38qWM3Q3ZUpK55wBVqa8KrhYr3v2SRnQ3QVUNDAA1T
xiJydHyzInl8rErxRR6U19QuflbeeJwl0DKPK+j2cs9/+dU2RiWJPJRS0//vrr5b7r43UMfxR8wi
xskGaWyoj3Jv2L8LSw/+bsfa3gCBrB7YGdY5l+uQ0lhEpFmq3yikjIJTY+jOYI2nJvQxQen3qeL/
9BPpn9L3jtUQ/YecDQVjEAMKBMErmKcQ9GRUQdLdhbTFujT82vkYN6ZyUmylLysrOuM/oGUQGeBP
fNzAfh+m3ZhAM9A7WzsFo2juDD/EDhA5uXujDNWNFV07pO/HWxyYvqm0OhqFfibD/wnF4KHRMIMM
Cll1x6H+XfXVRuhbO6HgqinGg7kTRN+PEzSkdoj81FTPOXRFtI+1N3R8CmdEpOL23lwfaNabpGtB
LrgYKDA60ES1ZJ3jcfpRRP5LP4i3WI63MDTXGkm8j2gn/u9AixPYp7qS20linaNASZKjPJblxY5x
p7JKRf6BHTiYYMnuf2ONWD8gfV8/hIFiPiGEKRy4ksmxION+JhkddkMHCFFLE+0elehxo5Wz9nKk
+TF3O6k40vr8uPJxm7RKPZMZ0dp7HK38C3WuH2XR/F1Az6wq461qqg1E01p6BKhzNhUDQ3zVCCz1
yst5locX8O0vgB8eSlKw/xCDuGDAhNENlK/eFgNk8qrI1fBStv7nymjugTKdgsT+4lvG19tbai3c
0e+gf0oPic27yE/KsuolTKmii9ZL9otnYFSXZnRsi1Hx9onueRthZ+1wcnsiSAhJccYRffxiKcae
PVrh1PD970Ni72AgOIH47qnT3t8iQ67OjaiqygB+51j3cSwL15URQ0kceBoSBvihPF0rZxit+9RM
vtxex7WdiCoImkvzK+2qJRZ36A81yehfPAGAA4d7R+/q+9icPjFbd8rGg9GaG7nl2lZk60PDhDxP
CWfx7G4JBsXY0w/JtfpeC7A5nVkWt+e1MYY5M0HfX4elnffGgIzLVMw+ZwlJqyc2Avbad2JDUDlQ
FUBLy7BWNG0rPEQ5L52H6bun2tnDgIRIqjT1KcZWfuPhthZFYXMjKgFjao4cH6eE59xYc7f7F0Fx
8FAV4TjnmvqdwafbWL3VoSBRgLEFjUhq9XGoZqqx4BjM+KJIGExa9axLXfxtx9Hb7a+0dqpoZ+O/
QQdOuWrC9R5gKABX8Svmz/tBNy+yR/lOqNGhqhSAH+W08Uhc2+58L2485kU3aTExaWyAmkRDcEmy
6rMyQQnxu+xLL6pXLx5dJbTug7Tdsp5bnSVIPRTr6QOL5X7PkZSeZnrn2cxR/w/1AqUXs1ae0YNs
jn0qpkulhFtaiWub0yZa8QoHRXwt6VkqWcNtqZ+R+XgKMu0t0MSpNLO93Mmfb3/F66EoP8vGH7gM
dpPLRbXQSY0CvaLO6gf3ppDOUTL+1aUynSjP3Ej3r3fmx7HmD/zuXA89mOZUC/xLqkaIoqJl86oY
RgecXd/iKP6Jsx9TasYCxUmhnhov7Y6PY2Vy71OwwdxUNRugd1+6oIUVDlE89ndc0M5YWIe06M8w
8AvqOuZbrcivdWshAzCXye9mV48KTVNNf5ywxh3D1k1we6XrBrqB/jmIB6Rl5fo3kQkIsyPCb0l4
L+sXJbNhY2EoTv7n4/AmFc8GZlU0yfhbDetTEn2uZHWfU92//SWvoyYz1kgTSEko6i7RQoqkR5le
Y/BkJNqR59bJluRvt4dYeSUxBi1VmA+qxjUwf+F3X7DARngMicpnKyk544B5LHVXRmq+j8ZMfWuR
bj9L3dR+z+14+AFFtbpry6r8cvtnXJ9JxJThnbJxwQ0BAvj4K7iDkixllmcZ4QGEndB0wvA82E9e
4++sfqKDJ2jG3B507aDwNuOlTU0Mhe5FBB/KGn2lUnRnOqnfhDUeu867yJV2BLDxr32tjDk5QjGS
OSI/uLyc8lQD+KRDLwTFk9q/OnFIs3ZvNoeJxl+bfZ2lJm7PTpvv1OV5gchI8Y3SMuo/izXVu1lp
kI7PmQK38RxKdN6SWhb0YEd5BHAbyjGGaxXCg1IxOnkpJtem8WeoL5je0XIa7K5tHQODPzcvfIn/
OxT6XtHj7FnN+gFvWUGn2EIzvq/Nfh8jFPW7btEXq728/nv2q3qULFkZIDHb/V+WkMJjocTgdHXo
S6HfKG9dD8gyUrl1nGr8C7hY+I+Iwu4CkS79u5QqQRe288+enGvfby/OWtwyqf8TiWcZu+Xn0IZE
sQE9dRcAQPewIk9VkP+Kq/Sf/zCMgeSUTswCWb8IWfGoxaxXDNZ9KH4PRfQjFN2+ysaNjbwyG/xe
YMlCkZ3dsxbDjIkay4EPVyyOo3tvyg+FF9wh0baRKK4MQ6EaTgSU6plTvUgUpZimoVdZ03kuY8N/
K/HKGfBbqfBN/fcz4oKWuaUBerBJFjNCowHmrd+Glzyg5VIPmu0UY/BqmOkGx2wt/jESJVVyHsZb
qgokii9zDWfxJctH+tOV8tDVdL6NSYffaLh17x8VNflJBxlbQjk//OsNAtxp1rUAb4uY7iIEcW1F
cjmZOm4gw2epCO6UQv5ZArW4Pcwfl9BFLGAcBJZ43/JiWgoawIW0fbAH2aVP0CpR+pIS+WBlTzrs
eFeqVf95CEMU3wxgoXEtlMNEQ/3QSg2kpnTo0VwZo12XCMWVfO5Mwwvjk64FeBTH1bSRU6zcevxW
3qx0vZHXX3YOqkjSm7afsgvhMnasuHgJrXDj+b1y39Aoxt11Tj6vVRcyy24nSTLNS1AIR+urg2rn
J1hmAAJNupxbNkmrU5rRsHhvGJbQFp95ikWT5F3aXFQ7cuZ0xCo3UoW1fQxblC4SJHkAlUsJVw38
f60PHs09u3uN4/YYEkMzWz6q9reR+gKrDRgKDy813djD16VHoIEzdoGbG6rmsm7VgZzubF+NLyG6
ah0oBwcMVGQ6Ue2wVfBu3NjL89lf7mUeq1SXAfrC2VwsZtDl2WiHiXIp0la+GxQgOpFSBaC8OgBo
nTnSzrIkezda3XRMhBY9Cj/hpgpDZSNKre2i979k/uzvcqfK0JrQ0/ANkvPxKzJVKXQK23cqK3kp
Y59bMtn4yisRWJ9t/uZri+VepkmBlxjlRLMSnqU87aEcWg8AhOJnpELERshYSY4+DDX/+bu5UZrQ
s1Svwkug69XOLNLnbMRUsDIP9daDZXUZKXbQ70Hm6ErBXRRt1PsiTV5Nufw1K8vi+PbmS/4dbI7f
NKG2OgMb4+mLYoQaoROGK4lyoTSJgOxwP2oE+d6e5TKGnYiqjWba+lLSzCK+K9fSEpFeRqLy2uLi
94lrm0eIJDR6PRce2sb+WIsz2DKiSAD+k0fDPPN3H60PzbGOR7W+gKsSOy8EmcUm3bgyV6czg8Wp
euAitIRplH4Ep7XFHkkyKxTV2uClkQbPGTAkSTz1dPu0r82Iaji5M9KOaFTPJ+LdjChsamlrSQSX
uGxPXScXp9HW6o2DvNK1IoF6N8xit0c1rP7OwIGsHvxdmd6XyMxNDWCnpH6sm95pLRB2be+W9t+G
vdVNvq6CMDjryPR4hFzV403obSKs4uQSK6V16mtr2iuDldynQsp/mFpYuJFmmD8isEYbq7v2KUkc
NZSjuQdJ7T6url5qfRfYEU5X/fAkfP9Nz7qHsZAfggmH8dtfcnUs+IQmHWVuqWUuDFmtDUMdQEBf
5+2rpeThgVuj/8K7SdoFQ7Y13uqNqOMijNwijeyrkouvtYZfhUpBz/qu632Xf/nlsxWeUQaM7dcJ
akFjbWGw1iL0XBFESoC7kFf7xxUNcUkPkhBsUZiIaWclGpjMYNY23lKPXl1OTGzR/pnJIcvyY1mr
6hhafnoJ6uwhLVRoGiXavfpDs8nYXdufoA7+yOfC01gW22OQPm3g9/l5bHdWdKyKHbc71Y9G2/lb
mg+rY/GCoZlIw+KqCVabGS8pL1UuSPjdJaWK3kP7lhq+25jpfTEFT4q/1Q5bW0nj3ZDzn78LMWPd
tqUqD8mlUHgim6KwXYm+fxRVn6EsbtwFa/uDCgBvQqT94Fsv4lk4AJo0wnJ2jxpwU2/u0X14rbX6
3x9sShrEaAKKySNq8X7ypUCp7bbQedW0902TPlstoHg5OeSAcG+f65UIjZT07GI3t5pgZnxcvlSV
ii5Xg3Jm+pbuSGfGQbl7o1C8cmWjDTujXOiowwJdLJvtm1nDrY2IuWdW91Ls20febZprW5HnqE1s
35lY+Gy8d1fIBlyhOlw9IJUoZS9foVVp2lIaWvXFUmv9DQTb+CBNibXTaw+6TayQFyEN8VJ2qn5A
CVTs1TD0oCKUlStaQ3nRJ+Ht06LoNzrFa6uBshJERTwiadgsMmBh9mpiBwFW2WaJCMb46qnya2vo
qROL6IyY7uHff2IAisRsKE30SRdBrVJSXEgKO7/Yff9bC/p9XdVfbw+xNqV3Q9iLnKxRByW2hza/
REmTuWhBZG5XNj5A56zYjXKZvQ4kIxuZzOqg3L1Q19hbV902O+lbZQiS5mKIFpiy96BJJSLAd55Z
QDr3No6+unL2Z+ACR5+7FgroYhPzUBA21rXNRWviL773LOz4Oesm1DzLX3aWPqJpi9zgoRkgM+Rj
NP/j1NYIWMepvYPT7g7VD09K7qYi0x01ytwqTr8DjXxphvyvqMtOTYAagPeo6t196DENHeH1lDWk
ripq63n01ZdMMVHrxdTdRPB+IxKs9Pu53We7v1nexr7qJBZpV+n4GeYXWsTiQY0i4Wqe0ezoVI1H
YAfDnVf1X3Abkfe1pE9QJAb8kpJROG1dT47cjqYbFyOaZBpetqrdKA+JGfyHK5p3OM8MKmUgLpeS
OI1Eg8KIUvWSBpW0M4I23EHxqHaRT5Jwe1f/uYUXb1UKS5xV6qogvZa9GF+ZW+FQEC5ahP6fnj0P
belmzbi34DwQjyk4jbkTgV1TpRiee3I/mc1TqEb72z9kPqHL30FFBUwWpblrcrMViiCAQp1dKBC5
ZRacFAuaiVykvatYYUx+G7i24d+Nm/6PK2cMZCbqviRDcDyXRXYrGHxkMKLqYnWfjap68oLf+ji5
A3LLY/n79izXx6IUQZcSsOSyT9rSG+9qHNUvntToO053BYDXbI9einBLpedip3XhZj1ipc6ObTyw
JCwuMcVa1iNyafJ1syqaSx928qHUUPoRExUQ0T7OqtXQXLNny/BrJ2k/S8NG3Fz5sLROGVVB3pJO
zuIqMKtR6SuY3pemN+6nXLh5ln2DknBfmsEu1MS3sJWBY6v+xoZaWWpSzxm3TDWR4ukilnWDVVYp
V+AlCvzmS5OOw6EqPQnxn8yPMBLRcmfwtS3F6JVUDQcfXBx4scicq/lXvUvVujwFLD9M3pkOf3Wn
BtLg/LGN8KqBly4Nro2Lb3U8HtMzpIAC1xL6EYykqe0IQzky7pqx2+vSU22/iKbaWM15tRbHk5os
zz/U9igSLNObCqFhFCtmeITMJzTqSf/aVKP4NqSFvxWkV8pnaI9xPGh/Uz5b3kI5AGUzz9P4lZdo
qbu2EmR7lIzsJ7SkJUiFZrjPm6KJna6bpk9BnKc7kVX18yAmewsWsvbuJnHkQ5rgB2nGL7aRonZm
ZEcCgnuJHaI9xRTZx7p3qtJS97KWTY4vYtVRSyxkDK/2n+Qmydyx9LcqtGtfANLMrEk764wts9iy
nhqvayBTI737YpXpiX7Oyc/tt38doWbiCZoncyflymUTYwHVJBRk50L1na6OLlX+ohpPZm/Bo9xK
OHRlZVshvok0GM1jnt6L4JC2qIVAA0suZgVZAy3ozFWqGGzWAE/3J4lR5MYxnjO9qoenngD5hjJD
Aa9LGI7VSpPbicD4atS5iph6ZyU4iNfeoVLMsHSiJBYnoZbNLu+mZpfkZotvDWRNWGJlcjAwhfkd
dL36MBRV6g7kjw8mwPUawa44/1nXfYgiTGKnx84XZeW0ZcqN0OuhK42e7mAM2v5leBD4tCRGfqAf
4KOO+MS5BiDC+zgz8BAfRXekbjKQKaJ74zd96sg2Boul7hsnbBC9HW6Y5pHaUnPfhIZ1vP0t17YM
mwVtEpBayPAuHj5lXAayivbtRahVgfoQzi2dJg2QWPWtOs36UFzgNOln4vMi7nnDUCa2KKZzmmk/
Ig+bVBOvhaiwf92e0srr2+YKoxIEixwe+WIczUJNs0yUgNQo118mO3PsKX+mqQEz1k+KZ1Fr8WHq
ymzjQbMWZ9+PO/+ud3HdMqUumFTdvygJjJ85Eh5iXcGXw6p/1pnIN77c6jRNzh9NcTwA7UXUQdpS
z6o+kM6jV3yZcu/U6M1zXhzI20eHgth3/E73t1d29QtSp4HEoUFqWK5soChUFzJaBVGhlPvaC6E9
K5LpgJfv/0uEB4E/y9hTZLhKuSBpQmXqS/lSNBmi7MINAiQ80sk4J+l48LXs5Cfyi53WJ0X3jriy
b012rd0I8B3w/4xF1zCRWHxPXIxCu6jsczOo9FD1ZnzJtVQg0VSMP/UOhY9O0sfnQMkMZ4pS+x+l
11H24T2zr0SJZtqYaZdQksI3EAPSUalFehI+PCy3VJNmY/NpK1FyztCR2KVIeKWh7Q0hxiKVap4n
aUjvfK+oH4wmru9ub4D56Hy84mkwz+ivPwY0wE0+LkmmJqpcel11acYRIlmUH/rce7ApX0xD+rjZ
D7zOCz8ON0/63Yky21SqjU5Ul8SupYeob07hqB29CJCxMYzfA8t8lPP8mzECY7090ZW66zw0ZlMg
WGd9l0W1AD68FUyRr1xyPXUNdLP7+JeayK5oYOH9imCfGv5ss/OvPyOSxew4MLooxlIq+jjjQUZo
QE5sIAMt7FUv7FXXLjZVu68jFaOAPUOlBONKsJgfR9H9pjYKKG2XRGT7ojaf5F46iti4lwJjY8es
DkWP06A6AWZomRuR3Fpl63UIbbSWQB5Nd4Uf5PRXo6+FHG4Mdh2fSAmBCs22F3BjlzeMjx1FL+dd
RARWXjxhPjSouQoZjuDt3XF92BgHGCsXJ7WkKyXPUKmUKAojbIOjAte9yXgQ6D7cHmNt75NkCYIf
idyVpQJMpzQr1Iq9H2ff+yb9naWiPmtigBGWtm4u+72rqcERn5/bA6+ks3OfitL/H9ojYK+PuyPm
csVrIzfPlix9yureHWLPnQIvckRffi3rLt/jd3g3hMZBK5uviuptHIKVKIMA1lxooGJJcWNx9iZT
8Yi2inXOhtJtm5+GjA7CcECtLsH16vZsV5b5/VjLkh0dqhj7odQ455n+UHsTvhVVh6SC6vbZcD/I
9ktula+FtWVCunIuGJcqMLRZtuyyxWJ3Kdh5ue8voRxZqLN0z9PQn5Cp/ns0t8qSK9uVGxvEDHsJ
ObUlqiLOYj8Mc0De7VCCUAur7CVqsO2+vZJrIRO+Pn7aPIMQu7sqIWjwN0YNtUHembPJKf9KhkNe
vSJt7qYzG0aK3UzZkjBb+YJUDeaSJP0q2juLkCmlmiSUCqI06iz6FGlzU0epf1OHxKPvxH+Eib1R
clXWVnQG8RJlwFtRKPx4RBLfkutstj2wcFM5eWFE0XqaEhchUe3ZU+t6By6x3wktTT8LMYpThwv1
jl40CpFBEjzG+GnwI+MO8cw8uNPb3Dh1XNd7WOz+XlEGYyeNkbofkJqPVTlx+35MnaSzttQYVyLm
3PIgas740SuYUpiMfSKPaXoxQvHcCtMdxhfeQF9ub42VzQ4blnVCCV7GnmIRUSRVSj1t6DjQ3EuP
IHmLXTWoMTephK5lM8SH2+OtCF4roHlmgTQqudcWv0bYNYWi1PJ51IR00VDKorWhqM/oraYHPVKS
VyuysG5IjOyTwEY0FXr2UMnhD18z+rs6oLYZTkH6lk658mgbyhZSeGVBdLTIQIhBY+efi/0TIUmi
ZFnSnisj+tso7ZNoq19VWhxsu37dWIuVT0yDdWZ3zOYLmEJ93Kt9HpYSLXlxbvv+OVXrV73uf+fW
eIhqPXRqQ/nR980+qZOzLaRvfem/1KZ8ZxfjC+32H32OUMrGL1IYcZFF8osoKZNWEy6WibVcYr9b
9kN6Rt/xzvSTb3YRvg3e9GjY/as6UD2ZBbmBMbcojGT1cIonf4Nm86die/UbMIWb+2IUk5ctzKGN
oEskQoZqOnoXnhP1P0RiY6+VdXvAm2nadyW1siyo4k+tjvWuLWfaofRH67nX7XCnTLNthVJIX00E
xT8zzf4+NOPGTYPBiJw4oew/Zrb0ZTKH7qD0qfpS5Xp2P+bK4DadbAw4d47DFxFm+sGDXUedBi3k
aCyaXRd65ddYa3BJ7300jQa5vBS8BA/mmIzHYqjjXZDk9qFoJ6pMXS61F6uXcUHpJtSP6kkOj1U/
xkB0uoy+nhhPvRTYD8Wk5p+HRA13khK9jVNsP46B17tyJG25na3uORy80RynOmcsBc5oIE4VqO38
HHjGAxLkuFrIfY6EUZy6tzfT+kgA+oka4IWWpWNYDRi0+J16tqX++xR1v9r/x9l57UZubd36iQgw
h1umilIpS60botWBOWc+/fmWvC9stdDCfwDbZUlVRXKFuWYYc4wx2hn5VyyPnx1uJC5Ibwp6ExqY
PrjMWmPZsdpDrDohEbfQDV0b9ZFdVbm9rLxJSvSkOMWhdNJzttVfHDef+EP/ubbYT/8KgwylMWZJ
x5qRwzjiBh7rLHuMCzkw+yZozfjp70P6ByMQVSVgV6SnccLI1XzUajHMslVQEdKvq7i6GkRRBRnY
1YmPa35vxDAPxHGAM+oXQ3zsKVa44wLPu6kkvq4Ue+Stv/As9I/HLTdkyXhKdJnCbcsB8t8BmM20
kuCz6a7Kcj5XeXOst+l3b/RBVWd7EJOBXukP+jxAeRVPMe0tquKlQP7hRAMVlMOmpkVR7QuEHOIf
Lzo6Sd+zxn4apfyeQt5PQPtXihPtylaGPbTUwH4SeA3AmH1LgjBmsbXWjyb6fjs5DdEi/54bFu2a
BuTNi0dSJHZ7aLXqJvK6FBqzlRZOqKqTxyyzJq9vlO9ZYX3FE/v5oJjkREET4LF/WJEDqsuLWQ7L
lT6+ReXdln6FPfrkAjQEUi9ndwmlpQ8XmNREq0v61a+2dOqCuNWsoJ30rxo3/8AnCHQ89BHgtkix
CLGC/05utdXOFNtJBMmTdqA5Gp51yV3HFLtHQ8eW73DhgHT7pv0dMWtXKffZcMntr2I69WM+TdwH
bhCsTSrLHsTJf+9jGujQgEfHuRSaCV3gdT7eWmhZVXiUXLNrYIhf92puB9Yyn8c+2Xdm49JxhcQq
2qy8m/scox+0xoAxTfPQef/9NlWP/KGpx32qfHG0/yE9+n7LOPSiy5EU7kePO4VEPh4l2bmsJKOX
A7e5TpunQ3fHJftsvrZLyyvIWnCbY9eGvMyFvRMvI1rBP6YWqXrJ0/QvWtE1sTT+fbq+3xiTiqHE
Lef+PowlMId1rLvo0pMaqnJ5p2Wx0KvlghkztxBOVavirdSJpkGGyMh5HQQGJn7a6Hrt19IrOtpZ
qjCbozBtH2hmq5zeS6C6jCFe48ecNYDIcldBd/KzkaRgqr8qMn00u+8PoUPWgPUBN/bRTdGbZRiG
Sokuihmf0s1RvI4WlQOUybEPokZzlegLr+RjKPPximJH/tvQa6bWtuYcXUzAG+4ab6GadD78gG5U
9ZeisHb5tnzP4+rwd4v/6XWBLosOe7zEj1uQdPXcJP0UXZYhOZnSds5bA7joAL9M1T4Y07qHF+5S
mdlXDWUf/WDxwAIgBzk6WVacpP8+sDIVSVw3FVSrBpACO6XWbcYm0UFjFzvdSNbg7w/66Y4RaCgI
0ilB/IHzKlbbggJsli4lXcFosNLFxJP/iozmqdEdCBmLbfgBECA6DlE17uGCp1hDPEQS2qSdJtbC
Xq/Ne30o5rfeGumDiscpTBPFvC5KKJsM2CO/SGp9ZiDxUhHKAAHKMH2s31Z6odC/mEgXPWpf1XF7
m5b2vKzRQSyKif1M9/HPolb9iS2ebFYwoipU9pOfJckXG/uPI0FopNJqAnBaBkT1McG2mHbfy7Mc
XfQ5+0Z/wllKtC9it8+miLQaeTViFkTpPsbz2bysMx010SVPzDmoU1Xxh9WefQXw9K6nk8ZHwJTu
MDJ9ninlSojmJwW3SnF+2Gjp7EcnNlwSNoabWnQodupE+Dyq2V5dIsIKCF0DNd70L1bWJyv5/fDg
1kGX0hz535XcD1NVb5odsZIld+4UVwc3xKGQ6MUXqelPzBKoKxKP6vsi/kjZPqY1jDz9xhwY2g6+
pxAiw9+9WuwdWwql8UsNxE9sOddjt4BYwM3+mOtYii4ql5X5kJvOX0rLN+PoO5m752qowy1Cn87J
gq2a7o3aPrap+sXy/8Q2kZmgxC8WHI1HHwZ20WolqeVRuuAE3VaRdNUqtpsi0YXuWP2qjObjbJR+
Zn6lBvbZdd9Zw0A0QAP2MURvqL82Jdp0l7SznBvdLo3AiPRsp1q9dm4IR/wWhi96xNO5wNeDi+vv
pko814cjFM8LW0W+jj6Zj0hzOe8qio0ObhEtSLk+vy7SQrheZF/st8+WExMr/gHJ+wdWOStHVYnz
Mb6ZjOGgDvYzyttXnTQ8SKP5a5i/6sj59HKkdiGdA0n1R2So2UMnZzjp5Fud+6aa8LfNG7u0D5Pk
/NLU5gu44ntq6eMwcsDQHQvUhmy6mOZ/Halju6lKp67035pUA+raCOtqiMtDOtPya82dvE8URXCe
FjBvL0ux79HoE6JV8SmZKvNILX4k7Jj0EOxl8T1uSbtn0B1eWr2p9k1lVk/5AO9gP2/qATZdQTc9
64jjzEVAT/rsR/YGh6OUKoFc2IZnxIsJkH6x/UKrGndBpOe09iblwRxU+rC16jGuEQgBglye6tEq
vGSO8UkzchOOvo0/0NaiIW3R9SiQ0atxZaWwL1ta1oeK1foaE7mdG2O0PBkW2SOhUBEWGYeDJNIG
o907bqwP667rzcg18WqCbY40lI5G9FCGTd3Njd4+wMy7PtdWtp5GicRGqUgQ5fY0XGtVC4NRbtSe
4eTNoVx06KprDG66NJJfFeoYNPoE60VRViFDl4UOLMQ//741PllDEENg/yjQCYaID1XIXKXiUjRq
fwNW09VQCR7gQa/UfaWP/sQh/verfXLmQVkiMssWwBqKcv9dQa2U6HNuadKlry3lKoWV+FCMS3H4
+1U+2e5sQKF2QpGMlu4PV6EcU1pNA1x3sk0j6PJUOWupXvuJKf9foaM4XSDqqawAq4fx7GMqo6OC
n1Rxn9z0ZnzsuoEugcTcjZP1RXvqJxb0P9f5kLZwxjiRjZHFW7Ng8eXhcMLBV7dn2HtFUKcRcf99
ED8J4ejqZkmIQA5RsQ8Lgzbr0c47uJsSvb3ZxqqEN6ffIx/wUnb6nZO35yn+Cobx6cQJwDBwCMFt
8+F8kovSnFWrm24Ko22DAUf6mCnlfJSz4qvq+x9A3PeZo2cdoCZX+sM1srRiVGyK3ZdxQmyrHXZJ
S7/fNMpBT5YGouEgLbf7eTAOujxfRF8QYev98qXY6Kfj/K/7EM7Qv4xqm7QRPOYYcYhlo/PQFamH
opa2g1phFDJktYemt3JVWpb04+8z/ImbBVeqqCLgHfLvh9EeCyXvnGS2L40Rtbt6cuRgntLBaxMJ
i0cz9BctG/8Uxz4cIDbMgBAD0umiEAr+91lBe5WpOsj2pcMBOVhKifbzAjDUkCv5XJfG8Jhk+erb
uTNdm2abwaWv2IgYjFYwJ5HiGWu1eVk3jH4VK5bHrjBPyCAqV6q9ot4GdiKQwd3utGiZPCQwp9+J
gL0rQhFuK7TscVLysXQhlc8egS+VrkmncuC0EOdLRufsYC3fTV2CHiAANV3vwNSnqaekeqgWa+5b
hRzvh0JrPFSS0V1OtsFdZZXaMUg5t8g2ep27CSrLoV9JDGz2OVqlfKfac3qo8qk8N3Faea0+boe6
j6B0zg24DAZCA646asd00Itb0LvxOe0luvLnUeKEgfwoNMtZC9rSmYNEzrdgJpP1FA9OtEe6IvFG
WsmP07qkgTRH1Qn5nvFUDnl50yRmd4xGvXS7Ps5O5NbSmyatC7+SAFLWcy8h1Tv3V3qkd4FuJvi9
W/rQOiDxZFnSwqK08j1d5EqQjFsV6uh7uZsGXFAb082vrbg9xwNAzCKWAfUUkIJnhVz4dbRFCO2t
AAeXbAqVWK3C1J4LH4JpzUcYdbxS7Fjaj4qWAARUpt3GVIZ6tPa7dqTffpYk+5APMNLLbW776Tig
cVAbjjtmjXSOYVMJ19Jsw3y2LbesUctLyyzyYrgCD1q0bbsSXbSdqQkJOk3OJm9tCs1LtcZ0szhf
vggiPrPNwHdoHAA59qfXh7etQg+VWZe5a/f6Ot9YU26480CzSgsVPFTHz7C7fUtN8nF/38Gf2UtI
y1kgXBzCtg8Hndr3llC0sS9LPx6TKHletPm+nov+/1gYELaSkhf4CZDlmOYPliJv0qQ31ty+JI6L
ICPNfslXjGZ/0Py+XwPAM1YDH/2PxohuG2aWtWldyGuNA7GJGWfNySAn52bAwKC5m1MvVSKcrE5n
s7Pnroe6km8LPZf3TmmNT2Y0Om+wh68vre5MwmRsI6DQbnlGJSbBrFj1kUZv67qirBTQBIcoZGsm
ZEgrybqetEk+1E3THKq4RiN+ovv179P1mcE1//WI4ij4l6k3ozrmbuz5piXRGMQ0FnrT2CGYIjWz
Twv1FxmwP8AnYkhF1yluHUAzdMn+e73OGPQhpvEQ7d800PTuqcu33djHIVe9lI0a0lS1s9PhHjHO
Qw5Xwt8f97PVKfiagcMKmjpH7Jt/Pa41xzHZk8j6P6yaT7xX2itkhecUpFUfaTSmGJkLPWvNS6rK
Nwt60K46zQ+2XT5LsadPivz/seHA/tNbQb2ZrpkPB5hOEcdeAOrc1FOigMOYpH2EeIGL+cq+2HMi
aGSAPh6XROtkpNFvokfsw9WAKNApg6jizURV+UB6GGkRaRmVH9I4UzpaLDm9HtumoLBiojTUN8NP
p4maI/JS0pVcj4230Tt5Liyw0Rxpw0O+muqpTXuEDDdJvdbb9McUZ891pExXDnvc7fTVudLkaqo8
1DzdaTAHV8mXdpdnJAmWoVx8OgEaV+lHJUVDqFteot6STqOudAE1WdWP6Xo03DrWf9mtzkdKp/So
t6VBK9XKi9wMGdUfoC+PWZLmZ9R3tX2tr91ukqV5XyTOGiSLKh8n3uhq1moGdAW3RHUZh1trUzBC
cfXa0tLhUc7X4ow+3LSLVAWKfrBdhxFKyR1tp6VftWkUVJbUeI2ZxGFStWvlghWNcQ7IbnNSqNdx
k2l3S/9elYNJOAQRngLhM76vQ9ceLA76Mx1r5a4wuuwCz1vq1XUR+RsJ+CCn7hukbZm5SQx5fpxy
SMotvUT5lA1enMnycdWG+SJtm09OP4B1QTuvpJl8LYGPpFnR19CctDsMTn6q5tEI7DnK7srVKX3O
rQ41mQlYS6ymt3Gs6Uerb5ULeFTj2M0Gkdo6NsG0Rc3OJPB3hyUtfKOzTTcBynyVynN5zqJWceNK
6/woztNwi/v1DmxhdgDBsnLD7bLvS9UkXI/tIJ5Xx3e01nKrdt72kbmVnmEjWlQtVf1gZtO6G43K
CLQ1zgsy9jCb+Zseld/7TPJyTCg8e143+KitNuNe6vJJOShNod9n2bCEUjG+KGqifkMCafGqaXVc
J2k1r996O8yyclo8nKfkUDaEjm6dri+jZEZIkaRyu4sq9LUj2Sje2tpYE5j9IvxzusLxBrb1MhbN
GkZqN6Peps9hoqwE1Js+o6KZjPYr2S790ai0ZgtSjv7pXu4z8pq5ojORbK5AMxYZ6PUYaXdFQ5vd
YMzNyaT1zwNTKXuRE/dMg96GVZYw2llp7puJddkXup65kF0rz125gRqXYRKMW8mihFtl2Uvp5DrE
eLGeuHqVyods3tLdkqmSF/VOv4umZq19vV/rh6oEkOUqbV/6JR2gbu9Ei0uGoDjWHTsX+r3et2Cs
OXVZu6tMJHoZhWhOz7AUu9m0uA1U6UtbkzwAGzYYXklDPtpjoY7QFoWiyt4lawPH/S1FN1BkFNeP
lYQ3ndoospE3UQ6cuSY8r8BE8vyNwJKfl/WnvkBvKEpE+hq2FU5gO/tTlAXS+l2U71BGEjai3VvM
5wQdVCFPnj2EWd66mi7adfdA8QblZ5m8xNKPYiTpV4UEqxWIXyu9qc3HMn9TMhS5cB/lTXcnqQ5H
5bE0H42l2SvTN721PKWRg4aKoemsWNw3hImORZ9dOSUlMPvHgn5xDDkf1+WeqBOqee056aOq31LC
29CQJvfobslbNFKKXk380qfB+T7nmetgs0tKESQh/UGD565UQCZn7qh81yZEkujw0h3E5QuvNlDv
okIWnQDR125HD1axDh4SV17U5EGVSXiwMNrHMYyvcKSendQKefw0W/GXChJEywkP0V1t5nkp3ahe
fZoyXRSBg60t+Dc07CzII+oOkSadqzQ6qeZxVntP4eNmjGhRPoYQClXIU5fXkZrtWAR7YwYaj8Lf
vaIM8k2cpVdNXNWubKxjEA226kZYStcBo+xG48zqiy/lxnZUJd2lJ0fG8enOU95ct5py1dMPU0TO
T9lC8Uak8Nqlb1wa3q9RI4EHsmj2qTpecSrtax5YkbpH5JODZFaei6U4p2oPw9Ps3OVKHeTwSjcO
SP8Za93aRjgpxj0g7YrGreRamrSzwcw6UerJ2ngWTdZmk8On3p+c1fohRWWoEP2ShaQJowrEEGqW
9GDNpa9q8Q+t0XdyttK0ILmEiYhDD/GlG+KzvVXXcoslVNKbiltg375GuXmfmwokg1mwKj3tmGq4
tqHD3RraWw4NRzTlj/SkuobdBSMIdcs5QOPJgpKT+iwK5wYN7kCD+Q1ziogb4RND1MpUoaFqNJ/p
ACzbOz4mN3GQaajpzUnI6iM9Myo/KbBqZeIabY0JNT3BO4o++XpZjSVAlcKnY3MPKbuLuQExyCaQ
swP1eWOZr0EluN1WBEk+hHVNZjVefcU4dKnpDaCZ56LcDemE1IgSVuZP6tA9i0tL4l21WswlGhbZ
AJPK6sXTo6JcsRU78hjlgLDZrB0NoP9bX4YlSADuSixWqu1ijWb5G/ArVyx9WK1da7J3YwM8apSN
F2F4tNm8MBoL9WVxbZDbj4q00xFAX8AaWPSUOJBoWhTMk2YOqNWPUuwLGAIS9a+SMXtW33uYmUpb
fL4npw0NS6Gp35xp9dnGWTXs6fWj1+hWnn/lcuclfRfwfPqk+2t2ZW+32DUGicEY7HEPTEgIwG+e
zax2Oba6UCqvjGwEZIkQOQ3FW3xBjlDMVdDD+ypsRolkUJ+dZGJrQd9qdASnnfbNaGV4opER4W0T
Gl7tlnhxH7tSwpIxztrws7GjPUtBNoadWWUTrGbRE4bVxqAMAvqpTG7e1qLmXmXON6uZxWrq6b+l
BLzvC46WRA27dHYEvraWdL8qh0OPu8GPVIB+SqNy7JkpvfnFnHFohqqNkyENqp9pNCTxLVvRIK+9
hmtWEwLbSkQFvQmFnZSl1Tlz6YbvRd/xFrsrGSrQquFWlvsgm6IdfP8nokloFNQgdoydWHpiNUjr
m3jolINtHY27bbPOVlTv2C7oOBUujxgt8n4b4r2T2B6zI/HCiTEOfcB6H8G8lugS9/MbopJHA55Q
SnbUll6I67wKqXlyDu87plIr34g2+gNHMEepAIVUnfROyjvHEA7mbxENkJxlbiQdSiNOxbYRAAzx
Ylr3ESh27iYDw8DIDlL82NXmTps2F/iIbkRuxy0gZk/LXxg1iVhToLa9BWVOh2wBII1GxvE0H3v7
uekzt4goNK4/6+Gw6JrLKUN8y3rawZzsbtHZkioPOZg90zNbKxypFCWiEz+Jp8V4A1vhhwwmYMt+
6NiRSWbc8hVd+uSst7p8MvPXfD4hP4emwUnKcHqE/EyT+SLX2DhULMb6/ewBmCXWGGcPb15iAkRb
IEscrfZlVdkjHCnGu54fCvZMay63azFexGmzsc7FqHAfjBH3xJDy/ytPzAfeh6SqXpLNF7YPIlZx
mrIDKZGHmnEoFpgmBgG2WSyJPX/Z4pc53c1OjCjhrdX+pKbp6tszkX+jZGK6pOplUr5zkw4qk2Ws
+7Z6TOvl/Vzk6hVWtlCe5CTdd47q875NivbrJrsNSt/CftY53R75L+GfIJBpsXXspUeh+zkunm3t
Im4M8Rs34znFeizj1BcjK8lVMFE84W5rdE3hb8qVJwzRAVHK0ARIpxnzQVJBd+ShxaZmIzhSFk6p
0Jbcl9WTMIn8stBtt5t+NQnMLMABUA4IJi3ai/VYPfFfkQJ08l9o4rAElYOEzL34u7AT9Sq7VKOx
67GxeisuxrCYL9t2otx/pWbmLT5AYuHK76Usdq3cuONe4ly+Ipi75nnzdAsl2XgY43q/Jg2w9QFf
bG8ZFSyjfP+K7lBZaVc1PhqfrDP6pnIqTbnX4ngw9hs5Ec4jzd5H8j1NW96SPgj/Tyu6b0adHGEJ
SaSw0kIHrg8Nf91S4qDYEt5+puY8rf1FmldkNvfiUTQAwsJcYANYG3Tsh4Coz0Pd7OpR+w7yCFTQ
o9h3+TWbi/8RJqJv7TvhKynMamKgZKktJ5aE2Md16zuljKnLxTKcmDNxHKaq6kUFPGarduvAmOPU
wD35+5bnNxyhiT78YwhMx0/yn1H+y5SEmef5saiwcA/mGyj3IJKsgMpaKA46zAxjzCIWvi5ftci/
9Fa72NVpi4yHegNYue6Fn8CDvnu2RshzQt8t7mUs8wfWkIIrgRswqZqvO6twIa269YZhDGsjO0Cv
IuCYYlu0mVfpO2V7EmMqditfRQHKzbv8WmxHjFiChylcwGIJNisUjjjltneDKDzLSjbPqZa4WURU
BoMhF6cJh/++b3ntrUHgie+MME+yyTSovsWnyBaFUM49SvH9u0+Fdw3NC59axqelUMRKxmhvpg4/
KzlosejZSXBpaEwIP8k1wSKvZlRcibFkNsRPjVaIpWVI22/h9v1vnHgZCF8E1bl4QhFe2BzIDF+M
b8BfUZcVLlBHFcSVeuOt0WvEnseghwt6aK2Q/tV78UkmTtMBVq/Zg4m4sAnua0IskjnCQeQcJzvM
jbIxxCwkwzi5yjTczHZOem45KVP/7FiP8IIo7GWuLnydtoY8ehuv+cNETYYpfzWXKCRS3y3OCOPT
TxYv/xWzSAEDE9zXr4XV7pCvPAqj7eCsT3ijmGa3twVlQAj8YCdsMmuPF7GE2Z1iTzOqsSoHAyK4
YkpIogtXdSv0X9y37dhH2A6ftPRcxON1ZuZ3BQEbewtVXhEOMfpr98b6Za/wfsaNVqQAo5BzfrZN
yN45yIbw8SYc/HZI94K7nhWIwdRKEHxZ+mYZHeuohHrvbi62I99RS84PXqxUfVPpD00GY8dYdEb1
gPV55i+pXAYwJN/zvxNY/yGePKVK9v87UehO+S5I7sXzrOVjM7R3LdBAYX/4FXfKCIjzAws5xIrP
QufYECtQmbaT0/ti39c3vIkUe9u98jbOApNUUO78VBphfvG8jJM403TricHl8TihpVKD3jrMUumc
KXdVpOwd+cdabC66s3g8Ng8ZqvIJngefFc1WZ3tG9Zspv3DAYlDY9mIl4QKeBDmOGIBh3ImDAZp9
HQod3pBhf/hDJDe+2Mqszyrk1yvkY5PyyA/YSuE28bsJq86TRKv+QunPrRMdn+AQO/OV2RuBYMR1
kl98Vz4exZEZEeYY71DQEqH7XHioE0ZvUNEXMMT24itxG/6JrMVRHq1v7E2+QCwrEHeYKLzWdBpB
TT1FmD0rf+Xx6OPaMA19kbjzLN5ez99APAkfik/Y3au9jRRGfokDjwT/e9zIpYSR4VmEv26ZmwhH
uQyf5pKYVpAQYk40JiKZHsv+XjhAPB2kfCoIwGml6oT3hY/DMyJy7xWkEtboXldsMbviWmLU8PUw
A/K1iYtO2msmJBdOnGMOnrAeYp0yRyTrv4/QUhFwpwoQihYzzWYxTnxe2I1RDBNWVCC3+C24cXdA
DlwEQCme+KAt9AQmoVgu4vxG3iohPrYE+EgcwKI98R98cjvgENXdDh+EFSEM6MpJVxE4Z7MSTHPm
Cp9XrD4GVTwDd88uXtUHhkfEZzUyFOLeGCTh+hnNURx4rR2L+RPLE6uE11YxNGb2HjCBGxH2aSCf
Iw4oNs3cSmSgzlhaxlMtMI31lZyUgH1vlX+WhJj8ER+Cq8cOLHAc44OBfHn+MAyPMwYKTbsd98VA
N8DeW8JysZA5YLgvxBxds94OqdIStOheKcfiBlgNYsb5CLch1/KRz4995rGRIM48D0lG7KB440rC
dws47v+ZuAz3gi/t8/iGkWdmMh3f6v20Ee4snya3umNbaHARsWEWfTfqiSceFzabfOvESmeKeYcI
kgtDQ1fybTHqUzHdWdN0SBf1Rz5dZ1nzfoKPBt5cqyhn5qfahkcaP+/G7M7mnAQP788todztGqEe
P49He6Khn0oiqafYyF7xbdgAwumZiGXFqPDc2ZrTjdviE6mVu4ywvUnWFXFOKJ5abgnnl9CYjcBM
zWsej7Wibc/EAAAjzGd8Nhx2w36YAeswYMJJ5IKLQXIuud9Qr8fi/HPwyph/RoNBqqPSg0HwKjUl
XG2KuhgoPqQgFs96TjJV+A9ASlxhwIRHykhIJk4M4Q8f54ulkVi6aFy+mT2pTz+WxbwW6w2vCXsY
GRH94NaOMw1eA+HCC4MkiU27hGKHi/0SwWgiYl0jf6VzTAwTeXlXKQwUEezfOtFUpICfIvgQTgJD
XEzXwrqbvEt8R8KyYROYS/Vzmswwr7WDpVp3WaqRVbplqfGNyOZuntlkT2LBYnjVyfEtznhV7fDM
l/fsHNtf3A3XKMfNHwbn0un3cvS2IG8udurUaYDF26uY2F5kNhii/y0xkoV0epDBxLCL1IZtPYoY
tbPxCoYzhm/SeiHC3ZBPI8N3J5E8YwBE4FSl9IvpMvb2feFpF514FGOH5JWw2MzklOQHkZEUH7bG
xBV7gwYlcflFit6Ek1aD7sO6iCnkNGHNd2RvsuFevMy5Orl9bj5q3aXFqwLj35ix8KMmFbq/vYOy
MyqjrrB7UU3/nP19ndudQa2RLxIrgmkWj7to5R1RCImgexYb07Coy6M4CZu18tM8DriTApLzmhSE
jEDMSMe3hc8wAGNwR4xCQfrOFU9CnFV33xPVRk5eA/82vUc7CKwI57DYuh2nbK8XP+nt9mphB63Y
yyIYcAhzFAtvjxzkmpbCepukqIyoCKBreUhjtM/GIX0zJOMHM49wuy+iNladVRmY5dIVdhevu1lI
vHQTSGtzHzkqudeffS2dosh8WHOCdfNRipQzs2BFW9jCh1ItCva2O9eL6k14ZX23PlTmI1BHVy3r
J4VVxA6Y6isiO7nuAyqwgV1LvyQ9OqAuQH5nOFpV8l145VUpAG1QCo3yFQxAvpK8iamFV+iGMHdf
OfmtQN9AzztgtjgNhb2KqpcGE1LHv8UASOwYEUtim3k4bJKTvWfd0ik9YAXESGZSHM4aNlyqoX3j
4HMuwgYTkYh9Uckc8rJ9MOXRF/v6n5AidWwRHK0Gbg8dw26JArpiRAGVB+Ef2ZLu9Zx9IJOCZEtu
++htSJ8pfCGivpAC7WY3Wqw7eXmfGRA2Z+EfrkvrLmTbiE08J1tuSlUaXaHhNo7C4JCWk/RgAokY
Jz/irCLfmt6uSuPG7QvAQz/Kt4MOKF7HJZswIRIZAZuvdkryp1t8RdZLGPMRh8Si2QyZQkWtriac
nGGdwwEzseGYF6J8ZRiBOMExAMMWAWrR/QiuFRHoMZVbM7s2+6cnY9cOuVcTIFtNnnkRaTu5sC7k
A2Li/Go95AVbXey1alB3JTlXl8PQ6l4TxdnN5FOxzQlgDsY0JhlWYxCtJQGfUQTwTxN2DzQokIWg
ueA9qSBMGSdYzbmPp+T1quw16hBM6rRTJvXt/f6MLRjX2I8tS7jYG56AteZHsXMcsjyTkwqH0Zb7
KxELFrnfVv21MI3CVghj2keZKF1M0HF62iARa/fwQczubCnQJcfvTwv72JXR2wwDoXApSf5ixMHQ
lC67nX0pDEJbsyPSH2K5CsM9zzcrIsht/JvEKUY509RjPdEmnS87qUVOhlfxKKwdhZ2CARQ7mqyx
oeb7gsodY6qSoxyUR11rxHVoqP4lDBqBvj3cMFs4HNASHzedzv/kPhGJlvc0hWwPB7kCfDPYEGMl
szcYyanvCTEBpHh2M3DQQMjV3Q1Ve2iy/sqaNM8AhYPZFd8CN6dLRe/E0mFcIqv39fFhrvtbi3XF
zFXU8Wx1DbaE4yDvlEezLk5Ra/hk9MJE0hV3nccbRdKFLTRjA7E7prek0Tv/tRSZ2GtxleJC/2BD
lWhdbM4Nx1DJihki/WLhdSdsVqeuKWo0J+HCmiLTkNERmuMOYZ7HAQLhou0OUWK5amPQiqGS7Ozg
BVNmV1i0Kh5FykgeyZSwgLTf4l2FaRzz9Dixw0QGXEmjb5FhngfS6bNZG2KUMSaUtsjtDvuodMIl
t39rHE4a5wuRkEaFf7Wqm0pTOUO3cAapkQ9T4jZ0DLh9K7BQiy2yDuJQtOLvJUAAS63QDKvf07Ti
TLAV6yXnFK0V40aUiwoctglH2LCXnaDY7NMnKlViQ+t5IsIw0fdY0bDUZJfcWnfiNM0tpCzn4Szc
o2pUrhTaUeR2E08gjI5d6qeFuEbMeqSa/pzTuknnZhm3x2SyfnN3oaq9qQX8sVGMgNa50uwwdpLj
UHS+gk1RCywEO0BtkrOBfREnFswZVF5fMKuV/GQW265NhmuM4RV1hAKriWLyRV2mmwXcqzW/1ljp
erxCfHzncHs96TY9PQvTusiJ2/baURz77AESGQAriDsML4L1mnNK1OR4Qrq8j8x9pJf3TaLd1Yl9
0WzU0zP7vE0WbBCNZ9SSJ5ycUdcBmjmeYqWYgZQid+HBOEpr7UqbyEyD3HSRne6mm4bbeMzBkLJP
y8ofbPv3VL2yG2zHcSXWW9riawqgpcUZGRcc3NRGhGcC5zEOPPExVjs2qQNMTH7+1sjrQ0NivqJy
0EjzjsMuW/vXOnkRO9rE4tibvBMpMH0YHiJERyiijEHXlUFO4hI2Y23g3I87X4pGX55nGG/7nfB9
/h9l57UbObK02yciQG9uq1hepZI3fUO0Tfqkd09/Vva52NOSIOHfwMYMpqWmSxMZ8X0rSuB0GP0e
jaR+9PQxppFdcUiJBkuJKtwqqIjnr6QCaBTjbSlp3tTx/KOsXXQCT+r31XfAQL4qSRFaZSFW8xyv
E1PsVMiVp/V16tl7U+937kIkkVn9desRYWV526xyg1IlGeAorvajReHPJ6hROxMGfcupgBvg0ad/
ioiT276mI4aKNiLcKb69UCPNH7vZcOm2198sbv1csXHHNcGWb8TPKX5UpQL80RtemAn9gDAL44t1
PRJmuc5AqkpsbDP5M6buLmYh6zmYJtkvv842elWccPRf13z6vKUcAIlQbUsjWr44CVD/ZRfId1c9
Q9egslEaAAeDVhw6awhrZlrok4e0OPvCOz4vaUl1eoptNgVKAZWzHBNeL4C3Q7TkB3XdOIs3wkVg
2JiHvGq2Rqddx9OyL3uH1LGkByqtc5Rv1p+Xe5/eT4T8+r4dusfKbX5lc0A8XbIVUhRIbY5xcX/Q
6FrZFwE8Tfm9thovbOOmXFPWfljaDnFI9uillF3n4kgHW/XNNkvQcHHWn7xY7iCtHlSQEy0uWxC2
vsYStE+r6l8idcyVHfikHEdjNY24HgIozy6kFLV4gS8NHXZ24IHcZLz2be1Xltrf1SaYO4a2Fktw
lfrzs9n0N44lsWyLdUB5UcU6nWNS2sxDvsffoevr3a71+KXRHtHnEB3BQL8uzfSxiNobvfU3fF1n
Tc8M/nJKd1hSxamYum/Imta4nK6Xqs5Yl/Jy5RgE0FXBcKeCqsrR9VJjUpZ3qScfi364BG28zrzv
5Zg2dHxGp6IxOdklRrR+qylbfk15e6gIbj2WPYPdcjHpEdo6bNk63c1Zxf3g7yBSc8OltiUJhSq3
mAkdxa/J6h8sNzoiPN2JGhJSNdYYOeKd4yuhUPejLZ6Hfll5E0cdVmHgB2iZxNrPUpYZvzwYTYw2
w0h/dPG4U2MaNfOzYyYbm4NUW0S7xNdfYze5j6fkuqDEoefOqxlnL5XfXRVqCSAmzQwXTYGrP6iB
p3X2Vv0gqxKC7Cgsh+TMGq0iw7R88mBuqn3CI8VdGGTWWeJ6wuHM5iRiVOO2j5/SfCDZT8BSDvTu
ctR74SDVEze5VOsCvzvpzUKDSp32OfZuwbGAImWhas607+sexg5nc3aGYKZnhL9QjJ4fWfTLkUaW
rPQuZ3We9neqTU9IkRjewzrgi6iQSJtijtDE5aB2oGctu1G1hRV4YoC2HhLQ4gt5CVdo0D8k6jXU
y/JbYdPBONFyJ7Sz0lovlsATprXnlkPrFMvv6hhnVNUfMQQvmVeGgimoDnq5jwJhFqcRhZO5mKFN
6KeJejPr2m7kABGU3BHtzNRBBwzPOoqcY1uU940+PaR5c05jucuIl0rWcpQrqJLko5s7p5R7n0BK
9razhT3rhxojhbs9qL+UT6ETOHvt9OpqxRng3EatrE43bjAP3Q9LbLCnmbjGy53GHhD0OeUB66SC
Jlq4XZWUzXWzPEVddrSFRxVbK+SqpsLLKaC7Q2TG7MXQ7fXIhQkaj8zWO/QK5rorrZrMk/s9KPOn
pLCv2DePxEUbSUW3tuwDZqhd6/RHtVQbMtqKlCqC4ntFmbEmibtBNklGvUeRvlgB7ARdrhDDniYz
alCKs5JmRl/uh6rPd7XdMbDM3rgShlGGGpJ1Kp7EBf0kcH5ELcOw7OVhniJt7dlTfWaKVEcj17yf
kAWtk+FxLFuCCW2gW1vfZlpkT+vMcbOXHmNX2GpmEVKiMHA4Iq71aDNDqazHKuON09oyQMdmWcaB
OR7sFR+ZArSbj6fa6vyQwdrwNsxurQ1eQG1VhdRJSaN6jiQ9Nu9zgaoQdIT9GIhSp0YX/U714Psy
tv2r3jT5OXem/oShdbyNkMbs7bJojhNCxqvOJGbsOjJRrovAX0vTKTR6nZptY5VrkQ0Rugur29Wd
HV+Ni+cj605G/iA3NynN0zZDUoiNPoqG8iBH8TVCbHmdJW2Rh9PMbOy7ZlxbXkKcDzvnAOTkudJz
NIHjlFc706kWpMxDmeQroyF1IK1pucpjJnSaif5iidQ71tOYHmNkvocma5uwnKKcOWf7J7uLiJzn
uXD2QTe4311GFWa5KAMpF9vPzVQ31NycJHr0y3m401Fg3oIdz4ijSu0ukbHHF7Hc0Cyc6cqIpvTg
52Uf5skcPzIKqs0czekqMQptPxOdkdd3oeNHFQ7VhvPyaHYRvcDq+sqfBowXZewB6tD06a73pRNt
Ww0VETIlv7pz9aknC2fFjw76V8mhKImpV4jiGsfUKA+uvZCXsLr0hm9RhUPWtavWiMyt3vgee+lc
HkF719dJzsHYSBL0IH5lrDjdBSFgPbGhH4lDThBdRFR42Fi8vgeIayL9mBxrnY3SPNhDmt7REmQI
I861LykDao0OioKaVmc3szTMqzbxgo0Wz+N6mekCjXR8fKocD4iVkYsSfVgwkSvB2GiuRGs3zJfM
nEnXBeNNVgsWVDPHYFCYadghhw77Pl/CBs7+Lfm09ibyEPeYmD+2FR0Ur0Tv+4/zEGPzqAq6SwdL
VQDCNCPj91glOQ2wZXVjkBo75bFdbrTUeEnavL61qsjZVMv4lFkdekQv1jYGxo6NMBaMezE5qH5A
bth0Q83QqSjveJmkt2xXYN0W9vyaGindIDICA8uJqagGkvxO7Tbb1EuaUJ/sZcXG7zxYsxlf5yVr
Ws4EualT0zgWTjyFQODze4PZS7+y0iEUs6uwdLwJMV2kH61eUJxJySgnfYJEdpYNJhF9vlqCutpQ
ye7OgdunsHCM4AWN8rTFo/mj7Jbp5AJmWld9lYU2X3A9DZO+AzLdHVu9nk66wlksuhx2bYwqkzK8
mYBpkmNxTuYA25KPZcaqBnGeYAvBLWJSsf4gi4QlHC7wBo5tTHmtQsSNNMDPX/xIkK5ugFSJxaHu
HNsc0Dx9DkfR0YDWq5xdA519y96u3U0WXrhEj4rVYNSxivUDfk6rNym9uNZDMXACq/PvlW31h8TR
uk3sDQvce93jPNwOChaCJ1UuNVw6DM9+P//uTW0MpbDMc2Tn/V2fCcaLhTpzmFrjZ8R2/pvqhdhW
QVMd9az1VzReykJjSB71OHjMamaxW5T7Mq3cjRfn/bmaq2pL2zIKMHbNvLP9eT1E8YD2lY7JLQsr
0a+A2NyWlHOc0jzH45SEUYvHKHN7Zz0I3sFiEqF1ghEOfpvTR1P4V4bT55t6qfyTlUcdFd7OZtMZ
lCLdTkmyjMEYLloS7AWUir1rM5aHmZSq00l7HaX08egY4ZRyLZd5y0rh5LIL/Yistmh7Znrnkn8Y
gI8sCcciJPj6Ri6BkjBFZWjUtfzj4kkLi7wFU6Ih7tbLwkchG6MVLAp8wGyBlNfokmJqRRbOsvVP
5IWz1VI6CcexpT515kQxy0f9DH0j2BTQd8PMn1iMU0OEfTGJg2g1yv9+kGzzHBG8GI0uFFYV32FR
WzYwx8tTSTZvLRyzOuTzhP678CVVZqd3cKyU80MEAIlQhNkqpnQ7pv6TFG73AjAkfWQxQlamx8h0
nNhcjzWTRhYMTD0Y2n3emhx0ppTopKRqwbY8rTQfeVtMGm0Fr7zbZGjLSA3SReLSA05YRy4H/QGd
/LF3mjlcKq/bxx4deD1A2ZeiK1k4qmXZVy7HffRY39PUHG6Z92ir8yZ4iPJcJ0IX+r2VNM2WfXfa
zXMF7mJhD0r8ZX5OWGpfF2IwZKC2CCslaB6DAZVLHTc3ItH02zi1Ke6zbcFptioCjEb+HuqmpNvZ
cL8sAGpUT9tV1DnoVvAcrvROJhtDohqTWYJtvffppNBM2nrOi1ys0slqlGMahbxtZpuGMv5acy2T
4CroD6UUiVjF2YhAp4pxCeBYD4ukIyc+I0aPnNrAfDe0D+lEriqrLfe2KoB7FY3w1kOVB3fCKDnL
5Hy7kjjyOMRujlyoP1pa/keL6PUbaKa89ry0CmXt2Qcphj6cIiLufrSabW+2/W5EEXWF1QzNyFT2
d13q6huzYMfpclPSX3Sc7mPHJG/t0s6l1MycAzNhhjCD+NFP6+xY6wPa69HpXuNepqHewu6x4lKn
ul65B62HgFkWhn3TwXradlnfHq1loaC6xNo+iYcZZRFur3VuJ/MFATmJ/H6Wa+kNUMN6g2JdnSTU
SK38tgzwbojK4YCHUZ/jl76sElk7Z2jIw9lZhuz+c+PPO8CbrYxH/zGuvDE6WaKGnl0GLl56Fw6M
05xUWFwF+dnN/Qfpe9/tuDgKy2AZ7YYvYA/Gh7YZML8KsuG59tt2PkaeRr2Pd+fSBl5MmKaluyyh
nmjr/i+zsZNjMHrFk9THBk4gzaRoc89Y13GFVFlnnrXatR4/fyF/uZBvnTwYeCCAEXNb9JP41wqF
9aXvZVZ4F9OcAraCNN5ioaDF1NSN6MjbnOxmZOa7ZfLIR8JAvdP8Ob8WaRFvrGButi1TmcQjCe8q
saJQxZCkvCZKw6Xv7ubeS3daUWgbM6nI43RJtbKKIH9qWj84kFr5Dn4d/ehCs5QvHFEfedp8IF+G
A4rUoefMv0/mkWbxNYg6N0wsFClmkPM4hur168+7MW31589f5UdmS3gzML05rJrvUCLSqK05m/X+
BhKd/62ypDwofhT1+zq7FBOdJXit/moayvG1WMr4C6/nR4az/1z+78j/j6etHvJ5GNI+uOCsE6t8
nE9YmhAJUUy1kwcr+wrI+wEwwUcnj8mJMztGtzcWMGPyebhMxjd912dXoxVzcBGN98VHNNRXejs+
cQgCBsTUZrzD82MnE4kl+ugS66iCyR0pbluV3ZWQjelJNpIFpfWG0h5Sn//8g378hP+7tPrz/7zR
0nazWeRWf1NQZFy1nv/NqI2vuBMfjVKwAsCqyJhh0n0zSkUvTRqVcBGC9QdNYj3OsrvM0n7iVvsC
uP2B6xEnHpk314WhSf+Af59naU0ZGOxol5gYsPaqb9DbdkuyfGXufNtkijWW68CghabGavvWvT9J
d4l8S3VxQRAAt5cClk1eDbIbUHhUueYD23y6mpb6ukHo9flH++B9Bjwj3mPilsB4+z59J0rpJ+yI
m7bcyZmoec5v03p6kFQP/u9XMuiBpBvw7jEGvzGRYh/jNAyz9iaHcYf07tQgCElSPBEkGj+/1Eer
NNxTF38zgAIIJW+uRRe2qRpbU9xYbhV3K08uBI4LOXSzClyc8tBmSzxhGy3HYNVg8toA2xXU8zxt
Y3FKW2em0aJs9duXSh/7dZeNPRWbwtr3hVeeODcBnkvSehPIhdxiQ62hnLQMgyY+5ZYsJ1qGEVub
7rRfvMWPBuV/nix400yRyJYHN1vt/2DF/WhIWAx81cNUsWPVrvyfebxkY+nVehdjvKG+kttXjUKb
acPFMusvPtQHizDT+H+XerNkFCJy+04LtAuyk1XuTWEU0bEqUPI5JAufDwrjo1dn6R49JCBWwGN/
81zSTmKvcSC84LBJinqzpCSsu+0Cd1tPRmQ1SkdG4c5AVVagI5oR+jkRkrhYfjHpbPP9Ks1z/+9W
3jy3TfKq9tvFv/iRk9+6c5Irj6a2LoYUZQ9Ocvw1i9j5DTlAAdAO7QBC2ECjFt8EenlOSfWtYNho
m2Zwo7ONnBc1i8CQG0gDZ61JcF3alN0jc0QaTqlkcESw9pyUBktVxakPO+NJAa72Thk7W81uzNvG
nvwfUV1iRzEDsUU7ModBOhIwJ5DCg7qpwyolr13P0ts0i5Rb2dr0zc4kDpIcM9/n3+uD7QSYCpsl
25jh0HDm32E4F2nL3VvepamaeqWA127tfbHEfxCDBOCL8NVTPsFh/+Yabep00DZd51KXIJ4431f1
bqlKBCF7ncz+PBSnRfjh5w/2UVD9z1XfBNVpS2aJZJJzoT9bfegGKigYL2EmjwiIaj1qwsrT0zDG
KX8oo5oDglFQcPz8Lj6aevS2cmzbINWN5f7f11v1swmuJk5vBlmeGm14pLi9cQrzpRvSmMy4/uPz
630UmdAkySRqBoAK3v3N9Cu0Xkatb6Q3mi1QnReALDFfVP6uM5rp3DZmRlWb+kiX+eu4GZEK0wks
dAeoJF/cyUcbbgAzme1OrQRvmbZxphdV3jrOJUJSj8q4qu7SkWxAH9YUhygxUkvUIQHkX1z4owUI
mz4Yaa6tk2/695XTc2sy2QLFjSgDQQWyizZQXzp4yMaX7ffej2wwCj5uQ76tARPozeelMjpmZT9x
cENsosF4EXpDzt85T5Z1zdETVnNy9pam/uIZ328e6rqeYiDQMRNI37/PaEepKPR+Sm98OV/GsTxA
gdq2bn1q7ODu8+/4foEwdAIKBbGDecQ131zKkMCuM1LNWKO6lTP6cuUO5RfRmfP+RZqKvOEqEDPk
w7eDRS8Do2kMN7pYEspxjXxgncRdfvS9HjORiLr1MLJQumXcU8zzF3Mvaw6gU4ROFp4/qubCd6/L
YrR3Yqz9tSlf2/HBRYdFJss+dYDhtl5P/dydrWVTZ1lDRq0JKODJMjkPfgvLwU8pOJh2iVoB60oz
9/Z6bvVqN5qJvdf0FMkOUO5iBBTrj216BX383Dh+9DP2y58yQh2VYHK94jgdkPmrITIXw9rWnjRf
4LTsEdXomsPepyMwS6wh3bA9BevKQj5ceOAcc91GEu4FzWss6jLHwRS5aCkrGWYVJtrPP6ta/f49
wfDC/676pk8jgrcL0ywo+id5tFwMp91m1cKRX+wLuCfu0pzztL+kZvMFk+39oFWXhMsPyA4A3Fsq
Tm3XhQYUQL/M1GbKqHp1DQqXc7Id0uTX50/31aXUn/8nuLKDYozTptQvMLzbq2QRSKWSkqzYkrLi
L4n9Barr/SShpQQ9NVjqeK53HdCQGpCZjd3lYju0kNBNMlX0/fj5+UO9+2SqIRzbpBWYBhCXtzTS
vNYDt6WmdUlKozompZTPzYyUBWRNdu6CodmNceNCmc2CL8Lh93upurQBMcmDlEyq6M06JyM963yr
qS5FknMmHIFS+WGPhk+pvp3jqC9hTKFskvKL0OHdi/XoGcsJA2EGXRtt583qI5ugT2VbVpfGaile
VkKGiU7h7/M3+8FVOBt6RPyOAvC8DVAMpCr0qU3kJXIL8aBHcnweAqC6X6za7zdn0LQwyYnEHdU1
6G3yZ8xjpniT5hdTwK+co+2ieyvMf2xTdPy0pXahs/ZDNUJ/cbq9R/H28+d815tGUY0BitOyW9Er
33Xutmhn2nVaXV7aKjX0lQxcoAYTeyjCXLDEsezEC2XAABjB4hxpJ+j5uyELclZbp0BiqwNMoeSM
B6BqDkY/O4doMuIvYqb3X4Ob5H8AfMhIggP6d/K2wkkGhFEJoGd6EiN0jOPw8/fwLkQg8wYjw0NN
yMn13XD2e12PeqNLLjLyySnn3cU1zWBlOOTqP7/Su/hPXYm8Bl+bA9E7Sn6dpWlcGF520ZrJ37QV
5lOAq8U+tgVyeqemWDI2X+zY7xY/lVeE0ciE8YBZvQPgezJ2s2gwb2IjtXaRhl2wrzEr+Sim2FLu
P3/CD74WYQEsKTQWOg2F3oQigxX7kQSSd2uihIuLZRc1zheXeL/wgcDncEILMdZW5ui/A0JSqxh7
aedKCWtjnRTJb8OAbDK19F7fA178qh/DR1/tvxd8c3SgA93QYAZgqXOuEoAuI4yHFqczx9UhiLef
v8CPPtd/L/Z2baWH2GT4eXHjRS4o3+oQ2UhpHLaQpIr/zwQ8xsZ/Lua+SWy0aIUar4uqm0Z5m2Qz
1/AP+vncdF38xaJqmG9DjL/XItVGlGo6+tskvj/R+cjr6O2UubSZ8w04GNN4ZVn5czZM+EYoIgUp
xVp3bWjWjWxbVEnaFy/345tw2DTJZdJt8u0GogGBjdj59RvSpt1dG1XTIc8KDT32wziE9HYp1yjl
rzEV/EkRchyzxawvQcDp8POv/NE0oTekZfEqoE2+jdhZaAvX7ERzO8D+7xP7tq3qp88vAefs7/f7
J6zjnXMaCRyH7B8rz5u1c3SXHIGtJW9pbhDC9EeI668lEpfAE7SxiA8ZsJFCBjee151Q0ISmIUOn
Gn81i31x5PwjaYqr0kB+E/yS/KMHh+WmDQwvcR0X7R/KuLsqiRCkp09keg6tWV5Men5gaS2pQzZX
RgGPGrXVKggmVGrVb8i3d1kXrNo432bNSOMA1MG5vEqKHjpWufl7Q3SkVtTQyO+fl6Rfz7AvVsAN
7wT6YdG6ayRdG97efk7NYsXRlVZX/EqJxFc01S9ZVzeWM917MUDsxcTtidkDJ3h21gf6VrhNIxGE
1/ezKHaTPd+3erAdYv+FNMujvYxhhVo9jduwaO1DOXcb30QNQzY6q6J9W+lrrZZ37No/cgxcThzn
aw2riBzGb4PZPOdGfIDOva7y6hKjQG8LYzPmGi4A/TrBzL2UdRXSMuviZcWrnSQ3qY+/rLC9FToQ
FDolTbA4rNLb/RTo030VFQ9ImE+NiTiXH+dA5N2hszkOi72zEZy6Y/NsKQijTYst3qSz1gBN0mB+
61TBda4hGkVvtnHcDkRpsbyiiL/qRnnvWZr6E+eKP5lUDvZ6bsZ7EadXTjnshWuxH42Po1FdJV6L
R8XGTpV0e7EM31LEeauFdgm7NjXWJhZV35ppRDVsOtk+ZSk6yIQvLJz4GhPPdkyazdJXDIfgOcOS
HrbLcNsyzeMgvjUj50WPjaPpyk0DQqH15VlDNjbqYufI6Xnp5CnJsR1GlR06iOr1DgBWixwtm3+1
lQZZFqP80B+atD/DcDzZRXszlWJbYBNtymaToibOKtRN0XyLKnKjPprm5lci8k5D3J8Y2HZnbjw5
xXyW+b5w82jdj97JrzE3Q6iRAMsFlOrV5GNF9joUzMbZQ2XiedWGhqHNyi/xOhd0nxj95DLO/c/Z
rn61jvjmor6sI/Nlqos/BjyHePR+gYW+zEr3MQXlIe0QFzZdchhM+1zhKXEQldGn5iFwJip07saw
pse+6VTNd50vo5IcMRTqq1yKXcPeIGHbeK3/UvM6ZceGPowNOaVoMyU4PJAcEiNnR38h8zFr5mWQ
CGZH3nDj3gS5Sx8ceihxXn7FF+vRD96utqzNHJJ99m/bhxRSXMnafSjs5XpI0tvZIUNZWbvUzYdw
9FJk7HUNZUbThHEvU5wTBso0SwbfICYJ6a66AX1yHszpvYfL6JyRdDPn+Eab9WGvJwF++bE4yn4C
ooTW0JRn9ZBNwSGmwubJn43pWRmGLawv8fJj1CaambsVpB10DsJEjlJf15AfvJwb9iL8e7RGqIMQ
+0OYYrYjltsobixdtlZWNB7qVumnvY3Tv8QCV4trnSzntvVGbhIsUROa1e8ZIViH76+B5QCZ6Iwq
qc0wv+FfB7FjFv41/6rWUotpbg4LWlDKl1O9mUyb3G97UjcrvCH00Ig57hMpXJhxw6FjtKoR0dHC
xwleW8MOXS/9yRNKYMZq/EBFsUxzx63orHpaTS1qNlEcEeVAAdGqn6CJrzo/CTMn23hd+qCXCToG
fAg6/E5pJOfazTaF61GbE2EB0Chv7W0cvSCXfWnick+Gda7TfSbnW9Tsq15MW+IYSpPrVHJmRExm
Nr9Kxzgv868lT44+asLRqvf5qIy0f/kY6q2azq2WH0pcJ8C2ACBiw6WIZS0g7NjJ07S5GXAPSO1P
7KjGmv6aZ8zgQiRtvXGNfm0xX6gpKmOq23pAMsqVC69omh31kdUsHbRhp5cQsyBPeJZ47MruXLjR
Cfn/uuvjjWH8SKMY4xd8+ibeTlyjwdMI0BRSm/GiMoq8RfUP0p+nOWfNMyHvipn/swK5+Ok1b7iT
ZbpL2IQcCECKWsTt6m0NmPOZPB541xGK5U+D/xLB1nHBqpUm3Gozu0+x9LuYTPmd7hk01IaUCuIR
/tYUfYwXwdf11mb3RF5oLbw72sLC+7tVX3WgdxPPrWmglGZ3w5sxGErEriH92G8dLbpWa3g9sHoF
oC+x83IQE/BohDPfDrOXwtEydlVnoBdHyqe5agDTaGFttb8LF16Nbq1yNP0uG1mb33X8ZQ6n5Cj/
mTP5NLZ9FwC3GjNIJO5EeU+WfqUeR8fkOXtY7cuyObO3h17dPAkjCsXyQ0sqVofM/jm25YQLeArb
drxJ4/pgpxkOtXumAYb8rZlx8F9+pDH+79k6VZN3khSKsZYvhYcnMl8LTGlmV/1kUoaFA+9Tbecd
PWqs0bxy6/oZjmKoZqfXNys9848NczPLi4Pf8otoqRePrc65yrXhNte0I+dFlYQM5eTgyaBHwYS4
PB23f+emWji0J27o7wrPI6ttqScC6ucuVMuKrjYEc9+wKsBNNLNipd6kTSmKh5EtVoN+eKjRR1kV
4tC+X83prWCy8t3VTG4tGz6IhxoyPqnRmjLGmcenCr9qTaCQY3NC4/ag1d2p6I2dAS3EIHdpqedQ
jBnnkGLhz4b872KJDy8cA9ZQ7spbUnVnukeDcoQEQfxznAGGlGBNzL2a3QYKT9yzFIewGIAroPEM
LT/WaJZ3vB615nWi31Gj2hp8WES+P7mT7TBfglEpxr7TnAAXIJpwJE0G96NeiZVZP7uWno6snkXw
qzCU4D8/5O4vz/VVR5G1O9X7QJqbgZ8mYbE2DAGrLj2a3E0k4DMw47y8+mnwNshYhWpEutG4MZLm
O9c2xJPLpFI/Vc7ulTX+blNA41qf8r7cE+1Dbrn5DrNiFUjElN9n29iJ/tZWI3iBfuWmyK+zaqWT
jBUV2srBu6DwIlxbIJqU7KVnnQGConzXFGPI49+rh1MXhdh7YaqM2GYTauFMvKWbD2babLE2QR8o
48NcWAcryf5/iKsetWk9MF2PNQp8M64Rcd4aNR77RlymRfwweRruJzfu1AC13DOntU3aPSeEHOrq
lZffFHawUWucNVTHVMc72rUn9XKY6Ova1PYFn1K9DtdIz42NjXHyVzROgm1i/x3batK2UtHaTAXb
fOD1aLU4LMArZnPoVnWQXGIa+qEvekgDuqBLPFi6VsFOM1ZJKn/ryzMLC6+8wNKZrIu5WNn+dzU9
EnYA9d4YUAYeFbL4IMocSp1L6DmEN6LC685n1HrEjnc05d1n5t4qxkf1PA5GXDT+f9RPVv78B2PS
qZcWHlesdn19VaMlr5XPMMt301ycUvZ1Bx6E6INzHVzqxLjEfcuyEOOdjW4cGj2HsNhuTJT35TIY
Yd5G5znoKU5L5xpW/59qoFRbD+KlIh2n9nGtG5/7xWVkSPtezSNa1UIsBSJk8dkrXirB6lbHCbBO
6T84MyZQxl8XwjjpnrczyE9orrfpW7m3mj6lA7Ms2JznTeqLa2h6F9oHrMcEt9wA9KEtrbs66r8n
AYbCus1gQIPiDAJ6WwTp05gPNzKwNkNRH9XV/QKVP15WpOjXDg18JecUK4gJSGh5W0x4PQjssZVF
tpJril+Rq12jnL6r4/jv59QXwgqjYTse9+qVqb3H7fsf8eS8CjnDvuMX6S72UAbzpdOns+NxZFr0
hDWo3/dOPbIbDbd6ozy/WvtQy/yWIXhXNt6h05fHdqyHzeBON3SY3auFzmdVcFxrG1l05knzk6im
czNEz6MX7USw/MJtvJPG6AEh42C0FMtq1OfXGOMC28S+DUS/GqoZfE150UV3sPt4V7YKx4NmPfK2
XZnf+2P1A+XgEeXttqji6yiqd0Zr3cKIDl0rfmlZr5D2bceaVpe8RLCA3iEzg5+jjC6Cw+acxEiy
3QNaq11rRyABMZMFRnaqM2a/Dk5FDSnCoHxV1yRVxwEN6fQ7F8WttIwdKV/JrTc0BMnvh7RWcSrh
QDc8GRVpPxrJXxdjdlLLJSyBV5na966o75oyu/77dubkhJEXIBwlHGc4mYulrWnIcI3vAl6ffMkk
TBXd2nUeTLQWm0tfuFeBhZiIB10sdyuX5VpvnCMshFWg13jc4nXpB39qUZ8ctmtAe6Edd3epzS7f
GLCZrUYg/havaijls76JGSqTkEe3SE9TeYvyDbXLHNpJtV1YbVtwdDUcmoC90pf+Rs0BO/tGrnat
QtyBD1K5871Ybllaqb+asREO6bnof9YAN5jdPdkQFgkX4Y47uxhsnY1acCziWQuC9WLz+zlkzFgl
+kX3nOcw4QbjSnKIzst1o2Fs7mxC0+2YYZtlrSlnZLPcjlooiaXwXa/d8sRfqtZhtfV2Z7WUqL0E
AR+In3yTzf731DK2Hl9WH9xzVABI78froPd26QiyighKj71N4osVAu6wBbmoQi/1MzMnwARYQcfO
TBShNkdwMAEDKtKJclHFgEJF08+o7hcD4Gy8CzTgXRTeWGNW6hOqt+R4T2pR1rr0Wv0zgzGGjE/d
oPrL0U+q1xIlNy7Hpyj+aUyc8VXRkRyarigb9DGv/QcCdzp+vKi1VkWVapfO73TxpMaDJtN7Hp/j
gQpoajGdoSOpJ+Ir2OQaVEi0mNqmzs2dmnL8Z5DlKw8kdYN6kh2eFzpxODKqUK3HjTCpUzZnxx7W
NDsKm/9H01ksx61uUfiJVCWGqduNZjuxfTJRBYUtaLGe/n6rkzuJY2jph41r03z0cBqs/v3s01Rr
zG5stA6nTR92anAoHoZtz9lXFkVw8U769DwTLCogCvqAYT6s9n+89GpycdgJFdDD9yL9tCA/DFvD
GZkV86uZvuRnYNcownsPjwbN/xpuHCXoRv9J85JHcfWT2KsOOXanq7pzkuxk0OrC/SMabeJvXaea
fXCO8oKOOjjFN5N5qtPy/Wra9zqdKig2DFGsXOuOzsp7Fse0FabQvVIkRiMtc+Mh+uUTnhMfINjY
yfgwsfJwtmThUXKi7rA3Mz4hO2BFqxVTpPzeM+69nStI+FVsonrMaSI3iPNbC4uOFQNlqBHl/PTm
DXDHmXBRDryBM+1+X5pXcWaemHvI/rL4p5LIb+vOL7DIQLNMwhcUqY63jDpTO4clXw5uWG2j2NyV
6WfWj/sMJWwb+5zSSyNluIzugWOT2SxWc4dPicgydHd9btCMzNhdzPZhouTUEt3SSZW/5CLFp8Dl
KgK9Ln7kXAgIklZF3y42w+vYIrRzWYtN6MHfy3TCGHAxqCSTCOMbzSN74t8OX9CBCgymwYd+/lRj
j5WMMjeGrxARZ+djoIrnY0szpqeVzqLxLfYVRN/U895u543kjny7gkg9ce+WrnoL7T5kd9DxFYYS
ccjn6qiNcRLacfIsBzIdLz/aMd2LaWx2KA+y43tO7+oq5sFBZyRhr++jub3V1vP1LXHpoeA4hzHj
jXgFGNh6iHhSwhaS0euaSm3FG5mAbRvTqgaXhnlEWf8hKwVbk8EHSCsa46bmYfK8O2SkHuFN5sYB
XCgoYuppPGGnu8uaPpTYxfKF8fOYm/bV96hs5t45CHGV6PvC/nDhd7RuO8bDfHKm/Dmu3vF/HrDG
Ny1IgCelNWb02vB2LDNrjINedaUlusKpb/M5fXDwU5lTs5GwMfqXC1Nx5ybfXe14/9WjFwXVeDcN
wvxs/BhCwNZHh+ZgHRpJRukqqcnp11TVhyTeaNWTn570uw63iJbK3yVsWHpcRJsisvY5nWeBhXX9
Dm7VEpUvYxTSyIsqfgwzePhiPmJa46vBkryc8scd9COe4EvOHUmu0Pbgzsb+kITUX+mW9VUs2jL6
gBCjPQF3kQXG7qXHSnoByagx6XPqRLXW5PvNDuLDGIXY2d0Q+K+XJN4ghyTVavyzih4fk/8BUcvN
od5lg7Qca+uRpzrmvKtRX/zEsxFFkMxI24opRVpI5vnv0F3DwKl4+IqU1sGxA96G130jFnMB/PxA
XSK/J9MrPJDnX9OgFNP46DBkp4tFhTcMG4CUbeYEuYlWkRw06HtkfppG9zi4pAkCI7Bq8aBvdkfy
IQWP2AMNbHl+6niHhkI1ALqN3xg01ADCtA+8BvFzqRHurAnR3/0ucD04RV18MzExwNyJ3KWyJECG
xqF843vDbbcNtja4PDqRdTvDpz7GkRrR5SkD0UnxiKRUoEK7TSiCR5HxpKxPOcDgU3IGN5oP2KAF
hRVshqi8u76ryG7N4JO1OOdl73PgKeZp6905wUiPv2Bro8zO8ysf5cW8Qm+C8Vz6+SVtsV8wHLVe
0S1yGkyDtlnlTkBNm+G54K3wIwoYHxy8YsRXY9pbOf2lQQ8BhED/Yeb2W4N8l7KfK++lRIkXhX+I
yuAuDsdD1v0Z/B6vI34bjfQxR5lfJpq0zyRkkvw6N19TeghZOE4Xqz/qTmg1t2kD5oRh+1d9d8iY
CsUhSsIByCz2hUkrnxI5kzvtMzfaOFgsIaZQ+UqC5jZWr0OTuUsWTc+reZvhHS4+VbboB9r1OwgY
MbLsxkbjJtL+PjyDYQ7DY22MzU19ZmaAv5xMSkBc4i85m6nd5rlPB3qfpOebxvSunKWD41qGKP9P
/KbfU29OW3JUvM92errNrE/C5Qwf2nToFmxuuQmupzWzLXthSZ3LUa1gI1xM0n27gER53W84TIfv
92CQHeJueWqq8t72r4KQQ18Tih279F4m3zlmKozKtJhgHRjpvgD2SIv6aKf9c4lvUVXnDXPkqJfq
r5qQ6+ekWmu9WWTX2ocp/LQBtKPsmT5JG2pQ77oJ0j+znfJnjQZzHPNUza+cumxkEOcNSlE2nySF
VBuN1O9EmnRqOKiOtaEpmDYVYCVJshneSh96tYQAHhLzW/3dhByz40+pD2ZgHcV9AHSnAquVPgu3
JGMLnRNV6fLPyxtTF2/G2KeZtX9bYmPMNHdyQkYTYH/Zl+iUkE6tF2MYwp4i0p7W+DRgMzN/53fV
bczIko7zxWRsmmBHrS2K8E8opimWk04+c4sXZAtYnm+fKs4uYo6A9OjF//5XkmPEla/agrSqzHbp
rA6Lr8Rz5UZl4VQDRahZtUfEtGQYWKwR4WH0zzC+ZP45L8GmRjA6+vqFnx6oUuHSiT6+v3jBLa86
D7zRKElgC2+1hxqnQqw5M3CHJy3T9ACuMLvDi2kOstdQ7wn0I7F+oa9LFtAgipuigm8DvQVCZiAU
f22+OF1975gM+zk3R7N/77Bba+RckfgEF1EK2EJRHslSbYAPoqk6xBwBtT34dLQB1dEbP2Kj+kpG
3fPspTuJdUOzYIz3qCXjsXk1wLIhFafo6DM37fUcrFF+YoffdU8xmFNU/pSHhNBvgJBk9i1Ntqt8
mi5iUljENNC5e5ljJMhvQ3wHiXj2IuQeUNqx/FekEdkkW22yp4KTAUxV0W9rgE+BlqS48sqEos5z
2j0IcdbRs0ruL08/K4wkGacVng+WNfvF1LnN3VmCFr1dQXdwp52uTGc0diTSXQUcThfUg+HPv3j5
e9Tg6htbmukwIukHH5guP87TH7O3Dn0IF0Pi0LXsEblYZRy/Xc3whCkI1EPjAxbn896lo758JBk5
Tfcmi97UFCZ011XEoMRpX7cdcN5ZnAiOUg9hfwdZC+Iz8geZq2Msu87+LtOB8xYALaMg7NPXAJYs
rGhHe7aN6797/sNK2E4UI5sduy5lnEnL4KGaXbdkji0D3bzNR2BPMdfqvmBvndW8wPrBJXIIsgVh
R1lXsmmxYG3OtQ6f+TXeR1dnMv44Hdd+oFktTRA0GRvQcH25DPjQP7T9NSWswhjLnKbXI7vSomRx
mZSqChc1Coxm5mhwP2o0cWH6dcgx8UKx/wUTuXNijJHwassIc82td5gOkZZhx41FvUf1yfFiI1dv
H/Okz6iBhs7WMti6vaY/4aYSwWmCk1hMGPEyePsC+wd1qfaNrXvIY5YR413hzut9cJ/IpUv+XIbw
zsrdezkR0l34M+SV76EnGrDddldzKVFcA1tUnjL0K0fSb7KXJO1vQDhuhuzdpaVURbNBLTJaVtkC
skJ5Jsw9UgAvkQHJYYDkTJHR9aMh6P+wMSf3gQF8h4ETl9Ib3EnugRXTX6LxkUzfRoch6ZCQ8F+f
mazjF58OEIi4iM5HXDI31g3+PeXptzWDhyDXqzFghlvO3VhectRJMZIdUKdfOsd7noh8h5250bIs
PJhW1jUWYoLQ9mg5XRl/5A1ql05f7rsieJQ5IfO1JNthZcrVOAdbB8hapCx30Ot32GzECliVwfAw
yuJ3RtucAoIRssihI8aX3ZoQkhUwdaJ8LdLioW7+Ozs1bYVpkxlH+6Y1yZbFZG7oS4fO4a+UCKCz
qke13MPLolz/Ylwe09ISBsIRS8lWibcdHOuIAVk2HyWV+kvEqDTGcAH/SBzBdB7uluuUd5Sonwp6
guHVb69eAXaFeW5vxTgwnX4crO1Rt02LgS1IRIOTYDD8QKFE8QcgNAMQtheKIUGaw3vzXD2VLlFb
zISZZILZp4k759UYPyVVjAp4hE75pdnR1OfrQoxTKBiSRr48X6iZUVYz6hmKQIXDfdbFO8j5LCYc
TwKgyUSYJ7A3MzdH7cHOX6v3kQ1XRrIfgK0wZ7FcWW7q/hF1a+V4cyY+qeNrltdv02d+QAdeiCqz
Cuwn7vsf6TrAjZAWucrCTliDfi8zCB0c98+si//Qi/JWIDdPhTir5a2kRSb/g00y673Pnyh04dPS
X/wUFceC+M9A57ylo2Em3Sh9LKq2po8HoUVMFijIA6trMCrER/Hk7GTYXVEkiwZ5WPb9TsYuOIqd
4aEG9UFWuDkU28LDIM6fRKE8ir9bcqYSXd3qlriB9ITUOIyhb/VYKSQ4m58EsvXxouSw8xFZ6iwc
xSRci0fV3RtvpNkv/cEmCBtgX9Gh4aa38v1Qvhp9jTNBymb/wOz5feCiK/FkyK7Arv23+aao7jz6
BQWwpJGwORBQjJQzka7posKNEgymn9AfvkFixhdunQUg6tBr/CvQhGfCTtysVCYinIJR2jaRHcwl
iGg4HwuTT6ZtMSCrOXjcLl0ikt4YX93K35mcgYweHTnK7IrJsJ8BvochMVz0eH7HlN0tDqTMM0Y/
4B/L2kESXzAOUQoyv9PoslnrJ5aO3+0Tihm+e0g+rAtsYQ5IToYi0qwh9PF7aJ2EHQFlJ+SktAj6
oP1ScEZRQP/w5kOQzPB9cKMnh34fY/VJFH24UgzUL6nJ9wpRXH0o3CtMLyz7kwwHFzaDIN3xvzN5
AcIx1uSRRXAoTdXtk/qjR48Vr2efmFz9kz4UNxNSSgcUsHnoEjBIX5heqOuSGS3D00nuk8TdhNZI
f/lrSBCyEFXawXxAyl7fa38pkkzdew88IHOiw4A5K5k/D/ZWjkBZhzR/WDfny7CVAZfwO866t+N7
4BHFNaXNQoEVuXFgH/IjkWQS9dFSPrB22RTgLGa5rUpAA5p/IcPbiGZJ0VsLSSLMpKNwwkmNl3CS
auYTrChWW7msOnFThrEXPYp+ueUqfMawSNZvzK3fyDwRoJkOL/KS7elBDCPJILgDedJGJv1E3RvP
VMQKopMep8iCb8x13nNokx8g+4yr+4AlwZ9IoYjn6rHdVNMf3wMZn2jCRDs2KQd0RQLu4hMTE6RB
M14+/4J0vQDQMW1OVjScyBfOBBaAu6A8iwfqgPhO9wIN81t+/o/gRO0KnPItVBnAcK7Vyfzj792r
cy+nVBZSGdC+DMLhHlmr6ze3dPD7+yAthwcrkMd7PbpvsD8ZchjXWpxIwI1pIkfja2fdzynBFrSa
H7xPZJENxWuLs5CTMADlzrhjYhqTaH4DRAEVwyu8Z0hTyqLffce//8virCLC9DOjly4lYdA8mG61
j4hb5hVtXQmj/rPhnYtz4xfYK/07JcpbUbEgNxEty5QSKR5JGYSfFmvdTGSSNFAK5yqG5LBkCejo
OBQBXQhz2WXSMpjMICGwpZyqFa3E8zAtkXDqsGmh/2y6t/BDGVfAjaJy1IRu8SpswN1G+wuUyDMl
U9llSn7buJzyOTsWAbFmw6CP3m8UGE/xGnx6yKilQvufDCOE8zj6Hw6hOfxiIBJI8XcxYj3QY5ID
YoksVDYXxcP7S424hH/WM3NVK3qawgpcmFzDGOggT5aT/Pc+v8PO2YNEwQ8t0TNxILsffXAhtAm8
ltn0ryP8gv5m7jHEowP0JcVHO7yV7hRfXvWK7H49lVqqGyNyCBn63X+cupyLEosutd5bHNYVgSFA
AKYTtulz9uyIIuFbXXIa0g0RB1O+uURQ1HOn6DbSsdCwzABDqulWpAYxBOqZEUkkFoVLCjIw7Hhd
QpyqXAGc8ODW+ny/MnkhxT42d7qnIP5iNg8qg0e9oR5v5B6iaxDiLtKDrWJ48i9yyLR+mLQk4u2C
jmXP46za5GZIulWkgOD98D6OIom4yzTc2lH/7NrGkXwlfoqA0LOgPqXJGOc3qWueBg3IYZRxwYLy
87SZ+hVTejic7YxJGy+igPB8zxcugD7IgiMlH+MBJ4NDBohTtBtzG3sZ9uX4SVvQsfOHfIobiWzm
y3HYehSt3aX89ZGICBasJzRJUCd2CMPEcNTO/9S6DLsrLm6IDOfyWUxyNUKr7CATiGSuG5mbGHY3
IjJo7kIiGyhCgEz7S71sEWq8iiMOAX6KnaeVafFKWJETyuZ9H97jUKWy+pkZ3mD9NuOW+g+RHUZg
0x7LdN/R31SOj2Slfi/o+dL7d2yY65QEoha/sWj4bjKVi35uMlKRT8gRYS6S5zGN/ekr9uS28VGh
Z+wEdiZZgEEpMDJAvSimE9cYMeYj8ncgIMCBI/wrsAItEy0D6CaUCzKp/1nhbDNYQBzg+PZvsAg+
wlViWYiGirxB3mJWLtkJV/HFFz2Lbv475Q/Nfn/PI0SafJmqe4ib656sr/JChu9sEFNUUKOI9Z+K
/7txeY+yT1xMHXrIHoQ8sy/kDh/SCUNDzD3e6+/+koPnoFJKe3f1/6m7laaBSrRgzHmAOJ2wNATZ
EnBVQ/5GZv6UTydwQT6a3MEZTJc9CQJD98zMVOHCcdIIDtMjUIlmXKCewJg4CGnwF4GUpKpU2Uoz
YCQIu2FBHLNyY/KHlI4lPJBdyQyoUveWjcsKhW/kFQAycJWs8t/ZKZYi7Kjxzbsq/5THEq2kMMPx
ErOyHmVy8GmWwMf4l9cJs2GLXPhGsgojkC+EwAa/upUGSXmTrF9lPr4vZXplHNaEDmJayhWZhGUR
3jxL8n0JvuQ0a+QHUD9ygg/qXlC2jUc1QfSS5GRY+u8hEeRawfCF7tQPJlkhEVJKPF/RfDW3SvGq
kDFQkAVGoLPolSE4GN6X2BQHZIxLIyKRNPshsiSZZTZCC/wJMHFhyRT85yNIczNoSGJNlym+00VB
EZJef1cvntT7WbHwA6fDXJVfCFWPlH8a2Dnu2BzIk7kidX8/Lj3GDIy+/oVA03H6D+yV/4h7aKZ5
QgLFfrzxL9+JP1+8o8hGFwYHwAjg7geXvt/EJK5JPmBXfFyMTycyJnrym/HVo40vT2ftPAwTLFei
Ekw1rTZV5PkuiKy7wXaQvHuna5+UcWVm6/M1nBH0T1XPIC5y9BJn/JAK65leCuX9FZBapjSLGApH
jrijkoyWoj6g+SVuBEZxCC6gsqJgEKQQpAWFjH18lar0/sjB+WPwPT7TD/QlxGcnDMHD8t7bkROD
VPwt77kIVDrzIcMVnpa3PszOOyZ2VOYn3sLBIKD418SXBo9Nevrd9h8+kgQxILYRkQCH0nEWew6r
ungclieOm/WLoWEe2fxaMJYwsDESS4YtjMIfcc/8BnGsiFZLZ2xsOV422uYTvQ518QoAROyP/ybm
fJT57oQzZuz4KD+J3QtSk63LeiTmJfYQa9iIstagBv7nMG3DwXzkCKI8vR9i9dM8KFeCtzP9ex+E
7kNtJ/Q/Mo6SegIYeOM1tubd/dVZVO1IhdKnkDxV0D0UnYD9C8ODQF3Xkea/KCZB4ukZKw6lEJFW
uu7XuH4uk26/rtGNR59W2RZif+HHMqdsbCTMmq34iasAo9UtC5H1Xsg5weviwJHS+XAUFdRMyIEi
Xebnqk+GlsAvCazhENEL7CZNR4LdT8IGPGzh9QJkRHQI+qpGevrmB8RfYTGVDnDl/w6kM0wn718m
hjgweuIwpf7l34vlOS1Zjv/Yl2Ezry1xBuhNPMvfhgirGJMEb7x1wlsF9aSwSTvWxQ5VeReF+UNQ
ng9JndysABZ90NMFcwG/p685xJelJ3ZKC7y7pDLuyuHnSq9CXss7RGXyYAAY4DU5vnLb/pm1IUkf
Q0YsD2O4rMentSnuh8r7fXGXz9YmY2UuT53v7OUhcIIiyShYvlFUui8u1k5wkUfGgU++pIIpLnB/
GvyScyBBBXnQNBW50D0qn0ifDhfjd5ybd+J5XNdwZfoHdh6xgdpMr0ZHR3MywIf4IHj0akHv5Oho
m2yIy5Q0kVnNnDWH5sLaG9djExdQiLan3JUhO3QUfoJXAuK6jfdbEscDGZROs4CfNeQktpm/HX7B
99T1ECARsFEYP/iOWEaHdDf8XpYdV0ol6mNtU0xz+ZGbjHQyyYwmsY3FyyiADQNSLvDsuUs+IOGs
A0XGoeEW9JYgdkFw14cRQYatpbkTqmdYypZzgl30kSuYaR1l6fDHPBhVhgcjod46wy8xgT6I6kox
1WXuSOnwp3X+qyIvDkZmuQjQtwhjVjlXLIdABJ+/Okh8/SvXRY+oZf6Yhgvkmsn5/G6s65ETd/B1
HJtJ4S7nh2mtlyPIwL1yrAnpG/K24was+XrAEi5/PV32oSW10xdFwLGzoUlJJ7Z9cTYDNnOS/eRn
gjPtdjopk0MYJhJCqpkMJAxk5AN0wsJoeHGrvAg5CAr0yxWHggWact8W1vxVzpju7dBFG6bgbYm8
zL773i8kozk/HbI0RJBGYe9QV1P8hvom9oUYv2az6SxQBvKEJGu69nYi6iZ4TyQidKENykMHkiUu
8QmjWqSwNxH+3s9huQjUw6SeLZrj/zRhN55uRFePKrFwdGnWy/1J1HM+rpffK1GIhV/lOVfNT3kC
9QNU5VxxPwS/dMpMT4mJKghOUGHI2WByDFm6PF1InahCvgRQPk8vzGtcoCpe65pmtMZPNqDQB8/m
D7OervjNb94iQ0avJj4tr1AxSc7c7oN7eGS2P2jcQDzsUxabgHYhKEv/rOs02408zfI1tKa94WE7
jRScUenWnGSj8xQzOJqXhbU6jPTGIufdDalKTj8qpSmFxIW7Sj7Sfmure9bhiSL/2o9cTXs+/Qtg
if7lcfBJwVO0QpE/ej1EaqUUyVUMNb5Mt+L3NWJAydUbZbcsur/iZALTLvRRn21jg2rhUcX8Q0kW
UH4Sjm8uQTVhbzpKaDnInjGwUNN8Wtx88YddHD3KKujJ9VHYEhNTWrMygLrhPjh5cvdRX+3hA+h7
7EmMAdMwV/9W0hahyyd4nNzWwY6/KUerc4CDscMrZUlcAsYNYBis1gE/2VjSW+neeHwlsMSvsbf1
kSLo9zkKQCehLcP1BMs5cv6kBgCb6SJA8JljbABaoBkpJMF++gDnImdUO5JqbM1HCVkOU7mFl+9B
UUnls4hreQPSmadHpbEZHfee61bkLZ+/nbN9mP6ajWgvxHygIW+ZvPF6nnOm2k82ntQkJiUPCwBW
+eJb3k0z00HY/1GX1bOHpciEEgYK3KPQEC829KtHQJP/lqTH/H2EYra00KE7X8k0cYxa/73m1G1B
bxrZHlMgdHRtNs550NiHJJQzvbONR46MZwLVIl46sICIIhgELWJE7xCfXwWNyURgBoZj8oqscAYp
6CBMk29kKlAIYT3Rvfxlmfs3hzIBOnLB+XLabH/9DM79/eUSPcYuI+2KhNgh+YrhUD4T+X9eA8Zn
lIsBpkcR3Nj734oOznWa/M3O4o8AeEueyexOD1KctRMd3WX9JNlpJ5GXM9h1nqjDrKnW86KJaZfZ
sS5znnvZlfH05hbLU9su000DxqXsgHY2X/DXbQxJ763HpQ3PdOHjyFzGt9IPnwnrrn9b8/xzNOyb
LvxRBsVHW5SfDfluxkiTV2v+L7biL7bBzNZziTp0zO7JqdaDOZqPI0NTbmambTEYr/hGVgAFBhd6
A19o17ydaqRjEaZbso2O2KwCqhQz4wq6/vwCM1mXX7M53rtLX1Jl5d11bbbHKZgXxFq/DDsm6NJU
t3W2DRlq4/geZ5Jc+Q+ImU/Huf0kdXhtYDi/9r5FJmqIIMFpA0CCaykh289npl/Rs0ZOjlFUJs5D
eijlvDFHmFsPTepQzSQ4Tqb7PNKv9aqscYGFJgr/yWMcNqCf9QPhYSLc1zM5Xky2q+0/rdGc5B6G
E1VzZ3DkzAhfCYNN3vQSNst/kYvpYZK2NjMOurp80vnlx8Ue34ib6t56Ato4OBN1Z/45+w6wH07e
f0VtA2NSMgF6Mw6kLixUQiJ9OLeLVwd76SWkjEK7LbOqtVkDhQrLrm3EFIn0S5JSQwlvj8vlpH0q
KphN1n/ikG4ysB3/yIE/gzElxfeOmrZzp0xs9DuSl+s6YSl43eXEgGPi9HfCcEnI/+JkEWYX1aF4
hQllwLXz9byOd/Cf0sRIkIIW1peW8mZZ7LIlhE1JcrWzd6hV3gmvmdMomCMt1p3im+Mlez0TF60x
S2hsUN5h96xWcG/b+R+/6o6B1XxXYvJKMztQwmKbU03bYnmFZ/KgAv9nosxCOiEpvzYeSuMLkqng
ksc0/WpkPnltjHJGyikM1OfBiRR4ueYSlH7p0GjXaHZnsgaVpzE0ZGSxuHOzPLBU5i4cmXFyY4PE
8a2S2oSZCaRX1gUbZ7ao6YbgtM02NfKUQkT6kpgjM++ZuQueJG2J3aM7K4ibqGRNiTJyR1HNrFQx
dzGgykNEzRMRkWle6A9UPvYMiLmUHsty34p2fjbBVgXhyayTD7sSF5W4MygJQTChIRlocOjJCWiZ
0y1cBmErRgjIaCEqZ07Ml8HuhOYUkZWwIxzfA4dG63hig7QDls9Jl7q7viSrA53sYxFPXfthxtOt
EKZgPf+yLQYprGX1I/TjUek35HWcErTyv1BK7UZbhQPRQhjDFsyk+yJ8EgSX93KiJHwgQrCjq9ZN
Pr42JPeganeXhLSP9YNQxEgSWmr1r/463SpeG/f+bezTOT2JMd6Xys/gB4iBuaLYBeQktyQSCbbK
1lgwpptt4rG5VWaViHBRbSw1+hwRK+rH5qcgLB2cvupS6d/7JD08uRlkCiLX19/JyTx0l/QORw+K
PVwYfIB1hGenPIWwp/VMUGW92Gzokq9+EJ4Gah05jDhst25Xf+EgzaJ4Dvvhj8H8w4yLm9txR8qX
MPghhsuH6JVTX2lXT3JmVeJDxIcVcXrLV/rAH4kf6wx4h0emhsCs7nwSiq13hFb8YdXVfXiJf9PL
6jY4Mz+H1OqjDBYRJZ1PKDeIDxMklvoHJRvwJOXv8kXf6S3meuSLvtNJF+fhdXVmxYShTR2HlDAW
CJ/Q7fPFvFjmbWV5++trzvZ2mb4kHpTEQvE0y+hC0UkznNzc3QxWc2SDJmkHHtkzPFL1oLROOnYx
M86oVSW17a7L3V3tnWgVINy66avnLB6OjDV6FZwZh8udPmGY1KpP/khp5i+kv9v7e5FqvD4kQXet
t9SnwIL2qkXIz2TPZYu2KH+oaEwyqOp3JR/paEZaU52cpNMlpbF/cEBCELE0R7z9azppcx74tX5v
9tSqngFyOArXVOp6+lBMlIPiXZBYQ62ynyA7ddIc0ZBhlaTDTyjh34n7jLEGddCZOii45hE7QqaH
sjN0pz7zji5ngC/Srhkvl3kprczX/g3JvpOg5wrIKb1VrbwSVfKme+1apkAF3vQ8kaoj55E8HRYu
LH4iUnOu1wfRt1iPVVtj8OJ1zQOlZw+KXoqCyrnZukW3M6Zsj4Kxcab8Ydt4/ocRAvI34zFhzu2u
vhR38cgYAgIsGWfZdcceme6RHSN9RBBJXBgwEAMjSMEn6bPwk+VI8ZhE22U6om/PtBc3qvHD8+c9
SYxbZ+ZtXbRNvOFJzkrcAN8DN4ezQVYbU1D8dKdLYPlQUO95R59aYJ5O8qdoEneSa5YnybIQpcp6
EdDHd+NQiKb5GNKZU1E6IoYvYUEmi4FNKDMbO2hsz9e0LJdRfh04FV0q32SlT7igVyFhPlbdH0x3
5GrYBt9kgv29RrwZxzCEJ5LOtSLkwOFIe2P1CtDa52zb8x7um+Wadf7EYvgmLpivwOzvK3Zt0QwP
R/4Ycf/BunMLco5HCuuHifBBsi06P74x8wcFWCCxwu9o1kRQBT7jQPRT3SGGPqfR+fW17nVq20Au
MUvR1gv/6mtk+bqNCIZnjP/l0Ew//onaYkXZZXlVxaTVRcesOc/MPurI6quoFySxGEjUs2SvT5xS
PTFdC9K+oCnUPLLKwyO+wj+Z4nnJf7P5wb44DdpA3eA5cAsqhwBGb5ufIx+NG4eDtV66NiYJnHmq
0c+KSUSXAfwQ8cSHuUNxpsLY3Blu2F/LBTA4xoED9sv983cXllEkVecr0V6pUhi0rmAY+zmnvbl9
IFG2STImOX+SiA/hTTS5ujmv3am1NJAUZK6hPIUoRVe8zRhMYoK1wVOyyQHMy+CFXOUiSN+HIuhO
UTXcoTZ8EA52pZJNuZNKnFU6eHYmHSOiIdMYUTbbNAnZ5RFjuSbntUmaZxSwaY2fTmlRrNDgGo7V
F2b9kFo0MV03IYEqy341NKcgx2vCIzSyLSWULNZjviQlDMYxqBt04pQ0+DpGiTWI1qtdD/pdGFBM
sSd4Ca0xGsfdyXt3EQhGaxiHsjfSDWMEjuJTRnbcJWeGCnd/yMF6ScvgyL2/+0g3sQTDPO56LllQ
rTVF94oYuGdAl8tYHxO3Ow1BRByudk4J05LCzPqZnNnbGtNcxXnuerrCZb0HUJdEhGLy0DpVk/cQ
Aq8v6VJ/YQoa+W/Z9EPMfPFmUseSfHzQktVqx8PFpKiOimoIs1ocGhwneJXnmCFtpd1mt727PtAk
hzKkMJqph3e+tjWzFOhTBtRCsntvDi+MlNq6C8PVpyT9ndP+9jtwpHdwY1KBGf91SxiJ3IjYP12I
FHmd9c1HS8hxtu3M2DOGod9YM9DN2s4PvhU8CdSaSsbW5hkaNPGjaRNdNLFmJVEU22Re4zdG0f8Z
hmCX0SkPQUzz6mU/z8avIaqDmwBRrU8EqEkGF+0IWhATO5s0Lqq8d8/uXheTmTc9RUwbK2I2EoOZ
p3NIgrNZfnGM8IgrRqIPEFWeFsx5rYmYmgmVVFP0J7eb+ytODleFc7ErKpus9JGs9/YwUb5KK1oG
3xhhhOeUnsyVuXYZ01rbKqe9dPqSNAOjEtPxLUoRPZVn73Dm94zxINfbTgrg8uWBXrmkcVjF1wqh
vXjnnUvGXT668CKG8gO1pcf+kjsbepFRSE/MFdgemUyFvICJrgV1CQCpkH501L5pizECHyfxnSgw
3SkwXEncbunSgz1gUsQEsn1F02TYLyhrQGgZc/44AFpHwX3bE5AuXBUL0IKMUJ/9gfxS/pQ+cWHc
TTYuu2C0HxXdI2Q4xMluJQVFUsKk7F7p48o7CzDMBerTFJ7ezzsBYwPzmfzoGIbhrXqIDG77cclp
B0RajIG9zivzzrrc9D7yfKTYDdlTUPVLZZCkKc1c7+Tu2M78TFDhEtf3qzI22iuYruzj1d8NVHGA
hFkMzulWi7HN49Xwqzxvr8CmOQf3+Xm4XYHklPffTdHVahU+rng6k4a4C4oDuQKSr7GOq/sBPxUb
CC+Gg7hCfb6hoxdwry8YJm7z34V8zWJegIdItceZBPLcuE1yAHSayc5X0Io9xDGmBA0DyXfnbBk7
xJ7jlbmQo83o9MZ76fK7ml8pWzaq3t3O2pIi15BK2GEIsARkbuWR7kLPWgsHk6e70cxkOGBnBcGy
HxlujZBRrMOcPNqsSb4x417BDCikQY9xZoh8+dUCpeQFrRRYOn+NMRoi7cBZdwlIL9gtb7ui2WTi
DPm2bp2HXO1OcrKA/uYeKVOYIGOsNJ/0BeskxtUpuWoLb0l5vKIh3Ad83j9K4ZFOFdVSmpr9BBtK
mRGFiRmBQfjsVTBK4I+/UhI6LNdkXw9BMP7GfLqT0yhlT+fTjY8C8ON5L6WEwhBoXWGzrcWZxi3s
Xd6FnFS4Bf/WSM7PhVGf0uXCmDqkSDH8jBm26lO9wlokKvlDkpb4hhNuLFpCpAZ+PcUYyHmivm09
vY3k/3Z/ZF3KBZaLKy4TvscKyny6YgD4bYrnLuv6sPokPCzLtkndJ35URNUhLQe6LfktqC6Wy7AY
d1GSqBr3g7lCp8Kzb6OL800DE3bhMNwtZ/v94g4MZ2OcqU+7ATP5kpvJD8Tyu3CIvhtuGSjO4DGb
iYqZ4SQ7jyr+Wwf5NprtR2Yv3zx4piNzkSExcL/5B31G0rx/pZ1O4O1k2W89gppBYl/jvj8NSfZQ
n6nh1rqNrvyaFdOLFVCoa1XVYzJchte+C+7IAHuHd+hH1J3/C0qGBQcOPZazX7Lzxqynn+GZSqPY
3k9ltjNiAH1GRSRe9yeda5q3jRMrRmB0QWYy16k9eg5T32g/+6wEsO5MmbRvQ00NbSDs2kOlg4rY
1ItjuT7MYfzJhIvzTdbOBxkkhk2blsayd7PDlNk0qPqeXBXzCXkefi3EkHhbS91BA6Ff7EcAk1cm
yb3nBr3NaONt3jDNLtj2CiGE6yvuJv18SOMNC+t30NH0q048slpZ72Lk7g3jc+6DKjjfVgVk0IcF
uIGB+nHoRRKSk7Taj5K7Sz7eNqF3YhjNxrm0b3Su+LhCgsx7dFafoowzienL8iXws+4mMAym6642
Al993nJEmHM/tfU+9fIdjUvcm9RbZprCuPMpns7maULwAqiS3koE3LXz40jJ2sZhBF/dJKy0Jtvb
jOFuxh73VULlRVhvQ7CJ2iGy3Q8JTZWivd8ZJ7uw78Oofqi78tPGPW4Dn8JnL2N4n3cE5towr+L5
UoSAyOeZjNfuIR3co75WdQ88iacbxvdhPd85fRVt7KmiUAkUeJxJdrXj0xyRu585xwI2vlT0tvDx
dLFYR7qsNFi5fkmsEa2xgnoMpX9HQ+BDsLTEyIfx69IvwDXhwQNwom77IQyTD380aZxzac9bJ2/3
cZD+Isb6eLHiY1f190uwHizHJugVbdf+ckr7gXNKmI+2PhrAzhgoTwGv6FJ7JF/EIBvtgtAN6JXv
LHdnnz5FnvWWhPZdQPO3NGzbbZfStMYdGbMY0iVWUlkXmUbklZvMIUTuLKAI/yPpvLYix6Eo+kVe
yzm8Vo5AkeHFC+jGOcmWg75+tnpehpmhcNmWdOO55xjfDZ0rVwDrlO58THu1m6nRGxwri2YFCu3X
GL65gRSiYjyafhljKpShG4lkJzIUAWP2vZvc1Bi/tOUFHGdfUTcISBcd8UhF+dq5kj7AeMzKhl4U
9C/oxMmTZ3uPpNtWgiqui6qa012Rvf2xTPbqOHVntG6ZE0zlZ592iNUx0EtY5bZgNETaQhAZH638
ftQJSRcfRDKvVTK8gzhsViOrYS3gNcdSrCgynSIE1YypvPP8/BfHTleVkVjdmLFKc18x5mY2yyW2
VLmqh/qvmBIoYXlTQZXr0kD8Il2729guU61O2q/jDlm+epR/i2p80FuznYtb1PrJp0ZB60bVTI91
XWTdk9VmGB1Ql4P9A3/WKY/zPTR+jHL6BKqkX3oTlXNmHSqf+a0+MV0cvPVXVuZLh/N3ZPmsaHAO
TfjcYzizGEaNgQlVrcPXttRl7Ko4I8j6nCCBpguJOgezHNA4wE11aIamxLrEo8VLtl0qZ1PLgZ65
RZhmSSS6kVjVEU9pOP2mTax3XfhHyQZR2dQf17ZT/plMp9zp765GK1nXjq+fDBV1m0eLM8D1E7CC
JijtdS+T8a0VTM06QwW9RNUfxsC7WH4DPjFwxc5vkHMoqBN3VLEigi9KyvCzKUfu06Ltt9L3ztq8
Fsp/0L2mf4tLfwamr3U5CZAnJFVeXJ5mlMG2IovTXUTNIXbFScJct3VI9VezDZPPMhyUG3jneYR2
JFjiH51LhHNpbePelrvGHl8SRO0RnAD2JuDnXSYWpJlc/A4lg3RB1HxKjiOZqaugfJmnn0yGD00D
5lYUNXVbdNbW2qU0ZnjVyy5Mj6H7+C0r1DeM1mzhcTlkYQEGSPrTOhstpsE6G8raOVZ/YuFAQEk1
VNrViz71U1A/kDvB/DCG91FgRdvIkb/50nQQh9hTQFMfDdwM2sS/Opbz7XA+VggxQkKZn72s24XD
eBxHXbocWMBio6dJ5p6jhrAX5XAKH3ZAoy97ac2GaIU64NYuB0pSvYhmcx0Z8eIdwmC0YJQUbqcb
kYikIQ3cJfeBgkOlxCGZwj/SRafGwdvdCaPfRX4IEDW0UIZdBntT5NXLIMJqQ4Klt8IuM7iICmX2
7dmO8UEd0hRb1MFzaBFChncwX50VAq2gDic62MV9xSyHOzIpwXey7fY1xsnkkSdawsGShit3wfFC
LEXpqsue5zTSqIJ5lWbOXSnGmzWiLyraB2Z+XoxYbeYExYRufO2kA2zV2aZebawMiLjWyZj/TXJK
5LodXjGI9970v2DHoazfDSCQ6GcvdGkxAiu4m1dZX3z5AQRCRK/FFAJBZRrAKDLdTWJ31nr2pA9y
qAWAntkc+rx3fq0WL01I1lTQR8j0CUiMfpgyeylzigKyTlfJTC1k0lmSK3fSow1VNxAT2ces6q5G
ghRW6pzobt37MbxZ0DIxmpg2oI8spCeit2lq7tCiBZAOMMZzDipsTrkAK2/465ijDV84uDNr1bBB
6cvevMjg3ENdyG04hMOtME/IUa1TmE1q2aX3g+E6L3XvgMnO5l1XOgziQukZicZkDn/XC7njh5ro
y+h3XdB4FPDOV2GX7cYmRAW6tJIt/K3PoqL/2Ufg6XuqHX1Il9RoF3gfJncLz3e69Y1rLEryF6Ik
4R57WD9L56lwCqwoTcOO1L+EImyenvgE+hTM3zugvOqH2Xr3lfzhPhoUxTlEazeT9z6vkime6t6y
KESZBTQnDoJi8bZtUXDxgYd3JO2J8xPA3Zxa66VtH6o+2tfgoVnP2i7INzGNo11ePIPMh9zE7h/K
dtlXcGiH9fvIN3nqrUeuEfwCzDeSVQ6uClZRX6BJAwdl5VqHekI+GiVbdsC+kfZe9TBZGRAO5tA0
qmrdikdV5YdA5x/LtYuIpAM4xnZT+6Mfnh+zdxfl5v2AWnxsKKbU4FyhNDWQc1bea2ROh9wrz6FR
M3tQIaXtmdTKF/fv0hFDNlBGYROR3T476PPKJlgL62XGUvWeuCzRgnFLd4k/bg3mWRPDgucGol1b
nTNH7dBFQ7NsWXntgOixpoGFXdA5FNlxHsWp6BfqJO1PH2Xu1jSaLe3Mh6j39xjnf6+GOxTAnTRP
aGdhqUswvMZLi1P3soe4mp5y/zA0V0+424FQ0CrQOk30tNSykhTQ04nwiLoNXhBElr+JWosdALt4
6C6kg8GLORq0N/I/EszeaNa31up2Eoq+Vek8LvGM/KwM/pQN/c+AeM6E0o0QP0AHwkNGO+Z5TWaw
8LarLk7WSwcbnb11seg27Wi9Twa17FmUVoudpLQWIsgBJAdwkG8Z4NvWzqGWRQJZkr/7a6qAxPyK
wZYCslfgyCg9wDUrrB971InNZxUStEQVJZzU3bejeCHo/iTrYSpPbQv0zqP4uc4DeA3rr2RMKLlq
skixZk8a0bhTccmZp6mSQ7NMxdto4IuAW28OsLVPIUVMhKLGjtkhGhu81q5I98NAHcd37st2rtlI
fXuIczr4g3WjI/E5L1O5RYfpfdBhWlB759RgsE7FTEInt7lIGfIOqI3js+zm6KburcqLjyYItgWE
fp4znZCc2va1+6Cmet/Keu0iS1x40WmKi2e79reLyNbF0lJa7rYiIMBozKd0MPdJ2x9LS8Mix70n
5bUwk0fk7nsG+23awWOW7IrQYZNrUoqOTBSE4oyL6amy9bAtGaZFT2jZ2HlegJkDrxGIozLDcxVa
UJ0x5EZbj23LgDh5/HpO62PZLRcndiuyX8Wo8PQWpuEO1dyjV4BO0qw6aE8YB0H9NySNRcmdMk7X
nxOmVIYo9Pat5b+1C0Q3iJVso9G8DrTttsnU/VSd3+ysGuUfp7ibEps8u9j3WQKqVDY0SilH2hXw
u3xU0SqgDi5ZJUa+No4v3mcKZrBufy2dgMvA3MDQ+ZZ01a1PrGntjUzButzf0B1y3/uB2PnL5alo
zW9zqztFMtua7Aujt75gyP5EiGQ7pcnO5OysltC4Vl6znVmEiG67Wxh7t6ju+jyAkZE6VFRx7IuE
jlC2Vlazk4N9C8MBwtGa2WKWPpuLl8qw/grPP2WaFr3zrQdKxxyqeC/i/M7oMW9eubwnnZ2jTw2J
a+XAzF8yOVqlvyL4Si2TEZ1gQZwIRKxbTxc7TC4qxinOQ8rIRC/QoYeks3sAQNJQ26IYFYBjjGti
MTuaMWjlmLxIQ4steqGxt2cYFiwXiCvZFoCRfGPP4bPbgzgZzP4sACIEri6WsIKuXQFoHX2mODuz
fLOKYiIXhh/4I5TKQ7iwz0+DZ3ZAF6Lb0NV3TirCfenYd7ajvlSywKOcbtgkWeHS3j/gh1Q0UFhl
QLq/rwzjHdZzcJOvajQY1f6hD7fj0/oh0uLbpqERWo8WVkb/HzX7cBoN3wULN5eEH8U3x9QyNB8f
21pYRL2AmUFQtT958DgE1OvxFLnzyMf0HyckNAa4OIxOqcfbgq0yKdntaHMAdaUlATvNUnzpDY07
jeZCO2kDriGnt/YDfBmMZR9HCAO5Hn5nkuVucItDhTfhz6q501BJKEWvJn2tuGUSsMGJcgu+pNMG
eY/zOHY2ddxjZb4mAhgxwVs+7zA/+GsJX2YUUs8KXgxk0WRDpd8/aJPbUuJmHoS3SIyXAUCkbQGd
Dr1g744b/f9uRrytTw7JK2amfW39KzCdeBX8eiJWmUAqxzmNvvBoztwe31LNbH7Q5/Glo7Hn0y2M
xGbs4odsrvFQtI6Us114cVyi7IO16nKKXUn+EsTun5qcIDLM4+yX+wHRcynN0xKLm4tvsDLrSXj1
vbCdI4XjV78yuX68fFq0CGef40LL5KK/xU/Mm2rVtSn6W+RWL4EEHoCbskioUUW278XIe+wJQIwu
/6Fhm63DzqAAaMr6mCreUTIqhizK4XXJqCBHXXpIawBhlgG8AtbMAf3aVWDNzzWK4syQze2mc3Im
HQ2CpbCeN0vG4sQTI0K8e32ieYBLHPefnap42jjbKwElgTHSJq4mPWpQ/BpWFZ7b1mnpKcW/FcRq
TI1xMorGfPYcyJOtMrtnjACTJbrHWWVEWvM6T41TFGcf1qx9fZI9B1P50Dv+F93pHako64eSUqIp
hIwGWIF3yxty9ajpoY936Ab1Mr3TJs5L+q+sry8j2FGfHM1R8m+J/PoS5zSYQS1T7FfDTFdLATJs
dzKNz05rb7Tf13+fZS4safBqTyre+gEAwomWRQa4IB3iF5hRbmJpt5HnnmxTHKgqbBsVQELPkKRf
7SsBmiaKALbOyybrLFCexq+2vjFlh8H17wK6ONBm7js1n3iHG/glP9VUOcxHA33p6EIs1NPd5BIb
/rbONZdu8IxM6QbKzmNSUSzzuwDCS/kRtvLWtOl5pCNLskLVsrIfOxE/6C0DV+nJyTTV2XCkjLHR
xzCLw30beISEbOQ52ySJsXaJ28oKlJOdv/7/Luv6YGc9eLeFEBakdWJeEiX2yGv+0eYqAGSlzHS9
kESYxBKU7Z5DOVmwkBb5Lp8YxXD6m1V64So15Hussi8/lR8I4N66wadhP10GGa/YH7AxdCQW9i4v
J0jaEvC1ibXruVnSKCTenO6Wt/6tlVCNOPNyqFVGM9ipsMYtiQnRk0Kb3HIGmIJ9MJde7Oz9vP0o
3BZqqiaGB2I+BZ31Ejbm1jExyBFAtcU+Gy1BiWncpgphDl7745D3t4DT7PewpMbNL5inTdxW1yDL
Tks0UO+Wl5gD0BCY6IUWIBYdZazbngs4kuoqCwXWqad9BMQri6FFGrdx3TwRbYFyINVY3LOH/bEL
UMWOcRmL/lFNxjYb42PRMqk62n8SM340mRhhkrW6owF/BboExGl5X4p+bwj/ZCTOQ0bFIU1bXfPT
JQEGpr3qYuGk25YDasewLQGbs5cECqXwWuIMhGvc4sH4a9jdTTrlc2o5n/oqEg+GUbhzoDFYYH1d
geHXjAOa36lPoe0bD1SDD/kSkSGELyDugRPQ717p3bHUtEtV8J6WEGr43a1dMDbazRntcCoXeQS1
CkidOb56bhD1hDTMokuSDc+jFK9RzsCrQyHNNK56gdol9CiCDXuRNl9LE7QrlY+3OZ6uUW19xulA
xqVOY+ytJgsJjAjFjzBdG1SiiNAOxsxM6qwYxwzfYgLVvg7Zwd1BopCRF0jXhtmUbotyeTRJeMtA
nqpaPnpCBGsr726FSSUcY7vEcKHadCgHAVcAeHQ/OCSV8ddLJgKa4CejUbu2bJPd1qjTv5flkj/o
TR14LlVa+8VGsMOavJehoi7TIBfSdZpFiC4oUw/h54jIRESI1CzzXgpTK16ovX7XlWm8OGU5baK6
+/DBZiIFvS/mjPAWVBcO2TOuxAc5nQkJ5A/VmATLspB+CZdMIWQ4i71lWu8TWRmphgcinyxuoz2W
xx0INW/wcqX5Oi/3kfWoluaUEMkRtCVbLswF4efV2Y9ZglrJjjpY4WsL2jkpIwKrgOFqjyEfPguu
/IrUAoiSeKsSUun7jsSblFWxAYkIInZ+Mz76YbXL4vwUqQRqQJumEvxn5q8+RSjec6u0A0CwhKBo
nnHyPfkukh8lUQIqVt8mgJR55sAJ6A5wQOi/jMMTjlafoQEtimlw7njQqoxXuPnRwUIQDvnZvCEJ
XRnKWuvzoP/cfOWfGflP8U0Ixd/wXIgQrQd4Gmty4IF8sCv8HX6e6w8YHh6Sj7VNfc8P/oM60BrP
bGjUFcxVBA2qr68zdOBSvnLvHXFMT/qhA92AbIg6hfNIen9oit/Rve+9j1k9cJ2wQgt1rjbcgBws
JE2qI32yP7xujxqffov6T6G3o6rqYc4FeAuCn8i1NgOyCIuF/LB1csk/9K1ko7/JWwi6yfAK51wQ
ii/EtFyCG0y7YetAGREu3ykAhcF6ySUMjiF4tNHajrY8Up1bE9xV0HqLAUzLvIutr9K6lyXVA/WH
NF5vivanRnbKd7qnDgFX1m+uwClx/wzoZ288O7tKP3pb/HZAk/kNE5ebrLVXPS9FVyckgtFJ+sQH
eJkjXVR++ISQrMhIEiWx9q3hfJBmrBFLW6cDvIQVkxDPcAVgxqCXMD4rB4Cu5EDQkRf7eOZrWfCK
UsUoX1k0NvWIMZvcv+74VtSvdKvWkoX0KQQVXbCthxuxLx9kEWZcmq8FXJ6hmduEA3RS/mGJn7D0
OoTEsv5b/nrdiw8iUjpECAT0IFoYqkh+eorHhJ1mfAHce0R+/dOIbB2IcvGym3XomwTuE7gF5DSp
++hHNq+KQVgDABpBpwUwpJMaljvsgwICJOuFJsIpCRooiq/54p/Tbno0ZoD13Efres8URmgBTh/G
+FMQ5utXOMEWJB7/35ysgSc5oL516o3fKtwTCw8206vhmRVy0xQunAgppOzAJ2f3h38WDqPO+szi
q3T20APVbP14I6C9zvUhy/6VxKJwfhUlrWwy7QxvG5GRt7V36Jv4Emk8Cju1n9chcyToKqMy8852
KVxqlb16Y1dyfzpQchmK8yZQtuQCnS3P2hZF8LnABg/60d3Yyt7IThOKNjCjaugfK8lJav0/rBvq
GAgxvo6Bc45lBOSDIZPCpFjWr9Ukjt1ganuno35tUKnM6D/nKSTeJYqOS3NlrfoxuCtnUvA+2lRV
e2OhU7M+88M1S2ghryzgvz2LTJIRdT9dEd3CmMaTGX+NpLnGvFxCY9r6cXHQD2g79saQ1U3fpj66
pFrcBG1FUE8Eko6qKJOQEbhRf64T80VL8/VfKoZS9IFNPMMSFkFL7IJcj2zKH+Qt2mKwhcJ6rytH
wDU5H/rfxAKkV77yu5mYi43ErmiwbILJS20g+T86uuOq/94Zv9GW9F9BEwjkvGMQePPPcKW/4KLo
Mv/LNw3KegMZLXetzyJX17kSQ44e0zn643q7R4wq9tUbIrEQiz75bXPksvpI8V+8ugClU4oNuu5S
e8m1G4qrrAvGGwSBfaACSZvQlY5J8XGi30qvJ/CZp+1aCpbFWUHebsQRw1I2IXFSf5RTutwXTfVc
FlBlBMFdRHANkvi3TYqHDNqnPTTyF23U26pm91QC8+BNV8PPBe0jmKeKLhr2szF3x9Tn5fauzQgT
5AtEmA+TE93GBBJCigirWsCvbQMpCFO4GyyDzyVldlGC6ZrS5+K2mf34CwKbS9AwgjnqAiKE+pGD
aFqVf4hhuKeVsoEIRk/eMa8Py2s+mzcCkUMx1ntYufeGu+zyYdkmNvMkQ6KuCyPZFfisruk2cQ3w
uIvp1E9n4RAhzgllzfSEuBk+7IGdQnfq1M7Ga1zaZKEXib1bQKE16QxeCYhMfEE/fN/1xtfgUNp3
rWjvldlGsi1YdbuhUenjV6z4ZDBUOLEZHRMlNBXtdOorKAO4aUjR7zIzIOrQ7YeypLtTQ0hpRFza
ghkeCnwFdQk8n0cJezL/msBeGw5v8jRL+nsY9wEjD8Ji08qWTr0Hye5PbYHwd2kHur9WE22MOLla
/bi3glcr1d+Uqq+Qfq47hkf+q3TybQ1caMj9/cCRRboP7Ahjaq7YuuzHOsovBsM3onXuUExcQ8++
Rr9ksySoCLAxAb9tK75xQGuH3dlT2sAP1lRWQfZvysgkPyOYjC/cfjnepYu/1+fEVW+S0JOcCNMD
Fubfa/Cy4howQkS4QDTD0VBE+CVa2PBXMEgmT5Tu6cFfgiUjnp7YYfZtaEAdUQJIiQtQpwYgyGR+
p9M4QAHx0cuzdRO9zQRVPCx/2zcP+nZ7KKudwL5IVe4U+pk1Ee8QMRHSPDgkCHXxm+JCsc0ndoPH
zEdWtqQNwX4x5DcFN7gJbDAwERlnBkwM7ENUHVDlXbtVSIG21I6HHP9g0EiojZPH0jTVvEf7fV3h
Q0pCctwkHAwMHNCEJ2yYMJvR8t1nMHunPyavuinpU0ZvCSJaBdACrEpA02H+53rYfnql+BaXtY0G
aMmXK4+nXybvNpwuWYNzLxM57eUQ9UCIExeWkRhSV2ktD6iOtevUcYt9TY32kNmp3I1tsc/nO7c2
N0VbPwKg2orlOhNpln27CYpPQg1rCddjAdqWIuhyoEzUOQ7oz/E76pbf1I+2bECeWUdLiQAsKtMr
keyNIwp+gKKZQQvPmKYjSmZE4SlQy2YJAO2yX4Kk/8Pz6D1ruc9oXqx8t4Nvy5qcVdpOcBaXV309
7Wp64dAtjA6Eutrjt9TK/XzeGrNzcpS3ceELM912rw8V+46rBgHOI0ng8LAfoz54Anx50rhNUUEz
FW6DurigrQ5YYNgSh/SM43OWJ+bMOrZc3c+0R4uCHkpwaTz3Hd+vwOWZmuGw+EhIClxZnHqOgB2P
JwZMCPTCdYk/AtMSPGvbMZAuVY65WZoXlokLSAW8IVR7xL7WmUcvg6ZsKsSlJNoGwXpSC3N5M/h/
Htd2qO6yLHplM3NTYaAdJrb0NcUEa54DvTAKPnrfZUPBq/5J3EBbLQFcp2LuJRvCSxW5z32iwm01
te9sKFaTV2dyxMgFAhxl7mTPePuI4p4RnRVbVceaQ5OcgwCEBMknLojpMgB2jWMA1Y+/ZsIF2jYH
2b6MLRRrvBfrHV8+EsfruMHjPikH2gs9GCIOB+IeEJfH0Rnu7AU1HNPRxgc+dw+u7JrvdSDHm35T
oQOgAB0D81fGYj8s7SHNTrSVL2rILiUnaGCAz+KVkNxCFO++NkMHD+ioY0PtVAJMFCDRnUDjDcDp
h828Zt49lqQclnvqLR0RCF8HSSlJQDuOb1k5He3qx3Xe+dXM5LK2o9qaaIse5MNRryLrotcC8UD+
FeIVgmrCBB6bLYaZDov4ROtryTiqVXAcGQ8szWprgq1uxXTPp3nV4SghBkWPpQmem4GiiYe2jIVW
Uo9mlrNsmCD8x2XBr/5d2PtX0tDGwMQ5EIRA5zdfsJwnnUDZZQjJon90mzd9Z+l85lAOELP9Y+I0
7sYFb9ZHCH1SLgj13HVzzRt5lyHNHi/jZ+mTD3XdxACaF7/bVfAtidJLpIsK84RS89YX0zctyswe
zrLN23UVwTtDfQToG7C1etBRVUq7oOnjizsMe3bdFJKA0lR1XSZBeWspxzCiczkzJhlZzskWRCmp
uoumhXIuKGjT3FPNvzHpueHP087f62cZQB+44XPBOIlLA93EMATDG9pnLmgpASy9a45LB87ICSkC
FVX4tozdcy/DW97lG4cvD2O1C1Wwx26Cg4rLDY2Xq585jJH9ODbzyD2cQOaTQThOUX0/dQzYtWAZ
aQi6NPh0FJOgkJTk8oIO10qbFWYD1gOlWZNh63gucCn+QzIWlJafLLChWf8TKpCb9MnIhCShGT2L
oxcUO/0iCPNyO70rxrvWD+c16SqQKuuBDNmkpeonbrJl0G8TJGIfik99vDlFs7DW2i7ZbD48bFJA
IODdDSkyBUXw27TjpyCBLuocNJSazzVHMyLzoSHJpiwX8ehSQ0qGpw74/Dj/BfIBOn5EWIPWnPjU
aQifcwisMWlYVgITsq5MoS7Y9ntt9czQPuUa4ZjGTwQVLhGqTlhA3pB3+PNHIU9+7QOqjUFMFmgx
onoJ0uTJjQFMkLpoR6Uo4Ar+qKBcUNavGVnOhMVqBdgJwzRZGP/mMhGjLbg7Bb+98HeiE384kUwS
6nQvjaOtmUZXmYHBF+YFl1LOiDLTeeS3lp1s0hrVi/QJddG1LkVM8Xiom1wRLddbvbwLwgY6+6/S
8UpiE3AO6+U49jAGT3O1dzTAjkXT4UHUvJIJwZlvHyaV7S0aMFnwfxzYMmEK5Ag8ZS2DH4OGqs4G
Rs9+wZ0eFCEijlGfUkJza8mffePvZP2JSvctcx4DWsxYKN1fWlgHHWnrQ52YA3NcWHFE3hiXIuSw
GRsry4p6NSIa3aNp7D3apdgD4RgnfyAef0RT+t4oI6Y0BEidBjR2caybX9Ua68BO9lRx6e2z/8ji
eVrD7c9BgRorEiGkGixAC6aHHxF9H4gAJ0x9DHGnVf1oF+Ol09Zx3okVCdoMKJPHGu5YHlpnv8Y4
fPAUOqhKq3fapNsmSDa9/62NP/OSEj5hv9WlQvi6eGi8B6vlz9aBAIeZKtrs4rHHMhsufGGV3HJ4
KoOUkI2IttXKxLfpA5GE71ZUrCsjZ77Ve/aJ5WIGITzSfM4ZT7MHibdlVTkltgmmEIQ9I7v3vTnf
L+rCFMNTRH1GmyGOk9V7d9rpUpGJjGSX9DbVf7WXENj5yVtsuIgYZ/uEos5MJbWgya8PIDuAQE1v
YV3XQabFMJed9tFozF57ZokmxADRTyBWJMzF0Buzv9e7uKuCZOu2fzPD+BihwilL+89oOS+Oqk+D
rZ46p3rpSOJ5FVxZgX2rhhYwERViQO90AiVsIEbypDRnRkxlNiv0gBvTSTbKmPSHq/FxSHy1sifU
KKj1VY76yNQnsNqt5PrSGu9k9uzooz6qLzCl7WrC2DpUr8IK3poE65YJE8ZJOovOcswZFNHBduzZ
K4hNn6d8ejNn728M7hID9sRdBtXX0MinJMmgH2jEmw54lZfd64BkKeSz3v1Tae0Bfj4BRui3RjRv
2RQ6hB1b6IEkqgMQ5evgymzsZ22GZXKPl4fscl12zDjgPqkaeIZ7N01UmPCHPV69RgEg4qXqsMr2
7IegaW6UJCXio/TGqDKLSdJabAeMdPt3zNBJVA9NVh9j9DxDXE8g35VsPkEJwdSP/E7AmFU/QoXd
AAcPI+cURjX1JfA/CT06Va+b0GVihHGQyZ6xJ5V/Npfsjrig2qvBBJ43H7tKnsxGs2R535HLKG06
HgOqCYQjwL1IrxsIHjYKPPfA8ezq5pImYI+6hGOdqZsZTW9ECqiWoXXsLIHchnVFHlBh4xCZXemA
SlvnIc3nTQBn96nBfdGjb0uEWmm4bS2LQyYy2m8MbxDfAMyn0LjQ8eFleBl5tFVZd7ap3g0z44sX
8OcTxehJTJ+igI1l8mi05kO31umpW4B7Gno2QxYxckUKDUl5vKMfAss0OgyRGPdxRu0mnkx4uCs9
Zs+Ma1h0xHD+sjWbkmxTJKDghup3WhAhJ2axZ0YypnlnKWlt0rZ6jon+rXz+nvz2RSdSLdpCYwR8
34klQ6VU6AkVpz3tDJilIGbwgMF1uXu2W/XSBDYYcDDbJVQhSRvdIc3YbMCTpVcjU/NKR/m6/yBG
76DDx2lwgbqOt8ADRzG7OD+3/7Tq+RtxxJ/Gbh4SEW+yhpdYFJBpjAnYdudUxCNlUA9qx1KSGbqM
m+ucsKfCT1cJ7ganAYu1LNlp6nJN0lxCaoExHUSEyJ3HMZo746MzpichBKWAqCYO9fo7xKQhsjVU
vHdFyPkGpAKnOsNO4b9hHkao6d9CSlRsG+DQk1M3qyUDEZaW4iGI5t0QtI+yQCZEzEqeHSPbdP0M
ZUP9pFwzB6mXRg9xpzk5FIO/tdW766WCMsEYupeedi1FOnubOenVTPIzW+zqCHi3VHpZsvFXmMtn
lC1nvV3B4+zkFAP6SnEgUxYygjRH99Yc/6YxI4TgS4NV6Tobfx6B6CBpTy8Mfg2Uwk2w1EOOworM
YdgGOLfzskatYGClCeTbgCiW+kOMPh28JdzCxwAuSZmfnU+EPxnqyzFLgBQukKJy8sKNH9LC7ur0
Pgjjr7ZEJ900Hj0ciU1M00SII7RBdF0q3G2A+ny0oFccgEtkVnA/4RjGmMsNocvQK73o2nTOiOhs
Qo6iaU4XmTE9lFALtlwVbS2DfnoSNu2h8QBapEQ+dOLftfkJlHhqKJIkxsi62pBeAtRclR6wrsbi
lfr3CVTVQN3hZJs4af40oCgI1CrxH3R1IRTiaPfFxcqNi4831GeqaAJAS+SwSZi/eOZy71UwszjJ
nJ2Lxu/PwLSDB4isYUsjs1W5ndwi32OEHQR5Mi2MRXc9eIJcYzdLHYiBKaRgR6MUkOwIu4AnF4ta
JKA0kYzrdqSaNNIhkwpZThXGj2QGF4ZbNkpJRNetx0SjF4dwR13m3QzQoGuz52TJ3hy3/G2wtKuy
7ds/yqgjuNmDhzl2rW0b8Mj6rdQZpo4AyjmBHb0wyQ0EqNxELl0vAgswR8+u9qhl/h5NnBk0quFC
G56NsS8ATPc0frHBxuBDY9L/oRl3snL1XRjT6wxbwGFJTKiyCigDmgY0CpiwMulOgRbM8Gl2DeR/
fS41cqXcmBNBumb7N1kQ/LNy23PJNjYQBWza4S2a/dfSJ+H2M9rsaVlu6Wbd+hoMZ1hAMD8Er7kD
/7h+oVXRcaqNUx3HiCqU1sWU8g39Lv/OXGow8xbj/kb7Phvjp5d7b3HYPcYT2jdR8xUR1rgEUWKs
OXgm/HOTsO66fvxNXTtk1mes/1ndvBjfcTgLMRum1/didCvE3O48qpXrIFp+jKIv97r4EwI6thCc
dMKWgQCx632UYCqnP6RRe/FDhfx6t3dIUZp6umcAZQ+R0P0SmRdJZWG2CBJ176f0johAfcyUCqI8
OTFdcAGlshE0H80STEbr2LicgbJyZZ59G2KnUF6byD4FA9pyQ/vhBUgFhfZ00taiDj3ExIB8dxTp
gxCsv+xeDOgRVpJLRGr47nMVrCtELuA0qFZ0VZCbmwhoJglHLLN9uqoOeKUC7KiSbNuH4bOP4PO2
hsYBXN8MH1vDDJOLHczQuO6skYwcdqK+inRPAhQkvOsmUGFvoNaToQ6kMgHj4lKgLq1bK9EI66/J
IFgocEdJlr+VBdoDijDJJItcqQ6vKXpGWYSztaWxtv5j6byWGle2MPxEqlJopVucbYwxmDQ3KhhA
UivHlvT05+vZ52ZTw8a2LHWvXuEPYPIYEj17ATwvqKn0PK4TUlt5HO3juHwsM8d/iOg0f3mTPClh
XUcVtFC8y/EAQjVZ2aCMML5+l6TCWSNv8zjLPbxC+4RndXfMfQhL3eRfdK4wm9CQ8hE8/ezM4MbH
+tZJphJBCYCudqrT7Jgno4+PA/D80yCnM+fmtmeYFE8Lc4joBNOZeWO+ybtiI5aSSDRu59zq4RzQ
oaQWzUV0D+aTJDtf2SYbEqgzLWY0dGNl31tTy2jAtj4UbGG0/QEgkHjG9447P5fwFe+8BE3HJkzS
Xd+5uthuI3VpRgEuxYZZUCoIqU2iR1BTFlwH3QhbpunBLkhfp2Ts3jqna3fJEPy6Vf5RFg6tggDt
BOQPk5fA6kDOWCZQmIGNuXbh2ABuhlz8O9cxZuHDOO1mx6vO3ii6F+DPtPE5eOd+anmHMN4CM5EY
YprLjwGGZZf4cfGQzlF6aa2gJcsUk9Vv/HxeHqIUSgO8NcJzAFmqtBcUz2pjXluNmvdjFCAI32PM
ENryNvmpXM29ACufxEizRU68GVQy7Os88E8FT/To0xADyZTV17CCLyVqYOOiSL9TR9p/ibbV1pPw
86e2Q/e9cYxHJy7trdGXwTrGyhy8ap4f4/IhbUR7lwIXXycjc2oLMo9rDzT5YpjZJUSnVTXFYPND
RA4FoIY8Ya5aZQ4ea417Nzb28xCqitg1v2Dm+KJg4gF8sP4UGbvQD5qD6uSB8YZ351Xl+1D1b6S7
ex/hD4bv3RZw1HvpSrQXwADhMC68kxGyegqItkdALE9ShGS2cl2H2Pi0pNJRW5+S0bv6dL+npN4A
7Lv1KdANC8onMlf7Nm8AV9Dj9+iGmdlzPfjrf2VhAv1bBx7duzRGiR0PGzmfu2tRLihx1oZuF/W3
yXX+sIpPLkQaRLcC2761djt8KTUdqgnjjzZx1s0gq5JZ7LQLwC+ZnYG0Yw20vfOzW+gwoLd0byCT
D5U3KkSD8UWp/AfU+dBF9GXZ7/1CbLspP1mFMYYro4XzMiJLOnDooJ/eHT1/SKA1hpTfUJetplqH
kX/v82EzAWLwzQG4KoLZJAFp3AFHhBWzBQVsPLrhQiD2BIg64Lg7PxyycqMKQG6WpGDypQV6Nsmi
rarjhGmrQgWo6OIfFh4EhzFYjoVd+WergDNtRnQFp0RI2M510ft/i8RnWFDL3EQDq64zKDd+6p5V
MCWgrTD98kyZAN1qZ/ZqpiEejnKNU9aNKTd/CiNWY2/upxQ11mUkTg/BVsgOLDz8t4DK2goQnmnl
ZvRTkPH5lyBKBQkpoEQqLHMhircTVEPUwzvGLiQMgPl5D/2PsYa0PCl3XYZMlQdEruSYcLS065nR
2F9aB4qpvFEoGh/Trq+0lblxn035Hwm23EETI6nSq286Vxcxgki1p7QxuotjNOk+gRZdLcZmcrEH
DmFXOpIqyy6Kh3K2zDvt+xBn8XEMzZOq+w8fYnNP15mkhrZzUUWI6jfeWjhgtU2/ugaZT4rQU7f7
RfqawYILOXSbIDw3kfxZRPscmQJ4G7mE6Xp3Km/gfzcy2S998jXG1k0RhtBdczEB87pDQXdVIL9n
+IjvQ2FzRhf4YdHtBrN/RL3govrwNa2jp7jCSEYtuxFZo3ls3+Z+8cnym5BWc/EA/+hdTjBI6rFf
pfkMzBeiUSS/e+Ws+BLrHN0UoylfTcRlAMICpQ2dAlFBID4qjT6Vih8tA8BmBfdGqvZv07uXwZ0e
AlEg0FOcXUe80XAh4BTWeJR2/uIEqF4O02eFtlkttRZw9uzRqTPpRCbGLuoLpF/4UO4GOfguj6yN
/lmM2FyVs/ni2UCkAhzJZic8AynF99FRJJV2FjEPpLLtzRHeNXqMi7gzG8hlfVzeiaR6LmKxQx9m
kwz1LlTW386R5c7DnfsExXZvLMSmKoV/6wV7I4vga2cHoaSDJOcMciUPaZMUTJYZbGJuykyJ5zql
sGNw4cyQqUbz7a6ieER5SjKsmIJltVAS2u6wTlhtS7qsxrbet3a3BlIOzgxxzM4ksx/vog4JDI4o
q5OfucQgJ+yjuwBObexR1A7utaVcTlW8AcS+s/GhSIV9EH72ZDXzJjF/LbQJyhzUzzxByqIU4Wkj
x4xfz9zRSIdi75uP7eJxZ7kYS90zyHwqyvy9yCmjZnhB6BP2MVwidLBm2WyKFCOwkBlFm58Ne/rK
XfDKuTPCeMkXMpNp2eQVQERlmJupWeBKu1u66Dcbr+gKEB2jfdow7UPQcLgAfNa+kLCmxm0kBQM0
MfwZDetBTelTG88HmkGnfOz2XjGTGkQjDO2IGa5+0yKkPah3o6xO0swsaGfp+1wyipri6M5m6BTE
EmZCTrOisZ5dU6Kp3VCRGuaZ0e+tTuv3OkgAfwTHmPXtdkguJ+6O6mGrn4AorcfWdIHwi7Mw7SeH
ky1bso8kWfbLFFxaVICNYNoPobfJc3nA+hGHTMQBbHp0lfV3wccRhOfM8CtzOLzTFsI58gl5SlNq
nh6DDh8lf+xWYF23+cgSGftlq8bkQUTJt3IiUkEGO2vTmT7yVq79VCGGYp6S2FunsdozI0HbpVKv
tO1Pk7kUm2VB1LhF0HBF+KEZWDSbkabj1cMO5JC4xr1jQfAe3IdoyR+XarjH6AxNpY7EKh3znbBt
lFEEbY0Gt/TaZZZXrnvA52at9oIQPKcVOiNWir9IBz63GyBBw+K8uB16PlZIXPBK58VIODpM0eeb
wYR03g/5p5inq+W4b3Hgrk0zfml8/+/smrsQOb0jvY+nuHaejDILtnF6mF2tynNwqBSRDzSAgJck
Q9FbGTC1QaRXuwqYFDXWqyudtQ1YGFjkTqR4uKbzxm2ddeYsP92cLCtXXHCUt1ZVU69sKQ5TNRyy
JDwUAzJmtvsZh09ulyDlYubXtheMw0Anlx/oKHxXvXHiKpYRa/PGQ/uH5cu/C6Djk4W+DGOkZRrW
hqUQGcbOszb39gRWmWIuk/Rvkgw3kX9XqDdZEEM4DtStrh4DUvOmaVduITYG2tWOW2Jr/B1LymkU
L/4pt80FJ5v92BsF3NaxQCRg2JA1kagGKLYEHXCTuP5dfIzIDb0/m61tGKdm6g8is58zlPjm4HXu
MVyXb72kNW6X3/VinSqwOQinNDl+O/bONED8jXO55nullWK64IGQbU8Baugxuq80RS0JT3UY2w3f
ZXAl7g+y006ouxinXwTYtsUsQMSjqIo1YGipld3/DKziui43TUFx7zKPzmYHFTgzgaAG3VbfzNQB
zCQbpHraN36Yktoo6nd5JuG9Fw+Wouenop4lHzerWNLRTdMZJr7mrrL10KVr9bsxxV1aD9heBRME
vXA3wR7ewcbkuzS+2ohBnIpQ7TedA5pDFeE07Q6pF+8CWfdrJ2mas+hh96XLT7r0pxiBT/2U+8V5
rnr/KSkacUrkfJaM1fwqkquCZRSk1Yvb0tfry+YxywM6NpNkkJRJWtduLTBVHJ/TyvkS4BDLzsPQ
vcAbsVaTfxUYLTM0BsRgNwJht2WNAtN6RHfQbrodk9m1EvF3Z4AEdUC+kCeONX3iBpO7aIHQ7q+F
DO5jS3JMWjOWzmMRrlNUAVyG+WIMaSL1JhD9/BiU1pNRJ0w0GRE2fXetJ3fdquQlT9vXWIrvxhjJ
Qi0bexKw0uYUPXaueRmjMOd5i/tx1B3d4XMJABrQiYAgB3XB5wimQJgKl8HHOFHvBmdJ5z6J/EMf
gZfqXGPfx/CUjYrmhXjOfR+evENaIMJxupsUJEVXVOwmFL1Sh/aEZ0D0CwVkPeclaOqHpijXHNcF
97raeAUvKgAbUhiSk3kGlKkGPpzrkwBJI4Vi3zubNgG+O+IhtoCcrAfKiZyBV2qIezsrrzYuvE1r
Ak/HI9sQqJ8E+WbukPgrymzrIiHa42cN99+23mgrJ7c4a6vXKGx+B6O/VVYOeNLjMiQho/PccxJ3
wRbVwnPbjRbTJcWR3JdHhXowCJZ3uDqnIF4+ALuhD5yqbwqOQ7XM17yL1coc5JuQy0/lc5/DJHhs
h0qr0lvylhWpCdbWaroPQwTRK7IgN3fCZ7fOnx0jfwzsFGBYu8sQpLmX1F527W4qkwFwEuyA9Fy8
YaEGWTqE4hnmhQiFMOjxl+Ha+t0AyLej/TR5bIe6WwASBrsBWBVjcChM7tL/pkBYGuRTUCPKRQJp
vMNzogo3nWx+o3Zwdi45RB4h/Gm0xtpp3FVGVsLD3uWmD7lDBXBSFnEqMnk03fjaU6Qvwvsb9MXa
iQB0msjtqmgd+2DngmliptDmWxAf0KAZrcuG+zxLZwNh9cWickPRecacxV4Lqz2NYXHNnGLrgkDX
WZ8LZ1MG2S7MzLPG1TjhtPp3eDpgksbkzTIQ9XFgxy4LSlVKXsqlebNtIG2z05OfRUjIY2Y15ywP
pm/Mk4HFvpVDd3ST6FGg0NOFFaLSWf/bBMM+mLrHygUXHdCzWHG+NqzKfJ8E9oc2+6D448BT5DyN
PADYaPxn2r1E5ZVWS0qaK6bnjU09OWVrDfVgLG1/A3oh8rnuPX9dGF+B9bqg20Wks71qk9haywt9
kiwmyjIGG90N5/SFV+j3DxQVTYbJ1HcxQ+0rDkUBAA0pjMRzqL4Q/p8Pag7WJoeD6d1P/AZo4Ux8
SRZ/k1oGYiyIpz005oO+e73rc5O+ahfDcAxOnX/v2mRXHQxBAajurP8XXyJ2H/lvMRz0tgksrbz8
qy8iO4lGI1W6ijHFqH34uCbeSlnXAnJbCeDj2/aCU1R9WQXamQhUO2/8OrPReHRRM3XvPRWvJ5hr
iieI+cngQqutLyl3NwtqfD7xKGJOzdtyAYybqHvRHGsOlffiRN+YalHdPYP14lfcWIODKhMYt80H
j0ENB06W/CKlz6PQQ0z6C9rxYdq4wzsXHsXZpjfevegh9apjP2FcUm6rCQWebNvbIBx7GrnIh2OF
TA9Davyb3nf80X+fNucgWbnbNb/Uj6UXZ0TemuX871POo8JcVNWvepDL9QOVAba8q8g6dCOAS+J4
YMKrb5l+dFwpb6vPBH4gZHWX87/LbnxxM5qN1X+QPb7YlCNd7zc/mMc96gM7HOevPoiw/J2w2n3h
xfqF/ND2h3r96CWZpasiulThwoDr26Aj1AP/GFEnn8D18xRoHp2aMoTKbR71ciTjaEis9b723Jhp
5TZJIdeC6Jn1g+DdBbwtFgdfVXUkX/aRN9ayzpJOns6R0ob6jgRIxrQWkbTmJQn/bPz/PCX1+5Tv
+g7oFxkjaJjpB5A8lH7ySyTEEzyOJO/DoqvD5qg3Bp+1UJ3x+ToK6R9uegWFXKPVV1B5sOItcVUM
NFkjTRywhiGyZ1vBX8uKGEBOo++NMdMyAG3CrwfmKsmigZvfYz4D1hpWVvSo7yGXHEs2VxToG8Jv
tNqs/o48aP4FQEKvBW3NbohHP/hTDIg798jLOJEW7QrJBrNtORw0dyHnnCMh45bxrGEmc0oV/95P
cRq0c7si431wCD68pGBrZJh/RORWPDnukxjec/k6Gg6AfhqnFuYioUuLLV37IT1zPX4ixOulkHH5
spW0Qdxj7aobLy4G98QPGMfXKjHhm2IWwqUPOpzAwdQbgmvpMDrso8+qsJ864/2/B5xgQ1cnpNy8
POYrafyUXh68fBDvpj2f2nlkVPQ6WRk26cTzuu6hO/EwWFDtDEOsxcCkboEpAfWIk5tfBkh5twr5
RbbhrAMFMykHDTXrrAbg/Hx9h9PaCz+b9HGMrlnA9Ga2/5qCdMcyq8ee6BCrpwkwUp07bxLqqlkB
YPeM+TDXA54iPN4RVFaJ+iWagQXCnSvHuk9DVCTtkYHuqD76yAKpRLCwv/VTbsZvGBhfAcKEhZ2Q
5Cr/YtlDcJf1QL9zrwL7AnOf6XZjgh6iM5qo9kOkUbgOO6rRoZ0UhZ4X3qGxCJeSqSzaNn/daLjJ
sH4wCki3BYmJ38pfq+sYylvBnzBfEPeq6ReGrfE5iRyZfk7udqoACyQ/TVU90zujs1rMl6ZmVls2
L6pj0D4ldrVrqvytnpw/PalllwwX35OnEY8txhII+tTtwZ3tVVEXOCjGhzloD/rezdYM1Se03puG
7rZnjyebZMYzgIcWZfuYeQhnpMgT6TF7FnRn1BrWgVK7qvBf9IYenOhsiww54BrF2XjaT9I8pEr8
HSL3T08nVSMB1nJs7rXmeE80ShNTrbpavcZF/GRO8k/T5ocALh0pa4pjWp7raO2uzNKhbzKBZ88c
dUpC6yE17SNp/HNoe7dsMS56IVm0OIagxcnEiI70uQ+6Niqj8aLT5zoa1zSQ1zpWxtI89k2AOlJ3
YszxPBjySdTITfB3yCg9oaF2jqNm36n64CfyFmtmVWGjYWi7yVVrxSymevFq89YpJmZ5qc6IQxx1
uh1ExNGyeK299EIV3zPk7vZFGL+VMAcA3njdKh2SJ1qiNsg0Sr/Aab96kXyLhC4cvQLaw2zNHguQ
Kjhn4fzSxGj7F+MtouNl5SjdMWz9VJNFpszF9NV4b3RioxjklHGDm5BzcYXxZtnLl0xzwBpQDVyO
UNTTQq1ud4Hzg45Qy1Ozn+Y6e0wIv32QnnNmbIgnQfZvzE/LXX5Dt3lQXgCiUXXXmYM168TeZvfN
c/aODN3KReAtbON71683gd8eF39ZBYjtVSXF7uycy0686rgdTUCpavo77QjVIktpLjOXOg5SPSe1
OLTteIU9BVg7FV+OpY5ePN8DsvmxhvzVjCzIABhADw2Od+I+bii0poT2aLKYF5uuklmW94NXHz3s
PWCOi30dE1PMCPFIEsi0PwDxei8T8xqVJhpkLeIZ05EChuzR2eV19hYt9d+hHi5RZ0DKVsRnuwFh
hN7wCCqZu9QLNCNdmoqB0pCIJ4VBBR4CpybHWVPWG31PzAbT9iU/u8p5UzaGco2xr6boGI7keGQJ
Y7y8LUa4c8LomovmYsj+1M04lCGYVfQkm3mLqoq1C6LxNHHyt7OB2x83cXFCeCZhTJ2URAwwkt3C
R4l6eA/TBk5xumDMHtOLHDb6OeCURVtjRcRdT/6ETXaHJCw/zcYB4qB95Za953Uow2QxPS92lL5F
lmt8MjEaMDcEMuz26Z96UYepHt56M0Qk1S8/Ga/dz+Z80MlsXVhHD3xWytbEjmOHQN5GkHfj0kEV
7C8bVbqHPqSh3oGeiMf6DYH/myWSbepWX+FsbHXW0Sb5tvLoUo7cFmG9zUSLOGTuoUO0mVYQ2bKz
pkKqYT55SH6iF2isGVwfg6y7FWJ6Dlz3qRX2az2FR5hiKKlhhlk3WMwZ1bkTAmMtbk3qjXQFhmw/
GTAxTV8cp9hf1ZWDk9XigMhlWYdNfyA4I9pklC8u6iqTTA6emT36Kn0BfLUn+P8ynYVPhJqdv9As
KNNtMpYnOg27MOmMOyeZ+b80CDx32plZcgGAjHCBziYgBa0N20Enq/AOscNjIu4h+oKCCgjV3zhD
eyBr8aqnPe+oYasXlG+lR238XXTBQ+4JNCSYAXEHIz4PphA7z0W6JILhGkZEDglYVdT3amgv4SB+
AW3vxJifRTCdnLjfhiGPv042Na1k/fSqlk7dFMZXr2L84bpaagdvHW50n4TUufG0y7Qwe26YX4Lp
JiJ+xsmbHLzua/vBDNNdI1LCeQIG3AZ22bbqSF34rhMinexmHOIrd+g+umW5IHYJL6Bur0EdbvO2
vHQovTv+sAsGc99OE67WeTrpRfMgfQE3ks3olv3GywDoRGgLKoIPQrqHhh61dIujbLrnKli2EMj8
u8DNXxFf2MPN+ArMCBZba6GvNpjQ47kS6Sc04MvivTT8rymh0187FmGl+YM01sG2gqOl5EbaoPxJ
5Mn0Np7jo0SVImmnIYgzVcc8yc8KMBrXcfFNlMQsOsocnFFr6mnetg/xCiEjTSsmh0mGgog+Paxq
Ypxec65PqBRZ1iFE3wyaOtBaiUY7rwXgDsbU7L96mf4x2BbdFO2isdhaQf8NbO/g1DTmSclhlkMs
SF5EMMKBwdwtid5VhAqkD2k9B/Dh+8NPSV7ViBFFRNV/wQ+ncsW7SB8EvrAZysqd/su2yl8jjoKy
ZukDp3iMBqyGHVBpTUvvhMIO4pSIPmnggJQybxka83rF6OCycK5qd71EoApCN5PW2A4gz2PX9hts
Lp9qm+jRZtlxiJEekSDEi/gyquQexNHDrCjNsvou5NQIAvDCAq2tjJableK6E0d/ynbC0lwe+izb
6xhtiOFUGsM2ptWQUDPUAwl70cvXwJXX2i4efaP7bAJH65UihOSsK0t9+nH/a40OavTu15hgugf/
Mwn6tSzIqcOuQLlm8fcyy3c4ZWEgP/6UWXQaA0KQFnsiFACywl4s2hi++ZWHyzYd4IKmmJJW0B1l
2W0WImDXGEeDvnhS+B9jmLwDV8Q1t8SAe35qeYixEI+zb3lkv+kzSm2HOqrfmXK+8FQ3k5o3U1cf
FwI+PMJlPWPBRTvymsyweaeRXLgO3/wlSBmKkhGkJLlqQto0Nc5kAFsGICH84HETsIYMC32D0j90
KG3WlE7eLA8+0WxaWG3pYv2tPSgB1AFQXNuvxUdy0Wt3TZwcMMPcKtkffQ1La9zqSehAYdBkY1Mg
4PmsVyTLZdvWdBxN/9Ib9cHL5vtKs+Uy1LcQWm55o5Bzf1DiEFU9Hi8mHRRsYu7KUNG8Lvb6kPj3
hGT9sUxgvbx02cWyod4f6drVFgl7wVOWZDR1nh6C1Ps0BgT18v4HYwJaaAuCW9ZrPQzGXTQUYOro
DXbLhmb/39KwKkTzRiyvkXZ0uoh60/WfykRXunCJ5YwIh5V0r6gcn8ygAItoYdJSWs9WM50WGeCB
tmC6hFR9MKlXT9DvDixMxls/plnegX1iypX4zd/ccB9tXDG4OW+BRFyqVhlaJahh5IHYzra5HXS3
qvAqtitTDn1nDYdSMCuNdwA8Ry8qn11tGGTAhYxUdsJedh8SRQyT2sGbC7wRzZIGBbyByX2Dp/Jk
qvzXtsdvwzEoIvovIbU4R6GXKNYDvLwZrZNwxJ9syjYd2mWti3Sy1JZF7Mia+gDrqCZGx93/oQ/0
WtXyZPrGLq361dCRUquueNK7ZFHB09Llv2k4vUaqu1H/Ahmcr2VjH80Z7UU6dx6tMSdyL/oi9a6y
4K86NJa7st7SCqftRcJMRQCwf20RKIKY6zPlX7MJP0cMREkeMPgW61i4G0WpOpOR6IyZ44PF28Lz
UlCF2eoh3rQzng2sRBGU9V1elA9VhGfjYj3NbYNdjEeDHC5+Vu5nM6ObF11K+l56B8x2fvSMAX1f
j9MleWp8sfEBF7sleGjDAVnXQr+Wp67L3kZzYkbV3f5FbnwmdVCY8oEjv7iEIvtQzQziHjXDiPa9
qTH0ft/CD6UyzSGXW/EDbQWKzXxnsymdJH2SjIgHRMd9spuKWiNoyucaiCIaljvXmg6GV58na7xk
rE/EHfxd0ai1Ls2yvPwuYm9FlKBh3530988UUjpUOzZVf+O45z502Mbx3u96XE+WBP9JfFyL4H5a
xo9COB+jQBsE6naUjufRb75rCWM7N7t3s0UTyQmHci9s41WQxUZdc2HY8g3g8YX6ddfFjOTQXH9g
FLOskzDZsIhuqPx9I8x0008mQau49OVLM9CdIU4QnGFPzjvh168tR4I5NG8dNmXwtqH1kubQl7vO
hvpGSPpMUr0NM+vUsDyq1DmPnYmfifdWOXwdg2S6yuGwI9YeqGPZdadoSs4eKziz5d4cxG5O1INC
rTfO4OG1oEy5PYinMXgGYJ3Yxjca9hUpe3+BlL0L22YnKrV11XJKnPIAQvlaDNZ7O3HiNSSbfu+i
SlRMp5wBIFBuoEasVfQeNn0M6S8y7i2/3GVWtgnD+Z4i8lCW7VF/MKovm5G7odWna5xGJf2qXq9b
S9wL4P1wA0npYvOg11+F3JsulXVVqb+RPjGnKHhIrdS9i/Maqzf31nf2Nl+CLUfzeSDGT451diaU
9DzI2rmRaMqv+zfDo00i3aPXgEQSGMS7f3HivMU4M/pcZv93UcmhZJScxt7vqLkhdYhbE+4rpD03
XQ0tmfNYJ6hHjTaCVWl0piU60JHS5/ks5rU2Tx171M1zlf6OKq02OqLWxrQJ7fYbuuZNd9f1OZyw
adF0uWuM5xkYYaFbd5yTo8dC9Wpdc3EK2MgJ1P206yKtFRfD9E4Z8TNd6GHyzwdtYzKShduA+juH
8wjPk37B4cGmgfzl0qlKSnWtUuNN+tNFh5OlS9A09/eij2CUd/f9AvePdaFrer1tAqVZlO3W4nTo
XZBdxY+DmDj984WLxMFu72bVd02WFtiAhBtg/jTLdSN3JmDpB+o51THLM3w3ho8MKdW6t86z6K8A
63ExhN1KH5obuDMK809uLhcIkZRKLeRV+PIzHdgy+Vd31Q0MHNugHM42zEdXbReSrMstMyBo9xYi
jz6Curd/VY4Pk48rMWsJRgxPaPxniiW7s+PXAeiMDqsabEXzGWbaY6opITrmjDTYjPtmRKFckyLs
g/64mtaf3b/qq1x8iiiWiz4FsiR9KCa585RCn/eKXViQ9djmNGuBfleVLauJs6vhWQ/KfNFtYL2t
pwqUJrM5kp4j2l7EFPo0iExhwIgUNX3XfGKikKzM1DzTg5xUfedk7CNitkODpRp+iuDbgxmD/jU4
Y3lXT9Yqjn6M+ppNN3B8azQdgQUvDHYHKHkQiN3ogbuiTwR9w1was6NjY53zV38TgdAC0WAFfOys
2wE2iTFdSe0e8S8M5gmiWvSKQAuqDPAnN21ubb4KBlksjDgxtkU73RxyIv13bfMx9M3JoyCea1wC
4vnIrPNOnyB2HOGHTcsFVD6PgL/sbKxuOMhJhVYdLJIel9o8Ry0lO+i2qiqAeItyjbnmqlvaf4mZ
G4e4mSHDg5lWLj70rjGDeV3Rs2+j8jQgCq5XCbbjUdydStkeRIgwCqkJfU+9t4yc1zKGWp6ROn3N
ls9xdC6FdFb+0B8QFQIJjKxhCCd6TE+9ilco5dEB/9ErpS4+6rpb6wXUynlT0RnTCALQYHf61rH7
tAx2Zll8V3TyuDYtutx3817fVYslieK0F8OEw0aGWQeLSt8zva2JWHfom/zoo1cnOXq6EiIoI2Yk
pCoUJ5hZkeD2HWYm0bf+tLqs//KddM5Gt9WOx33DTdYfHtdfOmwgu7Wx2d9hqQ61sAnOEQoHiPvX
/pkXFnO7sXDcrcitJnmO7O+ytfCgS9ZMQ1Rs7cfBQPdWkSNO/YPOVPOwOPQUqnYEfJw2SNjfelZu
mvf/Etmov+mtMHBYDvkEUAL/6TI6DAsZIMuRb8C6JxYkaIK0O5seOrBxx2KWP7Rw/lrs/Khe3b68
xf3z0FZQuhTeWM/6qVXcDgCUWz3BoQmKpCw0AKCCelkQjwZ2eCHHbW50/Dsw9FBppR+TbhrqNcKZ
ulAM+bg8pz3tT0Rz2dw6GjpM8KgH9Qpwxs9E9OegtS4dgGsX05io2LBgEoFmMVCERqfnPmPHDsBf
UTwlYMP7jzaayEecTWYistoba4DEDzrkBL2/4sno9ZRZzkHvHh1CGIbVPMkacg8muysdmAZ/BIrx
qZ9hSwGsgNFCZD4TUaBY3LriRz9vRULml5xU0SfDTP4bBMz7UZcI3llHMb1GvUe18jtfJ8ZaquHe
zNWntsFpPIYX8hy2ADEX5CVS6E3kOHrxmoQQfdCYdA2YCkXkpzwFvUEZvcxpz3ScCTkblGmFTwUi
0g4q9DdktjvpTkArqSsJP3ls3FnhTRoxMFsP+AGzU6Yv+h5k6TEQyJ9qKwmqWF0o6U3PgdRgKZU7
n6i+nfQHUiOsHZYFPjd6yVfUyTpoLcrRkVAfInpXeDGKdqbpH4nbdKNueHzBM6K/w9d2aTDobdbX
F8XZU5vLXs3hgQgB/4ETuGO38SWTON7pKOGAxDBz9dBU4p4p1L/wXTF5o/DTqzGXM2lPd2blphUr
wExBJAC5i+gwE6qyJXjUpQLrTz9u2fXQvaBgc/jqY1/fAst6J3TEJTB/vkSB6qlKQEuiEOt8ptz8
psCTQccvthK7rqLC0YdUMszsfpqNPsKII4NiHflp2W+12VzXBPB/t+zXCbqdjh16rMiT62862ug9
loyQxVmn/FbHg0WXvTgA9s862ti8VwL3gfdoyGVZPkD3jiFHVzF9jVrXHQ9yFxYEsWFkzeqFknMA
56Bj4hJamlExkMwwb3yH83TJSK7FeBUFf80z7B1xCJjxaYTK/1eNjn/sA49eun5+lotEZPSgg0kE
QrpNkos7wtME0xTQatAtBS9o7yAL35uEYyAOR69zPjJmOu7y2Q56W1h590rMKmb/nuuPHCC2C4y2
8hIVwUOgqu9/J4pVw657NzxvFbqob7rQ6qDIB4l9/hcS3HvQo3vxX3B1+kSLOUzrDIc7xIpXdHlo
LbHdgukhyy46mePsteLXEDAYClYnvdWTWb31kTxZ/SvBnwtDSmXjodmdJ8MO98t/H6x3tz7G+d/6
Dun9OFbZnlW1OPXOB8OLVMK/OEDeiQithTo8IuIGQEb+Ri9GfmQQ5nRqEJoJeHsQV7SjfSkfGQsT
yHjrJISkiBnD3OWXFiN7j3uJ+eBRbzNJU62+6i2qIQD2/2g6k+W4dSSKfhEjCE4gtqq5SlPJKkn2
hmHZMueZBIev7wO96E2rn23VQIKJRObNc5N7gg2/wgPEPApIYFwZiUjM8mGq7FIN+tI4EwQIq02+
uVz5XRNWTEjmKWGpFml19SpkE6zkisAJB2BnlYAV4+aoFCUk3t/nHkY6OJnTmvkA/lpveByoajBq
zq2j4qR1feCPzEXhGzriI+K7NsREY+9sApr0/ikEMaTo/Ro8mz1gJngQl80K89WHxwwer/W9qoc3
YwO89MPFRPV47h5HNu+a7donpBDxOD+qnQnCHQ+Bpb4s/WIX/auH2wvDnY8hS8S8Q2RbG3ZHE4fM
fmreyXxFi2fepu5WpPLQWss+Uu+LD+ynE8izXjO0Sj5HU5a5ccxJQ8zDiMD+Mn1bsKWYSy0ME8RL
/Lgs4BV9cKEzRF6DGuNpJGiumvwKT2+p9outzRGitOjKLlb8mJlHmAefALH43dnYFpl3B/LHmgud
5A/kOjpVOcB7Xiuz//A6uceFMhHGJCHmN7xB3Pde8oQoEwMXVcGnwWKW2hRHbzO3ukPPuptZ0iGj
P908oaUkULHoBHMdzdBv3cW79SQBA7stN8ysQx+ZwNiXjyaMWhVczPqv2eylzzEoWQ81Z3mz7tNY
PpURhGDWP/ow8s5xRo1Y9eTFMe13++Tm+b3MQHzyPJhQmo7+mV3DPLVeESPUIJMJ1WAEH3cmRiof
G2vM0HhRE+rQXpndjXnE72Rm6rwns8HYZb0fCOcJ+bCJKJlISF/M0NmDWSomDjakE2ZvNeGCmGTe
0MQc7s938urlNKsRyposlqhI0/JoulEJVcNipFZTZfsWdIcbdFvzIDXYo8zUOM1qMNE406jZu+3g
MXWd+yez0iyacWHqXNaRcd24/E6MIC5vYp5exYaR268tgyYheQeaHvJNk72a2FoiZar5G3NbeOZN
ADNvC6GDKXboBnxyE3JZEaawMqOw5wLZ3fpa+PVe2d6+bWEFs+hMbZXQrxueG2WfZdZgrqZQELVk
KSCzKm/TjHTO6u6pTC2U0TXcAZKbbP7VR0iTIpCePCZ5tL5zwmPvWxV6/fLL7Nhm/1mbct+QjQuJ
iwq7psktCBnfazH6mqkvGM1URT0Vy1c//5DyxXxaJC73tQyfM7IzOn1nk6aEFOcSTDGkK7etvJrF
6pFgtismj6XFyMVwbS3oPqyORJQ3Xs8IQ03qbWHxYhKbmBBnFhQKtL25TDzYPacTExVMyuiyuZs1
yJo2aamkATIs9dUsgZYQJt3yYPIcs+vRodxicWVCA4fF63/3TP9YGyY7SNPYvtsQTTLDzHK4mVjM
E2y+pB2/fX+YaaZHyzwq0SVOPofRPX2/izM+mNRljP0TKU5R5z9L8sFA03Znpf4/Npmc00+8gxjk
0QSjmRP7wIIbcQcztzuy8J6foy1Tv3hsuAa2DzfPv0F158Smh4ttcQXNpWqBeSb+92Wr5bKf7QaJ
c0QGyOZo9gFVrVvzDh3ZKG/amfHX8us7EFJ4Zi8wCd3aercorsFP4t0HLwaPhDm6mRxFqfScr+oY
O8TszicLid861zqZgO4MGQ7by4WjKHKGF4ZZTiZzNgs7nqmmsN9C0eUpsp1dlE3XvB8MavNK88Wo
Hp9l/uG4/c7E1dIOLya7LNr3SFr/wtAGI2zpY89bLYbRGsYXk36ZUtDcDTwtcLkQNTMISVvQ0LR+
pB1xpLPxACpSsDhhbb2ulk9XsRyfRhW/wct6YsCk3KyIUDagDhkGiRkf7fy4QSox3Ef98AeGGTFk
YX8fo8m/G7EgYsoi58WZ8rer+zYtVoB+C4jvKLfeleA+Tc0C7lUNwePYrYjzq4a8WqKILgLY3XEF
J251RcnBOvyk/GRzUg2JYQsjY1Vc5iSSzfskumuZxPeF71LUjwDvGkuhEr8GAGVJiaVo9rvBvw8m
5do9pl3Z3yc+w1ZZ2FzScJY414L4Wg4+U360F6uU97Qt7h4eiEo5x6Ze/VNhHphqhrXZS8XxQfbr
dTEKs7X3u42dOdD3J6K0A6Wf85WxAjZ+Nc2vsrQKpPn13gv/sZsfaYmX7qUk/kwOQ+c6Pg/RH8bQ
hg1pho1yr/1ZW9VlJuDUaLgsSAmbJltfGgtG91QjiW//ddhWI/0ihW+oBIJeGGDVBhyAlqD+dD1G
fqS1IBP1kiA4+H1xQK6NjVNr8VpZvrwUHfcWxfuzipAUjz7KwKK9tjGyHJOxjhLjT4iAb1iDI7p0
grdOoKNvJ/aJOnD++RPDLU2HS19bquAQiHnaq9X6nTXwn62pH0DVQmf1GDZB7ny/hjxyyfI5DZSV
5nTGiCPIUM2l9SEIkUHQmYqhP0AaCWmEtwVCttVe56NlA/CZLEJ6P7yWTXcbVXVb8enYgnO8nyJu
st/ZHMQH9RKboaecijrEOf+DQaFXkQe/y7r+WU1RufW7SsJzpVZaL4d6SN6BHeFum8+CalnmHkIG
2xgUu6Vjecrd7Nfihr9Tg5QtFNWRIM30OQVAx1kSiDhOh6/xCLMrFtbz6MBXzdNy2C9sYsy6Uj10
mAXwQNJsRdP8bNf8DabOL1oWj3gHUlGxm99WWL7Zc+wwSTRf87Z4rnOaF2X/Wy2ADoVNUdNX6W0q
oH8kdsop2nGSa2KVtKEr7mSuveFuQEsfI4OFrzk/5KV9LTS7RioatsYJsDucGm9WBetshjfWwebq
7Re9kiY0dfEjatQ9FlsAa+zyxR7wyEu6pjk7jrh2XhaTI6Ll0WPdnQcf18Sy7Z8KLX7UKePDuZNz
IALfvY7uZg29nFQvfIiE81xaZXJZXdRw2QBaFu7tOgBJDyjUd8mAWyJq/velrcRbNFOhnXJqexSO
PqswuDhxj1vYDN/Aarx/gD04bTl6ZEJnoJcZ+eKcVvTD8tZHiRKC8MrCLTZu9C1X1yWYQj5IuH8y
saO7akUFpaHWUxR/6Swq2dKaX2c3nMjy1ms9ru9LaVE6ZrLwzq84A/QDZptt3Oy1Wv6WSl7SpWLY
RaEdT5BghOF6r0ZfMJplUxbUsOFU8hnnw9WZgms7ruhMjXta7bYa4g1y/lVgOT0nGZrAqogpHJT2
uWoCemXjqMqnycPzTdaMB5Ue+zSOQJTRJuDOTaswPmIm+sec1DaRPJTncSmfLKQ7cGgXjiXItZ6x
PO82MyQIlCLC3zLOgjN3k/qHZGXUoCqjYl8gBUMqzrrNlc0EnC//Nh2+DZaDR4paFnSlaDa3Yxul
e7uRs6FnBBd3BEzEZQXrBjaNTO4rb+nZdhAEh9h/FJb9gdNiDkTLQmk//XWq+MYk/DlxE8i/NN7b
xOaMbuMG37vqBLhGQUWvzm3dY3Mi3Yc+nitK6RzqwTgA5hmdX10AYSRjjPyOyRrcbgqkDVZCWXYt
VmrpuMjZIPm2XduDy1ciR96/Zuel8T1TRlgZzREjvXAoTsyBqDtXLOOxzKxnOUOTQ55YiJrFPNv4
gtrso+wmVn0Hv4Wx98S/GKFq6eErOdcRmz1z+IEkUy/tidqku0q2Ul26LjPNavjoJAZJTqrxVh8o
r6kMmEoyesu1pMu+J5gMnxYDztt+zDka1rUl9rHU01u3qpGMy4Ztl06vTuumB+kR8DhSAACfgA8c
lj6oKgLGSEaJCZd9vzDBQaeXQR0dzmaqr05OljXnNJOku2yW1M2fyr7G2MKLggjMC1PeaPJdtlZM
7ebXFT8hYLEaWpsA6OOt7ci4B4IExgRCLriVIWDoO3yZUzc9+1U2HwPfV8hfU4Qy8P1wHdioMKY1
7S19ScWuzbJ7BQwc2gFTJdvGE7/yzgH3jP700EH5pag3rhT9LPvsjelMe85JXge7Hk6pbbsHkdQr
PJ3M3xYVzq4ppdHT2phUPbPUvTM6U7Tx+4pnQZVkUlS0uns5ZU2DEmJKLkmUY7velvWRRiTNtcKp
oMYGdfSaSJGxrxUOIxM4PZy73G2Rg7T2Zymb4KXx+/hDe8H6qVw72K4FoKzK8TkV5jo9OotGW9RU
gf2ZBnn8uwF2cwwYqsS7wKqcTxDewIuyBQR1UDB4NGODA9/JtfFAQjXs9s4AsNHD3SlaUVvtW+a2
yZVilT+X/gJwY9Jm7M8vmgk3wsVFAlqVdRzhpxrSYY9L51/tgDMrs7J99vyJuzZH+PC0LOkHZqja
Fz14jJF4KpuvGj0oCqU0eJtHq/9YqBY/1U5KxX+03N+DZmttXUbewxnNiIiBmU8BKi0yIb1XTl9e
w2Vc/9RDDFwr6qOArNSPT5gCklmOy8gW4NES5IIh04MqkhxdAbEomKu/7SxocSwuHKUCRbC3uJDd
O529iB5agAVbZ5MmKNL1tD7iZdP/w0srB+PtW/G4GSaL6bUhYJLbT8LJ2c2pI/E0zRcyPl+w2HHS
AqY71faxKsW4o1eM1iXQnPsDlNWQ0dsFdXc7Erfy1sKALYoYYR/0mD8ts/PlYIW5wW4wfdFNwODJ
XLlf2JLO9N1GStJzWWyd0JE7Z0p/edBxDIEMSExuKCvoJciqbcwXwmKQ1JP0SH7QoGykgRtp3Kdx
1imSwygxs+SiNXcyz5zt7NUWjFK1PE79z6kL3sXwj5vCFOLLOCGd6SdDqPSZvWNbvrT911KAXZyS
Fzl28ZPDuQunXA6UWJFTg51nbNGNpohpQ5wQcf1iTOAhy/wrmK7t3JXDnWPRyCbHa0T+LoIRnOqs
qK598L4Mnr/3ggqa8p4rNvad8OzTQM8E+nYGUIsl+Lf0f7RM7h+XJNhyUp81QZ7PyXK5C9nyM2c5
WYW195COCaAsvCpVAriwt7iroAAuZ4/edOc3J3vAuE3L+2b5cpFR9FQrFAhGzcNOifJDdutbPC67
0MNBAjxuWb1p8ka6F9qAWDC/abl6vo8ZcI87CuiBGKoC5d07nTLZVmPds+ZGW36Hn8Q3AQyIa83h
MHtzgHuHEfIgD9Cx3FgeZdiappFkvPBnyrwm+NU5xfKGQ/cI6Td3XfCY1I6DdrdAkSSHj/dlZqDx
tbxl+ZOIlzdukoRihIgy3NuO3jmefZ4lPsksNfzADuaTCTf9kWDG4MU3g5fhM4QWjmVeLq81pEHf
wmylBmLgDv+civZUI3+b0SEOpW+VWHbYq9+vQcphO9rwEigQ6D/onY6DjyDoXjA/glTq3iON2xgK
pigGxOsplKzpL59uplzIj87BwckncuGvAovrbk2SXR9kO3MFzX9/y6+ZcoCr2vGfLsUiO/k0rxnB
qKiY0PKBS3d0sS393o/rfowocAJqGZGScdhlu3V3Zex+VNAxM66cHm6zy/ilC19CLXuL0RYvhZhB
ij7xkRIYQ6JkJGm1wQGpq5W3W9yLt15Mr6NkEM9+K4r4ohJYyb6HkTJKzeUMPpaOLJhIDiruq8cG
WUwLhjfko017XKb01an9U+mHr6WtXyVa0apQH0tMORQ4OEMPYQdyuG9BW8c/MgdciKca6pIej283
tec4gezVzn+cer2RBBT7tMvUBpbNQYpor+BaFNkZ0g0GBSDdRo3QjtGM8cmCFqJ1eM88ywNgFKq/
VErh6XnjW4XRfD3wRINJZO9/Ywr4CLDz00vGx2FdsH7QLZ4j0CjGKNqW3B7zr9P8aSImEqUvWP7u
PGx7crThcxLv+qn9a4cZ3KwZLfQKTMBBzTJw5W5kMZuETFgH4Z8heMXE+FmOxTXzx1cHYx8utTN6
O+Hnr21d/uXAu+nFeiXVhkItIKhBLja3xKkPKjUNkPazThvUHAuiR4iGjPSV2bnymhcsRQ9+wCiR
HaJrqg5zSLsoOM2d+8fcooyHyaEsGaFKn2x5HF20oStnoOFKRYH9v/9A7Lgh53jw8IZx8o+uASyZ
N3h+ODSRyBCnGmtSfHa5LoZJaxiTrNRJDs+sjAZTGVbnSqVMm5Jp6t74fjU8OgF5PG4/Sx+OAnkY
p5U7vwGSYg20/UBi8pk77R59Vo7icpj/Nt6xDbZJEyAELHmZVoFJw2OqRsicbc7tGFACoHIePm23
+cnU3eAuj4D8P6x8gQDELGF0ikX/wRbBk5ZjwDDTaR72gHgvXC8TAYIarDgjB9/PU13d58kLBfT9
INxdPOQHPnyAnJkfrE0qhGdOo/2jp8WD+SL88TJ0O37ITmI3uLJS4T02aIsH3MmtH37aUVbvY+gb
Eyquzr2BW4Za2z0BRALmAn0LhOVOjqBglFe8u9FP86Vdl2OAHFNjxYMBxTxhRcmbWCSFV35Og2Xe
s498KK1UfmVGsZs/8JB8vFeR/VG5LVgAh+aTKAGjXhBwN08BIwBfZdz9yfAbkcU/b50PrMwu6wsm
2W45uFd+ZZHlW2G/mtFVhB8vKlvPU24dM9n85m+ZiDrxt2ZsqwAR6w6Ihhx95Vl7oJAM7pzM1C7v
+SdmiNfDI7Dq4MD5z4Xrb3u2RvOYpP18Dhg6s1n6sL35ncrHUy9Xm9xffiUJr0nZdRXpcq/nftcv
4DGwP0KSzQ/NSXtTa7q0WTXfg2sN83kjAT8ZH2LzWkP20+eYygJad0M5nBz2XgbA6cVGD0HzmTAl
7MkH1kpnl2gZ+2cJ6HYb1dMzU0GPqR5xWGr3U6xuvtfAGsY5cuicGYFYZ2wZ7MiEbs6lZ2eebsmS
nzvaENS+39HHqIh/mFuYeptBY/NUL+gcuuynLr+M2Rt42k3In3YLjKf+NuXEzXK62d1HyvXmghiz
tFnYQGWgJYG3NNRa1m7QvqYtY5NoEsjXM9/edS5mEfxj7nrHCrFLjoPjV8jcyMAewYOYL8zxRfYR
XLfXYS2r2YqLfwREc1O03Zh7nTnOJiz+sbGYj1lQ+mN0eodlE/uA2OUxsT47m9gSjUjvKZWtbBuO
apiv/XKLTwUrLmJz8LN+Yz5Pv1DuhP3KZxrjbK+Rj1TDzzGQZh7W6eU24Ut6bYndxn0tQBRRiLXK
a9B/gXpjgwQZ42E36IWPcp5+KUh1xBd6p89cwJkPNIX5KYe1G7n91tzxUQyYzTI+wDfmgoHWuVPy
I9FcQrx6kGW0E03BHjEx4ZNV6neAYvyvIL5NbYCJB2opGhviH/9ro1YyxidxboHiPJt/qZwVmhmg
XNKFuRQ7gN5MqjrruwTnTTPF3K7vO8ztMs8sl2oWV7PNO8UnH0CqLy/Dj6j9M+XGWz3f8S9IfnkR
86iZ24tDE0f8b0sRn7vS2zyrV/YXzQZeBrcwto+heHEc2szVPuQbd+CFfHd4WAOMF7hepHsMMMD6
/jDfOGqeGew/FxRdJMS1HOSvY5Za2lvArdAgLOsRmfmdYzPU5gna0hiJMXCNBejeBPsx0xuzDs1H
4zrpBG+EPN7zEVKcrrhKfIESVkoB9NR8Y3NpNas6AFm6JnS8gX6mPklCJI4i/fpeU1wO9ng6zlSF
Wbp8THdd6TIh2h9xF4yHLRmewG6dR4srwyVYI1Sf6sCPKrgNvrVl1fPGymT6jDyZXwkUBW6Nike1
/U6wihIyWaQRfERuyn83qqDSz+41Q5JlEmw3ZrSNEyOGBa0oo8fSfUfUnuBkWjPB6g7hmYfex/04
suPT2iIkDZFdsuvbryURdixea+HzTEK+cIyvOxPonpMcEhHee7neoXh7IziZr+xaRM7hWpKd93n6
6iO+ZW71gjAfanT6bEP3n1wX9SldW3IHE54ip8TAjupsGzykKwAPIgoXkG1N0GdUXv0dDJrJZjiO
u07QM2FgGlYK0z2AJ1N2xehkzZ/jFlPKpWZynh11ZPo/Wx8ywq2dRdZ+IRVg/HCkickEE4aLeLgk
29btLr3VPbganhs2bQal0bO8h5QWVhY9G/A7V5WlZuc+47s/ODk9mTvBecjnUUCiBlGZc0U4mBXO
A51IRKG5vI+o7JuIHA7uVTcTW9W+aUvmJiMUCTa/tJ8QHK9L9pwEZk180rO6ANrYULU78OgrIrvm
wioR1RtVAsVxPUDI0y/CiQ7Wo4oC10TKPorfu2XhevlY7DbLUzOmamtX1kYLea4SpvXA1r1FGhvL
Zkrqt6Fp08dxmevfK0wzDMhlT08NFgXF9Oh9onjEMPYhXpOLctOXyNN/TUDQDIdwZrtRikc+tuyZ
ufqpYkm5sXMo3JcDnlfTgINwcg7yhDDi0UpJ9L02TsDrDMqu95oHJ++/POV2u9Cu8cikeUXdzaG8
44e7sB7QJEhAdaXmplvWAr6mRT/pkUYMcX4RyMWLIAME2ks6ChJXDISbd06oT/St3wBz/qbcwyEJ
CRvVyYzShLFsLd8limZrScEWw+HYeLii/yWHozkuOSyFFDwL4ENWdU8p9t0kfKgq3l3LPVU0j83v
zxlD+DVjfeDfKWIdOwrwp9klkxfx+OkIdRaB+2AnznOthgcK8wcH9KsgN8q75AmvuWhTZAqvZZtZ
ftsVd3NfhkBE3BNW7lgLE2CRcIY0wPwnJ/o7KgbQAvmyLKYqR0ML3Rso4W1lSgOMsbkh/CUBx6oM
cK8FNYKhSFi9ijrdFnVy5RVs3jpVIzcp25rrJDDr1SC1hukyhfbbiPsD9wWxVLEPyQIZZwAZAtXc
mZnmi7e6W5hkTc0gBqfvlNLWS1sC/ios6wax509bCnQHfXWhlsN4aZnS05+P1LAOxYi/RNG0r2OQ
vAdtBt9AXWjb/yqqFiTReEoaPWIaUN5Uwf+hzvCzkhSQhO4eIgmQq++fcQe7te76nDGM0mjxVI0w
H4DYS47w4HE2HUGXxfxEsec5oJylai9ZWVB5uW0d90nOxbYbPQxxfBfA5xpwTsP8/bSg4r8zAR6D
IryePCyVQH/InALegI6oRtWb1v62QV9UaBya5oA2L6seCMP4d5ZDQ8Qvf+pRXe0hQRgDutEobQEe
j5P/AkszYagxyz1AenET/WPIKroHxH9zQaNMQ0CfReHyF10Z/Dvn9vAwDc3OZ3wudBeQCONJMe0e
Sj+62I7/aro4TUR4r+NjE2WIxhvvpeZqZaOuGbvpn1THgkL9TskzwSixdim1yt+VjD7CoPy92OUz
pb69AammDWNoiM4Idnb0Po/Ly9AbGUw+PkY1qVDdKhynA2dAvo4ljsPEfyuCq7apxcTrgDTF6znz
90/WzFxtLqyY/TEhkwNvNVQnUTXXgJOi6FvoORWPaFVcxmSaL5GVvhSt/Bfk+lAqgzGIZiqtcP7t
NLqt/nhKC3nIsK+iJabOTmHfYnfGYVz+WlT5Dtj+Xg4lIBEk/lZynHomZLVnc+5NSj6bFeLMg5ao
swScaKa5xvJMo2sXdOGjwvyJ7amY7sTqPYRMZ6+0+scaiBmdBE4tbxEiNRpIe79Lj+bvhQ4vcY1x
jSUFAno0TYWuMjDXy0nY46VPnE+G+L9C1++unBFPpYPCVHXju1d6D4HgEtc2E0Iz0o4WerINy5ib
PEpxYKzpKQ38c8ojnDaQ5xY4D2XuPqVDz4EBh5zHmYrHo9/Jhiwk1MwXI3tybXHzcBW4m93JQrhG
mmn3wZ8+x9BEhs4fFZbPYyxxwdGCmn03viWosSBY9gfpe4/SBYjt96l9RaEyXdAISKpL4gqq5ne/
NM8RLoBWyBL1sWwpJD2mWj1Q5Hpw5fIW1vEyUDGn9JW44b/S8/J5R5HS+jW7scRkPMrD9wRSkuWs
mygILi1kq5S6SUbShNUL1SIesVyztqjHBakkeqLDmZPDxFrGduBJesaphgfZr9+WQe08vW6nsXUQ
f2IcZGiDlbdl0v2guJqlDTa5SjDgEWjwmvGUhStyVZLtwYEH2foOn25QPyi/3oTnYlkyqg83MJRH
brIBMsRt/bw6zgMl9H3NXJPnYR5XOFACQ9KOC5QtrBV6o0aeNS7bQ9szPNTHt4oGENyP8XFuowFz
WpUXwMKSv7lbcbRYkB/Qb7LDdD8vgwOqPQI1CUU+RcjZYUkYJwop7EJSi8mJcNEQcaKrbOqTXhui
6ueM5XI9aA3pO6YE/RDZc88AC/va5+Da1Fhm4w5hVwIFNXKxjbJczH8buiMYJ8CrgMKINCGehlO1
SCYPo2Y5hLWOgk27xvZGh2WeH4qOrv5r3LcLctrmZ2eNwLZ9lH+jtcwkBZlesS0vrYZGkZRMb/RB
GFyjorAfGLBa5wfM6iEsWysq11ZzKPBRhCQMo9qkilbqt+1ONZktOOvDvCgZrG72jTfO5T7KswFB
bdcfp7FyDxIuzjsK8ua3MC2bbeqtZE3DInYUMHaKXRCpgQDuAM7/FoiQEZze9VBU457A08Z0IhqG
sVn+ULyT94kTTfse+esJGtt6Fw9J8OAk/Vdf+J+jR0OtX5iM0RZcGhh0phVFkjnVCDwDMb+5ZRc8
NAohEP0DvZ0g90EjDWsWbZJjnrhj4qnb2kAzT1EYT2gG1tT5VKMSPeDQQO1Rz4RPMnQRsNoCP6ZQ
RwzyyVRvyw5nH55oDN90R46GLhraG9ExCXOGFHNGyyIVRuDcguQ+4+C286a63AagRLc26tDrojMA
AXlM4wR357dlGXnC6sx5rmiVsuEnX0D7cUedlha6bFyivkmqXQcMGx4C+RglWLi4E6LrmS69FUf+
dm0VHsjJVpTMhA2+k1CzwRBJhrjNLGk6bH3LRWU6xd5TKyGIpxEFBBHGVPyyNPy5zAGaAdfK7lHM
oAtXY8Smpo2PL9rsKMUCl7MJSX2YWqy9Nna24GHbO90kX5he03XxQkYtJ7A73VSJv44umx+1EdfM
1GgvVmwxcYJuyWV8EWfiIhiIlRJrwCDl0RhUoDaNn7hf3looxD3sgbDW6crbqjvFbYj8DrjFpqqg
6bNnjXiWFMJ74+Ov7C9E/HrNyucmwhgJv4/wFXe1cDu1rgMUa2LCzBrSx9qTGWWcKmnRuDhQn6Wj
frV5q3+wohlzXbP+OIaFZDHVEps4ufaUNt3yr6vgS3X4Kt9R+UTkSZdJJvsVoYNpNukWcb03gH9M
dPfhoNd6LrzOGQG4D+sPdxHzrtKPq32lf0cZR3o5iIQBZ6NlCn9ZYNQcAJXjZnLxgC/4fgfXLhkn
LmvnOWsC+iA1EB7qAMF7GMU8O/7cR/QYupa2gU7ZkQTCgLs8/ouch7NfiwQEWzpGl5DWtlvJVb1b
vCL74a/L/MuBzf5HFQnPa4JVH5SdgTk+C9tQJ58ZLJpFeup1XZyyNJ2Pre9VO5FOaMKtqP+dtxQo
OxfJUT5xrE+7NH2KezqCHVsc/Bh/uF+XJEcjWmeL90ME8QBbdYZWPZmii91m6Q/bEsOlZmFDgVjX
hyYtApJlOE5t2P9xQO3KuWxwa9NJPTHSFpi5Ieqo5ITOS+fTU599qfSjSpNEH4osaKpN3PRQpOfO
phnCd/5n1SKNtpEM8VWagVnu+2RSL5bowq+6z8qbvQzHyFkpn68JFXpn2EVlAXU+sbJ6a7faBn3R
ZiPwG5vCA8f6h35GskXOZFCGOKEwTTt26jYy++GgauwdytHTOGKZwSb9x9LT8mscxggotnCA5uXY
IdJh2dWlbhATMsLpx8I/ELbmJ/y+3EfRS9oheD5xqhgp5XgrdIag+9Ul0XRc3FUws9bQkkz9+FII
YVNHEjNuQgx4bYp+1vdJUqE9WJTZFvTiRbuqRaYMKl8eaYDDBW9C7m2Z071fMsbUg1janAUzZBST
5OyeBGjhO9A3/qrmS0LH6WmeRuZ+umrYDsAODr6kOeeNbcOEAAOw4zj7TxXkh72uZmaPfIEjrI+x
Vp2P3R/cQmg31wVK5BJPoRT3LIouhqOvVXWYBoeaDSez7TQFHtlx8Bet7MCgeucx5tF6DLCU3ylg
eC2snF5PTslB2N5EpyQOWuZPm+by/R4Yz6PQbuALB5aqLnVWphwTCpfKdw/zAo3d3kp4Dyww0qvr
LdnfjPsCkbvSzUfrl/pod6k+S2XiJy6/j/aU/h48WdMnDJilX5P6ySKSUDtzUs6bMllO9AjSx2ZY
5UMq+uUl6xzqPytH291K9QKqQNOLN6RzNBjLCo7O6E834NXZBcrrcgYEmYCtni2apwjYA1evT47y
E+ouJfmVcmmeClxQ6dx54kGuYHyswQ0OebaEz6q2sgen7sXBoc2/dXi+NpguMcy7opKMU5KdwI7R
lIYYmKsRYWjsOT0ewij1SJAi+qdlYZ3ywmXOu2XuVFtIi+YVjt03OQhj7pp6lZHt2qh7WN9QZDx2
5LxtBhxiCvqz3/wgkypJl/O/9opgL1Kv3AdlA5I6TWQJUZYmvQLwQUODfpoIfNQkOYzCRMQpjm/4
8Ck7Do8dNon095b10o+Y39Q9AiyKBeN2mCgWINyDQNRDps844h0T34d47LGzrp6HUQYODQiEfIgZ
s5vAfhfdsbcFPj5R8Bu7dap9DUSEMIOXGzow6ciAgEoXusSvDVVDq3K9b12q4h03/zK1cn7o81hQ
EQyXFxLfci9DHe+xZkffbv4iMpKpNbDrD9SO/tHXHZNEPEibyV+dDx7ZYGs7Kj1Z7Ww/1lPa7xN8
oreT44V4YyI5c+uaToXEnw4phkbKs2RF95nkff6aOzr+GfX4v/kx485hlriEDKEuSZe2b4GPvNHK
HNhxlOwAxzjWMWfyd6No/TIgvPggfUxJi+U5/7C11JdBdiFjRgSroxALPC8qgLT/xzzdjdKz4FaH
dfUDgRUqoaomY20KfUjH4KcBDSM9OcQ0SVO8jt0mfAzk8LGQxt6tMGBqr2OW3gO/NNdXVcljYLR8
rvVbdwE1s5SNpp699FFlY7JLMu+nHeW/6hbMjBirj1CA50Ow9mqt0JfygWJ/VkBRse+p578Ufv4+
tPIXhPRz71UPg0if8Fd/qzgnd/ycAvZvPx+2wpl+cFf5pRp/GTyKxrS8SBeRYKTz58oJjnzVM+d3
mrIJbau0P6zaxuxANYfZi5/LjJ079FpG18dbrzJObAu4oSSJbvmCGUYHez6L5zevTj6DInwV6/Bp
ANViTQ6DdhFjSqbKxhMSmqdgql4q2sAAmuBE5rfVjv/H0nksR65rS/SLGEFPcKryXiUvTRgtqZve
gKD/+rdw7hvduKfV6iILBDf2zlx51o2SKIa0jtoMNcM9WsKPQo0XeN/nRUYs5unB7+VVm8Vrt9Ii
936LGImU3SF+z+P2qDMIWtgXmHUJV4DC5rftc5XJaxzVZ6HEeY4ijLAKdz8JMWENuwrd8YMdUFx4
ZBB3yWG2EbXza9BkrTuLQQcpntGQ7NMYVx06jFVm0hU25mfpNX9zr36hmMCgFE5no3Ludtsw148u
+i5NcflosV/gVe4hT3QnnzyLWckLY8h91Le/SkDtG/LmmEY2NGzcNxA6S3KRexreU+ah/Wz6C4/l
DeHSn4mNKGlM3inJE5tWzLg3+c6G+tQ3gmfK5QUSLnuN1S8y+6lQxsHq3INnLyjyyCNws2coP7tp
JJK190dEPv2zCYagc7Gha2QmubJAKaFzz2AeFGpEow9vZRMciVi5RzPNGLhN+Nx5sBMaW5aN+Zqc
c1BB093M4h/P1jZJ+dE18SHMur3VAf+uBfa8Cthfy/ObNpxOPT957Mhi9Lropjx/ZcgMNYzYtjI5
TrVlwhGGYZF6r0ntAOwe3mHrkJY9XIAXQjf2b7VjP6Oahq5Ij5wdJ6dxX9wFaS86/8SrqD5Rh+oh
sIMJA5SpuQqIu2L2/Ogk2VtXjV+Zjh6r4/tUJl9j190cP/jEKnRsWwyGtfXa5f3WsL0jkEyKxeYl
k+WlIcqctx5xlP1GXwybyq4nWAEB4Dca+U3cZjsR48c2jUuHKn+Mx/tSOxunbncCNeLk9Puos65t
63F2GOgulqD8VrPtf06yeGLpvecUSvD7eDRJ67D93cJxKW69y5gWOzHPh2QIb2bE6DgeHyN/fhxr
IFP8vGuX5N6gvoAcb6AUcSeukhg82Ma8xJX7V9jZyxySmDwmzmOBLJo3KTKBig+RkYvnzpCadD6b
Kd29rAwG8yjN9U1geynWsk6eLTSmQC+djc7etUxge0n5a+JvCnAR+fWXHBLq/f6zra1/yDT+ubLj
Ls83kowQq9X0lErQzTAynWfRcKysdDxiZjKSMva9TSwdGbVVy7KV8p3B3a1LG9497sauxm+8NVte
JeqB2zk+ZzzjB1lW3ws3tM7NXdoG/32qwSqJnCcfzWfJ4+dC/JUH+P7pBwe18dUbWO7IKR2I7WFa
v038ed8FHIStigwfy35tAwtrBvDvavlO0Ro+4L7dzMLEDRx0vCSsK5NV9H/5X1bgiFxagzAcsk+C
4tnUQZdK7nx/JDiRL4PP5VYTwH1/V9ot4SDYQOqe5ArHDQTcBCjEnYnPBQVXcxha6Fs+QhkiNATT
GBbHelHzW5Sl1t1qR4Gfkf6DBmoXzU04wW5upuE1Kur31Lbe7MrEVYUdoUWuaDU8SsAg/Dm951rA
ICQqdVGIc1cxoIsUjdmx7D8Euj0V2JWzd+qy/nX9ObgvAgUCB0KbqGNL3hNlqhfboOG0caPInxBd
pOPfknivLf9kiX4G7UbihFivfc46VRuPLzXTF4jKGeTPVtr+ueyCejPWDrwJaS4bgikbYopmax+I
2T4EZDzRBmGiGLboPFNXyL1MHbmr3cbe+W0MtUd5wYFeSrwnhTrezygQdnEU+OgGPea9Zp4diN0q
t5nv67f9mKM1rBkCocN+i4Uad11KuT/1soQIM5Gyrmx/EzACfk7aUK3CMM/1VKrc2mkX7ebcRXKT
yVZnhv8InzGBm3v4oYC17HRH8NkNjWGT9V3GXpz+Uodip0uG7MXySEl4kLgDgIA5aK5bKrQvs6WZ
ZXiyXweBQ/XtMzFOA8LmONsOhIW4onTWDAxiNOtVbL8rv4AMxXtiZwf6xs18W3LANZdbgwE3wphX
iVa7qYJcxLgZgyNGdLIVY5uDzFQa7akr4Qqs8jYCiR+FSeHtU0O4+7nA09zZQh2nHDfDGC32the2
5jgb3XF28+IFXlKLCr9F4RSMrfXmQKkiyhyjHbO6gHZrk79mXJ6J/SiJpgezfycI2eZ9qlypc7N7
J8c3uW8ad1XN+4y5J8+LnC9p1NMGDOGf06ZuflBiLCRkMS3FMVAtAtODsQ+76D/RGxgrlX32I+KN
jDmTPER+fkR2iPCfWD4f5Gr71CbvmbFcsVGxRL5mMe08gl0pNFfNfEHo/6BbhWVAK5kxffzsV9Pa
wPTT9mR0oxRJALcZ9ooPzP8LHPS006arH6cOz72/F3B0Su/NIr97oivele9uSmDmiUTELOJA55JW
SCByNoJPI/S5/FHz8+L+jFy7T34ckRAruA4bE5/miGHSIJWVfybz9yWBEZKPwGckLKmHXtoRbMhd
6v3vMLlLixihC8d13Oa89wn4Ji/YkL9+ikjmv//gLe8tt0dye+0FaG/yzl0uzDea1sQ9HUP54ciE
xtKPvu55Qf5F75/bNVuQ5P7LX5f89ap81v1hN31ksq1/HxfW2tZu6twHfRFVWlwlnW9hh9s2zkFK
eFtuIr8WAYS+QiarfvdoqfCAD/pAjDvynLfS/MdNC5sG/PwTqruHGsNkrc78TQB1q3T0t1yjIMiQ
C9ZrwYT5j+rBNy5cRGmgPhzitdXrS+KW8920HHxkPehFkaYHfs53btwV7iV/GGptIi4CmPIzcgwu
G8toTKPVJEppftbfNMuLW+eBAzMsmrP9bpI0QawP1pwWtrAytVYhyb85Y6z5sZJCn/8xSTfS0xC3
aVcsIRYEKD2+G9j9K742Nf2dEwwNaN/1r+DWpvl3RgnSF9TKVDU0bNhTSNzKkCPejIXP2PPo8HP+
Xn8YyjZr+VyIKDUFuS8Aj6xXlBQuMZSkP5tEoxJhaI/olcxwz1esvzI26J3+BkssYz5i1pA9YoGD
yl/IYh65CLL8AhCcc09CrcGZuW1CzDX8EjKn/ndH/WT+0F+zO8MZDkAqmP+4z1Uyowz0KEeukWB7
NpaJlQk9EcdRyiPOEuFzc5VsVrr5vP7f4rWDn4jNiz/i22SFsYT03eW70f8oF8vq4id5tlgaueXz
NWAl9SdQKgBB+Fu4OIb+bbGRQWypMhESIjLr34ypPPO0/f+vw8rw0NohXeQ75oujXvc8Klb7L4vy
uwMOV9W3Li/pp1DL0Vuas43eV/rePerb0YJi9RreMXLXiOGidyVB8UPkIv8lm/JX6NS7weV4N3/z
yeOBVg9/TbVi7w/vDAA5nj15kbP736rTt1Y/H1w0l1/ZX/yQGYmNvvDYshAcYhsinJAUVmuQG73+
F/OUG4FmIm/dyv6N2/1ctfJu0Avdu+yL80BUq2FE69mK0GJzOCSXr//ulwW3jNf9Y6J5qFS4K4z6
oHcOs8H5pLMZEexYDAShhrRHPR/SP2hm3R9OyltMsRv+cBOkIfqNBYJsfy5SvNFSPvZFwrPMlLWv
maFX56br36OYypoNLewM0oOQkgiiIbNY7WRjfAVpd5+b8C0M1KmNuo3bha+LK09VZFwNQnmzZfw3
sQaWqsS7VodPQrHATafbt9zupe/XiiQVpMr0q9RwVd1EEHT/p0fcw7ifxN+2+RNV9odnMJEd6jfs
PT8qDAl/dbq1XubWMtLwnIneyfdEM25axVmfK7a8DgtaeY59+3FwmquBEYKQtIvDYW1slsfWDR9z
aW/U4ELyNm+Tau4R59MHkiVPhIFuUCjjBWOY/N8KIHPAdcajvn820cU1AUSy7V9rl2ElGIEdFI5A
N14xxUT1Ok19/yEelpJRP1M88nMYgYPaMMi4kyTq0av4I1LnFifBdyrUF+a1TcP+gV/uEsfoj13Q
Kg+qxO9Hj+4pcRM6ss3RYfJmFRl6mPJsFwVhI2pr4vjg6WTusESOi2aab2oEWuwpf0d2687Lkp2Z
OBrlglROBS9BF5MLxWKx6ubMfOs2ZOKoWm9DojKTNJxRTq1Ovaxpg4TMmfn2yzHcYpXE/AxitxE7
p8TeCjgrJ7uARvZbqJxDKRj/dGFMqjPsmMh+iUKEVDLnMIJKi5dH8tjkDhPHpn2JWiCQbgFxNPCL
mthYjxs5P4fK+JthVloT3s1+LXXTMiFzmhoyzaZTM7W7OUOvXLniT1SQBzuO5Y+Bb0j/2EyGBzXY
JjUkTeZyqzj/daBH4tG+QtbZdwLB31yY94xag9aCsW5n4wykniAp572CYCIN9yVT6KZHBmqMIU18
bmiTDtaA0sebPwJim/+7cn9YZ435iFB71+nnU8bnmBxTLLjDWv/zkQWYHPyVLLLXIEUSOqsXK8kg
/bI6Up9hb5bdIsTBvTR+icki2QFta+98OEO0rXt1AHuG4Y0AVLP1sQnh+pC84ADyKoiOjle+zMJ4
j8pykwj9McLjjG0LaFGy8yK5mxQFQcTjpi8ot42b22VXK4h3CN+uAVNOL4TxGVSPS1bvMUpdHBFc
F286eBAeRS/OnJ8eG1FrIM2XSoyjCc83IGs04ejdxN7GZJyzJM2+b6p94Tt/3MJ4RWXwK01vzWBO
n2WPTOn2ft5fXP9tgXcXYxGofKZt0Da8wd9ORbptpqLEjtavbAd0d70cmqD9R7m7aSgW2w5xqgKc
3eioCtZ61FGnieqiJzOr/77wZATzkMp9zSAcPJj3PYbV0R7IXWpoPXtd+jnayI1hFtJxNNcGdXYh
eIcPCn80bfxv32C7QEFoZfD9QuyLUJpdc2ByNto7zzSvoGJo1kXmaSp9JkgQvpOhOdkhx8lAZ6Yh
D9SfXVAXRqOx6ivBOYRwN6CGZ3Cf9EkGhFHWrUYx8GCqZe26890LUZPFckQYEmRwFWTzUhp03kqX
1GViJGkazkb/WLnJvmnDq503bC60ziS6dkgnA3ZGDAVJSK/Rm8IbLaz9RGMyJIGEeKDmo/YBiOLC
2+Vuh1wBImpCM3co401gOI+1gXiHleOliO+U2tE7Bd83Xb05+2yq4iW1aFeq/OYVNfESTkGuq3D+
8523q96s90W6MIXnPvWEJ83ojZsC/eylqDo0/vJrypiHLB46Qi/8xBZGFxIz2VA+xf29DS06UjDJ
sxmof+kehKsOBc7JapCrtnlSGVRN/nmn/ygNe12o5iDEC/nCOLkeFLtnPT/OLSZQNHe+Ka9NkqGJ
bXZ6lbSmx5gjO4GQm6kkVPilv4wIupg01VkvF4PQm47HxwDTKnACZbX/vpR8Ew72eD/ZmAIfWdCf
ievG1keiAI/b0DF7GENEyf9UZtyKenxWM/Fh/msQNVt9G2vCLfqFU4Pb4YXOsXR6HrGd8abAe14v
BZN2Io7Qmw++ect4UzdWfHT9S1n314ZgB0lLyOnolWjOT8hAoGhJQ+Ajmln7jjpv09cmFAOwORaK
9ygp1pVP92foLnTDz0EznqLminv0FDH8dNrxrHPkqGdnxDG0zQXnKc9QGzNhvtZdeOCuArRmEaQb
YwJ5wGaVLjC7yJx6MG2GWLws4rC7Cra4RsLTiNFdN3SukC+0xVOZCIAx5VdTIe7VVM1oedYQzJQ9
1lb12bLKI8PwT3tYHsUyPsXoaKZG03qs75IiKZq9I1OtE++1VZ716GV6eBkh2Ts5ermLTt2ezeJC
eO85VvY1sfHNMkJJG4OXFG8hPcAgXswli62Rz1k3fYDlfB8684MmECoGtCHG2xyTuT6jrYE457Gh
GuC8RnRVTtg9Dl15jfTjwAxoUxf5vZqevJxRoJIPTkO+UubBfRAPxIzQxcbkUiYbvOwoRv5mPWda
LFNLL+7zhJVG6uU8lOJVDTSeMFomqF5RwNIOCrFYSearGSlqXhRtYuSt7lynyOGhaSBb1De+pT6h
QQ3xx6bXwmrLo4yJ+58uAUjtJMBe3Ws4VBufDO5hBCNjmM9k8+5Uo2O3FypvPKXReGwT962GLzoP
LnTgp8C2Qc7V2754cuAAhhBTbDr1JSxcch1foO0+pjjLQtvY1mG1RflBJ5wM1DSAgKFPJbjl+Xoi
vBNwPJ8Hx6brlnKM/sOqO1RdmzzoxyYBcTBl8zVvYGTx0oyqt8l+h0HGseOwdCSUzcuOnKqXvjO2
5oR+sLTIZURRyHXrSsOg7up5e7YEAUz/jWWDPwiQHqLJ2SmGuC67QBkyqCsvvFPXXfstSN+AFAdI
C189HzFZvpsSxwyPUUVpUNjhXl+J6UUP4/wW595OIvtBFkidAv/Pr/e2Q6slcva8R/4j95HC/uRN
yzEbSnTe1nEARE1NPl60GEvf55FaxuryzcCyCxEUPTC9Jr6qRJODhykNtgWXj8WNXie/sbZpUjKv
kAgrcJBOVKesx4prZvWCTj78d3OHZNeAOqmR2HscNzApmut4+S5l+AVmQqAKYxCPQ7V2X9LA2mZl
/dGgBOiR+tjsduhDCEQjWaOB37oglxV/5lxSJyYK3Vj3zopWvIfpSR/1+9gmP8NOrLXebAr23Fxb
c2eKehuajKC9atV4sHwzp8iEcIwyy2KzTKb47qDsoIQYX5kcaofvg/52HDJY7fESZ+6DD1S8RqOV
SvHoRxg5yOMu/EmH5hFokGOKReaP+Llk6o/rBSqKiYK8WMyfoPK32BYEUCfGf5XhE1MxavNjoaMx
qh0nG/J0HabSRkQlS4DQq82QgdbsPjGMN2jgv2qq/mVulZL/4asd8PPNvBQ8WjTbs5BHN4RsJw4j
+KzCKf72HWhLUZSwu8dHx/X/ktTHkdIUaCjkxqhAr3JOS8Xwzbf0FCeQgoaSw23s4mybCjpklqXo
Qjn1AVnhBT/yRmD1g7NiIIcDypTYCLDGSdFUxMkRxr9xhWQi5S6BdTgURvnt+rAqhBftA8XUm/P6
vAMphGA9uoWEG63tsP6WCx51l7AKqBcm7eTuqQjHWwQpfiP1yEl6T2SY74NiPOUZ+eWekUaEkaMi
KmIOOCrY42p+9+LsnOMPAkVIo9Kbmx3d90/Yf2+j2bpsW6bkZTL/5sN4N8YAuY96IfcdRA4oagZf
wR6347pW5quMEDG2Q3EajZzwi/Tiu+aL3k6ZLHxWfbyxpLtFa8nNGE5OHr9j6jo2ZBAHcXnpRoAw
HZNmKyWZum4/nVZ9MqnfpVm+V1bvrwpGi43fEVRBgUytEZ00Jy3gGOS2lLR1dW9ktLKlDbGSCXit
OEQNnXPFEQllaLEgF4WnJWXzx4+FfBmiX7Rvcnmg081Mw6KuSLe+lROTLvaDiK925X8O2uVTI4V9
kHCh16ZnDVgyYIsUNoEAWqUXOptB5DDsOGDaUS+QcrULnAcPwGpcXX2sF0M0wPMSo79qORklEjhV
z/fhehARqSeN0v5MUxNJuR8yLlf+8wLlOrc6tg2LDPvQ688yETB1QiCJzqqYgxcbd7U1in8V0bBd
2JP66P00/XIwZvvqoULKrPjDs4unvAgrMCTOT5FAzmlNeXGiZONxpnNHsQbm/pZIRYkyVS50tuIX
loE6W/nyLSKO2XkbogXMJIm9QXWiBl7ZYfnmCYMIV0h3RU6gJNJhDtk0vlLzn2niikQfwkXEf01y
kMawlyuwEk8N8yuVwkwHExD6LEFSZ97JkP1cPGfaJxXpd+nofTvmtE1i+pr0yYe1bADQSwpj5gJq
bbW5eBiV+yQQjKyXKWCuF59YoyDY7DvTHCDLaXMyO8kuQm/8XJlAgYam+0ltKXYJB9wloA3fMYkL
4H7RMpeTsQUNswknOZwW31jrFgLz/tWomS92513DSh3Hcrn07fzssrN7obyJBt3DwAEJieIqadHg
hhAtRrN+HmOhX4vKw8SVE87upV992H/Bn927AE0MXq6wguDTDvm1d+2TB5uLDiPJfKn68nIsjj35
D4RA9YSxCtX92h3xbhyxCt71oRXsujDbxxg807QE3AQuuosdsXYscAQLPCVhvHZ4FFBCJPWu02Ly
idiHB1W1wBOEOldUzz1m5LD2ryZ9VVS2xzxKTxn7XS0IUw2j8T0iu7Xou1Pblv9qDxNuRpudEtm6
jTXDS6rpJmtey5anasTt3jBTm+t6H9Fp3pAkmZHUOQFh4eGa05lYp7R9rAoPszjmYD/5kzfFPeVL
peHNEczCgeSNHXMtc3p3A1C+MQ8pL1hKLsLUfTeG+kMM29Im55EZxLm2Gek5ya9BAZsV+cWecOtz
GDUL3m/IiY6MMkksbnpKVVcBLrYUeQp+56A5mZ79qbhHmBXdXCF7sOE4uwtadKIa9d0dquK3c+O/
ieO/pZRMVAySt5RRsus3RhJwgmEoV3U3a+hesCcDlesxxM0vdl7c0tq/xD5OSQpfWXnEOLkvmoE6
ZcGbvgKPVrYFRsyRONMh7mkMLFouWuTujsSOkw/5i4P+Go8B9V50Sr32jy5hYr84NsAzS9QDTumj
g8v3urjkn8bpvMPbsSn7aJM09kofjvVzEenuDrrApPb3xH1sXIDKVtqvJsyBfJ7iRJ7ZaUjExUVk
rXW/mPcM0ObDUAIiQX6hJuKRTVJZcyZQokusVW6zh8485n4FN5aNIOk5L3FmWHA04JZ6MhIbtjvz
YpV86BLZMVxs0z6vuhkleoF0AdMT9GP9OewRAFznodUjnbPxwWQxfNM1vsqujvFWx8Tt4R/clyCt
tKNCVOVFQk86jbX/ZMqi4nAsgVdON6oXMY70jlCx285vRm2BxegFONSZutGL6000Olvo7isb9LRX
uvuKdo7NIXbJ5fgbcgofoWXNI+8XIdN9n1D8N93GbH+TXkL/6pkrh/soDQ+WO26BUxQC+dzoYDT2
OW40yuT86a6k1RxnAZK8e9cVLsU7bC5dVSXw8/K7NcaffuRsHf57Bf/SibrVwgFtNDmzMibxDXhT
VRazk+H70OfBuBAbNxsOlW1uqlF+hjZGM04qXTjf6h62B7+99SrKdjTSy4A6x1lZYfPrplDt9Dmq
FdRlug+RUqwWuAxY7vHvJNJ7F37pGtOmPJMYDOi7g6N4x2jET3AlnK0mTqhMYp8C/DNxi663ludw
Mv/xZ0QF2Cy2QTZAkx0gKCY7R+FDbIrAsfAAg5yi9rK7dNPU3rrkH9K/kU3mOLOjD7QEMpNJn8Wp
pWTXGZryqsyQdTXcEOGUq1ShLtHkjMiOGGZPVYDbw30LSTp7MDRDVSzAQmvKO2Hg/G2I10Ku1zju
tlqsfWeo8xyP6zzGJM/pjLNKul+mhqmxNhqL5DB16YU+5wseIniH6r9TuT6yYQK/zhyX4oZ3eZPx
txfn6pnDmViRNSyIK+3+Lz/DF8BZsbXeF7gXQQBq1cq3el2X05PN0m5rgf7GPKh5or/j3a08euyh
jNDXMq1m7SfWLrOn/AEe0lVhnwiG4eoNoBESVLAJfaIRZbdeUczkH0xAl0AsKIxNNnKKk564KQsM
QRkyB2COUFLA9NW3lznnRnhv3pTuMJodCju40xelKE79p6zLL6D3XoEDbTxZvnWACctEHRQAMb2P
DFGxh4P3W9bqbubVM88SL/WIGLDR2Gam/IHv9e3bPBdcFnyXFS/aNX+2QmyxqRCYA7hF6Ph3TJ2N
Ut4xQ+vAuTfoMNF0XBCBKorioie/h7jpI48Ezf0OgVDs0pDGG653lQGB7rb3/ktA7Z8WwZPVsrIy
07lhHaUZxwOoOzKL3ew6dobYN8514t7oq1AJqL1bjp9dN3yOaX/mpfqhOzQGd1C5alNQ3Lp+eHSC
8YT+4F9SsPItIz9VHkwQkLTbRWU+QZ/5ql2wzXPtvcCfWgbe33Rq0Dm25U9iMwP3ErLUo6UHTOra
6Yb5MO44eY+EwYEejKhM09++p4MWmmxRBL6gcSJbgF2xpmIp+CYXNl+zIDMSCh8xrxtVsXSAZn0H
1EWYi/F/1hurd9etVf/FosYzCXx3UOlZOOUZeVJGOcgIjtMO57JoAvsRqL+ZSznjan0lyDlsTHE/
rHvPp/kEorZ6j80Gby6jD9rGA99SoMiwCUS4qpQ21QwkvqbUFEkwbC1OvIIXnZelu6gMDy1XZbEr
+FV7CixAP64AzBwByGL1jApqYuW0lyLNfhIfY34w2L+YSHYxW6Pd038c4290A/sxdy4U5Su+AoYs
REmwdRuy+VCqR+yIjYPKu5gGGtzR1ne7LQ35g75tISrjhyqytqbl/h2qkILAc4lewhvpDo8M1266
zaVfezmHz4qdN1XRJipQB/gMplIcPSafXt8Hc8RM13nk3LgIWRtfM1aKbSjnpzCpT0XjYeqmVxp3
Oy8PHy3tIRUp9FinPyeOAjQ8+5SN1WU0e3h6xi5xBlQ17qq06miNEJXDZ7asmopp0jgQzgDlF0Bj
ZHrvhtv+0V36PA0461oru5wuIiEod3Syn1amWPIgELFR1lH77ZflC8HzwcPSgZ63x81siY+chqAT
IXkL0OkyYoCvxWcfjGHVyexHv2WN3vtk3a+RWTwsFb5InlM9PnAGd9f3AYKUAdBQhwwuJPzX0S+Y
aTmZg/GREQ0WJPmZ+hGoJ7hfK/FpPkMNHCXgLgIOdzqHo2oQUVI9mrTtCo41kxUd3QlFAK9XS58D
6K7jtQnwD8B3+4agTXeZpqXq7H0w+7QIBmB1nT1iOKfgTisPEDajAinyjdPLfwECGd6ST7h6Nvrj
udGMXMpA2wUYeiXr6tDP6a9Ro9viNalk/mdw6IZZE3fFbs0PQ/nXWCynom3o/SEjzcVV8vTThWDg
69jursECoTscHt2NggCDBzVanyYn/oxGEEKeExlvjHyr+5QgWsF5sU4mcLpNAlBMAae2yc7d1gI3
lpVJAoOmrcrGZ0xjn7qZ6DS2od8BnWseTcN8jKtgW7eSMgPdjtLdujFfj0W4C53xycJbn3XzH9Fl
P2E9/NHzNogad38ejyIYnsGqHTK83HVY7HB+TQA+mj3aay1NB4QRYrQQm3qBipbwOg37k5PlJzUW
W5w+KcxDfLfi0JrtO+KxPQF3GDVtkn+c1rhXVfeYtd6T3nxCXis8EafBCTdFJyCVm8QcFZwTc3f6
x4n0JShtqHEMEtkx9TPps7kEsXlzxwbbfwVao7D9dG0s81F2fxYHsN70NBKKy82lvvbt11GwO2V/
shiwQzIyjzRkiOkSuQY7oOXrWmMEV2xCQ4VUPDd3K9BRJmOC3MKZ0CzijcEHdpKGfdd3wO66w6im
Z70KpBbfNVhbKPe91zx8CoL4kLGdZPU/NfgvJFxuQMMxBA+jzUK54EfZQbXloxsW79KsgnUnwqd5
GY5d19xmEiA5Uo10U+fLlLaHabAtTiHh2omoXclBmh/IgL62qv6wrB+hlksyFp8LPY0KrFTORNwW
IM+tj2bBBuHHx6rmZBQFn7iKQUlXlGC+46L+sEhl7WFj6gk0tUqEXdgvpj0GEmbD1QX4/+uQD/u5
R7fHOCCS831sxDlqhjsqgYXgArWMh34IvTV4sYe2p3wKSrRGVn3N5vySxEBg22+bl4Vsn6LYR043
mJeaiI1IpJtCWie/j57n1ttNfsSBSW2GyNuN5vjISeLAzcQk0j869vQu23w3NKSB28W+wXzveeOn
8JYNrtRH25z+ObN5dzFRNwv1i+vE/4iCq5BDkMTohtdpZNrWRuRshus4C058mpHQbNQOM4sdaYRI
6Z0jmlGduxuw/8TshGE1/TEtWaFnrz8lY8XOHN+VafzNJza3oUjOHfKdBvPCw0w/Czn9tbLZbeiK
vZpZec46dfPAImAMgRMHskI41tHkplUNgrEhvRaBvERLvW0L8TQnzgtiO2QU8+9cF/c4hpAYyUOb
hVR17l889nAWXI5ObmVtiHWkvPWcS9jVR3Sl99ibXzMH7xn1YthDtXKat9mFLcdhHy2Sq7KJeIE0
2WjBVYv2iOgmmr98CQ6CnNwwjpU9nL0ypBug4qe5z3VWhypvKvftY9GTk6BQqLUUll7dvii01GVE
6ngQ/Bf9cZER4YOoQHo3fxOZAaFsmdeBkZSrWkynYCYHbinR7+pfwM56qv1SkwbkmZbuzN+S+2ZG
GCw8hHPH1Bz3sk1JbiiiTWb0UD+RDajpJqIOUkyHPA4Mp7ThMmJbHrHaT+m6bh3tUQ9fPXv6k8f9
yzL316BN3/pePZaOeAQWHT407nyuxvY6aTdHAnc8KXZjImEk0i+ucmiNY/KF19amvxKxu6TvIp2e
mk78bZp+nSjdPs5xVduxS1eUb3Vd58jvJ9IGmq5ipJfxhiky8VVN8zYpUMgCsVZlenKLhS4kfrZm
uWUR0V068l0EXy4cKcdttlRru3oBMW6bho5KqPbEdOwmRrYrs1yuLC7iRhBvIQ6aWG4Zx6VKN4x9
F31hvDem6mQZy9Eq6CAYvdoOceZsijmsCaftdxw+tsHkbVg840NtOmc12vGZ3e0jsCqs7RNnNWO8
xUCNjbg9YX5eW9I8tmjLMkMfyKOccqSMr9bCE6VvHJb4lX66cAtooNibEs65TPBz8stHF3X1oJ5b
P3wRlXp0lHuM0+CVs1j86JbZApiw2XqR/2zhKMSlfhr6+Gduu59l9HyEFuK5srDY2c63O5Fb4Ru/
zEZPGYBZbk96WZLoVI4eeFIgLHpL7VA4XGUELTa18IZ7pLJhNJef3bIcnTnv10unCDsT6goZZmub
1gF8Q7NbKn9v8WLqF1TjA/CkAuBOwzbfO2eBbmap03Qr2/m9mLLX0c3J3JyXoxsZqwh0+EtJ12+1
dHT7AX5asJjdXeyokMEHsCOowr8TFTLvOuoqRICJs3zNVfA3KyApJ67524K88JrgFhrurWNnC3Oo
i1H2ibL7qS7RpDQIzkARYEUYyO1lFoa2JXpTi7qEdnrMCoeozbF5LCUhytLo3rK0P7Zok/SD2nve
Kc29f10Dgz72/o+w81qOHMnS9Ku09XXDFoBDjk3vBUMLMgSD8gZGMjOhpUM//XzOrL3o2rIaK7PK
zGAQwuXxc34RIWWZdJAJ7L2cAPpDeIcdjAJ5ziCzenVqx47Ljwm4FOgq7BSY0UJnymu0rQOsp2js
w+T4G1MCTGn0bmGUYlsg4mMMrDoIGGyTdibchpq9gPO270g/FWH27Bb4GVoG5SFAZ63THtveVd5d
3a1KyudMlKj1To+J6C+Jnx1RcGlBWaY+JDxD302IPUPdhU2tgfXLstfMddadlLcgAcDidI9hO+Vb
BfgYzewoGZZ3neP8HML5K2jzc+kZW9tobwMLgROgcyn1FcTRZ68bDo6v3WTu4o82HKVtYzYjPrwk
BSsB6bhBQCB0N9JpsVFwnnRYnkp57IhZNB5FVGZaEPBh9Tzq7rNmuIgl5z/CqNj28DitflyxuCwk
U2dC4ZFMsPNrZNjUbbQ3UrwIEX1Z5lU/gbF1UGG00CAH1mUvyjoGjwTmKY8o7ZpIKYGKCRUCveBc
MrBcj5H+q3PCZaHZOEGb6HmUGtIrsYZqQl19iq6zUWU1ztR30TnJrIU1GBaRhHUrXI4bfoV1G3S+
3IoNVHXFU+H4qzQl8wJFBgyQiRpPcYlLiwIQK1SEb5wzIXUfGfI86Z618E2xgVe4myZFzg10DpKI
5eABeiwi94XaA/4qCYwj0T7XrbOtQxKzQVSCRvXOshlMcKX2epIN2sFDRYnCeewnn5y67BGI7FDk
Lo7wR+eVIBXTdCNwHGM9GjrYyfFl6rPbbPr+XQ8aXJrYj6jBYNTaTjOTC0Hjz9bP9mOVvLsGAsy6
D5XNOGV5fOwLMmPedJIBlau5vuSau/Ka4Tia9hvyzrumqi/C4fTS2QgbpB9DoHVk/cUjaAYGg9N/
mqXzK/T8B8CleM6nycEzsqWALb0ht3yp/OKhw3CULaQ4NwpGn5kkbeBUME/QcMji+3iEJEr0RFw+
rd0BDHMlQ/DKVY8cmeetI6jDJBS+cjgRnhBXOfTuEnXxNYPj2tTjxk3BPGBTF6bGO6oaB8R9JZKo
xc7180vqDS8GuD+nT3YiBQ4HMQuBmmlv+PW6smuU1evoGlcjrxWDmDMp1FQmYXy1H0z4RwrJUbY3
LQUcO3FG6R2qmInPGduV8gFJhGPkZxc7L/dJl+3iuNir91FNX4LnAdb5A5bYg5GGj0HTPmHJTsIN
X0SeDjTcNhq8H2BrDOAA5T38gF8uoVasFScMgD/VBcja7I0q34+d/AEHEDsDkl2IahFNi6y4pL65
mfLipOCqlNifwMHeajwtKArjNctr123NsR7TPGrzeeWh6FKo9jdJ5kiUEya9pbm5j2rPunLxrxmp
mnVO5qM2xFY0TlsLKGadZsceiwlEJ85pku8hnh1iw7nNHJPM3Nl5fnW2s/Q1HEm9GcIzliAJkDIY
OwvF20ZBpvbaTHGMFDxzIJiDDYYd2xwqDPjfkSRc7MIoQJOvIIeWy/cZfSCSq5/Mh1UH7RkfXMKe
Md1EyXysbHFQf2fb/Dk5Hbar1SrN5AJy2A8QaycfUGjvNw9pIn6FGSYuQnfjp7ro5YZl7Yp63bRs
Q+OlQnHwzfAqG9M3u1+Gaf86+7FidJzwNoEN6wYSB2pAjYi2eYG2z4EtpHRvOsj7gXAKWrz1I8PG
RyU/4rjauikWzHBuhZZvxopoOWg2acQDTPp92nNelmhp6enBjFHoNvt7q8jPpsigzpcbLrz22xlK
eLTx+vqs6cZWV2Jr8BuXrQuTFeF+RFBH0OlxeugLyvB2aL4S1PzC8AF1CJRea+eEvAMuBSMUA7Cp
ZCumTyEJ4lmNPsyCPBm+LAIoQHrSDO8NxOMvq2LTDang5Nq4MBmpwFyP4+Bt8ih6nzVta5BWDJJw
76XZ/ZiUhxAaJjWjtbprAmzdsO1VJwG5e8UuCacHb3Tvk2H8bNE1QBs2WakL5G56royBakf2ZTL8
RR2jJJpjMlyYF6qyihhK9VbP4QUVT2PHXAuKBjQD0KS7HveYO6jod3bjr8cuvkzSO2TsB7HVKWVf
kmle9ysdbPlWGN1Z68xdSyYVKjRScSaASDQ6KHpk3peRFnA0p72W1Qy9CMk3y0mu6TD7a9V5OXSU
Dh+0Pk3Z8iPzUZBYyCO0q+txjwhKvBmc4meVIKqCOGxnZJd2mvWtMyafI9OMxPGC+b+eU2vdxV18
rznSxqCs+iCExZSsRdCgcSk+mSUCgsn7GCLF4ybtDuzIToe8zG5TJtcJFAc9mC9h8S8T10aIiq0A
UN7Vj+2POeS8b7jGj7KZtyEYPWosJAfnysrhwCLCVVBY8GAAIi6B1AQgxaFAUawlB3BXANLTQ39r
ZigidKG2DymzA6gfjqUob5wAjU1WJvgvq/dX16ngpS8oGp5JBHKPUN78yD2OFMSxcvab1VCjuiMr
PM2b+cGBjIzp+U/UvIKNFlETIkecrC3UVBdZjruMqZdf2SjQcW6a+ybGiy+1F+1MGjdFaIW8HvC1
JnYD4D59jX0EWmSBBll4VtXi3IffRSwP6hfVDsiTgDSrfJL7ssBuLCN2YkNtojUAO7SqUvLQcdNT
z9b7pMHbMESEv8kJZ+o2wT97Mj8DF78HFIG6xy6wcGQvHc72BIjyJU5rJf+eUKNsQH8vPd0cMSNi
awVWJ6v8Aq43Wxm+eIXKy0HSncWbtHVyJqaOFJ0+NWdJFmvjiXSAD574Kyyd2M6CZEQRo44fcStp
DsVcsIvZvr+2QrTH3LYDit6HuJFxUtn0OnTGTtfDA8f94VjMWgB8qiT3Y0P/LAeyzuiqJNt+KMQh
QkKQ4Kg010FkUbYqiM/ISKeWdc0HN88xtR3qW2u67SIw0J5OjfC9bDVz1ZRkXvw6ffAgI1ydPCKR
XdhOCpMfmNVgj2d31LqNPjTIxRtutuY0h2jEFAK8GBBknKktYes0SVzSdXvlpD1iEDQu8AcvWTIg
sPim6HlqQpNJR0AH9BeYHE4ViAUUXnrv1E6wKJSpNKk/sYxDdJnnOe22MdZIyyzykXXXoRr4kaCy
SrrgIosCn0TD4BCQDMnVySIX7cGx3CPbFqNKkA/b2WohtBqB9di0VK3TPK6vOO0JlFZASegzjNk2
oKAv5qE/t2nhLUgrVItJR+SBbYdit2lW62Rsg7MrumadGFP+2Bq9f7W1/BfSLz8Dk2bIC5/2DWWF
GzVAgxBtonVXmjl8xBbxCDMOqA5iYIUqLhSCNh8oJfRtvzXz2DqYVRduZz91DrI3k+OQ6z4sJydZ
hF1hLHNMJdftOMTH2INUWE5F9NxC5902hQtdwOlAWlfwzayJIHfsk+6LnO90TCzb3BHCEkWKAVk5
w6I6ZI3JCtkENGy9eNi6oBvvsmlq7nPZv9oBeQ8wgMWOshTn9KqAaVjgI6KztyyFXgMQhiS7wywn
2dRD2CL2K+HfVviTtKLW0eoIMxhzUj/YXWA++vacPnNqg7pBlQ+BCr2nIlIA6zck9JWyBETtQyFG
F7JBVriLbID1MzIDLZXmUdO0QxlK4sBiTE4tHNO7sMRzXEes+jkJavGUlXqdgJL0ExT6WE5ZN4o9
6lgcSTrIsZd6wI1nIQA4vko9kgtOQXfSnsHcA6bmXFFjdjYWUm77cdrDJDxFZQnGH8en1EKQsa3X
FoDILE/AK5jspKmFUjL5mBfTGM9ZXsPNTkgdG/NmwhRWqyjN9Lr9EKJehjqm++Xk7kYLAXvhzJoS
8PRWgzliQSCNDbKFPfEQJ1u2iUtb+69zm73VPaoOc0keoXVB34C0QDSwKb78tvoVOzNQRwyQU2+E
AgF+i/QVNQ62Xc3DkarW30QW8Co25r4zCQBZ9fdYGm0scsac1q5JN725kFAdVlM/bK6eUa5MO9v3
NbR/m4bs3GDdgoHyIsigWE16VferjaNL0qRHfUifEOh6bQP3FYE/mCtusEGuF9qSdTEklsSDleOQ
OK2Q6Dqa1XRBO+rJsslmZem68ev9qDu3aWy3Th6+RCD+XbNelkb3XI/Ifg9kAt1Cv0YUu2jmSFuV
hir6IMvZ2+alkC4n95EtsSCTeAf5FJ+8Gg5enNRv8USso4Ns9Dttlds1AAsUTn6irQeYP4PZa3gG
pkopzLGwiwBqoONsSlBHNoWLoNaube08+lX57GX+oS7gS+p6/z7VcGmG8L03KE1a1NtHWN2YdWIl
WtiHOQwoK2ZADBt0g+7GwSYGb+uFWTaIciu8vf8S1/3VC7UnmRhPU9njiJjci7Y5Oy2Cal1FqhN9
LMiHeIxOBjQJ6KH4S/gUcsCDNANqf1jAYNOpr7z5Q6TzzmlmdjbzMYvMNUIm4HfYbvKILFea3+Ou
heUnMEPbF0+86BcB29OsinGRBjfOq84OLUYdybgVFI5WqDJlaOsG+1mDhtCoBA68ZNyYMuyCeSCO
rLG5ItlNwtB5ysj0Oi4eGbrkICw+Of2Y27I1bkFnS9ad5FakKHyPkJGX1jgup6JIluRbkNaoxKmi
chuXE3k+kktU5eDp9ua1gAKDclfQYH+Cau5IlkZD8QirsV/NlK+9gOO1kZuA57h5Vsb6nayRBFZH
cDP1yCWQ35KEFfU4HpWKglL02HQOmOQcyGoVwaKMnsqUdUe5MbJfLWoX+3OzgOVSPkVxeUbWM70z
XePNsdiLULaAOd+EYqnUzquKcl86MtqKujq3Xv7URwgrZw40nLREuzJwbegSzoehFxgw1BAGdGhh
Sm7FBW4AZHQVG2CfyXCQ3HgYXY3DJSTQwNwNrr9gAL6qxHg0WQ/2YBENjdHBBG7RxuBws3HuIXuh
6aOJqNqktgbIPWQFK3SMyRDXHz1eRVgwY3PzY5YfXTINB32w5EvKiVLYw0apnanUK1HVw6CP4FDz
+ZqFabyY4OmtIpbC2IFo3KJ4GpsOzFMNNbPWzJac9QzSYrGzykfZoY5rcnhLhzfHkzDKUvB9g9O+
zxIl2dSCWdwra7CUXFkju8ealRzEJUc+i6sFV68LiRWCBoIea5QJgAp4+ruh+RYYMgpzMOgezGii
qOTZ+SoHZzInIxqKYA9AYiPqxwQNd27vwStTw90agjdyE0T27Rnk4T4ncbELU7SPVQtbxrQQVC4K
vTmgvXSqixaT43Qt22k1GuLoZt0baDQWjwHGS9A4yCD9iJBykTFmUWL4TKOOamN+oGtepBYin05Y
ZAI3bz1kE2Wu6gTdWxBPvzCOi9hNvROr5dme9C1mx7/qFIGbFg4unjM/CuDFRach0dyNM3UrcGIJ
x5da819CLfycomoZ6eZj2kz4omgn6haP7tDuE3PqyP7Hw7KyEBAh57i0crHwScGWdXazouFKvhLs
X/kcKLJGmT1MMjzYnvOJrN/SBGwG/K9+dTL9kKD/4uUTGSS0nmbvEY2Be0nNwE39DSLB105iCE5O
Yqn2hh7+mpk1pDXcvNnWLYFi0BhvnQ3fm/h9R1wGOAe22cpVwKNo1h/CqslxRubbTbKtokouVR8R
mj+DsL5qYloaxvysUewfO3TIRmGfYoWjtg15DIPiFs711Xej164XN3vsDoWbH3PSbN6csrRDq2G9
KDA7hR66JTY+R7Z3MFttMaczlAe2wxouErN6FbQBL6s279Y/q/nHogcgg01yil4p6Vyb0Fbqxf4F
VNKLJfBcJrGLRpm+bnvQUm1/hrz1s+62qaN91mw7oV1QWGVqFGjifCDtz8/wXfJQVW5BO/GMv/9o
fUSZymc4ktdynq5TRdV0DppuUTgJkAAOfwcbpIGab1yhzLGg5rRcgDwW3leNaF6mY1xLAWoCYtQw
lTqDUiK7N2ow0aP6ME6qQ69dxgxrdd4MB96x+cQEw4XZjhlnbD+0yBumP5VjCbfwUGvlDyQy1L/E
0B7VSBuBabeg3XhqSKTrFHpU33yGebdUMjZWER6swr/LJ9DVV8P/iLV05U8X3rwI2PG8jz8uTjvY
ZHU4mJBeBLn8+UdjUJ0HO0DImF65Bo4EWvEMM09pZ6MQvVZzM2pfTFU7TEkRXBqiG66akv/njxHV
w6T4wY8sBMRklawyY3jk/WZkBqBZNOTq+JrHus4fJJQZIGti/GoC491t+RbdIsBOMJsTOozP1JUL
Es15gbjhJ49NLEoql+cOMv+exyyr6Y1UPQqPD7N/FimeROa29UpQi1vVuCNC5IF+5F+69H+6ARCu
SkMY4uxaqL3wIvSDJk7sVJQXL8P0oy7L/zcu+MBBBIhnLUS4DJr30Gs5YCOp4UF2e+VGDnHYH0/J
JekU6Z+wOE2NZ7fCHtYjREdi4neHQhvInR98W/37d9fT8JE7bdQfjHNuN0JJYsTkU303FVfacx6Q
L01uql+4fwOJ0Hju7ORVtQtfHFmNBWUL3pSax8run+gll7wgLSV4ObXlKwJToVplLKGhspX000n9
Oh0c1mrM/W4pNRfogd//YJxq1QN/75z6oHrdgBDSeI+tbW74VCNBL7oPp+sVbHqbtid7flK3tZ1k
z52G4DIgJcI3uTyvymOo4aYmofqsfeLe3IuG5f+8fee88JUJqAM9r4Hy5FsDuaTOHR/5BtWvlDpk
U5JZT9fOOD7yQlHob4xkUK8eo0Nfon7Pp8Xs7NTLcQG1+8fkdPltCsXqxdDw2qjbsmyomzTS5Ki7
TjNz3beXCsVXH3sEqEBq3qpm44e9iJcOhrB0KgPfTSwkm+n4AvojALDsq2ZVZgTl9fBC73MPxloL
zN3S7nmaqvshUQPxkC25F/HR9JVsJW7EA34/9DQ9GnMZLNMWkpXDto9u+lCM1Il5gLk8IXa8TOcA
kXt78/0gYX8OoYqU8btM4r3BChoPj2GNcDjhIdTP4Gsa1sJ9drGgo3EZBDQuuW3ujaQ+HCn8etxn
k3xlKtWgiOdm1SupQ/cpZp1RPUhz8hb8JuOZ9ycJulf7F7g4BovaQfk130u3ggHh2gQLLDvq9mp9
4Rd5Af5Paw1MEzGw5bfrwk53mf+jH++17olrqm7gKkb+u286SmoIcdD6zXvpfLSTv+3B6brPEaUV
NWxUf0aclxPjGgLOhsCEgXeMIiOfq1fSmn6nCqR/PIEWLESRgsbGExAbKHtalAFaI8Uj6PAxRCfR
eHZApKgr8nNATkt/ig/q62pFQk1pJHRmu2OMolmrRi+4l7QAC3/lqdtB7DqdmT+T7YU81w3i5IIH
EvWMfReCW+vCosBeEjl6MOfSB85VQ1J+L9jdMymMOzZrzrJIfDAEBbhix7vhmX2HxXjMs0I6B1QP
CkKJy1DIYAbQJV2GZX3JyGkOsUn538iXmOctZbKFe4jqbEK+/LPVH5LSwgSabDzTnw5Sf5jFNg3y
jTM2d4wZHlXNjS7/7i2fypAc5fek/z1p1K5Dz7O68a1wGnCn89Zq2VMLR46jukc4wlxNYwqryKPQ
nWouo95UV6hJk+fJOsy90FiMahVyj5t0OKqWpHPUsPfEiRmiAqGAgzt/ZYByDVvuGblR5i8s/aAn
1IOnx4ljOA/BXFBDikUDYwA1a5gm/JtdLSMw63HErAQoMnHiZX3+z+kN7qZ6dW2mCF0/xBYqmYxq
S55HBdCqH3gePhgm8ZIhI6lzFkJJe+Mpr0WZLuziw7Z/phWECwQBWPv4rtq/R5AcbM9YnC4nx1Kv
bVoX132Sw2eDQic31Gsg+/oXT8dAcWd4hsWavUlSuuKzgu50ObiyxPUZlROAo0y9HrChuo/9ey2K
UToEBS3bh9i4em73xc+wcr4LBMDzWGLMvNaHmeAJ/WZgJKGx5Ui6bSHUCD6y9BYJ30f1mjzHTA6L
FoYBw2/lbERa+VnWgF9SwBIkxjCsBhl/Pxo7UI9k1Bv4JgSxebPKzHDva5u8NbZ+d/t9jdioUVrX
z+j+HX2leEq8pca4z4hRO4TZPqvJaJRRulKvaGlYknWP6tJVl3z4tXOruSULWjSsGova3FCYD4w1
9TgaekEsB7wsu4cRgHPE0UlmnOuxF6178jFkdgSahkPdPseKtJ0gNKiZmEQ4O1oqKVrVbnTP6LGQ
RD9ts6RUZGHo4j0hgLAsBnyhWeKGIH1I0Eece/lQ9S75YDx8o2Y6fHcnMwZvTFYfXoAB1g2EIrCA
qLZMw4outMQnA5OABqzXWpgZGjYvXYaKq3+akntwgysVRtoShmJebDu/xWZo7eFIlEmcBoi00u6C
bvyB66g1gWuPVO46SSDE4OOf3IPJZbgSsVvqY3RrVkOgkD/52cQQgXrNo1lEOTyU1LeVvw+0N+m9
EFmw+vilCevmCReU73W5JQHBEqcCODWA0+Ad8607tiZeVjmi5OmnWtGMHzylX1Mj24UZUxSOHPG6
M6OmzDbBdAPurcZo66iNGibSXVh9+jZrg/mhzokyi6iJP7Ji82NoBpBMQDc6nyoP8Uez4hWy7Rul
7YvCDyGOf1JLng1RhWzR+1yqbYHfaLJ2kxGHoPeG5g2Jvm/CyQx1MNnzXqYZD3uX9EWMc9OAfo4r
LvFIAdBmzRhIoeAe1DPf6APuoG6NypZ/sh38B5kFDIueCUM7qenTTDEsu+6iNqlCgI4HOGbTPLR/
hUYfA09ta2rJo6lVt/Y8QKWjzrsJNTwfsIFB9srv0QhrEkR0xns1XKYCyig4k7sS0Noo5zOtO+QA
JrstXFUV9ukodFq0baTnq9hs1qmDZn7VtO+9vuYhZ37su08QwFfQWcB3CpTSKXkDVFHLBS4Lt9nq
dqVRnuYO3Ks6gAzhHnswdZj6Hc0BmMQuQS6iEG0w99nmRMCNeSMiTLpTwKkK25dxBFgBQoKmEkQS
nkPdIos3aliDQcYm5ajaoAHdQZBJGxiedze1pDp4j5bQSTWzmCBSt4RknKMYUFxfiQOoHTGGQNJ8
L4BIshqo3Xtdfc8oVvFHfBnYo2rE3YgpOGHUlHpGz8BdICWZ3D6iaKuWLEYTzcZDWCPOAz2Q1yqV
hxZzdkaLemkVACDqi9oeCShQtfzOiDKF+pgANhjlHWOS77paccCwGsbygaHGkFdHHAFMmCHSRObK
hWIEgi9GaoE9WUeLjF/n9+gORhCzS1Lr9JB4+M6ssdapnjDMtzC2VkxqlSBQtBk0ZChdIScudrQy
oUrkXtXcUDGZfQnRjjBGCfEaV7XvVVndQbs07fikQwx1ORXxunyoJmFM7KOejjDpu88YqLQzPxfh
sxIkZZnEBQCnDHdlQMSQ466iIKVXSpCDLSx9l1hVzd2zab6JVp3IVPyoWp2BouJoTjD277MLl1Wh
AtHtdy+1oATnbQGWhidhdWZC7bktruNbe2zXRgwFh5CvHr87x+SgApCK0CBzdoFRQm2tD2hkf7ZT
u5yEPIwDYmNqE41NpF9E5H3JuYL+7Sk2Hlm8OplwyEQfisxAUtf7tk8RespayveNj45IMmxbvzzo
tfU8JMmtasUvbx5ewhZWquqVCo8KlUTnxHdMES763jkjDyFpJqNPvhd8Md70bvcrlOJIlVnSeexk
nqFTYoWEjq4pEZh5sKZi1QYR4dVwIxsN6c+FBp6K6sCZMbszWYHaZtpU0FzB8dfK9AQ32gjCUqr8
YZeant6M3txmlfVIVvlU9FT+g/6NMs6u6bR28X2CgnhaRs3TUJUcG8c1xlhnBJdJm6Oli172CyKu
hC3NTmTNIdd4ChBAOzU91OjQXX3bJcHBsUbyyqSJ1ZZZDreJgL6zHlVgyHkbEJZ77gTVIi3NoScI
rMzb/EmlYvIeGBfnmwZIMcXYraNr1DBwDzASDhyANa+9PitK7wpN9lNhV/3CH+pXdGYvFX5/vjox
Nxy585DmMdyz6gDA3WQ3pbl0ymgvGSWDL48aJTeo9LByMHV1puDOFcmRbftOz5L31kIdthh2skB4
HWwIS6GJlUWSswYxpHs5uFSo44UKaNCbu46ugxaLczZUkQZOWR6Eb42ylkXOWNFZYg4CPQB0ZCWn
KfuBqxFuNdUrGqSwPt3qedCcr6aEuUFJ5TJL7+aPzkaNNfX4RgF//3tLnsKvmPhz0kG2s//8QkQC
9p2zDNiZiwYpHDA6PpB9uwtfwF8/qfi1rMEFQuJL6kai2escOmwbwP8eLQ1Wo+0lCOegPDMWT/Fs
3Ep/OreqdOH78CcU0KyHFhT23RnzLWoO0gJTHyDgUXkQbCXlu2jq2fZHSILZSkfHBu8gLK16cZzJ
Sd/VGa4Seh/dY2s3nqlpdJvasR/VkXRWlsoipWicz7XylF0jzYCESsqxOj/ZIjx3ikTHummzjraZ
t6lQteA0Fd4wKeGMIpikTj1v7DGqFhXJjCGyX1w//nLJ664IZxae12wKkmRG2n4GWpiTnDTvOthE
Mc7jQhispXO4HCdmHElXUGGsMZLYQUuCJygt77lEBSmdjPX3uQ1dx6If167Zr9XuNbTDISew9i2k
e/WqP5c45m2DWUemsYi2njtvZ5G/W0FE75sDILWhhepFEWZT5J23rAU1TleSUMiaAO1i8dYDPwYY
tR1nBAqS1tpPDTYv4fgRGj7sYl9DIjuu8Y0V1QVR/h92376VzOG+Tw8AbbfEUmSAWJHq7oRCCxgW
7KidMHswkw9EdvYt+4h07LPaFT1dkkMIb6pQbmhkXat+X6Dhdzfq/tEPCC/hZcoQRQZQz7Fy7kSf
6y50QzbhfCVJRVWsfUErD2otcFmnG4RKVPagBvmYmNqT16W/DIhUDmIcWMudIlTYhpyajlftItdd
4dSwjjz9V0y6Mjd8dI6yfRCiWaG776mYrpkm34NkIq2vfwJKISuHwU81YhEaHFoQQ8ADfqkRkqby
JvT2lBXWRRQQKKvxSB3/pEuk/U0yLwArUy0/OJADPTPeRmnIYcTb6K75bLKrZErk1UZVF0o0ggpn
9qJZrzcDVTOBpXcE9HVBsffBaoqfow1jwIBZVSMrhXPdSvs+i3b7UXq7ivhZDVcdrgqGmYfBd7cu
43Msi+/9EhjsaZiTSyepuTkI4RN8FA0c7pqR5YL7mokv2iJBDLndqgsmVfgleyy5ovA+UUBav1Lg
M7RXNNWGaMVXwxQspkGn+ma86B0RTQYtRjD8JTPMy/tjHs9rjoI7NbbNxDzGmX1NPPdW8DklrXuV
gapZyZwqYtmIvoq4fh29ahPZ8ZoC1UYFixyptMVkkeUj+eIbM5LNDfu8dh0hU7g25d4KlWg/R4l9
BEogN2oQuxkWi444h0N5BGpyyADf35EZB3ck3AsgRpDcHD9jD5JpWOsn1S0y8Zeara/tUGx6UAED
2nmzXr6YiHBZAtndlvR7E6xxAYBsBMo0q1ciGL+rlVE+b6JG7lSfqcE9srNnzvDUD+HCZS6WFkjw
vji4rHgJSF4VhXv0Dh6Cq47JLztNEb/u8mbYjThmRYW5/24YK92oAMOovS90TZZaEr2rtcUEO52n
xgqa19Jw5l0a2UcfP8iEUeGlYk92/i1i6QaG4pDIsddtm53jNEL0sbs3XftQOHDA7Oh+gDg2aTma
yIgBMwqIxj1nuGHvRN65WJvAuzr4oQGKPUyBnSsovtvV0mULVD9TkW83iwfBgUz3JOuxIoI1ezzU
mKNp8FO9qD6EB1Qe7ge3fXTC+FhK/C0547KHussqnm4qk+ljOtqH5caJrOMkMeFVr2JXpHPshGRH
sXeq+bMI/Ic4jHbZFJ5xsLzrfXNXRex+c/ssUh9P3GCrZnwzcebQkR4GHELBlBqws+8jwpUxRQBE
pZdRGAjvCCAOGCXtBaSNVLeQOOIfSZivfTGycZpL9Qx6XFMnxQjKSFGW6jcNYhAgQt4aBOOTot4Y
QILHTnxgjvCUSzwH5/Bn1muncALyJq3oBceBLQoSjy2qnKbj5RyZ+lPWh68pYJe+SW/oz+9ZL7aJ
Z0GzwWgMr4FxLm7wsO8N196VFIbU6lkF2Wcu4lc7t49VNe0TyCkDG6TKVTlKxivmVFrPDRVCdCoq
RkipqpDdgWI7GFR/CSD33M0YfzXmJhNFhXuVu7Iq5ETUGFXbkxl2Z2MElcFi7idUeFmyYqCaUV7d
O0oWu8IkSfJDl0FeivhrwNAC4c0lsvioT9cHNLUgelCpx2PLraGKo7eIoAxQpeanqoVEhO5jPG7m
XMEvxuPQDepAHwGD9zLUNOWwz9iQZaCd1DKK9gA50MZ+bpvgrHqhI9vW9P4mxBbluyMFM9GCsQaY
5+raVEFK19z3g7/PEXdoWrTiUPmLWaULLO/Vyl+5AXgaElGZiI4y078SOquM3I1pUDtG7SH3xFMZ
Ra8JicPQcnuCpmgP2W8r7OHLKdyrbvTYb4+HzGsOgqXWYv+Jea8wFweJEJBpAdNhbR9t8woh3V5F
WbBLMRigVBY8qFxo1Jrw9ot9xPIVWvKkdge7wFXeMvj5BwKbT44bbf4lpyF3O3bMx7jyWZ3nHVRr
1DWmxb+iJDNTCDPzYz1V1FV/RNT///mP//N///tr/K/wZ3kumSRl8Y+ig/YQF6389z+df/6DqFB9
uvvx73+6nuXaJucM4Ru6ELpwfX7+9XGNi5AvG/9CZCOJR5grZzoSr5ys0uyHxukmHsJkybGNcvH3
N3T//xsKXXccWwekIEzH+M8bciKzjMLHRySUw9HK0IDpsQ9Ky/BL9/tPUEenv7+f8RdvKHTft0zD
MnQf5OJ/3tBLsjkt6gS+YFvXh2BqcFhFc2BNQqQkMW9GH3qgcYyYo/YjKlhsYm9mZWh6rOuJcRgZ
Vfvh+UyvsE/aN0PvhvPfP6L1F01iwGzHvkd3TJrmP58QVlBXWWaYnFHnX+uZecOb8+ff38JQ1/hT
PwvD1Olh0xa+pf+p2UNXMwACheWFU7FD/r1nt9YIXlvLOFCdUGUyq4oXyiGDhJhOVMXpfWg+Vfr9
f3kU/S8eRdAPJpkpx4I88Z+va0MCBK0XZOfQSv0VRiOvlpM6eyfxJxJ2XUHCbURfPvRP5axvIqPx
/pf2Nv5qDArTd1STu75n/2lIAPmCWKzl+VlM3r0v6zOmH6tMQ1Ww8W6OI94d0e0nO1xblEiU52XY
hMBpKTjbwb0LtKTL2ZLjcff3LfNXfSSYhY7Lk3mm+ac+6v2iihtm3HkUunU/860f4NCCW9T7/eHv
b2Woa/15PNhIt1qGr9v896d5b+U5O00SANInjQrbeOXhzd3CZhrZO8wGxPr8P6Sd15LcOLaun4gR
tAB5m7Z8slRyrRuGNN1N7z2ffn/Ujn2mislIRve5mFbMdIyQAIGFhbV+001/tEP4qhrULPIBY7Lb
P2Ft1wvVZGhLmI5uL35Bl0HrLxspcURG4ogceec0otiINmuHn8V0HGlYltCNxZcuBN4btp4mrhch
sKbwlEQENC4ueTPgeaFZ8vX2pLS1zS2Ia7xDTI2jvBgQx4vR1NA9dU29vEtB0sQWj3Ua5wOXuOlD
V/B6594GLvjv9o9UVakJgrNhOfO2fxfLwyTMpOmHlDqg5dvN9L0W9Y+RrsLtOdorW0dydEwVRAZS
IothOjn0Y5QGKg/28fsEINyuJUiFBqkYWAW9eEDQYuMzrh1YmzTImOM4ValFyCiglmZl0PmvqeiP
2pyvqsFLTmjSh4zuO9SX21Oc997ydNhsTV0ClLdUc7E3baWNBDLEiZs31RsGxK9hTL0XIvvnOOy/
Kr7+apvF2/w4uD3u6rF0VMM0OBA2ifZyopmvoCoNoaTT06/4Vt7XaDc6aXREXOPizWUnSt4GHCUN
M6UxVk4b48/bczFxk1lr/AJT2Ja1+LYRkr99HzqBO1UU30ZDl/Ap0+p5nEz9LS/wseH+ptBoivLF
mGBZtGoqqMzY6q/YrDOev7a9caRW4oTJtQVokcTZIGB/3NVFEueTJ3PLTfXyLfCcn15ahxv7ayXy
kh/oBF7HMFVTXyy7QJPPzkIlcLu6OENkfR46DDWH/PPt5V3ZxsyCC0fYKiFiedFbcZLlWoa/B/qs
2a6Q2d++T81RSlRD6b58qYY4Ot8ecuWwIjBiaSyhKpjhHCDfxYQKS9cWDubktiV0Vqk8G/SjsHem
PwNZZ8p/4fJwe8SVs/NhxPkXvRvR7ywEfBCgcytS+XjoII+LByTunrI4TkFIBI+zr4Xa98+3x10J
9SaXuqWqqmmajrHYJ8DQm9yDwuFWWLC1Dq7EUXwZ7PY+qYKNodaOKQo6umMIxBEp4y2ivN3YHnKn
Zeh6PfW7kUZI1jbnnDA/P9LnzCGD9jcXCUzqtzyB/8Uavx9/PjPv1lhtmzBWZt38fJieIXmgwJff
c9keCtyHR4TzkrBFOYV61+01Xvu2hiEMyY2qa9xzH8cdZVzZiNSH7miHj9UwHrkn8DTvHuq8AZWX
4U5UWo/z6/z2uGu72LC4wjVbaIalL+Jx3aY+HuVp6M41M4mdS93OMFcQ/uSrGEhfcNh7uj3k6lT/
O6QxX/Tvljgyg6prIXW4GSLmQmKEEor8TLf86/z4RN/hMcvMx1Aq32+PuzFVY5EE6gKZbw3fVDeI
iLhh/Qrg4VHjpTmXihw/uQvBQ90ecm2qlsr9qgrbJH9YfFVRKLC8cNZzgQ2g+pLet+ggzrsI2/MT
LivHDK5qHaU/bw+7dmCFZmu6Zpss4DJVMhKqhijWBK5W8NwISnKzqC/Vc4/xgr5DL57C5e0R18K8
IOslk7Bsx14mSBpShEnaEuZLIV6mUf/hIM2S8vbcGGctCzQF3AT2j6Hb+nJFobtVBYB99uvQ/pxL
zsGAQ1VSaW8GFQHq2l/RZrq0UnNRcdj4muuT/O/Yi9iA8TRi47lPbOr8e8tI/wZh8msuIf2LtRRC
1y3T5v2wfFDiXeSIoWctaZ09m1P+aa6h4bLzcnuYteMgkB0WmmkRcsXi5Cdw5PlXIQ4hGCZVxuSG
jgl/tsi+jaPFpTngWlBvlAxWN6YkdycXQBVkGW16qgP+UPL1aGViu5ihH4Q7hewOca5u3SQ6YWSZ
cJF2/N9Yy+NeU8H0Y4OvpVYg72GnhZF9Mshw5yLbXLZvoTTYcf1zJqx4MA6qqtyIOKu32fvfMP/G
d6Guz7DpbQzWGI4ertLaY5riKC8l2BYRUI+n5z93u4saL8cacnmrJ1sHZmsZFpsW5+ZJyCqGN4vr
MdgUwOk0/vmnDzRIoGM+/2+VeII4iyXevylJkO4S/bT54YRMxMcV0Lo2w1PPZDNPOibNSRAdYb6C
3UVvBtxoXWATpmaHEd/z+64ck9c+xMXt9k5fO7e83izbIiDyWxaBP3NSzauh6CBPAKcYkXVU1ylZ
97TObg+0tr2lyQg2Q1nM+eNk9dQfGni4HCkle6gb7ZwWPdONX4fI2BhqdWu9H2v+7u+2FirUY4DC
DYlKZaMXK58zx3ucEzS8pl8qv/67bzvsFhJkgodHbriN6LFW9jJtuLfQmMnt4W1/HB+BVCgQAHpc
QFT7OLN++cCYHYBV8EMuCIohaE1PTum+DDbebAToY6Q2DzGqTIpTf55Qv7699mvhzLapeBiSwhM5
1Mffo02xnVKdm1wVyHdg7hLrK4odBbpOQSOBRG8E6fnYLKOLY/HoMnSLWL3cU3XJ5aYaZezOLEhN
b7/UNjqVt6e0sm8tEn7KuQKvDrG8VEVIxVL6EwkLQGDkQw5qnN8bOIjcHmZtK0H70RzTNKRFqrL4
lMIu0QNL7OzVxyd2fAU0NMODgDOD3eFJjX7GCJMCSbRhY4IriygoIKu81yRPi2XFejLwSkoLI+dN
DjV1MvFRrBTP25jfyttwfp/xUjOExnNtXuZ3J6Uy0r6PsX52IVPDis7SR3zDHrl8z/jpgkqsD7fX
cyUKcBwA2uu6YXPDLp5LiQKt1UkGMDqB+CZtZCU4lUqYPuMGW26s4MrcyEco8dFfMNj9iwRTr0xA
VyjPuTEd5bljX8IgB9kljk1cfKZusHGB/35/LfY9b17VMW2LT28v9z3KKK3s0ex7bUs7+BE7I8qC
g5PDcs2k8oafZO8B0VZ4H5o4BtS+AdW8c8rs29QO1pcubLBwi8O23bjtV3aSQ3TnLFoaddfls1Hm
QRHFUwNOlivolxLicZMFpnV/+8uuHMgPoyx20hB3GfzxRrlgNKueZauJF/S+7XOUaP5GGXk+c1fr
/G5C8yZ7t2kheGcgONVZ3i28Q9rlDL3uq5fKDu1p+2cIWx4Z6+EETe7T7TmuZdgfJjkH2ncj51pa
paWtBy6Khoh9Qqkv1D0ElIOtgHjNv/Rp9Eo161QW6bfbQ699RKGTi1pS575e1oo0NMU6u1Dti4mm
y12u4sjtoWe18RHXwp3DNrHJRzSuruUTIqzNTPXtxL7IOHJ7DwMFpntKlfqke/ZLl5WfoVY/DAPS
iVp5wD7jn8cjsm6K5pKkiLC3OLOeGoPN87LBHQ0BmyJ5ShLlTUpxCWbZxRIH5dvLuhYjnHlRDVpU
hraMEWiRqJCkLfvSdAVKrGb12aTOulfo9k8AEILK3Ni7WwPO3/ndDhrQ9A08GERuA/NoUi3XtMRL
lnePcVOfrGbSNya4smXnapFK28kk86Ln8XHAKE/8WgUs4HpGgUmHiUXmF1D2ma3/GGxxRwJ+mYlm
VlhtJB3XM/0wsLUoZTihmjnGfEqB8s5gFRp9wOse0MWduQa3P+P16RCqofH2EyTUVIkW2yawjEzp
k9R31UI3wPHazRNiTdn+n48ikAgSKrkynYhFGuWhnIRVs41VZAjmEDme8KDOuom3R1k5gwL9DVun
ZEBvXDiLIAPBOB2E2duXREU1NlJOYRaeegwc4qb83Hq4xtbdgfX4ZOn9SVjT59vjXwfy98MTaz5u
GB8kSu3hl+SGVv5Clg11DvCXqKxqY6LXYVxQ/uGNjW4ouv7LrLTv+zoZrNC+IN+yywtKauyQ/4Vn
V+k3O5xx6LenNl8MHy8OUipTapwDy6TwtLijsMnyJvxcBxos/kNuAJYFkalX+akX2vn2UGvnTnN0
YSLO5vDSXjYaW19UiVnqvQvoMsP5wCnoWMQqGht+3Pw19CZGBkqrQc2Q9ptuCpriIanCxq9Y+Zj8
CgcpAwSszKscqMRKTtWiuna9WSoQbL56YnftcfTQocLltotrw76NxyffvKBE9Axlo4ULQQXg9g+5
foHMOTQ5pg0IwyZxX2wqzFSmJoxqV+Y2LoipaaLZjAa7gVjQTh+R+0gm5AmwPSm2PsQKFEOgEjWD
Pgz2m7rMOds4TdAZ7a2LM2jFK81QD5AxylRmXaK4YuImqVn5Z4SasNtLu+RrqHQgHvOy0d0xskBQ
N51v7Psuse5tX22wr68hOvgTDqZqS8rmqc6famPNXngNHLwST0AfjazHgBfvo62qwYEWxKe8tRER
QPTvPocTsa+ClC/O0+9MXEQCJeYvCtui/i7GDH0Zz69AS432zza3klcbhR9Iskg8NIY909cbwk8Y
yzMO2cWzzKvklI+VfjCDsjlkYWwfJLEK8oyufSqStDv1U9Ei/CDU2YsDKafRgrZr1aHxnDsdMFA1
NV4iH7BeIeruqUtK70fTBzh7iQROouVAaSinA/5Nf8ZJWbNLFGg9WRqqSETYAlusOkKCXfavLGX2
lEXI4fCWwGlRj8b7Nu77eyJqBKOj/Kq1HkJPWDk/sUgwk5S4gYErjNdBWsUXnj3eQ64b5l5t4Tf4
k96jYgQuz2nN/JcSyQJ5fBh6RY9HZDXg3Exm1O8iKqKvle4zlRA0cYxlINLqBcbSFlDyEYWwxyHT
+N7CC+I3DZnUU5GoONH3rXI3pC0OCk6Gq0MxeGfbasc3H+xSuwtRpzpM/GVfusZTN1IdTb+ORroq
sA2WGok5aKGPZ2KMBl3isxi4AlerPO1e0GI8mPXspTnTX7L2u2X/TDUM0irUhzZxHyv3s+5IjoOp
m3Qflw/MtLWmYQo9+1LMlgnCx0on1BKkK0sMa6nWeGfPTOq723FgJR5hOqIbDs1eKgPLOGDoDYYX
AU6ldSP9p0IPR3zchHksLa3dCPYr8wPmA+iWxrIUrPHH5UVrmfcHhmquj70xkj3jUD/HuUUT584P
/828JAUJHupUVWkEfhys1wY/qRMAbYllseuMANseJ3jO9PH4zxfQmQdxgFXp6CstBpKBNOKxEqgm
VMdh6C5KKhyU5K3/3B5n5TFLrsi1wedyVOeq0p4Fo/S4mCNXl3AjcTPxkc+uBgQ8ET7Rkm+4PEAW
9dXHofsMnhN+hrcRuX9vhsV1zU+QVJLYAqC2FouqNXpFesBPGGsNFUYdtWOY4xO8UPSLKipA+0gP
EPMZUNfpo9I7eNLMDnZe1V970ysPnlNPxzLKOhczzOKhQs4J7X3ffI4p6CJbxesRnVz/0GSFvTcD
1MB59WDCrmv9SwaP/IW6M5lPA8JACVUBTleWGzWDlYzEdLiUNKoUNq+QxefUeygo4UQ3alBttLzM
HJY3HrkHVUHvpVOqjWt4JU9mOJOmhqPpMzDx4+6h7IjtgqpQ7Y3w+1GLJHsKq3Sr/rd2yEk5AOlQ
UdbNZR3ES2o4m7Eeuno+fpowA0vj8S3UzPvbW3RrmDm+vntKKSKmazgUkSvwW0TJvQ2KN0frIqQi
s+LH7bFWFo4CPdVTQ9fIYZZxS6FLFJRWGbhjNzU71YmfTcVKDrcHmVd/sd8toqIJYpIQQkn+44Sc
StiJHOjKyDSPXmNMsPcVHC2Kf05/RE13OEgdTx+vHPpjXfvFxvAr68nwlObJSeYjt9gcbV/aZSbG
wI3aHCHAAJ36xHpSU3/cyEpXIvP7geTihaEkQYGlLZ2uLtJfkiR5DiasNR3/ObCxH9RE1GwMuPb1
3s1MLh5uYVNqajcDbaqmfAzy7pVzttnNWft64F3I+CVxmZbKx68nrDiDRKsGLoHSrdq7Gkz6/AcY
hfGnmqhPhgAGcyeH8Ni3qA9SUlF+YCh9xx9a87UYfiDd8c83FKfc0ijD02hfPljNkE1jeLbv1jzn
cmPENgMt590wYpbmQMOwmnMX0SLG0n4jdq/EtfmFRXIjtHlHLVZcTxLpTUMrX70AjdMEOBCKaor9
HyWwrZfYsrZigVj7xO8HXAQDHheiN7kOXKuUOaoXUbjHaCKA2Wl3d5aBW2c3Zsh9l7r/zDtpuC8n
zEbNtJT3Xd1N8JSRq7HzFPM0Hf3uAZ3N2TpYlyddr1J9HyeYIsK+FGf0srIXfFhaNBL78FlRYJDB
j1AhEGpFceoKB2YIhhY7vUTrLPLjfG+ESnEUrTq8iG6ozsLXxjc9C1UwPKhXOZ09PlbK7D3NLRCh
NZtTVOC+ML4jTVtiL9D0CComWCNZKnYrOlYp56pCLNqGOmZjeytwCHnWSX3vNAsZCqWN9edWtMaX
Sh9fGq19jQE+n3+D67CieJp6KEwVnFesIbCHkl1f85s24YxrhQxSImKJwfN3bnN+PBFRnOd+6rSc
CJT2/L48trX3lw1/Sdd4AbP5UEZsUEJAkTbAosLMNvpwawGNXcgPADPkXBUYUuR1VFkHgpet/jMY
OnFUA9avM43kn+eaFjAhA1SzQ3NkWZ3NZW84iMJQ/DYx9ZIFJ3y4A0YewsffPNVrZ8sSGoUhi39Q
vfy4rEWmleE0JNYlAn22o8yV7psu++4k+a/WAbJzO4asHSxqzpAnKGVY0DU+juZ7kVbILhWXxG6r
YxRp+kFWqr2xgGvpJrhPC7wl159B8XcxTEWvsBwcpOGS/m1SUU/pyuMUlH9gs4acniVfIJ3dhaU4
mbm5Q7j3DIz7Yo/6Rn12fbr//R3zv3+XVPAeyjiJUeQ2QrGRB8GGzSvzt9trurox8VqQNk0wFGgX
kwXWACesI1gphfqgt0ikxTWOq8bX28Os3UiYHVhkLiqIIGtxoTvWmPRozIZu2Xpzu9tNGrw9uoe+
9A9aIv9Gk5U6vxlv7JiVYXkymLQPeA1hD7849mEqsf6a2sRtdERvDRsIcxoUO8UMT22qvAaB/owt
9MsU58fb871eVp6zOhADWhgAypYUD1P2XpRXJnTEfjx02s+ZKcsNfHuQ69kxiEM4oVvA+3nZoehz
v1K7tBxcQ5T5o9Dq4WFEiO1XghfjwQlUyH9+IrxHKSM0eYMu2ghqK+PrFB9sXuyEVnWZwutUgWDu
9L1bd6jvzfWRoByQtRxhw3dnXoYOBtTK00RY3N+e+cry8pQGDT/zJ/QrOHzlm13bdkjXYyO9i1Os
PMc71N02ds91dAOArkIV+s0S44+PB5BuNdbDXdi7hm/8JVA1r+2kQXa4snZhbsUbc1odjaUAlUfr
lg7/x9FGaqdxXfm9G8r8teVsQEVL911lPQTN1htiZf0o8oA5dH5zwpZjpblM+zEWnVsHav+og/4h
PxQGanNDfrj9qa4zbElTbC6yzLhDuoYfp1V0NF0Nf/JdPEK+FyBHHTCVHu32IR+OTeBt7MmVUpYk
lpkQXqCSXSPZp2ayMAHRvLmUP71ZlTwY3R+lMKNLXpT9uRJRcqgTDbEMoOEv5WzpUygqhb9aeBtT
X6FZzb/FZtJwhGxebB/nnuRmFCTBb2Wd4KhPuYZRm/eAnvwe+da7SpPPDgapPOzbfYLlnwY5pnGC
S+nMbi2Iz0GX/Bd72lbB3fAt+M8VmUAMAZ3FPvQulPVmXTJ0aTHu2OqnXF9dzHsegIoeENBl3BUx
uuiRpctLOskvGhB0NTI3oAQrxwXgOW9gqum0bJZrGyEuh5YO7djEmqDRG3+nZoKsd3SyxvzT7S28
kj0ynXdjLW7iVCl8E5Ju46JN/0tT4/tYhukOGainAGmYHeXm51Kx8Typ/tQqAVEO2Y3bP2F1Qf+X
qwrb/6pAKyPEBs1Mr10TAPSAEmOyCWNaiebsC5JkVbKgV3elUU1p0Zg0Lj0fIbadg8nNsUhrSFug
DHaNHoWzY3V60n057Sg9tFtF6JUvCtyY/hL7hUbckhzi+BFuw4huunlR+JhzIiioh5+UtDqUQXVH
y/zZoTM8+jYiA+KhpBSGfD3EZVN56bT2kxIhmVm38cYhXolfUCpoWFMIAd+1TJCEYrSOnXgCod8w
P1dg3/eeYkE5l0F5tB30pLxsijdqcSs7jnYkGRlfgxveXoKLDb+2PBQN5uI07jQtlue7dtK6fWEr
5neaM8qdtLPu1KRJ82RPZngoKn5O0aHadXvjXd8Uc3uZIh2xlC7l8uGk8SpLhwaUVNiqL06lPFR+
fjcY4cbHXx3GZn2hxM430yJRkxqP1iRlGIT5Uj/6Qr91rMpvt+ey0ghlMu9G0T/GY2X0sBbRMbgc
6vYl0NM/lFD5Rp3uoI/xcWqN+wK5Qqu3vwnUIW6PfX2AGRoMGMhHez5g8+l7l8z3whtFXdfepbQg
B5aWTQzpt4pL1ydoHkSCP6CpLK4q8gabs7VznC8SqFA7VcPFetYKibXka9cWxsbWWBuNFja1Yrhp
dFIW38wsk1FR9J7RyuBJL+snWyByVRWnSt+iwK1tD2cmBNPkn2lci4tUtjYYWvShUPNDhWtM2mOr
q7/UQt5vfCV97TsBkwUXTCMKuOMyCzOTUQu9lvRhdnk3YnT+6JenuMA7+E7nsbYTA8+WUX30/fHP
MCiSh1rF5iNVmr/SqP5ZRM2wE232PSq8zwIgo1Nb3bnr+2+xbz1XPK7CHuH9REMpR1avSeucatP8
rSskdGcfTPIFMYsvGhuShGFf1QUqxlimIVYE5zFWKVDU0ae6m83AAsSNjbcg6vAvCqx7vOlP9RAg
aaH+p9NqOrn8l8HrL10TfjV88c33UCyzBUamfYvD+Gj9JQXyNXl56TTre6Wgqufo36YuB4ys3CV2
/Qm85hnXp6PS0+1sbeSJSJNouxRPKvLoqBenNt7uyCPp/b1VJ18gP6LY6HBRxJ86bULlXHkiz7tT
NP8lmrpPs8iT44e/qhRqCwpHONtmXydIBuNsADBEtHXizDwkBSonnoN0nP5lHh5PolNhGm91g420
hfNqgPciopBPKCc84/JkUNErCvrdCW6nvt7vgec89tI6J1Z8jBz5A5F2N0BtZgzFwSzh9kzVj2yS
92ml3UHgvRhVgCUo4CA/eWQ5kZ6MKg3RoOHY46GDqZDYqYr1t22lD01e/WwV65jAurAB++ad9Ybr
b3gwgvYZVb8HGyvlauTtVUblXvEgzut6cd/ok7HTMV2XcflpnpvuN/dOhEmDk5+a2Ughb4740Aew
rFAZqUz0LzOsAXcZvXeUWKM7VcFAomvje6H437CwfU2b9hdITW036h2GUWUxRrvCHJUjtN7sMGmz
LEhVdjsDS5hjX2X2GQNAvLIrblQvQU0fv4v5QUwwJ3dHKqRWvhdhUh8LYSFG5SneH2k/l/VAj+ys
fNRd0+vUv5JxUjAhTw0DpeMyPESe4tD/nqYa+VIlvM/GGoegbjS7XW3HLRYQdag+6dIO6G71BVJ1
/J1lmGBHjoDXy8CnmELHfglHL8B2xUIQK7ZmVAGoJxS5Uv3JDzv018cyqZ9zksFPaPunRyVRBiw3
DfWzYUXGCczu94w2p25Oj3XQfxWxvJ9lp7pRPXujd/aD6aslCkxWkkujZc+9HiB/HJz1At2lSnsc
QnmKuHXCqr94IRzYaHgoZsdjz/G/64OyT7DRmDdDUAu3KvUnadR/lf7wHDT2JTSaL0MqLyFXC2rJ
z7MzUTyWD3kd/Wf+tk2rHXwSt06vv2ZZ9zPIY7dM9HPpYE1Wy+nPmEg92njHpjih7aNyjiG+me/K
MizwYcd1wna6s2bHl2gUj3aPjGtj6q9hkrqtSXFIDiS/ZsULWAjE3pzgpz8g9K06f9GgxUNd9e8L
q6MY0eAoZTtPU6E92JqCAID2I1Onr6PXcqgQUbTwxQ1D/RERBjSC8J/ITLcP1AMGRp8DQzs3oOes
0biMZvylybUXp8VxcJaCUWuZoQc6/qGVU7Kr/OK51YOvIrFfel+FbKumT6bUn23L/tt2kPu34ju6
uTjyNvqDKaPvXjA94W72n7EZ450AeaA5lusVfsJRnH1uxUOiNK6O0JIn8B+V4SxiEjyh4pDs5h/o
l8gJtbNLqHHXJ+odlkg/+sg6TXl+NFKkEhWJhngzquIzZWAgR9qpL7tfCCSppzoVe8gK2AyLHxYy
NzJI8S8u+y/BGB3i0b6fN8TsFdYX1X9iNgn6kZ8DTXtV4xbzI+0+wq+iisXftexfEs/56uv+S8ta
pMjB+ln6qUgH5LyxBN5jpZ5i9IndW2I/D6BcvAAjIuFN99LrHtNQ//3/aYv+PjDEZyNJ7rD4+URT
kR5CLS+eIe9Rv232VQdyBuPMfRcg9GliX3Nk4x0NMzlNnfKYmNPFVIKzX4DxSVtQ4ONeFR5K5olP
oPK/2SQ987JVvUT6dZzu4eglO4MD0mjB905Bb09EHPMug5mNOy+KaiYOho2FPh5v3j3qTT1eHhQo
DBR9LAMM8O2b+Drt5sVFE3pm6cB+W+adNrp6SA5M0wXszqyLn+GCqRJYJqeh42jw+jHtpjzfHnQl
zTBItnmAUEGAobJI0pomD20zquwL+PFHI85+SKU9gh3dKOyuDgOSQQhJ8dxc5oJaQFEkq215oQhR
GiDAduC9bs9kJTczaAH83xDOoq+JrR79FCpNF0Qe9rlSPAVCvTcz+06NtoB9vxl6H3vFrBZPcFbu
N0xjkTLlceVFXd6yOzlnf5ZJCjxBiXDVKkyx74aMxqNZh3c4cmLgqGYd3Ox4uLdiK/4jzqG7ak2G
0n5bkQVgWYhJeOtPf+qGl78lXh3/mVIPexwjkd2pgtJRAMv9GVslzKFwC3gswtw5DGUX3uHhG7u+
V1v7SotBc4mxPRcoG2+8VFYSRJgcJBCzospcFviYyBsKRr9eaAEDx4Kh4zQ78UYJa23rW+jfIJ/C
wlrL5jdywtOAuO/v7dHsyD0pzxBcN6lpazOZSSKA26nMk8F/nIlwwkE1Gs93pdFPL50crMe8wE11
j/XhqaArcMw8DxHW0Iw/0Rg2rV7cW07uzIqr3oMzGURKO8u+3N65K7M3EQCCDQ1mmyreYjelWqKF
vAV9t7CFG9p4WONxu89NFOLb6TiE+tfb460cRoCB2lyq4oterQK9HQ0/JUO5gAo17kj+/XNQ0Kjt
aLNuxLQVMh708v+OtUQb5GbKwVAj30VgsrmMftg8WHQ+TmplFj9oslW0v1EAcgKnPfdYlp6lrqCj
PirDL1ugvyXsvD1VsVajKY0c5//XQiyRCTKUJT5CLPzsRsGdgea1nm50LFYXGzwOfSbqO1eSR1qk
FuAApHKREp/OSiQ/auy0HVScb89Fm/fuIibRvENLDMABpLzlKbUkKLhASeGz1sGIwG6yN2T0La28
P3GjxPdbtwr02tG6jbvO3MfRVOBFaOKxlgfRoRDO7OzbWwejFs0OZlq2DztdPgLJKU95pW6s/NqW
12ZhF0OVaN4sEXujj0ZrWQTA3Mvge6Gqj1rUPEWFiduGcdazfuNuWDn3NDX/33BLNoRROH2FTVng
JqGFLFNn+fspbDdR5/Pz/+oToKJj8txAKml5kKshBUfTMKto1GoUrFlmHr2hH95JJB52KolZpbUt
Dk4j1VOdNqve/7y9DdZmitYbrSK4mdeKKNFgT0aZU+ye09i5Ab5duFqr1JGmzAx9whbyPIsqSFr6
fa1bvryoqo/Ze2n3hxC93NepDduDl+Pr1BpN/xy1aKAkSfzFGAUvmgHc1O25rmwiPA8cOvHkSzRZ
F3Gzl4PaTJ5QLtQrT7muPYiOF2dcqQeRKa+Y3DZb0WxldanXQtWkkcSJWPY4y4rH2VSN2mVIKUwC
tjZ59vJein+oRvCNmuqfONvdyUmerEjdq0V8z5v0SW29w5yU35796m8xLbTUTNqCSAx9vMu0uM26
IEsC16TbgJSh6JGalufbg1xHL9QTATDN/UBSgGXeFvZ+YhZTBbSiN9+i3D93gfZKUXHj/l8ZRlep
dc1dI36us5iLj1QFr22BxkysqS+zReM9qvXmgzcJ+6/bMzLniufHQ0rdjkLX792ry+W69W3seYhD
WpehMdJDkho1hLPG26HsOT0bCuoSIZB03us6tkJqXDg/O7UeHtH6RCZXYBXT1XS1HM1Awbd1tB9z
OwzXHbX37jSV+mZMkkEhsvkrMvFLnaohOpbgJA9TWQJD8sbppXaQCh0yOznrIw4tdhymdyGEgj1u
itpTm6hUk+wmeg6rSKFRVU8nEcrx6Pti+jvOkwg4ehi9GHoRftYKJ0Q3NSrvb6/S9dGa+SJgSGfN
t1k+8uPmylrNlI6SapfAKx1MmPrseRxbXGNnT6Tw3JZ9/k8xnjNdn43GXkax8kruJ1WIN2XZ449S
GBiWZV5/GobcvT2tqztyHmRGRwClsYEkLaYVyTyMerWAAO0H0U7Bdlc8Owhj1WHxA8AQHlb//P5n
SHYAeTOl/pmD83ElJwn0diarQehy9J01OgNvTgNnqv777bldfTLaNYAN4ViBfzTAtXwcqKnSJPOR
oUf2MD4Uin3IGw0wqXkOmuiPHiPdjTv1OuGgqwp4mtf43EBDguXjgEWUB8gMWCibecF9T60gHk5p
9NZRf6tjCgPUjfU/ZqSCVv2yjBOwfTyeP8tR7mNxB7YblW7M4ceNJul1xgndklXgZiAq8tRcLPjg
sbRd39BTc/I/ZFvOyvSBdu8bCYZ+TgeMz0dQkLdS9JTbsfbXNOBpiZyylE+lhl1e2MbmPepz1amO
Wn0DE2qzJh+CDz8ODTECnY4YLpnaxzXzcZRgSVXhFp35JZKf4hn3GCiXDJd2li8KtooKV7fE/IVQ
Qp+L+/DPlwNW9UiJzLdAVMHlPdRFiTl57uUb8Xt1FIFUj4ZOA/jsxblyetTlGiWJ3Nm9R8HU5SDj
JDre3uBXD/x5Ku8GmX/Eu35SoyNYjpOa51Y9NibYzkweD32UgbDe+xcjSZUcmntVXqFgGoHMZAZb
xU1V5bOlPBeJ/NxYj2ax8bC+DkfgeGiNka6D1L3iH4DbRP5aGqNbYrc6pd5b3rX7PMxfNUrVjWOz
nMEb3NON99/a1wJuA4ppJkfy7FwspNe1UdQgSZhj414F3+SWytfWAIsv1bah7iUKA/gJdto2HI7H
wiqrjZrSdcBj9WaFZ5YONNgSi5VpeR8PKVtb18cT0lsHiZ5s5rU4Am4Dz9Y2n0UYn+FX2M0sg11T
qZVnyWFyx4r6bJzOCv+IpSf7sNIOt3ff2uqBHaLrB56HcLAI5K0pzKLAcRkigr1rvPZXMPZbamXX
cUhTEUQDL4TqqHn1WOygIEZJ7A2za8cdVfTT5LfIXc2a7HDuxkudb4XltVmBRZY2OAfC0JIHCpsp
1XMcNlzbKP9OsgbzICdPD1Xi6I9tnOCZZ+rNJer9dN9j7rTztNE7dCD37/Dqzc9NEdqPUxBPGwF5
7QhScgIfRF4AXnJxWwTm0Bl1FY5um2o/VIeWnGUcNJNCVxpMoPv8JtlplNjOlRr9uv2d174BY+pz
Yg0GZAlbThWzH8m8WBEVVlwTd6fK9I4kea6q0n5SEYsfg2wj/Z0vmI8XELwj2tewAkzgWcs3k9li
SpA5/ehqXf8tCKLndsKSJyrULdTVNfKAcP1+pHn678K1mOwqgjc5upY9YTqA7/nrAJj3rqEQgZOU
rp4nvOQP0UCbFZs9vUCA6fYCr86V/UbhRcA5X3br604d6b6NozvgPGCl5vMoRqy46i25+ZUPyZ3N
vc7DH6GHZRnJkWXR4W0/uaiZZ7vOsL4UmAhNqvfHWNvmbpIlHF143/94dhpX1PwCn5Hoy3ZBOqVa
byrISoXwDJ5ApJWvvnSCh7GRW7IZK4cElOac8rNfgcXMC/3uU9Km67TOK0bXGQdBF+J/KDuv3kiR
t4t/IiRyuAU6d7vtdvYNssc7QJFDkT79+2Pfmw2jWf210loznm6gqHriec5x7qVlPhpW+sPMjMBy
qwfFFg/J0G1+/4i/sBl/u+5qlP9y3VZNAAW0cr5fyuG77dAiWjfr76/xC8PObKO98j2Q1HMS/34N
aduyoqmDmELtLBsVza7QXgnhFA0BuzqWy/b31/vFMxlr0YKyBSv5r7EIE7iyhaqMfT87tYdga3tT
y+SP31/jV2fvbxdZc+C/LFxRovQVgVl4SFzj1AzRg4RzKbVGZtQLBFfi75X9nZHZ09hG/1HZ+8Xz
gZryaGLR37YId/9+6Vq2dadH2gL4IA7y4a5CnO33T/eLY/3XK/z58H95uNFqdAHsaGFyO/GjLPW1
wdjK/4oufvkca0ECw8yu+GerwBQk1cloiHuwq9IXulatiqi/f5JfXAOuKljGYE9xcMX/OFcepX3G
6ceJjnamXapIZvco21X/+w4H+kowudLu/3uyUPQ1YmFlna20/yoZWgrBIOOutajvxtZ++P0j/RuM
DB5rhahCKgtAHqT+P96/p8yZUVrOFernU2E9mSg42R3iioa8miajVQMQprHSLnYTByK2nuLSCH9/
D7/YILDImsgcUAb/N/4aUcKqTVzwQmNLMz1Zojd1lOdWyv/9OgQMLoQaGBDe4z8eVe2zmQTCcK5j
jmBpJxGm6bTB9UlKx//dlYFxg7lxHT3XKZv/fVUNJA0y162tq7lI91tXsvHWt6kRuul/MuD8YvWY
1oJUm9mttfbzD4Oo6TKGxXYa72VqosrdtbsoVj9cOf5XnPsLK4XVXcn9NJaPus8/rkRelDaRy8bE
f6vQIjpnekSXJjnmTjggSWFa06M+KkHWyf/SiPj3yePSYPhWVuAV4vmPVzfXoFrryfPu59zbtyLd
aNXz7zfhv30mV4Do2KUw4uqMAf39jblDVM1ACb37mopihF78gnyrEVMRRnLYuC+NbVQq/2EZ/+3L
uOafwTVLStXuH09VpD1d2r6MSFKIQ8oPpnAUBM8UCF1//3C/uBBcT4D8TYCQAITX5f2LCU6lrdij
ndT3tjqZCBOO1rNrjuo2mkd9Xwpp/cdi/rvlwBQh0ESXIYc/rcs/gsnFShe1tab4oVrpOjvzMMTd
fqg0A0ZBmGDq+aFI00OGEGVFGGkunPvfP/G6dH+Pm9cbgFQUKDqVpX+GQJWidA06Avm9ltgJWr/l
fKpnKVBud0AcTnkTxAP4w99fdCUI/PdOhZ8JT6qvPJvrf39fasCQIEHT1rl2TMqEVVSgMN2U825B
Dm9XZ2YUtiJuwmVRjMtY6Ggfm6Le1TO4q4S3FHaKkR8KMHJ+rQ7mbpLtS12OBuA75Q6+42sj4R6O
nVcHSdjENc+V3Q5+mYPQcDr3j9FpQ72vJYpp/c+WyeGjtXTlZjQy9IOSNtn30dAd2rl+LJn93yiJ
3fjLyP86qtWgOBk6Ix8MikHrIW0eGqgBZ8+nsrwXxGS3Oa4/cUbolkJa47cUXQJoivJNXy/PUxt/
rjcnR+sWaxETer17QXPzESAVQsJaNwSJXPZGlR7NWH+vhH3ph1keEAxbACHKwW+7yvHRQ/dIMGLL
z1f9o0702ZnG8qFS+q+87fbIpal+m6xQV5sJPRyH6Ttu/NhH5q1BKgrX70FtYe/sQb5OdvLZNQ7A
jmFbF+0tldAeQmf7sJTyOpYACXtv9tCYzq7pLI+xwl1Muni2MvsjotPZddbW6qIQqMEBsE8I0hwZ
0QEVyPoKEdEuV4uG2TnveR4tJ9B6C9TvOLZ+pZpfsvCuNKUCQ4kezYWwR6bN05SKN6mi8mD21WsN
9tM30YUFc2KfmHcQPlCsjW6OS2hMvbtRG/GZisz5ThACNuv+GlEa7gzjI1GXgxonO2cotxlaWNtp
nsA6lVMwRLQn/KWvVNjIuuzGjILciExDRbQ9lKoWBX0NM9KcT8/EhKcE2pDALibYjurDJOc3Jybl
4qsDkVYvdNY+mZP5HuG6GiNjtzTmaWiTx7pklq9FeszLd2WSDUHljU5gN4niy2lu/Wz0HtFH3pdJ
ERR6RBOVqqninCsNwOxgHpo6PsPfGQivDfIx2VZ1cYWM/QmxoS1Kj4dBf4VpDX5KY6NU7QFNr1A6
xVZTnLDQk9dcLHfjkm08rT6pdXrK1OIURwkAOS+olfzQAM2EXt1HeTsQ1Rd2KIQyQGvFZr0YlJ5+
25eBOhgbA3XfJtHgkjpUlrNR8/iUmGt5z91k0j7EotxYo3LnZHU4p8bGLA3CoPqHsKp3eMk2bZXs
k6Qw4ZgCwli0jghb/eeSWhtvMnZ9ZobLpG2QAD5DJOKPjn3T2tKk2o6yyGK3J62INk5hf1Sm8gwp
U4BoDJ0pu2xR6B7RJ5aQ1oFOTSqozgaluzVj+pbGReHTltGCiGkUxL4hXuJWvWSZ6Fa034nHMIYp
32clf7MzVGzN6GXKq8eWbSMnNNo7w4e+LAFN2xhuCCw6aNR49Mco8j0hggXVwWYZAneU6JU6YZ/U
CSja+Rui7xGg6NJoN7eTL0AOuGA7faUCer85YsoRrPDBTmIFYGLzR5c7QWVbB+F0j2O/HPvYDUBv
hNCIB2CdNx4qh2aD2rjSPPSIbCe5epXAkWcsGHo1oWiMiN5wd1SJA+HT2oLBGvyoTcFLlkFW9Hvd
Q+FHO1VCnLWoWRm5zAAqvp03dESvzaFVs+tMGSiAzzvGLCyBkeVXZFG3LpMA05S8oq4bRI7+Omvr
UHiGeLZ8UbMkgsoAnG+F+lbowWNmTXNgVfRHBnGZoh9jDP51PI1AMpnX2/RotLZmfxoyiJl4QK//
rpEei0xgqh6oU9EHiuuxyC37vNno2L8yrjdG577Z48R6a4+QzGZ+Foncd2brLKS7h0nMrzTrhio6
lAj+nIznbML+uD9aIY9Onm7qDuj9NCH5rCMJOIPLd7Qe7HtxrpMI9gLkiOTb0o0cZICSysv6NRaC
m56HBWzsfeayF1glZ0yfcq0PJhpd6vKKNPr6mGb6sFoFg46rHTc+1HcT715CAtGrYl/H5bMljY0r
81BFAdWQL2ufLNfy7ZDK41DO6KFbZ0OoX1QhdsOSAjMfXb9GQdOnNXVPiAcMXkVcFpyz51lHmzuz
kdy1230JolXafWhy7ZL17Jv8KLTifWolgOAWBc7hy8Ap6bn5GBXWd2mjL6AADe3t4hI16TmBDsZ1
ylMqvF0zFMi9LMF6WkXjBC5jWzWjlIWqXlbh0jSufc8aThBwP9QQhy3AzAprATFXv5TxYy1iAsE8
Oim9AjFxMW7j8VboNfv9R2M2+wjHiMz0hblml9Fb0frqCmmILEh1LVEZPjWKm+VBVZH3b3Naoz2t
xeeoc4IZuBia4lYgbedFL7STHAfFZ3QkMCGSpGP9lvUG4j/1rnC6g1q4r5XhEkSU0IPoO4eBsqVp
N7JH0csdruuRSNBENVdF15wNPI3FdajSGy3cncnUgJEaD4auIEXeZSFed6KRjqZvWrTbKblTtc+Z
c7Juy7YDEtIg4o3P1nl4K32Iq1dRZUc7Qls1HQ5Lr++MAZjMMp8EDDSDp70NwtvGk1gDkfm+1Zim
QD5IN7MHnNpzPjbbTHYbBFO+CkXdZa3jJ9oUNjOTTHlOpbbezAw0wOmypIlvAP9Mo3ZX2QqQS/U4
ZAYq7EVgoSW7btqU/bwakxGLPzSArhlJ9s2u7+G/Q0K2aO7RiborTBkysMXIatL4wil3UlFuoooQ
AXpAGXxTesgkV+AJ2enr3U9mdvZKeTJqHLpwd7bBKJ1ELZxhmulHp9VXr1curp7DQ9OjULmESZKc
FOqjI+9svWdk1zdmNV+9YniXM9KtdLritN4qrraf2UKMCOyA4RwUT17FpH61Q9RvEFXGb8S7sjEJ
Y9oscMoBIew0OTQsvt5/lmp0conJtjnoceY/XiO7mk6OTNPQdIfjUjcXtPm2ilUjUc8h0riTYi58
hKIvHdpnip4g8x1pIWreYaSmwdJ5jg+IWNvVE7CGrlyOs4uqiwZgv5r0jxqgyqEfXJgW8VnWCGuz
gT9Sym1v1N0+yadjlI7TOR+M+mxU0E0IkheIUsaNzhxMDw+wzXNU8mH9wUzAg6PkAQKwd1GhBCoe
T1X+mOMC8UqDUAPLtDDAmSZobE0AY80heW+seuuRp6z+SVn6x6yhKW7Lt8kqbnPqvhhoKS9mdIFz
OBhZZUNW29Lrrk003DsqDU3dwngufs7nbDXeRE4eJs5wXoOrUa22ZmkT9NSqroSZXV8NTT5peIVC
z54TGP4mJ681v+UmhMeJtpBL9oUyf3cSpuw4+syJ1zM9e0Ut2fGLiTEolivobV08pUl8NA1ufXRn
dqdOccGDKvNKHLqfbJlovsNsluFX7fKkRtpZ75Mf3mhcnVxFFlsChtJrpmjwvlH6iWLb96Sqr0qR
si5Y465VUpSuO7o+U7obUbyghpQGUSHNB/o4d2mX3pG6n3KE2/U8PQPRCDT2s2Tuco4MiJNhr+gT
LBmF/TutRE/aKdEmxqs24hmuPBR+UJo0XRgS0mQ3IQ7uVOp1GGl6JzpB1TDDiNo6Hd3cfqenWg/n
hy3qQKclvtoq8PaAxrwsesL7+arXFitu8TMt1Jcmtg9tJc+qNz6akbHp5bTtpm7jCkfZ9rllb3O9
OUNCg8xsGXrwF7AzCsR8U0fgm38qahMkGI4K3ogZ0v3eKw+pObCh5tCQbx5uK2k0X2qoOloPkb5S
Y5GYoCkbFL1xbrVXu+5RqjdDCcUQRsDqtLAq873iJhevVQ7FbBydpXlZvXuj2Vij5pCpP5BF+kiM
+ES69wrq+SmJhq2ioAauFIQjC2cgYlJKAcTgA2OCYg9+qMX7ho7i6KpIFUex3yVIucKlr9vy040p
bDlKEPfFFpHLncP56ICbgTndplNyXFQEssVlXb4is5jkmgiMZFj08WF9i+tG0wtjgMDP2lRQp8dN
/2MQsFmgpbb6GZEApIMRzxqau0XA0alUu7GIthMT/Ooy7UpbBDE6BWoCdV5W7iqkNSACZeLGYfoj
5cDm+qND7ExBGtZkJOozDFPkdqHbwfWHk1hXdP329WqWVj43sX50rMYKGkToc/mwrqWhvdIHCGrv
29DIcADs1L13WF1Mh0ILpKVh5lpbhXcmsX+N9501Qzh7aBt4xJp2fZrBK/l10meBNsyXRGVAxma1
okXdps3Ecgr5OKIj3XsfWRY/z7iJtrMekhaKU8zNE0vPs5fmwfbGUDWNPWo9d7Ea3QpcnFXacThE
RulTMf6aGpuq3LxneuDZTplfg49k8kVm8QYKBOPd6A4HuPL/ruvZwQCVufNdtqRxMMXRsVlIhKU7
nIRq4gblbYZesY+WsNHbEIqtjUekQ6i4ySoTcO+419HLTsCNF2W3LQY7YH7quP50OpJkDFefGYwe
xXtH9LvSWLaGKV7TZJ02QHSH1Vx3Nai7bTq71yU1b6vnjM3kDlHeYLQe8tg6rH4E9AgJMtVbp93N
Rv1VpsOWeR9WjOjLhdps9HbR6Nza1oJeYQpddtyM93XFE8IZ6AmVTF/2oQMkctSm+6QqXkcNd2ID
CuL560jbVgozm3l+0+uFzdpdJ9YnydhCcXmViQ1aOdtplfWT8xjb2bNI5lvSE+NQjxg0dEBERZ76
Emn6hph/63Lko/KVVu4DaHr62toe+ppw9SdDflPd+UD186y6RthF9oF/ElqK8SqU8lZOHbZG8BHH
l1H/aUrn01O7oAH8thDGlLQbYqbO23re4qIOQo7nGun01NUf2v7CLtXc9C6bdGTBm+OS6Nt4ML8y
aMwQ+9kPbg/zBUOQ9vIeKStTaaTKgEktOJjnY6x3pMu8klzaW6WMjpqckGRLKSzHByPNbmpDBUB7
RY/gvDDnJ5ruvlwK+N31Cubook+OfdEQwJN9dkpy14BTjeFtWddxXaTeYxyxtnTglRyc2eNgpsn9
6MgDleSfeSScQE31feL18PRCGwdLQBTUkQHlMvNHSybcYJrm22rQGMR5nawoBeVFmC5myDXceqdR
zg9EVG/xTnvTzcO60J4zkdlbGFiOaw4wseQsk1cWd7EtNoMyUnfqDnOehVXd7jktYVtH3Wb9kpzt
FTKtd5yhQW2t5mUw5w/hKUySA4vovL0HGoN6HZm4Fj276MXivAndmzw5um36kUzTR9vYFmc/u5dL
/JBjldOu3uplha0yv+HJ36zvmYM/12hgM+06OuJ5ZekueM2Y0wDjHDgNQ2W6gRp44tvEqcs47TUm
9iyeh+2IKOx2FuUW3Z0gyiX13WJndaD8tSVUtfYAnTz5fncRnPom+6q1kizTg0pObuulQW1VHIeo
uTlz9eVBt9MasEovYT13l7mIN3WdHAc5f3kohOEZcdZdzNGM9+s7LIwxMOwXTSibAQM2Wp/rgda6
kek7I9t7zrBZ3BIjODHUmgqat+Bk2ozBInlYzCpwl+ww/VnkmzcZsXw6Ul8kHPSNtjv3ibsx7fjB
ksmhzlxmv+dni1AdYQY0kwYGFr1AIe4dFYoqkPtmZntwR06Wk5E/MJa7pktKSXrjDUd10o6rq2IB
mNu9pQuQWE74yK+0ikQn5gQOwzvGsSmWXZTmWwlObbSzDVppTO4lbxET1I45Pa8Pqqbyuj5UVox3
I5TbJfODfNQlQ45pWUit8WnbhKkxPdDgDdSsByOdrePCjftuTvUcupL5GqybsihBl5KhSC8ce1LI
XPAgzb0W6W3gSfeBYvK+q0F4V4HTO9vO1sLBhlbVmDaMqQSM3aK6mW07amGtXr1lOr2M9C2Oi50x
J5ssto+ps0vmJpBKdOz7CQbAad+b/T2QhRxKXPenNadjEHXRMR3Iv8z4aemyF3oUj9Bp31Vm/job
xYcn408ztmbfnpufMIofyjy1mWUufmp9Ac5SEF9yZLRG3xpFzxS+gh3Ne+2c1PbjIIerI8uT1nQ3
gHoXnYcszGVvK5FJndS8DKb4kFInOJe31XuuDop98maX3p3ljl9Gqb4UnpKEIhV5QCn3njNyZy7j
51w6B8TbX7rc2MllehdzsZ9H467lm8bYPTUQywWzSCyfvXqODf1G4WqfLPU+neRFGeePainC1UA1
zA+XvfOyiPlbS5h8zDNKi3paXwwIaKp5uicmQE7WIaUcFqqA9XUpqoNpNdfYyFgLA2FWFjWgXnTo
NJRSmA1dj+hgK3cl6W7WpDe7rnU/gzjFt5yVDp5vNQcclakSiBgNIa4L+wmeRBwKxG1EO+xbxWAf
wkiegcgOvCo/z0yWK+yfht9oTkv6ULcP05B29wXhA7QyxDgaUWTXVnBgLg3TuxgZSldHO3deemve
VGP/oSv1fQp3YJfOIWfvWyzGu94juDdmJ+mJ+3zSLoutPvx/iKR81jWh9pAQ5RXdYZHQQkwMHvlS
qaFJkDurmA9KS/YwNmWYNOUzkkhXyxvuRq1/9GL5XlrRnmG2W1NEl7zPf0h2LHzHW3K8XZLkTLk1
8UtvKmcd71ipqL8nVpr7otIJ84f4UjTdnWsmH9Tpw8pW90U6Xmx1hkqgkL5O7alzUw3MhP4tvWHy
lUz/lHP/ykZ+Az1i+0nCtw1i/CMfODMwoDMJE3VfVutElHOc2xo8Fo3cAyN7XEYqZouZPBRLfpdq
DalMZ+7dKNqtNlpo7U/U255KDG5DDNsoRDulqm7t2HvtUxQcI5oeRn9rFiQf8h6003yx62JvtA2R
QmVQkdffPau8U2rPInxXL8s8HbvFPMaIIlBQVAB/uID9VcHsugFLP/6RQX7VLvAVYJfbpNy1WQQF
UxM6XfxoCfPNmqqzhqeAWyZQWWBmXFO4CNxkM2oCW5H/1LKcmR+cSDLaRthH9k7NmJufjGvikbFJ
hfJHpaGB2AaVMzysuBT8S/SUe7R5Za8fYI4+mk17zNP2kZGJLjBi9UmNo6c5b54HqlS+g45VoGT2
yQGekzruFpKhbz2LoXZsttI2Eyxt9NRQaALEf2ln71FvpoFLJ49CoADS6FloasM2hvbfzYeY7H/Z
CpJQHwKoxyqRp5rJ6twkcRuNzVTlW4zNrut4UKUDVq1QbDI3pM17Rq08iKK6i8yy2/piurUKMLWP
OUNe/kwiGbsOvlrqu3nuIM8jLLa6Z3hjTmZRJFtvyakv9RadGSj1dOHsl8nbLQWhWd2Ux7ZRbF86
s+ZbTf7KeLPDyGgL0+GkHzhlFBnL7GONfxStf6oMhvsrQmcnJ//QR/cPu4tN8tZlC78/a9uZ8UaR
OU/ZzPPGK5My8Mxc9SHffG3wWnrB9G1ugWpZVJ9sfCfIaCPNCRymn0YwFWY636wyfx5ldZ0QGXRt
uYmHYe+ouLzevQcv82ZmzjuUAneV1wJYrU6UvC/TTDpjlPZzrZlhastnr67vK7MnE6BB1KpjTZri
lOEote0aZzDB8Kiq1GoXiwIMugSS/QDhBS9ApC6mwb3QqnwcYB/rZXkh7yBk6Zhkd7r00ojiImfj
0HUGPHsstA5bra9rBPgpBl+HMcGv8VrUKCFAMLxjVBjEFRvHKg1fwUAOFcA2p3kve22HRoeFKkXt
mzI+ZHayEwq5w9LNTchsCyXtKgqibNwPKrqWSe15frlYX5ErPH+pO5eWIsXTlAh+fUmNV29cbBMV
+LOI7aBr8a5Rvm8cQwRK6nD2suF9MIcxiPWS2Rrtw87kcXGLQ0LV01WpoaT9g95RqoLsY5gULId3
nvRVi3tdvrrZAqfbFtJ9m+LyQ9RizwE6l151HbruQ/aw+hb5Yyn6F0whwHKot6ktu4FQeFvMxz60
a54w5ddk0I+tOu+1ov5edyTNuH3hxe8k2JQP7E9g6RfoxJ6AzZ20PH6PB/VFabtNBwsLPePneqRj
xIk+97YKLYV4gATvDt2vPhDmcjTd4s5W+hZHnpMJdu1Thz1LC+Ui2/Le6QiVKhlvFvKAUVTnTk5j
qNk6IgQRcq16dehn4+esK3sFwDUUIDii8g9XbzdGTJYmOupw1H4tOhBTsnWz5qfSRB1M5xT7y6zY
w3ofNnm2S7MCwuXh1CAJtCj6XtWbW6V6n1Upkr1rWs9dlI80kczNVOqPuPhTvPrUpl6+dFvbR3++
MSG/CEApN0tajYAxoUsm4mmscms49KOniL5E/Jw3zh+TnkGV7B1iczyM5Yh3KMrvrCsQHEFiPECq
w+8n+RCl89Wxqj/WwLF3yNPyUTvVzkid0qXDPBhNFxDh/vCyJRTucBgc7aGUVMkVTkEjumOXSrTb
bedadz0FqWib4ElST95ry4gwQXqyZjSDlGJjK8q56PMLE/Z3CxE1zfntui81Ch1Faew1iYeLi4iC
ksIRKOI8BG19W5Mj6UBOPdXf7MH7WmiXZsp/1oN6Ek2jboht6qBbMHV2u9aby1cxJ6d1KfQ6OxYN
YkzkOVtyNTh4COYXN5jrhB5UGeq6FKHSFUyDLV9ZC49KbLePvUOvrxaowpXbqVBC0ef3GX+OVfdU
aky7MNmuOsNFhQcIVP7OFcVJz9fuRfm8DMleQ819zZVbRtTipnqRXf+jGJInBvX2U9M+dyI+iRo4
n+PpAVR1n2NcM71mqCdV8X7WqXYe66n1sQNTOMfR1VI0xVf06rEeiKDa+mfRCELP8atXeZtIzsLV
soSzjmdUKJ/rUMz5pWWspT77MUmtn61n/0j64rMuakoOtbJtzBg+pM6zQrcvT8ViPrmKavheH29d
h+a9FEjG9UjHiO478+q3XnQXpDMelozOedM7O2caH9VU3UmhPUeu/bV0xQjpNeimStffnCJF7B0L
mKnZbT2nCw2GYBAWExj1k0nZHFqnibZ78z1Fa/9Kpj/WG2ky9xTry1rUF4GEUT5Ygy8yz+801gEp
aI82YJikGkMx60NgjT1l2BnJOfslacBY8K+/i0j1jaJ+7Olw1VX3GGXNW0xK2jfjgzSpoA/USCql
PVZNdZyT4Qho/IEz8lFHVX1ena6ZTuAgnHpLxBJqtVaFHXpHgWtU3+PQfi2TeQc08OT2UxCLGX2Z
qvbbEVcj5A9PJe3PI5dCaFQBHEhkmCDNFWOS16g5sdQR7qykCBthsUFkRIwlo69MyeGXmf+APOlH
FwvI0UsCnnlBDbJtj4XQD5aV3squehhwNQrepLK0p7QvnoQbbUs9yQ+6Nzylxg9thHVRiPh1iQxr
o7fiZaT5P9bJg11rT526LJ9ZOVw0t6Xb3X2v9541xIUrFLllYNxKs6MpqmMvrGuS15u1DE4wQwXf
Goge4T0Hs70r62HemPEa7A/FvW03H0h/wg+j7w232JUq7Byq1QZoog5+HLcH4Y6IlhY/1jtWK/uk
mKhVzdl5UPTjanbbob6o/fgztQqoheo8f+lLvteLXgnJuftmy/1s3Nr4dkuVrmFB9x7an94gpog9
mvFCpb+ZdncaIfMoEuNQdBBPpGITxa6/SoJRLGXCNFdvcD8dU204VZCoib7cFQPKUf2s3Nnd8KHD
7Qpp4kem5zfHXagRaBTT3d43cLoK4ZCKafZXUwn/ZBiXsxvqE40vRpvP8wKfGeWHSk03pQKBElXQ
joaP+91Y3j2SKJQ9s8eR6kOaLUFKrt+VVYAroQhrYLXpQQ/VZ1wvFCMd8Zjn6n2W099ZPML8yNiu
1qQ1OHKm953HdhG6MYFa2pjv7uDxGcwb8chm0SM6nO2uLXn9ibLNVVA7ZBfKLN9c6tQGVZWgdG0j
iN3kRzmweB0iAMqon+XCMWRvlUl7rxTuNUvqE/OX0DgI4btxIULHMq6N0mzQfNj2PWgFbSR9Qlad
5GCfthRxU/U9H6s1miWqAepDISVz3N2I2WQwB+f7rUv4wbRNDiMBXNYFtwfLQLjmJDK/reu87sm1
BKvSxqJQRN2SIkKxS23K3UCkpuZpLZytZpwyvEvvIXfifQZDHoESO0E+O967FsGtps27pOt2OXAH
3f2kBTdMUBDBO8WFqnHwPbqey2iEleyhLRN3auK9N+hXu0RlMySVS3Xt0/YEBy1TunIn+lcD+5HA
rgw65bJWWNbiW67vFRCVBoR3Gk6A9ksapfu8ABWSRU3jW/1Ws5UQHcZDnmPRQCp4tXdu6xvEdMf1
qWJTvsRTRwExCeJoPEb1XdEop2k2LutWQ9SGXSCHYOhoINoXtjrid6hV+6NOoVpptrqBSpC2llTC
ic4UV3Txt1FPpmzXK1aA5QjNSQ8L7SZb5wB9K22ItxbPYeVM0KLjQTSQJYix0psrTH3fasudvgxn
LaXGkN28MnuiH3mLq6HyJ8fcLOUZ6DZjsevFvNr05WizyBpNWRmA+lh6h24sHfbaoXkBKIR7GdU2
zOmakusY+qUv2xBdsFKW+E3lwRbJYTEWokxyBRHt27ivaekVadADBCp0qvz3Rmp+lEYTqgTYpQGl
htyv9Spct+OAG/tsiiOUPT1plMRJYLFRmakhtiqpcKQUvOr6wG/Mab6OSXMr0+cVJqBILyicrZNo
odlvY5ucnD+Nxa5jo3TjEybsti6Uk5ozBOHqpk6tXeGW+5ktwcrpVrHnEyobbr0v7rS0/ljRKlxq
3VgOCfpcOI9j3t+BvwsEFQPZjTtXzXdjq4tDaWShgzbAGliuW78f8wenNjbN4vi5+qPUOSPZhXPk
OFNoUpDoach05Ri2zVesO5DV/rkKVfcTRrQhcf31dKA+vR69mf7AWofvqfUbttxzT9wyO5aQnaWy
+/4eibhvhu42/Ip++zM/EvOqK1oG6qAgfVnYergBwz3yaGufOatf110p2LicAq4uqRVGGHS9vK7H
n79hMun/P6l80D7I2E7qHSqMa0zticdyVa7+P5rOY7lxNVnCT4QIeLMlCdCKEuXVG4RMN7z3ePr5
SufezfT0aYkEflM2Mws/azdtgIkP0GrbSpIhC6AVvy9TAmjKZV2sNGgmwILUhaL1VCrKs/j3qgSB
W4bnDLhImRY7j/IzXyt+sc8fR5ApPEvlfUepuSlC28dssIxSRuZk0bTk/qNanQhLa32Sjo2AGpzu
b11Ym46qCndY7Lv81e6Wc1EclaY8GsY/DuGCyKPiPhtdGkzgzUY32pMaUzl7i9cvCW3zzr5R++Z5
XF4wmt/5dlZVVlLSvcQDT8rhZDXN5LtUPplfv7VTRvPyDx7hRC9qUHShpEW0YmNCoJ967fgrA+U4
4WxepjQ7r9Cudh2iT/FY1sdmmW5R8t14qu/a9b+xOyf9G5BQH4LsHXoNO16fO9KAlZT/KremnB9b
LiX9ryNXGMfyMMmMPuwFC9Q4DPIG0VYr0SsEWp8pkhvTYXFY5PKNH+D/VGJPy4ATeZAqd7pSaG+C
rgEQyonkbRflD21f/sLni+E0FnMrfoI3h0Hrw6DwOYM8qMNhLemvWc4LLJWdNyVnblS3RL819pY/
/zu03Gx5Pm229y5uHQtmp9k5q+KvfN0nw0spbXfz3hzeFW/dNMy3kT9/jTI5tjl+SORo2fPdwB67
5ROPxk6P7l9cg7SeVW3f6lqwdM1Gi2Oa7J/0QXatgrj6ah7iGS1P1gUgCYqgy3ZdXnOUNTEaC50C
PkIeuHCqN6+ODmKGR6q4VteK7TFfpbafldFGsenjsB7MTfKOSbLs+UtBSMJqGtatpBCsJwOoy2Xr
OK8KYBCNqZVyhTtskLTQLKzpMjhB5gRNOfiNIdeZ5RrtZcMWy/HIAkQOqXgGiK9ubO+DO6Elt2x4
kTMovySGilspvldFTrDoKaVNKX+ihze8C7JLDNHUAf/EbDbpj/yCmAM54sqfmPCJtRObLu+JFZAp
q/kjPdCNkkeH0vs20jvuSjS+4OYwGP/tH89qE4lrBnMluKrLOm103ijs1N8iSE2wvmg7azC3VciG
st55/Va5w15+yuUO0X9mKwCt8knRZD6PIbd34FjqtPBBRfF4TRX6xkghML7G67qVxjZrnfJZqH1n
1DwUEJ646f9MV2g0e8nilNQDFLhu1CzdsgIulfSoebby6GTPgDPyR75Q8UB+swk6GEZ2m4W2hn4n
y6mLvCHBOiOwQcWopFiYFBYIq8et4A5MKXqRxRk5TL+gPLdgUBvNPC2ReoyTPRNANqbyqivI+3Ce
cMg5nayMI8Ct5Xik2KleperAYe5s447rNEfNH8n5Jzp9rG2/3Mv5+++mWbcMcFE6fGqE4qayT+Mv
zOcwK0FWNH5TM7KgpGsMLjwGdYc4RwUGQHnlfVJyuGxWT8juA8e+JlnnS29UVjddKAzwE8Mpm7Id
qxHi8wvGPPS6cdfNJPD1h1h9ObFIaWBFH6ewuHaLiu5j4ne9eyyiTy8KIqxcR2omN4knX1YP9A4n
NXJ3zbgitTf4lvIq0z8IDuZi3lvtp2XQ16r//rca/71lX/dXj9APGyBfl01nxF24+0AdLkrMbAbL
24vNkTBPEq/MziQ64iPIFa3ubyshL0rCy8EJr5QuYySFrf6H1f69oOE1TdcXjIN8hs4wRRVzn9mP
gCe65sOybkN4qUtz+/sVBSkjYVPCcV7Tccc4NomASsxPFHk7ubOZ/ZPq9gUVMYkPuJ+eFOyW13p+
JNaTvGKFd8cc23MkB7VyT3pD/Vpxn/rV89lKF8SGXDU5XJzPDNco7X+5wBxOVU3PcE33iv2i1Nea
lbXXgHDtbgDOEfYuCP0ERQcZzOXcreVNnnrQUc9i9Sruvnwp7kDvZWC8RyCI2WDA8IcbsTTx2Yj0
PYY6xxSYjDDh+GlDRmdY/Q1XtNUGuh2+a/o7Y/Z8C4CbfKZhlE9G1yBgrT4Y7F9dnBj/eS6ApGiV
d84pcpRKxLxq+4tGFujLecZQjtDzlVJ5Rd7gKVOenallZK193072CweVKeKbMXlVadjqXhwsVBI5
k+InIZiwTetG3ENPDd2UAgCZIydMIo1GvUpQJJaFMERsGy9hI3Y9dw1KNWjjDAqMBRjj8bDJK+2N
9tTjpN/NTFYeiduYWBAY5T37HlI06grtm6PRgRdS80LuZn9I8ejmGtJ3Jtkuhivm5fdZVCKOczRG
H1QcKKNnb3BxAqmc1U7pDw1QfzVY9DdjREKNajFDPn5vEHe4Wd6S0gC+aB46pziJ6euaGfMtloe7
wZ1m6DVnoyE+jiNzX0wL+FHges6r06/OtmYt5PqGlvdvdJJ7nR4ruQnQzFqft8ylDpqUkkiN5hJh
cKxPN4mBHcrVkWEdVBng99hb5rXJQL426V6cicthIqzUhuYin9Uvf6zhXUyAGln7dEQh+0kcioUz
bdGX5mH1noyeMJrfkshDXEc+fHp0IuvygOH80qc7tS2vQNteS2oopDW+14THQSANWnxbVOOTNeL8
8UT4rEZAg0SHPdN9cUzsHQ8Smd0+rJ8BDUnUzbfiStnh1Hvs1MABNmMQ8PyWwIeDmMxxmm9rdZrd
93qI7/HzSfVmDQgl8+F8Yk7RP2n0M5+lOtU+tKI7HgHue7nR4PsQ/szE1RajYk0sej3Hl6kYaROZ
DrVj+XoqvXeIlG8ksV8q95Ix+oLnkSgfC6PNy1FMNB/P335NCIfj1yCyrR7jsKGwJMh3i+nohx97
VmFcfg1uSyKsqRixbhNGWPPlgoIWTkuhbqFLhGsk/besSCph+UJ8EtL9nGkZ8T207KiURvT1+p2c
MQgCTzTSZcEUVLT5A4edk1WldvPJoZW9E3XUz9DmlPbEof8tg5jbuasOcVS+N8zMZd0FDYNNxVIX
VRXIi3D8gd8TXEfmvWRfmdPv0ZMPKTKkYmlTPL+iEyHSqajzIOsZq/iNu5Q8hbOtko1i5kgGCIuq
7IuDHrEeRNXooGzrUt6VbS/nP7T2HqaiPvC+KcDmjbtUrwRDZfbFjoU1xbm2eE94g464sTgopv7C
dJJtDUQRdt02rK1DBSuDl035IXkuzhggwp+uXl4Kt7qzytLXgBjPAwfcu8qrMqB7l3R/WtvzgRCW
M2OLPYwTBmalTD+o2WUhL2c1GM0otYRDTbqCJaJY8i0WmcX9DeZyDhz17N8HNRlAogceHp7dlO/s
bOZ4q0T25K8SLBWpitt1dxJfJ1QLxazR84hpE6vkSKBlE3hOEnj8rr96LUUDt3wyh9tgU/3R7WOt
j39BiEdUdhs/W6cBBGFTgTweHlw9/VILwPt5cVopsFgLoNUeMkxMllc3mgytO3moK0LL2MITB2Kl
LuYGhWrwnIIXAFDQJJTZVMq4QrK6pr2DC9fN6NDZLd0GdXjSFec6ztCXjVIhF7QeUhOCxFoDP68B
NsXAqxZmA1TcYuRbB1aQEAUQolWoX2XZvLQlTXi1cunNWFSECGSgn3XYhRpgTmLGPuDiA6jC2+LW
u36pLkbPvYudFCm4cpl3a1LUx6Vpj2sW/0W1Q/EBj5nnTqXRLYOEYTt4X/FUPKzJDGqwh7/jxO4t
qenJ5eC9gXgqGuwtKqdxqP5h0jl0PGrefg/65AlSyt/SrQTL5jk+k73GB50C4Rb0DyNoku4vU2C7
TcWLPdU5JXaLMg4TCpZNOtMYROks3ERuuJxduk5bNKspHAFcQMJfJ7wpRkavztZhWMPbmriMlpzu
G4gPoGOKD6tb5xNSR5SemHxSJonvrMa/Eh5wUJTRRxxVC21/OF/WTDSsotIF4Ey56SF0EcrcJ0B3
GkVgNGOW8uQlIUSqIfxjLQWAYXOYtylaulu7VS3fXNY/VaiRWuftdmgiQP0qtBhlKWs+yebdp3S5
TDrDkZ35VW1mEpo0PsUW440or0Opq9qPKqRSPxvWibGkMAqi5mFcmuFchFEN/YXu3iFReuchi8sT
s63T/QxiH2TcCnVCsxMsYAo7Sp1dMgIo9xTtk82i1/VWVcK3woXjFNXRPzvHeBkTSpLSDmtMOnpZ
YtFX9ab90GbXJFGYdrNmV3dSX3ve26q9B91kAkLdVO49oui3ksrIVTHLZ0rIx2FpjxP4zcAappNZ
GFeTtsjOtcyj1sxXFaLalXKq7ve8ynayl8DssSWUFZwddcKHprclmp+iJ2iB62ldtOXSWpT0tIqB
BtDoGRXA1YTKCV+gS9rNMlcGiWgPJn2JbN+Lneky6GN51qFF7mh8RBRZmuasdh6dsm5iopGjaUER
jd42GZpPJam/Zd7Qrtadl8QcKaFkGG7Dq360Fd+/Qec6Yt75GP5dIIDs1MTJ+o2GiOBnZubVO49a
B6MxEpZObdHtx7aMzktBEwn+oxkHJUD9vR67dHcd27h6VaoeE/bjGNqOEXBRTalyp4eZibJPSo8V
EeH8pdZ2TQhCb7AvzOu10a5fjWPvdYemR5nS8Q4qVd2qyK9LSWAFFOik6uAXadUExjD0zJ1VvxDJ
e2sADtpMHlBTnI01px2HjiIw7ZPsplvgal2ztSjLusFsLMMOQArMKWfkHluYjbT0LplBLzql7dBn
KqEbEA2fISfpsw6kNmi04jnPRmDIZXlwVQhjefSnajoG4WTZU5Hhn8MBe5/pi7HvuHWtVXyMdSdj
BjIgml25NUMS/xqubeEuD8PoUOkBgB03QHpXixDZGh4WLX2wFdPapNQ0syqk0EzqH8bjJY/tfwmM
SpOmgElUvszO02orPlr1dwiygj8FJAIs06IQWA1XSigpDfqmNOAYtvAGwX2B56N4tKM//9gk9msa
9Q9WMu6sDnOlTxdKqYQa1CrhfbtF6me1FaSVyzXN1Dt70cBYL/NdMc8gDEL8Ks3TozxJS0PEGcOr
Cbyew7JlCNxrZaoAWtP5JkzbSKdvNlkHFusd5QxwQFhPda6UreM1nwNUAB31Y60q7vVkVeDxqCCS
o4jppN1DljHT1zMzP6oo6hmJC30trFG1EtR96R3bNYagrp8pud7DhPDdNX9IbfOfNXpCE2Ng8Vrm
DzqyobsqS23AZinC4+hEKyoqzHqlA9ZnYpOjBQN9rJoUkWJKBK/W+gAef9WnCkZzEb8lqfvUNjEM
X+owB+Lfu8x1mp3hOPtwzgOG+/ga62eW7ePiFrdKS05d6jwxSlfhBzx6+Hr1pahFTmECWW5kqJD/
N0h0aeloWhjgrAKLmboRPtwAUjACt9In+1Yk2ge6Kc7OyR18emx5QW+A+IB9NfutlxUb1yj+IYNz
09Vmn7SjCs3Ppiiv2NtIqT+SUvsYVfsrZ0Yrk2/Wvx0NhnrqGE2xfjS1ct9n2pvRUtV0y/4AqAR4
7EBKVTnXfOopQYHS9CiN5X0E6VcfIEAWAfKt4B+0rzHrcUkhWILCvqR27yOr8aans28b+duqlDTx
lOgpHJez04yRJPQ0BeyZfKShSW30xnUJ5wut1Vccx1fjMEJCXTLYTdb4DUw7CKeY06S8THkK1Iwo
YkQKE15tExOyArlNVvtZm6eLZsDBtsP+UYsZiLo2d4aZ3YUMD9iMdYXkHzWGsXMfndJ9G5W528wR
p9rKu/Ewr16+YxiAr1nJnjnlH+lsrDTloAHZmdpuhtn8Y1TdwUr6LYhGbWMW2XNW00fv21I9dLPg
B1Mv9gfShCEpP+1QK0gX551RdA+jRRhh5uYAiH0+5Ev4NC8JxYOqszeFgmSnqU9Q9ujTd2BFFU+m
okSPuhs+OPryirN+bjLnXPYkt6a13ltqRd7api90sJiQzUwjOEcsQMGVJ8wp54Iii8dUbEQ9NGP1
O40aNBzOXE0fmTx8siRAzCL0UaGxU6jo7Ce99E7MyvkE255t67nrNk5NGjLG6smN85uKgWnjPAAP
ezen66Vx3e+ZuRxk5fMh0pQjuJju0k7xsa/nzNeU6GXop9el0go/RbQGCNjEwVTNTTOmJ3qwSFco
B4AGCY1SY+eIyp8z18BDGkL4zJcpTjkcow2M0ctsObemKMEtrNO0XYnCNjFmXF1IS/QhIG4/toDH
lbH+GCamUfckKgOE7nZcaXBpXbDazk8zEYFqKhwjrU8ei6a+JKpB4bJU7ioDHnqjPrgaXZU+BWfj
LOm6tfRmZ6XOK8J0m7Fvjg1zyJAcSGAvEsmNfJNSao8ZrSJz0JhHG9fbgsoIxMYQpB1WrjUedb7I
h9jKXjuhv6A+t4lH5wU+9t4rZ5mPBDMBDhYM4OIRhMqltttX7MYB2ogPsvPBpHzsMEkl1tJTMevl
dshaUrfqFKLHgD4ErQm13lVwi+Ksu5aW91U685fX1ADquaQAzBg97L60cUqhhFpAbu/r2gH4V8JC
cV+USt+uffPIZEMTPEVEdVL3Sw2AlWIckOt/zEdY4lZKzFozTsvUzoqFOCAwbMj6j/FCeUfseQkH
p5OAVO6ow8leckI/e1Hf3Gz5Yb7NY1xPzPXTHiy93jckqFFrvWplfMzc8bHKp0u4zs+dy98z72J6
I8d7mqpduLZ3ydwyuwz9frN06C8m81mGwHEwvwtGb5XpdG0d/aTk41MDvggJml0z6YRfhMBBuiCx
GIUlHZkiiFX3VJbJF/WK7eBwdkc1orWNZSFyR7ALBq4ioCFAMsD8kCPdg0jdgSo70vz8lg3RgS+6
eqJv4DhDJ55zQOPTH2a831vGGHDjL56ehwA5kE5UVDoJvW9pDTCN6Ew3lhienkxiOICK3HsD1iSh
NA0L7WzEGTOM3H2chteR6raq1d/OMN+VBOBzycymJFM+es05eeQ+cORTfx3DUzfFZ21yKBF5R/nH
cXCY6eTE+5qiBYyzYLWiwAFM30YpUCHIDVXN1hknOXRa6jw08RIsa3xXuPofDToFU7WeZbGYsUKZ
mRvYxDaYqXI+GhOzlczZzzPKGhQe9D48gkeP4Vl570iy31bqKCl6Z9DPNm6GwpBDpXjVTjphhtNY
J4oCL5TysUgaiM34oNY19s56ni39MQUwC0sHgh2d31Eq+pQE87x9MfIiEF2i3s4DIZiXWNMRoAO1
2DYbAsZk0RqELivMdooNFiGIadi+3r86tblPdLwvwyY2qwbdkESyn3twgGDtgHQfckrN5CMH8Szo
Qe7CEByROlGdwXbwHXmW/XEa/agTqTu4fh3xuDaxnyA4jOTa80/ieCdmw3bBPK4HlHJ3cxsT4Gan
XO0ec5BW3lgJG59aglZcEZiAZUf1tJ2OhM/nxbV91eXcNR2c5VLbk+Hu5Hs1TXLo+DyTncGIHJn1
BiHDTrbGYOwbu4k2RgUPy0sO+hA/9U0Uwjqjr2qExzoVEn0+tIzpmspNmY6AdLwAVTzKTyoNBFQU
xhBRYgG+xgX5psvQPxNSy1xGgcaOLOyMA7+EodTP5VAdoae/iAVpuGCDQTOXVW6W6OJ0K2ThbMew
t71F4W7Nk6eFCqVBAmXbxh9rZdXUqbyOsLpDddy3JImaW29FBq+rAdxQknUYJmWSnecl4ACOidyW
aSTa0oe914bcXZUmCT1c5L43aPvhaaPp0tUubKmS8NqhRKLzhR142YxQddOE1q22l+PS96+IXVgm
9F6xc72xXm1MqDyE00ovND8ihHNZq/g16VHHSfMXl/DXBRSIrtR2dhJKOO1H0+ByXAa7pb1lQDFB
QIJiNcUpA24ltOEZ3QR2rVByJhynRrJx65aG1bTgBth/Cw0QCKbjz9xqLpiV7GomQyuO8IV2kC/L
4jFuJo/Xe/KKU2yW9gmZR1AxeAqu8qtBHj7W+UstBfoFPCvZSTyobzWYIkSzX1SH5u+gFPdksG/5
yvpglqeKF7Gsv2jJb9ShPedWqGLD0j3jjAiYxlsbKREARJYBQHTatBRjQI0rUKdj8wWy84hsSxXE
TFgaUIlY4SCwO6oP/2crJmHFZDnwztOxvWsq5QCRHdUKtgmSRRloKFKg42DBAbLZIku7RJzATjfO
jWWTwPPAhulFAJ+QDVimS89Kqh1R1foSefFthCM55dXFov/EbJiObDBEb8VNmSDXbiNIq/0PtxvK
gu62Ply4eEPjg0Nt7BGzOtGiHg1JdQAfUA3vZ4Jt2wo61MhdY/gzu8k5hXMruhHuerNBoPTm39Be
Ts6Ufxk9bcxlsU+z2b/1+XoC21eBfLNfxExWcw/5RAObMl/0jPkbjC6y8PpuY51TQiA1aXbiRub6
oxq0d+Y3bewpgcAEVLMdHN/gsMbxkzrrJ4vsyMWaADp56MliBikE9oEZtaeeqW0DoGmzTZ4mu3jI
QH7bBUAbgA8YWN67YqQfOfXDXMPfrIY7mw+b7DcP61gPtLAIYGXrZCpc76EgMdNzWU5tGm46hUBi
rE9SRuzItORPsp4nR08OSa4/9IlNv+Fq9D9Vpe+S2gsYdeDHwLPXNLsvEx7cqI6a/iFhBIx2iVth
cdcvM6MXkXLaElDTVvhMIJcY9t243PdgSdmzjmVxptGXranSiQbwsBuG9l0MKLT8XdT9EfMp/5yh
JdahlTXhoMSRZ8MtUaN3Y2n/Rf0brQEi521GZU0T3ikBHhVt2kk6I0TtyTwPWk1IND/1efK5Iuu4
du6TEadPSVEcZKUz5ka0lFsbmMqwQgDyjD4vkRJayeTUGYBoVFFOx27I8LuZCw8CdT+nKVgZxlXS
DVmV9YZtoaWdAR/p7beYsXxachXfNqvFEUZU0FjNS90aH4YLuQK1HLVZfEQodkUHgiyKdsuE6Iir
+aYCcOeun/OzORiHcK4PJh3mCAhYOBS3se0eVi5wuowBEl3nBWfekl1FSfXkOfy9cNBBK4I5NU/2
+jJpn1T3tvzhmT2I9cLP6+VAq6NjW/QINEJ1LPXw1XNH+E7evPVCaIt64Qkj/2wz/DLM1wP929Oi
jqQ4VJgdYsN5iU+aG17cqig3kpJqrXcyvWGkIfmWhEiYoRLLPGQK8xnmMHrLGuDxVbtf+4KGFQIq
YebLtS8T486Aeii7XzvIFS33+RrhA4m4oQkrgA+zMgyItI4ZIaeBQ7DxRLLZprZQ6PjpaJDqgg6y
zjnlj5x/MciiY8QkImpf8yo37Dtd0quWMFMEiKdh3nrmmE91tStA80XECzI50opvrAs+BEcb7meE
K6QLxIy1kQYDWJ6DuMOOZ1yEWE9DgLOXuAgGjd2zhvlLOLScRZMvDxlbGA68MfCHEbUqgws1MUjE
m/fyqHE4+fAD5ZwgK0MSCbHLMl0/7+H3QrXvPZKphqIZ5pNtMvgVI7k1a3vfpcpezKzHh+fEfGsc
3zE2mNov3BkKerzepvB+ZN/E6ZbO8qhpLpg5K5BX9gpeG/U1Nl6iJI/iVEw0hmQFMP1ow9PzL7J9
/JG52QGtaE3AGry0iuLBYP4dB+Hq5c8je2ivaP8PCspq9BR0iMFm4iNuuy1SqMf6QTZmylte5a7j
ZhEPofHi4LKPYxrupPwobnzAmDceI8jsv3W7bHEup2bpN25jUud8WTznt00DCQpjV6/JdlnmrUsG
lvbMMCTYBphJiF7T4cin7xzYXfSvH0kWi7ce61YT+ssVB8oya5+Sj3VjgvTj4heYjNZgVC7vZtfm
Pdiu2KQXEUege+udTrsiRPhBrklMIXAecublxld0g8HsANQTTBHHgwMo8Vs8mWQAX+YMWIIPVLwm
GFihajW2clJM6xLTy5MQpwPeV1LVDq0MlZJk+xt9NQB7KkoQUH/WN9v9rKhsUqqE6m7ucGy8ursK
01nIBx9hRcbOnivUiyjracvDWCI8yH13M/NgWkwj9n4Gyo26dRvc766qfmMpE+c5ut94uJJPt4zQ
NymG/oolVctNy9Jdge6YTjQ2Ebku7Rc1qMBIGdqpmcFk0N+pszOzJRgbGzHTVAqKLhIe/Z0st0Fp
na/rBhKj0duPy4lzbJju3sjpuVv9XuGiIBG5lwBfQljNG48dxjR1Rqx/Ivdr09Nv82JyOE4oeAdc
zlqPf3NUIuSAlg3Q6uYgJ3yYF+AJIagqdTunUmT8yUflfpV7qdiU+lBGpCI0EVWqvQJYv9/zmzE+
nsX0smTfhktK0xYJmXp5UpT0UwLO1oWxW5WnxKTmoNCOiYxTRhBEH3zXovmkgqRVcR8cywiyBsIU
W0x1icRfVI6IMehnsUyMr2O3SxJvEk2/Xhnby6GX6HldLUB5/Ws/qX5FKi27WjoHep59vjBW76We
UYUqVPg+07ZPqNi3ULmVfdNGNxeOZpSkR8T4Rf8LO1UU47tp93vL/ZRcpRDviUg/4dyubmkb07WR
nKG2i3bb4wDdsgVsYN9VJH0OhNoYVZqJCY+QBn6th0G3f9IhZTn1AZrnU05GIk/dExO4DqF4sx4a
QgmLuaRJ5B3ILH30/d4U416320un0IZvDD8u67P8muyYjRSGGn+Bi79n8C4sYhJk1sU2V5nwEyEv
JEY2J2RqgQrKb0iJp4y8QCuZWIYptS7u1G31ePItImrxF6S9V7qtA0a1hPKwQBH+tdjufI+3k1sZ
gvTzCIvTxv7b0rIVR2Bly2UIAzlYmIHS/oFruWXmMo0z0kdruSUuGgZEDoZX3MueD2a1rQndS4QF
NfOWIB0m6WQljFDIfg+xx6QQhb6mnEgEdzbdlH2jV7TPMKNlXRy7at7HOlITmE+oWwlXpYCzKiZS
Rcdazph8TzsfcU6Z7fhDccLGdyzEWjOyGTZEZb8YhLNJnRHQAKPpf6Qowf2dieXFVKNiWGnp0QbU
I1aEkxexqXS1tegVF7ax2IfR/oopwPBov99HjFITd4nlZPAecMR5O2ifhE0RAje0EjYcJ92C+oXw
UEmKdpFFyePfb2cdID76EmKWIQjqwXzwUNwSdyFfz4Wvhm8JsAvo0bQFfo8Pgto7eeGZBpzNgGOP
Ipc5XCVkiKpXqKoEtteaBF58nxJBX5DVx6LLrhLWS2LaZ9Ue44JP4j9woHRqUkSUAAVHfMr/uz+x
xApE6hwpAF4cse1tAlPG1qcAqV+xgvr0t+UEZ9pjmHv3EtLxeZLDjsSVFUglPBUPVQFLXsDQiisQ
PyuPLbcFv4oPlyNVMaMKV1NCycgydV9zpXTtbcQsYrvFscrx5GIYK6QjrA5KNUCSpq0KxEUupotm
oVjNhf8+F8D/uB1hh7JJjZIKwDeqvx5BVpF9iYvB3kiS34EZkJsVV/SstEe05V9WOvfi0zjT4mwl
KJJImEqMb8Yf8k1yNtjdlWjCIdTk8RAx2WJ5HPIiiZGJYTh2EqNwong9zWauvPvAu0o5QCc9kS+J
2OOJjMrhurBmrrkEtmreQWx/G9Hdjcfh2DFNc0ZuQnPeyR6dDUeIvCQB/r9q/pyt13JUnsMJyjTw
GsB8G4VCJWKNILq+oiYHWrL6FY37TicazyCpcp5wLpN4T0/dtixXp4Nqjfofao7e1mvUF8cazh7r
xoRhP8F5W8gHwhqDMw+RYS3Zdw+VzpLhmfFvHkFOTRd+8h3W3yPsRmfAADqt+vMI1Nf4Mhy+hHxH
o/W5ELW79hgAVMJejvcC29W8bF+Oqi+XJefIp3r+JiNLJVibBZOV3ZBJfRjUCuhpoZwlKjSi13VM
7qIuwuXPB6t1TqkB+ZuNlRso4YwT4hCABHjMWVWIOcingbbZRx1Xbpb3RNS0aQlv+qeqts9yQbii
ZTP8Zg+S3GiMarWaxscYGUO2l7nvDiESx8JI4oM8qUVEO9ELDUNzO1ICp2AEfZJuqfUDPFESIDEJ
SfFT6qD0dWc/s+uVQEKLJcAmoCApt7pL0r1jVDt3tZ44RHJnOVLQUPYoTdxJomH2e9W6tS1AGrpe
agwXJ4lWqGLIrllqcx6rmslKdGvA5LTca+RA6VgQC5elfh+DD52c9lA1xgX9INAKHdiDcuEKtgdx
tIWVoNWX7hcFCWaqw0lHaasz5q3qSBcHBhn+xbXsxw5HEIXOPTUdgabV22HsL1WWPzRdci8xnS1D
11UDEST7WiNfO3n1x6y3j+2iUFpN7sl6PmLug9tpZ7tRXmwgbpIAyyo4Rv8ZhtW+S4n8miW7KoCr
jPrb6523voYnb0/NJ7VmB6kfZtRndmv5ca1FuxIlmbbFpZt2B8hxuLey/AzgcaNNEzVJ41JO3YXD
eyqRQdVM9ZZSHUfG/+JkyQlnuIbIhw6UqeUMSCvSo+ItB1ZHlkfyNJPiW54mb9nQkPwpF6SyUI1T
DjCdT2oV/abvEvguJKoS6XNnErLcKFYpISHcDQFu5zjLNU7ch9K03ofFe65a2Ox0txCKe2VK707y
dhnbPlTed5fj08wFXdMw1Tf2aCG16kIND0tVhteGx9Itb6G6fhvEjnqZ7FTSRHGJECKO2midJB5I
qal11OIUDoxFSAqJ7R6tGD5pJhekfLU2IC5gvmHi6Ov45DonBV0ZeeA+Xv5puf7MG3zkiwoktM2f
es07oWRg/gabsgSIKnBkb5qX7BkVQMGksYhvlsBZuBpcmpImpgQwAw1rt0BGZu5oCeFdYIshp8T3
4lzAjoF3YxckigD7jBTVbsLkA2q+9/Ryj1spgIMN1CtmwwURjq4jZANB3MbvuoQGGeD7UZoFz8py
c/7PT3Wa91TRT+BKg9eT7BAJHWEGuMkDEUBFnsx3ij+SGIrnkLKfeGUEEPbA3nhA2nqSHWkx0+rB
KkryWmsnwgE+BVQPRQuSW7CG8iE8hKPQxFNpQg63CRYNBUyCuZrKXfbYUaLgK8r0R0EhUSlLCsLd
jg8Vwy/BFZ9Y2RBJuOkZKQgGmhD4l3AiD4dNU5xoN1TijODs0pYsqauLy+QdvKa8UNCSIsVvOI1x
hDFxp6/okoNlDFlPweeNtK1jOIT0VKwe5KjyyitKswFk4x+gUFsy8gmbHSLSUUch4mndtm/C77By
US8BFLJHAD/j56rkpeqPLcYwnS6yW1KCxcV767vEMPiXsGvfWHc+X15ItpqMpE5/QHjLKgMIzOVk
4CaredoKwIEFT8Jzv2a49/lZ3IZshfwwvy2bxxFRI/qbCDCIFhUJaq2Bc/jJvatGelI3y44cficL
zw8kZM0TzedB6CKEpJr2zApht6Um0Vc3Tk7Lt0tcw+fjq+V/QdWP1AYl5S+GTz6F/8iYY9MZTlKW
4iSwS5KsSAY64ZLF25o8G34Tfj7IbsCLLCuQHXQVJciO8WfIo2ws6kwaYbgEIDooHv6pSV5+WyEF
b8pxaKWongWZQdEWMLGWtSdAijaRBv91RDwXpPFCC4OilGlEf3T7LiHdIoE+auFwhlj0QdyUEzf9
j6cz224bS5r1E2EtzMOtREqi5sGSbN9gWVYV5nnG0/9fsPqcm1a1LJIgsHfuzIjIyGXzyAC4IRRJ
rnlH1iCxhg5MgQ2N9glVnIsLNq4iBxdRyFh7j7qZU8h4IP5OSR3WG5ZnHxev+mEEzA1ls3AdPpVu
3nfXCjjcM9p4kCZiXtG8i0rOYupTF3iuZblnx9UOn1BWvii6KG/MWe0ZYYFJLW85PiTcTiXQOiXp
OGDte8mpjptTv+LEjtGXJciEb+7W9YVhQETWL+ckE9/H5c7399NQxJcqI8pyfUhMFzSqjT65rbSp
3ZbTO/2GB7Hakx/9LOfoVIUWvVWCs1lK8HxWhccI4lUO68F55uKKsFRHIuuEOoj/rfz5gc6JPg3U
FsRLuU4uWgAN3UL8pfQkdu3euhw0WIyghvfpbhzoHQyBPa98Svx1Cd/iDuQDAj4ry88hp771ONFZ
3CKC/DV8Uv3DXVBS0Kb1/RmFQ6ZT7+0LCfkxYGA4Tz9zoJmYHcet8QHCvKW7z1zc2CCSwG+W7DoL
0Bx4/mWZhpe6AtYDY4poeCcjpJkmR/RjTaLn35Hk2n3y6tMVak74AodPvvvYFq+8Ue26gGXl1RL/
nSDtcNw8+gS4xLcfG8jfdDbuV5S22NZBCjO8Pou1LWYf9igYfzULEDHBrMraW6x+fupzffh0KTyN
B7NIDqim6YOmfxPqkAcqyCwaAJVgG9gT7FIVD75rv60BBjdD3+LysTEhodjxW//bdcsJpO2idcnU
9k8bL4nSdw88c8MinLC5OiqG3iK6Bq8jbqy0V78RdvsNm4g+YlYxhroIK2Yzus7aL658sk528y7s
MZj2cywnaefZOza2K0ZGVMOnmEyeJ2ztnyOEFqZAKhWxrbkUxEImQ6zIaA9KSYbUYaO6f6DcFl7K
uqF9+0YQu2L5gLhD78jjVK8Lm9uIOzxpRwB48v67IX8tqGrwSdCxgHbierZOesEgZgXMnhcqWMwL
IIf7QrUDIuVqJ2lVL7bqupI+sNEIzilIGLuPWaxw+ZAF78mw3apYWklX/cj4d46TOyXukTPfdATa
wP5L41OeRbdm5XzhHnQg7wCUN+gpyw4T/R28vUSDPTCiu9LwjO+eaGIlLhvIY5bGJ+lEGBB92+b+
rUM35gxGiFM8dl/+lRsgCyq6CxU8ImxExCgwCeLsVprB8FRa8wjk/cWZQGjtP3TmHAAitY2jyDmX
cwkW/Vrei3yT7ccc4+vd+rG7LzOW3goQfu79WyE1XscehhE7aRqHE3DGyHtz8wzjGgZ1FBk5/HvC
1kB5jAEU4kRoA+sHAmek408IYw/aSsR/LMqobFSOgpsoUjkGJbDWE5FzitV6EkzuQef8Yr1bECMp
t1hlqhgo/n4iKAgMCTN6XR/yajhkMS243DL+8b9wQ6jTt9lAe4V8sGAF0nJKqfoXHKc9/1+6wxWx
4kZWOv9FjOFvtXjr5V5V39x3ZKLoPshLWBQ6X1Rk6h6TeaSA0kXzRfHIwdgyBpN13rFbyTVo+joj
PgIZCARcFhdHdbIwVtgkS+XD+TzPuyeuDsm/YjCbIDlZFPL81bCeuhn38PzVpFWgN2OFzbT50D7K
XiipJ5pzYF4gHXXlbPScVQLERRFxob3Jucy/SXXDJ8cIAnrkoEnFxA6agXGEKr4EaINUcOikM3aM
QaSIqRreAzZ2VsDvtr8LzZ+gjsQJsfA9vRlriDc/B/tSHdqG1MOicsWZIn5rEhz7uN1K2ZOdc0V3
VbW46uN8Dukaz+94pbZFmbS6Gy5uufyj9ptgdP7+fz84oiz65jaLaecxUwVYVNx7bipYIndMWIY2
y1ze0vPoeICzzZHKU+GBN6FmGSznuG/f/60F0/pcgN44jsR2aqepK8V7OUcTlpEipslW4l3Z89rO
PmvcjcdLgixXPO629tGR2+8s+kW3fLVRg3/Lh9NSdPPP/FLrXMovH+BvptcUcIZr4R/Ii5bQv+ma
4VGbjt/w+yh75lEOzXNEzWZTlmO2fdkU58caFMUBvJyLp/0zar4sSm+lxqKRqXpJKUnQUhBJ7gl3
EUMByhowCAMjiLcOmmDYWd9AFGTVZ7IRlmZ7qZx/d2gRIABswq3PNdYj4hqqNddZKOBXmT5WnzZL
sMisaxSGV9JWSTHBO5O4IPUCA01Qh7JMeDmJ2YoZsQDIzEuPWmJKL7upOCz2Dy5UgFEPaatdtFu6
G9MaAJ9x1iQfbDTlhWxVJYu8Oz9IY0mF++UrxkKJ8G5ZDyHp7g6y4mW0PWUvDtKdhGekK8uW+EpJ
I5zvovqHB5l49gVjfV5zILUEfErBFFxCX5SG0eSDGFUaXzNlWmpl11yQjk5tecQ4LPM2DB5CZmAI
c11DpnTwciXISfulX1Uwgyrzcpg5C3h9TIfbyT9zVLyVNDnclRx5shJ28z5FZ6PHjOiBL0YLxoHJ
cxcLN0PXAwq+EUrQbyI4AaTR+ks+eKgDZoXI/whvFei6lho7k0XDCl4ZmICA6lJRuLL+qWbIU5I4
Qt8+vDCCmqWHPxqrggumm+aynZLLCfCfN+a+sqq4TLG+k13Stf5dkEjvzN7wv8vCO1jr00YYYE+B
c/FhCubakYrkIG5zT/d03uv0YCsuEI26d/ReFzlNHnAmJass+oQuTyChJhjRgFxGLChbFEtiNEP8
1/1IQPSK/pQl2B/QCnVOo7szJuZ6M2K27bIgIRa0rtSugm5PkNmgyNJXzdfiX/5L8CHnRFXimjh9
ANwq7o8eDH5VMK+K05jinLBrWy5KbaqD+sOyhdNN57qNNe9iv2Fj+0Ly5oFDATJo6Wo1CYLhEewT
QE/vHxl0clPSj+WBDlfQuymtrcR8iUiK0T7sKzwozG/v/9H51z3y6AkjcfUnChyhlwQb/IqBo/yb
Mz8p1BxISEtficfE4SkgXmHcHLEU4hThttgkQ7z4fFwhFTmvC/ZHB5hdB9lrMmOPQf3CmuGHylK4
0ePKMyHwu1P9S0kC+JG+HvWZSHSEBpW/47JGirRjRQoqwT5THkK2f+EjOosb81rfkvu2pR9Gu+Cx
iLkITJiOPY/ZppjenNb0Q5uKhSRdZcmOqMGa2EIpOLl2AWye1G7FCEsIyNcwdSNvqeKHgzIdE2CD
uyTCs6Pa0JHOQcrIE2aBnfEiM68eqY3bjC2xB7SH9M9nNouWM2HPKsSaZboTtMSmEg/P7jCQfdJA
i9fYRULzGHZuxQ6ps9OMC37MD2KAbhS3AZZLmZUqZXYhwPxen2uHnjNDH6Qa3fQ3gcL6vzxL1j5H
rb4PYVv7k9RRR8n/z2//47y1d5aVrLYS8kJC25O6qqwOyr8ByL72vrsjVs/g2ghPNRRmjolU0PwD
es7naG/CcIfxLfFa9LPKMb1qNcF5URkIA+PviIKw2yQEISUPuQCw5kb+R1ZWMkJhmt50zugTWEdi
9bV/MXUBZOwI6PIUHg8Ynt6k3aMKJZ2e/8uOzqknmV0HRU2WwKo561FYE2wvXwwBoZuofya2i+6V
K1auRGhVYCoJLPWQnEl+bjbxa6VyFgCfle417yC6gYdVZt01QcQHBdYqlLzKt/2bYPrZM5EB8k4r
n2fjbLbOSpUmnO7KikhZ9NFG4N1wYDAxA4mzhE972yIVqwAk0aYk+BjMfnQyXOPkr/lVhg1fHNcI
YQZM9XrvKsgeJOHgEzh16Q6gz276wzaVuI4fzP2+YjhTbNKBNF3vS/2MEOTJLppnO7Co34yHAOlo
EUTQLlb5mvTYXrLe97K9qC10U4iqW3N/T5v5b4rVZD7bcF7e8MvdKOSjPWFKhfFcuv1Tv+Zo8ePr
GP/rc4o0IILLAbHaqX2tJs6GmACBmP0BSfabSHnd/rRy7rIwpik1uyqG5C/QOD6oCPWHvrsCQaoO
45I9+WlwW/fd0zb3NwxAeOha/6Ef+itJpMohprJekw8ozI8kHV5FkI/1erdMdMby+UvgfIiLGEtc
qeLhR1BGf1SBMIfrjqlXd2G03SdyBMA5pe+JAoy5R6M8ObRsTuOpGavHvLfvWexvGAEzh2pO2NsO
cSwy/uSYf13kk/kyx6m4vuugH2/WET1bhkViwVHmmSm5cwr8EE4JHJhd3KouHOfoD6c/1Xt1FOji
wvXXYGfiCsJyh+0rrSPiJSbg4EbFHBbGQN9JAxF33XtB2pC6GaJpiuDM6K4jK6FqZJNEfkhXTte8
MAHgxrGjO85FqWgd3yA3AVkKe0RUidd6lxGr1Hb3uxrVTzR9MgnpDZv2o7HQz8Z91jGcZrQZzu49
/TTPZ7FsB4Oxu/a/in2pE6LcwRMBDdsweiezaE4e5ul9GTFfsD0tS363BtO9j/DjosMmFwjkttyH
98nyLrrhWwrKmeLxTKsgfhhQAUzykRJqZuXuswNpN/ufynHpXZey+ZrilT7n31jHfm0us04ShwmK
9QsE9wcOnE9tgm9pyfk1DPZTtvjoOMtbAyaxSlemMYTWbYoGWJnNSMBM0bb44A75vouKoxEG/wLO
ccG94lYtGS4G/jeNifl1ujd0ojans+p3IedxPUymGH9D+PG5CxaNnHvYU4EA2OX7+GcwTIogc/hR
j1V6AKH8ECHqFnjBk0e2tGQO3XqO0R66x8jbvzzyJlWWxb5enY9tsrggD44gGaoxxGWSnLyOFKAS
2M/uPx0Qdrm3I3OIVs19+4xi90j36WndS0QB88ec4YYNFmuuxqWwRg5DKwqP1fpaoGfY7B/B8NwT
RFklio3SoGR+c805ohhMkFNSNJXjvTjQkL4GQSoS3qcuh2ZLrgjFSREmXFZoPZeWQWk5EA2crDZF
OrN7LvSzBGgW70UUH8maibVSUwk/pCRz8vlVuRlBrCy+dDCqbPP8jzhrrweURIqVVpM8N1nxk/Qh
rAoV1uOwXLoQMDkXk9R/Ri1CZ3kjo+IA5724fuliYJ/J/1Ryc3m8mqMlKLp7wSsEdiUHG7wCe3Gb
sn95H2WdaT+cFKrRTKVD+oMQ3ifNDZGVgwTBCEYLOqSFHDdAU6Y9fin1ixjWQwsk5jt0EQWuKCNq
fOIRbNxjj2lKACa2RS/6rrAWnCkAKiogOGKpMSge+C3XyhPf6j+9ea+hT+AI3C25afgzrKaxXfXw
bqFM9rmnOu8khsFlcDqpVuHbZ2y4laxA52Gs/JobSnZ0fkjta5mRZlYf6EH7mhZIG6+FOL41p+hR
SJIX4TvAlFLYCj6hW37Q529geSOInZ3H41OUkuroPIGn+WUVy8mFqK8KZNbTyywXTushR65awzfz
FArOfoFinJW8q01ixElHioY9ozIS0sLyNEfrX7oML0z+dcyaV9YjEOqm1TvVTDYs770QMxfILw/+
1KE3qwZUE19tXPNEA2xdVVfrAkHsFxya1N3D5ai+hF7HuaAnOkqJVWLaRFvR81pVt5P5ZXXhRYI9
siD6DqiB9smPEcqblSEUSWlgnKaoSmhjjh+VILpy+iohXYDvg/ei/ikgScS0uBULqIFYgrokCX9Q
NJU8Tb41K7Hyv7WgEPax/tr2FfWR6aNvJ8+jFNGK0d0BRzxnLwMuR/hqWzGIyh+ltKAyPSI8siO3
Te/69bc4FYqBG8lTdZryavFXXBVvqVMlZH1vdLCSbfRhceL286kCnwShaivuKEM8MGgeLUmZWDIu
E+xgCsiXCPDa6zbfh9VHrdJm7/9tqZBMR0c3Kuc+w90NWHoCzl9IbamM4b3Q9KKLBueenOcsmLBv
/Ze3YK5SXpuMxvlCtHD0i/YoAkcuSfzjSBvcjl+tibQNyUv9ZAOURThVUoiolgBnGsjiWvqHVd6D
ayuqUbhxVaV9DieqYPGk0mnB0pGQoIzjo7J6igizaY5J8A6qH3LqUY7zjGLCGa1iYJ9iUXhO7MVh
bB/AZMTjCwvHnf3OtukXylBmwXXzq9H6pvBWqYtgVtdCia6lD9zqbDgWAvnz17hoXObefiWIgVEJ
FwG2YEC1ikEjBWzOGhSv4EIK8LR4Znr+kubo8hXoWdRcEe2BbPBbx/zRgVqwAZB6KIvShmat60Ge
hVe4D3XnXSrSkDeswS+DHnFm+6pdSszq3OWVtJ8L5m6gfqWuE96B44nwNYlsAje8ZVx2iruM9NFa
RGZMd4d56W/7WRqdvTQYl9XrfTpj14kCYeBQ7xEdkjHbq3WzEOzMsICvQN6w4V2WV//7dmIzFg+h
v//JZS8Ig1vvn32wrniCfM2cjcwPLpMnM7Cm+nIBLWXbjgfTx13DWB5EK1nIMqZqvlSm5qXVb7Ns
D4NjnYTzjPR1M0UnPMuXYuQjNGskPzw8JXumU+Daiyhsfa0irFGqAN0NnUZLUJwmONu979/01rqz
SzQ9jh2w4JSOd51l/uqD8Cmx6d0YsYSa8FYS1REBvy4lnNMUmN+9h050AEcRRzZgsrVu32bRMQC0
r7Oravf+bm6xHZamecjQ6Y398pqEJpWCi6dk0EH32gne7/3APJis5v2KhBmqAxyyjUVsz1yr+ilq
t591BTnuBjpRSLfdOsTUaT4JxGmaGeehgb3jvExDgs8YjmpMTEU4/mAH04cg3zaOgDmSLr5OUEtb
NgBrvDi/9sIFfkQbip/o9gvrlJcp2L9do/nR7D7eoKZxowg8M0ZBiA96nisnppOwtvIEeDLFGg57
+shv7u0WI/gufpr98tty7fsCY5By2w+LM/zF/QP3lL1AgEVgYu+713PGQO8J6xQGU/9q3YLEM/fo
wbCri4oJ56jGVEEKLzEDnO3HF2ferjEVYr6oKt0WvUQavNrdl+edKqIRbppN85eoPcNQ80OY9llB
JAzQnJ7C+o4Ap9MQ3OIqgczpySukO6KlSpGQmCWyQ0I+BUUFkBh1LuHZFNco4HdY2lNtlJDHsMvb
C8YgDA0IOIa/YjQFlOMbC0dvQNTSZaiGFpwI083y1rZWjiSktqV5eDei/6dBFjbFOGm8NkU/Cnhm
kCZFDFEIPabuh2IxF8JFLlR4TWbfnjOk4reyOsmB2dncL774OfYGV3pqXAbxUSKbDdc8wedt7Z8h
uKLBJcrpmRXfnLSD2JVr2v1S5GpPkUJagtw1R5k8v+a0hXD0LaARro0z1H6Drk25BHMjyHx+rQY7
EAwFtVxffaAneeNaOvTvhDUuZuN14jhUWhtIxjLGfESiYUgvdEt2Y7olq6ATEyYLt7xvnefTT8j+
GN80PUa/vdW5O6zFrXA6vVk00O6yHjhgsFADkOObiqngDhHeNlSaboZOh7lv6Av5pTO4iA9/8i0F
U0jtntopTZPolubsDhH3gxOjnXGEqsTdyuDl1np3bZpPiUx0KgKZ9c/MdnikgCepUFsAF7pybpfT
eK0wzMcyZeg4hmSRwLt+S7dyBylp48MyBwwg5UCwaWXbgvqG5JTVs6DD0qd6YFWb1dJ5M1zh+nbb
k2nHQ/ExErhXDM4YkHm0++/SQ+s6JuO/ycTHailwUigtVu7jg0rgRIQ30ZzbsmtgrIx7qXciwOZp
wphuWoGx74EDu1P/OZfA0wG5ytq8PXL78wgfmwpVHdVSgpbbZRgdaUCsvqgc7ZEH9BBSvxgJvuJx
kOEi7JfMqYhuKqp0dDz4JBTGaUShTRMVMRq+RqxOHY43knBQqRwGwFVKm4z5lK3tfI+UH2rL1BdR
p+icjDdB6J+kK8g7+AfDeFON4FKjivVc2/ag9IWUTrSLQECqfK7nWsIMRSZMji71YWYW//Km+rvZ
S3TmNS3M029vDOg1SY+OSdN5w2QgcD0Si46aIS7Dk/QJnf+Hk4xTSFciQikg9Wb64CVgDbfIGHEG
ommFaZqIeYdl+XQ3LEqG8iZVZUq4Y1jadTZyC/mikQOYExoFpsDgCIiKq43e49593NePBRcZZXcu
ZfyKJI49bzJskLHJF2DAR1FI2JpfqJIo/e0ollwlihA44gi8WIOQiE1GqxTGU/dG32mvkSjyxUT7
ZjcF+ltukDIK1Tx4sRnXAvlgMlnioqG80vsLmaPPYVGLx2fs12VMURORmvlIPyYUMyDcHikpP/h/
ijHEwwYIP5+nk5/SnQBdQ8kiXFC2HxJC9QVnIylPGtRvRdUiL+/ym4CTaon2u2hGeod2r6r9ZzMY
fvJT7xp5IyonYKIgPHjFbzt2aR34oj6+yIPvgfURRUSKPM1vYwzsGWtMWZbTUQOm9ixWH6PLlVpw
pMrYGJnbV/DH2R0PS7ECgSTl6rOFz1OBFpIgc07BpFxld2/5Cxd5WdDCbaQhCnpafJDGIscgnJ5B
9O2Jm9s0n+66/hTTWIAVs2yn8kztzDTUBriPgwQ/5LFxHDx6DAHi+FYLCM7CKFIPmDTciRMQCepo
0s5WXMDmhvbIXDhsjicMBUhSv9nrt3hM4JzAhZVdERaT99kM9GHXl55KLFA9D9u+grkktJuR89xt
QfOwwL/7M35zlGf/23wI8eVem1m4oXvL7UKvmoUv0/gtgr0cn/g3m/StHpgI2WVIqIJBxyAPlCXU
9s9eiDeh7oM0aRkk6TzPmD0i6sd3tb31gUCMtMu4/SBi/9PsqTPEC0OsKP2bmsWcU4sSnau0FWHW
siMFo/Ip9LTjQvUuv7kaV33ifUYzfsdQIemOBK4m+xcnPQiQjtRgSq5H5jciQrApm4qIbw6UgEJA
92JwZPh6xfj2P5I0i6Mq2Dl4yWbZP/mIe1ZyFrmImsqb8lrFQl2lTxJOkWvCPMAjACz3QJ7E1o5h
e0wk/x3sV0tafpDw1xpbgFqdbpFXCzZDzUQKUqWbPBjlKYOvkCSRWSHHDnnJ5FGfrQehOCwEvm3P
JK0UNx+VmQLPdBrqO3B8kVxwT+uGRhM2KtENDshjFF8S3/H7ST3S/ofW0DnqVTXwHmbfHxY3Widw
TJdOHrz3I15DmKajgBE/PLMdAkhcxkXzfM0rXqNiraUQBANyeBejda55zF5R3Ps9x/CKWIrOATxH
dZLqoCONz6fTWlsfzDq7NAEWU8ER9GMGrzoPZrhinTyWie5RIxabJwRFEN1/dDyBvTjlScY50i17
iNar6S9amoUTcLCw7J5I4j3vls7ze4RRz+vACI6CBg4GoOaufxfbX8X2WxaHEnrrkLAxTRuC2jwu
lkO0e+kT733wGwoNQH7WmN2j+VUEE7yyjcAvo0yxaXHw0Bht7SYwFF/DgECol7CZebKsSkTNj0o0
1tp5ghsbV6wH/fcadKXeUkoCEAKCPrdkXLejNonUcbKO6LwUqE2eK2x4Uru4Hm55/Ff4c7zmpHl8
ggKA5Jw8H91XAyvNkLEVAX3HQdPd8bilM9SFLnQYVvv4FNLR6nJKEclO9mB89PP8lWXhnd7Fp/Do
kBVrGfmbc1ORfmhZ6EuOi30yRqZU4VeqE6weVuzXcDglZusW1rX/Moz7404RIyeVxLTvUd086n3G
dTjo9woMiv8CunTwAYqly/wUr94rRzZ4gnE2bwxJJQdoKyRP6vRQ9gtPsZ4nyes+7PX42AJDdjgG
ZMs9btpgOSQjNi6hnDTyd57oBtSpnzCrXUaO+C43nFas+KwnA7GoJmaEZFYe/5ky825n4BfpSlkZ
t8DI9EZZZ63gGkGgoXUMWPqJVb13O42wrTomC5JnxXc91wRXFJcdZWDmlhXpnUrMPF/+9YfmMEP5
y7B6Z9X6n1oS1BgUR+pkFRBG2nUbcNdtI3nKIEc8PIHSidHstGskTJBXjtHjwDy13g+PmSIp8Ons
4WUzJMGZE1S3FSvzUkeyRAC2MT/ZtEdM7qpsV8kjhRHET0gjxICGz8GkfWIC1oBJg3vRWn8ruwNU
AtikSfu0UzHC5k2XPqoF8I6RacfkIF/ktqNKYcO7k1QUPm1ChBAa22PHt1VTfjhDI3rXXVQyhRTV
OfyBy3ab6e3orPAkvRIYjDhaRPIgQgiwmpKRJyy71TTv8Un8NRv7k0XskGxhnvPkFDnJPyQHAv0E
CXWGe1O0KcMMx2S4gdr9q/YuyR55rgZSbfqE0f4E725D3ZSVhXHpVS49AGhL4B8P4t1Ai0SVedGv
xCBKECEksRL8iHb006nTX2lVP0+bJjLSH8MurCvngIs0eANHJF+aCQgX1ey+CDIg23GX+Gvj/GXa
0nI3sR2nCYI6/Ju2xCs6qTndta+VKnhb9xDO+1nNoMUp5rCi1iJy4RV5pZNLax1BQUH3dGnHb3TF
nIQsGpaN8yIzunCTspsKNIvWxcnACLs5EyUFkIU6PmfipE4+5cYr42ccXGJtCpUUy4LVjR+zfqAT
CvR4uVeYCrP+qim30xiMiNOah4G512FjfleLRecvHIU0u3rPFueHIkdKjXKE/EG8sgt9oj8RbO9T
756v3rs3U2Z8IYahlnYJ4hQI5x4lcBC+7ckMFmmA8HT78AOgP966bHBjQxinqhdxHI4mZFykjixe
3fFzKKLIbs3oc+UIbDnBQ3u+T6giRfeqkvVNYi8nAUaWArw6mm04oujbSadTH1p3AaeIlqnjec8K
fcxQeSy9Rg3IBnZ3Nv7O+igZenJ6hTiE+xkK2xLOTRx0i8qAo1NBWmhdAMQHuML8XRqHKCaKmJF1
KPzzEc6Ld6D4ZMEFuXmcy5qGehv+iLawYbrVlCE3jg4A6jqgpyJ6EAatb5+y19e6Q+T3PsU4Rzbp
zVJuP+xyAFAp763FeTg3O9AM38fmCy5cADetdaza9NGzrech6t/8JnwZG+sxnzYCjpE7+AUkH3Zo
0+JGuLLx3Sj24VQGFYk/oXPN22vQpRzLPWO5NvrsvWb01BXTPfC2j70XJ64e2sb+ykv6XKitgaD7
hITILaO7wqur3zlJbmU7xymukIxu67WZdj83H7P6iyyskYin4Qd72rjg6v4u/vqVbGR62C4g+jSx
b53q1jltRTsdsdk6VDbTNRO+mJEWP9zR/RUU9g+Pvl2GNU6saje48dMox397jw4rbiLXTuyGYNAG
I3FNPNCt6jwgqS5IBxhAiA1835ETB0ZvQ7XyEOses6QOwrfgtuOrN2yXjmGYtHaweNqGFJipqADG
Fck9mtkHiNoctZt/74YzhUiykFiteLZhIfzU2Zzd02qDAQMeZEXzOuLOi/eceZNb053R2ulX7TJk
3B8nGBwAUgqM4W2vEQW1fcwE1aH97KMSu6Ayj0/ggNx0Z1oejLH+VZLOWnVWH6x9fmyd6qFfxp9T
U57ydftLJf+9xTmzH9EPXO/gfhH9x2Hlg2WV3cuK+9aFZ/gdq7FAoYG3WL541mNY2OsfEyszRjl4
LxZJom9WP6Dl5EFAbsqSum2CrTo6QYWYw+yPS71++SRshTNbl35a4sbbxn/Wnex3NCkF3KXBusuL
maOLGxsx4NfkMDlZPaQGaRfdlGlJ+uG9N97IJl2ME+bDmoEO59EF0zsESEquZv1jxii8EkwkaNl7
Z/zx01iZ+b3nVy9MXS6fPJdmpCHl8QxOauOE61EXB9ODqWTVwyHOS01HbmEf+zLedxHq7SE5VL2H
Gyhu/cS7gaOs/TuYK60QKM+z0qEkq/obY0SFzRYLQx9JTFF9OjxVWLXyn65rf+/1fm9b8Rd6dzoh
Bzy0puUF49pfGP4e57FBVbC/5lUC0Igh4FBV18bmfHpMw61d/zdjgn44Leu9XZz43uvaxxF0pPOL
+4bWGW92e5R6XnmsQgdX8iC7rKzpV1JSIFrC7eUx6zbd19ytMAPR+mbVBapg5not4fqJvbPL9AT3
w2uYoYp1DIOIUrrPzDtspjHwGXaEBRPa/LJ8SYvGP8XO7L4Xc3Tam/i+gOCYONibhaEOTpnZp0iI
UhLMzrEZxgpV94jOoT+YQ9Scuh7PmcleTj3jKzFnwqoxGn6HaMaMnEyoahIqZOG1/lSdVos+usRl
3uiiom4fnUNn0m9t+BnTR4z8Q6dTlonzL/4sXvRQmP5rHwXPHosJBewPi4k6PYJtI0bsZM3FTT6u
X4UlpSbsIxNiL3PGbNdxwCSM/tnnoScrip3AAeIkpUzRpmNnhczGNd8SygY87OIncoPXFd2AEdOx
qD/bBlArl/bNPKI08JiBbtVGeLFidnVcQ+b7LSsiDaviVCiLBEGWRR7lxDMqCDJLpBbsGmAgCFxk
z7vfoX1mhgaNATNjGzHTva+ZZH+3jw14uF6KcgBuzXXtyxp9+8DsQ6EuwYiuhXlJ1ZR+Woy16zu4
XJCha2Z8XXpcXdWE6EUc/5c7l9GvYHHxvdtTrF427z1rkuvccfAZ2NPtsDlJ8ZshhHec/OBdubkz
QG4Dlvdr1rNfMFCyjenGgxhosHXciN9Yo1nPvYfuMe2e442oWdi3Yb4/ehVVRO8wwTbzw/xx3LcH
s/Xw9c7RRYXWal82kb0h5que/GF/2jKzu7TdIaCkTN8tVJJOOm3IbAxgY9SzUZaiyZ/ZjVXKJdUW
dUpb1wsqLSyihmU3kAC4yWO+jK9LYNNzUN53fnmcdiAHLFnvGNj+YEwJNRD2zQczRo6Kfw6F+KFr
GXMbL/50C+VB+0HFQLLA8ptD0ORcRwug3m1MdPcMXBf9ALviBHWWGSEH5fGOADK2ETO2JIXMtsqT
WZFt9cG/Fqc8UDBDi2A53CGlg6B5BBmZu4LOjhTFdEnvaMDkdeNkmdGNnimKQXeCOwCBIlcmXZhA
KVvYkpDoARiSMIZmhycu/eElioq7HCJMSBxl2IXwHnNGSA5wxjlLN+Z03S77Q50jYVlNfLWYtrSs
THhPySo6oEOtp6y1r5J4/Cwq9/dKdimYdRQBlrfugcLsxjDJitP2uS0nrGZ6egQ3EHeWVoz6Yefz
rPjsQmKz9AS/WPi3Wg5uVPWTaSU3TT8/WWuhQQxn80nTTukNzM9FIljZTZFk+Mj87TR02vgQ5ZFg
Bmhg1cOtUnk3Vd4vCcZG6uWVxJiaWnc2iKFUevtmqg0MfMsrh90qflKxzaZ5BUTDtTM0n6yYxHPf
V0DAgQK2shjgy/MrsWUqjYJ5EQvZYQjhMmHsnz4VEDAzcx3bMbpMCv+Hp/nnTTUxvKB7li6gINEX
s0oB89FYK2Lw5qPzAJGAU1TCrwmdowC1ASmabnTBB3UM3+mC6jTF41mubdMfQvrG8HYm904PmbO9
kWgK5lw7nJE9Xpo43a2FJWgFZKs77QNOgikWJCd2nJ60FgdJqThpAugIvoVR9YcdJmbao6OWWwZW
H+70Z67ZMcnWG79ur8t0fS6JOl4yYbvanjBCl0tJCJfklcGhtrrPYuuQtI6o4fcxOQ4uwvGQU5wW
NrO7P/cFjM0xo1hdW07oOr22QeUuFD7PMA65c1KlJ/iRacQCwGjvpzLHWJfaMg2umFP87eUNhxci
sgGTs4GyeEEMNtDCSMJ09oLgmkratCw+pyclSCloybGF6DbzfqduMrlCaz2M6ymanTuxBPUfa8ED
V9qPFuBZWtXK9SHlWTpLBgpCEF4alnEBDG0f7bW4xI6aib3Rm3q3XHzDSnz1Mm98rJr8VADp9GE6
i8EW5mAHwQEdExDxQ0rCO1X5y8Aw4bKAuCSUt6v5EldILor9j+WoO2w5imXV9/Ym55hZWI5j5Zxj
pGqXJW7cyb1en7WktW79yDOoSO+HeXxI2QLQnNee/zOniSRGeGn001UJvzFRBfuwd02X/MQa/6oM
1rs6m77F2HOHoi3ymMlDwDFT1CyorRBT32QTc9/QZBe4uvh78w/MHuwl1UbpA1dQ6k4uDooR4g1I
iYUkRy2FDY8xYO6pYG2N7xRwrTWGF1hywBcGoYCd34NCFM5w6pVY08Rs/HZBbDy+CrKtMgifxw5M
1GrNDSKGdK0Pmu+8HL+EfqO6fYtKpmUT34BQTk5T/CQve3Ts9Ipk79TYBi1LyPoNo8C0ktuYInQJ
TdX8XAtjBZUfvJCa/4TnGN30qaHAngsX19XgzH3uAfPMGR2BO4ff3G1m9M+wpkwbKno8b9PnYWl+
ywUpTvef/ykcaKTcs6uOxZM21u/eRKLU1c/6yfqqAeUply/szrsXO4OvxUtCWZCttqTi+hooweA6
qB5vs62+Voypm4j15ooBbDq5wLCZBI9LFYOL7Cs0+c2MR4nkEdLkjI5JAOOPlFzEXa6FjZ3gyUiz
JwllFr655RLQXHCd2bEOnge4EGzXMQOF/IpBx8Zn0/U3CSGrBfFIgxVagHl4CSA0T9JiEZu+8w6D
h6pjuNy84qbaMeQcHRvsaJnOPSyp+11Y2XsazreI0G+97MXqs+9o2YyLIMSEMwh+IYv3iVHCChS0
isD7yECQas5eqWDFFwQC/0GTkE51rXnpcDqcpSPz33M4cdEauOv1iGM03NNXF9Z072bPtjF9RHj6
YM990XHgsKamcQTpexF1RRDKlpzpRP6dn2fv1McKgdx+dr+iREP/rXpF1IZXzuFhj1Dhxh2R7qsA
i+yk7xqfJPGGb4qQX1jVfuejxTLNd20Vj6rKnvrbyDAPpmM+jd3/cXYey40r2bp+lY4eH8TJBBLu
xj13IJIiKUqkXJVKNUGoHLz3ePr7pUZbLIUUfQa7O8qoACQSK5f5TXYM4nw/u8Er3jFoyUZx02Vm
bmA7hY9R6c36CV2DMGg+R5n6M7fGyWqxKMt+apUJffdDpLU08y19fD2CRoXhBn8qDOLStdWbhO/L
YWhxyoXUhInrYjH9KIwL7dcX1Y9ICL5445Cu9aDNafIbHVLiMHyY0u7Y0LzWoTEguDWL9aMLUOEW
8bU9Tc+MFV5RZNwdxCRE3WmMFw86PAh7urSy8CYmQfBmiH2yegX9QFylLa4hgxy9GtHHelPprTrp
MgUvjSenwzaiIkdAMIVWpO7X1Sx5EeMnnnRbTxh3pUM/lw5E5TsAS9scHQZMWQN0mDU2cLZ+j4A+
NeEkEsGlITDwRHXPieq1m+czcPZspWLklqijlvJ1HssL4zaWPN6A4/6a6rxgwgN+MDZJNO21kp3v
2WsNuNMhH6kEiF0p3yoESwY3osURBaXYpJcnqMQzbwLK1SjDa7x09GrzhcXG8OJEzzoYCCPZyhbx
X9d3Say9+sGO+y0wHIhO7o3VWfeDCrOLckAa2O7vh3b4pfd4X1oXcxRc2kwTfQc14CY71WWEerJ8
dmjpUroAp55Ok11dLSlkfDuhGgvip74r7yvD2+mBqm4plROdMKsAq1LbkOWavYh9YjMrOdEfMaeD
1citNYXrZbzSR0xDsNLNNVJHWqXAGxF18JZnvhoT+Kve83qJ3T5bBUlCcH9ykedigV8FAANxG7nP
ntsd7RaCOeYlDspJVhXesZXxjr5pIY/q00iHx6nB4rKIrnrXZvjqFr/TfEDymD3L0FZfegpeP+yo
GHb68J7T6ETk0I0Oyyi2ISZiAySMVrsQgtrsxkdATd8SP781x5s2RLDG+AGEZJfWisPwa5GqP4sg
g2cVRQclJYPhqp/WjjLkGSxUBFFiJuu+1jnsZHgvWLs+tMr51vItAgRg2s/r195Fet/p+afjJIzm
dc2dwjYRMF152tC2DqOF40g3TuTpWnkuhwWxVF8iaW5dL7pu4nYTJ+V92DWbEMtjgM3Xaea9SmVY
eUQhVMo9U2HL8za9gL9jbU2sFdowBpqbHoR/ZznyMArwPom5UnnyQ81aYzTACCj7JiZb2+jR99RG
8RgkGSPdTlGyDujdAtvT4F7cQAUfkeOlD8SKGES7FkkWlQRWTUmgsoOc+lUaQv4ZKZ1s8UsRgEK6
Rq2DtUAcYJA6Se8OdfVnXv6SA1dwxltmzJMNNcpJ67u5RSqO6GdIsgvhHdkBYVBe6temT7scW8QR
ojtsveQXHhVIwJbcz7JtBQ7UtIXiNsEMx8AfunnUQ3HelDOG19GciPvccjdYbABFtBBNG92Dl6Cv
kDpVd+cmQK66yUTfKuvZXMlyY4X9YzYDgK/y/EdnwAup0OtQyf3QpM91MR4Wl15hKoLERZwy+6OG
4UnO8j7prGvgTE8oY30pekZ3keGgYT6wO+0AuVidn4a0XBnfwIpjKN88Eubp77N3WweNuYSyuHC8
h35AsmTBUxCt7+DSSft2i0PmtRnXy6Fzghfg0/dtat5QwuqfDqCxNtmtGNn3GSLwfhPeDlX9TXY+
zlph8ltfde60II0fYHK/fHF6737qPMhJ2ZM/u/VlWvkv7YJ+gOc/VVF/KiIfUMtkgiiwUjwlm/KH
RVsrIQGa0ETS/2DelV/tpqYETuwnpy1+51HD6S1aVHCr+m6Yx59OnjDjkiVNDAOKfQomYazjb7lb
oYK26K4WeD+dqUyNfT+mw1dLQLIqcROA2z0/t263gxGHY0Hh+IBMHPapHypwTtlDqNx9I/ptYJAN
B+n3DN1gHUMWvISLuNmKZrwZK3KAaYDOnP4eChN5A/8etfZ9VE/MbrLpUHXew1jGL4mB3dDYBtu4
9e7cZtgNIUV61oa7pmNUqlN9eDk8dYa4mOF9d6VxKy2HAzl+KKY4oR9vcpgW5W2JmH9A4Bx9+8XF
72atfzaunKe+TX7g6nOH3PmdyEYOM/7A8EAcaaRPGW8xMAFQiVXBMAMBWWbkjJoKaxNQYXHpHAxw
wq8KD3Pn7kVTPaEriHhaNV5H7Z84+W7VCZL1zxxVbqM59eatBKqc9fYuVUyGAEaTHuslF8QjLVxS
6g6NZiK0NFkxgWTypv9W0wNmCUkl+CuhO12OHLBWrfbahtJFwEJn532iq3+xjoqXV3ocKI7KpBUv
ZkaIi3UTmclaTz71ccbHLlvqmGbAjxPcALM1qu1WdKvW7vYTUgP64Q3XWhUa/g8JWmdZMf8CsFud
LZs8hukDI9FHK2dThChJREwgoVIJphIR7DN+kurl9STKFw5lzMI5Ekf4lx7kUGH9Znhj4Zylc1qG
oyUdyxY0Q7yEV3rIshju2uIoEyFjV1C+CXek+HXs39rUZK+l3WGmQmhbBMPgCwyk2hpHatOR8RuG
KXyGOj5p0q4JgkxXxFHlb2CwMppJr0ckvkzSrAwW5khpSdYIcpQZ23LAwu0+G8IHXVv5drTWB15S
kyM303VaQ2/qSU87yunZhdlBzC0L73nweZHJONyiz35v079xatxepAuGsR4eyhQZIL1cem18dEIA
wetPgWws6N3bWNWIrwN9q2la5db4Rc+7KElnLzuGjMBwQP/9Cufz5mt7iH7qZIzkVlcaLUntKIpL
rWgCyvWFY+ykOvk9h96EgArC5gVFfGo0dJlR1Ezkxo5wREHqAIaORrBPAdwQ+jZJrO57UpqYM0XD
bOfYWNsmqv90GMHkONlvzDlWHdVrQmxkurqzocdogy+0vnT28HqD5IWBO/xBveNG35FJMPP8iVQZ
UVJ+LO2XrUcBqf9sbgJwcvCy+bWafunz102SeyBWG12V65dnEBSW7pm3XUNb0l9ONwzb1nY3yrlp
B5plPP2A7mMIOSKEAEZuodL+GgDV4DPzQugl/hGA2dI/pmEsllGvRgXLIrkJTJtpE/4ezkvZwiJk
3p4BPKR4uW7prLlBjy3h1nbFl2aZ7hsuBEVhywUMC45eixaz22EzhqkMyfsCYYhftrXclRaZYMA8
aHZv0RFIu9shmOALDPAsAO5YKKy4DhBcm2YDM19f3ONGv2LipXErei2WND0ZkkbnEt47E3OL+AdO
LOvMBDrTg+2JpckUHbhpM15UNHLQqumJUNaK2kLK+ffkTtC9YuEel0zvEzZJ52ebUaRiP5YuYnki
PelyYeHmHau9bHjcrvVvgjDBatK6ngqtTkGyZTxCIoR8SmaSvUp0KYyaGJ93s3hsgwy+SnfgLMOq
oTO3kW6bUApHVH7kI12tNqNLhOqsgpKvgXzX5MHl0pnXpNvkJaV1lbSo0OhVEU51TPi5MYsvBz4u
PMCAMP3seUj8BUBibzReRw3Jau6qg5NVd0vofy+606A5FJH91Qb7c+HHeL0nRBmNnUgaDHT4LtvY
/YMF0nXuz2hUmA+D7L5Xpv01LxdtUNxY3ZWypuvQMeAk2zdEZBF7d0anrnUUVgbwZX/4Evn1CfzX
LsZyS2NRVTJcGTNO05V96Nxm2yhc0oZCSPhB6SP12CaKop1XLoeIQzaX/qkmrmPkZL6W1N9B1FR8
Nbjzgfox4e5NHjLp7BhCoU62NP23IucdaGMSn5nh57SG6vIpdgZ6g9W1GdZPHr2eZYqfCp9TuFq6
By+x6KFT4oyk5Lra96r5K9RrRi6M0Y2vvXQYUeGG0E6/W2dCSOoOS07kFaC5LfnXfpq2llXCT7+h
8UOjf7THXWqk5aWDYto4outoB+u6w8unxe3BdDZJGmKcYm4ss9sthQJ8wqPkmc18X+HKU0aXVRv/
buzht+7ZWHaLcpJ8pIKfAEXwqgcPVUG725qN7sAWtGRo5nP4YqAo+GYNdx/YZvFoeNDQc8wr6aqC
YDHFYwWyDAkrhIcwcInFvhJq7/T2c5N5JI40DIrhh50OAw4vSAPW3rUO//YwPBgt6jmNyu8A8q8T
3T/qMKMJ5am1wztFdGhUclUv4So17YMnx31odocc0NzEvGAq+6cwmHY6irk4Iki0ZpYcfwuVP2KE
doMeP1sd2EoVet8Do3spSXWAo+dXJQ2uCyy5HgqDJvQ0qH1H1Bp6+VDACowicdThSAtQeBrrK4fr
Wsv4VMNtnVhXcx1PWzMJo3UdZs22D4L2MoENgFDmIUvqBCxatsmSV77CkSBGmex3X1UIraBDJB/W
AWNCSEHJHwArIEd7SS9ZXovMwREMrqILyHX270NHPEUzJlBxiylIny7IPTApJdPoSI11hMlTf0fd
eaNKv7uIyB2KrORvimQX0XGpafjp15o0woYHHF7m9Ljd2QG2WgMIGmIBtKe9KYvwduxopGJpcWhc
tD5bEhxZlVfwxNdRbRxMCVSaHwTSG/3ErOM6yxjWTNmus+abvB0OXWTeMiT+YY7RNkyZE4YTwges
rA4+Acdrjpas6Zsb/EbhPE/xDpvNdWIVdAYKoOcDsqxJZ+6cVG4nWjGmFdzATdZ0Ue+6MaOtDkQS
gHu9GIewRBirnXdd6KEJKK8zjBf7sr4ZzAHd5BijzLbdm6QysGDQzQoM9LO9lII9e8wRAb3IkeW0
MOy2JPydYXHRAImybLUMect4ghlTWIAtCzNqJXhP/g7S+FcoCDTYh+EPvh84SBXGvVPH1zUqHF3R
ANqtKzixo5cxuBkekLGkxo2xphWqOtQWLPewz38m5fwNfWISvSUddmWJ+h4sYeSz86BZdxbbxZUW
HRm/xm3D/974+Zc4Dvgvu6B8mRkg+0hhJzNVBUJeE9QvAwm3iyac7rF4dTahN+yZSUeIUFmnsclg
6vWPy1KFm6IA4ZRMNt6UbfOHSOiterulbqxN3LfgSDI214qxRY4qctYjjUulujXj8Reu77gBR+g5
9TNClctABzSKj5Ux7HTjKlwOumZHopoWRkn9wdiePs3aZ5zMn+tOHmZx3wfV3vVu9BLztiZjPOr/
HwL7xWjh8kbfoirL9REVFYe57b8N9nKtVcb7OoLBAkmK5cypQjq2Nan1VThUoInb26oHuE+zmwtp
zks2tse6GzdZSGTvJuPSwZQqxEsRupjFIQtKh07C4NATd/NLHCZX5A66Y02qBCVRO4qTcRucmAs+
zIgdpMtWh33aKYB1SJfp8jukA5pnoQHUYx1e6e4GHTYL7J8eTg25s9IexjR26J7Q5WEPkZrQq8dj
R8/+MBzUjRh9JABtXxegsSckPI0fk+54MV3G7Q5d/L0uzBnv5UW7i5Ggw8wHRZZuVXtYK9B35ln6
HmLevYb28ovFyPdlnu5eTyk64Dar0jDjrTRZgtaBB8gJTxvkGqk7kxtOcv6XM2nVktfN/GYP0kv/
w5AdWQfuEH6hEwO+Fo8Dg8iBo0Y3dUlEqcsbVrRmd88q3HKCWvbejZ4rrCVlUtP6fOFfyEZMZvAG
o0cD5wnBPu1n59p3JaAL/ZeQGKMONfADmgbqcgTx+B0BM+O7gOrE7zMrk1RY+jMHqqT1h5TRvaZO
vDSGIRWBQvcHdKgzkEe+4Gdg3m71pgMDSqQlSmzbAbDflGr5qNy570msw7Z4qXnNMUm0aJKNLr/0
NKCGRW+2WiCLJ39FmxXhtbYw4R/UZVwnxm+qAZDGF+8ygW86YN8pC3oq03ofKeaRlwCg9JuBZg1v
QwoSkqVaTzFl4wuUNegyaEGj1aWxYPATW2wO4WjocktvQB6hJw+mD6VLNBYoz/4YQbRGexKrcmTy
gwLM8xe6O1nzXYf8sEM+PbrijvFbsMWhA3NNXq5LVz0JyklcRMQJAY10+GnH1WU3PLLKuhzTe44W
AEBtTSpm39bAkTSjVLcJSdv4BKTxHQnRCxdbUJAHOn/T/z6X0fPa+E7XJei46mmS+azHCwlVW0Tn
2yi/C6ah5PuwKnTmTSLOXfHc0dIDK8vICr6xprodmKMVUHJlDm3Do4s9uyRD6kYU5kFPJXwOYKuX
P+c22LAeYwriR+XrVqsEIU/NNtJ3kcY3KYI5ErM//aWzNbx491qzI1yC/UMVt6tMoQgGoWz8YYov
MB3y3kLzV21wrYLXxOpRdWhXmxpRQ9CpG3qc+uHALJGqC1MBRmGmzehNF/i03rXIKs/Au07Yci2W
oCyJBlqyGDpK6M+FnK0EUA80NESxL8M8rli0wBLk9Iu8/jpU6B65MFJuM7YcXbCc4hCUlf5x/Ry5
02/CerkfI+uqokTpe4+wwmetPya7/KL3y4gilx70lpRiOkfVJRjVLFd+zSv59kYJfR/6JrPIkc9Y
dw4zSJBOOO7z151OEDo6/rjiaRzxWq3RUeAL44MZ1IMd5hf6tzsZIsPr3ccIrvM3yTGwK8H4J4ZW
emmVX9g6wI6grB5RY9joz5JXmoNxbhiM5MU3qPZXI64WQKu0VvA9yaPbwsJAaiqu9rIjHcqf2MjU
OAx8+DfZLmz0NpmuaC+waYfKO9CDQoeY9CkP0TTwetQf4F8ERTMBUC8RRSj3nRHgb2RijEVtp07A
di4A33FCP4XmKyNelzZ6t8rGRmaybAkflzqN4hKBjNfIXcf05tNfJcFMb7/JiX+beqNR/lixuQZp
BYAPJQZemAawCm01Sf+N95Ib3lp/d1bvk/0hRgunVBb+TZeHG33HkvCt92zWF7ua3opg0GSREEFG
NdwIAkO05ztxGdyZgrkGAC1dI+huEfPeG/0tdskr7LXA3x2gC31IgrUJGqv2/S0RXV+cr5Y1nHuk
vLz4yom0tcKjpOXpAMfrGhuZKaS1smk/0mpWeibDQ8Im1PuXZTfAaoSYBCqJOzwbS5+P/l1i0AjT
qItaPSYDCuexANoe3812e4p8+VXG9tXggY9xFemUhyOqaMSpdFxYlMVVNoaQz6L2hz122co1VLye
Uyw+5u4W57/lBbnwp8hxt6HnEshtamCMSpocHnGJxpwPlbFenpK5otFLl4jqtGVo3YQZHfzRcR7n
KESqulrUcBrTBglsOxqaLRlOcD0ovLWiIfD2iekvGqSP49u///Xf/+///pz+T/hb9yFnUL7/Kvoc
KZCia//n3/a//wUwVP/u/tf//Nv1lOcAeRSAl9GvMB3f5c9/vtzHRchflv8lFt8NsWcHx14W92UY
7IcBz8UsH3b/8XUcoRzXBuGlTFSW3l6nSvImddJiOVnJDPl0Gmm3ZIqSOjl9fCHv7wfySDKF4wtX
2o599kD0z0Kvd311GrLQQI1EyJNRgX9QPfP5hPxw1fUe0ya6+fYna+n8fWnfckzleNJ0XFNab59R
ZEYYFUFonlI7YUdiME92nlqaOEoanV07qbd8/fhp/359rrCk6ziex8ra8uxpQ4aGUd8PKIqFNEwN
q0ZzKJ2cu6Xiw/34UvoNvd0prmmbQpqe8ExXCfn26QDgGXTMjPHElMk8tF4RWis14Hir5iLbDMgv
o+AeVyfVkr6MoUle//ENKPH3HdBht5RlKmUJqt+3d+CVTtXOMjIx8UmBnPths0UCEQGAYS4QVxrs
sSHlQ4ZgUdG8Z67aHRI3x5Vj6STKz0Kh3LlENdQIBC2Xnw04pKtmzBToJ2lAeOtsbzOa8RdVl/ld
6BH2YMTYUKhb5Po7p7+fx6imJCVV7ZZcHlIU0zF1sNtGU5s8xt4BjI9VaZsMJoZGnibMmx/tIO+u
Qj9fLhdpsC1aEgd6ySJBSVqB7f54kV432dlrUgBu2f0un5o8f00A1kTczu5wykUWbk055IemzfvL
ZlRMMLrGiu7sWiBA0YWU7N8np66+mXEYbKuhzQEBZcq5+viW3tmjSjnKwwLVVZZz/ukrAbM+S7BJ
C9243c1DDWSB17vLa9lcf3ypv79AF8yw7aJ4LaQDoe/tDpFQMTpnbPsT/ChCNe46F+gQuY95q00k
VS83H1/PfuejcCzpeK4vXVMJdXbB1OzaxgtdXNvmGQpdVUTZj8o1q4eorkG/B6QqtdfiSpHvc03D
zhu4G5ZlhX9QTo02rgtrzG6y5pgz7LmxI1omSxc5+yik0g6WqP9Vp0WyGUu5rHnmtCc9b6YtGB+1
XUymeIGdWTuYPJZY124cnUIb8btwgHwWeKXNqTf1ABD7/CFwrPQIK9xch+HYA/ZQ5Ytby/HGz7MA
VkKD7VAR1OVlUo/QQJpu9J6BYIEUmSagK/MAUt30uu9oCf8QoWquZwTNuutunk3t1pE+j3Z2E814
b4bkGluCoY3vLtrAv1qp5h/F6HXrTxb/73BAuFU2i+/Y/P9Z7PPTxamIBu4JkMV6zFqJY+kC5EkU
q48v9M5L9mnKs7Us3ybOnl2olI3pJcJGpijCPNu1Mi+9SHOQv2Zqwvu2l/oQZIm8s7wB+UnW7Pjx
9eXfZxpij54vfCHg2NN8f7ut8Wuz66QnoCQl2CEvqdp9b/KJV/3QwLxzM4yvLMe9X2hs7KpBYUeC
eDyyZaD0sWRvNoB/kP0e5ioBptEhaLYkBf1u1ztEfiR/fHy7f9+tT4Q2ySxohylPnN1tNNRNasAN
PnmlLxnGxxW1u5GrEUieZ30jr0vTi0h4C/IItIQ/vrh+F2/Cny8si4/fd21yVGmfncGpbfttRrgB
UWXSRK5SJghhVv9O06Vel82SX9m1UX4S4aQ+ef55Vei6nPee60lPCR9p9bcvCAO0fgiCxTo6WVrt
/Gnwb1Xji0fJHe5RmIMElfMGlMoCGMxIjDlRMG8hZso/Hz++qd65E4KnlMDGhUv+8/ZOqj5FdN8f
ECnLZ/+2sNP2drYL+wBYDzszNeOIiIvhaN/ijfzTLnoGjG3WXaVVp9X+nNB+rJ2wfOjcyb4KJze7
Zm6H6JIImQoZappvDDoTaAiAm5rDdoHhIqINrDLnk4/7PJLrFbVYUkcKm/+ss+dI7MRivLFgyVaM
T2ON08ZiuZeWuxwToDCfhfH3Fs2ySVB9G1SjOP/A52xJ3DEVR5Wjt+Oo9EuDtV4QQln9+PWc787X
p7J8wSYhl/Lcs33COKGZMV8Ur4odcf+cBeHPIcaiJfYeYze8/Phqr4HpfFs6lrItnXhzwbOEScAd
KhGlEkcrtDWWt4pAo4iffTd9YVPex1572WfQu0r7UeGlChQCLNowBgmsRe8o8wpHVbUqhEsJ52KZ
5Xv5xeJM14UyLkxtcmS7CHhJCUIhCk+enL+7WXIll/KXsBRNQWdmThi442ZJ5x/VYoNIlMW3BsUB
xAIGrW7CkRNvP35qaf79NvW2IRsmTyQcnL3NkS65AecgOnUKMt5Y4go1NI2/7b3AQ2LBSvTqI6kq
7MS7dvg1yOasQczK94/WWPaf7GTpnp8ftgCIYRMKuSWJitv5W6/LmIENMakKw2ITDPZ9M9viK7hY
eWEkavgZpD19YZ20Aqfq1rIJyhc7c+Q35GVmgOJK7ZYgDo6TQBIbLHV5ObYQVB3HQf80barNvNTm
KQ+dYQ2IM5xW9Tzi+QVtTEOX1VMQCAPmaB8zWpqTL9kcDc9hX2S0cyYfIgIWLeg7TOmkAb3GACGz
nh4ClGVXle1hewjk6DbEIvNmSMH2+mNl3xSDNa4jyTgO04Hw0ELyvJRNiYLoBKbkYvEM5zIaYwcO
Qb94G7PEqHzVpTHS0eUyktCMC5qPJB20JYT6ZSUxEHxlFNdlSx+B0xAoiLWUV5UtC7L4utuTyVro
+Yplbap4ARdPc2H0x+QWtidGDWmN7Us2NZecn4j6JEGl3eQSBDfa8WuHZOkK7WH/oZ/UoruaiJKG
AXObWkDDBrLy24AQFnVwdMV0kiZWpYEwcTrV0nPJcrv4qGp3paI925rMBZeZZbF8YC0+bmZ12KeH
mlrjrhzG+iHLR++JtuDyzao87UASY6AUWzCZJa8gc3r3D/VRct9lvbGxuzxmiuG26wbdqqsUlEoE
THoqbsehQcmppUp27KrZyowGGyAsbGyzLrmc2wy0SNOh3WC39CpLcBkYzwFUJeffVYCPQOJ00ylE
33hVKsvFkHCgZTKjiOQ3VrlTUAcBaqtlvoMtLu4jKadvXt3Fhzkrwxuvcr19lwOwhfZI/5lqaRMA
4roomKxc2Z6KDpWXjOseYtx2rlMD87ayW4Fe7xDYq7XsMjT+siHmYDaGwuI8mFeOapInJ0rhaaJm
dSrGfFgn0PQOOLaKje822PIAx1+PMB1WfuPka5VQu1T0RLa1YiDXlsa4T3sPZdOeu4KhCJiyVAbi
mlmz6YIFYy0/nxm2dehkGhpz5CwSrJl9+3GUcf8O5XzUvjBd3zSVlOfF6NJWc5+N9MZHOS/fsrAx
EBqipUBmvtz4UWYC5akywEVduPWmzPvFodAfxkZ2B5xwabI16zlvAFBLJdCJ33ZZvRJodIBsrzZp
M4LDyne5ZSEJ0FnV5VhP1k/HqxhO1XkNEb7CDTLsquuqTt2NXDiF5xTirkMvbTX4S37jj8YDaDLr
ukq9bptGEKWGsAgZLoTTVTr5AYUAg9m+UcElnGScsqsctkQA2n4uAzwvBnv+0jaJe+nPSFnN1ejs
2wb15bZBAqLquhH2McLDQTg568UF4kVOXCO7axS7BIbv89Ap+l9uKC4MYsJaGjPtkC6VQGf0LBDU
JX5P/jR/m8m1Nq1XVl9FXJIqGqYBEI0utvIlsqmRUe2zHtXU2KqqL61agtXH7/LvXIOugu35vucK
4XFQvs2Z7FKEs2/CfEgC5xa2MPA233+sNfbfsO8+vtY7qaI+CXzdmRKOY59nxxlt8XGYDTDLtX+Z
wE1pa3O4SJzgh5dX11OPRFY0Jl+KikYC2IeV1UfVJ1mIfp63aQHPaAmQ5bRnHf88LYiSxDTaXkb0
qeXOyOaH3m1gAkn/k3V979wj9zCpZ3lS8zwrXrzMiMq+ik5NmAOgcq30huM+QIl5DHYBWiVAwEWd
Xhiy6R7bGXHzj9f671yYq9ukc8qyla7Q375XdqdLsJ7au3RSzZVVg0iEZ5e9fHwV+c5yOkJ6lhSe
5QroW28vk9ADbiSYyzsaZ1rrd+mOKjO1eSoAOLyoBtCI49osj7q/HUMmucy+S1yRPr6Nd++CIpjj
DYaYdb7YQzz5oc+LOAYjfvTU86eo+eQS1jsfistKWiQxPtxfcfahVIBcRnCm5V3BLNQiYEUw+UZG
M132slRYcruniXac05Cll9VmjMFFjD/8xriuqu3C8KOt7oIlQeMPSzxmiKQe6PJ4z5DrWiRzEY7i
thn3WRnOcT7UWHg5Qct0y4TskOwzSx3i2vnkqf4O5HRwbOWZnvIpmV4D/T864DCGMwdwTXZXQbou
A/Uq5vlYROaAw/R8P83x/uM3Jc/7mLTbLTrtrjTpFlMjn22YIOocVQ1hc+x7iPB9NOE52QwPi5Vg
49DC7Hd76wvdTusy9Aw07pJw+/Ed/L1XHMtTtrJ903JNevJvd6ztuyL3TIVRRwnMK7TgWI3zy7DY
6pO1fScXf3sl/Yn+Y3GlJ0qgCtF0NKIERZeumzZRAl9PolXCNDM3d/OCiq65bDMAWne1oyIAM+GM
UWyd/4fNQb3sfBw0caTQbaOz3Yvk/TwPXlUfBxcLJGgy/ZcpQfy/hxjx8fq+Rpa3EZZL+fTK6XYy
hbDOFjiVaStBUUzHEboEae3Klw9RiLJxZax54AurQWbBP2ZQbJWEcYuRT5mfIPopt74OFkxQmuGT
YPjeO6d/pCxFk8Jxzm9JmU69FI1XH5ehX5gRE4qGATkMjAA+fvi/gwQrLCzOUlIjW5wHCa93qBTi
AqvcWO6SAglVAQcrSteOzUDuf3Etut0uIx8mEufXcoxmxjNobo+yrN37KHTUyqvL+VAZaXIUIEQ/
mYG8s4iv4Y9OL1f8q5U9BrkJX2icjnWQq/2SoSgEs3tbBZ38LEj8fXgxmLOkyQFNrKCp9fbLye2k
Mmbfao+pO+MWPWBnuUQlU3+/pL4ratAFTgKzJMLBB/EPCC8ZeOAMhZZV4E9w283Y3zWRV2w+XvJ3
7otsySJ0ONTGLP3b+6KJXXWV27bHsAJPtkRes6ei/ax1cd5D5Ft1lOsqaUufT1bp1OIfcSPMJ6bs
hrEcORcqxjWuFlaKD8ky3Tg5lEUvoxO7mBR+Hz/dO4fBP69r69D9j+si90TCMOXzcUEOzAFklO3I
kjEday+l89l5+k4u+OYpz+Nw5SfAz5xiPmZOLO9sFbsk9je4sJuYENrlch37sfxa1aV9snO/2c2m
64BoHhhWffzY7y23TZcO8QfhMb88C40BkE2Z2dlyHM0w21aep766nSxORahhH8IObkStMXGusD/p
bb/zRTn03ZDEMRF2Ii19u+C9IxyZx+lynCGKXcjZgztVHv2JbuXHj/jehejeKx7TYtueX8ih9dy5
yzIfC1oLMAHnGOzi+Fky8c7X4QoOVcsWFmnF+TzIcZukk2YxHcMkvAZv+LxYxu4/fhDObNfnYBH6
UmcfYMPIw0tysz8mg4/Eohvb+jRtAaa5Pz++0nsPY9IRdXUIUmyBt++GbYYsY992R8CB2llPG7jg
tfT88VXeOS/o9BJNlEsa/VchnVcofRrw0I7DUuWonvzMGHasRqO+BZD28aXeeyBMfpCQ5nByOZrf
PlBjz67Zoil5jI2+hn2oNhR76Scb7Z1vicmrjzgO8w8oi2erliRVbQjkA45J4e19xawoD8HX9szw
gEjHm85CY8Gbik+ym3efzaaMpYBl2nq+LboK7SKvqdtjl4EwAvIzr6BCtJ+s4HsvS5H7664yfj/n
XQ8rKhyjkN14DBgJXHVdhD22NeOM2IhfPQycTw6bvyZfGpmii1WP8Qoj5POGubUMrqrdBmHu3hx/
9bhI/WybubyUZmpjVES/zmgD9WK3Ub8qSvQ+1qmwxd6w6/7SmIriGR+E/BuORpiPyyXYe5nHkNug
4MdXCUbsZyH9vbfAS3D4aiz9iZ7tMNOHXDdOTX/MrASlftyLYH7F64+38TuhzGXGzQlMki6s821c
JQpmXB12xy5s7rCIOrXGvcqH+//FVTzCGC0u8qvzSZJVmjCgu2w41sA9qd+y4msafvLtv/skvFtL
uRTq6vxJzH6MUP0K2yOQ2hn5knneqGSkRz65zicHzXs71xGCR3EU8KPzGSqDQFVVM99H20l4uKP9
PQtRQjPBjnqxZ64+Xrz39gGNVptPxaPe8M6CwGCai11AWDz6ftwhVI8o8285lOUnl3nnoRj1EWY8
QFW2dx5rGO10UIXq8Whw8MA1u0LfM0RUT3vn/McP9P8pO6/dyJFoy34RgaAN8jW9Uaa8fSFKZeg9
GTRffxdrBoOulCDNBRpQl0oqJl2Yc/ZemyN5Llsnip4feuC+E4ZYok1FqOAT5inggv/7R8FFtkVl
36F56VxWUbooajQLZcI5NOvneXsiRQkLUn4ze356xXh52AEie0U78O8UwA2roxAl45mNNi2GHhKa
r5rf0yz01QGWfn3VPjua8fe0ZlmKe3lSVdDTgxvc/tzahX8IsdhrdGGjVhxwVDvflKTnNfHFppMi
xnwN/8/BjH9PbYgi3W1k058NmTwDA5+jCVKwYRio5gywOp7WQ/XNY/HJZEfhy3a4Zx5FzcvdwGTL
XgsNozqXbo//xKjuilY7stDbd7PNOHBmrfV3k9AnL5dLk5/LKZDamR+Wco4W6UKywxzZXZsDcRJg
MYxvbt2nZzYPfpT0UBNcFoVFrk30Ec3+XItmm8IVnPNr9nDLPJRT5V0y4Jhk6tO/OewnI6I7L7Uk
BQRWKJeHHUC7ubHXtecUtCWc4uZoD1jbaOB+c+fmB/3yaaEF7Xg6b4PLqujfp6VHKVWGcd2cqUfE
j25Tpw8y0rKzD7RuoauUgNGO8Kav3wf9sxeCl47urI5K40MNRpoSH0qvmrMb5ObZkmWy9r2uuJ3a
uEco0afr0Ptd6RU7yxbYSogp75SUU/2ewuzaaM0wR9EJcw0iX1uEURe/fP0BP/t80uQ1sj2qteg5
/r0qA2RKTMMUFFRlo7XS5datiPmpydsNv2tUf7wD0mYtOheOTXQg8uJ9jXPpuy3hjuc5IkwMausH
KGOlv2W39Kxc9c0C8eOTxeF4XXSX03Ptv0ut/2xtzczQ8sqnNKsCBdBOBuUBoYK+Do3guy3KJxXO
f451+XANY9O0Vq0NROhFj4QL0Oq1zdsBJJyugk3sgMoUJSR8qR+jUbv7+h7+3a3++2hLh8KJDrOV
Fapz2WIZo2CI2jHDkKl0bMx9ca87EbRC1Bcrv0KtQG2OkLYaGfyU67jSWgBaboJR37kynPxcz1vR
2ohJ3A23OFjwzYfVL4XJbK1xrYLIbghqo+ElmuY6bUvy6TOigS0JvlYr5DXYlddOH7Dpddld3thb
E7dqkxOkrTL3NbPlUYIBjSbEkIaGI9y/Gil2z+JgJ81oxlRPAn72Bk3Fbdo6K3uMAXhr2ouqrKOR
Fw9ybMUSxU5K6AYAyIBVL278F9PRjjMWzWmNR8EIgqpgl7YmVjw5bCOVnbS+gFsXPDoi2I2pQ8Gh
MkFiNw8OD58VWts2F0fXBTRlO+mB6g+KECQLy7/wtyC9TRH2Zi68LoJ1GNV/4zc9zXwqfbCOX9/C
T9b9LAHYP/Mf0xmit3/fQ7troxwIcHorG3UzBu2u9Mf9VOGBC5w9xuZ11Cuayxj36jH4k5Q0EDr7
wR+Gq7IObzFLI1TpygpvfEQUTfi/3hjPnw6BG+OVzes7v2r/eZWSKs8E66QRfh9Y5ii7obd4//UV
+DgQ/XuI+e//cwjsAGGDtmo8d+4c6CTVG5EVhJZ8fZSPMynrekOgH2d/ZbBy+PcojUn5lwLicPbG
fKl12cI2N18f4ZNRh26UoM2B9kUybf97BPBI9dR2hjpbhoIZ+j6XXUZaHF8f5ZMBx7PJ8jVZ3XNL
9MsCFjlOdYkuXb+xzV+urYF9gYR57kiIxFpED/W9b7W1Mr+brT8uuf497MVd0hMF6gI0xo1WJL0k
/5RQObAo9iYXQ3KafEWUedmZLy4d8BtwvN+25OCfcQH/HezoWrH2spDAmkiRL57FgT1owbbfPnmN
B5tx0BFyZ78zdCGBp98ZtXerdzUmvsLYmlEDUrn45dS9ohRRk0TQrMXsEY5Q+cQO9B1HqRdy5wKw
eDWQL6kOQo41ioUSFIvSiDmIiWEZ8OxQszulJS4Za7gTY9aiNmk8MuSbt8yARicVzVAGq60KgQV0
KIZx7VTEBwQRNmO7PJYDqIoUp/UiTKuV3id/8pSmqFGNb56a9A3hJaRo+EmPKdnJtpYJndeo6WyW
rSRUZhDAOxyMOm619J2Mz6tu+x6Fexia/sKuGiAaQQvwJdYpanYAyYFZ6CBypP1u+qm+Jzs6WDWe
FW6ki4HOJB1RquSXlop3T1lAtqbD6A8rP7LXtqwfA0+F+7ZRClAluGXZdwQaJOaG8EaQyM0bMCIq
Cmny0Ig5qkfE0zw4x8u4jeEMTx6xvcWeuLmzWxp73+iWrs36DhPybW302iKKp62Ymmlbax6o1PQo
HMK0Xeu2b/OfsgKsWFmnHHxcOhLw0pvuCf3s7AvDNua512la3riVPAOvf8Hlg7M3S+6lP9xU8EaG
Ue4onByL0FqpqHrwc3W23fSusCfSIfMrYafbjkMGbgCd1NG3rsD+TyQCppMHZZp7s48w0o0/PcxV
KBX3liTxNvEeY21Sa0f3IpBJgMUUChNAcDvic8+uM2z72TemnIcyddoFlnv4anG8dyFNtBpycUlj
lwesW/mx220r1RLF1wGZLiKoH3avkVBHdw4vebLKrAIkHPD7yK+3X48cH8cn6qgU61h+sSr9sN4u
a4+rmmroWlkpqAUz+Lfv6MdB1pv3s3RxKDtQrrkYAkWaW0YwhdF93KbQMGCYkrPE/f7fnwj1II+B
1sVfdbnoSewUOoRhdycI3Lwl/z8n8nFLxGCCnsKluG04H2oAmT2YuVm5HMKzy3UUdq+Tp720si1X
bSLufaN6ykbNWX59Yp90Sbhyukl3np0DYv+L65e2FjQSCsQnKio3ll4Q5d0H4bqQ6R16XljVeAkF
GZz1rLZQk9luW5EH33yKT0Z6Zi/UDwi8aQFelo8YEkUUSA/amL1x6VAvWnElC9LUYiAtZNM4k/cK
3u+bo342r/3dBRoUlFnTXtZbCd8I8mpI+lPaGeVGD2wQoV1AZkrl+0eg4EAkyRpkOwTmbDDqEAEf
UISvb8Ant91l3vk7uVL8uZxhwjjJR/Zz+qlOPVjEYx2eQtuMnoq2Vldqqu0rwvuKQxdM+dPXR56n
z4u5jTeTwhbmRLpTl13A2qnTIora4cR0Ple2whUaoW/fz4/7sPn9/39Huez5SZa1A/aR/tTJ4pb/
uc275t7yu6vUdLdYi7/bYn4yY7v0OmYzCZs/15zHi/8s7fyJWAYZJMPJgH1yN/omK+ixjTYYF7Qb
Yk8BTsyr3NHwKeB4BhgLgBbBuXdd86DHJbMpu5ut72kkHqWG7e/7EmTkQtWQMBrHHMHYqNLErNa9
167bQpLWyhgij54cSTXTHrS8HFZmq4afLvjkFzNv83c81QCKcw6ElFtqD8R+TNf4p7pzpYceQYE1
iPESnWXUMpPr9JXZHyBs8qdOvWtWiYzC6tPDSAl3JQfmxQA3MQiiHGe50TcsRJSnrgczrB7tdmoO
fE7rGmckgmWwtxt4sfiX25Z9twcIXum887DjLZTjMyfO6qvq4etH67OH+r834WLZBI5miggswpfc
jG9ZG19ZUastK1OmSwBZvxsQdQQyuW9fH/WTqeCfWz8/iv+59Ykb20PhuOpU9nQzCPy0RzF8M2Z8
+jjPAgyMkjQiL9f0BRETsoVudNLob8G6PFoMlBq4S+hdmch/fH1Gn4yLhI1QcXSx0esfDHBSU80g
u1D932nHR6xFQt00z6JEMpE/8fXhPpmuKT971EyYgeZa9L8XsCxFHelmNd2IShWrfhz0TekTG9CT
0bP/+lCf3CvqH5KKNI0ulL4Xh6ps4FyWVqpT3ejufaxF1a5JAKt+fZRPhjiPjpTFmolSHNXGf09o
ho8XQaurUyNMBW0AH3+VB9mvVM+Ng4dC4PfXx/trNrgYU2kc0XCZlXzIXS9Oy21bM6qdsD0NLjJk
d4KgYVmUZ/obtGarsZMrnOcVAqSGyDtKucG0sD1x1DR79fUn+XAr2TcjkZr7sDTKPkwrhl/r0had
fZO5oTiSmeE+GJFOTErlTN/0fj5Oo/OxvL/aSAdz+GUbMdfrVFhJ5pwUalQVkAAUTSmCZ/BORiG9
lTdUD/noq4UyWD5FZjV8U9D48DDxrLJowJKOPnTeCf97m7shJovELYwTwobxZtLyYFOmWvzz60v6
UW43H2ZuAqBxQMVxuQ3GjDDGRRvZJxLoADoEwZ8e0IiyaQgX+qY3QEE6+gBaIkNF72V4GDQCVsp+
+K4J/uF8gQmwIfd4xnRkTJfSAVheRTeg8bv2xuhJRe1t7X7nisQ4w0X751HGVONhK56fYzwwl29o
3Y7ss1j1nvFv36eNto9iz6DuE/VLbezHtSvE2SO2JBbOgo7wItcsNB+x/xJ1lNUbdMkTHR8j7zaj
o1/rnSJnlgqC+8eMm12pGz8wTtNVK42rIm+ihQPES8+pmLXPs5wN/Ny2KeTrxOw2xPXJyggMdNQ5
mvy7cXxqQvzwxXht9N1jGNY/LTmuHcVNcXHvJMZGQ+XXmeXdaGf3uVtcNcLHrmjvhH/VgEyOO9K0
xhxyjriyg8eaPBGnQiM0xps4SG71OjgqHwp7vFZ+u9NZ70ace+I0yzyoIA3YtzGa+2zg8+gDMK5f
3hBtseuMS9dkF56E2zGChihgnEHXwmKwk24Gva4Nl63XsXcjhpHtl5uToaf9cqZb5RPo3Iak+1mr
TPQ7t/OXcfNk9ORWZvqVZ+nPaKdeRBzNy0F4iTr9SPtWDd3Rj7QdbUNM9pCQ6qOt2evJv0rt8Set
iQwIC/pXJMGOQ6hX9yphrTVhA0znSe8BTGnAhSuVrR0o5rkbbJ1o3HBRFwP54hUXmRoMDf2EUK7y
zpvaQ5fpG1VE69iyd5UGkW98xqH7VBrpzi+MZcj6peWSCaURKAdc0SrXNcYgAklWqI97k/RPfdiO
cnqzLAWUNdaf2/Z3qeV7lsHYNIgzNX+V2J8WnIQ2UF6tx+fcf+srQgbHTFvkYfNQY5ebHLnCIbOc
b0rEYyi4m5qerIMGWTS2O88jJtjznWNkZXuAnRJC0lsXOu4qTqAqIRP1jXrjm+FO1ODCK0O/Y9t3
m3XlIcj8U0CwyWQP6zy75sIvO5/kxOLNqyRATPFoFGlDTKv8k4yTu0jz16psSL21F1ZJNR7Mwnlo
sht9ok4RONavcHA2Io/v3Q48qlPamGp0IJZyg098YRCa6jT1FtnEwm6G69ZVD5Mb782BcF0ftlZq
P4apcxaefuO5053WokZUau3KERpQ92jX1nVf+S+JrF8sK18JAemPtW3iSFxnLPRaSidtubS1aal7
7cGNqnvdl1iXMbWgY58P29crZZdnwWIRyt7CKcpjwVpTq0Hlxs0fq/z7GzGOxiA2yFoqNnaq7eFE
rDqXKyHmZK3akG9dDfLZy0nhbKk8SGY6TQP9TB5IguTAJzRuJafk1dFtUIhkBvVXU+9uUz3BOTVA
Ia1Gwn7Anuv+dW1Y13JkBrHFlTPQQwCTqK0nQRIzNp1smtiWXQ9uQKh1dT25+YOvy6tYC8+lPu5y
sGVShGQ6jDwVgb6sG5KBGI7GlH+jEUsadLdJT7qd1TyU7oTYMVw3UXxd8IvwRxY4e/ZdDdmuUouO
IpiDFRMZKsZqnLlDvgrKd+BRe2xcV10SrLycMCYeqwTfpVaHh0g26yolk9pKn6JQgOQazkYX2ksI
AS/zWy8QrsmZMAvZcSQv3kCf4Zz6ONrahelsLep7cOGG+9qPdzlmv8x1nkDins2qeuzYbYE8yTaW
cqEA1SUhFzWk/2w2GY3rgkTUMoKs6M1jG9ShrrMJfqnKYu+BGYOoEUMQTbp2FTgOziW0WjTS3otc
3wwaHCLHhN+ulkNXLTODAjzq6Ym2rKHJK1iWcuGkJvyuIYYLVS/n4c9pIzjB6cyBiktCR339xm9n
QO6EPcOwf0xKg9btUo9qqa5ZDQsByyt/OcT1rHDOlgcxVi+hFMDjGaeyJt7ZRQylrzoyHy+0tN4g
dN8zoeMHxL7QlvW+aZsS8lrOehhbT1ar/WR2wKrNiGhNr/oBHpn3O9F+B4n3I6qrFzJ83qOpuKk7
8Yg24Lo1xh1NJhDBtjYuYs2CqdJbZOSE0/gQZCHlKntEvNDqrNp6Ozl6gmAyjxrQYZA99rEmz4qj
sm1na5Qhb9zgZM0iGn0C1/E87FvbMh9EbNorUUCYQFNEXuI4teWmkmG30qi3NJZ7D3AVPKrmTi+x
XiPOR5KMos1tiEwg68DN/hRFlR4jo40erEjHT0y/ZCFgnCz7dEb1wk1ofbirgApwJ8aPzGvduu3t
chsXvntMqJZecQi1wqFVX9m14z4Qae1D7h7EEGz1VlRPVlpBPkQNvJqKJDz0FFYfnaTpf+FotnTU
wUlyYGnuL1xjZpBNuYCAAe8qHAtgxSmxWj+QvQ47DSrvxlTdeAz9tttCBIUVSIoOrDoSPCcFcVZB
8YDRNZLLXYcM3Q2wpzrS/ohBGtQ/dKKCtEDQvyg1B28IFIPjGJk47hpBsJ0KxvWkMAAuoq4qj+HA
oNmXRfWM46q8I5ecUKptrFS+dCER/KQeGa0HqW89HsY+sjdo2Y+xbmEUYmkeVeM9qzxsMtiHF6nX
Y/ksz4Ph3fTEdvCKHcrKOCqdoDBEdCsofNvWRi7uNb812eckGGHcRzz0p3S7J/QLkkglw10LPTzU
jvU+oRdc4FJ4Rp/yJ8fIOc+5sEbA0kG40xGWEfi5SHWyUSpyWLBq+7n1gzLVNqLZpQXBZvDJqNEM
g3zEDGxpVeK41AF61e06bNO7tCzctSajdwSPKZv57tUaEDhHmYNlE+AU2CJ3UXXeXRSBCpqS+o3e
9VqI4rqQOrnHZh+sEGcAk6Q5tSg697qlBT9NkwbTJX5KPOeQMleOqkeZYXEEoe9xmhwh+KxqQ8A4
DIObHNAmZ7vrERRpRnMTTP6jLifn2JD4uTKnaKcHhYbP13+oO7fbR22arvVMaCu9BO2YzAXxfD3m
5UbrKKL0jdCuPK1ctoN+VUXGLYTqRcLgwpywHgLiHEsWoPM8P2QY5ycsqVW9RswOtxajRVXIrZ5Z
WzTCO2SixCKCPuyLzWSOBAYHJk9sv4pTziXJb3LfnAPbt3FXPJpwK0bm+iDgdR07wGHeswecLkDe
E1Eq1xu5TtG3EZOrbaesfqmFc5UofyssY12MGSsdeys9fzN/n131vHTBkLsnF500j9eywqWSWGvd
935YFXxPC460fzXRq8u6ZhXJIoLfqt4iZ9rMt7dAQh1UzU65oETU78AQx9EmhSR6mBdjDbOR1kEV
bIetIuWQ8OsTkRqI6KNFMUX8U/0cdkVSUGzOgSpbUbDW6d36GZDtIjF+kxG8A1l0wMxDriMFuLSr
//i9hwU6/i1z/TEz1Q2fb17X9wZI+RK+aPus8ROZB7I2yP9Oc4VuLbKyX3nmraKDMq9G8u63oLmV
YNzOHX3plcypoQfclHKFEBWVLBzn0rtVyt+AEWRJsMJpsTZs68lAmt7qxR+gbjd02kC/qWWkTUfs
dqbb7o3+rbM0YisFoAW0eDbjI62gLSWajcmvpgN0IBPHI6mAQHKjTRgkcwiuf6wsGpSB8yfP7bWE
sgG6aFEiuYyzaiafP8WDtZlVE50THbzCO803IWnahzrtadY379VYvzZBvmty49QXDylcrEXeeNu6
VcfUdo8e4hUA9PMyv9Ti90TQHjLlSOpVQOYGUTE2M7QFetJfNp5JXky3bqS59np7N5Tdva3sFdfa
97K9rffbwZ7uDbu+1rz8ANh7P1/0gSq8qUPC8vN109yWIUsLlPXz0tEWxQq80QoYCZiuyb2fFU3T
yAzWBb+HgkDjeCLuGXLUpu+Sa2BUOAMFT5y1HHoy2ngY+7ad7b/ewi6BIialse4BD4KsW0WaDWPC
OQcTmPxeX9o+yZwsiag2bMfkh+47W6nxaALULP1VSG6t5ss7UVc7TQvQbDDIOIpYF5jWmr/WzG5F
K5B1XwuhNHh1i5jACgCDiFQELfJ56xewikJJQVQG/dCYp8gxjR2rdjX1xE0wN7DLbBHkirE+YHva
zAavtGoP8y4UqPB2qCps18O1VyTreWgteSUsxuGCzUduJMRjRuc2T3epMh5IfLwNO7KL+2m4Hh3t
19e1grnOc7F5Ng0THxg2REpPl5vnPuoNs8lN0uxkznzltu8O4SJ37TCxggqLGuWySNONVTEAdLAD
v6n+fKhSzrVJ8IhUDSF1YMj4tyBigB/XnZRUFzmGP+QYPwSi/d1iewMvkaJhH5tvCm0X58sThCMP
WZ2N0hiXi3NRgcGgbHpF1ScP0VhsE94n1Y43Shy6pru1xLDNjD/K/abU//GYlgHu4+9/HhXLi5PU
AtRFWgr3GYLKUtQ/3SJh58IGyxYMCJuyogbQa98R4C4KazNl7Z+jXujKktKBAsra7L6iuU6++qIr
r7NiV+ZPc9CC9M8VW7Pwj4LQYpX2xm7u9Mh4qPrhm1t8WXX78EHMf+9xJus+TPzavU+ADBsBk/DB
rPOlYd3Zqjm0+UHz4hVdxK8fbOOipOpR/qIazQ7No6Bqf9CkSg0aEfxD855gB8E+r4jePR3yJttp
uDALRqrqZSC/aB9UpJ2OVX+TTDahKbY1gIo0HQYQ0gyOLNebq9ruk202+VnIEBYgtqrM6CrFXnhS
TlRfx0FFmzxqw51Jg5lyRheZ+D0LnSDwRtt+fWIf7ivGTTrIdHd5gvH+XDxNUxRUhCU4I+MvPAXS
xlofamkS/E4svX/4+lgfr6FhSddAUsIIRptqfrL/06ggzzYUovHEvRGYYoeF2VoMXuxsiK0CQ18i
6fj6eBjyL6p53DZeUWqGWBqgFpqXtUthw4vobce8r+tqP0n97JEOnaTImbl1mVYnq4r17ULo5bPT
pc8m2Gw/qQ5eA7tGs+NNooiy4hslyYRuQGMn6YD/SNa0/i+70MiM9fYJMA4RsGMup36vlXLb6vqV
VjpHLysO+hCttMJe5LI/pCEWvNxp18MQvgamdz3/BTo36NYzysRe+9iZ2bKcPTv6Q63x77Y7dELC
KXQkdVr+MrrRFX7RfesH64AU71TOpbp4mTPnQWd2uvIhIlOKhKKBHJU82uCaP1mlu6oK8yFDIbFo
x/jWJFIi019F9pMEbPjw6krE5T6KhFhgEVmF8hcFhT/uVF4VmrmJuFoghVf2DJEYwEoN3p3TOVuv
THZkXsIK4iK6BIlY5qqR9dIw35p0OoVmu44ncUizHwHVA58UtXJ41VEROFDeRZUuvFIdoiJcssnf
C/2PHRAUN3o7vZ32OVbqXlj3BWMbCvSdGdRPRmasm/JHRrOx061dq8bl6MpNmTQPqZkfYYAQ45tl
12iz1vgXlnJ6DBLt0XCDk17a7NSzTROaiJ6fJjrtOdSFZRIfIqOAYt4pyoJgwdr7KWmWlIBXbWAH
W40lKSNKHdan2ihWU2NUVyLnfvHp9Y76Uq2RfKdWfHpP9AFQHtc/2lAhJuJYhBMOgH8AFHUPAZx8
m2SljBKi603golOLVAAuNhp65bG080b2UvM38tE6DiEyVv/cyHKDdJQKqqfBzkfLG6nrOFIrX9RY
kqE2pRppLNI7AP84elV9mob26LFdaVwDHK7zJoV3MHXYXLRve7q5ulyHNZB/8DeiYOswx3kazRoC
67kE0LNsY0EPGGkWIehO0z62Q/0YTUNKSCg1lzh3KpbUBtGU7AIqXoneFqscNoxfEMXJs9Cy3ljo
BihyD4mlMd7NV0lm8Ohz75n0a8bJn2mhNnkZ/LQioqKTRr20ernOXYtw5cxYuj64BvZnxID+AWMV
rjCmkopRlfJGdlVzmwVWR21KuvVJZuZzPzXVppgvLVW6dU/sRzHlB6NPHl2zt25UWldXhDZ6qBwK
IhPt6r21c2M/iDw5dB32Cbux1XPYWgNJiaa+hFMmnhRgVZ8YMDEm96ao6mMxuf6dplnuqkc/+2yp
Ev1W3MXkv47munP8etN5yHrJOZyZ50J7SdLI35AErtZFZJrrsK/HG2icUFcsLI93KfL7lQpRsmlO
wG4c35U8iZHG1pZObq6WMQ/PnAMp1YPTuISGxihHV5aI5UuuJLXeOh9Kpto8e3T6iepLRFg5e4HJ
2wubOLDIqs0rVxbc9CL1Be19W8p7YrTcx9oxqClHZZMcxwSYhlNau4otM8Bb/94MmsVUqnUzt3pq
UW26jGC+zKZz3voWSQudXh9qL743vAA2U3CuQJKuSxn/lEZZ7GJH/EKC9mxpGVmByQEw/LoCq6t1
7LIDo6XybJNhNpcVh1reEYz3WgBIm8zMXkat8ewODrCuIuEBFBY7aWIaZWHsJt43WhgJoQiOL3a2
f4YTTIlWLHoMIk334JCSXatxY2eUXgFOzL+gE5yGWDEenB9yzqDxr3K0HnxJ8UQvWCmJtlkiAEEQ
vExhXVeE2EJ0Cfq7XPOeu0i9lFMM8NmmCv476cwtfylIhW+TllJAu8oDFKFcdOwvOQWdasbdB081
tCbN61eUrQn86TYVSbb1QdfktRbX61lvUloHMegr/jccu59dMfw2CpPwUt8h9d3RbqoUT3SIPoFW
Q8gWIwiM5VhtCCd5xH9T2CSQcdlsp+XpfiCzkZcDpEd90+XDTxWXBgsNSWlaX7Xl9XyKdBC3nFRG
r9WU5U+kNktWqEAyb7TqZ1LJG86Lq9GJQw/UK3cehX/nZfl2Pvak11sjGLwVqploPlOfbAg7b2B/
nRBO39V5dLB7n7W9TXq4NRKs4GdExDFo8qlYmkVj+RjAqiXuHr6LEW8aWrLI1Q5ZaahDGUiG+YM+
hxk0zSpvq5U7CRaQctGpdKWT2WKm087mmeNXXDNWZIIdyEti/yIOc1F6/pdYgtaHifBTxH2vMkv3
/DHU8+iOn/GlIHAtGzcg3uiUeeyObWqDqeSbHVpEtkk1w2cqd/xSnqRXuekgIARtpb8aVn3PRjzR
qg6t6QFw2pYvRttvehwA+ng3/yw88PmzoGV94i+Dqtzzp67J3gyT3VlL4utw5AITlvIQuyEpMhKh
arLM47eiArfAD6PKnj9pGIlrvgRA3FZ8FjHErxW5z+wr+GKSL5mCXG1H9jKdKGcQw1wuetJiew2l
ba019UEL3BeXLW1dYgljX1qZ2lra5MjxjzfFFV80Vb8jiN1bUyxuSkzf1UKPSv8GkqFL3yLf2265
zYC1RfaE0HYwjqWvnoJM/2F3lrsw7OyqKwqiyqgm+Yl60FlE6V1DVM9EGkQMnL/rgx8pgmUCLSeT
MGqkG7AsDiIGhxIPs9B2ImEk8luSWM14GQpScMlTcZLpVTETw8hiBNVtyhzudM9a3D85lT3O2/6p
2Q5ZdV1FAatt1XTLmTetL4Y4zXib8ZSvJ3aUC+DDVOkCwlgtonK8dOQ6VDYLNi1NtsqoHaKQ2oSw
JAcIv6WNClQgtoBqmbqg4LhbbbGq7AJ7retTqI9GC8NZRloCouxz7In6bog068GZ6PJ7iGUWEd9b
xl1D6nPCOVrp2bKb9yyKfuT0k5YGpunl0CY/MmN8RWciF305Mm5lPuT9wHhMc9Gt+qG/pu+ev0Ve
8uyO2rDF/0Fe4eBWrFegLpaJUWzDXCZnRxH9i/+fCCjN6cgrjPRt7plUXRWjum7nPqFkI4K2LOX5
S0fbXyfhcK+HZK1vwOXHyyDpp4eqHl7dyHrAC0xGaKdrR481U3CPobVdWmH1Rm/8l2bl771OMKGo
/TcyB1oXsZWZjZDhXGI3QDCR4ITKElRkbecr04hIxEu150Qm7ip3Jm2VkvVB10rVL0XjvRKB6b4Q
CjanZwSsKB1aUttxbE8uHCZBEW9f2HQolunUmDdzgOxRj0R8sOrwidY7hRKtfMyizFhpzClXfeN5
NMbmIrNgy2XFk3yt+0AeFTEE2rYETncdu2V/pFSRLnJdIOMOhLkfTULadVFeUWnuX9Bqez8quwPU
6MS2s3epi++w6IHRNgxk95RkG8NnmDBtoqQHxFYBPZKYSkKMxRgdmkhI/QA/9AIInJTVsMaZa0nq
HwvL7sKAijmbm0HaVMUCndoHjle0x62KNrnKEqo7nY5EuA0ir1umhgxvGJkDBljDHwimhVmxD5il
t7kI8Mc0w3AKgpSQct+Acx5P2oOEsEHXK1HhkxfHRIXjY2TgQTYZyLp8Lt1anVQ12au6EtXvLoN2
ss5SMyVF1+/yhMkUwRxyeVZ8CRke+Sky4+65APLnLA2vjn6G8ZjuNFXFx3AKf/R9+Eev3F+FQf+N
snv17E+Z2y6ihifAoJr2K0obFoymU/lMPUA+8GLVmyScyjfR+8M2zRr5zufJ1rmCtGIks5jPSMWy
Gkwm1KxFI5AnAofNJCnzZoQH5bIVt1HY5DQO45ac4EZmCz+UzEMxyRh6xNyEzfenCiLaF+wsLYOO
V9mubT+guF/JlpaDR7SqYpTyvRZ1UlvdSdpmR3cuu+vjxp11SkZlzW4q0l08txaLhuiVYaw3mYEo
gT4GXeZtIcjnLES+qISGH4KMIgkXsi0QM7I4gvM72iPLAYNqex2uzULt0IEtTcIr/aE7wzE74o88
qqJeZvW0CZOK9TtxbirDotya4W+voqDaETpO8RQWJbO+dhvaitWF05IibtOvIxdQZHmHfSxI2Idm
x96sb1Nf9/gh/c0p4nefzLRF5/SrcmRPGPSoF9S5r0hsK9JD/D+cnceS20i6tq8IEfBmSxL0ZVgs
qw1CJbVgM+ESSABX/z/os5nTc2Im4l/MYhRqkQCBzC9f69WHIJRkAQ7AU8GjnbuQzIZ5kEb9uITZ
dzuBj6q2uE8Rjo5ORd+96e/puPgxYPfg38dX6LsUkbRjw2JjNCRPj457zULrk4BAmDYGV4gxOM64
8KyTsSyvhAF/FFFCgxQeCbpcmplSQWd5l0EVE1t1wcOwqyrjpjURolV4kmtozVgQYeq9lQPEXVc3
JvlzgbuLEtZQ2Y1bu9JgnQE469h/Nx214paad6qdvwoXYmC9TqZ5apnLX/k4XIcmPQ1pUW0dwtcO
gdOPV34OiBYv1Fulo0ffyRJCJdVp/XJRVv8kQw0NW1s3yTEYGjrqQmruohbKryTmXrBnboLOnC9+
QztdiI0FKSuVlpqHYGazXCizIb6uI4RVpjW2GHwkPRB8aVak6pbn2Xe2hi1G8PjAmYOtncEqySra
Otpz78acf3j++LJAZW9SR9V4OmAPv7loHYskPNSLeB0ti/CJ6RpS0RkVtAFIEjbRm2/N3nhLBafF
sR2l3CQjso4g8paNU3rbsfhrVtGHYVI+tjFVM3qxMYoZ8flygPlFq+rS3e0J0OtufGw1r09BD1gV
TtavYpbZJhoISS373yvD6LD7BeV8JHJxhzfznFTpozGMB58WNeLx3sxFH2qEFMQZ3ohPec0jWGLq
j8a+j7OEvbYP/iQjLQXoINxkjpuomTdL97eohVKQ5dn1Wga69FgW6RMk8rXMagbF4aGpYCua5lGa
1AE63e/FU8DiDSWm03wtE33KFnFya8o4yNKNsoFDuQmFBCAftyqElRqP/Rg9lUG9S7Jwn9j5DxR6
027mVdtSxErhkEUSstmyuE1zc2hC5yclhbSL14v5tCx0xFZtl53sgiwpucBWtAVd6AvlBpaeql1q
IlVIJEm1i4ZSt1T+MaTiz6C0PpAoG2DTlHZsDWm5j9qGVUimKnay0DgVotyXBYVj86SPsMtPrnDn
hz6JCpYGc++0lJtWOp/RjnF2z2g4FHyjclWVeTmOmbl09303fMLxvEoRkmGiJtoBm6zZNdLdNx2J
t6F+SQTlYj7tQ2dt9Dt3aj7yyrVe8nqw3+gzoYRrSSwylWGq7Abyiyz3KzI4UIdONkffrJo9ok8k
Gj1HTIZdtyKOkaeALEdMcdkekHYf6PBV2Ww7NL4VgkZ1PAV4ZCHQh5ZDWKta+NfyUQukBYVDyQpK
Ditu6K2aOuuY+fYNVDslVKW8piuhm1rtySQeEqEg+c1wWu1Q7PxIPDqZf2D3wnLVzhQZyqDeY+af
11xrtZ8W1cadNz731ngu5Hpchm5fKZBtgtRjnFsq/MyvCKV+ptbdM3SveTDdh7o6dTnd6SLrr4HI
3Q0LyDbMcIr38lDl/tlt/Mc8m3/jPf4MDOQgjr4sZfPY9Nln3Q1gP7bet+s7ozsHQcng3V1F+Utf
vRtJcwmVHW6SIfxld/TEuTl3D0fvYzQ68aiSp1qKD1Wkbzpr/gyFSN4S2VpbqVkAZ0og11WQxsHW
iEvegSYEXfbh2vAux4Gifb1hR3KSoxOUP2bItdJyY1mEQHFKn9uyY1gpnENE8hOhb+GD63tnhs4r
Hb3Uzxk3oXGAjMyVZQknOjzmXfJNf9wV3fbn3EFBTbj5x9Q7RHx/+pEu0doJqdJNrfoLI8BDm63E
QE/Mi5Uw2eQ3Y6n3pO2+rvc8zCdK3vx9gmLIC+ARRu+9HiPEfwZKGnlyBhkLXuY5M9g90UzkxX0R
7QGI/XuRYo08JdCZ5PgioE3WnNEbe39pPn39D1JMb8hz7m3uvC9+clyCEXRy2ovB3g5zt5P8wwPf
3Kb/V8zceUa5C6flKdU/bE26vFTX0nyffJ+su4+yseCQ1ya1fGc6ZawhA1FuojbKaDqtH1LU1VMK
pEiyHs49+8Ea1SWzmmHjZmhXZic4D5H7OjiS2E/jBEz9SLTfMQ/MTeh2F/JXXnNC0vqU4WN9BNt1
AmJ/ReT4OPnuifav0xqOYq9F30u/X39bUc/HkFUrnGFbvaVALifkh9UNsc0amiCBE9VyyLP6Ka2d
59Ycj4NhkgapUIOZt7WNbnaA+9ZfYv1V+H7HaA4vRZp/D/l0l1jQZ7iHw8jznjTZ5+R+9yrjrVyK
OtYLbvdZ50d/RgNBp6c7GOelprGVqIeNY7fbObVui6HxMYm40C3vOQVZACNW9hEMAXbv8if5HpCe
nF3kwlg9LSa9iX4QGxkKpqGt9t1U0jYPLCHte2G3v4gvQHVjdD/NjunSMsrYlw0VBE21HabwGREI
qquaZuP/ebbmWtYo2nRshAFXkMRJsJxQ2hAY2etXTyIeoenpmJIePLrMenVJZyJNIuIQCqeg9ZBD
qTVX8aIHhErlbgDDrBn30XRAtOEgnIejM/J3BvscjNbDkJs3A5s+ZwN6b3qzoZsj+JUraWD2CTch
9ZUTAnGCqQ++V1yV0Ed7LONZlfu+lHFRmFuG99caPSX9PgejDL8HizpIHdGul/IszRIl2eoM5oSb
bIVDB7U17gteK5m3h9YubzXPhBUBRk9/VIrqOGoPS2cDx1m/HGNEwmBJn3rVpLhh5nhXNGUnYXug
oxxdrrEzAveacK+CsGJNIVG152O81o6p6nhTlvfoLdZXB+/XG/VlJqErX7/LYsJM4Yd2AAGTcPpq
jJvH45nTHbelIJq6vOC3HvJLJdhBxzxdDpDA4lQiht+BrHpnGqSNbeAbfdzZKFqRVn7xhH4iR1m2
vIKd2+4WHqLcMm5NXm1LRd/dlPRch2++Rg0XpMPm1eXBF7O/69keNUjLyvYn0ntM0Ay3k8THC1Bp
B4em08eO+VkQn7WZR39n4JAi+vuPR1J56887rX6063xNpwPbRFzQfFzk3SMnMgpJxZXO9Esehmeq
dB8tCk4GQzxZVXTNRgphhPzOIws8nZNlZf4sIWI2pmFcF/IDemqavTYknlxtdZOzh7iHfuBZCiBw
iKVS2wCcee+Xv7MI/a9JZ6abl2cPvxMSklLyYDSkqgfVbhLyVKIjXWEouw2+BO09W+FV30s2HH1v
PKadYAAxSLsSTwtw3aat1hJeyKXyL5of7slQ/nD4jpFfn5Kc5SWlHb4qz040kIesL4nFW+PNU79j
29zWU7pPXN649RsX1Ix6RbRzc49mwOoC4bo3umAnUNNIZ3gMEcEpzuk+QrEOBZL2MiIWMDfTX7fJ
QgCJKNd02Lp4eIOp6QBHG/IuRhoTcDKgK5vSOLejdcU9OopBiCwtgP6D7gZ75Vmm7Wx68EXmu8V+
U7supBcEx4AMqze9PcjP+/og4rJj5UkgyvRDmRSnRicPA033VpH/QYj0WpH6QGPDbgBZ3/hdvesb
/8Vr20PkW/u6aY/CFNcmHfd5T3E44KZLqe5gLydqDXYR9W6Fw3LcC+chL+GalnkVMC73Ur7X0DGZ
Aow0kdqZXvPuMnShLDHQm9KtjvB1bMVLGpnbKfO+mgQFVNmKeKxy5g0fKSB0dl9SkFqF3Gzjt+MX
u3C0j6F2HpzlNvfqXpT+OVLRHt74D83nn96cXFi+bUT15l6q5cKQeZ2ACdbHTJbGz1pbv9YLofAD
Uln/EoxhS99dbXZnM/vIwwm2nHUggKor+tNUyONktGfOOLvCam7MHmAf5G5nLTBBYWV7kNqjMND1
lCXimAFly/hFUPmBPZKSPBD7jMWMPqT9Mqp3ROYorlHtpyzfflP/sHruZVsOp7KTf5pu+tO14ELG
V5AjYaha53Eam33mR2yz6TO+ky3Cun3msNGk5Su1azXWgv4p7I37pOWRzeZozhL5TZBS/GGuBZDq
x8QuPa/lrPhPMWpEyV8j8lZ64jimrUfaoNKbkO8yaefNGoGp2lXPkKiLYqla15AEVndoNAidUcQt
Sdno+JEKEU4gIvHeN5rNHrNDQvfqhpt3H9riKKC1dN/WINUaoDV/hpNdM//d98To2JLt8+Ap3jTv
VbOpWmb+qwutYoOLX3MLk4/FhBZcM8NZaay/ZUDdGJ7VenhRhdyuqz0ZyD/TzjrppV0IIgBMUm55
HAEQdmVR39vUyRkFrY+IN5jdQ0KiUZkxtjZZFc25rlIU8ov5TlD4dglo5h1LoNJQVNuIxqaBaxez
e2vr1cvAyQYbv3s1s/LWJwGhOgULPH3UOgNjLcObpMlh46riuamycjN1U7ednASDxZIVcV3U5THv
q/QpETBpdu+eplE6m6oDnjZG4N2CX9irkJAH+cBZUyljz41nuHEr6PFRkwkRccavfXUWQfOWmXTb
z+tEUTIl2STGYg6P8l2u2nbn9f3nuuqlGarbfkzjkeoZ4BGPUw3PCxGZgIPk2hhgGIwa+AJEgrQZ
uTDwsaeYDf1wPqSS8lt34Dqp1qyZnapr0JUXURPHEI1fRdKncVdjmRha57hqXkjQPdAigcks+8sb
c3rpxtCK7a5igsPnyVb1o5cESo1Ve+lt1vrZmZxTnbPde41zM4L6zVSRGZNEeaLh84mKHbgsO78E
Pouk1ebANsm+DkP+p/x325HNufX0btKMONUq54o43pN738jLOFFdLzqnY+tGDmAYRrVTQn5p6my6
pr1FAgW8HsAazFD7TN9rh8jyUno1tJf4I2rvXobdhWMzNGDZ/8ptmFiO8Cc3K58Qaj9kjcFyT1jj
nDwaafIIFHvxNZoGdyFzv+VYuWAPcET9vG4IshE6tlrJTbfdRXBmEhbtgE3avraBg+IThefcnG22
nF54Z3+GKtDVLjLckz1OBPW5tIYz8SEh0xmWEb9P6JKSXw7R+ezNlLdbTJmo0BkGqiV6MApTwizq
iV8of426ycPAkj8ndXsiUuhcygE10lzRLw+LN9rZI7XMpwaf8MSrWLgUOFXjix35R9cdDgB0+Byg
Z6X7RYBYjMLkWHCkVrQcM0LTFJwRV4IZ5GG0h18lHSnI/z+tQnwiIXpIGqA5BDy0HAeTG49Zbm+C
tHh1MboeJnJEOQn6dbapo6rZAoDTIA6O/O2YynsZRtTnpBex5U/qq/IlUu1FU59s/Gz9nOd8oGcl
q98QIg3nrFzOUrRwHN1Q79Elvxs27eDWCsLDLt9M/++nBSUCy1IXQ5s8YqPCyy1FXCUo9IcKrVaV
JLx5Vrm2xY/BbqkyKp7aQIISILIcoKZqvw4/mpwUBHOp8qc1CJP66LDgkhxUboDjyWk9iD7ALVeP
zWjJc+YOKEFtsHngVAdy4erKhs2Ddg4qBvvnKcGc5VjwRtR4LX08UvquNwnKXEofEPMeukpNuwVS
6DNKPYIt7FLcOHH5exxO7mEaQhguf1rCv1S+jP7GDwibk3nG3Gw5vKGrRHCXe36xN1yr+eLO15fS
8uczyCZ8WIcXo9hMHLcvNpqh2InK6qUFQcSWkbb3JYCVyKLIPKqw774Gmk93xtpZmXRd8uY7Rnco
UoNTRSIoHzCjel9n2qRqoJpukSmdHwA7QJXRyBtP0MKOSIt+I4fke0yRq3QG8qdiVqdxMijKEV2N
oS4EPokmbZF8PuavBQ+DhNICm2alCsivWewKgrh1ORja+fLEjKQvPRFRl3B0nsNGuDvTDpaX2u6b
q7SK347HXZBZTtIVDc9x7wKizwy+4Jzje6cNAOjK34HA/Clqo2SRXwownDk4LT6azLQ3i9ekSQ1e
oGg9xoq8YrkbHIqY6lzvU8ut0GLb8++6UP7RaarG3RDtm4e0iunpFoK1nwvTSac7bnGlHgFonWQv
8UyQwGwxVhfgUQMb7M5Hj8p+XP+BjxAPdWot9xDqFtsUDaNWPfUv/ZIFf6qqU1jugv5bL0Pm4n1a
mr0bLNFTLtiR0TX0esAUYyLztLdk3KoqxukhLvOEDngMs/zim53e1ck0/fbIV7b21ZIZ2a6MUufU
+lM07t1o/hgcp4CzDun4XWxbAOekHKKcriRMgIc0ZRgjzmgcg8/Zkf4mMezhYXI0KN0q/A8T6iV4
pFP5NlVmcvJc3TYbWBbjptRCwTjjIYCH8seTJwscITzX82sSIAKDqFBvok3d2IXnefFSuMsishK9
lTL347Ds7xWLq78tuoXyd1RUN2HUAy1OjYeGmCT7bdGO3l0KZX8vYSPxHKQE0nJld4cEwAxYsEq6
6tJqb76Mw/jl1WiXSOhIh61BahMT6Vy35T0Hw214aVHwBKu/CVDS2CC3UnNcTob9XS9W/10WHsmY
ZQqz0QamfCtJorOCzN1DF3nMI6W/G1SEWDvLFZLfjliIz2Xqfi0u/UOuaCDBEuXjVgKmNw0NmSqW
TVOk0ZboM3M7WkwUwgDA0Jq6qtKu6ifDXVMVxpSOQRviYzNR93VpkfAvm8oU/lEliVdvuZXBc23C
AI8Dy2ijVL4D3MxIrAOj3luJN96KsnSNXU6vZgY85RBw+syDZhz72SXdyu2alyRb3PmiASWiHX1S
BPSVTlL/MbQcnzmrAWAwZFjMg7TdbUPpNts+H53PFPFLyajM9yA4BU5EwkkTXWS4m6Ysi5MHRBEX
Tj39MltCz3H0vnsjYtZYTXnXQx4ZHC/CNER2MUWEannD2MaIuca9UD2WHrtbTkNriH3d4k3LTArl
OzdS/C7KPLlNKb4lFgr/YJu5EwdWNwE+9iWJNklzgvxmNHNNcxe1SXDrSbb+mnvtfBMaFc0M/AXh
W6Wl4LnZIHr3MPsiTLYzhsmNrmWCu2IeEYfWr0bY9++pYw8fQi3VxR9Ee3NbDrDC9cW7AfOLICFL
srtpJ/1r6/pjPFtAiDqxEWEUbJcvnKaJwXQl6U5pWH7xdnKcF2QGRF67BmVw4NAqMjbQjD8lvjwW
QQupb+m+9Gk1xFPYYdHso2ZrNc53j0v31supNQFDhp4hw2CY9UNX/JoSu4E7Cdn4p6aoDjXg7rYt
5mvuY9OtGuXDGOGWrYoF5WBSFEAC+jdyg68yiv7g4IcALXEj+amsH6h6da+j0/0yQzVjeysmYsmK
Gyj/X8LN08NC5t22mzjeGSzF+DuX5Mjinjyhd1jlHrmzMxqzvJjGEl1wUiCZySaSxhA2wHeCcAY2
vuE87MQu7zJEWEkf/XDhB18o9iHpCm3rjq0g2euCVBMZWt0mMEhWhJUHVmehQsnIhF27y4haKITR
VTOSOg3tqQ34yjRXRUz6oYeWgPrmTW0QJF+sJ1DHDVdRp+VTgYjI0U0xU06L228KxZUWTftnqJK3
iacobLK9pez7lCN1843YsNFoofTyivLBB4LpXAtytL+Q2vLu9SQ+uq64Qeg2MBXdkSc0uBS0QW8s
kzLCvNyBGH2AhO1aYtCYhfLvaSierATBrDed5nG5o6ta+YzwMTCnlqnGhJn1i2spwKaIbbuSFvAS
4Bnx1PAO8/9a2A7N8RkHcOlfTFV8+hygoWDMXSjls26KeP0DHIePtWn/yrRzzWQYe6N3CTRCPrHa
gwD1smq5qKJ6dDrnXYe8Qq36HNR05K2EI3dP4wjl6cqaEbd9DTp/AEmz1dmRS78JmF/WMsu/v8Iw
IAZYcn1WRrOnzotuCLpvreal6HNEqbOP5zwbIR1RhVK38Leuvu2dp0kYV+G/MVd8q5odmF7iP8bQ
M/LmoohLXnVtoZxwvXsqCQiY28JmkshljHoIeg62bNXipKp+8WfvF4rPzYT5zZkjUgDyo8cwIZA6
gdY+89D8KBJASNvWq+ZmWxiAcmomwMd8X0gnUcZyw+j5VrX6lrcSUtqKrXz8Objd7yE3PtJ+omYp
quJwEVvdtWcGHLmxB/M3i8wxn8SLaIxjWyxoDAOMCRiRV7l+5hG8iz9GQ8Xl03RZP8YcMFqvy18D
WzQRaRavX6hcQIWH9JMp5y+6asgX1e5xmIIf698KF2oOnbzaUSuBtIsaerzc0LLgFaUcY4IctqM0
btj946gHehXRY+lJGvIAptpk71bjK/3D6K+tfisaSJChPbN9GGxu2Ztq1XWKukd/rjlp9skH9Vpn
id2KGtIjOZ4bC3i/TkPaxLoPIdUD8SgHKdhfw+gHnXsMHsF3D+64cTtGkVDDTDT12Q7ncyOn9xXN
I3A0x/UZPrRzL4+yM/csCNu+JxO25oQH4+B6CWGG2rkRQXKh0u6D7MiHPGNgLF1Ezk4W7KxqOS2l
euo6elTZ1uxD0E3Py4p9kM75RC55bE/tVxeJNcDbrTOOwk3zXni6gWgoP/vcPJZ+/egNKa+39ZQ6
8tyu34nkQOIELgqRbxv5+6iE5F+l3D2ByitMX/v7kUhYSwha1erkwzStOwqAz8gajO2UOkBsGSt9
k/jVHtwgelAueo2xGl50mVTxKMOPFGcZGVDqPZixpUeugT3bNZ7wTrSbxVi+Myf/DmwqZDXmJ6XG
U5V3O3pSCCkIn3Q/skRXxXhCyvsjGzQe88y+FraP1tMniHfgTfe64E/aMFArkXzazpwizK6JFAx2
bUJlsG029oZ0x98VcqijlekjZO+xzpP3FF3dZhpn6E0W8gd3zMSBuP/qWLpKYgfzn2rlP9ZedEX4
F+m827adPayKxDAzLrLNWXmagwmX4ScflXB2C5B7ygJleeGevxl76AojpKJSdjvCTJEN4a1eX46g
n3Y2WREbr2O1DPFNonF0ceBpFt20cL7rYd3IbWiA/MR+HiMSP0wFVv/yjjGM12XZzyay2cw5r4+3
AZmbC+86yZbDMeCoVvR69ru+g7kOvLiwvgjM2hW1haePiETXuSwszxj0Vmf+DL5ZCI0nc+GkiP8c
dWaIPtWnyZc4sTtwbFRlbFgvNRoUpO9rqQPI4swvZoTedr0Tdps+9L21kabzGkF6oE8tT/SvXiwj
usoRYyFySu09TWX60WFB9KJqx0BJvV90IA3jZXLAFhGLcGADqJ8+vCLZG2TyTd5TbTtPgfa+By7G
VTW0ik0mTfKhQ8TqZs5g39knBe6eAtJjZtt48LRK9ycZqf3qQQwqQFjWGi5N9C071HvKgJGGkmTN
91VMTL7Yzhybg6fep/CzyzEtW8NRiXCP62eTzKQFro2lVaI5ZLX7GXjLQYe8/oNcVYl2Pxw6GDoE
UnMmn03bOVs5sZl1mJ2zUJw4rcURaTpDYNzxDe7AuS7EZ67Zzacpk3fPLq7CfGIv2aLAzVGR9u4X
303VD+uXd0cyocsutqgeWO/dnC+nsXmyMQ/XWX1pR4sUVnTgqyCrM76MKYO6LvatG/1wevtNiebn
3HuPKDc52PLL8WBwW/mk9Qlb5dJsJc7SWgwKjbEPEaYfq5zHA68FnXNmgtMje1nguVe3JPB/RcyH
/jLr5E9gmvseNrMCPdyut6QSQwWv2Xe7UNh4had7ayxfg3BuziwOmqM8SgZg4G54KpCz1Ka/7Fx8
U9t+NB5mjdjAfzMGf1cX86EMw2tnNLG78M4ug3nM2KEquzgEKAUweicna/FfqNjkFwpmFB0a5Bhd
Ma+JNsTRgCIOey9uI8StjrlBg5GST1DsorL/orX61GLmGfIyVmP0kPRMHtxxAp/q2JnlfsUERk9s
54ndXnb1TzOichTW+yR4eaYp3JsgSGzJN866L4PnW9DiOZha41zsFbrim4z5eJzG6FaYIda1hSpb
/gwf+sx/6WXgcdnOgodq5bvgeGI5y1lreZYQMhY/reGX+6QVe8u9JRGmX69pr1UUIUgOQGtxgk6j
Sc5PEuYnwub5przFKfYVnWX7YjD2HO4OPEBVi4TTnoLL6ofqu+zacCpmGLxwMnkcmV6G3sYDEO6V
4xyrrnrQ/DtlSyoIn71+r/XPptT6UeM6BsyGYHZQbA5PjixOCffXyah5nhfQyGLHH3tJFEPLgyeb
u/W229zMKE+hXfAmT81LagbPvmyX2MS/sVl/g9ItnyrWOwQQD4VdnAYeqJwLMMzqJQ0hpkpW8oJ/
idsqEHkvjbVXmjQGZ/n0DfEQMNBpfqol+91QVrHeh/VOR0Z1ttwXUGliTRf9hKoMcxQELupelrsZ
tD5/8Z32YADC+nxTy3bP85DFaOaw/5V/DQQaSUQIZem9B9xgTm8Q0IzwGXENUU6u+KoBFJv1s9d/
N4CtMluM6jiMIBK7rYvSinHtKnAlCIEOzgYHAPBg3C3Fb2eqf1b5hLh7OTLKEyiDgiv7Q0bHarNP
KnkulcaYzB4f1o/ltDd09rPU2QmbCsKIzzYI4/Uvr2Zhxd9KaS1H388Emj5VLEk+pc3sKjmxx5qf
lwN9nPBmWRzKVKZis8yfI2uB/kLEh7ELMxAaDJe1N994aLnTqgEnB397bCtE/TZruwhEuWk6gfic
n8TVGeka2YWj4jkolSByiWXbzc9GwsSf9Bmhv81rk+NTb2rj0i32B8ktccDCbqr5iCgRqNC8VjIf
uX1E1XAxvObVFZGGu+G1xlTeIs1ZBo31g4iKYcneSqd6HnN0ugZYjfasZ4NL0HP5h3yQQ1Gk50ql
M6elcj4VmN5rgIu4AC3ZzsK51pN3hwiirJ79ai7k4+DVby1pKZtu0l+kOycN62B4axGgCYKU/aa7
tWOCqBIWMeUWB1wdeSxY9Uf3VAwmpH3jHpwqDzf0Ed2cBXdZl8cO3rCiGw9MjESnQKiNUnwmQetu
MkO/lKO8eTp99Lj7IGMlwUay/4iCYTNQ/J1Fto4TbDtb08sh1JjljmPdv9Mk/ymwggw9WVzCsR/o
J/hqyatoOBg29vKRp5IgyhDyxu/r+csr+nsToFTEHQrqqLrLGDREc9IYPtlvHJ5jJ5kvzC5wLd3v
LEzJQ8ixs0GUPAlPX2ymFNRRv6O0PPpu++nm7iNz/jPZ+f6mzbB0lOlbupS7wnCeIqlORaEODJyx
S6wRidpHX5YQTBOu8DBpKXQIt2mKXrWDBUaBzTGKMsg9SF331OHXgHv/Pc7VeyKrB2XnT+QY7i0/
fa2M4aRzpDciIX+Kiu+HNZVojeVwG3YIzaodDjS9D1a7D6IOuNDlFSAM2LqavExQOqcVRDT458Q8
PBfzMJ+U0hIvXUX8sK8Pa1iYLlmtC/KjiILxYLbBeTal0bebokor9J5IcAjo+fQkW7kLDKlwP2pk
SKOP8lqmr+SF3W2pEeuWRLUNlpIHzkPtdhEWaT1ueM0bkB/ZmvcK71+oB950vwZuqYZVV5Js66g8
ZV7wgbvykipBbsx8ayYOm956th5g/wF7rRCpDVobrbqnYJmuKm+2gaEQuEaoCWzls84lXUsStnqo
SJbe1LMdbeHV4ryTD41pHnsv4ExmPXD+2VemodBGDc+OS1IajPV1EPZzY4zPDYkQ5hKBZjpHUXg7
O6AwMBgJTrfqvZuZJ2Na86IAtKowhk0/GGRqMkaMdkBoygpEF+KmkFNbvqTogW2HXnlWxmqTB9VR
ksjCajoQ8cOXLpu4sbI/wWJuWv8t6uuPsreYvsazUOW7W3ZvNQE30En7qSwfsny6NMQV1QYBxuxG
kp8cJSx6ribaccB5h8S9zgP+iY4x0HLtk+YXkhF83Ip/BhzNa0LKRNQfBp/eaaLr6IneKZT2GzOS
d134v0mO3RmmzrcA9acMzbjflAdZeMfIN+p9ZhPN5GJXsVM0xb19zQtk4f/Z1Pxv9n/mfRukzglM
sK/A/of/3Uq1345ZNN+LDBvhXrW/0gyF6tLf16vKElSAXfP/8Zm+GWCA/59Uh38Yt1tYlgyfi75P
CNdmwUOf4u0vvobcv4iMtQHzzzL8F/f2P3Mn8W4TCR6iJQ+JMUUltVrX/8UuPulx1V4vw10U58h6
ab1PrhdIG+mW+2fqsj3/l36/ZjckYMnv//k2/7tXff1wWDmXGAvK9/5xm0NinKpUOMN98tK7i9Ok
KJ+09F6HYo7/8ye5XMa/ZGb8fZmuSQw3ZXVrbPw/PolygzDzIjXcGUHUMyeE5dKr/r/kN/z7U0Oq
pUnkrOf6phc6/7iXfam91AO+vGPLsyRTNYbB1c7X8+4uDdEwLSph/V+ubP1H/3FljmO6vm/T6xha
3j8+NMlK2Hw9dndp5MbOqVHHc2JFydg7y397WNa79I/P8ggqXNscA5pk3X/kGCgjG0QQJH9foOcP
GBKHtzk5utODTbdLu1cGuYmmy6pzakZ30zXzf/kG/8fF/q8vsD5Q//K0FqjCxz7LeQ1xE2E8a+6l
X9614v/85+fl//gp/9cH/SNzxEEPMWHI6tbXAtniYaHIx7QMTD1IbYcHs3Djmjn0P3/ov8duhN7/
4+y8euQ2mq//iQgwh9udtHkn7Gol3RAKFnPO/PT/X8sv3meHHAyxtgFD9oVrulldXV116hzcRlYg
6VdR09MmXpqUahqPtSRE30jGGgMwJ8MTkp/A6yM/DsV9ylh2zX+OGBy+bvvignVZZ5xPFwQvkwVb
MrRmhs2CfWcHSo3yRbev8+gxyR7Bhzz3/KsB4P4/GDVkzqMIQLY+Wa/TBMyKZP8aDVHpcJv4ewpW
UW2BvmhgzILvSlotKOfMgw4BVlGg24XG3WCt5z6UUsK18rgYX9E09n8OmsJEptx1dyjRmBL6I1a2
sLUXDGqqrjsarOWKaU1DrOmMqFGprfFa0F7w6v4L/FMQd/AEd79c3895lIPz44OlyfEQuvVVYXbG
q99mxW1YJM9SqCQLamQXlkOkEeGGnr4KO+z5/vn0G4zEy5lBqrriblCkH7YBmatpNjQYWk1lSvz6
qi7cUVzDmi6bVFJ1ZEwmNyNlzFEGSDK8MjlH0nqUU+MhkYNtYdgh2Cp5FbCZ0bDKzYqukRu9QxOw
uv4b5oFHSKmqKtczim9gFM8X7Wl20qGIRL1a3uItaH5FL8VIZnrdzHxvbQf2RsQy2FyDbT43Y/dM
WZpFkb+iFwEhBR1M5sRdbehWld4sLGnCo8+ViIwyZ84xTdTa1CmNlDsoZBuUVF6ZyLUZt3eb4pZh
SooI37UwplizJAk8DzHCIFocKvMkjmFNDl4BGgCSHL98BfBi2zlIyO/gpm86sIe296wz5Z5lt9f3
c34gMOlw7ZNU6ZajTy5H1GcaF/KK8lX1fyO29g42fUnAam7CIVWERouSogVz0cRE0ScmeBk4YXIr
/u0Kgkl1OH52FahEcSmASrItLvrJsda1Ma1KPS9elR4oNXUXb1cDgr1uZO7h50aEu3y4Wuuh1eXC
TIrXHIHr0Qz1bavHTKep1um6oUsbBvqDFoqsyXAiTdwA5njeyRGGutCPuVCDGJhR9/u6kdlqYMqH
c8nQoBhnuMOaHCSzyXINjsj4TU6q38z/MTJh9zKzydHrZw0x6odktIxgjTmXjS/qCvSlnZZvTlHt
pBF52HB8p4J93cosLjjckg7US0RcTdOn2qKmMsZK23QK+FrpJOn3tJq2mWnejMYC3/58384NTbwg
h/ahV9tBeR3av/Ce6EdGHaQuwyU5CPE/OkslHYO1qMyhagrvq7/iaB/cLdUtV2v0HLZW+x0hlVNb
riDs2qqA9AHW0mP59AaemVPPvTvUTG9sc/g4M4Y2fYboNyiOaRt1jOkoyXa4EMdnoU6sDoAsCtIi
1CmToOD2pgd+0c/fcjTaAkRJPSZx2lrbwAaSj2+tywUCieD1Nc7vSaxSVNDwEdOkbjNx+rSC6dSq
y/RNF6xB1nvg/vGKng2N32CSuZFQi5HyHpKrP6317tH3vG7fuuA86N6aOlqlLFu3tPNNzmBgH5TS
St+KuGJ0GFYI5sepydd0ubSNIibMFMlfuXFwzGWXcsLvWgqylW61UMboNv00plByL+94QEAJDIHp
VnXgtvAruodQ7ypm/1ti7ApC+OSm6szxLkg6mEhqnclfjxJwyuiJmcd05VvrdyT/lrovJQMnYqCz
l4fHTu12KgwtoIso0fqw37bmV4W2vwU6baV4Hi2jjCH79IE5WFHa4BFeq96fSh1OHL5fjD5Funkr
xpUEJ5NAi4tWYxhTeKbWKMXVvWtr31qX6dqYqT4PkT6XtjgdKYgoalf5FhUNwzGVFu9Ag35n+IvS
c/6ryN3DAJ1HGrkLx3kWa4myRCdEkkjqNTLD8y9Sqm4oeSpFWz/y6kcH8dL1gPDQQkZ4yYrJFYtu
BcTys+QoyMDKGbUdvuVtmD65g8S0fpT+WfCuWcAwFV0nL1L/kgPak2tjdA3QWFldvAWW9l5S59dK
iMMrKnP6vVFm365bU+fxyUSjguRItWWh6TzZuU4pSkeGR+VNfOHUsG9DWB/Dn3lPUU5gnxxrnUdg
pTLCFoN6NPJ8qvPySwu7jAEuDToYGgqOaz17wG7J6+ibfAF2eQPKmoI+8dvoIALZXv/Z8xPIr9Zo
2+gWp5DQc/69C613mDyusrfBivS7cjBEfzWMdvEAO9d1U/MrycIQEUcFCcArahps1JF54tJ0TnLu
MXNYf5c7C5A5bYsYlMXnbdmOZpJjqbbCJXi+LABbUho4g3NqXBR9E/+lCsdHjZms3igWLor5d4dl
lAwV0k9TEUXqc1OqrpSMdevOqYO1g+E7qNIgkSoFqRU0fhJ0fJ9eGvUUsgdUX3gbTk8oFPkeDbTa
PQVN+1wjWAwObjMazdrUo5/XTc2dAzsiSUHgRdBDTpaWRaNv8Ag3TkYJ1LhI6hcYTISUV7Bw+10y
ZCmUT23xPHTMyT3gwONlDYWqnUBojjAQRi+OKp8Y8liq0ijiJ59nETbVA0vXdVJ8vHCyJEWNSinK
De3E97xPwMzzrfJSWjMi/+BBw+NIFdQl9W+QgoxSLdVrLqzz39olrwvKYrMj4LVamqaafTKZhUan
gX6NVDI7B0ZwqfQmotvHhWrUonETOrbCUWYLhV03pWLkmpyAYQepiPBJJJQTMpdI1xcSiem6/hrj
wUGNjwyGm+P8DMTVYEJUi7FxjH616l0sV49t5+0+547CClmKUFWyTI3J93MrVWlZSZ76EOZJLl1w
6cXN7FWpaJ/1xr92+EB/BTBpWU7s9Do8i8kYWSezihk0KwnZoGZhjhdTSdeXdOkrUUQn9uq8dI2p
Q0B5BXGTxZKKIUF5KAPo6L5WVfgnMa3HwQfde93eNAb/XRpaSDAjU9I2pwmXVMZNoQxiafUWiMmv
uPui9VCk9smv64ZmlUksUX3hSrEgtuMJP3EJtD7aqGxr81QyvETJ10qfYA/YMrdluvDmF9uy1V+U
4HDd7Hw/FdovOCCZBZXtadWeATLPQdyAljH8Ll4/POnGI93QDSQ3EoIt143N0mcKr5rBM5svZ9In
mHI+M9yQZCAu1FMA2WqANmmv3hXptvVf+afWHjgJkfTTaH84w8I6pwnUv5YpLJGnyaIuc34UUleU
aLJePaU1fa1MYfBTDuSn6+sTfn4WQhR0ciGO0OjyCH32ySfU48wG7C7HJ5jfwHcpXngb23V0ayVI
2X/alE2bVkb3lVI2YmLn6xnjxAhkjtsJ5jeGkk0JOi8PRtVIWhLhm3kIFUiWhVA5txr1yMkFoPcV
bCkD+lFRAD1CwitHZlRONgwI2el9h/knWzyoF+pUeygekxRasxPXeXGoRJbJMGwFEhbyuBuoCSvw
IeBPSfg/W3YU5jh1Kv0kXnT2dCNzOhBuqCnJEYYGpjURzdCa+KDE3YIDzreRx8HfmEVkB+U+iZGJ
UgZNhmzKEe68n4rG+G7nvLgS8xYxgDJLWzA3d0VyOVHnpMRpOOq07q9DdtsafuceQy8BfUqerBr/
RLL72fAocjjUd8lADD6ZI1b9ocag530NXAH4OmPYK0vzf4DMbWrmGS1YVK57/Dx4kJY6tmzQyuCB
YhoTW6PK/I+VlPmpHmGDbe4M41FSf6s6vK7KickPQCggk3kZeEqxCVjydfvTtFVTDPqjQgyANABi
nsmJyyT2QEuD+KTJLXM9Zdc+UbB2mFygRt1akrKrR1CnXeYvXa8XVm7wF81bNhhA7rQf4JhD06uB
zRyleUcidDMEICPNDdD2YhC5M5r2tnM3KsXO0LyFksMscCok6TLZs67QsnKmF0SbO5VbWpJ3Agm+
tzxka0t7f31n574qTKAbbUJhSJ13urN1L2Ujo2On0NnpY/UlKu4Cy1pQl53fr2IhzMzhsYbohE/d
h+atnumhe0QlPjYBPvuIxuspqDqY1ZF46VGfsMltHYfabP0aytnx+jLnDkRXjOxfpq8jiuWTZZaM
s9e8DfzTkPwDyQLfEuKJdTncBRESFvZCxWAebyBJQtSTmikznkD2z0/mkCMz5VVDfIIliLkh9TY2
v8NTiX86cF2qd9fXpqmzq88ywBgQSXXoTHGXc3NGbvo6RZbkqEpO+w4xfrnLw0H7pcF0sRtGGZKg
UTVXbgsmecyD8tQzibPWQxhOx6aFsgexPaDMGsQnlAXeSF1d9MhSVH0cpzy2sZWu+yHsd4GZh0+9
k0Z3hpT7D5nLvEvNZkP1q5tMpcLBjkyJtmoqO3qAMBrBUilNgC9m3vDpi4qkWrPI07n0DfNvre5D
7LO8LKttVcmOaVp/BclyA4zyrTPfwfMBqg1uNaJvz1jL9Z2eJaQoHFDMFVUaS0PHeJJjWC1TCG7R
yQeyq8dKYqbZABJF8yyBCtj8ed3YzGUxZoPmMBUDk/q0uWN0lVxKVqodwZG9aXa2VstorzbxVybl
3wZovfJuXDB5YX1CwIFHi0a5a9agh7E/hZreao++ASUqNKnmDgSNswESzpiRDF/V9SXOzolKqiKe
tzpVZO6Xyb08GHlJuaNUDsD5APbTNKvDW7ix7rXmB3pr143NIp1KWgMWkTCuW0BYJoeyM61OGRFH
O9gRbOl1Zjw21O9vkDb9/R8McQ55SNAP55CdH0cL9A1jxmVzjN2oh6mOCfYyUwvB5uncXDc1v51U
2aLmYRO4qYnxUjq3lXuJ1QEO5Yu16H5VziPyIZtRd/7xfOuujkaIn9JtV+pwWHU3bd97N4UdLFRh
L2ysTemFTINzoYN0Ov8NGWXEIZC15mi2dK2NYnDuEm7irZvn1ub6eucOo3LW0eWhfUxLd5owZloo
ubRTsgONjfS5hyPnLqJQBpS4hZQwr6vvsh6gEHvd6vxYCKscQtp5vNKm+ZyiZXKQw3h/UJiBWFfB
O9e+HPsOdZjtf7BEMmzwnCeHnFYCbTOomMrs9YNSwIbRJK85mAqYOddy3Cxc/OJSOHsvqSzqgymR
e3yIoCFjkVqGmOS+LoMdc3Yic4Oa/9YkeSTfIUX+aeTSwk6q8kWrbKZsqQrCKhNfoX9QFxV0mAev
8r5adfGPkd62/h/jzWDyUILT0RkU2KxqZBb5SaLGPLgqsiLxOgYEEZBgKpZrrowGBF/sxv5vpcq1
hag0K7sBT2Jr/vcjhT982JoE8hY96q3kkEaN9ajFMZPGehrfZXmMSqIgOKz0eLhTHQttPVe2IBCH
Mp/Ki7y+7g7zk3X+QyanW7IqTfJIuw+dRXiMmh1Yu5UUGQtep8yvGuzYvM9NUTmln3y+YJhP+t5X
6/RYN127ItLka8VxmTUIQqJHT2ovwSkARQ/Ez3+yQQI2HsUuEhM4S/Schnn/ysM83Zm6ZL7EXhs+
pIpTHtJEH5/qIk2XcCSXfJfHCHVs3vnikjz/vV5XVUM9GNUhgwZdhsqSeg2uaziQebmglWEpH26v
f4oLW2SJsjk1X5k6xhRWBRuIHmV+kR9s/StElEyA0YYrnlXoojMmOaXPVjPA4uhIKRmkg4Aipudk
9GTfhBSiPtACUowDrOBJeby+IkVkK5MIICry/2JHwDxOiguWNBRlIVfyPpJQvMiyrdu8+Um+SpmI
jCk297CdKJq68oJfpnMXF0ihQtd1/UeIKHP+GwB9sEKVaQsqQ9NMuR9UNaFklOxLRb1zouEwigHU
6zbmnw4bjoA7U2cDoSP24cNxjqH36doGEqpm7NzXFrKfVR23YvBMLaR1LvvqTcnY5bFsnHEhyM7v
q3PTk0jiBXTQ7cYqD1qu2mtk11paa7Ct9WncPqqNmVA90ryFS3J+OjSe6bItEgMKz39P+4f1Msit
tl4WVQeqU7eDbIqjEcERFKu3viKJwO47xu76Hl/6jh9squr5HjceEmZlLnkHu0OjODW877n5+Wh4
tq4pat0sDIbFYlgqRye6t434mYL3q2w3C9Hw8lIAI0FyS1o1u4Ml03XhFYoOfQwBed5tPMYJr+/W
PK6LlfzPxGS3xgpQmNmM5cGsze91Yd9XPcjiYuGbXPJ7kYWS7VI51KbPwkxVIBLN7fIg+P36QN9m
bQPjrFxBBwq8YK0EAlTYOj/+y+L+v1lDpAAf3I/BEvyyVdDplYdgVZlxsSK1QGgrAC1x3dSl4wW+
D1gahQUk2ibZRKvXrVC/jQ5akN27JlxspuKe1Kbb9JL3WkrOElbzgm8AruVFL2YnRCXjfG1Vl7pd
1bvZgSFzQedtoOheFcOX68u6kIBQf6WkRRWBe2VWrZDlQA9brXP2dts+NEEBq8iY3w9a+1wZ/nPh
RCc/UYQuiL3xZaQn5CWsjYhLk7DMBcRPQASTdsj07ZkVVdvAR27t2yo9Rqn3JVJ97ghvoNqml0sB
+sJxAPoKAYVJUi9r0zJXkWuMjodqdoCXv4YziHG5cAhuPbNYwipfsKQZZHeGofKiJkE7/36W5Rt9
ZkjWvlEaAPbQHCgujP1+mv6+/gkvOIrG01ZWeBIxvTS91yKJEWAbMpy91BjVbQPD1x0EU/HDdSsX
lsOVZojaqEz9bvr6g70cspyCcVdAEfGhU3L9uewC767uoB9cOGvKhSX9xZlSRyP9mRUje0UfqrZV
zH1H3ZnxnaT+GTsglBPbhpNIrsDsO6Xvr20mB+5AArWPgEzCg2pV1V0Jw8otZGIQcUP8tL6+C5eO
iwl+AjflstN4Wpx/1V4OzTR2M3OvFJr6PQoKHfZUtVnZVoTuO5jfsh8oULf5A3hKb29GvrVzXCNc
yGUu3LtUqAWchgYbqdskOBSMQxcAyLpD1JM0jYegOwXuo1nbNx46KIp11+Jz15d+yQE+mhTf7EOs
TciyLRuWuL3koJFj5h0qW1X03hWMc123NC/hgrojzAJ/IqWgkSh+ygdTo4RiVksrc+9k2YsljS/l
GGc3ZovqTpreEoZ2saw9JjlsrvDyv123fiHQU2EQYG58j9fxxLil5TAujt645/FPYqoXPbzKcn3T
SJBx2dlTU7Tlglfp86cqg2PcnLpMw1tk4ucLZkSgLCs0j/ZOaVhfjUTub60CXQjDzPRNr+TOytYq
Q2go6isjQRrlJkazAc7koYC90cn8nTRo0apUlfwuayGaiIM2YuRcYwK6iOO70KmcjRf1wR0fz9xm
NYyzUdMy6m5o4y9HDxiRLUDdGkqpI6juq+tQHuCT8nvqsYVWu2utlq3HiEoC5EhdYm302EJsQRng
VTNT1FmItqvY8uSVl4XtQui5cEOIq0HEbNAtRNTz3VFtB6aCzjb2slLxatf8b2bl3EJP9RXGmc8i
UdCDdjRw7lQIqYcC6j83VnRmGBa6qx1suz31WcE0/GBmK1kJj9f97ELKBM+x+EszmVGaTpt1luZ2
7ujAh5Do8U2R7R3/V4/8xb0jFcUeZQJr1aWZvBA4LrzECDzsJe4G8TvPy/P1gUqgnNSY5h5+8vWY
tY8onKw0GSap6Du0fwyv30vGK4KTUAYHT43zIx8W3psXgju4DhxCo8Fn86fzX5A7yPcW6mjvga0o
zEZ0f4Zoqdp7oVip8/8nr6ZFD6Jj2mvqYru0gqIw9ihL3dVe8a1Isx/eWByYXn/0CrgXdOl2iJAM
KJQv3Jv0aJRyIY6JhZxnNjSA6WNSXaPRTYvgfKFpaPklyEj10ENge2N3xjfqtd8VtV0qdc13VAeF
QAqg8TfDdhOftdHvKyHCNg9hUf9hlPgHKIvrznppKQLIwYfjmTfLEgMjMxuoR8xDZCQKVOZefIfm
lLlpZLe++7wpNouapEapd1Z3rctiCAuGwA/q4MtvUWg1Rzp3+YNk+8mCJ84Di3ANalBCe93gXj//
QK0zluilAAMI8+AtzQqIWgThTu3sZL/6en1Zl74R8HUZyC35E6nnua3ctOIUhZD4IFfDl1rxn5LR
u71u4tJHYhgI9BwJAY+iib9VRt8lSV/GRwlKmb3qetYtMwj9vYdo0MJHml+S7JyYOKHFIfLbiSl0
nyS45O3k4CLpU1XOXaj/CUL7Hzop0lLbeB4osUUjjJK4Y84nj9Im1yIoxiKA3SVc4t13Va7WIVI8
eq+dVCqWUYWWx/WtvGhTdP8JULRy/kbRDxlITU47wAUfi5H1KturUnXDaG4K9WSxbV1/c93aPJtj
hY642yxqNPTgzn2Dvoory7XQxOg8AzkHA7lWbWSAIxjM4c5Bpw2emmZgCkE3vtphXi10VS5cCjrt
MTr/TJQxvzYNyXbRW7DS1eT1tbLLqvChaUrIZuXToIY0HSUEniR1U0b5th2tZ16TGzNy7zVJWvDg
CxvB4CzxEhwSb8Lptlc8o3Q4dvVDZ0jdzlHjL1kSZZsYGTRPqZ5DDPYpbKtpbyzdi/MUjM4gXAUE
HToiRLrzbwD/qjHWkSrvE/g1N7YdeOvAzvudiujdmlFKsIDcELd0v4e3XNYhHoV/bsEPLhxgHZQe
/VBgxTjExA8ay7NdvRq1Q58eIr2AjMjdlJSdr3vbJSvkG3TwGHERA1fnK9WGqMzHmtvCcEr0dtyn
CE7/mwFenOt2LkRXsgxyTJINju7UqWIfRau2lIpDnPrppnJq/2uRZ6LxU2nb0rSWOAMurOvMnvg9
H86sq3t6RafMOkBIBu1csdEDAEpjo2sLG3ghlBuiXEHKzi2lT7P1DlrXQu8H+WA2zOOM+r4r+gUU
y4W1cMuqEDXpdK5m3fHcgGgt0VNjr+ba82CgOA3VnrJw/V04bTgaAQeQE53xabEaSc4BmHyWHiDX
E3rViQUf/wAtJu0XCxY1pWdKP18aV7tklZuDfEXM4c3G4yHqRsIwRdanypKXJIJueCz1X3kr/Y6K
9hFVhSdjHF+s6NP4RqB/YKpo/TMMzPN9csArQ8kFuaW9tzLjTx/kOzw2QWup+VMV8q86U8aFYHah
VoBFQgkXCMXdGcKReVlHKWtYS63ARiFMWUEXuPZHUu3E2g1Vfu/nXbB2EkvoVG1Vu9x8+gDSaqNr
T1SHFWA67DraiELQ0jT2kYtKcJSq2q2mdfXOquoA7oWoq0/XDV7Kus8sTt6xMG8WcuLGxr7XGCfy
gm1F+65m4jHPXB7Q400aPhT+ewbJRKu/j3C5Xf8Bl47NxxVPvnGddWjWO5zM3pPualNZSwG8O/AG
XTdzIQCwTEKnuI/I7MXP+BBpSmb66dy18iGKR/ep9r1+qwG9v7tu5UIOcmZlGs/g2s7DjsUgKXNr
mE/0VDQQuar9w2qZkyq9hVVdiNekVyrXD5FHmd0LTlI1cJHH/b4WLMxkAY+yDAEUXvymtt3C4bhk
zGZWlbFi0MbgPM+3UO00mReYbO8TbXyGgulHrLbFjRmhxlTFb9c38kKyCuzQYgZQJpmbVVcKPW2h
UAyNvZ9LML8GUX1DRvyrHQs4sWwlWmfjUvwWP3/y9EOshzRflJKo/k48hMFsI3HqwMcRq9sMvV3I
x7+EDDjfCAr3myD3Xsa4e4Vs/dMXB6t0RN2MRyew8ckJBDaWQyJX0u6h5ijZEAHLfzJ4QK7v6Hx5
oJos8I3/jjFMm/hlRI7GtnbHCs2fqHce6WI8VJJ7qjXtJUj1Oy1WHnR/ac5l/iHPzYoT8+Hc+WnR
+EnTtAcjrWimOm+CnhlgjMCQ2IW6/S+LBCvG5A5PxGldPWEiEX2IpDtyjd238QDre+xthyG4l7N0
a6noIDXFMQubhaNxeZXUmBUSDKZ6Jue+zyt067RBPUSF/7XrzH8KVX204VTTfONFDZYGUuYnkU3l
JcdVxeNq9tSpqsBp+1Zpj15bfg+Rldo4Y36XVOV9mnnBQkybR04x4m8xP8E/GbeZvBvTvoEgunZa
9G0a5wYkKWooiMFf/3AX6sfnVsSv+OAnbdRGJHBue6zs+GsL2DdztF9QHd5qBWo3jlk+enF3VwRA
gYZx4Q6cR21sM19mCMgRDYLJyQfU6kYd3LcHeYgBG0NcWyVbtf+KIvQ7cWbbO/D8Xl/vpdMoGjMq
tUsZCPdkuY6rJxHEAPEhY1ijldr3Qdd/Z6b85ErtkVR/GwT+Q1Q4366bVS55jsFqCeFAD5mWPd/m
SurlHnrM5CAVr/LAk8jVQau0SfkLuIG/McZ3wyjRM5EPoy1DwymvGPsOEL/Qoh9tU3xP+m7pBXXh
J4lki9I9FRbK5pPdNwo3HLLWrY8JU+7fJCb9jiCsns10LJC68JfaMBeOKjVpEkUmZ8BEq5Od78sG
dU/Fkw8S6rOB9E/Hy3DtNUzdh0gz94gsX99y8fPPrxXrzN5keXJXp/1gdbKA6oTWDVCdxTmZSzsI
VI/oA6UE6MDJR1X0oGf+vG+OdiyoKpRWXZfopGWOB2n2f8AewcLCLQUbPFhZMoFzF0Lo25bjMG+O
EZya6IZ7cKUmgXnTlrG6cEou7R23Ip+J7B+3ndyM5OJt4QRJc8xhRvdvoL02HgzLZawkDNN2oaJy
IQpQeabUpxLnBMTyfF1pFOWNTuP+WKaowYOVh3A3h3DSSNJ8Uzsy0kaNREUrb40/n3cR0irxoOPj
ERHOLUu5hWZ4p9THsGqeldC8zU0HIWlrARR/aTfZQ1JggCsMO0wCOTpYBg0r3KT2gG7fgIEGqViY
6Q+0PbTd9SVdcklebZgRECNaM+dLGrU8cfW6r48BmugoBkAc56fJ3oGPFqzCr+vGLh3pvycaciDA
cFPcvdqHmCuV8lja5k85c2B58FdGoX/reqjpw3j8D34pElPMiWrMbKIicJUuzlOYlI2mQvTOpPMS
lfIX7kf70ydAPLsprYmJQoUK0Pk+5lGhGaM/+EfotzQUqSVvHclhsrZiSA6v7+Lc/89NiU/64QaO
SnTyaO/8v9ZHALFh9ZR4P8YefnYVtuQllOb8q4l5G9o9Ig7b1hSdA+NqYeVKp+7NBLH50L1pwyfJ
GW/05msXNJ8duaHgDXhVMEVy31LDOF8cus9Krchedsx890fVB7eoxf1sGVa56RoEiDy5XF3fzflh
A0woUDrUagCvTGNyUTVSPTqELqM2btwi/GFL4W0Fd/51M/OPxjXmUCug9+2oM8QKesueXkNUsS9z
S3vVjMj8Rl2j3Bp1HD3ocouiTAXowjeHcv9py9RXqUAbjEGI2ud0R2uENZgE3Gdm769i1/uV6f1z
29TfcgNBX8PaZQi/XLc531TBm4W/8Pqk5D79imY0mKAA1OqouW3DeBZzp7JT9Ztetz89W8deopOO
GV5lPCQmDlM0spGiBlHsazn5Z8iyIzLop+uruQCZcZgTonpPYZcy1zRIplUKOXsuy/tQRSEv/6d2
0JRhaGqAWjxSbxmRWjGxsvFU5jeUbFerw5s9oEuv1PfXf4mIIuc5Cj8EdAynWxAbTlP83h+yoc6a
6JDqkfbaRl35SDNW/nLdyjznxYoojzp0CqCtmNw/ptp1cp/RFCoqlKb1dPial9kjKmkwF+UbL0AJ
VRl3CNkswfIuuI3gP1CZ8gVXOZsjanoEJGO9K49GXjO6lrooITTOPnEbZ+E4zq49cmoSa2YZ+QPV
u4nXxLqiIpY1Sntn3BZKxaJQjEOmYOzs3fXNnK0JA5SsSMM4eoSaSc4whnXb5YXj7k10OY9NrIU7
TYuCgxJ06udNCaw5vQ26HPPx6KpKlMTPNH2vek560BoNUSGyi6+6J6ub66u6sH+cNzBE4o1CAjIJ
KnZu57S8zOggBeZ77Kq3ZuFsEVTeUT95v25qXvjk3QxChccX+Qm1psm3KkwL8ZrQVE6REiDjpOy8
DgE3Z7zLocXvre7JlfUN0fUpC433pjKfvKxdyMhmJ4KfAK4dDiGmQRVow85jKM0PKXKou5wYzUZc
bOUkzn2lGzthsYNvIdrmirywxfPGoQjbpC+USFSLxU88BwnJuMuMojsNXaCv60ouVpmOJqJpJ+0m
jqN05WmwjzPNku4yafD2ZRgU7xCrxbeO5XZrz0L+ZSH3mAUgUa0Bg0/blhfxrJOnRCXa7ZKenxqr
PZnoG6WOfLvwvcW6zoLcuQ1t8m5hisUxmtHMT4k/3Hm1vlFi6S7W/Q0kDreqhVS8265jIRnfIC6u
Vbedq2/KMv15/XfMXZzXBQ1Tbhfq0LPnbqDGMaIwXnXKPXULZuKnmrk+FKThocijhbg+DxLYAvlB
G54AOCN/iXTZHSgf5TBRjCvZ9F8sNbh1x3wh6omTMt1ZvhxNWEzM2zQc5C5HzD0/FYXUriVpRMnY
SNVbKxbyEwGAs6SM/YWodMmPSRzxFSo3gIWmyUBQmUViZ2p+MqPgIWzTB6mRXzoTobsUDY4NieeL
HKbvuVWjkmhvO9fdJeHYrRKjWbjYLnmvSGGBllJ25EI/P8aj73ZKX9j5CQQe48xO82wXxcKnvLzH
/7OhnttoG1MyIt/JcZvq6EnppkArhNGRfRuNP2gLLkSJi176YUmTIOG30LT0rpafkH96sJ3gtVLR
H+ZwxG258O6+uHt4jUBSUHufxny9C2sjQSPtlJht/YQuEqJkeZserx+7y+7yPzNTys0GGV5ecop+
9AdQl7JCAvJa+e+p+o+OrhpjKeug39rwLFpRAI4uXJtltr7+Gy4exw8/YeIndt1D710V+clW24fC
0F70wlj54bDgKrM3AUcRHkJKCWL4YeaOluuqgFLK6hR2Vb2N877ZmnEVPXmO7X4LkAt59kMLifsC
XbGFOD4f4MS2aF+SMjMKZ097RAnE6Ulv+cUJ9QyUc4LRf3TcWHtoDEpR8EhXa8vrw7Xb9uXKlExl
V+VWfudB3Hc/JFX90FsoAElCMsjtU1ratHpu5MbIb9DjcreVjoK2bcfewo7NM3F+Nvm+bdsijvFe
mpyuICCG0m0+tQy4FQCH3N+m+0z39QZWJz+5U+INGuvlxkyeW474UCxR3Vw4bwKWBX85rw2Tksn5
DyC1zxItrQihXvyOcujDaCtbu6w9tAzV1+tueOHAQZYiYEOi0UXecW4r7o1BUH7UJ9f0zJUmZbvU
g6D1upH5gmgRcrcIlgt6rtPpojJtQiuzs/oUjJZ9E6iA9Mys3NS29BBn8va6sbnH8wAWsFzosmja
T1MauWhUr+rDGq/TIB2VinIdRjbykWbUb3jolQhOmf6TDkj800ca6BUMoyDbaZHMRmMjTiLP3KQ6
oXJKf/zNkLUbIx4W1ncheAmEF5hjnvo8LaZwasWlat0GaX2SA/WG/OEGR+zCJzBVa8X7onFmFFRu
IN6Rsp+28qVFGuj6Dv9tD57f8fwCDgcqIrxuIJU+d5oyhfdJ6fmeWaMem947oNwKRVi6GRJjx1z6
ynNg9kmlTVRkP9xxfJDQcqrraBVG+m1cxbcZ6lBg1RdSj3lIhZYG8iEq0nzH2ZsyUezapHbEuQnj
70ZW3xvouDGHlCy487w/xXGBIortR0hl/t5ifCQvgsbKTvCi1Ouh959ldy/S9qJ7De3hvbKce5DD
28WZ//lp5Z1Hw4YXFcxl8G+cb3wGj0hY5CUKJ2lj7YNWNl6dOC7er3/f+Qni0crANPkoWHPeledW
rNLXW/A75UktMyHDbQ4jElhIHZpDEN767pDdtbKibD3E3pZca75CbBP6SJ6oQNKYOrcdVW1sZhrP
80KvnttAfst67dZ2vTXV8n8aTf1RK+F3J1f3kKvQQ7G153EsV1nv7obMPV3fh3nYEr9BUHc6cEjM
MuakU6Km6br4pCq7sfLv3ZDBpIE7oQkWEhJHZVnnJ0qYgtNSMNTMC2h1BllthyzXMcoD5ZH+sb6x
QBOKhEAPbqhVvhiVJ+8KJdb/eH4pBXdBJ6dCZdDMvkkQ/mw99Lefx8YKfnUj4C/grqhmbaPY6rZS
irJuaTIRsnN6M4BY1dJLtEiRD3Yapd0F/hivmYrSVoY9JJt4bMCOaVReOj1MV3oTdM/k3kxlJkX2
rplSFT3APhxZm7oOQTf2Wmnu8rxstz3B6gVKvWLXZmqyU8wwW1eea3k3paXDn15I+u/CKYWCUjF8
ZR2Qg3qZs43VN2vINiUCw4iZjasxjNvwJvO1iM6fl6wCvzJPBXHvS+dX5Y3h+zXfBJ1XIxmUu05u
qs2g0nBH3636bUWhfy8pQf5/lF3ZcuM4lv2VjnpnD/dlorsfuEmyJVnynnphOBeTBAEQJLji6+dQ
1TOdljNSUxUVVZFpSyS2i7uce84LrfoxBaJwiuzcaB9A6oRipgEIiZb3UFzmaOsuPb9MXOmTNWtM
d6vx0SOha/ZmPEireBLIhD2wQJ8r+Cuals5e0G3QQGZEYlzU3Q1iBY9tljtHBd2yjdIKiOg5ZEjh
YUA7vGDV6fdb8vPRREoOxDQwAUtd6rK6YdNi1mXdynusQuTUR294zdqvRmVD+6990vgVS/A50Pj4
uOW0/lQGULVXSKiwZvczDY42GpnCVt/3FKJ2Qeff9q1/5fh/zoGgOQGJVhDUoyaF3ODH53ktEq2S
2/Re2VPcteytDu7AWN6N2b4jbQiN1qudEb98pIXrAsmfpVx6YXBcaohJLEN0LR4DL+EzO/L8YgN5
57AJ3oaCbAutvJLr+QwtXLowQG4GokYgUWEsPw4U9KjE0sxCu0duoE+HephjZArBHZJVO62oI6Sq
oEBavsDFQf6JQD8XHKr2X/ZXlpdwwTwGYkCAuS7s/IxEj6d3eAl0BfYR6ft1AAy7Vw7XIoFfXJh4
0kKlZIIke6H/+ThcuABjgFOW3WtWm0j7EcFG4gdqm09lahUKnnWj0CJXhJl+pdbzyScAFA4rC18Q
9R7U5y6evLRdF0aR0ftBT92+56EINOgCj9curk/bCM9B4w7cTfAsAvVjfRyhYI3rFrNy7xuIDQRj
HjoNJ9AAn5O6VVAX9G88XdJQyOFal9Jnbww8Y2g+QH0VlSX3016qPAq9U+LxY+l3TmRJFw2Cetes
24WALGTj5O0NbzJuaiVoao+jsTFJD/Fhf5hDh9R5RJScUwdyabHdtZA/de2vA8DYV7ymX6zEomyH
tlv06iAqvFgJT4yDA70A6761i21b8YMwnB+svJY1vnQgUPNxgB9BHQrnCnTKF5t6rJgPifaeHvLR
RANmblUp+iaav3h0lqcAZ+kulV90VF0yKQ8a7g3JTXro3RfZr70uzeavvzf1n3LS52cgMkP8DkrH
T2ySFa0daK/l9bFxbuFcLqQ1/WtloIOS75QDrewuXzuAP5hkDMvhWruw+6uJRAgM4BEUd2CUL0wU
msMHOyscemho3seKMQiKWia9s6TQl8bS4Vb6kE/Nq7ZMg4C6d2IYAGnhzjv8HHAXjmhtFa01PWSN
Ma0GajkJlqvesq4J7nkxoaxV9WpR5qYvJbq44PVAXNOA+M6t4rOZGjm4AQExA/AyGPsi1WTrxjOO
WExyjYXZYAj04zF3w9lc3I3e1EVB540hs/3vOrWHQ8E9cEoM07wpdBDT6aCVTyqtC+JJFTVYmmax
tkzA44sBEzpBQ8YITXCKh9DD0GM2BhkEjaduVcO6gF28E7EV5E9qhrQvCMHt2Nag0Y6Iz409AlVh
CPfm61G0eaxGS0PtoB7+4mWM/YBLEVc//oHZujSifZ+JlkMk6Gg40ls3kBsLK4iqrm34ZXGe9aAX
5oV7Jdr8xS5YnF/wZixgFBBjfrRrdcGhnoVGvgPrxJvtQZlWM6YrA/uUccHIALVZ1LeWmAbViI8P
AVmHa/UBF0c6a2aYgRogaqrSALsQ3ABt7thG9spWIRQr69DXNX3tODnHjeVrES1Fvy7lZEWoBXtX
jvmvRv/ziy0Rwk/+D1JafMmeVQeVwd+qwJ0eM2iI/MU7avGxQEuylAmRmP/Eec0GTUg6c+3o4nZI
9WoytqZflrsZvP1XlvNsmH4ONNA7AZ9hgdeh2xOMQhf3lN726GkeWXmwB+jfgIsPsvdN16DoQCUU
e5GvvtWtTtxZ7vwu0Fte2DqPsp7zO1PPrJRBY3PbOUa5L2XTpEWdI2E3m0NoA47ypHneuNbhE6Nv
UWngiLItmK3+ZHHPjltvBFNbz4JHbRjYne+NIG9VRg6R+paE3LApPANaxaIxxhT5Dxohq+9fGf+y
YBfDBxf90qgPug0UYC92GugxeV/oeXPgkOCxGnmvEbY3mPU8sGuCM58edYbhLxqEsKKLn/dx7yCG
aByHB+6dLWxtrwlfnaC8RB4lZXyHe1BeyX5c7lUAVoGNQ9+ojuwHeMAuTupMuTEynXl7be6tU0Oh
Mcy0mTz//la6jAiWpyygMWAukGv5dCk50veLPJjkkbhjRIsmrcCZAcxh7OkCEQLkhH7/vEuv4c/n
eYjul34t0NJ/nMUgE3prlIM8ckSd/sjSyRl20Ca6UnewLlfr/BykVlzwiyF5d5lUc4jwSojQZ3uE
uwItVI3Hg1AVIBluCyoRHc+ch0wWQJpodvdqloV7zydTRkChDDG2cAkh8QKXDhSm06YsgkRqerau
+jrYoA/SPYLzqtiOIOZToevz4GYUBbtTIJ95gGASpILySt4KRt9NMHEedNWgWcRg+YuVlzDsrZuJ
Z0Tt9kvnKHeO0HiE27hvnB3ofKeH30/5LzYSWjexg9D8t2hSXEz5SAZpjCOmXHo+GI9VXkE4ZPDX
v3/KpzQmZhw4clh2oEzwPPsy8CIlBVes1x7b1llxy2YhMNn33QjKYZJH3mRtLFHFg05igoZOxyEg
WdDKe6W8KwfnE6UhTCLSajij6FtFE/5lVg1qXMwdg9zdz+3QIAUx+5kRNS70v0MO/n6JjIiBvh17
4mtkyscZzSBmjs3YlFtQ4HcRJM7GGPkq8QzAPdgwHdBY9Z3OTyqg9ZegySZx5VR8XiJkuJdE59K+
hFTZxRK5k8OIqAJxdIfiNff6gwGN2N+vz2VAs0wKiu9oRUdkswTlHw8eMUhvgGRPHHOL2F+z0WmS
oKxYLIjG04Z76lveoDnMcHoXkuXdGP3+8Z+83/Pz0UQMRBRKIJ92oeO1feOOnTiC4zd0rJU2rrsK
koItdBKncAr8lRkcfXQfenBCLe+afNSvhr/EVUjo48LEUfg4fBc01S3jcEk6vysioSDm5PbTSlfm
3qiGE/h5QXHpcHBJX6Ou++XIEVMsjdy4qlE9+/hoLXd9QfRRHKXeyp20K5LU0Ki4hXAVX2t+BVJ7
E3Q6wE70mwH6c1tQP89J33Irhn6fSq8sxGXKCQuxwHZhGfFGQGYsP//JB5q8qTWpVYmjXhSg6q7s
Oq3miic1jsIGDdfY/7np7ZqK2ajaOlncm9JYo2rX7TJbVzeCd8DU40VvpDubO9RjhrAZdNDywUBe
I///fF18fNmLS1cnuQCzI3at1tV3Y2Uf6sl/g27KNcaOX2yPnyfl02ULNKtHZpBcMA4ouHmHuHf5
X4WyYBD80Iuv0ryWMrpscF/WAcRdgGzDTgF/dXHms0og6Z/7YD7ru43ZPXPnFRownP9whwf80Z73
FQniK4v/+VpEDh5MpgaKdwA+XkbTQwCl6wCkhnflMPSHBnSta8CozTjHBKy7zhObDtFxMvPRQUds
weOiVxUuOFZH5STLBPjkKtEzYkfgw0VJfba6K6/4ecWB+lheEYED8tyXAQpnXq/0aVR7T646Efpy
ZVVXrO2nDAsYrKCtgn/h9yDxeqkl52tc1ag3okGHFz30DNVmGukQBqQ/sFqsSyXXLKjiafLTZnIT
4fu3SNsnlnKfdRcUmt4Qe00fEzpd8cZ+Ofj/vNg57/bT2RRQeTGKtpr3faXqowOnL4b2rwPEbUOu
NJt/vnI+zMFlOiADu4KDEjQ7DkYd1619zCfz+Pvd9stHLC0PBjpy8J8LjwBJFROc3Ro9Lg4ATpNo
ZPL7J3w+thgEanY6chqo6lyeIbNyKHHgeB0le1HdnulDiIMKiu4CuTlv0GPHfPj9E8/z8nPEcd47
S8VuCe2g3L0s4U9LVE1dzyafs2M9FffUoBlQBM2GzORO7xduYAccqFlm7bycgsUwSIPsrxKF4w2W
Uu3SiYi2IGzgj2+AveCMhLB+D3Zq8TSjbrSSamige8CaZNYrXlw5L7+Y5Z8feGZL+2nIo1nSIZ+w
VXLwSKcjGmdCi/EylDx7t4Wzq/IiCYj+Frhk81dnG8cQyOUl4gLgAKXZj2OdR99XLLeNAyFO1IP3
0qarzi+W/3mztta1OnIRz4cleFrb6loXw2dDcfH4i6mWcGl1Q2GInjX2oQYe7NRztDJu4Ul8qwQB
2sVh1F97ygt5FlrgAIy4AWFaMjlaLIFMPiCtA45Gi+jJONtyI+xSvP5+kj4dM7wkYHJoIYFNg0G7
mKMaOQ1PR7lrZw5lEVpcPUniiytmGXAZTPWHjQ8kK7JVIGMD7TZwAhcOpD6VHS00AvUdy/syUhNE
ncSFLGEr38AAnFbFFONVotGqE9l7G83v1jVSS8JrNl5WHQjIJLLaLiI9F6k1AIdVaJaG7rImHkuQ
zbe+WNut2LVKf7dd9TD0Bi4Ax03sbFr7nCtIiVhJ3RuvE9BRYWUOqe/U32VXvXHXu28Hcl8Qd+PB
OYFQRiqD+rYWdqQmq087f4xKCtiCp383aL5iDd1Rt4mFg1Ut7f5FldZpBPt8CIWEAaq8DPIllngJ
+uDGLcHCT1C6Zba8Dwxk4FHHaUKEnd/oVK/70odLWURMFQ/9xO9rm/LIR3RFnHqviiLlvXwA9n+n
EGiEKmM08nJ5Mkd0ndrSvscI8fvCSV3W3cyzK5CP01/1lrxYoywjPrr3xQhj5rA8zY3scbZVjDvI
jXJZPjDW34Ga5EW1vAsHzXqWC32HCz3JGKyqXQqKUDueSvJd1dPB6fSDm1tRK5uYIjnj1XST++Kb
bKrXofJeNE6LRKluVUKmc6bI2upoamnMG9EhYrU6bTMi7RejrOSGHgEZ4QTSQt+uviAqFOgyHZJS
TRAoszy+rmvIQHtaeeu2+q1CEwYaw2wjtgc7rqW9qtGoFgaDCRI2S0ReICSKzlVicYdHQ6O6qCoh
MgihtbDWxvtORsj/FvHk4+sz316pjoCFsQcXLQ+0Lixz/Q69HpE2vJp3qAc3ScfKPELHQLAqLQMU
ryYIE52y6++4Q5r7RvZ+ETZOPSK040UC+llvY7X1kNre7K+0Wm/XoMIIYs0Faje0R9f8AcK4CcyX
sP1h3pIppJjBm3HiN1kD8sfKQoEeWU59pQba7Kq6imlF3kH6CFXlNgtBldrf19S+Voe7dBeApcdi
OuDEBBwLLv2FC6mZgebMmJWdygsokTqVOCFVrwAGnKYrlngxIv85/fD+kNLEcxZoOZh2kOH8aIiR
DC/mjs/dbjQ4Sdrcd1dz2xdPk/KD15FUKq2aLv9xtmz/9W367/xHffjz++W//oE/f6vF3JZ50V38
8V+PNcO//1g+83+/8/ET/9qV39pa1u/d5W99+BC++N8Pjt+6tw9/SHhXdvOx/9HO9z8k6t3nB+AV
l9/8//7wbz/O3/I4ix///ONb3fNu+TY0gfA//v2jzfd//nH2gv7r5+//9w/3bwyfO+KB7aff//Em
u3/+4Rh/d+ESQ7oXSS1shfHH+W/1vyOEwA6Au4yyEjoO/vgbr9uu+Ocfpvv3PykLjKUdANcDPiTr
/vwj++8w4mj6QLsvPEj0qv/xv+/0YVn+s0x/4z071IChyWUQH3YHemJs9G4Z+AfkK2DYcMyPuwNV
F9K7QSbjrAdUruQxd4MibIO3Sm+taOogPz5or2gy6dAovTj4KDNBVBBkKgkUIWkEuHyU1ehQmPgz
uD4hQMivaZ5chuEWWK+Wwjhifwi6AUx2cVgqGCCi4zjG/qw9zjO63ot3UuyDyXGiOvM3RNl7RLkB
VO0AURkmEK2xK5foxRV6fgW0ey5wL0geeJfZarvqhqnkehs3Bmya5j4Sw3+UQ09Ds8ge23GCwZvK
a+HOuev9P2cXq4MiPfxjcMnAXCzt+B9XRxCb+EpkNVpn25jZWRoQlvbcBTeyE/ujBjI5Oy4sO8mQ
9/XBAeqKaSPIs1nbEWAwkaq1ZCqdyG2rlzlvEu6XiBq1kx+QXemxLiZucaUBERnoZT0u3noJkUG4
vkC2gB7/+NYKuiSd3WU8dvymffRFtwUvWn7qrEaPFOCMB1vRfG0EgDTNSCZHPWmmvUIZMQZJH3/B
gfgymMT5MThJTdcFd4yoddW+GpAHzs2bktGNokMC2pdbS7Jd7TtbAmQUylMrMvO4d9Q9K+uDNtcr
4ZR7N5igjeOchA5KX/j1tpw2yCam/tSmJuRSmECF01pngblx3adumFM1+ZEFmiVVJ4VHUhGEQ2+n
k9DW3ZAjsO03pgNBbHcCeW8ReXW9NUYZuQW0VBqyzjS1QxVsa9v9RrXZDan0dTE78fwuS5WiNfRO
mPPemG5q4q3UrK8qUSXzaCQZL1ZG36TNYEbaQy6Le3TCbrPMvrXyLIWSQkxLmgYQ2ixVFjr+XRMM
6wUdI33IvRcN6Kqb+lEZahMIHTFvgVIAf0TBLBVWl5AWQj1TmasQ0kjQB33Q2+mh7FjsiMX5yk5w
2zYSPlBvl6nWdwkSciuf+bFnTrdM9zb9aDwIVSEeLG7QgrmfGx868g6YocQjairrppm/2pm7BuAs
D4kcKzDhZTSGlwKY141WF34EOs1QDEjsFuUuG+2o0GhCoMnSgUBZkWkDJdi0NIIUIVjKnS9UBtHQ
ZnvJaYrmYzDfmStULu8dXUUBaA0Arki6bF6XoxMPDNKqxp05matWjmmwAnoGwZ21Msr5iRlDgnLC
S9NYq6kYniAJs+vgvCbEO1hZ3cX2CMuRYyuETlnuh0k+UVSlQ9PrvuWAW/pteyrQiZnOoJCMp8GL
g1EdR2bJuCxLJJzqsr1xNZ9D3qh7gLolc3xg6LW9bwIebzhA/+WQu2FpiwG6tJVQEDGe9C7YUzE/
SXxX0dJvvS4TT+Z39uzeV3Q6wrHOAWr396POXjyFsicSi1bJwPPmlDvPxVzZ7k5zTuBISmqdxt5k
g1kTX1x9GVkQW6DephlkPnNfBXGn+i5s2h9UOpA05KmUzz6Zbx2nitxuXLvdu6ZXqyL3V07LbkcD
HPFen1ilvxYApyaujbUbes0PewdN57xDj6jrPQ6B95Y70EnTlA/Iiy4SPvt1Wldt6PeAFQlr5Qb9
TS+z1DemTe+MRw0M2hBRXuUBtBWbPOyNrUPLtekWmxJC24ZWHaTz6FhN6ldq7Us/7SSNu2a6AWn+
2p1nuIVF0lvzGDozaAmtIKrZtHFJnzjowbcMVKZhGtU4beSMo0d7ZEgcoKPnm6yjB70Yb5vOXulE
rfEKkV+Oka8dqLeV3R7Ih605WqHQUM2HMFHn0LhAYDK74yaQwy3qUGkT0JgB/AAOpWMPRSmNTrfw
eCE/zVKWNxHPa2hfvRjgSME+u/FIjay1tydivm274ca1RSjm+iWnoEKfXO8u63hMvCoS7nPnf7cB
Y5AlXp2x2Hf6pC1YuqzRbGQpKvEhraH7o7o2BLnCXq6GXqWdWyHQmY4ZfEfNpttOW82elxi1s7LH
PhGeiobAgvE4ZPUECD5E13Bsu/l5FJFVI4XZ22uALO5hdO8bTuH9Yil7y/4+IsdpdMUcVmRAg6E2
pxa4FCFS7r9kdvtgddZR74whMmrpx+A6/KH0HusIweM8b8ZYql5DUO3EWVBmYQkij0iv8Siub5U/
3RTowCWsXHvCeQWPSFwBGBf1QKdFwtHehjx7yLg8CMxZbDnjEEPv20ORT+2dib97RlUlDbN2mrjz
wXromnM62WRtlAUKZZYVtjlrQpR+HgyAsCZ7VeUQmdaCxGDGDWFTVFoy5XZ+NDgSEh65sUuqh0yr
XkrdfBKdudE9mQx6H+WEP0uNaqHW0b1gYIkHZmU05NGqplv0ZPdhAw4tbvWvhV7B8Odrn4ynxovL
HvagMbOVxgl8F1GVmzmQN6Pyu8RU0gxJ6elQ67K9yCusUwucapM/EiuuUVbxjVedsRt9WGC9BKHQ
iNnrqPQis+nWlVugNTvwo0WIPDofPc3SXzTaYhHRhyA1RGhVwbcUGAFmPA5e+Y4A9lSboE8h9Wbq
QB7a1s+eFCcL4ORy5A+cVa+NhyB0cGTY6GS59AhoHV18VV4JhE+F+SXP6yasgc8JgEMNZxRIwuU7
IDyph51Wn2bFTv5AT231NkOolDIoUpkMYyCDC1CDnUG60SnvoPFy9BY8cUGdtaazg2sHj35N3kHJ
kNRzC1KZku/arAOp1TAeQBQ2NMW71zRwrOmGVuhdybTyvTc7SDWKGbbNAfcccH/AHH1p6+q2NCik
N8cyCLEweugJfuLgiwMMMGxYvZd1RGn9jtrJWEsRLTPFrQ7nNVNhPnWYWw/bmjKjDAn3QxLYgJs4
9B2NyU50nhbQ6gQIfbNkMCcEnqj61BnsY2muBODiiUvyJFe1ERsORlny6Qkuxh2VQMj3pfZsNmqI
CMtecHq+NhMUb7IObprDm7CEq2ZoKHLJfr6HUMM35EVUNINanjhQIjAdyJZW/Bsf0Lk1zeW7W+Cr
Og2L7ngwzoZfwgV2MIMtdmVWq50PGgMkarCe6BQpw3yQiJ5NqlJiNfC/bBjgHFlXiFx1Iz94HGNW
LEIHGyiRAAUJNbc+8ZlooR00UWn6341S2+YVfgyRzCAkffm+zF8tECC4gXriPv8iGeg1RgMUAqW3
yrxpLd3qnpre96C0q4hl7MQztmt9sOUWHkOpfnrtwYfhTKi1B9MrR1oqlrb73RbDQUiy4U0dKbt4
1G0sIPyS1HPHcjUF+U7L3pvJoqHesBNjwQOifQDEdT2sGDsFM2bEn3y4y9qxde130RsUdE8oLffN
k2Vmaxy8qLQBJtJbuq1JBScoCPuZ79vBpxHjdGsPWRtTGDu3bTdQ1V3ZjI8geoFPDgo9pAZzJGUG
NyVIKQyaq0KL4K4vmD2GaoYao2oiIjo7YhPg9JZeYzNWZqJ8fw/JvRye2QCKFae8sXG7OFb5Ngq3
CscM/c423kCgLBza4t4bxzfDfkJ+4v18PsmQPSpzDvWxvq1s7ABtsocod601G/AnvgRC52koe8zF
eTcPQNpOOb8vFN8WBSbGXFQ5GsPaQJL8QbfrA7os3uu2BiBpCL16vEVHGg37IFu2UmgV09KAQubV
Evp043eUqKBo0Tbw6lrnYfBQK2iLGHwu2Y3pbdGWgsNFbhmgshFQB2ucSlgUo3RjAVmdpqzlCkT4
t1aTJzpgSBF6lLFD+fRoOCeb4PpyqQ4HDMxZ0TAIH90JVdJCDj7MO8oiKMrcB9KuYZR0DN7M37sM
V1Bnh/5gB1BuZYfMzOCQCOJGCApulBHV6JFKTL31Vy5A3sAKLXERfQeO5mtNfVhw7A0wvcLkSXOA
vX0LDKkiFw56E8xQTVwOmjXWLOLST+w6PxgDfZoFnqJaUBqCleuAPFoFx9XTwh60jZihB6Aoy1U2
8BLoRYXvxzQHiyFmAEDLrIks7j96A37SkZrFdakn7nKMR8dCTrH92oweBmE4A7YxiUBwhMt29B8z
u2ARk9VJ5xkIh5HNjXydHzKfveeIUEOfIE7pkqGhEUBEFM7yZCb2vGz+MoOzr++pNwgk8jz0dgw0
tCTuE1MQpBE8nCWAJiFPpGnYOi0uXlJo38AisxtAUTlqNyj9rY0s+6GL8r32i/fcAMjaRQA0cQuO
iDtgixtQ+pybYy0gf94Z86OaxRgbgKPjgr/rKf6Wz+6jSdzDBC+rctlBN3CFVDk+XGYV8P7zSdPK
LcUp7ibvsZ7YgbNOP0cPujm9DcJeB8vV1La4rgA4f5Jtvx+Du5li/MCN+LiP6EEDyA2ZyoNOvqIc
s1mODRX468DGbZQ1G52OCfXcR73ARWXP/GS7nIVGtRlbkEZVsG0swOK43vC95ROMEMwMMXAsgHRN
pxrpXYaIAECI8l22weMgSKh3c9QX+c6snbWO6wqxQLPVKN7SwVbJJDnh4OvIQ2J2Teo8MvBEyqZ8
Pu8PCv3xEMSY78gjrYVZnCCJFoRo33lfDifct1PTZHfLYc0sXKhe+4TG870g/iNKPVvhIA+xfNoK
ygdoSUmXnJZV6gK69XAr29CI7FqJVTV2ZfCVl31qFH9OcN7hvaT/uFgHkN08Vjlcelj+nAxmUvva
utGXXO/XshYk6mtY/0pg9usSKlIFpgv1hXCZHDnLu4AVx/MML/Bw8N6xDdebNUNVOmTVmwkDF5t6
eSqzPG1GtUat5elsbs+f8URw55Dgz72eeXw7AdtdYX4tjqlZzo+NNfRhG9pee+wzXMjGUB+oXh+Q
AJEhXwyYxH6q6lO7kCcv66IRfwo1DWmBZu8W7tfCw2WFWPfU9PyEBhB8rDlx5Akskt30luBh14s7
DAyZLk6fM67dcmQaSi52Zta/MfYA78kMkagDFLYlW0wqwuoGDdH+8BZYuRvTDtqNdhYXJHgRlXop
TD09j+A8FBqs1NiskdS+8Spk0ZadJ1y8BvjUvpM9a7AtBmzhRr2ikeNrqXBRLObjbCkgSHnqHWS7
LChmEYWZAsp6PgGnu7GN7rVW1qHNIXZQ5/gV+D0l3K/zgRgd2JrlZNacfZVFAiMzIIFWbZ0O7wBk
Fqo1w5YiZOftVmnzulVWQuAcQJJd+l0Ee4tx2TfFxPqoHgy0PTFoiOkbcISEINWIRq+7VS6IQTWm
FaFUYjeW1rvRsIcBogeB2//gs3q0CjfpeheCkEZiIGnRya1CozeMNhxJ0RxIkL/jfjgYcIsgi5Qg
v5AAhZ0uV3SeVafcodvFVzR9LbEdaYWuwxKkCM4e7lDO78DI3Tjsdjn/Z8eoXG5NwASBJXyuh/wR
GlQpdYKXuQOlDLb1cZrgYMt8SgRIs8IisOFut2rNrQE2AL5NAVvJWlif5eoba3JiGnl33DZyqubY
YRuhxvOONEo0unQLnMV7rg135WbZrMQE5EYBhI/jJ1F0DskiQzB7OAMz8sIh3fd9fwNMA9giHAZ0
DkKTVn7LKtXEnsE2RVnGlZxeGbgkGqN5Gx1YLtpHNorVXorOnTdfySOVdlqYYwKZ1BAwD3OQp8Wm
1lh+hdexWv0A2EB0thl6kz1quvZDYIqXs7Gc2oq1ZpJLfHpCXgc7IJvknUene799ybDdWsa2fRk8
LseFA5jMWHlcjAtX1tqd4KKcvxm6w4fF6rUtPQ0lLrnKWSN5Y2uvpsdPlbbTK7GetGE1+drzeX8H
wBhEectCVrfpVPRrUgqR6IGWODkM8rKCqufbszNa8/kbnd1w8VCW+S+wTep6WNfMOU3CQPlWzkD/
IENd90WCJryvToa9bmiwQXsUPH9oFlzEIk/P571c8O2uBx6oCZEqb4rTsloVpzEUlaCCrgNfP0ED
z6ABjYxiiF2GeBLUalujnm8XA7zMxySrd7Dz7XE1xaOeJXNdPI1F8S50euqXXIka1UPW98dzZlqN
sGCoAN6CsuhpmaDzBllukyl/yejUxI05z5E7Nd+HEVdpD0bPEKiFUJvR9lhy3PmBA7SbUhkulHqM
u8HgMBnSDQsdu0oHD0lhGEc7x+6aJlWhG0S68ciKN8Tb1QYWJeKNq9aUT4nm5HRFlYcQtS4wq74+
hxPlCgOFtC4qdre1VcyroUBbB9KIoda7zy0b/Liv8B5C05JC4h2dsaMrowpWrNoOGoImKCgFcHbR
bqXhLkDlXz1XFm7BruDVndf5bagFBoJGwIPmFsqCy21Pud3Bho5FvFjtDr0UqxmpwDAQQbm2tK7C
p+mbqDTEuk4gIreB1Hg34WYyezcqs6C5Ib1+bBzoUBJTi+y2KZKsQ3LuC2nc5gbdsTwkTQ+A3Di2
odmDmgZVxCYycF9OjTc8zU3z5ORT+w0cHF9KZMQyPqGWu7CLStN4lAHTomqAes0AnrSaUpBABP6O
IQ28tmpW3OolgG1q5D/63rF2zGPuquDyuzURGwhz/NXkbk2QXu/Of9P4zq0+OkY8eAKijJwjF/F7
ZMFZ2O8iB4/iwYIyAXLTA07tYw4+03yvBB91HS+ZWTrQVNQOOrezVC/slY/2N1h63O03rk5SEC2n
nv2lLxpgO80dZLHW/8Pely25raNpPhFOcAG43GpPKSXlbh/fINIbAO4ESQDE4/Q8Sr/YfJKrK+2M
dnm6LiZiIuZGIYkiKYnE9n/b/1008BcEcfutvSBuw/8LkOElKOL3kOG+1V//8z8a9foLbHjZ5wds
GOd/UUByEJ1BHHq1lPsv6DCmfyHSEb74ASykMLIy7PMP6DCO/8I0Glg9sKoAlz8AOvNf0GEOVBEO
upg7xiBZX9hz/xPoEMyRX4Gei08Z1GgQpUEDBfHRe05iCUJuE8doVrrsElDRancYO8i6hrzsP2Nu
DIk0f225qddY76hDxVD9bQPIh68foFJ/HOe5eGrbqkFHy91FIp58vGBbyA/qPtMYKkoKHtExJ/l8
ahMG2crl0Gyod0GIGKfK2Hp7STjd5b7pntsyvP9xaGZD9PzpdEcLnh8Gi+J4UzYL5uh48pEazrPs
KaIfVf06XOqVCChK73UcNrdzTIvVQGz9OgfmoKM2fEa/YG6wDk7X1x1c8pCJMP2bJROQgaIWu5I2
qJ0Z9WM/aH4KTEw6t4cPqXpqUVmdLsdLUPxeFtZPxwBB5kvkieiFJchrXzRlFB0bU+RbGqovvBbx
cb5u+PFUDtFxJD5azgMJV3lZwyboxy7X/S4PQcpP6NGmm/ny4beN1wMMo7CH4qKduHz0x/5vn7OJ
KDaTyaL3x7zue91lzBjcnwIJ1+W2K7cxfLN3Wg0P2dSnzw53wbmp7Es3xHhVl+MJEa6v123w7mBH
X7Tfr9sEbepjxkkJaAA7BiX3KFBiLXh9OTADWYayqH1etjLPzKGNHK5SDJu0Aij23vdhtq1swVdZ
2LQvbS6bTeCqcdOgsPJiEkdXHawwdtet0sp52RS53CeXD8sJ5ZIGaYy3160c2X4czgyn665ZOB8E
bbv76zYiKZZ+RXFR7IIsA8Dt5Nos2tScuZOjPtyQXAUnOepgA0lzdJJwMNtwEcUnV4D/XouQnS75
9djK0xMnDoYMSZtjXt9PG05nckI85bCpe8gl2wEed/hIceZF0G8wBFfnWozdBjGEzdnZod2QqunO
bU3qDTzZ9ZkbWqHW3Yxnp2m5gT5yOrsc/vi84PYMmwC1qTM+n7Gwx0QG0SBnN2G4rkEhOmMlx+HE
g/gDXiT5Gjhtcq5tkK05LfOzkCZdkzHlZxi4JWtetPKOIwFgjRAYded8Rde1iMo7h2ImtlJU7rDm
WnNjO2g84wBHyfo7F81+XfdkuHP9NF/OZu5kFcEPNmT2rhaDxecaf+ekMus668M7RJNNON4U42xi
XDtM6WADihQfR7v0DsHFPSYTY37X4mvhbEBreAFsFnVxxIJwFJrqZCzunfI1zuYqgGkWka7F2N5L
JufVHLH4RKwezylmcjeIMvh0fRW10Xi+PjNpL2+s8l/fve/R7HZlCN3Duw2W1M0uRs724u0g148A
5E62CUFV5t0GaeS05TGDw9fltPSf526DTG5NWLD3e7DCRZtuhLgUPyxkP77CbAq9KWkEF/TLD3p7
4KQRG2rI+H4DsONwnRKEJr19+PoV2trrddxN+fsNeRXIdQOi6urdHgERFDFdbHq/AWCMWfUyin9s
ePvpvERVi7FWrq+HetvQI+cMC3ep329AMHW4lKjivN/Q0AHLnmgi63d/YMyTetmOEdJL/vmnXs+W
DnAYwHAYvt9gGg3rlXiS23d7lLL1IMfOCJ++WIiHtdrHYZg+o1NZIYB8/gArXL6bCNiBthnCT8g6
X4JbGmOtqwjAIYyCimbyaLUNblPmO8DSLawUouFvnZNN7dPkS9ID/sV6YIUGDi2mwrysTspkF4yt
34p0sE81zb8k8NP/EoAlmMOA6AbFeLocdFptdR+YnSlk/5wKcx/PtP2sMxfhZ0p9Z4ukXXEZf6hF
E4GGl9/WKBbcXx90NrWnqWXr66skRuGGMIJKTNpX57IAexDVQgu4Q1RnMFlCugh9m+2ntD5e37s+
XD88DlIse6iNbkuFGNihuqN9oO90K6AWFlAilSLLz9dt14cUkFFQa3VGwa388TDn3p4qvYMarV/7
vhXH0XfzbUgUVCmuvEeYZHkfFFyde2ARb29NpCrvhbwhUk1317elxsdhxrMdMbv4sfP1Q7GTz7qD
dd31U9e36ikF8lrp9uZ6+Ot7kNg1KBJTvX17r2egQ4UTdFxvZxhB+1z3Rvart+NFXtitCJGo+Pae
7evxhoQc/cLlJ1zPkUisGDGEPpYoTohlSAw5JrnZINDgQzrBOg/UsHmNICMwASaWbPp5o3perQmt
/XNq2bztKJ9XoHHMZqhe8j4PwWHJs7W0rHphI4F/WzF028qQ8gX03mY1BMyvTJugGiealzKd62Uf
zvF+urzE+KmxiFbZLZaI9cuAJb7GKIzeFBOf/DJUBtzvRrBFQJrFq9o9BkWHda0fP/mo5rcouS+R
WIRka2pgx9pO/gyU4aWC68YLBTP2gETzFBDGNL/ITtsduMd+VQn/IdDKnmu4p6xjhEht3RD5l7Cm
8zLnst1Prgheat6qRXTR80lgo31Nwxdi2y0hOVgfaqqfK/PKkGjx0oesuBMuefQcbAVaQoUpJx4d
umkGqzMfoCPuGrJVo1ZrHZJnyOaCcycK8GDMgHu9gCFpIJNkG48wPAmBzu5FLexL4kmDkuUwHK8v
I1If+ygo74fOAZoBYcMWt0WGC2NA8XzoEBNz/d1V7eeTH9uvcADQTxOgjLKesz0mJ+3y+jtt2IXb
xoftmjadf+EDvlca6HyboZ4BjQpXy+tD5BB4j7i/4CUs64+ij9EDCB2+xPA4gvOXfhodA/VAG7vR
U7bq4F3zEmvuTmpy366/O3Om3+eFmZfXjQCnzwn4NquhauUmNAF9gfa6WFEoaG+uLzPOAKrBUeKY
dlLcp64+973aoljDH2xCzBPDufO4SF+0p5jOzOEXbqPkBZ6S2Tbvuk1S6mgJw5LsBVdObxri5s1Y
8/RFjmhDpq8XKO2QW0X75NFofyxqdk97Rh6E649pMKRolZ08NlYFh4lKsGx4csgbFd8E9XlsvD6N
uaj3cWAfwY9dRAyLapEm9ZndF7B9O2YgZyRDukl0Qx8TEt1Epoz3HUYeMMT11idqR0S7mpxKbtB/
swPqH8nh+uz6AGyD3WQFfMEDwrZq0mxZpGITTHTvysJtQQ/+womdV65uo6Wde36YrYDuFMUMVgP0
UvTRQHcFqtYY7NOm3CaZN2sJ7vmdHVH0DwpgAmB0TifUENOIJJ/yIT0GkAag/2ftJqwa81AEybns
8o9T36gnYA3VDZSNj11eFsteym5REXlHO+8xvRynZT6rg/b+CTlBqNvYZqMRHn9jigJcuUgOyyYA
SyUeweEU2XyvS2jBDPjODdLCt5JEn4SF3UyfBvO6bqK/7YWnA4e5ZJtCjCNzOJW1Sf03OsKbvntQ
AXDiBNPyMT/AhGIhqgxuoMklgNTrGziIrYJMnGbSAlMesu/gK6JDGt0W4OA2luQi/UiiNeftZn4u
JaVb5hKEwNb9Zz8km6Ycj3naPGbl/Do2I9tonn23cbxrkzRa5KhLcvh8Cpp/sqh0s/k4pvQ+Ywh1
5X36aqN65UrnF6SBE0jPslfdl/tozuuN6N22BefwwHV/CAe6qqIODgpxQxdtHcASKFpPtVgy/SB7
fTEE0otkHl7iGqVXuLutQyFvG2RwgUcOpiLS7HED9Pm5ArUNqTrJCsMcSrEavIxsPiS9MheHBYUi
GlXbKJBQHisUwVAjX7VBedGexzeRnmG3WKCEddvNw5oEaX9guDLIb4JPSYIw5jwqjpC1fS0SFKya
x66Pk3WbYpSULbL2THTXRfVZDaB6Rvm4kJWLD52GtLO0Bew6ko+1zvWK9eFmLNRXBoXwEunSz713
K5XD1QkO5PiDkOpR4W9a2canS9p325iwTfQUtxk8QWcgeVmvT77tgZmse5JsyqHYWVtu+7a8gX1I
tsyn6AE97a6aETUopgSYO9PrMIWex07+NTf6Jp8ww2gRaL0An/B04j1up4qFmFcGcDcdwm2lJvTi
wYdsAoYBR74Hm4+PjIB2Rvs7k5cfnCwAGtAWRgAjWYDHtqxYFx2CtgX/ie3LigcLE7XgajQt2qIw
+BJuM4d+2BT4easIN2iiKsg+kkptu1OrYSTQBvicR1eLu7jxayMARrhqh7QpAYJDGdw8ikxMx/kp
7Wm3JXVULypgJota02YhmmZN4vFDJIpPYQ4j3ElVZ2omxNrgOy4bVyVb0QmytOUM8kUTkzV68hQc
B72p62AZcjE/eMDmM7jY2wTWGvBU/iZNgDrpENRoNbQ6oBorFgPYBLGM1JbM9D7ielvmpL/xBqkM
s/fhS28ddBFa3MIrp9qqENMF14efekjjlyPIEZvYdgMwIzRyyhpUYpCDd2IEXW3hQ4SJVgwTzsDd
iszFp9FvRzHbk589kPnSPIuGwAqt0IAtQH5EQHX5iYWkgAtPgMkS5pDpDJ7YMmqwOIPZ461I8mes
bHArome9b/Kly4LinmEVOITxvgwadaiHv8noPMo8XX+DWL4Fa5GLZ7MZZSJm0B3F0aFNHxoOZuac
J4+RzOJbl/TfoY2vTlS0wHODpr+ZZlADZ1QF+FiyhSf5lwrE3W0qwwo4ia92FxFLxvpDZehwm/en
vswi8PuAdKWDCRc7WKBf2OO7rhMC/3MWP0NVAIPFqmr2Ad2hU46PUt/akMBmvlW48gDF4IMUHycK
7nnUx/d9yv721V4G54Da8LW2EZjWhGNOHNAjjhUgrwMUC0wr+hEFigh/FTG4JpTjBpTzBDw+Htwx
FjPQ6g2pW/LCwZ7cDSk5hgWKscTEeqWg6HnhGnbXTmm3AkPqlDdRcoPIP1gztrdt/NVlli7QkC90
VNyNTPTZ3liU0g18LEjtD2WVNftSpcUaRPNnU+V3MJoQT8OlFBbK9GAKEi+7oEmODPK2hR1dsEM9
ZQe5PxC9rpxXdcjVrWDfVRnYj1M56m2c63BpAJ929RdSswCWP5NGYUEbBv5GsJ2EQ8OgCtaTtXn1
1vqHItqe5m5MNgz8iWV34YcO3K5ZPIN2XZRQMsNPaJ2X4lNPIGRuHCY3VcUgJoL93zS3595V3ZZ1
Zbk1Tf/UNJW+4UO40h6mky2yNdBGuwnOHfEnCazrnPU+3+eDOycZFEYpyl/JgjvyueCFfIBfGFtJ
Nw7HXLPs4AhFlkvuoxfQE55tWjbHZJ7IwsGTYYv2+g0h2ysOW927HkWyI59KsHiASy+qSJC9wGAH
DxAKi01JUoChCaCLsWvuwFa6S8Ej3nYDagHQYAZo0wCWJvxrRTAtk06YrdWUnDMQws5ZkK+my7wb
V9av4kkDxYKh9hq6Yo/iJMccoHJuowr7IJr5NIpR3uXNt67U2dqVtVpXHWr8Y4Apf+he4RCf3LYz
qBwTCNmgKIQfwTs4DEOTgrHjEuij0C2rgIO5SeyKhWDFZt5dCoBYrWYZbqU+eLX5TdTlZDmkaoFI
cL1A7ecVhYeWd2QZJh1fwchrB8U6fp58znVQgqTDnjMTPk13VQODKMcB7sy0CheaJWCdgSMjsPCG
Igh1XBwrTr8WFyNA/CkQ2PlXWucbMyTPcTi+mDnhN4zIJTDG+TDLsQPXK0LncHmGGcw/nvEYkaxB
A4Lwjw0ozLjF9en1ATLj9pBrvpRvG356Gs0UWaR9NG1+7JKJ/scJri+v53ORI1sQJz6+nfO/+x5F
C/eHwQ8owP7y/d4+y5pSr0XvxXK+nAZwP6hq704bBSh0Cn777m2s1pL1/4dk/o9UXBeR7e8hmeWr
f4Vp8DD+5/9qf0FlLrv9QGWy9C8QrmAjRWGRBmFdDlXvD0EXTf6CHOuiMIdbC8X2N0EXY39RwDLJ
xao6SZLgkgD6D1SGBn9d3oc8F1hODj0w/Z+gMr9KignOm9LsYqHzK96nk8hYy+W0gaZTD5jUAfiE
M1/XPP30d/xDQPazYOx3x3+nIe4bLkdQ7TwGMaRjLWU28nrFI0Cpy3/vBO8AS/iA8lF3ym5aWPwc
INRQB1hi1z9u+19kiT9//V91XP/8e9hFBveTEH72Jp5chaPrDFECQaYc2L3g7CQwiZA++GZTjFfB
1ASLf/1roNP7SQr1dr53EigzAvNW8xxseK/De5x9xOxklDcg/7s/eDX8CsK9neKdeLyOBlLMDKb9
sEbs1oiu3QlQH1dOu3OfRP/eVbngjL/8b+FIi4JzyJbm6qsKNZQ9eTrlf3JO/VWj+vYbLn/fT5el
i+vLNDvwGzSN4XPdlyFQLE5gfAdoDYF5Yp9jXv+H3/K7a3K5tX86WQ4/+DgeRr/RFkXZeoa5HxhN
H23ehX9wiPndGQC9/nyGAbY6oMvjDKg8w7pMx7QL11lKW5QXWda0f7i5ftMW32s2re9pAvVIs4mG
efoC30sBHmyTD39y1//d8d+1dV4COikb02xgxpzBOiKazz2czf9nIZpvF/1dSydg3hdyzJDlXDbt
ru1GuTOlTpYTa+PNv9X83sdccIv1QBn5i0fdNK46XIFNRSaoCjDzffjXp/hNj0LftXDmetBdoFnb
IOLhHEMDMmbIqInPsB4BTlwNp8T8QVn5uzO9a+haAQrmSBbf+HQaD9JhrT4mQf9kiSiWZeWDB6mw
2odmian1v/5xv+lb6Ltmr5Xp+2Ik47ZMYkSQWQ5tRJU44HDWIfp0mXIV/Uns+pu7jb7rAwoAV20G
D4rNaDiqMohIdvvCDcEf/Np/FTr/8257H+kN+XiRB0U0bnNI7aBbQYG+vS0ln6AcIUTIXZMMM3+2
WVlHW6Q6lOMtIVgt/amL+02fQN/1CbjHa9hMFnYD+kS7dVjir6DVB01PmX+zvdJ3Y79TNNcgndqN
hVuEQOW9o2eUQMkfGlN4aZhvnKK3v/Bdf5ADsq+FqOqttcEEGaLuRpu8TigA1QR8xgFmAqEOGN0x
APftci57GbxGvhhqDcsN+D78qQf/3W35rudgMPBLSQOb9szzYVqkyL2zRxFrJyAUVq1eppUf+z+Y
Ev7mwsXvpgw5s7gdBTSfQ4rVXgoHPoL1LbjNC91lfzKe/c3N/94RaLSDGIa5gxgZ7iOfCEMq4UIx
I+gfxrzfDLDvHWayCnR860IwASvF9N+ulzNdxFEh6hvTcPMNlIN+M8euZ38YAn/TWV3dPX8aZD2k
orHVdblRnqAgEMC8L30wBZf9XVdMVuxAo6zM3ld5Zh7jQhP78q+7rN9drnfdSGjC0WuvsQgGAALN
6oj5Nqz6+xEwbqlR6vn3TnO5kD/9vnJKBNT6QblJkID+CAdkCANqU36fnA3iP5wDzv//fYt7744l
8LeAlhvTLVBI4GAWVrnhjqoSZTk2kQLUjLDGrd/YlqZHEtYTEPkZtE/UpV0zbMH8KsZVHkNTD8UC
Zlj3gxmmds01HVENczYKx+OYZ7KCwU9gi1WfMw7RZmWlv4nYZPxRdjmjfzeKwHaBcI64kRT8Swq/
x6EuwZV3pO5fm64tZ722NZ/zrwpsf9SokT/cT0sJeB/l1yaN6q8c1rHQaQyAHO6dsDrZjTl0JggI
JMkAgXKlwIZPWhbeRxQKeWQFeQG+reqiNYNChcNT3bax+YzyngCYB10vXWVkLi8z36Fj30aqOH/w
aSyz6H7iroXtXGkgdxpXYxcO9drJC4m+KMEeeow7J/IDl0ByvrpqEsMxbbp+RppoD8pYHeZ+7hc2
aI07BqYZxscm6x3UhviW0Sugw8yupIUFrVygzI+C98L22az9YkbcIblgCEetJSAZeM2YuNp4uNlC
i19dSkQL1020CVFlQR39M9wcRPBsyjrIXkFSYtmXlrPQfR0b+O9+rsaQoU6oLQWAWoJQlohlk2G8
yteFA2cAaqbEmPBjOnZTBQo1ZEl2XXeD+gYeXQdrBKIb+Kcjc+4jQfZit2+pD/C/JJhyYxQMJYwu
HpPBx6PBaoh7/Zr1amD3fRCy8VkDXgnuG6jmu2NsY4bWnCttnjwEL9C7DrmYwCZzTddQlLWMyMxq
zBrQ3JHVAvhrKdN2LvcGnp4Qw8ooLY+u4mm9qYZiwMEchXs4pDzJqPoW4Edl0s9pp6b2ax5NGuI+
o7PiGQhWF3/lDfrdfWLhwT8tZotb8ViTvHUHYlIJCUYQ5pAyapfJMl74VNvoDpifbI8O3GiUPEmf
JI+kiToU4DJVWjGjbl4OTMHMSdccWhWR6mMTduOOpkOZLX0jMZJ2faD8I9QDYVDDkBv+VPC5h/fv
vCmUgAwHWh5dcGg9a4iPl3U7wFVppvRSaLScwRoDShXST99yJTpIuxvwiErwzethgOg7UtCfAwiE
wwMiWzMQvz1GtLZrbnNaQaCAYhTCISDno5WdPjUZjdIXHvRm3MPTALOGLvHwOkWyl7Yfg4EB1CJ0
6PMPaJKFuiuHWJd7WOmWDjQxBWP+Gx3mOQClekTu3OPQNfN8ioWpsseMtmb4lsRgAH8Hpyg30Lsk
qDaOuLutitQymaKscwteZlJ9zhIZFA/53Emggaqfy3Y96fKS6JYPNszWomlLtUM5Gxbk0FXAaBHU
btTB1Y1Loz75rMq84s8pbFVLlCpjlClgxtShhM1KBuDTwlzhkjUDC4zjJHqC0GkuUtDw3DiO5sT6
VHWHUgNJ33oZgH/QyioNbmAmko/rDLwbVNddPBO5BzlAhR/KZiqL09hJHz4liH2vN0XCTTUtEJqb
w2kjABIP9s5oJRC2hHnkIQSa3skZNWSO9WExQeg9lG3f7MYW7EMZIeU74AreKg0sb9jH1BnbrDNE
ccGcpRdZc57NNMxQv8V0XAUSyUN3NoFJ90p3VVSuwQXCOKssn5Ndnwfgv1jZc+QpxMpZ1E1nEAuW
UVBdFPVljMayLtqJD0cV0qK/6cTY4xfONIJ2Fha4RZXPC4o1Z/w4+rkpHlD1VwK5jKmhcJH3uqWd
QnEfsRU5mLThTQcP45fEuOxzCupABQatmiAsHPpKmm06NF59AwpTk3A5wmMCIss0txWgUDrAoo8j
iirYMgE67k4mdQqMMKniGngGLcPsFNggB2ezjOr50Cakz27hE5fBKweB5aDztqMf+S3k6zFa7DCD
FwXDWdhA1IgIEW0CNXnSx8OShLKt84OtB9wvh9nNVdyBTFx4D8gxRFD5Uy4Gnmanog1kVO28xbgm
QauAPBm1VB5O6ZMWsfLLLgyD4SvJJxjK2yhXkIhD5jDiDlCWQBJVAA8yLRvBhI9U6P0umgeXf2uE
zvpmQcOqQBUltaJvnionebSHDFS+ympGhue6yFVswPckNZhcSR5acAdNHoltrICv38AVRJOPM4A/
SGjhQNKtJ9Gx9FV1F1VFCpLBeJzybLQbGDbM49KLVuJetx08ZXiHnFD4csBCHsxWKqPVRBTVt6F3
kKiC1eblMsnnC6YQqRzeAnEYX1DSrOHZ3w088DhfJAMdwnWVoAK1A/jbQSMS9aAowXQEnXFxbq2O
aghkIgCBqaoCBGhwNrZHgOLmI8w6+/Kgh9jBIbABCa1dikaCDIqKgINaDBiiHVZYBYruoYJqwn8w
GWAcKM0RmPSxatFf3mZjbsq7meZVusEq0ptT4Wmhb6X2DSxoZpfArhknjqZVE86t28djPl5ViRcB
PCkEjCHiuS6SQ2SSPlgjMoqQVcW1jzbGQ+vwonNEcwZIQ4Cq+gYDFAQxVTP65LkauxKATAGp+xeE
8pnskwgjiHUgpQJIV1ckFltjpxTY0cSEXsKHtLffygm9w8qUwVzdZ+DtQoEY6z7dtsLP7dIy0jff
VVK2+mEIe5OfBxjskaNqleS7GmsvIRdTGQ398yR1G32bGph3vUBcNumDgakPDD8YneGSk01B393a
vBkioKcdeqF4gXzVZtrDRjPzXxiGZ+SL+tpJsYCFCjUXZ4bKfPTjpFi9DKAwyTAdouISKWmBP81g
AiHywSHraWPK2T8M8VTPG6HnqAOW1AlIEtVUZhPm42LIV1WoYcGok5jbr8nUI0Fg0adaW/AXIg7p
FIoxXjyRqWjb7VDFWfP10o8E81f0tzLZDqU0/izgFhSf8g7+CBKCHA3HjnlSrth6OpYoEwl0IvTk
gEyzVeRGRsECUXVxn5ZGm5Vv2zpdt6RK0s8kaKPqvgTEyr9Zo1BPXrOL+HvLgynLdzNcdY92gAji
eTLwXsiXNNSdhjAdrn0Ro52GCJ6ydiWmuKnXk436el4Fk0mKvTEdAfVXxd49MC9q+wL0vBeH2BmO
uPQsG2GWKKt4NkgTVFH6sUOweLdyLVrMMvU1ZoNwoqyrLYO0J7yRqRyrjVEhRmQk/3T6Q+pg4LoR
YJnxQyzjWa2LzIweOnKSyXWPBD79yDvc10ck6ikDDw6wxEdwymEZvh6bDiuifoyqi0tSawu5MFmi
0ltZspoesESqBdQGvFs1gLf7B1gUMITkVFNtnwJRDPqhnbsKpa0GxvafDHqf7sOoCJPPQzlF43NH
TGQ/dr3NokM0jOABokPAJb4ZjCL23Ii+tB9KaOa/I+nEtacC7H6/Qy5PzFEeddwdL86UEJWCo+c2
zPiWHVQXpmCvcJBJdllrShCUSJT04WLGjBsugmAwjAcG1yOzhdVQO66J1wyDbtDV8U1IedqdkwJp
8ociIDHdGdn1OV2B8Zdk60rPavzUMV/NcAEL7eV+gIxvehIAa/Ru6sKoXcYepRS5BIVtik4mx1Qf
kcC0G6ctHD6DKd+ANlynF/JKGTymIiSD2Aa2TuG0BSNo9int4R5z2+OOjb921YWBBsmcs1l4C54+
i93axEBZoYZvXalWUqBc/GhFHlf3sMekEA+CSmBugl6FaItZ3YbsIJFET3Zdlg/jQhOYke5rRibw
OjEij0DdMcFxn60pM7VP4HdW7Ww8WLsTGAj9uoQ/rdlhiVBD2RhhunaKmworklgyXZ67sE0pgr1H
V681VHJ6WcQuiO4tpgb8O8KYJ3qYUFRi2wjLNv0FQDutdwpqjBxiQVhWopF1Nki+ZkNf5NUlYBGe
uJjQcFdvO4AGkL5RG7FDG0xp8xzF8D7YTIwwjEh+KuTHKYDJCdoR2u4GcgCvvmukxYbjLpCNg9yt
FRmBhhmSDXTaEilIdt22rE5ONM2YQsxvXEGsmIeVw9rHwudmPkYUcWOrGWp4twMihgbNG99dxKoS
0lA19yzUyIRDqzELUDbU/A0dCmTwS5pindQhg0qV1dIQ5sIXC3ZTgro3b9J1UzMWLMIgqcQ9B/UR
2kjniny+TRp0dduhb4LqBnLDxt2GCaI2FnUaeHdqo6SIb9XISL4K0SYYZt4NEkKKDqR58DbzfFqV
KocpTgtCrlt1CCmXWzLOkceyMYUihzuW2b1KqYRzrSdpCLOYIZj1PQPaoJbop7p5yycN7d+iBPMj
eASgL5I9idrRfILYQ+YnT8FZfUSykx9f8wi93Q0463F4OxVp7lYlD5RdwVpMmZWx3hsKMl6TiQ0f
GdgPgaoKaGFHLKXhOJCE8LWaMMrew+SdT38jIr4zy47r5qtCt9rvnYrrS2A3VROEoYWMR7f0dWPA
MuBFZfsl4WFp64UUEwKQqInotGcUIcdwdoVk037xyCSEEUhUyCQA08VkqV1SlbQhGp/XmAgHeUva
+1LYorvEhgByA4liJtdsIniwzrIlKl7KsA/KRdiaTH4MCxXCbTcNLGJUEzAeMqhiTFxrWE7pKWiR
AqoMP9BmGAgUYrGVe6G1GT8oC7McuYRxpwLJEEu/eYx2Lm+7LoSQtCrFl8CQptP/m7ozWY4b2bbs
F+EaejimAKJnsCclagJTkwIcfd99fS3oZllRkSJpL60mb5JplkoFIgB3h/s5e6/tOeY4CXmG21i4
JmPCCIvPblwbzpU1lqSqoEAaFMR80MiEQA4hbcTR2IWhbNUlZOinoXArE0PwKJUmA7HrDJh5IlUt
5ZZNrWn4gvNt2L2Ui6sUR61M2vixkXosb2bbifR9o2gVeUw1W5SvmB7CAZo0vlakT6y18S5saBpR
Eh6MobpVutqUT24l5/5E/qipVB7a9i6NPVYilROCNSTtl9yuBW/O2nLiLRo5RBCMmcbFhIdWG2Gg
NkiIzFJt6Ui0FUuc2zaiOeEZVayDmXHSO5dzUYkXLZ9S15c1om2SAhYT6zBpevCuOMunlrGNHIt4
V4OKa/1j1jSDickXoOCKwocdIpKx+QXsF4OwsHQnfJC91hUjxithabswlDMDmZSkYddXcSi+uu4a
r6PXdQbtYLGHclg8ZNkoq5IYDOq065Chmg9uM6gcP+NsSVHRs1cMkWsS73oz2L2oNkZda80T3Xkx
TZ6TxdoiWZDhgm4syuqwJetKR0ETTl12MsgSGs5LWmnJbdZKtduzjQZtWLUzpprKVcPuLJkROv6/
QldvjEbKdGu0mTRQFBVQOgoEk+VpQqlcBxMvaAyF5qyLBK61q6Tn2ar4A1Ln4MBNY22ZcqU/OBVc
KMcZ2OQqmMRqxS+1VA01yAKJCmXADRdd/4s6wwr5A/vNuwwaXZI+J1KUy22v9MjWKD5VfoeH+okz
xVQAXVb0+jpCRVB9E26fUSLi5KqpPyKIQYtv6aGrPZLPE9bfpz6yrfuoH3EaRKGJzEY6uNgiv7eL
sdIDKw6xlmHuKkjKsEvVDinS9GyqqT9NZIqA9XK3uigatfFCzXAy62hlZmG/yJiX7YuTz5iqN8y2
HqP9krrDY8LWpaYSxtwnxbivkPhs9NTRzXYLrqY3XHgYWUjQqqUV9leKYcy8gNJwrjy6LkAz2D0d
Wi7bKxaYxu3RynO7eokMtmuRx4pc6PKu6JGCZSe+/Nx0+1azZst5zLLJ6YsnluURuqXkoeObsiJr
8MMsgfGV0Jyod1ImeTn6zgy9whH7NBT40bwCfXI0HkvS0CbD8MNOY23xEK63zU1ViSZ6ZjMMdBV6
blpS+kuMijaipS3KY4oIcoDFxTf8kids7g4xKr7qJaRWomzJqVJgfI1uRkjUZGbLI4nobnpUeAbT
5zaKFja1c1R230ZK/3HhITDNG4Gkt3GXv3iryhRylE64e3lojQLxomcJUl1oW+kmhMnM5Mj8vbKr
ZXjuxSIo+RALM0PwlGP6icNslt9TfLKiu3SZ3KbxQz0T2ffaGvr6CrXrEj5JXZTGsdCbpULcyJnl
LiM5FkBXn5eLw+ruxKn6VMiwEzD6JYpw3TeI0JBbLYk5c1MWqvXmZBclkhif5mQGwk6rsJR/Thpo
qM+CIocuD0TVFSaquo4ISQ/PCPw7Y7KwOqG3rjvr3jZKfXSCzCGp7alTcRNW7CkXESI5w6zHuE+G
2m4m2i9T2IW7MLMT8j1CwRx5GOGcmEVgRnOOtb+PurRXr628qgz9gMIqbaYvWRkaSlAh/FQwumcl
9IOexT1HAN33IxQaG6RXf1LaMI1dfwFCz28zEmoKsZ+0HWzdXV3biXpQKu6SGqTKpIFqtQGHARPs
HITagR2mg3O1IJMR9cEC/VrdhkVjWjXLE7oMypxO7eZnlu1pui+EO+deac4qcBUSpNhCE4QNMoRX
wnjfqg6qwuPSRn396VfX4v83lvt/lcWevtzbeq4TRJmvvwm5dP7//wq5TO0/xNUQWUONBDq6szrl
/yvkwkOPjN3mT1TSEti00d36215v/geFlmOQi02GsgAkxx/9LeRS+DOBrUtVbYOMZQ217/9EyfXn
hrX6i4b9qsPURQAhRQc/x0qsx6mamGZW9FJS3fRHvcA1Yn0bJuBOciE64NW9+YO46xdy/A8tXvUy
UyZKWWAiOybqPXey8ch6OThHd8rLTY6q9nvaTfEhtcLyyo5jMMTtUty5stSh8jbggqrZ2PRWOF7N
1PM2OQgOkBuhEVCGEBTtRYuDZR6CrC+iYDTY/i34fXLPmEx+5uBY8oFDIkXfeR7QmDsSA2+afh0y
q7/jTVp8EZPdfS1NfdKf8xnRC+viUB5gPqotbhFTiynJVf10iCfYx0VcjuMukXNlf4aTlsZXi0YT
En6bUqV+FI84NqCoRhGWQWrqfsX+aHhy5GRB3jL0evYBdjjq3jVHk9BmDKxfWqGNZ97ICvDnVdne
WL1201Kcv8oSRgl/LdZ5sZNKfa+XvQUm0FX2USLNAxsdZduVtbOpiHgr/GrMIn+Ktf4c464+LmTo
eVldmFBF00ghecHUkfo6oEcVLWlt38Iuc4MChKatS75nTkU3M4qblreBWboUzmLPtMZvEbpsdj+f
4qjGgodfu+iobcgjvOVt6Ha7xlI2iwPmAP14O6QjuQach6LEmwHaiMHxu8rZpEPmd6uc2S2O9G4f
etpakS32hTsErlVgvDY2Fu4nL6b7MCs2p67FaxxU/472ZFV4bKLsKoXyx66uCEAU47NKjgryWXUW
gU2dX8k0PAk5xmn6B1H4WOhOMIkW7O+EK8baDxLvXZKAHxJof+1izf4FQGX1Hj2iR7MeTzNaZDqa
gWGwRWa/HNiq3ITricVd2h9aMp2a2fBN83OrjD4+Qb9la0b0NGdkDRJ6HcTkkrSKHVjTQhSImXgJ
m/xYJoB2NO2w/mWlMzcpvO05FkdzSsGKl7ipKiCKlGom5zgsBE/k97D++Sv6jmDoIJ4xatjLcZ7a
BypKW6OKgrgvfTUd9mq+qjHjp27U9+FKSmDIM+yvU43SO7HKudAIMLF3eg+2EBrdkBfBhPadEvfR
qY3PS7kGTqe+AISYx9MPOQB1Scm6anK4G/rk2y3Of9s6Alr8NDU/ssjxY0vZdcO4m02w1wkPRmET
2tjXWTL6NuSwKWsPoT3daUt0TNvyoR2yTdoP98Zk4HqzrovIPbfAM1rCUzi+78VsUXJ3twnlfZpJ
WfY1rfoRXMDSoqMsli2b00OWYdXVow4q7LJzbCUYdW7/DMhTVe+n2SSMq3rQOE6sAMyZvXN3VRfk
PQ3qcZz1+0Rw0LFb466JtC3gxU+JBpejxYGdKNwyF0ktDEq3JLJD8fWmuaUuv5vyzitLV3qlLixS
fHo7fnFLEjVGAcON/cR1p0QbcEAQEetDwxOEirRJa3EG3c8dhJJfzr6uUdZiygk1vSpMwM/yJ08B
qwFnuGQ9OH3JQ9Jwk+mW2vBZdvhKo0jzVXt61utxBxz1bLh2UCdQYI3oQFnnsDgpB4zmarANFfuP
cWP3JqQhEnNyJpKyfMU4sSmjbjtPWRDJfDWTwW6FXt1NbLUcn4X/ZLM1qXKq90NyLBrtnGnRPhLV
NSNdHaLvdqUAA+nuNK3MGVKjTzlnR3F/Y1IqB7EOl2ROvkG8YEPHDshDIdSc8j66mlIoyX5cyA4z
hu4kPWcSt3owIgumBmnOtUUR2CuNkZQsNdnFbT5y+irP+KhSxixHkoSK6WbRrB3MBoZ51Ou7ZhSD
p2aL9qUNXRcANYVqeLPKeYhYfDI6I2fDiL/XGKb9qc9G3FzUSC2ObYV+zJNeXCNRcSt6FDNN57Bz
/U5zDF8reCfQ6+6OGf1B3hmlm36ZK2l9AjMuXhL2ZyC1Ksx9YOV241QBiaX4XFkdStVu3o/YnSjG
crbFUf9SgkNnfEb6bplq7CDw41f0J2m5wPri4Uq2+nnSsVLX8SdC3Q9L4kDxtO5DO8QaPbB60P0y
xGMeKX+50cx6bX3OZHIgd+6pjayNxMI2TwAy8uVnZiLG1vG/KVpG/bY510TTeLkswoCgoHjHiWJ+
nMoFQ4cBiBzYXdTne33RDkkB/EDTP5XKFGC7ouycWOe+w9/WVCMnoW72KMPchotL7oHy0NgO42/Y
hVK9ZV3/7OY9aFK3OND4v8dct6l7umOGCPdxjqUP7ehhieajRtiHMWnHdFy+pcivPcdOj/aSPaZx
/bxI8aIYtNxrK72T43hy4QVWLYQulsebpjQOtqHdIAQetknZbtqaxaSyn5x+XWbV8Zp3rLU20Wd6
DU1PyTa5dwbtNPB2zWP53c36s9MpvCT1EDGhm+35Zi/dDIoi725H1Sq2Nhwv9CpXk3Q52I4Dz0Um
+yi1TnO1vMBhgHRf70j02c88NBnB1gnjATu4/tVpir06xLHfljPRyHa1Qwv6KaKcyvMiRh4jpjtp
9wuA7gAT85cJqMpiW58stynWmgRGy6IMqDH8xBe5W/0ySUy+ZK5fj2a4js3rRjI72/hElhrRART9
TfYVD+uecduUbh30NpjYOu2j76YCEjpLR/NaMYzhxXJqciXwx2N/dCoAimy5ULRhyzMwUyOuaw6K
OgKk03BX9r3zwzASZcsgoGNs4mxe0nG+CnVbUK/Ux0DVhLtxGmveVk4HcXyMrruRgpc7JPpWj+ck
mKlGfiJmrPik8aLNUl68I/uLXc3hlbijYTzCNYroPmrpdVXrmIPLrLpv6XI/TaHd7ovQACVgF9pV
SpHPc4Y580tOhEQDp+2XOKlbBWrdqIKHHkqo2mqkEPVEXZBqaE2WhAhVnGjqvJO2UhI3ulAL9IeK
mL3JCvtjM1fJhlN/smu7gk2AhQ0zD6nmWUMHhmkeJvylqTNdVUlo7wqL2A+yjNh+aC1E3mTKE6/C
sO5VtNbYMVumfqiE2ZxMpVujYuz0VmupiuFuj24Hsiu9MRIxsjADo2a5BkzFdeLTNnY825jBh3NQ
7T9HYzteGw1KD68Y8HjbgGaOJMbXe6Wf8i1xpPYOlA8wKkWdbK+G17SJkjL7Ll2ru2UvrXzROMoe
2kgDZSLtKvaNeao2ysT/LZH7BRl7ZB/OGgaEuRlm8HaxeKlh+BzxODPcUVhuCl2J96MmNSylMt2n
TqYB2RFrNkEW+uEC3s5qaVLOGcx0fUJ4OXRtda0sORlZ6tJQUJpH17kxEIpwnh7kQIUgpHYLO1l7
UGoHGitwuHNHMMaOjVYDB38xGs1LZWMZXqJTwA6aNWxyTy093VYDMzcNlsihSPMAH2OqwrODCi4J
/dK1+iJ9LMSsQVNwyOnpftSJEU3qthdzX35estQ0eAx2I8zjSFN3otbexjMT3CUOUNvni9aMtzjR
1j1d1yJwmjsZTpuxDxOiVRoKRyclW3QSTnlc8b7FpZ34DsSj5B6RSE/uCx3SYvhi2bGsv2jKrEEF
UOepy1X+BCg+uoylG5UsWDSos49kC5TWM9woK3mIzZwQGFp5ukEPbDLReTRxD+XZavtKeP1QaMMV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eiLMvI521w29qWxawOnSVy09M706Bau+GthleAxF4uTHeARQchOpGttcvWwMQt06vDaPjmGmBqHc
+HhAdi+JsjwvtcLhZhGNQ1bRyO845jFoiT0SmU57chxomNtSG4V757hzowaOMKNw70bjXD0aaQ02
Cg5KpJ3JDKCSUtIEZuOSmvNCcEszGrdTSerbI1YfUnF6q8CkmhpztVdFZ9O9sORseCHz56fZTJ12
TvPyUHUZ64s16ulysENzhI9QjcXKsZ04uNZSLYbvtJbb9FsmqBmebFeYVNU6LcWDTqqBC/y6HyzA
/11dp/V3GGUWOUF1wR5nWTLD9LoFBpzypM0iprDtRXXWsxFsR0MpEM05S5wmd7UCQ59XOqGT8mYJ
e5u4GPJR2qBx6Dv69qDMAPQqeKd7xHkN78imjqZdHprdtHAwpN2jKYf3KwF/VtGqvyTgr4oPUnI4
HBpAAU0L98B8HKnazvEHUvw3Phz84G/aWaDAmTItrLLC+SxK9riQ+Xuoue9/9T+Lw38VZl4rc81F
1P26NHhj4lxV7XKaewidU3ttkgDy/iXe+gEXTgxTlR2ivZR3zkh0CkIxeR4Ep2PDKNsPfsVbl1h/
3asHkFVlbCxkCpGj1kUQfsA7zXRRgZwH/+43rBd+fQE7m0HIcIGpmCXFB7N1DE/TK/qqMdCP/oOS
0p+F5yqlsN8u4yZjTF2Tp9ED5wrx6+sFhVNCJtRuClrtx/s/5o1a2VrBe/1jnEFVqhzglmcZz4ID
deImUNxhK2pLQEy3P8YntJsf/KSLPLr/64NQVf33q2WNkaj5SAySqo7QM9x0NDSPNsYaoGmJ7Dpd
yKf262FUWt+lLo22jA0KxIaRNlagZpP1TSFw8oM46LfG+4Uro6qLucHnHXslrC5D3Jeh6xMLRY7R
v7u3F2YLrahZGDWWAvIM6rNlMkCW3HpSo3gibi7fFtEaFaBOkNGy4fr9a/5x9BOtfrFCGBbOCrvl
N5lON5xqYEo+M6I4OA5w8393idW48Gr8m0MEyqNjyISkkGKKoJj5o4h+vv/hfxyPfP+LBUJx3Vqz
cwIUrZm43LFDUNh/loo8apF2ED0LONSiuc0/uNxbt+tisaAJQ1VbWR8RFOGGxLq8NfwBK9j7v2ad
q//w/fBrLpYKdMBa62Cloz2Jbi+r2rMqxv37n32Ryv33ZOLDLxYIQEWqmGYmE24R6sVwLjibCkQ/
lABFJJ+jJKLoRns4T3x9scmtRxNffo0pNo8cQ5z8v62RN53Bf5xGfI+LJYSwFn1MWMlZDydQbJUq
zzFoGV6rMerFuXI+mK5vDY2LxYPErWFYoFt5XZGeRJIcnHTZSI5ElAuWUW7K5aRnn9+/uW89uIul
AeHWuvvjWiCfrgU1AxjVu/c/+s9mMO7XxbIw0aMcRpXP1qYTOtptEevsO0vqu2Ow1N9qQzvkjg4D
LvpgpLwxyMXFmpCQnhNKwQXX4HI1rLxe43zTVR8M8jee/6/w7FfrQbMMOpYlPtLu0pnPNq6QBHxB
PUuiokPa1/u37a2rXCwMaO0xMkhmaqUh5m1WpRTxZSMYJzSpHyzYb92oi9UAeVmZr/RJz86q7eCI
Z1Kfj4iIP3jybwwqcbEayLrVFnLRKMXa+q5PG8LMjKf3784bcwMCwm9rcptXowJNnmU/HDc1AdS2
qVChOJiAV824vLKU+dh3j+9fbL3lf1jVfnmuXj1wTBV1Vaxb3PUioG8Dqj+xNZ8Ij1zL/P/uIpez
HdqwWacsnTKpzF1d9AmvhEz1obkdKfNVXg115v1LvfXYLya70QhFIIpG8a82bBhjvzKL/Tw9v//p
bz2ai+mOwXkcuoztYljo6QMYxpPFgXV2YoCm8kaG1R12j2diWOQH6+QbM8W5mO5VXzI1wPbS1xKo
p8wCX3BN+wP4h0eU0b9bVBzx+4hrhEpdcX1zNplCCfh7lCW+YD/z/k3T3pgrzsV0n6Wdp2nKmlXI
6GzTL0DRiPo8v49y9PQy/SuP7Z9WSrnbrPu9JC3Rg+F/74BAHzX39v1v8cZA/0VvfzXQldQe9LRl
DNaLOHVkNYx1Sz1w9q32u6YnwftXeWP4Oet/f3UVSDWm263vAw7lX4cxe+rM6qirH+0T3rqT639/
9fH0kFQCUxjdxFEOxM0V8fzBQ3rr9ly8+ImAxzCv18QWuZEDkbRyz32WKBRAc3NvII2/JYbT/uBZ
vPUzLtYDXfTzEts8C47Xhr7jvBX2uxnUnvbBufGtX3OxChSjkZiKxmOwTZqdcb4TxnaKzb1ttUj4
du8/67fm5sVi0MMfmzl4x0To7TVmi2y+pO73ePpXYAsV+e/vDzu1rUGW6xFe5d+nKLbG7bwkzQcL
5Ru3yL6Y83alhsOcri+wNtxN2rjX4cF1GR3Enq6vun3/Hv1KJf/D+8VeL/9qxIb1gMCNeo/Xx4IO
aj4jjnZ0uoMNlmtxpc3qVW80T8aiXulzeIe5iqZXv/it4z68/xXeeEz2+t9ffQOHjSxAMxY3uPTB
2uSjr+5boGfhXP27K1xMel44I2wQrlBkVQfvjgYhRksXx0Ty2S2qf7e02Bdz30VHizSaMY18g8zf
htZVsROF9S8//mIBWHoBS7umt9zms7OhR9/sBKZJIruy+t9NmEsqE+kHEI3Wlxl6eh9ZxYzqZRLX
SvYR+mEdu38abBfTfkC3qGNgY6ffGXfIVh4QdTwbono0Y+OmLcSWYOr6gwXzrWF1MfvzJV5qPWIr
UORmdxyc+aiW451bt3ez2w8fjKw3XieXoCYxp6HM6NF4hrEYyjGXSyLBZaomJD27cdwPfssba4F1
sRbomQugr+O1EhsJARO2RzMLjYmfR082UVLvzxJ9vTN/eDrWxVLQZlNEd5v1jGRSdCvU9SU6iE6B
kZlqL01lPup9+BLN6knq+a4ZUM/n/TXIo204J/f4DxE3d4lOw1DZ0pRAZS78stbvfn29/5Eo8JNM
ZfXXD/n1f0Gqzso3eVvx9/AXcqirr8X3r69lf+vf+Rvfpv1nzb8xYK7xD9dYNyz/Vf057n/IsVFR
cLqOZqPf4fXzt+rP/Y8wLGG6qAE53SBbZU78rfqzkAoKFyGgZThwFdbP+x+F6vw2VGxXN9fvpcOV
A2zqqpdDZlxGtSqmot+YOyxp22mPnmab3jZe5cMu/mBgar/PMq5GQxR9o+Oa8BiQLl68cOmYdejt
zGZTb4bA9MV59uW+3Zm3MMt86LjX6db5YLW9qJ7+45qXBYQ6Tko9ycAFOzfjxtyUO4A4O6jVXhoo
wUfn7Q+vdrFA6mGBNi7navFB7NJ9dCTKMLCO69U+vp/r7fp/8/zXTzMcR3d/DRXNudz2C2m7bQsb
d5McEN8c0x3ttq2+Tz54m2i/r1q/rgNuS9VN3bZ+jWG+x6sXPIuDdAC2YiMM1sdmBHKT71ovCYia
9sHO+t2dvBn3yUfDhUlz+ft+u+7FqjnnxLiAzy43w5ZMjU296z45fnkF53fbfqr3r6bt7X9v22tU
358e3W9XuxicWG+rAvtXuRn9cUOCQEBYG7JHrz7Yp/lkfLAz135/hf7jppoXr7fCqTM1cY1yk5Ve
NngG77kAOq9fnJItLVevD2yoxX6zqx+b3YePdB2HF0Pn9Y81L8Yp0BBRAnJaf+wQ6M9YGnewW3z5
0u3aD27sn36oxTZ9HaXgoS+BW6jDykKrf20H78Mh8bTwq9KFe9387ta3RG9/NOH/NFoFBV5DM23N
ZiH9fbQqPTB7XU/KjXq0tlNxtj7Vf4UvZjBs9CANsqcSloqx7W+Vl4/WGtjMf7itr6+97mVezRQ8
G8uiqFy71THHrszb6Jij6d1FEGQPPbmRRVBwLrurYRbt2gkXIbb18UjALK4wiTopqULlW5Tk6bNV
jdZBJvR7fHz43Z0+uBjfl7iVh3kySGwlheKzTXhVtQ9FQSZMin5Yd5N8oy+V+gWtg+5HSTGf7Vig
END0jkz5aImCBsEslsROsa5SnaiGfbqy8R3TTM0N4J8R0K5ZdCHWilxR/KpsmiTQVCkBwsll8DJN
Sz/N/KBNKKxhTR6Z7TtS03QShfJO9KcZT8u40k9AX5qQpu9kZqu4PPsmO1vd2gXEeVd+s5epuW6l
Md+OTdnRoo9WF2VY3jX1mP6l1pFZ7nthGH8tZiH6DVq5RgKIy/NmY9EDcz3+0aeIFsJBD+ICz9NT
lPNO3amYV8aTNatNspktlyzLltwdKmLjHO7RF2WO15b4e/xxgLkcp22xmYXh3BQdRidKKC0BkLi5
nbt8UuVXbFODtgE4gU9nKKfxbA8SrctE6hQeJ+noz8A5kGCY7hC/cJwE/DKC6EC7FAIHwS1YoFNK
ulF+HjleXDWONn0xTAmoWzXK+7DPjMfeGrObRLPBOzjU7G9t2FI3yZJGj2MPdmLIzWiXl5OzQUWF
KmJkTeQUYRaOXw3kvvep3R1nN0t9oC7lsSEh9hqH6+RXqaYHUmrodcJKgLMn58SswP6bBarcoiEE
pDf7ZjtnLa97biA5eE3zaFNeu+vchkRibJtXSa8Y99D5642uIaBG+K5dh1aLpGVGFlDXvOxUWFGf
TKmu4pU5zHSQX0M1Bz1gRPXQDGlZ7BMry69qYQPrdlEUjWhu8yoYw3K0trJIc+2HsB3DDoghAeMS
GmoN9t3oFecnsZ7E8wVxO0X9c8G3cZ57AkPo28AvQOzhxoSYTqaaZ0E3gUoKMH0v2bYfBXHkQHGW
TTQSgBxCi0o4MTpp7+vryoeft7vLGLxfChAzm7qLx6DGSrzV54lTR4qH+5ubdVJAn12z4Zt2jWiK
UcLk0mZnjJNHf6YfbBElwjYtC4TeKf5sRMoXPcxzIrcwCKldT5RdHkGXnQmuqCsr3oyKGH3AoOXG
4JbtkPm0uEpNtK17PJWV2CV6SvCVyCrLG/D0IShOzIfISAgjqRQd6X2RRGc4KMYN4SjLZh5cPUBQ
WPBF3VoJ0sWyOGUA0dJ9YAtKh0AuAyWUAybzJ1Xpn9uorv3RVBDaz4N6KHVZfV6duqaHgFjbNK7m
bBDEZY0XhcUp63/Gyq1r7heVOD+EKZuwqJu9HPtBe4jJt06CGJ5N4+Pr3SMnAiFfqxF6JRX2yhUO
WqKa88murmrqdmi0E318CWEKPy6xZuReB5ll507qlbJUSeoZIx1TH8oHWm8O4VILRtVZHrtSGMcI
K9bGyvvsqNkRKRDkbHcbtEAl6H67wKjcTXSEQjUg63n0MKwh1dOmHncCU7I5hYkrlIANE/Jqu85T
1esXuEP7RU50m5uqNG/DNGruCxCnXo8nzyeZmpug9zNq+W4RnQS8A4XsJq9Rrt3ATWtr+tU40Qu8
aDXapSxkYDe4vw3ysW+nwTCVgH0VglgkwjoLD/AOyAI6EeobJ3GKR+n88qK6YxW4CF8hmYWs02k1
bma4RiTqQswnyP1u7rB/g3sBiB/HxVFnIrwkkzKdFdkC4VlSLAkQSK/qZNCCmF2jXxbqo5ZG+RcU
wlFQt+14dCrjbHRC9WpkVP7CvAJWipy8ZVKsTkCBPx5pUFMQDYaj785I9drXc00cksrWTpNbPYJ2
EH7b67eyEnZQaeIoOuulMhoTWwoItjA1TTtA4VZux0RPtm4umOtqTjgRStcAE6d1B+VF9LSNrOI7
wvf+NgYfd0wStz0ZZolCbxjYzLqOeluQP3xsIEBs2jBDY1apn4nOnlmuiVexRnxwJvFOvhpmygPi
sfCnk5RYDzT354LJypeFEu1q0HEPfT5EPmyUQvoydjA69qFy5DAGakrw3Aj1Ew9lTdekmdb0zP45
zltJRa1+0Dtc7xMjgupWUxO8EYmjNhEjbUH9VzZj5RJEoqMLNS1uvC14LINE1+gpVdEz/xdSq7wx
l85fIRtMr5rq5h7J7LjvJOrfDL0uGmwlngKzyqMf5IWGp5z37rfQad3pdglt1SBgOU+JrsRqLHyx
2A3i94mkUXT1BCPgx2ctN4xx5pWQNStkoApSR6k2o9NoG5zmaOSUOor8qtWob8JvCYvBQkMGdMWX
7Zz6ejhRpUzHljjIcNxKMdzYc7zS/Js7e6bc6nS1pGVOJrsuRiIXNHeClSddfwDH9FMyh64jrVyI
LLZm1lBLM75lSmoCyEyW4lMPRhO2SosntGO+kmMmPKNuG4+aIRRAZRAbvTMq4hbRCyIxcG7srEuP
maxirPdFPytXZTyH6Z3mdvlwHBXicVC3QCAZivh67ag/l2mXCopSs5OczXEu7ubGjlygiXZGOIpS
qUHX9Bz9wiae96VM0nlfJCZBX2GnHwgZrUm2rzK0TzOmpIFm2XQ1qmlL7nvNmwfF3bl2FLGVEeJZ
wCLFJta6dtoPRiWvG0MpNx+cRT7aR15UcjqAvjxC9pGjL6+d7+vZh5hpr6p9w298JfjoqKWvtc3L
8wDFBF3ndG4IIS4uSH1AECcoeSXd9M8Dx8n4c7YtfXImrvvdtP9OtvXVwsWnpzW66DoP9E/OrSs/
2LvrfzrxuVwdgSrqdfNSYGXERS6RDlcb+yx25FVTl+sQmwbsOr318oTjntugPmSb+Bj3gRUUV8n5
w0P8P+++pXJ4oEbBhs80f52HX+3icxJKKiCOxcaJNoseEPm9EUFLiEegu57hE3kZfHR00H+vcq7H
Qa5JkcjFh2G5ln5xIBMZEtix4JpNEO5wHJ67bUn17Wu6z4L6bN9iEe5OZgDnhNegTzQrd0Td2lu2
E6pnfXQ4/Weh5vdvsz6nV3cAtk4lk9EsNtV358b53F7ne+QyE8RDb7mzPWyBSIeJgP/wXPrPAWCx
iSSawCWFEMbaxW3oFlkRF9cU1KMYg5Zf79Y7P21iQtvuPq6g/GHccz2hWrZmGPAbLutfVe5ouNKY
0JxeZspDKMOpadRnkiX36SbemsG4zQ8hB/F021CiKoNmpxzKT+/P9z88fPK1OR2DZNXNf4iCUou9
vMiRn9sogSLJEJCnVsHSFU7e+1f6w4N1Vz+xQRHRNsmU+f3B9g0GD0Or501nfc/zE/H1njLv3r/G
P9cSy11LfQ6WZANazcU1pkUS2Kb/H9K+bMltJMn2V8bq+aIHawAYm+oHrCRzE3OXXmApKYV93/H1
9wTVXUkGMYySeh7GukxVckbAw8PD/fg50+wuQIQH4o+85Rg4eMFptDq1wDyzxxZz9n0HC6Md3jcO
OMxu0nuA0xtMFW2mDYZWQVhw2+OUvHY2WIauatdwLy9ypSh2+huYiFl2RSYsGX4D6Mag15vZs5u7
4b75/LMsNrgS+GgXy3wH6x0nTK6Uqk5t05LL0fEEN1IZQmBidltw7FooCmxMW/G7t9AWrb9xOZz2
E2hs0jEXTgxdN/BZFZaaGjes0pcTxMj6Xf6m/givyme9t6DAWzhgLHCaTaY7BtzJQ2YFuRmrsHn3
03mlE7+ASFDo0YhiiGxERpumCKsEx1TchRtlk/o9Kp3ZrueUqlY29tQOs7Hq3I7EjGAn22re8BC6
pg1+rp3qJW58xyuMca0xFcegA+OISoMPZimd5Zru5WRlVxjodZMvXIc9v9VAOSAhxmEHCei4GIc1
8bybgwXWVB/96OvUBUcbLlfX9AdfvArvIg6iZm15imQaMAfpGvQXmOVhUK0YeqIXLp6xzuJgGKq2
AgdSanf9p3nDA1SeRzb92JrC1FPjNGk60FNTKpmrXH4BC3KY/ocrUpjbKRLpNOrPFY1ueNX6wya9
RjJry5vxyrAvR5jzMHq6IOYOjqJEEgoBC0qWH2lOnvJRf79sQaK/9zSOnpqgLnMUR/o6ygeAHVH/
2kFa1ZuuWi+6Tw69Ct4JXql3n9qiyz22NUGMuoc+HLxBtGU7sidzr86+hvFUF4Wn5xCJbQwB68qT
Kg/jvtzUgrefzLWEGwMPxho/YPIE00q+R2C2dCNHt0VPNTaotNsxN63jnQGWnz4SZlkQqMeM9s9V
9++CTXtshpd84YWvtSOAhiK6awoiNgL16RZPUyNDLM3ECjGtaOT3JL4fR8LJINa28dgI8x2rXA5l
zMAjRAZPU7rP5s8cp1y5bZRjA8x3muKFBJkIA6rfbfub3AYF2E20ETeEg/o/b0xAHetou5gsAhFS
jVAXhfcXD2S8NlM8zysJgrufDJASqhIXw7x23I4NMhEYCsihKgHVBGdYPNnGu2Kn3eq+sIs9g7O2
1aN9bIu5yXrwJUXViMWZvRX4/T56MO10m8S2bKHW+cL5Ziuep0IeC26HNJqml6eeVxZdF5PGRKcO
AwGlJT6DvnNXvJg3IJz4VN8lb4vb+fr2P7TKuGKe1BqUbA10W1zJQ/LlJspGU7Yo1+u27hdu4U/D
pq39QObkCQzC4pAR4XUqoWUuYyxQYq+2PJmUdgEjwOGZEqTfI/FZUFC8JHuyU+12H92Blf45/hTa
E97VVtE9Dc1bsefuwIpHHf8O9tLr5kRthQa/46+g+qK7IvIH4dPv5A8nttjLD/SmGPHGN8Z8PVJu
YuN9dJf6k21Y7af0jmfv/E2EjpMiS5S9XjbxCj91qbQqpGnqo8pFQdG0sv4p7B7TAgysA0gvLzvS
uSkD2gCoSuHFKYmg8D81FQ/GgBoniLNDU/MS9A4MiLXH2bbFkPNlSyv3wYmpg2Md3YJ5CfmsFHNH
LpSWbRDDb6V8I0IpWvGqADNC+l0sehG4wbpv+sA5LueB+9Q0s6GVaAxJDalO1K5aHRVQdJ4DZeQs
kLOVhwLP0frQMgzFNsL6UEBwVAz9gyKNvCAnqa1y4U3GnUed0xUxUccMgGXsAxhTgKzqejQTXaXn
DI/ydo2JMVIWo1/RY9daCXAOVEATKBJddoqVIsTpOpgbL8LTJuupU8xgX4S6wTcQHRUeno9bxWtx
SYDBwJZfIR31jI8HWpp9vpVc6am4kX/91jj9JcyVmIW5Ui1AEQJREm/KfeSktuZD1+Yu5EJleB+P
uQyzZVq0QVex6PodnHtelH9H4du5vLU8d2RuwRpEqK1SUZ8vPwtQcJlDlHcPVeXXy4Z4bsKEkKhI
hlgu6WqIuZGr7jGL58f/yAQb67UkCDWDnt8ikp4hyHYz6zlHe2plFTqKj1QZVJLAlMmsIk2HtGqk
onXjzogt9G1vplLzLi+DASrTuxP1XRmMdSgrEGiUMnFoHiIC/swaLC6usYeAtGGVvumiwPzYfk+d
+I43n7Ty8jg1yDykyjLIg3yCwcaRd4HfPeJ94QafUxTUcZD86FZ0cif6gp4pr1Cz4n4nS2UClBII
PWZZYFk3n9RUsLNeR4yHJsH4+fKmHup2py85A7UZTdQ11I/pZXZ6hQFGEUBnmrRILUcXOb9gmQ8p
qET86PNyrb8SlBYCp4P4i73oznV2K7mj170JO34NhZ7bS7+ECSEmmqyQkFHxSxLzUw6OBvCZaLu0
119EdUqACVh+/VygVCwbtNwoUu89XbrRUymmBnxaxIRwO4YF2rfLm3u4/9klKSKwS5piQn+XLZoO
BQoPHQlaF4okYMD9pnjDY+4mXngj3ac+2I+f48DSd4pb3oHkhseSuGqe1mtMQ1ZVQEKZSGkGmZSA
QL87pLn63ezWOzG0013kUSYaF/wgyq7fooS9ODD+N3B4dAfZ9dNqLsCbSHrxYjrdYQndcRKO4IhB
qdOjZGEb+fNgmz6EEDCXCcjMb9T7DOPIIgvazGUxCBRg/d2xAWcAmFv1bp9qzzJ6UuR2Ml8rg1ef
kDmLNJmwVOgS+FgkyAikefgCiosHTUy/x0R1Ci3eVRG5Qhf9lhRPmFL2SZmBqyf8ht6qa6pXeGn5
qURusYHzBpQWmCXMFev/QbSsNTUNq1jQsYQE3mxywW70Ajv/NEA1IWDjAcb2LxJNK7Ka1B0gksVj
HYINGdR1Ftru9mQrO+XL6IR2Am4fTwMdIrdtuJbOGtBZ0wA+hW9AGOXUM4ZAC2Y0Qju3q6e3NpIf
KrHxA7O9LZXiexRGgOcI9W0eZ6htBiIUFdJbkpTO5fNJ3Y/dA03GvLgC9QFFYfsNQgg280CYQUFZ
3qErnGIbyvJNBiv4iPocekmUV/CyyZXkBev+MMkEObDdD6ohL/iyDQqot6jF20vFmav9Pzb3wwiz
udFUgyW8A6+P7JdvukeL/AB/xRbOvsPPx7jmmFwJtsCLXMBcZlrVlsa34mtnKb6yk9zUC9zLO7h2
TRzvIBNTQuiF9Xgr4KNJ8+tQhbeLYby0kXqVpl7G+VprGQC9HhE9wUaKz0bP/tGrZBKKRovSvnXR
Ln5M78EZ66b79F2ZneU+vwZ+GcU/QA0qRwGUyb+80NXAcmycJl1HxgsBRHJpCOP0ajYprZ0TGmic
lPvCabaRDfpR3MzEAqE6WNzACmt4EArTMSPi8WqgKycFRRq0TxBdgfVnUy85S0QT2NEWgTzeSJvY
BxLeFTe8Ja+kkSdmmIQLHIhS1kF5xNW6h1GpLbWQOEd+JbGiwY7g/xT0i9l0x6zAFL6MCyxgkFaF
NqsU3jUisKgh5xCuxNcTQ8xBN8BDCc1wERkcKC90fSvT2da2eTAgAxaCi5BjbnXnjtbFHHkz6pDL
zFjXmGvfyyLfRK3K6e2vhC6wqkuqBAotpDRsyJ6NOdFTCelSW8uPZjT6UTWDUHXhPCXWzaiGSpCV
qRoblAnYV0lVyq1bY9BYmUoXD6SN2X2+fLhW90v/sMJ8nlGFDj3I/VrXBM+BKQA5GollwSkP8Yww
H0XU2mAWDal1c1yihv4U99vLq1iLT5Tp/q/NYkIvOvZRA7rDFgMWGAWYn9Mr6KNsv+HK9pedhJ5q
Zfdb0ED5vAfKSpkY7YIjy0wY1qVxBvUaLP+7RxfuwFmPzG7eEE7El1YP7YctjenQkTKJMdAEW6Ot
vKYt3ihShdgnf0K3Prkvapt4EBIcX+Tb4tvlDV49xWheI4EGo7V5eJIeheAIsjcRSI5bNwyBQy/y
2xgsrcCJPaYCWI5L4HpzyIhw3GZl2gl7a1A+d+hcAmXCZJRtC77+GsrRmAXSrdKiM0+a1wPLk+Me
X1BIsviDHau+ShFEQF6A0JF9K0hDKstgMmjdXgq3ogy8d5tzztzh72DyLazrwwbjrWWixCEVbEBe
0my7ayB6reoh2OroLwyuYgM05Ksb/mzVakSB1rEMunsTTWX650cfEWolLS4WswUjI7DfUgoiqtTO
x5bz2VZ38MgME1JKPVOB74YZYXkRAY4MpV+kaThUQEzM4qpEVlQFvP5MOqIScYBkIy6Vxim2oJiu
vNIvrqBSbZs7SEn7oaP9VoQ5MklXfbx5URLXGNxtXRBMPwydb/iyG+7ET3RmDLPC0q5H51dyExf0
qpvLh2/9u32slvluUTmUipphtcNyW8jfKuVzqT1dNrEaWY5Wx3yzsK1HQdJhoo/RXUW230hvaZlg
4iHYXbbEUGz8/HYaZBxEfDzklGwtIGn0Yi47hBIoX41Pxi7dUcBYCjUuuxE3oMTCVGH6lWN0JVk2
gVOjgC38f0yRnn49GaMVZopnsAsCbxvN65pYpLE0r/WhjjZ5fY80LtsFtuCBkI53R6wdCILWCNpd
mFFVdcZ4JxcYvKgTlB9IuxNasCLJesUJ0Gs+cmyDcU9Mpih1oEV47/fX7ZDbjfkKWMJvnGzEDgUw
V12kbbvTXWyg2Y7KYwahQHMzZm/hFHAMrJU2EZk+LMinFsQGXKFzmdPX+AwBtitMYRde4MRghgby
H7dq4ScCz+iacxwbZb4PpMkbMINiWaomQlhhfgiaHA457CED6wiFZoEM3FM70Vu09i7QlWcTFPtm
DjbTtChuokK5hYb7vstmzlFZ/6Yfm8F8U9Dsgix9we+SsxcM7ldib6n98+WTsW4DdQfAJhFOWYpP
0oCWsG7Dzp3U93IuP0Ggwp8SXpWFY4VlKRXDNhEI2PNdAh321GzBza46ASS6/6PFHHK1oxhd9q0U
d7PQulPSPEWl6sbgWgYldM9jVFj3mL927VAJODakCMC8BjCk5Mt2INILAc+sG2bR1zAqrmIIkP7y
ykwdM+vAD0o0D2LjVxNqtZB2w+yaI0ZMdH+pAqtSX351+2AEDxqQkMMfNPZN2BGMVFaiOLuYcPMI
aCgaTHpOGqdFdr531AqAwsAnaxiJZoJIjSnMeKwAvcwiEZSstaOPYKTE2MMcz5ie2V9eE02/T1Ot
U2tMQMHgdVlDF2oGdXJvJ8VbI6i2MAEXPqsYqoEKAV4K1Y/LNs/jPWxCoAi0BIDiQ57yNIi1dQig
srHMbjKpbgS+lZ6LOzu/r09MsAcqmXQpMGNpdgPVUwx/cTDx1S4uuhRec9W4AdQXlEfFFh8jPm6X
bhmzpUjGCWgVCMAFEkv6I0DaM1xGg2KHO0dvHNVdrnS3+zFCgBDQGF7JZeVtZ0LcCdKAknR4CjPb
GcZDP1RRO7sxAPtftDu8Uz3a0u12LVWDsQZ7dBSbfM2QNvNSr5XnHYyrCtEpeBfhkTHeDcg0MbM6
u/jOdjp1/qQOj4FibiddxKjYLQTm3ucs2vaD8ALw2P1lT1rxXhO3oabTdFonbDtxCSrwq5vx4qrh
aINi2gkVqOr07hhXtjSDirOSPQP0e5etrry7UOH7MMu+M/tSCerOjCjruC1huP57u6/t6WtxpQ0O
pupfoUNkgIvVXxSeZXrVnvgWAXwE5O4YXhBNEfXw06OD+eKx03MTA2o7yVPdaaOElrhd9j/BSN1n
kXdlnJ1VxiDzFGukJiEFhD1cQVjsfhTcXOEVT88+ImOCcaG8N8UR9PKzK0I1qQhqu8y2kL+F5I6X
QuZbmSyFCwE8e6+f2EQB6XQfO8CJUcehZ3Sn7gA02knXdBBksDG6rd0i+QXkNrGiPbpADQ/BcnlL
MQZzahvz20KeoErmZhB37IwHEzNqHAdddRN6RZlEo0JwNN84un8FlegYwSAz3n+S18Yg1KAzCyk4
8Z8nt7PFjcjrbp0/W+iOHplkXkiLHCWJAg6lQ50n+y551KbqSLvRIV4DACLv1XCeCzMWmbMgTXUs
SDkWKVa2+aB4xlvrg90fJPSbnyNUXHaZs1uFscgcBmlWMfUeYo2jXT6jLgAZuHcoBqC4PtmT21ZW
8ILhnV8HsjBmmQMSYVhWE0aYrfTMyyAjkqDqiTKUw/Gasyz01A57aWqmUGWob2FDd/FGx2zyl9it
vo69hR4K0LFISfH4m7/yPuTq+f/wHDYrlYZwaaEMg3Rg220p4n30ok3u8bDLh59/FjuP7Minh2KE
VEjXy/CXZFveFh40FbzitkMthDfedwDKXLLEPJj6ToyrtIal7HrcTx6yD8iB2OmmvM3dFkchsKG8
hokMtGhSK79Bu/cbBadD1sqJ54eZgkVcXkPxvKjGfF0alo5iQhERFcNf+FHGlwUpSWlFjUN24ZWy
QUs3dilAJjBnOmpgxR4vPKydHLyKAeHFgI2BVu6pcShZQCuqQOoMFRenLqOXEIyI15g+iL2q1H/1
XYiVHhtjPjQGKHBcRuSXAfocRE9cqINDg/eVc1zWguyxGeYrQ+HGAG0RzGjW6CrXAI1GHo0Ekm0+
i9cid/5k1YGPDbJfEMwBQJLC4JQ9iVA8HjQqS4ZnOUhKou5LNcR2E2IIIFLsy0tduy2PDTPXiQz+
hJGEyKaHdr+AhxMTKoBl1BCVnh8gtGDPVf/5ssW1UHRskblNskxDblfCX1IkVcYu698mXu543i04
uAn6AYDlKqgeMj6phROBzPaMSUWnfBNLv/2CcWQbithuLmKuzxIxpsKbyFqLdQpeqv+2ybimoJp9
ndLHXV0CK9bfi0Zhy9MTye7F5boZcVOnnG7cWrZxbJHx0qE2IAhJRlgchytFaCBY0TQ8VmieEdYz
S3nAb8CyRrCUSNAoK4rRv+wRPBOMDyZ5BKTbgnVUKaqvYwZBwafLFlYj5PFWMU43Z/msNdQEpJWg
bbO8ElBKWP1+eWmu4uuk9eot4OEACW0gKMRL2dYj5IdnMNlMpYD5SCmxhdF1nlnaa7yZnyB0CDV2
BfdvLVvjdemBvS7htuh4O8tkNVAQlMoSAkHwydyFJLY3tAbn43HPGpPCBHjz96B/pPOk+a2QQ6vR
Uu5BIOHM1/0APAIK2zZiCn8+aj2Q/LWtOpPoh1WuGLmKxQUAVJUddNiqK1W5u+w5qztoyLoKqrxD
2eb0diNDFEQZ3UHI1LfZp6AUOd7BM8B4Zj9EIZDuCFWSijHg7jOlPPmNJUCfBPQMhGhgRzhdQgqh
71qGGJ5rRNu2M1AUHJ3LFla/xJEFxs2EuZow4gsL2VhvgxDJh5jvU13hjVCuXstHdhhXMxvUT4sR
dugMFKjNfr59emdZkNlUduhwnwUci6yPVXNt1FD0pBZH+JkFYUv6NNeBj2tzW38T+Cbp3cRmmMrH
InXm7spB/hOIGs6TjBE27apE7gjkgIUe/o5bX6KfnrUFogwUPADOxP9gIi8xGiUnMdIOcTfFloY+
85vmSZvU/pa9mX5koLj0d5gu167KY7OMz2P4iegYgcKQf9vvBow21ZCoTKO7QVmg2aoI0IbJnqGn
+OOym9K/9ny1YEvFpI4qnxGE6KMyVWnfY7Vp51PgBwmSfdfOz6Pef7tsau1EqOKHKXrqjzJyqEBi
rrntkEDq5etM4h0q/g5oeR4um1l9mqMOqaOarKN4zQJyxDjRkhTjAugoloUbEw9C1mgaQbzSCR7a
zs1jl48TWFucaYgE68P41BnvRdC3eaFMAirywbDt5CR/1eqroEnG75zVrfkJVFtQhQRWCwSQzFEY
O2FOyg7uqfpgHkq21XYytmaP+d/Mi/3qR/FWfpIkX/ohPXc+H0h8zquCNPLYPpPSjYNaZyOtoAM3
4EIi3hXKna7tNCCn8Yss84lIwGIEVulA+dh0NJScTSe1ZF97EG/1+LaLOQ2E1cLI8S+i8erIr4ZU
HZOmwY5QyO70WI4u2nV2voU+4osUgq6C97o7RyAye8B4chKkJRRWD6n05JT3rR3uyHXpy+/TVxAU
fllmq2otOv5M7gPwrDjASFrm5+XXU11gxzFbopkEdKBsLdoUKzK2GuKwSOIrIde/iApkkC6724pb
U1Jk1H9Rb4cVxttkyNmlnQgbEqntqIYaNViG03p/2crakZUkyQCujUownlEp9H2cR2NxcOr0Xs13
WrcFdSvG2GWvjwG9ucVwls+9yKirMrHvxCpzRYOwlcRDgM+YlHjSBjs6IqbpYKgdna615A23JLNy
c54YZO7qeAHPZDrh7Ii7/F56TBzBbl8p3YFoVSng5LzKzHm7gsDex74aTDqY9/UMjezD0VA8c3jt
fWDpsalN/NpxOXBXrhLcIaDBwby8jE4Xs7oyNUqtSAkyHjO16pDYZQu6/xL25l+TfQFohK5LAwEu
hV2i9cTc0XrR1hDmpP4iUI45FaIQHYlNK0qNX4VdMpaYa3lqInUMQ7zMawNgY6Bg+syVeQn1WghD
NwsAMwzn4pSxfY5hKEa0HTT6Npe8ZYsIepXeNFf0U5VeKNjcJGftXB8bZFwfl77RRtTg4IWb4UG5
CveAVVxDz9MR/Pwuqf9G4fMcEE/38miVjIPUoJhUUhNGRxvdHDvf0QJEt6M4jvErtwC4etj+soZq
/em1kEOoN+voEg9kMGBL0csNrZfL3rwFLLKVbJ7JlcwRU36UCkamI38sXYSgpd0og8fWlcpHLbyd
Ib8+qYbVRQ9jz0kDVr/fkSnmBtKEUGhCE6bqCRrUkFWIoAA8dpF9OTDTv+YsQh6ZYc4ZkRIjK3VU
woB+v9PF+iUvCecWW/eKIxvMCZuLRkrlSkGZzwvRYwAq3Kt90wVcI3wUwQ4288ZbVuPUkUHm7Ue0
VAAfNPZuyEVb0r4sw5c5etN4IDN6hC7tHXPE8lzUtFyEmVIwPqHAF1uVjHu60NwYKJGejJt8+q24
CJSBCfEBHa0wJjnLydTJygybrdnaAgA1IOiEHKPEyQrW49WRHSblUvIQ+jslvlnwpIFE0EFukNrC
8+Dqu+aeXMUer5C47u8fC2P93dBDjSQwWCfEGkwwLS25tYy8yfEVZ5SJiLEyaAYSHe8HZmEN6eYm
LTQ6mTc+53jVfqOtLnS+UR7lkk2cny4Yo6kkdKVVHWH/NEKJgzGJg4yRHe0u8AsPXGclemuUlpF2
RKC7Hdjhy+UDvb7AD5ts00sA9/NU5BKgVxJGd7VNfgOKZZAw6phro5IKvFz5/MPJ2Ei0ZCn3I5gg
mA0NximSFAnsu+UkgGAcPEEx0LHj9vKy1nby2ArjHmlMxjyDmo071rklCndK/HzZAP0Up4cZdG1Y
ANo5a0xAJEojEKRKA+5LgjyRNtNkT/0NZQhyaodZSFAmePrVBzuTUwy26hZ4YgG/idohxLScBpML
qOz9jcGFlS3UZQWkiVgmxtUJE+rVKTLA+w3HaPU+3AEpp9uhAXV5qK0EdhEJo0u6Gqb7Bjw+YGkf
/SYRwgfwHqde0Vb1kylmy8YolYFzB625LL1QFTqITc67+13WRguJCQWBJo+yu2xCjJgbmNpr/k51
6/wSlw0NdR8Q71BUEzsAWpg6qpt1g1DW2dVWceraEj/XaFt8Fx9UawJhpbCdEkycWxGfLmLFzQwN
AQFDdfC1M9qfqRlxES4wrlnBHnCazoHY9r1co8aGsbbS1t3krXkOv0cLCBLxQuGF2fM7C4s/ss+4
nxKlQaOVNewH+zSLgBkGj32Yv4apbMsKXkdc9b6Vq4SaVBVgyBQww7L1DLNXYzWougERFxDfHMS8
yAnRVlSwvkP9kvcoWolISLNBCoqAoYMjlIm66I5h+D1NwCdJ1G1TtKYVStE2wAAB55Y8zzOwsg9D
bJ10gCR7lxbZgIJTao9FvWtM41GvysUK1ZATnziLYguk4GJOFmiaD65A3sxRdYDZt0Re0Xz1aBwt
iMkuqlJJm3mBEclU7bl8BBAO/OMPevESQOj7csBdCUcnm8fcG4KSp3pn0q8EES05wyRiwulirG2Z
AS4kU0QrA1yYTBrYBINSq1EMx0sfZP2TKnROURTO5WWsbdmxESYJjAqhMtQeRrJmHwCcOHUQS0kn
aLbgf+OfL1s7R+oBhQllDYWg8gkxFXYQRo/qUK+ycMCEVHgPGlMrcgwQREKpxft7+kzrm/hhkAkY
QV0BY1HCYNLsTXMfLYI19z8ur2rtHB0viv6Go/pebeiVagiwUSqVE4vZXqxTJ8mLL+K8cApRa16H
SV5kttg+cobbyOq86WWQjLi11u6LRsGUQdn/hzaYUzSIuYJmRoQLRivtWe7sWQg5XrcWxg0oA0Eb
yMSDm2VTa4hZ4HGIZZSBYgdQvRj14VrM3tTuBcCju2TgimWubtyHRZZLx0ii2mwWWCxKq4eWPYBN
ght4tYB599mJrhq7RwLNWeY5FJi6+5FVpjoZEmkQIX7SA/eXyM5B8QmCmX4NwrxtfkN7RIut2WTT
IlvwJE7OuXK0gUNGRgskLmbo2HIXCUx9jIp2crMcILwJTDRRUX+H+FBuT2WJzwuhLU5QXPmuJhI0
9KUo/Pds7D6BoFFkStDYVs1C205SFrlFGjW3xSIV20XUEmcow3AjBBpv9mTtmgboGIOX0JrD/2Ar
VCCKa6o5CSdM/HfXojuCBcOh9AmGtbwNtHbJq86upELYWg2hGRw05Aw1L8laLkVCDYNhsOtqCFgE
vWyRIN5BFePb0kiBEw3m92qBqtfleLPiy+CkwYsM3OHIbg9bcRRv1FoAKrAQJ3dSemQIeS26RasE
nMn0lcgJ/hlFBToMA2hnaQjld1yUNp2ghEScrql8cEveBgG3gr+CRaC8GjruOQyqYiaMOSRmC0lC
aNdQcKy667bEru04tYxPlNKxdNAhvgteYj6TCf1rmRfTiVkmzBljtgg1NSvuKDktSLx93aUWox0v
a11Bip0ukUkWRm2SMYTQoBzRV4Y1Ram/6CNGVm4q4TWbcrtfwmctEB4KWdj8uq8cby71pSNfkeI0
zKQMlvX6VQ9kp1N4tZaV24+qJuBKR6gBpT6TpuiLRmZiVGh9C4AVg75k15vKfpqL/Gpp0Wb6jfUQ
So2EBioawsxdqyRjY8Qyvlo1QdVGHF5aWedN9Z2TfRIF2GkIdVLwCAQzGSO5Mo5lFCe0hWmACchd
riGJETgVtHWtcle/xzehr1qHsnDsASjG7+CteAz9CZC0o0KiaKIxHoN5GbmISgHocEmrrTEj2u0C
2c5NJrfhdTtO0k0dSHiMlJ3k9/ISbKtomjjX13k0x2/AFAvyXFpXYB8icqanhSnnOJhaP9iKinLC
GHsqcKrQibGWFNpPU1ZzjK4E8hOr7KukHMQ2wfgwerdWD1VGFGNEi87P6/68bW5Cj6fOfO6/p/aY
8CM1elAsGIZ061l1coz+2S00fYCr0GUrM4CGuuzA52H11BwTdtqezKE2pJgOMvTHKkwmS8wjV+p0
3szf/7GRaHWBLwUkfyyJP9S+qspUC0CIbvRX5Rq8BzaBEmr4nTJf/w1qqPWV/WWP1bcMx6TUIXf4
c+JAalGaoARGvaMbdg0COkpLZX769fId3U7oeaACg0c6O1kx9WUa5SG2cymUvakt18BrWGbE1ec5
T6ZO7VAvOoqj7VipgjzBDmUeplCGRvNl8InbxKJQAukZ94arjJZ4X4y/5TEfS2QC7FANggatP5gO
X3Wge6mcl9KqHCsr1/DpCmk0OFrhUptg65BhhhKDxKBMElOXCqLQWge05AILdCSQCM4N7/KBWD9/
H8tjyh1QcJK0qUWwzeTbMtiU4Uscod2scFAY6975lxm2rgyBvcgMaxxzkOLuQlm/mhbihDxsz3rI
/LDCBJMlEaHMqWMxOcT+UHSs7GWuvaAPfKEUv2ZaNNgD4fFznOeDJ1/uUJ88+nJ13grhWODLTWn8
Iiil4WSiOv+Wf6APQFs3qP6xnQepyZRmGbCBkCDxSW3pqDR/BhmhXd0quaMBImBuZR84sJp3xg+R
4zRVoxcQJr4xUYy+PTtWmAfgLg6gau5KRpJeR0Ef2lETQketk+bAFpMAcizN8GTQ4gVE126KaEht
pSjfy7DaQ3BtRosJ6p95gPGOqJzKPZJQiHZKVDNdlR5ILTaOIDSSZWbGCPV5PYNOWAMJy6xGMxay
6nZN1EdxQqBWszQAonrOX6Ic+mfm0k0PIAterFnS+m+TiC6nahT1NtRH1YJoTeRXsSD80CrCE31f
i0h4QIPfRkd+jhz99LyKWdgZ8xTCodNvdRBAl3O2S6OxshhCTR0y6MvHdAUCg1oUWGBAt3fg52bs
jdi4RUv7Ca3WGqxFYWPeNlB2c6dGGB+CcJwcTVaGXRaqxGuLObJqukGdORufWqOFeHQxzneVWYW8
dG3tZOPxQOk6QYKDDsHpRgDb38TjtECgrqqsogq2YWFapbZwNmDtlB2bkU/NGISkUBrGq0uZ4hp6
Q53hCdC65cBl1wLIsRUm7+u1oZK0UMLbLhNcGTCAunrTwLZOiNuD73F8vvxV14Ivpi0VXaUwnLNM
V+j1Ku9FeXJlGY4K4sRssKUpsetu4OR1a18JlXtiyPhGyGmZMF8iz6xjcZ7cUNqLmWLVJqowxswp
QKwdCk0FEAwjyGjHsAxMaTyDixaD+W7RLJ4OrdFqvhFUlD/mlzDnZlhrLnFsjXGJpTFM6GnBGg2J
GOKAeh1Kp3hFhoByqq+SDXCFMO14ZaXVrTxaJOMjei8Zk1rCbKQgRZ0w1m4YVl1wPHH1CaIRGQw0
RMVwM1s/qiEMP9Y/YaoDHkBUgmm8zj3+fN453y3eW0eWWPJXuankxYyxoM4BNnKBvlX1AOINSkbe
gmbBAh2lY24HHwpQbugJj5fPwOpX/FgnywObB0WZCGI0uyH4i/G6vBUG8n7ZxGouDp8HUhG8ABqI
JE6DRzT2QToWuMGop0Cw2KvG7ygBbmlS3MZepzqJyjlwq0cblAc6ArYO4kTGpKD2wjgpeL0lQAsI
w+LXjf4gawGYBoM9Z3k0xLIXNKGUZyLUn8C6xhzuuK2juKuxvAKJ3C4O4saX5bl57kq99uY8Kx11
IekPrYukbWx25r2AA3zdCl3xnfNL1gIAkNV4Mut49Mjsu1mMVTPONQO3FOQE5xvjTXsBTnMIMWmN
ecrSMq7gSo4MleCCE3rW3AhAJtyROoQlACU4/cRYZFqGNUKpoc/xUx2m4Z3ZE4PzVc+rjgowtSg5
ghINRd2zakuDkqNEZAAJRin4JM11+3VewvZHBCHiBGqNoJ3opDgCPyYoljRn0oTa42wxjWrMxwYz
NMqPKm4MwFCYj50vWVuEwPW6kJLyshmk1KLhhnlwK4OHp5hTZ4LaBBSMvXaq/FjT7yF07V/+DSsR
UEJBG6EJtVc6Ina61ympTLNIUHsldbwRFQzMqlGV2ZKy8MSPeJboVz/KrbtFCsmgNqiCCi9QwrXa
5L4KefwAK0f1ZDnMUW1j1SjnFstJhuk9Ar+ylchPXSJoFqBnnLC+agtAEbDzUKgC23oZlQgMp1oB
gc05ntyqN4drpZaFPYEGp13FdeX++qdCkRrICFrfPQNoF4WcqA1NG4tZuANe77kxcPqapOTdxmtf
SkdzXAcxPKjaWLeMsBRt6GFIFobsHuNf9dUcCGVpqepScc7AyllHVYyeAQPzN4ivp16hJChRQQAd
/icGrdVXQFwUsHTYuf/+Nv1P+F5++nmk2n/+L/75W1nNTRxGHfOP/7yr3ouHrnl/727eqv+l/+lf
/+o/T/8R/+W//mbnrXs7+Qe36EAjte/fm/n+ve2z7mATv4H+m3/3D//r/fC3PM7V+59/fCshoU7/
tjAuiz/+9Ufb73/+QclnDp2m/z628a9/4fYtx397BXbNoVz9j97f2u7PP2TpH+jhANIPEDWCzKGz
Mr4f/kT8h6hKCr1FqVavStvH0Ozuoj//UJV/oMUFwASwMRSmQfs/aH0e/ujn34c/w6Wgimhp/PHv
H3fyET4+yn8Vff6pjIuu/fMP6aec6UcARNP14GAS0ND4K9HFpkfsOCYMaJnnqopRttx4BxWPeZ03
7W0/i9VTL++HZKm/L/k4WqZ5o8ZVs1MMc96HRir6YxYhVOlo+GWGN3Vi4onCoDti3d40RgUY9aRA
qqKIWx/8vF9zEAQ86+p1IqY5ZBSyba3fjjLE34vyRstS8iXP5ZtBAsD2/zP3HUuS69iSvzI/gDYK
UG1mQRFaR0aK2tBuKZAEARIUAMmvH2fdZzN9ezFjbzdm3XkrM1IwSIgDdz/uTq8gw/ax7G98io53
RnFw0MLEtvXhibw+VSZie/TGf+IGjZtBO0ViKXy7Y5AcVXdImukBM8PhvLr8+cA7gy3S5tsegXab
CX3KVTIs4gWTzIHo0xzd4CvtJwMhLLYj524tlp1GqipSp7B9/Nli3FII0v1qt9TLfCR2/qR2UVzt
ENpIMjbXoR6itGq+HM1fjT+OcYRmh3iB9wwmlYxVEGRziWb6ptZweOvyrRiq6shD7+g0Oro6tt4v
Q0c3rRUseyRhdHGkowxQUrsHEslwtXlwrk22cA5xkin3bECri23YksxK1zt3ob+mFmgeOpi2obZc
BMOPfra4/LNvOj/D7YtNwh2DTPPB7nBPy3dDGj+pTV4lQAb2Ag6K6N4yHVzioCoIEOI0Iq5At+8A
ec8cBSzzA70ry85OOhVdFic8zUQF+wrarKnG8PHksJtXFKJmHtYS3yWJEwxeEuIMn1gC8mwj2zGx
LAsBgl0t4oqMYxY2PFlcw+JSuPDeF5Wf5ArcmYZ/ooVzQbLkY9ya5un2TyeAfXzLtUhte/hGVZP4
g5v5buXGQDnuc5PfwSF+St6AARtgQQ4L+rgWj3w0h7zXXkwC+qJGWpA7KzvuiyZFovqU2oVnUhEG
Xy5rzdZtPSvNuVoSa07mwNyH8qHQVeywfBc16ECflrR1isxy67QW04a7aguridTT5IQI+/1cRvsS
GIri6ptk05OX4lCVct83zY3U52Zsr53qrogpOhZ5mJLSxP1sbZs83MG99aAafQk7uIqN8mAThHJ4
9Fq0dlrXb5YFudZ98eRBl0i0Rm6axZaUkjmtl34bDM1G16fCAjvskFj2b7n+3sHijdEB6C7LRv+z
sNSxwTkOsNpuVm7mws7GYtXJRRp5N9ixbzdn0xUPXchzOKirtVRIi7C3c8Q/vAnhl02f1pXzM5Rm
k5fVafKiQ1lhIhtgqs0QOwLmVCbaspymfHGOLIcRv84PujZ7XrT7uoRQKp9elouuoya6QOl2RNvu
xvJk2iKRHofQfeNW23oqt1RXpwHvyXfGuIG6CuoXJKp/m8SqbvU2Eo8Bu/QW3tZxKOZdxNUxmnVW
ljsz6t36JcFamItaN23Au6gotvt25+BudSMcy7r3GVUdlJkb/NFdO85J6RYXZZtTWE739evC8a42
Ke8zjfZtTjah8zU6SLddsYzRzTpO4/W/om83ddscqr7cwgAm7YryLxteJ+2Qb0tEnDT4Gg1SuI4m
WqNaR2Y1YAWkDy8JZtO2KGnM/TiINFCSDbm2ZaxsgNRetCcm37Jy3ruOTNYn3UxsA+Rqt1lvR5Uv
6VgHuwiRSpx7N//Q1u0uKhHhYuFhzMVlyP/qbYy9QGfrH2vYubb8hMLMfOyrfcW/eW2JJ2sf+eJ9
rlfph/q5jP22oHQTzmpHFxf4WIlNd09U9MuzsKQV5TaaxNn19gqKyUhFh2IK9u53TYe0WvghkOKD
R8GzKhCJNLNMLUtMG7OJIGKzHf1egn/vCEyUginV9WYU1Sm0cUWD2DcCQJGgWeDMMRX+iUw6G0i3
pVUH2yUVlyUItKFPbQ/Te4KNLG4TWuZgvXeWvs4WUWLpi/asXpLFKhJO/ZNa9jVeGtzy7pfD1zqU
13vuTl5q2ltAHxPU2J4pslpuKjSkWX3Ciyfc/bZuiK7Vyr1yu71KGuy6Pry0jTgXOt8t9EppflhI
cWeHOSqOM2Kmlp6eFi1uc8nv4HeuxC22S9fsGLLfg/l7I7H+LW4yki04swsL862l6j3VJGMSpjx9
neohz7TsksHH8kfAcQv0e4c7sMQbV7EMgeEgR8kZ/0/QrgG/5RG7Wh6dFRYLzOW+1BvROhnMD7d5
SbKWLR9IS0jXhXj9fCx79Nv5O9K5GQbCvmHQuGI+soVuZFOfsaFuZucULVMSeOgsr/ifl21OEx+K
cq+xzg4n23oob11unmzCjZFxrvnOkf6pr/3TVHlpFIm956INs08cbcU+fFmJFW25mn6EIU/svrx4
xrkWNnt3K3FGaimPYR//6JE1mWM2GLLpOczRMKiKOc/GqDkUzviqm+iQc/8U9cE+xP3y/DLTzRRz
MJx2oLbaxTrNwwNdahhled9t4kM17EdnYvkn18e6iZtdtx+qs5CQSrKICTgp9Ke+n96sZj77YoxD
66jDjcJVh/w7UUXSDu0XCabbcglH58M09MDDKuP5Q3L6RezijnbN2yDaL0bl1hjUHXX56JeyjOce
6E6Jy0kBlWeEL+clVFtr0u/whXsU1pwadOpJhiFjd+nMyiSaH900xxE94184I2a9RbJwIRm18eiK
n2TAIhsijCqMYX6bTdbPmspENTRxsdxSvkHTXE/nNOxRA40F3IlIbLzN5LRZo/FIatiyaQi35nKr
c7lnpD2Yyrl2i9kbPza8wn2ssFCHBKbkdcya9uiGSGQqFuw8JhuuvVOnBJO6rdw89nSfwmZ8w203
4x28DxLAKPtuDpGRYJ8DhYWozg+zV227Mdz3NnKXdl5UJDMzm3VlZmROJIU3J94SjPKS2nnhpsTr
HXBWfwghkzGYdlpAyqvvbjulHZrkOIoGP6zjidGkUkHsIBynqNgG6uNkUqD28PXCrxI9sL3Io4TM
Z9fdhtMUr6PA7n+Nso17EW4bkmfryAlPOTRNI03WpwAgZJ2aidfLw+xHv9aLqcP2WDHEw3/N49Wi
T0jQdmqazz0pt1U+PnAMFCmP+Gf3vajFjbvVfVaLAzy4f/Nq/M42iE0zPAcxvJyC3KksToH+4fkk
drAYFHa0LesF2uE+QahczH6t41tIfhO6vS5j8ZF7NyKgVqKAfar5HozlAw4Ujyr0vhfd1tf8krfz
wdXRsUU+ZVmJgx2xk/a33hLsgxyEDZ82ys4TeLHGXWkd+lodEOO5Y5G6wpYZlbhIiPdLVGC9nNh2
scdbUexb7JVPbiyR5xJh6DUgnBq7Osn5ffEBTThIuitZZjvzvkdRMi4mG5l+egx7sM9OYLJib6FJ
By3JtUKIrvdhl/qhkN87mJ+k8OIKReBoHSE1jUE1Aaz0TkUznNDXv1Mnx03qC3ZZyLkPPdo/3XmA
FdWOzd2JqOXc1N6p42ifkfWtksMJszGZ++mg6JTGneck6wKxSJkYMe3JQE+0GrYRl1k3omUCE2hx
Uydqd8Sv48KOsTBXDtCm0BwsNe313OxCVX8i9noXSCyf80qusUfeJF5jxwqGry4PT9xByxfcSG3f
jdf7PJPoIevrYPRVusEvv5veZyq/z2X75sP0piaQ21T2z0l+qqG5QfHWxkWLdiAPbRUOvTqk7LFe
sfe2DLbl2CZ51f/oI7GD6jgTprqrhe8BbCWRnjdWU5xyKY9Umr21RG+kxE1AhU+wlrqEbYeFbCF1
zQKBndFFaIOeziRCleqhlA7iQQFkXyMrXfLQQLiogONGzt6DHnyh6dnNEYDF2/4H7eR3v8pcRz2g
K/ryWPEKm5c9R09fbqiPDuoA5EDUja/eD3ey2MxYQmu83HmmQlGrL+tGKPr+laeTg/tnluM45q9u
wE9M/pfq/S+3sD445Z8zY2+t6Z95yC6ef+hq5x4M8tNtxE1730qqT6Vij2KxfjLzVvjOwY8MpkL+
7rns3RHyO40owEI7KyPOYnhsPNcXJjO+cPpoJUf5eWD99MhrOB9F18qEJ6esbxasIxBZ81SiPcN8
/A6es+7FudLhBXfrVRlxs+l4oUvxkOH0nIPpKp3fc0Ne8zZYurv6cF3+Db0A38cWk63ykqkTZ21h
ynD2tu5c63Wu7yKyoI4lsG7AZZlmPvjsl8bJggz6TVXmjor34XEcpajYrj8mrfG1/hif89cASNAj
/Xmu8CyNte1q+oWu7xvDIMq1/1V4y4drhgcq5s+27p5hlR+lQT4HuN5GmX2uxkvXD69gGl5lIW8j
XVCxlhjmQMrM8NS8vjWu/d2ah2eU35xiOkq7uBRyGzTjGxLNP5xQXaa2vi11+NXz0+hVu9kxHyLP
nw7KiC4fUEn/GHAC5Lr5NqPiRBRQ7HmftT9mRNhbOYXPwNOHMqi/R7S/RXWmGLmrzvvC0fkpe/IS
DK3e420dFBTh7FUYfq2PkYjxbZmme+conGJuMy1vkLHi4qb7egleQF7aqc9t9xen+c6OxqcefcRx
mZcTjg8/n+7lJA+F1eJoPz4hPcGuuja+6kcoxC3ooNyfMbBa58pq81BddRv6H63jn80g99Qzz8L3
vwTpvi2g6hNnZu+5X38ajQK/LE/anT4INa+pt494so+g2ea5Ohd5fylHgkIwfNZuf3FG+4MExZmR
M3G8DFhwul74KMgTocZnu4RiEm+qLtC2Yn8rWnYy4UPM1a0T7L0axMGU45O5cWvbx1ZEzz+/H5z1
hP5dx3n1eJDrQ16CPOlCc7Mxsqelv5jgB6nc8/qn8sW7tMy+LSX7aCfyonK82NFHoTHvzXAJLGws
Fnt0PbCkgT2E8c7dyOIO2d/rsFFh/hz8/kIncg878yB4B1O/qS6QQsk+Wa/HCuBgtmb45d7X+q2s
WG7EIy+LIB5smA5DXzxaUdwsp8ccM6eZb/wZK70/LVkfdrD/aVLHlmeEFEb9DUeHMBzOc3Rd35jd
YZm8raWpO1+tH4h5fWGTMPWGtfXBFAAz8isfPhsnLTDLcpMC6XmuD2Aq2KtWSRsMD/CsMRfetmY4
3tm4Rh1cRpvcgzp6OmO/KQpcl+tfAqxbUzF/cMxIUvmnokapLVm6MOvm+uN5qbKcWx8CE9RYGA1Y
QTt6mQjs1Ib8zuTyguHwQ9n9MwyDE8bmfkDm8jr41hFlKXbpvOG9MsVjnVEjzW/R2ZbNV+5yVIOH
do6Nnz9BYT6Dur452nysVz/P1Sa3OkA69nV9vVjCJxP2B7jTiydvCJt8BS3LrN5Lw8F8yHD5gLA8
Dlh94UX0Ag9zm4fhGdJlN1hBJtzpSd3ubeQYY2T+CF1EQU5epkrcBZuTbzPY7biHPzyF/l2JZJ2l
izN/zJZ+IMo3QcP1kdDhMfzu6ui+tMXnADI8vw3UpG0xpG7Dv0dl/80M1nbdHdzpu23nZ4lf4QB6
sfleVqyMe5xXWQ0VcU6OS2jdiBpe6zUVQfBFOY6iQGbCQL18J3+u73Ed2bAvQdE7H9a56kkWD9w5
yD7A+zSvfsaWiUSYpoH+OPSR2BKdQjjp1urYY2hXGOLuxG/9JG5qEGfauekAUMou1zFgf6x3twjM
zYvEZ9uMryHqvlFjABrxP58DtIE/lFPzuFMfZdedbXRhFvxzAbCDTa/BFp6frWnrkJ99pTIEsm5L
iQN2wC4hb27lGrwZze2PDuVPbTvHYIiCWDXtFcDprp2CnQtQsYCFfAcXVxSoE7jUQdN0XVFlIKDQ
wQzgxZZSQJ5cb5q5OFnOe8MxrFEProNmYcVW4MzLkdDOveiNhqirnfnowT4YKARyxoOBfBMjtgVm
bdf/jiGaX2ueckEyqV0Q/1i+g3mHJKFMyoPJkeUHBRaahvZotcjAuOxLz+zIUqfr0tmwIiPVrfXR
olAdQ/17FOLcyiXmcOYZiHdC4NyxpNfZhYzHGuQBRGkb+zjiiDI6KBuXPeaoC/ukmYaL79QxYdDo
I+AjiNil50U2S/jstwgTqyXySf2Nls0xAjXrhkCM9B6Sj6sEerb+Okw/dOPRlJryYo9I78WEh2Zp
OxXWzVjyULafrgQC4ad66tIwR9YTYCe//Sro22ThWF8k631W6o4s3qPoyq3dMUghAWdh1HmAG9e7
NSC7YKiXwxDJnQi6U25HG+xSvEgWI/a5MfuG50nIBBa64aQGBzRq9Lb+JNYppqYd/n4LH8iwAAqq
+thvdYxW+LTCcWp2Sdpb5dY4KgU5t+E1RSuW2clZofC8rPfE+BHSe5qdD9rJBwfeB/LAe5LV2mw4
zw9T1CYORwsSFlNyAGv6O5fqxpr6V12iBYKjpRheoWFi9fqD6Mk+NaL8Vgf+dC6CU8X1oRpygFKj
BTZIqO9O1bC4ouOxHmlcWjCfb4DEl9OUjU57BgMO6Tqit2PJj6JtLdBhDGqYKBDxrOBb23DksVN4
dOTRL3spVOb2vZ8C8UO+kXf32krtqip6ji179vkmj3if5L3npqh4th7jY5Y3TVpZ0qQKJvwJlBxv
eW+uPR9/jyDnU5kNIUQ+XBh0sFIcc2doBs1YW8g0NT8bZ8Q/LOd7qavYacpvc+Q/kYiya+yMFNG5
bgAR2UOCPm2aaNe+WG1wGQwSb9uajLEk4Y4vOEsTmXP81iIpqPuz7qvfDEcENu1pXfdH71ZURCbB
AiCvx9ulM5niXFgfwTJ+Ks0/Sstb4yS/Ql+Js4lyFBfes+LESlpbkE1XBTELCN+JMASu6loIZgVo
KKPhaiJcBB+DpG5NHrsCazRVGZ1CslFRIOHX6B8bu3YTWJSks0MQzblKngbXCo9wZkMkaJ0oeNHG
Jsc38YZ/eot8lr2ZY4LOgzh3gWgU0w8qWxiDFmufs+LbOe/Qx8jQd9RWtdjA8UvhHKgSFy6ysSCz
xouLDfms3qsReSuwwvhtDNt1kdOmAoDCUrSIiKN4egsXGYwe/jJ0fPHQbGmOHmAfx9DYfvmmaSFk
/LPxTgl3/SVG+8db1JogIU6kgdJGqV80YVLiUSM25On4URE3Sl3sfv45BKNMqGq3vVeiNHOBEQpa
/8So9ON6Rj8c9i/HR2aeXy+/O3t+kQm9aepL2lylBe3d2A3JYdTjkAoxRPEE+K831hmK9nPpeSwO
c0RV/fd50LdG4H//ZDz/yZz+z3P5owO1+Hv4v37X9lez0pD9f37TP6jV/z+4VIhI/o1qX7naf/Ko
o/mrHP6dR/3zA39zqDT8F3pHYO0NaTxSzFfO83/8zaFS/19wiPCgU4HczwZdC53Kf3GoLujVNe48
sv/4piLI6X9zqE74Lw8HVgvNjAhCgwFJ8N/hUL0/4qN/o1DBznv4QxYilS00DICw/SeFKlqUvVjk
29RTo7VTrZwO9txvFlaCmZtyczBN59pJ79vmUPRWkLpD3cT5Ugrn2Idsa+UV20mp9IHlsz6gk14f
/s+nalzy1AJYGlfCBIAsfDoe6vW7//48Fz42f+VviYcX5KKA2XSDHA8I3N6T8ZNrP0CwdoajygIk
OrIfEuAqkajuQ78qcRihb5EqQA8iCCDDsTWjvpzSMowKyNWEhRCiFpbuPMdio6pmV3YtSNmx/uVh
Hh0EG8NEv1nA29aSQ21ZARSfhG/YxySaRJuffm4YgOmlSz3WA6D0pLh7Yjhbut/BVam+/7kwGYXv
EwusL8RFLV5nwZQT5nDQcegU/r42wr5qgFq1h46BzpHb3qpSg/zlG/w0geNZ3rmS5bhzWH8vhGr2
bEb2oTc7CxpucpmK9sEmTt6IDacZ3pxt0bN3sUh94YqmhTXh5MH0yRuWYqPJ5MXYTILbwFDQFZC7
i2bajxJKj76i9bHoYL/IeFdv6zGnp0G5qfCYPvjS3Pped9hXQ504SOGIi2jpr02xr0SrHxB4Hx13
rsBsAZwGKTlfEGkcpAGvpzRgLr8vJ59hhRKkKTdjpZ4NcKu+46dgOddz7e4EVHBx1M/LQfeyBiGi
z6gnVbTsvBkp5gCGwUSOj1n8GJnCbbGVGxPlLRs0DKwmGmFxDheIqvXwJa2Q72qtosQYIuOAR4nq
uE4H1fUpmfxNFZlzN5AUxP57wJsNVBlREvrjtu9hw+2ARc9YXr+KqksUDjoosd0m0aU6tRX8MpTS
3X6lEKA0rk9z4Hwus4e9rUPDsgaYGdYgcngxh6m/9F+sgUG6Gaq4WYZl45bUxwAT7+AGQFt7LYn/
fifAKiB+CwEMzv2YWfmBRxO4QdHCukPhp+3aCrAx1TtagaKjekFLFwPz51obmxobeIR9JSiPB9HV
O+V5H1DDS4j5XGwtqju6peekC3K4MoDz3qacACvrpp9iOeVNOs1dEVvSLzZRG55kR0VaNtgwdAO2
m8Kv/lB79AzPdxRXlb7J0C5AiUondmd72mJ0oX71exlPrUEqJ9LX31nUnsoleNMF9W/eYEf7gmOr
o0pd5RA1d+zBiLSsB71VVjTFS9WRQzgvwH8CYEf+eJh7YR8od3Tq2ziXcAohxRCd/nxoVZRRWNxe
QnsBotiOJvaEv9PowH2avN2gMaHaeoF0jnUg3wNVR9sRhQVCANrrhGN0u/cq/4eq8iH1K+bufU00
hlHQxiQiU4I9uYjDxll2cdFXsEK2OMZkWCMBsbYyzwZNyOsfyMiy0goiDsynGSeeoXvLgzFMMfPG
RIdA9/+Mg6FCnctQRkYcfrWDdsfUHksWe85fGvIUsP0GcUfBmKBBvYsnoehJh7OI6YA8n8DH5UBb
HsVWba3u2OG5DYNH6zTNMRBOBWxi4xQKtxULVU4ctul6Bg9l1kFpgO6GjMpqu8BNLsNJFyMSZ5ZB
3QmjOpGVOybjHFYJswKkIC5usMlbSCHGEYWCpuHWNKiH3BrNFkHjWZvSi37NjXrmeOR3FlWZg1aQ
CyvVcCC58xsu7ObulgpgVi3LPTY1Hf/5WiT5z0YY+4BhAjbH0+jJqkJ9N1U97ltffgUQ1Rws0C+H
uiM8DWpgGUot/WGUyADe+aN/cCRT24AE/UF2w3AwNv/Hh6kedmXePQJ/rDaCOyyJ7KXLhtZub3gr
iC7GumPV7aXOdXtZFsdDlnuJs38w2ajfkCwP/7NdDR3RSQelu+cVeM3BGWlWjTZGIThZMxGyAaLv
fdEc+8egsaqywtr1pqYHrzdOMoc/FB3q+2i4uEM1pJIcfShbrw3so62qZ7++qIIIJ5+Iv7oJBiG9
M3rfOkTzIh35Lxe9LSijbX0IiX6FRcXPeSQhN140PLFX4Z9DCvbgoeIxyyMc/ZzwqGvpfVRjf16W
sfo5us5fXtBWLziDkk3JbOhV1FImQedb96XoILK3xmgv/WHbDm59EcTC2axZqqNGX3mGwY6hM/i7
OertQ9Nc+9EUF7wLH1QCIpKxgH22nbkUjrgKUdInb7SfaK+arqR36L7prWFL7Nk/tc7wahYkAczU
4r9Ih1p0dn9OeqKxTxr1cNkUbAlz5N4EHbrHB/x1z7WhcvLQ1z11HvaawNkHjJKN9Bx5tVhwHIYI
8VKk42/4wTZzlXfvMKUiobpT5c/jADOcpTv5PMwTAeFh8udTaL0WqHaqMZt90YNPIQYSnfWffz6g
UWXcW1O0zS06JKio2hQcp3E2qL/6U27QPiupCDNRDMOpWpzhxFz9CzFmdPPnS6Jm44m3rr/jgXdk
iwvij7bLCPBUeThMojrJy/pELXQ+laXSmzYMx5ODcIkBPdHrRyqnasfpdI8gv1rbS3G60m55skBk
BnP+DXLhS4TDjiMb/kXaALqmqRyOhRrbuByaau9ihCGAcKmA7LsgK4MAbAzx33OJZawo5zwNhEBX
gB7qOCSOPuu+v7V48qJr2V6RhV84LQ5t56CJGvEruIEnpOj2qSzrORn0mB+t3nTw51nGVPqTlQW1
gZNd29ysHB0bRAK4FZNOZ3+4AB8I7lNkAezJCab3rbS1nSF7NbhOUHRlpZzIDdUKSYPc9v8f8TX/
0X4G7xikdnkojJFADVcL+p8GBRbHZIaKbQQAAYna6ENoScR9gAYL+1Zz6jCBNhCdH7ASAv1zuN61
LHBSq4Z0TtT5X1gUfjRknE4OG3aiLoDTQl4R62A64K+aHdXtJ6DUb2SWyOybBT8Z06IXDSB2FaDu
AW90boeFbYde7XKIu5GqSXQKwUzBrCixmu6GmoelZhF2sgSfC6RyKYnE9PdB7B961H9IH71/amz/
3AkIXlGzu8gSRbf/f+iuuwlHvHIoR5wRQT1qVHpbt/GtdIrIhrY5dlOvXIP/CPpewlzujN+IlDrt
nOYK81nU5MJRpaXT5JbXgS3YY4y9I8IiX4XfZU4wNwmkhuiWrJW5lRyhHxRZx1XpfjNNRUGCYyJw
u/nrTwXjuaiIpNvxDRIyiyRAMt6+AASQOWH1G4VYcNF5+G5ZY30aF+s3vCfktoF7wKFxNoyD59ba
9g7Mra84wDdfpenByAF06mHZG5ajvNiq+Ag0WtxpKXXaFLO+ztYIDtkuj204QP3i0jFeBhAsffTX
APORvBj875TJe0iCdpfzHkOd58DpdIjY+RGsoWnCrMU9kuhzkbaWWwn2PvKsHvVFdSpdDht4qCd3
7owjue7t2JkX8PKOd+l7tkH/AZwRI/DfM/Q6ZdBtQxe1RATXX3jg5Tu/8ruYEPe7R12AZBrOL53o
eWrPsHpVboelo4JvAa2vOLn4SQFfdjg2VIeVP6U4kRwgPJed3+79ZgJov6inAoW2bcSYZ36jh9h0
Ub+Zm8JgOVG3qomg3uL8I1/vbegpQL1jOQOKnHukYwO6RTp995TB9KFI+73lDi5HRlvitJ+dhzWJ
UR+X6dG3mlQvCnt/WB2Q74ReqmiKIFMpHoUP0SIL4NpXscqNzbTSjLw4CwflTl5+BXNA36RbJaPL
oJ6rv2AmchfEgf7J7va2RtXLA+vJ51+CAJalecffZ8ho/u3o/V8q4X+fGt4/ZfXrzAgDtEOg9QIt
mc7fB95/0wTXfstdiObGdB6QQNnluFVWUNxs+FbOtHhzBJ8TwcIl1jmGA6oEPSzbEmqVdGq6EEGV
yzsBwr30UFh545T/L+rOJLlyZMmyK0II+mb6+o5965xASDodBsAMhsbQrqt2UBur8/4Pkco/yBT5
kjmomoV4OJ3ufICZ6tVzr+60Ch5riaJCsgjrZo9BRyNQTse0l0d3QR9cBlaGedmznN2zdb1RoqUq
V+RDzKc5q15drX4xnviUSD6MwGFAnHEVt+60IuHxYmbXoxhUZ1tOxEvUFMROkGw6BDKqJPs3q2Y9
ZvxWsZLwb56ZdiquWq4ZsNOejVNe6fnb1HXviqz9OyTs3+Le/zt6z/+TUg4+z/8cib986u5fhRx+
+z+FHMeO/go9n3yVIICsjziR/6njkBf9F3FHVwQdDQe7EU/k3zqO6/519XTG2M0SB4tMgvjzNwvv
eH9d92hA0ONcCK4C0b+j4zhg9wg1/1fIsa4pRBDwQPX/KuCUIqvGtrdg0q/YiJ3o6TnM+rKmw3Ga
j8y48nZgy8R3KdzxNh+t/sZzLV9uqCiaK7k9KRQRHFwz3UI2fdAXssukphr5KQodk48F5eytm8oV
x2lZgo1VCP+YM4bvro9t8FzPEjE0z6kGy8rTdAVlAwSZEVlcsXVNy9vJbaM3m8ryZJdFuPESOdw2
RQN77y/jaxgwFFonddK3qzwMGPO1cfacDABzbc4EvmF8xivcpuV32lTZzu7nWh4yZ3T/WJwGHjOP
2b7p28wCu1Hx4zIFOLw5IYPXcCnMuMnqpnv1Z4EnNOhr/8kTkefsdRnRDNU52Ggt4bEK15BXYZNe
dSnixnvwEPPrbVwgyodqSi6sYI3f5niE3RRxaIGdFal1HxZOfx2S56/NlDaM28rxLJOmOw9zE517
L+r6VR4xiK88uP51T4UoEddHK4HZycAA4di3/DzI7ZzUIm5y3esvr+SfvB3D1uz90U7kulBduAtI
RUHhGua7IXbUY5QuyZ7bqt65SaVvrT5xwJhgZVeLG4K1p1XtvOdT6z5iRfdfvYpDK0sAO1fzNNQv
S2xNP7Lt9Fn4ttgONc1mKZz6pEbMClZZ2v22S5EInGBM7gJ2RDG9YKv9o6wroKRAqUOrRLuWzuDf
VLoudoBKhhq30ZtYKh8SPVpQJbLqkqveqTaW8rk5uMsT5vSuvjW+4BwOJ1bzhYqYvpU18oitDO7k
XW8PE5pKH1c79hkq4OAk3RCfpC6ixkXXSB8Cw/Lc+2zqunpVtEMATYkV7Uhz5u/hJvzXvJmze927
+YfX++a2aXjohqDBJGR1hTiWDRjd1bm2rAgrcF5do8rffDhutQrnwt/OxTSJld+E6SF1tMTyTbAS
vELZFTvPm8J7X+fjOVBJhDSqxLcUhebK1Hl6iaI+O4hIOvvrKwD+s3iXPJRqE1lJDqHnZre16+Sb
OWGmlsk+ECs3FBzwJAqmOyRQcTT5ZP1BTnZ+mmVejiJKrjk4SWvWiZL+bQh3t12c0OwSP2fT+hjm
xVmGeXPC46+Ofq1mpJgs0NlGd/O0HpOAB8IL6s285OPHnC/Zu7pGFCMKJL/xG1tPnkqbZ7ZpFRcC
be2XyQmG19Gy8lNJOtePyPvYPpAbyjpHb8ReoTuaLNfyzgURdI9ssLI/Y/wWBrHBhrJv2YAo+dRO
YxnR/ATSuSOQo9osaSdvjRH5eWTeF+3DYsxGrtpYvHSLUAeIs+FgAjaur4Zg7AjKmaQgMyKZ6fC1
wxgtN2N0487deDNzFK49tyvuojkojlHCCrNoaOdwlY9J/akDhDIK4NjcF5Pr7kwfCrSmLO4Os8i7
+1GUJUnucfPWF3O6j9CWXtRs2m0bGXutZIPolE653NptjIfA5gNLeDHvXK/ywZPj4r3USvxyoWoP
HagVurWS8jLUfbAtZqfbjKpwzqQk2ygWcbnhbzYccJF2d3Eaz7eOS50XMHY6u+PUACoyrbksbjH+
zFORqqe0ciHTlbc8d7pUkC8Q2c2wZDeL3Ub1RqBXrAcOUWLb6/5j6kLvNqrDJgAEBvpNYis8M0WA
WbariKixdL7v3ZYDL/XaOQOUE7CxgXC6vXEUMkLEg886eI366fV4QOwlRm5J3GoT2cSm8C3lpfYd
761yu+HU1RFt/JDnP2JshvuOuL+Xsi60ZKn6tQ8WwwKdpxz22+Dsqtc6aKuUWJk+tA+y01CuSRBG
GzEnLFutx8b5SCaBoGaaShxDDro7oxaeeGYT9Y+CV92V0xVki6FA9vnYhOcizMyFjAxqp0kW7cOS
TO2xRe55qpdsPJSOKW6tYB7vajfz39IpJrLXm/zqWeP+QwNL1XSYW6faBWjzzO4XIRBfJ3b6Mhu8
AGcmDwOE5KqNeEs6nb27YaphWuhHpskv7qyoVQcXwv1jKoYCT3PlZDftUgXfRscuSwkNfhLfam6c
rA1SYB+OpXpoi++6FuOxsoxa69RGoU9ns6ssIBI1zONBzDJ5ATUxRwpuY8Oo2vFzkDvxIxpneWD5
jbezmjm5MLm1d60p7ds6LLO9o3uyb2vdaHdVRjo5axh0ordHQbDOUPxusqndJTjq3whyS7ZD0zZP
8eJHP4igcb3KuhSELS2QEW2v/ZQinHYOswlsQU51WSSags5ybMSj658GgRYPzhyHN9kwexy/uDKB
fJfxl/BKSasyC8IQctf+QpdjcM0pm8tVXwbzXaVc93ZMW5wlHeNc9l7g1sim3mFbe9yuw8HblGCZ
G78O0OaWrDyMU03tbiz5Y3RCMleWL6xHiBovWVVR34VQvkN0hZdixvsMTp4Z4g4nRJ/6RnThcAwx
xD84wrFP8di6RwUZcQ+N5z6FPkj8wDda124niM0OfL3n6i4ubuJlT8YTzr62Beqav1hAhIEzvDEf
mR+9MeKpnQnCaXH2Wc4DFr8guFYS4rWoGvfkeLr9zHlHiD03C9uMfZUC6cxtvUGyzvSaFVRIkrJJ
3ZOFiRwccEiPhSUQmsq0OTuxVd01Q5jgj7cn7xafnreuAzMwxi4VFG+s1cV3p/QUFPbyqVFhj7IH
TCtD7X14NF8YEMvxHWI5uFdCtUfFaO6Edk+fpidIJH7n4Dhrt7X6U+8eyxYdcfktp2KTnVm8Xmti
R2jmtvnAvVtYkbteBEk/jvCt10wV0bdonFIDnHnxbZAW1SWyZoiECf+fx7w/2PR9M9WrsRm7N0Eg
76Xx0/AgpEUyR5p12EQy3xnWWavTjY5D+5yaXpHpTeZiBvN3yXQYfHd9TN0XcK3eN1OrznEMtcXN
VvzKjTs/mzmhUOmQ2E46m7EHySg9RBIXAYNy72ZkefapzarU49paKn50UxKdF7yA29B30gGcYo4J
8iPFyDZh+xz3IK/urNjIRs//ft31dBwpF964y6pjsARMHJuxtMTKS610WjeRaVYwqKSATd1kxnUU
p/7B41F/oWIqXhWw5g7iMeFsyMLxnqFmi3eodtejG1v5NpRx5eEbZFlxWvumQReIcY60raR+7j4E
SjZmtcy+BKVnRuZEfbphOpnehSE7ojul57cGG9KzzW7UZ7Yf5UfXLlN8RV4ein0ivc80xt0y+d3b
dR3RUqfsEOUDwwKxdCyBd7XzHNslx23tyR0u3E/gOdaw+TH1hckCsWsrv74sFsLuBtx/wCjLHyFC
nqTRxYKHcFhV33J2hodoiiW8byn32vXjG7tjyAFAVaYXndnxnWf3iA1DOn3Jycpf8yKnX7Z1N/RX
NMt6sK2guDEmSDp8f8EE8R5Q0zRLFFSrwcoL0Jemj/Z+VFLrVQNcPsq3vc1cXCM5ew8r3l3wVExg
w5UETi/1MHCeBr29kUK729SL4Xkb9ibhdhfDdMrQDm6HiPdk9idUVt+fgyNxS2gaYxhiIemJTRgt
j/+cZfBAnhQlmhgpxNJKsEaPQIntWGfNfQqheA7JuLovCtu5xZwoNVAM3zMEbwEx8bz5dQjK6JxP
voXllLes6mewkEJmBOMU+uzBG23lrNwHFbflp2sP1VMMK9CsPIdeHynfAAnGRM5vRek4D76euHAB
Z9aVVuwdw9DyOg1hSwpkL62X0JTjMeod52ZK5uV9hgf7XDpgJKYAQbGul9QcYky/GNKwNt6FSR98
LokZD0FbWg/GsabfYL/4Hoai/x2P8bBtM4TVWHb2PrZMdgrbBTNcep2Yj2kwIAam9ZF+xTwPTgIW
48r2ntYrurUIGs6BUPxlq6i190GbmXKVRiRn6iEI6PKi6Xvs0uBP4uJG6ls2IRnDEsTewcfiJVZ2
qa14WrdCO59hzXscqDl5mzNe7u7aTa2cSadgOhZzLV8td3afTcPKMjLDtxxgkXIXIN8qi8TLkOkM
bDZK9kvc61unyMpPP7D8k/I7/24wdbWRE7aQWEfLA9hXwwja919tZxYf/ZhZv4O67YZV2FMZaofF
1G2CuEfESL1NyhmBqeQwp8pqQOBdSu/RyStmIjgzoIQn72aeSbVZTXPjn0cRmfsmqHmA+dn4t4tj
OZ+e7TCmi+Psu0ZHHtdD54brWcXWDfXjcCusgM0Zjq9ZuRy6/H+7VyhRdulTULvud9ObaMPyFHa5
R5FrM8vPnK2JLGuPM3x45nTyaB4EYhexexdfAURhB6niP76uxe8lW8jfs3nK21UQgp/ZdovZPaz1
7QwjeJdqN9p0TmFmBp5UTFO4hD9lOoGdLTZZrHPKl3v5iIZoKlfepf0051s76tJzGjmAuE6m7YuL
83cjEy6kuuU6kzmhm3ReyryOHvXc0PCXvKHl6iTfpbYPYy2q3ex5xV1OE3uvRYCVWqo+xglkW/WW
n1a7lZHJH/SkLCY7Jd2ytq3oz+zj+c5KOBaXFuE0u0If3cyLN7HSDm+Z5X6Z1mPSlafptikDFi/G
fUEsN4fmJlg6fdK1P9yZXDUHgjT60zLl/o3Oo8is8pkB0MqfHb/dmXLCw9eTJnhbT7azi/XifY3l
wBi/r4hVxyduRZvQKNzCxGH8EYze0MGblHEZGcQHvgl8g4txGqZYFkeYbP6JUdiVH3PpXXcWdQvz
XvaHP2M6wmhFeMtyF5V1UzLQ6pgUW+XIssjKUmR4Sc99BAnRZ44seWFFoxuvOfaIwzCzAve3uiG5
8yciB5I88V5da/bf8BIuT3ZQCxq4KHyxywbah8iblpLOp2Au+yb7aBa7+GPTNHzlfm+4SejYaNCt
64VQi2PeWPY7dkL1mHfz3K6hUr3XgViOx7icmpLeXqArB4vlPFlV1PELZkayLmS9sPnPeKjx4RSU
f4pg5gendVe/ATJ2PyCJ/m9RFkphOA7K332m57u6XswOM1D7tGg1VwTZlegZPn6zM2xD9D3PzGfg
AjDCDG3IcTRHi/xOOU3PZK2IXd1Cl4tF8+E1ocQi2/c3A9foj0py/BHeaAuNizHAMJarkVlb1NdT
Rl9e4FZNK4xla3xHy69QCkWFWGa/gB7MabpmtAV9VD3KgX6axSV0OK6oxSV08Sis2lrkX/GCEJ90
wlzcyo3fLMepfxczW+5WLN8Cr696RhEjMtp6UE3Tr1KSBPNdkLYD1EDULF8lulq4q+dqeOkbaA9E
mronxxrr36vpGdlt4Vqa371QnAZ9NhIbMccZ+kQ0BN6J96Oa9jqiBFmJ1E4Oik7nvbCt6VGFtq5W
LG8jkNrtavvBYji4ZZxI1VR0DJkJGu7jd8To9JykLGIHHfbGdVvbCsaE9Rtwo5Ikm/WY+/bFq6ZQ
8c4o50+dl/LNXwyz/TwrcVK0edr9hNGUxXxF3dyMk4zvvb7LHY4vWr7fiFrzvfbTsdlZTgn61aQq
KFa2U9YfaYekss6JrjsvsBRY+3uboIx8aNxNFi3pS1xl+qOYMvfQVUP4kqVQZw5QwTlwSjSkxiNB
NbcTgiebcLmdrbG8hF7nf8SyRThdMJq9MSJtXPKVgfllNYm7qrXoW2mr0m3VpIGDcu8Vz3Kq8K+P
gun1yc0caW38eKouPokaWIjcad2zbfV36o7Wvpny2od8z9x9mLfB1plG90U7i7WONCV6utTl55CK
+HBd33sJlaNKIiOH/nn0unDvDq3A/FQ395Tokt2xtTdhtlXLQ+34w4O0GJ/lQjccxW5f7WwVzgI3
trEeA9Dg01QwhTSRbrbhFJUk4o9luvNLYk5U0Glxqkq2AebdUj93VqALeGH32spGdcAwuBk8hqML
O6SMq55RRONdqZv4j6yuIZpRbt9Z09WtZqc620nXNr9ViVZKw59v8nBKP6zS9/ZJOJtznVkhTtZg
vuC99o5cmFx3cbxEn/Ek6ntlwpTwhd76PdasP+nsnmR7g2/2KCYreHJ6z3tfcqv5KXUqfuErE4cs
K8B83fw7TNR8JAdseW/ainTROpkcLgiflaJdWc43ZhlTfE1h+DG2FrRw1CvvNLTB8FUpO9kMzP02
qVD1muZDIp4kRuJuRQjYmr6o/pRJHYCAeMOK2tv9KIH2GcUPcfOcJ7zpgajxEFYsTn1ESVMbG1qw
XMErIZaOpSwvbBrz11kQyS0uPtLLNTsLK1V/acs/CActUsbqJFBFMgtPglgOLk5aDgxI4T3T0OqJ
qa04kDBCMkmS14bQhpyvWxXRqLiHDDfCKvFoHVfToON3ZzLWjw/x/anFYI6py80MXDawDUqHkICe
8umSc51fumYOyZVoMTK2A99jFQ9BtO1EOfbrrKjjGydKuy/LYdK6qrBlbwrkNUiEdrqQeSiOc2G5
5T4RWTGuRVUGW9UvUEyVhOhffDPaa8tG8F0VEEMHpnXRyRuXDvx6NvHZwqzWrVI7MxA3rnxntN7e
Z3ZvlSslUnkzE5HBcxU7l7kJrSPzz4kk0bja94VbkdKdTOZ3ULr5WraZmyMJBG4LOLJQ/0wS+pC9
RPEpzWbrkb8Ds1/6yBPwX/UyL4uNYGDMNkUX2jumHraha5n7Mq0tqrKsOlRthVYYZNcIAoEtv4/G
LWKPPI6Z7+1Ui8mht93m1DGdv8EFU7y5XQcQVvgmOThZpddeZ5LnOnerl2ihu8xmNBmu6uGzHrUD
VZdHh4Kt8TUgFqVfjLJ2YMif7oapst/nAIcW05qOWWmVQZGFMr8k2dxjPCjTlX8d2ct2KI4lPicS
EfzuSdVFfxtSxa0pUnnufKluYuL+cbF37MaMovzGjuwSe4HL3ZqnYjsVnq+J4inVPh3y7NSMbngn
teHtJVPoBgmPWZAC/Vt3Ea5hL5za58av4MmyIM4ot1UgTsCfw27MHdwsTeo9aacfQB4AjvA8JV31
yT2vhhUjKxVs0izpfiuM/iGdT5+fO5jkzdSQ1RPOZeQfi5kB1iqWAXGutI3RszRZeadZJ3rIxsA6
h6HIxw1JSFb9MPJkPrInKY3W7ehruS/pNIt9OjNqL/IuvGuWunhXmDCgDqc0vKd1wfczpaRHBGXr
sQ4tX/rXfLb61yaew+eZKkevhqrzH1PPb6YdFyHJwgSpmPfIi1n+GjHxtbe+0MWLNxYxG+9aEpOi
MsqPc3d1RVkleNtmQoL+prpblrXvmNTaSF2R0JF3VvoZTCEfQWOomLcTGUgaM2YwPC7JED2IxL/m
SFhFdqu9tmc75pyTrTP50jUHX9RTvs2EzMiMF4iVGwNmjRlQppZzydCOp006dblZ266WaAR2PX9j
GPJnuMLaQ6VvWNK24k8cqLq7ppoOTAvTvZZlkp3noU2D98QI+w8YVZw8je4Uhxs+ueKl62bCIAph
LSQpt64c6TsRpPNvHYxmOTg8qliuilj95GSDtLdOtqTwh6jg43dVZVW0d4KZOmGUxfRjM1uXmz5B
Dd5KPsh21WfUh5skvSqvxEfNlCXaichttka1C+PYKrbN1HOENHEfHrLA0S3cg1XS7dsCuxZbndyc
IjryK6KGi5z1x25cn7SxaC+yxY2w1I/WvbeYfMdawDDn2I+N80XSj3oERBAHl8v4yQFkvRngVJNt
PXRcsfxezFmDB7hXy+L3wr60vSyW9j4mzAl0ejmkCR4OzIlxQ9c0cAVCSxAyU/o9xgsb0Jqzhn1d
HReSId3HEu+dVSQ/HRXtz0g2VEFgjMW5KpHC4OWKofnBrDIUe0sl9bRK3KYlxCPEpqKQqmc7kJ8g
BjNjQAYFt32axGctY7O2mkr+iWLf3OkFLxPt77IXdhseq5Z3aOenbrTqoL/e+Yf5W2/BLjgu2PWz
NgvOkV30bwu+rV3hLuAOqHTWSfWqZFA78cWT7j8Ng9NuFRFFtq9oaT5RXSm3mXjIP72t1C8dp/Nd
HzuE7Dhe903Udb+rawDAVYlD9KZlZrsR4Rg+9EE/7Fqro5QDnML3S8PungfWwj4q1+ufzBR6+86P
+5OowxY0BDboPXRLzcwhQlXCkHDH1vf4nLohrzqBH2fJZHPjN1G8DWKr5kx0ppfZMDOeo7k99aMJ
j53ISHyp8naXz8RktNHcsPi41zPxmKbfjLRvMwhFwdKpOonmDT8X77HkrX4aIqfgz3UlnqGipvn1
1knTTPdZVDeHvKzGV7pD0D7XdN6hZEfwtnB794PiP7mvlXD3jlVlhwSnFyt0mqtDq8s9TNd4pq43
W7e01ao0Xng1NrOzuLSNuuVaju7CEopzlXaFuTcWk4ULY+S4h1JmtJI7LI1RbENZUXuE0Kmjf+PW
jgULZ2FO9ILJ/6WB3AZa2T74xk7JDy3lE6cB7+ITBFVGY6dAnFdKTVXNJzf5wRbXssPpk0lSe/5B
TvxP0yP/P/mAfDaD/xfwyI/53/+ryj//BSC5fsnfaYrxX67vRgGACG9lGEKW/BMgce2//rFCGHuY
E3hAfSAcfwMkQQxaAmid4IQnWN27RiL/DZAEwV/8GTEOosjHuYMo+O8AJJ53/Yv9B4AkIi7XDZIo
YL1mEnr8Va6AyX8Ap2AzzMyKONylPgdJ1dfn1pJEYbhy2lqeyc42FsbzVcmaVX1akoeZEDkRL2sZ
YzSd10yt2v6YzvWjSdNVSrcTVGXDxldiecJhgEfpXBrKiuYPZbBM4DGyhaA/p7fcdc/AFZ+5FZ5s
8axqdS+ldF5V6N752UzEDTblruKNHzxcpT0JHXmPnrpFGIGE7+3uPPfem8wXm5234tDVmdnggGzm
IOEIqO4F82NMKObcFN5NVFpPzhS+SRfTHbcCuT1l4DBQHi9D2WGqSNJzaDWb3hY39JSc58jzk/aZ
oHnvIPvdDnMOwVIgEqaN152HR0cnX1WuPxfk1sL7TWrdzu+oBRl4+B6p0hDfYVsf/XHOUQY8emWL
1KNMPuS+dxuGBMil8kc5vyYJP1cny7CSImBxJuMzdPfPTNTnsP5iUITglBI9KR+0xURTLEdD+Bai
SRSJnYvnFeiaERpJUDRfVTttYmfeE2Cw9hbrRvt6m+VkE47Ku3QOQzhuAtbw0b/q7OColHbthVjE
advMcbhqSzZx0YUWQQjfN3wBPcpSreFSdnbO4rxmwOFjq9emIhHgEhf2Tx7p++sPuRX+JkzmL5ME
G8N12uPZqJzpPFQu9peFrlyskNe/BlscmkiyzOgcgZH4ubUZo8xcA7TepJWQxWXvQSEOg8fEwncZ
8HqEekYrOiVvE/s4XxSYOU8d2/vwUKc5pmV8mO61OF3FvSEuozJrkPsL7Q57i5bgsXxLqhemV5sF
nlwU9zLKUF7VmSZiM+AIgLKzjhzxxwTliZwOCM33rMAE4ozQ2wNJm0WEZJNXnzIi114EE7FUyXMo
W/dcexa5e1F8tQ/UK90658H3X4YhPy3pqqxvcS6s+s5820m8iSLgeWI/bPtYTsPv9gWJ+my66bnG
HEafXZxmEh6tmhp58EBSQZnuArv/Q44uW0iFtdJEaMP+spaqc1FWZL73RPyQGgx0fmbna5EtpAyJ
xKylXb6zkqpct47/0QVOsLUGVJBsseGGm6sfP7DXeZDjZqUb2RldnbvaXVXjfqir9dXHoNWJgep6
xM82BPiqh0/KoyrdDOkXZlyYVOTLQUT5rR2oi7Id7zgmgGCqH+aHim2PR7sy9bbrG7lJZZocnUrt
7MllUlTa/MAFuKPTt7eRzF9s8lyfVWb8J4R6gElzTsTwYKwUAqzFoiVX9Ja185hs5VRuRMPXlx+L
c+lCSCarPE/9hBO4fO57bwXx9T1oEstuTNGsqxkPfFKeSz88+NHaxkWwXI3+FA4ZNAtfhFxI+pn5
00SYwm1JaTatBBJbOLwE6LlBsRCmJAlLr2k93FvDZx863mqpSEF6Z4fJdmb4G21NNu8VoOuAh4Rt
eji3Pgm/2PUSdr+kNNbHGOqo7lkU7+pt6tNrxOQf2RyOUCRLmN4P3c01ta7VhAIiBV5rwam16Mme
nGbZT1W3H6J2IyMS692HqXoPgdRb+eFp9rAQm7E0m3R4Nsu5xsiPSLQt7FvyEu6X6qF76FKy3KQ4
BcDOvvNiBQMI+Sprb73A2Q3kBKSOtY8E6QqOdc7JXNXeXeKJtQWy7HW/BPoKdf4DH9M6N+XmKlXm
mWf2lXdY4G3z+kHY8b0msgaPtcgV2i/6s8jgn42o3qpmeoZTp3WddlNZwjB4GyuDZ3VoZ2nmPWsu
NibxIYPlzq5iRCwkE1Z1ynRLS/+qnMNAy7OEfzp/OFmQ9wtVe1PUCN1iC7TF5fKu23I7t295eBMj
bRT8DyZpVrFr2Rs35/I2jvPtFBNTMGev2Zjfl1NylN229045G1xiZifZdgG2VkHACJA40gWFnhzO
LkfwbOGpLbnOY3oA6up8clcZDInRR2nYPFluaw0qp97GOH8ycwHkKzeLm/1S/Sc5fiuh3GMYKvyr
Duz4UG88/5Il7/Sg++Eagqiire18ZOIPE3hWFv3pTPHdECo4T+F+zB9yJ3puK45D6LSBuN92cCAH
6V9d+lSus4C5POdJh/pLZ01MWbHx1Z/FW7gBgr1FEAOqT3+LaHEjin4T28Wx6fRDMYI/A4vMIY/V
PjCzBiNMUOXlr3/8WkKgbMPuKfSHe9iBnX/bXqMC0Y9BM+e0XgMzaAzs2M3w0bpIhXIN2MRPSrwO
i3dqkxbeRnIGlfHBzHSrWfkUSOwFqiQbkFi88CN1fqXOHRGpK7f6MozE0fw2C5ZPgzkz7r+ALCH0
Sam4mus4SWHaODuIMa1Rry1y62Bu8N7r4mmo+k1SBhfgRxWSjitfw+KdN2gb0s+UZrmBmsyno5Oy
+5gsgd7RXwS87oPK7FTSbyjfVkP+mhp10SSzj7mL/bTaz3F6GYJfEbyssvnR5u3K7odNTO4Ii8Hb
6i4vOx56GCsAWkuRB+DI8jBH6tRO3gnBaZWh6KTlYfG6fW/qnQrNnc2qu4hdLHF47qzfeJJQp7my
gp+KI0/D3CC+7SbAP7itd2UqOvEWS5FeJ7zTDoGEdXFFbbdYAjfapjv5h0ym9/NUHyTUqNYlJRtB
xromJnm4cVI+Nrstv1JMF83wK0DJqJaogYHqDtmQPGoiNRr6a624GJdh3XB7FjpYGZX8yfz5QGpW
UYkNjsFNqNzHG9r1fF37IfkXyaeYx+ewKr7GngccT9kummZGJm5yo8pkP0akMPjVk4x5UJXOEGgq
qC/SeD6oYygksZILcArDMTD0955ADdbsQC+JX1hHFrmerKw9RWRSrP4Pd+exHLfWXtEnggvpADhT
pM5kk2wmTVAUKSHnjKf36muXXf/EVR544gnrBlGiuhvnfGHvtaufLVt+CmmSQjiJ1zY2rxHOu4VP
gKOu+xK9nEu27bGYGFhWOHcY9D6jHYLhuUN2xhUZnwu7S4OicT4Uxgeu41j7DmhkvMQ+Kmk+FOnL
SH4Uk9/1p5iYrCFQpppzBDTxVz1rH6ke9+BPn201QY8lXxYkNRMZMJ2EZIIgc+R03FA6q6fB0P+y
gfwZKrJ++9kbu/XIMOunizklUZDQZ3N+tBwH46kmTtNNnQ9zZpBGXeMch+2B0KoAlAR6iAizcfYt
MsOXVRHaK92d075bLMgmY88m1RsQp+hQLVZHUC3zG8DhHwUsteJkYjtVcX9ObLlGPAhJ+bisvxVG
kWvyVKzNDs3waTRR+k1LOCrNozQp1NCaTMgGXdaCk6aqrFHFZyT/1pLuvOj2c54Gg/og1OFQrr2f
JXw2bI0jsTsp21ua6Ky8E85rjqym2d9zweK4d0tUZzLH0h8h1WFIhPh2hLAK8XPXZo7f1i+osPak
br7Z1IeRHcFi91doyQwkvWXOLgnqDAZ4Cf59+ZMW9S4D894jodta9Rirv9rMCkxQMrZy0zGLMzk5
RNoa1gNoIN7G0im9dZq4iYsbEot7TJebiq+6Ml9YF28mp6sWWT61NzPtAhz0cirtl6Le2w6oHHa7
eHlRR3rJZOLUB2g7KwAj61tqZke+MSxq68ni8WfS0YWzvXoNE4hGHfzWbD4YaTIS/R6z+qhUCtZc
LDOzulco4xMDDfVI/RCZh0prABWXzaOujnDO9fxPPjOId9jYGcKNSQS664fQrFPFYKGHlgIyT1Em
VAK9nT/h/plC9DEpxnSOy0yY5tEqlI+pMT8dOykDLvhruxovGZ7IKAKvqMAkbtri1cEnilDX3b4H
s3CRVsR54TYI12dokOYA71UqbsKWMY3eDAa3NbV1nfzAQoNugo0p/5ZLy4mtevfXjqPTW40n5HVe
jI02UX6q/HVgma41IIfaLAQ9dFCdA1prL+f20gXIfDX+GhDtbKC445U0OMSW7XO+HPFXB3gxSCq3
A8RDFwGTf2RtWZ1k7TxY7bVV84OCD1qIxku3+hlyDOR0gFQDpUt+WGbpIm2HSABatuJJsQX6beHW
hILLdfai7aQPEJyNKcD689ouU7hJRs+Z7Tm0uIAWvGSrHpH1eynR6Fs6XJi2D49cllws3ENRulet
+LSo74N1L3738zZ85Wvh9tF4SNflmUnmWTR/WbK4Echaqo2aS23gsJiqv8XXxrOZ8hfcstsSxXtD
JLuEPSb0Zr+rnIe+iS6x9HOs/5zmWJoHtis8Tpk49SgLNUvxKoqUcjvas3Eq9LfUSnGuIvukEox+
lxJYFa5IrRavKmYzmhpfr/9maNXAeyFEjAO22Jrz1cMLcLB7NcZ3VwGrlV+QwNbI2ZWoyKj7ww10
PAIycWXH6I7ZQU1z+s3rOL011GBCnHMk/WnHpkV8TEC2WNnyy3JGvbyqYFtH4KkSxVtpeTgR3AX9
EGWzmvWg+g2vV14EA895pg9u9FCDhzEBemChgVH+fWtzLmWs9Yze4+VTgfsT4Qfk/cnsGDc/WrFI
hkNjeXWPCTxHRZFMiDnLXedcWPv9npCQZgV+sGqD07rPKK/09dIAaLK0m2BPbxqXEXxojqpK+zGE
FSoVMYb9Pt26nZ0y9gchv7HVExLVrz6jtDDcvH5OkcYXFrRpRCNCIlwYENwPOx4Mz9q+2L17Oits
+G07iwIL2vg+AfCZOo03DHQ9fX+20As6HDvr2ameRarscwNDQsOMWV47EGitbjxoEDyEUjzIRH4y
h0VDnHMlOy62YXdlvW8t+gORTyGRh+5Yj4dtHEOjeNNNaHfbZWVxaOTdrkkMPwVuzkbxPI0zGuWx
HoK731iX3WNWI7/pEDUZk/JbZCm75obgZU7JWWGfI0wIuAoOCsagL6uOeTkBU9ZO77bgLGh5BQtg
L0gNW29u5ieYD7OvZ1L350F5XBkGkwbwXdqvaWUr+8FhTaWVT3kcnRylpT5UXyGd+liBGaTWwTKW
x8j420GoozANe3t8YhuJihetRuaELNl2SreiFIad3tePC566CoiTw3aRw890ejj09Hez5GpR9q01
3scGTyu3Dwuk3ZBTf6/VE/Myd/3uh8PG3MWgu+oBK2W1q5iczrX27YiRW6o4GpBRpopoC14hRKWf
M2erHjt+TY8gxUmDZLxt30bhBJsoj2aEcMT4WvhsqLxuTXUaaOtjEAOAdtzOMB5UpXznTHC79aAn
zh8UMLvZbH0BOqvNJmTYpb9No9f05ek+wF2G0UN0et8R4qbfjmuBg3/9sCb29xPurKr6UPGBZ0Pj
Nv3sTmYWxrYIYmO9baVzSIwuMKMCkM2NROUdCn80j5/S/LMWP6t6X6Pl+16Ip37MIUploRjx9ere
FGP6BIJrz+3VZhoUVxhZa+eSKuOXLS14JXcX9ToE8zMYk8cREBdBB1Da0vlrpnvttGfkd+1RGcQe
owBrABUw14y1qamnzYurIFLmv1WN9LtAmuNXqjV5QoMSYmrq6cLeOPs7wWhU1MPNal8z+wdXQlDP
lJ2dzquiWFFQ1DSuib6Vh0RqeytWVreGSpk47R/D/GNkLDJNaDS02gvCytpAPEoApj7S91tw/mVu
Xy0ETC01epnN+OCUNwH+uUYSwawe9R6VnQpSmZRvEHlFj+yHaVbbhNZ8aKButlhFloaieN0po3rc
MPSk1vQ3gSenduZhxOzcqX5MEqLKMBQ2b9qaL62R8+K9bFW916yfDBRiJ4CNw0NyIp/BDBm5nxZi
UCXHMyGfij59hjvmLiaXPGDxOEZEtlr1w1hV/BxA0Cz1FulkOsSUtIV0fq1tzJLtqE66Z9r1EY//
D+26u2yVr87yBqqx7VUPj7w1wqd+b7j2I+WvhQuujD50JUFuhQCGm1Jts3ecU7vUpOFUi72ooKeb
9635bz3FFlGsoT3/SZeMitGmSlRrD2lJOJp/lwmSH+wVbdb8FOcdtf3D0t0HsrRoKDciumfYE2hH
S7/q6wPtkFv3z3qxIncIJn4jPg3XocHSiK3hi6yM1xjyHwcXfxbu7tcu795QnH11+fynxQRrdHRm
W+ExwTYqxxPlL30LEOMwHvT1O/7TbEKsnC5XY8uzEvWMMpQyyDdQtWI9VSPqcAoPxrDI7rv3qpEX
c21OfPtJzfK3mZYRnIi+yL0lz2s2nO2VEfVwWeA1rppOQZv6bVd7y5Y+mdFLKdKToAZOhvc8QCNB
Od3aAhdgcenmN3P2zP6n7fqHqbuVEXcnPS3SCYQ7m4ft5aWcLzrNFryFk459EJMlWcaWPnmwajt8
kywy4ynZO1r+inSGZhCgH3J5PecdL8oUvcNvucqTUkhigerbtBQ/EIIB6NUvMPoQUMVBf2mzb4Su
O43pmUzsUKsZIzEBwMXfq8E02TtZ9h4vhE+IyMkUzl1vSblNuB2BDpiP6GUbL8uezPyNdTuQpsTX
27c6sffQG29LPfNsfJfi19351xSfvBynwdqt1ZswX3PBk0roYmF/lWiV1pxrK7NcuDdur6oBErpL
jBR8lsuBLjmaEcvlnBOorf3Z8YoczF2hyzDb5IMT2ZycvzLrqUTp4XTfGUOPbCs4woedrbV/RKn5
ZnFcI9bgunCtXoZ955yFluJu4GeWz303BqkyvxrTTsGBgXPeHyhOchwesYXilM4qxUeX/YrzN/xw
biJ+ScHh52hPkTJ5ffaH2FOqCyjVogrHmI2Ik7zIRv1J5/RgDWN3GCUpdhV6Wz+3HHS+AFl7e9dr
FTPr/C0pluPa6Bdq9GuvdxjJYxt7QcRjbzTWsb9HD8z6poQFfgouF14qrS+0sMqdu9qVjYZmXDJH
eWhj55agZ/VoxHn6SvOxK6jVlOpST9hSjR7C76jEzSGz5Dv63vohxda/pNVHaadICjess3F1JZ4B
QW/CIGP9glbssrw8cmmuT/3CAe9k6bs9aDDWMPpB2DEOZWEb3GbLztCpmoGooEXmD3Daf8rJlrEQ
ZqBauyp3acmYsJw9zP+wgWq3AlkKCe3+3dju6qCyuGuWeNqxt9rFzno04a2UanwsmTiBJfF726AB
td+ZthLTZbnlMIfLGCEJumI8/MCheDAHHexTVTCu6Lb3plS8JVGS0z9fmKZGSG/VcxbJJ8iVVAv6
WXRdvo8NqB5WulMoRmO7ADG/XfRoRN6XhK3xPXPjs6ZJ7trO3ZiANseY/Sit5gbBJu2OjQ0YFYX1
bwsUZdUsOEMjlslr/DcjySnK8bFUH12qfN+ZUU1M7cMEV2ckGiusMPDscHtny+uC5dhJRsQiEyXg
ijc1bhq/kgydhn4/OiJUA/xN7oJDpR2pSLlYjcQnTqBDqrB02Qndw5MJ8q6P5jMvPNzqlpChD5R+
noT3jnbQMxI9wJYbtAyfdT4tLVwN5N3uNMGGHkMMmCo4U+zhelFTrK48EIx4Lp2dZgfFGQXuDPxa
NMtGnhP0uSQngQB9p4vpSWuVn0hBC9GARfaUJMIcG9VBqw7yHJlqcUJd9TigmMFjO9Sgmy/lqmm3
9f4UL1a1Z9wv/EZcCtPpbjmQ3bvBjKMblMSQk32jxNthnhRm1ItkxGXhF5qLmZSY0njO4r4Odahh
9crAcLP5AUizT8KY3KeIhGqCEPEkcNWv1vMWj2Gb298G2n6mpxk45sPQRuYRcsp5XUKQYOt5KXyE
uRFii+hz6bs+JOkrNlqb3r0zT/98UWsed6Wl6VOL4VlFbHqytvLVzF/jxi5eVPvQ1hukxVg8GQkI
M02CmNMuxjxNe6xyfweC9TCzjIdSQ4vej7a4OK2JQ3Kc94PC+9NKJkaWwEvMh6A7br1ErJayqiDj
Cg19fpwncmd6wGCauoGYq5vJs+0SW+5grMcc1cPkzJz2ehLvKsQUrs1r4ZkmL2HOp32xm1eRgEKX
U3vOjTgizULn6bXNnbK0YseP9jYOox6omQgaw0HfZ2tnqZB3ygeax7qgqx0tVzgU4LO1EUaad63f
rRuzg3RlwdKS9LBN6DcwNB1IhixCafx16kUPxhp5YNRYTB2X+gvzAtuQitCsbbZDx5gfoS4i6iuU
9DBE2beUd15BzwtRT8tdMmskJ6cxP0ppVmd5H0IVFHzDbFJezUwZNO4Qi1opp9qsp3G7brVSHxKG
55Gz2IE9q29FbUi/w3GJkIvVdGXyuZ4SfV/bCe+cjtm+YatnzwVIlvtT2uHQN8djk1UCJ5xdM3GW
cjeM6QU0L9L0bTuhPoqSh6zcdtl93ZXG6W9rkQZpYMbPpH/xVsi33FnuS2mCP+IKDXH8U8SKJIzE
nYeS8rvswioqPgA/XWzBDZA3bw7OVKSX+OAmbfT60ep93eQHyrMJQ7jBD9qmxjXtOGdNKLb7HOk5
04wKqt0lofUsGWLIzH5Lywk08HCabPZclqFN8BqLt7Hm+yJUWB6u7DTo8+60ZPW2NyPNxz33U/fl
C5U+oTUxNVhsR9dYJl84ABS6IVBcOI+9seVTiOdvpZFOHouKxZlM9KssNzTuC+KApcaUY4wwckcB
k15E10GSlIbOHujoSAGQbCzc4hgyD3zoK0KphhCu9iu1nfEXwiq3EQ1bajtu9oOufBhQwZlIU1Ii
GiLJaXyv7DzUR7T3eZ/w1G3WS+6Ia5E0mTdXW4hIfDxkFSpUO2b53iE7dZvEKgNU/MzBVHm3fq1/
I20LTT75hC9taL04WZLR+IutF6dCMl9jQ6nDpm84O+uBdoZxxD9fAEyovOAtM1zzOmuLeRrus84x
rb4VAoIXd06MF/iHOPKS6Nh1LWUplg4qOSNZaN2j48i9zXRi0BFODBAd7KX0+9p4mhVmVRH8VX73
4TKRgDNmDlkDZuNh3rsSO4HJJ7PrM9LLUkMiyXFIG0s+HB4ZEq7rWEGo1vXBYNpBZFVKoBKaeMdf
5EuWnoxSOdZLG+0Vq/7Tb5BWzbZqn51RYf7YKsdNjfmsAf4KVSg7bpIPb0YXtcyM8iOMIZ6zsT0p
7Fpzx6YpE/XsWwPj2mb0t1UFLmYK7tu0jHdOFlOogEqSVerzt8qINdpeazE9GnUkuU9a3YVed5q6
U4HmL+Rsw3O34CHXYHFNI9jtjtQBFcI+oSu/2SxRc5AOoJdlEK+mHaIT+SqbFia3g08v0coAWTkL
ta1rULEixK1opPHyF2gaUFhZ7KgIWMZGteUy5A4ZdlHfd17ZONA3Rl7ohsTCrp8FyktR+kacfigD
uOhcwXfeOe8LoyYQS069H7nJymiMHjVUKtirBz8f7Jd47p9jE8NE2cyHuCy9zTYq+occScZsWaGs
DagDpd6FRZfRLS4wUTpW6XtbD3mdUxD8w4Fo9PaUpr0IrM65P7uGdrOMKEBWrx/MeMI1YdovilL9
UaZ8fK5tsbJcgmGNuEDndbEl8CCletHTSHuGsgA2dWA9MOsoLLGO72QlxAn45oFXkBSeqEQ7I/Gf
Of2rkjkD4uhynWkojH0h9XK/cNoi14G3Zm+WEvRVUnhlZcunbIqDVjBDZ+Sg3TBV6PSB+WOrq2ag
9Jv4qESY1dHyqcte7EsDpc7U1N/RFMWfW1b+Uuofe6qTy7q1661oi8HLR97BPBVvw9TZN2PlzI6m
BGHN/V+bFcJoASAwUMz0hSxOTpgyozTChL2fNIHMeGE91/TJB09Tt0Ns6oSZalW3tI0IpNFYoWl9
c7TynL/63VSlqW17bRby+UghEGFsaO2VCtlPbe5ZTK7pJVnS7EKgKzw1JZk9a62IRKsYaEgl0Y7/
fLHv/5RapXJwkgchavuokkhSudrEWDBKjFAr1d+lXif4Tit2Lj0rgNUBc7DdifBk9HGppFc70/cL
c+djXHISdGy2grTVxClL4umEQien/rArItpiYAP3LyXZRZ6Rqek+yrhtoVsoDxYC4dsMTDQx5Xqb
TeQ1wvoyQPncMCGy2I4UO0gbow7KqhN+DX/T1QgcPKJIgHq3imU3i247VXV7nTRwboK1yTKEUaHr
gAUZC6DgXtx0K3LM9vquJU7+7tO65Hl2bGJaTcgp/mApcNUGommztdh34zQ9mHR3O6PNPzFYe9Gq
l9dS65FrqUl13Zrlb9kkDYwUHHJRWlVvG7BdQDCzzWMhzEOcOGNQ6qExbUz6oEkGerN0t6o1P2cD
+MlQieowcI28CYtcDSsbtIOVsLEm0fW5U0ixlQPTIceqcKtN1TNLWa+YZeZ1ptrtM7HYN6LPmZ6O
ZKxXdsXwMZqLQ52SgNDpDsECCXJ8IxvJy+sMkG+VE9YNUbaGZWnH1ij+bmaWnLJxn6pm9djr7eaX
03ZJl3UNLWm2R8q1JwKK9RCCRxk0asOqrZ6SB2AqyQM4hF8bhtIgYS3VY0V63JpWedTuXzAfCi/X
zNeM1sBbKKGuPSjoq55ZzJ7YJOEpmK///HcHPgrrG0jK1Tria+hz2wX5xswLBymOqlw6tPiivKBa
O/FeLE+WNS1PwonnE6Sot63PZICJe/XyRg4XeJbjpdH0Oxi3JEnOQjQtlXWvW8Qvr00NKikfsfxR
uwS6IzCbZ6NRuCTAWWG3CeMBTxCqbuw7oVWp7O0hoL114JaYj5V7pNz21ViVPzYLU26tQn8UC1xQ
2BmM8+75TIyg27GjN8zWc7LI4ay1Ff0AU0+WbGW9V/OtILi4J3gn5X9MRfzOhqEPZ31VPge6WQzw
D41JKTvPPSq2rmdzjz6gjeIxaGylPC59Ft/GTiAiWiHJUr1ecGNAbJpjhmrAZnzFQJXj9PoBdHF0
tMYGTK9qfAzL2D/WDnOuuMwtKqRqPleCnUZjxGWCvRhfOR+Z7aE1xv2IbQlzQEYaBG4RD91b+mjg
8s8buycJqNy+cCoGHNzRO+k96HFyNIc8v78JL6dMm+vHPLLmN1hze+zfzj4zZMdKV9jXVQ72VUYM
quNMYcCXCfbWKPVuMdmhL6ia61zDf6OZ2wksrHOr4DnCA0T1RnxAP1CVIRDzrB7HQDwWFBP1PZtR
XWKabqd10KJNeZhkEFgzfWiv6zS3ByWa0DQlGsshBkC4fbrmo7s3ZZJ194KQcivT9WrnTDH4Lefd
AlfgUqZgnoApHlO103ad0f1KIsO4YKcYg9zuGHDLrHyNgCs+UZLf4lRpTrAq1bCJsJZqFRTzBQ0Z
OHLG1msUPaZQUOKCmQnmkjQA/Fvu54oUY51sI6eDGX33D6dmbn6kqb7LKmbwq+g0iK5EyKh61LEQ
nX4AStsfMQjxPrIeHeypbjKx44iXNN8TZKp5cS4wFbQZjSP+oW29OMTc5Is6hcng/CHh7LkUQxa2
W2GhR5x8DKRsSBdxneX2Xja0rhZS8mAGiukbSgkYYmFvM6CgcAfuxRDWwIe6zOkr3+h2tUquLhk0
ZK2/61H9VUXqZzqub7xAKSjGSGUcb5xXB2FIXLMaq4v5oVIb+WqVg5/I2fy1Ttr9yuHSXCqm5XE5
yieLIKXNwKE81jDKzb7h7681B93ZztQjkOSdlNX2NH3q9bgdu8jUkZiJW2JPZAeWs8aqzLpk/IxK
tjUuFAZSfJSYxat2dhDRY+9R0ZKhgKcvYniBtYAKLAJHPNN+wBDbvKFT0bXpankSoiiAv6P8yuES
uXI057A37pSTSYIypp41WaFFscJ+RSQ+vXvnQXks/SUn8xqo72Et5wfA9TP/2SEuL3qXchBPSfyF
lPatB7O7b0Yyv9V6epFA+lecxX4Xq6hbVIMC9dRlWX/MIEtTWS/JddFf6rgu9+aM8MAe7AsSpNld
t3o4NE6JQhcQT7AQSSIZIhrU42jx3K5jVB5LpoT5cHZKzgonerdpTz3Vzg3iafX41LOPDwqVCXc5
TQZgYZpH0sJnKrTO8PSIma9o25NRZ+R0Kyh1qohIdXpHRMPPSdtrTDNp1scKuy8Q6wofvHmXghgd
BwsrAye5dV1UXxbkAuyPSvT96oyiLBlVNC9oOBvMTa4o+DivWvpYrnGGD+BhaHkDTEbDLtaBiIK8
kW4tt+qQsq/8Dy67uT7gEHKCZbNP7ClCwQ98TrWvtTaqh7xRvkbV6sNhtbFDAX3Gb7I6YZGkv4F3
q8dyWA+FXHYNRuGHAWDMLPFUxoRYrmrcYNyvyoMkhsCYnqalXFlwm5avtXj/mq8N7sLJWX7Vd9lM
3mp/9EwX6I6YYWYZGsgBHgy/8FHNi+YEqrz0HYNMd52d2Nlu5X3CN2SBgmPkCCXqrGKEL2v1z3DH
CEQri/yBgSVZyg+FiZZPJFyMyOOE36WsmBJmHxaDHHcw4ROWifOaOZyDkYXcamIkkg9Dxfp3wSyb
arxo2koqHgKXTK62KyqzQCNQ3zUHeX9ifgYqomGaOyvaxmeP8pvJiGljB7MBQbhlNQITq6hH6dmh
zG4t2x7Lx66theRHZXtlMaywtfrXbln/tuO4nGViLmfl/kXqAMwbeHVtvNGKUN6HTUYSXWIaoOo1
a58WaeuXlnGbjPpMudztzJV+Zi4brs+x1WFR6Nulzz9MWQapGWXhoubP7AwWpDLr+tjNA3OCrDd3
dS+HIDNsw6sZ0mWVfom15hTFUQ9w5g7KyfrOb8z1r1ko9tMmWudJqQn01WDGsshfHsY+jQ+zjb2J
HZcZkH3g7BhkHMp81g52o3oLw82jcYvVDQJOMQa1OX7qE4MnogncrPnDQQ7zF5sjnJflKwPv5WWN
8SOs10QuLKMcUAmbc8iGj2QeLbYVDokHPQVJl2rgVshbsCZMM6MqwfkRxNPltMd4z+CdVZKJOFd4
2/QPHOeQM6rlsLJDzy3qky36BvJSH0D7EDiv5d5Waireu7ZnrE+/DWfnzTDfVfI/dH1ikzZaoT5g
NzAZ4aXQZbKxfSgtFBBbvtCzdgiiFMYcnTDprGaFbHNDWz1mkMw3OgC15SbCpUZvmGYcgUpbnmaT
aKDW1KB1VVnEfJMGRytaBrt9kYIeq02kAtkDZxe4vJJ1d6ScpdMC6C+tFwy0zm5oBt7bwgnlnODN
MJry3Jb9C+vPKFjJn3Dxv+6IPKvPgxPdGgufPX4QK3TQYFnUkUqSqBCtBHGT36MZMk/XLwVyF4a2
HpjUZaco23JorfoNK2hBGhgKTYNIN6IxJa/G/ZKmcK82lJR1lPJsFWI5E1HyOg3ms56lw6M5Tydj
iS+c/b/0fvudqlt6iKjroL2d+7s7QesZ5ub3HXdeK0SsUCxaUZjFDriC6odjVgnaGLdFMVnNnqb+
XDNUOE4ULMieWbqRuMQ4ycczcA+xha3FlX3X4mQnxNqQCJkv9TBpAp4ByOepBQe1+umQ922y840S
KYuZcr1r00yUwLgbG2siqDp+LuaOy4uMFnaYPQE1VIoRrY6rrTUb/LTewZcDN7f8tafPatTojLNy
uMj4TwxJx7W7lUovIU1i0/NwLjAhpAxAPEn9eW8yV94ydP02K4RVitbvHSJjipRKOnnF1klv2/C4
3r+NI1Lt6/58B6kyn4z+pDpOXGsOud01lDlZ2MyWDNTNIBIu6n9mPKZgX7USzy7RXsh7lV1fHtJs
3DlDilKJxAVfS5XMrwbix2abXSO0Fs1bzW2l6GsvHTXVPbYLjQ9EYrwMnpnd2rStPGnH0gU1mfu9
xZu/gOVAqZLZ4dxPN9JH0J/ba0Lsc/MLThbay3oQviqXZ4edGWH3Hfl+9kiQ2kZ2CE6HgoHI0VS1
QLdMxAiy6S599zI7fOAZaidhOYpHleyWYFbRBln0g0Rro79whtcoQpVK8TW56lST7E7GSTlzbTg/
E7BWjqMk5bT7bnKlD7IW4QWbDnrvVGpnFbKgu2jpXVT63oKi+ecQcKoM4g5zy25kWJxkQeMkdage
6xlNTbqtt7SGGk5twlDT6GaXVA+3JI/P7aFlAllgmW8w7CvbNTC07Z1IXN5jpgT0b59KYjS7If7T
WzHp0YqG8LlwZt9Up4OeTr8HzWruWx51vz7rtb75o1Vjxx8Y9+Kl7kh06i4QUplZTzWWSFArwBcp
CRP1FzbVIXBqg7i66KkdWkEhFo8MIni75RQp7PXG8iFyhjOczH4PT/xL1XtsRY0iPX3cePLX+mYq
nBWMDXiBpl57sBHrmeIbHcJbKovuEzLdxSxt8ccmKkAaL/LOclt6/N0M7n7PHFSELey3ZS6ebDJL
9nic4ZQAwVnSOX9J2vk64gLw7TGxdkDW7D1TsRiXTvW7yPXbuKTr0yCogapXp8vXmwWhBUoCk+su
E8922tXnahyJyFnq3yaEDzu7kmJN3FDMu9/fN+jOMCN9pBX0NlOwGOa55C1hbCdLzBCGpahMjixt
rwNEAhHgnDRLETtT2omndxvKS42X5P/ENPn/L2LNxG74P1kr+WQm9b86K/mO/3RWyn8zLWELSfaF
YRr/jebW7X9TEUcYWI4sTXUMiefyP52Vyj1IzbJt2Nw2dGuHf/gva6VC/hreSikIeCJoTDWN/421
UtPsf7VWOgAuNIsiTRVCNSVpDfq/WivRQa4xofaRK1L0YfGd+rdslPeWZcE9UHESEKxOnxiB6MWt
d41F9pkNsXVoiKZhG6onGmLT1v7ayJB1LYBqlNbJCxzLxi1YiodQwPddOuaYOdSHTbYHR8dbVHHa
BXUr2QXPlGXKYGJemtIDEV6PfS2t0GjSjs++qrlTf0iSUkNuM7+rueP4EuJJAFDpotcGnhF4XWHa
2VWI1sREiV3MfPpjP57G/ooAkDgDCdA+GiTxSiAEeY6ng02mgt4BUHKIAmgdwCIpKspKHjlKDCJk
yXRMDfksK+1lYMm1J9rBCtORrQcSHy1x6BPBS6Nlm6NAxThQqveGUuMGo7bVsz2xTM9tkppu4hyM
vEJFifufIbzR+yrsIYhN4E4isjNDgAaWj81gbQYSS5yOwitnx24bih6SBl2FDmOfkhngOU24bGED
HuEV/d7gHKPoQXYFCA/1Km727dkCvHfICEKbx5xgb+Vz7nKkfZienEZ/FcNYnruaMJ/7egeWgtIt
KmuA5EG22rvN+1Y2yJ1gqqBm1cb9ujXvs+03Ba99y0+JNOheHt3tKMxga05poRLL2qmEUws58Sen
3asyxohj4bkDY6d/4M7fGwNqz6KUMQXPWIZ68930E0kRZln5pGA55KpnmMYnFeImWZ1zTV3Yg6IM
ALhqaqaGfUKRJicLjGdt+e2g4INRY18nEc2NSKXe2TSZp7sjCoSJwqIZrju0bVf1xolf2yXMBdbI
/Pp3ys5sN3Yku6K/YvidjeBMArYfch6VKaWUGl4ITZczgwzO/HovVgO22wYMG+gGurqqbtVVMhkn
9tl7bSM0iBKlNF5WXfLlU6gF+Ce947UBJnMuScZowEdis9Sea3MQWCVQWvPhSOPciX1ffy0T+2QL
CUpZ5Wh+YcexHzTn3qWDxOHkWdLjZV0jADlzKypxZizqVoYdw2iOjknJRG1TgQIpnpFLn9adU/9G
DckEgsdo5TaGgAGpKorrV3N6CH2IYn42U7wHgDr4qg9V5/xJAY7vPTluRC3+sDZZwcmgIhuCC5Z2
Z+0a2MaUrgFLykIeBOZiWw+/NZN2NJsrJ6Zizac7rH3QxEhLiUaGzOtgQElcf22NhzQjxBOFOjcw
BukCmIOuxwkbGrxfTkutZ0DVRK3BHXLhGa7KlNiRYz/nbb/hXI6WI3iZ2QuyKTU4fOWIwGtGrXeu
/ZKvJRN62lDlyw5Upsl7DQr9mObxziGVTvsRvIi625t9uR5U/2MbFmV7U/nie06ynoweSr3FClgY
eCHgWr0rfp3FBKJyGaQTDaR59FH009Nksf1vpnuSSdzcjDc0o7jjIq+xMdnz1WuwPgojiA7a2B7s
9lCFrxOG7bWKMVQaZu9sHdO6YcN8Dsv6qKT/4CQ2vkgSQxvPfqN+St8x+bJodZyVh0oHlst6Qajo
jlPHZa1xu2+MbzR8VHsIu/weXLvcKgOpODL7RYONalVOA9nmvGCUt8pX0onEK9wdOs1BWd5u4u+A
6CffG8fqt6oybo44R2l+HxFJJ1ZUfHHNhpwUZP6a/0Xu3Ysc1KcSA7AEQUhaZdGEMZckyt9V88ps
doaFChQyxllCl322FcI4hapjXQnukC19tFfGvNmLkje9z8XBduIPC0/IXpPdj6O7G7ioaxwzyJza
t1tCKAPpJybrSHDv4GowZDi2fhM6NbudT3N7OVpLFHuxZTKP+Bjh6gSlkS+ZVT/oOmi2Y02osnRd
CpVDyn5ig2GfCP3gDY953b/2jVWsgEzNEEJm3SolImHPXgTvy7eYnU2poywk7aOIbZMwC3Ake74x
sEdbRZJWTS3wULbMH8vE9OjbJPwa0782mdVfA9WvkioM6LOnpxI4M42ZbC1JrKn5rLm2ddpTlcOu
MOG0WlRsCXU7JrefuFsW3kiJTXtPC6fckHBmwxJvazlQmSzHX6P1Hse6uVCB9Wh2Sf4Gtwfz9+CD
BiM427pQWWLkrr3LpwYdBzQrawpHksx0K01b52fRmz8EtZKVTjHdxjTMJ83jzlaQI970Y3pWE5c6
1bisQCnkbEe+g6p6FyP6djX2NAWuOrOAEmmTpOOhoEwi/xrq5QQrPlbFl9aPsEkj3PyIsP0hTCF7
Yr0GqcPAWRrvWelj8Kmw/hn0FWk+fo8iGvJlExxLWfg7BbulaLQ3ZII8Ijnu8h2yS7UE01KsYrbl
nTRXCEH6xs+1c/sCHYp9cFXh63fS8CF2JloB2J1t4uzbZju+4u5/MHQPaJtWIVWRnZymod1JckAe
24wlVn2uwPpwaxJyh4lBvkGjBdlmYxE1NuHt4WaN8s3NUXZqAAk3volLK6W9om3bN1Pvb5LTaefH
z6KkkAYzy9XLJl5LyPvUInjpotEPDdK5lbzqzrjn5Zkuaj3Gf26i9mZfgYJrZgduhSXBwOy3p0kK
M57drt0cz1zkZJgJR3GPRPYUTZiQ85Sqxxp+L9FB+1fCE1+DiySyMnGAWgk3LOmFVOuovQuYeg1K
VHGVzPa+RTaxzBy5KlyGhLDB9ho69aKGxivr6FTV7c4jTLC0WOLjl5K/Fi+lhT1gQyDy1+EfRJ+h
oQ2EqwNAigwbauMg70XrHS1+8guJQE0wOvlomvF5/io1sv9lDPuRfsLNHuORTcAQNZ07Cb8+AiD5
rqqtP0tKaNet4X5G4r305Z7oO+AeiNfuIKetheBte2pv4rWLXWPdEzxHDvnRJqxbkiXOEsvVpgqx
zic+nXt6ui8zYLF+ZhGB6tWR8PrarM11zRhiGfSFFEL/43Hx4a2IPKz0H33aAnKzlyC/kfo85W/M
As7+BNYYbv60UjD3Fla+ZDdwsQ2Isl1MqQci5qcQ5U4DPY6C4T4AWnpCAEASTxoUrLa62bX/bifV
Yx2Z2c6o0UYnShowigUn21LpBWANdp1k+deCKHLzkz/gysD2l/DjHZZa1ldLJ/c/QvxrsNz4bMWT
mRMiE2W5FHnxECkt3o3N+EdOtHPbndRPca+/BC1RRjjLbNXKiwwa6whS4F5D5KlyXAxJwHunf45U
TzdDkXzizuTubHOt7ryaljkhrhaSlJ/1Z9OizsZyRhcfqXUHo7HEKMdW09qTK6lirGO57i4y9ccc
OkgEgb9M4+4hq9KXMSl7YjOYHIDFUuOZuxu5iVw2UVjeHhP4kLoLGrkW1Iy1PnBXpQ6xr3JGMhud
pOXuHJvPeFnIiROX8peNn5yCsMH3QNi4ccpDhz3K0EAVCn4sRYfJJi8fszZ6i70Dn6K+kFl1HmL/
ymn3FrCfWrgxE4yMsIj34IutyfisxvTbwlTUKPJ0FDoQBxf1Wvc9sRp7CAoBVisRb1rxkOAg9P3Q
2oyD8QscZmm2jF8cBqepDk6gY4+GR2GqoVevWiEfSzP/sO3AIOpN0GcsCYlF2NSV/OMMryogCjNR
nbpBZt6mClmtVmqdskFe9pjtF65OlZZJtUqxwCeSLG34h8us8O4iHb49LuDELdM/HQGNJu94z889
HVwHeXYq9eOHuXfsfeeYewM6S8K9P9z0XvYZ4UheGnb5PXWEe+VXRcYbBKSZPjih2MaeFIvWDcSu
7ZoP14WAMXXe0ewsYtKcWluryn+D+tC6HTqX+9V044HN48dYwyaH3v4+QKqCYUw70qdR27TeYKzm
PWkiJzjJg9B7EExWbK+jPAnXo/8U4ltZyy5gpxDZ60zrH6ltoaBMjj8Ja6SatK+C97+Kixyweam9
o/lQ93H1REXmLUYdiyJrS9JFXxaYlmpRJMvAIBs1X2lWNDJyzLD1gjPH3CTN91BU/MCtdMHkypbC
LdTaIxRpiOmqKhSpWNYV9uXyZje5u2T+faZrmVo6o0NcbcYriyJ7LQldksbdOTUOD/oX4TCwaaFW
xLEA2YcMxuNcs5pPN7MWt7DNyYy2ksSCqRN9TBgwsrOh6/paGOElGPrn2Ajee9s/NF5D8XDgvY5G
BM/FY25rcMoEk+JgS2gRCaZlboD/Jc9MIhqy+dbk8Flmdwiw34FsGYQ8zuou8/eU7H24Nttns/sj
RLpV8PnW77XPcTokDk+uOPN1llhDbICx9WLs8KXlfkdCrTAeWp/NZSmbbz+PPxKdAvDs0hrI9h5j
y1Jp/UMvy5sVsLxN3KMnnigdeMtHGe5tjHkbw8lX4xzH5bKsieIrSTLrqjmMCJAPNs1ErWcBw9sP
Q7o7gENBMfB/i4gjptGRtazoHYM6lpw8vMjcl6vANw6NJTGSeqANgY/HhDdw4ZHq88AmUFY1t0G1
2snhDb8d3QFaAEgeMpZRTmMMZ0E1aulz0U4nVxXtMdSqU15XX/it5dnS8/FZNqQ6QERh8CVl6kqx
n/KuuMYT4OG+PiLeSs7rbkQSRpWAVnUvIk1biu635KHjgZ1OjCrNiRZQdiZWNO6B25bYfSIMihxk
3DsBD8ezky6IL1AjRNtdbSyEyxRdYtudyTVeynA8appnEZZgYeX7kUPDU7IeiBOcR14hTd589lmN
UE0OpcEmr6VYEzWb7kTCUCNLw6p4rgcwwFr4pSUp6Bfl70OmkyKpXWho7RP71R928eO274oHh2Dw
0jQo52Ndt0VoblauHQ5EhumGsBDLSZfQusF0vgAy/eb/GiiJhenQ4NTBCKnUvAp7DTNPLFi3n5j3
PmMz/IkGhhQbI/iCxqAtzubHKjLatePQKNIC9YdyXay7yHnNip5+D7SrTadn8ZmWGtrJWyKqbchB
BK+EZTeLVB5WUnTopaL+ESA3t71osLG56mFO9AahQ7QQ6sqQYzUNUgCdUXVrRZNi7mKkM7DktHH2
m0LvW4+mqx1Vfwbe6UXFI06bl8LoHtqkso45/dIN8K9FOlJmo1skEXztu4KKvdCynDtq5J3mVQk3
aJ9CuOaiW+wrGdzoD7b4OMpnqkaXPZQzIsgsLSL4e0XArtb0LP+YlCq4MTMD6AjzOjkl2mQQ5Rlf
hzD8YML6bryOjAufO2TNijinJBbN49HTTLA0GnlTDmHiAIk2V8OwHQyyWDQUuad+ZClnIjzlHiF1
rvXfypj49cf+RbTUp09jsa5xqq/OIuSFaYb2k1IOBeyhRigNHlmFC0AYJbk36SNnt9uycPZTU5or
Klg6l8076gzjYsIXOmsbtRlFvW/MlpuCqrdmbwY8WSP1eOwptHpU+wCegkAZAoYOJ4j9KrHPEoeO
n3+WJb6UGddfmeWPkYdHzy/xAUS6tZJmaC3//5Lya5zG5e9P/Pkv/9DJ+G//+If13/84/JWrz+bz
H/5gDbe5GR8p1B2ffus2a/7tX/7eVjv/lf/XP/lPv3/9Ks9j+fuv//wt2wKu59NvGMviH4Vd5NH/
RQqOv37Vf4fs8Xf8XQrW3L+Zjq3Tt2gISHuuQNX9O2UPovrfLMCy/L+2jazrWP8pBiMF29Q/CMN0
LXxqVFz8hxZs/Y18t2UJ4eDx1yHk/b96GrG28i/wXzB7touxxrcFuD7hmK74n/2kRa6zvJlIJ9bG
U+3GCDl9nh07QnKLRNJSyovGh/1ZE8kW3ncwtxl2PU+ozhV9zdqBSm6H3lrZfbSxc+Y3BEZhiugw
LZB86Z15GmazXOvO8gXVeBTs4gzKZUmyKfzlnf2pG7Ij0uvenGQ6gFITC+5hrGmd8V0rK7HFgrcN
CQp518VkDGgccfsxt/JQxbKsUd0WvoivwiS67k8IHW3cfYT2Q2OapBRjeFDhGL7GMakqN39t45Db
dXV04RPFtg04uVEhbl+rWBBqMjZTAExupGC2c8/zfo1c5kfrRNTsNNEL3stdAGhQttrv4FdfrtBA
71SXyBsq1r7ELGLnoeU3z9d7Bj3Zw0NSeScdIDYIgXhPSUB0iI3xjkUXyqfHMsl0otdA4sFu9G9W
CR6Lt24fNopwO1/07MUoYGLFkjZf3UbHYqbGFXGTJb5sttwLvvgftoBvQlDkE4AyVKVuNdDWGDaS
X1zntGA0VrCXojfmSbI7db7zFISOfqBzUh/voQ8MRFT2uh2nU5TlPyZbWtIx0C+6pjo2abGl3Kdf
Zk5NPWVKlJaDczOZ9EJV+c6lNTwS7Qd2XacJe5yX1VanV3xJF9alDh+hc1xaOd0y6ofwjwfUirg0
4X6EOpVdRGwr7BMYxSCDJWy1SPIUiN/hQLapb2A8hF6wq73xaKbjzXR5sNK5H0cRUeDlVhVY4KYT
cmW1TGzzOPSeWlUDfeGFMq8t6kz5XJC3WM6/VKKbb6mfHCijGGzmdmXUxTJJ0b593nt5wcNTUPKY
+cWz5eXcUh2eF3wwMoV9GCFwJQMDRRgisdlc/4VPq7alax9DA1CFes6qLiHIBMD6em9VuoAruImQ
7IYb0MTrcpItO3H5C1bD1q19XjY7qlXmXavOMgXTFsjiHbT7R82oGL7msjmmvgmTxUDG5pRMBA0n
y0vXlBz9zhA9uH7l0u9hcgmOdSrLLq7Urj4n3CJGANiArHzQNdgjuShXjffiVNoH5XE+VpQoxRbV
P5+DCl9OpHlnLuQIyjqkEcVGAwy+FOElisy7bLNf0IItiU12HV5R4P1KfwBBE9jwrD8yrk5VFt57
Hi7nry7qiGk1mTHNfen52BLzD4Ai80hIIUiOgjKnPIJ2bfhxv6mK7mb5/A1cRXnTOBAc+tQDvgaZ
o7RJxJnRS8Zvk4uB8zwZa6MCL9eh/Lh4Z/vwJ59IgXst3voYqotbINqm6jLjeRyVGWBCKbgmCLJ3
RR2sACky1uNoqoeYdwZpyEJr7/6IpVzpWMq97MpX0lj4mX0nXS/wrtg3HvuDyKO9q6kX4ZeHfqx2
VcnaxcaFwPWsuyXKKBhzQ85t7+ilyA1+hYvW8CJ7ZWzLoDnaRfHStBEj+pC+EDa8Ral5ZUH3TTuS
QCDx2cWET/Of7Oo82/kIU17XHckIvtKG+BbFzNoEg1ZaAAollhTLGFpPqL9Dwui8tdIhNZr5BZB+
voQLvHACrlEMopBDkQaLXG7ZRX6PCHEqKW0CymgPeVPh6VDoyXhvpqCEt0A2MQi5vDNvVxCcUSw9
LjAeMtXYYxixaH5pLXxsZrAkEgy2h3GNJPaYeK8TdIq113cfbkBlXoQ+sKIN7+ISkfUFybBqTCDT
RcN56nB85zY9gT2JKVL1R7veYxzMT0mfv1sl8ywXt6e2RaFjW/qmBdgoJHKJ4Z7Mrr5ZIQKg0lj4
+1p8Y8F1GpWBTYeWBeRFzIrtFdsqlIPG+B2UtcsddVIhhKus2XKOvntZ8pgG7BaNU9zq7N9yWMTc
RRl2O+vZyP1dGJnDoQ5GOHkgqCMIHUOB1c/vCiJPu6hvYVHgfNeRSrTA3FTD+Cmwhuwae/qO4moR
TP1FeYq8iH7NA9isAYww0oU7e+RbTZgeZHjwB8T5oeQ6j9XXhZiFgQ7fymIqVcKKRXwGdnVJAr7Y
XW2am5YgzyaSgE5CSTyhAAAGn2XrVOxohjq6yupZZY9a1R+d7lI5VJT4efA5gloyBskx1kcWDL6K
v1aM3KOD92YcTmUh+NYQPypGdydauqN4SK5FYZ3HIhzXqjv0lvmNaFSsukFtOxeIeJLAbOrZXdqR
fqXAikc+az98SZWpkvLRiA3O1+7WTVwHNappm9rdSylZLJuhv9W4zQwRdYrgxQJu4ziFbBgeutt9
Ukgd3ZyipfaPZelQ/LiGbay4n37kevGrV+CW7N57luZEG9H8A1XSvCqbe7TRp2tN8Ly5A8k6oKSj
Jx9qnnO8wOyjrI4UY9nFHxPRR7iDin3yFp2Ll41W7Ytcu2VZ6S4Ahj1YVohhHT6mZYyfvprY2xhn
xox7HyTnyVGkILwOQ56yb6zaVoYeXnS7u01dAGQBAGhTiGk1nzf9FtWzhjoohYBD1S0N8DQgamie
yy9EPep1bGjV0Qv1X4ojf2Hak0RYxR2PLal3qj4qcZsIHHLB4CesF9ZCFcj7loBR4prq0Ja5WLBs
W+kivfhyvPrEoHJszlU6Digz4Z8strSd0gogGvH01EpEs9x6dXz8/qEgxWoW08obxm5FFRybk27X
Oxk9mOqmbN7xenGw+nLnyCBYVaNA6kkOCN/3GsY4pRHaEpTIj0K+dFKCxi1dQDRtz/6U4LOd8mBR
cTaCgaCpRdxdjccaRX5vpKCgcM6DssmAZ5L1FvQgIzkVLyla9qz6vOg97HlfMq/IznvkDXEZIvxn
UQ3HqSsdcOlyqiFYAHHmhVHX/G3eIJjcsDktpoRIw5ihoA8V0V/qUhaBM/wEs/nOtY073S4s1yeS
72a+jB3kEXAYb1aIvVrP/KNuodY4LqYjFp5fpawAXcj0qdKp86zkV5ZVq94pUgKK/BAxF3AUYq+2
PfFWOOkuckDXCa+Fx6E/N1r6mgvz6vJ9x359CeOeOmKPdLsz3EXHCGHEDb9R5gBjCsRyFMORJ/Hb
SXqIEvjzTCd4nc+NNpuOUzjccNLe50+oUg2DbEckyxrclUr1t3ntH5f+uVeCXF+ilspjWICaES0Q
a5+imermjO1b1XOtTBtrhNKCKsk6lGj0Dc8UU1NDzwbhJYhNu4GOr0XpVTsI/cFfH4lshwO0n1Fn
Hgw9cGvO/HWRTvxqJDWsQ39rw+P1MOaT3RD2QxfxAGi98dsX6MGlfZTNl1HituqYhNLJgQFiHOuC
fCvu886KrKU35lwzR3qeYBa+OI353rVtuMEYfmlKexuLBLIfJ5jBZdbZW5B1XpCdqDxayThr9j2+
qm0zEuRSBNCVKnaViA8JejdVBk9Rko0wxtSAmFYsanI/LukngIDakysgsPmjfeAJ4HnxaTlwm5M9
agfssuyI2pSrhFsLwK+UvNWGeeLasTQ7uz92ZfWlxvpj6OJ2h2w7+2CPngoVazaXNmIWE37prkLG
KpG5KP8cJHZFWYat6VsxNf4ZYlphsA1gGNdA3cQTtl/MmPxQaAghngaGzuRaH/K8kdfYEE8jtZ6Q
XuXfrJr7xub1fKr736GbxJjFr6VhytU8X9XDYB8mnc/1L4xlDVk5dMF6EY4mTrDDlUDsvfPfS41T
BGABsEfTPQw0fLEts20wc7wo2T/OEsqJKtZG8aE3DmtAs8h/aJItbGPXiZIaYOPXNdojSe++1a5T
K/dpAyWxoE8tZkLuZxZpqgcrooxPcfvixv5LlQzFsqYivC0MEO3UVTIWdpua4SCbyABQK/Jqq/3o
u3e+XS7+P/OtG/VXFt/bJOPS4tT7dPrWe4YCziSzUgcnsJeF0+UbLCIX0SMvQjzZmg7o8NpbtW71
1oNYzZurnOB4Rl3+JSRsx5ZlI4Hgu5m5+SaxeIlkcwECt7CX+R+krPZNy+uXKKU+RFrPkV2+NEH6
9dc7uLPGqzEaL8RHWTyHHpfNfO+Ys7JpdHizAaIHZYh9WgV3tGcITu5pepdDfpk4kpO2v+KJwdOu
v9GnxhAqpwZQlHyqxvxtco2FRwXeXoTn1mPKyxgh8kpf++6hoaf5YMxw1bywdlx9Cvq+YvyNGRmJ
qMDCkBfjCQznRNSIuzwTXvqYtqTZ/ZS7RIxN0J/oaCzlHxC4+8rmramCssUbCx2kZe2ZjNfQ8r/r
qnzxQnVD5R7BF/9xLHtaD7ps0AKoq8riaNVZxm1y2p5awS98ZD9EGigiM7zfPBTnMZl2eS/FbhjG
chFX4YasL/UhWCE14J2eRiZGTHh4SF5sh8FZBEb7Rm3RkzA5hlKmNHakiKi3MAbhFRIG4vY1eVuq
eKBy8m8Gb1ecWVlEy66bPgpb0k/jhtq5LHmLNMy5silfOlKOjerDVUJKYVnk+U/tRDzuITWd7uBk
K813P8yj1dRPYIjUp1fmXzZ27NQenpPU2qQWdzMBYovDBK+uXS9bA1MsAdobQYZ+4YfGVdgUhUTd
3HPK74ag/qK3YrlL9C/NBnnk827sQb5iQyE7jjC+C51nEfEBtWb/YdU8JHkO2brbeAFfszwzQ6Rs
RfFyCUmdt+XWLfPgHOfTQ+AwtNs1PwB94kdhDta9t0l6lj2rUdpnNoPJZzxOVoS5bnihybe4ZF62
g21dHazU2WYNO8ipqLuNO7vSvOGTywb9fA0UChsB2/hWvbMh/aW9tX74gCB+NbweT57L8UHz2hIu
0xjyV2PHpXA8wyg3CEzMBCmSs9GRb4rLt8jKBW/46Ido/LMsAVfFER6N2Bbrpu3tx9ZyztTVdjuZ
4wHORyI9Ksx+fDhqAIi9hRod9+A0LcM2tVLeYaxwLIRELTEmXsxg/lf1MHULoAT+ldmYBXTfO3vd
gz/3k/ustbSxpDSylCvTph/B+gyDKcVkYCPtGpzTYXHoSARf4xRoCUHOOwUTx6lXLMgHBSfE9DET
UqXtan0EmA7vPm/IrnXdlZUQ8MyyA+vWDw9kwocHElSnokWTRX52Aqwsmt58qSncDw4b9UHcKE6B
P+IP9apK2xCjlTyEjvyj+7e2TK6hA6k01IZVBZ3O7YIn5h43xScW24GAMjqZV4r6HvtO3bEdavsq
LC91EnJfBmbpYrtapgECk3B43HumHX4yF8NgJgoqRqk4INWrEYsLumOgm/QFjaRTAhkxOvZFh5ux
0FbG2PJxZdYx8sQJftDTWKg/LOXscsYHO8BcpmoduRNhm4J7kvTYY3hQiKzwE7/Fs6uXL2kVvxCS
XPkK4mQ+n2cyf8KGCBs/km/0XN36GZCfch1raMei4m8VOHyX/L76DEs92AyBQfURIF/FtuSkJoIe
jf4oqlIs0MKZdwL4Bd50HTNQI8WICR+qAxaKGkaxpzEwxqH7rdGKi6mal7pX2z+9vhPa0G+ZLkTh
3/KuOclGXouqWoZONpGX4celhmKTJ82FNlvsOFM/bivv6gA+mbJyS0WRtR676tvVJe9gapbQY0hq
2Eb9DB6TwQ/MYamDhcrrtj20PsdFAwK/GOsNFakuhIPhaPp4Ba1PIOT2PkiTT88E6MehO7V3Z7Qb
MlGMYbofnPuKnFWHcoYdZ1zoFJoj/tNxHiKHsF+D9GqA9eLEV5BpIQUBJQEjuxJAiYX0nhyXZSGv
+adpBn3Lyj6bYf/WcVEuR5jdPTvQyOAQN/ut8IxvYzSvmV8+a0VOP4qt7llnsJE3492UvRp6E+4K
XawUMs38UQq7LshOFVuX7PRO+c2hYUm4TIISlTd7mS+ZMJZSdtCy2GBtT3atZoerPus20gOxhqg2
A7dIJtHMArRYDjsvo8+kRmUGwCovrlP8GZLuWoL46SeHaD6GVl49ZC7badZvJnEPaXlZEO0bqDZd
OzUMPJyRX+xQXBiUAB0bvYfMHZgwguKtVbRfqi9eM5z5SzvXXDReV3+Na0zNCjdHnA2bzNMpTTb9
l3Fe5fcSbOfAPxt4IId4qJ/cOL920j/CqgMSmlOd2hnXwS6DQ0ShwQCbca0spKJEV1QlauQTWFnJ
0PkdPCynlaOqTRM91JgL9zX63MID06Ia56iji61iJgDanTCtlNOp5Z4bTsZS7Wmv2kZ5GezshsjA
wDjRhnM3QKG5hOKTe2efE0O/+tnw5uuttgloCwzSDv69YzyIICTK5IhthdK6bLua7zqbtKLQv8rC
HJZ2CJAJJSYAxqw361j/cLXmZtT1e1/rSDMWBII+S7tt60AtabqJRzOm493DELkFxX6e/0stNP9P
JfudU5nbMRMzNKG9Ch8fcN9cGmjHpjXdKwgM6yoJd1pivJq4tvKOB4HVHXaUHpyxxm+Iu8re8SOa
Yd1nHbwha2iOQrfcioBb7uwzof+Vzyp459v24gTdBtrdbuo3ZsKSFxSYQn0smUV0fysjWgv6aeuO
01NSO/qWj6FzTII28zvLuuoVtplAop6C99gUUu5CKR4tt6BFx8Lkm7XlyvceqL7kBlkZzAoTzcZd
rQH0YrI4wwphQws5hvHHnchU0y9Q5cMeB2JdGqwy2U6QMJZBYnzn2nqMB/JP7rHPCNQVfJYGjm0I
zf67NXVI+vGHmVQNqedqXyt559uj7cfwIPO525e1XReqRw1WYeDUEmBzerJrXvNBxxQf8TDXmdvj
L8WDbuEbK/H7kqgFYV+1txQf2tGepAmIRl061yx3pt/xNvO1qytLZ4OvbGUVE5bjHDmoHYcvkWBp
RmuDG1Bg5s/fWlAoQDCLV6fP70k31tvU/tIEbrKgMvy1RscJBotFVKmL4BBaTHV8j4L8N7d0a4eH
/iEedMrSyuwMOQPztq/m6hk89gbWcTQnkn81n31YYVtuanH22G+yTcAx5bjt2TMbmyuMs4yyjhmY
cYiIq7EgnGysqe0uloVhfWlUIURWeymdDH8E+0lymU+NafO4GzqnBnuuhT1ymlpgcZb6kB77ibNP
KGgqpZ4j9idyqahvPOrYHmJsetWtAxHLm6WATZJi23VYgrk/rm8F3NfqjZimt87ID63kt+BDzWw/
RiTHmICCFevfP4BuX+yyvzaVfuXVQZFUJp4EecSuLSp0JMI8upZ9kDc4Vy0QcNkMGM4YxQnaY1ty
/vRdhaWlW+slLiEnYTeRkhQrkrdpoGYojcYMyBA15JOczE0pvQPcCLlq0+bNGKuz1iEhV9Mw7kA/
TMsiiM7CiF8lM/GhV/yFpJAPIR1rZCzmWDgXWmBheztpf5r2iQrBX7PldRROkOWDIb8XRTDunYpU
iKOREPOyR4SvD8pwuajjrV33qI1tqz4w0nq8NaS97Rv+nOYOp9DOLro+TmhyvLF7d2/aVNr2HYNB
LmDescBe9u3wk/TEIITTsFPS4rXB4YZ9F2qgbg8X16Z6YKpigC4YCdXIaEBPDrv/cd1Q5Ftq7b6z
w5alB1eWWQFBxBlh42HDb/zsSLyAbU1cHzU3oXvCcQB32Vez5j8AhMsGi4FdXEZYJdjdnbPUy10y
eNW6H9qHocOC5jrmd9IzqKRw2qeUL1fl8u0b85zJaCxfkWz3MWrhFmH+T8rZg8Ks9SdC1whLmPvW
hEOMPVCod8wvyWqyvejo5EAFCwZ/u7gFHnbguRtzoEdkVErfs7Fhttcs+lcsfzeOP5Uef1AjVqyj
0t05DhgkvTlxkaYOifc/sr98b8uRdGHDGx/D+cZ266Xut5+ExLB6J4gdrZG8Fh1HMr6EoOcQJ+zc
k8br7rkRBNsuN/It1dcXEe4sEQi0CPknooVE4qUQEJl4xKjFRCXcBETkEK55KIk+rmo3qk5dopy7
12PfamwAd046EqqhkFAzunVVaxdRQjEZoumnGIKNY5vp1m8L/D5W4VI0U+EdyUOGQm4ph6iYquwy
avTFkM6m/4eNxBZTGNjIf+fuTJIbV7ZsO5fs4xkchQNoZEesa0qkiogOTIpQOOq6nlOOIif2F3iv
/Zf5LO2b/W42AkZQVEgiAS/O2XvtiuVf5Y/TYmybj4JWiSf1ZQBHno65Rb8r03eWjrvGzEefdTao
zD5KgA+iROFz/kqlne3dgdpAjXbOpo0jAiAsbbjWO4O84in/0dXEcaAFfQVJjAGmWHMBbIIeNzgi
E36DZnzTK9JLHG3cEEz5VLfjbbTd77Cu1KYnasNioUufAgx8y8QuqCtDsAvJr+SWh+pF2/8NZiUs
pZH7Gv0QWiDhLAXgridffY5NheVAQToeczuhvQiQqHQpTRaWvuuy9j7U3i8NKNCqGMMbihHpkNRZ
tfkWYfA+neumueGHixS1DGvC5I8urQxeTPdRRfRuizL5SS7KPbXYuRQUYSPKUUdWp3Y3z8NqPDNm
kBDdMCyZ3Evc3B+dBGPL+k8X4isJtArOFCgesxCbxNLoIzmQHRKzJspol5F5t9JG8dHlTrhA0ObR
Hxvhwmx9Telrlo21u2N4Txal1lMNrLStlqBzSqNkhbJglUvsQREaPs/xgk0Y9AUxQM1rajYfVL63
Vc9/mrK0RJxMNCU7GggHJxQ73Pmkdig13kq//4xTrru6aDdNnVJx5LqBBHHwbERGlsHOA4XW72qO
H7Dcb+4QkltSYAppKk5ZZ91QJuFuqUmsiFX4inSD4qVC2f0CVaplR4AoQbkGIlA+Z5J8DwrpI3kq
W9idl6ZnAT+a9zYsf3bmz0zqNy3XfqE8fR1ZBy1iiyEMjok7RzWlBv/D4NW/6pjbfCDTis+YQHDC
SzsqDatVkMhvk2zCRTVX+oSqDyVeCwD/TyGh75UpWXrVwznNvHaWaXwQ50lyGfnlLLxXeHdgNc9h
Yc1H7MT+ymxd4PttSTm00N8mnbw0lmpPmkuHu/8zzciRqUZPbzt7AspIF8b6JpCW2s0eJ4XMOuS6
vOObNmfkYLtnYZVzE/+guyy0wkH9llNFQ0nFNBHHk2YyqhVA/H2k41jyiLUxvUNG1O6WIHNu1Zru
bpD9DujP8YtkT6GHuwWO5LWrZhONDw2UIPhZ/UdoRmhQ28zKdWJ2R9Od2jt+ahLbaOmPLtQXJSEJ
gvikF8Csx5386qECmBwq3LqZVt+0BT1cIqRbt3vNqPRLrMtnS/TOMUaPPJP4ZvUwloo2BtVcGmGx
8SLvpBf6wAajYwVQ6OkrpEH63zK4VSogNRvHPuMK73jAVCvsPr6z2YyhwnafE3fs0Wji+A4mB5Cs
pyF4TLz4Hsryc/QEFYW4++10eXV7HPJi+lG7DXrH+alGq6ttA2YEoR9dNFe3XhlgO7AEfXwSZiWf
Rcwb1/Lzi9xut9gpKBPYZnftzdI9JAlaNcOHspwbCDTqZrIos0cZBeEyOPoe8hcvYxfR2Jq/T4NS
kDzUHdPRS5ChNT/6PmvIA0C+E9Gu3ho4qhhRGmfHmyEWKATKmyIbSM3oM/pJkGQSXEmY/FeRLcql
wlyDRyQbN20TILegn3cKK39b6TVn81PN/EhIewczSh5bx/z7+QLaQ6mjOJycIN/GrRaAps2DFyS2
2wkf5PlxxppnxOZJZ8dHDbG2bP03DSpx0nv7FhqQaomsSHdu5mO8g7C3lLKv4bHp7iqZArmusx3L
KPEelT3tCdsbLq1QnwhozKWJyvOtk8Yx53qe73KU4Qe9Cfad4aT3xNHpuMvpp8AHRuUorQ/GZCoA
F8rcmG5w85rY/2nPQTtN66OvbowRfS/LHork+ZrMM5/+4DkZeU+7Kpa7Ng+BRgbsnBLK/7SvEEXW
Kb6JRqhkB7hR39hEMqRKo009ugUXYo7zyAqY/PXp0NBM3wAnrtZ103QrV9ToSemodp5tbLremPEj
nbErwr5ZOypcBYay/4wp8V11Ts2VAtWFtZTzFBR+T4G1wIPuDksNpsJllGRwRSZ1lsLU35D2pjsj
EenSkSBsdVZvNxdJ9GBXP+sUZIc//B68yLqOtVddHUAcKZYIROzme+D2r6POYi2B+LEudFmu6ktX
AQ4F3xSi5HiPDFe7kwX83JLPdemTDx8pEx1Arzpl9Db3qKoWKLkcNgAoUat5W0qCOp9K90sMbcO3
HdzE27uux0IxIW7CC6nbNxMGItU4GwMOx7pG171UhTMepVtP6LpNqg9QEreAatnytxA7jUkTC78L
hqVNBMCW9z1Zkzy+6VzIqWM9GoD3570eto9N4hNXL2N6auXc92V4t2409/nFpgCFPHKIyA2NrfAg
i6o0+s3WrEEIxhpbFTfF8J1YmbehOLzsJD38sdRpj6mCUCIFuvXeA0QQMjigJhDHrIE5gTeMXggR
B4OhGWflV961NuGHxraNKFtX3lWDD7mbjAAhElmFmLxsjeY8zIqOveDWggFsdHJjQxLAmNZsRJSj
rjFg0SJ5nG4peBFJ9kcb1X/aECVvpkG0zyD1IoELzu3smogqP123roFiRg+nQxB4O8v8zAxFdKE+
Bc+yZXgNbQslkK9eBwAtezR3w9VuBZToCgZfLvsbH5J3pSSiTkg2QCo15xGlzd0Dz3CTcg+fhQHN
UZ8BKafk48YrBZPxkvkQ1DUL/6xHcjZ2Y2qmqOmJeWSa6gLuHcsNcalRf0ZTFgdAjMmk82XzjME7
PHbl9IFsQV6I3yX/zlFkQxngzolusTBlzNQgHCB//SIWlbWgy4sNrfNFPCr9SPFFoZWT3nJwTTj5
QfgTTXiFhEsOCOEjoiFbyifnB5hIJ6Ws67UDtxramJgu/PweBJnZr2YAl8SJzTzaFs8RRawQmedl
cNydQh5GuINT7TojZ2hxvGRrCXbGNgaXLtNeCitnY9wyRTnxtPZXsYKSVbPs24/uj2yKNJASi9RG
jQA9L6N4a1BISbuvYmQNY05zzy3+EUfs02N/8g+k2t1ZVg/XuI7q5eNXbASkof/tal60tP8PNe9/
/sfXv4p5+Ya/uQ72P4QpbEs3PKzJwhPWv/0t5vX+YbqObrAy/gvrYPGVv8EOpvkPIT1dELNtmDap
pWAi6pwZ8N//TXj/QHmrg3Rg0+I6pm7//3AdTKnzU/6LltfhdwP2YHqew09Dysv/998is10Lvik3
BEUIlngU3pSYxgBFSYFqxcix0JHZljfNXvNEs4d1QGC74116tatLu9u6PqBX5vX0Fs6Hzu12DegT
eimU2yRWsPcooUBkCfs8DPltlAoqZwg+yuy9pV4NJjEvib13xUAZ0b6MxIxdBJkzWITs/tjb7peO
Lv3m5fHRqjty6PTi2+BFdxmzCHT1+G2wu2xbmWzzPvwOhBKR9+dAJwfLTYE8DI2OobUUd7urxIkO
wY+88vV7ZOCcSX1fbTrYw3kTi+2IawWLaeBetUjQzYBkbsTskKUj9nWNobQIKPtCVksOtYVlCKH1
Xo7euC5MsjkKz2qWNoleq7aduufJI0mcWnL5VFTShuPG9Kx5zGV6U/bPuk1ZKZywPOsAqrexNTKI
zXbZhoCij4n2C0wAlhPKSi4OTKlzhKtiIzvRMvzHTETAxHdtJZtdjKAfI0C6VqWm3gAds+H1UqBs
zswVqLH4xqObrLtKyiv7P2NhQ9lMqs4+z1Zh4EaV/oUxaSUEVNIoBffdhaD+SFcaof0fshov39Bk
n3Hv/+5jPbvGBgrTpiZuYRD+r3zA7K+kmHMhNLHHklJeEiuGTm2Vz3GlH8HluuvM8beZNdjLsIyp
23mRturBGy3J/diMZVq8GB59NsIz2WclpGzRHe2XpXCGrYiZSBIaca6lfdtQZe89biYXj9ELJiIS
vsJ2pbUoxeH9lM89KyRSCwc4alH1nYfFuA8SKJdWyuYG76I2Z7qYK2usLdajGuArmMVRL7tPqUg1
UD/d3p6O+sj2MW2MFL972+zGMH7XiVuEPyhIEcql+VITO3euevec4Z02xneX9Ww2BZfBtm+t4C5I
MfYI1wGJ1Vp4bdlXLhtLQcioNIADsUmynMO2xMrHEAWZf3VJX9hHPeAHJ8Uu2fY1SwyfvEwDsWWQ
tGTGt663LKzC3dajupNA2e8C3Hm9mc6QY19shZGy4NWMeVM2Zu+aIVeVmzo/1Qudy2B2dAAj5l8u
Mn2dj9DAg74vf9Q4N+huJ+0Vn5u4+mnxjd+RyNrMgWtpB/q6V94tHz6paDQ7aZn5qdbOnT7gBtKV
sawIAjIN96UJrXqbC+qfHto6BGcvbRkHL24d/OxcZAh9ixLRkWN3FkEbcaGIc6us39IkDIr1NSZ7
Ym/Og1Mj2Ci6ckutuLzGiQbIqf/ssHW8GJbQr3n8DZNEO9BruVsmko4wL+t9rPTnzqmifVSr7p5B
+F5TZhjQ41oHgVV1S5m4PjwOCMLrA0HeGSXtqSNJfmgurfsW2EzI/jwha/PUXMWsS1HHwcDq5Up1
WXR4HPyWR3qaExfEimhRdX54SGWdomixaacERn2JJ1VfwgA5JLVXlshEAMXhWiaNR9Job8HYzVVz
EAG1mfk520+uuekNR6gfwY2NSfakA0XbP04rm5TOPEXEX0WO2A6alV01mwJEHvJW6IF1z0tDX7Dg
Is7STLWtWxbWuVY4lkY9e22BcyDZz/GkU8GMD2adApyaT31kjicLWVRreym0Gvd3O5is+7reC9aO
VwGY6sL+YBZGQjBknZwej8R8+nhUaw0bQLqkU+gw2IImJYsQN1xzyPNua3QJ+RV6hxl/iJNoHflp
+JmP5u+cHfzCbAHlaxDfD4HDAY/oDftwfRFK9ORRpukRb6VcDkjzULpXBPlizd51FtzPxu/MV1Xm
pF5Fb7k9ePc4jKmgDbr8Ikl7XZnIhpRZbcPSi4+0W72d6ZRn0EDw6ycanhhCsEkWjXnUHfoJvYX/
X0q7Oz843goPy26a1NvjjKSxdgsIECX6fHFojTtuLbvErc2YuMR7PKzdeUOODohg2o5vFZNe3aAR
TocKeSo5SHTlRdeda3wdUMA4mKM30yqSfTJk7slo5iDL3H4mHixcDtLEsDm41vPj0He0uJNmGHeh
l/ksuXWf0omjXdMq41NtvXLbikE9P56zQ7MFjEEOjzBpAk/dmO573RlvFa3nwevVy+NMt0MkYxP5
tJaRzmzWlklqgn6OqdlkL8Edijb8GQaJXA8p/6VBI2Td+JTGXD8GdNmH5kcJP7VO+uLF40Jdlm0/
EkMeSWCD1h+kNH/fATGAbSKR4rubOEgDBjRUazci8pnXJgRFQ90YDeLQgQV0MDna0TlrdeDDqMxf
xjQiefXxA60JQnjdUeFMsw48i5sIbZXrJsAzQaBCQN4duxrsumRM3b2QT9dKIvM9zOhHkjs2fpr0
x6mZepCzro9DnuT+NcivOsXLy+MZoziN9C+PpqrcYzl0VAaL4rMf7IFFSO93JEnLoL72U8QGmv3h
ORSNsZ0C61ebNs7ZM0yYc24vvszODZYZl+RybIT2pqhyrzDI9ZvHKSKZGZXthcfHaUIGGWpCQg1d
7+ikDLJg4sg0BK2+eZyy1zH3OGIohKW5AJeLAl1a2gtmLQXOVg57P7fvkKaGS9Jp8ZtnoEVH/Pf8
OKso3tkl6QCRSLtXsp0ez+J91A5aOL7offQCU97+CnOaFDU2kGdyaNJ9CNN0bZtO/CPpQmhRdM0t
qJwLozFRLxv0nxne2+XjW8sjIbHjV9chY446rzzS0omqQh0BdmvrphmSa8YWbRnE2nDXO7jQuaP3
PxLD/sDIGHyjnQCwHHKnEEr3hCJ42Dpd3e/w+CII8eo73E7Mz1Wrr8CNd5+CnpQ+dT/zvujXiu74
FhN1fwwZFJ5mWYylqvFDuEWzI7NYLqvCGz5wNxCh5irrRCmreS08GCgTzFH81vuwHMhGpyZOxXR+
+DikeZwdK6GxclDTYkDFEq5kXiFbgkhED3Y+Ry3JWpWGOxFTen/J45T4MoJTvjOL4L4+J/8NNqr6
QIIB268dn1OrG16mTNKZtbX3qhuSXephmg4QI39EiLQWhjMYh8nVkzcn+OOiGCa+Rbv6XIP03HMH
A7GGErBuhhu4qeg8jfHV5MNGnzIk304LY6eIJ5o9oddt8qLnGvXqp9L32uvjUIVFdy07utQK2df2
8ZyZ2tYGk9m00HTrl6mS6YJSpH3lrn4y0th8l3QKjsolGf1x2opkXGVm7W0SYzDfp2L6pcvuf/wm
xw6BersfDrK0HxKFswMj/xf5Woey9Wg6kDWNDnFmETkEfgYt3tuZspPQeRqBmAQegaCIA/FIZYH/
7QzmUcNlsdSSzjmRGXLofEJbmsADAuugkNUQkGM7GvbCatOvuMCkhRNHnj1iME6ySeTi8QUgoitG
/Oq9UCcbXPKeIBL+1F6RxenNAfEo8f46hcNSncmq+3h80UNhd8VrRvYYL4Xq2L/EDRBiMjZwMhKH
HYRiwvnxOEo/4DEMf1yHYXxoDb8+OpDq/zr89Zr/ci6yYS+RpzxepyXNazQC79BF9krId5GsYr1Q
tEwACiFHsy+WX8nL41FC2HgKonhXhYEErc5BjNQE4gmbN58XRuGkG396BkzPvlRvILzU3kYDuhKO
QpAWZNt+8LRX2Cc8X/vpKum88Wdcx1szJCQkKKWxtR0z3E1Vkq0Lpyw/h61sq+QT4VK1bmzTI67R
yd/ieNg9vsxOEL0O2aVHutLiOYtgA1bz91UjHCR/yoKrYzXTSXj2tdSQuhLu/WEn1M8a1NTIH/rx
I341qrC7FaY6uuaAcqZIiH4uQvc2FOCFmgTHo0C4idE/f6816k6zxwk9HkiMuabVSzFuRixPy7oN
uA1FBIKgd7G8uAB6gj6APjSfopwPr49HEFRfPN93sTDw/ONQVbq2s2OgVv/3KbI8NrLqA4xfJa6A
jjadNJjyqwBzd0mh/S0UQhLmClPv8VWdCXpBSd3Zs1m+Gn6XnzyjKKDrUu5KzIo2FaVHZzkrnVbQ
tWkgBUN9KSHdjXmpI71pgm2TMW09tbrOykPr4HE7sCdWemkTOWVAQURMlDYh9ayKFtuT2Ytg+9e5
JugphIK49p40kydBRBDB9gW7IBGfxjCtL/xBfyeUiFhkq1h7wOUq/5AAa9d6t0WpWwzRqSOC8JRB
yK3mVvnjqX8+/3iksdHsVVWcPVTZhq4VaHry0sEvk5q7UVo/QytwLnK+ckESrkjHzBER8SutafVN
B69TGG3mR403TofIJyvOGyjZ/csXHi95HGgkINWIYEuPgwtPLyQLCmPk9FZlbk+yRzqcHo/k/Ohx
mlC93BqV+OsVj9dXJdSJJDTRDNdw5zHaim02nyK+w3OQtjgryD2mZYWfL4XFdandcrjRZbiqeJiz
U4ntKpw8eQdXQ+pfXcmTDcTrvZuDEUKWpqSJjc+hpc6PV4GQSg6zq23h2lAga/c9LpEjB35o3I1p
vl4rJ352xooQ86z36eTUIXnbrO6dJAtWY9xmH4OHXrjS4NNUtmje+2BLCyz7wEgmD4OJ7OBxKlu/
Xg6hL3cOkqWPMgzXDJAx/lKqu5AwrHvd/KxJ1XmDRx2/1IiDH2ciDoyLLNT9cda5sjlVI3l4g8IA
GoyhsWYbxB4r6cRCG7A8y8c+oe76lYFo9h1qfrHsQ989I3xFcBSDGZQstlAh+dGlYoyP7Gy82ux/
rjJ7wbRhLgvDSr4qH4NXIr/CEUuCzX50bh8M51ECwVWEKH+hXVrQEMYH1oB/NP3SMVdZ7q4io+dC
ng+kQdcX06zHbewLdHLzaVBMaOVBjK0a5XvWlpYcEcKJWkw25F9k1PYLkV002IG+7ACjyZdM9d15
soz94wyqKERRBeDZ0uL41BtWfCrM7tPpbKLwnDY+/fP5AOcN0VETFmqCCbqQfBcayyxUx+6bVhW6
C7f4xKldsFAppzv2AdA2o7mqAt3ZtERqfmArfK/GXL/C0RhupdC36WRq73FmkPwGzwW4ZqI+6h6u
qMgjwtVa2hNBEE5rHEPOKa8BdmMxpFoHSfXErcRMOR8ejx7PjZWz74si3QtHfpfBUOz5jMRLZxEq
2QCX3BpkZx9TOT0//q7HX2izp9g6eX17/PX/fP7xKAXCYag0SI69LoYtwSLkz3oq3mbMV2g/zABQ
u9/uYwjpfTqML2NThGDjh4PV2cPL40BFH8C1X00rVZbGBu6+RyFf4VfLCkeuitIBpA0k/fw4ULsm
iRy5xTrlcj89DpqJbbYKhnaB3KU6JR5CClVaA9QnqTtP4ENHeuOX0vLcC+Jcjy5ACxQ8aRDhP17h
QHdfGGNmQaInFMg+oZ4qTvGcEtTkWXuiIm4PT4+HlO53iCPV/vHKQhiM5WWzUQ7VBScGrVzSIPrr
8DjV06jH7OZnn/2ENvxfXvJ4cd3SybV6ZgI6zsEltIZwb7AHepwNqUMz/PGwnRXIkzUy8/EySgj9
JjIMsmxaTS4aJ2j2tttN74EsgIMZ/Yth9OJF4lTGVgOQ22cUm/rURkvFqRFZRKaIsVlasfcB/yO9
OwPCm7DTrOXjNA+07uSG6iOMaW8ShZLeAdhiW2ijF7i3tI0c7aIBaFykpavv9Eyou6YN0XZQroO9
q5grr/RFOtYY41NbUW7oxi/Gv+nY9L/IhU/vQ1CDBq4GHROuj1o1MUqolsHIDV7FbyPdw7Xexvqq
h4Czy8JKWxsgIOwGMWE7mcW6SvcjUsozRFTWiYP34Tgf7gBsqSjahAgw+YP3q8QrOxsKJ+gNStpg
vlLgmi1EqafED9jAN8jpq1qu7ZDarlaO7rKS0Vx8Vvk1pS/7JEgh2UV17+9io2drLfFMMCo2o2Yu
Gz0C8OgV1TPQJgRnSd/vfX5JbczlKdo2cW0RSs1SsNflxkSUnVqkLKNadba409C7ZGa28pJgEQ6a
d5xGjR882WLRWuOHbvl/ZKX7C7tIfqb6klI0sYjKFduyw7ZuBqmNls0ElUidAAoFUQQs6p5Mn1gZ
AhFYXpDpdRjivANE5mwan508ze3XMAIf6LD5EFXkH73G/FEYdvohbMLLJ9+bTr33lU3Y6O3iuyRt
4mMI6/LAZhw8Q83+uvT1GoCT26/1xhLkUQPXKlLYtyl1vyh+b0zWv/BB8Y6reNnTFccscI6zFqJe
X/6prYlZqC27FQ13fNO9yTe171IgY7DHcJdQA7XbujkH+e+QluIZbkGDq5lYIgqoyZUPOL0iS51J
0nHN3t6n89wvi7oqL+A6opfIs4zFII23XiA/bapq6RRad/ZA7O4bSpGAkPZV1o1UZUdYlu2CO645
5xl2Q3Jpzyb8TFGW5bHIrZtdGLAEQ/aXYeIQwtogDyohiml18+bZVoij2NTWXukwPFn0ov0UOFRl
xRu6/acsnqjCDvI4gZUCXSTcjV4On0JF9rNtQSFxiuQ55JbE3PVeJhS/etDNlVtaV7pxX33Yg4fL
dYpj/px6C8ah0gefmkH8pyiH5JggwNKJIl+0kVMC5EPRpQDQ6qhVcdbHD/fktfcKejb+t9kb4U6P
9aXfmDA2HXLQXMKsFnnNROnoag2p5eB5+k50Jh5JHRaESefZ0s1DPnUDyrAc73b5w3Lk7xTx7T5P
oq0fxkTqDS2aTipBqY9y268xzY7Yy3sup1Dq6blPTCCtYbqZdCdaJFWDgyZ7kkZUrg2phUtZO4gm
WW3smB6eaNiaFy3/Lofa3WJTeKOKCBcCPXXPRMV+vKqfOs/5kTaNjqE8tJcTGm3gr2VyZq9iYrgk
v2uTmhE9lkXrTeJSW0l86fQ5xJCmtSAQvBrDQ8T6A+lWkKxpcuHU78yUFUyWbWUTrNhGEhGaSP+g
XJyxLpF5NUNBF0doMmE5uykCR68I89fe6r/8PhifvGg60GZQdIT8ivhSfYvroDlOAdkMBG/8UCO7
UhFgRRNZvxFtLVZDAIoJ/mO+qHttWZl9tshd1j0UfU9UX7YxLjQrU+VTK8PgKiKxJgrwANZu2Rse
Nl5Et08I+58yvMY7igr0fFS/7QLeMa8kwlDHGpSxCisBs0I+o03sEtYn/M5C9lh+1egMl1VWT3ck
La9Uw+NzbFnTXQsrNNGZtTR0osJi4m7OemRcrRSeT9ESujM8UzzdII5dIQQKn8WUB3g9aaBZcbZj
dbg3/aY8kbagX+3Uti8DsSUjbTG74cqirUm9odF2TpSfoqH+oU12yK2QemsgG17oOtfUxpMtCm3T
ehTMpNT2LDRfmmGnF9E2bZt8XVUTqylrWotB/kl0vbvoOksqB8HLDhAFXJIcd7PkZguRLZK2hEYe
g4BgMdsrxbJpjrxRWr1PWRRzu2Mks9FJ0x8zV5EF+RLV64sdNUyGqdPuXHAom7xOyI0yUADW8XCZ
PGtcBIQO7nIvhWELgcMnB4XCL/ga5zUJCNCiaHivIKIgOvLWWu6LdVKM6gdQ5IU0qEmwXvwMBo1F
qlmOt9Qo8TgJMCv54GzQH3Votp5NHxFnxPKiiJJ35Cv9QZMKaG7X72TodKeIJuiaDY1/aYEFhj0s
j6k0b4N1L63c3tuzM6fplHjPrYgAmS3aEHDcMbJRN8H1ZJbqFe+3tjEmKZY93ISFzAp9H9ekgLXu
hHwBniHLoiffL3+PEWpqOYbPRlVph75xaJyO1VaX7XM+pRWiiXTaaaNaTiUaB7vT0x3gwwPv6kW3
9GHjtgFZ4cgQ10wp/gnO/jrKqp/JNM8Ybe3tLfyYm6LGi9ojtsvkpXemi2HD3ypIzEnDmccOeGrT
6u0EtEdCBLb1ZzlUCblFEnTuXYdgLJh3caQwMkdowtPGJo6V/OAKqG2jCn8zzzmI21dJPBPMFEjH
OBMORm+kl1wZOq7W+I+FDg8ZNL70mS1awRVfKAzbTzXprp4PP3hoO6Jkh3AXRuLL92kmunn/2o2W
Il7+TyebYm16iUOSn7nVO0seDQGzwVYExbnJLtBRppR+YQEHCcsT3cN+3Q3DeB0tFHhDJiAK0dmo
au2NpoqrxvKCeGdc5LY6hpqI/0QDk5tjtYe49OSyToJhTaD3OiW+jsym7KMaLPXetOZXlfgvXvCN
S8OF/T7c6kLuS8N0r5mGKs8A8bmJYsd4GzUDz8Xw3cdOviPCybiPnRE81T1OXCH7aoO7PHwzNbaq
2oQuDQJ6+Oa3MT6tUpKTPTVcCFhIfZxQo6OHq7GOYcX3DkIjwDch6O+gFgdEPuZTNuXwerWKrMUg
fqsKlFvh+ObRPD/UgR692dTOaL9F+slPK3uDdI3FR9wWZ6ktDCTma0WZjBZtK85FrExGWDx4KyeY
04fnJ7EYzLe1F27z+VT4kUBYa+5gKYRAEgh6tOznrK7addDQI47h7FJgdc/sikrQeRlsvkFH4arZ
xJ0PI9M5ZTrldsP+8cgnD28f0ohfAUdIn/p6yLYErO9TM0fGn7YLLwlvYArgxTupuxhT+jxGGz27
TZGCIKbB68CgJ0zNZqax36IpfcJGpjNM7xI49hCnSFnDDKqMLeGe7qbozDda7+GhdItkbag8JVJP
OIR0Nn8qN55WJdYEYRvFQQLxJQuxY1GgQnUs8w45nGoJyhLTr9FYuoX7YbXl1YjRqJu6D8Nl1GZj
BEOjyjHnPw44C9pDZGL9ILmu3nrEa/mRJi/j0TCNadWrhA/dS/x9pjwCT2s+XrMm3Dv0HVIkK2iL
fhxfWCVQ+ze1nohPquSPRw2FUy6yCbNZgTpE1uYF509wK+Y40ZbZuyqmFseAD97f/NLi1LvEI8jm
KZ5b74b7SkVuPKrkEs6lBBJ+AYH1ZrCthp2RtcYzz6CdEna02TruOB5dmd+oyL5bFjDU0ZP7qkX5
j0iCHECnsDagaHH2BLLfewqKcl55GpwTljAs19r1aEdqHZvOt8LaRWBvdC4daI3Td07Nk15r7UBq
EdYKclS49nE+NZ34SejeJg4hP3BXDdukPdqpguWjW0vEkT4d6orR32hAqpflLU3igzPmz/Tkk13/
AQJsCY2EAIHCxEwQ0BgLNVwQVMyWQ/HcVl56iIQ6Ay67TlqMqM4Idi7x9UttCIOF7n8hZSfqSnNS
AlP9mrhfTSd6SAIylr+giacnFOraogsAXDRa88vsdcKTVHmKlXPL57qNT7i8IwaqjmoC88x8cWiS
btljzrqOIUwBSwNDamAx9rEEpFVeLHGp6Oth0HgKa4feqm3oaM+QdxAyBNE7nOqTGZrHPCjGRemS
2CDi/FSm7c1Mdec8xdrbGNYasmDhrmyJurUyk0PhxC9dxcjiI9ZmmsHGPjhiPdCMZkgN0zNm5W0I
/3ZZKM1eqAAkczzgRy+yHznJLquoM++2XaVnM5EbDNnDjq7oMtDGjBnF2aoMZbfpDK+j1ttA2xyk
l37ubXo2juD0mkNvg0KJDCtap73zPRg9WehDih6gW3Y2ukArLqdLDw/bIqSy9RmErFwBYzLC1zHW
0yuNzSsaHvl/2DuP5ciVbMv+yxs3yqAdGLwehNZkBCMixQTGZDLh0MohP6d/pX+sF3jr2bOqQVnX
rAdtdo12mRQhCLgfP2fvtfd4ScD69BIcIJQYtNgZYwbX98aFBr7N1b2GaAA2qCIQw0Z3933Wf/O1
9k1P4VeH0PdRzZv6qkhatKfD+OwJ3byxiPzmAHfi+rUg2lIfC0J1Np0zp5WYR6ewjZvf3ngC0Aj8
OSoKCLsDGOHM0deiTw2GXZvGo6SaOKM/20CpKW6pAJcjPM1ZqzFFur8t8As8JjMY1qkFk8X0QKQR
wrF0GDwXdM2XRPMZr1ZsfxgjIaA9y/XKiFPrgrh/19P5xnVBioGqI4Y33kZkJKFpUS84CQnxJkzz
OXQcsabM/mgCG0a4apJVgJABQ/4hdHT9No/ItnAoT0Zb+bSRmm8JrlKCk1lBAXTnW+WGB7Mg6hfi
7LeCCy+CsbNp8KkPaKVXUZr0u3icO0FWKzZ6qtH3kmimEpfa0A/abMmElpAai/p2UNNlDPP0wtqs
MT5DaUH8QbqI86pedUnR7yssaRQ23sbzm+HuCMBPbd1+tJU6D/ITh5b24hbeI+oums2csbLzflGZ
slhbAGZPwnO2+L3qVYpK8DEUObEmkaJSHwAbpskJvkD9fRQMY2hj1ifD0OuziMkGtjwCB5RTHTMp
TyZnuIVbg/OTuo/hK+/2mt5nq8QIowsdUh+liwtsDwfrd4qoYwbQ+p4J82cFcYoGA0o2rxQXk3iH
QzDW+kZzC+sOlQ0lF370p1/NGCvALimJGV4w3iBmj2tgwg/iA0iH9IxPsrl7AoUcHTxQqH8QQ4j5
3bDu2HxXZgdvDoPdpsxHlkJrNN74O9ExgfH8u8PRqkelcWrIUl/KSEs2XZLU+yQcqqXElrQ3hP1i
eoZ+cgPEL0JXn0McvU0+3vUe7Nw26mhjRyzexOUGtJ6HAD25Vn6PbOiiMAONovJ+VC0ER/4IPoTo
pW7Jkx4Nh3IQ/rqLwmcnxrVrpdaxiTqsRvAuph7rsjLrdgXBZ1X3nJBYevSkd7ac5wo8JJilqAeM
4pDPH5S8VykRMXl5qXM9wzIRvdF2FXJnuULtgzE3YA1kIeyarjygFsuI2mnt//pfepsRRSzUPh0G
aGWE6tYz7NHLY0m3poYPZPb677gbY5jfgENs6W+IaUWnPWws0Y93bezqre4gMtOkWKWlMe6kQUUZ
jMELWyxMJqvtt4XdrZqx0tDY/NcHJUL47KbQl41NvkJLJt2gFWtHC8O9EVUe9V7eXecG3g88PcNr
aaQwMWvgTlNWMcQDGVeNqXrDjqsti7qgLsMNu5zgdD9VQTRz2VY/DQc+SOPm/g7Y47Ns4+IVXOOl
4FCDqyTEfok2zaAo8nJyM010zxzr05MxiY5mjUtXks7mieMF7Uxz2scwAhcG3ovHuMySToPUGZRr
JH3m1cO5lRbUTFq4dnuXnKmWxAmyaNRCuMS/e5o1Lrk3QCwKRrIYBra9Q1qq6q3f/qjvRO2Iqx+P
9knyJ09peu2D2vBeR8/K2GvKZIUzst9x1OQNqIbk5jFOu7HSuMuECdC2DaDpd4Pnb8Dp+C+yzgmD
NWxv2WZhj7owc1+/PhRZd0cMitLB8V9tbbw1EtRGFw03F0nDnkSEU+MwhouScyaiXacDSiWtEQMX
UKlGokbVISrqtAxzXGtLP0dKUoFvDtA8HBvaBPZMeBvK/pwSTG2SPObgmbjmXTpDu5tqG9m88mSo
XrwqeUOIycuN0W3s6PIjU2CUENEAXRm5ph9iL/kZ5Hp9sUtUYPPfU1po1GPS22m7ptvOx3KUGUzF
mlK+azE4tzpXL3LMzWNk6CZSQOdnUcySL9tK6XmUNLXUMfS1HhkO/HiM0NLwp+1Y1isCHecykna9
V4g/VuJfCBAAd+tKe1WWoFk9jloyKqe1hCvbjWjr89Bg625quaQ7HjOVjX/lAjuHoQXamz4Z71NQ
eKfCIMN4okmwRr1qrSPL0ynGAKI7OUmyoRh+doEJerL7lNiAs3L4Dp3OOhLWlC37ofkZIU1YAShH
/cwx17Z5+wnw7H2cLty9IzIx92l6lbXLB0ztRWkkgA7HeBs2CihAFv40p6hdwk9wltiAr6JR+Tdc
OR9Nl61sverP4ZifShz3t/ocA6bYkkTAiRDKAy162JjpT/KEecyUMB1L6ulysChF5MR32hrOJd1w
rV1n25+R08ljGBun0jSThwaVVYu81dAUGjQsPD5p2PrryERWoTCiLnQO6uhm2B90GBmArkpy5tsW
qqOdtGfCzefQieoXc20mno32UU7ucOGYtjCGaxByfqGhD9G/bHdm1h99cqAY3nobdyrB4lhFfdFK
FpV8BunndDi48St6NiyRddNttdy9O/MgOK77NR19qEOZuXGtsrrkkV7Bnk2rTXHsaF0t9DpULt1F
97u0WgYAU2hcEov5j3DwLTJSxKZt5gQ6ByUDa8fZ+7h0nEGoywC968LQSV1IpT83HAaJPjXJ4whb
THNGbHOqJHYPTg8bs76kNv3tV+14FkR2+y2gPtJGQNakM6160H5EloAI4pUWgUSaD/wzgY1iOaG7
advnwPbZDBMxdK3hL/N+ifb2V1QyNRtKGzqRZZ5S1rCLa2T1pkXXD/+g6DlpBPp7lJT8Cc1aR0I2
/exY4f76rO55Mnr5VumkqhRfdnemwL0pj1Mi1gmJEtF4Md3JvmAbsy9i1nwO+C5x7UvYM9z4kPhQ
VmdO/MZxig53X3OPOn150AJxVZpLOZf1UH1TTJqJC1+yUwLR6ui3IBTsb0aRJRfRDNi+WGzMtNC3
VofokDHoJmNIi95P4hGv2h+hbP7oWdltpWXiiAU3uEd+x7pcQ/lGkQOE0trjGBreSjupCSIvQ7at
8hhPLCZJ80jRU+5Qf6qnB16JeqH67gSoX+uRZ1bNkSH0xtShLXHZt02VXzUztQ5NAb4iixIkKwAK
Y6qSY1sRRidqxq0UpXaTGVsvTKal1KIU2kv0M9GS6s1iRRSy3ma50x06IYYztRUoXlV6j9ILQEI6
cfmnZ5qikRPCrrfxTSavJF7/EXVVP1ulAdBJCUJXsPmAQ8s1di3yljPzqnRL4fQD8eHlw6UxtPfR
abOfqWHSA0YuZiskMSx979KihAzzZLxU1VCuhB+35yImwLvWST8JOAA4TTxdCtQDK2Vq9jctGHaK
MlW3PTLBg1YcXW9keFnqBMwvk76IsAeW9kHz5G9tpBNm1fW+J49jMdVdeZTsE7MApG+WoDyC+I5x
O1/5NgswSmLSTrwsh3wwxPcBw+NGehqvqjRp9vq09CYk2KusNcoD4TG3pEpfJxYnm5PSCxmO4T4O
FOLiwVqhQLWvpWiNO7l7pPL0RBU4tvoZcMiIAn+4uMNIrFlrr7MxpjpoLfXW5sdSL4x94DBRcqyf
RnXV23J8c1RsXKUO5Br0zh0hzLgMG3qoZeIt8sB9NenuWLWKL8qOxJtBRQ28S8RbToLRIeK9YPju
WkcyBlnbeJ0i04LXMo/6axgiZTK9Eam2uBQ0hldQFreV3r+y2thMGQFLOvmi7PN1bEXZUWtM7Y3i
hKsW+dvSCdHkTABKMgjWoNYIph86ECAeBfmo1xFMUbqHaZzewqJQd5QMrsQ5jUol2bVl/3PMIaek
LhMxO0pOwm02RtdeEi8oXhk5nEo9/TFE4trPb54V2eKuPEgIbU6SKdYXcfehjB2Ay6xJhP4+Gs1h
LsFfHE1H1402r2+c++hr9h1Q32lIdR/BTboRgIc2gd/X+PuAfdQE2ZE9XWxKpKVvljf6W+6BPjCp
30jClFxzb/j/s2ODqmrB2O9HFZvWShqcj2gAjw9keboHkI8GqA7Mkm+nbVst8vliyzyOminbycF3
Im0zmQmBxM535oOIN3TIjxSpK7d2rQu+wofojyVOwzlMD4iRFhRQ0Ub00ZxZYYyEx5GK/K4axnhZ
IGmzaGV9d8usPNo1BV4x0V9m7eXoxES+zwq1r22YhkW8F+ivFSZkjTMWrKrIyHdO5ln7KGzOTuqc
JnPkjFKIe2JyhiMptB7tjUDDutHscQ4eK6f72Mb5ZSpjtIF8hhSS2bZF/ztY+0Gk378+EDdHeynp
L+TkqcY3GBh60BDIJ92amsMWKypkyC3uUz2xk31SNNMKqPRb7o/92cx78zjiI2UROieOHNdVS30v
KITelPYbmXtzM4qaYYGw4v3YVdzhz6ke/Ys/lOmdjkNK/m77J4WwxlDpvaFnfzd9N1yTIyg2sASn
e5TY7m7gNLUkWQ6HYOHszPk5Bd0TiinBBbp9qJnh5QKUUE5x1+tRuvLVoN6m6MOEQtEtBTFLvVM2
18Yz9UukNWdbvpgoLJgiqWoj4VlbVZTdOcsRHBLxJlaBkRIZN8vfE1suyUZHHenTbGXXiEIMngY8
Au5k6ewzHX4b1toZ8uJYO+Xn5nlMu9+hW0VXR4/2Dr6uV03LdsooiM1Ohx7x8XRB3JjdO6HtyA04
TXgnL+xvP9g7xFlG3cGyyG90+2l81OqlrHmR6HFfeiJh7klFFYDemfOOByogH4yYRRjD1mzvjGb/
iDOT6vlrrgybMxem55VL4vYtx5aZFZYGl5v2Dw6s7jXIv7iVzWWMjDcsDcPdQGmxlEX5R+YFYTdo
XZoqq1/o7R7sVjJ9BzybaLhPTEGmQpmCfojS7BVlQvviCsbzOnvIokg8G7cIX6zh1bWKSNHGGwNS
LUfnbliWQneD3cHLMufu2t64GyWqCxeA0Ipljt3YqIYTgkdS7OefCMLplvb5r0KrGZVOCBjZYrS7
MzQucQvIGcMRAAlea+IMNeDBlwaJzf3rA8L+tZaXxjV0YGLFaGq2wqYmigqPKIAyfKRsngyo+LOE
xQBJOFPTw2QuCHqlILiznKA28E8TNuulOzC2MtT03Ybfc2rcyGXNSvc2EWOcIPPsYbuyW+k9q6mT
Ywf8+rckd+itFNHnzFZQUtIczU32Ak+ws3dtxG7uXRD+669w9vZmE+pvtvcDI0z4+HqCLuhqAiAQ
Bsyv0HbTa5q34KgSVuss0XnhXQshxYi2tQIgkhDCcaCUxKdMMt3Km4ZhO6Uh7KGQMCPSooOVF3nU
jwO1ltNyFKqbPoSH7lmEjfXHHDLi3aYmoxfPEbAewSJMMhQALLvqOOrlOZxlgdD0N6oc6H5EhX+N
rYqJuImLrbTNE3p296UyzRdzOI0tmfBFTu+lsKABRmhjKyrNVc61C43HWouujm5xNzWPRrYnSxtq
rspQPfDDPdLEsC4iVOohS8TW0tez89e3thncma4a7CO6FfVwEY4tY1uow9dXEwd8aZUWyETmnw3n
Vxp4uMa/fjHg1mpNe84HHMBXaagXG2vkwP/1s12PP7olXnf99ZvjXDQEGpY5BgGeYjpW0z5LyX35
+lWRobwDzmyPkGuehocH8aS5suZoyjdXbBNnAX/wrydliPLFNaq/XqtftsFrGpj7v55SxqlzALP1
9RnOy/7OgEZLY31Y1jGSjrK5f31JcQsH9FVvX59JGjtS5u7r1wMQM/IGJTt9+frMqqzfQSv1v94v
rBHNQmtVevr6QbvGK25msXP4egsw7yKQKPN+//WjgZHRE6fPuPt6C4BZxuvMAs369VW0Q+EGQ0G2
+fpqHxNjGbR2sf76zVUwRTtiv9vV1282VUk3g7C0JRqSJ/IS9dL7VrirqyxYsTL2uAVKY5YrJNuh
b7rnwLhsmRM0vEf/CTlZavUBrUDKELyukEtN7cPrOCelHs5yrHAbhfz7WQ+U+S5o+cPXpwMn7AV6
GvL/AvSeUicSNuAvguszzE661nQPg1100cLtO359alU+9akT54dyGNcjmsNb0WvvSgxHOcPg/1rK
DB/lgijC3TDf64qyBoPJnTgzBlhldy/KjNg0DR1jYMFWK1DkPfoUikc+cXXVIV53fKGryaLvkRU2
xG94u9chdcm/qOXaUGSDFpyMJc2DlZwSxAYKcaHMGmDgNWraPiXOy6O1tSaUNt4mhKE9EPo2DJbk
FtgzcBjT//YFkJGSPxqSD4Kovc6kazWmT8el1RaGtbb9+pTvt5dsuXN/Kr7mtMJe4pT72aNz6k9I
w/+6GHpuHgOx2FbO13RRR+wtenpSGk2MyhjstdGNn5rL24lYl2NNPTBRsy1xtEX3qQ9smGielzqY
9IMpdfNh0DxYppQNhyntaVQrfNtwaT5zHTohpJhm4RgZTZIyz45hTwwC+m2ilZRdHf2cJh0tmXfN
g7/o+Umz7QXxCFGj77McxF0/xyZ01U8vq1ERCnBu9E/8I6gturc2Pjsa0nNWSLGh++I8KhIOS4CI
+6jXGPVwAQO4G4NLewTNvOKaLKnsvHvuWPY66WyWWiI8NnTiPXZv5rnK2JskZAAEQZRZ0U5kU3v6
GVD4cXI+PG8wt2M4OKCDx8NkB9E5anj8zCSTQpV2dRpzX+39lCteVWXwiFzOqWPKsaZ2zgiczslo
hT8ima8HASySvp5OOYtcXxZjuS8nk7BM6BdJS7EEWJyklPmGonIcCIGD0UJQHPqqftcMAtWnMfSL
kJC/FVHOyZJo0T9e3kI0VpxHW6hbi0xjzU80K3oaNol3QcAWJ7v4j99x2U+di6ZBg6OnQKdwiDYP
o4uzrnD673DgkWXUwWnUp3vJY41oNa4lJS0P9eCG8i+NOb40A31RwA+2Fuc3gUR2D16KSyFDthdJ
dYwTj6yC1raXVLpgI4nTsxjMPVx0K1fDj7ZlDqB1cLu3NKqjc+pW8KH6HhTJGL1qxTCuJneOCEJS
JX3nD06T5AmagJhfXJoMSuzk6bmk6cjEOCYWeJBKS9OnW8KYGRMcItZ8j9RjH6/bwp22CWXpGcMo
YJYBRYhHh5K8bJU9mUS3C7P+NnFFw4oPdkJp8pqBty3bHO1YmxXnzNH7bT1F1mLwht9YbkWkQ2w2
vHfgGgwR50fmlHuuwD+/fj0wIIFVFmMlkehRt00YZs9CEdA5obcKUE/mwiHPMye2oHdJ3iREeOFd
IOmVzyIDRy2r6AT5n/2vq55VYwM6k9Yv1ybX0/e/SeytZ5XRZnCAqVHALHQx9c9+sIm+7PVZPBOv
zPmflG1OGwVHlqYQr2+ydLVsUzA/tRqo13K0HdG8gCN8c9e+50HYZLD/1CJfIXlKpl0O8+dp+fUP
sFnHuKF96/XZLZuy/mENw8fUGO4Zli8c9njULgnDyKCRMO297sWHKXgfuUKYGLhIcZ+uJZiRq+Cl
m7eGDE3GOa4AEkRKa58BPkV2FY4XCDotWjdOd596QD1oqLajA9n03yd+3IuM//4xre8rge+jKEle
DqX6n+fooy6a4o/6l9+1/Swu79ln88/f9A+xgP+v5ACC0/gX5JDo80Oqz7xRn9E/5Qfyc38BRPy/
uZZpeL5wiO8zLM8V/w0QsYXwDN+2TQG9xbT+GyBii7+ZwoI6YvuuZ5K2R7jg3wEifEl3HM/xXMMk
kcyxxb8DEPGNf8SH0Gg2XF330M/zOLbtWP+ID2l1son1unIXpcn0t3XH5tgKC4wOcr4iv3YeSbp9
oJBTlGAAsT6sMoeBjHRqVkOOqusGSzqTdgSpSHgyrOs+SKGe8ZrOAHlv0SNjvSEvHpVQwWh/MxWN
vSVhDVNq+CtK853fgrjKkFaaEH1CiywrSI4vvpv0EDlJtSUCteOWgabo7AjVJAwzcg/w/b8NDrP7
GFAw0vrhkCAJ4cDUn7Uq14+ZzmIROlRyTbOJDJ/hKLK5a4yHihR3cB1ooDd4kr1bmBV/vMDeGMbk
L8icerVzyPlDlgbLZtImXOt2v2877VeV6rQbVHRLMHUg6MvAMzruImGMuPTo31oApDywRC8jrU9m
maS7G8Xw6h80DcqCh2cXqmEPb8GKyUrXHCaDLUArplpIzmMY8CWHU634Cq49j5kGJYnTx/+/j//v
8jy57v/Vfaza//2/8n+GAPEzf4cAuX/zLMfBrmdwlQnd4iv9Z6P+8z9M/W8+GB+Xu9FB8OA6kH7+
DgFy3L/Ztuv5PiND3TVZEP5+BzvW31gObE8H2IPyEL7Gv3MH0/yY79EiHcMi3//+z/8Qum0bBI6y
FDg2m45vsMKUH++3KA8bgEP/g5OXMpVsOlwGpCYlpJA07y6KYMw29hvT4hMkrEWIqU8vkvcx8Cgv
oLuag0kiLmqWonHqQ2bvujS8c1xZRNgzTG06aZwSBx5kjePII8NZWfGmRvjFgAToBYgCJZ6ePSJK
z9Yj4ShDLT6mHE1tga0eVL7s6RMam66tzhzNlmksrp1lLBvdWxm9vU4r++ZMr7SRyUy4TWZ9wk9x
l723K3p0JA3z9q5ELia6A2JCBFXEp1XWjxEBNitmSYwTNINBPcz4qpE5V0TBe9U3lAUN4THBYaSL
EYPzK0YNMhhJbZb30hkNCW7+MuHuUv5v8WJCh0XRfyx4+XoAROXWFf5Nle0hG3Voghl9NWA+VXjx
oVKiHme2XjwnxBGEvqQ0bSbCepksVg0m9jretyMhLVjvCVJfgTXbBc2ATq5f66hAQjpFHFG2eXhg
n7/Cf3vppuDQ5O4mjnrwA/pdNghvQfZUTwN92ZLsmARrAICwoN0UpXXyOhJRx/I6+na9iMrslTpi
k+SEGZopnosUttlcusN0hYW9SjEtFUlzK03cfobzw5Rqgw8gnDpaYWm0L9F8LPEeI16ZVrntL1jq
7iL9kXDVMPZfFoz308Dn+OHMGE+IqJ47bhhk8NbjggzMjeOn1wRdVgCPlBlXRXu29zYF1gOrF78L
h5I1ix4Wr2KCjBw6hF9pb238jXBBgH0x1jjvralJNMKZEtXtXbneGlLcnCT6q5D0KKXIL4ksViDN
9fWcZhN46XEAhtvJ6rWWs9osXo9zONf0jRyNi9MQlV2wzvovAuYPI+JrFyKdCtS6KUECc5ga+36V
+QEKyffaYXpAJDmYqLJJfpJWZDE9ynAJg661CCiKdPT3HRFtc9YTgmwZ35ye7FSNQEnyEHUrvAi0
LmRnLthaA2JyNlPnrLMGL8QkOFb5MTY05bzFiCdA9947RpM5JFWXPGZm7MspqbY4WFYOEvKxOqHK
23gts5/SMTZkJq3VFNJVCo9u8avFaoXcf0VYZwYNKUaS+fAbNJUUvhUuOMySJICZ7YPp1WuP2pRG
Q1YB58vcvR9hKG+LS5RgAq5I7E7rd+lURNM3rwA5N834oafubycSy6FEz4op+VI1wffMnZNZfN+7
z42Ovqr3MnJqpDYyIsnQzJdANx5DreQSCd3eb9e6N2J9J9JMdCerYbg0e450WMdAmw6GEi+NwyCa
iQUApbVZ+wOdCuc7EIudB5EMgPnOpFxZMPIzy2dDph52LsLn1bMijxdI17CNy2Gr6U930o4Keakp
ltr0yjD6U2bjqbKsc4Haro2NtQYSpY93XipvoL7gvmTWRrNCYiSmH0jLlmjnaErCxuu7grm4TJdY
189O4D7U1+EKr4VN2dHltJJrgiJWY/s7KoNrxYGPLtpH7hJr0oSMRW29WBNUdvet+j1KOdFrlXux
i/KjirHWuzRZNIRNKE0TwJRjWhJS36Jqb5tthDUgtXS57iyybCD2MpaXFOEchor06Pc5HHgvfFNB
fqiq31aQkKvXnHUbT5V+cGrjW5MkV79qbqJHmw/zCVtmvXQYD4FsWU9pR4QBFVdSviVx+Rjb9Eaw
y9qKkYGAbytqeUusgRs325mmtkDUDohtDU/93YaNCbMI7SoRamZ0RXy3snBd6fr4FIE8WSQNuxRn
DKqRNtTLIYJcFj2VVecr14007GnWb0LLiHCfKuCG0UhYY9VJ/P4AMYf33FAswMWhrX7lIXlA+jIs
9gT/rZzxnvd3lUTboBvWGkodAi42CJePFTmFs2bKnUVHprz2FXVTVvnTItaPs9qa6MTaYT5Hd94Z
D2n9Xcerncc/O1Y2Z8RuS0rZSBu2li0TwHbb0p6pw5YoieYwTEjFHFRLg/7DjMeGRAMHR6IGvShY
i6Y+DMp8qzu6tshwF9Hk/yrd8U/iWJeGXtYC4LK3BMy6FUE8rmwuZSFdOJESKPewIXisWY5NezYz
1DKy+JYhrzBG5OGsbL45rmGmoS5b0r/ZyiJcGr3ZE9Fxs2boZxZdQnAaCf4/KygjYF/1D8sr/mhl
+hmK7DsohM/Awu6ewOZVjMl1+oQLTaJAIQChTnkfrVsQUdICdlvbNSGjRYJtSqr3Iqx++Yj16FZ2
O2axdKt4j0sPaEQvyS7Nf1jDxKAtP0LKXalYQ17LE/bloxcGSmqkSo51g2F8RqT0p61mnl92bQKw
Ttgp5WxxxCMxrPVy+KNr8TkaqQ0q+dE2Iz4+Bvly/JX1P0rlrkZnNghC72wwGwdyXQFSYu2I7wn8
ZZhnz54jOulTnYuOsKoPRfwyCdwuEYoivdHeUdAiPt3JdNpP0O77PHkLDZEg1/jI6fzR+0GZAre5
K+aoQXSHdk/aiAxXpGofHAErJqx3YkA/a3fyPUOAXFbjrZqR+A0OHdd8F8o4mXb3jaHoResQiiVa
8dRSA51tfBwd+2Rn2aoxIMURjMNi6myAH88w2l+WC7KLmJ4jvIsF2fDZSgGrWzUKYUoeujvXxp1g
hXJVujZeCJ8xXgXvOJJ0oBEsOsXd79KXWp/VJtlLIGrORZk4hSCgcEr5ZGWpox143zzFeN67rlwx
fYaad0AJmMT7wRSIIM1zWtVHN6u5fvGdlUzml8RFERKpp/d5IRf9m9nSTwvIpylj/Aix/PSgFOaS
nGVyHez+Rj7oMxrMlR5AgavStaq4jGMbO8NUmITFoNLL/FNsZj+0tnwgvrpbSftT+om9BOgUcXYs
2NyjhwvZfybEcNVTz1JHoOI07SXO/2XuY8lDrkMmx5ACMvTR1gEaQjbKiMNWn0ZlIuY65+O7QD4/
TgCSR0w6pPZtGUW+NKmBIaE+mTLYYVzm1eQxfMkQWYTzmpa4m8J16j+qMUEL6y1diePLqDZth8Gj
gFXHxZRVREvyZkzJHYTKpc3ih205nCvNo2aqK1DNBdySTZD6ZwIXD9FhDN+AOLdVtLNd/1YxANLS
ZtWGc8RL7yxn4IRUP5AjUb8EzA4opUSdvaBq/dFgTrSRfUgFNs+Py7XXCoTQHkE0/cYnxZuFpviF
mCPGDiAWKDoZJmsbJyMMO2i2qUWb3Sl/cmuImqBpy/mVMY5ZWl6PONxHvTbdCQipyDCtzJVPq3x+
WuyimKf0VjuAG3j4ZfVwlTvcukkdZGKtbIvEDjyG8dpqmINgHVpP1ohXMMTS02o5qsdNngHfECWU
P5rZk5hY5HD6pS5Q0KTdE5uZLDNkG3MaWq6HDS6SSKNHGnyz6d3ZQDABA4MF88I7QKtl7YmTHhS3
NjW4CLBEB6k8Y9OH6d2t2zxaEmIzMA0i3dvFdGKjqjMJTW1Tqu4h/gjy4FcSOgcsJrBEGu3QEyVz
HEYbglH3OwZ9JtthEYjqrU2dcN1YOvkJEcMVw9iSbbkfDAPTaeSvAD2woIl2bZgIQ0I23yW5xa/G
TgrvUbQaQholNl7Sflbob+fYp2E8A5jntmdKbvrHPgivqIbI8mZLsv5UbDdBStnXo5eZ6CmXldg7
rDmwgs0PZ0SSaHg1plGzWhMduzVkA3m4+e7L5Ki+izYHuACuI3NuETWvWcu78OKT49J7meLNJD5Q
tAOmfoCGPKSkDhL3rGFyxw3LhjYT1iJuojA42Lo3fIcTv5lwOZajdcBCr7ZJ725HMKGeIova6r4H
llHMni3taPEtVHRrlNpHzekUfByKUsNhE6h2KsstuInQZEtFf31S73ZsU5SPhzxqIClwsECAI4Z+
WQbexsSaSPcE2Ja/Mf3vhtI2nf8xTPKUDOupwoFlexiKyY7XBo1i/y2y9fWE0kwTbGaAx1ZNFj4k
QteJ9NIxuOljQKx8O6VXBHTFhtPbKQu6760s3vIZoO4lP5JryIQAO0ZyLTsiomMjvqOW8hYCug/u
iPguanGUoe1uInw/OZRkhdOrZvyhBwGeS+MX8aMoYwzMQoOzj8cngJd9HKs5w969VcNc5sulyyHX
tKo/tg6W1NuhjgduIA7NLhIT6Bf1SENzr3y5t5M3hWsSA4Nzb7tmzbhu26t0qazkxRvUosvKbRoj
GWUwwuXa6ArxB/y7qQQz6obX2ZXZGObZHdy9TnAc96AQa/Yy5fKQVMOTMC52/WREZvifo8MNQALz
n76LD1aVHAMuOPDhM2R2WdunqgM2gp+IldAMqoVo5Fp3vsGIQphJ4iUe6zk1GoTc+1x1dExGRrff
OCPBlt29wmbp/oKWfxAGXMU2fMNkiB84X9rtuCsNigNy4ETHDCJcjxqIaylJmcU+AwCvQzMXWuoW
ePVbwCtoMZPALl555lFwUU2UFo56cohepCVqz+i35QDBFyVMP+cqB3lyHTIzMa/RNA+dI4VBuqoq
CjAD9xYep5rjZ661W76a/I4EGs44CaHX/eqTNysHAqA67UqyAXytaV86+v9h78x2JDfSLP0q8wIU
SBrXm7lwOn332PcbIiIykvtmxv3p+6OqulotDBrTt40uCImUCil5uNPN/uWc7+TU+iDPq4HsWgLI
bUJZ/fFcts7tJMRH2fi341Se3K56ImPnLBEdbWws9IZyL3ZSYUA2zqSaQNQXBNGT98M1SKoMH+EU
gLvgQ1wGwln17TBEe88WmPYii7EpZlqvu9X7GvLB8qspINe37hNzIntDos1HqrKjSscr8TahMqeH
frKKczl0X7En+bhLOAcdegSGmN6Jn2Wrr07lvto5HXQafnnWDCrbzvrOzGXbJw2WRPmEdxYd14IL
SZYI+NrXodHfnRSFNB5pVLu0qfkZsf0BfiANLFEcyO4MZznUhfXoGNOxu5tLfwl1jH1ZL84GkXr5
hAdt6N6IvwltLIGY3viPksJJMNC7EtXBBDywIZx5WzbtQ1t2lBLyWiQcQkBb7+s1YHKqu3Pkp2d7
HDeqs1hTzXddl+eATEkwW1FAGsXgxo7ztzExn2L0KNtBYxdvZTRUiXa1KwN2Y5KemA9YiM3JBhms
fUNgS4wRdUPlFYBWWSaHQ9cT8VmW9bxpPf0OPpJ7SBsnvqw76QTaYtPjeRx25VTAU2KTJaFJV1lx
0v0CWLR1VnX2Rdrm40ytYeY5fDb/sBg0/giArvhANTaxcWh75R1y2ziill5Qbyw9JFYMmJX/k2MO
tzC67nLW/aMrnuP6l1MUN6C9Wak2hySJ+OPNh6GAHKb2i8jU3hm5sRIiF+qWSff8K9aRCGEprfWL
7D7JWg9GR3vwZWfR9+BE9XiOmYYlZOawSuyCShh4CrVjqlQccPdvdKxTMmF2N9nfrCTxQdOfIYbo
n3xFYoUw0Z9yQuAovea69mnQM1GMdBKv9L2ZsEoXKPmtqyL9yEheGjnjsOAwst461XSbkj4Hl/el
tYlFSnAPXzKAtJT/ocN63ivemuij0V/rnMT4PK0e0WLvQE1sa38CoYfOIbGQjsM5X30po0067QkM
EY6XGDNrinWclNhnORDLbg/qIbZpAFu7D3FWXY3CvEBivB8mJQ+Z6ZyMFDpFTjuhGxiio/xNKB+1
+atGhUMzrj2jtvZ3aaMuRRT9no4tEwuAqpxwZKmFdb48CDP59vT+x2tIeGszQnucDHtbyrm1MgqJ
G2Py43qbucGUuiTL71zGDPrEpW/uOJcP3XwHUWKrtZhSPY0pK+0009XFE9scy5p027s+Xb2d8yfz
WxDefCF4IqlmXTiC8VdBjCC+RFGmp9yL2VViHtJuuz7Z9kOC5NB7srLipszZyGfYjVKaX4+q5lLM
02bIPDg7+nCe7JTxHI5T5r/saGlsZI1Bo6VX6gTkDhsJvnzlI75qTB+KAZM7dpg5r7FwrpZ4gh3F
Pk1MomS9wCSkrquIE3Tm0LavrGnJKK/ulmW1JVJGtNs5obZMv3PO/yyRt2nVcayhS6XDbNG2w+vS
jUemNS7IDjqCWA+HsbkpUS63zcPkYvGHB+gvXIU56+OCoUadOsh6m+pSwvXRy9tSm05E2P6YeLr9
idrXycnRIDfqGjFTNufpBHoNbHvMud6WA+v0ZVdP4gdzVDKPJD28eXm0XzKy3jTziExikydlOMJg
ofN4XBkXqiMe0qVwUaGKu0N+ky48D2HiXEFw3nZ5c+dmY6DhvFjK7FiDU9KpFVFANB4KyuYy9M8D
JIchLRHIoErpESRgpwcCJ4++i1xoMywHarCgHtFZ9ehZ8kOaViSSRttViecrM2gIZBrTbNNDDcJq
xUSJEydBEAiBrl+Sw+QIshFVOFrabor7/booZ9s12vNWrZUIgyvRPBp1v8c4CqmO9dN+0KtQji8t
EwlutL1IHZosOL5Y9yJdg4/+XNR7HkgiUrRzTFiVMZGApitQTTBw9btJv+/5z5bRW941wcQwl7J9
q9k6nx2KSv+LQExi6CWNnXfbEEPs3RUFIShoZnT7q0vLI0iWKVhSbMzY8SZlPieFAo3cXqnOl4Yk
s2He60OGgnfm91Gok01V5fkeDwbPHl8jHy5Yj5NX/FaVCrUU2J2HF9gNaTEQ1SmMxM+64T76YKS0
mtNCPoxC7RzX2TGRJxDJPxT5W9sfJ7eh5evwiOMfvWT1l7XcaN1zCxaOUdchJTFaFft20YPOWZ46
vdt03FGjsxEoGWyLkzk/4KsMBJrvyqtP5vRRombYGzGO8IG5d0Ve9iCta10x01mqJ+JkHlxXYKjJ
b6JcXKIx2kZSm0Jh5D7aT2GeYNXdGKZwApjo74aT3litbgKq4Dhq5vzbcrny4wZjEJudK3Kdp5rR
dcuoS1KMAaG7GXMFwY4U2ZMC0Is/mXrfMgIAfi9z1H8OaJkcoqDQ0jjFqZRINIe12YvK79FJ6X0c
iu/C9NekuMNAatu29WfnQpveWSRFWk6367xpL1l7QLyk2mHtS2pzZSOuraNxM0W4tb5Lwkv9CT5U
9lFn4JdgfBK8QBRpBzdCEbj3rnVXb5RIQPO9DcMpZ1Ui3IPoXmsynJbm5JcHzWfSgz0yZVLgYQMJ
SsLiCIJyugfvI7XfKCOOmAupT6cdOQFoYEn6XScBuhbvF7KSTSZLWXGvYw/wCa5y/FdDkvqC2i5u
yHlgSzYY2IlH8NyE/eqcK4CBNrFZXDzU9OynWOzGOal9VRYR6Wiuk0Q3mTelSNtQau01TVV3yQYt
OdmaQFqjHoZxpMmQxtOC71gxOzwtdh6fKdnHEA4hGW95QR3JI24YimGeXMVevkvr6Gg2yUPw54QE
IDw5oHiYkWyikiWAHFgbU18lgdZiqYhaAz5FNzbbziHyx4kR7M/Imw9edmdXVWAvU/1V9z0qV1lf
VGYz+oPD6EYVGcNg8Z/q5952q3CYUrjGufk0mtXXMFEozwilDiBecNtDsibqYQQYsJbOOQdWGZcn
QtDZkU1jcZ+Iw2TW1kXjaw3DzX1aEyPvIvHoRYBXS9f+aQRiFbRd7+5YvCQWcjBoyYMybjLQsLxj
GVjAuX4SPShH2fBpGyZviW8DqU1yddBg02OsKW+iIdKCKeN8K0xkxbKjstCie78WHItmSbBxon+g
EIQZNA5EhzDKP8Fh3TitvPoFaUtpt8whWUxjIGoK4uVhlrCdeoN2XKTDl60PRypp1M/o6Td40eWl
j39iFqB7ALnvUYfWvkiWnZuYrz1CR2p9/MUD+R5d07GZQwNQoftNhaTJ9YYEV2fvB60an9DhREF+
9JVb7VLEiH1iHty+OPhVpp9a4rFl2XvHcpheZyM9GQti4wTL6EXFJ+wE7dAHba6pcBm+LdNPsH1Y
arN0vyKvOit4Thu9qvZxBw0o6qjX8wT9nG5v0SBawYS9ZGM43NUm6J5e6slunMkC7eQjrgJ5FQ4T
a1uHYLXk6SlbM1Rc/5cuGgqxpkTgnuP3hw39UFqVzZiy0jb4Az+ICUj2ZstlOynERhpkzXleb2xn
nFA/AtWPXPCPMm15DDN8P9Re6HBBfQKJRot1ljrciK7HF2XFazYXWCJi2o3QTLUMeNEi6cRTEBt8
3B3WkCXV9sSG6AwHjRKMKdMk0Ki/jIVLoR0dFMuSdHSH3F93RAZe2lsi4X6IkCEXRNXqIuxrSTur
GuT+qo/k3q14l9h7cordLzxrWxj152hcSAOYKzw2ObkLGQ5SbkX+XMPgclcl4MflrDOWZ9kRxT8g
Yrtr3Rsm7MH3eUkmMlQvyOlJcatLsiSmYdOQ1RRncxp2BrLjckQR6xTxg5nMw7Gp9o2uXJ69gpzo
ki5m9iVjrJGMm+pXuhZLEj674jkOF8pmTZfYDLqMbMXOC61OQRNDnU6qFQvc6TNG5RKMZke5YzXt
Sc/9y+TMzQElIDtVF+fraH1rCw1yufhkpQX67OJKtmuoEklPZS4sh6GPxxSF4haN15G5+Jfflh/S
iS6x351LJdRt1poPsl9npsMEB0TDMZClU1Bj2C59hlaCJTF1vBnUc4lhxi+K/TyWaDHhuuQ65Cjf
tIPEHu8NTxjQYXf2h532fPMHb2HWuyw7v9qmVc8kytH5CYmZW9AlXJxY2y8WZwVc3SiUpXrEcEvo
J3xEAjIAUmAs3ImKjJWGjTWcAYPZ1iVlwoi/kAd+mJIbDC3ibsZnj7c9J/SX30L6gGyRxvC/R+ZK
24jMynML3QT+I9Z9Ze2kRDuAtnsKc0EvghiaptxmkBVXCwtLxPh6zu3ZL+gDxFLfUMY7gTlZI7fY
I7yWncCD+BvBCFvh16mJkhegdxxYrSL1HTePa0AwWw8Bv6jrox59Fw6fM15PoLwVgtwOkVLf3gyT
jiPHaEhkcqqtljUxu7gyGHQs8O6QopNiQoiVLjXCVhZhn0IF8UXjMNl/JSu34a29JQIVX0L3jFn1
V+6hF8Sw+tlmIwuYKEX6b/3k2CU4jUXYWP27U/Qh8zb9YuGg8sh1auB70mUT/WYdE0t5+3hZrBAe
QIyj09GAko03Nod3kA2NvROF5t7H84JNNRp+z1gQt50vQVq1Jg2HASU8wyHUVIdcuEgPlN+FboYc
TI3dREcwz7dRy9d11vOHzIoy9AUloexvumEu175vzZuphJTJ7BR81NzL/SjqS+WIJ8IRm23e2Nj7
SDtnExSHXjbC1BoHVFb0Zwd7iHay76dLs/7ikMJ0GcTwu3HUczQJwDO6lh5K3zR2M/56nefiAZDs
jVfNWGUNwJCVPmkb200BDhFospFGMGnGEhSNC0enZo5XQB05A5iGH11ZxS73ZxYTMW7y1cruI0ED
eCJEqHRizZsBHoTmyC2NXRNgOnnuqVWZIOBMaBKXN4Qyo/c40xDHLdwMPcsV072ZDfaXkd0Fk0Xu
szlMP97k3iZec8mmmkWWrLJQkzYJMW1ZXzxErEw8QTup1KvPhDD2aWcecxTvYTyx/IFparMYMn5q
PMmIIz4GZCTnWis/AaN53eJsGYGxzxzwjg+nBjrbcdHjZg8eDwHu6A+bvrq0pIytHdy+6uYjcAmd
Mjulnp69XTy5MiQbJN4MOm7JotE+l1pUN5nxiYdCXPLc3vGwnP3W9EIH2e6fmToZuPKRH+VYp5gW
qb+jrdX166wzyvfRdNMzGLqd7fjWKRCqty46DTsmXoZkIvTlXeuumawo81Pq36rn0vGTpzzxqLcr
NtWJZ9F/oysJh6oYw3zR4D22ytiLRDz47LeuBgj1Fvh95hM30Yl6PQTRHM8lk28v4Y+M7MdKuxCX
KWPE5RHCEKZWF5/JYTPBqg4McadXvUFzCJF5RDMWDo2go2kzyGHoIrOFc56g08YzQ/KtMizOcXdE
8TVuZjNzr1bj70Y8yofZfBymKbnLc6oTzkd56ir0/AOtRbkE7TrhmECizoPXPxbCueRey5PedC/G
9JHI1L7Xx1efLLUjGIYxcGR/Uxb2ETEkSZcpSdBODm3WtImrAMJ0psqEQVlf7MHv9vzcnLQ91H30
/fO6Y8y2hc0H0BmYSxMfHaOv40e1hwlNlEbgG/4agj6Io9LUyEKX6Ev0k5GzLdQlQeC1QZZi7V38
GxuWsM+zZ12Rd+NlGZAOVZH5pFUMQMqxWE4AVd5lGYkgHqhdSnQdzMmbozXUzBILDIeF46584hDl
jH9vRB6iaCHdMK3HjuC61Ppo0X1J0/Oex7a/4aCHlMCykFWMcRESfcnQtMzoMww4/fxOTuSnMNzX
Ok2t20rOtwA7N7mXpc9dOr7ZZRLtpp41tGh4rzMMTttpiDyW5i6te5PDHfKX12ay7yrJfMP1+m1r
J1zvqsp2WmI+FLrNIdshIIdciHCNrRHpXUQGGKlL6Pwq2uPh9hLSK+BnBXGfI3qI+aVgpNtlbsN6
uQ1UmXZBS9O0ra1UnoaMHG5G9kcbtybo2u8JuwHvNfK//rVIjN8AXowZMIRdF812dsqHZc5TpikM
laaZ3L+MK5+NOi4852j2rk60sAxyLvcr04I4d98YciMUGkpUhKKur6NBMWN71AnQunELQnBcil1P
P8O4zXjosxwZQMqrblCJBTlDlXOi+QtZOr2FBgmQEcV+cs71RydpQAFaaka3f55b+isvNjvMDbV5
n8z8wrFAz5d/+hXo4lb3zGdHZDc+HEBwHWS9V4RA344Go1ypjeVnvuI7q0QjHnuoLXi+OYnEyeTu
6yqKA+IZy30xN1g/3NIMIqI6tkA10gt0x+QSUwL/43f/8c9okKbzhACFN4xoH//CB6kOYm4NnUNx
VfG67XyeDO4KhNoBwzge/Bh67iBGyEQE60FBGh40hb5KH/Sro6wq0MHRw4TflhOmod4CD+Xb82cl
Yc7XqY1BOEXF5pRXmNTZA3YIxiLVm7YMOYUwngkBxPyI5TLI4xr9mW00mIeVoJR99rHvtwv1daku
1tCPRzPBz7+Y2OjzAnnxoAp0yMbzks0tk2v3Y+3x91aKBNKJIwHyJOaFLei24+FKAh+1dj/M1zaK
V6zWcmrayTh1boVvuJtOutFe/MS7l2Lyb/oRz5Nt0jhYftqcMNKRhZr1940zXFQKEIVWpQnHJCXp
xZx4kKJlughTv41ZNWmeQTyF0K5Dp29qm9KCjdgecq28l0N7HEq24yTekUZneM4+vl1MZhpkDK5S
Ow8ibjkcF9kRHVUj1mD0CjjcS4keh9viYMHZt/hrce7ZM+bUfjhlljwRDg1E0eaHBbqHEBsG9UYj
8iDUAMhvaAe6nYa9FzyIax3ShTB1r4A9QUWdzNKBsH/w5HhZ0sg6TyVxUn3nXppOP0x1lO0L7Sjg
YRDHpH+a/S/TLzTmtvrIHKal1E6i+5w0rB2lPSS5MYn3VTLarMWbFw36LUJJJLm1Fxn7nCJig5Ol
vY+YTVBuvkSTO5JVIl8m4fJHhoaFkwI9Vdn9h6eoBojyrXR10FvlvpSFXl2R9TOGAe08V3H6UE33
bRXbJHjFRJdrPupOgh2AcD5YGP23df9ZzhZPMmOvkokaw2yscPEMFKfMlqttavDlUE72pFPZq/9H
FcgQtAGFPEgvAETpj5Ml23rNvTR9lqfAF06ZFN/C5awljPvVEHDwhfalKedlZObXyoggk1z79jVQ
iH6THxI7bijM7UeLekf3xtDGh8N2i20aU5nAb0fAxK32uyXJlC0WntNcASDtdkUe8ZB3OAGGFXJt
zlm6cRwRahy5gbbFEN+f2HS24IVLeKEJt2t88MlK3vkYrzZJHH/GcOYtX8A6kIAOQObnW+qVJ79o
LrqPlSZDjrzpaw5MpVEJNx2CYoQo6TIOwfzWEIq3ILkaFKwU/ZjFQm6tac0jYHivKhRBVtpgj6vU
pz2Y2whS7rYEuM9OiKFvFo1tWMt1vUO3UkVNAYujuJOWu6wMi7OGU383aPpRVMaIOsO9z5LpAZX2
GOiIuhukDbO8ndDkQmzcKHxqroKFRRZp63H3tlUUZCZPUKHfSubcwD7vZithprtinxOzfKNH/lZi
4hqaxtd4RVk3S/0ryUaXzSWtR1LdGmmv3zqP0+RtMwdVQSaQZzuVF+2lUMiNVozZvEvAOhCrLog4
Tccd4YjT3sTunTiEYWCuO+WRh1fWoo8ezMHY1EPv7RLHefEi/LJWX269BKcVUW4WxJsVTbwGpZgt
QtNF3o7l6D363QzaWK/3MNw+q8y4dQufwVWp68eRtd9A++NUuXWJ4+nOin32WkZ2cp38WOXynY8J
O2iL1KlJnHAGM8jXZzzAgXusRA7TlcgtUDAW2hpJGoWUo8bgEkXFtG7ZqoFc9XSdkjGs8qRbBUmb
eEHtV7ARAJhWHSFfCe6srDP35kggdGM2TVDYHMOJVp/sfg30kuw1iMJCBTZlu6JP5qCn+d6K9K5K
7ZGJqPGieALNnpgBZaXcVnVFVs1qz8yLH5mvCDdFfIkHc435+3QCnkVGCWqVJP8YeP0sJ7IQdUId
+Fp6G6OxrLUnD2qzq5hvD8URfwpsHdM0eYLzL3+WpOBENXM/r7nWfDHRqJuBXpnTNjklKZv/oiVo
sS15QVHn3MK8sDYVy/6NWdEEIe4Zt0kBvasho9C3bmakqQ+u6A1i2osLPxwUtR53r9sMNYbO+CUf
mdhSDAeGl+U7xi48CHPU3iCNQlCXXYZMd4nqY62jzNYm2Ldkv9sa1MrNBIlIp0t0W3ubdwO57rnz
yJcCk6FGwg1UQChuaPM0X78wWElzzd9rnNruIr291UNklfwwt0pDgD2/5oTYA7SyIbLDztz1HePf
brQGJN/tUVjmfJeRNSWhOko2wjmX1S+bUZPylBMsfX5godhV7m0qBUd7+9zVDzJb4Fq+NxrlNOs1
ouwDMbw78hH0+0PPWarZMTk4YUvOjuOTfz5/yujT4FUv5m5U3taj/9f831GBsGoKgVrcZd5CeUsC
i7PtQCqPfB7C/R3JBw/W7lj/TDHjlrLf+9FPzVYv4c3wAOhNZFdVSp1UDHKstM4OpFtvyE8lVCcP
IV2bqON9D0gWJ9QOZAYpK2xQapSiO+QFDsrsYn7qaivQHXh2IvRR+I8ADSx0H+m7abWhTXeJyiiM
YvPDNZOgXVXeAJtGq3lW5EbQE914tn7nTCY5iqwdOkFwRmV/wxnVUKl+aUKuROY3BxXBwjQ+GxKM
ov3Ji+6Grr6NezZRk35cEPOWORBgn/mqLX8GeSjlS15869ik2IT41osczkPjsqoQL43rkDbAdr2o
4juih3d+wh68gVaA+qQFAJkhe0aRLFiSea81pNu8j3ZoII5Szy86bI8Z2unUegEvUgOa02sbNfRA
T95chDAqRy8zFqD+CY3wfsa0vYsBBPMN3jQ6MPZUnZgDnPDcXIFlblxtX471dTVRWOwy0gkoWsw9
YfpYG1AdOVqILuFGUY5OONDVW+V+LTpskB5NsmTgv6RmtIEPihIjeswlA+BOR87mxUemkXeqaE5w
kXfJY4GRNW/tdWltMzEEr6Z36aGfCeowbGZ+mfPRQfDj7DFPY6ndVAn+kIhUX2qwchV/HSYgqYkC
GFx6xn0EFA7dBpiBxPF+iQJcGlQ6Gr4dxYPOIhrg2Ex+1CLEbWcaX07LkTH7Yk/JsnXEcG4IIGiy
8jNC+K11RMR95A2Vm5lcCTK6To2BdWXdmZS7At1FyXdaEuDS87ekjRHRiG5MEYLAlGNmnbzt9eot
1opPaDZ3AI8x/1KW0CqbqvjSyCL25uKSKf9QgpjgyrrPU+d+oEKNJZlIKplIJUCAlFqHUXM9FqWc
OOwCz8iHeor1ZdwgGsL2gSRgG9lcEbF/37WNsykWVNidGAPQNEcFNaMmHmJCtN/N9S1T2l2BCswu
5zsVJR+6Pz97LiGuLKI2o02ECf7mxGp50Cj3VmdliowEnAibwvjYjG3QWNqr5qvfRolgVByQTjL9
RCy5qltke/BbK3RQYJmpOmd9Fjq2hm6VHUcOc15xxvRDF/gIWGupHauh2nbQwGusCVr9XDon5rfn
zos35cres1OKYVa2fd7dpVTA5eC+iIo614+IkLDtSyett3z+zqpo2xbF0TZZL5LgFhlPkRzPuoUw
d9be86lkKOheNc56etA3YcMVTCPyOvQkuyB3DMqi3qbzEE6adq5QWjtElxtzxFq6CvLMOVmCKnLo
hhud2xF8KOy4+rOb2BrAcV9vcrCrKn37i5Pv7h82uP9T9eVdjZpg9bvhov2bOw5zqw3bxvYETlxn
/f//4o4j6sScm8oiMFekIL2z5zjBcdNGiLVq7SHP0/fO4sNn9OtDKi2T/ioaeNLS54nX53T758tZ
vcvxT/3P14N5mb//ly/6b3/7f3Fw8Nff7c9//RP/E53UuBL/CwdmP/2UX72MazyXfzo6V2ujgbn5
nxZM5w/b9CysyqbtemiZBX7Kf1gw7T9cgfPR53+mcHX2XP9hwdT/wLDps31yXNskQpd/3b/bqP3V
ncm/y3eh5WHQ/m+ZMPGC/u0pMzB44Z5e3ZyuDpJL/89P2dzYSQzpcl0gsOqecgc3ZieDruSOntr2
nJp5fcgQ1LCgqjelUVPi+iwHRnLqWTeEZZMijk4GLBowtZbIqna58L+1SL4Cb8uQTy6U7xGUul4R
HIuDjYhTuZsi1n51zcZPW5BfEBj61bvqfsy7LZNNZIrGiMxeILOIpndpNvu20X/FTSsDmUQ3c3eW
I1LFVqBsttPfcGPPTs82Oe/qEPRrh+GSQbnlfRkRkFnTANkzRvcNF4KTjO3WjkcJ6k49K5c1KErH
QNOqla7VhBSJW1lEd+6fa9wCW2JNPqE1v/tuepMW/hGF8x694IFk6CvDqxOS9eq2i8hrt0HomxWe
IIO0jl7lGSfDyhwiv1fAtWYWuUHBXYcp86GAr7Dfs63365FwEj/HUqGXiGrNPmyIkqc9Wj1tCvl1
7f6CjB9tvNiAqo/oL4g66yuOoKLrke4fMHR89ZhLMDXlwJrkiJzErh9i4G4b8btIsWDq8gnu8Fci
rHHlTSG3zu/FhPaaldPYGuWOHBOkBW5KSk5Sg8BSaJ/YRvwqgIyEfTLWG32ElibJHLfK+dlS46Ug
l4B0AqjA1lvh+DDZkxvQ+QuvU2VIy3+7rv4Vc0YmmnaL4eOSp+0T+uhlR/H7pCbnRS8puZolQorr
rs1AXNDz8YOOtIO7se8uubH8klFFPJ06SKr8dJlMPI0hiAneQHAddMzepzTC6Jff01lCBsa27z45
k/gFW0QPGCe0O0P3XlNLfsIo5O1xmzuUJoguG2bItsYzX5rLeK1Y08Fa9qwHj14AanZnoTaaIebb
/YU2HWIlhN04bUpkQu4zwQlY47FKYfhBKg9sYCdz1FS2FHRQehbAuACx3Q6oa10jdLB3Qh6/17UP
I3/jWq12S7e8sFfUDolJB88ubyetY4zmnr7ylM5IvpTdIKM1bOIwWMh0NZA16rEelLnpDwpFz7hf
asqCeOgovKznduUp2Y18ETNtNLHlzib7rpr53jXJTfHbZ5HNmE+mZFPg4Ah0MkCcvl4jsimgRHRq
R5+Bdf5QJAMIlpo0L+oATT6NzQWpamjl3/aojGAYgCAxD0sNi/IjQrNmmc6VcLhXD7GyW7ZEgnd4
eGmRUm0+pBG2UCJN0V0bwyucAAYAbDkss31UBkPRWQ3XzuppR/P+wpgUQ4T6qprVMdavfmWxs9eX
nXnFpyFh3+kwSYXfvitGgJO4tG1yUwCDibDkwsDMvwH3OWHfZuSped1HTCfN27Ml7ekzxypIRE/C
YjOgdYfDHXvlqe8Ee+94RubjG18SUPvGozCccivU4urZjlW9UnW2CAH3wBk/CUSoggIZKsyUYsP+
SCfaLZXh7Dp87xb/FuLsmzQrM8TjeLUBQZ6NUR27JTXwaFFpdvNbPNrMvqecGPBow5gV7cNUfGZs
fhDKJa8YKgjr9TIV+rJ/J4zthOIf49lanQ53MQFUNtGqB4haG2dwddKSiAECCXWZCRFNFlYEwkfT
m2qUhdZoXTUrTm4NTeZwt9HdtDx/SJixofYOwncc2clk8z0uCh73ZMvyeySWiX9YvmnXlK/DxsNs
smmB7yDF+t1BsSEyymIL7LSPHVPerYUgvSAHTYIPiiPtiuEEtcI0oRPJ7ibZayygpnjDfsW8kWV3
ILtrL6Q6ga9CmmccLY3Pox5rb9s1v+duooqsaP0WbGwRJIt08D6Ubr/ncfzFvXOJ3PSejgVn/bg8
KRw5vJkzV42KKH9TYe3yBVip0CFkd1Fz0PQVWEs+XrBYYkHP6p61hpw4u3UYMhF3dgk0aEJ4dFjs
H5Me8yf7/MfKX4MkEdoyzdCRYYk9y+ObzmXMWpIqy5wuQFOvjh72JuDkd05G984iC8qfHj10CQey
sXzOGXRGgzVol2Jan/oxWdXZb4xNGPsnaDHzedlxAkU7LxpQ57VzuJ5cTB2bXW2jM4jwvTE4gg/u
pXV/w6EMbQNuENxstSWK+RglhJFAuNt2C4WzJnIoJT3i8xREQNug9GlYy5tuXGzMqTolchxB07ne
SQhwKKXuHbzSw0fs1TLwkKalitFQxj7rFpMgOXdUJ1vDmM+2gfJ00JmyiOwq9X5E4dae+nUEZTZJ
hRKJDf995KV3qT+Cb0uad913XrPEoWYFQLtv4+JoNv5vroIbvV437/VTVDIWT/HqoV3BWWtY2DJM
/zOu1C3hcwjbe5m91EV07rX+DtvDryUj2z43kdrCIUx9lqd99kYqAA1HHHWbtF+e3YKOAtTWCN29
WFU1MZDKyUWEajfiO1WWwai0CmON8f1o9w8AYstd1C3nysMqZUy3PisYtghxKFX1u4ZZiwJc0rOv
2fYa28m96Ubf+MrtbZsTeUQYB8IalEs0BIcs+W3H8VtDJHk2OC+xJli0okyPEASYfkciHX6hyS+b
Te0rEr2YSFU63q3MGR8KwrX/t2b//6Om+P9VzX79/PUZf6rvT/mfa3b+0D+wKbb+hwX/5E+0EZuJ
fy/YLfGHaZmm7xkmWEwdnMq/CnbNMP7wUT2u3do/S/N/Veyaaf9h+1TWpKuATrFAo/53uCkGL+sv
faFnCmFYhm/qYNDWnsL5W8U+DgbGibjl0FtGFyc/Z9hl3eAWpvezkGQZtH0FEjXyf9aMw6MG2bIv
2d8Dl2WHOrVv1tTeyT4r4aHlX8709Zf38v/Vt0KO+dvrs6ByOJ7H++TTWfD+/bVvFauqcsE1Eoyu
7m4qjDYbGIw7898IO68dx5Ft234RAQbJoHmV9yZT6eqF6DJNz6B3X38HVbinu/c+Z280ICQlZXVK
ohgr1ppzzLl9qkbzJ614RecpZZZq/KQMcklh+2Cg/a6G9qBEQ2kG8zSKXf03DOwfO9i/76jlv79z
7Jws4fAfey7pzkypv+2oJQ6aQA7skYPYnLbV6IEKbvUjvhL2OpG+c4eSymWaCNcQAHnZb2+MsqEt
WFoRE+063NFlYSVmPFwzQ1xYOppiM9cfKFLfoxRdslv+KnPxlpbEfEJOuAeNcdfyMIEfiTDdkvmR
2MOAoDfqa91Kf+TiLL22YLgHwqIpzHJpkjCgEPWw+XIQw9nfhaCvppVOvDJ7RgEEOi48VzfWUphv
PnLJpWfG3s4tAqguAy0wLl+btm+ala45yGtQ1Yc11ANsUufczxukMdO7Gbm3qTbG35Sm//MN9v4J
9JlPTalbtkekmMHm1Zh3tH9/g2ne94ETc2oWoTTptGk6bOVpR43XnmI+1KYctSsCKNRolrtODPZn
RdQ9qn5ieDDaO8GoGA+s4MrYiIXZjikzlcDf9f3Z8EjuKhx9Z3YuL1cCk8+CWZN1HypIpfDLUtz3
GiYmXWOMMFnoMbzeoOJrxcYtYXnOJCLGGBqJpSlmT5ec0tawqks75XtPNbAEUzYhupscK3c84yfC
4+tT04vJn1jlc2ANHdAWJ6A3mcqEMOrxI7SQBWLGOJHcUq1GTY4XxgzHvuseUZeXu9531aZU4wUR
ZWc2wQKhfI4RVvmsG7OpwExhv4zYotB4b+OcE9HQwR0i9khno38PNsc2VxlyQsLuyMej1XYaMvES
xKG654Z90/rUwgpSMroY0+95z05eC5CoB8BNCh32Ac2JT5RaBNQ548E0MMaKrg9OlpVfmYUMt//8
7Tf+t1PAMXVhe5zRyE/mx//2HUvBvpZANNNl0gXpWlpMhwtbXMzyUeUpRBLNwQCBjDZjJKlG8Qb7
+TgF5d1N8W17VZUsY8x+g6fRCFA0JLWSWZ3s5TfDMaxL2qp97bJZDLGT/pe/3OUv+4tG9Tx52XDZ
kn6NKxzbnq8ef/vLgeW5WmxS3EaiYRZn2PvcU/aW7IecghvMSDqZFC3kVArdYmIGhwBzk3ecvS1q
CKJ1lw2ATEHHEmiOoQzgxDo2uMyxN8Lx2VurRKGbkdNDb9llRBYlMZZ99kyJdwZlRGsDUOjuP78q
MX/l/vmqXM90XF03dTBfljlfrf/2qixNDEi9OZssRVSxVLToE4L1YoVjv2Vbg+SB0dFXrqDJH+y5
pSwmSlekuHObHle+YfyXBcKcF6h//kmshqyrjmuCAxT/ehk2Xa+k61oA/x3pBJmaNZCxNbkrekQs
vtOpQ0HJZfInFZq9JvRj0bcx8cmFdRpCtgNwzOVS6C1b2Lg/lBPaVs3AExPE/hH5CK6BGEaeT+Bn
jal7C1SM4BRqfWxh46UJiwfvh1r18/yIku6/vd//dhYBRdRZ/mzdMuGr6/9yFtntMCCO8VidhUPS
Oz2PBDF62oW7OIo9quceoWVMECO7hUAi3SYxxl8QNvsjtEBIJFzMYXq8kimBTgzdXyDQU//nc8L7
tw+A8wEa28x386gh3H+pIBLR1qQLEt2MvQNAB0KlxK27ZRjkd11O3qlpUAVpOc4hCzrBRtfr8aCF
A8SJOiHtWhfh2u7lPS2s+lwWeUCGo6z2Y9sybDZTcXeyby5cjbuQCanwmqrYi5LKFQr9NdF7BxZ5
+TK53ghPSrQflR3JEwbA7B2YIvAMwkAPIyG5Gyk5ESKc20Pr5URlFTEdFSzBU9vTUhxG3qCccZzu
fZF/CzaErZo1FtYmaF3WURMujG+0DPhM3FwRuQCbpiW7wTMPvl7YjELiwyTL4CSg0+dKZ75kPlRJ
hwwd3T2uo3iTVGT+ZbPkFU7iK50+MzjXjnbnOn3EgUiHZLRXYJmtnQaVdRE2+auVYWqqUqI9YqRi
9KfaiwF2apO69MvcEQNeg/pzW+Z4sVxSjBrTxkyH/FrIytnbU741dAW33Ck3//lDJxTR+Jfvnes4
kvKHPq8QpgT+989LQQAykxy0kDqhgj6lNUF6VrIF9wOmDftz4hwc9ACHCDjVwU2LPzTExcCuuD8N
ojZnshS+N4qVbNJg4UNZrl7r2gnhbqrmZCTFzaXFcuwri9wHNTZfGZL2RVE7xYUgJOulLrz78372
VrRoAnvYmXnQfrn5r6azrI8wiVmgYrSQqUAP2I+9tmdfP6zlgGQtKoP6zdVrQLcRuVyQk+s3Ujkk
GDLMxcMwVZhPHRBAUpHLOT+qF3rHVNMOl7VQxb1S9TYUpWS4qy3GECRClqb2S+G6NTL0tl8/76vi
wX6xUS8M7Fnvz2dUU0BWpM5I8vng8wYJzC3zOjZ2ZsJXHTzwxnKN+CKSMLmQ8rDtyXMkOImj513P
B5+H6dBG4JvYSE/69M1hWrew+OvXqGgtfyPRn5xK3/BOgerStTeLq+Lehw7WThqchflHJMm3ygc6
Ykn04jLXzTfROd027eB/iDmw7q/DafDFTlU6BSs4t1XqD+1eFsX4mXjQ5Nyse8NXNB7rjJDL0ZeL
epqcLwosNhWp6S4C35vODupZVJI9oza8/zjjaVlh122jSJzo0QTb1qxGclFq+zaVeOBIWNoEKQbq
Pma5RjNSxcdmIF1YM6ofRA3BuZrsdOeGKblxeWNuaFRNV6rkdp01Wsy3AX9pNs2X7a4Aa94FCibC
T3R94t3PLLzSBVkeRMy+d0OqAdIglQWHsf4e5XlBNBAyKKInX50uKk85USp3xreoZ3C/oR7Wy4Cu
LzHzXaQXawyb0T21I2evN3M93w4kqmilwEQb9a8IO+UpbdxPMRnd69iWHTgy8Wm7UIyeR24ksNhE
AYqJ+Rk6Khy4Z7MdEVlorMvX50044jzpB2Hun4eG1LXd4FCk6k4usX+gE+D5QyyXCV21F8rX6k1Q
SSAQx/mE5PKNYQq2Z6XoH/OYY8UvfmIV1+fR0Ji/NIdZxPNIxw8hq5lZCPoP2DmsgedNQKD62S0r
7dxAkj61DecSubo065HnIyKanyg9FD55Fpfb57P/+mVvftSk+xH38DlDTwAP4+0B+XDqGFB9ClHU
c0rDtNEiw3zL4IjEzsQuBy/ScnRkSLBGk1uX3husS6N/hFVqnJ/3VGr6RqaDRpKI4zA9KMqVQwDd
imT5uRAZU5eENvWC2R/D/eRdOiK0QlJI8MlTY130ULZ/O6yZcl+fN9qIYdFKTsyerN83XcEpHvZ8
VIyurFMxSjJ0nw/70WQVYCa4OCFy3jVVgPqrijV3XYs4Xj4XMjhFEDLMcDjYMb7uJaahvV4D7ft9
KA1cKUN9fz438Mbi4vT51p6XQMz2xj1wZHBEanoss3xT9oX51iaOvAhVf3Q171g9H5kcPR+TULie
j9XzM5+PtXr7+7H/5ffmx/wJ1YsRhgadQhr+oTFoq0ikJZU2h8+bMuHDaKp82sRmMP2+DydwsCwy
h9rkf+6DyKiwnpBp2HQxSWQTl8hkDC/+5J+eR88bI66DVU4PYQuWtEfiXiNqFk7PVMmjH4+57HnU
zHeVRbWV2KMv8P9jIEa5gcZvMEjjKyJIkidvfut6TEz3QkXatZyhcPORrRnBOe/VKejs4Wow928E
eq0lG7Dk3nff2Wg41yE2EfIr39u3rZ6eM1ElaEYNcuf0CRQE0iQnAsw5NXF2TWOGobi+tHwflta3
MWqzK0WSgeALp246+cfRhY5ptnLak0i79Wn8bkITPpya3OZmdkNzy+afgmPe1cXtr3snNorLHA7j
5vmk5wMacQ8HlXqvz1/5635p6m9Z1FmH5/3Pp0rR0cWHNYJ2BjtNVSGUd8PSfUXaTwhN4l+eR6Pr
e/Qcp3EjLM95TUlhhkBV/glyoscMMplrm4X5VuAgeK1TtAIh5N8te8M/yDxyzwQqmJs6JLidLur4
JhSfnueU2dpX3fjmRcrYZkrK1fMwqbmUl2OANGR+siXHHaHBSIUzM8c42JjLNEJ4ExSdA+awdE5p
YJF3xB7z2rru0TL99mgQx3bFcQukG87cQGjD5XmX7upybU7dsPL0PF56cS/3Jv9X/Op5u2kSE7AU
Xo8Hcsry2A4hhp/5URW48o7nbfV8kHS47mGo4ijLSV6fdz3/tUFNtyyroL9WBSM9UdnhycJ6d5rm
n1pRH7m4TOdUhbuoSadrlXnVq5EaZGxncLbKsqhfm0pa93HKKDc5ej7DNTJ96dMT2HX8G69yXhqE
pj6fz3jeNYTDT1tGESMpfikgg3EH4qFYPh8smvoXQNziWA/ybuNaO2UqyF+6qHcuCYLS59HzJukJ
L0orCkWHOfjL8z6NXNclkPJu99d9JorQWKbxrVQp+2XInkRbsu+hS+WS352Xj9ae16ku/vk88tqp
fADJiyPWpec9Q0g+RRqkhMy59DqwdllAcRvxatUKNHkioB7OJXtRTC3ePhteFMev8XyTx3/o7FxN
r+9JTUVcnrkhnxNBnkCXOuzHdTNEFwOd5tkJLmmWR5fnPa6yg2NhNntZGs69GmZDCLKd55FsJgN8
wfvzoPU13JFCO7u+X5xbSztIJD5cPcjxWUl7HLaBFxbLRErSxMuDNUjrKxWQ1MpqOCAeiA5J4DOv
APcBbkaeRW1iXaT4Wut9J8/GfPP8qZpxKA2/CcINjejEN64OhPiAZ0nwRPTpeCXu2VEMhJ2FAQCw
rL4ThkLeXNAEe5vXHi7/OpZglHZGwMfuRrlziEVIEoOeBEim/GETeEG7ib0h+KiKoVu6xI4dCCl3
9qNRDbj85azCqBA89rX2apmlv43migQwov+qy3C8FRocaEEQGnlrzgJEGaNLpZoHKpLwZZ6g0JPj
SDTYY33N5esdM9qZBrHuC204VyUmHhBzb56FpScpMS7VjTYwrJr7n0TrOGZP/DfKg6p1nW9BLl4y
sxj3eWDG68ZFR2hk/T3mr7gQZFqtMz1Ckcsc8VR1njoadml9MJJaG8mBkM8c+FI03pqkASbmNRtR
A1nBtQeyfi5ScRGsVBlfg0iM9WJUrbvkNdrLzCtIoB3yflqi8w3ZKGsepUvxR2UgSfElO9C6qu1V
m1TZIcgkM/0ijs8WXpBNODTZTtme9vj9kdVN354UgUGLvonCq5NZVz+c/3e0pu1lYBHeBMLobpqe
u4v9uoHFMptHwGWTCd592NA/V7nv2kRSpeGmBPux1nrbvMr+Z9p54zeaGMyEOhXduCz3B30KtjGR
tPhrLHdPRKy8kxkya8krvMQNb7cp5LCew5vnZb/KiuKNA+AWoGImsLLPN4yO2HShJ8gpJOQjRRrz
YpVkmcxHfWOKh7lz+mHV1o19J5MdsVtN9kDkZeUpMuucXS7NM7R12pLuRHxts+6ce0X+CEwavpUX
UQaj97l5QwIzV8tppFKxnyHWfUwI/td27hEZaX8GrROClJudBSCzj/QM2E/n4cyJlZxfxFRZKyCK
/R7vMzVnYh6YTFcnzYIok3nR2RGBuAa9fS+i2HwLx8eg6F/6ANdPOdbD7ZCy9IKtNuDoGHkJfsfR
jqWv4ovDhS5pyBzZSp8cVBWPC2dws0cYDHLdNlGz1bPu5fnPUkGsGMsGrzH+ez7ixVi5F7/tp41N
Js6LQaobjbiIua2tPmItCi8eatqsnxzMzL25e/7JnsrUukobRqzdBHwJjsABYZ+FzNaNwdvwYgoQ
tme2OQZK+nbT1ft6KNQGRECHDVqLH3odfEgl+rXnNXLXjSLejKkfbuu2KD4CWDs0vMvpRFo13OGM
1+eBC9hHyBEX0hbW2WXxfhY9o8YKgkbghRw3iiVM5vohj4efHu//yS4a0CCheBE5YOyqAbT9PPST
sN0EdTms4tm5ZvTx7VmlgUzLdkln01lk3wQDM5dvtshQ5gr7ozIN72rIyrsSPk2DBNYWnkoOnw/4
BBTuA6/+UeSFbLaaclmQkk5bhTVskozR8DLVWo0zy2yBICjx1aNZL5Rp/8yy+isne/WoK7IzbLYV
J5Zod9HxT35QqcRbU03amsTx5EPUzez8aAcqJfWGdB6/NBv6daIDuyUng4ucZBjs6M1Fr8PitdfV
PphCEu0rRaMbN/5DdKnz4tUfemvHD2kp77U8NDhpjxWJN3EAy5p4s/nM4kZZIZHeox4sWy2lUMR3
xxAH9LRpmQAwS826oy2Rd1HoxSYug5zRD/cVSHQPhgeAeR9I0JSsj+FVOnF0FRiel8zI/bWJhmtP
P/CHG+bOvjeOXZ6jT6rD4BeQwqaz648whVRVmfqpqKoPxazk2IPve2Vw3NElgznfwztsgO0yAEtX
ZB4gyY2SpSjdCs0DftTnTwkL7TKgSUaIT/2llNXdHItBB2FUoFptOs9lFzzswlQ7viI9JO3BXDdR
N556MoHA4ti/ULvkmz5NCBrDnuNhSUBoJ1rUCLqe6jumi3BUYahuhnHaRSB6bgUaBkLyam/pCdT6
ummVRC47cu1XWFmeb1LTpGTLs0Fjr5vXm2TOCCgcMAtsfYFuN3W4aTKcwgqNSZb15XuMIg0HsQ8E
wh/Xoeeax4xyQ/lcyBrN+TYaY7Zvxr45EW3HGTzXaYnRnNOJdmEBRYYqCXQKnQqpYdtiOUkqRjO6
B5VCr5F+o9hamSkm1Vqf4msTFPE1QdYIJqG9lQx7FhZSFjqsiYKaIvZ5TCVQ9172cCufUhyDP5HL
CbDu3IBJX4WvWT4OkEydge0/b+Vfh96kTkYaFfxbCeyHSDsrNfU/h///Q1B4v++ZHwpkxGKYimhN
vNRwq9tmYiVFCq03waMyLLgPei0oo8BX+UxSVrbl2Eu9SFnqHD6DBaOffmv6bEM9IMtdKJw13nr8
64gvEWwpAr1Fw7IUqIcbtH8GQfLCTlo/mZgxNkVpVNu89KC/tBBOPEOkr7VWhneLXVNOqDddT1zI
TgQ0vexqvOA6X/AkHfA4YH8qagzjJDWKfaQZfIcra1MmP+oqjVYB/fUj1U3BbMQo3+0Sg5GUWn9+
3ii7GM6al7nLiH7yKtWybSN7Yidlqm74BNWtKbI/TCM89FiYoWMq8vkkBnbLKUlHzIP06rHZwO4V
MJNRmrZm79Icw9D2zwyc2lWjZ+Mi0AQSzyi3ziPUgvOkuSaTPKamNBC6WQo5otSTuCiXQ6OrA1Ob
M/649JDoiETGxmpWAYj1gxF3Hudt9aZEOwczO233i/Tt4iR67IoxJ/PSqm1cn1XtHlzp4c2xaeG1
AhaSZ0NnNT1Acq31Z1Wh4orVUxm0sLgKnArH/JPdFGl9JQ1GKcVb7LkRFEXQBWOvHL5gOtzFkjBE
P0FNaebeZ1ikX6Q1l8fUGC5e74uTavtfJT1GIgi0M71luGVGtENTQk1eKf1eJx78NzW8jE61kXX9
kQ9Ndxgsq7wxllgiOfNeQtw6GFDLL6toxZbfxTOfCXEGNcPsPiTSMC29z1HnX9AmxFxJM7aXEqK6
NbIFWFQKsl/Gdr/MLCLNxXQWvVu/ZD+ntkpf9CG7haR9nUWj3wErVAch1U/CBoetYxrBFoyO2jtG
mixTC3E9XxCNdJeY2SiX9/1YlePNct6KCPZDjwVqYid1lKMdHDC7wmyab7q6PAeJ53zzQ+OThst3
v7SrY5v0GEaQEWy1Hl9l1fvjsY3y7FADpVzxBpofSchAboQQsaeY3wdxnewBDUUEns7wQ2f41PoC
khjJm+ugYn5bdNa0c5gH8rHlHxrnKQrMkPhbQmQ2FnIuuj+uebHmHlc5wdyXX6Pnk5Qn0oTSxQez
CFJnWiYiCs+Bh9pqHIKbOVTBkenJwOYPGabtI6/OZZJ9MNTng/EcZ8nkWpLCfUeg6s5dTCIZXGMf
AuHtooqZUZP9WSnzASW7mnCEMRJF9DV+Ni65jqHIKeqsvDuNSXaXTRGssr6jSONv+vTaK2Z8uZVp
hxYQMmlJGgXDjSrTWIra1lv1RHRgvyYvxUxKdSlHdXIM2R5VNGyoisOHMd/URvhBqBzNxyARfCET
oJYkP+6A16mli6hql+HXZlhEJIpWtvWPHr9tN0CJijRN7AwEZrntBY9ivuEd/jYMnXaKuj7f/S4P
yYupN+TzstnGd7nVk9I7+UUrt8QT2cfaeicRPTyXPWUVW5/sC08dhrXcu/WVF28Dg+6XUfXlfpTO
95YAxuPzBkOKtSO0eUeeS3R93pRpcq0tCjOl0HSlEDzAfpTjSk+rHj60c7WGzNsataez+hOV4rRw
NfXJ1xdMwYNf9PRp1kXHnuyDFZ4cD9Fl88JejvVFl/4NCxv6O9p0q9Afu4PKy+7g6k53SHXByJ8N
JIkPAjOso1evcQnlcAY6ZfWodl3V2+sOXw3jfJSsNMe/ktpINimK6K014pmjC46nupYQ66C4BEpG
h6rRrxZ5zgfltvDoHAHmsjbwrTbFJbT1GAUeHjsLD6wxhIh0PMZ/cQmtNB8LroZ2jscpYWDskP+S
yNo+63WWcI406jQxT/tU+UIhky6o1wxLRruhi2f0LPIMssiPeVElp9FkRyraC0IccxtLx0Gg0Klt
oZkoWUKUQaxE+S6P4mgfY36kpBnJUrAaclO85DUbA/NgZWS3W5Pd4f8iIUNMzqGdgP2rWV0y+oG5
CMkXxIHsrwJ4sH84CFjb9hASPrGvR75FjEHBHtSehV0AdlfkJ9oiomqw/fJs9qTlVGZLJLSeqrXd
BO7B7xjQ65W3kzXDaCVLQShzKA4dnqxpYAvIVtw5qIhBiKvEi0OhdBir3mR8MCztIqrOnsuXk53O
oWunlziP7k4qglPXje5JRy6eRWF69mTxyqzVPsgQfouWJ9j7JB/0QMSICDnxUpXshRT52gQcXDqh
enckVVeRExJkVwYVI68jkEyRE7uuNnEwaC81Ho175tvFMgryr7wk8zEPvI9+YiIDc+mFAHSm67F3
Lss2vuo2G13anwHdVtq9PrJ2KyBRA/MyacMlZKRFP//o6ahkur7mzYicwxRY2jFuGu069FVzmlS8
FYmwWI0gdGNEB6nlIIIkrVpfuw1qGmuqi5fWohpxqxoKNsxDCPWTv0hHnfpVD/NbNOLs1TRARLk+
fY6Wk3yff+jLnKl9nOBpVLRFpqDQX1xsk1gj4cknEC1zu79lOrvoNizXTIK2ht+1xy5FmWoYQKYM
vy43A0CcR0Wy5tEJmo+8Gb64uipESZxrJZIvQqWm9JhCemRQRfjEdnTVZ4qt1EAi9tCbXl40180X
rcDljtuCi+xYg5OvBGZB1AgLe+wAY3XDZL32ZSx2QSPmCJ9QP8vERbfl1MBW2JksYWzTLLcdA609
Phs1J+hmIP/yaKT1MzYeBB5VHS2uuHGn848Pqtp3CGLfBJkWiyBLDWhx4Hm1GBQmIRrtps1zawOb
Yra8zdkT2g9oe9mStqR+s2qEQKr14ztN4ydDOSGCo0YpVDnAd8zx1hn2pZ6A0ulumJz14diPYwO9
2f+BPIplGQ/xHsGKeAWfkx7GCLKj0pxtbcUZnzBcAk7Hc5mMv4wk0JcmzMFlwwAOl3y6amE7QsXr
ilWR9sgzas2+jDLHHd4hE7YzzIZAG8iaUqrcwIkrVxNGDJn0lI4lfiMDak7lFqusIlOlTcqj0+A3
pD8nq0Hc2pRFTY/ydy+phovugn4Lz+hyuu+cx9+HUlmPivd3mxR4Tk3X6fZpjwdeQQzofXZpiR3X
1+dN4zD/l8I+R9km0zLnK8gHEtmUMxcoxfgN8KcT5MZ7Bc4PKW91sgQzMhAf3kNGDALaGoQ3u6JH
5kFwyVGBLtvWuRsYVP+oBujQvRXX53xymBl0fONS8LSPIInTpRpVfw0YjW7iauqvYfRlB6m855pN
kk2D/+f3Pn8w8k3u9gV6p2B4TXxvoY/zKuwbLrl0001hbPwjqmhwsV3UPiI9g5avquqRaAX+KccO
7y2gf1u3IZbPW8hK0VcbJVzg2EjyW2NwWc87iyqgMYnCCzX5owJFdUOSHoPLHpdxKMLPIcq2wrfa
7yzdhP+WjPmLNNySX1wdWGWCHd/UidYahmsk18F7M3+fbN8ZfiQETvNgeBjZGHyFOAlWAAB41yb/
pZ8anLlx8xVSudE8Y06YzlOY542Zm0BkaSNChWurU1rBPK/bbS36n6YWeK9h6rU7vsH6Vg7NG1KU
bNvVTfzeyl+8JvMjcJrxZHM9oSD20agHmn/uLbCyaVlmF8OL6jMxWRGRW4P1XTQvnm3Xf3Q9agwW
HTJwOIksbws9LfrsOpmd+LxRsnUp8rDAnbZtUBUYYN0VzplxV6noRw8r4GK3Tc9bYPYk6GEvHybU
IMA3thmV4yaPBK2JqoTAR8T5Wf9wfb3HyYCzY5RZ9TW38ciy6uZsiJ9wwN2lg4MjcTL7NA4xKwH+
qJWTGtWJ1AloOl1lffkpzhXwGtXGa4dx33rOKk7EahreWhHL95J05U1i09YLsalf6h7oWDyF7FZH
0C+6q/SdJ/viaKPoRA9WLQts3HfoKOVLbW/46tQ3YGs7RE0Eitrh9BV5+lULEn3fGGBzbSdxlp30
gmPvDiPBVWteEX5vcxzolgnnDC2NTCqqV8OGXq1GQFZJHTkUg3xwtaM4b6PS/hJdwui5qYyvcGQP
kNYoU7RUkimyHMxJ+0FyXr70OtACNOn1fQCjeutXuXrUNnKEkkJ8YRtxeO984zyl0n2HSmXRprPb
fZPG9YsPXRJgpKgPzQD1yO5CqgbhMiFMivK9oYk7WEXxOdSRfQjxUC5rYgk+/dnuMCXT98KvgIk3
aXgCAR/gb+zEw7BHhcFceq8iMQpsile3KvFWWZOxhdzX/nA1isJJlKTjQSYEvhH9WfVu88uXYL+N
xv6eOVhSQq1AOBS61D9NWB/isNhMeehjtPSce0RQCXVH56wbq1fQHIbhPvTJW1lF26yNq/cSY+Im
nZ/qJPhwwPlQQlSJxyA+sS6hqxGEVJIMNImq+V35p/FPXXOsI962lFpnCH5abvcWZFX2mScThTg5
SVPlnYpa5BdiFWgitUn4ntQJCw9X/zZFEMLqd7c7nZmeFp0pLOp7K2Hy9G6RrF0ScQz4D4YB69xT
KXSHnMnZMOI8CsKRNPHEwBTpzVLa3GnQIn0yuG1eCC/zDqmXS5xr2re2V/KNGKmT78/BC6WZPdhS
xCfhziKwEPpsb1zNPBvOtBmqZUnHZGe7UAhra3IP0yysqP2cBBpxbiYBkkwbAa96Zkpf3JoWloyt
G0SgNwbXoH8NAoSeTYoYLumgXLJcCIeP8ti7Si3j+/h8szKjqq5pk8pX8gTZn7nHcG54g86ul1pO
VrDG9vk04rZb20WT7tOkR3QZ/gpllr04eQ3tMq+dneoC8UVBFWvDVUaouWEfpwykg4e0G3VXYfWR
KUSAY+7yWbTiPHSWOJGuGd288JNvnI84wBm3RTtAXmw6Eg9nCk0MOh/wUlZ+Kaq0hUpycBRhpjZY
Thgue15B69zSTyjgpxV0QW3JL2QodlCpjZZ9hOlgrcY8HM4OTqDKTVkSCnzpu1o5N4s8x+s4+DQy
1SRO02gTB+Fb5P05Wn7BMrVDV4YCYB4m4d8y7ml6RiHQPeI54Hv0xld8VO9RxypELmB71gZMAU1X
amuab8uajhqzuf5E+cCCw4U0ZAc2pER+wMp4vrCuwLsUWyEddaXMY9G54dHGcrYGYrZjD9h8ZG25
QkCS7SA5Qj01s3dKkun7/IOKtfH5A3Ga03ezSd6fP8wPuZ5tHh0PXS5Ej3Qp8ya84WmyDo0dgZaX
yNKc0T3GUyp++Bj6Fg7gE8fztLULEPMg13Sjhp+krtM/7Zv+QccdB2fM+h2qyj+JpM+Ommb86abD
sCrYRG3HKBWvGPtpSWXtm5nl6s27hJ2Fb5kFEDgtfZVd4pr5QeIRCA1m7mHSAaWbb0DR0CWAjHEB
LKXDsh9ZGY2hOlbln0bGxM1HdXDosFUWlnd9Vo+832JtYsIgE9FLTmxgZtuhdTKI0LmIYk4LgbHK
VtnpHn1m36o69Ha1DmNER8C7wHhqXgoDGkWYR7/C4NPSG/HRpd7NUB5JdjgW3MBvLyRGWZcYBdQy
auIA3atT3Zmw9ISUaVxOE4/UkcIgU6twnJXO/+hObw5Ej9Ym5t5OnJTWvnZt2eZ8Icy317DThl0h
8/5LMx+z4g95W2qsW6Rsp8nEMzKqzP2g7h5gWFKAGGXofbRm85mYfXNLuih6CMm1MRHOrsSeRe6L
TY8w1vNL3g3y4DF42AjPrB52qFPSRWn3zXbE0icyk0ZgCkjo2b1pxvgUly4jP90+24zcfhRa+yvT
guJhYfLcug55UmY0/j/KzmPZcSXLsr/SVnOkQTqAQdWAWlySV6sJLK6C1nA4gK/vBUZkRWa19aAG
D0YV8YIk6PBzzt5rS67VU/dGSB7G1OCNzX66G7q82xAboL1pE37IkGGPCOP+jMit3om6C7cpQ+03
zyRvhllSmG3itHv3ehDsumbxYxPzzUhCY8d83S2dCOiZp7zwhGojOiU05iHSc1ePSIVBfnIZ4/qk
et/+lQ3hNszRStiJmNDoNA7b+Ohod+69fe35RGFl7Doi3nZKRh+RogxGmTzm2ULg3dhMaogwLKS3
bGK7k45v5PchS1L+tdcHq8PUOtlWc6uIiU4mHebmTbWHOETHBivrW0B3YbLG+GMcU+QsEZetdHxU
XJ5uKgjJ6CuHRcwGYSesTtxbDNovFcM5vfe42AeVDUJFls1G2eyPiqaVNxmqS1q/hbU2ytp5Duqs
WWmqQL7rBHf23Gm+HjozwclqjnG0qgQ0E5/a3QRn+d89unlu0ZF/y2wj86q9DiX9Ag7+3qpyQIHz
vevBc2liaYNHR6yF3TLhMnx0ic59HIefVNoY9kgvOxiceIzAzTPBH+5DEzod21STtnXaaW/B0BRk
eIbprT8TwcNiBtYn7rDRNM0+A3n9c2tmNm9oTID47yY0R8z4CCRMnS05LU/Xe4TmAV0lD3rO9b2r
Kmv6Gktvj5Nd/LQ1cw7Zktmm67dhjaHWoIXGeNtyDpYnnUM4QmUkR3q+OT/oK+IRUOaDfaYjLdux
Bl2HNO16N1Pm24hv4d4QxrPFcP+lyIEKGZaXnoVluxRnQAd1IzyS9VrngFOs5iZGMwV/kZzGUVbh
2XKS7XUJCOZ1AAUA4YTp9InCZtzIKc8wHzXaqqYGfNB05MKCEeCzx3waoWCmvSnRvfv4oHRNGY+V
mYmd081e9Lptn+sKrVTqGrCvSq15bmqSgbKRFqtZdPXCmKejvSysS2WiEU8N/b6wiAAsYrfb5pZn
7aMoRo1tm/06rVuK7mgO/gBo+vY/bqXCjH8/huEJd3pU9ZtCesbleqhFL0DyljrFPY9NlczWycAC
VXs+4ssxKPbSNIfnAl3gooDYfFNLTz17DflEc0VrVh+NsL8KYaQPkajc/cC0fWM4qG8VbPOEsfxT
S4jAoiDrfETKeqtQuNwlhnDPDsC06z04mc6da4Orhx6M2BhMN0PAQ6Cxf3Ng4+ApptI+dvGwaiRn
TlT6/a4wR3WvuZF3V0fb6x3l5uq+0UKkYtA6qQB4QcVg8jhZBfxABoLEX0xZwInS/zkUroXFt4lV
ufN9sZssT226dmq2FDPOa9OLk1F2AC7Ktr2M7gdvAGBTBlx86RjIRNlAwx3PCiwcLvuPtU2rdXld
7Jxh1A7XW9dl8Hrrehg7Mg4TaOpYrHaq0uvXCn/gtUhn0as2fx+3GbtGtjW+A7qqaChGE5sTA4cY
F621l0JG3Gg63QZWu5bJp18x5idvj9518sLk/4f8nO5bt78TWbXhog6RL6loVkTob0lphitnRJvb
NYN76ufD9VaQF39u0WfccDo5zF5T91AHrXsYhPHn1t/Hagv3QRE/hGpMTxa1++l6q2+8lPZgbCPS
FtAg/vnk9fG/L4vnJ6KCEJIgwjzy94lCz5O1GVGDEs053PiS2EF+rtpjGNnZrWlPx3xqwqewd8vH
XGxRk4tFSw+BwIA8YLCYmOFRE96ystJ2b5jmuLVEmD+wFcWw0tjOV6C+aVsHH/AK9z2sziXfqb9t
rTG/wCqoF1HBiJw24wez2ZnvWTdnzzC+/UK3iQqJ8O10EZQFF/hwkGTvFuXkuiu86cDYAJyJmpgw
ouu6uR4GX/9zq+6otn8/wbtbF01IU8kTZ8rd6mBlVXuJ/am9+I4Mzw5jc3qM7aUre6riSjnHqcuA
N6TVepIZUO9RC1bU2tG7508HpvR7eCrWS9LlzWFklg/JmLuWX0DCYTM++EDi3EF+pHxQTExw7eW9
6ldeF3ENxsAF1xlUryuH8Gyq8lVHi/c4BHVzrwKbeCFCyDNC9pjfQbKiPXr0HTRw10OY4MPijxP1
1PXjyxCZ+Y2utPxmTDptqzEfvD50PThc+PA/8YoQqfy6MnCWK2lYB/nfBz9ptXyRIEw+uKoyLZKC
ZlPKaO1pQvvlQjVWcQxwIf256VeyOKoyK47XW2zPlw1uqtUoaUlfp4t947xrompvK1I2HmyhDsQ3
FDdg4+ItVN7rtImJunYI7Iwg6UyNr8OAaUm5kjFMGfo7VdMnipFOnLWynRec6J+37OySlX1xaxTh
u1UGxamZR+9l2fhENTtU70Y2PlTpvnZQS9iRe2xHd9XUZb8a+ZuIDMGhTbX9VRQRv2szY4APyuS2
qGFq9FqefE31k6vl0wf0RcFANTGOjm8tnblL//cwlOOnwIS8vT4UI/0u0NY8aTVJVF5LaxHaC/+y
0PnhDF3gA0aq1eivTsOJC9wYR3BDyqylu9aq8muNQGTvB7kPltVQaMvJD60njWVzl/kkwkgX3Byi
IYc2s3kMjSb7LkrjqCVe+veGVo4HcUxshxmrnHtKvsYkJgIWTgTLyvR674aS3aO2yP/coknv3aR0
PPaWJlFvIMWqJamEBURJx7Lhq15vXg/u/OD1lo714tDyuutDoKp4HWNTfKpTcwZbWj+4wf3gtv3j
9TA50YMkNuPM3LB/ZLUgSEDB0SExw1rYMZjGGGbvbdfiwordXv/sPLhHtv0prR0ptr9ikXrPSnOq
Q6XNHfNo9J7byASEGzF4Hua7+ZRMeCAdwCBVYFNQ8UH5irOG3i5dW3QOp6sn6n/FNHuJ07j6/op/
/U+s2fy3/CsJ7c/fuvrV/fqv62vBps131lciwZ38bsb7b/of3ZWh9r988g877HGsvv/zPz5LSa+L
vy2My+LfEAUOlq3/P4vs9AuaYPz//IHfTAPL+YdvCA9PtikwGeszoew3h8wy/yFcC2mSgVvfMDGQ
FiVZIP/5H5r/DwvlqOXbnECmOd/6CzUw3H/Mr/3nm739bfD8TYz7C5T7P/8CuJv/9L/6QA3LEoYl
WP9xdRq0oGcr5b9YU8PRlS5iR2b+Yx7BrCnLR83Lelxhg7UclVc81tLpL8jbUVXwZIwWhyb8uMpt
ZDR/D0XQAqpxRLFOHVIR/j6Rzq+LvEwcLKNmhN/q5xHOMQKOlJSrkACUetp2paNe9cYWu7YOiO2Y
72a1xjwqNeqzUbeCEjHZ0NIfXqNUpQDAJm3VtOn5X76rPx/Pv34cpjd/m//+gSB8F7pjUEXgzYQj
8e8fSKmZtWWhtViktfYUDUl8TPoMx26bwddpRXdI5kPWRnimRuRrNkMo2Ufoc6xSHVRHuHzqBLSC
4r1K+pfSoufmucl3rcFnCZCJ+whAFpTKdGr8eJ+q7N1OtSfgyJR9hf4wdi3JkDj7muIHdQqJtsxR
yFjxofRwmUrNlVkhQiKshNjvDJFuCD9sNJy7xLJeta7OblSF+zEllwRsSoa1dV03Cbp0+rwmHjQS
W7a+DuuJQB6StCp/jRyUQJawZygkrGCZZfI4aFOGboikSh917TqxW0J2OqLvzIiINDZ9ecqeeqzl
YxPCDWjjk28268n3xiXZFilBKbuGDdsitQl2CDySPsG4e5G97wPeeGcHVI/ah9vpLYSpY2OYBI5k
o4eYkJMuguCdozZfxAboLsze26wqZg2wgqhFMARmtnWEEnplaOEXU09ezWB0PVY3pm6/2gW0nYbB
XpMAdrExa4HhCS4i0D5jUjiIfv6VpBc9yRGrMh21HNCzQ3YpS85EyAFJMB4KrK2J2d6i0KMiTEey
b42VhNxapNmzJeDl5ShvdyVXA5R7KwGDjxZ6caDuLBYautDFKOXezYOHKmPcN8hmhiRDiQWvWmUB
CpGKIZWREuUxCGYKRBlt3MT9NBxCaycBsBPiLCcL5KHGcJ5UNUNVsWmhT3aCdaGKdKWIWdTNANkf
MN8M02DF3IsrsEe/sOu3cRWc4MUW60Tr/WXlU0PXAzAdD50B68FaU/GwNwL+f4WdUuh35r0LFcJh
4EVwXoY0JEB9A+wbTNG4jit7KWkPGDT5keQZzy4xz5LJdKIsNjicCYOsaH5YKa2l5t4nGWDvd4XP
qA2Vv6vra0Aow9Yuq3g5mk4JOzyEY24fKxlBWMjY+cve6JdN3bzFkbtP2fhSPGw6Ao81T0/vXFWf
2jJlkqmR7hj4pVxWCnWksPs3vE/LCVSHPXo0YFN5ShSxOzJNnBUb1MLQcQcbxhLTVXcTMx+bmCyg
7RxXuBEu9mQMJGxmX5nVzn0arcI1G9zCCdur0L+nTocRgAxx9EixNVErpkX95eaQwCDTA6SAqNCP
NF1t/8j1/MaoCNnCWS9XOrjxYuKHbpl2wiZGQfti7B9F0BVT8rmd+Ckb3KPnczL1KTM3hww0HYes
UNUG1U8Ud68uaQRGlB1HQA/LoXd2AyvxkjqeUUEEgNfUkYXwFzsO3IOyw3Sf1fqhrKpgbTsTQuKt
HQ76wdS0M+3UD82l3xxEEpEJniU0Pe0ydSdvp0n92YgY7/OPOnmjepADhgDXqzb0wnv+2eYioAUW
2iMDTZNujw1uSlXkv6cMlxdEJLgO2thAroeULt5Qm5+5rI5moP8oUIsLR+qnJpYPqielD3b4AXAb
YYAxP3c1lIAegujYpuEvo7b8Q2Oqzx6b4Da2GMSqkIVXFTHZBoZbLggAzNekxGA1Jc/n2MowOOq+
XeyMvjhlieUfoXZZ8wfyz2fFPMCcNLyf1xf7DOv5IhjpkIMJ85FBPzKIPgRYmNXlTW6G5Y0z3xIk
08OSBN2vW+h7iTDfNyplhM/GfRMgRVy49gejpmkDkWrTa49V2HGdCqtmjvRuLtdbBLktkFCSGUbc
x/r60N8DcyeqF00QdDxCJEnDsxfH3WnCwxYCPkLMznIv83o4XO+ao0mqWxDpm+vdmgKyzCyU4B7x
51VZm49lmzcnGVcf13sNbKx7mqML0/SNx66HHd2B+1wxoAs32G4/RI9zTBV+sR4pAA4wRIrD9dbf
u9AAikPcmjAzNGLL2D8sLQ11XwXWeVtq9UPTcgrqFsH3ZG0sUdg7314Uvqd5bz+7OLHXQ0viHWAM
MacF0TPP/GaXDfWwSGKbC2Y0nUeQYGVS4jgRXvUSdP6rJwigb+XKye5GGedfZgxIKSp772HQnXJj
Mqo8joUobvTSYaKqDGS4/FJWtVsx5ZSp/+XI84BU4adT+meLTPc5L6NoXQZhdUCltGewKQ8UgtVW
ktJyT+WysoGS0Q1zbzxmecT36DpgGWvfYwTApRJWpO2Q7JgGGi0dchNk/ZQTXv8YBX6yDOAQP2gN
4dZ2Z08nCjGGk655FmkY7bEyxme/IMbXhwf50PmgwGMjNt8j/q8DrTavGp5YDev34cMn8s2wcvk1
uslLUU73Q0jlRVRdvIgS7VP17SdyhuwOsYq76RRGjawDuQBVTmyhPfsUDrrcUifAOMqYOXF1ACof
i9u0k+saadKvfpRYBoPJ2AwpJ/MQmtBGLGESn+M6r2gDt8SQt598mbDvDLPFNSJpyjRSQ0fiYU8Y
MDLRQj9jIiydKttaxT5x1cjXzwdlADNY0eTWQDW3ziGbSBGqypK1fdARtFJ1bADaere0udUqCUCt
d1rarERFtJCWmdM9RD9cc++eKKbbKR+jjUNq+Hma9yoqrn4iQPor3ceeHL1kIcoKkwRnKJCjCd+z
zY2DBqmI3kK2nxJhIcSO7UNWNvjTpHrJW+2ttRJa61ZvV8yX412apsm2yojNZEN4H5nLurbEqUzL
J6WK6jGsBmgaK73QmnNVded6UMSeDD+Olz1p1rXvpVFN+kABc5YyhJPqGH2GeLkuJdy8raUqF9Jp
YO9EXz1XKu5umOmxiIQHrZnjLtogPUdFNiyjPGaTwHjlOPjltC8HfKR8r7qZbEWTegsa7dNa1USy
zyoVpWfaFghtFvTTCadcDOyofIgdYEgy+/Imr932dvuaidBjU0GWo6nM6cHwmi2RhsRgOpm+ac1J
nsc8hRZK21o49aWoBSmWpsDt4J4nNVqXJvN+dfTud2haKATCdJ35wlgk9NrW5MKYC23QWI3vBoQ2
KwP58iOtMvjifkrLMbhFe1vdZkSGHaY8fMBPHl7QKY+b1uJMHUXtndXJky4MjywAtDIrwoUzL4nq
1hjYnIFzfU2JxDwEcE/vuiJ4MYF0ra6b59BqiAGaD31mn3yIl/vM/qiMyWvYBpiPHWoqYjSB5+se
0UJ8cS9VXoLRDywS4mucHHIys71UyU06C+nAT8DCb5mRWYIwlTZq5dGaYQK9Ay2pVd5bONJ/mqpA
PlwPsQuP04uPqu8QmVo5TCRlPtBQfUlMQmlCJ/eIWMq7LdJW5N0DlmXXrh+yiHBnfcAS3ti0eyeA
jqPWkVtlLPKewXo4e9AKFuuzSKoPm6RKP+PPBjpW3ShHEJwmim2rRl5NbtXuXTkfrHq2k+NFXImR
KwllWLLjhFangMwOthKoCluZ1Osw648xWT+Z7XZP4BABacTRK6it+OiIkrnIoIevkdETQIM7dX99
VgPnHJtMjnFADLdGM7xeXyWq3N5KjT03CA1SllG7bvq5SxLMXZKYSNkQ8f/1jo0K0S04nXs8Bic9
VtlJwz56It68jJKTOT9wfbQJcG4RJsGrattwNoaH9vDv6wUEIywv88t/vwaIHeHwholljcd+P339
m//+mXmuD4daJ1iRlyABN48eHZwwYePVdMI9VvPhete2iJJjc9c0eBFJgbw+c31NlCCl//1nINB7
v1/eSH62Wt0Nq+ub1OdRaBOON35Ketri+lgOA4UESPf3E90D6M7wlryE4hZxVnCMzGIeLhW31wNy
9nQxWGW0J6hgm4Re90TgRfIQkxh5vdenpvXojduaMAzGwPnJmkC21U4pn1wgJJEfs1N03fs4Ft5D
iLVqdDz77nrPyMtxqfUB+OH5SbIG7T0hk8gX57s9qtgHYKNpTPk08D9mJ5p1J34pcyZ64H2Y4cGr
p/7enfSIgPY9/Ot6MaCgHDgbykrDnuNDgTV8cl9H0l4a66GU9l0UsfIkIboGyyTspTLkZgj1j95k
vIZFyXD0s2u077oTEhZGTC3ugWESEEG66JwoBnZItnpmxZ74Hm0FPq/OwFK0BStuEBw6016WZaIj
RfSBv5IdjIMswKZqcwqxaThAy0YBxb9SR6qxndJk3zN3WZaSBEAmbftaM4KF1KAXGcQFI5bAnWVA
Mi2k5m4Gw0a6X5wDSxu3uh5diviR2EFrjTvVWcJARzcy6a90en9khn1HyeDgyvomdfqOJReZvduG
R5c9A7AO/yGbUxyKnCUhhPodqBraa7tVDcZBt+vEugmNWyfu0dwo/aErDnrX3nPV2UtHvbi5/kVH
4sMm0jORMYIUkwxaIKf7WSFTQVYYLT240WtmwJiYkSITWR0x6o0sg6lgF9PF1ogiAARQO3m5ajAx
BRP8Wy0xA8x5WG1Sj+m9nvy6bn0MOoxLU2+f0ix79+q0A6WmFkzP4XQIrWf4iWrUx3lqVM7LVLKJ
0NjySknOR11hPAjS6ewOX9mgvfYB9c5IiyiY3gPchPiK18oCL+4bb+Aav0hsXcSk68KJTzyC26Pm
3XABPjRziFE6fcMH+8bV8CWq5sloh4wx9cUx5LdJfBhsgIB5b/kUxM1bWEVHkkGHzWjKHqBwvuqF
vHfCnsBstt+LqLHOgszORe7xg7XHdJ8DwcBGi6y+Yk7AqrpWLWe1JYf3II2/wlBpnLbuLmFgkkqD
8TK/kA5V3Aa2+jc7/oWhuzf8dz+FdFYcx98DAHmdpvaVBumxDvFOI8U5MnM1+CVGMHyM2Nk77Oh1
xSpQYPzVcND2enyfmWSV6AEggaYrLhNQNOY0H5DG3ycRk46Ba3NhBEKtJxG+JH4llo5r8WHIfpM/
9jalZqXV3oZgJ87d/qgoa46SbsMmlyCH4xhVKmNAZ43j6CfXfCwDRYpDhZ9hRcJbPtTfdLsQ4sGi
o9LFAlwl7psuYmi5dAdaG3mJMQqujKlE3XjvalPxkqNXMax42xjBF1aWV5QXt83sfGVl32egTJZO
+BjRtapGJZneNxlvtQas1Ezs0DToDyMxj1EaXUzpkuKrQzvxPH5Jeat/mLh/NhUj0Jl31pXiVsf/
WBNkjinAYKqYmifO0h8D1SsQOmD/pMGShJoHi7ilC1fa+bKzzG9drZXUGlpTMAya9LPS8WeM9Ub0
sDLSAnEmnYSMsPp+0i9Zekt2BFkG+Rv73J/aJ+DbKX3kCrvIM/GeMlnukgSnZcTWeGwYtuBnf4rq
6cH2XG+Ni4+WWz0gOAjJs9G0jCGnbLZybB6bxM6OmtVdpqIy6QBgFevCeKkFZv3i8nlbU/JkkWO1
qspx3rlH4mzvPIPsOpWJr5Gfn2AVJNEdX5wzRTsTW9oxm/rllFs7mReXsaX6Gd0qRJYhbpxSO8Z1
ni/0pgOy7A0FHTb91uh8d1sM1Q/Kr5brBfutrDXZuNc8H1rPivdl2MGwRuKu8Vs2bK6u/oU1GssD
gu8lodhLnGBii3boOS0xYipkRqX97jumcVCFFxGeY1/cruWsij0ah2a71Mmau2tySr9Ja+/TYirY
pJA9SGBKjkdWb+A6I7QmCVkdKkbmy8HMbijUTBxdDQnqSRNtBvWWOzk2lqJ88fv2Rg5cNjwlnnVE
gL1P91Hm3trvYHjh38PZXahmGw1Rz34eyKxtmfsyDOuN6d86NLJ7N3LRURQZW8kspbla/dTJROtk
sjb5DG3BYrg0DefRqdD+Mhq8R+UYr7I5oTZXxUuXYLBAHr/ySwyM4yQJiTOrZxOlUBp7uG0ZSYnp
VUtIscmZ/HpOPax9mOMI8+MzrYf3lkfQ3uI1peKPF+hD7W3XML9SIA+qNuPiCTNWtfzkkatv2q53
Fy1JH9WU+oQPWny0LctonqckOSKkHbTnhOiGgzJEstI0ddEdeIcRetqUIFhab9Ozah/SAR+36/rF
xqgg8+jetBC46AkmhSzhOSdbUDOMsy4iLEkm1Edj3UHCXAp2+BOUAa2Kzb3Mk1WisLoZyLGRn9Da
YudPi1prD0HV012r9PtEiKdWwkvlVN4MRcYPRqdHYvvE2tpQ4wZdnAbHjQjyaR+n2H6hg+tuG0lN
07QJ+zOL8GO6hFzdZUcMhtFRGteXyW+fSh+1keHN6WKAxsHQLL1O7jS/HnZRgUNEc/X9WCfgMNLm
XUM0bE2Ef3iRs4epiezPx0hoxAOrMD270POwTIDVWsBY7HAh37ZifEC4FK7RnUDYIFx5SAz96JJB
JslLrZOCgVid+ztNuI95vmFC3N91pXkcpP6gIwIjIGjvJklPgIeebkpEWJHgW5IIIMgEiZjo+XSD
TPy8VhWtJ28obxB1vvi59twRPVkmol52+vDiujN7b6pfCs1/p8lGAmQaPw4ZYIlYCnuvM4zVenuF
ogbfis22IBUfdFzxG2v10Z5htej9cVKpe3dQ9S7yncXOkU1znkN+Fd3DBf0PczEa7GrIhgf45UQo
j2zSG/jRCCqhvo71rS6TkuwU78lIYD6R8/kGF2u45YeHPclfJTLIl0CeCfrriWPS7zKIYcSmYgEb
vepDmg69RJMavUcenza8NhOvoja/egI4F6He7dEqRlsxV/llHZ1k097XvY5VkXesBtz7oX8TMUVG
lkhOa2PciVF/8k0UMVqZIZ5lTSYvRrobA5HSAoYl/X2YH/4g7gZPrsdw7qpApsr85xxQXuuyxpdy
hI7/rpEDDUsI6mlvS4JuY3T9KZEC+bSp3Yzuuy5ve8IQcF5bSwxySOMLH5smpw5aOf+pi/DUIMEi
Ipn9WPflz+G3gY+sGmL1W1q0+mlK3V9CRJ8WwqjUOJZieien+q4dG3Mp4uTF7Skqqwnbr4wuOpma
+9jhhB/b5sJYuF3ISHxSGRA2fSwjO15rvjauak8A4rC+Kg0sSlQSuzAQPFVy9rOIVMRk2Pob/nla
LcZ702vDyir1gYGuu08IDDjYUoANUQSBFX1yskaSK7DwPdLSpg/NUp9FGMo9/xO7wq/ea+4sBlCo
rOHijHdsrHc2lkg412wNsvqpGNhVaRPdu6Skt9gO/g+943wTGyabnz9ioqJMD3bx3vgNws5aaKt2
ZgCMYbCteq4VOhUq9kIKD3cgxVp1Nj3LNL2QAyA1B2p6oV/GnKbPxFupMQ4zYmSapM3bZcBYpXCZ
xmzMtmPaILSfKRTeqqVFSGSYtZo81mjDxMnlppa1DtueOjWAVGUQzBf76QZxxnvbEF2okYQrGeUt
YSWfDHC9yJvjnc2ebF2YrtzUZbmIvyANjae6j76VV84UkGOlQGi3+GHoDM/fUJxn1IU3yB+idR3P
7+xj8J/RaNE6girEwrEemoZNbmqQXGfKj6jU81VlwYi3KQW6uZ6K5gFBWZhnV6NT4JXYAM36gOsW
WXwar62gSQhwq0gRpXdYdP4v2hXOwslo4ds6FkSb8zXDDhnTicSR1KxT6gFmZzXSMkSD00jMAr6y
U4KwZJHXE/EXsYw2uRbclOFYYKEElW6NrF2o8VaxSRabAj639BtMEwP9G3bwrYn7WTLYsPDAJMUN
RpZoy6aiptkWvweG3OclOb5lFh0KVnMt6OQB0hxZSF6eY25g8XArQkU0yclfMjkr+34FsyNfN9B4
/SY7Z15/up6/WIqZGNLrxXIw0sXgAlMZP3r15sXO01iyA9RGr1hrlg5Tx+meOlo+xMuHewK9PkwV
PFZu7a1R+TyVE79Vr8jbVTDY93GojJOR47pOzL1Vhv0aKDPBQRk5iUQH3k9OepfZE3HgdtgRuut+
hKP/lCUarWmnYBK0tWOr2xaphg+OfS0JkLGdPo7IImntte4qmJLXRDHD4zOCmeWFNKCquMOGDpg4
ip1fedB85zHmxqr7aJ3SQs0tiCdpalCqJcipjC5q35MPM4hV4MePMTrjNTNlFEICUY/zbOECPsdE
aUVW/eMXXHeSwFxFfb4N9ZhLM0uFGYfT3lD1navDRMumXeXV8cbRp8e6JlUen9hGJuGX5oj6HJEm
PPjWZ9WAVqCSq/bGh0qSXxWC/aknm8qfY22aPkGaqoE6JGexEgIST9bwAVnANC1K4Aux9mz3uhdq
7A+rJncpzsaVMFE1jkDrt03Z/0IsQEOTICW7FvGZtvXCsXVrj2c7XnU231/gwCVG55MtwdKX+I+y
UxFjWXV0FFeD3vuH66HnGhYIYiWNcNzZU32AIYXaO8F65GjIkikHk9x4UAXt6YKJp+tJBHelLjlN
w0sV6a+TIHcXvO7WtacPGSxqkZzGUEdIk6ECt4ADKA+oh9qCi9A2bRW+JX26cTUi4duUN8DY9RNM
4SnJR23fTCZVZGJtNNnehcWYbSJnVBhu8x0KbqAbrjXtY8Z3k81gdgh2pQFCqhn5WQScIsmca5D4
4esYDdZWbytt54Y7P0eUxxU73pqSAxHgD/6cuBYY6VZ6+hdtgp1NyweVavcUGgNXY52xsDs4S72b
vyYig1h2Lx7VHVd22gfEcJ90w6nAD4sbr22Iq7S3rjAoHj1v5xMVx0603iP8fUkZR/k270Hl9rtF
+swSX8VTynzHZu6wjbrc3geNeIOb2RwA7m+E1cZrr5pb33b02gxPGm2dS1sk0W0cMc0j4GgnKf+o
EHOxUJa6x1iDiqkIpqW+z0V/P03qp2DoJqnJ1ypUX43bn+M4IfSWcGlYKehxS8bnKcCdbdlQ9+Ux
yXgSDH+BxTdzWSlULrKlLpJx5VFhtNTvGxkh/cOaz7yRMwuq5DHsLa4LzmyNzd29Zwb0dg1IiEa/
G4zqUziTDrcJ99tkgWiPNCoD87vxoYAxKFhRrBE/Z+hEfzlNvBra+l1aIZDFocMfwHuejOxSk+O+
VsiMVr7LKAaDII1FcyHrYJ+Qc0nnyKex4rOkpN45ahMMDwP4mMY3TlOC297opxQGED1UfJzwN2ok
9cFU/FKKsfRFqbJ5tWYdChdTCBCMSZTXr3X0Z1WZhCtrKmbWm3ow6JViJK71jlgFjbgMo8b5D097
4fcNuWc0ylZM5OlkFbPV07ukPVSiamkpScQFmEGMbNbywQixD1GZ7pmTjtiXaCaETCRvCuOn51qx
dkrxmhE3PEb9U9Sz0yX2omnEcF+HXJ1r8n5wbdIwIga1caZXxAH2EiVqcugYLogB2YTnmEfdkJ9C
OQ303A9lh2qXofBbeLEdYrcjQaWEf1u3dbzLWuPIYvLuBM7TVEE0RiVyDAZK96wWcsG6wZUtp1Tn
kvjkeTn+5Xe0rTQ+cTiHIsfuNGqrBIHDsna8dIMqBQFfqCOOiOpFLuge+hTqVQQpgzwP7yan+TIM
iJL0lPQy8t/QxOkZQUYG2/w+W419JjaVTi6tHVggF/wIEHa9jLLy3gSdc9OW3Zs/RGDRcx+rLUYE
DMbNejDNaJ3l+JriClgKE/neaMujlvbtkh5XjhkkjF5LaDdxiuqwQjSAnNN1UK3WfbXjuwmhk9E9
cYg1cmJGne3/5e5Mltxm0iz7LrX3NDgmBxbVC84MxjwpIjawUEjCDMcMB96mrR+lXqwPa8hShkn6
rXLV1otcpCyTDJKAw/27957LfgNH4XDByZa8LC4u7Mmkwhny3oLSSAnT4EEXobtKrWk4ABeh8GF2
1Np2x8dOkY9YCtHuCU8wogw4U8P2uCK8OyFEZg9zJ/stpalbHz3tMLcpwUQopn5dfE3LHoYlnhBz
7s5zB3Bt/nIXp2fSWEiDg3SQC6yhQWHbaRFVm9GTGDTr/AqEzKWLM2P0ui8NR5GanbxWjGlsH1JL
txx83Tw54Zb8+DkSxxgTuDpb1rJ0LoBrPQFx4sOPbP5mmPZsKsTOGUmNsIfEjRMme0jzPzIR3guR
z3SYQM1JaOmJlDOSOqP9q2hSes7ChTWe+soOzkZpnLPfiT0pE7/1WJ6d1eXYX8V19VZyCltZIefj
xW8m1s8xXlsh/YF2fyKKNR/i0boa5vHLUDV3EVzQvaBua4upvZhkzZUCld4gfobiHksm1y/CpOEQ
t4oKuYLgXp28CZKktglCddRa0prYrMlLQswDBAGFI7jR1NKMBdExHnEB2UJFt0LVkfrj3IheEePo
D8TJJrl7aBXUIuLHhdWUazx6jw5glx01gwgDlEbGileZQsIgnpftoDpkBTwGP5NHzyz1nqMAw1aZ
rOE4IgYsbA4Egk8qiuRrFw+Xc92uOs7G1zhrTkkoxCHOFEdnrDhzzo5IGxePCEL9xp58RPc8O7kZ
QR/fmbaWlT1k5F1XXdwM68TriF8o94Y77U2l9bSKHJufmyqyNYZY/n6MdbWL8PwcRFTN2FOPVMNp
9cQ/LicypcoegkNOVbNdM+73FLzpMQz8fVidM+j6tdbescsqVLjC/jGRBtJsQwH9j1T2Dl7DEcIl
qh24JTkqipXzSd6MaVXs5txhkEyj4a5y6XYvkei8Mv5mFjXuljw4TKIlpmA04EIRf0mk+5Zz0Nhm
bFc3qUBItmlOrrscpBcjCNG7P6q5mnYLoU+agWomwLS75fZYbke4+yuS4N/A3u9gl50qBEXLXtJD
md+1QedcYoTcun7U751S4oZbcmoCnTNpahHfBme5yJYcMd7QkAM1kG1oPnD+UzLaRywhaL1sw/z8
FMX5zZQxEzWlt6scqnnkJJjLCfndYSLKBDGjkDpot9Lg5Y5RZX360YdeEyvMayY5HtagkrUQjMXZ
PxGuuTJA+1j32J/w/UGIUW13QUgUC0+NpI3n6tb4etzJhDBkJGiTnTwAIvEZyNLyJMDtBXiKGSh+
HQHZitlC2fgAWoS4LUDNDP26SHILgk3k346udVDGyjdDw1wzs8SG7X69MRMgD6fNv+hm07gj0yOL
t3Y8zITMH7rD1LVQq9dd2uLvrDg7YGPAWcg6vuKkB0wPC+xI291kXVXBVopl3KbFQvP37KZ3nqgP
Uoxo2AQL1t6c1A+RALVbUJYeIUbNUIVW1mi/RLG+N3iHHOBh28JWj8OSl2zh37ol7liiQyYow3LB
BEm7zbHPR7MvXMoWla9camPj98xQ+JjSCOJj4YeSGjHv6I7CpLsQQetiGcHy5y7JpMZm9+8O4irz
Qzz5y5hv6ACgrJQuPN3lRBoGa9MkQczRKHxZzJG6+B9Nszz7YTXtiXnt61LkPJc5GflniFaUh9sk
zTQnouwBJIQmW2XEsRQ9/QQYXbtRHpZqZMcaF/ciG6tVNUTdnvAg2dbEfcV6z+bTtndl/tWhOnbD
xvCWBHOzGhQdSY4VctwlcirPFJe2eZyGJthU3bs326/u8OLrjIu7xxDooFlzfncAJ5HcJltur2Mb
nUBk7BujsbkKl7eO7dWmHK1wL3HNSWZfh8iobyRl72bYHNI/1+46xcPo1O8VjjnR1EeWH7B8lmx2
LWkReOmWs+nn/HZIFOoj5oitGivGHySUWvZ9+UgKlYAJHsNRT0fbIaBH2HIVF/LZEZeqTqd96jMg
Cbz+h2TrGTY2yWfj7VtMIXMfgbSpmTy0RJcXayTsuEvOInTQJVuuv+ygOMStQY+/l6Z4qKYwP9h0
vNgWs7hyKkjB14xvkGuP3MpTI+F4JVzArbXPwrJ7SBqBE8Q4DQdUfvLY1tFFaQ0H9oEND8GLgDk6
18eIiIKHZEiDEUHztitKbA0RA5WA9k3B5NEKxm+ti5WFLwYH902ki3SvF7PPdbOeaAbZJDmE2KXe
2KzRcBXfjOL51LoPPU+uAjvFpvLYZihM5Bv45+MqLC1mQ65nbfxtorovOFnYS4Gf2XcVj7KgyHcD
onDBxmdVxjD2qHyDOMA0ZOYTbmz8qgA5lvUyVMEuhvK4wqpy147eeimwGxfGhhjfbltngNib4RUI
qsbjDoaJ2hPZVkiYE7Aj2iHvpVc92X6TrYiSXKj+0hlxtKRNXlwETv/Sdmlx3Sj/IbPbHahtRn9T
qHdugmDx0S0THBIO8StdTvBEvPlSFhn635Ugvr5ZUMbXWcfaTvbkQPAf5F7CDRvvZ4+q5DHENxwp
+62pml1SZ/POMySyajJL87IpGbXZDVubmsfPqrsQHlwQlbQ2c+r6CLwupkbOK88pJaSNEN6msMRF
WEsAITDMRB+CCpDfq2ETGDYxgRr2tajuUqyfe1Ev3tHGL1VGGFyTor5P0obTDAMuZ8S96CfVUeUT
FnU6cVcL7Xc4ZecLrdOzwdA7ABZZY/97yAL2fJgdLvBR/MD+ANqz0/5OYdPZzwBQOJNM1b1ficth
ZMAuA/GlCRB4EnR+ilY5g6TUkoh86rfobGtUlGXbFVjJ/JrOb5LUAJPIAeORR4DhPyHmpailBrnn
4Unf+xHyFzy0VmN2tt9memI3swuULTeYy6ZwekjIRYmlebBljIDluB8dWoNddukG/sdJAl8swbeU
DljQKhh4FITD2zBzyIycLedyzGE9sJ2oeyR78zyH1L0gzG09wKZuyZGLMzxWwHqzcPRmC2g3a4nU
IKzmqFueggFlctrv7xa6FmI5ayxpRb8tLXILyChH2lu+Row9/fMpca6h+htGD36UXrmGJ15iuIXS
QK2yOAF8yWozzuFjLunSzulJ6Z38CDJUrVE12fngNGSo4tJnpwy2KVFL6zAlrl5JqkZWBOR6gt6h
TY2Sfd6a10e/xgWVpWS1UspkGJeaCW2FYB7c0Rb1d3rMhheHNOU6l16/jx393ThBtxVDeoyD5rDk
rX3ttjD8236LrEyqPpnXxcwoiZ+qDHBwOk/uEAAhNukhc5ty1WacZwcCSFk6spSwwVf9gq3W605l
VnwTZzCbE5/PljLJeV7SvhW3O1zFX7vxGPckIGhT54GcT7bZl8bbzE37dbanLxg4KfRj3ktI+EcU
ecNFP/YfM1a4FS0l/ZaEPctFn05waOwXx6eIxwZenGvOOH7PEMOSst2d1xrz76qgABcSJg6IdMum
6kxxYp+yjQ1ofS1FtbBfRAqAB78XifetpZaEmehdkWUocZ7cN1W2C+wBKYnsB/5ksfn/OxJl26SG
fh+Jenz/lqXkyLv+3/6P/jkZ9e//v/9IRinvb5Joky/xcfmuxTjwv5JRvvobQRxHYnqmc9UlHfX3
bJQr/2bRBesqRYcGqeuQOFWnh3NsyvHJUyHTKjtQXqh8Yj7/g5QUr/NTJkjY5IDcwLHk+d9/CkeJ
OE3Kgi0pRlfnvW8kYFpw99JcCB195JCffvpafpU++sfs0X+/z6dSsKxJnMzzTLgnH6YpF7cEwwoa
P3zpjfGlsGmPLPresHUalyS/HMUin6akeIVnj4quaVWTZsKaFE/BjnInCwE38uRT4hfxnkXRPNIY
0uwYqpj3rG6G67p1h6skG+x9w0zght/lPEgtpvAv6hx5rX/sO/vvj3SuRPzpq2sTTDYBPzeY8/i7
S068O8V9J5wt6ld1BDSTeBupWz3vxnkhK6nK+kvXwRHg7KNuGVWdx+VFQzOdg5mQ0FSaZR8cSjg3
1EGWczRMWhisCKDVeK2qM2NsFgtD1xXk/XFZ+1lg05VjJdfLmIT1SghKdQ6GcOWw9fu82pX4VEAi
1k5yM+kRogupDgs7HpWd2KmK7zWh0ntQmDXaSurzW/Sl2jZMS21MlZ5LomAKixuS8N7I3qyL6TMr
g/kNy35Js2ps1Lxd0hAzZuLDyLV11ZXbNFnC2xY88skE0RDv+noxFJ1M6TPTF6BxgeRpbCXSey6D
saMbuA8Qs3NVDM9wkaeHrB9i/MJZCGYiEnOLmQrw+lviaXmHgB++VtLtOY3bnXqUGE+uQjgjl6CN
fAUkpXH3S2lypKgFhjyGKwDjXUARI2TH2NwCa2UE54wtAaUialyLom2TXUU+o/SuWloOJHZ8rTvc
h4stGK4hEXD1lZN98nSbvsuKzrEi9cKbuZiaS14fUmFqwvirQ6cMuyHG0ctNVkJzuXC0471CN+oO
vQPPoI1rjb0H0SaQdgG6VOirmBnGM2JA8cOHytVstM3ez6k8IG8eH50H6jLf6vr8/ILo0QFxbAiE
K7i4b41vgq+CK/COGj6fFgJf3/hVoG9od5zddUT8j9JhbAenLpPtFYGJmiouj2rk0ordc6qJwUjt
QzmPLfctTc8Pgz7Jmg+7Ts2dzxeLe0Cgzvga6KFLrOx17Pv80elaueMoGG17Mi43GmAGAqYgw76E
wrxAlkhP6ASYdPzW+fAy5h3no0y802FGF3wLQbIfsvlr4NcdgUyu8qOp5/kiaL3iJtZ2+AJcrDwF
LdxOixPEjirldqd9v7+Ei11edmECJDbi8kD3GTgHFpQM3UuAFSfVJPS+YpW/FGPpwT32XOy1Imhu
a6Tzj5btyX0ZJ8TbZZfN9WYCtWfW2YA3+XJIAvdOohtKvR66OHhox0FH+7CLsLf5fSU+tIz7k/Bq
79JyMUAFRM83U2Eiuhak/xXToFgj1TOw6bBlBfyjWAW2lyDlyKx+Y47R3qRJW75aFvCrTZQ09Ueb
GlXzxC7ah7FxUfNk3hxEpyq8IVBnbwaX1PSYQnrQDYqbEGBMyQ3xmpzo/LUMoD4xXs0sWgQBuzDY
CKpv4YD4L3DBHBQ+QI7KsX7SswsEuQral57ioG0padpjiS9vsJsve7xezpXCULCVucN+F7wiztGs
qNkOhU3dnHwCZZtK9NmupCpu22S5s8fGn13VHGHe7LL17/rJXcoVh/MUdLmfozN2+ttsNeZ6HsxA
P709fovokdlFmRyeTZCbN/yC2ds41zVwGS24fHR0JLsrH1SZF/inmtGHY2QksZcGNLwJgONwTG2S
jVe36U418JW2A0PNF532zj7hx8MoHbUvma6rfdSP4QtjWriBdD9mI3JjTKdSjf1LSj2ym4TewrEA
XuAhwJP5HDqJXs+oJuyi63Chmq1Mh4M6A3PBSBSrRQ3o4xXL3Rbjb0GOv0+f0ijtoS2UJVBvii/U
ttbSKdaSidulIJmP/APGI1w7s0/zT4lHCidF2WRXQg300kYL9jfTYpMcShuFsFTgGRk5Lel9jMnh
x0SU6yAmIO9M7Zp1OrtEghwRANAvy5IRtyJiGFGy6YaYRbZO302PIT6D92QoIdOIANNmn3IiqCz9
OJGO32nSNY8w0Bmsq7QKoUQHH7PIXLojMmvPrtcDemGADUMC2Vdl0b2ShD0rh4MGxFCZD205Fi63
+XwuQk/Ze66tX3xfpbeEEdKLKO7SU9g6LLgEMRm9eaaRpxIyLyMVL9v4VulwV4n4WePw2LfjDBWj
zNq3PKUlbWWZrGJWH5Cf5N16CwdHC7GRW9cCjmSFX1PjO+8qcmgEdafuZazoVoGFNjPg6sJzJxQh
88skrdSPfCybE60M3lEpvz5GVZ3ucPHbC8JtFr+ydR5wIvreY9ghnZFNwFgy+EXAcbFNAAlmXg+X
0lWnRkMmBC1rMkxrqtvjtg+wsiTlabJUDz2NEqhV67oRGO5MnmeE1Qz2ySw/eGyg5DGzTLDkSc0j
dMz03k4pC6ZiaryQeeiP9DMrrBORJZyHIVsoe/EtLqloGa/J65YFOFlyO53wkcABq3xnE1kfC59r
TcG2zACwefJL2Zd6nWd1+WVqx/LF9mbFwiDcDQkDkJCL29vYLTLzmpEYhh0ZJoJ426SwPEgHWPcq
dYrpubAdc2rtootWFeLqziaGvk6A8ONdUOQ3PN9cOlnTXGiafMiKRvFX0/nj85JY1cYx0XyM3JjG
g8mqDwRzg+92PUVXGHGmPWpXcpksXvdeZh1+2TDuvmYdc/uprs0lXG49ogQ6wz3Iyey+yFwaQDV2
zJQ88bhGcPWu1AItJBosjPJpXX0sXsE8MhZjT0mexR9GQm6bdfTPTbkFDt+r+IhOjwuDAs5iqw0j
gdq1m4+e+POL40Xu19lJwdP2Iy0QLd7QevK7eyJFSQu+3+62gar0VnS4UCRfyWVPSAgrJ1U6hOLn
6TCIgQm/5tQ/1D01hOO0ZWsW0hdm5MGfhuo6c4fh1iOTuo66oTn6egnvXbrarjiwti/VCOKvU+14
kZIfPtJZSSVu4dNPkdf+s+8FeAHiIEoOUZtUBjEZlJQzuEWPWUnKjxyrxtsYnE3R0aQZi5nhEknb
OdQQyFHTOdHCjc3TfU0YA5OE04K9xQEYXnNYZEDgdsAxKIjbiBQzGY6YxlzBjDc7ItPoAzIkf+DD
0IK22GBFPdsgomu7cqO7saytc6IUY2dd1OPB1os6uaMk5jvVDfEoiO7w3rHavrigtC8FZvD3uYg1
vuvC2duT8o9Nny4Xtlsy/4H3dyiCuaHgqrX7L9LrGL3GYZk/u0q2rxkPsPvWx+pJUkvtEV7d66id
l4tgmJj8J77tM+Cww0vX2CV/Ud4l7xhg8nw3ekEMX5Hu66vEiZgYgKRMmWN50r1x+xKjcNkG/lfX
DrovmNzTrWF7V6516Hmv8YgEnTNVVpwZKr2Pe9G911mfvChnUJtEzPm2D0PkRyasZKLhyFgzlYXr
zsAmJpqUPBqXUA2H8OwIeYYiFjmSso3R+Ln4x9WcakyIc9qyasfdLqgimPIYHxk6qGzjzVrdyd45
81ytUFGfatfjZe64+q0QzGSzMvOYPDIPyeqZCaCfRfRvtS0Cusjra+M37suY9fLQYK5ZVSJbHn1T
IJgurcbZkZHzCJf+UDdablu7qRkthnLprzK9RO9UkgGMXWw3/bBzbV/zzOzWAbVn94IbD/0SRqC3
crGTXStGJoxAoX9ddzjXGQcF0NV25PjNk1/i+2OfPo7JLnKs6YlBX8wT3G+K63poYq4WOcbXKirq
j6LHQY24i4Ma1cO715F0ZjRQ238thZU/gYoF8YDT7Z3xH08Vv2vRFiIVvFhpUqHdxj4+B4eyqtof
44CdLKbZo+1NZ1j2ZHb4D7iNMx8A7Na4Sfmu2sTA8QRmnu9EXgyXCkHj2MtMP7YF1kh4GOEJTxvr
M7j26QLxD6MvE6gHJaDxrZkrxgclvK9BPo93HIqwFIah3I1kUjhgLEWSbutisF8sSTZwLZSJxJHD
Q3wZz6l9CBpZrybtBUBwBrodJOJVsWKg7+ETQXCjmTR0nREKSU4x2TjxONVS1zfRiNeTHu2ALd9E
VLpayUIEj73vlDmJknmiOxrMDkT22gSkfDOjogM/Yopxi1USe3s79lh3gW6kGx2gpayGPnL3bUXQ
a9dgzrkvm8E6SMABTzb+oMc5y7MLwY730VM1KMYi7/UKWxQlPo5fILgvtdukWBjZgUm9HS1ZEABV
FX3eToFmCUKql8N4ipCA3hVesctUaL1Py9K/zr3k3LuJbQWBsB+uFs9RF25Q2nsPP9lLAr3kMPox
+XkvKaEYBtANapBZU6P9OwUw18E8MEcXYT9Bewd30VP44OqDX9JctB48FyessJ0T8k0qd84ym4eq
8tXOE4wL4qACs0zp56W7VPHZ0atelYVWRW0BrcVCZfbd4vsFAciE7ifPdd6bis5vCPJyuqoKeo6b
2iNZyka6WgNmFQ+RrbFhwuS3+e56LXZhHlVvvePN5XWewSG7ajmE4tyrVHsR4S3cg+lqmR/b6D1W
OHrg/9LOgJ+Hejjc9RxymqsKItO8N+wC/RWFGsOw4vQSfo1pKRNbzqTx4xBn2iPh0FG3QLPzxexa
w03DyOisSDPgbYRb/xiSvHiy2kQowtkm30meTU+jttODqGmGRpBPSWkSjONEn8irMWkxT40NmbWo
/sqh9ol+oPJ7247WOeNemg3d3cpaL+x377IGsbeLmVXRwmaXMwc3xb4GLu+108qbMsgUsnvrfOOa
GHA1pc58VLLWryyw4nYZAnjkyRLp27BexjsoLYi45ahojupt9cOhNfC6851hTYiHSqFGxTcaLtQG
lEhxzR7bf290m2FFaHMGCRyTnwA3eztjzT4NclPhfCmh2U67xqo5onMszdGd0ji+zyhFuZNZnt5N
S2xYdYuOrXXWRRITqNVDV3Wg1K6SYPYdprgJo1dsbXAQM/bb7Up6c/eGOaue1jwFchL/XRzbSMI0
ebecgm5lVgg8sq7vsQ4yFwdswXf7yq1Ai3G6tEh9DSE1+BKY6rIDxV5Mtd0lvynd+IQbHpfx0DEU
n6exZmNCtt+JnGDHw4+NtrdgC6u1M73lghrCkiry07j0SARxjd0Uto5vv5bUUuBTwninoY/0q7Iu
M4bjdLnVa0Ut9xOLlkP/uOxOsO6H09II4CshXeHcc4qEapHjqitbeSjEEjyxs5ruVMnxn1aW2MIk
EXjZPTQ4coktQma7pnkFwVq7AsXPTlT5KlmqD+h+5VVeCAwZTuF94eABajUuU/QqPLTdl04AqGJC
o+iokW2cPnpFHPKEAZLLztpk1yKtKPbTSxLdo57yWAEJNhTrvKD2YZ8FhT4ay/YOTlK4mPRjHEZw
nG/imWg2h+L4A+6Ue8MTkMQHX6FBMTV5cfRjZFWrbpKvEkgElwaD2G5bc8Q0qy5vziTcfp5v82oC
m1iocTu4tnUwcTnc+0T0NhANoxRmhKGGlWuPP3bAnUvo3D2nMxQPAsG9duSgo+/9IF0gWfBUx/QW
86hnJWTRWI4J/X3P3pgUm2UhbbyQzL4qWyjem7HGO7daIIFfzUwNOcfm4w5aMvOzuI76m3oS8f2S
jd2ReIS68OKOPVSyAOpcdUWcX9NynR6gpIbfJ6cHMNBXUu/KyGYFYtm03nrGF9vFEVQCxXRSIsLO
mDkF7otu7L8FFqd0nvURlltoIOFbIf35oDoGEZlvQw3kiflITZwzvoH+ON/6GPQpdrTDd+C9kdrB
1IoB9+T0d2yiRkE1wkZfk8mai7DE47gEDW7iIZUXbVNGER/UNxcBvlRqTYVaSPK4djGwy6JFabVU
kk+QtSPvwV6daGRrlNpyNAv3k2WluNYgiQPoABD7LMPGec91bj+goJynpbriIRLi3r2isySDct+1
yRcXO9W2CLKa+oMpiq+ysKthgMUtgNmyo5et42Yf1qgnDqQqlVoYnBuBbJvOI5meSLOgdKQ6jEFU
5wx1aCiuW42C6DlHHm83L65dYlGL9U3beP0b7J7+JksMRsWeqtCX3hk8AMaFeefZT+x5ZGaQpBys
dM4CQv5CPrk4JhJmo6/Yp/XBrQZvk/r2cByAe1O5rusLcLic7KxlWrklmWalFcH5BttSvUF21j/m
iTHEnnsGB5fdhAiVHRtIteJvWSgKQsTfmQDnLEWJ0QWOlvDaOPjcaUbAOb5YnheQjjLmi5/Sm3vg
3IOpukDSq4OhfCLlFaBBUpFnIIfdAy+kyrsIUZfTHjiVV7j+boFTu7PCIX3sdOpRpzVOt96Z8aJb
MVzQxTqSu4PDxiTcakZ8o7NDQZtsW7aHgPA3bhXTtFULiFGjwaexysdqtlcwWLC3GC6N80NU+jyP
EKHLdeWL/sWKCGnuuiIMN61IDCCc9qyT90vEg4avTpzJSxG6q4+uPo/OHvkvZXAnsx/CWKZel6qq
v2QD5tiUpDKrTZU2eIA9tpQkry76rK0PMxvZU7dYNLHwYb+RasHOUthYEkLLfHPVEB3ZgxXfemjU
jwXsmYdFzdmDB1nzKaEN+2SP83zvLQs1xWzTLjpVO99igtIvfewQXoqsmHyMiodx7xF5IsjkZfMl
QOEMpE3psVvUCJCmOGfCZ5p0HoMC4jln/uoj8ax6M8YVdBxndk7hlPhP/sQ4s0PxPwxLwFx0nG33
qlOWsy3MFDcrbTeAL4LAZm1KZPuRstjiXa+IGk+JTRrXgc2PzZDd0c7YUx5tvagt7vjzQiLMHIQK
BTnPj8YCfmqjr/DeZFz3qUFljtlzFZEr9tRqjus0M9MaesKCYWFSj3pyDXM+CLaa1GnH/qZVPfRH
DHZftQrrq1gpbNwBj/XEYihs21F/wjMLAG72cIGXpj3zZpLqBH6Fvui0kbdEi7BVOrN9gcMu+CCl
jvOUdl771jd9u7br7BzAZhy71hFSeCdF+WGZsd7rjsY+Ih7mjg0oPG4i4usyaRs2ZGz1AMlRz1Et
pCfqfqTjniuKGXYeByffZP52UYrMF9c0gI1k4awj08bZNuDljkM6gvDmWngu5kl960ITXgBLnWhZ
TP09Xa/WoxXa+Y0pR7r4BpqmQcoM7Yu3NMNL0HuEubWryqPwMDSODgurogYLQ0rh30dESIGBVeay
byGwpV3m3XchUvui8jMeukBW75PluextGqkMcnoge+s+omKP3Uof9Na6WsxEWQI9ZJtRgkQgrBqZ
L4EFo/Ts7bZZ7xr/icT+9MEhfXTRoWKM6oHjBuyDWnx8K92q4BovrxOsGqYw1aoVY/eGP4LdvM6w
jy/GsrhqkLQiPHCpy7ZnJNXKFpT0fV3CyTZ99M6OlkFczJnhxUFMQ7dqziHAKmpg2xTdxdLCAeAR
rflfOs5lVyXqsQnC+qn2qGpY+jC/zSaQCxsGmuU9IGR9EKa2SgYWvvelaX3U/j6eE++E9F0wAqnR
cPAiYeqr2B+c+12CdFz9z8XuRw1UtvwM//yZ/fm/9t/19Xv5vfv8P/p/kRDqoxP/Xg6HEPpv/7tL
339WwhGv+a/vXf+v/0Iv4d9shZLKgcoLwsB1/0sJD8O/naVxZTGUhQkqA1T3/6SEopET0ZTc48wQ
aP+Vzt+VcOtvgefZEgS4xVaD/7Nn/0+k8LNu+x9Y0eO3f/2X/9Rz2al8kqjLqqSO0fG6PfuHuwXT
rCvLZxjBx5++il9I4L9U2nn5T3JxVwf9Uumk3xs/5zjPHeJYFzJ8ZIq7AyV08ed34Sv85Yc4//tP
orS2sChS/oBfk8etr9SOAqvbP7/0mZf6q++HH+Dnl877tnIn/LH7zn6MBomD/Hsx3Pq1OS3q2gKj
9ee3+d3PcJbbf/oEyFYcbqmt2Pt8R5Q0b5NlWc1Vu/3zy//SiMDPgNfi55cPk8bJCJP1+4jjR0BF
WmFdhXSmOZrL+e+X/C9+59/9/danN/ALF2uw7vdkyTaC0KmNWFcgYf355X/z98tP8NY5cZl79TVX
6ZgZrPw0T0qaSXbsKSnLU7k4/Pl97N9cSfJ8Gfz0O4ycJLCYk+REBDhm9gbSRPWtesVKuzUrd4Ob
fz1cRh8DQ1fGF+zJduUmWU0rhR3yz3/Cb77Jz96UEjqznQJx3DeJ+yUT3avSJIPBbP755X/3TX66
3yEKVYmsmw4RC0fBmMU3hGogvRr5MuTDX9w0v3uT82f76VtMzmXoWvfdngEP9cNM7xaO6Dbu/vyf
/Bif7vguTmJiaSSOSCht54bqIj8+ALvY0h7zVz/E+dr9xa1/Xnt//hSiJAVbab6quhdAFto5jg8e
yrtmRKmi09hI+0eeZO6NZFJ66Bp65UdppRtfTstFN485U2gZey9DYCCNyWEg+p9bZ/KuBWy4xPEB
PVu9z9McPoS9tnYCauwTRsx+TYMewCbmoEaG43FxyPrFnuPtWtyt+zQWKfzGICY9AWDviHm7gd5b
LtuAlNoxR/7cAPot14tVeXfs+EagaiGC1mTMt7Q471OmAHYYc3RbPQrg95dO1NFIaASbuAZfy3Pf
RMst3dPV8z931X1a3hC05pZMWrfvYw9/5HfTf3fcO5TIv1g+f3fBfVrfqFLGB95x07TRV+GVyEPX
CYpi6ad/4Xz63brwaX3riGS0TsT1VofBPR3oVwOG9n/qu7E+rW1sHG22oqbbw8ZY5UFAHucpQ0xq
utOf3+A3f7v1aU0boAEArqTQeMCYtZYd+/Wc6eyfX/z8V/7iJrHOD/6fbvWlJiZQVhVRAcf/FqY0
slXLFRva77lQ7yMHmEjSpMxe9c9vd15BfvV2n5avzudszaGl2y/gG0i9Eus8FLW1+fOr/+Yyss7v
+tOHSdBv6U3hjg9kvFVIUDzVVorGrw4k4p/f4nc/xvnff3oLg16+DGPG0thEzUnHUboTM6rBn19d
ni/4X30/n9YsW1TMCJuYn2NZ/K2ufG/HrjPaDJSxEvPRmtyURQcCp9QTTECHsHun7t2w8f/iCfq7
H+jTnZ7PPuaySGMZKL2rRDEhWjJcxuE/t8+wPt3o6TDlXkXial960a5b9Jc2iT4sGoH//P397tf5
dJtnCN+uKqCVMTxH4waribP5zy/9652wG366zQMll6X3Jm6GLCGfiEGBcHy4truOM+v0F+vgr/9+
N/x0q5edaaWXs5YYQvy5f4lE8Oe//td3BqPVf7xso9LKh+L8wtjQ4Z+9lsbs4wxvpPMX183vvp5P
N3aNAlTOTknEgQ7EyuuPVDnem4W2yuL/cnYeS24rW7t8IkQABT+lA217qwlCvbsF74GCefqb1J3o
4BebEZqd2KdFEqb8+jLz49lQ8v11XLpBsxZOxT4kvIrXs8oqgm5BDc+MSoLvP/zv777hztq2FiiM
1myHeMlZ6j7ljwO+kAUorit9x6WHMGvcaUAGyRi5R1VQHYlEHqiSIJebjbeI3x7/7Rpm7RfuYdqF
LoOFX3xUAMEn6mcoovj+wy9dwLz16iUZMWpGPc11CFEKj4Psu5F5kps0x++/4tIDnrXgkpMFCk9o
ZkxoLE6fiL9cufsXnu5cIDFSsks1M4MDAvSloR141otuiq/cmgu/+7wH8Oe4YBgqqRKLW1OPKUu0
Nvesxvr8/p6I88P7v6MC6Lr//fAAZp1raPz0tk8yKFXmOK5kMVCyFZo1ID8R3utNmn74KSpaApXq
to0BMSuu6oLfmOSjo2nqz9GRwaGNG8npfGDh+IBNG2UOVBJfk4eJ8/IjJ3fTPoKgeaXTvPDCOLNe
Ac1gQjEL3X2TQ1rP6jWOyZ9yZLNetO2/dW3O+Xn/MSJ3NchOf5xAvoyvivUz1IAyq+4iw7Hz/e2/
dBGzbgGpo5hsp289BWhjUt9YnH8nY4zKdLxymy69mrOOIR96x4h1LsHvI+ctbwuNGqDcfRiqPPj1
/UVcej9n/cKAlUDzM76iDckqMHRV7k/dpVr2+4+/dI9mPUNOgsjQkqT1evtAjdiigmZYskGRx8nm
+2+4dAGzjqGx+ppzp7j1bNE8ZoS2YlVe+egLP96eDe11PBZJOLHJZVGmgwDdotIeOTn2RuPfHrA9
7x06rQ9EEPAKcTIzhv6KkQUGcnTl7l8YfO1Z/4ALOu9lTkkusSytPyeu3vWB7WP/jcOK72//hVfU
Pt+7P1oZ+EPOF8uSfbSB6GjXrLO4uEOk8fj9x59vxF96OHvWiBGFSL1pIXMnST++AqHXKCFM3BeV
TNe2bMG8taqvHQO3kFcGmksP/fye/XFBsZDE74pzRjoIPyhUgLvomxm1GASzK+3aiHnpycxattaF
+kgMqvHyWuO0kHox66dVgugDu4SE8Pubd6Fp2LO27buBM42CjGYlOCyFjfbDJf12ZWC7dJ9mLbvM
ozQj9tl4UfECX0g2Pr6TH1NQX2kalz5/1q6HQtcNxIFMHMMJ3oKRe6JublEm7yqt/7fJqTVr4BXr
JsPPz0+hfeNoaYFmdgF8tZl+5cRU/ukhzIVdRLr8tuR02mMTviSaBEPOVr3vP/tC4zsfSvz5rupT
r1j9+ffHZGXOZJBxXLrq2/cffuEVtWYtO8x7KzNc+iZOVndlw1Gt9uJE/SoyrWWgP//bl8zadxpL
zerJwnpU5JHaKz1qMz/qoaaoVMJNmsB4fP9Fl27VrFmTHR2wa4nGG3t/haKAHGq6ErZ95eMvNDVr
1p5tzFNTo3LcQvna0XD7XSH8Ky/ppV8+a8Vsh1K23rLb0ir+QhuzFXLHNUT/1fc35sLWgmHNGjLC
KVnpqsraOGnjNykBt8dpba9SpRKPRpCuwECPKF2G2L0jTN/siThQzan61ZUW8vetJsOatXSllG4Z
5TwaalOMn/a4SoL1lKGfWinNKu2vfMuFJ2TO2vpIob1Sx8xEDLtw9qDHXZRYvbhyFy88JPM8fv0x
api9BaqefJg39Bzex9avJFceqaR7+P4hXfrxs4buisG32nFidz8QNz2L9hUROOvKb7/Q0Ine/s9v
jzJyPa7F5ogTa/Dp3xg3FkXI4g2NsjM0V1rIhf7cnLV0DTaZO5YOOfmagguLpTQQLdvYtr3SflYB
Ccfvb9Xvbfy/TBnM8z3841FMfSrGmDN+LzSJ/RtyIZRxS43YYQyUTTyYazdKX20qozJOeyT5eoQR
b271/P3X65ce1awnICCSTvDwKw96G/5EkFCxDtxbhmu3OBfLU9RrmJiiUK3pBnpeOIAQ/CqzlAfH
UJ231DGT94So3y9/HEHqOK0AdpKpt1k1ZutRVds9rzJLyQzB4ZAg1+oM+UMaerUjtKT8GmPQWYso
Fu5aodL8hc0kfSEtBOAAWK2XgEJyAn/u9FJWyAEp9PerK0/4/K7/7cbPOqq8NqMJpHflcTDMLyjq
5zEfMTcN2xxgy9QPpzIs/m1xZ846rdLMFIJSQe1FERxWAUlWE+Z9amu/2ib48f2jvNQuZv2SL9pp
rNqw9gbzDCoo6Y0QzGYLkOuUkEI57TU7uXLvfh8D/uXmGbPuyeW9MZxIzT0l+IgF6W7H3Ns6+jXV
2Ies7QVC9pFHlzX9apATgBEb5DIbFgEQ8dTcNJQ4u0ZzpRFd6M6MWXdG5fk5Y9bnXuAAygp0XPS5
MjaLXqRXx50Lt9eY9Wkd8CZQJVruZVmrrKMh1bajSwEx+jH9rhn6aEPBTb1Gem+sCKPaC9NRp61E
0biuVaq+4a+bHkVNCV5qR7wKwf9ye2I13z/9S/2IMesWQ6Mu9SymQifCT+U1ibQ//aGvX8gO4ZHJ
w3gLqblcRn1E3IG/rIE16SigCqqrBE09P6NF4ysP5ELvacx6z8monYAUcu8pBlHyAg0BBesGC+pE
/Lxyvedm+rc3cNZvRiqcnXLC/aCaaW8tSyMawDdVgf9fzBzzViHpqC8qCJqfCneG9aRGstalKC/f
qqrRrckE1VcWLpdejVkfGqq10uTS0ThsKG7HXtvmmGz6MjxamfZEge+VRnfpa2Ydll/3vmWVk2Dn
z9bZu1SyUwzA+7Z3WnvJlRKAcLVWrL+/wZe+bdZlZYI41xirwkOLOJw6XQlvJKXfx0yzzKOdn4My
Sm8PV87vLgxDxqzzMt0Rs0bhCI9KtWarUr3uUD54pffVLnz6b0vxH2NsnbZ+qaix7qHpsbchJQHb
LlCIT8WVrsHkVoNtx+bDYwUv2Bt0ke9DhdTt0PdQDf3cX4vSx/Y15VTff393Lww++qzHaqd2gOvb
oQrnB7jBURXKLx+7pzX2S7ILbxzK/dsXnR/vH5euN2oOcIrsHyKQG6t4JNKxNI1wZckmXrCzujLh
HX3/VRfeGH3WA5namOsuFbReD/8isk28ucQYWLc4bnuDi+DfvmXWtTSErlNys8LzQ8rjc2NQluoE
X2No43c97D4AW/pXmsCl12bWxaCWMmuMBohOS5hsEdTvReuIzffXcenDZ51GG7G1Hbah8PQqxtMT
TPHB5Qz+H+/SrK8IHa1plYyjDTtyh81EqdJd2Lj1jmJf914Olf2sD03++v2lXHrws66CDacqk9C0
Oa8WUDVTnzJkWG169KyZlqR43qz7VdeZ2ur777tQHmXos96CLImGa6gEmx2074EoH2ChQrV8Yo9n
ByrXq6v8Vu9JOpXNJi+MdSmN5QStD6j0LxrDUhfkt1RyD9QIR6pKs8NfwHFKBxRZ6QEMVMmVruf3
T/rLMCVmE6XUIfIYq6b0DGB5JjGKsoJMUFAKS/ov2EqSEQdKCWAwdKvcnrzeBUEeIuHZ9pUi3wqj
/Wwj3QrID0UauT+8ri2pfcAoNdMsplMVCpuo2fpMfVYEz5JVxpYBAEwCWK0v4iM10NVLCw78ESGq
eauXMeIwkfCIrjwN7XzX/3aJs76sb8aMdFDDSAwgYeMnAu+ZcMGcEOYI6mhpNq5zMjsAM6oDUB+p
air+M2tjurYtfeH9E+f//mcfZ1pBamkFGijEbxhkwBsPqkueTEn9zynvxmfVnVztStd9YW4zL1WF
pEGNFVwg8OTDPlLEhmnhs4JX2sCw9f0LfvGWzjq52IiiQTdVIKy59HrZPGtpuYni2lk2+AUwc4sl
Ze3EAZPxDnva5/dfe2FQ+t3c/riP1ZkEVbdYXklT+xiIomKnTCOgd6kqRD1C9aZT4XKqFQSK77/x
QicoZp1gKk01T5BGe0lg/kTsYr8Bl762WXe+WX97L2d9IIlmHR660nplZAIgqGxIwiis1ZuATMnD
9xdw6WWYdX1pX+RDgn/ifB5Vn1rWzafILEgC2pXrnkx4SPWVW3Xpm2Z9Hli7Ah6QkvOSq1RMltW9
NYTb2nAnTF7hlZ78wi2bF7jm4KwtK5dsXtuW6xG3AAJpWNOii9n3/6c7Ni9tRavI6WDIWq1jGeQh
AhmBYZrxu8nOyoMZjNqV2ciZ8/b3F2Bew0pcvM18Kpk9yiOrr6C1ptsMJVGBMgH+A/hZY1eKsXju
pjHdBkze964Wj/uIMvkFvIRgabpNhE2yb/tXd+QdEhbRL+1xCPLN4Kcbv/8vmdJNmQcrIOvK4hzb
OYfXMxjcTdJ5TXGinB59uFhPA6U2qVi5BIcSXF82Fb0iLe8ZGbZ13ZwIfrxY/I2RuiuqvvYjoXmY
o8E+DkyigGzEaO6dHfVrHWBY2oZfls7KChf70mclDctxUcN00mBIAPVYRsO0L7XIs8P8xMCwULq3
mDRQQEZoASdlERdiF+ARhUr1jrgATQFc8Kh5tlxYlKX9mXVg9zHBL7CmAYYhD0YFIxLdBVH6jTGq
X7H1rBTButCVvT1qKzhgcCQoGTzvKKbZ2mwfUphA2HcIvsak1gmNHMQ0PTmQ2bNJ3FKCv/HxJ/sf
ma7duWb/bjTlf0MBDhupDFBZdFl9+svwPyOyLrFFwjdjBdv9FijUVHWDf2/qZcBSViAbqoP6GNjd
11lJUykliGd3b/pbS6vWwvRagXLFfWqwpfoEHwFdJ9EbytKllt2mbfyUFIYH53rhiyfdnxYBYVLC
jctReyemy4vQUANpbaoq3+kRg2yUW6vQNrGcgtdi3uFMySpIv/q8Wo3JPYive46ZiGBi74Cu33X+
qrYA+NbZerDvHEPse2QJ53Wx0g0fuqZ6hdrsSMbuYszB1JAt6mAvmrdilGsrTTyRk9QlptW7H13+
6avtCiPvA0AGfHn+MmT/s/nSKp19uUMron3Z3/oupUQgKVZj3G1a9TC0L5bIDqYvFmL6kYrkTg+/
sv5HFvu8k7dhRALViEAdw5VtDXfLSH1qoS+M5o6gE4AaDFY9CPkltM1l393Xab6q/C/2m5atbx4z
s5DQRHuIoDkxeV6UwNo6fkzw2X8yuodcje99ul7W5nxFCYDOwKnWbTN7uLMEdNNouK3d4kiGc8lS
3VqQl0aaAfLKVIuVbKqd4n4U/J+DIY9GH965zq/WBnTdCy8UygoMIC91SnG6sTRKjVp5NlYipN+Q
mDNSpBUL5iDaNMLxiKxicXUxipv+O6XHbBgQ9lUasZDOV83ESzqTAvaje9KoqGmQXAR1zrTMRACr
fE6ls2ECtp6w1fflAzH/pVup26I2sdQKdnxKMz5o4CEm/BeaH3qh20yE9+7Czt2YEwnZ8Km1gZPp
Zn7MDY6lCpiotDwFrp8N2Ki8L5K71smZQo+3pY16sJ8gTpTg/LoFuJ+Tn6KVDXfFyMva2os+ACre
vJMrOyJ03yR6t03baA1rdKGVA7Vl0A3r22Ga3rX+CE2UfdWTOt7h4mmTBII+oOf2jUD4T1/JD60C
REcnGififYxsTJHOJodJ9f85JcQbES5merDHo/2hlcziQE/49Y1tfqRuvCb/R8zrIxyBjisoQxLN
Q99AWWz2ZIf9vejIMCgcAyThqgdjgF1uTcj9P8BU0SIjyKayjZHiooBt0erPpY/voKTxmB9W9DmI
91CgeLOKlVXyjyvfXPo80SkhTm0O/j2cH3Tz2Dd9S1/aVbGR7jvm4aXqxK8yONUTheUD1+sQvfQX
hsQsYrnWNiS2rooUMmC1NYs3R4sOKIo9M3tP8aVCdP2CwbO1xmjfQ1YhDqMtWxSM7fhWVZ2HJKNt
0bwMAKnkUw0tolYWSnlSev8HLMKlClqjMMU+B+5dFvnprLKGALvEWXlL6dDSZ62Ro8pNYZQk1ghh
qt7orJsiknfKqELmvnEdlizG+wADu4D37BtfZTCCgCg3SvE5pHdNOaw0O38JkjcjgJVXwCdyTJbf
48pPgSfwPoxRebCwYwH02EjCnORXFwOkiTH8ctAgW87PIs5fylScBvusQuiPY8UjqaBrldBd0q5b
g2ihScIcqdUVXYNX0VXkenoLpf4MZQRVxdvdtUh8rOGkkNoEmnqw+mRHjBagmI1+Uwg0JbTQwdpi
Z8MP6v8Y46essZbn+HgYTBsQSPgZWHnZ7ZeRGjuK/pcEKzxKAJdWzewzcsnnw3nQX9U+2IV6sepE
cSdVTkdxUTjpgbjB2gHqT91m1vFwKrKXlS68tPopup8wGjaIi/GcNsvC4c3NYlwqER3cKUDVEibR
f0nI8kx9EqVJZJFgGBEl1XHrVxK2EUhrNe8PGqlLUgtmzFZbHbf+waZMy1mkReHflEYmbsqE9HcI
7QXOpjRNlr5hhitWqo+iga+Kh7d8SFSUZ2nNFVAyGU/LbhoaxDJ9dxyAPuog9vz+IQsDsBqgDHeJ
kpzRDG5U7xPWT8Wqb0S4jzQLCetoo11fGmMUHKbarBvGcNxVVq1p66FzbFy/SbTlLNZGRsOC61cc
xe4ubUVGy2SHC8dmDAxhWVmatXNV8yVobedYh1NzC3iIvI9JsvgpHPKfXaRs40o9WkO2qwMlxe08
1hN2iLy6Gws8DZxhqZ5kjrQOqIxfG7ajLii3+MiQyOFHOQ+fhVyXQQ2bVf+Q7DwfLJ3nUAh6JrDg
0D2odG7iX6qLoLYGl6QV28luDkWjUf8eNRsJu+Y5DtSjNNG4ccZM6aCFfxoO85RHb4GfskhuQIGf
VAMxQdRnN/XQ34qxKtfgKNUbZDWPEPF0vAnNUeAbTkQXHwpbIluohLPQJvSNkUtBd6yr79QXrgsA
sSu4RfeJ6xDILiystX72bKIXxurc94fEsU6pGyUEbOjgUleCzQ1fgXqpu1xDJl6BlM6A4C84yKV1
RcnDVMpXiA07+D6PwFeOpmvhQsA5TZHrG/KO9TAVNqOnlYC05MAPAIBFZKninKUPF1pcd0t+HR9Y
xg+9aFZJ26L5Mu7sIr+pELhGugJ7W32FEhThmashq7PzrjnjwZ3G11zjZCQKnbfWlu4uDNVH26l2
JLEyEj7auoKcXmnmAor3JgpRzTTmIQeF5qR1fqga8G9aNf6I2uHsSuRcr8XCEcb+vskTdavAX2GP
5dmf3GCZmuYnMR9/xUanSz9Vttoil3A8V/DiTCa2dbyxp8L4r4hGOFuYxDGsSjtiky0IAcOhtmB4
BE8LPc0tmVco/gT3XcbE89dmhyoSpyKS+4euSSHbKo7B+qQBq4nJQi83qtWLDBpQMz658H1f08mt
y4PmS1jL3ThkPv/aiL9svQC/lbpFvkldRbtXHSL7KJC6caWXdY2rKph6Y9ExvfoAfJhQzl7gILSC
CY9VN0kUkDoMqE2cZOrRKVOWxS4Q75MF9OMEbJeJKVSbh7al1kUKoEAaH7CkvST6xvadvtz29dT/
1MR551fGI+wjcAnWSjiVsgFWNz1T2IBqTOnR5yzjaXK9pm5KRFZqoyLrwAK71wwSjr0etfhdfIvT
r0hLbLrZoK4P5N/Scl0lSs1+L3dN/mckPSZFRzGoVxh1rFSpM2Hi1SFSmBVit+VgEtKvsrDCCaQF
7PGbcoh5Ddlt4G8RoEWAT9dJNoSnuEujrRN23UMPqY/eHf2OhYvTzpjRuFQRw6GzEqwuZupo+NqY
o5au1Sx0V2kY3pPKL3ZG5pbFvtNF0u5gTCAg0scQlXeI/aRAPDZMuWfHTd6u4U5/2alaPJZ0P+bK
HYHAb0rBGo7iDiUNQNhgKiKtTgHhdpT+EK7y2LRvWcISA41qwcuFzak6Zn2I+9q0oH0WYwA5VXLg
frYiUa6NH6FSXoK8FDcwnqp72Rraz7arqCKC1NksG03NHkxTRwWYYZxKwNYY3HLcmO2d5QPaNHif
PZc12sEM7Ig5i2uoe4n8jzJJrXMPIUe0W92s42en9JEs4ShdB9k4PJQ8iAFIojHcU7bZKUsr84vb
orDcW7MLNa+1VHVdul2zdVocFJgi9BujsasTEc10lQ+DfIxqJEqwYNX7PmDhssTJYW6yIqq9MRjr
PQeY4IEtQdUsAGpl40Ap+upjLX7Ic90G+hBmH4OSZYBdDBZhqbDypThPJ3Vp1Ng3y9DxLMMkRYkJ
EGsFRyJe5gcmvX403vimUR+mUG83llOXm1q18b2NpoGHlDPpw1lrZ5tVMQFQTMpjHxP2T/N1ncQ7
J3aQwOa5howEnca+CKv8sUvANgc5+F18LOmhwab5FISNv6nP01RTTSCTKr2a/2J+k666rPkY0w6v
Y9/eDU6BEbSh6stUuu4AP2pf5xEdRXsfsAQBsTGIZYoRcaWNNoc6ZfRLG8tTgvz8R2z2PyfbZ22q
cjIS1v6DEHi51KZ6p+orWHagJTBYtc9qAuXMSdLmpuIN3gC89XlErVyUk6GuVf6OHrp+Ba4ZLzUg
Qwrx9m3jdyaHTRbzE1XbFXC1vK7u+q0IJ5x+lUAaRmjN183h4Pudv6wcNTgVdhQu42rSCbFGX5VP
rxRb4auoLQLafVyc8P1ICkojIFuwV26TSIuOTgscqfaxYUs8caumL8ZVpozDSgadstJqZuJtOT72
rll/unbmPIOrJeQ5Gs4NjXDEKdXg5M3jAKu43T0OpRPtXCwx22LCMwksytkUjW6tbTX2YWCk9cFo
wmoR99wVPc1TpqLWa9GhkWnD3F/CM67e0a4r2IfEtNHLJtqInIx8zlIwoc5pWYwOwFRm2p3BwlOY
CuZeTCML2ycqaAMefJJh6J/aeBQe+ZacSTzsFTczIXhKtAu9/5vu6/pHFO/RXpRN/xAVCoUrgROw
N5KZLOcCk22ZfvoaS8tdkOl5bVM95Wg8bh4LTjV3mcgmD4lrvzL1BhKOJLtqmVF2UloIwFmvSmK9
Mt31Tv2UIc1bxnH4EGfApdokgznYRght0qj7YYSyfUsH1SaiVN3G5/6jK/oSMriFSSW00Vuk5dt0
ViUKKCMYlKrg5E+15aVJ7lJcw01mGabf6H0Zn9Qav0eb6+Y6YIl0q9ZueGyTQT/qAQYUjvidBZ4C
6oJMw1qpYRlgxNIy1INDEy17q39NgX0uz8jmpZu7jOoUuJ/NTtPKrFjp50H2K83Up07v7gfNbJec
2N1FXfefKiN9zbz+nvSxRU1MOC1DLc/WVFsANlOxVSO8gD0V689oRPJHg9ARPBdbroouvW9rRtFM
YG0xpa14jds8JXSJyAnZU+FCqNkanWo9ltm+bjvQvyGEEmWQP/to0lYgfWm6HAMvkrD+UKtuQnhp
bF3f53QxE8WLlvgVZuRJ4zBf1ba9DL4iq8uXehHWt6DE1Qd4vznAG0rhY83ZRZTGrDNSemu1tgNq
ArGcqYX50lopqgJjKLZ5q5HUHYCowscrme/3L3UGKVMMMVNNS7D2kNNBC+ObIXIxHrpWt5Wdy+CL
1+8GCHmwpH/bGVapHCK3T1elIBPqF1+Bw3NwMkj5JvQiDniqaku6T2yMQgP0nMcO1szzwO1AlSkw
1i/And8yD9vRbI5DTF+iK2cSs3A+o0ap7/jxd4XdnnKtyZItlm8mXTH45LXd5Nktmz4iWZfJMAVL
xx/uEaDCJhis8l43p/6TxYTgBSka/JOQDuXPgKpiiJbQD6GlOd26Gkt/Wg+WQ7F6Zmf3amGPUKxH
5auphL2EVmw8TFHmA5VBSkBKq1yzDu3PBbD9zq0Ld6Vn2FcgYWoLERJY9ystvBsoOTwEtIvHSp3G
Z5aIOUXksqM8CGKQ9mmVdrBhStDAtY2Su7D4Sky92maSZWMCsNYbRpU9wEwzliMKlkEk6UoLVdbO
LpOnQ5anTsg0XnVfBsaGJ4VJ3LPR5PUm1npjSVQdUBFWCMRdQ7oRcRjA2ouq5lebjDn6AT8cVuNQ
JOaij3vo0nXD6srNBZ+vgu17NwL4WE5TCr4EIvID9fAqbP1Q+XHWWrFzV2jsA/naQ1hm2XMLKPGh
bewCb4awdnWj0LnmijiEoWWucATRG/XRCMuoYx/4hdmXa6yd2sHmxYbb+EOCDSzQJg02Z/WjxfaN
JoH+hwNLgDyJOUCMGtZzkNmM+mSMsqe2R3YmvQfEdA330FIdDPUE0MW61wAjK2v3TEeGJ9FutTbH
nwTfVjuvxjpPTGOwL+1BrO085i1EexIfSkWznyej4GQU9hr7hqrfVm+6Whif1mRaqBQzklzMbtj+
UhL0qjgoVajrUficGSTeZFT4P2PRWIhx+ywrPDWL2NMD7seoha0je9GiqEKY65TMoWnGYbIk1QaC
185JKa0JipFFnUp3qO5BEkT1qUgL5SDDqYef1qYB2KKQrUTKS6nIKKUSe0mWkTRGpWVnp9EsrW2r
IA0UcWQvCjomkIgqN3up5LZ/Iys73WuVxLges+xYOEERHzJpBP9FUrYrCyjne5ITP1yV0LwBkCu+
PKk92HCGHQCVZqEAYAZwDxeeeMdKCsIKbBZAml8nHODmi8ZWClp5E+n2LVne4GWc8njXjlH7Xxum
2lnRbH4OUrdXiDvDGz8Iik0QVvDZrK56TGPBsJe6SDm7BFGixHcKQi3CIIn9w/cCxdYBGqYkmlPL
umkHoDCWYqQvtalieZdWfhSKBnuzzX0A8ab+Je0M2TrygBTt7uRM8O6byDpaCoaJtW86zn8Caa/X
oP+7yycd+iLMgnWU+EczzqeP3lXVA3K97jj5dgRQtK/XMoro2ytoWltgUel/edSl76brOPyCoJ+6
DZT3iZl2pwQ1xiZDzZax3SojU70k9nrcseFCDsFHBKxxVSl5tIGYI46DW+HtlE0ErF/+iti1YAAB
fYNg6hyMy0x22eiXH5yRTkaa0w7EdbhqTUTr7jDUbP3Fr4U/8gr5rz0ZH8h31lYW/IvQsrt1jqsh
Y0m+Vjoh0eylaEjYK47LQFJLTMmAo9p8gXSOVtXd5V1ywNRRLpDzNcjI6k0/4utYSRDjy4LFySor
GLBb35GHeFLZ5U+qZ5C3ntMpW3jf7OJJ+96uqgfOcjXqtlIDkOXEsDe4bJYyDcObBgwyTu7PmeNC
DEeWEusWXT2Tu/LTkOO7MLTHYuRHwYqG7myskAkf/d44qor06hT6hj2i+41ZFyfRl63FW0fW7Ayx
c0yBAIbndtcHJfyAPOsOMovv2AjfCjtOj6OLYyz0cbSzWrbYBqcVjj6i1DGXxilVflTyIAvlBTv4
ig2bpREn4JQHEXmuX/6w8ZAEjXGMOrYdwQC6h1bN9noFFJJq+I48piVHjx4KW+rgPLN7uNHTiNUo
jthYv1XSRsHLzaSdAxyLRo0MYwwplYyRo3btAW2Fa3psrco307Sm6krVzaUDzvPp6h9H3GURFEpR
jp03GDX+cwZ4jjt+T9LZv/r+gPNSQkGbHd43WoCKoQMDVcumENw2Num7ft2iiD+UWcgBw8juIwVn
W6p19075Gk6VeaUY48KB+u8KuD+uD3685rt2nXlqNKg7c2qNtRojIP7+0i7dvdlxvYPfhA0LI/Xg
znbLUtGpsGwGOkB30q8c21445tZmh/YU9ig9PWa7032or63loA0em2wT2vpwW+pp8G8FUr8f3h83
Sg+yQg4KFVG5UFOvYvfjQdVRaYNt7NeGtIK1UYj68fv7dqFA5XeZxx9fBl6ndypz7HYFPSeR3jMV
YezAL+AQISm+GAECXDlev/CI5hiXAJlJ4Yq42YV1AZswDGR3b4PTfHFwHT1/fzkXXrI5yYWqcrMy
h1LuUmCnTxLc2nKUVr39/tN/Fxv8pW5jznKpRjeLjcLpdpXbMS9KMUrITnkfwfFvtNFga6xKmSwm
CWPSYGisgP1wXRSqtTIoOd/hGEjvEdhUa6kPLWfTKhJkKJXr3Ldi2KEUXH7/Qy/d6llfEk95XUoz
1HdK3gp2VZhfPBoU+jO4ofH4/jt+l0X87Wacv/yPV6frXRjYdQggv2ysfQLY73zqnu8F4P9jluTJ
m8uqbGKSXLqvnJz4t6kksKcA+VxXzK6eyJqyzgxic2oOA+Vk68k3+xTKN8bO2MrVfwx/q+eX5Y8f
GpcAPKXFO25RHLUn63dCf0MLHjl8+P5eXOgaVP1/vyFU04Iia8l70QvtGMfCPqFLaH+UxrlCVyTX
+tBLz3XWBbFKK5puSLsdmw8ty4J8evX1CXukWY/xlUHi0rXM6oaYohVBGHO3pIvMgIkzVR86Z0ES
H4WQ1yBuFwq61FnNUC8S4RZdQ7+jKQJTVcMxSFvWyX04MjVLC/183uDiJQs5Jrnyxv696EafA2ZI
y+tVkHfdLtYG5cmuDTb98A8i+lQzTphjTfwwNWlwwIr+/MZRuvHfaqr1OXXGzTJOS4Kw21H4U7Bm
NeL64Ngtuo56TGj/lFoaT+y7stmeoOLR19+/lr+Hpv/bRPU5lMZl9od11GaeRTnp6OrJoTtr2Dig
DMpzXY6Rbq06qg++RIwKeidnf6kovTTPsdzJqr0WGfw9nPzth8w6pDQpe7NhArkDo6ofrCbGu6Pb
Gno5K7JTdEJ5tkpSv1si5WMfV++ZTXOyEqnX4EIXCu11d9ZbtU1LQVUeyR0bcuLV8RvRQoNFqbLQ
lJozbsK/KKoM49MJdHZoWy0bXizZaSlSlLPMOO7lVtUo0eXMq2FmceWd/Pv4i4fqf3sOCoghABIi
26UMAa9+0yeric2vJTIgdWX4mGBcpgJXmvalBjDrptQiCsso1aZdnCjGoXQFAm6WaHszCs6APXva
tX6YbPIKLEOoBfGV3lG/dJGzbivukHR10uLjOeFYl03TnjJsio/AlvVlYFemXBYWpcFZKe2tHnWU
d5ST8wOqcX5sSgry8MNRqxSo+V4dQ+sBTVa2Vv8fd+exIzmWZulXacz+Fqh5Ccz0gsKka+2+ISI8
PKjVpebTz2fVhenM6KwKTC97WUBGmbkZ7Yrzf+cc7tXvyVzrJIYs5akaAMI2xDA3ypq+fFmydHlZ
Y894aRcbVXVw7ea2Fs12t2xuEzGRifdYL4rrdUjApTYVx7i+nRlijQGuw/j4ZM6jfZ2Xsbf7zc/x
rxc94mr//GU3glGRNU3bsZvi+jNOuuFYUe98SUXeKGa0OIF/0BKUR61eafs5G40vyywypnbb8GgM
LpEAg2lLSnonIwCit8kgv/SCea2mvY/6MIT/+o3+9RZger8sznFloA6y/x416jVzrkiwKLvWtMKh
L8rfPPj/5Cxl/poWVOc08+S4LY+yEeW070Ej6kAZ2XJq89GsKIWbxb3QbPOlqC6ihs33/8wwQHtm
o5XfKWCZaMwpsD9I0LA8UK0B2Ca0fo0sSxteJ5Egv0MFr0//+lP5J7cn89cEonkeeqrwcvtYIMC4
viW34dOw6koLlKjlcxXna+jJRj4vTt+OEIy9vKMcxqOTiGP2bz63S/vvX7DD5q9RRR6/HNuiA/Io
vYp+59FgHWXBLCTafbUlP7ikUOzj0AVBo/xMvaHptUtUVUACWC81FW5qyjy6acb2iy4I+bJVCAr+
2C259HPQEcZoDCavoYCM91lIeVPEWfno0nTmE99c7tPMrJ3AbJfqm6Sdog8bMaa39TIW3+FHq/tx
gh5AN3N/k1389yjkv9g8fs04YvqellsRc5pFcDtghXU7SmBF9eCu43ymtQKmpbYM8YqsYx3weZoP
dtsVxy2R+j3TlOZkuoO6ouBKHilopTulMqsl9gszz2B9tebdWI3iPt5y1wlNZ1wjvSOCTnC3L3xr
BgE4zi4y7L9+jP7Jj+vXNKVYXNYjhj28PXP5dM21/p4pAe+w2kwjiV//3Zb314dFU/6ytSx2PXSz
RPg3zU3cMe7V3zuqS9/w2HTiN0+jbrqX/7u/+nZ+2VTkMhjd6DrpwUu6Ig+pkx9fE0JZIndW8bMt
q+IGLJzZYz1k4wPlaQ6tDkmmPht6xR5V14uD5zLQugQim/QJxr25LyiVpDihTQ1+94wCr2hNFkY4
FqurdjrjqeuSVYviGH6SNTCpWJQPsNCfyXYchI+ANv6M82Z1aJEwSY4nUCC/s/ta+2pdpR8nyixo
D2goXqNjyrpUSWzT8tEsjfFIX3HxQuK3I4nqWGh1t/ttPtKysUTsDliEyQJ/iCtLu0f3RXUUnQxy
4KqfmRwaWq2oo6arIBG3I4cH1us+7oZw7M3uYzGGqmC0owkNV7mOgG5r2lPXDqvl19tIvKwup+e2
VTFFoLn5RNnydrWOmbptC21Cz6Chgd5nullo8u3UdG5dp2M0qNJr3sR4l7RAYUTraMaxKy7/aYNZ
6K1zWgromqVafq42qo5PeVjr0hy6Toe8JBKWMVscX+tZb35t68QWo6W0bjkgR7eL3pivvWslh6SD
OmCk4imq4TiXfYoq1881Lp43TyXtq7vWzb05mObec9reDUa12Fe2tQp/Ub3+YUwGs3HLtPZxlcgb
q+hMhXBn9lex6cLgYjn8SQQ38FspT1bSJF8FezOoLQeCu3QdhufBNtcXbbVemLMlR1HYFNAnblF8
tgapapnprQ/GMJtXbtUgg3eJOx91ioKjhXvYB0232PBS1cZP8+rYSWDUynr0ykreeV1GrSxSpOID
xh14Uv0M45d4FLYabIEc95aivy7XtTmy25i3sW0yDS9WDjKprec2Ebq6oGh0YkTrD6It6UFOrFNs
rG4UW4REHeSsMdB04gEjQZq/Dp7pISEbuEp9ixvdhTXw+hdOpTS0rn2cn6qsNSUs4Ain7oqBVg/w
BbferTQWpCDn5K7MgyfTQ55YNhWXiqSPcdTiS51HO+1iPYuvKeeA+DZz9h3HXlNKmdahH0PDWkDF
4no1U8BqAyW9oYz6NOiUpdCALSmLoQmEWEaj0nwOx6sMeZ7ki+wlPR8DhzGbPpO1PSRZ3/bc3Zf4
nPVx9u4Wjn3cujlWjCVLRfMRsx9fLZ53Re9L/DgB7V0MyMmZkrvpnHZ2cTTy2hzC2RoGK6AtUI6H
MY0pLyaTrbxxHba4PB7bb/a0ATWyh4pdVmdUwCSLuf4wmGa+kLbREkPrXPxliwrToTF+wGFQgJov
ZmEGRVeZzzgEKBjF2JaEukjae0wM+aetm/GZxy6jffZy8C0Gy72eVrLJ1NaW0FGMFo1ilZ8km1jf
Wnpobbqptm2vGEMdbHApEUxFL28r7uNPg55tL1YGSeeyIb4tHnYhlvf+xdjqIWW0T26DXy/o7vBH
OU3OpYI8YK5q2OEEHX4QW6Yb0Qi04wHU1un3Shu73arb3W6oEn0Oy0LXOO4pY3s15nT8Gr3NaEN7
KrrS70c1/xS5TI+MOzcGCVnzxh2+74N6RfiuNmuiNKVbX21+Iq+ZFtPsk7bjtUgt75U4+uVLAh/u
1DRqTsDQTb9xpaRiaF43TqFjm3zR1zGQvg3a+NEvjcRsOhRWRH2h91y7ZX9QmVbdeeNQnkXZyFcK
nys6Ohz7MSunvAvddvQeJS2Fhu81xvBRW+DDl6Eh0lGtQTZmoOmSturLk54IxX8Vl3zetpedaQ7T
yyPjfDKMDSOZpO9q63L2KsQBYOWt91fijaHO163YN4Vsn+2qXzGdJyyjhSqf8yVzcbSsQ/YSyw2m
tI3j+jCLdTtrs5l2gWF4Gx2I9CNdeCkF1aiJsRe+25b9skstiTtj7irN9AEneuUPukVT9NRVzWsf
J1NyKEdzJdm87JxnSlONw5a6zZe0vSGy+azAO4YZLsRdm/7OKari1eA48+nFlAEFsmYtaMt0fu8b
z/tMN33FfaHHy3NKTvt1v1KYvcFqP1BrXlNqD7EGTDgqFESZq5u4rbIrY3aY2kIC0nyqy7maQ2V7
E1zxwk06NinnJI5rG+uQaCW+1YGvsvGZDTvXhjNtu6xJ4xOhNfV36uroD9dqDXHi0oYC8M2OHMbA
aPva4F369JXjLohHFUmavx8rR9HQxscEeeJ4yxZ4W2PeURi17dgjrNsa4g5UoCfhg7ZJzvAlzd7k
YNrVPdZ17Rux2BTDFmVDy1kh8RWo7UbKjpyOpKKvh3scFcdadSyqtYbeSrMrR8+149ZATDh1Ue4k
XtHzYgnjNq+n4oYeQv2QDi3aBvtyFYC2iLeyw42rz6vMONa50143iG8JcANTeVPlc3EFMDUwqpUG
WN/YVCHKfh1lTs/DaBkymIWlwtixnVPpGewqNJg+ezQGUdOLR4Tbh4sxfkRRaW7j1OIRd1ScxH6n
Tc5zy9A2DjEJsSI6CnZX19kpffDG7cPILlN1uuAxfmzgFx24J3Tx4sX5bZsh0pQb4HFLvX0StHpr
vtWyrW+amL40n9MKfbLYPKygAfcAvNJE+lBxlr3ly8q+0R6Lg8QpqUwyJy2TNMXW3pFDrXyrbI81
vCllfyMbauR9mkY1sLNYOQ/Z4CWRtunbfQ8eQR9Wm3FAMuxOBZNmxc+JXOunmcAB7L22zPCt5fWz
avU60leh+Lm1/cPUzdldLuR8Wp0SsFxP+vV2ZHbyotbKw4HTi/NSaWtE67r7rfdY/n1KUPQ9nfJi
p6EBgf7z+RmlzIAJyVdVscUfsOrJbumI52YH6CiNa7WgZUyJt8YdLrfieTeuXUZpQ+m9jsVsPapG
9o+eUce+a2jGW93axY5qtnbvLH0RyQKLgBztj3k1QLpSgJaQeDYLJAyj04NjrelNslpd0I+JfqBI
tjD93jM4onQltedUwa62z+t7t5utiztqFbtkD7tiL35mLZT82Q7fDMzNYNzy7FRVmDfmuF01bjE9
Z04+jE+0qTN7s2Jtc+F/qvy9cRPzI+4M50m0NIL5qTYkFh2RmdVAY2lcz2yQ8TmkxECnCI8j6TEz
arxwk7dUhKXNg/rWuJZoH93FzfbpqKrPCiQbPqSJsyZgNyV5p6rT5RKepLOMT+skHseEOrMAZ2hj
PYt2W+RhsjTP9NcVtR4YYox6exgjqcfWY5OmKqzSaYQn9GbtupBevZskPgQfjpl4/o2qwiVaVhzh
XrWmrxPH5V1sTAKvi2DgjO00oJIzj3rZLRSiG+ZBK5PK9DPHtH+OboI/iXd1yCq0UChf+5gvwxJM
mKS/5RnWsrSuq4dmzeZnxQq8d/veuDbNzpXRqFnFW0ndL73qWfcSq3Z7pfMmPS6JXpxsV2XHsinA
APNav3gQdaQ/9paTtXTTt64zy3vaxV46jFivLJHVEUJLoESzKTV2U3+MS7Pd1N287ti246eOUs2T
NmTNee6d4qBteMncTG64hHrpHeJxMo6WMpJn7BXes85Gx3qx0hTG87tLl5FBx2rDPyW2kRxp8RbR
OnaQEA6RsRkQYbXeJ1aWwxhVzfZgS5ZanGfpZmKdWNyvdWRFyJek+ZrHHOvQso52E1GkCqHm2POZ
RvQiKjoDNN2tFJ5BypNZLVKpBjSJNuayoSgWbQavvV/VIOUFbexOSqvTg9A0kMmYDTHkNpRlp00Y
BgWy6XjTdVtzwLCJr4wbRW36ShIgsE3l8jR5Mr8FAY/PFaOhhJxPXT40y8yPwJ5aSsmG7XlL7eKN
8j3tqWx1bw/QPtSBTd/Tw0Cn3inWRvOqEao7jUKn+quibHNue+skBRQYq3WMr46t4ejNargHgKQF
qNzyH0mv2OPSWQRDBqMzwddQcEHSwrKsEIWA79W1btliD0BGu+MUs1+yOgxXbTXQcp6uXntjL2W5
y2JrI/h5VMTsDsSspINsbxUwq+aj6ThnOqjmPPCaVlz3Qk8fnMG0zuYMo17CG5/tMjVuwXLKkN7s
+0bJ6SjJTX7M7KyGQk+hxn1iJue7ZJu0fV6P+EIsbjrHyk3br3S2dDyua/5DVG3xyo7dJkSYeqRJ
65Z5MGauILORyJPMk+VlGN35MHtGes6rOX9YcHN68M9FTrYAXpMi0KDXXHAs4QL8Y/uFUq3f50zI
g0D35qyMv8HfemdpwYrqVoMvm4QOrG54H+YiHCr2tjYcpqU/1PFy0bNoWNZ8p9dW8IE4e1qU2e1G
W5kvyhHlnuv/GqGqbwe4l+7bSlw9Z9m0JY6QBxQifqgUlZ2MI27ZXKcr4H/ve5cI8+BhsxInPAOL
gvPJ0x+pm064jQoroQ5vKa5yOoeOchmzT8/NxHcvydcIQLcJLPS46cT5qqa2A6jlem4LA4OL8g6u
2RpMYrl6SCNtKP9VCzsLFjxcci25GwIXjdlvecj+lR0snpYPVnr9xyJoXMxz7tj0YFsBjEviUqDU
xDuLGLknbAr1bdykjIZiBUMeEFGoB/Ug3AhVoTjyquraUK524mGQmAElnbaSmY80YDl4pobjQlgm
PCneP5nIDu8zOBtxZKW3PHe6KO46KJkwK5zuGuSftNOh8nakYumnkZvl2U0cfou95X24xjJQ6OlU
mec7XYq/dMxRWvy+1+sybNjoEy7QOt69zJxv1GykCRO8trmaig2SoEoqfkNKp520XtIo5bT9kBbb
sGudKrmL+3o7l5wbr9Uo56tO43o3W172lm3lGjSFSUSJSeukTQfEXqWpHpTCjiMvZXyGTWKFwm63
vYEAuTdh4WDS5pVHs3bQvFUBIs6EJSlwp2pGj+3D9UpITzHne61wxHHqEnzAzswdlGC/U5LnbZjr
2fJQebjc0gXDVhLDDZr1LA9OkS3XqztjjadSKNvX3eSdxz6lLpNeb/7hotIzYeXceJ043q9NbN+J
MaMv1DCxEHHJK29qRvb3yRDrp06YkBfFkl1wd+PWtnP1w4bmrq6tSRq33uoMRC2aynkpxmp4t3Td
+D6rvN/NmVefWb2xT1v63NLaPUF876hL2bJAsaR+VmuvMduyu/xcrIu97xQFopTCkhBk9sZ76VzS
nxNCDjBjl4IvzmZk9TWt/XSjj1l9hDnkF1R6tuf4NIjJB63gzNrXi1cfyPbdwiyvpgduH5ha7CJZ
ooIIhh13yhnL+eaeGHiKKK5W70Rp5PzebiK557Qz7LbcEyHFv9b1Nqj0DSXSSgOleyrKYrtgj03R
tO2YHMS+zr5UMRhrYJm2dWN5VTkyGlbWmTCn5pV2+vpgDoDLiV4Z+PPAjfwmtw2Q1q29o/66XqNM
KeOm1mc2TdcQV1PqdnvH0cbjwKlrRqbxhltylLZbkh70kBqr5TkjYsYL6Mr1roBtR5/F14oKt5Gw
Da1wSdBpittGbMkYZYTeMe2hYBCIc8EJBJrbECSwaMPEzBEGP5jdrcb+ZzavrIHa7YyCduzHWt7Z
nCDec10NgcIffS+9SY+sPHYfB5XR8at3Elhz0Jxnr8khw5LKKc5NV8zMTjN4kKGxa1RGZWK9aLWo
2Db7nh2G3s38796WMllfkan1Mdy4zgW4LfMcp3Wi78YCBm82K/NQiKU+l0qr7rMxM/GfYXrLMaWd
y6XWA5tF8kJ+sohspf6AJ6Z8gKzNfiR1ZZ27Lts+CyzqONCXzX4E3ovxgU9rFNez7qfdun1ymrzA
jd4cAU5akXWpTM80EYeu00iQn57wYJ7hE9XTxMdYGFJmnAJR3eEB1lRPj/A6mNtNQQDEi2AdTIN1
bPJ9Zi7TTig13hJ0tNyRB71FKl+a2Zddy7mrQA920klGQgPz5a2M2b5wZxiYoipvlHASFnlZPCzU
SOV+4lj5yyAXIL90gDEE9R9CETsrZzKZPWX0Et/AzvRoUxNe2Nri/szkDymoTrYoXYpKHvIGcY5o
hrJ48hIxfhrknVzFW9KmoTbzxF7DGMacOqvZDYbWRCqcC2u87WghHoKKfYPfr5vtBh30cF56wg9A
oaqzm3ujPAvTcK2wbSwdrt9iMZuULO/MEQp9sHXnmfZX3K2Mj+mtxRtE5tEw78y4FodKG+ZDPwsM
eSN63lWO7CmCufGWF3rU4XrLBoJEV659g8YbP3Ik0h9Kg1wO4ts5AzFH1aOEnnoqvIoef2frZMUH
QmPK86pyGOHZyekvN9inQ4wLpY70M3dBCyGyR/ybxJmeLs+N6tJxvy8XxBfXW3I0RmXeO3O7ereD
EFqoT0Q3PZmTI7xdqmca9jrTMIcrqNENjU83DSd5nEj3+JZl27LnBs2l21ho9bkeF00OiHt9+aoL
h95xnANN8kw4skMBcSFs1Nwinq4xhaMQWuJSQcJPM0Y6D9LM4ADtkTe7MAc4t1N5uaXbNskiBo4Q
oew0IGHBsSMt0eLpytHitTokis2TK4xnUD9+tGKsMIIYArArzRZoQzMgQVQUnczJPNCT687GSfWg
m1nzHHfoGqGrUg8IecV7FaT00pZ8zmn3o8r7UQvrVK2KDwhZ4dQtYKi+uYp1jPCLmPznak7B5FJn
FUGRVkyMTG+bM99gwPyM7pfNQedyIt872lLPJ2YkuGCSea7ER1O1xOQYBBOwFU8/cPlb7nudA90T
StoKQgaqzM73pqNSUlN1qsCP0zTrjxknMW1HGnox++wA5YamodiPVTpaYbYp43ZLeif1kVyzGiVs
Mh4Wu3C+GTYnA8jkNbslvJovfls9iu7qmqCNLN+pnoe2Bxt+wYJShCYiZ+jO43oy4pi7DXTtTtLw
Zga4ZtDMF6u30QHynBAWq6REuLJEHLmcxUg3cEouiFjzsSpsRbHr1ZY8QN3nna940E54/5L9ArD/
qNq13I26vSUhE8XhpnPT3jkgpiSY7nEJR5U1UfLrrsMXQmu/M/rYot8PaXFKmPgwBS8yRCKjwGRq
5KvvJLh2W2FvoRqTEn+2g2R2U2bL8rOzLkD4mMwaP9I6u9kaTkGZtjHX7I0k3bO60flJa8F+yjfr
I51zYl2gqj/qtAD0M2EJrvO4HT9gSYpbk5/nQyrzHuFPdl9bgdejGbNthysn24EViXcWwTYNKDec
I3z2xSlVcuY6xljmw8pJHt3mof0ytoS5gZ5B/WPhIHCPo5KTG1dWJ9YvE4XHDky1tM+YStPd1C1k
O+C+flAWAq6b1PKEejN9shvM6KOmYl3hSypOk3C6b5NXpOfCGfAKzZXTGL6V6vMbs2srZSck+PyC
k+EbUSsy3ki021fLHXAzbN+2cOwrPyW5Hp1Jb8/ICt4Jn89Y7epKaY9DPbJYxbKdQjvO+gSxIsXk
sMVthBHJRRt2toeeaevVCnf4acduwpusGDTPkxhog86M/lQPC33ZhmqRYmKGZ7UYzyk30J8Gx64I
ifeyFa5I4kMi5RhYsmw+xaSMb07epKdWNPU36oKLT9Ic+0M3LRA6ceyIcCwvkSr/elz7z6aov7Ar
/RT3C3cZTDRL6R62oddvUDWro3t5hP97L/ELFpJsbuq0stcPDByGnXS1boefBD/WOEy/GTr/s7/i
F6IDqIxkpkYRCVOMy57sqCkicNbbqaT6R0vjpW46+Wru/mPk2//7//5jSfUv//Pfn/5n1VrbfFz/
r+M3/DZ8+7cvhtXDeunl/j//6/qbGhg8fX77U6/15d/8R6+1cGii1jxXcx1LB5e2HZ6h+etSeS0c
/W+MF9iNGfJYpmlf+K9/NFvr1t+kK12DNEDNgAx2+C57jjopTdnW36BP+DccSEHGbNiQv38fv34/
//m//60eq7smq4eef315hP9zci9BSBzp2oZhajZ2THl5oT/ysbJcsqwEyw3nk3XKDtuBO9ueG1ZA
81UY/wYC+wXA+6+v9gsKiIS5mkOK0tVH2k/9qgvSMN6RbRvoAbbA12zn/n89839/QY9uTc5hugYa
82vDNnz7MOiTYCGTJfvDa9UYUYNF6w/f+T+e+j99in+G2/7ry/zyd3VDZXqxycu0b+vJ/cSu/USY
QLePw/hQpJG4d09bND6mH2SS/OalL4jFL1/gn/7Cy1v7A+CMTlKlfXL5AoNtN79YUXJiShJIfz4y
ydjJ33yF5l88MH96vQvf9ofXc6cp4e3xp1p7edKfOHntlyPxa+z2TF73+XF9SQMmYuf2O6J1GjIB
3MdvGCKD5eTavrFrdoSBP0qihn7z1vQ/UzX/+BYs09ClxrOs/9rBYVXz5nk9H8UQTiFhZ+0O9T7C
3n1096RK6VF8Vvvx0PzGEfCXL+toHJw9gwy+X1s3vbHx9HLlZevSwg9GatD62RMF4ljub15J97y/
/LodU5owLhpUzC/BrVNf5wTlXH5B+rDPBCKhSEJF5gPz7KChFp0Rb9QI3OpGH23s2CMxaXr27A0L
uAsXCd9snWDt7rz+1thuddf0i45I+h4HI+62SuLEy0SErnxkRTnYjFWcAk97nD4Kl4Am/aSK8Uys
/Z1dekG/vXUajnNC7ZE+v+XaFhS5fu3p3zXMfLqLBauQu26714S9a3PcnHIKoQOwYrZhl5lnY3nk
6Mf5Kg35i3nTw4OxJNGU2ARgfJbtbc+Lq/QqJqNltt/j3I4k49mR0RCyFzzExWD+sxBXiph1hk7h
PK1E7ae9Lz3yOrL4FBfrmUyUyCyeR6cP4kxGDUHQua3fcLUMkuVbXWETxhANh7WJe8N8x+14O1Vj
4ueldwKYOcTkbLVYbckGCVax7DrNvGnWPrBbE5M9/uz1h8n6MqH3OcObPZTHPD26KIjVtuxWhzy8
xti1GEE1VR5aBu2p7M4gPnuyGj4uQ+fVXXcaZJtVrxxwuyiPOQ7yosv8ZPVPIveCco2jcWrOtK+Q
mGXtYvJWSlL3JGEoJlmMROzu2wZDr+d+EF2xbzUBDNCfhrHwMyaZhdEF88rtFu1CZIeuLXYbHHY1
cEtFiV4wIHaKJyZvrjKGxthYgeI3JvDtg2EJJhcLnv4mNJcyzGuc2iOmcNM6DfVpGX4U9nKQ9XZM
XSbGlcC2PYYOkV5J9eKKSxCow+Igg9L66agtdBi0aZZLv2hz2tZH5alwHD773uLr9yJcq4HnJlew
4UGjpqCzDFKIzOOIFxDO0S+mH6ZJk4Pr7pIkPlAODSvOH6CPBw2OJzWasIyfhmF9XDG4944WkrYX
dab8Rhx+cJFqmHJg3/e9/jmt269lq65K+JGeq2CzfZcTJt7q88LykAELAkjKT7MSqAYUyP0gGpBG
xOyFnqtQfkmiKHQicPobHE5RztVvat8UpbXp2B0dN34AuQ8b4474vcO2jLu5k9dD0oUOLzhrcWBN
XErSXW0eSk7rY2uETYG2RL7eAp+d1M7OrI0dWjssK4qne0tFX7ga6aPZkc3cHrRl4f5F0/l4Fyvg
ATn4JUaiaXzcsP6k9nSnrfxp+R1mnNAc4uNsky6fgNmMm69UGiyV5e9096bM30QVByahqjO3EEYl
IaEiTJassNSJv7HGY20n4SpKPxek8KTFVWZ/pwyKPwXGxfychinKiDZc+sEnIq/v7lIyoU0a3ceM
O2AHN8UXrKriw5FF1HQ6OovDdHYINUtiPs/CZNB8QxpRQU7j6JKa0j1I4OwGq3Rmko+Z/ERJ8UvY
ELG8WuLYqZwB8HC9THlogLZycTrlWR+11lWHx7236Xhqej7fW8t+R4AnR8q5c8eHS3yDKB4HlD1E
eu69AfWQB7IywnIo/bZ4kvpw5axyr+YrnOCEPxI31K/+EA9XMrZIS4Ko9X4ysQEpKg/CUKSa3Zdb
dWPC/En1XchT1y1XCRIEEb/+5v5wWI8djQG4meH5Ihko9UKir/di+W7HGIc0M2hIhBhZvusxIZAx
iZiX7zeQVK8XMPnfC6bic1JF+uLtJ5UhIs77TFmHy/AjRxdJs49lfuvoGZu7G2t4Tux38sYQahW0
A0a1nKubsB+YigPlBBviu0iLA4vAkjr7TfuZx9NlfhNyedqRrezHsICZq4XzCvqovXZTx2dbh3E7
XKwauzZZglbuTcTmWY4+7cfEo5a+4G5p0eYh0/Y6n0g6LdcwT/KrmEwBXcsOGmbuEdNvR+bhmpm+
jr2nSx5ZosNyJPhBnBul3txCP5DCGMXzo1NvV+3wlDfvMfE8zM3oJQ40UhexESInojM2d4mufNK9
Q33Zwhwmw2mXbySrEbQZk09CopTOfGIANbevyDdh9VnCocIKTFKL62hBTI9QZX/a49fmMYyQ6dmC
ybzU75rjEDQkY1kEHbpxd6C7mAZ6LerdNLTAy83qCFNzWlYVXVi5NTnm3ey3bgc8Ue3c/s0yLhkZ
VjBCvRaL8J1tK/161W9ERR647FkU+12jkjcSpsJWVs/xhR0gtnIi3neYynDVrxckLMLab3TXDntW
LYLXIjlBDLZEm31mXgVqQZIa2iySMzsQKyNhJEvGU+Vyn0QViRmZc1aY7AzY8NbNzbu80L4qFnGz
/0poVcr3hsVyOBSB571WnnZbiDJKNozR3qEuxdFW8kYoY1fJ2W9IOhgN/NIYulsWtGw4jUV55PLD
0kpaWPdzjMkl6cprTtlElogbVIJTYpLFQEgoaYkSkbaQ5r6l13g2OQ9Wjm8myd7zgLHwQVTOe9xf
vOt5QP/FrmskzUwP3dKRY2eEGmlXS66HdvNjNnaDd5vZdPVl220yfnc8Hfi2DIWzx9gSLYwGhCwP
RDFwchAnHRImowoK8NOHQD4kouLhJ8SpONhYXgSksBQPGaoq85gg8TCeVCMpSUWQEvGVOO+Zfm+n
VljN3/u4BHxU+8oV5817qMnR3fI6pF9qT0VVKONHq/+pNyx7cXZwWvJ5rZCCi32ZvUzOq2ZaBybj
LBq5bzC40ytmKcuPuBwiTwdr3rLbtCEZsSKTo3meSU0zlTo2JYoMkWE9X0JNhiQMTlgY7oGBYFlz
uhmZLo/f27ULutIIhG6QToW73ssOZAJRdvdee87JMUDkFxB4j98gEk/HOGXU5+vKXnckuvke/IcW
c5jQnJ1j1Nfz5F1VSX6eu/ggibma1jTcckjSbmG89uXG2d5oUjQq/jzthOS1i7fHUfdCAon3/5ez
M9uNW0uz9BOxQHJzBBp9ESRjVGiyJuuGkGWZ8zzzrp6nXiPrvfqjzslMKax2dDWQEOzjtHcEhz38
/1rfCgdexnx+s4OXQitvDAWGl0y1FF4zYJ5VGt9UU7Odxvs5mZyo+VmFzJU1gME6IwZlXUlo8cQh
1yUnStnrFC9KSyr2ha8DfR1oJgMM0aFHt6OCKLRzmwnIqp+vcnRBVccD3IttFfww2HX146vd85xI
33X+aXiUCo8SuP9rvY+8xn/OBjDJJWbhxyqXV2lpXqL9lJroQClqOzb6Uyeu6/yJBhxaOaShUBfR
GDsC5xBypDjdVXgiJhu2VTUTNZa9tJ32jWvFCrJQf8iBV+AKoj231e895bI2vWEX6eq0PSPmlrq6
TtPXKezoqrY/Rna6YHD2eIj5KBp763rto+LWRuESHHlLNZRV0Dd2WiBvJrtlk9VvE4zuKYsK4Ktd
3LNVMx666d6yIDxRZ6c9g6MHRZ+8kuvOmy1zi45qZaOZwHDFipQytcwvUBgg8PQ/kijeNyzOxdB5
HSzbSLwR1IBXq+QN0kYnD5K17X+n1QqP9BeWWkeNSsdIXyBMkB7hWL3uGhA6zVjzpqJ0wYtQdG3X
MS2UrOVbwZOgu7mh3/PSGP494cn8409JEsC2QZ0YvKY0Dni3VOBSxQTmNf0JO8Ssj9XEPCUdqjSn
xA6+mwfPJnMgT8MDSr+1PA07K1N3sp5fAsFFR5S/GlF6G8uX+gxMu228ONScFObeLK5o5YyY95VQ
cesxQkPJ1Rn6Q2Czzal+asklqLlNFMd3sqF6qhTtG6STTX8ownbTWcjo6nGPvdvLzI4Jp9jgZ9t0
RldDAgquJVzA1gAAd+4OWbOsit98wlfHTL2JWHF5uG7rkDhtsu1MmbOzWlP4RrUjRPnQVWgzlNRJ
WK1ola4tG8aQBaEM/81kvSijuY211s3oc+Ra9ZgjmQmD4BCwKzZKdKyWCRbMHi9103LLzliHqfkr
kqaLPEVf3Wkl630NgETyzCq9Kwf7MaCbWDNep+9KQzlYIl6ryfiCFgC4L0TbTPJq4wYBN68RwDwO
nXEMmjBQ7ob8JQ8f805gdE69oS65g3sRBfTWXgNgb4Z/pY8XUnFrK4FHEPRmAD0qp1eS1K5b4Huq
9TpjBVtpZndp+uUdEP6tZvMJRemqPfqHIOZu3tpdAH+9LTd1ADFUnqAGVBem3dzKsuWvhCxNjl8Y
zBNsWcumPnAFby14iuCmbnH+PuIBZ48vgx0MtqqkbWWJk+lcUtLv8x8GDu08jcjLjG5UBJ6rNgG5
rfJlfQFMrGTK6Wgm2MBUgAGxcTKSFs0F555bIejSVtbCqZpXSkbR32AhAbnaJzx89TbNxE5P4UTb
+TFk3rH96YWQGy9rIZxwEJPVe2tYYMn9qusHJ1WS684Q3phIm7osOVwNjs/znfSo9cSvLEJ2jXw1
SBKkjo3bQS0qsx9y9tzx5poxZMPujf67o0RPVXZlaaNXtb+Y437Iuuqgm3CyPnE7gUjK0hxzNr/p
tEPKvMOjtiDEJeyxBWuQv2+pGcid/CMp1JuBg45JUmKZbpr0SetfJAItBS1RJTYdGI0rq4+A2FlO
aFtXoVmvYk2i4CDvVLm/s9kT+NnT0B0SWbiRWV7Eovcmzh05DonkcRy/kaFtJgWJ9fQ3ea9nSkny
Y0HnL0bCkkPzS4OtzBoqH1C2FdMLITOWdBd3R6HNGHIUgIBUXHg+epqcc3E7VzvLT9Y6SGLWDSQE
3QqJmAfpaFXql5KervuOfrKPFPxByfWL2WCnq+qeVP008wuZzbIpbji/Fv591N0go83BtafO0vsy
W2sTz5zSm3hTNS8qm1v/wgRIxlEebcB9md5r8mauryvfLUMqLcEh7+7SQnYt6H1pr7mDCspQlo7T
bGxrYRxsFo0AQfdSgkkE5OS6CNgB0rjzr6UY/cQgBpqX1EqIxQq1N7OTHb24Y6v32JoXLRCojCUP
qxoek0ej2A9F7SY6gPluXfKBR4CWCL42TXfRQdgZZwIQmxX9tVUK+RYBzAbRuRMwP5n15ElEbi3p
C4V9R1N9pQMTUidKQlXoYE6iPKAfAmWHBbKx1o0VHjv7buJuWfu5fq4RsiCId2Yuc83jnMc/2fW6
oXgKUBoa6Vr3w7WKpi3ov+nStg4hDsoXquKpFU4NVixJcDoMn1TrqiGmZABF42jMY0Y7riUOX4r0
c2gwQBVLUENUwbH/qWqlo3R34XTIi3tUVmDdrvLqtkGw7DdoadJjJj9Es4R01+eAAPZc47uF1/SP
Oc56pvZ9BmBsUZ9Q6cLJ8bWKP4KTdsE8mvkJb35CeOt9O1PqHPa5hV6p2c4V57r7wP8+AfOmY3fs
9GqldrtZ3ATyT9m4JbV0i0DF7anutERuN9Zdqmu88dChYWuPc9+uKrzw7Vh4eWxcxBWLC8YCPwnv
a5O4i7neR2wkW/bGtbAOpkUtVcHvVMhbkxpXQ0mr0p+VEXvbIF3I3GmicbZLlBFh27V1P0W/DP+x
Hn/qnCTVLkK7W7od3NLYR0UDp3iO/WNfX1PqaqJy1QgJAbtg+xLwVnBsVvM7S3pC8uWo0sGmoavS
abZ15ZjFAoAmEFDagy3FsWTS3RavrpoYB83GD4Q6a2Q/4tfmUW05sItrq0LJrgCr6xG8snp2/WU1
q55USnt1gqGSQOrjYczT6yAIrkYKX/WcrBMfs7hROnhlKBllq0LlbayeOt3wkNo4VmFucrj+zMpO
oBbYhsXVOPiOoaKRrqx1ZvPaxi9WHu1FM0CZEbdgz3ZUXvzQOPSoXUmhWkUmyQD6o6nwPnAZlhNQ
q3wvleqi5KgHBXU7T7Gnt1TN4lcjuO01gJBUWaFILwlR0dR6TTBuG0R6hfQiUyVqDelQ4kyrx2/V
HDtdNoDT3khExdvNHfUuvEpwrCmiFGhP1IgKZVR4NVRSzay3asR7HiKsLXQvT6g0GrY7wIBLpJ0i
4/XR7mXlAU/x1s8eIRGsDG5qQOgb0EwHgq23wIcDSpB1BFUGMTDmyF1UFl5TkACgvdRWfjfitFJq
sr0skGfzS+a/aSbaYfYW0MM5d2WXofTdlF7yHLMXR2E94+ByG0zfqwZp91BxsBrXfhjcBwnCoKq8
RBflKgFF297fpP1VrVCeBbPY7cIpcubskBb1Nkx3HTyxYlFo5OW3GREAR3rCBlYNUSpD4CkETUzA
pfM+2lcoy1M0PU2MJDhe2Rx3M16vqX6FIrC2OTDr8Z0a3U7jW1peV0Gxwzgiz48isne1rrplDO2v
FKvWImZDkD/DUzkUCqfimQpvRok5KSGrW54mh9uxJ94kIW8nYqXKPR3HGqpLzQxWJmEeIjbgZh57
TqRBddeZz6Vd7Ar5DaZmRgZH3PwiwofzUrGb2E1W/WMERwLevR5GXsdOvkzRRFCYS4nJ6OO9XcW8
f9W3ehJYYSuMGhiYUKO1ojuWrdiXibRMSkcVYxKMgAsbRTvIyri/TRrJVUPW9DrwbFum5GJ6Q3pl
Zdp3nPOOFDH9s+hG87BNunkNkncf9+r3ZpRciVlOZSKzrclBxO360O2jRe4mz/tEUu96Iu8VPm/s
jyuMZnufzRdYn+u2QRyX1bsBk43I073R2Fd+YlOs7oH0dqhMEq+f5o2sGG5jT9SIdnUv3fRRMhNa
oZA2nnb7oFFXBdKyIA+uJgOZxZJDERJglyYXNXV3DLgI57J1ZKDzxG8ptdJWgLSTKLOXzfdae1Pt
hyLnPFUOq5gzqd8kNHH8VY8joK2yb7ZButwSpJffz8GvZT0LMX9q3MYSi0OR37TUG0PyH1CZOday
P2DP18OFDu2VifqZmpWbAkMkZBmp4RFR61qiBKKSshAniptFb4OAO1Hf6eKnwibMbpkR3NIGCE7D
Q/sWpKjGKOWWVMbRBh5zXvQl6CdKEVERqtJGTlX/ihJmvtxgvcVVVK4wwcTya1l+s/M3+rtOwjmi
MhVvxhkRdeGmZ7veZkT/+F6vvfUSvtYLzqROJjfk8hS7srz3u5dCParzLmOXB18XnZ4zc1aMeSsN
eOw5i4SFR80nykkxmFEzHzpn72aSui9g5as27Ld833GKVP3hhoWEQ52bS+Vap4OktgXYnWdB7Gdy
wTus0tQLKWGN8qElNxmW+FBegMDb1drLIHuFUnhI21cxtQYRqe5kX/oF271rg45QbvekDQvIBMei
/l7hVO7vBnboWP6Y2zlHjiSXQOeAHuDZfblS2vgSfL6TDsKd2kOnPyUGck+LYjjxW3XeeFpwkcpo
qA8NaVmx3ntD07sg4PWcQv1iZ8qvq5JWOIcTAKc4MEgrmLzWgqti3efRRk6VTZFfSwHxO83s9NpP
tKZewDkH7/1asJGPm8yp6RFr2ZMJWdhkzglTwqjWJnssydzEo2dotyFtHBtSWiK7dUUYD6Iu5U6E
kQPDt6wQAktMDckdYVMvaF/WYrCg4peun6QYgtlhqVq2notiPWW9a+sTQjiK9VS6RKL+HLJmV4+y
Q54TPb3US3Xwgxa1ISt1ahatIP01huN9puBo4h421F8s2NhDDrEUCooyXxdLzax5nNP4mgyOleX/
kGgoSLxH1HJuiob/Y5mt+1Tcqfj8oL7Qd+E5oSSFQ3ar5LeV9F0y5RW4ZEl8N+icNvTUckq/Wowf
iFKDAi9TH5q1gCxkLYlVlAJm7PJNnG+qaVgbuBEzMKFSymaHJAxowbz7mKwp75RgPEFe8q6UqMQK
FMHtukCCNIS3OsVWGzp2az5PIW2E0H9sixFUkbTCyMiloxLfdNMNgBjH7JSbQXrO2VlUwYsms//s
2/Aaj6jj572znOMGvG5lFHiGH38b2+ahlIHzjmLVSUdE8hzTfwlqP1nNjohUcJMHPX/Q2+ZHH8s3
c2K4SGZWAHpcM700VPmipqNS+T1KkH/JRb6QDnwW5fzVs4a1Y9kmHif+t/R7P7TTFQsmc2HRTq8h
wtMC3anTgaidPw9yQi35fZSF3/BhlITQqUQll8k1Osvte+Howe3AXjfCD19REFWtca1SIks5z+WJ
cibk9yvZh/3xS56ITJQZ9Yu/dMjh6u872+mel7Y8W/k7g0XZAzuwZYX+83c+d2FPJRmjbeBMo1Ge
NK+ifOymQ2Lf/X8MYeiKaqM5MFDWf76qVFQbjU1Wzr17RYQYWPdF/P3PQ7xTOU/lHfaHMRY5xoc7
10iQdUOZMcRV81Bcpi6VCM8+9vv8oOyFJ2+V79L6z2MuD8NvQy4ub76VKaunkfJVk5hSXDFkT7xO
Q94gsZtnbs5JHPzfD+SHMU5UJCDJm7IlHQbVyujiQHWbwgG86swOSViHqV1Z3p+/1NevwIcRT4QT
QrKNrO8YsfGUNeF13bHdNu7kVmz+D/ruz6Mt/9gfLqF+IrmzxqnIupnBJqO6Mpll7emHIAurrElM
69nUQP+fy+7Md1wu2m+jokFRTIwnAgXM52cFgrLW0+PPXXUUl4Qw8ehr1J4BmmXqnm6QEGdi0b/8
mh8GPHk467Iv5Y5Zmfe63eEF3YpNs1O352iEvw9j4kcwdUayBZux5c8/vANky/u1IOwHyVG7azbJ
Zlhr60XJ8+eb9vuMwTCmLlt0nDVNP33ucV+kkaiH3J2HyyL4iee47eVzD/7v98hEBSgbpmLLyPi0
k3sk4bfQygpEszoYOx0VZm6z+07YBMudK0KdXUiMgafDOYX9k6gipcUMHIV3BGpwSEuIRmyu7OZV
zXZ//vZfqKc+f7KTmwlTIsGVzCfTryYIXBtWVMMhcWkzPYUPdMbxGT4s2q3x+s8D/y6f+jzuyQqo
N0SalsVyRZadqkFDA039YBiUOvRzV/93nd4ylqbITAQqd/vkSYIPQ0ixBlsflfOrdpO8BFsyUx8l
h6MC9XJXcbjYXuqcU82dsA+X+e7TwO9//uERtnx2HBKh9+7E+big85fkwZrSHN2b70nRc26Rv09k
XOrPf764Z77w+6z4YVwyGewGzAbz7PAMeoo9duWQGTl09Z5EgnOXd3lEPk9An7/lySNk2oVlvfPH
I07e5fQk95SmQ9ziODJQNxXlr4buIWEqDr0hp+zP6bS/WC35AKZmLrPfIgE8EUN2AznB+HKXZWXw
4p/0etzq2P8gqvLGv4IwCc5+rZln1suvb66lAKMyTLZo5skTLBuFTgIho4IHuiJWKAHlYJDAPbZv
OmI2LO6eXvloYs4hfr/YWPF9P4x8sq8bB8TJlWDkxvM3BlJMqfSiI3ExCGrRokD+uaPn8+dH6gTF
9vezbFmaYRqqIhun8L7Zz8bApznGoPPaVCmLrlSv/hZfZR7l/uJNOWTO6yLpheNOmRsoAvWqbbqn
gHl9Div5+15luQD/+iz2yUIbdGYgRzOfBW6gWw7dOqbh+Ofv++WMbTNdLwptG2Xp59UH02qJulfL
XbITjtocbPBqOk11lXOeD/vbtDjzOH31lVRZRx3KaKqunsxRTVTMcjIznmwdBOKaIPifQcz/uoGq
aqgG/SnMauLkG5H8ord5YLE1Dm5kmUO60C5T39wjEzlz7b78Lh9GWq7th+mnGSPypmSTYF4EpxBP
kvjclC6WO3w656hCKBhyEdprpy9fLWMSpvWUu0pxlUJDGTMaw3RM4IDSWLKPMRQEq/jh04jtaAJM
SXtlEYBMsy8CQxVQS+UQhHLuQg6yfTFekq8amD96vdlZ0o3gkBo2yV2pW7shVbE6Fk4nzszRJxDt
v+/Hh6+wXMUPVwkwOPcYw4s7rpX19Gvyuo1/nYpVvLZcbdViPkUd310P1somWfHM6/zV8vvx+i27
og+Dt+MEQoDsWReoxToODTBs6GspF2fNme3pV/srVRN4HTA1aLp58thJHQKryQoLNy/vhv5CGimG
GfGZJ079XSC9nFn+PcrJIydPcdjRCi9c8pX39irZ5m56RaiHQUrmGqPbD3YX7bZbT2tpY6wh+Nf3
PCGBe25m+nIt+vhBTt7jUghNajDevB9x6ATeaQ5FcCf/QSgh1ACP2me4arZ/nqy+uptCxjlimNBR
dfNk0IbIGAF6ES16/9ik6gqmEZrrci+KH38e6AvjiCkLRSc6haQWfnVyN/PGxFmJ7/t9qW2vq+Wr
HZZ1xz9M23NHUvXL76XqNn0nk635+8X+8JRKfTwoRZshLVvrT8pao+2+GrftIXVDV935u8pFZoxc
05mu5DXinhsIiNuBGpJLNyNqnD9/+a+eZMGpHz+JZgnTOlnwjc6sRtyefJruqUgeJkE3Sjq37nxx
RuYK62woNGHoSP1Pjwo2M2fflssVnvnGpLqEW6o3DoyvVXskbvncOWu5ZadTqTBhgRL6bKn66YCT
XtTNWLJZ1Dvq2tqiV32SVNlt1B9TZpy5hl8tDcI0NZw5mJxscfLtwNUWiTYug1nlJkHYU9Jh/fNt
+vJIo6mqogBAVWzz/Qp/eGqwaPcDChi2g3trM7vVTfY8Hqo3n1mV3cKlhBDg2vfOAfr/L8NahFqb
lm3wBT9PqUo8aerosyQZz8YNdL4rqtX6GvKPS7TWU84vL6eL88fkL3eDUMn+Na76edwpGIhXhUTh
DqHTu8E22ycbIeO7UZ+Eh6jmmnDdzZlL/NVt/DjmyavAo9voVcmYs72qL5KtOJBA6SJfpIe5W1xk
ZEieeXK+evtYQzS29xi7rNOZR4cACZxtuavsbafy1tZQV/vfz3yx5WKdvgwfRzlZRzoN+ENZcRPD
XbkLncTLNjAGNpSntrlzdrH46tXTwHezKgpTKNbynT88qTqApMGGNuim4qJCW4wxe2WaRzYzELag
j7X6HuLca11djhXZrAFAujI9jvEv8pNWnYUInL7bmSvw1c4KiyHzHPUkZvqTW5vJOjFfNpu3Vnkz
UWwLMGk9ZXKDAEoKXETRN/toUL00Us/c4a9me23ZAXNFkMOeOqqyofeHCBQslhMkmY8QkFZqTmSp
dq5I/EVVEHmdTuPU1llVmI4+X3dTyyTL1yVe1WO9I37pkDivszNdtJtzK/OX+4GPQ53c4spOiyGy
GCre9bvmrd8lXuBF1DxRnEUOEEoncBFr/vkmLuv96VNMj82QmYXweJ6WBBu0/Aat1WVQf5+vyYre
017aNGcq/MvL8NswQJeBGXAxWaE/X8Y2UvyqxbiPYp0mW7vKiXGM9dKTkl96mSCGUo9//l5fzQHs
Bv414PIEfXhfJsksRdixueqyX0Rm1/39kJ6bAZbn+/RLGQq+UVWTBba+kx2ObsMF1HNiNq3jsuNA
eb5l/l4XO3UVexjNz9yqr3auyw5HVZZTGf2Sk2UjhdfUtXa07HE4AjwjIfSyt/RxurJ2nNGeoT44
sTcdUB/j/HNN194OWygMf76wX7x6nz7EMi1+uLAZbKRRlHzpdjr4SHb8+lpFIyaG2z+P81UVgYGE
odmCGgKr1ueBEIkCU4I44RI75yS3OEjIp9s3LzyqruUGO8I5oP1uwnXk9B6A8Rtj3R8T9jzjuXfk
i7l3qQUqC2BXNw375D7nnAFzMiULTB3hKkreZlQFsb6HWoQhojo3q37xVDEaOzuG45Sin9xlTRtS
WLvNsqtD9nxIv1Es0Tezh25hM2zPLSxff7d/j3ZyOwXVEZlWBM8Uxh5QOOuyQCJ6XRG9K4bizLOj
Lv/ayRvz6budrBgdYrpBrflu6g0wFRiLSwFON1cIEi+CC9trNhL8mncPcPOD3Xno4Uc4+yK9v5gn
H4P3FRKWQVdO1YyTjzEPTVtWw8gz7OLIJLNti3KdrBAUNEy3/PJWd/p7eu4Enpm7Pz/XX60ozLMC
z/5yi8Xp2jUMslaW8DRpVqTXHOR33bq7QPC1Ik7yzKz71ZLyaayTu0tFJQJ/MReYyda1yh4z8/pt
8TrvlX10R+ufhFROtucmqq+Ofp+GPbm+zIsBMUcM2yBFovYX7W1HbOJL8PBO6J2z8H81HM0YriU1
nmXOP3ljiLQWKRu+wmWqvzH23Ybsj4tgVz9Mbrs5e/++WFloDiC+sekU6L+1CEReWPACqCJWXudl
l/raQIFWUTJoXLQpw0V7yyT8iCDizHPzxcTLaYEz+9LjkpXTJpdQa6Iro7x0ccN6GYHD9n00e/q6
2WQOC+pDjSpQwzw//bNZ+T+CdhyjVwC1xa/2fy1/7ZWsyToKwvYz6eN/X5VvObyzt7f2+FKe/j8/
/UWgIH+PvyAzPv1myXpop5vurZ5u3xrYI//EVyz/z//XP/wbwnE3lUA4Xosub5d/LYiK/BOIY6Ft
/EuN8Tu847//q/7Hf7X/+M88mv7xn7/9xb8JHqA4gM0tzSK2o3SONP7NvwkeivkfMkG1CqyO9/sm
uKl/EzxU8z+gd8gGLn3KUZqyPLX/JniYPFqarVE7t9//6J+X4PqvaewvpMrXBI9l+A+Trs5pYZno
hC5DO7YNju+fF9JAG7LcDOWnth6xkSapflML7TZTs4tGNcPLFigcumiFXGTJr1+IdvpJ2hmHQ3nB
bVVD3Bwk6I2XmR3aF0mLskYyg81k+t8IfFPvddxQ4Wwk19bkS2szwNWm4UYbkFZbvrpH17KKs84/
DJiWjzFmhxVKzBIp574g3fB7CWvdtQYfA5xhwyuizLm3ounFsCnT+vpV3me5Q/DVucMLJ7XPe1Ku
CywGzi0WAcCcwaH0fL4uhSoFE/nCl0ZeXoPd/KmKaZ0Ymr7Tpe5+DIPJGQXBB3qF/V0YKOm7Mt7o
Vn/ViSFCssR/9rHRUaChV9+mwi2C+ikom2NsJtFlbvX3RgWMUZGU18IydklpjftWRY5rDT81ch6x
KD1W7MmxBOOmjsHJ40sqLlW/uTF8SbsOYRPihI0WE/YcHrG6TquqUOmZlAhIeRLxCcdLE9YcA0TF
ZetAXRjwRZE5H9+ZjZCPUPQPNBbJsCBcymEKXWdSDnvOqo6zjLg/ntMDng6onMD9VrGClyrQ+3CN
9OC5E+ajWUOiKsbohz8YpkcsOwawyckHMoTCPnnBHvkwVsCo/esOkj6qhfIIAvMhHSAw5ktE9YS5
koBugGwFit4xiVbm+HM2rAdiLG7V2b7pLc6nCWm7Xt9hC4AU5/DHGEZDBYQBEro0HPdKbvKvNIh/
M8VV4wWECbYVe9ewVSI7dExl4XUOw8LpHVfjrIy7HHPQIIE3iCplDb55yU8gebmzkPapuYB5VePS
BT7HYa5Xf6XAubbWFD7LPh2VWPfHdYMWBA+zn1F8sm0Hv1sOnoyc+nS8ImAjW2uTT1R8QnxA4R8t
eNJKIxMI1w/qtlOb4wy1HQFgRDiWivVI89Hrx+k+mixMrvLcYp+bfyQxDeY52geIlzeFMhP8LE+B
0xv6tmNfMKCLrWf4EaS/i7CEewGg25E0ZH48BLeNyDbBlZUY/rGkwYj391I1u2ZjVcgtg57vSxpH
vE2Ni05eHGyyPeDen3/UA3hQy8B+3ZROZRAmPYKXXNkEM1cYwecRrHWrCXOlTt6k4ZWBEbuSR8K9
k1wo20ZR79W+DmBDEpTEkvXctRNkaJFfELilFEZx6MZmXleQMWFPDNY+C4x0U2j+pUWGzJaJ1MkM
mgmK8kB617xj/286fcjl7EHuebNpZ9gZp3GTjjj6jVggAeppFiJxSOEXIChEMIy2fA5CRxWlSiuZ
mJepDO7Jc14VypR5QOqkTe+Hr/YQXYjkshhU+WlKStPr5OyXMgbI85dtfBKWW9vU84tu7syV3EQ0
pNOQUHO5Xmemb7mVwMpmVu2bXQYKHq7YvGKS2hiq6NAuG8HRagRU5YiU6ubdrW2sVKHl13lgv8Bl
6F8SeeksDJJ2GSeXIIabPW2Ow5BO3TarEbgDfgb8p0i7blB2stTWIIsNdmv1TRvZeP4IoDa6GHOV
1Am3MzsTIHg2HeMEioIUS4fW0jKv7XFm9YV02yfWobOx2hd9vreVzD7oXXunqlj0fFKACGWFGd5N
q4kgZFLV+RdLEa+qynyY5HIPRbpfJxFlJhLCJOYCuARzwjgCA1MMX7ZIod4ncqhu6HXfEFL+1Fi5
dqfUrCyoyafRZ/MTYb1k+GTFX5+YGjmejv5wSDP7oWqYkQC3X1QhMJlpSgC5ZsF9GcpXvjxNay2g
jpXnKFEtnMAZzj84hrfv+RqwGg9Vnrhym5peaWds3OeGIGJt3mdlvAOJs2pkGNWtNQUXBWQ4ZxDR
OgM432mNiQSfkCXCGuAG/uoGZsxURUJKlI8jScZVo+OVVcqrsTHErmnXXR2Nq1JkfAgMHSlZSo4y
F4rXKQGSWq1+ykIx0EKU1nYClB6/8iYQFTylUOnQajxXRY2aWCEboh45rJaKV7F9BTBFpk0KnnfN
dInD0MZv+wqi+6oyp3gXVsc6CpnkB0uBiC2Pm6CyHkO5krYs8DeSOW5iqX4xcTS7sF4rp89AGmAi
LbUq3M+pbG0qszlEM84DYptqTPI/ValvHYHFfsiRXyclgPOp2kfiubB9QJ4hgqHRx6CXZn20m0vj
0qY/dFEHPWr7PntNsvxqsq1fE6soFBLqbJiQA05LBQKNBZ2ZfKv6btr0SGocyxbrIMGpqeuSCqzR
cgXgn8uoQVVt+YTGNcB55Aq0XzU3+7gkiCWuqKrNcrdXx6sIrJ2nmTMS4LGbUZTHxLxatXTocuFV
mbTXJ8JgCVsApotsm3ALpV2P1B+kHitNEnUbOS7H7aiC3J0mcDa4N0J3kLPRs0p071parAZCPbeF
Qm4QYNZNMcrmtmFlLJi3hgJJcxBOGRnF8yamKOHpc343V3eDWdmYZodf6kxmVVziNG2WiTRNIQKE
yn7OdHmvQNXNIO6kcCGrYtNUwsAe8zzxSqz6LgPDogTP9jSGB380wkMjj8YaxMedKunLZidaF1mq
7gMKm5ssFcFqaKcfoAkU9gP88E1NudT0yZsltv7gfmfySmL1sohs66IRMFt4+Rr5MpKwVSQtiumZ
6aGyOGJLtlpgBw1Sp+kRoQJUfMtEbb30bFByPw+fwgDeutTtzF4ffgV9tU1rna62AIPSiC7ZD0L6
GY62vhIjdvBAPwKkX2VNgGGp4rpOTC6XalETP0KymFNJtrT4DZKDHtVEU9gyy1niu13Am2XFvQ6L
3cr3rammM/kGSbGf8u6hAW23ViUTTZsqm7g7Am6KJO7SZfEpi30DVAzfML/K2uQxm0rLe/9PxRio
OzJqpyLqWOZD6K1ibUsVYY+NOs77+Wcqc8lJL5y8GkMxvXxGfP/RN20B0Dt2kXB327lOEfy//wGE
moI96LYrNW33/hvSRO9SLcDwIZMw5CsuQd7zXtgFPpkiwIqjYB8pBvFIwly1Fsv3e//X338ld8pT
3vi+p4kNzGfapQlafSXFCyeeQkknisP0vdSsLFdKgHAleNb20fLjrw9SBjBAzPEht/THRKVo0cjD
DQguDETwdOJtPevHbjskPZWygiuu1Xq+7XJ80YP6MCYQvFuY+/v3H0PW3acxYBVdZnXXjPnCkPwR
5Iro9+8/mlLcByl2TKqPJJHmDzku/v37D9+e+r0vbKLNLPOHmuflHtovl7CfeBEELg8vTjvIoDjM
y7aLdgANcO61BPqlQeFp4HnXUq4f3y+K0lVYd8iQygnOsYkfroynf9+af1/B9/+mJgAD6hpRRmjq
IWOtzOUWBaFRsI+zTbYD1QRZTSv4fdBc1l1ZAw8zMHphvQ/UaWOPkQyogb/UgvaGKQI0wiDlBvDv
cqFVnSi3octMBC/8FsYNy60okBknbDjev32U6E9W2tveNIR/XxDq6aNn1/lb2FThuk4toPTjwxQQ
myThwd9bXYOHRYICDVDdxhq43IasBHBVdEDLQNLvbB4l0ST7AJz6Xz/SKmv++pWqtRccEu9tu75R
ZRIBcYGXe7XXSnApz35r6Fgo6HKbdIIaMOn7avlBbGK2LSJ2N++/U+N6n4mQuCJcq/xMZYVPRy6U
pOF55enjNUowOBHzsmF/d1EWmb+v6ZWueGclx2Sa2r//IDDFxmQJ6pZnmJz2bOqJQJJC5nEyFN2s
nAAgKUO97yp9iYzjV+Pyp41CNGPmI9iGsd0eIuP/UHZeO5IjTZp9IgLU4ja0Tq3qhqiqrCLp1Nrp
Tz+HzN4/B42ZxW4D7SAZUaGSpJubffad9kN0xH6TGPuTm0PkWdk9a4y6yw7L3WD5i39dONwXQt3B
LyJ1r0hi25PR2S9eX9T8aOV5efPi91DScK2hJQSB8WJrGVZV4Hv3jU87ixtFeE8xOdOs7aN4jvwA
yoDldDes/RM8fOlwUvGB7nbrtgxWP1k3zwj3tYH/YAZnt+gKuG14v2BOYN6WIY3VP1tVsp0Go/g6
HGbRuKH0CJ5hfkKsyWHrRsAblt1ABbc6bNKTnVvjLXZbTMqz9Iem985BlS5rqOWBQJj21cku389a
nmqoWN7Q3hh7UyMc+37U7+nNa/SsIShvvb1mS2JX6DXvkH8+Mzut7p1o7nn34dfMh2s7y/dOZ1Mr
mHf1yn0NYJM92HGZPzSFjtUDh5u4hNEwuuV+di58t2KxqfBbKQs68xp8lgK9ungdjkvfu8uxaX5g
2SJi+qRCCzdu/gfLc5fj3//g+5g+BZ/SKIyd54TH0AcHEdduB8AJN/uA5CxB0MHFqHlPPeBn4IT2
BUYmroK0B4nsM1Aa9tt0T1rRAZd4akvLGzFf0Zmuq3yXWpWxHvPXAeDpOmss/VJodXSwaA0NCYSz
rhdwHfdSE9kmyaOfSWff11iZXNqc+oo5PU4t/dlaENanTmrrUmgvFli0rckqVaV9uK0TDe+r5pqH
zjbSMlTbkDy2VZgaNI1HYmcnWPDR0/toZRAmQiHyS2HwN/4eaqW9CrfW9wYt1BVVkUNhyq2BMZM/
AuqjM4bsQ2XjVCB9n6Ztq6SrDdZi0n1SvaNwD15soAu7Y52yy/P7WhasInpcszEwwSiqu5p6cpnG
8d50MouWqy5NtiTG9yzy/uB1tctt50cP0GNbNTjYwH7yB3vYDvElU2N6ImrZ4GzRrybYVbspJnPU
SRUcQ7RDo2LdH4voKbJlQzcfdVi4I4aTV+ukh3Qk7J/ZpOJtoWNZnufxuLUGPKXlJwkHcAFR0GAp
k22xltcPVlGfK2H1l2Ye+Onjk4dHResGaoOZB+2hXnio8qA+ClBKe25Jz1LLqq2Tsh6259NTjVp+
EQNk8AiYVRxG06kmumSlQD86WBR8x73xkJRgh0TynpsebkK1Lg7toG5ebFuXtFUQRFifjnDr1kWT
PMSeJg9KwxqQD9xtShG3l2Wo4A1f8LVZdiyrxGMnsrfhJB+t0VErX4h6a6gWE6WJEwNOX3RqlEST
YD4XpvL3KQiuS4sTN22USuxCm07c3FvzKfEVYuaQhv1cK0r98HfS2b5+A60nOC5nt97TqKznvwtD
+63PVoxNVWz1JK0g0IVHP3N99ON8NtYEJ2uaWxxDuj5dN1qP0rHwD+CtMbRvLlDf2osPqoXEl7cm
frsfpAaPU3tK6ek7eErexj5oD86MpPJcvCSGKngeRux35p1m/l1V0fyxgawkVEvyNux2mmq9iyoH
FjhuQ7uk7K5eZp1o6BNHj/j+4nY13B5umNuvV+ndtWkQhYJyRmBfpHSrE57QDg8htsCYUAt+TH4e
7XQu9NXo4EpdVLa5UiaZDWMedEAVPYTekzPflVKtarfZ3MSfJSDpPDygUJnuwC4Va+DC5BU18Zcu
dxbqE/YHwUAbuTF9OriMtWXS7CpB05s9iLMVp/olKuBbuXiZ1MmDCkmTqgLNtp+SwCOWJOlizb5E
7abFr2MLDKnEJWj6hUHzTvU9fp9h+RY1FqvBfvgbzG3KoXt2rTE61QbYWzG8+Hn3OZ+OsD+fHbo+
VkInvC/jWkAj05/pjaNxtcTpb+5IDogAWXXoW6WP68EK2oucB72N0z3gkFdIqw9ulnH3iMBcIJHZ
p/OdR8fr36Ios2m75CmoudgqEmixpb3F84JCq9MnM3LviHe2Rh5/tiNI0khTv8JXs9M3Q2MeaGVH
HAAsZSPEAFFTw9HAlQeDOtqh7P0PLaQBzca5M7S7fK0Vw0slK3ePJ1xwYS0VXHq4Dl9bkY+hvzbV
2EnODzglq+uoyH76+OIaXTBcvgc9KsaL76p/jqk5Ui4sPA/+8zTSG2czTtJjnZP5ihL/zW7ygO6Z
id7+H7bsuq0lmrmbCny01WHwTMM/QRJ+eA1N1LVFHsTF/ErEyV5Nvb1PwIvksKF2Uqf9InQaMlCT
IAFp/QI3QOI3q2+d376bQ1wf8E48KwMcbF/NDi15+KhpUXqpGtvBQ73DCMPHfMnXrL3NLzf0UbBp
hgjihs0dwHGT+xAo14Wo01lD4MKnsutXg9tn52IA2ADrJEnXynDpd55/CEON48XT8fHEap48JwYk
AkafGwhK0+54QS2Lc5af96e0yLe+LM9NHLqbiHvS2Gh0YON9tOW24OjaRQZNeZCZ9aNN+gq8AxYa
gzms+7F11in+Mfh0KLwDjDDtd6Y96Cf+55WgZrdYnK6rMc4OVhU92d6bMLXqvMzsud92p5yPYwJx
xsCl6NeYYp3jsk62ha1evSzbymGQJ5e2/x3sRkzG3LEjbVj8NdLG2rmt212ssSL/5+jgCO1CrtqC
03m5O3uZ0De2TD4x3NnnVdFdwkxvL3mbWjvNZcKfuLPrvbyz7U7bthYrNQyjSGzTuTNWEYA0zBzs
vMN0pDKYgYIDrZsrI9JtwlYwQFM9els7jeHuKiMh/iNj0EmftnbwME2tN2vL9v4AHoQN2D1BhOCP
RS52W+tAhYPoR+eSLpfKXUGFyw55px/j2JKXpLHzfqVFbC77UG06LOY4FxxRnHPfwGuP9HgwdQie
58kL4ZR3muAaQyD6kXmAgflg3LZCDU8YI/lZ9OnexpNsPRqx2sJ/weKsRyhgUF0JOvLkdlPidQkl
Lx+c6OJ4SXwxHcPfRnY9rWiJt0Qtjhhc7OyWHBUWaNNaTfzoVsDVjltXcsWAjNNM8CchyYQFXIqt
JEgOkKKle4QISBYMBOKadiHc3abp1LsGfdkDV7Jb9D+HbNB2VZjXG0FWb42XACZf8/eXRhKDxjGw
wvOTHxNlMFaH8U32xCmVp+VbU5ePrNwOuWT6aZ3xhg/k39iivYwumnJd+2q6DGAc11BcBP3q3nOC
dGtlePF+HKsGe1Rvb0fucHAT96oFXNhVz59y1OonwIRqNUFlhSwZrDkftNNETpOSWCc2oaLP2wfY
x+rkPu01Z60nOG4FLDZAAnIa1BjjsUzKV8YYvvmK4GUge2oHKWBUUx3CWqJr7J7Bju7g5TkbhFUX
9KtARTKyV3b4OVj8wDAwTllTbdukrbGfUngjqs9+xtcHNXa/zjzh9EJ/j70+P7RNitFUomOylo3r
JhbXTDnUtWnRivIGDJME9BPn9e95anTcHyZXBtkSXKFVd03teq9xapCyBq9+zMPwxaxwpqVD/QyJ
0F5VI7PMDpIItxxca0J+I5qydDwt3AREd5B+eCUL5FGb+Wy1pzakfDaIylv8ne1sQ6FugxuOu4m9
ET4PbfSmJt1T2ZFUcMhInTK/2ko53k29bPZa6247+HUUVExv49K4MjNM3flnbKrZu8L6NdTxz8Ca
q34dFY8hSB71KTUPhmjEtVMsJTi7fhe1eNejydnWWbgZselAyhqf3MH7qEnNcGWriwnFU/E3UqFN
OowfzvSNAt/hUJ3FiBNDHJl/RioMKwcbBFV55dn0J7mmj1ltIqV+2xZGluUIynNyq7/LWTthxbzF
Y67FzzBC+zc1Bb6YVXQKFHeVeL5kxxBzsH4ell1YU/muIp6BoMuxwWAiFmb8kmhWeKmIqHYqx2vD
sDT/PCVVcM481pxecF5u8RROjW1cEVx83fbnye4r/l/mva/N5SEZ54dUryAPz1NDQackrurL3Djv
98FcPwlAUJPK5LawzKatKuJNJIKBspmGW5PgMsgnLAOHjN7KpsNAOAwAt36nY75zWf869r1WX57y
/ei/Ejj/6/OWB76X/d8v8K9j3y+/vPLyvP//Y/+v7/b98t/v9j8d+79/guVf/K8/hHQnd5WbhaJO
1+wpCwns59J+qzX6a9+QUyxcDMBSWGZOKm6ge+rTGJXNqZkzK7lhfsixJtKkKjMNn05lPQrlTFeN
1OOTXab3WhWrDxB05rYjx3Lo6JB+KTRE3ljilZX8kH5EM/bQ0N5SO/oZAT4koTDE5WYoHsc2vaZt
RZjqzVZGaKg+3IxmnMExrDOqzeiFPOIxdjHy6JscSY+aZmYw7epepWhQwoMunv8RiTPAYE3xBm4N
QxmMFTeyD90PTfdfhV5Xj9M0hFdLb4PVcjyfxmDVe6k6WHbwFIAPXHtN7Z2IuFZ22XQfUdK2B6HD
TKu1R7iUb6PmN1hHklyiWvma2hXzHKR63PFc/93VQISDgc0vPpj415Bedz1hVgfGhGFrhNpM4V1q
xjpJlU571yT2V2WUv5qmbJnttQqDM45PfNl1nhji0gGFevXJZ9vzcX8cuBe7dGMnXFGrDuXGh1bC
QhRp8RjU2XgbHanjdymbx6mOHuEoxtvJw9mxt3G78sFDf/j0jzdI1N5kErjHtsWNTcOzv4ZU8sxU
HMwnB6J5DDG71Mgei3CzfDNwitUpVlg8LrtKS3Funh4m5d/5KtT3baAdO0dMt3bCw7GH9Qj9igkk
IZS30mAGHfpgw61qNWTC2AYuNoj9qL2kbvsYOU3y2JcTss7a/51ajvk+iRaDz9zHj3woyFmP9Yma
mfU0dqF7Q7NQ49OiFBlmeFfV8Kfv+MEq145PSTAVmO5DJNA6qAI6dba8aw5agbtK3J0dqeFInVP7
FVriMvkNyUeRmR55OxDg8PKgvJsHzzGTdxHQlBUUVFAIMfZ8xB/Sx3fSwrf83bKzn7HnVveNyron
JFTHuq9AW6YNiWj0AesppdqbeKNzoMnPPFZh5rMyrEh2lIdJJKzuEHXhH5RYl6iaEGjYZfAuRiTK
XpzjKdna+pvnPSy/tUkp9Jgp+Hme6Pz3oWbyGyhz3YbM0Z8gEp4nJwVV16XIgXWX2IdU/7aOkw8d
nMWqDLOTn4vhw5qoCgOnj2/TMIKDYGaCXef+oUC+F0SWp7HSvPccnc1ov2sdclMdJyqiWI5Cq/fA
Tg8RrshdvdV1Zb2K4MOxcNI04rw965aU62VXQarfSEfKvYWlte+RzfPBeVZ14z/7wGFBmGJojRlB
9j76Vb/jhEn3nYZVD4zqkPaC4Rdc9eS+iQP3ycEcjsBavKsCE13ZUQGfdRPHwDXHjQPDee2Su9pG
E5cDPgHuW40b35jp5YuVlRjpCvdT6NXwxooK8zt9XhJRYyO99qZ7fCORlsZl2U3H50lvh1cT20Bs
vamZBhFT6dwOtNIB/F2axCkP4GnRx9e5eOv4j1jaTiF1WsM9Kf4n3OZxhB1j46YiJ3nrBszsPEl3
ZyIuQZ9Xd5qw/i5vVlXYXiZzcb9V3BT0RLPfyEFwdx5s82JN0n5Lxasdh+1rJ8f8nAh57B2CT6Fz
4bZx2OwL6lW7UVQUgArpkGdprMs070blT98cMd0b8mc/kdldY/t/+1wZb4mdOHvDMfXtsgsKWawn
2/qZGBRRA6fW3/AyI3VC6yF8y+gCsdq680r9t583/htKGuzVvC7ZWANZPD3x3iKfwkZSjNHV5Y79
pg9bJ8cLUJVZeEVejU1VHLGqSmP/LCLSu05qurvlBxAmFiegE4pb0+gs+Aek1ZI6l2dr2HbDgVAZ
V1poaIc6KFne0c12auDf7VRtvpaxxJbII6mEJtI6DTEuFFqQRLSHNTilcW/XqfRKtAnNjHQlLsxV
QTEEt1lqUviY7c1whq0QSK+azCMH9rW9PL48f9n6n3an+dX+9ZRcI+/69eL/+nfLs//bw3nEL+ca
uLjXc0Fcp1CybHVk5LiVMQz/2QrjPIYLOO9H9QgA0k4dcuP6cK/NXyM08uIURTXvzHr1GgyUdlnl
U2yaB8zs+abz1nIsqP1gXZpMRu5czmzI55xQV3gbzaA+E8+FoFDTmehJJhws3VtFukEUzx28OS0D
yZ9/thKZvjeW8rbJ/KDb8j26ueoDjZFVjUHGbsRz/+QHmb2JCFJBKrCbUaM8xZZZn753kzbNT+O9
W7nDzvS9B9y0zJOeSErAfW3f+XHu7cwxnk5+lFBiG1jOu5Ga6BqtOSaDfh+E4QWtI60HUVttIcrV
J1s1zDxt9Gt5x++3/d5dPh6r8YIi+XH5/I1d8bm8rsapct5soNauWOLkm1DE9cmZq1/fw3KsHTK5
6xRcWUtgli7yo4998dFpJdXA5YNgqrvNgDofvr9wP7U7H4vrvbkU1ebB04t8nYJKX8dRo/StNVc4
4ZKqfZMyT8zFQ3eudy5b2Vwn1EkHcfMnlz4thbAhviZDgCRk1jgsA12RVBYFkiWWuXq9sRN8kM1a
dwD3+Hp+cLrSOvQt1Phc5qfJcfLTsvU9aEmYn5h7X4sELutypsWCQx6sWpppK/gAEat9THgx5oMe
1JCmTubyM0P3n60y8LTj3ITKzIHf4/xmcd9j+zj1MTeyTsEhm09id7k2v9+lNyhxWlH6czmJl6FQ
AQZ13/sAMVaVNmXHaj6Tl3MaMh3ejtUQb6TXy39Oam0Mf4dquK+cnFYO4KLNiZz/P4MWl+WxwaQa
oDNlwdly2lFh97XlaTZVQje+lLGnQ+nIQsumgO2yvEy0T9cdCn1LmRVpQFFLQ4PSYoojLgkrytPd
1+v4xIhfW8sx8v4oAJeD/3qOP7+1rMjtGkzXm8DKhtMyTH3/z9ayCwqrW0vJSrwUFMiNlqJwadr9
P1vLMV/oe5yEmHXTFrTYcptpZX0MxF8ry2qqtrmHWn0eDIeKztiaBxW7dSOBpZUk3OCYnKoM5t4s
6gpdzNP7qXkrkpBunyCpTsQdwW4K8vvJleryPdSBSFe6pigFBj1mGyEVk6Attwbc77M0zehsqfah
NCIIbXVb4RFsIGspNUwt3wezG87LUFVmWFFqLN/hOvmAPTX33CKSOStXel9byy7KNn3rz5/OKhvy
Lpo4G/MzkszzztE8LFvLg1aSXWtfN/et7iGm65ItmTIDT88I4vycWn0orT/GVNb7QunWAzH1fdJF
n2M35vtEd6B3BWI8gCCGkp3H8LfKLr04EM0OSdJShZuxYNMUTHyUTzlYxoXKin9Mht7Z45Gu3WMr
63OlrO2WGFZWQtvazUOAK+evCCMTjEqb8cxSrHlQjkl63xgpSiJ/PYgWFW45JOl1rH38GnMbaNl0
dse6wXQZA2iZyObJzvPPQjeSC4m4AYkalqodqai7xNZAinjS3y27yzA5/U11qYbaDa1K04nmgC3h
cLcMBrTyGxJSVNRMocpmrrEzCK5uXqLUrWDoxpPYyGAx63ZIhrmGV2/gzL30Uzwe/LC4s0jpH1xj
0OoV3GbYHxME7LgOUgxw/89Ak092MbT2NyJsEqjzcT0U6J/AYH8/lXTMuAYpnSKlqtuLNmdcl622
jfp9Q0q9mItIdiufkCSPe4clHqJDBt8uvDPs75BlHHnjCc/EbW4Y1Fwb3cXeuOslTqN1stGnFsbW
cjBEhXQ2sbSdc5bZnL0k54sDOCW1teYkO62nzpnUVBRz7y4KguhY4xZqNO1HkKF4I89yMuekitea
/tmOdfJcCXnQHoMHXcXNcRrQTJEHTLKByyzUspbajxFfaH6IL0lnfLad4W9QDR+yuXIx6CTrYgOX
WNdA3CTK6EeZ1h9O01uXryFLKHJQ7UCxHSJ+yTWPzjgZYJtJ3meedS84vT5IQnPdz5gx00B+DX2x
cwxPnDALUBsL6f2KtVt5GpS/IwmKv75ZYo3a95Bp7NHcV65/qhLRfw16l+AWB7KgIM2PJbGjdR/o
6Ph9SaCfqB4Tp81bfmle9MGO90tgYTc2Ul+yUpslxNB0bsLfEcdybDTxSCiszvuKOLS6/e9hx7Ir
zLLfBqnzu1gkJUvI8bXpNUWzB+mMgoS5O+jtUK2XaZ1KLGqi+L6ajy/zd5QynS/z97K1DLFtrp20
UQdmYhSs9FR8NA632KDwn5eXsecQRxodlC5H7uK0T8Cdzy+U27jw21wpJGsNU7EuJE5YpvZBNWtj
UPnRQmK7IaGJXKLCkFZJh1J0hubVqDAdRWNJeTttzpkBtSOHRZOv3PKHLFDSRF77B3iLPIn5sWWr
6EbKN4naI4NmQtXniftrs6UD4uA09kZZkp6BZfouRyNH4T1PvVq086PQOX5PscEcQS5T+nJsLPoD
arFxn9ki55SfH13iRoozP+KsV0h9CSURnLEgCrFwRzAnpLnyMj3aQD+iP2OZiJe40kTkv+76mMSH
slMCtxoEwDIs8weNpnJLY/lPUzb8XPNgzL/I8mBau+kmjMtZapHJfWrFx26W9gzzkBSz/GeJeohg
3GPiHpZ4R5/joHKW6ixby7Fl18iaTYXDLLQlN24OxdA9AqvqdkXTdRT5TQgvy6blGUCiZLqjzIHs
PZ5nwPkpmcVUvmwtx+rc6Nce8TOnKg8sQwt1+lTPw7KrhT4J6gn9Vt1R5dvaMsPVpfI2KJLUrojq
u38F5gK5e5qkl8wwH4tAl2vah6t7o9JvQBcAHbYm/GNWd1EkhpurrPcxkMbZxE82HVHztJr/2FN0
X9t9661JdgVE+AWEtNAE15Bp03MFnDC0rPDDMEkaC+48I6UyYAmAe9yo8ylKxRm2HQxGkF88u4Yu
4hdyC/DRuq+qhsQfS454Fs3ls8Zw2dID3g5Kp0mdsLVvY412y2/RgdA5A9LOHg/Kst9xFeCatRI6
4+o8vqKsfpsCLzu0mFBehB6Spq6tNx+1BiY82zEcLyEOn7sxbfxTirB0ZdmDXA9JPVIvx74F0TZx
rOPdIplC+GgInX26ZBHF/i3c8TAkZJ/RU8f3pkDPi3IlOKVMlqvRCLc6+ICcxfvBF3W+NzAEXyH/
TO6GsUsfYTC8pBm3WARh5nbIpifo3+EKSqVfgxHs/Uujpf8MppX/sN0Sf+YSs5dkJAmpK3LtOACn
zDItwuq3Puy5gRWUtYLCfG5yp3lvpkpblbMVtrRHrGVbjfRlP4aQNeU4PMk2+DnFor8se+kItKjL
qbVhEb52U+W9my0wQqCH9smqM+8df1xjfDADPOp1DR8PkXDrqwz9YI73fushD86mtywKtdeiAsIV
aaF3WXZpRtibIvAeOdHEs8irjW2N2qvdqk2gaQ2lEtvc12YHZKif5EMXUAjC7uVQ+160Lrl3riPb
9695YRgPaaz90mLnR6Tn3VOGNyvZFG94cZyYjs9I865Z7wb40z8SblZ3X61duU6hvnQreeV1HhQ9
RyzlknUxqKBaywxmaDgZB5GF4pxNeXqZiu7WxcljNsfaaYbgO7B1uZOFLu+8jELtWCXTD0H/OkBM
9ZqmlLCcUdavWZBd8tjIH2gRq1+jrqEdyeyfpZ8ch8bpr9g1R7sy5l5Vap15b9iJeW/CpbpMk34t
tefGsMlYuxm4BUPSuZqmdIZUjtpO4IkSYb0MaLGIjuDcZTaZv8otzHOtAv8ccMbs0t5dSbd4reWU
7dTQB698VsdsjPtp9I9O3WjXZQhhKq2EpG4WdsN6ys30bnQCRYwMQ6jIeroz/AztOXfhxyGKH1Fh
hxslGx+vaa48G0dKn+TRsR6GaYNcUr5HBUDjpMo7uIhDwJplaB4oJrIIMq8JtbW8xb9/UHwb5ZS3
RJfjUWa2gStTbPUH+vW8q8+S5jo9l1n5HLlN/aRqfL2l3+ZnR6tzqqMo0vOq3JWGyH4F5ikRKv/N
EhyZda4Xt3b03YsM9WHTmd34nKTxk+8jYvNsktKBjF4iw3keAn26LXtMoSiX7Bbp6/xglxfJpu1R
b1td/kTCvULH1oVgWQBcWNO+R0wGohRPh2Fw6F2xbsI0y8ev00vRvbSNGjhmeu075xHYCdH9w+Bi
GFzRhXGV031KqvCa2UH0NQQq+uOmdnCqxU8aJLTVkBjJMaya+KnJMnHMPG1fxCgeC8OPfxlt9Da6
xWNodfqLPblPfiKaJ99ttbNNHmxDeZRGDKT0zYRnq6X309pCiiVXWcCM0kLUYOExvRYhH2yYfGT3
o7x5KUV9eLH+++glxkY1hYYunajW5a9u9bq20dNqr6da8ORBle3iTr6YLSURh8YOIuWXsojkyzBs
fa/Pn3VxV+UDwDEMti/FSONaX0zJnelOxToP432S4SG3DEKxwCEh10/OvTMZ44uHwXjXt+Oj2yby
xSiKA+WR/mF5LE+NS9sDTdKK6TxkVXIXTWF8Z0qXyohXUh6edyMHUuCylWuxzdpevy57ZILp9+hp
OBsmK78uQ+NF2izkmq+WZk5oG3QrEcyHgqJ1ULj5o2xe0HN0T/Y8dIr5JvYULVaj1z6VnXSQNgzv
yx5pPHM7SSScsd0rZx24fXgSoQuNSkf4dfSpvve2xbF2ousmlVdvKkEH23PxG/sDdZGu4m8YHLwo
Hc+apSQriHmzzLvxvGzpnjucjdH8axWoeOLQyyoyPxWiOCW8Y1uCO5j3qGNU52UrdiQEL1efQJP1
iCAmv52uJmHpVTbWaybi7sB6arpGpfzsOgtsB8qNezfBLLnsam41867Kk+k+HkrzZIfJ23IoM1zM
r+l9Orgi1y6kXtld/pmE9P31z0wXfpFRmtEu0yHSdVMS0y3UdU/YXkUYKzp3ocnecgiLn3zlIZY8
L8cMLsEjZxBcpPkfLMdQixJLhcO9wgQfji8RQlx0ZBjmFxlIY92npr1dHhyS6DWKCWESO0YjxhI9
d/yrbgfeE666atN6mrZTkWUfg17MPS6tfrZqUlbLU8rG9J86KugK6PHDcqgKIIXVeVgCAqn9JzND
s9pGLulpf+W7IrhSeajRGBTIJTWBAjAV08Y2svFI++BAAZ7uiwGLfX1I4C0CrtrJTMvvJR1MgFZg
h0SSxrTC9LwjBX3zRdfClWZ4amfpY01nn+vfPDH6N9b8LKnLfNiaOW2HkVecy9COTtKz4ltYbeKG
FiVJVnTo1DZwaPCgb8Ji/VVIOMyVNX16YVlz7aTkvk/J30EMqxrYn/eeGQa5TlGDAmiLV+FZD46c
3jujwBZiQALf0VLTZ38EQfraUeoxyLx2oxzxSBegnU1nYkGN7pb0pEbnNRA2oB8NgeHYIF2c+C3L
WD27ZnYbQpSrYY6WCOdxmmR1nL8jTHrO0WMu1G8kis46MWpz05/81Hsd6xqvDJSAKgvo/bc/nRxi
eI72Xe/75CkFBAl4YTsVnJyq8H47KlaHxofOGPnyty2j4IAqBT/zrNz7ozPcWYpWWexhbVbT1WOI
hhCp2BmGX08q0MUao5KfPkHnrLKE52vTEqoR2wC/yXDo9dKdn9jAw+Y+PI31Onfd/myE7iyahTHm
Q1Fq8+o2oBpEN5rLvT5i7FH5n0bhqVVmW9U6GNRDatLP3Kp8K2dmt3CLta/3b1ZBciSvazD0485x
46MGKBUKGMDeSI1Xamu/p5kwGmgemFacqP3sCdpUsE8a565KYpLY6kAWD656aL+MVoWKHIyWVo6/
Y2E+DdoACyjKKCsF8227oHA+AVpxS6TliUPbSI2wN3xzBkfQu2edK4XehU4dq9HVYWiKX1qXVEeU
TdCtacru+bH3far9Hs9xBNOUFcY+d+TRDsZm51rQ1FsBrcs3Zs0FrRfd9Leso+NceTPGvL5DzfZT
eja1X8MAd1gnFyskAuoA9iHTsMA1O3dlSLseWfmG9ZztrxrNGzaVWe7ghaE9pC87mtq/yVB2QOXK
eB8WzhlvLhqHleD2SLVhJK/gunRFJrpXbWvTvHNGWCa04eDsmTwnGVTFsa9/ygRE7ui4I0R4Y5uG
pXfr8/xWuFm68iL7UfqslGUc3+VF9zp6fXKl59E+Sw9KiVPVSI6xr/cq8YCiBb3l3cBX3ZdZ9auK
/P3gA/tCULZfmkGGqIV9A0RYLwAQZda+aMH/+C3E+VYQeFT+80ipe1WgPML5un2oXB3Uc5/sOjPe
+hCYqpEUNvTO0cJ2XBRH/opi7Zn6r7Bm+Sh0o9yIcnwUY311GzdeOZM/nLTW24TDzJUpuU48m07t
Gk0Sf39T5qsRReiGiuYtg7ucYx1wtCQhQW8HZy0DZd4lAwnLtt6XTkoDvreNHSvfJkpw2RV8A2nu
Yi1GQO6nb3T9tpBQo3OvFwdLgp/TLW0bVCwTejAkMoueUl++CAVLys0Iv807vaVWC8mMnpyOJJAU
GKhYbaFvaDbf01N8GJ2e00bSDFVrSJi5Qd4q8+9QVQDmZp60WcHz62Cbh0b36nuQtv6LuvNIchzL
1vRW2t4cadBi0D0AQFALlwz6BEZnhENrjXX1Dnpj/SGyXlpmVL8sq9lrs4jMcKeTDoLAvef85xc6
6kebVF7T7ShwjZp4TqmcdhjdwjQIblE+oFBtAZXRtNY2SnEIDq0JUQp4yknCb4NUEmn2Siq7qXHp
U3wsGdU/ytT4CApycCG2gb3Eb/WwWD0j0TDIKa3n9isaueXRpH3LszbY1BGKHLGf9kWvo3UmmWiY
yyXRl+BHrU4JBiueU8WaXkbyRRr4i/JJEnKy6qlcwQrbt8o6FZnQUJ2IxSXtoztVOsld7J5+tFf5
pIBRB6aIPUuSyoSKX4hRPcG0UkIBZYyJ/Z0KjSjDfpzYrMj1680qcWq211VaQwHDkMNVGuu5Cttb
htD9gBfAvWi0s9wqX7MgYwgh5E+lWT/wT1UGEaRjsTHXCZPWJ5K5zXi+GjrHRfsVZoLiykKWnmJk
21YkROuqMy17JvgynpVLJmmrriP2Wi50lFMt3v3pfDToYbVedAQ/8r/PROVCHXZ7oc6+zfPo5UN8
VCYsyit1XWkNrDmVIGWTnCw9eS5H4w0n4dCe9G0mUV/WjcrSJI7bAUoXk+GGDVE/ygWe9pEYulES
fxqBaYuhdjXJPSXKUP2o65yIVZS+U6qe1blYuqBgDd0Cuqc839VcNR0KbHgp8qqRtGtOUTX1xaHy
57MGjj1XJDiq5MR7Y5Oe09lLyYdyS72LnaozBDvRJUyV8Ad3rayV7FQwtr5M255ylfeiKCw0NS+I
Mu7uoIYREoP6ylH6VMeHTJS4ykmL0n0QCgtDI1ibUtxxz8v7AbY0LiFc0FbG6HAGyAMxh7cYG/s8
GeAqyRvgiKtWjCzNk3qtFUYBEAO/LDQBaLMgqjYROAGfRTr3xSoM9Hd5OAxGvU5Tic1kYrKmoi5v
sLN02rZm+pMSVj0YYrEJO/+WFTEmzPWS+hxuojF6VQwZ9QwUcZ9UK2usE6TNJFsbknGSRR8NDtgc
Fbcjxt06twzFNcJqAt23Wli/s3V4ryQKTqi5NC1F6ooygUWzSIx8UuJM0lQs6Q2kQxdYKLAhkJ7A
gTxrCvYRWb8uE6PMCawMmfsYPJIeLSS0DDYx5RmcjdTYgcQ0Qw33QA4vkC7h/KWVBhl7/gws7TUI
OjJb8200BP1rUL9Eshk5VhkdkoK9yBJwBKd5mosaIjTUduJ0idIdvsfap1r1Z4NQdBuciWyRGQlH
U7OrwzrqBk1DbD4XdsTJIb1d3RcV1FpzUL4YNGK9nevzesQdC5y9/AKS9WYikrcR2YwZ/gUzkRvW
RFKzjCBHhUuRLAlmALyXUYGbIBD5GDXQD6yaCgk7AE+BS0MxonpAs1iRdD2RERq3S9D2j6mtY1tM
AcxpOMnVgkusULPlFiGu0WYUqnXZmXta8HmFh8a+tlzILsC4YbVsSHEzrgdZ/y6k2SbF6ctrRJYy
SZ9+4HTIVeFr/eJTgsF+/dmPqnQYM0bTebEMQ81kH8N3XwkGspc8CQjERSwrWkmOfoAAqzrmOsiV
/N1Xow8xZNkyQdR8EEsnhfRaow9zzbl8TLC+ECaeRahptpmGF3Ue3zJdeVdLnZymTMMU1PpS5PBj
JkuCMpCEWLXjymv9qsfSYICCXhIB6+fvk8aC1oTZMUf3gEQ6Og39oLpxp+4KTT4HpdFte/RKq1Q0
vrPdX5rK/x4FZOvWeC5D8mgFJywABQJ9GYbDjsGfVDYdzb/LIZ1dg4bGScx+Xi0GDjiKSl4/E++u
SGvBIpadSuipImU5kCEvVxJxa+gmRdTnsC7qRHlX9Piz1pv3eQJ+ZBYcBTACszhqn9qatXbs1UWE
wY6oiUu0rUJWFU8D+MVBU+yIL5shWkMJdIei+lFX+V6LhwdMJiJui9gNE6vyrIiythCqia28XZst
cZti1G7gF9ZO55M5Zgq4WlRQhddZRn51LOSregrvkYruY2ZySi6zDbw+HwPioe2gzM8DuOBak4or
ZCLXFysvKzq3rdUNEjBGVikcgyQ/d1VvHCqyvaqSPNY8lZAPSi0SDAKP2lHmqlHDG+MNrxMgHcsk
WE5RMp4rbXLHyb8NE8FwDeNqAk5rKf6qRx3QMIa5E/cfRfMi6H0HW5KIQG2WxifhVaDYWmk92Xxz
RbHUFNwHecC+k0noEXp93Oet742x/GZqEm8EthqdUbCvuXV2akIj2oxIMQWdRAk1Pwtq8pxh2PRN
CUAPe4Vc2s53mFSOTqar6NZ6BLEFJbYtbxApZVR1JcFRPZPUzhyIGEaeQW/xNsphvouMH1WNCMKI
yX3DFCiHpkdULvMa08YAgihkw4yPAuxl3NrzlSSYT1U0YDLQ5V9mRwj2PJCnN5CrF1xFCV+YvlUe
gjW2+ODk8wXmgL7WVQFFow5Pp6uydsUVkXOQSeR0Yf4a+VupN6DpNb7mpklwnQ39YA3igJ9D+yEF
tHgxco2E4LfSrM6BDq5Sj8cxJA2xjV/E5bos8XH1pKXyGfFl0GYxO0ladWN8HjvZXPs2TeCoRvo7
Z9SZw1baBjkMtHnKs7c5DlEtRP6pG8Vjn6sumrK1P2vvMfhPiCjAHhl0FWXEKNKKK5fVU4qi6Vg2
0zm3Js8cusahwKtcSLLbiqsHK+ThTR8Xarq/FjNxsiPfeOvKONnS1ZdANJrGwIekaVH5CKFslAui
nlA+9XqxxIE2H71vOiLUp0pQ9qg1mx5yoKg8K9g0ueUcsZBnutctQetaGsMdxzSngEZhC0UH1TNC
Hs/oqRuRaWUEQBflUkiiTctTfc2wgaULA8goIXC7k1FqyMXcrkKxdNKA16k0k5Iq3VWqWWCqLLYL
MzFKHmlnmQ67U7S2wmZeqUOvuqIJzb8n78QbCzVcNelrzBYFw0DDj7kJn+QsEldxgHeV1TxLjcWH
D+mBoZlBakJMTT5Y8CAmc6vE1FYsTluBnjzzxy+1gL9HBeUZg/kpjqqxwUUlXhfJORCKzNE18Xs7
pCoqFJbuupm+SX24Gmv4Cj+/HY0PoJAZVJc84yEd7kGTC06syeQI1eq0tWTumEZnw57myE7KHbv7
gMoi/4ShVNIyEo4amZOXj6O6oWF+dL6LN1G7TuRWdueQz4HiMbLzckLbRa405VixFkVrHZv+zZCS
xYEgfRlm/TgNC6ham9h3KUxVmEwRv906KYO+TaCKPpwwtkMhrbDCHNkMLSFnkyr80xz5imeywG2h
NiNt6El4XAZUncXS2g89Ci3RQP+e5vLRVD9CccR5HwukpGkshvz6Sp00YCuRPL/y2GHWchmjADaD
hERMK+NdUVQ9ulp0vwbtBNyOTyS37fOETVbJEfW+Wr6kBHnYkcCgpKny2pNq87MMxwnRLmuWJdna
oBheM8SqyyLHdj0MrjHqkjfXpnAuE/BERZ+dMIrljdw1L5M21U94BDl9AFd0zIJLLy6pKopyNHIs
7MYh5j42j4EvEV7fUgD6y7xdTruW0irPHbLb0k0styuhr24dRttOMJNU21TXXtJfccAarpC8jw35
81mij1d4eN1+iLuSlgwhrSV//jQn/IdP4l+s//4wYPzdCfCPL//Xf+nT+N/SfRErwr9xX7x3NBZR
1/zVeJHn/G68qCu/YVMi6oYoMdqRtMXL8XffRU3/jcsco16GcJBwmfz8YbsoSOJvClNkRGG6ZuAO
v5i//sN3kaiC3zQSG8iRgyWOX6Ip/ce/Y7z4V4NBUybmVtIkCc4zLtESdoO/GAwCJWhjatCADtV7
1A4XxTCeVaJH7LGhzZkjA98TqcK2jxBdZqtbBPBPelVhlVYjjJJRKVtsWB10t1L+NMx2dCyJ5p+M
9tafyc8lZ1xkzEvPb54D/y5N1SbIxqPeRrupVlBmBY5pZs9lAwBZjszY8R25xyETWT2s3KSCQoC4
LXE7YDsp6gEIWtzeyjBZ4YOFo4Spr5QKJnQnzyvfVwBgh38V9KgsJ+FPXrw/T5IuqnyQOLca2PL+
9SSlQqGR/oo8YfSmWiJdRqBvw1TDyavhnPtQ6fX4tYDw1WmdG85gKZJ+kmbc4Gb80kBV94i4j5Mm
FyfN9I8id26jlhtwtZdoHnVXz8s1pxpDpWR88QtBtnFh2EVRjHsjDJ0S+k7nRydzTh5ZGr0WYeP9
6aL9x035PyBpERuct83//I9f7WmRnmBNC6mNGBTZ4uJajF3/5Jjta9FYoVEgj903rwSfnQCoUBci
QtUNWxETN2XsorT+p5K36zLMXobx8S8OYbGy/PNJ5hAAsgzDlC2J3Uj/5STn/OYxDAxCj8LxElrM
/X1zo5X6/YeMRgZ+7EaBMpwVNa4Wzb9wYv+ZR/XrL7d00ZSWt6+Yxi/vPwfELiLFRDju6144S6hw
juL8gW7faYzG0ae3zCdeD6WlNSJRDWpnhrVWY8DXMK/NwtesRS5DTyEbsqfR0holWdTDM5strjZ4
OkrFiwiovPC+rVVRhLu/P3vKcnb+6Q2YLBXczBLBRIvB6p8+wGDS40ZsfhZVDzQH9GnTcArUaHQg
q81OElQbDWcyo57X02TYXfMwS8/vZdSorUkU9WjLKOt8TD5zmTT2Ar+/R6GZ7+LgDcKw6xoimdml
UVrBoJj8dTbLL9GovVc02n//VqR/eisE/5iYivNhcLPJ5i9LUu5rzOjZwFy25KNsCG952y2Y97UN
pPukyBuhE+9kpn01urr5F797OU1/OY0GEVasrAgHLFJxtF+uA3luCknqA9DVNNGw+VJuDPxwcSsx
Fc1xnMq2QerhATGs29yC0FEJvfP3h4Bf+//jGFQOQQNswcnd+sXKfcaVR2VFYzVZuua4z79YpBkQ
6Q8rwWVLvjWZchO6frD7Qb9Y1UQOrAiU3AkYldCquhZTNpQhPehRmcmwhMNVJxyEavQ6DRNECCYp
CdY1+Ce4kqQ/ZsUHyW5jCKYgrEkNHitEvGrbZBt1hgBOixta0cDYhCt6CDNbSZO91FTeMH4wbslF
GB7y8sqi/lAtMAUml44g4zWXMZEOSJqDLmvr0gicaXkjlhR23Wl0eOqtNY5CgDEHZJ9gSF6lPtqX
TbzPCvnWTuqmURRaMvWTlTOcT21vHgkYuAFwHVStPBdW+wyb/SGa6tVs9UdsRa+BFu8m/8VslCum
gc8BMJHTdNVGSQPoqP6dVvarKefGUUUu+NzMLy0ZWn0NvX14r3jhEi8QxBPKzTeagyJ3z5Ws3I0h
2ZO4vsLgywmBBmYffjBCbweHRrakfJmDS441aY+gtLa5ivH/UAj3Cp1gVKevg8Qnqdbtc6/lW8Vo
VwwF4MNr5ktVfg9Tw81x7keU9Urfvg9F6y1Eb0zFt0pq7diL2mMs9Mvyt4lRVabaJgiUW7pY3XK/
5lKAyFy5Wo2aYm/LiQuqz35+jmseB+yo7WQ5m2i9FOHb0Gfo2SgxC7Ego1WMvsyZzlVWp9WABWlt
Gm9xp12bRNxCFd8nxsLbF3lO2kMcbl91v32uE+4NKMps2kEGqUnZFEpnQ0ogQp6kjE0kSZSaK7zp
diWElm1VmutA7y9piFRTzYKvXmNDGfH09DPxVqjSTUvI755VlQx7YvyWxoNoeLuXweHmULlPhfgD
1xM7HsJl1tc/G0wV4BzkGGTxS3++Ry1u6USFvVnKi2nFPgtReHWCuVVNou9G7ToMcOPwjkR45OtQ
2ko8SxMJaqvYIornjLSd9ogbZkpYAIGihDCKqhCeBfc6uhLmKeEXK/uXOUq3WQfEQbMFejswHR2K
nj1CDr9MjeU+GoBa4CSm6gJK8lr9TPBMXuXnosr2ydQekiG+BgGGNchRGSFvJ+h6bp0XIX4W6UpQ
+olsc+wecYs5BCFAVQxRb1APWiNt1IwbcZDUEikeoSuteB8nOC/hvKOBSEVoME259SHQ8eYJwRN0
nwbbH19N8QGBQrPDAf5UqoChWVBM1VK+g0o0TlOmO+a/Pr1lFzqhsoYVX7ljXyJ+EjN3CLB0yUNs
lggjwFlq34oC3M7AegN9jRyk2dzFT0mpP0Ys4YqoYCdEPTd08l0322MRChuOpHOlCRQngGQawaDB
umZeGcS72gqULycDMAhHV5fapTXrHKFS734dyRgui6deuWm68dbI4w9r1NdKxilV6Xkd+Iexcuur
oMbCbaSzSXCcJEc0NR7sEfBEGoOpj+nmtE2BVsMZjJ/auyxlgp1rxtvIMAiru/Xci0+Rr96qlBuN
0VjeqPsQT2v846J9Xj/aUX+uZk4W5mWWKlMPqY8Smb6tat0mjXCbNAYMNvyufeY4X1QVC6nIjY5x
NJ5+DiNE/RJqMJuh6NkmQDkcj5A1O9ZX1eBXdoEcyA9ZfcX6uayVVZ60B71j3xPU1YTpnw4DjOGM
U4z+lxQIuAWhX/PltPF8Of5QpMANKnwJ9BKPXuzZGLJodpqGNfIqfPUwd8oljhNaVTbee2y4hxRf
xRz4k1CmkS6D6l19YLcywyKrKjuSss/U5O37kO1hTEqk0JVsCcvWk2XqLaA1x7Wu+t5mz1p7G2SJ
aMn5DKEI5vuAad0saFfRtI6F9Kpn3UE28nOVIDxGxIaWR75qgHiTFK770XpmEsQlAD/abmp1pkWe
VmovKW6QzgmzOf+btew5RmG95Q2HpGjdi4q0Dz634AyYAXiaVbh1nAM0QQhyDZx4cJcgiySN3yPD
elHL9FL4gwvAj5dNfpZI1pS1tWZ0L3+/d0u/5C4QM0++qg57ED9IXdHMpdv6UxVmobRFEU4C6RCm
r7XVRahzVTZf2cvhScq9fpwD/RKL3OnWeI7V+aQsrutq/JqynIaGcv/7A5L/uZZSdJm0iaXHNA1D
+qWemaCfl5nPzKnz5dviqRwmysawKO1OSoMZDWZRjEVYHedGvZmlCVObKR8cGz74XHHQIg9UkvlZ
lHAB6HVmSymGQ9Ae/lVkj6T/kvIiq3SgNCAmKQNoPXXrlwpW18xEDRlhu4M6rOoKSiaaCFmJd63K
cUemR+eFHmmIIJllL50wHQ2Q3iqTz1lTXqUu5wo0qdDik1pbM3FUGEqUql0E8TnGCs9Qetbd9l0z
+xXOrccQowIZ9lOdALn3oQOCuqoYSNVt+4U6lQsT9uEQ3AMd8pzyqobNhEdueDCKbicOLV802m2O
2dUsJOfKDw3ukBPeunwglht0Hy7WqVNw7iktuzdRa35Odcj5fgoE81z7mcuesfdr/ELptf2Strkz
V4UOiC2PX71oeoGcqwwjsSIoo49SzjDQNlWKrdCBKYOKu3ukfe6JpNZFC0m1hTWxFG2T13MPWEOw
FeKIvOZF4WZJ+6HiGqurjdWW95KORkr0s4o7g9pab01KjuhoOkP3sPz0SdaFQ4XcpBzeRFU562XK
frIYl7y2beRZZf49SvInzFGfkZjCklOPnSSxF4gocd9Yk5km3hs8a3xj9KoCETqG+ClB8dmWUlbM
4R748UHXhKOoTF9W7vfOrCiHLl2mpk5rwljwa8Z7NZt/3JsRGz2+koP0pOCoadd8/kAmREeZwVFh
p60muqs22eWY/qfZxIBc25rJdzkogegmnKCtiRSDpPs0FRId2nkN/+SSq50rwooRhO44VqitxxYa
qnbDUwoIlnKBVUqqasSpMNBtf+ih4A7R75X+vwWFXaMkKn98j+7/PwSRaCxnfwOF/Z//nd8fxV+A
sOUZvwNhxm8qoeI0M2BeEpkWCrf/70AYjwCrwGJaEmsMlbXzDyBMVX4zNIl8EUOyZMVk1v0HDrY8
tCy3lkiTtCRR/VswGOk0f2m6QDPICl2iUGUAAHHRcvx15SZ7RJv8HpJ9JT81kFPdbv+kuVhOeaET
u/3mOBkuDBk7eGHQsBtWBJmuo7VxnidvjoEnJnv/HvQy+ISzZsC0As2avuE2ues8BkqxN3ybNtqu
X7W7gcJP3wEWoV9vTu/NCnXXJtsYK9OToDKXCuPejZy9i9MGs6uSWaeNWRCL7rHXnktwJ45qQaJ6
15RWo+cPdvChuZ3z1HEIT52DC5CbrsOtvoK76yY21mZPygCEceiYu9ud/Y5V1kE8yU/pFoxnp9lQ
0XblQV8j4HK12x51Ki/C0OGqbupdupI/I89fdZv3wRFeFFuxl99AhKRxxlZeOfieEuFcYYvP/U0+
dk5nP/lOs5LOSIs0+3339P5u2cf98gWDh0O6bVYfWHTZBlGb9YGJOjx9jmpPs2h/815fA/tzdMsD
W9Yqe6b5sJP3ivbbIGLFsPcYoSDqMdyfuWZ29x56nDOD1zbsj8h+5VzZ8bZ1W743usYDob+tk2Zi
f9Y3xU2eMce08wOzW7jksRO9SXKOlZcTreMWw4cAMH4pRZ6qB9YF25JsXjV2gfYLxZP4JTzvoD1F
F8jhRCviYnSeOaPRAOM9WGkF76xxIDq4vpscctsiozBoGZDamCoF6b5xA3MnvzAHXUfW6orvjfTU
C/tmpd/GzeursJEgu65hXTitG+3i7RIhB0C6DbfjWt3L8oqpuaf+kK6pJ22SHbRUj0Ec49p5N2D+
svNUzRWMdbhCCZO476a8giyx/GfETRCJ0biB6qrxn3rcXt9Sf9WMW55Gs4vgPtyqL8MbO1T10RPZ
rbnVbCPZQu5PA2hVmxBeSE+2Y+AyMK5Y1A9oA/r+OgeOlp6sp9hmcrI2r+URe5uj8lIfhnX3phsX
4dP6JAyeyRdDDLIEHIV/iLvkFLrCGXcgJxaOA4NshuiHYpGpMYewRQpdWFKyjSe9DufvYGzzEQar
I5G2ZrkTEw7pqDRbVBMR0O8X+cggWaiKBs0rX7s7gnHt0J4X565iO+D8xtw83CiuvwsvnNiDBlnu
y3/iJd1P6hr7cjnsFscRR3ypXLpPtxihzdvhNyZu5SsZMYriRJXTfOkf+jHbh2uMZU0vrRxhpewS
T+CKgq8ewQ16NDzbdKW1S8kROpnjw4V6oqxuyXcd3IWX+I3LDB5LdJUuGLBoN2wmbf9FfMSeDSBh
9+tuox57hfRbnfr8wRuDBuiFXuddpg3lmRMke3y5ODsq7Y0bnJSz/yZ4ibvcsqLyNl3DBAN2u/nk
uHwHKW75DSmiT3zJN/8pvqCv/q6bq+qH8AlNz2c0XUFj8Lg+NNh71wrV1PQqK660mY45mZEEOU4r
XATa7eyeQTX3n/Bljtwn0T7+npz0HUNvnchDZs4//JxTguuneUs/6bDqjXy7BEfrzgQLpDG+yM/K
JbLeFOJD5ds8bVuHff0o30xgFzpqUJPOfog4hR3N8wqO5tr8Brn6mB16hwHDp3zZKs9rtGSn8Es5
mZfegU78ouxO2O1umGhX2Ic9G8kWrxD1Xa15Q/WpxFZkk7gswqv7PdzEID1b0X4JN8VlF68U57qi
e7ZPk7vSnqBsPmRXdgOn+S4f+JeNl+O3/H7DNWRV4MtNedWuOnfwwnvn5jZtvS0542pcpRsG5avh
cJI9yTnBkHlvQlc9zzvegh2BW2+LA7fqyjwXW5EfKXku1kaO7qKMtfgZa53iBXvSdoPLAfHnekA8
ay8O+hhQKls1d5Kjfku2qr9rvzTN5p/p181Y/zyKU/s+SU6zT9elnb6DvbAQQpfo7eZQHbDAkrnI
maT0X7G8a1yEqxJAijN5ul11/K9dZVv+ebDWSCbpa6Dl7OCT+Oc0c4nZkdbd5NG84xRra+sUj/zU
nU2HklETj+ojEBndaJ6yCi7a+iYcJd4DNEVofiyGa65K11hLq8K9K/c3ur/di7P5ErZMP+U9Amzv
7URvoUUO9HztjrHntmaXNI7SCY+i6QI31CU2wa1cZb38ZZL5ZJSO8MGOyuFD4JXt4DW/J5nTWOvm
wEGZ3yBlnIaDaOc6Exg7PFrVx+Q7wncm8EaLkBH44eyvniCTDOxX6Rq9S49vUMnGpt1SDllAhkC3
a3rlkjGysVypFR0V74j/hLv/rSrwtcj482sJ+JcMu/WP4nTPfjS//tB/w5GpvHSZ/3Wd+FIU2f2e
ko/251Lx55N+LxU16TeVSSR5dcwxUDIsBeHvpaIq/maZpi7DETV+PkSP+I+oOkniIVmmxqSCEzVt
Gaf+58hU+k2nCSYGUaQFZspF8fdvjEwVRV665j9NCaQl7F3UNWLvTFM08Yj/a7Go+DzQ4YtlMx1L
wG3nxYe/KT/6wIB8YtLgiX3bnDF6Hgit4QGO2rJVvyhOyHbiJ8ydeO7ygJaj9sFFST7Uqm4+G339
1rV6+VH2cHExbafLRPI4w+l4q3zNk6NMuOlSVXl1MhCS5qPUxb0aPd5w0wJB3pSVYjF45dtJMG0V
vZ9fJBWCZRe2W44YS9ZhiN7IIPqIg9x/CJNwTjItvEZoILy+RpKXdoC7GGD7bzCivH6Y1FveEJUm
E4Gc0/ev5qxLnsVuHA9JXdxqvV1JIAQfeZRKGGyha2gWL/GiJbrMsibBUcsaeFGc9HMiKQNRDDDZ
NEFp3nPBf0mkNv6u0ZuqeA6tUt46mhSgajiZptugW9mR0RStmy4M13o0ZzdIYTujS2UYelJyVPJx
L2ax8mAsRaWrBCiURkzE6gEyd6xm/ovUQ7kCApYXtO4U+UV5FeoogyYi9bvSj5tLr2QRvtNrv9ON
T3jTNYKOH7kGf8uMlPDN6IvYI21K2hsdCXfIklCryqH/bubz9efPBn6Hp4M/3DWzJkmB6JNLgsYK
RFRpN70yRk/11J2kVGM3kaYARW4ybvuh0jmuNl1l5P2su9if3md8xB3sd/wdrPl3k7TIvVUzB0py
X34Sk7xbzWqmnvHxGHHCiKxjPgp4QZtpdiB6LNn6ujXt9Lqf0fnz5c8HIEmr61mUrWOrxgs921TP
Vc4EItdg4w8xUhrSArSXRsSqZxzq8L1QqLMHQo2+AcRBOc1XuqgN1zoSGYSR3fSslxom4mntH/tS
kDY4wyc7NKVENVYqQkStay5t2Q8EIxjZG58tfr+YfH+kjfE0lIX55QvUviYkd71XvASg6NFNxtcw
6cG3PgZEmcdJf55MY17xu4kEYSk3dHJpuljeI25HxNA28VbIUY2W5mBiD1tZZ0OYgtWATfqL2oAo
yEWcXtsB/Fczp+reW/VzPMX6j4GdKybChjZKOaTQtmmIkGTJ2tA/jBEXl8ZMbp2CMot0mOxNrvPc
BRWdnqS+Ym7bZGTXd4EA/ox3s87lXIxt50Xa1D5VlkLl2Mwy0YINNEwtUT6tet42mkIpaRkbo9Da
gGFFe0kBzj+qCW5nSVmMlpyCuhiV4BJpVLvV0Mh72KDKDjiV7BylM06tBpdwkkiCFMfkDdvEDv6f
Vj1aCvg0kf1riMeDJxc51hXhcsUlhWL3VcVPiEug4hDczBqHH23RiLWdoLsFaN8ukcqM3C69OnWJ
DOg8aMVziGzZUZJCfddLyFNkcSr3QlFOUqkutOL2G1Q5Hy/JAdFOq2vPGvRGXB6szxSJynUIdFzo
BwUYSUiDtVT44j6Ph3KfNH6xtqpCufiqGbpKPVRXAaytDZTwB3xY1B+GuBj1m1tc/607mWmiXWSV
+ColDEUQxS+OBomxIU+mcCuV2DW1ya2LrlYWqp7KeDQlgI5hDffBUODKa9V0hHuvQp+gGPElqfqw
JCYz0CUfWoaGWMf94mnS0mIbQC1b91jKvJml9CFWg3jAigflCXG2tj+FwVPTxIwekzLlFpCnj7mm
HQqtJnhicmMcmYX90wMS04XfnxGLyfz7M+SyuLWDlu9wUrUufVl/RpIQ3ySDyWIQJDAcxja56QVD
JDMKrpoSsgIw/nQ6xGw3oR7otycfJRjjn1elnLc/v58UTbn2GSB4P1+NTMKjFdxz7ChPotmoLzmq
JvDucfIkMVARS5bWQWV++PNBuBTqS1lMB7OPrNPPH0C7TypEy4UilO3XZITWtxZzfrsZTe1ct2Hx
jPkZf/n+WHcUs2pf4QHJl8pYH9og6V7Ipuy2o2a9W6IAcsEedsVLeeBGUQQ8t1EthQlbYNnJxZm0
g+SthOPcoCuls0D86Px8Rmlgp0CCA8jh8gIDIizMSvsX5pryRR3L689vdwMjqqRVJZTq/FQWU+um
6ZAdO6NSr8X7z99GZkCzinMuVEjnklMFgvrRVd21aVvh2RJCa69WQer+/H6WlpcEu/1Xo7Pc3q9x
NJsa6+jD+fRQF2cXTYnilaoK4nNtSLAifbEkihVidC3HXmIFyS0QzyLL1XdIp3CRg1C7qFmubUNs
G7x4LMq31mw/ulFpblUwPX8Lp7F97wqMTSEdrGO17t4FS1OBKHDAmrQ9U1r8IYRRuiDAS7wIDqiT
Lj4OcTcu2lnk62aQSmcr64V1xNrAD5vDQcVxyAMfz1HRF52TKEX0f7k6r+VIlW2LfhERePNa3pdK
XnohpFYLb5IEEvj6O6h94uwT94UQdLVUUkGateYc8yNNk1fX7tj+JsP03OoPlqanf+ueActDYfxS
+hV7cVBpZxX51gFrcrFlMaTdfHxCSwdbzJcsbHAdTv+bFPXeHJL4S0PYtOyEGy+byNH3ocZA2NWu
8wzEsV5mYe+80gs2FmnteO+OB/Ku7/XoC+XZe+vK+k/siwvldSLEyA87JpSvhe8On33fT0wiTPOR
Vcdnp6TaO7mB/PRHdyUNXfsTKz5RSw31oz9haJ2nAOk1wTEs2mE/NoO2L3y7PQpQ3zuggOqsgoCk
VXuwr6OlSHRSJSWm0aQbnUJpt2zE4GBfqLDcZw4+3k+ZMw/atf8nSaYDPXNMSFVPGLylUWOIWxoV
ETW5iQnVNBVKVaJIaQCiUakS/68AuaOJVqIYd45NH5Df201ns4vlz5CjHEMT9wdv+a2s8vbPWOhP
U1AE36GrvXSB1367Wv8+9kX41afJ12iM/VfvGIDUCQBK04kwAjl8QoGZVdxm8lmmOOf8Wk3Hekyg
uA8aATyDaE8BXelr2Ih4zkwYvgnW2Dtu07wxEKVbw2TF5nbGLsHOcTWduF73iO6eAAAOSz1oq7fM
noUkE28jSfSLldswzQKbDNWIfJGFhuzDmGfWWppPXtE5n2nNqne0u/LVLkWwjPBZPtpjYoNAaduL
cNN411rGEozmsCcURx7GPAt3GaCKU5yn/qbAv33VQbiu09TVHvEZGUiQZfQYpdMBVifqk1R2f4fm
VkQq+ekyikAhoRGPjLg0VDOBTgsD4hwK27+FU0lD30q1g5WPPR3J4hByKz42Gqvtxhb7+6uarMuO
UgcUcT+FoDCs9Y5l2f2U+wNdghjE5X5ah9SIWTL3ZaddSswxC5YLe6nV/ZNygbFxA0XbEkXJ+xA3
Hx6BkA8RiY6PlpniUOVy7A7Frq4RetusS94DI5bwz7ORmnB+aQXrKtGIfpWOuf6RgeGJGOV/RiN8
x2Oevepur60Vgujjvy9lsSPWhAWQ5QBmQ01D/NNqEkiRTDQGKVfsKo2JXjhd/oSinyrL/BJf+Bt9
tKYPuDKMdBFcGk+kOAVGheEY8fanFTvL+0ujIUYBgmKcjA4+rKiz6KMQafGs8vrIyL92vDJ4TRNQ
QaIHH8C6Mng1xhaej5d1zLTMj2Gal3iFaE2L/GMqRgg9UAc398tBNjLDB+NrFBE/FpaQ+v+5PrFw
7vg5Rig8MjZt7Z9v4yLksQbDu01VZp41iYF7ElP56UUp5uLQM69TRWNQm8vncrA20HTcx4g83B3G
pWZVMmC98t1YO5qevW58Vb/GSVVDfrO7remm9evAxouYn1ruAyv6AQVYnBPWCmuSt4ZNIGTzjBaV
da83+eT/5PJZlGl0c1FoQaEdD2GRUbabEvEw6j6LtgaZ+nwWVmZ1xOr2D4Y/6E1931ToJADRXBrV
dRfp290lnZtxUqNyM18PaqSFXi8f4Cz2G1sJUGzcJY/3Q5UMTFJa+UAzmbZ9oyb+fCYWB8FKF6x3
9uQDOcA+Vy8NV4QP9zPDsTF9C9uGWWxCYMwp+aJ1GHZ6neSEdsbBW9fn+ZKAFO0YMg++DTi/dDkl
sHTVk6Yn426qtWTpILD5MAWJdUZtDBfamcOt0qrvohn8jxStyMpyqpAlqdHvuoFVblIRjqvy9KOI
tHaHscRmETmlH57ZvueJ1t6SYswfRi+Ywci8LFUd40DHExVV7c4WnfaoDV6/6LXQ5QZ+haaN1YAP
jAS7TH9oSDXbY/42t3jRc7ajnb0DLHO8vx8vRXOm8pw4VbvpPyaqy/Pb7DtbQpwiA9sqU+qWAXkO
pDG8CInATzbRtPEMPBZq3qEZetLtG9MlGihU46uZQX1wQEcAB66r7ZT7Jr/hSJ8n86hIO6OeL3VH
i1YpAJpV6FqXaoirzzawrkWSBE8BYWHHpuFOy4zAXRJwQQCZ7eOgDgck04EtFEaFvFlLv+mhrtfu
lbdfHgESXRTk7qvX+tapavNzYrMNqdvcPQ7AtY45SaEbUfbVk5syPLZh0RxDi7+IcIPvGt/de6Ah
ArRK137CpQIpN4ibay7iaatSwqFtaDJV2XUfjg2aSdjvbhQG+5F/W0Hso06p5/bFbY1dKE16BhEi
PwB4v5UTPrqsX/aqxjUMocu9JPCvAzsR3PCc+YHf71sXu1aQotcubPbqVtSM75rQ9lUQmE9zckwW
xWfDobAfwcX+6M2eTk2kNF6Oh7NwlLd1XZbj0EDUxmrRlfcWTPWsr1dFxjN9H2TNwfgcjFo94KtD
2zIpjDm+9wvgrrkJLfvqtck/RJ5UOxg16Qas9t6ydAOhXYGuV+tOjM39Ph7jnLQV9RLjhDyUkVGf
p7I/eY2+js0xBbGiUAQ0Xb8w86w/4BXHAE/i56ay7fFdzsldgnSrxDe/7EH7vH+BcucLgIp1rdl0
UvtJ1g5cr2/NdPqlEJG6lAMbda/0vquYKchmUQ9JVw3HCEDdFgRo+lCVGi0Ele7J38nPkY/yRtcx
8PWAZlfERppD6R90siOP6EK/UvAFRHEH+UNZYdC9153GKMJ9zQ86D7W+1lmFrRNbZ9rH3riviLQv
Yw3FRQgbwM3U+AbgzCLKsLdP91OVQraokvEFlGB4rcPq8365Ew4J9eyPV5nbvtpAkxbo86EfRV10
yMliyHaVScXbUQGSwzTXlqzGXRzSxaLSbVQ7cd+fcpbpp/vpvwdx/9di+J6iItlqXvPjYtrbh42r
37LR9SB7hmcDKd/Nny9hD57Bjfi4E99JL8IquE9M9mm19M5x8FljuCWshBNLyX6jjXi+cghCN33t
0iG+3b+OxkzsCAnyFiS348wqmxhkW4pMoZmpc42bXqTXZRerd7xt7UCMwvh/M2GVPvVE0J8CnQ9U
sR/4rNXcRpLwYdMRTSzdcfhJKs4YL8MV87TzYM6XKtXkNNzCbJsV1XQKCtjHadvgRJzRuf9cY85e
4eovll2TtWedm/9Yt+QzdK13pErjnUpLeLfZ5cajSxqQJtlXzPHH6ErG8C20HXkxh1juRJ46aCg6
C/5CTUArdKLLWPj9he04eonQ3PR2mr9qfvIUVzm5kbX9SCV0Y1iafCya3CYUCBrH/RRyADF+SEZW
PVb1VYuI8p3euKLkARvj0PXBZ6AwQNhl/ak3H2WCgIZsRCOU7TIhV+xqWjShAj9+qaYZ4aLNnpOM
vsFMarzzGbFRWKvW1t5zNCwLuKnuT6f6hRcA4/Tj5JIRq3vtE5iyBDgUwAvUV41gzq/lcYhGc8OO
BJ4Ght2TDMkXGiCXhQHqmGrojD2IKOPcD+KFWLRT6fvjSY2We46yiocvTvdRkdbwzEiIuCdV9Z12
bsiN2t3P/j3YJFquo5y3FdZdeYTszaGxSoJLmmidG0yXptMEVxLh1SUIEJQjRbgmQ/zMtgfXm+0F
W5ApcmVwp72oetIPbBToiTi+vqksIpYcUNpHbz4o8s2Pummhi2ph9vRt0j66EyJmYwQFWJSoEDMh
PpOiHbdVPU7HRPNaFNjCVxgK0SvEFLqghLFQGHTDfk7DJt5RAFjbpmAsm99mPb87B7/YP7OSHgf2
Jjdqd5V6wv3Q2+gNg2j1KBwvvjgETC/u1yOWbsvOYArIB+1mQOW/hLKkCckt+G1YIGs89nqx9ps7
tn0Ah4J7O+ztQ9BGMHZSw99BBbvYxHNcycxtn/MqJeAqN9TSaSSTo3Ljjeu72VXnL1PYhTwbg8iA
5Mbk5+ppSjj5SKBaHpFRmjCoFVFnHkrXNBl+OEwOzeXYKdwD7mrIDxQgNgK12FvFjLeYhkGerZ5e
r89zRzSinM4ZYOa1z0ZzeT+9H1IQh0heq2xnzC/WYW8dVJdMbz5s3CJ3211k0CdC7MLbHtpxLyEe
vvSWX6xGkt12g+fIF62LI/gw2l7mJe0sMGQIY53WI/U4gfLM+gDolXcyhYw/sUsM5NBr5a40rA96
DuHlfphICl2IxvyWLKBXhTDLl2HQwSR7PTtT/mpHMWjh0tDbV9JDzT/tQNFT9PROPR6xgkDF2GwI
2o79DwvH6GUYpuK1KzD/d6a43c8EPfux7qPnSbnuGbDN1fL7c1OBkIMo9hevZsgz3Dpb2RdQSD1N
7gnyeXUJLV9OYWxsoOkE7gKrV7GK9X5asLUZwb8a8g9JalVXxRuy272V43dVwTGC2x5LD5MKIWfE
UetffRVoZ9pH7Zv5Jwn07E3gV7h0efgbhZM4VmbwKxxhHPTMNgjMGifjAG1iCJF5dYFdPXjjCryy
RaR98dpYA8JkB21v0m1j4Wt83AZbjNIYTwnbd9fTuosL6XorGQs3TZH/Ni5JmWk5/QmEq56aMPgT
DCaA3mTqX80hAhPmZzFhH5ySxfGa0u1Y2xVPy97qC+gjGV1j11ZnLIIwsfgkCQqr7HOSRD9VaPKL
9jbxAa45/ucfgrBAKiLt9f2SGYu5rxk4G73UNLY7jeTe8IpNP04aEQhusB1TQeJIp9PST1x9Wui1
fK3ztnkpox46XF4dozZqXsAFRVvl6ISK1yhl+dyznR3m8no/pKaSwCowZtz/IUwKsakGdMI1MQcs
kXJ4QuVoPUQKIIRSvrGqwG+csOklJxfz6zaFjc4sItO3KVG/Tu2GJBpBdGiK6qQLpzo5LgyW++F+
rS4fjLFelUgzWeqz8/arLE8XH6Au0J5LJMBTnggTlNjvVHeUnoLUOLSGAT/JaO2d5sUpxmYHxUzh
qVcrQy2fG6z7vbEH+klnitw/9lOM91kHLhe/nusqc9MW2UsqYV9lXuHiISGrcUKQyZ5E+yUd0ji2
5V+7oDIBiUFHFD/Lr/w63HR5HhxN5GjHBqz1tqS0cL+Uq2YLzTBfjpVRrDvLA6479nS9Ir+lE6ZH
rC5wK69wnBnEF3b93gwi6+V+OvjPaOdNoLNl8iSM7l2ZevJFe41QJyAqZ7Ov0wcVais/1Y/hNDw1
A8L2puuG0/1gU8vsgIFmb6A586OtKKyBLAoIt4z8x97xxckY9feJwIwS+u4QA66mTOom8jmqI/lZ
Qb6QBGYSBql2eZs7TyjJRWx0j37m2E/Qp69shXeWVQdfDnWIrPPDVy1EYuQFzbgNWmRVDfMIxIBh
utwPbmz4p6nxkOlqdArLcDwKbI8LL+7cB98CejT1Nno301dw7dT0HCZgrTxIWFtAS95xNJlgYnGp
0zo/Grru7PpxQYUteCmctHvScJELyEqvJkj+B9ob19Siam0O4Qdxfv7Zmr0E/dSWr8j0x6NlIVCj
kVu+ug71aNdkW22DLFsXFimzuQpTGgZ6Nx0xrUMjsdTZo+2HzliQ8Ksi8QK2bucxF93uZ9z2j407
II1uLW/VmDkjp4d0abCGTqxwsLPlA7ux6wlLWrtDUJ4p74B29FOsk/0mdkV0zOBcvcqQ1qjs6je3
f6udXpxzAgTPheWIsxjN8iw396/vVxukyK5K0kPp2dEZyJgP4bib8QBBztY8mxle/KbkSC3xjA87
LG3GDiFmu4bdY7/XgUDG4NiUSbHN0rgMKRNnVbKeZiNDTWJV7wPXhlc6C6twwughga11OEVngByE
82njrooI7AZ4eyz0eE32VLmXJZEEelKVm2a0v23AWEtj8qPnqgmbJWlUBK5B9XSN5Bo6HBrL2sYW
0QwwlletFlOfdjz92rfEODa+TVaL17kby4DLRIcFuZ50KVcXbvUWDFItpB4UREgkw6GUcV4s8n+O
EzOQkBMpz37fH0VTI8rJh+4pJ0t94WXEEM2YgMIK8l+QKQzMo7f2wArsLUmDM+ZzhykR+M+9R6iE
qBSII0hFXtReKcu61zDLWSTq3rYpincnlsFHOdGZwPeBGKmfqmey3099Pn3XhDPvYoRqKpxo1xhl
9drq4cYPAOeiT5mX3oRO4iYSLA2FTOAa5Fi79kY9lUfZ+KSrtsN3QS9yR53QsekcJvLQmv5D64ri
2v/3QDoj+9WTrZvTqYna/z3U86kMx5NoCa6wHeUfBhMWCggiEm5Z2viNl+yaoXGeKBmYh4qNFvwX
zX5KuxK2Xd+hIrLGL2kZzV8H1kULYCdeDL6/kbVq/li5RJ7JOvk1CY10rp/ph9q0zllnhrcc/vQi
Is9nX7hBcgni4ivP8TCXbZx9DZgwwOWQlSYpme/HvH1mBLA+8WCi8ZtsceopnD8KP/vs2tD89B2e
xTQzkjOZAdNtbPRfFnhU25R8cavyB2L0+An1lhzyWLYfEf2ARdwN9Tv1QgJdUit/Y2yLlrE2pq9h
S/KfG/tAgcYw39VR8UVkdvhjuLAQZSU/NQjSKyNqjYtp6YCJdVjRE5uQZ5Xw6wewJL/hyiytIILW
SK4JECKxmwJSqeKxqj6pGrf5WH05seevIccQ+MBQTqpc8TR1WboTUwZB1DTypz6d6MrVEEsmOe7z
wMkXgwdSJG79t6DRjKNTQZvUIa/BxECef0/kJIYhon4JNXKNbsBfwG8bH3Qhu6PjJeOp8SrtnGmo
Uq2KZoYsWXgaMMZqz+lfgcUaK3MAxhQAK9qOGmrTAozOWA72I6EHxr7SvTlG3OzezYB9XSzrI1mb
hLtXtnPS3cw5CTNlo+l444ubqFUzmgQNTumwI5MOLJBVae9yar79QToPOou4B2tyP++XWe1ba5fP
eWe3WfTBr7FORaIjbUmcU+7pJNrP3yyRAULmnp5P0/Yh8WWYCOfvSt+l2MclOLL7z6QCQvNR6N41
EGF4C+1fnVgimRMC4bPw25agzFalktY28IPdNEtkJPKZif7sksayPE9svg5Blv9SKmC4wM/2UQz6
vCH+Goy2u9qZqa3ZhrRH1cAMSxPbX4e1s699FnohNLegHZG7esjCCTZYGA5lqIHS8j4hhGcb2WVK
3EuLWjynTtlAsIePkhySMfYPdg62QBFHuTAjW3uK5R8F7nNHpdxH/23nH5oF8tHCEPjAzk0Bjdb0
FW3tYj+XeBJIZFuibf25Wl79mH3JBArkb9WWOJiGNryVsXWpRzhabKbd1eBesEFQ97RhTXYAKQdZ
WlutbvZRH16HCdpbN4VrJ6+nZdjU7TVqR50Y+eSzAgGNfReseGKaj11X17scEAFdAbvbhLk9kRUx
NdcwwagoKhMmkzvufTo6j/dDqiy5YCoO941nRouxt+pL23Lzwx8XR0N0kI8Nbjeogj9sk+l9lmKn
wgSd+mD9ZLbQ3rQYhR2F9eSxBYO40fZO2QIeTju4RqFvn9T3jA0/KEYvjUjBpfRvbPrKna8qmOYF
VlcrNootepG30DOcxy4K7cdw0lBkc9PuUj7Qx2kwHDIlO/JmcuMUR9nv/bI/v97U/9CIejIAskzx
0G8dKkZrFlezxbP8axGrN1fOdmlkvCi4iBhWvYUdhD+O2d0iAdkmrYN2NSh73ub35iJOgPwhq0rP
HraUo/Q8qEpdZrxOppOyQeStupM8VwWQP72Mv0o4HcvBDxA/RgDipszEY8scu7aS0j4ToIOpbz4w
Osn1kEucjlSIloOskatOenuJs1FfVywalhRM2Y0H+nbotN8CyQvqyvTLTyntZ4a5SQYmOlK545Ws
cXUqGMSLKFRbO6rlpQl0+P9duAfROaxsbpAVdbDLZJrpIa48kEM2bp4G7GrdDdkThGcSNtODYcX9
Ui/MB1Kbtbcs2Li2VqySpp6uoD1/os7+UKwhCebrFThFYjEDX3tiziB+ZvK2NAnNHesSSjpVZz05
D1jPl3WPzERG1MhkbfUHFvqYrsyk39pZ8zU5JUTPVG5Aah3VSAfNgZ4VCswWsfD8JzLPYY4UAdvC
IMYAiqeD8MzqVUKKx3ac1BcZD+9Q49us80jH8OLn0NeMpWtN8cnvCuzX9Ww5YI/52tSGs+hGK3lv
BnyzjhPle9tBHceWgikQpbxmtu4pLhJU8D3SKMEaSnsoY5fdbJnNBd2ZC5bwhhNIo7R/vsqy39Xs
ki7JbKUj3r56EAbh3PYZXuIFbdp40FqymYGt6SvDU4/sJPx9lOX9LZkPmNlxRFT1dvRZhjaVG5Pm
UzXn0hreEl+GW5xeGvEbg2c864RR3ApNxLh4DexhZI74gR2eNXga+CEzbxu6Jt0h0g2NSfk3mxrY
rXbHbM398UmPRCwiy0pvKorTGzsw9hHKxVyl+DwmlZ+mkD2u19n2hldAR+/c60ixf+VCAmAdbL1k
liWPsq9L7A66sdb5uav7qd7H1oOg9NyyGHXk2K5mOQKDSws1ZoyrYGOZT6Mt9I1wQ6JWMm1DVGd8
63b0lpyFbkbZzrQ9/xySlqTneX6LajxiE/R4ditddutTMWwbqybTu3az5djqahtKEB2C1JCVNTuc
TbCUkz38kDlO7KnWTdqi9RVcT6e5uZbhLg3R8p8iGK1UyeVtqESyUD0DvDLHekNgSgzzWJc3rK+0
goNGbqepxqPYqV1U4WiPQQ7zRib401Ofr2u6GeWg6qtuZ+JWO7ZY00Ugl2M+vb+2Sz2EWvvUG7pV
XShx06zARfeFZz9XoACNuFx4Fv5WgsXALHSN2ky0kCK2j5ey9sOLPU5LdIr5zRUdPcTevdJdGs4J
WGpQ+UhZiorxsPkz1Km7z8HeXLxGwXqsjFvsc/Ar1z4qFP9dM5zc+58kZqza67b40iWfdV+x4w2N
LNm1kb3KaK6g2+LTq42R2SVOX6XfjcdYmWpHMQXoMiFi9OY4BG5entqhuaikCU+IPnfCzv72ZYFp
Zmg0KroVPJ+EqFtH3zRpePGt3NgMsY1FooqqWwwg4RrDk059vbwFjrbv4/CvVlXtdkbB1bAhT109
LHq7h8PtGsGmyyrnVg664FslyzT8C96jf3D9ABlnyB/fSqH7jeM8CI3BUiK6vSUenQNY4f5+0sIY
Ld1335gOy4RziMF3gdoBGz4rG/QUw7sezk+pV26R44U3r+etV31Vbu1eN1El7oPCmk5Vrp301JgZ
f6M6qLYETeuEf8B6IssTBxcy3zkZTPeWpT4dZ1MS2Jsl3u1+TZihtub6tulta+E18rvThXm4P6uT
45hrlm726n5qzo9uIbZUJF2WxZCZ4PNlfZA89IodSlv1wW6cR4Ki5yHo2Vc+kn5SbCLHhdgLnrd/
ypFDalVQfeah/RN5movlPXiBaaf+mAURwlFa/HUib9cmVfgLS2WFR9gEXICZ2LMqBKP2ux/WPgYc
89bUuuSygblVF5gByqygTohYpDCakxmEyU+ZpE9QM7pvBsOvvnTcT/gyGDpHp/pgPusXAzlVb9nU
++DV/PrVCjUBcDj34eaBDFBWq8DQUDQHk1I8JlT0VsiEg4cKDDfxAsq8Dn3WbNAKKDjvs96liNtz
lJb+1hc6hocCTYBZoU/UYuQTbMkIxpFypNfnyH1ITOox1Ce1A3g6neC1GNvWdIyzPWL/cZ3MvWAi
zzdI1rVrxKqBm98vb65CX2mXgXps/ZzMiCjznhonsZaeqsqXoKwARyXSQEGM1Nq09exdS5nB0B8a
H8TVoIsTbfnVK5SBGZrkMCpveiOGn6GlqwdB8Ld3s43bRjNpjphonmm6zQm4wmBO+o6nNX8VpqIi
HBeGOXvNfdInicDuf/0qP1hysH/6qn6oxyb5k2XaWzkZ3ZdrskhtWp0c9R7ZbC1ipCka1WHPBu1P
LT2nlq23L/xerNN0dvsgfPKVV/fmY0NFddXGvrxZkyXXZMvlD05XJZs+TLSLmQ7OpkWGcnZ06kZa
M1ehbU3uNAYT2ApmtYdYS5arKpBLdbm9L6EJHwd+7m4KETcnItS2qpDVebLQo42a01xEXHYofztc
9CWbDchM9kNW40TsNCt6zPllV0o14onQy2DZmob5bFl5uzQHLXktBJwL6cbjG4TlYcF4i297Vk95
KD8/azF963lYfFdt+iwsJFq1zM/Srsa/in5sHdeUlz1QkKPnAr8R49s/f3fcPKwT0IsilOJ+YFUP
cWJgpKS+ScpQn/vtXyuyzrGdoFc3vefEFcm34rkiFLr/HDVag2JUwbs9UfSqDK99syMTHrUXhC9d
bXYQ0bXhWY1U3KWOBd7ss2El+jS4mbrK1kXY6Q+ycEE9kEZ97UoKIh0gmouO52Armzo/66JOdlUa
JieRs1Vyxi45kuPm7mnVpwfA086BknexH5PIOQpUSLuqQGXdiBTPH/2gc6NNFisuK7kGDMcb8mGr
BxTPYl3UrrrR0zdX1YgmOFASC9qUQb4pSYijDDm8QKhNlxQMSI9i17kQvtW/mz5GG+H00efIbR35
xvSVRvlbwiDwB/j5tZJe8GMLc1/BzvjVp3IdYvpAewYpPMJOgUvbhzI63/bgQZsinMVwBrO91862
KmZGBdvol23FsXOV/AHceoOKaH5XNtBJtNdfZP8kizE21EdjTu1C+TKi2oNmom869VoEKBtbVacv
DkhNOj2kdgP8rlcMPvKRjJpgFZNecGPaGda2Qorg+QGzT56RMq3Fxz5t42OXwJK5f+W0LbXd1rOW
/167f+VK8OaLf18t5//yP//y78srgsDc5b+v/H8/Bj4GRGrbuP3zHf/9f/fX3U/DYs4r8fqUhX0W
H0UJjxujxX8O3n+/KtICrmbTIpismZQHq7rkHeWneoyPFr1lYDOGPEXK3tzP0BcTT5CQBXPM/elk
RnF3nZDkXvKRHU3gXfOuwqyQcm936UguZpogZ66HWJsrOdH2ftFPTl3isBcu9Zyc6PAnZhWrLUSq
5Rcxh4NS1F6UjV4wrVb1Lfczi2kZfoLV1DvXivDowmu/2Xn0Z0BhvDZbB80JG7S4rF90r3RPqsYo
cj9FROheusp5vtd0gzyVJ+7s8FL4zVsd+/5LZnvRRQ7qp+m9dNkbkzy2lu3uW1AAK7MRzZtfYx3R
0WG3RlbsjajT38FLrQzbbFaT0sETgkI5uGVWreWYwUdohAWcyl+bsTP+4s7raKFLC4VcbWIGSAU8
CpOEbpe8SqScjN+0Pt8H5Ngypq/up1tPDM3RZUq6iIcCJfEynaiayPn1BNvSrfFeUFGRcM3qcWew
GWLj2B57mf5EiBbsDnluTPwgPgCcJ5pq0qUvAMsPg5mtQycWS6MsEgRX+UWz7OBiz8O+OUblrmoY
bFhrRiszIpy29zC7JibgoKo3aDvXkCAqN9trUcW02QisIvZ66PDmNVBo1+ZAbqM15zYSPNYu4kEi
0C8viRZrMMm+Da3H7Bc9RXlMlOMYhIueGpgeF9GKLiuVK+PmUD94TLzvknXMugbys6beZzxGAi1R
g1Z+coGd0ml/Q3/VLkvXiXnQqncqTlTQFNw+OWBUtViuJv2Iwakup13mpmue3nBh5KQ0Rj32vziR
ZAJ6724onW07suUwQQcpeidN6alTHyhvLVBFL8phxuSkdbQGu1juMqo03RgXx36C8WTgg85SQipR
wR6BDlAXAKK5EHZLpLND9kgWjtMuhYN2KCjhd04LkimgWzzj+j1m0LKz7JWtHLRvmaiWllCf9ZCt
y17071C0V1n24iWu+ptPEoulVJ/ZJFuSlIleiXHt4KkOwCZT711QnF5PA/z8+kmXRnDFQzJtlOO3
aOzpd+o2wScdFHxX7t2o+ywnRQVdWs95/Rsm9qfXTiSVepO7FYRWoj1dZ1O5r7uuerOtvl8VemVv
DDE+IqExnnyzXmtAt1n+Zx9t0/jE2cRQEjvBbUZmUuFFBc9jQFav41S4j72NVQTbwpmKRx4QedDs
2aHxrE8h9DYw7ApdqEdz5Nt2YdD5YxVd6hhFj0VGB3fe2HybUbAOXSHfc+Uh8SCIUCVmt1MJGsaw
pVnSTv5nJAyFRUubVm1hFYuw1PVH17YOtRvsg9Rpvyp9XvKgJH6w2ciefFKUKMGO3p5iC5AFXTvo
ta29WI2u/R93Z5IcuZJl2RXhCxSKdmp9T2NP+gRC0t0Vfafot5VLqI3VMf7I/BFRlSkSgxxkTujm
7kajEQYo9L1377kIpUPAdxp5bEVmH5seOiszg5NO3+UopPYxHptnFavL9/8BUhJw8+rqXJaoNLuW
BmPdPJWJabyXBIQsaviM95KcgKMRtPXKmur2o8gbwkzNF1C/bLic7AsB2/wjk4Sad/hc8yH032ej
20c2w7Qqje3nyQU8x2W+mJ1NwieDv4ndh0Wz5jdn/zESIvzy0f5rEoXY4NXcAIBU1rcbbhtVL37v
Tl+3zYnujJLWYNtcvSC+m112J8GcPo+NmX6qIv8MtE+A48g238logAGkHDf5QOYAapr88P2IBIX8
4H+HuH///a8v//Scf/q+v/uW75f4679Fk6otgs9z62FOL0ayI2imlABS+TLYt3zZv/7+/Uh25M9+
P7JIqoB+nPpgi4I8IpLmll1wsKDFE3DXsq0hcKs3/PGQSoJQCZhugNUTH9t2dWMu2751V42p4Ec/
NJk0j2YoiIwgRGhVZTSlpkc7m9lTu3PFm5hivvZgsQ5V0n6lDj94nEp81w03qYPTNc28/H74HQX/
/eif/6cjDvP/ff7f/eufD63JeKwsUePq78fDTAPjoPxbHtkNz9oRLFy7fXX4ftTFhA////7tr6ew
7V1T/tW76nZsdBNNh3kiM6DLEE+YPfcKNkYTLAinJGpZ3r78+XfALs1BmWSYGVnKs5KpZB+khk8m
ffVhQJaO0/z72Hz/QyEsyiu5GScFxL5QBEBPUh/8xIlAnEckffb424ekWUdDh2uFF//+YfN0C4Ge
iaOHKO6cv0+PCvzf4ftRyZ6NZILFd5Aen8Cq6FO50ehkA5vrxHOSP4/S96ESt0PV3g808rghlUsv
EGo/EqaSjuQf2+V8mA1jQnnlZVgXpmkZBqI9+Npjy1EDPUkNQkLoza89nd6POsTIkLGDbDXTNqtn
7uYij9oVUlEF1dktkXcAjsIMLE7M4FBCA/BGOqWRWS9joy5w6vDl+1E7FhSNatqhz+gOkRq6g2PY
JEl8P/z+x5ZsxF1d3nvwJGxU3j+xbmIq7fpP4ixisgZqj00ENLugzPOdVXto8v1qN9rB/EHMzPts
imeikVFglUN8IpwjW5tjqN97mOQOyrmvvqCP36DufBA34cDo7pQJYFlEqXffSBpfTbmsQkcyEOxA
yjh+wRoRoC0eOkIp7ISIBZHtZ5JEVtVkmKeSvjl8diI8OG3lqiOV75xSUywnU6qv7pZaFNofjhjd
JZ3HRWq46tzl8Xhi44TWPhvTXZV6uJWyiN6JLkgT0ivfyZv32u8JNTas+hxgF7gThDYuZ/wGaqjH
96xSK78hu4YoreAO6+C2iWEMeDGgmijRa88YXtIER8poh7tsas4tQvzl4CX1V+NczICxX5AHHfsd
C1MKYp61mff5St7O2O/Tljm/v/o2wf9LHID/UWB0B9f7f+7yPyMA+z//lsX/YPLHV/DvPCghgj8C
y2Sygr8eepMFSu9Pk7/v/eG5ljA93w4EfwZ8z99M/o71h7B9wKxY/W1L+B7f9DeTvy3+cFxswP6N
ACBcL/iXPP62zQ/5O4u/QTqsZ/vSNf8JvtsUHURe7mXnSTrpSIRkgLne3hRF3PXjnQyn2FcPTeko
8IQ1xQbExqlF29YbcWyQeUTtWEGKEEhT523hD8R4JW2p+l9drCeCFoPcnVz0uaXhFuBj5jLzSvSK
Yd95K1/aCusysqYxXfazqOmT09KqG5JCfUh9H9Syc2asbDMP64+UhI/6IekZojAhxLrr7kMGUn6/
JGVjan62fY5hHaqmGAwbz69geLqwupz2CQUvlQcBLlNSTiOJWIzq+u2QRapbACQ3Z9a+3KO4Wkm3
wcm3nJpOFvvRZIp+xxQZfNqOaV9DKpo7hyq1lq1jSUKFWiCfZGY5Zom1e1aZQz5inLCY98uxmAzb
XVRy8knJ1MAa6rNPjol6Tj0OxQ/GmhWIgdCCLfxiK3uyfyivD8VVzYRj3PmTVQaofyzTYkfvhY4j
7kVVjuopKAKChTDnONOFknWqCxIBI1g+ua8j4yv1c+OniVsDjFKRtD0eV8Of7jHUjtO2Y+Bdnmxp
ZfEGArhIUdIMfiQWLkFA1sNcYVO/9zsSURiR+YOdnOfRN+kj3Zp4BFz0QYQe2fQb8kHLeYqzT3R9
OlxXTUPIUNDnwbgMkSPArdNwep/m2bEJtLZgq4p7PgluEw2Wm2nX9UHXXw3VJtUOhmXVIC3JHTqc
SZE2hrmp8KZYtKeJcUyTZYj3rCawuYvKmzLWsGcVrWYzCotp1UFGjMD5GwGAQSSaWTp+2lM036I/
dMo4C09LzMK5rkXlyE1ljg6W56TUCGtRCsN+rgY5yZ1Dx788l7EdzhdeJJjJa6F9iYrbtSttXSaR
2X261N6QD5if0QUGazevB++RRJPZLFGd2plJOd9i1FRjp8N6NeEnyoddZCW02VdM1dXgH3HFp+4r
t3O/jna86T5+Sry+G7CC9KgwVq3ujZ5bo7SqWx3hTZKenZ+UKX1INfqCLWGP3JGYmbEh9vszF/BE
mfNVk+0gh1KF9zsi4eCWAVUEoXP0MjGlexplwnhspsRgYOQj3yEyNombHyYaaeDQk+4wbCy00Dhs
E/Rw7WmWrlHWq8EMdfxkk1KjL6K0KwIFAyeo3GbREiRa7XmtGD50lUTiAaO7E+590x/CfWoMeUSG
rZ91zS06UMYfwVylzQuRYxXXaTVy1Vr4KXXa3S5XNvuf3ZC6xgrndOJVaAoSvCkrNSXQeXOJMRq5
AIE93iPyBpgaqQyc9KLQHFYnvBxd8R5ZnUyeQqrw9FdGJLT/3plORakbpf00/SgaO9YMD1NzMo8I
Wwa9aap+HC48S7vUNpySYwesNvWYEou4G5Hms8JApUwh3i5LANFwC6KoaZ68tpCU5HVRefeGOdvR
p5mzghwnDyzgGcHzXK8xBuXEqSV+WyJbRHVttrxglPXnslP4F7A8kRA/6r7UH30I4+BYe3kU7aLa
UeEiYcKQbw2RUNxsyeith2Fv6WLstvrmB3i2bHY2PxNQsurCYDQafkhGWMNZSDREOJZi3cijhjgA
qdnufA8NReY2lyhWyuKUZQMDJzfJb3PFZmILDMglBQ95UUOKUwMpbzddfDYjiLgoMDXpSq4hzBGI
rbCLjymSQ3MilDFnMpYQeAH6NUndyDmzYiXmDnkI/S92IIT4Mjnz5UC2bO3a8alV/cDgHwev+2jn
FLxIToj87jZjUc4uUulBE5+0kCaN/EvkjTPJMnaFUACqt91OVxtmR3UhK9Sc7/EMBgNpusxnhxeL
q5FEuCpPwSYVE/wI+CQ4pm6SCv/U9t4cLLOZ3RMjGx3KcR0kTdTf17LuKOx9YrTonjJuA8usoiYN
fpuSReoUFzDdIcqk3ujTu6VJz6epjb6F2oYAzrzUNiPpF0LIfP8XubLJzSqU4MbS0azhLDeeGT81
keOqaw12U11ENA3iQLDvnJwkuiPCMjTcT4wf3WgeAJFX9SvLImTtNAcasY6NUnm4Ggph/1aDaqec
O+zkjPc66OzpXLckJqqmSMPfEHOK9kxnetLHpogS83FSdHXpP9HDhOMeeBXKoszrSkREqIeZGPVZ
rK4uzpb2WWtczm+Ji6FOLwmxK8PV7FvvcW7+Dqox+8xsxnf0OwZG4leQxnTB695G+pvmSsHhrtDx
NWxRK+9bOYEc2EHqHQB4BMeScsyVW33msS70XZi1PREmMw058O9h685Pc0wv6qgzJ8qv4ILkLRrb
NYHGN7ZOvNdyklN2HAhg7qAATR1jLyvp5RHMb2q8JYndZclyYIgTvIVDmqQ7kw1AssbB3cp2lQZD
3b72SYaUBCtkMTEsxFVO5q6fkH1MfLCFegOWjywfJKdXeTCnoggxmZnae6CBMyqSMtwIx7rnzpY4
qS4Ykq0zlx6NfQJkpzPZL3Xbo+wm/JAEtQwP1EJMUQrMLPP9DF1iM0Cq+eEBk7HfUdu3zo9siGdx
tG3YJ5sxVR5xpUVXhulTWYXtcAywZ5pPkZVa9T4lMN0IlqwJWfaeKJN0QsTRnnVwRW71X9iRq+Bc
1drgk81velyMSFhD0yYWxZ0shYV+IlC1S5ZAOMjmPetVKKF/cp+sZkKsXIUI0praiECtIMPcTZc7
Gbv5qsnu0DBktCmyEz1j0yU8XtJ7idepN1k4bSxH1i9Fa4ft/Yi1FQt0ikYlu7k584LotYRTHf0u
LZUAr3LiB62zdLQJRgK9ZZAXn3OvscxsAI1Y7EQGsxwz6LWpjCSJ3Glg9wjNw7QJs+3MClKQBCcy
Y9iEcZFM6QZXdqAErBgaov1e3yoV0BgzdSvsy9az82jZ6liakJ6SVsY1HWKOOytUJ4gKOppFVTi/
E7YQZbsyymQW9/96nfO/jHfmAYv9Lyuh9lfxSzX/gMa1bt/0J++MRCfpU+eYwrWFbzv/QcYV/h+2
QyQPik9TQKWV/1EIQb91KIPg6aJA4cGtevqrEPIh4qLvEFIQoAII7V+AnQnP4qf8XSVEMeVLWv0U
LDbvxAPM/Y+ws7Dl8olFRps6TR6x2p/oRHOaEO1tvvYjA2wGu4KQczd0X26FgR9V90HmLI18QyQr
AnO3OtcyJu7UMvG8BlD+a7aHsQ34zCyeWd63jksKoUqId/MZB6Xds4+sdc29Eo6fEb/6Ub8GXnbj
QybPLbCo5UDTEhROcZkNMFr1bD92ghwGpK7dEr4vZFZjOGJ2fa4zuc/delFGrExRnry1ObLRDtfD
4KRXtxjve53/CgKw88i3kWqawSmdy3CRx+U2dssPpNop0Bh74YOOQJGD+ClgUB77JVi09zFOH5KM
VAtLg50o4vDgq5wGb+q/h2H3YTcas3/zhgHjUWeoPvN3FU1PWJaI5h36+piFCZ2KPOnfI+VADK4n
qso+PiUu+FPtZKjG4/xVtUX4YiJQoohi4C0i5unkQupzG3rVLqyKx0lUFB36KYrTH0aDdz0wF23a
vKtAucsOjwPDBA4mojzWjCd7AizXAbJfBDN6Vmx39/ZkPU8jwnlEpfgJtU7uMjClJuDJsMMHP4sw
WrNL7haOgYCpKyUp3r3/PrVBtemC8AE1O4XkLQb1k7E46F07k1BOqyV7YqIm2CeQI4nnUMQPBs8S
CDqID0K+l7J9iGfTW2SoRxZNthGkty/zKXxwZu8jbuEFOPocYVdYKIK/Cp/pUJBDQIudYhVOLskr
YfYVza8ud+alqq9xWuUrfyAQvE3Hn3IIj8jJCC7K8Ki5TgdDLyarj1nIXpZ3CXbhVWb/QtqeQ7YL
X0fdgjYdNzpnu2aRMmbL+Y0oTnqDMCymDMDQiCI0LPelShUd+N+OSIODn5bFbrZcMvgs8lyzdtN5
wYfn0kdwaUiq8GXUabMkcuZnJeRdAMGMlf0W5x3+7F18MUySYAWkJIiPhMXGKCH7WxerlsXbrBku
ReNTmRKH7AaXdKxfKSd3PiroaJrPwQ2GkcnLVM/P1GZnnFL1QSYMxxPbhILXAc4wqNQma0+r4lhh
zrRmdSfJhyRwVnxhZliMong3aF0uuP11pNMMG6rWc9M6x6rO3nwrRowK1tF2z3XQkzKj7XaltGcv
TANLH28GJ8RjFeGI5wPCMIiosShIlZtckB/WtUk5mrFdyR2O5c+B83/ddtZr0uIg0mjiguEo0s0w
hT9HJFuxTUc1jRltkUb8i34QKQrPc+2fwhpnDtCEY1R2R4S2ogHX3sGk59oZc+uVVBMk5CARLeO3
ur1ITBN7jLJtr4dn/Klo3sMVzk/4ymktVoXrXoVbYpWxOLF16v5Mpy8NtWYZt/rRyPuLP/WP7Mgx
UM8foudQTeOj3RLhWXYt2m7yqeNXDl7LjAcaC0PPrN+L0fsMzGSdFcUHE/R5YzTWh47ASwVVL5YD
Yb3W4GEfwZjJYHGRBpzjUS4OkMj47fRdP3qvbnk0g/JMckZA+J5pGQcECBu/V5vWKw6eE649EpXE
UO5GLIB+oC52eiknEqElXq7MXtdKbey5wXiWbCfaDIxzyVvSKz6+heHrhZ4ZEisCyQISjafdUF0t
d1rpRD3Hg1xXcX/SbKxttCaWAa0wLPY9OjfrJfTDTT62Jy7rXSTNwzg7q9t3isFe05hdMs1aOU20
ho6ApSs+uuI+IWbKJiSmNe5E+uzKd9gIu7Rotl6n2YrS9MZUXL2RW3mYIvMK9XKLzsbqSuB9Q3zp
mNlGxbwqYvrnRMLddHVmv2fytMPAdRiK8pj07sbMCgCurG+FvWlTwtk5Jl2FMSUCOGBlKA3aSzfo
ZUj0byMaXAPBwQtg1iKUWYi2OFCRs0rYd9R2x87ApzBjPbulXuT5Oeh/h8mxdpOVSq+Vwis1wSMy
2Qc6ACQQMOEGWQfSQ02JdIfFzOsPkVNwDphIx4izwInkV2ozR9n30SLqbp9jXbj92RuwhMvhYjAy
0G99bR4VUbumUs84Wmliocws4u3oho9jpbeqc7d+8joUyYkSeHM7rqTCb3EZIwUg7jPAj9Y5K6EJ
4Lb1MmhChg1E5kV35ejtwt7bVWV157bEGqAFP9bU4P4EgusmU8I0dU3QPETALinbt0zKmCn8nMft
4AIlcgZg7Qa8ifTNzOYdZf+5ZiWCfLHwaWEsyrJ7LmX2JofhGa3Vj9vf4RC+AX64GiaQale+VqXx
yKeCm1uumjY/t2N+tcf0msJtRvN9bbL6iG2DO+Sp9N2L6qKnGa6YDgrYNNMzlKELviNmSJgMSHVp
evOQE0obRcV1HPvnCVkaWpznTI5sdlt4g+E7xqprM/fPhmddBeJuhW1Ru2jJUKAsqCP2HRV/LF5N
EZ6t8bNxOcVac+vH+kc7ZZ9ByPTeGldKqHug+1byVhQ4b5E1ev1D54qjYUbLSY4Pktcw+vBR3hy7
qXFxvmJ4ZBjGt2KclkKYByJ7VxVYPQn1prPvC7T+CVjnDsCfnRKxW5k4hkCaqODkAiub8oON5AMx
6AOKq3pZckmTDERbbev75rao4ns8BwcySB5mZbOIqpdAQetsh3WAjTEUAKbSEvbNsJ4U8PVoU/LR
I6L6ZRL1kj4A20Iv7O3devqw7eEhay9x1X4YafRq2e47jaiK5B/zmptvUYVOHpCaUZw91B/KWZVn
VU0HbtUPuTe+Tn5yf7tmXKFXLrZwwBYkkZE8YIprLcfd3MxHAj1j+diCwNSuOPue9ZnV4+8BkXOY
zKeqml+8JsI6kB1yu/tB1/06gsBRxmmQxRluED0QR65DBBpB2S4EJ3c0TFtPT7sGFYZdG6um15dk
Nt/K4RgHH1a7bedziDY1VfR8gojU9X1ZD+uag9JOkMWq6dyY88Gu/W2mALs5aLxVXtJ2KqAHclp7
sbob7e7FQyi1zPrxN+TLH3X2iXRt00AlE0dspksT5/Nkd4/aSO6BaL1Vc7jHhwuvYfb2hpfthmjX
ZBPIDvlJdMs2TaynNjL4nbjmwj5gZ3zTIHNznO3uIY4sNsi+XIzKmJfKlku7YTcg0a0ytE8/6+qZ
pKWFKIsD9gMkVgum9AsLGbDyrHUcpm8qCnZKV3eBL1Hwa3yBD3b+AelErOgIPosmfsBBep0ad5dg
klBwCOwIJroWxzmVxzRoLobwL9OcXvHW7I32kdvYiancM475CyiC14nsLO0w+g6fqY2fS7d/pluK
Hb1ldflN1/2Rpgh2KGPXRN4pSLxnFpDHjISw3hv3Lj5P1wofk9l/jILp1fKTa2dlGzuasYawZUvy
6ziwdmACSCc8QDQwyOMqmnVVfVGsmPu4tj4G+FsLp2U4MdcZW450K/STFXroXonwppVXQiOMTpk7
83/+fWNPwNo775QnKSqH+6HbpWX0M7qNC0qUnEvpVv4qSe1NGXIbBsqyack/gJAzofpiWg0sphkY
bvMmncw9h2azQyN8b4Y8qyxxeRFovZn96gHF8sSmw6oXXIHjIhLLCYXugj032ba0oZZBPO+aorYO
U8BeB/0hM2M4q8pbEjjXsdfxUKjpLl4ZoKQXQTsuElBgY09HJyAGbMF67mG8RSTl1Cc21sOpoEd5
yxACDFZJ8BecSjTAljguTmHonEQZ96uS+PHl7NxVqn7vHPWgGb0vCM1jJtQ8EyHHoJ6UlkWs5NpT
QYj+PtvZzvCs3QJuDpdIW+Q0Vn3iUGbX36DyR0mKVTgnR7LUyASMEPjnzfgk4wsciWqDvS3f2KI5
FgInDYXXuve4IbcGtU0UO7BeRf+BdmcTS/boNN5vJA3sdUG5QEvcLavUXZcWdKJCf2nH2coeknGI
bKxNuVijvntvZtdezBaZpgEfc2L6084v/Wwxm/VHMGRsK4LsPHa+T6zEMsq1RO41LbK6iHamV26Q
uxPQ3tUgh7nask9LxhaicVNs+q7iYlz2Vv2ShPK36KNfZmgmK88FH4GgkIVvoBxyvOvspWBqjTnb
GIGVn9JWFaekacR68FmlknmeIftW/RLSbWzX2bKJ6vluCNB58ZvgGe49sa1QQW48j6jxwB3Wtjfo
fTK6465BArWgKIl3A4PzjSVo/2UkHy/8kDo3r213o51uKfGfr5qxsu7sCZNr4+RrDzHOLL1h7c44
BYnJC7CyJfEREe9Thnp8KfldV01Zr826H06xeHCrOn0udcL+2R37nTNDoCgT0RBmS1OJSVW38mpE
5VPILI8pmwmID9UTuEqj4lSU0v0V6g7pJ0BHX7v5wsilz6meVFSdnItGMbhrh+0A/daEc0hN96WH
OxXcULLIFBQ7c2gHApD3fAjhxhw0ugkuG+GlGQTfcFjLMv2phiBdOcxUES61+3Ty612X+vvaSkkQ
EPdBbo4wROJ0pYKAegmpTp+q57mnmyB7hKZDLukPBBSPFoAWvw25Gs12a7rktFARymsS3cIPDYwt
jn0TMu5TlFfPNKX5Te/SUeUsuLjrgFrprU32AjPGZZcjZ0Zl9dH15QFE44BkHsN9MhOeUPcVtr2U
jOylCAUScT/uX5vOe3Er+avvk+jDjlaZD1wtCptx2TInu0OfjQlccLf3xtKBARhP2yyIf7GmTnd8
GkgK42BTAzToEv/QTK53aBr9t0eV73d7OtLsAG9Yt9nMNm1Y9LioNEOlwVpC3AhPIAHpliTGdMyn
4ippLXKSjMQN3foqoYr6F4fw+iDCW9iUSmwincLdza5u7lt7zmNsu7L8rBhRPnrBxTHDZR1gmXPd
9Mso/fJFaUyEVnMXcW4eepT8aKNM5wH3W41XEzwu80TkZ4GkH4rL+oGOFuAw2tDxJJuTjqABT535
pebcXRkJm4/SgrdUYn/NoyQ4TnPE8BrD2VxG8uyKdHig4iJPPA/3SELmTVDUb2Ng59g1wTrFXQW/
9tcM6Omel5YUP1azw9GJD5SYu70r6yWH9SGKXgcAFNvMi74YKgfvDJlfULCMv2prXup+fnEJLplm
IinciKkjc2cqlPBQ1PTXpUW6ElgzCD+Lm7WcDvJ9GRvs0onLyX5EVf6Lvc7CTPMfOs9eKjs+cHlv
Sj1vS4uhVBqI+wFWe9uYkJCyc9r35ynCsS0bZ+cVxtqrPL2wD76LcA/6w5M28CvVudrkXsX+wIEW
ZgxAP63SQa3LC5h05NuDomJYuOFUbJ3K+Ao94xC71UOQ6F/QmdylaROunXYZTrNuYBVUwFTh3yyw
26D3kripyXIy7W7d59MJXoKBARleURf5cEaDnfujhsCelfFv5s0//FG+wkyK51Wd9T+DLP7ZVM0b
N461Df5Y2QjUmuwxG6F6hARygKYQNJNETt8Bdi+vaqknQCd3RliAlslOKulIpCqHJ4P2wnJsSb3J
JpPk9emcj/ln7pCp6MzruAxuq8oWhkR8phm1DovwYDrma623GQH1jS8vNpZTyZzJKLqfHXN8Myn2
gB8IDQrVA6vJzkiyHyoZzUWofU5eeiJBE/0espuxGVJ+7IVPtz9laBE3h8Mku7fL+NOVbN/Y95yb
MO0XLaCDRcE1vkxj9wJS7aQdzW5pOzsLCX87p/Z0THqd1WdV8SyvaN7ymByv5pn5xKntvCcaMY+B
4W0GYW9xK5xBbuf4WLhYHbgpjfod+lTNSfJVDjaJMQwUGJe8wJ/nyo45e8rsRwYp08qJ+IscmqnJ
1K5VE31as7OPNYWwClMUnAMAeIuMet5FWaB1i8Jp3UT5HkGvXgXmc1bT2AHGvoawwe8EFBsFdP9k
mFgtTKvCFhRjIO5xA6oRpyjm8GiJl3XbeN4yNAW7YjsDghDsexOCXOw9T/gk6wZNVcOHMcQuQM3s
U5JCdftNvaC4ElT8CDjkbcgaohOCn2Jy33M+/GVaGIfOs6nYaXRa/tPYGAfkMk8INFmJS3cDWH+r
y/5TRMaxz3HXi/6eaESM1nsk0Tu3NtbucLPZ5jn2BeMrKPmVpir6HAZnnVnTb49n9APHBgPaJtbR
HiXI92N/HqnAk6V3N41qgzayaIAE+jkLj0tPrr2FIDkOmbwFlZz/sfL1cAYI28agj1p8AU6XPJBd
unYCzLRud0bXfR867qUtAHp3/qpR9iI2mYlB69gXlrokBlauOr1PfbkTrbsO8ifJ9ez7MzkF+IN5
owUBQL3kJw9FcUV3Qwwv/Y5FVfU7iPtPicNqOZyBuBvg87GRxiNjWsEYvWiwV9MPDnIXggtnKi4p
inUPDtxr2+aPoZ3R7h7v5qZ+Y6JGTJCRE+Yi7xk0s5ltb71+P3jsFAcnFEa2xCz21JDYsEBecWu+
u7tJrHEdk0o98v6QD+7hQM7nsiLQYvxEfkem+C30oOJ74kpky57wINfbVDOH3SmQ/vsbwy5OUgww
SxuC0ATHyiWSC8TYgtN0N0XEYTmjc4Fe8Dbp9DeMbLWWsngZzeyOftoWOT+IgEGkvy2PoCajP9cc
eJAxvyUahYV0g5UZEhHX8JanjnXGcHa12WCgDH7JLmYEUBdXz48+9Schzkw2DArG4BAZ8Sdqk0ss
s7Xdzi/CYs6OS7Ox3s3E25TcHNrAOCgjONRd8SNW1r30jbWiU4cugX2Tm35qRr5QCvrzsWxZBIZY
HjLiqCqBvbO4faBQomk3LA07AzGDOSUsHhvLvud++AjSCdp/t8nITihm1jSz/PAxHEOnIeyWMUvS
1m8hc9Ct2aWfv8FfyZaIjdA2DlNq3eec2CDji4VTcOyVtu59GxaGqKAHzt2757/Ur6II9nlJyYGi
p1yxXSH5KY1/Zt247R0DNoGzJ7gCbEb1BmDxxW68y0jCNERFQsCRtS4SWV4llSS0kBfYdw81HIPb
wcDMmI9QCJqcxOMxaSr2cs66aefHWRePdid3celxE+ESL8I1OvmvvuXsxUV4wvmw7BDM1l58bpP8
EPfGCM0g/qTLm0vqFU8OL3305XZNuvE0i7Ec3KcQBlEo9L5HbE/jDAOkgVkDogOyddGfjKdpsi/l
UD72kbthSLzOYnf7oXDDRJm9q2lF+On8gnVvLUP8PpyypaU+IcstkoDb5ej0eBGGZVV7l0q6e/IV
nuLG3t5u33HYnu3Y2Q2Fdc8az37AZ8U0YOOgJ3VUeRU5jVuTl4pVcUU2goO/PbtogxZ2wzoPrvKV
7TDXpKsXQ6ffxlr+LEzFOK3m7EX11RcYYaz52kPppznpZ0yFnE3RgvAhEXrkDChqZ+cYvFHHvy3U
NrJXcBXDwqa/QyeLAov5cFfcGcpMV32fnprEfXITNSygg3hsnsihhkq4VHNKatGoga0k6RaQs772
/Q6BWwmnqSINci7MVYdKUINvXPRcm5hyBjADFv5mdmW//lsmx/+piPZ/ap6WcBi5/hfz5Y+mKb9K
/fdpWt/f8ud02TD/gGLFPDig6rCFY0Fp/XeprSG8P5DhoU+zfYTubD3+yl6VDvpcDCK+adHtY9BH
lOvfRswMrD1P8IqulPgZGT//KyNm6d2Snf+K03JcAiRgi7nStC2XlGr/nybMw+TYg7YINTBuupi8
mQRNSyIYTo4Ao/ABkEnXNApSRejqwLslqsqJVDCX19DNNUSvcRKp9wmeLtaMqYekgjNcqML6qdGa
EVrXzVYuFzjhwJ0wtQs7d89UQ7BTH83RJyC9nggXBuuARZUp+Arf+ljTRBxj/6YbjPoEEsK7KXMg
+du8GvKgfwk7CwXVqs88w2y2U16i7lnkqu+5lUjd1cBvPOFrcZnrijgb02y9ae/ibbMOndEbLfd/
NernTkk1vmRD5w0wIxBWomayelHfDzLJyp/Z/6XuPJabV9Ys+yodPW7cABJImEFN6J0oiTK/mSD0
O5iET/gX6gfpF+sFnurjquLeqEENesIgQEoiKTDN9+29thm1Ypf6hsigqON5XidoWxD8BhnAzKsy
kQjupyDt+oMLr3dX8+WkedlUzrghYoJsdN9c+N5B6iY+aCki7un34JjYGZSYcUiGcgi+1WVbmgdY
+uiBGfNz7dEaHkYbI0ZQKkQphKyKZMkRq3LLfKRMpRNns/xHGQTKFGJHHWj7vTLsfMAMr8jiBu+l
Pg9jJN1DblRkhY6Y38Byirl8UR6Gj4MXCQKoqhlLnJu7mtVzIelmoMbBBUmjwnhC3IRHUqmivfTw
Xl6Fl6cfaqiyb4v7G9YnUs9mL1JJS62qEFEzI1cI9iujfPOtFr3TCCHmITEhpC+ziYvL1JsSDnKv
F2PwUlVhXRyAAxTZFc/PrLZqQgB28IfUMXzM82OY7tLITnBNI/YmzEX1UlgvmVG0mWByUIaFylck
I69eamsmydAauX7AoiRHLhDH3nh4Hb2TEwZlfG79CUYAnPPU+OFnQ+1/T1uWN3KTuMHYBys/cliP
W2bK8jjLR/i1DdC0cTsmaehe2QBC76MLwx6u1Z1Xfu4hglHzsxswH6xy0JUH7tg6AF1FG2/HOoAK
2MX4jk6x12QxDI0I0ecNKnPfbOcm6Yyn0sE1+9r4bYux0XbS5AFLIdvYHDYmUCPTcVR4KwagDZ8M
NVBDGZCDhOzOA2k+eQXBxuDbABDbNb3fHh8sQomsEIegtRVtnzaZxaEuFBcx/nvlXLgmJ1+xXYXL
+BCSFnWZvNCEw2gN8yfJBqk/Qfbge9oAYPxkpHHEfB8nW9Z6WyhTTfBpBrCF0RjPcIsKUETOI8Fs
NYWypqnso5wqvkJUL0w0GyKN3PETvXG0IVGkZ7wjhdFbqyYyorlZhTXsfn77YMzfVRq72bKxB734
WrL8Fd/7UFnWcz1n05nx8SRDb9KgQlATVNvIGipw8wFA3B3VIcLLA0ykCghnb05M0b5SLAEaDFqV
URjmeZ4mZmFhAWTbiUoEis570zVrdKICKWqQ0FXxIAD4tOMK0VA3BmDbIxBTs9+k06qajRGNCqML
iwyk6DkaQxyKaU7dNqAW426y3myxl4HUMzp+DFoZ8m/bgOIFgXIcG8AVsE9pcfSfDJEo6jwiQ9Vx
dvFmdx/akobvb30oM+TSSCeX21D42fTk4jIDAjcoBHNjgbjsYOq+pkpm6xLt37o0mZ0GACiTgtc7
Vl2ljkpNRD3oMa7tnWyG2N3Hhku9GKl7Mj96yjXLfZx2bFw34AR940dUwGvYB0GcsUuP4Nb6BwP1
dssbIOHuV1cNS5JIbcctGT2U0FcA/wvFo07kwtf2JzN5RHpkpzeq+JBgk7pq3BQFAr/yYS7Leq6p
OEZzZ21FUTgioh+tR/MBF1bM6G8ZU6EwfEp0f9be71I94n+tfJrKvuuVW4qCjrNVZZNMr5GDUHAV
GFnl0tGOhgKVQuLaLT4nY+jjjBZp0VTWUemKqsJOAuYtKcZZg+ivZZXNhN90Fh1tgiBAKtWT5WOQ
9WU3sHp1HXFyhEKsu5EBsu2vlJDVR6Pikmw1kwaXM4IqQXxgFGZzMWyyw1h0U2sDBmb0CXEBq3Ro
4KyY7mhEdEnKPj5NZH7x0adqdg5Z1M2Y0xje6zOiEkyBfBUCy1o3+ZzhpUXVNHGqJIqNSO7ZV90P
i0mP1puHlDk69T0ayZs79NOXDCbHUnDC4vGzjKugv/m5XxTPidEZhM9KDN9kY6mhrcqfingeAzVu
NeUwuaJhMDaJPbVXcw6G5pNuyhB/nBJOSrPBlDayhi6Xa6RgcvlXFqx7dTC4Y8V2MVHiBZkIXNcs
Jo7t6BehZz5o1M/RKxpdq/pAmOySF4GSrVoAtMhAgwFu8LYN5KAsGGWzMF+HoRvHI+aXKH6aUckj
asMXprYVDX/jHbBVSGqEcudk3xdBx4LdqdusCDaJj4eHjVqbNuwHfOH7n4M2KH8YWGy67Z9WcU+/
rX/+B9PUU8nCQ//b/7TQ8P1pWeRbuJikza/wHfR3rLT+ZkWyaiY2p6k/rAoOcg7IKm7YZJrM6XgQ
fkTzRJhtll7Zq75oEqfY42xcZR49aIiQguK1Awfnv2UF/v9RVq3lsqz9J2vr8v/874/8W1J37FV+
FsACpuMP/lXLT/22vCaS1rc96cP8JHHURcP5/xbXtvkPYXm2xdral4h+A+t3+SbGgH+g0QzAbiH7
vLvZfl9cG8L9h+8yriD4dFlB+az+/0sCzr9dRYILx/JYtQbCAev296soIk8UOXE1rJqA8ofRA14q
0/nRSaufeT7Ee+T3jKd9LK6sAbE5lzrkym+efRquq66rK9KOqCnFA6lO5gD1zEivf/pI/5MLXfBB
/OVC5yXi9fMkH4jnWpZc4na/f9ySIlq+Fv+rFgj3SzEPK3dCVtVoGUBbDVEf2vFM2t8mhYRTwUkw
zMxeG3HinryMHdGoSXvmS/oShPTbED0R48ai7xy5bJ0pGIAQB2IHGcrF1DvMX//Fq152JX/sWnxr
edUBMl5TkuSBj/FvrzoOY4UljG01ZO16bWfkgyaWX37V9PbsySEEib7CZmxPWprOXgvH26S2S8fY
ypEZtB5Li5w8QH+od7VaqnjErxhYN67W1AC/nmitIM7MKSCZxeBsZqbonSfKXwIrMGKO2Dng8xd8
Zk2z+udv7e/vjF6BsKzAcpy7QfPv78zk4xyTKpooWvXm0UTIS73EuuaD7hC5N/GJ6YpYjBZ9gin3
//xvW3+VG/sWfxy0uuTzlUuOs/m3zSAEkwwfFlGenrbPkuRe7CzizXEN50RTmGyDxCq3FLLnY07h
zzO3dWgatzRVa7Ou23/xSYi/bk3vr8azMZUyCLt8iZ2/vxo0FZPs8Z7oqGJfNcwfQ0z3gHHA3mWt
Blgn+/ZCI5gKfYRZzSzkwnfQ7iVLiNVwJ/+TdINvyQDJXtg/knBynhNRtWTOAODxJhOVCDjTlalV
sv4Xn+R/8tr5zktUMYHjsLH+22tHvJrh1R6gUyZxvqeuHLrAxEu3sFbRoC/w9sVqEt2IKgROSzwW
qDi9yAFmwxX8z1+L/A+vhXgBl5fh+Ta2XSy6f/2KQ0MOlc48b6GzO1Q+HYCuKsBSbTibziRehfWe
upB6yf4TQ2zjsCpOTZUOK7asuFMqd9zORotqa7nhi3UgYtY4DCkaHDgAHSi78/2gbTJx9tyk2FoJ
FfZ1aNghkQhvY6rFZ+1bGCPrYSNqv7nkwcBKubQa4AUkKM06B/CbsNGOLDK3eXk2+sdWvvjkZJTT
MJw8KMXXrknlhQSvdQwmzaY7VW0IEB3eWKb3xzqIi22AUniLEm1ZiKpw3sLBTM///PN0nYAZ5y/D
jy8Cy5SuaTqm7bvSXQzMfxo06VRQkAdFSnsk/Uk5pFu4RPDgXG+jWHStFTvvhrUkwFjoHFP8jR1v
e7Yp/FerdrkbWZK79VS2Z+G6iLuWe39/JJqGkVoDO777w9oBImaAFmKgJUsnMv79Bt09yoH7cR6O
wZZPSq/uzynvjxAJ9een3x/BLTReOoQMYakphP/+C+/n77/qj6fdDwc7iTat1xKH63rX2WzWI+Wf
C4Zq/o26Rljl5vMpl+2LzFL3ofS7L0HrVudIVNNzpYKXQjwAe7ANKS4GdCugSxkm2tR+HYdp2kMR
9PY6Ko7BUjEm2EScMGERXdJaxntVIcVgVbjH42M/Uw2RByPpQRGy5X1Jl5v61RrIisvYS7jrOhZI
NePGOiWpB0Cszr+rCOZtSK4h/fRLGI/veorpCGrfewvt9BOeL/UjjacnFO+w10bymvsoOFupa9Pj
kgu13qOVhaaL9hp6cEt23T6ZkJbF41LQGCZijNGo74GlZ68K+Niqj/vyx9Qrsp6KA/3n7B0ZsMB6
ob1Yv8yw3a0gtQlBM1DWz82FUKZmN4TghzrYtqHs8zeBbJlW6wZ+G0DWyuxf8x7VuJ13+q1eyES6
DsSTlozEkxVdeu1W0K6LaTe3WbfPMGQdM+873fhVXilzbaaG+x6WybSjo9zsAIesAcUXl9ogidMZ
jKsdRjPSQL6hbR8voHwbiI0mZK+kW0RNXIudA6LtBvHjjTjqcW9lNAcK0nu+5jaUwonEu8gx9bnv
lwBytxAEIfKGQtOErj46+oo7sL9i9sSAUszyA5QnBTq3e2N37x8CYHVkRfnWF6EJ/lie4AyAvd3W
ac+OW3rPab+ioPYNJ5p897pJnZrOFOvJ7+R7EaIryY202d0PY90g6JKJf7wfihGuY+kP1fV+GLbU
5NkNwye05bqPRHuIHGb9KpiumHfjFyZ5huPSg2U1xzBFEx6N/OnPjzLnUQ5cnny/iTNsOYJ+oqfQ
3EERIDo1sw/oXijP2SZ+CrsMb4kxv3idTLDkcCoMauK2iyVkYzm8/1SSzz8YJmzEQpxCUqDOQQ7w
537IPyTbAQlCE0u45MZc6FyptoynbLmBqhLsLMF3ukxq44nw0ujZlX4GTiX8cX/G/Twwyfw6TeTv
Ls+6n7//DhfaZNOisfnjfB8XnwastUvugrUmBBTNq8jTZ0o65gq+RHeo4yn97RzFIB/Ao6h396cw
q6WwjLthOwMm2cTg7iPCmud+bza+Wv92nHfESysdoOCsTcV+fyjIaDLSm+Hn3q4o2cNmfaNu93Nl
R9S4a6Fevx/eH0haf0Ovp3kUDeuSkhh1UG/COnRJByWAFPaXpk8agn1Ru3ji5X6mCDEJw7FQzBec
U44OjoIgsdX90fu5Kf9V5lZxux+MXvSTUvwxrBr1AAg6fRob9G6w4eYPpy6/52Hm3uJUBCdDVzGD
r+2eXXyeqCfTLxBd/HfDJbKaK7J98BHmnztqWDtSNeSLgcV5Vdim+klq61Kn/znHJowkMDuvbm1B
RTC6j0APuIs6y3tul2K5mfTeRyzg6NVTHzxDNq2ZTHJ/M7eR9yHQ5tHijr+i2dA7e27zY1MgVynx
Wv32kxVpe5Njp49YDRN414v+1A/zGxkmoMzjmVVB4oj5gEJRbDOVqUsG+1osoWQNEMrfksnKaMQG
WWV3dVu9RgplEL0lgdrCgD0ge59fRb5xB2ahFuVwVnlPcWWb16iOnFXQzckLA+4R1RvGfdA83SFS
4bDG2U0z2Bdvbj6Nz23d/umIOuGh14SvRgiqjjjGBCFBLTkymaq/NJP5s6W6QntvNq9GaU57yiGT
t/Pz2UZybjDlkK148LV59YaKdMDlJvEd69Bm+Zdm+ZsRniAbM9kLFRSxNqszGhf9DJdIU4QsbNCS
UM4Tr3kmr0wNMn8qxviYNcX0QO4NYQ8muv8or8iyGG0DDoSCfmaH5vV+My73JualfWnF3epr6A/x
8/0GkUf83LbGIUut6oHkyH8/j+r1V2JOX2iqo/MTDL9zhqyLuENuwYCxsNFzvEkxxr0VffEUKzU8
3o/mFnl82fXG5X7YtWmwEnSmTmB9+SrZcmu6boCkxa8f4Hm7r1XU7ye0/phxwa2VtTPAlTRtlnTJ
i2Ub/vl+Y/9+z5VOtZ/t+O1+noxLJsrfHwzi8ZSME6LJBcBkYP85N6pAzyMazXSvNKkQqXXsSK48
0ZXpiaNz+uv9XhhV6UW4YmNEnPrj/P1B24rTfSCrlzxr92xRSzm3L8Pg6ZeaJQ/ZSt4GPt17nfi/
bK9BBRjBOHpIC4mlO8u2krXhSzF66WaWabannhO/dGm0Jfy8+jD6TlWb2E2IeSOvFqD0qMlztC4s
PqoPJzB2VU7Qrio1Wx6UFw08vJfAp6kd9BGb3doSKYKeEedgXyaXufKSixrmK7htts+sAVZeOxgP
9xtN0sh2iCgGE+5TP6klPYKAS++Q+km3Bgswb5t59i+1V/mX+z2zCGfEah50tINoWzxJgx89UJXn
Td7vermaWX7DBK/wXqaA6U/392fhhdTmRPqmVOGOirT9RXXdNrTNDORcpM6hM+ToSjlvsZTBRVnO
T8puxCNPwXyQ6/k8R+Aau8lKnoIqfocM0J2CrGp8xIZudoICQMgVDKycZHUWGUukZyu8B3QY6JJF
7iOLrlnR57w2wnXI25F0UwrrE8SJHOaiVz2V6myJSb3Ru4KTZop9FFbDL38JFvFZGORe+94UeblO
LaM63b+odc/Kx+KLFczb2KYrmS6qRbY9n0GHtM9B6Q1UVEFZYfF0rp1vrcoakVNc+QLVLv93WWXx
C5TsA/3A/PF+ZbTK+mF0NR1O8h5XMF9aZm1kfIjTqX9OTnQbibx7ut8U+StRG+8qqObXWvEXudy3
9yOjFfNrNhU7s813sBfnc+OG3hP5od4TTO9fVY58IqJ0cUDogEsAqsI5Xe6NycC91u7xubA+8qLq
Vga5d2wyUuum5ZBY2+4KQ5ckyyl01vbCOssZO046Hshl7GrUG2kTPt1vgM+rretkfCUE3UFXjB7I
ktp7Ri2gyH9d2M19Wz81wVfCfq1L8vtNSuF4lU9muJ1CjHeeYFPtzhA5VrHndJspnegQLF8sGMvp
HlLfL0uqfEP+BD0Y0GvmjhDGGpp3+Vji3iOdpe5JCwBSOaDYqnND4QAou4fMH4BjeMwNQ9yREhQE
JcEY7jNsIPTcLA72eB9qLHtc8wiWJ/KlgZR2yRTsqkY/FiWaX1Go4qsl8vfAaJufcdZtIjewdqqy
5VEE9EimhpjisKLoQwntg3RL9bWojWTTzjl+GLeQK41EhRL9gKelI0+I2NNtFxjhscDG9h4OOf1X
zttYRWgkRSBLex1/wSQ3tLdoHoyfpc6eUjTkX5MUmWcyV+1rMUTJ1s8dA0SPmx3G2IMmN/vZBRkq
uUVCfPS19lluzs0e8Adh0eBcUIv77sH1h/6hED3SeChxz7ZM800qYvFmtpehplfmd1aMRJFNbjKM
4qox1B1KxF6nysCqOBG6tdNlpp/ZGwXE4QbZJ3Dyi757eI9opr4mpIgp3fkEA0bPKAObZZ4gvGeC
CT9ocZMh4VF53+iVhOv/XjoEgQncFLXtvqtZUgtyI+d7q0HCmqS1ruYR9bRXTj+QK/xKMpPwiwap
teZTe0jtlsqZyJ4bU7QY1ybjYHl19ny/aaGOr+lK1vuOghKttAylqTHZHqEAAX6zhmpPQMrZFeCX
vlJdGI5zMN/85eh+6o+b3C/trRrEBj8eggLMw0yi3DQESpzHej7OTVsck4aA7qZ1+i+jjehcgf5u
DB+cjyX0pRrq6smUg8WaDgqEnLsj4NrFEsg0lLp6uLKlfxcWrYfAxQR4H4USjcm0FInea9YSrB44
rJfDCGcAm79oJFzE38VjQ4F3bD+LpvR+uWN8c7uFcu5HyIno6d+MEKgraKuNKhZ3K2nYv927n3M8
Obzc740JAbadC7bdtft5a6UWKNeymg+5VatTHY3NxTFsuavG3oNYoovNTOTtO7S/Fi0fb1d25hlv
qUYYSMSs29//fd3VyLMX247aT3WaHfx+iRN3jaeqtfi6+pQB67ZkRTmJE1T5XZfn6U+mkFfCr7NP
Y90125AKxUU683BxfaI3czEnnxzbe6UOVZ7aBqN42pi3TFr2W43iYs8ydjiETOavneV8w/AQf688
+cUR7QB31sZEmuM+Zb1QvdGLe7s/wVmailLM1Utf6ego3SnZW26rcIRiMjb8LqS0a0OzrF39lrj6
BLtjQmSL27ikQvDb+azpfjuPdurPz//9fBz8h98TMV7t2z7vdiRKExxBh42Sax++1QaV2Ziq7Jrt
avhW2VoeJk3A+/1RnQtjX7bC3lC8DN9mGgD7NgVQc390DK1hR3YQheXl0TYM0ZlOLuoOV9gkIxHL
yEqWJC2WyWvbTGfKCUSwalu8/3Y0BfUrYYf3g/vTS9G/lIXoSGXlh/WIKUJ5WXW8PwOZQb9TaRSs
DQjePeifG0gAzADRQ8b285kVkryNRp/v5xF6zh9PyEvvGvEW0Y/y9BaB6GlKGBruh/lyroJAtTLr
OVg7RszOt7HbFw80wcmtYbnfD+83dmmeIUe5V+Tm3UtRev2up65LPhE/oFUc73M44+vOpnVf9vU1
WZw9IwGXT01JdHczNuposZ7+7VzgskKUXOHbpPM7iieqaw/3Jw7FNbeIcqzmtnmYmML7DchtmwCr
4OP+wP0mcQbEe35y0S7EXSdJL07EVs9yovImvYTFzIiZWoZNevaWGwVE6QyXezgIyRDoDNYBTlD0
dQ4T7OBE7hzCcDa/UDo1cqjC7BSLg7DtemcuUWgR+SnYUsO3iAkyHKppc784CXRnjCB6gvhgcRhN
ImXv58v8z+fDzMp31GHnr399fmvKL2MOr4GNZPuG1drZjb3fb9sl6NivcrmXjrI2I/HLbxMi88OM
FBy9MI+mvJ1T7VChvP+s6EW/NWL/s8UL3XQMjN9KcWKoqz+kT7+Bwcw+ecMYPtuuLgCm8wQQd19D
dkwvkiSYI7idBo99SGaWMw2XPJYfZK86VyjW+r0dkELaWQIoXGRE3epTGDufXJCk/LAZn+MplBu7
M/KPMGcxF4KpaKvAO1jpULw6XnYj7/NhEto/qkLNL0MI7sIcsZeP7TC/ECjVMIJzrdnM/EsrR1wS
VdTHNo7cY1266UVbabVGJNps26L8dd++DdJ5gRFdsZrInsFkud9Bxn1MBvNj9+6aefEcD0Tb2Wn8
OBqjfi6mvLkGIy7s95hm/JembKKTUJG1oZadkRHSFitzSPvHLqH0iozWW1FWCJjJEhbwxogDJ9AY
miEjPTVgN+E7+81nmujEX1BSpQy6Gkkh+eVG5ocjqxNUff3aN128YcOx8Hrb6DPDIDoXv3jNMD88
SQ0Jejlthnm/j/MK2ghqsXXa1dFJWjHXsY3WGICc/IaH6IUPrH6LIe2urWn8oCiWLajwFN9rUnw3
ivmZ2b5dpw7xeUMyNi9pyH+z7ip9lICOXqogPcwFC7RotHALe4N8n4x03oJxsre5Crea7dDXlAJK
j2jmmxOSzwcnjurqIuRh85AZe8ZW+CdDAgy/SPHNwMXf9xUtw3GxNjjGjOfNMZIzuqWL7apPIeak
T+lSwy/DQT5FLSp+trvJqbH8dzh1wSY83f+btj3qjSjguNyLqEujY436T50F7qaNQavsAVLYylDz
fIlTeJgsFfSFlAJ07HXlkI4yof1gIbtxUdAeWABdiCoE/ER5A3V15oX2VcVSwPAmMBsvkB93yNJT
R251MgKLwzr+ZKPlOITj8GA2EX7uluVyH21GF6firLOj8tVWxNkawNiOj7b7Gms7wyCfjVcTBl43
JKC8lxfTWkhkgoy6RUB8JRjl4gvfF8gvQwKXocHDMKPPKPyC3ZQrd7A/81WZ4Lm1LO0cTC+Tj4Pd
oTPu6Ye07rnIKzCOs7j0Tc7o0Bn6TD4IIcZGzIJS6DN7OPsYAQpBM12qTY4c5zK09vuQdAH2bRJY
BEnDnocBJ0rPY9fzwcxzgpm67QAE2ySlI+hBzU/XpxlT78gIuckglj3cb0KpL82Qy02KXOsmg8Ld
BSN7Gamb56YFL7f82ZXNBH7ME5dw2tQd3mRXveV1T0pcLR/ICNCP5Pnx4ZlGs7sfLg/WQ9k/zOmx
Can9JcrWj50VEG3hR99Y/DFKY/TfVNAUNoKd7jKtCrXjcFkN95Fcm0Ngn+ZueJSl5Ge1edFe0Z2r
HME73ot0p6dUPqJV6daGZ0SHYRy3jQeUBcVOyqJVPpnZ9D55hFLk8aD3pc8oREQ3OZF+glgp7Lwd
tMOULhrznq3bo2f2b9Je3IO0LeuBmKDCJGENwJ5Lpt383vVdeM6aHpScz5ZTdSW9OL8SpwoE4iUz
69c4zetrTZVHNp28EQhhrQgjuJSGZ78Ssctmhm/QatRJe5t+hoyat8hKwwvOWXkuB+Sx8xz231K/
3ThD4R3NyT0kcaPWOe3tewlbmkBpvaYt2efk24FMjsswxw/RhKSllS2fdkB0srOEvRjxjaHVe6qr
7hXnrDwhjOm2OXCmteNj/kFRdvbrPH4QgehX1XTLuyY8afpFDVTeh3EK9lgUsndmCl6z0QTRwYqu
voigPPa3GJH+mlfrsuOIq/GIQfxdSmN4KN1qfDBa5Ps5o/J2VpSh8URFW7q4yTmcnpUjuUT7qi+v
Vde8ol12VuVgepdI4qEu67TEBaV+xoPnPSx1PqpEgv56Vex6WyavFXxEagq/XEtOewnWc28UjB50
lMVekRvNYjO38BTiU8lmxLfESJF5UlE2Xdp6LagOg8bzFYX/j9wZzeMojekqwZjDbHSeEstbT1YI
9sPI/DN61ZVeDKdYpecVGzpr1c4mBj5WJgPGI/B43QE5Gq6HTLqXxrM+Knh4+54gAnCmAv5FPFJ7
SSpVrSNlsjO2G+9caPsztfbpbEZSAndx6k1hSXBeDVa3oYCmYBPQZnt8+9nDMSB4xVNFFepkqQ5Y
N+k6GLpCf29YVk57XeEUmanclHk2bUSOOSdunhyLZVmZ6OFTpAiv4EN4zKPZ3mI0J6ABL8rDPH8v
O2J+cxmpYwqE8Tp6w08lMZ8MvaRfaFTiHM0ZH8jUwrwJ4r0IKoSyWThdo1k3Gxgj9irEm7eXVRCe
R5RwWw2FdFV12Xz2cufroh+lxWuyF5+iT4iGqqvASNx2lf3EVUYHkmRp39DdW0Yc0S7Lq7XOQvFC
DCnBiX1Cf3HOsZFDVHGSjW3Wxd6MaVFP5K1u56z0tj444R1yXdgVM2CfcrDqDQvKcNtYaMBTXXSM
rNmpB+eIfqSr9pXEYIs5HV5EQ8SKre3dANIRnFmhTjET7KYP61fdZxuLhtnBQESG3zOuTjh78Y3F
w9FrCIvrw8M4Yfl2Gil3dhNdCZ2k1oeCb40yH032bN+ytvhpGCbMyLyOYWF4r05GwSKZii8sKyCJ
DdQVmziEjqCKrUHsRhmrhxj3PMJblKNRPk9bw4mNTUTg4QrWgH8CXSH4jPg04uVN4CeOiPOrXg2/
JClwbr7ep9wGcec2sknWcbPyWASW2Dt1rJk9pnbXe1n9oI2xoM731f0GYWd+LmgLZxiowq5Y/J1e
fZtNcX3ucVa+kmQzrYalNBwYTrmHexN/NUc8Qe7I9TfkUOw75eQXo0g3PlhaPmed3uocpxJwte9L
+tU1Mp0laXNv0qnZlB3AM/xqzlnZoKqpoJlnELTvdTe6K+UxHSOSdfZ5IsR+ToPghWwrisJ6yRAp
Q0rrljlsbDbV+5wl0x4GZMG5kTV0qL/mBupXjOqUbrzwjfQWcsRD78M36u6mtP/FWDoYUmcx1QhK
UZM0+dcnu5Ym8V6AGb2I2dYr4OvGnk0RrP+G1V/YZM2ODQasWU+iU+n9N0NvkVDMBtp22t64VvX0
GVLFI4VlLmLWIwc85ga0Fbm6V9hB9dWrFlDHU+9/IyOern41l3t4O99VZn2gpfrFhGi/mpow8gSN
D3qCaE3rjwTUgJdA22TvqIy64hB4K6POHVS3PgMczkp6Tg187zTa+w4mVXB0x3a21Vqo3N4RXktn
t8XmBL9z1/HT29qbLRDHEX5Cx0GD0cjq2XXlG52lvReoQ8gqAynPGc8lyF8X9BRZVcDrPPEYj3F0
qYkU3pQCWE/ancdGYzrnPWLr644a3shbYalNRQrSri7CbuMyn5UrdBruSspcbwVt8WvSDO0WhCAc
3Ua1r7ORIbSrSIWNyKGqwQuOTdff7tdaZwzVLoI7vBlJqNkCxhO3hXF6g5SzSDgx8Zf6LcwwX8WO
RbROTZFGfWOXohfqlCL3l3DuqUmSL4ZSF79VTyWw83VcO+GRXMn0PSmC/dikGztI4yfmyuQ2oo3Z
0ZXZwvNgdGRK30RjEHzOZ43xsrPb65Tg+KK536/mCB5GnQ8Muww5sdK3DiH2S6h39ejF1wlUKWSv
hzFpwP20wnipW6KhRE9Mk8TuZ8GLGFhecF0hVAUIUZ+5IPxtTGzNAXeIurb4yQ9mRg2goV+IfuLW
OZBi4FjfXM/AGWBXKRhjUW6JbQw/qEnkdSS/DiXhXeRgcMnqt9gJo4e6YUshx6558ELxrR33bp+C
LihM+OBVcZ4H+RqiHjxo6X/qoFGYLap+yqb5VmkHeYPyB67KrDuGeeN/8pbIzt7UtCXN+Cb6YygD
WmsxhWlw60c+a+u5HxAz9Y5V/hiKiNxwWzFQgriIGAgf2UGAU1XxMTTJalZLpGLZ3jxD71qnGTZy
cCnT2WPwCQ3CR4UE4GHyHbSXtgoP2kEV4GfkN/GPo0A78otrfRFOaOPSjulmG7hbvCpwN2iEIyZY
P3udcI2Ys2T9Tly34tRaJ4AZ2XIdqaJX/MO78pstrBK6lETVaY4XBpc3X6QItePgazcWDYGF56Gj
cjaOeHJD2hb4I9ZJ2VYnPEgJMSkxkaLdTzrGxlr6KtjOTP+7OMjOaOACopVivTJY9u0DW+3ojD7O
uKVHL5zXBYwsZtd02/sZc1ebUhZpxm2c/V+izms5bmTLol+ECHjzWkB5Rxat9IJoUiK8R2YC+PpZ
0EzEPNy6TalbIqsA5DF7r82TuyhzjOCufK8VO/xass92KrVfNLL+WuEN/3Wu+qiCrvu2GdtgQNiZ
6fCq9P4vCTPBzsYde0phRoLObtAFJOjcICz+kiS7M9pqtlpvWM+o/fLQwT4xJMl0Eig+wi6Tz3lv
FueFxxWkCfom7LG5I+tfeskS0+X5EdRx9VLmdIL4MTRMn6ZGTf+3Jh57GPP8yaKwrzp8vLpb+6HG
O0Z1S0AAogWgLAnw7Edn+NlDH+yeulYjRpDvC9Nm+TQqkkYHPd/VTB53qWxXDoJ+1Iz5lYlNcS1N
TAayKd7dmYWjhcltk60q3mlKM4gq9F2oMIxjrwUyFMMi39ox2fZdo12BGqRaK6KCPjxakiJqSCAG
HmfuR2961Itp7wly1jinGBSMC3XKYDXaNoXslJXWJwpMLdKnWoaqDKwDaQvTxqvK9KY73xb8MBME
RICB9ynIyh8HxEqOH/RiKEkKD/DKHZYMDfub535xvqVWU9Fme/WupzjeahA25DIJqBP8m4XNB+ZZ
UNUTzR0ilRoljiv1Cfl2z8npHaxaZ0+mVWAEkzWUdgVvTF1KF0MfYMhS35OC4EQ1XtwhJZW14S6K
ABKFBJDGLOHjfd5ifK/aWh0hRJNoz61vOcYngn0GV9AQnVGcdaKxNC+5A3rkJPS1KwDRdC+m0iAb
2L5qGMIu6SgEfVyTHXIVpU1jH3U4FSZnzGFx1a1BzkuD0e3ZJyVQONR2rOIhzCc2VvNS6ZBUGA2o
wGZm3bXj1VGrUQmo9ckiqVMlXn7WSqL5uFSMIfkYDOOjCVxEr81ywDX1rkmWQ8VofEhdNhGnxvzS
4sSlAIYXwoKSB6Wtrh6ezojeHOihK/6gsm0igAY5isdyj0MsO5Kz0Jy1Ln6IMcBtn4Psokz8XGAN
EuOd4bNIOM1AYPJEx2ZYfNRcpXt2WH2YW8nvsYwUwFp+jiAJh4koN5P3ekmDIJQ5a1Epu4BJjsu5
GzPfIXct8Z0kmgkhA570ZtXUWV6vDnOBZUvAqCY9If6y+6DZTnGxNerlHVyRCP3FfZ1QT+7ccvgV
M8tm2Nr+NkjQ4mExR5PsAAvNCfQQjyDvIcluJd4zLn3KSZcGPp5yVAmKJq6kqNMnOA7Z72Zyy0sL
jTf0cLaHbJtpXEip2M4aIAupa3+MbqD4cmFtCJMVtzSTI7l/CyBSUZxsjfCwolvJrN0uGAwmZgtm
jJh1lGRYvpG18zK72gE6zXQyXC/eUHqcaSnHsJvsXTp77WNs04cfdO/K0r1IxD+InV/LcbrgwjMh
qrDVXwzzcPHKgBN8UK8Vx0nmy3uGu/pE4QsPyqouED05XxjlNYKCv4CsOdTFuReNfFGdVwH5gbEI
5P1AX7OGSCYX5cEp83Tn7vj+uAXe8erp3WF0dyzJt6XSg8idzWfZ/9fF9i9p6GY0KHGigyWRZjRX
sWRtOTwcUV/yaJrPLRYUWMff3ZT9JMFXbCQDdAD/xcya7FrrZAJ7ThYGZWeFvYb0fWArGU1+8pmy
Fd4E3D1kbCQALfQ2QtCY4lN0ZQTJPTmC8ggzOfYbZbXmsYgZfBg1c369yg9lpg0vLW3vhSBNrEmb
BcPC0ZcYURev+erwqC7wnXAH2cVDuWUSBg58irGN945wtpXdvzJWfAMXgIY+yHbCIpNAipEk++QX
bVSHd8pgpE9NBBoV+T1oNkyhhYwCM5Afc35xhlG9TzGu1RrRNpas6T/qiCVcfDcOBZRH7MAmO2BO
TPmD1xgfTmI952rU4U0xLHC1W1Uu5mngSXJfEgucTB9Pl/hIF8ZcQ4pzx2p7iwXS3BR7Lefztxvg
CqwEVKM9+5xWt0oI77S0qNaEzr6sxKS0S6FbR3Wf43EUDQqx0ZwjqFB2iHMCyLs7IbipnkpS3EKn
9mk3b/34Y2RtvTH8RTAm2sfi1zBgIiqKIL1wFRZhLtMPWlcgwmqKVm0Dlv/lkA1QdYkQeGuafjkJ
grFNJvPgOkCfJppzCpw+ORu0f6ELN8TwBj0yGwos2hIIfOhZDWYFIIRbIktVe2ygZuMJxGKmvzDG
/Jxtmqip9V5rlzcEsQFraXHicc/6itufWnJi1hF0yVGWqBkw073XQoAT1eAJuWJ4aHN2s9buEzYT
Sk15H5wx5fNNqtCNm5ORH+rF+ihJUGOSxrAU3jEJG9wuqY2UDto34reoWyoWCrLIo2GuP+L+Gses
1U0vSE81oRjbwDfq45CvoLOFWMagWa69k7eXlNJFKuMuDeWFrkNvmAHtxcQRDzMBOFAYt3iMGL1w
EPrUd0x2ygvKACpf4d5qYMZ+7T1Xpa3uhMYfJmhaILTH5aAXXgjQ5z8Jbbzm3jzgEqHJYyCAUbeJ
vCWDbmpbtBLuhdSiA4KTWJX3RKyM4PmY80Q407h5oWPyhOdxcMsRp4ZmYzENDBjx2vdlkcHZlfGr
bjjHtin42YxBZ8+Hnl05fF6miXHXm0+MB0vbm85V1Z9lyghSANFZsM6hmZV8vv2X4YstnmMrioMR
TDdIlyR967q02ZCzLdc24EdXM0/3LMMv0RDNYwfR0FtLmI33rgCMiRB/n7rG0UGpvXeJXWCuwUJx
au48XRFel4wA4qy9N/WLNylqCN3A+xYcfVzS4cCtgq1z/CQw60zgFEDwWiEhybgGIIWdxy7g8eE7
+Ppc0oMnwCBWZfjcir0TVQ3dYDY/4YJpwobdP67gICINZmd3FTELmX1IhHUA2Ee7Ok/2h+7UGs2f
ecrBKdJmgyNlAUD4t1tspyAdDyiYn0iRkbuhmqbI5nUnKxzvvYQbKfS1SwkK6poFowFy5U01MSuU
CzvWGg5i2vPXZoRvj7oR5fFwIA5oy/9fxy5zTjjcIxa349mleQDa8KQxkDotmk7X1cQQB+Bq+Zn/
WXcsh7ih2ff41Z02HkpbmR4qpCBpTEExpb48EhgWZabxldV3qPnZESzBOcivyKfq0EkHl55WO1QI
O6O0YOqINfoNNKXJcXKZ9jXLvnQGdIpaPwttrC4R85Z7kijKBR2JUhZUV4YQ+CcHaKw2uL8qcX56
5TwHNdJPUfwHGZr7Y5mOyQD22hpedJ3cTQdJL2HQ/zE2mbYaJSLImh8jNZ9Ty0Qw1+o/RJIle9k5
p/VHYpG2hWMWcTz8aZLywojzShTOhewMMuYDZF9L9VqZ/VfK6UhF5V8o7yCfV3GkXMEh3FcRZKif
VHZcJGOPPSs5BU2PIHYBqjnjLlOGd64UpMkJGUQ0xNkrSupTB8+3yHJEQ+ILa8kPn+5+EuPI6oCH
seIp2xV2TEmd6RtzvfoqtNkb27g4cZZuEo/weHS9v1p4QXvNL2/7hgzUyI69L1t03TaOT1R6fn4I
8L8Qov3OPf9ZlA2CiRjT9vjXKeNjOQbjXuFx2eQiI1UdQX5rBnir8SWhnXFOmSW3wFpnataY6uvf
r/17EYa2w6bRR7Of/rI6GcWcZKfWR4S1POeIr46t5YmNJkBLF13lnDQR2CegALBL415sCYxl5adS
NBjBphcCc4c/YX7RLMSfXDHEVmlhXM7AfDSQFbbAxSdjQkLhWfVp7gPEafEYBma+EyzXIRBM6z5I
HfuxJ368df4aU8VILmUpwWk75wwKZdgH53EcC2amghOGVIKBSflY8cfBFON0IKnglLWTdcoJ5WYL
J6mSwFr3LKkZ4beI2R2loP1a+WG28NtZmpFEi46Tw8as8GyuL8gfCTdS9eqjaYLIFFQSU1aNTyzL
Q0Q/X3lWDrekYT5iwonCHUQPmuvjs2zPFkf6Qze0djs5s7c1raGD5cR/S633byG2tyucDprQmRnn
9kfa6y99A7COVUFwLWh0XJLbYCmIl38vSYcUUU9WPDML4EV08oXgXIHOD4MKyDQ8B6gxdr7ItHvl
pRdTiZItwNyjztIdcsFLhpoq/lj8DCpXBqFp0LGgW7P52rCo57O0v3yAykdR0vZAIrj/e/Ht9Sh3
YBgx7/kI/BQdPpzQU+3bn/oEmAlp6RMWuiLSYjvfzWWMy8AjDvs6uUCDe7BQm5KEMzDtOl1WlbwU
qLVPyL7bJ7+JEQIWD1Kv2CHaLHSUSaBR+xxPbDwrLFlMDJkUFIFLMJ/N7NdumEguc3+Qs/NfbaCN
lt4Nhy73j77Muy5o7h4iN5rO4qM3F3EjfUvfCaTAG93v94Yylxc3J3S7cBN/J+zh01v8YT+Wf1L2
h4fKbl7ANWS3IpbLVdcjqbNBlqYA3MqUlj8V7bNM0JbqMt938sSbQ3R3shwDBlbnANUGg75yCoEC
3mI83EsoiyQ5JTXjMHu4ZBW4Ms20D4tBLUxub7K3GZrdk29MdOpcQioeA3Kea6Fxx1i+viFS6y2b
ftpJMU5vx9tSa/0N6qvWwI9XdftKxPxbi0rumphhj23s0ZTGJS+KfJ842cGUJAL3cJXhJw7ar8Kd
P5BptWFs9/apBjd6omSsjvFMwsVAEgHRiPSmlHDMS1rBcBDoBonHSaH5kczan1nHcWUjDLzN1Qy6
1q2XJ+1XaeR+FJfm8nAY7kWDVvTwHaq1vmayNlSJ/1RqbHfYu6LpWVVdBRJG8LWDc1K9o510jf3E
3LCPyzw1n8z6WKOUZU93U2Ni31IApf4IusbtuTyajBQyC/Xc89ww1XexOX/HndjHk+d8OhYltEpM
Hi8FByt9pLETs7DCdsib//J1U5iR/YDbaGuVVbNDxe2GIPHEnsyVgJo1cffFONtU6Z52rjIW4hyf
5bOUw3eSa99L6SMcTWBdVM3yQNT9ARyIdpvQKPWVMBv+7bXTm0K6yEYjSo3M/A2bDMDLbHovft3x
tCTY5sbkJD3mnokITkt21mjDK++BnAd5i48pDrBHzZIbU3RvNhhoLY+ZSWbJX2ya7UPMvFFWZR1J
xdIPnmvj1x1672K11jebA2JR5uIRNG3L4rAUSOJRlSJwP3FgpAwRG/U+KP0bNkL1Y4ubJYrgT+u1
w4bTHCGrMhi/NY62nWq3vhhZ556V7iDBaKTPSp9HK6Sx6o+NvBIysFugbRmDz5Id2AeEWTecwPpS
Gt6olphCTR3z9TLoDw5rZf4Gn739UME9Y/i4zStpv3tp8lsDKv6XTzNcrNg5dYMJeFLrXsZClvue
YvnsZEaYaxTzKXbqSDeq+qR7Vn2aGvl/L///JT0RiXdyQdaV6V/4fJIdNB8jcpinbKpyMl4TIsGJ
49MeBlbLNSbxqxE4Ev59ZVS5FSo1sQzP41cIIuYr87ZlZ1oKl8/6ZSzwGVDTu+y3+LIuAVXi5Lmm
fXxFQ02aAmGoexeFic65dv//F65Zg46WAlVj8/Tv1yfwmf/7bzTJ2N2E9uqvhN9uwo3WfgXteuzC
vd11YFjC2pnrI1ucX5o94ElcyLAozaS5gLiqLzAkYVn0WGit0ok35dKoyJAMMNpJt3i451ZwtrIV
S+dMKFbXL0eRxJjbUn6bBWFwRi7FuTPVh3+/26+/m63WEylx3NhOThhkLXJiJwAKbGbmqou3bmsT
8T2NIjj5c/CbEjI94wMMUWogZp8c+6AdSYigkd1ZQf9io2CRrCSBr+o/MQiXQF++S+7vTUUyjOxU
f2FVtnaIbPbLaKlSaBwgRaCmKPr3+GTQHBsDMgxEJO1OTvk9mNWLRhrGdSLScinmd9/vETknK93W
by5aCrba03L0hVbxZWnaza4b/YQMHadqiCojhhU1n3i+q3DMvXSrrwOIONWZ5a+DrjJ7MzR9bVx4
agOBCJHTnFe/hKF3xOMwY2OU2dRwFgFUqwJCDIgY6ngPA0ryphLQLF2qPY3Ldcj5g3PLgFO/cKYu
43zyDaTjU8r0N64DILtntqa4bq3utScR7+hXLOFgdf5pTPoiffb7Qz5S60BQbwrtYU3mceQIddhy
w5KskWzP2R9nMaZtK427Ho/szV2dYXdDV9qOF8PTyaaU3IKS+UEArgy808bqh6tSJBnrPFZ6DC29
28lfAbl2wH9EiON53hJrwYVlN1cG28Uzq+o70oydb3THeXIIiGl+mQl+TKtDpsKCqghLG/dtEkSs
2prQatosNE1z2iPb1LdpbTEDxRrUGgYaoLZ/VHgDlGhR3/HjIxW2QqKdLm4F8dKZ3x01Il1r7cf6
HF8KSsuYDIUymw+tkTDtYgmAFCO4m53+6CfOWp10wE2MoOyIAmmLnhy0McZa+FuMKYse0eg01ttZ
+hBikLH5HOgjmWpbu3edDTubAnd1pNr4nCuI4mKhied2BhXfgluFxvCmenvBeVaSZegjvk5ZGGij
/b2Y8w652Rwxd3aYpSLSJVpv/X7yjSf84qJEfyD3GV52RagLa8XYoNXTCBYiTLo8zWVN/lhtBAy1
GUaI9GC668VUlO9mTKng0nzNOmSJetoR7fWUs+u2CEIZnRlAf3Oj6zedgk46L8kfWaGZxR1T9X8z
/WpmZH/sLL5bGly8LheMbPrVH1dz3Ov259RemG9727G3yZFpY6T2fCY9t962B1fM4pYYWhbh8Dr3
qSGrDVU3TX9KyH2cWaG3li54kdgwCRyI7Jf1Rvsa7JjAQvi7OglUqFnokFmdaHW5RYUEc7I7GNaI
+Z+IhnAymPLYF4mol4ym4bVaoJTOCyWQMtM9E/ijNGo66yEZtsZ6VABhwOMwDWfHtcgccQlfEZbx
7/LblpJRnr/WKggx9hjzInfooc31xbaknCxwYXaF5e7o9RaNRrFujc9Mt55VgoO1xVGymYhlMVok
b6IszIjxB8lNz0UP2T/r8xxIZvdTewHzxeHiZvOLZTMKsgrtLVflb3ZO2VEgq/5XOxOnWm3nrGa6
lv5tWiaXUy4/CplRvy0xH2Z+n6xGgVhKcblgpNggLX+usAfvisFFQr6+DMhHiHjIYFNPbnr2k+AN
7jzrqKyn4zAxGABkGx1+1jz3eOAUz7WnYdD0/pgYEqeajQno3WVP1cD+ZlF5pNiIVLqJId1CH6IV
JB93HYqsimbCgP7vBljS/CSlVwXctLVdue9n83OGXrexdQatVKcjmPmWAUihvgWZzSeMtD8Nm3G7
7MR5zpaPLh6/WLiSbx5Me5RpecRtXsKDlShzzC9N63auBDZrFFDc6pGnfgzVtM7LP7XpDGd/XC6G
EdcRpw57rv5JU6xtag8yo+PlB9Cpbmi/0YmIyNcX0gnm5xHDjt4w9mFiOBI7EOpFb96w2h0S3nGs
iMM20cq/upzH/UqBwoH9yYz5tQ/AzfBWEM6mJlpo6ROzu67x8cKlrKnao8e3tNWtwIxQwY8bGiSW
cKnNzhf298Gf6HlIfjhUev9R6Q4gKsGUxGfq1uZHNK9IREpjm/feK8r8lRPnhrnPVm8yeKJPvR16
cXbVJlR/ZHY4ETA7tGlGWFk+xUmC2IW8Jmsqx23K1R/pKcE5Lo4z8Kt4g9sNGSPd0Zx4T0zSNARb
QqY0zVzqB6eKvY1ryjAh+nsJZLmtR/MdvyXbB+e7zdAm6QvbZTk/bASiwBP6UIi4CenQWGZND7Q/
Z1EixBu8eDeN3jd3Gaej3jG0HRDGK7juVPMLtwBPZ54Rhmn+bhAFsHNvMLTxzfcjS16igU5VMHA7
8llaJGOw+ne2bsZbbIKHJkBiV4lx2apFD/vcHLd21lPZioTBFMcedSCIe1/7iEeFnKOmIC5U/VhQ
SkMeHNXeGCCC2zmcBDNtfzK+5ROLfUYQ1Ysw49CuvEPCknjXGPNJD0TLzQvn0C9UdvTS+mhLii0U
FXqYZd0hKxGLxpykuEtJZgShnpOMsScH6RmQqdhDbUTvEy218bcH5z2adeTELH6HdNBOWeBccEKj
r5mc6kzS8rqbWAPCezyGrsVI4Wi4lHAcl8uhBp4LDw+y3tWd+DmzNp+5nbsdsVW/FXo+bKPlwNMs
IU4KGaBbPWqK3QNIhIiHJZ+rS1AVWj/UHhuh9EtbKXXwFeDwcSHZu/zmFH8kSUH/he4lqj36qCR4
sfShvA2l+sz8oTx5fbtWSJfRVyfLZZ5uOjUZXvJRzMCGM294E8UG9yyZt0CGOVzqcjNYojlxnm7J
UL/o5ZCBY3NC1Q3PKTkhG13U/m5xcJJoaxPgpiqSSq+iall+17yl1OI8bKSBvtwvUaWQvtc5BJ5h
oc1C/sYPZp0DPXhcQaVJmG3QRFERNMjFNpVYGBvS1Q72y+xxCzVk2cfxuDNdu+X8uE3IO6MSLSde
wH1cE5QGJNwg8mew6a8NX/5JgNtxzZKS5s+RPverYO+panO19+FhbGm7ngh8R+VvnZrE6vaxJg9q
meITw0jGfyYWrtLC6lAzBn+xvP0MWzO00VdtIXDmjXasXZvdo937bAAmkJRmv+sJLT4IQP9tZv1n
jQ7ljG3mhwImBGNgYkD7ndn78mDjdUNXvV1Gwu2HtZL23L0zQC9vVcLtqn46HVuNpVp6tRa3qfWe
2/irMIDs2BGrYzF6QTg4HcetpZgSB8MObey3YhpCPeQxn52LJ/RmEJw9Zt4Jb80ulhi2cqc75iDk
lnb4r7bKF93NxI4flmC26ZkC/I8pte7AYb0TgUf+4IRcoM3+q5rhmuN33NiebAjPc7CxV9Vj9i1S
qpaGCUILnZA5X048zicLx19EvU+iA4Q/D69t653HpmXNzDEplnaFExLdmvTjk6fcJSqLL7bbO830
0dqn9i9vwErZL7ixkwLAp52Uj7rA61bVlnHwXZR+s+S2czTM+nRtKO9esixvjugCth04FNCJDehf
LFar0h5pWK32fbe8V1P+o5PP5wSftNioAEi5b4diYTLMR94uAz+LLKLCDSQ2IO3am4qlGZw1hAkc
Yw6F2ilniom56GgtMV2Yy12Tm2/s5+0NHMX/LLi4YToNbHQGymF8zkdz2Dm0gScjW7uEBBFN8Lsy
WoQTJNl4LuNfI2BhnncPQ5qfCz8aces5VQI/voas353T9gWfHeGSzNF2LrZVfbaZ0pWLvzexN2wb
f9sq/WrL/D0ttTRsyb30Y2ZL9ur4M2imxqznIiDFchyfy74aDrZDdcdEFAGDXCwETAhCi49ZYcwF
X8HJkutaJDuPCwCSuCJtVMyx+1SlZCIt8C/Q57ma9lR3rnsamrgKEfxSLiazi36fqqrOOPHypaBK
Ll0CRvt9WlagGoXEMdYaT1LnrzZWrS/WvlNpA2xmxLOR+oM5XHt2WivgJsa1NXPNWjab3oD0VyYT
Y8MjoNuk6smcWIvMnk8Bi3cwshf97mjGX1MhFGgsJ9jOlbObCNhCtVTcl8AtqCSdLtQGMDlGvNcK
MYVN63gRazMrLBaeF5LPKV+0P5kVrPK1AvEqg+nQ4Qm899Icjd5gXeri2cCLeGg064nsr3NdljvP
cv5Q0FIWM37e6ul0HrWCpaqls/4MEnwgi/GjzUazi5u6iFyyvDqluIi0JfJXiVRm2L9LLfnopwYt
dUEQMcFLh5HOdGeo4NvUu9syaog3RJfvCHNrWIsl5c6flztarZURKaqrE0yIiUqz21gm6nsliyUC
wxDq/fJT+Im3DWzr6LmfUJsZZwU+UwyvCkKeqTIsMHL7pvAJiEJd2S44IDXvbCkm8EHsltsnfpG9
XYLzMQfwYugZtAUBa5cIeLWJLeu3Eyj7HkAa8hnZsz+jqAZ4/GK7ltoyXHiwcj1z/rf7WieiFWPO
DCykL17LYbg2mklFFWjaQXd4VnRkgS1tT46puORILL+SFl3bQpiOUCI5TXBGfDKmWAIM7d7Vl6Ms
IELY/IWATRK88BFY2i6K3SD0qPRDcypRaTjuKwqeKgTVS/Jme46tXjvYNTOSEheXU5MaFNQDWgnm
vChcKn+nSv6UNnO/WCHefanWQD/bQynmU4Sl/lYNrR26ivMpKMwalc8qKmLjrfMM8grfeYu1B99A
Hy1Qs1j5kHc0/k0MYA9aF8QgSLtnOcuPVOrXIInngzWeDYwQu8qWHAMuux4jyBrGxaShpS3hE5Uc
r6oSpAkEWRACd6A8rSfryKc0tiNyOC0g5L7ssq23jpg8bP91OtIQI+VLknJ+IS3+QZzhz4IsXmq0
0TbuvrAVGgl3wYyw0iXJGarwpmgYc1aVdbLB/Gw6y3PDlq3wxoYB1nQ4TwnWkSaL95LSqJcMp1Pa
reHDcVhUBN4F9NtVOQayOjJ/okntDGadpmXqIQFM9S7NFo2mA4OYyK7zPKtonQrkFXAEDwz4MHbV
PjOK97nryULm0s16byR1tXwx6ftZLLdX358Yo8Iq3DLE75G/FQkjDPlaYPYmdpNmJ9fZpjdaYG8K
WAHEZWbA++YnWycYtpspM1xN5CSmDSe/ItfSEPQTfW+iHJyTkzGWGTNkRMipRaXL+1vMDO04KtG4
s3AyC/uYM5JyVotnb2vncTV9/vtqCbTpWmXOBRl38/DgBm9ba1FRjkaZHFBtVzpnNJXfuf8yUgU+
iWBMH2xC8iPHGQ3xPNMpFcl4hImXPputjqTAbt77kp29bkzWQw1aVHhGdbcHJEjuVIGQ1Yr42Zgw
UWsWVdCovozWoM8dhL0jq/hGwIR6DhwHV09a38x4pIPPguceQ+HLWKFw0d3Y3s9p1W1yqORwSnja
+EHGimcM7rGpj6+ZMYpXJt649qEcGYt+pgAjSpkI011APCeKjd4HbIIpX86ejdkDWV0xeJHLYg1q
9G4BsQ2OiaKmT4bx9u9Fh96wYwUn2ftca0/6T5WCXARCvTmgKgQRkBTlMa2iMbFeC2d5xv2p7Zjp
Gnwkmvumvsukqq4LUGy+wX6bBvC0GLiji8tRJGKm7sD13NIcdFOf6n8DZcxP9XI06vji2QUyqazj
05zIWF1s+pEe5M7l35eNxNJF6hBLxDyr9r5L+Dn3Euh0EBmbDscRV5nt3vSgrm928CYa7VA7cQCZ
UHobNp3BTVf2FZzGjM9VIIeb9ReH7JYjkmfqXDo1O1DJO8xnj4aU56lToK4Tg3Yvy0Z7V27yxRS0
uteiYx6TlTYp15DiUma8uYknNQOrgK8JAQKdqAnyK+6OqSUR6AFTlU56M9nN74sK0qabS+tGyI3X
ZP713xejXlhQ2XLAXImeEURgV1fRo1yrJ//E50tuvLjPQe3fRT57dziND2q/ImzzGCa1IU/JRDnI
cKVei7Th2RPV3VUzQ0gjH56Jo0ICQsnPvmvc5W4QRAuf1wSEK+uuPlYg5p6uvfVwi/k95YMzLWSl
SOtelV5ysDOcFv/+CdkfvhenhPnelGV18i3oFRhV9ih514urT+/Z+tLOzDyRLwDFcVA3Sq/IX/69
1IzIq6X7pXBjnQK/Sx7/XhQreS0OSP7kLa8BuOzmvpufMO/u2kbkBzT9HP4YnTtO4IlIoYhFkLs8
rPUCSBcAH97Ik45DfngqjRTbJvHZoqTGD4QXDlDMX4PJlo8q10NrYkSLUV8NQ/9k2JX9uhikHjee
dsBgznxuCKqXUdLXcPCzD+mPhk0erjv8NZsKGqp3KLIEQGHFaDlprTDBDHu1OmO+VORxk0GJilP1
TKZtyzyJmEjQiZuxqiexywOMlALAAcsFwmzJNYe+afwusolN++ScE7wE3J7bFhfgobbHD416G2Gm
dR8LkHogZzptho3THEf+l6PFj3vJSmSWmMozboWu/KpjSx7lTNCc8rZwZ1RUOCj+UsMMibmoyAQt
nHvnSnXQ+2KfT9J4m4o94cf7sgqyX3XmGeEi2Mv1K/re5LmdiAFQUvU1xkV7rdrl3ZtAmxYYzhjM
BZii+vi4donmKqQpK5tsIoRrQqI/riSTzznzjYOTHDE9ZGddnhSH6qGsG7S/rjy5sU49gZbW89pn
q2reUIQZG7xDXuSnAUNxOUUSLDB/Qpuf5szswzEhyZ1tVrSe/BscqURTfNh4aj899WwFpOGW+lNM
a/QUZ+Zfh9uUDWh3ytCq7uzW/dNXFA2zpKCpRoq2wBhPsTPDimKg6lEYn0yPETO2+GFbF3+1tsVG
0TD6EVkKuUiw49UG+Hwo5vnHfy9UuP0uLut3r9Z95m1TFeHp2dgzOrh/L/n63/esYRj5zmdZtA3W
MxAI4zkdrD+DYQ8RIWIYWX1y4l26nnWz6BH3mrqrITrJ+guLRFPvR+jkQ7NpXX8OG3dItmVifquY
YKpEx43SxTwPIOSeGIqBnjORT5ox5YCSTLfARIyhRMgqLZzAvTfYZ7HMr10p4l3QVKjhzsCHyAMd
5vm5JkjRz9WyKybjM4fNjOFcRJlw/zTW9LsnGwZj2pev4ilUJjmTikIYtyWWeJ2hEjF5bUHTE8dn
D/ymF6uf2kmZUfUO8W7HxWhn9i3VDRX5z6QYapBZJXG5mrStGomw3srGbVCr7CULTtIqCUoR8OYL
lgIbQqqn/bR0JBSuObexN6H3sMwjk8l3DPA5ThdEJl61p1aMmlH+8WFjhJrrs88zdsvASJ40RiI2
klWzlXz9D2Nnthy5kmXXX5H1s1CCY3AAbap+iHliBOchX2Akkwk4Jsc8fb0WbneruiQzmV7Sbt7M
pJERCMDPPnuvzUTLpdzh+mIoP4UD422MNtuWxabN51UYUJ3WNhGBA8/WJ3Oh22lGpHaxqzXUlQDt
Tqt9IgSzYm72d7p2p60YGgHbn5aatPQmTJDAH2J33eR2v6Zz5JkG9oxHsPVt4kC5BB4TbWw0wVa3
xa+oApIw0nRyommHcm60pnUvyKKSl8XxVdHU+deSnqa6bIySJyFp0YjqExikgyicTVxB8a5Nut2D
kLsvyaWNGTxgk3tkVqhtRlB8kWxOFZeoz6cDOcbmx+mvrBnuI2sSK8vMnnMkmK6hKCWHE7WWUf6H
K+W+LPW9NfP4oANt1TmotGPwmtXDIjW4CLI74l/JNm9YStA6cAYJ9eMSv1s8HN8kE59kFMerBL7/
Mc5qxp/KRYPz4lvoevEa8ADJwiYdIGmOM4RFDH/YdgJ0uOGRAZk3JcSgxadsXfUhilv9k3RBtk0W
n9Rfv4TD4KxhmGRrWQWYD/d+nlknI2tNzKH6iZCTPDkEP6jdaO6pleVlAkArmVz3Y24f/AoJAQ/s
Ne8brnZE91Uy1M1h/vDGoNinYiCDxmZalN+lm4wnwiYsAUzzwtCGEcgddpE/hldydeOqnbozZEhv
RyYUr17n4aN7csK22Vaj+5147h+qeUgAwF44o+smt1qa1i63xphlWcObOr4VgmpLJIJdEdndHWLD
q8YCtQfZHW/nOppfUsdxyaQjeXLm/TC9ShwoWPgwuO32LlGasGdDnLUvvY/dUUU09WH6v+stB/cY
JTgrbLZV3B2aORpo5q7RQ42GDl6HrxNwUVmycM62w6oAJR4PxrJQivQGT65zdBOOSJn1JNl4rya7
xsOpnQN2fH+Ni4iLqiFiqg9J3EMV1eywUuDf2wX+lhqyv8SuwMZVr51YgNoNQdmMOHix2EUPc8D2
j1TzydPNN4U3Lg0jXb/M4Tzn7WLfLYkuqoHcVV02/razsMJbgj27q6xoExSMum3cT5TDd4fWdp5U
iNBFxQgzgfcaWLjqrRCqZlJhlFbBowmQMg04hGad6J+hiI470K6HQVtfWoovD6TYUELoItSw6Wom
AoeOok2dhO9JTu5oMolKZZ3exqO4Gb0cVqUXPcAj/rTpz8XMVRGFlgzL5viaEwg/j3l/QlTHW8cG
IfO796inC2AQsn13vfIQpH5zSAdvqXu1SWZyNmABnh+MtNq2PkbGnoP8qaT5pe3bN4xM7bMm7/8Q
Zu4Gkdk4GljDkL94jkudqwPPv26V0cO9F6Y46SJ2dz55aHDvnnn23WHacyh7UuznMQZj1x+8zKGl
OOYYrrzHoCtnCnCQfCpCEal46ToKxDDnP4zuGG7K1NhLRUQyHCfvqOc3TJdq4xbsWszQUiSzsqtn
meYT1tZNF032JlHtyXMrCtdH/HOetv4Qe1iDDctpPy37TcaSmjqpryGVw4Zp/RVJMD22bF3WvZE9
ksHgEB37h6GBZuCQmGIUNOxNXpTmOsryz5gAHxQyLCdCR8SHGHhEFf8OS9VBHsAN0o+K5W6NN2iS
2QugQ3YvQ4fJLOquyEERDmSorYGE9t2X94g79oG+2t95HjOy1Ga7MxuwBDaAMs9LwzUR+oJpm2V+
JI2nWpFBmYNrMMsfOQe/pqph0u/slbatgfX8bK0GolbJ64zHp52G+4EhKS9dQPUlaT3fNd8sqCd7
GwaGzd4ODZbwcCNSzg0NS3Dd/Lby5BcJQuvi8hXbhPnK8e3HymwrlGAGSd24+1AjFpLBxL+f5/i8
cYC7HJFEeONJeGya9GM0gMlgEccj4fofcT29Zqq8c7W4L60spAOaO2w5yy1T+p1J9HsVW+23gxt6
O1f39qi7re3kDIaJGx6KcWJ5Ma2scna2PkQb1v7qyTJZTmWpb60IsdmGE63ZfuU7a+FzNoU8+UR/
uSUlAe/PVcYi2BoefWiUTtIhxtUA32zX9ArPv8KjDEl2CStZKMriIyUxB022+XIK0vLkqlZmHNLI
SYYmQOwapC+3JKnoy3IRyewq3Ds+lXc0KM62HzPfhsmafqO1OfF1/N53WXlGhKuYo5eohaR8aJcY
HTwL/5JJ1e6ykMgVF9tXhlNrbv3vEIjOhn6g26yxX8y4PYlUbS0HqYAizIagmA2wmXsiizinusWx
vFnE2rZksJ/laI9IujV1RdmWd5OsUeWW28720q2HYOf1bLeTLknPOcJCOYt7sDDdwSt5puNjq4jp
Wu/ky627FpfDOii/KSZ8SJKFREXqsQrFk4X3tf/dz+VvF1pynzrE/krvU6O0hJVZr6jqwPXgPqnI
ti+Gnq+T0/PdsBgDuA1U89p5v+0qL/ZhLX+7ynmIx4feXSTZtARa0Vm8Z9WjVDE1QLLC7v5kqoIc
StF/g8uYfqUlm9Uc72ehLoZM5dGduQnhM3BbIzhWvQX8qsRaQBFBStZ5Dsj7ZSjcGTwUd7C3sTLW
KqITJYZLtU6rsF57tAlYtnGp8eklFjNSEluoPauBnGSsWLrq2GHaRGYIqmVHSY3USsAaXYXkx51p
1yRjusGmtaN2G+ZMOmfbnrswgUV0haKQI0dGesCKsjmThWHdCB4V29UmK/VvH3bMvaVItAIVXBAz
ZJ7JG7DSjO8IoaaPERRbNoa5N7eHufU+nCjIrjbGdnLF043KantbWPNnEkTzGsbhx/hJg7FxZy70
nxj4jw+RkuwbEeCszd6hpld4E3+LNj344ULTnoTcRarcB8NJMNPs4qy7Wg2NCJzDArx3hHvY39OY
cXL99NSETBGzy51DJwcp63cxD0AnjfKubGlCH6FPNJ5+4lgH8wYKqvQWe//o/fQTgKIpjMB2fFUj
toRGW/d93lfbqR5u9PfRNpYT4jTp+VLebKyrdmw31uCnG5Gy0S9EAqSHtrxDFzHRT7DqV3bok74s
DZ5WEb9rO25yoG+9HGKF6ab2dozoH1aL6BPb71B2j7XMzhBhLl2Df1ROGcbKKloD/b9XUIQ+fKhn
qZe/aJz/QEl8bq2JwILF8byLMQ3rn9qhXlGLJzsZuMsgVxtLz58557ss0DwYpAOS3/GuCQlLmCuG
3oqZO6WAUtYDLspHsXZZ/MV5L04xPcG5iRNkTmxjBQ+IQ0uX/y47a7lVOT27R0ICbTyGPHKdAJcx
wcWxaW9IEME6U/rQW011SdqSWjL3Twd0Eu8BTggY3a+stlMAZN3O69hAcdMGKr78F5Hfco8+/WTm
Y0eD9vAzQo3a+ANJXKPiIW75sD7H18YxLF5X/5KnMVmuarA3aQ4fKOT6jSIv3ml9T1MlGw5p3XVd
xsohKT6TYfioaj46pYXNOQg5LZCAL7ccuXdZFT+0cy9faj58zmjtS/hfUas+W/yyrIWBXiH3cc/a
VmiK+6ZPm8PkhywWS7bApXMm2FDymRlwQANYPdLK528j9aFMkZAIEgRyOP8Ww7RpgM/fw5HBkp/q
TWHYILKCF/MSZGG+iVyoaIbq9K2zguWQIE+YgYZDHLP8LfMUSw5GrTwpNsWIOOa6yMKVDK6EffSh
o/Wb5XVFrQE1AkmeH3uWXVkz8MO4DziQs32IwhBC7nK98LEkDsUnWe9NKhSh0zurkreT5RxWvpDg
IPsXV64Y4B+UYkmfFzsvx4xCDM5cpZZQnOs4beezdqAaFIxnZvGHMDcvwGSSlKUcj6oGk0v2nnbt
pzmpf8gQ7FRvfdvRcFqgEk1DYD4dkruxHRtAsmNyn9YhM2OZ3tKJObZo6QbC+P4cTcEJMgD26HM/
H0ebUlKuo2llN2pXyn5exQGBTxAszzKtH6EjJqx/NnRi671mWAwc682jMwkpnibNoTU4vNlhuZon
UhoyUtXelkvdXkBbJDQkm5v8xfEqwA7p/D2o+OZLmBWx7z0bRol/xRRLQueLx8uX3ZfXqZ62SUmy
tPfZSwGNP8k5uUrt2XCUy32SlWe4vfZH4/xBwsc5VEp77RqohBxGbFRkh0BQmN680lRvQW3k55T9
UE8ylT71qTjVLvTUqqtPFH5FoLVg82Nn7naVo14n3ig/bz9bW1e7KTE8tl3BPTnlDt1QnlOHPALp
n37fm+XjlPNPE2zfNDK47HqC+YI13ubeTvj7T1uw7I+iyV/H0gdnYV8GTW10FwIKcVlQrUOvfIK3
7F7itDpZFiRYxTbSjbHhq9JEOUF+yNrqEEQFcyGPpizkw8MVhLMscxKOJk66Kmlk3OZ9+FZlvMkj
kFdlntQ8k7310meadhkTCVivm4kXZXZ4uBSk5zIj15sgFL9Y4j4oPq3PkoLLq86N+y6ur+VgeLdi
pvCnL7lZz6ZPqrWJvRXavHcfCo4qobvL5ipceQbFFw3dvXACuHxdr3jNaOFZm7n906aa5k/QG9tx
0ZfDjqMV9wO7Yu7q+hxwtKv1pZhM/ELECygH4WLNpnFfjtnR99nX0S/K0xkyLRad5Nc0Ec+tRli1
WV1eWzhEG1DfJ8pDKfImPkUHcbuFLLDt8IxuxJIUN+z67GcPFr75teg5QTTOTJFFRJpvjFTOxtAQ
T1IBaQQ/KDLOcyY5hcFo3rIAF51qAhM/S/E+sNJMawzUFYOA4bvByoRmlQ7hR6WZAbscrx7enq1f
2HpP3GPEZMcHSvqifMOC/dUneAYGXxIMaGkB0cp+NnOJzSI0zpImyScX0XVjRyRtwiVZ3dl4mevO
TI59T5xTN9o8YsP5sRtgaXTm8DnDW7aX/uDs/Ua9uJxuARA5zSHs/OwixnBpKPE1/u3kJ4u98VRZ
40+acDWGXq7uZNyaBGho7u1AvAgrrHd5rZ2dC56ZBQg48MApk0ewjHyqBM0TAhyoY65xhXRHE4EB
1k3PsJOLxZFeN5wt8KQ681T8qmznzxBK+5xLdwSTlb6w6egOg1HWB4cBlFVCfxoTvIVYJIvAZAPp
DmoFH8BNk1/+7H2m9k8xfJLBeSlUMn4graDa8XbD/qZepjBhxkcZgYnsDMyYuxF8YyonxLVLihVE
Wz5kOQvTnJ6PfWtY5dHqzJe2198JY9yTqou3vDMkyhr3vroOgQpxi+EMdbEyW98ij+PbOHfGpWWD
xjOY85qUvnpJqt84e3r0BW1u1ZjLrZUBbef/aPDU+DPS5Gg6DtUChXgwqzK7axR5wLqe1KOPl7tq
cNBF6hgE3Kk8GHnU3MCjAb71Ru8utk2XGwMep6coFYigf9IKgXaUSXWYnfIthGW6arsmRx2Cw2EG
cXULNfQNn4nmFkIPoRua4k9uoDCYi+TQWNgNMhcDLSzYcVNheaB6dZ+OXFiFkPEVtnR3HMoiwh8J
joSruEeL2oVflj2/xgoqu+sSC86CIER7rOu1rUq1T7tm50GZbVEDUXihLVmRmoHfRxwTboGHyZm5
l6B/Su4TNSQiXJYhQjojuby0XfFUKulRacaH5fH40CfTdzxWzgnWg3Fij/utC79kzZfHu8Cu7yTE
nXMAR4rQgLhi3rYf4rh8hLZobIqeDgEEQoN1VF8dusD6VXHGOk8g9/jo/Bqo7tnbvd89YOIRp3ku
fpMePJAq9tk/9I8iGDqugi9b+t9e4sw7YsYRJk/7WHsptQfhcqpq5NmoWZPbbowIPNniHpzUhKB1
n0aEL03hmJsO3kzjEpZcrm6cPvH0XBepOLsZrd6jJAxeezvCBdhOCzNEvj7zFVFhoMGjt7HfP4mu
m05wxVj896rbWnrqt/BiOAL6cbebvenDB256Ntx8W5qkz1HfLl6bxNcUW3bZ6elsOsA0h8Q6TR2B
1xAn8rodRh+F2mZ9WkfvtYlRvIfme/VCrznAG5pxEJfvScYur2lHuA4JTmE6DcgQWe5m9i8c2vp1
r+RLolROUoYz/sI0bw3fOdXFd5xVOV0Z/CK81DoFM0FW4EaJYmyg3GJkj8So3DgM4YYg4xZrXCR1
793aZmKKzmFbcifNn+LO7o6RvM0J56nULYNrryeq5zzxQV92uQO56e/BUERbf7k1W9bRRDn84Det
2eQ4XrVz9j5g28pTGWCT13NwDNpp3/Xh/RDCRQCWjYUsw//asEiDcoY9SLrcVaLoBQtyuBtIM3iN
5Z9z08GZliAicBwqLsZ8SrWzGJyYwsfouQldCtWA6l/okVh3IENuUjIyKnB5pafN97lBpZysdKNi
5y6tCQbnnD6vTZm/oUxQxJGWuH/LP8yypxbSE84XW4BaMtmCOFQ+eNVOe6FzoTvexUK5bGa9+jya
tU+UxZer0uZ8nDT6Jcij5aTJmsMP3KM93NzEcWCf7GKnqvYmpZ9OjNDmWQJ0le3DYEKzTUdqVRwG
mblJtj6NKshP+bPT2aRKi4y3JEvao8ErUC181miBvqaUEdv9dKMzLNoBLqXYm5iXDW13nbvOERou
8I6Jl4fNENXvfX4IQFeBHwzPIquSNeJdARAhgRZnyKMMxS63sTUiq34JaT8pw6n3dUdOm3wnGRp0
likURzl6HAHz8tHQTLqBWVAqoYboYtHgUbU8uzW5xw16UN0huBvxvG9Lh2NTThyogTQQ45HnjFBt
ezv8IShyMLp63o1Yw0q+hc3A9LTqOQnhmdOl906kkXpmIiScVI1VEelDFHp8F9mw5JipOrsYJTZ/
MIgSY07xqpSp9kOqF/WH2cEntbeOdPBqUg1fmIsvYDyOYGiOItpBV1YnEcu1rkLvQNHdzoWMCw6S
wVAyRVppfCky832a3GaN8/zPMAbXhDKNk1ThM7wffqzIvyWm/kgCa2nyIaKQ4mjfjv57RikUZtq1
iME36XTYdwCmkxbbooB+itM12srEhKHgl5DnCQmCGYaYoW3WOYnLT1NbHoMsjuBLHL81dmQx/afd
wZXT3dzxKaf5EWJIV++jMXtqklwwGEbeZiQLlMIHeeC5tSyCxt1EhIGkjtxiVexOjhn+sQT1Rp17
IbMW7qKElxtg7s5r41/RpF5LVohx0Fa3tGPK0mFtHYWIvd3gDJJwaEe/KiI2/nmIiGZbK5YtaGkx
LUqs1VdhB0JjKvlAu377GWGRQCOiO46CvLsaWrwHmiogu/uwOAU3nnGcUl/tpWGa1JJoUv7sS1ba
e6Zku14VdftDVTrfRWRvrJkD5zCkT/kCJaZ2Xd81FVwImBGcfktR7RcIJbCV6ti48QlJUVzw94PB
LTkTYo241JHnXQ3GNi4jHO7xiRQdZBdxE5GVHlkylORuJIcHhM8bVAGqhrLMWFs9i4eWdD7CW+Od
TFGVB0uFrIq426TfpcktkwFjm+a8n93IuoJQ2kMqHhWLE5R7nv2jnPpLa3BYLvKWOzwvENEjvIow
5HCvxUN/NHOYtGmhCP6mijxGqLpTVpvdqZaJt+cscORvhTT0jQOtS3O4N4PkDI9l2sycfFlZtaTZ
+x4HNKJxbJc/hgZsB516OoHIh1y+/II+n26xr7PZHp3PyDBPoTm8+wMvijux7Il4irVJebK1xtSu
1PPoToi6IediIDkkeRZGzhD5iJtwhnzw+H75Y3XQApkieLrOZB0KdzQfIhOxZbKiV78dt1XjiJMr
03zvkJThuZdmu9HETujhdKMZ2D5GveUfsApumGQWVARyoRkRsuqapZJ0mgtMr8TtRUtHnD2GAX7x
qetP//6fXWRj3yoSxEE+dLsS7AqxxIc8QMmvbWhcSYxX1kyD8VRPHUfhEUYTS7j2BHSw3kDynxET
Q//kVqbY/vdoIm9PQBtWaJNe/W6mYz0d0mNv5OM7plT07UY+a3y+V5Y97arDQP/eViH6MGVSh79+
21czA5W+GnZLesEo7INRWNe6n+ZD5GcShIIygJn/5y+Ja9QgaWSxhXP2X//gr79ioTBuJsIa8wA2
ng31WYquv00LWB/OHu840bbDX38YMML/e/nt//ge/zX60f9RKt381Yv9rUvollHc/h+//bfD9nH7
P5d/8b//xr/982/5B//xBTef7ec//Yb0i2qnh+6nnh5/mi5r/7OCe/mb/79/+B+N4c9T+fP3fwE3
XOChePyJlC7+qUzc+39WkF9/6Kz/v/7+z2fT/v1ffP9vFl4Jz7NBvmJWtvlKw89ff2L+zZS2NKUl
Lcv0TPsf5eP0kjs2ncYB7eKSZenSC9wgSsZ//xdL/s1mKWP6hOUwWTrUIf/nz/1PL/k/3oL/9l8K
7L1g6aD9R0W2YSFWOi75RvOfu2kTI5+idkjqA0D4+gEmXsemIcyPaHAVXQWWZqUUtKhfq8HrxevY
oQdsqGcz9iY9J9Q04T3YhnUewgef1LYShtxVZVtdIC9JfENT+gVmvj/4uBszYF1Jz0iqyGW19Hzp
ZQ0wVPMIV8zzvosqMA9VmDTXWNODxp3MesNIru8cYeu11Q3jnZ+H0dOcFSiKszB/0gHIR+JMdQ1O
goWrrVX6EJg57H9UbNRZ3ZBKKNkXrfLaze6xYYjvgnobvD9Z9jW7Y/JhJSlNY1IvgPo2988GQypj
kmLuw8tuFCe3sEEvgJw+ybSyzgUx+bcB+OFLZemQzM6wAIEcR9C6xg9Qh6sq8/pHax4diEFdbHxY
jNc8vTPBN1NrjOaz2xFZa1TK3Mo/e/Rn2x2J7bnRS5djH1o7uk6mjRPb868ezQd6kyG4MWa5eg9h
hI0ELyVZgapRjzQ85m8Ei+vF3RZNl4Sd2u90bs2LoGMX6CCHZhYh0cScbCHxpL04Vsnsv2lHVL8m
sJcwHIIEJxaGmcxdu4K8IodNqP6r0fFQWylt+3C8CZWj07CXYZaZv6IAry5hs3g5nKblYx+P8h7C
Yw+Tph2hE3LDTaetxPLnEc1sR+ztlQhIZUYiAgxW5+Kz8i0cK1MUtMPawWSACWjI3iC9d6xoi/qB
xWzjr2bhNhSGp1RE1SpQG5UNAN/adLL2Sd3Xl5LTAba9sTQoZwXtB4icWyd0F45RXqCjfSbw4G4z
29awmxCFOa+Bsie1UfdZu3YEBuY0WIi6nilBWlXeTxX95XHT7FDWAkk02oSOJCje+ItnByCm+Uc3
vO6rCGQMJw/bviUtXo/Rpx9nNWUuZ9ocUXzvdWZ9lmnpKBp5B++rwrP1zsIsuEvioPlCQkL6CpSb
g8FtgYa1g9WwPckdhWOirrDXoIEBc7Sa6dxGsHpR5AS6c+eCX87LsTw6tU3zGxN6CX+CTWYOWOi8
hBwxP5PKJFnMkJHBgqW5IsO18wbGwtC7ChUFT5QZLTFOKSPyEQSEMlpat6KdYk0tq1c1a6OmbGRN
zZrz5tVMoiu3pCJ9nUYMHKQ7bVSyoKYOEb3FJDTl992HzztxKIj3z4CtxvJBOwl057iqyzO82Eo8
GEHRYhsaq1s9uO5zlhCPCIzKV+e2zoPrGDpOuU3B7nbbZixStfN8Sr73WTG0f7zaKrZ1HXce55rA
mDkqWKwQoBtZ7rocZshjbmT1qDI8DYut6RfgfucW2cwZldjp1hufgz6WvwNY4C4brwhrkipk8JYp
v2pOae0nnER6N3hAdq6HXcetOcHoZyHqjX0kqB3NNH5gTvzIlXFvT2sfh8TNdjs+lPjs1Iwwrgb8
0igsPxVZZOI1qW1/YuAZXoq0qz+0ZJ3A1rK4VhhdaM0aLRC6ukzYpnUsnIvRjanZrPRPtHDI5t4o
9QUOmTwJl2EQvdpabmd0cNzMiqzyhoykutGZRnPIXM8qPtbca8kyUwdy7FJSvWu3HkglVi5gLGEV
+kdxrH5vbd9/iCDnnyFy+d9OluevrZsX37YnIOuGZBQgv9tGLtdG3hMfUX0MvC4zrXGnqh4DA2u9
8SJdZOC94wyk0jQMN7FRRDUEhzcRcDKyFqLFHMH4F/RRk+8yPefNZ8w+93lFZxiPRbzIkzLvDI5S
73VDXzwxtgjDTtwXABDrkjuFdFlpxdpvYvodjPEzyql7h19UYkkVlrD9tchUy7jruezkfVdE5zCF
O7hOtA80gtdxnveaCf3cJdTy4RlwBChgEhpMRAalgYB3EzKUETL7kSadstwQ7UwelZ8VH2mbky+l
ONS4uDIJWDIXPUOkNCvohwj5YbaNHK4l7DBC7ctU2pgvOs56pO1RG9fQ+YuOdVLi9KBYoBonK87s
1XvnNvqXa5fFFrmjAZ1R02lgGilyPlVVPAysbdvG3pdZzM1nNAb2h9RS78F/MMypeNAV2LjW/0Sl
659IgJNjiXueEZvEI8WyqgPIXYzjs0SnU437UTi6+FIothR/YwsoEbRV+JVMhWNdKz/JAGua9fi7
7zI+QS2Yc/zX1vwjSicsIFJAwsuJtpP2kvkf2KnmnT8O+pmVn701TdgOLBZMWMd1RmpqYn/8CwVi
oluv0J8u0nu/aqSiXrnlLrMJGlbtMy/Jxg08O90m2JR5UJRSfoug9vyVLx1xT8FdxinBDHv8E3On
H6uo994ibJxHXDQoUtGimkVyepmTqvyqinlxmTtNsscm7WyxsGEDLGB+BpghirJcpb1PEhyTdbE0
gYf+tvJIDGtQtqecywCcPakpdo+y2veRE9+McZJPoByDnawmc0fVnGACDWT+mXhVeGTOH891m/hn
bS9Nju0snkYrURsyIAKTR6cuLODMu7yNjZs1QGlexT0RPlcb5e/JqRXs74BAqiSXuGLTBsZWKus0
ZFGKM0iZjx6FkcS+WHcfQ3qFF+NWGao1ABCL7Olss84gfrKrjDp/j2SVHYWyy33jl3BGerIprqI4
R3lS7sF+80GuKXiBy+fp8a7NotJCo6kBiixe1HGHl7/7jsH6XW0PrK/pKuIoc1e8OHGB3h+Vov4D
joutL2F4fJSqAU/QuGyzXD8yfkFO895IPSKcVE52ymnaToiXB/YRol9/5gEjDwhvAM+baHRowBlo
XnTjArbMzPx26biYd7FhwjUICcKRXFO/prg1fmgupZwBnqSxj1lx0nPizXu25YrOPBnGW1YH8xWn
IiIubYLFqmhT6wP+3PigBc1DTlHrqybxd2M8d6/wplneRliBUmsatx7JuB2uvfROEF7c28HQXHhN
zAvDtn9UjUGJTZ6ELPlRdTZ2rN2dyPCCuA54rA6m7y9v6oKLn5V8T10wUHkdKvYarIT7s3C53mDJ
FijxudW71WNvK/sDhJ53Bd7ZHR2OcGuuhuCRUqBiWttd595rrmP0zTSeuCiCuL5zYj+7DQKpk+Rg
/YEoX0+ntHHN5ID6qExkT108JLVpFm8Sd9KrmjNMY9os8z+RUdp7qn0s4gnTtJj4MVXvewAOLHRE
AGZNOHX/armdsyVvMvG+ouGznBo6Cn5ca3TvB6+c5jPqIw8VopoqPmQYm7n1ccxnzRDKqdg6c5kf
BsfKL30bTOuUroaCAhzDPPSmaM7sMtknx336qOJGXKsMageH5AgnUjreBXo0NbP3wtOsSr9/LcOq
P45UkeJYcX1j47YqfmjSHuZvoFsHowVRxuW7yO7DISa02SpujInZh9HFAemKWV2NtEX5wwCYFqdX
cMzskEeYHeOt7Lq6wtjot/28i0lTb4hsRI+JWbGTK+ikP/Bk8jgkmunazuqi/ao5oYHpYQ1rwU5B
d96wPEay5DJhXwQwEuMIS3j3FV6x+8ZTneWA4U3DqXNAK+Llao+9aTSXTtYhw2LrnPp6Yu9SCJah
3J6bH13nzmXGrUIyJc7vI9a7L7nTpY9eX5TotrVFmgBDkPOOmW84xpM53lVe5Ry8yDduA1fouQk7
+yWJINgKVUdwN5PK+7B72SqwBwL9xVFzeHB6dof39IE05mNVO91jQMPu0fHafh9iBTsFcsKz5DrY
jvoESkFnU620ClINBXCUZXgvSPk8z3Y8v8RNXK0Gyj7iVcXBdl1MrGhWvcEb39esRAw1GppzcNq8
WDzGECvHMnsPXNt5nFptvNH7ntJcks9rbFztFosEWTI7gVuY23J6wyWRXwYnKLMVbtSU7qEKEkFm
4yTgo3GZmplYZec49ge5zeANjkW4F3azPJLrVD5G2vLaYxBL7HQzW8/95KoJH5jUuAw7d85opnKS
Z4Ex7MgxQh1dV4THhrgi8WIPXp9X0VXMMAp7PPDtG5kYqMyJYL5B4CYONTTPUxyxHsvanIfchKXb
xnIEl2fWxxzjJeQm0fvXMrXAqI6FhiJRFjPIAdZo3Z1yygH4mBndVbOOyoOuBFeUHTvk4Je72oqD
hXPHLR47psd26JnYH6Efhb3qzkItaEipj87FZvg6Uwab3KVlN2/ZW3PaM736KYqn9I8/tNPRq6vh
KzQEZ7d47G8GQ9GnC4VtbTCtsHeuBYUmSkBx7nUWDDDfJbeUjMfDpxxmjx/LmcOtBvFVrswBYOba
7iEu7qxMp28QrvBRxEyVd1Pd959uKiyC7AIxKRW+s5NFMrwnvvY8tmh0b+Ftqm9xSMD8VrLtsjDk
9mhnNut/uAhQLy0jiK/gAuyNDyzpFFhRvkvV3Bx6FZB91uB5/xd1Z5JcN5Jm662k5TgRD70Dg6zB
7XB7tiIpTWAUJaFvHa0vp+a1itpYfaCyIiVlWYTVG71nlkYTk2KIxMV1uJ//nO+Yji7P9mRFB71l
1bLAa02rv/7l//yuGv0kkPyuOP2qST1WBf/7WYb6WcX6t+BrdX0tvspf/9JPStb/K9KV+34Jvqty
izT2D8lr+QX+/tfb1//8D/lV/mX1mkyV/FnD4hu/a1jiN9MUPmdaItsGYpTOV75rWNZvlms6jq6j
cRmCsZPz17+U4KgQqhzrN2f5Ct9oO4u6Zf6uYTn6b8LB9Y9hxyP77yBK/S80LEf8JGEJHf4Zqofw
PdNlDmrpiGX12+t9Ukby7381/sZQU04zsDD8JdjQSP+wQcz1e8xhtC37+aU0eh9lHLufyhShuCrt
tpVLenPUU4eOq69D0aOXDNI7S+SqVZNAxHd1islL6QdR3jPljmpKZQQFtBSZppkcbnJw9ZgaWgSz
xg+kDY8ccNWt0SxDjfCSDX11omUQCDB7gV1aEVJkowEsXvvqajK5tTG0XaJ8wQgIlqcwmY/p5HVn
Jis++Cv9hPZaBSICa6Y6E7Ax3lrNZdSZYtfASgGnZEyceF+RLfJrVpeUWYTKgUj8cDv84w3xo0Jo
/A9X1+E1YjuOQ8tCqfz56ur27DUWoD4Em/qWhJtGI5FDuwML1z0NBpPtW6sE9gX5ArW2u/SFLQV4
LNnh0cyrdi9T69U38gttG08TVoE/+flc7rAfBMz3V58+BN10HWcJneuLwPnDqz/bnFBaxv5gEJ6d
po0ZqVO80BoE1Kbo2EWoEISftb2TYrzoGoxQGcJMoNzooffqs++NhBcIYh4FM9aT86Il7V1tR+Y5
p9xnFfXsCP3mZU4W94lYXu+l9pKeqE9uLYdtmLk373cAJ+WzalS567tpCJRZ83ii20/UZAWIwNMj
eRtFC9IgV3sIzEukvyHN1xrETHgyUQc90DNq4fYvhl0ElvrBWU7TC7COJGZ3p8BirPQ6+WYPnca2
th3XcWpdQkElFipMCzUWDcQfAPMxio5pcgKpARAFJB8tqMsNwhN3+C7h/6Tg/3hzCN7Dv1581zc9
9G3HtmzTXl6cHy5+GQmdgwqWMLqoNrUTPtSZlx/cyLit5mI6DQYnMEu6/t7QFUm+GHx1Mz8WqXiy
nMLe+XVRbxkx4tSjZzZwFmO9gWniYKXlsy+Uu1g9qUhTh7hS03X0fBzvlhcNOyKf1taiCitrNRKA
QzZsdc2wNq7qvkTC4NDf0zBWeZyYISgLmifoauvCdazH5a3ueAdYcO2BdFx17Wx/PmD8oMG8Jzw0
55UMErvA8TGSHJJtA0sxooUexetrTKD+Upl2cskoo7D7xg20qnuLoE0ENY7PCxzq6OJGkmFUM4Ey
ohKc7zaY4lNI5femuW8lE2JZLLbSXHyIcdPvXfIsATaDYtUbGKjDkuP0H7+LeUH+5ZVyPRySrk+Q
nFXcYQn/8ZUa4SnkRkcxkaRBcAebZy1kle5o7MT9B1e09a1bexiefYZL+kxjpYWpaiVS7+KZFLbB
c1IE2qn/ohNg3tndZ9NvgpquzWsI2g8/8NBuK9WiGaV1DLkNAAYvM0ZuCUVO5bIALoos2fpaexho
uNplRtUEWO00JtrNaUwn60TEuV0JJwTAlUB3SjK/R87RHj1blvxBHt2xhQfYtBwi/bzdgzHYpr2C
dKPKjMHfaEIMBEHqVY8J+XrbENaBMjBZR/NJOeO2LLJ2b+I7RA3augahPPTeayWyF0Z4C5kO6KNy
un1ne980oMqrGtwSR2tsLRhNkl1VGm8zUtyG/PznylkgnKEaIcVUYlWGVwmTalPX9huq4IJqGSEh
pMRs/Tm6C/Fdn1N9PhU4HMcck1zve5JWM6fdRtWUb/yBWl/D6UaIODNWlIgBYOHm015KRpO1JrFD
mmQ8kREKhsndRLzowk0+7ajyABoz2Hh2rfuqsj6j9FIHz1ciV3sWNglU/oUYS32RwyKjaMjWKerA
zo3REM8a9qzsY0Is8OTUWNilTYWRljTrtoKhCrKZCjrmPkcnND9mJj2DTTJ9pRKDjLHGxGKAuEm7
BUZkfkziEx4H6I+KkFwwd95Xvc6GPTCCACAVfteGplXSqggJxgsAZwMvAr2UoMJGy8EJ74z6ZY5b
cURFowgZH9o0PrhQFGIr2feDVz5ELh2dAZiG/iNterTXE/LMc8Y2FgHksYZAJyvswpjM1zoZXOzI
IFOWTs1To2uPFUCjoKJyZpcPrrWh9kO/zovQEoU4LYVxbAzSt3aDDT9lWLURHu4tuk++5H3O+Tam
oLuh95b6abfrmnUdZy/4mK9o3qsw8VeDDsk2HQ5seswHdMCeEwTBVMfDNz9bt16etytpVutuXoay
oDROZbgnTinYEj8afYwlKw5flDu82Vhodh3W8nJwg2mCcVoPh7wz3C1JLWBOJXMaj9ZsAix0vmSn
0K/i/Rx28EdK7Cp0EPZLSVnNKO+UfCuInB4G33+yhbOzqQ7fU2z21tv+czZTw8BxaOVYx3J+TROM
oKHvPeKrvuYWnK4/XoXeHwf/HDYK3VgmoS7zS9teVGD3l71EjU98YvOADabJk5ODw2nwATWR4cXf
IH3/UHb+Y69wl2Ejxgs7Yz7KhH+B64yNAiiAMhsOTmFiHG1bv8uXxE2c4PyMB2glyZrVN2B/NJyy
vifvENbmbhoy74Qp5pOD//CasveCimMZF0jrYg331iSdTOVClw8OwcjoQAWueS+KrU8B5q6y9RHk
Xw/weNnldRPGbFbtVezRWNF9RbXvd398iYxls/rLJeIUZzsGJjLX1t/X8R+fqB4Be1EN8TqMWXFx
y6ysuiOOZLDWxdALEMZ5KvUcAveYYkbOjXsTwDluG7iiMjmnU/8ZeuCrSqqrqXnhOrEdbSMK8/In
PyjT6X/5QW1sZA7PcNcAkfvzA2UCT8sug1Yo/S5sRbPNzFJbpgz0zlQKoxwHwLPNwAKKLJ1xxcLk
Hv7kflpOF7/8DOxKheC1NljMTXP5GX+4WECeI1PrR20VtxSOTjRH1KBvmNFIXMJgU0R1F2YZJWNt
GZy+7x4aFpiNUwMSK70ItG6iMQNm4ngC9u/SvVA6mwF9ZPW+qZuh5u8NirygsstVVIy0MGaVH1Sl
H67qONaO5fLh/U/c8TIgj33RC0c/zssHQmL6sZ4UR4pBJ0c/WIzW0+lmSJR2NGMMtLaQNxY7yhUj
sm47RzDqfPYPtbjJuYBHRybk3PAA6lPiByBVb1xAgY7Vx8jp9Rq8vBf8ycvq6f9yUQ12+2z3XcdE
INfFLzuFlvhwmWgYCTsFLqtjdkHbyk4tsFVRlfdWiel74DTSQe/BJdkBLSzaTWMwv+jTiftWkP9k
sjnivnXxFRZsH7QpOxtZ7UGhi++mEBxwOjwJUiB4qOJXSObxSnmPoQO8IfHRnXGdigKWwJRTSNqJ
e+X55ZpZJrOEEYeeQz4Hhd/Taoag2XiDp4vaid55RVBn0zVEYKIT860WyI2N4GBEteJxHgG+MGFq
dzya16F0jFXn+ke6DPKtG0AzIaSUkXeSDfbD0SVFKLM9Bni5cQueK/2Q7rQ0frJxrU4YDYbCeqH2
lOoWkpjLaNVOX2vIJifRlzsP+MIqxNJIZWL7hvZvYYZsULRaY21zmlq5eG+IkSCB8wpsXcHjo/JZ
ty1pPtimFcxE2COoqasK0jF4Yp1rXlsD04qgFbp28nz5TbrETKmQoeBWyjPVm84Kfxo1SEaaYUyG
TtU5DjBYm/Y/sxmgJOrxyzT6HCEQy+uJ9i2vp+YG5yiMB/p+8bxxuIdjaVJAo5iVci4d+m1blniI
gKEXNdSNgrQahso9BKd222cvnfK+4HB4I0nVrKdGYOvuKO4Nn9yULGVtD+YmCm+XeXJhzqBhcn8I
emrNi6r6yA8Jdtc2tRv/jYHC3i0d/Vaw3aIaGHSpz8sXJpjmEZ/3PZHpo3spJEgrX8KjFQ59gFLc
aS5qVpxYd7nfE/jIU/9oxdrBzKR7mzxps/Wpj3J7r9nTJQY/MjrS4FnaXXmK3PMyfOapRA7MpyY1
tNNb5t00sedlgSPaZeCbwA4eFtk4tE0S0VV9R9HH50ovw109cR1VEYLvD/1XyBIBTxKwsVTr0CRx
KInmrhiw1Bd/7i65pqOiF0CY21k/JYWhkJujG9U7B6iXNCp5FTVIyn2AO/hY5Xb7jH31OQuh+zhk
yLzZix4bAiXV0j8JPQ5sHRM3UmT48PPCuzALn1kGpbNlU+b5qjpW/X2R5sztsE6tfbILa+vcMD65
FPm10baj73yFjxexXUn8rT14nzr0h5WqGZTBzVZWMR/yCb8wGr6ECvrkcBAE/ps+dx2TP3ICkH14
e6xVq4kNNy89Okx8cftdcBHveMID5++Z96SjYZ3KEYeI6d7W5Iru7dCt1yai+lhq3n3kmVe6Esjo
JgSHCXiUsmy2MOlJRqywU0Nwnjn7xjMRmTLKAyvyKNAbMKAycD87pdq4hjaSODNuzdRtSXVnOQrQ
0FAng3cJl6G4GZmDr8hPPZa1xaQdkh4B0nif8S5cu4BIVjXtqqmx1C1oIV45ytSK+htlJ6jFiuS4
8rv6ziUEmeNVPzSyIalgDo81W6S8EC/TPD5Ole6fpAfUuTA5lzbmUTVQsx0tKja2R5H8KB+Y/wQ9
UTZtxOLOyOlzWeOq6m2WyVZ9JoyLm5D966rPcsi8n2JiUdSdReuWRsl1GuF+mEDG1Ax0sf7yKIlo
3UWwDWrO2gWNrIY2N2eqgeCE99SFNcYK/4yzykYOeDaPIKAbHRSXEUBOhvN301f0ujGOn05mkXQb
A/PEWhcOzPoMQkLE/Gw2JWCmSXNpE7VuY7N/snRzW+gj/Jk8vPSdcyGR2rH3BmmF0keRC4FSlr5E
bkqmcishkCZwTO/t67TjwdWsbQKLpgV6DK4bDXnY092et7yEJ1pITCatBmO38xCsF0wLB/ad7831
RhsiWl+479Ep71iSMjh06tX2nRMPCr6NypTN2FIzw2uer3UjC8G8tslWJ/de5ZE6Dj6VJwnHqlLz
5UavwO9rMNnZjHUci/yTpwMxgKs9wZZaj9J/cBVtF3HkPxmMI9dAcs6PnMrmK08qIeObgWcQgV4o
NklFj0cyQR/paKJzJg40won2/qRdXAXvMjP1s4MqFHH9tkbVImukIDoGTztO0nkskvQtou2EdPNs
7dpI23oi4QjSedbBm6ptJyPcVniLNwUAQYJ+2Td3FOrSaFCZo6EqgvE4Ynq49wwb8mRDbrEv6L5J
URVUgUe/6AojIEYE2KWtDt5QBGSpT5HUX3jYbxyZ2nDgpgcGtQ+DYYiNrmrOT1oUOPjVUEBGnH5e
zIkg7jjF1w8ZZUWcG3iupqB99sxWnvSGk2DN/tx4dlRIJKvhpN0Or91wZApCIHMXlWx4kqYy2Esb
VxxI2xAT4s7kgJjQs7nrNTr5wm5gKFDrb/h4/F3Ru4+GBSKGw7N31fqdhadgU+VOv2kzRLOxnJk0
J81HA585AXfzjuTQh3HL8AHuNKoONdxnUfO+qVrQpmMEvWjEiMdrZVIaGTD4P4XlDGrEVuKgBuDa
zOsZMUqOAkoyrXO9fYNHf/YERiyYE7Sd13eMU74YCf9MM4YHRisTpG1aJtJ43oI7A9AW158K3YUn
aslbHNBp0HvmxxYpBQDiNazpUFigQassAtgdK4Oiz9a7DJ5L2WtF4HLWwxf/bRq8rywA/coZ5q/C
+2aqxclMi3Ta+RCEYcXuFD5wwgQM4mPlA6Yp3jBzUnOV7Kj2wWA5j20wDW2LCa4gy9e6n0MIJmtu
ADjormevQoXRGtTEcgLOXomtvA1h0108wMyDanFNVvlWbygSqovygKRrncn89+vWCRAHvhKDI2zp
dvBl4o72VYKqYwogRZkzRahjdfILgBy1AaicmTdtBS0joMo5iQ73H9slDtnG0pY6n6ne3TIQej+L
QSEP0ydPx3KaWxedrBS2B2j6LuTOVDXGqUKRPrnpxLWbznOSgWDvur0lJ0jRlbS5LPr4MCHv8chI
FBDABFWeBZqS5HXMGJW0jU5bMCq6bjj1ubBLqDNkYdaAjvDGCH38oMly2DfzLPfuQGO5mB+alsIw
TmMHxeZ81wPW45E8YLwxp4shiwseHwWjqXnutdS/KeXa6+WtUsVnI6YMUoGDWywF6B7FCc3xtrca
b00qDuNBR7cM3Cnfzat12+hPIM/YmfoRcUvZMD4by3gtSXluYqxvq9Jxd8Axpw0tLjgMBDQ7N1fu
2qO9sCpyA2UuerKQh1YCVihV5dU3ONft0bYC1nX6bYV6VpBsahecjFV7N42gDTCrQK0UU4UWpNC5
cu/GHy116hveOeRM6OqWS5lQBE1krI+kw/a4hpyN2RjDWvP8J6eN9wZj5jPLDUAqvA1q+UwXXnie
tBh+05Szv5qq4SRx5BHZx4Ky00OI69VUcE1n5jDONN7zKCEjhKWVDBClXPS7E9ZZWm3q9tM0ivRU
9QQ4R0knO8abjM17fU4l5qREi6DMFaSKGyOE9kFblG9JDes/zW6Vt8kWCnvophFKlLAvRFhqIbTA
AyAed7lDm9Jucgr/kM75rtOmT4MZD49uFN1l010krAdDagcEJ/Ca2O2wNUrn1hYZnB0U6B585OLh
D8zOwxhp2x9dOkmEbRGKSujyNQz7EdP0F13FisUvf7VI4u4hrCLJRVTA8EipomTdC2u6B9qZ7AYy
1HflTKo0YUdGFWAZMGzgYDM1GvYcpztQ2U1Pz4PBwSuJ0UYmTIU1WD9qM6yDn9XTNiY6R79Wuu4d
xL5EDumB6Cndrgywb6oJlZPn6Fc7vbaeRiWdzg6qw8B1KaJ5pzrnmRCIeUx0766OyD1CmwjXZk4z
2fIjOLPz1JWxi40l2TGT8XBObW1jjG8yktiryUqqE81s+85HB+9tsAJG/xT1M5OQKjmNs72bDCDa
PpG20gEoR3565XZpdHYymUU4ZvLP9CJm50yS0Enw4O5oq1sBFZEXnsvRNnWsdEN2zL2ht6IJ5mSZ
7Mh7+IzmtRzDe9cmk2bGaqDLbPkP+mqKCPWKnpEQGkEpil3fN/4emQ2b7qCbQWM1d51ntofKbUkI
DUA3o0acopJ1U/ArB+9zg7m/1HmeX1NMiTKOhwMc5jpocs06zGn1HOY6blS9f0v0+NXJvzZy/lSG
st/7OLKgMkTHkOgzaR0W3ohnO4iTG8mNdgb2QFas8iAqF5p7ev+Ae6DhSQCQd2aMeAF+8wF7mtjE
Zf7YxLMGYbfU6EylyBPberb7zsbNFylSoqVO+LtJ3QA0jnuCxHNRUvfMbJNfWwtybf7sVCPZFyc1
bvVY2/I8oge4bjgo+m5/G3Y41rswNChksCH66IMdjPEM7CZlrRFstQL0SqZjlp7tZQ621p66A9u4
5tHscDMZxo3tc+TWie4YbWl9mOp6V2kz0rNdddsk5uhmaAXUlIrdZaQ58BeYmOGHBZ8IG1i3t2XC
Q6olyryeGYD1/tYaZ7RepcmAlfKbruZzZ0KV7M1uuhkFO9AeCdHkKQ+kgw7sZAxkVp27zKUyJho2
ypXJSWuWhmU0q6jCg2ckcbKHxtSeKDEAhNHVoHYiLQtA8BlPVcjpU1kV3SRpmuDzkXBz8vbJt8b8
NpeNfJrUXg0WKU9+iRKn8C2d7JtuoDhGDSo5zPV03yzzgdyhVMtyFI9l4cyIDp55buPu3BDz36Sc
cygraKAJpTHW54hFKyL0r1tPIxH+c7TmJZjpWmj87bvGbsqO8UA10lTogiEfYz5VHYg51V1T6DXr
LImR8buY8LYmwkDNJeeXvJdbDyClZYS0NQ5KbJQR7uvMHhEXFoKUJrbCqzGE9K6+pbAEH/Y97zMa
aasYE1E01z49vBz+x9K4SBTBDVxU3vjWpbXIf1WKG6bW3XNLQRKHvfLCcbZObJZV38y2NUVYj7OM
4Zfo/tnOqVXQCsqMIwsjel3646EXzUVguLwtbZyAvufIhWSMD27WL6mX050Uef2uE01/iX2T83Q/
sM3tOnaJo/bc2H4K1DZnOIdqOncp1mzbzm9CFi/EqnDHOcg+FhXC0IBRDDjRLHeKyQNEzahPrlGq
vo0xEC8XMxQgkfhbbMbufgjNq5H7LOFRaKwjAcbBKYmL6u1Cli3s+jxaI4G7OT2opLY+WF13tuam
2TUAsne4avQXHOqsV/C7Kb6r7n0cmOT1TWQ0k0C9Fou9TddXUEPMfZhT1qoc+xpEgfm1gygQF7Sm
8YIUAKHQgrIuLp8QoYmlpt5Ly6jqUMewGQzf9YM8bfRNY9vtXlfpru7U9JxTQEtMheIeDUrLvqzz
7NYfQI8Dxt2NUTV/krV3SUCIPFoDZxEHV03TpN6hhnB5lubS25cdMaFpj3qzcGZm/SONFRYI9+yo
l0zghpoOa1g0d3gmnphgGduRy8tiLj5ryXikuTsJwhpdrxBsPuq2SwJ/6D5GEdzE2uIdXusF/xXR
8CzEgbkbWOQh4lXMsufyg7DJJus6/4SImMbpJkVRzKPOYTVUJ6V/qMGIRlAIOcwZz0Wk32f8An4M
BbDNon6VOOJAmYi2nijoWAuRVxvbsME3lPWhmFrcCEW1VRmTQ7x36wRlbEt8Il6exy2kinIiwduB
7dW7/vh+x3c+RJPFWbYmLL8o3sMzFunhnDUF0GJnQDLVwEIZgglrWwjqRSZ0rmTuqTkBe0ztgEMI
UgSdM5Alxg+yG/WKsp8K13a+ANi7vLmBlz6eGrt58wh8xJl/MDGIr3TRtvv3NyHOZHq9WjMOSKpL
n3IAHBjuas4EwBJ+D1cv9YM66qq9lwQTKB2aB2BJ1ed+9j9ENUPPMTZxBbbmmSwTGWLGKin8p71O
qksrGVRxYlR66J2pASK2ZiMgWfpq6qu3QXCK6sskJue9GqljCqpFt/FSB6+sdq4zxU7fMUiOFIrc
Z9/dmdXI8j1z2TTAjrxlOrr9GJ8RrmFe7nv4ZyHFOBb8xKjD4Pw+bpzwirE9Mukhq6sTwEDKROEE
wo6aiGORSytqWe9t2mo3SNSwl4vlioXjybSwE4R4LHdAQRtMY7zanhbtDYQihMe+C2b3W1kRjwDX
gZ/bjFsYRbw6dflS97pxQ+f53VDZ8W525UGD53eIJs3b9D1aSTNBeSici4Zj7mJYxkeUuJBHO4aO
pd88W1d9HFHPmFE9XvfNGlf2Ol3uPiVeStdqbzoRNVur/FCaCbUqVXiFT9Zy4oNpheh0gu1oFPNm
dDgpzcv8dBw/acuNThTtSh1xu1OWC2tN+LeRZQKZsBi4JhSF3LO3zHalEUIRjy48kTnfKpMhR2nS
kKOrS6omWGO4+/d6M9g7csHsq+w7zcrOTPvbPRSxJOgno986tJAEts7QkjhV3PqYY/kBEkvRKVDR
OdwQsFItjRaDmaRHj8IHcucmhSrWFyQGcQjBFM0t52C1YIeznKaJkIdEaSMuWLTwcLvzXnUqNq3a
p2aZaU820fo47FcGWLF1PYXZDviTQyraCTdKluWuWmaine4f+7H1ub1itHufE1JczF/6CiNW0RKO
xyO54QBPCWvI4hFiO+ZV8N/srl8czBf6yM1DPWhvHfRIsKcf5ipy7109/IBFqbnSBK6tJp2WxTml
TqduMc6YjQNCcGqoLU8RXZy0vOsarGXwh1eyZcHVQndH/M3EixJ/kElNrHfAGtHPxoudqQA4fXYI
M8s71dVkQtdqPrDdcKMZURgpZutMHy05V5eBf0dSr9NnOqQt3aPZij3WOEIWc2Z73FmwlC7vHyJd
LzZoiwYz9JQbJ3XB7eQvkkHcpT0guZ1SCFiGrygZXHzD4xy+GGSysTyDyLVT500hX6zo3AMqY7KJ
YGS3mjEj7KlrgQA6sD/E68BmxjM5ZJqf7H4ELSLVRYM+nIQujLOEdRjjvhRjUHJexXQKSGHra9QJ
K37iUXCv8MbAegPPZKdP4sIT8iFjneCe6b2DMVoUoOnNK2ENAuY9XJMpNk5FSPg8rSAZ6RxHndrs
VsTRilM4iClwOvMqIpd/QSUQyuIu3eKnLSiKrgEgt+olzMy7NhSXmkT/Se/c7pZ67692K+OPrY7B
wrJaf48z6M2JLHhVU/rZXBj4+CW2ser8a4ZNIrcgGrfNx0zLnziTgjnKiDHRAOAbVBjXnn9KMrfd
0IwTErrHKEL3u9xRbOhtULolPAnWdtvSngtHPc55tuAYpvm8QB+oyakOuOiMx4exjmCuTPJgtVG6
TicNCp1aNsR0MraopyRGOE/2ORDVAb704MpgCr+FbVp8UKb6QvGnjdqNTOF5zFgpRldyJPFlAk/O
QE+xlHRYaHBrWtt5jOl+L6k+B6Q/8Zr6Fvb1LzPF8CeHndCmq3EPR7ZZ70ejeWwUcD3Pdrl3nPHZ
qAroNfZ0yBUZqSEp5AYz9sOMFfFiGYjq1dQ6D7ZDq1WMK3EDf4SVz31QcfJCvUcEyhrIfcJ135y4
ZNTGTHW/g9CuQu9AARhwSno1g3aS+5aAx3GK5Ye2DIeArJc6KeuhddkvuF7bBw1Ig9NY4TPH2baj
PBnCFuOybZNYJlWZorltOm/mrDk99455kw/zUySnLQCkQMXdU28mtB84yIOg3sVIEAFIPASenOZj
5LiVt08pD8EiCFRuGF/Lmq1CY/AccUdsmV15X6NkbYYRMkCX+CR0Jx8ZPis/dQlItFByaLNhsppi
wivtNW8IfyQwnZuwZjcjxGkOnc8lNweI2O4pZXOHmZ+nr1XwU9Ye3VD+Q2GFD21HaBrJyppINnm9
hc2/h1mVi5tJ2VOAvRRuTOzDh+hVsQYSQX6w0j9QH9Y+mFZ/7fEcOssuV14Ip9T43esWg6jI9qGW
RcQ0NgprFcaptG++5c2Q74p40nYtWZR+igGFZ+E1ajttRcKBxSfKaM1Rb3Uxcud0CIwyjq5DgtwT
68YtdS+fqhGhsHZPpK9fYaa/lPGB6muPfA7Oi64Z5kvj6tespQiYTKk6yPmNoBL6AzUN9JsRIC+H
O0pTokPuDVdi+RuTPQe8c8A1frzU2s2bzlyOJ8NTyzUhJQRPD1NOO4kHOn5eXEmBj4xJButj8kYt
/QMtNaCmM6/cdYlim61uK91mONsDVLQqiz0WstEkU8KFOs9lFOR4J2VVbdj3EnMaWRersBR36Ld0
WFq3WsOzgN2kYIfBe0t5dDdHlbdmRssehEPvbKLE8AuGpEl7zXsktdyIhfQWgUjKV3/jD9XIKYZs
cFF+xCR4a0tapiOXEWZlBKMzHcCp7315leDZ5H3gAfWJLVptyukYR1BO8+N0pkyMxDVHajXMr2Zm
PCeV/WTn8ab2+nNXQEZS3+xYBpmWPloqe2wifVz/TbdRSBtwbCvqwhjkoRnXtfvg00Iw5uljyqDQ
zJ1rT7zs/4LrgIGe//1qj8dX+rvr/t8uyVsLwu5b94d/6/8np71n/eC1+Ben/bUaXv/y6Wv+n/9e
fklef3LaL9/43WmvGcL9DQXPtKAEYv/BXP/fVnvDdX7z8bqz43Y838Ml8LvVXrPs3yzPpsbRtD3d
xgvPd/2DF6Fhtl+cVug2rgU1wuf7/hdme8Na7B//NCg5iAqGQMoHZiHYyuMo/dlz089EAbDQOZ/9
qo0Popfatenci55ISXBci07YcMebarnJPBjyWJVGETTLpwJEOOWsebxmLeZe9byEAby9ev/i+wcg
h1+G1tHP3/9+ZsAq1D3W+uXbWx1JAQWXpWP59P1D578OkWvev3+iZQzKNYi9x9JN2FRZkKDtvJY3
MZU5h9QdvpShX58Rty79AOGvzrvsPg6Hct9XpblHcOvvREYEdygm+YVt8sAW7wu0SZuG1Pgff1Wl
A5E6/eA7hRlA8RWPcZk2u6gv9e33T/uoO4hG4NRavjr5Q3GJTJtm+Mx7dHzalFrw+etucbkpMWnh
fng3vC0f+mXP88P/SccUlC6iye9f0BpKlyQ8OH0pUKdlxmC81TCQYEa0/PH9g+Hr89kzC37CiibS
X/5KGk+cgj2ecWXvBdKkmg3A03PY0gwRssncT5aonlwzYopMWR/KJ3Ehg15m4lECszmWkPcv2HG6
T/upfQYzOAVR3WpBJKr5qc/84/tfyJXfrEWkPeV0sN6kHmHTAZXqpGotesC9gJLvQR/0zb6o1v/8
ctIOycpVRn9XEX9MZf8VNw5mFXeUj6aKB/iAUXoCRG9e8Bc6DIXZu3Wtcxd5Y3P94e15+/2W/tHc
bvOG+uFOBw9ErEDHCyiwQy33/C93OrMMf9Qaa/jkhv1Wp292K/tIP+jIg3ugmvCfOqqAy3B8y/pU
Bl7ZxpcpYUqYNsxmCkOWt++yMXfUqCxxE/UVBvXOk3tqrMDNx4N3TLOxZkE3L2Y/Wnd2knWPCv9+
2nvhymzJwEENxABUUJjDBJ6KuLGykm2b5vLOYKu+teesvIylnUebfGQY4XkNttmZMpChqJ6Rpz0g
192Y3ViATMNa23kyaj5hUC43aFQdKbUkOlV5dvjja2f9jJXh2hEFYjLrGDYGPbJBS3DgB2ceu8nI
LhhffnKxwJO91R9a3TM/DLbxbKaRFyQVmNgKnevF0gfFeEYh5NWNuQJiDls+dvozbYxvozE5D7jg
xm0sAW1Ib44NPEXdndVn9v7dcf/+Ic7RVAeQVCcnNu4BiGOgZHiBJSETxBpZI4IpybTHwTCf4aRm
u0E55hZ5fMr+xJNo/2y0ZxeNc5MlmjijzhppmL/cNRQSWa0gEPs61HgUKGQA1NCL+HMx02SHyvBC
nFTsqozGGKKmZ6Wl/QNjI3jTOc32KbGViJFTBmKKcmzU/NGeb2dEpO8fWmKESV3cTmYWbsaRNrvE
zz9W+hg9G0Xob3TTcy7/Rdh5LUeqbVn0i4hg43lVeqNUGvkXQlJV4WHjzdf3gLx9Tt/THX1fMoBU
qSQlZu215hwTXR0oORNVOgZe7J4E6iaFd+tlm58cpSiX5ZAVeyO1vwV4/K9pA6zvfSOPKPaIOjjy
I5i3yI1IBNbCYsOEqL+po4O24f8/VXiO/a8/ma7hHbMhOFq2SVDDP6SksLMCSR9G/7ICYOsdkogu
dwUAmjaH981uCDp2G9JQgVqsoglJRLJw4gEVDGzwrVppySWP3oYpry5R+lPj2t2Rd6rLX4dqwTQI
lCvy+j5Mt4lTlukytwTefmCIkXbzVfEnTpT42E+nXK2o3loPvT8uQiwtSjtkrr6FryEpYvRwRnnp
bDUnArImW1rDnpobf2zN/ECjN77p9K2WOjrnpwB/AO023BVG6mzqstZfW1nu3bgIv+uEZAIPyM9J
SvprGckg1oYMLuNRlJcgGtMfT3baAql/cxrwYB/zuBiXvWGVR8LE0yW2+wehKuqrbdfKYZw6qiaQ
F7BGWsJK2daPoZqPL42Woyttgg+ednKbeOIoPDT7qhkp2zRug0tpKXR2oYLe3D4/oupBBWFBLbBx
9S3LFs530YhPO7DPad57v1vC30vL7r+SpmCB1CTiKbZJwsDbsmkyJoRO6jaPPclAq77xvGeGAuUD
YeHKNXbRq+UOq5Qkt//YoX3f+OvItIHlWe3MX5DpPp20916E0oTrJlBp1QN+3cfyNep5ggH2MNwl
4sV4HRpqcGtI1NuaNVkGMEmOfda9RnXBOeKJxF7a4eBgYRjeYTMUBze0IQzFklQIWDQ0IVVuFRnI
80WqSLLDZcIgofOUNVPFrRiz7FxOEYA4EVogn4RkdUWQPTNSYMUQyxczD4ojn2mxzU2I5/1fW6oa
FVs1rEnq7NKjEYz6oR9ZBvUNil8yIZ66PHARoBfolVtAOqx7b/BwiXH35L5qpET/10FPQI/OWc6f
2oha64A40Vi2hFztdL8c3lvjlWSqpx5y6Kbl/p8unV6Q9O57rHOUZoNjMjnYxLkdJMwNRt+6eUbL
HS6dyvPfem8qIqzafIYExLzFqXVWFWGNSxG0+yGweZm3DJASG90L3ua92A7lVml1Bs0hQw78kQdr
YNWuEHS0doWJMEfFaLnSXA1ebxedEzSKz2HsFYeMBf8ytCtxq/L0syW93ETWRyxGy4Dsr61qJLlu
PoY1HLjGZLCn9AXV5bEeQqBwGzz3h3X58BpkKMyl3Yhnq7LFM+kdV4XkrROmCg5ZTG7QOOi7+Svi
mAY/AeJ4daz2CTc/3XEEpKG38oTlwC0kGQQqrYrsoqyezEDjM6poynuY60nnMTrMx9oE9e/tqD5m
JdQZLTIes7ySaJmADNOYL46B6vTn0MyGM6UF7Vx7TFfxvBvaygJdabUyZAPvMqcBDytQf9PDr2KU
+Su9JIsAIKUFDsKo02bk/9EwWrSNiQeoDZ+wzftlh+D3IJOsfZ6OD8Jb3z+8rjSDxxDn2aWVA7+D
An4Y823LfbLUrc2ATm0bDkz5aJSjnO5CohpxaxPRl1ZAFasCAWHxZkZxT0OEnqEHk+tqxtklnR7S
VV50yyKGqNxHqffU0tt/yHtmJeMfgufiT6ND/teFibVNDSgvZqtGw9RBw4rTDkSwwY59y/UAtUPs
gdiddktmeoOnqKtYynonTEIXSsvTz8jRzDXql/YIpAJBRlE528AksWbMpQLQKk6uLRE5CyF9BXol
lnUvE6ysWVRPPA+4QGmBYIFydBkFvrkxBCB7gk1x5NdhSD2ubdPGf2P6rBESgDvizIkkT5Yiv+YS
pcZIC//CVg52mURrUtjgRvZDvotTTd9mKVYUcj6JG5u4jwzg++AWkcUIZNje4+t6pLidlCZqdTAy
zXjtE8KnoqH4SP0s33pS+us+B6gBXBV0nki4WjJLhYWpQTdN6Osy/S6uoooQN0/LD5RPwJleufD9
W+9rHu05aW/UqAJ1Uu18Qx8+taglqAbb5AbKoRI7BjQT6nk/c/QX5sY3iD7JT5kptMnzsrmVpIQv
E5wDbeSAnGh6pASudmjAm59Hs7U3o6HVa7vx8eSMVvpDasiiJDFp5eTUqU1NYd5X+SXBXVetjcGy
KeZMv38wPGp30lVAIU22V1i8CEG7sRzOWv4RSz37RdIMs4k2bm6Kga2TnA1ibAD0zqaHv4u5dhDy
Aa8tY6wunRRj5inqaTjUAQgdfVpOaq6aPgs//eTUpklrGBBp7ZZzqkfMx6oBVnNR1290i2Nxhnod
fKMgtZbYHbpDFBfykoTI72mLN2c9RHgpNfvVydzwhbgSYyP6ENsyRJ5nLS1/6jBOf4h92pDJ+qC1
lvaSkvD72IT0sP7e7abdKOCcJknCvziR/rvBIPEyGthT7USyTjB6savtzogfaR1GB6cbBegzPfKX
wnDEfd+Ccwzeu40WLZwvrG12s/GSagQx5iivuSij5ZgFw64spP9mlMZvWyf9hGA/7ViROz8MhXcY
KycgP4oRSeKN3mF+iaatbuyYrpSifGjIwdYYMztiKbEWLBPb00/pKCUBSGmw4hELHQmV0qWyxEdk
653+SbeCoW/n4OXL4ALBhSIpc8xVG2mS4TznQfJed0X6wyTlyypS+Rz7qBTTsjzGlsfd306f4+nF
lUzE+lS9EPZRX8DNrhwn/vTTWr0hZDN3lm1wledl+9m0H8h1zZOj5QpxFIIld2L9mB5qhMxKilvP
jWPrdFa0hXY0gGN3EWtPX6L2eBCaIX1XPQbSmWV/Zu3EKO8kj3rykK6VzN3DP3aZDi701DKKb6Rc
V9YO/TmZbttK159AFdmH+dD8QmjQF+jqK3YBbVuEkf7SdlGyVMaSJkKR6asxrwv00bq+GLqeGYCv
tNeobT5iRwng4HlEDkkPI0c3Yrwwu2zhRWaKdi5pV8jbsjf+oNfUssa1Tqj4GmIpwkXp2ScyzPMj
VJl1YjhnNw+3adbyK4F7NIDbO4sGvyBnTpQ1pzHhGUsv/DMyLKLU9MHiec7UUGqAche9V8gPHke+
hOKNXJ5FFaj0lW/69nYkHWEL0C19KB1maw+oZBIYlnwrVdmiv1XgiqMoG7sJqEIZ1KwN24C5F1be
Fv95f4A3A414+gY4rE4DQbC/Oni0WT52v5TcvW8M/31kfgvlmpG0/Ge13ajAd8tiqQ1msoPXS7z6
OFy1wM2usAIfPWYsb7ZZf82/Qo4/DWGFma08WQY3tWn7p4g5M4889RgLOM1gb0faI7323GeM7BXF
jp/KXIM537rDJ1xAQr7C1N8rufyjKNh4OFOS/gLZgRDoAfxXYFavRtpeFIruRSN6/8aSCFWTaKxf
Tv+GA6ienCjZZqAvLV07erQme1bVJjsmqvh/AmGfowwR7ryFSRnuM4F284ODuNNxn41l8SALb9jK
Flia2zn+498viL+LRZHmpwTQz3qojfatVuSBqCN5iHCpb/D9LB1fOh8mH8GqTKEw3CsCEj3brx5o
kTu23kcWY1duRTNp063UXroo+Wiqpxo4CzrHD8C2eE63oXIBJbQJzK44308np69j4iGgVJqRF52y
xv59P4lkrm1tw+YukBrNcr4OikTNtmELysdS41PXxubC0DRFbJM+JUV8rjKZ2Za4UGnLOWGCHN4x
5EcSMX5AV2A/V/q+6FDSjCTmEfZgcE6MdfIL3qoP1pgBGXZ8a+mSeIEjJyPtKcZw1PsNA26G8Gcf
gOyKhRJLXL9WOI1hueHS2Y+BNC+52scHBVQsJ6safBPApU7dLgic5yIrcH9ZmfWrQksrvfyXFeX+
IpES0aUSHXMzi58cjyxDNA7DZ6IzBvU6snFJOc4W9yuICR8E8BHurecSsKPiuiLYLFmg6IIeZJml
ujNllW3FdyvDgRVVmm+ShDjigafL46iyTpoXJ3NFNrTRcbrmD3Zs/0LuCDZr+u1F7oYoTvUWUsD0
UQq9P9ptsHMay63RuaorSVLIJdDs9pnxHsBVm9gnlOH6flIPIP/Tg1uY1FNnwCedPPKjJSAPjWS7
HNdbEVpPgeLZO9+RyaYQY0LM0fQZAH+ALuL0LhgPYGJd140fuRXumnSIqBemtF80PyhdHf9AgTq8
o0HvWAcCgDFeC0MtlwId/YHaLnjO8ubcY/qBvDKkMOIooJBjwNkek4tavii2UT36k99A/kIpwSLb
qx8xK1bX0oztI5ahS6Mm9XU+BHHzhjpPpPydsvqWjiLlnMShoqaucq5QV5Ybl6fZiqHkn0YlwCEl
bprsOuhW9S4vyvIwerkFH1YtTz4KnnU0bWFyI0YxJhUBBy0fVbj2aNYt7wuk+2lsxox4jVzRV34T
m4fCtCn9ACfQXE3IPIog4YcAVU9tV1xjI252wsZOMx8iMSEnaQSYXByB7XKCOlthE5keA5AJIU2q
73ZSbgZaCgOSwoXSZetClN5+PrFGw20IUxGv5WRxMTh5cOCo7m3MrYOfuvLDE5x0ZhNqj7Ffpxfy
oMHmTnpTgQNzMyYmFJJpnSAcEnRBAsYEJnHVdqRcMlxNf5CbnjHIDuf7m3qv1KTo9TssBxKdF487
PrP73uB19SMSmF+itXcCcOYXgw3MBK1bXkFomGsldetD1hbp0VffO0f1DxI/AaGwhf5WWwrhgCqf
WGCPwVnIEAy1U20qzDpYvjTzVKAhU252DSQzscnZwuh8EspIP3TejHVLbgv1bIQdeaTTDblHjSoy
98eLM3oaBUU6tk7EJMjKoTcm8EshisUP90+Qf+4tg6mANngU5v3wbtj6Iw7m4qXyNGx/Ivd+29FS
1FrxG1IQ81R3kM/WYJCp7PbGIeya7kgwENSJKBxWMrRA7JfTVuQbR6Gp/QGfTQl/V/Of9SptaPKE
yq/E3/moW36rbYc7emjGF9VMXrCuaw8oWIxHL4rGnZbWOI+l6z+5oW8ubV0YL2TRygdZBXI7yBwg
6jYbG+9noschbtP0J8UwB2ypvlyXCbAdzBK3Hpbgsqlra5ewuN9qNZFxcvoIDYWnfBY/2EXiLRrd
ogtPdMkqGcPv+4L2/uH3TC/PZqGaO6eq8KF1bvrsTInBZipBwvbe1WC4GiVgXdO0T1AWx/3Z0gZm
qqIrXjmh4T/nafCj1iOCERkGRG1g3MEr87vMzM84yPt3paAbnttGfQ1K7hvQmrJHzaPK7WMfbs8w
cEYFKQNOHZvYnBFahC4wHDXLnph190/p9EY03ZiDZsqOUJzsCbVA92Rn4t/emP5Fm6n/+hfb0qxo
53UNBj3dLT4TK0LQGinNMeFOeDJ8ikbb97TvvttpLC1/RC7qhbCH+kmY2Fv0mLAxFXXPe8+tEECA
+HEIeHiIEQmVOj7e1FfWqdbQ8MtL45So3STfiayPXBuYg5nZbz0IbxFzk7c8luEqRa7/mFs+sh5U
qKvUCM2XQWV92EUv1CYkomfhtLxPqtdMs/eMhZVXEMAlId5RTXuULxN85ngS2u8+JDS1UYz8UiYm
QbK9eWzVLN57enjGV2OcvCQ0TmbaFI+m7SP2aluz3nBP6mAnGEs+53Y9+KlVrQfGbvsQO8QDv2Hw
QlstWkUhYmPaoMGu1PJ4F6mThsqw6eggu0szrBgVcorIp7qXbjHukIFqz2WkXsrWGb8k331CYzTc
ZwPtlFgBnG9M8Eslh7OREXGtRNwVwCUr9a6cBILqfNFzruzREASnotTpQHV9hdsXzEGkqPHSGTpn
EXpJvHRrRo5EiVi/8mCo9lnsBceuLsDpdv0V5Ox8/hfjsWep8YxT4DzioHiwKGcYifDjGeO7bnXp
IZIxfXqtf/Zl5X0H7njfiNiYy+OqltaLwFflJNVvJSAVK0IS+2yGSgI/+piIUT1mtgETaHoZsRNv
70Vul2UJo57QWYWhZdCTVcuPPl4Zca18UPghEsv7Zm1Nuzy9V5Vpp68x7tt9iYp6OX9ZJOy3mDIc
webEAdeU8tS3TDo6gEwfiJUpGb3OPNKkDp9D2dBKkeLDY86z1LxxzxxJrOc/Q8miYKVMu0VMAeoY
PBNC1C3g4oudhtvnyBQAq1qTqsEmKjGPYULPzvOXRINxGd1efuRNYZ87AZoQYbd+onxvbuArj2J0
nHcFus8miRJ1Pe/yGV7hD6RXJWmsJyEIgZuPo3yQK5MU3w2uNdTCsXJR63Z8lFxnZWp6l/lQXkTN
1vNdFyNs7V3mN+okV3k8QAjFoLSiuWVfaje2LyWaqoeCcCg0nByb3yDFmhZxjGd1+jI9kiMPuQ/b
aMSugRYCd43eO7k/5ilAVRzOC0bisrX1ffBxL5/v52UnfDRWEZx8vxPGaUiBNDbI8iNk4hEUJCJ0
L/bov8exdxm9lHEzOdLE7AVx9dwZZC3HSVk+5ypsj1gvlZ2NUMheevhtYZHGFSY6m5pc06wNXoPP
2qR1Nn0u88v8GTh6SsrkyPpnuEFdpXfeSJZ7xbmVxtbIkvpHzYeAv5RemfEj+dnXIXHUoyTgqwE+
mojjvB8NQ3ao4v95CJ1eQevcsta527g3g5yAQk+f/eklMwPKBH30j0xdFNaFlrd3ivKX7Mzoa9og
guq+4Rt/OBOSX/WrK3X1t20SUucE1UBdSnRgGAUHAl71l6KSt7nswIq4vD+Yhd+mK4fM6RF/1IZ4
HOw2rdV+dr6Z7dU4tg4iC95hEZHVVlgTl8mO0MMaSnSlqfrl1BWnJfSXUj5HAtW8YjC0rXJzP291
mmbsO8V4Ya1fIM7NzBs9YZLNOw9F3TT0yjIxLrOgMpexLiZ4SZK+QMrJlrGH2nlegQ4gxBZuaVX7
edfsdgpskCz03T8+bKt5I/zvDaVVIUeQXkzGsX+0xiS+Kkb3YbatepCuGV2T1LXOY/E5v9UK/xRa
0jn4E6qsNcM9aQvl8T7KtaIu2dRNxtJkGi+7lZ/tCp86AhGC++T43NAK0ewlumBUDxwa4lwewySg
U+jHWw3q7qLNXf9qqyRyN4Crv3rZERPve9ZZdH17xKwSU26E5Z9YOQj4sTfuPBrnnf6CqlgnInMQ
WyZmABPHej9OC6mp1URejf6R2SMNZcUud73W4d2sa9wu0TLwxuqq6kp19YHjb+MBudS82wrycKeb
vEKQ8rrxreQEqG7dTusnfoxxKxXytoh8UOuDP9ScNcAfL1FWNOu2Kvuj11py7zMVwDHTp0+eThKH
Ip3oxaizY+Mp7zR5/fQyihoQq6A/RfVi5QMLg9iAuWFZ1aJO4wujTxQWASE+TcPYsW4Vfd0RooDO
kGXp/GLXLXyvwTaRFo/aGgUkZlcCLOwt2nW6nmhNWHUrKEmYCVxZRsdXi2AFNbOc03zIqBBjj56+
600YtdNZNp95VtGeadplJ19rWLspAfYECGbQOQrlkQln+1Y8Exmuv42NA5INesMiqCK59kieu5FP
jWDX9dNvPRKsrg39j0iDTaDvWydyXmLSyTnlCQuc7wy4iLaG6lPFdlm9r6ZpvECgTLb4KjHNfu9Z
ZrM3A+9XNY03Q7Jhl/fHVZXFeEst99mZx5ZpKB4yOrRns+3KY1dk5bINoHiRVhbtdQsT1dJPEWU0
DQHiuUifJTJbOXVnFRB3h1gwSAOTDlvO6uhWyQT0dMPq8REhsfoIIixc9gFW2aSuGIjaToRHw9Gi
H5pn0dUa4i2KTqrVwiPosHO574+eah6c+ZslJCvT3rBBSlnOYe4JJRaS91oG9fKuNUktsj9GzTin
7SQUJ8J9k5XwGSMGfyvLcc8DAqKzEqUmDgerepu3ss6tl/yD8USeCaxU67s2C6TsinomPmlY3SfE
1H4XD4Ao4V5TL0vRzA0x9xPcTOETY36Hkbfv9mHaHH3arq+EznFXn7Z8nyQZJZpC011JOvvFRRLP
WNKkn6xVvnLMyZbcyHFI1ykKZhPi4ml+KUuhbv/DPN6YtBl/K7xcFukmSCcNXaLuIMIy/6HdSMJo
aECxZV+xnCY2edk/Im8PDjUIqh6Ryz51tFc6AOlHVjX7IGZKMR2ZDTTg1wl0qzOT5G+IfhbxZY96
bqkIE2jNJ9jDudM2ZbUs0jhlFCLJFKzdJ64Ym2rO22tOWt3mESuDMCAdMrKWhDb9AJuIj3T1/vVi
FPVQQSdE1uuO2dEZ1aUnxvqRuAf3qZ5eYgVkmta4PxY9k6eIePO2Sk/hSLuYwaR85b5z0P04/HZI
aaAh6hsnP+5flJx5TW/r+nl+CTBYL7AK5BsMD8b9mOg0H46RRA0KExs0fa4QcuimB8So5K6VPNSG
loDke+ekr22N9sL84aP97pK+JVpdk6t+hBr9ECmKuzBS6w+LyeysqCYKH93Wv40qezBVMyV3dwj3
5L6hPi7Kb9/te8B8iffk0HAfcrdWbjnBmEc7M9JN6+A/KKXbv2OeuV+8Cg2qD+rqXaYRcDNthLVl
/+4mf4uShb8isqKjBKy82+TUeZrTjlsSQG8uQIkVaRcDXTFI7aNpdY9JmUIwskcW3a7a70oqoKVE
rvoODeMq6QnHVRl+D5nPErYKXqWTMvBi9rFx+DFPpo3xzFi3eUtqQ5JmlwaWib4oh4GW82s5Nf0S
MmCOYeznD8V0e4L88ydK2hAsjtM8jYNLG1jVXiS3xaeyNK9llbf/4eR3/nnuU1AJun4wzQwe4fY/
NV9W6WZygp19KdMZM/WZ4PqkazMDeTvvpk1fXxGmfFbiYxJ0vdQlflKbq/SMTu5WTnt1GnSv81bF
xbOwlcDdkc5a78XY/Z57LxqI9FVZBJR35N8Fj4FTr1wKzW9uKwDUNEPcXBfpg0is5pgOyu9aVfSt
GehcEwkzkSQtqq0onJLU0O9KFaeqewt7j08QPRjnkYFSUPXyregJ/WAhEqvU4Eq6UFRg4doRX3ly
AIGen0qRBHup+/QSE1IAcqyfGP1al7qpnsbgSui6Bzs1D6qGOLyHV7M3MQG8zLvw5h2WoRqCAxIB
bTkwc0XQXGxCr5z8D6EgsLu0H0iDIjVXz1ykzibmy3rMJ7kC2q+qfMydZwy0+amYHAW2MXI3tUMy
JXHcnf/Dnc00/l286goItbZrIdGyXcGa3vgHgFAVuZP4jVF9kZOXVR8AdASI4GZ8UqkAY8dJaImJ
DCm6X+/jaWY2v4R/bc27qbm/P5yMrFsLww9vVhb4S6MHEhsLR9tUWY0rj6BmdXmvb3xasSu11AXN
ydY5zFtEWP9rq3OUEP8CH20TMasm8KiLF0RKTHOMeGouaWTCUsj94HM7G52D3ECVXExZjcg01EL/
DT9qt67Tpl0j7vHftK5vGIPGBut23p2Cx2Wkvzc1WdD3R5WH38dtEuNp1jLFY/MVKUOyAhTE2p8g
lq9o5NrGn/LmxQhFh95ikh/GU2gai8zpC1D4ZCu7dOG7aL3FrB8F/zw/T4t6aaaRc/1rD/ePzcye
CtIjo8bwH/4v0Yc62q90H5yPSQuCGql4bQOcLxY+ToDO9m6+7hpUQ2dyd0BtcmX2uD3Jlx73WLun
bkcYiiNP3mjBHAgHvC9vRd56h7wA87+cN6UiBgxc/QCReyglpajPnDpTbtIKi6eC6vJ4v2vfZ7C+
G6xLGtV1Ycc3zfUpgUNtEcMKuRFGetVrlAKqbK61GZZ7G6mtyf28SI4jfSHZBcfcddMbwjb1iZxw
qsQA1V0/EBYfJ9pD1Tn1b37rPzQ/mxdPATBu+ap9cG1IsYMTyFXGBfUaqOItJkJpcx+6GH0R77ME
fq1PttBFatZNkxjgBPbNvHlXoPMeQirmhURoStcau3waej0uiqZ7CnmMUyVz6sy6ATkG/DUYqD+l
ldIvy8iJ117oI77mXtxwmzy7tXeY9+g+yQOrZ+RWAwMkG4k23XhxtuyswdEixq9s4puZUZFdIT+U
BxLpIJZYjbtoS34fVoUP6tSh1b1pylfW3c2v6wdTsTGsalH27Cp9cNLRCQXTKtOYDkVgx1ALhysu
DfCuDH2xNRd5fZ1fkurRoT9xCVFKXvHW/wl1B3wJHY89pCiDiUGiLIUIvNfEMj88lGnbez+LdSvk
LN0mOkoNwueqBwzSSRHct8bpWDK96xDQ/vyPr6twi+0Gg4pP0AhGm0YflRcS14BRhdV1PmT29Q13
m32a30tLvN/Ua9pBFmH4AtObABA5Ktt5lzsUCOMIbnDS949z7WD7kbdycxP951RK4ANwV56t1Gsx
aQ/md//eBanDNMvEg5SW+rJnQXIWTeycq3KMdqkD0OXvYx4m4JPNhCJMTfs8v+gdQVEUsGBV0iOU
Qhdnc6nk2Ckp93rMn7dWtaNd5ZHqXASWvlEUC2frVFHlQ1MeELGf5pJrPjS/aMxeCdUy4EcbHmgD
hsvvLBk0K3/Q6W6jPOrJ+DFr/cX0dJLsp90RE1+FrbBeDG7DGLtVImdjKe9M1PioJvSrGjHjquX4
VijnEjSYJrjgCVRRj/NV7wEzeyCwzIKAamprsn2afTPq0VPQJYTLVkwDOFsl9l/aHizg6ICUZW5g
Hz60Exc023MLDlfJNBM2iSBWdEu8IFLvkWlFyobvtxPT+pVnVH1VA/TD/WQ47VglrJHsB0s3ZHAK
kpLvK5t2x+rAu8SN5l1aXazSyvFO854Vtt0JmNtGVDXlZpV8+aa6CoKeK3jaon2EedSu7eJbaEyF
5muPMQ8l/2hYh2q6MMdp15523ZhLJWQVY4/iTYk1+da3qFzCIAtOIYnCe6KMsk2STm560pswDvK5
zS8p3tiFWfE/6ii3EMQNDFU1tVCW70rUVpf5qcBEvbwcZhktmAg4eWjTtsYA9dEN4nBzP1lb7JVh
5AYbM1M5Wad3Z/dz4uvv8016fontZWjU7mXesSNzF2jAROabUM5gqqan/uKWCuJRx/BXJgoVy2/D
59EOEc9EQbSZf/PJ1L2qiFLYzI+WyqvlaliRDuRtZiU5xndunGmEuqjXSbAioGZWSYZUe6tUxXru
S3lQp44PaJZym8iS4VrEWryBZL0LmurL6q3PYNLeFk39UTowKeIwKh48BcdGX7jWOzbfmyQF8Q+c
BGzAo/YrpRhEd6JtPT0nosErf3oM7MNDOdgYXI02ZhnNsFs6THqJIDaoqAPkuySMSsJa/n2rN8MN
VE+5jN2cocSgF//8kiljQkG+s4vwANI1gByQT9pAFDNcEJTvK4W20rK3gmZXM1TYRoBZLwS7EDcV
uNXn/SlCxX8J2uxt/gQaN3IWio6OtfM861oE3R512UqgqX8rderesQjak9tXwT7Is34zMq5aDiN4
5AEZ1cLJfPDhZfPsmgan8WQ/1TPlT9EG7yXAEKhDNCdUa9QfCl0ZdvMEWsOVDk00oOMP1Z2bbAGF
ou1ozRMyJBgCPgBl9b6twDs5aVbdJRXUdfHOlaQNlrSUnUZw/aYa6wEDo0sCAH2Zk6X9YPcF0fEC
sedGRGmx1O2aGLB8iHl+GQm5eAOESPoyq8JO0J1QdgWPaoNBhQtCGGSYpRraXB1p6KTaC5mzL8OS
fHM6Qtlz5mPfUyJt1TuN8xBCVEfmGAVnVZPFEdWTvasboqHm83yuWIAIdAtCyI4saOQut+Jkp7Zl
cajc5guky7CictE2+iD1C0U/imUNq4DTp6tSAnxR+AOvZpeJbsO5fRCtTzRQaT6EFk9gG0rBNYgD
+KagPDIXflqSdOrRnY4bNaHcAEg9jArdUtG49XdG+cgFwc2AAj6yMudWYAqdNWyRxPhbj/rA4pKS
SQ1KYOgZDXGHWNH5kIci4zCkZINheXeWKVJCzPsxYKPKU6/GkDeXKnqLiQfEIyszdQ2KtlymItHX
cUwQpzanhfXucPCTVn1SfGys+jRuRq475WqSNucOz3WbklWexMUHTmdj2TeZtyvywf8QcILCWH9z
UqLF5h/ZCkJqhxp+Gklk7W6wHG+XKM2iAxpxm8fUldEuaBZZ1HCTkAkEh7ViZeA8srYl/ZPu6Bg3
7tO8ZY70aJxWRQRGMOOiR8MHm8o8dH1oQY3iZd61PR9LqDugw52OKbL+DgrSChfSraqbP0JL8Ace
dbRWzNtgFuGjQm9/vo37Wuyu0CZMvcupFBbsVjCp1vPNbPT4uOd3dQeijFQQxupN/suOS+WprfP2
Fgh319S6fGce5GxFiRuhNyS7VY2VTQ1ysmVb8zWNP+fDLIBi2BkpFLnpH0FY5MEKX3ffwHRFWMbD
XICrmM6cMe42dEKyF9+kKZx3Zfk5b5EdTISmJ9qjqpfb3hqGy33txx78Rbk04HvvcRfVy0qE5nXe
8nvLvKoAGJa+wM8/+AiBh2JSMOKn2lV5pi6pu7pDZUGuKrNmeNINuBmh5LeGEhB8E9SzzDNzp5RR
+T30LkOlMPhVuCHdIGfSqkeSpEGAg1sk7eai9uX5LoNrE5ouZPB6DzoY4YTGVfw8Bmp/7EjSucaf
pl730OrQc5i+9Y0hwL9myqgcZzFPn8ebUUTjax+oPgLFLjvel+cIaOhYOXa5Vyc9Ow09BjxafrB6
DHtLPWP1W5O5pw8lho2CxYrTKZ8MxLe5OsTrMZbDwmRuerPDqDmqAxjFaYE+S2/1RIHy0WDRRYw2
bsZ2ytGYhE5dDOV+3qrpq5Mjmve77r/IO5PlxpFty34RrqFvJjUgwVZsRPXSBCaGFOhbBxzN39S3
1I/VAiPfvRlRVi+txjVImSgpQyIJuB8/Z++1ie7bgUiB9K40xWtm1oeb3rILEwF4Qnd2MORo7v7+
Y7P8K+rqr4TQjI2c/T/tEPVb6bD9wvTDDa8fFTb6R8tFb5WXQbTpIqdniWDCc7swbw/DCqgeQrZZ
ZzMGDBMms/DWSRFZS5cMMN/QG/tw+zDloLyNAGanngUArzyO8iq8uCcwEs2uSOlvSSyMTxFWz6Pi
VlfhAOtsyZTY0G7IDrcPnqVlkCb5cPvs9jVj7Dcyh+kJsqQ/wBiXGDkD+euzyII1CRC4o5u5JZan
eRxNEi9QN+U/ZKU/IENwnknr1n09sl4KNyPCY5YQF5YLnTlp35Eu038sUDGPtfeslk51MsgIvhhZ
8cidabwmYxJsG0HKk+mdQyBfn5FI8WYq1lfVNIJmB34aIp1IX8iTcd/XtePfbi64jndJEtRPgJmi
3FBOfeM93xawfz8yWnjLdd7Yj1zaH0Lp5attDY0v2rg76xHyud4jVWecTuOYTQyg0lL4XagTXnyr
q0XvWPsBRcqJxuk2o8OI6Nc1TkxBzFPr3pE10B81VY47+LgXSxPZVvVAvZnpfBe53RCQqLGhrM2e
Sl3d9/O+Z6DXWg+F2mzcmcyWldFmGkgkbINMOwIXhudb4gozamYTZRhu+qCNrrFl4P5Uzup8UnEl
Plg7Qql/e7a3h62IjaUaQw+0kvC5RNmfWqn6nlupZMLAAvdrAKgr6nAfworxLDHdi1ubzGUqigp6
+MIqaP3V2teDL8vm2Uij1VZDqyOZDwf0cUW56kol4O3lQBPGera/9RPzuJALsM9LodbewfDG+GEc
m+ttOmJNOdjvsCDTjsGnb7FJXxAtioseiu0US/14+9I4lQDDIrtY6XPzLRYqHlQbiiNHFvo3iem+
0zxsTynpCL7hKh7tcXN6qVPy9uJee4e+1mwCJ1HWjjKp7zjFVk6XoX2K6Dx0mnwKx/hnHmDeQinR
PRk2bpDJNLvN7ZtV7D0OHoTZJOujX29M4kE2UQ0VNXwZHAK0bktRKvkGtKnHTB9qvj6J8RCFmvUc
axotmj58z4Xeko4jjdXtoZiSj8IekwtLUbRlWfvwEmwKTh2LO7srwxNWkM6frEZ/R7a3RVLFOb5t
39OgiV6ERILLcnzhKsQwwr2wtKxgeK/U7CEySirCvttoXiV/ekXzkUDp07ACnlNbpveoP77a0Rne
uFOytWlW2sauqvHN8qZTTROLXjaiW5a/6FEOCP3rjp+4PTQnWLK21H89imYPGM6Vv34CRb+3D1wb
BFWT5/emmfuMZUJkZxmgdbemSC77ynxgWzYfKnIoU7Nr7389MrJyC6OEGYCZoyoOh3xbF5RpDZXL
vobTe2ma2U9iFfLquemrKbT2yRlVe2sL2iPoz9s1jQNzhY2Rayk0pq+JAqdsPDskWM4h7s1MfhSw
JPjjzOildqfKtxj8URyOr2llxieiqGYUDSf+pKiwG3npFB9CBQG3p79EWa29cV8SI1AW8LUiRSFJ
jP1UR196lziVu46qTgfwoxo7jk7dAqtX/EUwCwOSBjsuE2AfOXt91JUJA5JNmpGkKgCYmp9JJMdb
REoA7aJRfbh9cHL06TS46i2509qDBLl8sUiz4xx2yBpNYXXhVAl/zz2XlQBNn8zBOfPXbt/gfV4V
ShsdsCpu/vOvghrCFhXj7799DW0zeX2MIiyUP+eGuG7iG7pTj8hyO0oGhunN9RfUw34qetzoTSHX
7kS8sTAOJUjTZJFFx1+fJP/1Cd/qh0n/QWruLm6CjZ7p9f3NOVIZ7KpNNceizrtAcuNA6tqpsykT
b8s96XadT9hYt7v5SqjdzrWXm75rkQtG7nP+awdXhu6ztLJgJ2reqKyqaaDNiM+uL1GvNT16eR65
XEVrOvJigRe6Z8TJPtjQ45u5nlkfUCDdvh7xYka6zvCcfAfSOSswfBQD5tBg7wST2mR2z2EnXYtJ
rd7dGTiLZIFCe34o8SuVffyKwd951Gobdj4AxAOTmfG+QSI2FdV3JaV20UatPBY9kQDFfG4s8KgE
+s/B4Z6s0j57coSxjhwZv5H5zaQvFoV/e9giLFgacR3d1SBE907mxNsmxvDvZOdfk1xSO9ZqCDPo
pndK8Q0c+1JJd7e/pihguNxGU/T8CZdwXLm1vfKjILGQhm1eUUkwbjCFl3z9+5Op7M5h0rZXM/rU
+Pz37/72Y7dvzT8zJQwGzdxoT3Q64q3QO/CA835UkOi0pR4cyYjjOZqZ1WzHRN4jUmg++gA3rUVE
8WMb2ASFdZVypI8W72zEq9gQtGKNXRCBCmL4+kIU5meRxjrD/NHzsQvV7xRl3w3iw3uJcu7eMrSf
t7clragDhKpYu4CA9ncc7PObVcRzeAFxUqLij4BAUx5un5UVk7z/62e3n0PlXKyoye4dxaz3zWA5
Bxeo9Vrv6vTRa8ZoWTmV/oEA9ggfeTzDG6HnxiglAsz6bEOA3BJzOG1sLexfOHHiBja7q8bUemGm
JgfZyIwOs48VJ1po1ykQ1cF7k3Nj0C2mzxR4r9/EWDkNF4hlb1es71msEjph1XuCfUE6OHX3gPEm
23sslStaDMF7OIKKh8R69VIUDHTmAPnOhqxodva2oSArYGij9ywAZDa3xSsZHG5fGaaI+JUsHE65
pglSddpwA0u88iXctpVhdBl+uEQ7FJBK9w5Hxo0hipwRwYipiZHoKzTbbwzd/bcafAa3BoUru5Ml
mvaDtYaI9TB2H2qCr5buiCbBHDvzREKceVLiFFUXGnAQWOHjJHr2AGf4EajA6Yggbo5DD7SP4+C0
ErLvd1NXiF0GMfrIS7f5NU2tWCcNB9+yOece3EalNoBynAseZUPes33NkqzYUzApyG5r9COnd1Qt
vjFMZDCPGEM4bKZ3RWlbj0ZGoreBeGfWZcjlrxHUL7Guktj9GzIjjMy0M5Bract+SGnA0zE7B0yG
Y4dxftuiFJZ6GF9CbyRC3HS2/c3tYiYsL7Dt+mNd9sOxr9J3NyOU3U2cbKJW672laykFkUc1cTC6
YsJBm6zhXjiSbLbbscBl5ILbSVL83zoVoWrgVshJWx21FMgmZx6GWzl3hlftbSV7o1kCpF+t47UZ
1NvMyYNTowemscjbITjpJcfnybZ2t2+YBgHggagghRcmgTYwW85JMBQ7y4vLbVZpzn3ZwvWdnR28
yUi5InaQsDj3ncTapPe9ireycy54qpA66YCz52HOvx+RR8i1eHsedPBz4lXqalwPeDm2EUJEHRW7
n9I+IQNiYGQ6gO2tbyPTyS5bP8aLd8VkCLxrbNVlW5ZM9JUWeAKJmxc0G0tpRNajqPdOV9gPTa7/
Nd4OyjdQOgPigZIn4HYPhhNWr6yAxb7JBnvJhKd6LSoSKxgAYaV1O4UewU0wdXMn33zKtw/jYHHD
oFpz6dchEyqVv56D2oB4oTl1bW7kjChEb+FAEUvMKn+msyUCaTynbbucychndZr7Zbb747+fuxrz
VPXvghLdRUw1p4RpnkNGsPOHoCSPOi9lfKZ/Qbovlg7Bt2qoq18en5jp6KycGuG+Ju8ZiblvUuG6
TCaN0CgNB6SIfcXoga9z2nyLa2ytGGcfFQsIsyHTz4FmwhsF17Kv7XeSihnIORRUrciO6Rj//UOf
Gen69sTmFOfwu7z/9RT+iIf+4+H/+P+TdMU7SKz2r9fp/yRdxT8+m//1P8PuD8oV/9NflCtX/xcS
GlgfKjgiEzQVKXi/AqUV1/kX/CrioGwVAcYNV/VfidKa9S9VtzzinnV2F0IU/0O50kiUVudMaWKH
TE0lP+//BXKl/64CAfdjofRSbcPz+AN025mBJX+j1ziZqntmRltHBY5rVijcvGaFvGJZE0KBveku
yK+k+foRPSyZ1veaRpeJgSEdKncVRP177BQ7EDP7krkfA5jTaHgE7XT5U9CJxd9e27+uwb9jin4P
DLz9rZ5q0bu2TcDhlvpHBl5pG5WVxF6z7p1yV+ftBd36xijuazOEJYz/fbpvHeUfdDLa72yk+bfy
3iGnwCuOaxqp2O+vUFqpCO5jq1nrXseNWmIo75aQfUPJMTq196JloxAfLWIK0oj07phmxqO7o4W/
9CZGuvBkF5pdFP/wYmi/LzV//V1cUJDT6HDa7h9/l2wIVEW91qxtTmNjF67wYOAsXEByWJHjBZhW
7hSL7GzX/IdAxNtF8Z9V7tev1l1UoxpXIh+Buv39orGqssF7OiLiI/FmZhqwFy1sGZ87l24kbTOw
/2wu4zzoL0l+wddWMxZLNhaBQdg+o2+XdXylqCRUN+KCOx7ZWv+g4W02VOx235PVPUtbHBOPxNsw
vs9FBibC0J8MFQXvyBAHBiUwAeLR4hVHxDtb5wpO5vIatG+MK82jB4DenOQuuwN7AaYGEvyzO1qb
lqQRV6LstOuzacLMxdidE9dWIahEOv3M//6AwziYGF00SBOt0vqyRLUbYUgDdem32PgQU5OyVaj9
YbSbsxZ2D/xxL2ZLG0gPdlY7TiDrwUAihV3Iql6T0AN4U+aYESON1tLHf39jIMv6bd/hHbFtmwxD
aEvcwlwS863zt9s40VUdenuYraX9MKY74CZa+NDIOytcafFGaXwn8NNyhRiDK8TrFuIZ8OT4Qgxe
Sd5AuyezDuMYUPYRY40PWtFmliMW+idZ8+NrTEYhXEp6ypxsNAI5iN5eJaWvc3I0z94+pReXX/Jh
Bww4SwwALhhwmXOHhKXjFFlBVx/yt8A8xTEwiZ6JD8XSWcMHhH0gDoF8PqbxMdNBAZzV/Af4q1Yu
W8LBUACi9pnzgNdZsatmUvO6dnYm/GVv77UERhz0BGfdOmPQ3DDhRJC2sUNQSv6QbCPSZ9zdkOw4
SSo4crB0RLuuPBcFJnvMkquAAa9YBzULn28CloDDCvHUfarifWYw9t2rFfEY412TrWpvXdb7SvrJ
uBQuUMxuxbFw4PlU4XY08dgzEH3QnE0QXwD86mLJ5K6Oz1x0MTrXbDV4D/B784G2+2MY7yZeJUx7
kFWRO8J/rg5DqS8VMGiSAEQn3mv9RfXWqTyNc3DHGqYnxgjxBbATq/U/XD43RtlvN/R8+SBuZysy
2aLUeZf42+UzhBHwJOJy1+iLU+/V6R+9Oly68OjcmW2rAKqbuJkgNoxHK898gPnIsaYj1o8HEjrO
gNw2kpm6PbLuDOGyprrt2mfbVRewtApae0ONlrxdufOKKORS619tACaZ/V1La6kb6tbr7usZc04I
EoG4/iiMbYnuWQmgJk7KyuB6HbJvlSkwmQcrL/t2SO/L5xg/kiwDYoQicpg1MoPB3aYkdQrk5Sva
Zjk+peA+42hMMCId+yK8JO0VWZ6qnvTiMuSPinPvZevBBYt4BJFPNlfX4EMHMISZNFp02TnKYawO
foT4xIT3POcBFfq6Nybf8O4N7ySDe1B3pbXNs8tUP6uoYsZXE/t9kMJXYVBrgb750dbDcvASQDn4
f4ppXyIwaVXovtZ2Fi9ZzduAcbIKwn94e/8g1N0WB8dzdUeF7edQOPyxx8dulEQ4q/J1rWCCyAVK
AzAgKwC0GkQZRn9BVWd7E4akUkFcVFn2/AHIlq7m8Uobx4MelXiUhiMemasToDhjQvszsPRuaxso
6UXwI+MYa+kMSo0mRzbj/Ohj6a4ylAmbNhLuyjW2Zk9YXZHgc+kK7aq4io8WK/oHkiFF0p/7NTWV
QeoRT9s1DLbtP67lhKUZx5kXA3nKajaIHAc5GeoL2oyRL8x+WoTdF8E7yHAklkNnADzEQZvEEgb6
LjYLCfjHpyFDg8H6ctsUWXRtXpVIO6qi59Dq4JJEPenk0wDuh6AMFBSLlvZPFDqzHtXBoYt7s1B2
c1ttQezzpopLbR0GjEFTdz3q70VoOhuLI9UqJc7Ixt0vOHohGic0PKMPm2grqxYH+5RllFrFrLEn
O2YrvXKrOuHTJOg8ukAeJPKq5WCQaueZh2rgjko5D6CfIvGP0Q75GoGL3iZH8tSDBmM2fEowQBl4
5tU8XSWg9RZVCoCRuNB1UfMjbWGQfVOTa1dWfUy37zl2m7tyIjTDsbk0FasJ8OJ7yqkxt2kSVVcs
np2vCAJV8qzyFgxjo0cMiJwlVX3vVrm5bDwlu2tLBIlurFlPI/mBvAdKcefo15xArHsdfuEDYyW/
BKl/AAkLNyLW74PM0u8t3X3GKJqixI6qAzQoycGQBmNnVi39ycxcAIBiuzZdKOOIV0jy63doiO09
i9Dankz3ghy4u++78aXTjEMx9c1utCC4Z3DSV1kdeitcW+fQmPPZ5zmI04hXIyfPaYA23fZkW91k
eDh+2qUetd6mrqNNkSbpOdLV59DItGswCuvAO7QIie/Ym+m21IxmF2DxARxVCfKG+GzosJHFMWpJ
BdE4A/34uxiSjpSOQL0imySENCCktpmwreupZh4Sl65IVoTfMmHujsSlAdNvA0nToW/Vgfbi8mas
E+IO2Z6jz9EdjeOY2wVwKIIJWssmFtc1a5pi6TL38ueGMysZJxj3jKLJMYN4X0GNnd1rynLN4i+q
BCVJAJ4m1WAm1gKmowj2mnikiNsg0EWDrYMGsoYIdyqtLL7M7mtdp8w0FxA+tkYbPZvqONJioNAr
xuLBkgy8nDK24SU13ga+DhmHMGqRmQ9AFNgScg/CEgkZhHJ5J8MKr46HUjDEvEae6tCiRc+9jRIX
03ouJSWtSRhAnV8EA5K/4GIO6K919oHY7F5FQLD6LNqpPPnSh4ioXBz/pPjZK6m0d5GrMSJn/6Rp
uATEgcJjBKARWGeFOShDUQF9c/K8dQfkZ6Ek347bkd4SQIYsemOdVN91lxNXaRR4Y0juiLUYfEum
/RxVqW0S2R26fC4rsoFWWYkeDgt3s4cZ1eyzQb/XM0JhRmgWd5pu5CAiDO4Nl5nNVKXheXCE60dV
yW6mW1Tyan5teJ/umIIN+yyVYpEGSv5Ylpu+7NqTJ1l+0ibilgQ/sLTj8Wswk5S4FxiFLAv7Es9d
Wk7aKm09stRGjKGl8pLr+FANYLIzChyADpsnMPpyEwTyoULItdJyv3Yoe+xyPRrxLmymaRMwjV6D
9qTV0kfbyNDhj81wnnhEeBbVGjV5g+bLwGvWdCmCAMhgyxmyRi8N06Rh3rFeawBQwJTOc3qybdk2
jSeYSOx39atMVSrj8JiU30xqwXUHwXuTC3Vb9uadAZwrNBH0T124tBvjJSh7UN9yiDbcpUQIgqTd
9O1DSmoBzf/R4M4qZ+pwhgqNj3PgY73KBhbJXtAxtxoqwKSqfE1ZI/KoUP/Mop0g8/HDE+LY0qDP
gh70B5dAnmb7KFF5m7QECw89YJMzhZ/UzWeYqTZtwpEkJZ3fAuJ8WRsVoSJ0rxeR2jTLsW4Jc+rI
2rAE8A04AnoNUgTgkiQDSEfD20Bjj23xhfXrghD/yZMgnzSntVjHqUYTm5g2J2R2o7yPkgDEoaBE
b3pBlUzvM652SXz7FybkPw06rh4wFPv4cxE9DxXIQ5zj7spx+leW7WihRTjYYkMzMI7Za12241ZJ
Bvw2DWr+PNrFYxrRdOqeKUnapTpk2NfMOFmgPix92wD/Yk3dKixraynNctz2sKIMA5mY7mQEewlr
CTL74rkJgKjSBEjBkgyzZ4dXhmVNdxzfNvXHoevfsnG0to6noB0XwW7G9qvcC6z+xU4YBOAlBYTt
vNWeAokjWZER1+aXhV/NF850Ue0A3bDDNYHO633EArtua/PkDA9KFP2YUIIGFqVjZAMVlQpHyD4z
ednzaEv2gLMEPws4uHE4OcbEKMLVkehBSHwW+RHyHRwx6m21QRzTYSpfVaEI1g6bhtcHup9JcxFl
s26KvCOkH0wdDozcwlXt1ierawiPiAXitJQ05jy1Vh0QNSx1O5mbzRrd9qYIW6JIlJY8VSntYxTT
7lWNoxkGxnKYWSrOIDrc7UaHpW4nOHiaSWgftLyc1iBInUWkuOrGNYOPRtJiCNTe2xrYAfToWyXk
6DFRODwwkg0IllT2KefFcwbq7mzbnn2HjPEucY2Fq8A1GTJX26NH1vawmbRlXiDqzKSG+8398kYz
hYuLLaT9Ql7eHoAJwSmeP6POTqYIZymmF67z1mHVXxkEgB3Juk72VhXsPalWKznapON4ykMQBPAc
SvUpSnV1xzTDOd0+pJSrp7CGkcTAQyF8uxzosUC1aPQ2P7bzh9tntw91Mj4NKtZ8A42BCXPKL8rx
J4FPUGOSRrVXbZPpd30TTr5Xu/myTlP8rWqBRrN0tmpFGEcwJjEwy/d+1o/osdB9sxhB3ZQOHOBK
V9d0dlnOxiLfRwOH31ROwR61GjYiLHw70i5XdpyWx6pxvLU1RyJDSASzm7DlHqP5Q6aKjY6p6xDl
DQqNOpQbu68TbEHVXakyZ4o8tGlhmDRnnug5SDy5RTviLZXGi5fCtKatMyrxEmfHJTM79Mal4z0W
bagcHWTqGFeI7inTz86zA7TeeGIHGlNbYscJi+D2jF3GmkUKehDdn3x3w+pCgsrKHQr9vgwL945s
jzs3DNGsq3X/oYZIP8LIQtNT9doRK2+LH5thvgF+EityciHrrn2quHZ5BkW/NzrnmvEaHFFsBivi
Tq2V10+7GG7oPi9GIvyk9YV6tt96ZTOdnZzxfquXpMELCAXkZ9R3qREsvTFMqZYy9m8r8w4i4JCJ
CrDEjYi9wGLufZpGBZJDP5FpbKLHygoq5WY6QZZu9mGkD3dMJzfOzDAAF3Fwa4fyq1euuZpP224M
XSBxwjmmzIK2SWJ8dOO7Nbn0ztOSiwRpNC+S+dAoifUAN0WQsMkWKbrunDI4e+paFFhwBNexxWw8
Hyv5iJb3Cbfw0s6yGpkqHZMOH+WaxBhG6sUqnmLvVBjNw1hP4a6gJUbZH9g4kwQjWjN+MZx+AEDv
weyQdMdGBJ1Dx6l3AL6M0nJC2qy+4EMBnBF9pIjidlMTb5XxrKAaWJIhumm53pfUYBtLlAc9c56Z
bHl+PaifWF0OmTq+wt1oVh25UGqPncXwtmownkgGC1fQbXszdv3JZeKN/rvRjXVhEvOrDNi6ehwF
bq9WQBRhfUmIrdzsSzuMjgJaKn3E+ZQktDXz5tnwOnPk7PybkTHI6lVYTxeh3UceLZQmIe/FKbFv
U2QfogSiilMeCAl8R4uG07G3/LKcLILScXlLUdGOqpvlVMYwWN9dT16CihjyIitGismKBtSonQbC
2numSn6XKRXzx4r10mx/Yi1FwzwT8WD7t+7VaMZ3R38L8Y4tQ7ej4tbji6dy4tRC51sy0DJrHeNx
mh90Qt968sjgHoxbgVNjaWgwtFvET2MkV5Er920m38BxLAQnzKWe9i8YJWG0RS15ZOy/1RizRnVX
CtRGsimqqOqyYc+F4hInJwESU84krxkQGtbqERu1/qPo2pdQHw9FUe1Ril2x+y7jgbgUMyQG264v
vJv0vAbi08lSIVpe51CxzqE8rPQhHnxCfx+7pL90ff044e1bgJf9jkVDpmTPFmyYMfYAebj9amcM
cS7lGyKwgsWkELCuFfNfhFaTm7B4p1ImrQnYRaFXP6fvyECNrSaIudva2vdU+RNmD5t0v1alscwV
LJTsYqPqAs7/HE7DGzyUVxvF4cIlZreKWBvdOaCNeipRvkn04biRf1L/nkzNfe6L/JQk+tILgmfG
VlsXnSiALT/th5I58PRkaMEbLs0f7USeTjC5K8NSvlE8whCeQrKyph+6KRC3W9emNx8Hq/K7Zo49
r5oXw0ovFaK/ZW5Fjwh/42Uu+6upwkSoCrkXQb5TKPwXSfwVOPEl0Iz7DOqMUTXlklwpyaHhB1p0
DVjvlG3tSLzGsQDliinLdwrl2yKzwzNsPPihteLQvR2K8KqmwUPvCFqf1jUx+C0oqsn4lDu75g8B
1pletL5cuTrgbEAJF0B2GWBrCBFqwmmcjgXKs+majUQwdhru1/Jo0hP2KFmyvO1RVrlohtmJzHzn
uuI8TQ8YYelw8fuqcTy7LqWa3mzVdMRx49k/ylxBqPRS9wRttbI4K6MHHSJM1k7TH9yKtCy99Z4t
Oz4rtnlvhdGT1XLNTJMJctDR90UH0jY0TvgoieU1nzvBbVgVLswuNbpDZcmwudQfC3ZvHECmXyTy
CebMRYvdYmnY7YIi46Q1BOlVevZS2RUSeMpmnX9ecqZYCM2+q1rTN7SUtmBGeROZ9ksNv9R0ESqX
eku4bXqOFZH5U1YfVB2Ab672n2i3fYhmvh0R8T4RZU6acCFX8UiPNc7f6KpjmhJXTVBaui7LxkiY
76jW4OagEiNNnzbUtiSZEi9HIT7wNID7pWXkLitUFF5uEYNnWBsvLR+zLH5iWyuxaCWL0tQfeq2m
Va46B4T6r+EgXyjnf7aaZfuB7Hn+mGyAA+76IH8eGPksYgFCmf8SpcdhPKb3DnLvpW0W6F/sEzHq
wH5EeshbEjQzyDGOqnxrZGj4oUITAzowY3DGEqgxNkGCtKEvOuQvlJtJlOcLPcoPsQWUyyPCXkwl
BMXSDxHvgxJQ8V0TwmQr0K3CTj9BIq6ZkICu1dNxw5K4GkadPg3ZlMS1kZKBxDUVQAxz9yUvgmaT
ldP19qIHRr1LRHXvWiTMd2l4FKOlMUzZcXKGtOeU4ToObfTQtbjjDGUu1XBI/TEcT6o+qUs7MS6u
NtYL/p5ko8Nd4NTPsMRSByJirH2hQmaB687spm7O45wy6RTfozA/c5amwiWPMFPAQdHsUJw3G8qZ
43VfitqCeVY/EER8WPLEVb/PJ/XRhIWD9uMjLlT0B/KSFvHZdMaDLd1Pq1C0BcYYqj9no8kR0T8E
HELYueBxUywMoq1Tk2B7o/7R4c2zkojjR4KPzAlei2nbCILCTS5oWrUcViHrTNFXq3OwRga1VLzq
BQj2dyJok3XUjCIViJngG7nE6bpF+cZtujDs+lNOPMeoL950MorVKNlXjflhC+Wn0Vb3Vo9m0ZHI
7MHjgqHG9u5V9XeurRM92iuT9yFc3n4QOw2NIm4Jo4ozHy7CVQ4tQDNaFMBKCZyTwlsOpVktakFm
XU3PbB7AhKgvVEIG0Qvi7W3y13pT0i3Q22hVd/q4oOVPSKr4QvnynGj1Po4JaZCxT0zKAbHdozNU
XGkw65f071+VntRT5cmB0IwZghMx5y/kuIW7mlT705ZsZ2k8cW4KXII7VxWxcSKjwQIYnCUvNq49
+b287nQ5vVCsLaf+iInMawa9Opu1ejf0iFGsqVqQO+FyDAlWTcAkcVi5gfnSxDzxlAas3sIBSyik
e+RmfmGxLMRMatzEuB979WHMOSCa8VPbB0QjRCHAdbSoodcYHL1yAg5xigqxKSuJx9NjfOtSeTW1
vNPG6IH+3rCWyINYANxt4F7NkUj0yMB6jfttZ3fkJkPbQ5r4XinVluCleDmNtfRth7qGNiKFyZyc
EJqctMX0aOrOkYQXFKY10wYADPegE69eVWwhye0igZ8KJQkdQcXKlpUUR5XLIcK/MYzDl83Jlp0n
fAhsppn5UPu1+QJBVT+bHHl8jZxscnJfyR0dCfcen/WOEcUcdmQGwdaWGIJdXXsK2fKXStZ/ik63
V16bJQQ7wGaxmrsBKS1tb7GVphOtMSV8F0n0gEd3N68nUsEe0yY1vZRCAdZIOKnoCrio9amu90If
o1Vnene90macr4KXIKS1CXLAd53+KQ046loC9n7vGB8hV8AyyngEk8pjrhDCbKoQDoq25XbfcxOg
KZcjfrq6fyk78UosGCbhgDQZfSg2So8W31Zwgk1UIKtSabZp059lpd4brUqCICy0ZfhaNbOHS41e
S8s9upy/mVHIR2ciGYg3LJA0C0UBCSBWYD+vk0H74TjJqqFXAa3+IQ7ganKKoJVYpWug74wu3YD+
pEsKdvLp9dXPUbpyk6jMkQPZ7nODCt4D2r7ianwPwh9m2hx70Vh+rZj4mdtNCzl+VYczMcOxGXms
6WH1vhljxXGQijuKI/YSGVeK13zRVinxxBMg/j5YdJ0RAdamNyaGejc46U8ZDESBNUYOboAs8Pxr
kuZr6m1yLKW+o9K4HnTAzgTKJ2V5VettnOSQGph52OmXE9R7K0ywB5ikQOiZR+MoT5cxNrjUEyWi
RiZUpvmtCCSVbl4HS0eMzwaI00VPY92hFlBsDCI5qWJpixzPq7xH0ltQblfjM273Oi13LvVI09e0
/x2dctPjsleZfjND9htykQmkH0T4kwCp1ZiKT8sKD0mQK8uk+MoNqPkOakqZDosKwifn5g7oCemC
qV0eTEc8dVn3c7ILsBPJU1cZ10g2cn45Q1Ca9MFG+5B10EmsgkmbE20gt1PKKfdObmh7MhY1RbyP
wsG645nwadi1Oiumgmce3Fv6LuslLW3FuCo5hNchgLbpfSocQMBDJPRXqElAP2i29jPhMLbLjYPt
EMzbcSwDdLgAK6wRFz5lq2aqyKvV34O4MY7tNK6Ri+4ys00XRRDC+62dhVWyMRBJbiFfbB9c1wXd
rd7Zhv0ltYCDhPZhDeSHYZh9IgFT+lkegU5UNA7PAwGRJG5ew6E5yMj6tJqk37RgZBZqbLz9b/bO
o8dyJL2if0WYPQdBTy5m87x36XNDZFVWBr13wV+vw5qFIAgQoL02hZ7u6a6s98gw97v3XA4TL7EP
fBmnCvXtRrPtQ0T0gtInknrcvRBP8WR405Y48C3pFADhEi3JIdaaQP33vHrbtvFPV5cwQfIe22Pk
7JtWnH2GJ4vA9Pu1KXn1FUq+ZkQAtAc2v7Hnk5DEg4JVnbXrzgnBa1fWN2jxe0X9h13nq0DLybtx
Klz4Y84rL8uFqUBfmZZxUFAgpjwIKQoxVlFPqXac1M5ialzEZR7iReTqi94e6UUzxcCItH8akuDD
4YC4xFP3UE393ZETWdhW+waUFSfP5xRlLQ9+EK6QTs+1F8zIDsy6wCBQLD3iKbUNRYI7Ot3ZAUPR
KTPXFJMe8GPpW37Y7hZDGeZRyoqzZzbVkhqvu+2BnrNJzhgDze80BC9EY9/sotMuJEVenFpnS+iZ
ARqsl6nJSSWIn+o4eM9Jti46OkQ3LF3ssGm48QiqzlOfUzN3unThzCruqW6RsLETdhWnANebU+i8
03hr1izYWlFlzP87d0PIhi95CA9WkH45dfkhp2GG4tKoXmnU+1ovuT/cSb59cj0AE5q8mFFJaBfG
mW9HXCqE8mCulbdQl2/1kC67PHGoTZreK0GOTGn6d9ei90Cu43PTkwhoAH2r5YFj1pokuH9MmvIJ
9q/cMMZZAErrDjE9Pk7XpHvXoJyTRranMqXxJyuAOGrVTU6qXLvJeI/N7CSATpVJ5zIWZgNyGjZ0
Wadq3VjBTDaONmJwo3NsxzBG0/i3LuoNaoV3ziXbgMFoKwLtj6H83lQZg52w4FsGJ91KMSccmgW0
rLWRpDk80o+MtMOGefhRJZgpKFBszKChO1vb9H5C+pJhF9S8zYi3ovXTlcuYaOXGnBPykJdQj7mx
TSqmJLa2PazZv9o8somFmWLF9SlbM4bbFoitVcl5AjSuI4aZlOe++9tIEAbLYm3difwHPrC+rwfQ
zqYRfZOyf3E6qTZKM12eU3mPugKoxqShvfQYJhBqeSgdzT1SveSwyfCOiakkMR4nuKjhTtr+j2eu
c5sxiJoYWRQwPhdSTXLteTul62fOUOme3TFZjzU5L69mu53Si9BwRQT6Lauuys245YQie1DdCFPA
XGEA4bXp9cdgaO9lMMD4NMK73w4r5RgHSNQ2S50CZSXOWAaaTQIk81aXdX0YC+0Bf/YrNupjYqfD
kQKy+cIil27Is18K9POOJrxTZCIZTWVLZsfA4tFzTVl1USAZ8dAiVkdPLk28yB1w3+hQtLgsZsMA
BUrH+yO1rxnKunI138H/V3Nah2IqU+p5+0BbT+b4bPt4kg27MM9G4sGKB+FauB6NghZtLVPDOTTT
/VVhjV+iL65R3PbXvgtWuDDVQRVXfMgRR1cOtLr11VTxj0zZE2K6BOYSxl9TPL4zvkowc891AQXS
QYpSa1NwG5bxh44ffT9jJbLW+FJYJDzYjlw1B51kDHJkVN8avsCTlZp3EUPpaDlTDaL/5bnRhdQC
1XkC1l/qBV+6JCrgjCO/mSKSPpcihL9MRRAxokBwqSljqSKECbsyVsrWmmX9x4/Hl3aIo3XkumeQ
vc+N5q0pJz35uUViuXkvgPzF9ffkukDpMwdDYvuSxONTMRYOz0/CJc1xnzTl/fJi4900q50bYuTA
MjEtsLTBu4/dFiaKOuguXj8DHx8zoOeJktIDvZgbT5teQuogS/Xw4ZVokxcB0Gv209RvDS16DkWs
Mb/8mdHXrYyaraXFTC5V8GDo24dQtFmYdlbdA8HP3LsYnbUFWgDliZoYT7ZXF0Hd1NU+oaqE6mSt
WY92XALqh4Q76MkMHMN0OEzpobWFdcSWN65ZkspFb7T9sSwNnpa/fwm/YeI1Kq7w9lIOdAnyVpO0
pPjOfRZ8yz6MIFj0zTaP6x8ArkQQIn9rSFBtusKA5rZAFfiTTmFxinP3M57qZj80pX5TDYdmPIBo
x0V0MzBL+JU5XvwJJnnQyWEbeK2xbqvsh1st1X2kFoBh9zv8KjpFWIgFgTc2J8Ue6tWh9tyyyXGR
lkcvD1771NBXQyeTpelF8tBmzPStRLv+zQgTjfzy5JDvZIhbwW/EaaiZS/Z28mqZsfF4ibIpow/O
h2NVpNWWoNGfZq6w6fT0hbAruf8ygVkbSesQyJAJsFPFH5Ch1cKfxgiWvOfhg0v85wbLisrz+p3I
OfIcEXc7BXHs6f5yMvJ25XT2tIY4Z6xsa9eL8ND6Hl9lUU0LS7fzfdbH8a6y9oycOXAMNmse5DsH
u5+XPnxnpcF1l5k4BipsaR8TO91M93ooFmaLq2IAuLQBPj+XgfIWOHat77rMfmtjY9wVPquCV+qE
Yr1Kv2kFNxJZbUhfWC8TAeOdPz4PYzWuHbblPamukqlPfVOapOdsML/Ju8H7zYD+MpQASRAL+q+F
LHc9yUWO9Wn6SlsuJpOsfS7i0t6NUnOfMYQ+FXVTbanV8A6KQwI99ARQa3DwQ2G8e3YsLizQZ28i
g+OB7+xpPCMHwU0+r37lqeIAxtBnbVvubG+sPhm0PhRpekR0mASl+1Z0jnXUO0aDTV7yqTnTBTAY
/MUIMQsAxWIW+0/xlKzK3hqOPFxovQwXlyIhK8kByhnaHudq/+pFdGgnQGxBoE7dEqfP2O8Ut7tn
hLMY/zRU2an313Emxo0p6hAoaUJ0Eix/gi1S6b32aZWo1kBX46uGy87WOcXMk2198stfGOgYy4+v
dZPApzQHyJhg/+RU9m+t5nPEbzqw8wx4V1Nj+o9Ga+96pvUfHZnCta75cttIFzoP6EPVR4/C4xbe
VyHWU73FkTUo/CHjQFkCDOe+iYm4aymNaZH1HAeBjdXOfqSlB0zI1auXvOvIoTNNWJkSq5DFt370
ouremCrfQJ/uuEtG4gSoEzEwrpamOdZXa9CylRrMH9fprdd85BYZS2A2JioXWeiFO/AuxlQFF3bX
fbqcUZFRnWcSRemLFrnlInMq/apVUUJBdPckTL++VsiNGsfta9FbnLeK7IL7Y77uqWIDQoJAPPVp
68YryeO6rBCIHdGOi7DDA97K0xi/hqOd/U46Z2NO5reiEPUziqZro3jWJ7I79yjHRjpqTQT0nai+
jf1hYjd5uGP3E2hOBLWwPLVpZO+nghhPo6f1jvolnxdzldCl807a/H2oOpMgKAsS8XjUsBoALPx2
cdSyv3Zae53ZfbPSYSkswXE6q56tawHn2DxNeNUGlI1lVefRvhy7FWBh++pUabpp+NG0rFAsLB4n
Z87Ai8guf5dzy8fP0HprFdH/kM0lEJHEKzp6vzUL15HoOF72LgY6r6uviSXMowKws8TSEawHKCyr
DCvehScKPxh/KMhp/Q161rgQR28qtAvWgQa0mSlXdSvcSy73UUQTClGMYAt5H/t2hXsKLIfcaJYG
p6XIv33L+9VmPY0yzhDumY8vksHRF6IX+obqqGYdYIhzbZRoyg7iF2GX+VrLUCH0NptIxdbBkyoA
6k/dR8340BfDCtJeuveLsV8a0LlOlFMsRc3JUNORSww72LQNtaec9/iBwkj/GAL8Azi1tnxd/lLp
6qPxSDlzf/s2RXdnvHbV/Ck7Y0tvGXX6b0Y67exiOpmmHS9RwsoLktnOiFpB5YcVcws1kRnTiYsG
nE/a2x5W1sUPRTx7R10P3d/z38vSPNjlQfpHK53iYPlRecDv8AZIrd06XvU8Jj4Vb7pL11GdfHuP
KZjy596VoGC6G2GnbJl0XrOv+j+uYkRFgmQVDGQLHQIRlpIn2wn6bW+oPxSD2Ft8GiVo5Ny/V8Pk
3ydHVJigkMpbCiG31G4QrU80/07DHBp8HnSHauaMpYT8R9caLymPGOhJqpHYr/Olg3klIPMUCCCS
vaEHb20TmIhpgTz//Z/yAl70TdZOe1ORX56NkfRZoW+71DPfnVibVmE7OGQ2TOvdTwuIivm5oQzz
bkObO9lxVyz7MV+bhbmrg5hcntnLtZ/V3lvTM7eug8AEdek5qyKDByRyWnrpqfM7LEahoqNmqpJz
1cfTMtU0g0rXsN4aapwoznwukIgWY5W6ey5Ev01PlftBL62TAHixUccw529kFZxsFivUm/JLy3t8
JwfwCVwxRHbqdGgAqZ7/+BI/jR5bdMKjenad5MRuUUvvgohrdKKZ87tX1vam83Fu+XxZpnkfquGR
2zxguoNwk4XZa9HMQzcaLKzE1bYTMRBk2xbfyqy0IGdXHYg8oaHeGfG0CyMaxrJKZ3g4462V6287
Ub0W8RUZlXIxfpKpAThHvm8YEVq8kapEL+HUKjq5s6NjOLkp/RkxfM8BQ43VdDfyqOfSDXB2YR0a
rkE2XQmCPIcpBSyBkL+r4CXNGs4S41PkuF+V4CZX6gUJzIdQ8ksGMEIawgKVqt6w7O4Gzb6nIn5L
rCBDaiteh7Zet0yXl2bivZPje9ZSvPj06/1ugbGzco+bGdDJZTDZpWZxqlz3pc8Y0GTacE/NPyq+
Kn6WsvlEuNKPgdGCnrWhxjLS+xq05EyatsAmaFCY1TffbGjfgZXjYxv9vWQOkuJJzEf0K/QHYwFD
7Ylq0cekeTsakWzgCSmVdJINU3jNMq4irJohA6F6XJgo5NwjdtXIGoUmsSrD/icutGfbSrGKuRCB
Erq5iooOqF78quZ6dsHT1Or1RUMQbxsXRZ2jcgydlON9OywrA2ItYWvU9vgJfW/RWOmr3RrnibPL
0hE4kSm4+5s4+P844TO9o//6x+8CUHetHn9kVOREAfM2atX++1//0F2iUv9bnFD+qf/H///fSUIi
gWT0COp5AoQF+T/Sb/8OEop/wmkxLN8nYOiYhu14tIrnRd2G//qHYf6TUw9UFB2Oo/D4t//xHw32
UP6Rrv8Ty5fvAuybowHC9f4vQULb1OfA2X+FSGC1WpbQXY88oWk6PjVp/z1EMtlYTbqyQK/ksdQ6
nkLZqb0nvDdrAho8wdS+OXjfiaAsiSCXlzZHHcfy8cfmrFJ4ORge29D2+KivGfzkiU1GK0HYBzUH
3pURw1ugkfkQDhjL2iK6Y2DwB3sZRh3Q9SiGoxXQJOUZ07EyOYppnLIYCQBjb0+4XrHGkH7njrhi
AoZECy/da9ZtEhyaUsUI7uGPW5TyPji8A6YfJbu8tsUlaSgPWBZCVFQFMkDRR62+xZzWiPRjHCR5
D3y14K2NKVZkwEx+m4IQhhTDeK2z+L1yg3FfIMCdcxwNhjRfiAnkRxutDNOuPawz7002mPD+OvHg
Uhwhutk7OxNgCXSOMXBad5AKN0B3SaRpKCQVenDRFa9FwaDCSMKBaz/3+/ncvIpkbi9sOAJUzJBf
UeQNgF7hG2NTszXtDwUwmECox7m1WX2jWI+ujin4KCASBRW1BrKclvjTqOfkfmTqYbLphfNUVl68
hfluc7+lmTaFFHaug9Fgmh8+I6aZf8ZUWw9w8K40YAycaLNxHZXfyWhTeZHFDeUBGWM0eMaJ8ZHq
g7aCsWMdOHKu6YpiEe67ZBNL4AQYheulXeEN87Ju4wJcYgZeP3xjeDbdvN2NirxlZNnr0vObNd+V
tRnm0vcpDa8hDJspT721QF3hcm2hL+UdfhAUD60hlB1UHPZj17oUJUBiU6351+msTf2to6As0KJM
wA1yD2pU3z1rffxsOamz8bA9r5kaMizSYfUVwFEvMf5cI1TudqjTNyVse4VDF9k8V2oNfm825I4u
tsCXxDLnh8MSKzZV/+AW4LL8zKE/oznTshZs0tTLD4CQig3kxMdgxdq88NcpHHFhLMBsL7intvvS
j9QySqGci8kaDxoCF3m0kbAbGXD0cWzCCZwFJ+k5HuuAz7ZBnQyHIVEUqGFxYZLH9h/nFqm5S5V+
CTH05zxOQFMm3SqRXv8twhSapfanAZt78alnX3WWa9JLjNxYMa8aDUTe2PvFdm+c+fSlqw5tjFUS
p55BUxf26HqkV72LrF+YeJZk9cOfIDWf8QxgMSn1ftNyOYGaljXLItRDGkHHP1IIuTNKv4M+lWL/
Y45u1nRh4N66sMetGz8TXJQoUyOZlFySLHiHRlnsZEwEPqOTRNaS2ryavhUuM5tA1vhu6mjjhn21
tcP42R245tg18LaARGFc+u25KcKcKWA9LYSKy4OQHBkQTS+mM+1m+7Ebbx0wzVnlwAFyjL0hildD
8l8vieBIWmYuftGHlwmI7zwnLeAAARCZunCrKw5M/ZwJrqedB5Lzd9Dd7BhBJO+i9cw9WI3ol0ds
ljNn54hvhpI/1+2g153rKTXXXYj4HbQ0WvoaExe75NCDc9L4LKhYP9XUNq4t6Qw8fbzhZpwrlLa5
JkfDsAOwq2GQyq5fgv7bRMNvIjrQ1qVFHbUhX1Pzt5O2Aaa/4OYizB9q1zppkSq33ajKXVaZH4nG
GM+gLnarsoLfqgtOGZKeS4bp4XHLw/6gX3y9Sz5cTGyrARhG5ra3klku0yoAseiF3kJC4FsoLCAb
k7GlPnrhIVD8LWOLEP+7MVuSdzypbRgPu7qfsP3xRyi6wVhXogyXlqNrK9enaUFh22FWPNygr4on
Xwu2tR25i3asYtzr/jlOOS1OtdjkHsNrZDpkxdDxwOK13lPoz+9t499yf3JvM2m85VVd2khZK2BJ
N0b+ycPHawY56DXCt6VZxQ27dnm/l22e3YfiINnt9kOYnbnbHpKuS+4h3lka4E1c2ByxMVG197+/
0AFcohGapKlCngHPvGZDK1e52ZubUXCAi2XoMijZYEax94MJVpdEcEGXETZKn9xg3uHkgfZx4iDH
TLulUIW5HNvE4H52k78bY/s5Z3UFKGMeSv+LxaumynMTim5cuQRm1qXVMwlI6ieNSrWFE6XAJTVn
iVnxs5T4oJw2YF7SLWJgdjuH7ibyle5KWdOzPoVPOCGAdU+jvgx8JATfxFMQOYn32uisxwg/47nm
q342iQqPbviROJ9dU+Z7Fx/AIjQSHNRDLICaxtNGTWhiutb5p9R1m51TtTq3ptrCt1iY+76zZj92
1hwNK8GDkHXpuR10Tr1BwXx6Ah6fkC925tmO17mSlHKf3DGjNNR2a81t8gZ7nSeXNAmNm2YQ63RH
+0EWY3aYmrg9oq6EIhU9+X1B7K0NPp1B1HdRj++9xKenQbui3W7VJP4PxuxoO1Qpe6qmfROhMbZh
BIwz1/1g5el2goukuxFr1p9bQ62p8oSiM1n3KHLMW6U/WgPWrGEdq8psmEHEb8PAT03T0bCtjc3Y
2/Fz67BZ2OD2fhnU98p68H/Y2A4FuYhTGvDT+1ZwCHrGynHikSfR+OzaCm84fDukqkhfuaEhFyPZ
IUS7+mAbrbONDf4KVC2v4IgaGOUXs7G0vaXKw0TOYjFYjMwNehCU8qgQrkaXdcJjUdZDrDoG3UVN
dqIYJD3XJcOgCFLFytdT6oDhONtgnTU7fk/8vuZAYtDiOjB+auq6XSHHXhklXgk34bJoyBO6TePz
3Y9o7/4htq01YQ5DVwWlbeLDitmGx/RjGEqxTmznj3DaDoXk3miBPMEmbTbj0OLn7OxqwxuVYtJo
QFZbxj4wOj6NQshVFu2tItN3pp8AyAP7XraHgi7qHZlFPBQZSbX8KffrP+CtSlxcxqs0+zNfvsWs
wrJXjn+JwiRmmTZDjCS8L6p3uY8ZLxifxwufV30FYMaaTDGIGdj+3Uon+ILhQw+jnDm8tse9PlKE
tosjzkKtb7CqltEGfZzOS3PZODgH1E9gULPp+xj61HROy/Ggy2rbSWIfuvRWsnI+y1a7Nr7Q3gc8
ZxuDk/G6sMXepl9uCaSrp2uToCcXcQwf7BEpBi+CmBQ/04Fm+88lYIWTpkPMDkiQuzwjHD0eja69
mH7TcaOrzkOK6Yv8HRYJbI9wtsya4Xtpm7c+b15G3xm2ho/7yJv9x+CPfxVESFIKsyDalR8NPdBu
9t2KGsd3kjcbyqCSBex1wBYtTttijoxZ5TbAoLZwdaGT5m92nLIvZcVvg8WDA675RPpViv6McAmD
lRqGGjQlnhKObpl08C5OMz5UszZYApeYhoorpKNbE2fFoSshWRS49SRdle1kHRnvEOHNwmibDAwz
qVMfrTrcBD517xNouUXg5YvKCbca2WLpRt420llby9JX1xHPxo4Uw4EVPCNPiJTcecOBYaADeB2J
TFZkLE2ov0vGDvXGj26h43NlpgI258C06ikrXJa0zy4TfxN2DG/jLt2iIZEYS+aQbFdcxiA/l43z
GiltXFAvjTegaHFou1+jRxBeRO2Re33FvtzSBvmh5e1nh0eZ1vT+tc0E5yqnMhg9GjR6GeoeWz6H
n9Ah/2/KTcPJZQW4FC8E/AeYRfpHPuNiLerd5TydTKlGWhVeKIAaqHLZa/l2zFpFCm46TiJ5tHqQ
b1GhsAMrIm2+r+vrPGY4Ku35+9fphc7CedHtXS4T7nupy1sivGgFa+KdNU1n9oGuUIYG9sCSc416
SMmHpqaSZG25liZfj+OOr2aVW6CrbYLXunEJdb1DlAswLlnbulZff9sYHbPWaNBjekrK6TxzLEPH
GHapN75n0F+nPolwnjdMbse5CXp+8uo6WHgu40MzwoBp9cjZbodMbnfQaiKc/WEhQ8Q4xgRZTUf4
gFoRSGKqbYwRF9PuPJQzXnE3WKvUK3aD7/O6dhxP8+hi2OWLFzXVJhtSbU76zSWKTAvC+fvTkpo1
Nx5WxmTtVOo+2mR6T4gYLqkyM5nrApeTyd7GvY/jHzU3LLe1M1wb5yCcEgK0cpdp3b+EjtUdvIHc
HR3UPxZhINryOK9lNjnVic+ifCNdUywjymY3jMctYsRZujTS8NY45hrAVrga7Yp0VgzGvfE1eyk7
rn6DxNVvZvnPYDS3QZnZrva2thdmSwZCybqrREhLMx8fjYK7zgQdKeq0XU8NZJUEEf4wUQlX9+Xn
KNJqQ3VK5cSgVD37XtCcidKOYa6WCmw0nJCQKvKFyo5OK7H9NvBBer9q1zzTctHIrjqqujzzzrZ0
bDcWqQ573yrFyK0OvvUu2up6zrrhND1ErozvMU53rGX5s61DfXBYX546s6npFM999n0dEgRhXYcE
5FKTBDILQHpCGx95uqlC02OPrOHKSCjOKQCiduCQaxEUxCaZ2MiiRrFpahHsEmAuwOT+kGPE4m22
OALHP6VvbatBiUtFE7xGY0H4N47fU36exeWLMMu3mCEZDnUKEfTK4ODUpJy0YuOoMVgNFyu3CX6s
jE/M8sblFNC04eLELlt8GHjZNoEtFgw46Rg0/DOZ8ms3x4JwEg2t71Cr3OE4h5pbdpa+pTRnb0XD
lo2kv1kOLgIPk9WysRtvGbuxzQltuko8+1puk6VNsNuXJgVGvoDTZLoaxIzIfXI6RvQCMAVbS7qs
+iA6NsqEkjdYs/hf7PWIoTXpWZohFD201Z2ENH2fYrrgvrVwt1J5hc69EEMzt4iH2THUrXrtWJiw
MtUQYEjyftlz8p2a3iLr3Dy4etBt57irarb7GZJrK8ux2A8YjpK0R5AYHGv9tyBAmqkg0krjpUHa
z9DJTcx/hBhWQsqOxRl7QtIMHrYmopXoTfIUjnETPfq6ghXqB9QjZAY9tRl9qWOEDjGZpDf8ITEg
i1TQCAO61Y2aq15K5MVuOF/hqu38FJN7bI7Hqi62XYuz27LBzGQBtcGGPwl4+dlbOoVfdVGFm0YE
QOyFt40JDhThhDc3wV+HOWPn9lLtEjkVx6iYRp7SDieQcREV7Vk6/IdNo90t23nphXHLMhluxYQu
OxDBtW3txij1+e9l/O8vyUT0tEPkJ+xSnib8v6Ag8lve8lVlAx4TIFfbMi2LQ6yvVFT98N/O8GSu
//5uf38J53fCjE0JtL5dFvO/JLoQrLmQZFW6HAdvmJgHU2FhN9yiWycyTNaVSUyBwXp5boTIVswQ
yZ+b4w6VGc1gtns44XU03hRXuKXWxe/h4H2HfmzQNRUcpDHcw/ohuH1szMq7ckT0ziHF9EQmvf7Y
6MJdJwRtN5iMe5ZrtwteMiik0IQQkfANbboGAJJWscZmUDNZyPixo0JbYqm6615ObbiCHxSykMeO
F+5GM5D7YPDfmlL7UqGJaR5r9aTTi8PbT5gClbxkOEoSjc7TRazLZjFmKlij+8NBhtMJV5AW83Lo
Ln9/4WLrLbMK8k8jlmPz5bsaMTs5vVTsQ8O8uwoDd9lkuUd+gx87HspbVnTbGhT275quyMVoJmKN
D4kYiwJy6GtyH7vdj9mzgUqeQdCSQ7o2s2STya7b8zpBUyCpdcPXW5+YhTCCCTf6yPwn0grrBKz7
tVdilxEtxp/jv7iG9uRH03vePQde+Mga6y2W/mdH5HDhMlqq61xnSxw2nlpnXOpChlUW+CzWRrz9
FMZQQxsRoHfKehGO8mFox0HILw+3x8IoYZOqUPWbUXY7lLlDn06fhH+Yuoj03syX926ZWxrQiQr7
u2aecdFcci/6qj0iXb0gmTJMBwpBIq7QlxYOPFgel7i++Zq76k9gEVG06CGCycMkWf509NxypdNu
tq6eUKIvGWOzBi9I6PRf1K3Quo7dhb4oV1EGhzNmOQD1sUaJmjPxbOgY5Lp7X+svReBybmhM/rQu
VpKazjpP35FR+tVL+nv96BJmv6ppOjoZBX6IVBgFlgRArpHFJxfmEQhv+wgghYsqSuECHANlRWov
iumlj8y1ciP+K+ySIJlaAHbRWDtrGUQnz53eHAL3BP3m8yOd3OG0SZ36Q+OBpdxWJ0DkFUubSV/m
iE/2bdyaRsVFQqt2MGhtxifhb9ev384mLaiLDtVTDpQkqfbqRR160i9HjHs3ylMuKcjLWbX3LPtF
l3BzBUpMRm3MIJEmBE0SHleYseqv2WRECy8LNjW9SqGywBUPSHSlfeh7H1RMxxyINCihScJGgvCs
axDI06tnNVW/Bqw7Pe8yN6FmqkjblRrh77UgGYOxwz5WASblqHc5F3tcorkUkX5kaSpBnsYZMWRH
MzbVgEqesm/hQIM+4+sP4kWQxKj9KcxfFPN0Sx+lOJEMzVrrS0X5ycoLhkzcpamyJzjUbaM8fFYj
H94QWKt4DtLIcA4SRkuji1ZRM/2KS0zGce8f64zKg2S8DSlVOlTUYOxDxWgVE21kUJiDw7oJwK8Q
Re1s51nVL1x4H3TYwC2Ai2CWapEgiUB1K88FQsbCNlktKEWBhYRWM5XgRSbYR07nfBp4cWVJcoHL
+cQY0TDwosbj1YyTMwz/ReIkd7TvKxNEsWh77VXjaFzgjC2VeQz8hnuOTiH92JyrgXAPCyZkiGHC
wje+hfjQgyo7FYXMlpGOwYomjn1SdG8FM9Ywo2tb9b8QV5ZjRg0IpenMB0cdaYwgDopfdMF1QW9M
ro66Ve0jFZykgVO/LCp9S6PwRlGnAIB4po6wH5e14NTuxOhplKB4pMDJ4ZYpyBF7Esemck6N4WJ1
5bYZOGJj+Th7mQ9MDcNeqtDUmgQh/pXkbQjlyQdx5HnFxWMXsF9p6TzmIrnEyrzqnHuapnwZtJLh
x0RwgzGQp2m3sA08EtLjJuTiXEzoAtPAa2l95pwy0BQc4yhrtdPDZtdokUnwcvoeTDKddZKBrYl/
mx1Dd2sOcPZbbiBkMO2Cbf2EVrTp3fYHCo+3HBH+4rLe0dGbLNTsY0PqmGfFcblS1FxNLNqlhhqq
9M9x6uWSQ8CAwWviwEvBpEovYaedo6r8sQBdydq6xWGxb6V/ClN6wOxZ4sXV13HwTwfjoyo9MvHh
zhN8fRbuxzXH+TNIgwIuiLZTXD5WnBUfnaJrcnANULW6WJRINWhKE3XtqVsvIGN96C1dihwPaKOI
KnWjmZRuaX9hSo27gFPiNLM/fL77vk/OYWVsuzXa1x0X+CLydRPvZngxLKTFotxGRU8YqHwk8FYG
4R3IX+VY9K21PbjcqOENmONeMV9cpa1PgLuMmE84V8dnfJAGQO0q5nYsIxqINxIgZZ9kC4GFoRF2
vyCXTpIQsXAYQcj72skMfYqZquCka8Wn2zv1umowinYZqz7bZ2QcugaylKWXd0l8H2jSo0v6PWae
LashWWxOKVrq3hphvdXgsSI9+k0UgYkdo8E+MjYqcE+Y1jjw+ex7lnwvPG6aLc9rGTEurMzvgTu/
xyNb5VuvJypSWLe6jH4kllxe0UD3z5ZWXDQxpdtBD85ECnWaV7u29Hb1JFESIAcm/jHtNf7w6M1g
JOYluc1dThfYRpGvjpWlZjH9j9P4/W7euiqXsX6I2pP/J1Nntty2rnXdJ2IVe4K36htLltzbN6zE
SdiAHUiwffpv0OfUf/4bleLt7TgiCSysNeeYMdtTb8JUESp48QKf7jSJDqh8qAACEgCQ4eXGg0zD
Vz+LqGjzf7AG/tWO+1rB+tlyGNtbrXnq5fCUteURtJ69ziaK+RxRXgJBaZWbxYU7/6WmeqD+vQ/c
zP3sblPnnpc2rZfJ7FeehYuQnA63nansePDwuLxY6KcTbX6L+DBLdCTVNovzB53i1EzrUe6Ld8/0
P525qKjX58M4mxcKuN1Q0BcqC6xJSdez0MffU4Oap9/n4/OIESmUnonF33yyyLSeIoqFqWO2Vk2v
mALLFREPcFYoQnIR0KrMqjOdXfr0kw0Uqd2FWC99BcPDeepaW61nmch1QwUnWvUO27pZMU+xMOX0
r3VXqo2kNA5s+RzH+bVEk9kBOqFM8R+yuvqCMY4o1ZPVKY3tCqsk2MQgBsEd5eFjQXBM+OAP9mNb
zxKfgbmpwvm9MZpfc+fbWBwI52iTb9SrTPe8ryGfGQqBgmoB+OueKkEV96wDJFB4tFF68RUSzmQR
McrxeBUUd3tslySu4IDVJrj+vJQVKm3tZufBD/CHBvSQLSNn3FbLfD+WOXDzKO23KGvcdTrR0+p6
1mNiUq3w+vMSOc6hYsoPdFLc0t6atp1m2W4C6a5ehj7yd77wwFaC1d50ukPc5PgtYc3G2tItRxRG
bqsZfg+6r3/0M4JL1Hms1Dljylhc++Iln5S4qECJaxwCFi/cGBtJcqzrAv8Gs4cOWfGqMCbmZ6Xe
123jrsfeVNu6Dj50X7xb4EN4yhy0fPgnCAz6jSHOPmc15UGBdG5dWBlUI3/a+Rj/HyppPlQTsEaD
Vt1q8vAwiJw2IHAVdaQqSTcT2jVi9ZZLO8KOSFqDM0yM0wcRHDu2hN5KbesNdvfoZiCXogman7Sr
38KUWG3S+mDbmGISBnYZ6JNuRDYXTMyl7ZjzZOOsQS7HByR+eldXDF9aFS2TT+NJNH8JI/wL72BC
UD8nK8a8m4DhBSSR/ORx+gTP4ShOUDT7Hc1pWuAjxlAEKWrMFOpIwzgXMW2ldgxoC9XsTFn7FFXU
LTH9hAhemyAeayIJrCyX7vhQvk/GsBWN5e3zI9vnvyFQeo9bd2nd0yfOUmc/UAJ7i0rd1q1B8276
I22MVajwWRliekK55LTHyG2H8VSirXgkfw4AxsRMPdEc32NP73Mv+C6y6DtEsksln9QvRJblj4xg
L9Rqn00t6fNYLkcIJrjnyHG/ZaKess47WjP1rQgBPgqCkYOuTJ8M8RRS0Idl+ivAj70GaBBwZm+N
Q54VlM7cjBebJoWGFqO7ZNf5WXoz66tU0ysZ7wAIhwWHQ/BShc6rlq9GWdsvNfglBGDlbhpi653g
IJd2pT3uR5FCd5va/Tix/fE02xsLtzyHsVOpUCE54bEu3S+3r/+muXK2kPIBD6mNb017IIzDYzZS
xYi2xf0dspekpFWSDB/AfAk+KuVXm7DCbLRAXFAxDpvCbp7DmpBjRMkIt0ax4HW+kDT0M4SdERzq
rs/6+ugNOMlr03zK4+hFBcw9hGvKNUu6uWrNVt38pEnOIEqAKnFb56bR7SkwvZ3iNBCX9yBJPg2J
5MCbRoO5axsevBiVPlodoP5y7+nmj058tRAk85eWbhiP2HgIDp2NI1D4gIMUg5Qy4srNjzYBn3hD
5gt3+L2jdtuVZW9Sr1glnVQsVHE0Z/cRfwm94OgdR+paMkdYF/WNySSegh5Pc9zPl4SO9BUvg96M
tv9sSUEpGBlnmc8YFLMifKIvR39oedf2JFMgYniMSZQ7FoZ9MUxq/hHIZdjVxp2ZBwfxAV1eobH3
Vy1Twzb2t4ETlbcJAARIWPYqx9TuMe4dLPgk+YTT3B/TZD6XQu6bMCoPETV6m9sYlqPKpA9FXVoO
kYAcXHSHSREwhS+buWfioDwc6PJRPY+nftLybJRddXCBOxMZyWdoGIp5zOzcKltZm9B2oGK1+P+Z
cGfYbMB4aOi2NqhEEIWkYmlH3QPZI06ioZ0kf6zZPFXZYpY3l9s4sYATcKqKgEOLkDUtYRu2KTq/
U6+vVxo4/2uoT8oOGNXYxELTicm3XI3yFimBc9qoHyS8PLyo1PihMu2HDBP3wUfIfVa1ZDJukrBS
aKoGhlxfGh72ppn89KImA8qRPzjoaLsUrKfobi5usW07mOopJ5gYC7d8UCTLvUQDWN10mLCdul22
M3JAi6GVxZ/pz7nOW+KlCu+mOBOdOM7vlQPOIpi9Q6kz/y/qXH6L0TnT8IIv4/rI4d8SS434GcJ5
p13y1yvEijfCTm9t0s2/wfz+ccZUfMaSqmcMrfpdxn2xhs6rNiiQoz11RLJhIG8+zWaJS6dT400G
YuU4lT4JJy7PJfrp85LeWHowLKF00P9FX6MLlR05dG+7JhqOjTcuSwE6JbBDC5poPg2kHZ2ssfpH
qExIP7Cezz8vvnVQbYEd0itedMVer3oiU1co0znTVMmw1CZ0jU2XGz1zzLNlA+SFKVab5TWb5/xM
V+f/f/nf15Tv/TLrId/9fIdGu7u3q/oSomlgUI5r6wRQhZTjYt3GCzo4lsO5BuZyLpeXKgbkV5AC
ozOTCbhjDRuRONWZrOvqbKHbwMhUUFGWfm7vaHSn3LdbTLIY3zGFHruUe9fzCrQ83rfRIBWxVXD4
+fDKMsTlW4hDvXyU8+ghebc8cz3IGAOOgVHvgOh9nzrVeI6XlzQurFNoPs9OEXJQdcPTzzuKyfDU
sh7uCCv49YOn/LlCP+9+fnbGTHvim/7336LlEmYG5Cxtutk6N8v0nFpRcu7mIT2bnK1onvceB+yO
4a/n0uJO/rZ+gxOW9MtzZoOa+3nXVOWMcr1BqKBfEErFD4NhrlJ2vdWgv0WfMYYroRIUnhmukT0F
D4VLlS06r9vblv8aAYDPE4jwWAZfzSBE784AkFO9gyKvzGxcoZKjUFyL7OHnpVgai9kIJNJm3fRS
yfTCpOcuJGmXjNIRvl4AEpKqZgSQspaDv4ntN4ID8VA5WBo4hFYECGIZRaSLnV9T31L++qLqVwMD
tL3lE9MewO3ramrWn3cprv++t2lIJy3sp9j4iAj42lulWJpSwWiffGZATAwTBnkp/mgTZ2DJhVzN
OpM7f9R3WnFMlBYsN70MvNS0+ZErDRHxM0EM8srICSeIv4Wcr54mm6cK1NZAd0mKXsWhr9cPwGpp
HLmR2BPWlzCGMfwncJMQsbAvsWj25wQP0rqUgJ0mb/49xVZO06PJL+4QY5Zo4xMNiO5BM6nej230
PgsFPhCSY5yKf3FlO8c2NtaVBlg2Y2qMkjpn2mU2e9ciZjFgH/4EvH+WloxfetMZL2NCx6rDQIfJ
uSr5D7gH09Ghu+2m2PgK9TF1v8Mh894Cr60uQaBdTglliyoGN5WvZLItILpxvrYIrdDF8KHB7snB
UC9Z7/vXrraRPtpu/1GF2QzNrJA47lbV8p1tG+9mrye7PaZgM/0q+pt1CUlKVvepc8SejujQMFTj
o5vgsphj/Cx0J/doQOxHiXmUGZmBTsbxiQQdjRsKTBqUc/WryXyaUJDb6Tvb6NPGz5Th+C7L4/bU
oMbZhmnACL+3393oDaaD/TtVVOXpAHKZUNwnm0CFk/ALDrY2XIucSvohono7iMwFJ5A12baQonps
c3KOTK26b3f+sBv/LRGB+5YVi2m1+HCADrFqeRQOmOestltiQ5sMvRX4V2IcKca06JEHIO6Pf7ct
IC+ihHhaUMKvKstyjhi4c8yoicHynwpIKEAZgdRO6tJ05kgiM8upiSj3bWT7tKjLJ7PaTrP5L+7S
/uZkhnWucl9smhxZUjykXzkxXWL4LXVNj0TmMePaObnp0WYQ1FjhHdETGBsRnBvSlJ7nftz4w6K5
GPnk53lT+VnDfEmcg1gzshb1wagJkGAwgODNARnXVWRH15YWO+gyNjnBpQcxqdC/8zDdeNlcfQ4K
AylPgHVEnISto8V4NDbg5EXW/fbHnHthxGE0NSEuJs3Vm6YWsoFt13CCBfHBkT3tcUbu6HMO65lO
yX1IzCNbSPWamXF6hleiN4Hqiq+us15F1NxTf8qPcWfsXb/ghmvLX0PyjslFo/mZ7Z+RPBvi8mcn
kPStvJ9Xeqr6xF6hOOnGHy7Az6hlA8rVOJx+XgpFZkIcFvvCkDa9fGie8v+9+/la1/QffTITh6zH
VyYp4cUYaQlwGwMMKSO8Mbz8fP3nXe+WMGeLoYW9ADSO4F0iyJZvCTOrvLjpSU5O9sDhcy3nKcK6
rdp1OIj4EsHop+nMfZqMu8qq6NfmyXby4/Y6dSLczLT/EPfl58hT7ilxmcvapgGrokZ05XiuSR02
Fle0ZMU1H4Byh+lT32eYTpYvY5EsrpAWGKrqER2eHjm3cm77+TqG5/9+h1zeYZAELdjdpFeDn6jb
9PrzMhcpCiyTsHrWbUq6jHMzaEeFQyysmveKRPGrh7nlOnTVf99hOvY3tRV2a5F8SJXczcAcqJG8
/tAK+9qbkBk6SuZdkvBIaNvYy5pI0kbn8X5OlQEuzYN6zrySDHLaI/8Yn7hHZXU30Kp7RBMWZiHv
SjN0gpMDs92x+zu1VnTT5rTvCihkGLidMzZz8AS9jerBM0lQscCCYKQhQVdm2bVYJmKRe9M0Bd2+
gcwVMpG2J3d40RacAuGYd7MKx+fauNWV9RUxlQ7r2Dp2zJJRFT+juxXbIatgm+bjwR/m8RoZw5lu
5hcUkXJb9RzLqAusl3xo3Ls32RtnwQoaSRYfK1LXHksbynaT3YzGfyr8tj6VxMWRvoqIdWyYOOG8
Sra5BDAPbiJ78cAbnC0/ZD5FtxdG4VBuYgHZhQjRvm/hNS5mp7qoz3EW/eO40BzjmccnTIAi1S5o
W6A5OUDrmu1XLAixqAtohjNL7LpiHRsjJyfDfa/Ry2/8NpuvaWT6R7cxXc7p2Y6uMjpbNdJyKOV0
TR00RdKefnnasu5mooAOWPYDATQU4pbxKyzHKz+7u3emQ1+ksO/UHmIr0ZGhK6SJT+wKcl8Djmyj
mrcu9dGAxWpD7p7cOT3+BQyJONX/wRNC50f/8VW2stwOQTBeytLrGWUwDXTxFRlSPWc6/UoNeIEh
8F1kBwVEkoi8yKn/2ysaStIb5bno3QkWSSpxQag1s3Xn1LeqvPc1OKaKuv7UtJmzaWn5/ATwnUis
UB8h6lRZu/qN/EINPLB9lbO5t7z6XCfoQBBONDhi1fjsgSLpxmEbNla3ZXpu3/NGd8fUoZCymALt
k6T9Z6jucyJYgifXqbZxDjWpZzRJqKy5r1qa9+1YP9hVIa+WwwxzCrvjoIMWfJZut8XC+CrgIpPM
4I9bfNT31hvqkzfgUANVwxTSy55H4WT7ooOLQaQAGIoOmJBQtcvUnSgZlNrulTHYdM3fIctuxWAn
ZxQPEOTSbWNC+bHq5xbq/wWipXkdrN4/RPb89fOnTNYO8hPzVwG7+9ot39B7Jik3VtEwx+NrqCfs
h6WBldWjPgxTiUpurTt87npEGzMhOO67N3cRWU+SNZyhWMgIV9RgFB0ShigHPr2csJ1ANP0m6iCm
iWJi9sMvBA7tD8l1zKCnEJtKcahw7bGUd6QFAHbcakiWp7hsLnkB6I0aSF/9MdA8mJzdSQpsozo6
pnY5PULe5Qzr0SfKHfjfFZgO7uguPo6j/2FRl/p0v/Gm1GdqQ+ru1FTXwKnVtSDreucn4Sssra0f
MQqIK/+lbfs9IuRiMzK8rKy2vFUt03qKI39vknB8DeZac2qiF4rt5OwUhPGqmtM5fPK0H/+KmZlx
J/33cHA3RkZPOrG87CHylvyKAf3VTEexqzwf38iccViWcBu5V1ctueHbPkd7OKLfXLlFk1+9aNkK
vcKCLUhDwPUn0pZw4M69ev9sRj+55h2WxSwuw1ukhxczpVlgj6ohzpAF1zc8nrwO7s6oieLrTBmC
NhsoAKX5LuqXIq3VG0YPv5GPWWn+HYx8fB+Fyg+OAQ1bBMZuqof+3RcIQZECuycO1wpl7DyQVgsx
pAzmJ6MsnCduGmwz3vjQgZpmVeuKU008xKZNGfbUkDzZAfxuzRrLdDzC4OMYk3Obu+ANDzlY+7J8
jV13etRd9Qcv1/jGM8gPN/d+3wS4lqR4r4UguakVyYVmU8V+0cLFT9Zaaf0e0hG5mCOaqrAzk5fB
n3emkxQ7qFXt3oib7MPI6HgLxDfWOBJKjVL1mTTKfYfnZNtOwqPpTHNTp4iusiGzTpYJA2fALU0A
XDGfmi7JP2i9E69EizcfXEEeCBHt/YCe37NE/iEHfEJiZlYQJktWQt0I1J/mZ+Y6za1sIu95GG10
+9NG+bF6TRT7XZckZ+Ha8AAwD1Pyt8UZn/65TTVTADfLLpikkskE/mftf65NAac67PnLCze3qPYq
7xyTWbuWUTdsKPaINKUVthlThqkFkCxcvVAnLcPat2PT35WqnwkdS18mj4aTEN0hKG1jY7Rcmqgp
ugfUAv9EhD2mXK5WmEbFkwPcPQ5LYGlsBw9t3/qHpJZkKAAg8P1ZwhsuxapfZvaTQPmMcfO9t19m
rEIfiT14CBX7c6eArMVN6Lz7AVs5Hz8UVYH8vZ2Gj2JWa9cQ0WsLJ2/vJNkfvH7L2ZcISMYq1pbj
TrSf58A5ubqBXZ+az95UkRczTv5WWH7JsWhFEujrLByDXz0TaJSjcgsm9M1XcABHi9jI5cSw7vGq
Pfz85MQ+2YVAudiguAuJDVuuJdrdwNdbu6MXFwSi3hHz2uyFzeMWI6AqmjejiPM7GC3/kBcoDyGW
XizNUw0zLz/aLCh44exdbXTJNuu76qOTs7eqZLseQQhsLfh99PqjT1lXw832vmNr9B6Vm31YTJcv
JiMR3L/wLhKLb6wN1gHYf9F+cib1AZ7kZipXoLXVu35mku20xtdQO9ZHPde47D1vhzlJ7+O0zz88
hqdtQE4qBOw7JyLyzoKhOBSB+CLjvsSRcZ/t7m9exZisgOBtPSv8Bnb/mebCP6Qy/Tcawy1g0PDU
Vcsv29u/3KaJL4AbQNzJdNiRZV/ul6L3g7PTa97wDGrU2EGKaZz4nVeiNMaP0OOazF3+EsGDhwHh
4Vyyncc2U+5T4PWXpnT1WdsZPlJ+66b/1bFvb6eEW6EV5ks8Y/ivphGOOYvOtNz2olL1jcTc75/0
eNTIvQkU0XOJVkmh4nykegTjQeTKjNhuX7ghBHALKG6dOe1HUvczdsPBoDsYrQI1e3x4TN/Byb5U
IQc/N6U0tdh/Gdvx62ee91cQDAGuBImKGbCKp50arpKb1lbGvQ96+7GMQvcyuBKEuckCMPiy3TUc
hDfgUyPypG1r53qEltCToNO+ZMkl4ZnmVwfF1mUVGOJXZzLrdRJn/QPClWIfRoZJNYqc1x+M9yYu
AUkmiDBnk/veYOrMVKZ+aAMAQtPy22H5MR6rxBYwP/MbZsenbKytjxj1/p4KBT2yG5gfyGNfWexR
tnBGPsAyrxan5xsYovGjqRyxy5rkRkM9QaQ62R9Rkj9HFfkyP1tIEbEJJH31xyowKzKKwxeFkmrN
5sBu1aNnpp/N7Kd0uJcAt5tkz2woFOL9pDUqOTZRjkU5Hpp6+vBmxvCmMJrjZGKEzBRPzzi6Gzpm
6tXTBehZTpSrktb2B0jPBTMcsKPbMzRB2823MoFVlqbTm0WSwLlvFFkImqgjeivPY/nXbTiGWEny
1XoBko7lH0PomcLXTTrjldNnc/QqDkh4IH5+HQlsCTkb1ILEe1CE1bw67W9WMdoa7kdlBNkR8fW8
KZExUrJ9TqSg0QC+kBcd34usuXkyVOcxE59z+JzX+D29lANRTfNii8HWO2Sm9xiURFX7ln7Wrt0+
zNpFdtDINxo0w6vR0zePiVcePXSqXFH/Hs79vMrC+oVwwPyNnsLGrqrpy0nUoiYso4dpF0qwj7WH
e8ImWP0jm5nfjFly6MWcHOdI3EjEHE9m0XynXVyC5phR/Bl/tcT06Ul2uhGVQuVb416/CYp5GrBA
imtu6aOI4kX8VmwaK1cfkRE90xNr/iFMZJSEolNkRfQ8475ZyTEoXnPyUznrDsnVb+3p2Dg8nDPx
MkrOlJED6QBmamLMaAxS6DJioPJkr0H3vDRB/yx8J/gn5FcT2DxAsw6fuzx/XkBpO+myFtkFPX5A
VWgKLBDPIme8y+CaSV0qEBGBA5P9UK/TIFH7vKvrO+dXcsbxSN6FCN8Sld86UxT/vJm+jArK34FB
jKAZkgGv0jY9OjWDGp9R6QUodngIOEZiS3H3Us/B4xD3/lqp5qSCKXuxg+bJdh1kIF7+TA2MUK6r
vquF4zUU1kUwmryndd5tKjubHjuEFcx/eoxgQXyisy8vA1lu21Yb/maylkTIjLzOMu7lF87FG14L
0PqMBvUES3fVWC3F/Z0VYPy0HKDBgz/Gz25j+AD6RXepBy5Ut5Bz6aH7rAOxexG1G+BG0P0T6ehc
y5DNQ0UCk+EAg7N225KhBSI+TtGGgHKB6usPnfb+r9eYf22hICQLXWwwL7zOqhhOE8GMe3R1xUm7
RXFZYKtbeKPhM7MDB+lcm5wAkphMt3AOaJs5N//3HLfLv6NT8OSM5JeCpotaSzbsR655NPPK2wxG
q5GcQ8rwRss6KY+yMpko61RRuTvAXSO7E3APm2yCj2CWvxwP+PZgj/mhYFkCk0hTadvYuLr+8+dS
DcQvjgSLSgrVi1l18Zk+8J7lnj9NAVHgPLEpSargUaSTpVdpRTe1yciVO5b9HB9GN/3DUx5efl64
j6LLgLV2K3C4c1ydmYjrELlUMhmXEjD+ZexTkPV9OhMvilsi0MEldwc8q5OdBZRu2XEgcOnUsgjz
bQ11vQH3yLVc8wH720opKWbWTHy72tKLrZrf+z9fzKwXSd/2wbLdDOeBYPiaE5MTsl1tIGmXHPBY
WRIjadcdkNb//HuY8qfXrsjTS9+9AlDAGWgkBvl2dCp6ky6T1Uofh2iCEAsdQX61iowjjY8StG+I
gosluxYaSRRCS+75z7t84IPpYv3PZWgLZ99sEGcZ8vqfH7+8i1pcTlFoXlChWDuYSDiUCeuiN1T9
96VM+cSLhg1Ym/Yn0rN4C3V/BBlZvLZctV2XJuo0oyQjZtMD2j/njLA6H6lFSwi9W3uU8E12yiqN
5ERbj+R5zbuBU9EJjk75nxc8nxP+x8lfzyNhgTU2OyujhOIcyDEyRUdOG8thNmggUqYtc/p5sQbn
zRWK+PTlS+6ErYH7Br+t0JhASWmpaiM+21m0d0iZ27udUAcSobZZ7ihzK3rjFoON3zG6Hk6+B/qp
DorjeHUU2RMjSIGVJ7I/bplk+FDIxcTiDgsUn3uEEOxHLC/EDlrUdYSYh16r6Da58hkZ0bNjQEme
ECWsemdUPJ283m93iGNfWl/tSgbqDJmxv7QCOCVlswPgzHst9PjHE1O3dlNcklnBMSHmYg/KWE9c
uxPhXX9yn+YiavQGY+weudHWrnFYY32zDxnNY5YmdQrbGJx1ElMPqJhyw3RWFj5HmSTqaJUZXu3a
kJtiCXbjkwo2NVfFLsddbCi90FmPBR9GZEe4dWxCoErCF7dti0rGtIry9POumnDnoHtcrjxDZjeR
4brzx51RinkXD9kd5aU6CTAeu16Iezs0ONRRvONl9w88v+Bk++KIsl0v6AfXQnMVkqI7W+CqDYR/
awbAGEWXy9+mBtzDkVSkxkUuVaZ0tAyGi6zo02lM0hpLEHEddBzOJCFmOzuYX3+u09AGu7aPor0O
5K10MyAITIUB7PoHx1lym+3011hhBO7vU2BkJz1u64AcCdMl5tF14nOsI2i+kLUQJ2EmzuIiOrB4
LEbFAA2G9i3aV16bvoyx5azJKGsOraak8gzLBkRluoe4ZRXn/s1wQXs+p+HZvYRo3GYzI6XEHbdD
6NrQGxhoQkycuCATbgYepFw8TXQxtlKE0B7Uwqx0OLhFKPTqkrzSpdP+804ZFgPdPtpngdZbzNp/
6dLDmVYTZyqxUnHAyYKfjIWP/GmvQgf58/8B6FCraCyszejzbOQJVb4FmHsMapqBaXRsghHBQ40j
A/1tH9tYxZ35WAbdf67vGKNfy1L9mlu2Otne+EHgRL5rpF7XBDVutehehqh+lpLBtVsPUBZjTf+6
GOU2KLdlqF+NwudQZjZv/tiiyh+qHXcJbjCHATvxeURZ5vCiODfqNSiLfN85xp3mbPXQSQd9vs3E
jHkgKaZpU98Rp53lWJm4wqBX5HlKsmAMPs4Li03uo4Xi4aZ44cinQlT7Zi43dtsCKSh9QB7KeHGy
/hk3t7k1pfOYpQeKGCw6E2VWztbLfeKthkgGl9iIH22Ia1uRRDFZscAbPDsoyElEvMAhQq6GwdEH
w2A3NClZWfKCs2nmYFq6+NHL60uJh+PE7b3NQh7WalMS1Sui/FIXtO/I+gHf7bDCYU3iHNMS4lAh
SAIvmfdtflgUEg5nUs5fxDJU3nhuGg5nDtyq/MslocmJsWyLwn1i8yLcDHzBugPhiySF0CavwqQ8
FN5p8q1wNZjuyFg6dc9jce56Sx98y31FDnzt0kFusdJggfG7LaqUfl0E+UA4HUphYNP0hk1C04Lw
24JKI2Wv/g7z8EL+T7cJXCVPkvxOukeIohS4DAILUWUNDpqmyLT1YfkrPM752NX9+Oi5NXHLGVoT
rtNnM/waURyw3aEBCOL8SSKAwsNwsTnU7VvvtZmJu5RqHznBdxZDLyErEUVGZ2d7encNwhouop4/
s47k3s6cObVWfXn638ss2KZmP2WikWCNSZ3ynrfu3hi94RAxW3b95pcdF9UWVQNW7gqmzNqh6bnW
PcsRpji5GQigXnbhaaeD4hlxEc+Xd2fIPG283q2R+bAnEgYarAKHFS3zomLN8XRc9041IMxZkV5j
nCiKk4NmSa1b/lQuL8oSxyxu1F40j6EfYLMU/OOCzNEbkdU9N1JHEdpm+6YNj0WXGoR1F1y8CS+7
dEt01uhRJ/Ry+LSDPbOsmKa2/T1Ow7DVsUoW0bbJsIS4sqoL+jNSc9+b6jMluL8Wvg3de/l5aINz
7mNIHkO2mO5KWCacffQ5n8Ehs7ASnbbcN0UID1xqFn8CbSD8te6fkNRh4gXtV1KXv3VHA4vu8edM
2btjdnnvlGPtRYZOKxhZ1grceD8/yV7Cm9pRkdacBy+EcmIwTNL2IQ8LBPGhjneDpLWrQv8e+cg3
g0y/ggzG4owdg6PaSBpkSEpESw8g8/SwzerZP7RyOAYCo7DXoz2eJ+qAFQfe6OxjkhoyO8UgY3wP
UUXPoJledIlSjgwqc1WFySttLqYyy0tcknGWyeDFdNpsG3kzqUDmiyjS9pRU3xG63h3CHhyXixM7
tafp/POimCRwMShCdQ77yYcMXumvoYjsXVt6n5XuXxl4lfs+JsE06MxjmeHzK0I9ni2zCU8DepZU
IK9BFn8muGarMmAAgZmg3qaBcJwMRGuOHM9lPSLqnNqT3WJFciUYDVxr4NYcA0A7ftOIBM4WUWif
YydO4ltOrJcxvgmYPL6pxMEwobPkoiYRfDTKla0otRsr8BAFkncRz/6emmc4jZw7EguvBv/yd1TJ
aIOYl64HZHTcnOYjBAp1rKYUdVfCLKdcsiUcjYyz43xcVDS3Qx8XqVk92kMxcm0pLemP/StsSXOm
dWk/VBxua6sVDzY9gPMcTMnGD43LPBMLGNovMkDOJTPhoQdxmse6JOSONPRMWR9zz3mIQJ/kTcRC
UrKyTPVmD1sWDR7WeA8pB9SLDeom8PbDQ93O1n5Gb5X4xbDqJEZOX4svv2vk2Up8Pi25pKSbZHiV
+JJThV+gzr9NPtDdNI7PEBrgDkXi7ufDH9tgG2kMjzSgRD6UVf1rGuzwFI/95zfcj2zdxfUMCsq2
MAcQ8oC2gGSe8DznnrG3CvmHoynbLmkNvYRdCJPgRk/ms7Db5hDHf4UiTSk3smTfkHvhseBxy3Mb
ZBZpN4NICJn3G7rn1qgeSZ8l1cD/dH2QNCTfeYchMMnu6Gk055H90hVBekw1zJQhVo9z/s+BHnJA
H/pnxrb+AJF1WtXodrdT+M8AUrrvJ7dZWYY3EX3O4HJArxZuNRUUgNWAjaFmUiFzBipSPCIBqE40
swxU07R46vTCBky/AQnLVhJ7c5a1jUCH7ezc9F/kErGqTj3CYr9C8W+SDlA5mKnzRoaHKLSHXa1u
g/sGDBVicIlibPTdXcGVH7wg27h9cZVNjLo4x+qQwW+X9W83xfPdVrk45gkiykL8iTRpl7g/EMj4
uRq2fYmJlNUNZwEGowJDwTbmuEoHZ3G3+dJbNSa2CaP+P8rObDluJNuyv9If0CgD4AAcbtZ2H2Ke
gxEkJVEvMFGiMM8zvr4XgmmVlVVtefu+wEhKJIMIwOHnnL3XBrkhPEBiQ0Gp1pFJGuK0HkegDk6X
nv20xa0QuHCyRvtZCMLMfcF72wQ5hjChvAsCFH2RJOaLI7vmpQesSVQ5rSkjaAgk6NBf1NW+SRwE
cFX6FHf6z6TJ2102L9t+yGrdNh+KRgqQVXC3drSCLQBVVCrsYimPFU/8ygJFEqxmfKFAOLcQlC8U
LkvdxXnuq+oVEEA9+/HzRVJ75rPsw5VWdc7KxjmyHvUB8jmbCUyF/qa2q1+lbeVbuh0rbYgIuR4a
gQhU3/plk7AbNh1iPbOffmiC+MeEuZyiDqyyq4Nez/IzVoL4DMSLdg0vLmgmsXbJk8CnpYB9BC4Z
bnHyEZL6cARY/dMCvwqtpT5h3aUHI9S61qZju7Nr64OWfLQwW/ryjIjyiQZ97GMWr0Me7S6nGIwb
HdU0UUt7dnHo9cvQE79h5gbmmbHb1iW6GAhNNpYQWBbWhGs3tK6d/zEMQ3Hl3PKrcQI0RgSNmgVN
a407NxNNIyvdYKqteKA1qzEFbAohSqyGwr31ofaTxDvu4AizuOUpbxlE9UWrQnvZ1Mbr2NQd75RT
oLnQkfWzeQ20/Lnput9W1x6QOC1Kb0a9dhAqSt9YdWx0q0Ah4BhFedNS72wGBgGdZJijyPKXtOW8
zQTCf4zckg0MUWShY1HHjtt4CLuFVxJ6QHA5M0pwUCt/dpM0zMw2eh/chIY12MoumdkcO6aji47o
07WtqtvoplyVEbYF1w+Yh/s+jE8vP1tRg0qbm30pPR0kG8gGLCT2rcaDvmsc+7e0yKZKQzSOvQqW
tYdXsnsrMiFXSGy2GKXdbcvQBfzQitcJmCPDfOIyHNuOaf+hiBM4E2Xx6pdC2/lZ9q3J40sxNkAb
BLaqDrNgxGW5aqVHj1+KBYNy+LBGzqTfmlaUhghYqmKP/Go5VAa46zzLscD2YIop26rG+U326Snq
QlTfzu8OU+E1NOBqBCLetVNx6RtH37k1e8VpfGNTAiqP8FXKTWKQEQtkmoCbxmhxDvdeSkTKy9rq
UX5RW6ep1rCWoLAcgxo3DqO1tVvQSBzokS6mwTFW2CJys+AZiQUzBknV2hoRwH64Yg0mwVsOOnPL
qeYexhIRY27GOvw1DOsfxLjYXHxsm9IJpECVpS+QOiAr+ghbiedL9YyIrxRRWaDw7Wc+e5QoWnG1
fRsjiIAqujNGJifOlzAPUyxngxwINYzEMndhEpJak7vHuKq/2JW/S2k+rcj36TexTngFM7SrS9ng
yn7f0apduBmTp67X5mn1LVXu9ziYvktTRyQ65SZSlYjbb4q4Ula9X1CGWy3gmdIBPFM+a5AYNrSI
86U3tqu+bK5TOeR4IpAElNy9sPU6sOEd2yxNhcbShPVwYAY/L0g+WnwcSzmJITuy7/JDpUlGCDin
VomZj0h47GSbNoG9/bN5hKnrWwChBccH22SPMh6bQa8fqsz+COjA4M3HjmHpLZ0Cc7phx9NIXvGv
2VRw62GtowMD5kQGCvnrpHXsAstnYqpXzqSKY1NBp20gMr9Js+X50oYfsnWRwOH9tcgHyJLBOLhp
8mGIYidyzDIJzqiVxLwdj229FlWNstN1f6Nq8i6oKFjAwy78XgiNBx4ZZGr6ohL/W2uTg9PIfd/Z
482Lbyym3Gjv+lAa58ha5Glh75C94IWbF4QRiPDSCoi6o9fEZkiVxd3fNADl+kK9KTTPXwqWGTy/
zcJue+uO7+EnxZu34N+CY1HrBt1Nnv8tpqRr6iY/DCd/ISQIDg7pLbjfK3KHpnajdyU2CKUZ1zG3
Xhg5vheV+qZSGKD4FanqvEAlpBh70TZutfvUNzhvAorl0fbXI87mBdHsNZLrYh8/PG6KOa9O+3dF
5Ea843QiyHEK9tNAaqTVXwldwaqn+yRFV/52zn2D9ctimr4ZcfQ0pBkNFH1PQ6A+R66HGCsRwbY0
7fSb6yNmZZsfC1w0oe7gC1NPQa79Zta9UzEhA4XD7dy10ZNq5+q5sUj4zfmPvoGlKzSVsdTc/eRO
4G9wH9s9J1pii4HGgMQHR9VcBCmsD1V7xHHTbOE88GCqtmMxAXTikmoGhXSrF68Ne4QmIlTb1YGg
GGH8FRHGcIeGSKulh/PgB94uUbXJE6Kiv1Fr5UofZs4Ono9cJjROfUI9Za+MfU2IOX6fKqWKS8oV
JdW6TgRPGd1LdlmHgaRj761TdiztHDp8LioCGNtNCxWcEdLJL+P0gCi9nrxrY/YF0xFiEYq4g9SO
a/sikuGNfbK1SNGigfPXb4PP7D5Io20dG7Aee0xK85Uc1zh9woLnfEV+jQWcQzR3n6YWr5P1M4mV
tabbt+uEgYSIaFid1o4Gkr2P977R3ny25IuWUMIRcTjWOPnd9H6WDgVYJ4FwCUz8QSOZrc+Lo4E5
aWC+tAb5eDXi6degF8OqxCIX6BO3eZr/rmHJGckMy0DT7o8I9uyQvhAjKw+nTEZ9B5EwF9PGDOST
URUDMSvdQSAOzxv1WzgMcu1bOFp3m/7Hyu3Au03Zu97gjJenKvhoQiS/ZKNP26r1g33j5vfWl/zZ
We2gR4iz3YMroYAbGDrCKq3Yg1pYEXbaESEqiz1agF+Fjw2O9/KC5s5G6edHLy6xqdhEtWBV5nVw
Eeira1+ZX3W02psxRFvdxsp+ysF34knk9tb6Ojt6LX6AKb+L0bbeJ91FWo77/poUY3xEs6bAhfTF
2hQGm8QEk07VezsvZPM2JWjBMn6lEll5zZg9Gq2u73JfrRDuWRuGylBuxF2HUZQ3+TOycaaRVXLD
6n0a6OsJ3mEiH3jNER1ThMr5ksvcBlAGke3ZxiLosY/QVfVsejS80tFFfjvbt2ZZdVTTT0FM5lhz
E7l/xaaKnlMzf+jrsDFfLTWwThJTRSTQoWdsvibI/ehYyX2TZyRwO7RKfAu9Tjy1bJAHvOO4tmkF
l18mx6XjUtvcFtgVKNvoTXtz3uP8Ajts8RuZnpMpfIrsTvLHTDTpAKRu8qFivGBNRI7Vw0npmkIM
bdDnS1pn79rxOWYouyyccGTDGRinoimXSWqVO3+sjzpBIbKgppAOxJeuy2EwhxNUxCIYF3kR0eYa
aTdABqTzEbrWzsX4vPC1HhmARavDh+PU+OchNt7qooQaxfjTla/oZantCryT4btvVPhqJAqYJKze
R/e5N9LvMrF/00Vlm2uPh9Bgu5PY8XfPwGJomZvYNHiei1lxMxe7vTclK673rRUSAJfX70HRHlLt
uWSLScd6GHdOLb+jzT/6Kml453xuuJE1DtU8um5ArkFhtWvcrs0+tMw3s0ivVoWDHlfdmkYFCX4l
ZUziRq9uEJwgt+1dOdxTWRy+txpJgH7UD1y6LKi1gYZNlYQG00rokVrcha+YE07lJkbavvCFd67Y
Ha49IrfWnkVEVlCpS93YDn4hpL90/IK1PaYYYnhm+CYpg6xlqihARvsQDwnh4Y4udp7Vb8lZYdht
y1vc/8oVuxXUdTRA8so/DtmYblpH/8XTMKK7pqo1EKhqqyeFuZwBXqsU7jchBPr75Dg1/dVK29Lv
hXWFrojlhvyNMMaP0GfaSZdWvNJbTggDWJj9o7v1DSouqdCP6nEEm0oNRykiugGEQQS+F6+aFmJP
NPbM06+pqL+DmIR8xtbwWHFbLeq+fq6ZylTIBdd5YKdsi7pN1WGlqbGUQnxDtBI2cDGyY2ifTO/m
2fW3ySbAS2apOlr+G71Qprlsm/NU+UfZ1D/dplujLS72w1i2GzIgeZanUm++esQE1FDP8maYa2+A
vkYJ1kHGyOpYO6YM7KiudPNuBtaXXid1pqMJapnVa9LX/T7rw12Z99eqtb65aZnvjNywl+Xk7SLD
IFdbEWmHs0xa47CKYOMkPsS7uEIXSicwTb16jwgAa4cd5Tu76iwSb7R9PzI1a7LxHDTDgQnYoszl
Xo+BI1bapg9pYQtFXGwjKvrYOsD/yMO0BFeBW9bcY1Ckz00ZoTeFfTMAZ1j2FjowwLe4Y+bRey8m
1uBNJNsz269v/fCz6njoFkkybf2+h/LSbHRQKEskGA46bOs4oTBAxljsHLzjToTzyLdNXPFhBkqw
bC5DQOptlscNtQRYRcxXIWKGKZ5erG7rMcnaIMd75/oyFyqKf5d0ZEHZek+J5uCTw6HKOfQipqDf
2yYtrhBxw4WR1ev/eUTBV6Rexcev8Mf/mZMNfubFSK5h0PzXXz+tPz/3P/LVj+bHXz5ZP8j/t/aj
Gu8fdZvwrfygP/7n/+8//pEf8N9GC8i/jRbIq/bD//HXcAG+4zNcQBj/0B1XOK4yDGkJwyFB4DNc
wPqHNG2SE2FN8gg0dcP8Z7aANP5h8A06iQSmaTm64pvqz2wBW/4DnJMrpSUNxXPO/B9lCyAg/ku0
gKMAUvCLdBt6Aq9EKuev0QKyBSLt5TQpUtV9d3gwixWoBItYsKLursjoqttQVWSO+PT744buIAby
jTv3wAOu8P3gTFe9ysSrM9KbdMuyPaIHJ7Zz/nRKhnqdFSOy3X6sbnXJhDgeB3JfLftJlNbwpJzs
YpkTQWEeyZwheOkNQUrfzLi2Dgx0kMmGxikwOthVVTM9uTVzrT4r2/3ju109VMuMhPMvAoMCJhta
ER45txb16xEoXrR3saluw7R6cVyeO6NZ67ums1g0U0K+17oR1TfXY8pJQbbwQ5wUoaUHzzT8gNgV
jIN5tD+HyMtpb8XeyrDAQwTRlP6s8KJ7XdF+TcSPAh/g2YXuc8r1AVtV9B6iObkw0Qbp6TrsgR/y
BzXdh8pHD5Vap76w9Wc0nScX0UHhTf75cdBa/yCinpeHCSpz2tceXU9juBPPORBPG8fKSb5WozxP
tj2PxxhBDMWbRRuwbKBmVUzX2a0UO2zqpCLN74MlB7l3DZqsjRquVd5XF+Wp9gie63c20T0gh8hb
wRetIHOYS9FV8dorquDZLzPSnnFFFh00gszIAci1d5NLczcVUb+uaIvhumWOaZqm9lQSebmJ+tI8
tYM0963vBvtcA934L7fW02fmxf/K2vQpD7OmnqM0iPX4lyyM+YKVXK+6w8xPmFLo+l8vWH3S1dCN
zH8LsI3nlgwzMkqD+siqTiI1WuEAQrPhWsXb5xsdOImOqH4azmwPUZnHlsEoggMqI5MZBkMJ2qrj
To3Vl7aSKGPSMDpBeLZewbeNzccQZvQWujnj2jRBKkdGGJw9wm+XTZBYiCddJY+q05ArDwnBEEXs
ekfDS1zafVV97X4WqI1PneYICvrqZgSTeqrNHv8olsCFUTGbeHwKpmrY0/mK8fPlaL3SyiPkkbHM
IoTHf3hcIB71HXdKWr7JdCI2PuFJ1wKAwXFRiXbJEBC8i19f0a8ZNCmnHg0yPKhW9oRWzncp07CA
OLS1GxdcVBX6KbA6vPeQbs2d3WISSc08IAWpEFBteUVkL9Jva1AX1fNBm5BuFBAatgNb6Dge/C8D
DZFtHBdym4dV8AXl38Xv1CZp6mXMxRVD0HUZTwqQRpgoFjBowBSNtVr56Go0FdkXrBnsulqxU4Ef
v4DgufpxHYJcH4cnkJjcDiDjfXj+o/fi2QFqrgjWiIHOrgjXgWeUl7bK1U6E6bpDiL73LP357y87
05wjVv6MYOGyM1jGTWk7umMq3RIs8MXPH/cw8+er9H9nhKiAmM00eo/Wz8ey6LjIq5yJtAO/mKcZ
hg0XfqSUj4z4as4nezQQQAk4xHjxiM34XMyEZLDFbzk18/l8rG9xmFvbVM2mjEwXr5O6Zq6hvzzW
UXR4DeF4CnVOad864nDuOEtDDMgjwl38sQJBvaxuAjwwk3v7KxufgX5mW25LpDoAcsJdiPh7WZR5
c3coX1fp4AanvKJUTcdoOuOlRl6ncaqzsF+OLtPjNtB547XpXntAMQiBunW1KYiGqiB2kVZTvMnC
dHjTCURiq05zIQ7Cc5ac0TZPy5Kc9tNEAXP3JucS2YjAAjf5GWj98zQgBvp86bld0SsfrXViWxM0
znkhG+j2LP3htx8F6suE5mP5+fZrfg+1v2vRoZCEwoww2CBmouHtpk+1k1L7Y8Fa83T68sfqyeB8
VxFfeyzmA0NZJDd2Ye6swoQyGUZX8pB1eF/Zk5nG4muVFBdcY9LaT3bo7x+30JgkEMOj6R4O4XAX
VbCTxAacHwc0jLvPW3P+WY8foYVatk6x4O/iKgMlV/xCy6zWnpjkReuEDlUe2txWt2jl+J3Uz3qG
/hStzktMTbomjWBaubaGNE2XzMlwZGojHp60N3gczwt5GyDvzDDEgErmoWcnAw4AdtWl2Q8beFLJ
yvDM4KoRBXE0Qpwulf3M+sOo3JKsIcGIWRUCsH7ycBGfEpcJiSFNQKisZkkbm8w1UnvdVGV+dqwS
nco0Is7LB0YzfpRug9hzwHf073oPULvpWmwYI4IBfTSfGAw41E5esY1n+AhWOv8l7UMChrmGOhZf
F+BhYNZXFBNM46YLowlk2701gtHKsifLIRkzUeUXu5DXxFL+md7AsCft6PZ5H/VWjXGjr05IuIK1
N0hJXmPl0Yvu5dYuxHT4XOsfF5E/AHlFIc+egjiJX0xJXRKhbRIQZCe+Ch/YPjVjnvBIDIuibdCS
8PwkzKHf4aSvNmY29TsIvBmtnxDHbCb6M04vaulYgoaVybah5EFGMlZfuwKWozHfAWI0vrRydOFe
N+LV5rPYAOntEdRSkVrTZEv82MbxcdAt15jpfPn271cpa16E/m2RkvhOXcdSrhKuYkf5r4uUZSK4
qCwmBU5KrGdLNwYyuR6BN+EC0jKkz49PHycVJvqlTWKaLm140ghO2SRD+cNzJWXs42twP/iQWVt4
CghPP9VpOkKfY1ZIqYv0zYdM3VTIESctKVbN/Kkz9dAqGrKafee9zBCNGh5o41yudemP39thOqZx
Ja5jGRwKeh53t0teuyKGniAZ11R1r5a0eRgLe6OCsidxvgDbQbzgBsmWKUtOaFNrfNYjn+XA/2NP
wab7P8+bsiXrupBsty3n3/K13MAZMlt1EqBiPawF8eEwC7FKyKEJgP/YcJSrDXR79gGObb45WWzv
oId6F6dykROF3YmSyuOubxPuWIrssnK5sLwcATXVqcvcsrH3XUFHlTE7WiDlgX+jhbkk8FR/Niy6
kNKxjGc/DyXFO49CLBlX3HnqKcVaFDuZ+dQHw0pD9L4oK/l9YPO8z8OmuKKbKOma1kxwPNCCzdDW
V6uR9gEUkv35zht+cNQ1/M+PN37+zKqVejKnPYiI+MkG1H10CucODlQ8PQ5GIX9FWZdTnEKnIHpF
f3vcWyLon9hvuOch75wtFlOxH1gj8Rvy5z/OyOPA8PlKRDxitJZYqEiPp++t8w1LboFwhXnj4wwb
82nWcsc/9JV7JLTlW8m2/+YUSbXN08TeKb9unqf4e5wHT5xs/f44pDYVuwfAcdtB5rx7PAf0tgqv
icKQpJR5BKLLk3hk1rrgAWHDe849nm3WO+LraIP3HRlNjlLPSvXxEGc2WwqbFiN+k2dB13JRMfvA
Ts/XjDoJDyz66Knnf23BSBIGArxCy6MvWVtWlylj6TswitUWrZtQpYQlPlbN0N4A+c9LHFWPHjfN
qhR888oIDJrgTPYXjVutzbhC6DAvgLgaDlxcSHwpiboybK8iVxcds8aLzOpVjINoTydSQEErtSfc
jsPT57ZCjyi/Sgkdqxd2+ITRK9vBvb/2BZKptptutCeBsPdxd82UGp5CZP9renoN+nO0tkEggicV
Bn8cYiqhspzCE80thg1RPOziIa1vZU6lIeD+P66fwCPUyrbh/T+WFYS2PypNOz+AVhRUgPya/ATr
23wlCsDc+ApeeUGn+KgNvrsEOMZMP+fBjTjgUX810iX0l6EdnuvIOTqc+mP3z48eX8P/BQ0gNL5+
/mMtDkNlZShAPbIuENZdGeu0e21EhBNOhnVP7J99GWQvulclh7yLfiaB8hhTEQicctcWzrvrabNA
PfSvgZPXYtXXUXewkTvQbOyjla1EumGP2vBetkRrMe1d+X1IDrQX59vKcoLnURAtAJOGRE7yHc6P
ty5y/ecoCrCqzk9LfaknaB0Nz/4lC+ZounDee0QUZ1Yzd2N38AHp8KESe+zdVRIwcvVxUZhx9tRm
pK+DRfhoJzNfmpR0bQjSv04QGgSFuIVJ/sSkavwmvbLbpLCUVzSzukuVxf1lnjwop7cOjmPzpfnr
lpXYQGaa6Ng4vb1rJjpGI0pvRHsmkJAh3UufTA5U8TU4X5m+9GUx7nX6YcscjsD+c19V01Jm61Ez
rO9af4M9c1gntW2/FAo+jscesm0qRdS4X98A9CO6lN2t8xTbU9mRVUULijE8IuPYmLnqQqvvj4+w
D+CbRHe/rMuAjWXjoCvV3Qi1yzRp+FsrqtJJn4Y1K6Icl+Qd+q+ur92K/KeYazlftX8czMKcDi04
ummu7R+vlXLOMMd+XgOqmwfgkm5pvYE1fB2sIv01f5BT8u6CtGenHlUNUxCCcdcDJJvV0LTNUbfz
G8WUd8usgbyFrBfLngjtW6Uy7dYUsBX4nioEP+aF/XR0k7JEtd5BrY2HAjhYOLJqVuYp1px9NEmc
GlrNpUoEANgZ+67NOzI8vkxNXQwNhOoxeFCk5s4vzSOQbRnXVXD98xAggiCnoag2j691sbEN0vwk
BlHvHMcbaNeK8VviQ/XirYiuqBKcZxN7bFcSDjmiJUAV30JJeOsFEJouCePDSGf5oKoZdjx7WGz3
PQrf2HcTGFJO7ZfPjxz4hvjIXvBqA3IpI8bTVVPvwf9jl5oLz8ehZT5VoO0xoZfi6Ka74QhRLz93
zFAEKITnytJGQ0LZJJwn2+YsiTx4VgGzS9IDg2XWZcW+ISOXFgfvSuIglpcI1RdmkFoXK08O1kQ/
szcTRqwsuFTTEaIYh+SUvrPucxTjaKTcOhoFD8l+iTchryyUd3x8lJN4vfysPHokV6tUatklDSlB
WZ+OtQteoJb2eEE1SkI9EHuZd/FzHmlyI22JkzE0eI579WCwklbgXpG/M2dR8rXEHXBq2ToydXUA
k7aF2uQV+pCqHv1VQC7lJiNYYfW4+lPRPzeyt6BgoT06NKBumwkYyCD4ca5fMYomMRLwd/9SsufD
DkFR8nkeVash1Q5GY5sRTg+y3jWeCpyQW7gxAbSgGRA8kbBc2mfp+S/gob3b45ByzY5+3Z3M+Utd
R+fMFD6dfUjfQdT398+GEy5GfszsOTLnBzWiCXwQIS536QxXibwiWMLcsDepYVyABL5bJSSyhaMX
ziK1oY+u4sQBbf/oJlRSOiuPutXbpJauMMTT1SO2qdgkBRrl4rOY8e2ThreKldQ92hOTuKItfwc/
2JSDih4JNVy0vuHx8LUaEjCN5z628oPTCFRtescS45eH0CVSiq17fs7Hyl7mMYQjmQXdKi1UxQ7W
i47GQIveR1HS9e/aJPzz4yB18cIM1NoXQUS5PTfsLAM9La0EmwHu95Dm+VvYIMa0I1TgtKgcEoXj
7CbC6puGBPlOUrZzTCe4JXkf6qu/39ljwfqPLarh2EKXtL8sy3CcuY/7L/0HZPs8JjsGT2ldMbRr
h+aeDCrfE/Lz1LbFB0n3KeV6gRdb2MzOym6iy5oyx2VszSyMsDEQSnLrFs45FGa6DOy6ExgIQvcy
zQfmiKH8/NBKJ339uWOxI/sLZhZvS576gLeFCirIBjIl8zdcbP2lwXDx5HkwjfLSHL+n5g1+wbiM
I+RRqFq7F7MX1lakuDbbCJKPsGs6Zo89T1uaq2gaU+YcJlOLaShRVdKjyL1YoKawERY5uCArYe2t
yjWuQ5xhYC4Qyc4VIvm1yS4cMmsPAoaZud3+jp2ABMi4dB10iJ617UPENI7dPFHeDre+P+KZ9Y5R
k9wfz4banJBp5vlBuiX0D67fS9TT831cBt3YekhvaoLbciPBhT5fGiOQiLJAgmSJbP1Y16Dcriyi
uI+fva3a70iy8MriTbiXvgMwjubb2zxu3cfBNVw4G3p0950YUXMiQQSTHET+IFathJgK5O8FhdLI
X5/7sJfJHgmfZ2f9fHYD9txge41dqkh/iCM7O/iJyjeMLq9VoYZvXQayURVvuRlmX8DY+XcPvzyL
kFYfvVom10dXoC5gbf/99WkTkfxvlafJHINJAmpKR2Lr/evlacEcT8qaRL8oDA+DFlfTWsYlFGm5
evRiax6VRwqBWSYwHEfa4Ge7hp6ABuZiUnjJqLw+zujj0MP/srrUPbmF8rfuwPgXq2BwfRyCQgZU
kPQnafhPQGXLh9EgPYIrcBDKzgk7ORSV7ThvHXAdss0h3LnDOsbwcaTn8ShGi6BX2Cu99qB4o9ZV
jrRGazMY+NWRRpiO9Z9mO0oXeW7NtDsFEFH0mYyjKkLXzRhlzBS61fHvT6T1H/MYw+SJR+eFSGqM
vfLf5jH4t0skATm+58a7a0iCz6Wu4rOaPwpryApz7N3jS49/tFUlaLsjXvmzvfD4qFYl+wcbhXmP
nnGVeVin6sZFCuLBDWLj9TjYKZUAFiwgLi7bxSzVzqICmVxjHCtgMZ41u9jUHvDvRZdVGHUyRc3U
a/bebVmKRzhOX1rPt1HRJchxLGfPVk6/wQ9zVw7DgVsMWXhF9yO9Zy3zgl7iIe4Dp8NDpBn/zUUo
xH+cPNMyDUcawqIHIm333+r4GiHS4DaBuw7SeuvMi7gNdmhl6zl02rwazprV8SrBlXZw2YGhAC/J
3J67mugCPUt1NOw+2p/aa255jDcolt+m1mYL1Fpkv1m4MtlcjFwVl0cp1LEcPBXkQ5rEaW19FTF5
4Kq/cPt9lGUU7+OyZVvQdn/MIh7vgD7CxrBK3Mb0sNl3m5a1KRCcXKvKxl8tjNVnM0tEg7kh56q+
mt7ESmt4W8De7sq0ynTr2WBzKrmDY1PsuJ+blTcUP5vawRn86Jg7tMatsmEHLYKp28X2BKEy3THB
qvYG2l9ErQ4tLcquK/FI6Y3UTeKmHlUquPr8G/jyYjHOpZFVa3SaDWShc8Y2F6Xv/K77Mv2pUwxg
3wLVSbQGGq/XIjKSjbBEsEpncxq6+voWhymmQzJhatIJT4NyT3rmeietyM6QU8JnmSFzT6LVbNO+
jOyg1gFEysWfzfFMT2+yDBHajsw6cu04zZ3iIoPgmFru5s8Su2PG79GqsM+pRaJAl/QjPUpt3Wrc
P36NOtJvigCCOSSrDn1WXip9DRmeCHLakRsDZ9dawpSlGwoCgnVE7XIXh9YgMQ2XgJZXemoSnTUf
hI+lwnXdy59fCky0Em6HprdpAvH539xoQE1fQqiKKMVWSd19sPAPZ7e0jE0wZJgBERldLH0AZhUE
mwc1gjAtBBjCe7HtqQY0q1p+xLjSwil8NsLRXIZt0u4x5D86Mkisp31gxApacgubt0EZHZ4f++tH
n8BkzvzH7olKOV5pun/pSwfw3VyWuayLq6oaxXpAzrFT0DwXJvSQuUy31mUVz2ho3n0NsbSpxf4G
9W6+ckVPxws8OorrmAZ2KJ8GrOS7Us+iHRKWcgey/UOmpNrquDnQIXtrA5DGwZv7zyHw700tU7bZ
g/yd+bZ7EQO+jse+3MudetfhTw8TJzxO1nf8QsCeRzN9GpvxB5hsFxElLqxHd/9xQKwGnJ83xbD7
m97TOG4bj5dM03+bhQntnpRgeeiLdU5mtem/I/98pcYIYZ+6C6bi4xsq47OGuHfpz+mZj9/2+L2P
g6nzx065v/3cF/cd1nT6E3siwKxLERbpZYod6+IRKwbwvi/fsM/VK33mgsDe8A/S9K1rPst+4tey
ISAQtShhUmApsqNgS/QAwqDk/bD57qVpKbGH5XPItQSvrJ1pahm3JFEXdUlQ2FCcagVjN9DmrYmj
be3QTF7nv6jzgF54yv+h+3H4XkXdWQsKvFF1/N4HrrMp/D4+aQrBcmcrtU1nBhkuxHZT4vpfwmLf
5NYQndNUTKcsCZARD2aAITOnf92IxDlk0vLP+DuQBjxG1JmNh+NRukqGfwcIbrxxVvCVZiUh1XFK
UGuRvgzERvWrwQ7QCUGuxEA2Huqm8nZ5mGO7xEG7TxVdxp2BVFBmhA0v6gYAYdALsNoUWUvIBt4S
33PB87crxmNhv4fcMEwci43ug0iMhjx9qaDvnMTkbTICH79Eqpsdofc0GwnR/mcR84lQ6NQ+sqwI
GJf+DYJPvLYi4Z4i07kPaTU+d1lLpj1ogR3D/+y/eb4Le36A/6VHb9qmLTBiovlwTHNWffzrRj6f
bTgDnRNcCo/BoPS/d49hBY3xBVO5clOKAouz1ZPRFUVKP+pdfyptULptjCPP6rX20JIwfTXRRiHQ
XFBsolMjEGwnXL34OgyoNKBNtodJazfD3HB6HB6DQc2wqy1BNST5KIYy/pj+bNIQz7brfI16HHJ5
H21pU07rR7ogp1bcPh9HmKfCr/Y0CXgBebhj05y/UYSkuueTeKJiXubc2mZHwHXa/LHJ17tm25Wu
OsVl/Aoz12NaQwmO+MsDvwneUJTJXmDUQSp5FFgpBfKJQ9tlCC5niUlKXNDRIx5TCyTVpdCJLYd9
5SyRrcjL4zCRCYVbD+qRSXuFVvsUie3QuGskYww39R+P67YOOv+cSP9Va72rRnbXMe/b4CWO6ifi
dr9/vhcTEp5Xf0jXOQ/VBP5wwAbqQ7ji1Ugi/eIWksUBmM9Cm/BI/l/CzmtJTqTtuldEBIlLOO3y
rr3sCSEzwnvP1f+LZOZ7pdYf0klFlzQxkqqAfMzeazumFR1kAk00H9oh2XgjLgm/a7+tByabn3oh
+dsvE57Paw8BvnHd7PPoxuTyVp63F34rrtYkCJlBrbsFM07G5bJLAtk5wWe/R+793bQn7TjXlbH3
NDY5I7F3d10zal+L0dlmkQa/lWCqLeOcLyZt0hO4qPnBkUS5mSUmwk44fbgRBSH1GkGsBx2s6ljI
d5jBnX+XpSI1phcGkbeY5Gwicjr4vYYt0Hd3xqnFRLkL7A40MW2/WrhOS/fGI2RXuQIGiGHkR9Wt
14besegA7Bik0YOw2mJnAVU6sMR5jJhFUEvizSmHYTqvg5fKa3xsX7O40rx8N+KRLJWgAHnJBYa7
oJ3v+Ut+TCuRXhwbjIL6Awh7AaKW4a5yRoCduEY4TWFDI28fX1MruLZOGX5JErSDkduYFzeK31dZ
YN6npvdBfbrqHV/Cx5K1+8WbwQNJbU5OHU9QIKdgVrU4Y5ocR9BSLW8ZgkWfZcHWInS19w4I1v1k
jOG+sjvtPVokazMF1fsmm+ZdiUx+2tA1XnI/oF7sdMKBGHVEOb/Mbtg90G/7p0q33S11pf6Jx8fH
BvT4U0In0xA+fhUAu2/WY1Yzey5mW+w9tRRmMfB93Zt33fwpz/r+q8SuSWDJ18al2mmtisGQE4+7
dcxSQnm+jtIkqUHU1EAlsyf11rUWwwGhcYc6ys4sQpzvyRh+kHj635uydHDfteNmVDtjFx78xHTr
Xk9c4mnwMO/XMi3BcZenYLvK6gLup7po3X8/qV+TMdb5XpAsvTUzxv9OVIY7w/GbfcUG5Hn9HTuX
GUm/VARYtLAyqaGRhfXt2U363LkryCYgATPy5O1/rRhMaeT/6skZR2QNQBFXtSicxScwiweIiC6W
tOQOEiu1L7xEkk6U93X5qa4Yq2lEMG8a3SDLsZubgymD8gOWNbzCpsneiNdNrs5emSfkYS/L89a2
n8vRpqfl4AceTAoAVBFK68+Bj2u7C+szWX/Sv0xQMTfzcg8nEeBa5sb6wQh14x2aEBzLwMfA/mnt
o0FQj39Hp1VhjjWso5+Na0VjlViWALzk31wuSfjl2RIwWNwreRfFZX5YD995gpnVDtBAhi5/ZrIy
3qqsu2GmtM6e4Yp7mUwEcaAaz3CCbZAR6CdjyoFAKXmSPXFBVhFiujYKUOfoaftsDu1nVVs7bkmg
umUTl7IM8othgWiwcvpLp7sItd4chKbFuppHhc1Yy1omXj9NtJIR7GzUTzmFH0H0d2QePxHfgour
8swPCVTbMZ7EbqxCllvLMocMcAR8Q3zJ57q5QsYrgw9Yk7gBZv+jtONqT4HRnpZ3roBLCvQYEYOe
0p3gE6W2Sx17AfRzyHYFWi6MdOQElz71A1xRy8Dnp/vjS9jJ8CuGt2cTpxZ24e6j1rvteShmgoLI
KsK/GhAu5xZPf/48fh+hGDT8FuQ46VLjof/89fNAr9AYeRX0O0o7pteds+TVcT4HuNk6GVWfNBEC
x9N17Ww5KZP3OIEZ1DKWdcdw2AtZpQ/IldIHFEbpA09ATiPSTxH48Vb9miiDbqfm75U2I4peCjq3
pLGp8vqSmT8SHsbk/IRk4tkgnkkyB8MSkq4VCMJD66VT9lubVk51mEPUd5sWyvq297x4Xxdjul9v
4qzJys1gMvgGXEKumobpheGwvcs0uE81DoFwKoJNtCy6qrLI1k7mzx+nunx+vbwcYXg2PETLpM56
e3mBSUngObgD9+yyaK/dsD+1CZ9s13keYwrnKxI6++J2kzi1HTKqenDY/cIOTplKnsKcqb5uWwPC
wAj0vDn9Y5eI6GTkoqK0bQCF2Bq9JA5HrFMwT4fSeRlIM9ulTty+Oui3waZjDrR3qRz6i4yyrdqX
izSwaKNyoO5+6zNXkvQXVeXrqE8i+1x2M5P/eHQPjj5bKLPG0njIpuxAVsZwTQ1b/mVqIuzfRsuG
Q+GkMzARls2F92a07NiicDRLV7sKlFixxh+bdV+C1EWErznWg3rB7GA/mJ4BU5S5Q6R/CntRsNJO
pHPU/ejFTYvmNBMqvRvdrH2KPXLTDB3DZx7mnwBETHvbkuGpceSuaMruKYRZyIgw+ppA7LjrUuu4
rlB9izjJvES9k7f5c26hg7f7+ai0lDWyHgKEiyemTeUGd0HzZKSeizjJs4DnzOJWxYLoRm1+Ghw8
ehkAm61YTjArGVl5TfpzQUbIHdvVs9XH06NllPa2z1iVqpcmtK0zmaOffbsij6kpxw2YKqw5qGAO
JrNBJQbyZlOQXg9dvda8b4NeD/cGiKDHGiISWcXf1yd0NCKFMfvuuaa5KdBF7wN67HNBEVbFxJR0
oCnd2rs2NpbrudTm5h6BakKgALJAVToEib4QVPDHTJAlYeZxESxL/IERnj/rSHf/b46XZHzQqisr
ZCuvI4Cq23ptRs3woW1xoHm60+1jVybvXASyrk+T4GuRdzNyg+h5oiYuOHaDHWZIQnY4zU5ru1un
SbJ+hAHBJREgr6uISvNIvJt+N2qwgdvMrF4qGPx4zxySeUM3OeZmbmxDF2TDbGj2AWgXKMOO8z4r
fTSgHuc2KbQFrv/hEEZm+dMJnzc4F0ph3PNvJZ2+M+a92iBjXUcWGz/zrCH5GO3Y2WOgC4a5FXuy
XBjtSfdjiODArRE0upQMTIo4iNXbyiq///n5ojRBb54voG+VHNmzuHfeDGqnisweUnt4vuj4CDvZ
tVdH5p9G5Px7pS9O4avu+hB6tHobSqyMZKcG26J0lwavBMUHqJih2CLqhW5AZRF02n1ew0AMpBk/
uEnQbQrRHiy7LB55lpYbx2N1U5AFT4Y3+9KBnQczKPJruzK8KzOwkxhd7JpatO39lLiE+Z2X1M5N
7fQb3B/Y+B0QtaPd36nBA0Fv41Hzd7nO/1hd3r1WDFvNNaZdIK3m0Svnm6rvB+lcICp2l94zaqQB
2Xs/Sqz7wUuZcyBbRWINLlLDPpaMmvtBnAlblO8McEot1LVLUaeL4VMvP1UaJJtWK0MCeefH1jD9
vz3S9N9E4ozPPSnNRQQHcvPtI62FdJlysCHzw7PANoAVtNoaJVMe3nTw4TvUutjF0Ou2GHb8inhV
I9/kjNeqdZIeZAg9Ii7cq+NTy4dOky90O/RESWTJqwMJHgd6cMDSHVNzgE+QHf1CZL2mWaZflN9B
80i7Z3/r3PGNRNuECeg2lT66adiEO7UncgvwqoY+l+hemg8Ez5wRRAOZQT2cTu1LFfj3NIjm3mTx
uwmrznpUVXw3eN11xi0n7flOHSuNYGraVagyrGVkbE5OegiSsV7MiwuFsSwRQrF5R6Hbo2Fm043j
OYNKV80stogNVWVmg0lB7Wt0SUZoFj+UQMh5llZP0rGbZ/VSj6zLUv9D5ZgJDHwaXAJKiQqFmJHh
oujm0HnHyTBcGmnglggy8jMNpoTS84mx1EftqrVS42bRva1whAlozjfKQ+dUzxrRUbuuTZPXCBXl
nYGe8ouTJqAG2vOYEK0gZ+s1KqAZAUwfnwcaYWD4/ETS0/7P97drvy1PTfQ4nIweUmtU3/qb8hRb
PGogjTnx2s43UeUzQ8Rj4IuncrLi91Fi2ifkOfEujLT6qXWhy4AfRFjmhsNhNGuxSrzB3xYLsn/i
7ufX4LhAs1o+exsX8s1l98CIq6iZjKC0L+squRSx6X019NpFNin6PR2BtkWQ1B0zLUYoMWTZVUug
fNgNABOz4zHQZs2DM+qHHMnBlW6fo6SbLgOpLD+9aDOWz7Yr5Umj/juhHZuAfYQf0SBxwawzvcj6
5mTZPxCjmod2edFQODK7TB4mtu76oiON6+RurQBdYzYPWdINL1hEALG3F/750UUw/D9Mcb1zo0hb
XCX+k5yQK7LiJV9QNt0NufZFLYHRnpZcMZk41jCfWtYPqFzM+rGZp/2M03vbWzOVZyGXVOO5fdLz
3D20bZNs/vxt/y7vNxcLlI7fyjYpvxeX1s/NiBc4/txaDmqOCZA1TsDEKu1uhwvkpZ/S+tKlfnJb
182i8x6Q/v/INN+8xrXdv+YeU3S/DIkoRvZ3hy4G2g2DK73vwB80RtneWj3fckk5OxnhojHLL5kI
tY+hmG7CIIZDiYYnG7d60Rmf//Jv+23iaAoLCxpbxaWXNJQF7KdGC/AsDXAl7dVQMSzJhGogCDLk
gl0JBdk/c/SMt8j6YVvZ+xF5WRiXB7spUWPG5nC1XfSG5kkwinqmgmSi1ZhHp0qGh9iR47l1SDNL
Xf1KrYAvCAnRHeVb/peHuvtW3IwA1uOeZKvi2cib3TfGH8ugJBelEe4NghoPEDoKf8OTB8J2NU8s
kIkwIcD2Ek1ZynQ9s/sbnz2higevdMy9J+L0rPZvdP0OyjzTe/VMbTNUSfkMn8p7jX08laXu39Tv
5eF07ycT3Adx8qK5/dzQjW4I884uoyQMvWyNZKMUeJ0EG4POfwd3gcJ5masPIytVv5e4uPy0eYi1
ptn4cOd3qzqhqCznhaXy1Z368JxYSXdaRyIkW4b3yVTy6GsItVKCtUkHmJEE8ZOb691lvfHWqYTV
9+j3wQ/COY0N8ttApHoCorNd2heIgT3gtng4DL6OXss5D0CZxWB5F9MtrsGyVgEBYBKKFBDbSQ7I
BVGXvrcRpX3CHmYvg3hWXe+yFyW4wXPRP042UtaYoYXSEQgR5gdSIBGo6sGPP1+08q2ggKNE6kKX
cjHduNbbx29ij2VbDFq8Xy0FMk30ByaE+V08UmA1C/Lwfy9+u0CW/C8l9torpEP5Khg11zV0OwDI
sfxoIVW6Ex2pNyBGgAvm+ruxN3vYrygjBgs1sPp6+piRqWZ4+bF084mtrhsfcwnK2CkncP98poBQ
a1qQ0LslsxiPs6vdq/tEnfeVaLboucUJjzIxPKUxyq2fcXsHUSJPRgl9SkuOpDAWDz3cOqTtzXwY
8pTFrVHPew1v+EWPOuNcp1tveRMT8QWqo7S2bCZuRAF5VyUbg2CKDcxPna0ccKy1mbyuQ/rCFdZe
1wWsJMP4ZkwjTDjmi5va8MExmQ2hQX/+nsT/57ak1OKM5OkpXZee+9cnp2v2oCInIvjWizLGB7AP
9W9mqRcHr8LfIzrnySN8faNcU8HIKFsKihDkXw0naelil6/h6ZcmdGFR48dTTye3wshJHgJTtIjS
SxmlKlDil/XPqTQIn6HsXC7bOrrziLa9FQgO1MJcmU0mttMFhNG28Mp7vTGmWwl/2Yc+RxsJd5Zr
qRqjaq98bf/rutRPpd8cGyk9XlB2pjOtE7PskePZpWDEoT0Q5Rs66+0NC7O+z40v7uRne4I1RkQm
Tf+adHOAkJnBIpydeZ9BpN2u1gJatFsxL5zKkmTC5nmdZwYaRwyAie6Rle2SEcn4yctmUlUXp8Qo
+S71FH9pNy6FhtrLoXAqjqpoNypc/EFyo74db91cH1UVV7BsflzlxfZMq6bUmSHtkwWmJ9FgTfAY
dQ9S19mc0whSvQ1g+J0C5ZIaXKsPI7Kzm0AMmtWdfCKim+IisT5UIjtAGvZv9F8+OAxseeXOKtBn
kZerHaAb0CQPA4+RshH/rOWF8ylkMH1zh4xrZLCMf8eodZzUKMOWAWpbRxulka6X1fukgaRZ/DfM
nsYTq8wf6VRXeGV/MM3BfTIZ+hEFEWQeF+qgLbXyE7jJhkp3Fkfbj6dNkJtrFaZpoP5mYY/IKuHf
hB4XFjl7DOfVi9IbqPpskGW/E7PL7FriJzjD6j7obrRvO5v9aVPfF1gB1A5EeEVxVw3eguGKwVHG
8l7pjUuR6hsWdCQlnqoj8lI+gxlMzR5F8JfJy1sSgMZsU8dDdgqUer3SvoTVuAQLIW1A5Dpu6ROX
b7/QdmOJBTBg/rubItLtcCpfmeOQbgoV486Ytn++n1Wh83NbK6UhdDKPbMu02f6bb9paN6uxrWFi
2PUl8YFH+LLAUMfwpbfeYeeVYLtzEFEM1nDddiXslALK3uDLD7meP3gTI5KyEoTX89LFrUCH/ZwZ
s3aooth8B5zRASC+eqpiJFQXSliEdtKZvE1wHZHLQ5btMR/0IcNb5JomqFxm03iFeYrWECLXg7IL
jAa9DaJvrcTIdJcGTE5GXaR04x4q/XQyjqqmakbnwcyZvZelt3DNJ+d+IjzK3cakfhet7sM1jbnR
1O/4GZuUwKOusKL5fdsjpnXB0XjHejYRiGjNP9kyMlWWOfWTWcDlN1LpsAvrvv75mxC/bYqXr8I0
uQGZjbsWbM1fn6xmNLiFblj+LhnIqPKKPrz3ezu8d5cXaYILyx3jpH49XKIHUkzzoInxKyB7TdAy
LKEfMxnQpu0nR+VJR8XzI2QEBrxzHLaEpwAYWp4Y9USMpHQSTvc8TQBdzoG+mxLx5I8kkDvwcz6r
7rGxPq+7EawPCOQzgWusYPvB6Mve69nwo2/17OLyJL83A+blXrLEAGEdD/vafW9A5xvz8kMnpgws
4EJ3SbSLGvvNeGJce5L3TmjvGubW20Qz3ROVnXZYDaccy3eF+7GvuwBfse8jpYa/b1EmhX169Nqu
F8fccbYzabt6/723h+nq4Yk3u7RfcnVIjVFG+qz9BGbN22aq9y9t5x/1m+WQDHslQVEvMbDnk+rQ
u2xKrkTYNTvPaZfhF+h5fzHI5wnRAolGiCGL/gs4gXC3mkOdDKR75BMLAoJ3k1vC2fvNnGyJr8ig
ISwDMOhUxYE2xtuJlvjyQMCYDZuswjpgcKqYSUyVixCEGAYMZqUDZimh7chojW9NP+2wpHsP4dQG
5HAzjSVSfdiJYtg3jT5s1LRGxH69X5+6nttD3xIwcqvJf8l7BM5NNx76ekgfXQf/FU+d8lPK0+mq
1JfaAt/JB0h5ageqBZr4uJYXzUyq2DxOI/g4IK2TlIDoK5BhSlFpjIhJlIKsmeQzkqH0ZGmj9eSE
CfGFUQOmshg3cMFJF1rMj2ElbJirIP/Y+3xf/VM6pqe/2PsM5c3+5ZnmOq4leaAZuit5fL15pnV9
6mNEb6d96PdQsphYwBYjSgCC5ykPzY8I3J0TOUT43lOksVpEekqp/WuX82lFhe1mJ7vsY/Yd0Xjr
TW40FgrOF+OHnyVbj+3Dj7kQt1ovos8zl+jd3CcXm1jkE25e+yUQaPXDXlrsIjP/Ps5MAkUQNBzU
W62pUPs6g753l22o1QbDeb1WWeyMx0mtGssC9ktS2x5jdDBoRZSmW2WZ6DiqiD1brCtN6I6HGQvu
vug6mIgNCj8/CMSzXbYdh19OLrspLfLt4l0LuvfSK3Gsmzh4zcxtiBaelcypg4j4KMhbki1JVwR9
Isxe/CTWMHwVadI+wtViQTfjDlw2OPpoM/q19VfAvv0r852YUL/ZZNnidK9Vhxow1vPuPixI1ZwB
NTk42phjdAcFJNB6HL1JRdmq7rY+wbb3v9JDz+3VFKclDk+ZZSCBBig4W4tRrqxxxmellR+zEZea
MU/uo+S2KzOroGznSc0EISRVhZ/wpJYkasiJgwjV13pjtIQEKm91ndbNHdZw1JgjsxUpkheMb0Qf
zNYPj+UXqmtYmUzXit3MUUclryEArY1HZAG7mPiYbejlzs2PvjRzWL7mtPidHAeuJlAwaT999su4
3Uy5AWFoEeH2AX1UVxcet+9s8zEOeDaXTjEqWfuv373TMy2JBgDG/egRQbv8tu4hCV//7rYTlwQG
d49CozUBM4MpJ84fsQte40hkrDjK4t/ao0lM94g/gI+uCSk7WvMKg56xuompVn06YoitLTQXAMW6
hbshLTjtFWDAigtWeX6bn4bZGdALtuTszV38PaYOpqvcpV1/h+kLqhGHRHzXy8A6xv0kz2tRm46o
uBlNEMRmlV+NcoEyQyj2MHNkQWlclbB+ZOXtu5m4Kn+6ISxS6Ss4vuot8+/+lA7RSZNkBgXdTQ2h
ONK1W1ezTmrsi5Iywri0rmWZ3OK2R3qxrO3tiECuVj8QKMZdG5v9I1qX9rAk6F14lP77wniNZOwZ
VhvbPxwqXMUE4CxogaqJ4bYiBPOVBqMxwycdp8xFTtEpw2Z+sUNSxipnfF4fe9ZoPMyFlZ6TZcib
hYV1/XNN8JtRGT6PcG1syjRbjjTfjqkE3V7hi5hmyR7kSbkhV9nVOFvFXVPWgsjRxT8ZwwiPLR82
inqsTdrVExM6jdnyCSwNtQs1lp7hllW/0hQzhLTkpFMPvuhWGGxRmOw7y+MjQf+uiDOJ1vHfjFMR
83TB+hq2E6E8qlhz9So+MeE7NqM7IA8chuS+ILb7Du1oedC72N55VlgtwQ7mh6E262vo2N1Nza1H
YJYiI85C+Fb31UcVnQv8NiNhEjuQK8PfLPJvx7osA0xmfItLgdGyePsJ2obIEwSY82auO2KOAY6e
1Yv9fz+ptxaarvyuLTJ/74/Wo9/7w2JMGh+RQM93EULzPRwacCR6+rpuVAqX8I/GwZETa1Cpcc+f
Zkrihpz6i1JvqJd6vkUDA531Jg79XH/uM0LDLQZeu/UXCwNsa1+BUBkbS5JahdvWyjbR6Ev3rhHW
uzw4Z4uYadGVhCkYlrmSH0wffu6frzbnt89qqf9NdluexKBnW28mbtJrK6jeA9E32BZZd5898T2v
QyKiq76Xm0onqBtdcwPXCCnCSHwz9hPtuNYKtOVbv4+CR9MZ/1HL1t6wy7PlNt6OPoBZmt+9ZCLP
rzrIuId2mE4ezoJNr4NJC0rNesmS9mFg8HoKF+m+0ZdkwS1q1KFj7Fx3ZXBdn1HlpK+EGtWtGkvs
wzBJwbcXf1L7CVBGxVVY1oce2/jGRAVESz5yXS8vTV24hykfv8NrqncA2y6iq1qE/CR+7ny8eRtQ
EfN9Oo/kXZvmQRnOiCF/rt3W3ayNIlvKjihJbno7wEbidHB0/vxd/OYL8cj+YSJm0244jv7bdQtp
eyS8CiLWajlvPDjcS+erNlrqJ/UCUxD8vtYBNW+Hq/I8qAJfvZh+Q06D39S7iXH2lUDJYutptG1L
0vw8IniwtdA7tOi81WqP4tj8l0dlzu2z6surodhmXJc3TyDy8xlitBOxbDmprseQPk8ptIkZS96j
VEReUQ72RbjJk2DU8okD2CXjzuNImUO5IZrHeuocgxBm8tXVOwJgsoc/f3TmW6ERH50QCzPKcGlp
vbeXcdCb87Kcs+DCG8U2tDvm3w6+MyfIDiCc/ccF1tm3UXVwmImA9fpvbutZBGi0XvuklIecK/rX
BLfLmbjR4qZXaX4VftHc/Myw7pMmuwdAdI7S2LySd8911nvOvZbvo+V0d732io+Jjmb0578sL35T
DvEPZK7v0Ui4KFR5uv3aKCaVZmMHaVgvIx9bp2fIdCA46qdAhuUDeq6caA+zJJ6gRNcT1++GWPeZ
jmYDHPvBA1GVoG8cvXLrqllQbtg6hncGTaSunofFKlDa9bhNTCvee9Btdguf7qgDTfkYSf2ITH3e
xbA9Dk1qQ3qSkYWhmRdRghiD3IPhx0QimEFeVxXXPJK5mAvrBekn8jIfyx5PvHWEsz4/wlawrXRY
ewa6iU7Ugv2eDi8ElvOf6fg9VSH350vlt/PVwzkkpM5Di8ZHR3356yfpgi320rxyNsPQfsNk6b9Y
oDJOvo2UZwIJ8hK0ZvuSSaR8OmzaoTdGdr5kQrFBJEd48sFwu6hR66JpnmQtapqfrN6NhjzVRZY9
10Uk9o5dABaPFmSwW9UQccE3WTgMVudgmuqMPIFHlMJuPojGIaaXTb9bhdnRA+ewScYRRziJZmcU
w/mxwKIMzd6az2haHZiV1m5pVEA+sb0ZK/JTtRyumK0mdN4CfY0BcsrW/J6gP3z88we4fD4/d1rL
50c7ruNU1Q1q/jcnBtG1IfFZkrw8Qcon5E+2YTmsnyqb7E3mffvzn/YbvFD9cSz46YUpigzzjWQO
3IyRF6CUNytmp0uLbxGmA/zylr33TTDNw/SQT5rzKr3oCZsGWStxnR5glGn7JfLep0psIkyh5PBc
kyL7x/Xw5Culm2zc13lopvWdEXQn24UEMoXm+Dgvjn4AWs0urWT3l9tZLhPzXz9ELhb8NVCATDYg
ygr8075uZps4Nxk5gRlgyLPyPGgUHKwTcT9Af9C3QGjsdZzukuDDsuwxhfu7o12stwzQ/cVQ0x9o
RZhVL28LUQ0kBTosMkThPWjwdg+zBXVNvcXQ2N5VZaVxLgAOBDwFjkBb6vHRMn5EXdVctBQFkmQb
uqkGhEOoPLy1czDmEnCiiSNmVfsWB2WAGzTzUo81Q43KeWcjeWNcPsinUEMsYgVwif8nJ0iCL+sx
7lHS2EWKuqVlTaMeQ0MVfRAs547ghMSsJ/pBQYW04luYkOJe21q1VzClVbjh5sLZiARlVLPQiLrl
BWdCBcv6v5+m5i9XvBDLRfbm6xJ8xDqCE8OT6xjvp68LaRFc3y72qdCm4TIPVg1uQiJ/aNNNFpfv
ew0WSGuZZ8L8MlguCyErHnRJeh2BmMqlSAVJhmgFvBUgwFNNAnWyjYkMVcpFO/psKve7C4DqSj92
53T+cwls8LhCtujQDz5b5qv6NvOUbL88WGLj8745jgB20HRGOkxswV57JnH6aExEqOmpPdEL/Yf8
GcBY4iIxsECySlX7LIDDHml3yNZTc34lcSp7MJeisxnG10gmYEDNGueaPgyHykyIulj6c7Vj0KG/
7dDpZnuWksQcOx3jr27UrwlPoAPZMf6ZwJXXlWSgJf0rFMSCaxX+/tBKmuE+zTermDQfSNNKlr/m
uESzdf1kHqLlrTUCDFgvndppv+cLP2+uGWKoAyZd3ibCfADs4JzC1GnecYpvleapEQFZyjhn1k4b
l9/WyXXNuLN7dzoTuf7oBkTKqqGzulB70y62aj4hCBpEG9q1ACEE3k+RYr/u7Vs45++VFbHzC3Ov
NhFrD4r/wjz1gAo838J02VDxH4Qffo1k+oG8j5bIUDaxsfnhz49G+VvtbgECQ+jNM1hylr1FgQVF
43qkuQ98f1jxIXkd+mbu3wmmec92ADGepdrWNMCZKAhPXJOD3kts5ZhxmElnr6j3/CfNAcE8i82g
CRCwrfBufm1te5G056wmOFX9pF6smhBIggyyjZs3Aur8TBLR8lI63r8/RQ7lFywo8RrExCiEpziV
5ZXUKOsEMJIefMyqR+JKu5MjQ+vI4Yp1kDTm41S5JGNT2q1wy1YPbxrxZUAq62TfGgz2Ayt8by86
eaViIj2pQ8gU9Hg5KFa4avKRnqkB2idn/yC86EtS0ske3JpIu7XcIOTXuBvnOd7ZQTRuuIH1vW4z
IEqbmEgiA7R65zaIx92JSPRuesIJ550jPyn/Uun/ZmL26PU42FCCM7VxmMf9WoN0mTVCALMom2LT
ojnyOEPDH3pkdfuylO4uSuLgUvCg2NQzIHcv9/sHc5yQc06JBluwbmFRjdNHDFTZTvMK96jeGvSS
IeXjzm4H/2JK4xZa0V49rRX8hBkYq7H/SvagCItX0vaivW2m1zn33A2EtiUia9obddU+huTG7Uqn
AUMR6FxJWKH/8kG4yz/0lwerLTBz65YB79gwTGs5J396sCa5Y7WWKNvNOkpC884DtdKSqx/G/cqi
qizUOqHd9ty6YfVoNZNPIjuZgnOanzNmz5GDgyGZD5RQnrUO9G1LDseiFpAnXVItJj+IN1Hl4qeb
ze5mM2a6mwH/hOg33zPtJT2DPPb3QCCzTWwgLQ3zJtmrnZiV27tRR/U8wNAeXAmfq9S9gwGLrU3L
6GD3QHD6VHhHiFtsPDs/2jcxeSYTnJekNUjkyZ566udnQqSPPtOK+yHDJqwZYK38ZwRm5a1xw69E
MXCZjoa9D1HotoNHEk+Zk1/XAj1eanOmGks8QM8wauFdUtFc5xTsnFtUt17r6qvva19zmDsY0hGL
KhWxNmTdZQgyWDMIe5M4Z9W6UC5qLE3wc53iodG2Uvifoypw71mPuH8ZL/ze0trUN2gGDJ2eFrP+
m+83bAnjSa2IgSe5EhtkfQCJZgfxjmpWPa2xD7gev4U2kbvTbJFc6S7gASPND3kf7uK6KLd96ooz
6vbujPCqlgnQQynfUalVeGEWGHs6aO8IZysuSeLKT3wt24J8RRBc3bSF5rAfgmL6LMO+3Y1Yf04N
ahgUzcsovBToNhNHnsi4IbRjGrutKgwN8DIbgzEdM2Y2KF1afx9NCyPcgCqx8l9RcLRXY9IwLS5v
aQiNvwyx3LfiGGi0JKXppos+EjDtW2+DUxLGGPJM37h6G72UmV9vDKINHxjrapdYiq/4l7Q92ABS
Xzt3r83FfLGIwjyOZHzVZkts4ySLC8I0zjFzNI5Vk3v3EmE1YLDm0YO4y0k4XdRqnIBcHMDug1O5
2UNZmdD5Us1HVBtC+kBCdWxHEqUSIpnZ6UcwOqvkkeiGlnrIxl3KsGsofO1zYYbfrDoIjixocY25
iydcpj/IlS3OqQQqbYroPhkH49VI/YrYG+ysbVE+OX7ywhS523F8hqfZdoabAeM3L3rryzDkn1lU
tQ8yK5FPZyQ2obVxuDPg8F76siA8lDuP2WJu3i07g0uhe18nuljYsYm2o6RzIbj5wX05FiG+eH4y
8MbtaH+7TVf2oBwq/3EiDvM8916/ZbK9C5Z+3syqlz+f2PZbeAVfKmBh+ic8UehN3xJ+zMaT4HgL
PjdjlncrQXKy0mgbD9YOVQLBE05lfZhmkitnQRhGFTb9xdZa+yUpiF5j2fE4mKH9wo1O2hMdAe7g
3COEsI729WJWDHu8ba054XZarIwALT+57jQ+qN9sgnMXavH72JqDjRaSnEBKHA+GkAwHItkLeopN
GhLMkv2jJpldC0WwaDoi0Q3CUjzPWeR4ESSHvINMa4XTwY218jIUhMTEhPNsCVaRH+1MXChk+U9N
+YAKOaJIuS9M5nIw/MzPeV8dcE50/xRyfi1nLPt//pR/7/AZfNiOwwDN4ISldfz1UNEmWnkTFcq/
czSwu9VNdtAB/bnhdPtitznq2eUlQrkKVRyZAIav/g7K93mO6ugcohggPVEbH7CZYaATtrkzBTvo
YfaYUzR82rAfGUnaFvuNNkvvNbeZMXEgR/THG/ERSGuZLN9C0zstIhyU4I7+zqvhl8VM+CnUCk55
VwNzCWseptT8XnI03fvFdI8eO/yaQ8nj4T8xT5vnrdnYHs61AB3ykg1jBx8aaAWPnRvHf7GoGcsg
6dcTGb86g3MdVCqKBDUw/ulE1hl+T1qHfjmpaCCUQ7tu6hw9OfPwwnNhwQ+B3E+jnE5Rk8AjyGou
Zb0TB5t8sEPmIDsWPbDskVSJ6P8Rdl7NbSvrtv1FqAIa+ZU5B4kK9gtKkm3k3Ii//gzAPse71rp1
9wtMgBAtkWCj+/vmHNPRj308sBQYVOYeaZzemxraWsuExp3e2jTXxX/Tq/1rtcavT9QBHVk8h1QN
/mF2ctMIM2cIm3zW2ph21yEHU/NLW9hQ95PMe5UdwSIeDaTrqBK/V6oUXvy+Hk5VqtrcG0KMm5Ks
I77J5c5RSkTgdamdNTdr146++/9fr+Jf83h+X8cGdg8XDUvZP3/fKoKyNfZohtKMdlko0bMwC+96
oVzmnb5LrWs1SPhyGeULWQ5rtXbQf4YxNyA3xyWf6tvc9WLGzsA7zBtH1ZNDgJF9XiqZYYqvvR2s
NUEi1iYhKBdUk6f9l7qG+Nddiz/FpQXPJBOttfHPr57r6YUNPKZeJrF+t5kNkRxIW1lvxYcZ+1cn
JKDaazE2F17B0k3tXnyNVlzkR+kXlVNgWennCFZj1TRoXKKYILJIUmOdtTuKpcHs9f6bMHyqn/6r
fky3zUITZUKFt//tjxPpYHWEpFN5m9fuLSpjgMk+t0fS1DSySRZCjOFbYEW7lMwKbhkB8rlpcd8m
7gtxh47JXTqNSyQyToh7s/TDRdBZym4u2Udu0i9/23JZBX/THH83VwZS6X4WZhbdDYO1Tj3WxaNv
6G2SCh3vazP6qfae3MWYaDddk39lFIavXhZ/6TkWOKIFuDaD6G5W7YWkx+DTTg0ikZv4ADbiYdOw
WWmGHz7LVY0ifkNRIriLvFGWfSCKN7T3Pu4Y2r5mNQUdgPLhNq6kwTKtffuYm8mxtlL3ZpTUlHA/
ooprP2LaFy/Qdrtba6uPxvbvWpsXL4VBsHEUZPKQeAR0x3ax6MLU/J0tYjr0KJnQZmtINC+z7wWE
U7x0KpD6AFVm0B3USuNKrQMuPS0XK4+LEzd958lI/Ld4SItncHk3v2zwn4Y5npbJPZN3uBcpry4T
FqZr5jzZIzU15VgWTIo8KLfLJvdSFBBM/xQDc4Zrc1FZXlVvtDJwDpkQiGDcxlkMA8XVVUPdTO2h
TBipBJ0uE/O5t5UASwTQ5WziCfm8cTen8rV1oQTl1olp6+mtLVaN65sPXE4ENYdu/t2znOdRWPUv
Pb8C+NGGyv4kZVMuE3yWU8us3GFnqSnsso51ZyLKIJwbLXO0r0l2m/3RmYGxFAEEpA+B/DUvggIW
A7jjXRnjzowkCZhKqhOmYqvXHoUZrvVgUdrw+4qQjGtzpOfeG1/lyIW/CAwwixORiiJre8qpuu9G
2cBBqPHS0yKwCvuiYdfH0KjWB21ygcy7vMnHREnASkxv+Xyok97Klkp4cO2yfM7C+jHjn218xKui
zoDx13a5jDR7WBj9oO0olTEOTArXKiI8LUicn+7UpJ770vOGdfYHPNhjJyhnzQEJccIXKLch3GRa
fLZDyV9tTyLgvAY6Ov0qVmFQf6LdhN8Kwc3fTawED1rY9cpzYBr/diPCwncIXUNL9ZvaXXmAsWcB
QRY5lHeMblgbSW3RxIYFmyHCWReyi57swT1GcVe8hYpFYLiCMzgYjasSQJsglT19OFpCEF3beRu/
DsnsnqZvSqEvw8zWr0aOzW7uvJmyareGUUSwqUzlE7U18/DZYh2J6nVEA36f1byu01Md9TLvRFJT
uOQ7BLo7t65zNkOf6jdXekcU6QgzSjd4DghLXupNLnDShM8eFcg3re9AaVpIyAym+JZa+dfZV4tx
gbutnQ87rYwU7KNBuQk1M70ZWR3tuClgYe1gKNZDHV9pbcPpHY1nBWzSq1U21zkRp0x1BMbDqCMf
kf0No711MW2qenIswWRGPsHATZG/EukIGjQuv0VlQ6BnqdQArcEMB+j5/qRaJPEQbEFGRKeoJ7x0
6qvSLfmhxJH+7AFwQ4MR4Owf9qNjNl+mrvxgvWO/k8DgLymRKEcwSSmV0kjZJj22PmKN4qeYbOPj
4MrHvET+K4RI6KYABG+gSbYNfcpvcP2rxe+SA/VqJBAUQefKqhxJ5pgfxcibTJs1RRtWw8YWXBZp
G/XexoxLTFB+115EThgzipq1Qkf0e6VHGuA5tOANMcOUWDvl1ePJrrbdQza6WBG1UkMNo6un0iuf
f6NYImpee/y3x2FiGQ8J5q+wtSSSLCU8Sif9lkdxcyibmNhwXTYvCAu+9MqlKxF6/h9UB/B2cMRn
amPdaXAa5umBj2gWOZJf1JvMz7qHYnBNErGhLHRquSujiv0fwAXKnUydEW9+Aud8qiY0kU96nmEC
3h7rYDO3t7gEmnWswmOam4QxXx2j0woyZtPvnaEQ+Y1Y6Ex9trn2kuJMYacHe6zth1qEv/rBAbLZ
N8V6ZrBmVtRtWgo2SwyjOolwXraYqvsnjwlZTHcc+UO0kb7yov3GZ2Dh/CLiuTzGWcngWpikWPXC
wZLmXyKKvDulIwYB51O1DiuSapxI/2nE5KhbGQOXn6uQ4CawBW0yfzfTCOh2Fty6lRfLcah8Uiw5
J3oSHRSCTIRuRvcUM0WBvP/4m62HCfgLJS3Ezel1Oj4iQq1tHAau9C+qP4Yr13P2Vi2sH07fvvWR
4JvD5HxEhXkPMS8wJNC+a2ibHZSk8w9+l7795iKADEZeQwFyFu4mSF1h1QrDRx0Xp18j9XzVc/HT
Ge6zNvmcdSU/pcCNsnrsziyq5KUS7lNL9W7+70NKukopEGLKCTsFW/EyDz6xPvhQTozlPMR0gfYr
Q6yKpQjZDi0CPnbE1NoSmNurpzbGI3J/mcoIm3WiQSghimtJk2zpAEc9UTjNKY0BipmG1owSjWdc
uw4WNvkimzko1dHjZZI/Mks6R8fxl+lYnNRc9JuuD7/oltCWE+NFg3i28wBTkGvZ7jXSzrWostcG
kuxV4Uyi7IruCX0OCtWwxepfTYwCf1Sqb11SLmI3Ip3YUnEzOKT9mvH4c1T5jUcD5o1JlUaqAgVq
DHS2RpapElmTxAHRUH12Kl1KgrVma+shnWahHau5QQcfJ9DXUB/VqKiUWrDqAVKt/DYnuAjHZ2ie
oTtvC4IcKW/QVgvqAExe5/vbUrM64In5McI6IENU16ah7D3LXuqG9zq2ZbeALO0ulB9VjDyQRkew
6QlRh8LxkaT5NevSn0oD2aX68C3/loUo/5t+55JMoBTGFcZZqZQfFuBOteh+FnbGfDm+abZ/dO0t
DtZ9Q5ab63XHxgoehjOY626UnyMxosR6M9ESMnmk2bj0Mi3BWlq0i6yEk0l4Z1qDOWB8OyQuz5RP
Flwg19qCXj8pPotQDx+VagY9bZtF1pAFk/c2t4Pu0mtk3NgVsRRVYix664dH834pXQ8G0MQyd8aJ
fpcn+CFqKBfJsBlsFlXkHi+M2jxQzfJXdk9T3TF0ClEGoIE0U5+DdJk2BjmwIIK2sMN+9LXYA33E
dTma7ROpiXeNxXxhBSc6cd+UrIRLTl7zlEYt8RsFXDRjLEdG3+YWkN+m9Opr3+bXHnQ6cQJ7t3VX
iSxYBuYleMPmFMbDQ5ckBavawYrtb4NeIoHg7/c82q/DtHRk4kYpyf1JhM2SsYqeRMO9KdJJ9qoy
Xkom3w1VmT5NBdV4HYPp5B3zRgH/aVkFqOXK0ti1XfbW82cOinuy1fLHmLpPLmZfQiKRPRRt8Fpq
ebkxjHg3woda6kPtIye1+ViIMVCTpltKuyBMY7hbjniLdHkpI995mEH6USHoXw0SEJdLOWSByhyv
SXunt7dGr0B1SOxqme/VPFt1kz/dwq5e6aRHYwf40h26AkWCfSI14lNx043i2faAozfcTsbAfRh5
Wy32FPpIaDcuEbqocypZeepJUoHtAcoP5nIrhRGgTCgmY4H24RAhJo2OyFXhNQsqGv4SsDDDbef+
ahuSVAkmJUZFu7eZ+EFO3VvSHFzzSeAmxijLNLogToGWIM4EhNuAaRVsD3Cd6im7pTh3bSoWLZ1J
YINkjQi1iNdaWBW72penQFGGba6o39vZ5eciUADZxWgGcbK40MXkq1S8EoN4b7LoS2imWLZaXSyi
4RgrxIowKKCYCfJ+UTJn6Zv2paj9ZGkK6zOKVKIc1CMKzhK4qn4AJdOlgApH+vFRwxuaFilgzeJq
Gw2f/4CwDhfpDdjsE1nL38g+ixdjZJ49zfe4FAgerPG1es2lTgD24+UON2psLzOLTkTn9UfPFmBM
3F7duEE4rEngpanbdi+kNKlgRMKfYaAgsrYWWuHtMXzsJR18MEjEg05/pBUNQO4JmmYIsxAKaJiT
4f0Uw6nr1WBRmaWglBCdAnQ707VQ0dqzg0s6rDOM/0UFlU+U8addRm9tkW40h6wcDejEOsmjW5wM
wa6xiocehwDe+2eNP3c9NBPXK1RIDSBwSlF1/uCA8EZT2VVl9MsM3Hfwe6ghqWdjDFi5mDdXiQHE
yoKcmuMpBsj2S+JlW/pw4/CBlO7WjYpn/h238ZiTWBx3j5GAkMSks4lkeTkGwEqhJp1SMykhn21K
uj6rhBkLswj8Ll467kchlx7IJ9hY+cHJNdA8uodG3nH7jZ88q/SsA1EFB8m5qpkMDOi2g5FpOLUo
2qhcQqPRh/Jims660Fsw/zqilDIoXvIxX+dp1mFEA1/lml/CiMXaDAkKxDSmHLSvsgJsKU072pP4
bC8blvEL3QPPZZSUm/TKfCiqy3ScBdQu95JVphxUi/w9zFDwYIAH5F6XcgGH+nnUwzdrwPLLDDTb
tVbYbJtS61eIVIND9SDO+AFHPHuxlOERBYwsANbDZc+ESJdmu+XGvze1+Kt2u+GcDN1P1+JLKgkN
WYYaJ7b0pgxKp1wqmbXuTGs1YBs6AFNHMi7bcUnhtQFDA++FpcoyiqBBOAGLBdvCNsK7ni8cEWK1
1UJsrpnHPYfwZ0G0Nf9/gYOOPyalRbACD4FM3MUxCqN3rUSAv43yF2LDlCyNBGVdg3aHj2pqf9iL
3GuNw8CnslAJ70WAaoP215YuXIhp1Y7MTJVYv9oEHVZTQO32jB2GG/DBAACJXlS3GFSSIzC0lavF
9S614CR7gMicOi7OSJhJCFA/iXg/ksSRLykV/TJN/2t0leVgNI+uVE+mkhIy159NGbwMiU0LnOjp
Wjyo3jP4GcEWCiG4PJE+wQ1J0G3jWOwMfc/qjHTfLhEfAkm2IyLlpbMYhGFPH4TjZQfy5MOlZdFZ
GTPzezjIdB1QpN+I2L/XveG/4e2nFkInyLVQ9Ft5+T3ll9l4pv5Jh3hd8etj2DGKRYoMyBID5bTg
RO/rM5BEm8X9c+MhWG2LvlhlQ8sXrn9n2Zifyizgnccij9ntwqzCXg0paSFo0hapoSlLrAzNSo8L
VsLZezdmzlPbttGh0oyIkkjQI2gW0UVMmxgM7WpU+VYwOrpnt3CCQ1sGeI3YG6k6tlHY7Zsgsncq
l63P8huwJbMRK9PEzutacNu8p67NAMR6Z409JtsrYZgcySwbUhCtjl2fM88i6o6hnmwudYUJl+iy
QvtsQ6dcNXay1ToS4GSD7LMJrO/STD6l2x1dtcCNGNgbdHWizL/GKPYh8nXxwnCn5CplQuJhPOtj
dTf43a5Ls3AFnGlnuBkpKyZrIS01ww1S6PpcBfXDLIrhHWBEuM0yRWz0aXccizUJTsvAK8wXln7a
2ZAB6zI9sl4aOZTnysFrMj9bmbV/Nn38yZYlzJeYLFVWe7p+8B2rBzlWmR+W8A6+15avCnrlHX6L
cOuTxfleVcqS6rD5QTGYYQ16+ckd1eDeM+9ZVNMTmen/ypJ0eDJiQFShkcXr+fjY3KgH9hAOgJJY
6NGoy/Y/HUItjp2nSGpkFnnYCULOBK3uUScylRui55KkbeXOykBU3KNZeoG3Wt+ssn4Ft9m+ybDI
9rGLky8Yi/bNcCoiILi77PPp2bQun6tOsW/4kIxHXaMOnA6PRLychM09a/4hAlkaBB7M7QdMGqT8
dMG9HdPqEqnKCi5HcAfwFtzn42P0oYiREuj/HYGueHVkE59c4cVUBhyNYaBIyXRCB7EIdH+8zxtL
Jr/wwvTw7+s/h4Qor/YYjKffJ0zHQwSzzpjYl7+HFCSbocyPCpQhZsHNN5Jy9CXxsflOjIncW6pd
8esPpGoSSsDqXkPgqmafwsJcDA03PLeOk12HaCLMM3h9ZrZ/Soy0eVUl8OqklQZEF2981eijzSco
fRMvieZeCz1WzmmpqsgG6KK1rVrfglYZl4rw7e+5a24JSWy2Q56qrAIGkGfdaJ5H+EtviAYAVKdv
0AowRtYGzQ43Ud/sum+2FHlc+KtqD41Wo11seuQDjLLYsIqRrB9RVZhZ6kCuj+XDrS395qvJtvHU
7swVTsKpPhwD11W/Mxrq1Psq60DfTHsIF7nJdFzkVBjGqE+OWaelD1cqV166ZpFO+5gY9nTZF+H4
bYyqR537IUVodxPRKPMX4TjwJffjD39ojYVROJJOex6vpaiAuzpdSyJfi5eRWX43IY90hbpNxBhJ
GSOVZ1A+ykaxiVVzzMTfRE3U4d7CkgYfstrHFFxPRlZwXadj+aOOrMUodOWXkPalVMVwkioCVq+j
0iITr6J2A98v0aT7bFZWs9JKrK2FYWhb2yVBMqwUypJqU6D2drp9l5v2KQn6fpNrTng3lV4sGqsS
1z5wm4uvN+UCTUr23ieoe/J2MLe5LPL3RiufTVF/r5pmV9iN9hhVTVkk5RAfjHp6T2VGQmFlp5v5
2TB1NgbWBcoT+HYDt21WThu4z9zi+6VPc+XVVDFvjaRG7ephdJcepJWt1VA1b8piM9Ckf2N1V9ry
s6pLexpC9WPIXPKGGxUz4fQEPFmihTXzhfWaucr88SZQMm1brXVe2ri68bz2GStdu1DKsLpXFKkP
FHT6dVaZ8numIRaczqAYZi9j1CHnTrEMQofGcRO/er5M78Ng1WTqYKEyKHRBa2fpRyZLLHz/niPA
viko2M/pCJil1pRbHUuPRmT+avSWfpWbIUqrgDVlVOxGo3qILnWHS2P6yaYAiI3Jy1G2qclQBXjo
BJpWYargaPwl7HpqQKRXN+VdKrTAtlk8vs9PZHCehkEnkJBw2JMybQxpKsd5I7no4Mw6zjS3TNuV
Mshgh3z+pZtIV5md/dkoE/MKZ6mL1UCL44OOuXw+ZSZi/T1vPtbI9Ei8R/paoeYm2Wkk3sP7qMFO
oM7FiCwGg2p3iCguy+kNuWq5hyEnfkg9e2oztfx0xvyH4pjVZSBYZRV7w6oyCoWZBGUOrtr21G1Z
8EEbnh6HudVyH5seFlHi0633ByIsMzC380Fd16krIzdtIxvxUqda8EELUKHzwwqFwCkwvpslEPig
QVqV2+XNTrry5siJ+iSqX+V0aHRNvJ1FrD8NjgiO8xnzueQHxFvAF8ESFq1SrHPJshTk66WNpLPg
QhKrHJfjptEMcSi4o176vM5WhVYF39Ft7wSTlZ96br1RNe1eKavQ+0APckpUSKZGK5AxETz3rrjj
dT4VgOQlKxL5PjZc51ZoVmeUtfZK13tWkybVwhTkyXvGS8fckL568k0xXrkuYXXA8mJJ3nXdR/6j
8OmSzaeQ+HRK7FB/I7zaWdMXpKmdtup1KKp6Ob0QHlTvFUPIUa1t46VFQraPIVlvZGRnH8XJMXX5
kZhBuPHIWdnXHdXcNsjORELJjz7L9KU+OsQrK7CxzJr6XUSOA20T3hVCDIelbch+HUNmWw91zhs8
bRoKwTEy2CsoFv0pLO1+5394atiSAMxFk9VK/qA2nT+kTkqaaz7PO30NF4UU2e9OoZX7Ac04pK4o
BDyUowaZH84bVAzhEcrDwuwtejO+lpznjXS8P4/mXdwTWyNz40NSWAik8AFwX9PpY0SILhadkbUv
LCLcZe6X6JSyOFsSaKQzx1BgcTOF/sbXJl/4g6NflWmtA5z0TlehX1C2I42W4slB1XKWsJ1Mbna5
ZqHKF0TSTkUOmdR7v66127zpIs9kgdtHKKtjQVBIEganrKRu1hK4YZjux5ia6mHe0Dml4jNtdLMH
GDMflLbTb0zpP/89ZX40nzf/BHSR/z153v/H0/PuvGmoI64LQVRaW475jeUzCbMy3OS1l9+8ro9c
1rEQc0ofwmA6HZyfKV3EfZrZnOa9+fj88/AUhoUlwgDbIC8XEXR6sxqKVklYvcyH/v5AEoHALSXZ
NPMxRe+f0wJlE3dB3nC1uo05hec00NcqwQ17yDVgoP32JQ0p/rd9+6OJ7fLdaAxEQcWm1V33pZBE
eRTMfHCPDxe/VPUVvPGBDGD9R9XW4A6dAWN0PHHizRKtpfHZjVXCyO6JYxIn3nPf1fom76a868lz
kxgtt/QaniFLGVeG1XNZivKZ1UdDuayn5THthqP35IJD2RTVBK7xsvbZQhAVeDRB4W9pq9iAHVE1
yokI4R+dL47Cy6MvlyboIjNxqRMVmu9q6LygEMNqh2MmeipGQtE61s8vcJ++hZgb7L7y3g3SOrbS
85ptmI/ptz7MgLPEyYfEXrwmzcNH5qmybktF8OLl3UWlK/1hCzABZEiw2CPa56ZkY8mvOX7gGdOe
41o8yWpgvipJ2Jbxdy0qre+hp+UkU0JPL3LMG8qgtA+zD9KNqiPsmAPVxtL0DhU4o4nVo66qhJtn
q8JIUZPxB2744jjvxSqZuCZld2syaM6H0EOPmzovr2VLxYBqWX7vBiu7k4CqbZyu0pfBhGDK3HSv
hpShQx0ArcyDqRk4PaTOBu/XKEEuuc6PZsj8r8Yu3it63I+ENdNu0Gx7CykoeYFb9DKf4ExxCWGX
588D35M9HCh/OxSK9uqk7rnvhf8VVVa9oGzk3H1BWkpbDdnGD3LmPzoVpOk/seKSy9vcODXlgiox
rdtQC/iVOvIHpfPyO8z5ZFknUfxil+CmYQsc500gdNgNMvmW9T2Bav20mKmo8cFySRTQ8gjy1nY5
4cAEgQ91OLxwX4uf3aQGfoxJUcsGohzFAz9lN30/M77+Q7PXg2nYj7kt1X2pvAxBx9UQ+eGPBrXd
IEYEkg7SgkAT27Ro05cuhx7lUiKLCVCjHsW6UXe/SJ/jNlVDyKwN6wiTxmPKkEL6HuW3wApGhslA
3YSuXn+LNeUwYhR5SKdIzrk1cu1Ox1mRPruoEYC8FNc08/9seiSQizAZ3A2YBeIhpdJA4JfDdd6g
5sUpDjx/zT12XyNGf4pAsTyV+a1mHgCHNPnelqZ772ydqLTU/hUL6d7nDQ3yboMbPFr9PUbi4wGe
6QNHKR2g3KLNb/XN3iPmnWRYFngCpYIdZ/bGpdOviD69BdLliiqUB4WJbaUaJEzoRrlkVTrszKp5
r2o1uAQJYbdwoZkH6Gl8biWr/jb44pZRU04d6sv8SJsehR0gFNPptZXfK0++LfuLK6P+4tGyuMy7
YdtUlCvytwRU3gKPWnc16Qlc65SkaovMk9XQtgmfB7vzsb5SfmmuhZ+TkpaZ4SOZYZZ2X5tnFKWH
2iy9e6pX1p7OqrHkMiSKSnGac054KUyqyp3wp8XeH8kVHgCgAFnhnq/YXXRSm4YeFtkOlKoDsr8K
1qmKiHRmemN0L7LcXHWG/HJjP71UQ/8ziaLwheIYa6BMomUdy0+N4KUloLiiarRL4ZnPzLQdXj0f
PWr9poGZyCdgOiCkaQU9IluqnmGskr7BHJMoOzim2bkpuv/cVOX4vQUwX2oaDjnFKG3yERyxqAcf
k0+imyiq54fD6Dkn0omLRuUJApCeyVcyj/zyxzpV+LRas39S445UPtX5hfY4S0Gh43pt2mrcZoGR
U8YjVlhS4JNlTlOIIhBprmwUvSBnqGGiYNBsX81PzMckC1He5enp+UTpq5Ak5n1PT/BzU3q4I8Lp
d4WfibMgupM+pN5z3ffiPB+zgNj9eTQd65LaXdSpoa9BDBmML9PBv+fkrOXUSlMPf1/g96tMpxGE
0R+0lGbM3x+dn5038UBCvdtCNf7Hz/59ARq33cLrw4YsHX6r/9d5onOXlQdy4fdPTaepMBEQx0tE
lFk+/P5b0GR1C0Da/dIsa3dj1KVxlshCt8xurqavdIeUdglBl0qnH20PsZXP0nen6Z61zvqmI/LN
kPtKUMynjYUgcLTiQ+/XZPjVOQBkUNHjOEUM5Iw1nmLDbo2rVxZVdpBT3xwlKa3lHaPiZ+Mqb60R
ImWIErOl+BZ5m6pp24sdOiCS+vAwepqnAYHAYijMNNzyZRhYRJvDOvV+tnAurypxcvd5Y0BukmVT
nqzSpLkTrAbht0804LJTINzXylGbJ9eW3Vl3JXC67svso+8KGKJdYVraLa6IkzQAp2mpbh3txui2
PQZFgEgnxrrwvWkK5yBSI1o5Q1yuDXcMJ1fXikw3pBS9eajrvFoz2ulLTdTJdULiVwVoqly2Nv9f
e6+qslySJCGYhTfWJc2ah0cwfdNoxmsytnxOldTe7OglIt8MMSXiJExThR6Pexb2eEQGwhU1SqSG
Oqzk6Ocb1FtLu0c+hYm7Xti49IVBPFeKGD7Vh/YJUzkJrAl1klg4ysPGFbJNGqNeuWXhI5XMjQO6
Gou1Ms8WVQ6Etszew2mviolHSVx/PT/XhA7yPKg91BH6PFnU+vhT6Dr0vnlXzNuYkfcwb/5jH1In
g/30TIst9PB317IjmwTo6RnP6NOVTsjCssWk8ESGTfBUGPxBeVjfSFwInpIx6U8sb38/N5+Fb3V0
yCr30Lv93vieaFZeEwDW/b9j8yMsWt0pq7r/OO42gMPseaN4kvatqGhB/O8rhb2fMjMzYVgIOoVe
4Zd3v0V5EnaZRiaTmh+zN51sqvV85bVlGd67jgSNtL+iUfI+gvpt1I2WeQjl81G3zZXZ09wmOydf
UwOhhQltGxNs8RRSFd0PffRTtwk4IAD57nWmeY96H2KLlWw8JlkLvx6GO629gbplE2xBCcaLtBu2
tVNkcJ35TkLKJvNEb51bOoTOuShIBmyq9Fjm2XUELHaywwqgRdQjpdXx1Nl5LpPVfFAd1D9PW0mE
rVcJAhNTiwd3mB/5u5lfBph1RPrCQ0XJT0YVOXjc8baDaMKtUwTjNwQHrEdtahkWSPPKDxx0HhyP
Ipq+igdzWjdCFIiQg08RgvnR115SYgG3kF24h2FlkCKJF35J91d0Q7tQiwTYV0tjws3K8WDT5Fvm
za0RmVgPGpXs3NeGt55iHBasTqcJlQ1AO7aEqdmvwkbMPGANJBmXs2DzW1soBLDIpt0Qbh/e37Y7
8il+arGoN66n1K9KT/FRAlGSWX+uP3td7d+By/hHswOhndqa9S4tHZgG2pMT/GHjZQKXQNaTOyom
xRZxrrvz3Khf5Ii+A3pZTr3rchuFSdxOICvsqJnUaEBMm7T01+CW/KNXKX8OOZ1GwFV2cs20UBfd
COG3HLtniepj34BBQ/rluhm9f/I+lwlrawQanPN3k5RxtY4nSGFhltrB9lSiENx5q0LgY3yfDs8L
znljakwxYw8rtKv7FWy1jkztuBFvvoAzFoYYEgwRVW90uObDxLcyZyBHK5zCY0JLsTbEbKCnmnaR
aMbXOUHGpFtKG6K+/eN4lhowFf/z9BjFCeXS6pBFyXhElzse50fuEEhWQAlapyE9eiSd/D7eRXp/
BH9bhMon5Ugsyrr/k2jfT9jxqG3S+NVqCbAICkdfR1HkceOIdsJporc66d6jGmKpU4zyzDgoCfrk
jZ8fqVbeU1fuKSnMwKde4sjzfRpzunKQIoQ01BAnB5gIf2rHwG8wP6LGB3iqDB06sb7LsSAP0C3z
yUWBmhy1VMXSNz8cI+sCvDxluNgNTD0obebAg/Gb4+JgJG+L9qhaDGIM9ftamfiGlpVcRdXxJWK1
Q3L9hxdqzTpx60ffYeDDckF3n7L4IbWgw5uOtg8Dvz+1atGf5kfzpp92fx/LO9KzPaJ8YHNQFMpl
5J5Y2//Z6Il0TwkURVqpyaZsy1OSwiyZfCiWZ+PgLOGloZnf52X/K5r25uNZSiSAhsPLi7i1DoST
pa5+Vu3RXTcNhtO8zL0dM1/SCVM6A2pcdQcixEBW9wtdZOMtK5pfM9uvN3iT9Wp0SbEfHuWQOkfY
I9+YChqAL1nrf2CKifeRKd67sE9OpimhOYqBy8lt9ynq+lJV1H2VhNs4R3JMCf2Qa5ZzKAzvjbQX
eCaOrq3D2qH33Fk5HpuGBrwrIc/iT9GQsi+m9OfMoFlZVRk6jxAKrkJo1z6wf0Sa/xxUar9PFSp9
kRh2tljkUVivokALl2YjPrs2eu4ihyiFEP9zrez1Gh6aUagnrotdlYtL6nBvSy8QlCZJD5diq1ZI
cojI3owWNh6NcNRRH6+lpkzROv1FSSMocJ4rloMlNCR7nznzQDx0d5kl7RHsdB7Bhu5w6ZKMHqxE
zAQhc/ZDXNWrPn90BVlfo1Vj6jb9n3H1P2ydx3LjSrRlvwgRQMJPSdAbkZQtTRAllS68S3h8fS9A
r+P1oCesolQlQxCZJ8/Ze+2iOcQxmTYEq9erJoBdCo9u1RI7sYqd/K8rK29EhT9yP8WBna3C0HpR
g8HetEG/a0FreKkgFzbr3UPYs2srhH+uAwriMaH33DNEcQbnLTWLeq1m2Q2UPDlZUW2t9SiOvJrq
CPoq+aQk0pynGHyd68Rsib57IiKFFp8GQYkexVNVkJXuRvmljnVzJYo38lL7rYC4muU0X+Msyj2r
hDSZlIzeJRDyyArWhP89CnTKHg/8jqZ+HIYOl/MYWBvYBeZbnrw66twDR8V9ASnX3oegJS7b2CQ6
ORUO5n7wFx9O3eTvJVNHKrUsYbTPU8BFjwZt/CX8h8tcHNAmkaVpHDA2PA+YyiH3bqLKbd/jGvsN
Y891liGKzGx1YF6sXkw3Dw4lVmGdLHJromEw5IJSWQbNPghtaxXXlK5Qv9uYYbo71QDRVEcwWEDh
mtKaGXNSsFwbh2TWwuiGJbBOe4NoshypK7agRxq1ZzWm+9/JzGsqjvWO0t/bpn7Vg6JaV8lAqkjC
LICJF1pWRhEnMGrrkWTULKrTYxUa/+wgaVF5AWEBsaBwpmt2UABF0v7QAj8MgKaDQb3khf+fypBm
VTD+3zXWsKk1ujrkcayJ8E42EVEtyPkSbY1YGs8zwndCmyqcAT09ix7Vd1kgw1eN8aUZdHmifbUy
sPpYFLOY+Mvci0HrUwT3bzJ0FWAK8R6UinKNdTpv5mpOFKxsPFY1DrDWYUOOlBoVaqfEyIuDu3Rc
ZasjHyR4iR2p1TvcoQ3jMMepN8gaigc/R+Q+F6NrrcuqG70u4jxkO2jC4novgkk+jRa5ISQUD4wZ
Dlrnws8wwmfaZMx+jW0RIoUB1HAaFaaQpNOkq9hoPlvqO32Ir9ZkmSfFZaVCtHfOcxPIdI8upUQR
6JuQ4BVaZ36t+B6F4AvH36tvjlDx+rY9t2o1Hv3IXddFzgkcltcZ6woROLF7AAr1d1Bm5MQwJ2Qh
cowjTvpERZPO7bf5NlXtbmca2lfOcOXi9vxCE4mp2wRGxguVbaQi43K3NYOeVVjVyglew3ViMX6K
GAP66cpt6aY2Slrc01jmT0wB1xhoNzmDiKe0wJujyUm5QKgkLbFxaaG0puc0VHiyERPx8fFfxoXN
xayGemsoM1UjHF8bi66OnsWTNzzrvC1mweZ4jrJiOg9xCAD1f58vf+umRPES2q6/n+gV9MuNHlfE
YDWaJyOVDOupPmh6tKulnOBx4L5uam2lIby9+iwVZ4fAWotW11FpLSxSrrHTaOEcMsQC6G5X2ZBA
olQYh4pAexnRKZetE61Y4yGYGDQfYOhlqX3wE5XxPHv9ZmQzWmluhTWKwSrRTNsicucBjYVYCeNC
bW+drnePBnD7xVGQS+e7qvEOWpETrvwyASEWDl5a+gprgO9jZB8RYfRzfyypmFpJSLI+Oagyj3PQ
7lLeXJHqnj9DNBRw1iSPp7cCkRNyirq+Ttr0JCNprgKAeoRQKsZZOKTDKQFtXhke6og1ULXc6A/L
+06fJDYejVtdrz46lfuDORXC9JZJGTrunRE2e6CP5SXtcNqSeolRC1lWnXEnVxWkFt/W5JMf15eR
f7VPZm1HlkZAh+GhlKz7E31wpOk1MVJ4s7Q6dVkiAxZflJGpQZA7cC9Yd+ZHjXYQbU1bgAZD5tMy
Qfjt1QxT121kxRmhUpvqbGIqOAvV/8Y0hU5CDzirhcZLaKbDjlESClB2U+Z6FosJa0iCfFuhDpoQ
ATXZURm0KyZ+sevQo2dK/q1ho97CdgO0HKADpU+O0BcOHybVY+F+lowat3QoeMlSgc6W49KxVcp/
vp/ZnEnchumW614nM/9ptf4y0ti/061HxIm4adUS0ehl/pB+No35cKox3putw6XRpf5gUZPr3NfS
fUiayl3n3Ba41i0yy7sRSsjnvlCgAyDjARBDv10l2G+sSQufn1myr56aIbKRjHAXyICEqk6p0YWH
NuqlCvu1bcPZbgKOQ2m4q8T41BapflkepOz0iyLLct1qbrbBOvQ/n7AYtTETmP/haJRb36bKXf7x
//7f5W96RSM11gne+v/91xAGBML1vMBkaepgbZCM/37R5WvZnbhWFkDW5T//P9+Su18cI8fy6ir4
ifK831AwbALCav8ClUhWAoHGR+NCvK3hjc/GTmc9iN54YHCMNlpoZDfRiWbbTir9lQCQIHjNWZZV
vyKJH06quiIACD/PaL/3ke2w3mX0dEZ15efM+vBJXNEDUXxooXwKuQ0aQw2PlZFhjU7T7E+WQ9g2
0SCeRBXTwAJfWadbzQyn51FN6c40vXmsSvWEC859KntVvDCkVRHKSuW4PC0t1/VwQIa75WllKaTZ
SVxtaAeGvToLPgPMo2dLZj/M5/sXuvDiYWa7InyMiZO+QNBIX0or+c+ple68fKjW1WaD0zXd2mZw
r4iFyKw6o8XX/Qej+dCS2LhOqyBdlc0/YnoYqZWzryDKSbxuetVT2uZWV719xD+81mGa3BUAECkZ
QhtgjenKqursFl/IiMk9x42GnVAS5x4GoGCqXJlDfLFIhQBuwaV8BT02hCQuu13RUZx1ctcHjPsr
8dlrsuCczm3TN8Y1LZttahNco4J/WQVZuYMVC7bn4NTWXwe74Mqygzfbp6YkMho5o894Gq1kVWY7
bj3zD2bkdSidvS7C9ikNmv51BhK1NkNM9P3hLrWn/dQmhG0WvfCqEvOA7Cn9fYre98pVb4YyJ1II
ZOjFJTeyB5Oip6yVu2GqODd3+7itvBiHUpFMx0YL363a/9Q0KiCtUA5FAR607q/gH0iGQcM8JvVK
4g0Byr3F1XuLJXRfU70T0vNaucVNBo+J5mlNTNZ6SglutCNAmUX95ATpXYhjy+0M8Pw/MH0HLt9X
S4GcSV2uCpe1pLY4Gdb7nA5Q2uuYG27YdrdqqRxTCUlqemj5BPGlPNi+h2cYiP6A+2xkOJ74KKXC
7o5yhHqAVn3DRZzEWXmgeEWxh/ckySZrVffpWR85GqiXKIOiVDjlPhbW3wqALcF8z0VfgoO2MV04
nUX2ZL6FK3IFEHer6Ei66fQZNPBivrO+5LRg/jH1hzXkeysSiNwLi1tO42ClrY0BHZHdkHBiyVXW
ud/qdEGufqhS8YrU+L2NABhgbtkWGeK5Nv0TmMZN64Yj4+03gwVzPpwg8jlH0Ty3q7bke24qbLWO
Ut9gj1o1DG730TeroM3PpWLfLdu92UI50EuZE/ToT5owrN1DV44FfeSBKZzVPOHzcIbynpMV5/bD
c2TQolBHvHk+pXyFnV259Sz9hrqjL4030p5wLqTHPipfe2ouX/qbE9C0H+J3jtzkR3htG+L1ntSY
KVVICCzOJwbVUfZRUDgjrnru0oqSq+Ok72hsNb16cBJaAbViflYGowWDbEW0YqDmK7YXxpWz9Dmk
XWZX6pudMzJu5mbg/HrRBapXKbfVqlCNfxiegSX8zbMc3UuO6M1i9WGwvFFyDghDgyKfMrdvCMNI
o/rvqLqHTIs2JhUgCCKPNBRCnwcLtRaVTcyamFj1scRqm3FuD1IAXS7lsCtuPemOJpAGIo2gHCe4
TwL/6Hz2g3VgCKBY02Nys6/aGN6ArB1Qwa0Tsm2G0bhgWNyUjMCDltGXOc0X03PNdod8dxuNFpMJ
g7mP9ICh7bMRB3Ovkssz3FWb7nof0jLRsXG3L2wiJG77ZMF8MqGd1rXKqTUSGsSRae908RcWwE1i
QPSq+axdmghWaLxieWI5n7witDayTZ+4zeF0snCljNMiOJx5fEnV6G7zdrEtIrdb50kG7kc3kDMX
cXzNi9u+VVemLg+D3p3byjhomrIvRHy2nQunp4PZN8XaTtACjc3f3Mr0kyb+lcqniVJwX2qsjbLT
PCEUyCffjdC+Kifh7IS3ckq3KEQfplkTIjliuuy6k2ulf5hWILLUA4T74WWw1Bfq7C0Iyh2A8ZgT
Mor/SBn+TC3eLoHWiKbxB8IjuH1d/oUc/VBa3LSVRHtpMxvXEUSTQT8LDTGBrmzzzRYoNYIw510w
vbRO8YUyTMOjQhYAl775M5rjUWIJK9ziZH5jI9oGZX/V2JhwfmVpiJOC+3JQGpRH5yIfGCkontEU
hJsk/cdYTWhCi50OIwgfzc0sQYBz0kNyEu8gyAFaRD+QTccg2Gb9dLV8I8JKlnAhwmPemGe1wo1g
B2wSYA8iQITd8GK6/Bkwreyd73AK3/Ugvk4undfhv5xKCcz+upHvyCraUx4EP8L3t8mQkB6gBcRK
DVcTPjnkkXyw0EbwfmtobXQVoCikNAbHV0fRMPJnm+ladqjCLVQSyIPPOQjEHqAUrsAGC3XgnLSu
/8uRBaGJ1sAN8wuvCeObUSjHXieD3Cn2826jJv6HpjSek2GNsdW30cBxZNO5s1KyHNhbdtCEr4FI
sMEp8qOrSWewX5Br3dVBc7eV/pR05pfe8M7rgCXAqF6VYYLvQ/4pUv8eW5QQiDg2eg023UX0Pwl0
TEZWfwKCuZYo4vD1pxuBR1phtwOau6JxcMhJ8Z70v4Zv/rN6iZ2yth8FDRdtQHkHG+pDpMMIJw6a
Yt7QuDLM22D0fxAD0C2kdRaK+jEa2oeZnzkEOyss3QHuk2yvT7ybOpoiEcNuu0iuhmXeEEZsirw/
IVzDvt6AUKHTKwoag7BevuIdbIWdpLKlrio/FSf5uAP+Io5W0Th2IT+0O9XwaoONy3HSvwn+Tnpl
V+ypbzLP/5v86OYQa7HikEEloFuvhsTmnLfaqqoNubLhOeTRNVKZGnacE2XhbuQwaHv4PN7oxvbO
TJ0dxxTfcxtxFfnMezMTeo3JTx7Wr6oN2l8P6dRQUOGkuaqRHuGkmHaWpf5VywC+sNigNlxH2GVM
ivGAaYWfrCxFeAH1Z/PHhJBlolDUexopCdJoCAtjV200Ld12fbfGkKATnAMUcKuM6qYewl0d1ds2
ZtiKMSqxg00cJVukw0a6TfiyMV9oAp2sy9AL63TTimSbyPiQmL6XGbTEx3UdoubXGIYTNVwzdk9M
m4kHoOU6QwXeIGXJd3SrkwkMj8EGW5ce6r9N2GseFt6dbtTbKm32ra1v6i7jShEZKHZoXbda4e9C
+yvn7BShgbaQRQ9FfxC5em70aRtGr3zvcwLknYHPVlVG8LDBnZXxOMK4HEG1Br218zV9B4WFFVNs
637cDg5i28jelnGxJTJ6UxJfLNjOasfTi3GTFMOBxKR9inO3o42Rxdq95btrurEN0QfgZPPS2b0u
lX1tIt+pX3J6uSPbh482nabwIUg6xvw0dxoyC9nBC93e9AkH3iHaM0vYqIWBYDTaBOW1Ywri9/Gh
UaHpT9rBnxsNeAcC3Bsc87Yp+XrIDdBbqGjAuYCMGwO+AjG/GmHKudVvIxEdSoA6vVUiEet2mt14
Rjxulcha57BEwpzkKd7gI40oSdfArp6ITN4NFZFvtrrB3rQd0V6YnJXB5np1bdMUButfWptBDnvw
GVspEFQUzq4QBlHMzgaIZmlOc5bjxiAkOqbFYsfXKKs3E6CUQliojO290oJxjgV/Ykwm6SVHIkV7
GkPztDFUDmApcWFBRK0ebbq6R++hPjsQWefPF7biPZQIHGe+xppzSBUMz+nolUp6SXz7wAEOSDKY
a3N6CVpvtnJr+klt9P1swp1VU503/zx2GO8ZKu4N5H5ha+ySsjgYQE2SBmH+ZO4Dctk5oB87OyWI
MAL5tM51sW+IlCm6ghNDfQqM7Jx0xqkoo32Ac4XEtu+Cs5XGmzdUx11rmjsrHTxqxjnVeiQtrHY2
iaJ6URBea3q10B0OSqzuHTJsKuWQdbanmt9JMnpJWW1NxTwmJDoOkXPg/vV6dV8r8jhnCia8Os5A
WeesEv3fMGta0nabU3UWveUlGHUBEr/XRX3G3RxUnwM5TDnXTVe1TTYpGyToOKYUoidNrqkrd7Nh
gx75ZEKIBOGp4KpF/LA84KLcK0XKoKtDNzsnMcdgBg8lpy5yk8Ngx4zrk7mHAW+iVDeQYuyLZRSE
FDBDvTRI8hykTiCxfMTEsX2R5vjo6+4PQyMcNjM7cQnK+03L08ztAuFolCk8pzhF6iwpP/p+L1u6
/Clq/yVTqGFSc5pMdB5tmdrEbpEVFuKowh+Q01rVKoWz7gicHIvaKvKldpQ6UQhDfhLZX3R7mMoK
MpO60U+OZjp9YS4cP2nWK09O6BaepgJBIJ8dvwk9gEMWKhx0mv6rAIoRBwNoefca2hx64/lhFPxW
eE2wvrqk4JHCVrHeu+pZBTBwNrrgvepL/dWkrY1Q2fE0EcRkTrbqeYl9WDKDlqcGUsa5UPxuaoUQ
CAKvP1JtfDGNSTK2StV8azUXRqEEfy6vQl5KLsFAahIF47+MAcc5GKyE95AboXtiWcPQkJ2NKFSP
5HS5bBctHZks3FFsDlswlaO3YGkIcAj3LFAbvTKGW56T0wHSgQK8iPI1qw8pcxr0giXJx4ZTQmt/
TmBGsMSWQ8bI/Msu2G0a/OvaTr1fqk8dqglaVT/ZcQR/KhXON7gR2h1mRIOlgiG+T8v+92ulgiCf
zK3WHPExHjSDT+3AA45jdNgdw3iW6hSQDXhZMi4VohT/70PetyOW4nRI3tOeQ3zRZIs5O3kOMhgy
Y7tvAijaht6l82ZXM6wG9uUpfuusUyWkWJkTivoGenOusuv//kBjRykeNkdfG3/CrDSvMcbLzsHa
NPdswkNjAFye49mXGMflb8tDUzVYcKx6gAcB0G3Vd0Skq6k8CFe2T78vzCCdH9N+dVpyb0dDialk
eDDunOq7i0iDPTQS/7Q8DGPln3I7+jtE5C012kw/iubPiqtKM+9qWohPlofGYJlg9nJcnlWzgKnM
rauB53S/BOcs5JgSXSfM7eBvk4pK9+6/5Itw1P5Url2wX0fhRZtUhWFYYnB24jvJ5Zv+74/0+9xp
1QRO6BBsl88sPxNBL3ewbhH9DMY8t26k6gjK2oH+2oxXDLU/nWPL/djr86RURS0PAhCFpKsqGws5
4nXBh1VV+pBD2B2WZ1ZgfIdV1ePoawYMg3rlyZmJ1RnGq+TF2UfR6J47q/qXiTHfLc+WB1MjBtxb
/oqlvPLUQq5bZ8QaEJf6O2RMYugHsXPMoLsb4t7LQVxdk1ErMKLujEqfA4UoK5yWAVlktPGXj/Oz
H1Qfq+BA21ob4/Ep7CQSVPTty+u7vNK8NznFCoSIuBuw8VpCbkef7G787gYKovmhNwJmFE1sovRC
BoNr2G+8sBI6OcG4FpaHqseqIFCXellMcKum6awBfkUvPJua2LMAvMC8kiblTB09iiR4SfLwRWnC
LVFCYt/RC98hv8V/Wc5Mn3nxkQniK7ujD6eqCjeqMpB6xddGodMdfLdj8OMOe1oM0avMWIMNtE+/
MUGJOUmsO7SHWl6cG1PReGtA/lrJ+ZePfLT0TvwVzVd60iIyqFljrxi2d2WhZY98QjRQdoGCu4Hc
Zd0n89BpiSabe7liiI0L0xv9YqjDv9mBT9+sfwkbjKgWpfq+7eEISGHTWC6Xd+Wrlfpiy4CIFj48
u7HW+12ptH5DIi8LBj4q51iEb35oOAjf4wekz2OrTeMxgn/KZptn6Odj9+h3yVPEgZ2IBAy/+vzQ
VwHH7LgS08okcdIj/RbL6VzZuGoOq6DA9T1MfBM9CbGpRwSxNvRsz31mMO1HTFTr4UnMYBsnXyPL
CYed5rYc3uxyjaTOPv0SsiyREgMsW84cMqevpvb+S91aDSbecUBMHMF+myOs2rGz9k2UvbsIlNWZ
h6cLxrCdEadveuhc6TBJa4ou2KSrS86b/FJjuzolDdKUulCLCz0X3TNoqK4ytzxXIbg8QsHU3ayj
O5ftNokaQWsFyakdcqsaumzoEYkh3OA3cLFXpBmXHPnf0aoUZz7jV9+11+roH+yFAeQkCP4dafxX
jeBTSLGNn+ImAD0lJ/spbQd+9YyXbafmRn4q69J9bZ0Z+U+Ouc0RKdDJ6hO2ru4bBJBe7wKLck2A
yLJLdbSmlrNTNa1Z5wNe1bghygbvxo2XK6b3hjJYSW4RhMMpqJ9co74HqtkekWzBWU4M9HLz05wt
+iJokdlUQGp5G/vBPsw/MUjrcJQhYjT4B6Iy6Evq8TPbDWq7ulEKZk61vXO8QhT2oU2QtEXzjq8r
Og1vajMU0Q5e97QJjglUnh7UxQmapadzPJo7W7xLUuevYxc/Y+3Wu+V6tGla7Dt4WbQ24/AAYrHd
xzWXQCBvqX2UyctVDDXJEGZuTo3xl9Y31PHzlwtiYIh6GXYX3o3NShpFeRQqbg8ED+n592IRYpMf
IQKT4+X326FPjkHi+AdzSawlKL7bjEAhVtYwz66nCrkzJt/T8rfabRgLMnAUoutXaq0o6komWXUs
Gv24lCvLQzmP6YIsejfa+Z3tRrDDu+a5QGKGcz+nAVo51j3KfH1lZm2zzxF++cxlYPzl48FWmSIu
5YqRurgxGWmkFIPrhempdZrBSHXc2akdoy0jQUarrATDJJDK0rZ+YlyKWNrAaZlMEOcaobd852j0
AZiw8eGX2vs4yPhJLUlbd0by+gLdNenhjmSaB91+AV45ha19qvRBryQUVUTD2uEWpvR5kFVybFuB
usommRRLLwpGR8D+Cf3o0RjUlcwo0G/jrpuSPeGPiF+z2/KwRCvPkoX5PeqK6DvVNLQEetfusH6O
1yol73JZhH8XVJVIibWWohdZ1tMBWJ8iemR1vRx/38+96WY7ANd4vkVPtsRcpwAn/FEaHFNKreoX
d35AgJif7U7pbj3hqbtlafjlsJUWwjLUJvptzCJ+nQJuSCUK47Z8LMtGcUgAw5dOdVuwBwB5O1hG
8zKolGZ30ay9WsvkqkmT/K4IyxKRb9bDNWwgBZGZH2U8WA/fRxzAGncjM4VGk1Oley3NxDXAOoWf
1tXfg7ENmW5/VNwczx0gicxN5DZNkfqbzHs2bQycI6HL6k3I+HbamPwZjKI9LMFdCXPpPckgo/uF
Jix4VvM+ultxgfyQbDtIY8GqzYBDrwIlFBdAgdZp7NGYzJQGu6dFiXiANIBYcS/Lx1wgg5chTvV9
EZovS/kWAvvlME5hDahgH7OMkCk5XpfLJqMULbpFW5BjfSGPWVL7V0vX7St2vZmVGjriI3NUfb+U
MAGIHtWPSV2lRfWkUlZujVgizja6PtyYUMqxgDOg6HJa5f/zQUmHR5ANkgAAWVYuc/6IVEy2IIwd
d01X6gcZIoQvhUizGAkiXUkLMoGWyntOvRl8RzvZ1suyBC0PbWS566FiABaNZIytISYcGkvYR6lo
4VNSS5pxNo0UO5NIR/BsvkjzG0dPs+mmWZ0xB/VC9FMvXZKszYgaG2JsstInoN7mbIw6LN9m+QwQ
7Aw547EV2LJWFXQ8NtrKP2oRo7ehJBTYVdRnFSz5SUSxcbMb7SeMGCHse2POu+SIcUNDjEN/uCx8
NkobcIyOX+/MRjzIwvN3xoigfok4htPUHjhqWI7XZ7HK/LAwDvSF7kvxEZlYqTqzmzZhZR4DfHGf
SaEARbf7/J7R8NhOIzGa6uSb1HY6U4l5+Wr6Xm4DtEF4/qoW2RJ8nmlEyOO4Abz9JK28jAKI1lOV
vrUDzuGqLOybMNGaicHN2SdbC9gJPBbH92DShjBbzK9oDItrw2jhgE30CSFwdF2WB6MMv5eLF0pa
v01oBFsKUfemJB8yKRh8WhTDTdqcmMq/AbPhBBFUN1Moxk2QbDQBUplZpiMteTNdYsfnHzgXqXaq
AIaACKQPZ/U5Xa7ubaHs2bF2GkWf4uGK5ClX/Rd9frWB+67JnbpaUaDdrKn8Cjhtni3VTbd6iHKX
NwfEnHlfWx6KhtTLpo6j35DcJNLvhDW1O2M5OFbdVhTazY5x0v5en0EikM4seSe2RN2aWgjrdY51
CCOAeKJBO5rbhNx27CJU5elb0eIY6qtpIp+6e5OWH7+AU+afqySb9NgIcpL/cJMo9yD8DucflVT3
7BjG5QkHhHo1plTxtFDzL6gswUKSGUH4hvk82AXOKi24FF0dM+4wnbcg6e8oWKZHGJteFhCtwqLR
Furzcggml9yhy5Opa7NEo4jaaPy0VC2lMRflJ+Dxa6ITEs82+vQtMEgFL96obrU/OgYqTCpMyhS5
d63EpJfvyPNgyVdVd4vrBHhxjyPsXa+ydz1yvXYmRioIMFdxPEG/Dpip13M9uWy0TqWxe+r1PZrX
tmWBw41BqgHdhDWBodolyF2xH/qBprciUi+jFAbpmW1J39zXGneBnTShh4b8yJZn9hhFus8JHcJe
aCTjgHdF6ecXGI94lrcyPOpYb1MYBFcnbmiVmfZtcBubLc7Hwl/46lcWGrg/+uxcU/c+Ny9dOhCC
mlX5zS7jddJAqhHPQxsUoP+q4tKRnvn7H+vMhus6L4uZFQJ0EFyKKpzUq1/ZCAidDo0e5AcvEMof
Re2glgQfoapxwTV8ORk4HoIaI/9glb52CB0r57cNfbhePGg5U7l8TIMStICNat9PnrPcNB+oZ6xH
XWRgnQawEfm8f6FoPfoOEfQwdr6LKopeHTdxbmVs7BFFR6+x1s9VHSUamyCzvdB8A885D8vNP8uz
3Cl1aKBOTeQBnzQ1UrCqkl6ba+S4XxAdBRUOpv9daVWM8BiViTGZyHN35fTVgvZK9Z80bB9Fi+po
KL+NmX9N3QFDh2HKuZug13B0xRqGmXtfjoCN6dPRx6dqDkdsZEug8MQ4yIWiXhHPirSwjT2za9pt
YIbKw+VuXeqdJpCf7ujqjxowxsZlxrZZnqYir+GeMuUD6OTuIjd7J8XvVmXVeOG+MF+Gyf2Kx0Re
2qQMNyPk6Z0lHS4eTorTiFp4bzRkoPhdoB/NbnxBUpIxteZkhPd1xghFDMCD9FxHQ72xghy7zNQV
O9m9yiEtz+ALTvBk5C6Z20Gj+c2SwN6T4njKAiW9RnPg06B0V0kWjUkEw57dm6GfSfPdjMIXPzaz
e5LqH2Zf+ih57eCgKvb47oTMnRymzr4Y5dqc25G+0YgzPTJwq0q3N2JdrCZ/RA1njvwnsvMESSra
Hp1+uOv7LiVDu/7hB3buGCizXRUmxSYykbwuC3hgC/WLCa0Nl9qCDk1XGCmwCro7FVl1YHGmyThm
yXnCJrTT4wa1cl3OOQmi2Ar6b/tMKAX96bpGLYJqFiBwdGQxrABFZNGRUmigZfAUm3HG6Qxbaoti
x5KR/o7eGDfqXCh2TgRCv0YHzNjlpyi7fVo33W1KMoDGLfMUjlX2WippdRB9zGQn1a9tGJ70iRp7
eV9oFljiJcEayO1GTiQwa7SzETqHjyD8ia1Y7ArVz3eCFw//HngaCNXROhPmf3UxFqdyyuV+mgNT
RT6+GY2e3nMwMVsNOg/4HeM0BMR55DSAjUCwPfjgJFs/Q92iG3e9tBP0UNDtIt34S2Ehz0Sv1efl
b4oVE80rVbG2Q942cYqx0Z1t5Yhu8UOrT/zfSePUF/qgb8Nymq5GczaUdyh7G2cqxWUphC27w4JH
h1bMhzZ9Po46QxJDAqYfpNr59FoLyrPfpcMweVED6HPMToJ3hy4CoUyCWVqm/iwNS6uu9i3+XvrJ
FfPGhnSZngqn6RG6+BaXpDaVXT/AhZD9FHtlBAhoiBViWlO9do5YeNrUrd6BtupH+Fw3vQFuvoC/
+xkSnmlComofHEI+cHk6SIiuPSD1Tadm/jo3a9A0RdtvtCZs1z3nmnrbC/K+llOFXtjFdmrNGCVl
H5+UNo85bjNZpDOKUphld0hIO+Ye+WlH93shwes1kLFMpZCcbLLY/bfCMeDiq3a8k9jQIlDfG9XV
SOMeh/CE0OR/Hkg6iZiqBF95Tv6qgPZ2y/Gr4EXoEtiR1AdRRg87Z2DkmRUq26U25hBDv6EEhQ+L
fp/0uBhdrYaJFnfscE36iEILdDCI/WW/HTL5D6l+R0iYhka6NvxdG0B4N2WLtlrCLoiJL15nPgWd
1ytFyMJaOGuR6/IpBQ3CIOOaJo57RoDKPifKOK43ToFygQCPmgqGBVvWRbcP2uHcKOaZEQJlt949
gsp+kYjG4eM5524JiOR4bCLntPZG9Z0YNpBMt8ATyqqpIYcn6W/IOMuqlgmHoBMDSI972A/M6WR3
p/Z7X3oGFr7bvdF3zw5ioJ6re9NLp38kQtlNZH+8UcTPCVw9Z1a3BUE6P2CUJW9Vs7DcOvrOSGPt
xaQ7dTTm8k3mxd4y3GJTTZg3NBE9E/tTHaoGFyo2peb3HuDdw9qu6tZ6+Yp6YhBlM4qf33aBGIqP
NOqoo4d8AOw7kVLFsgmu1urf8iq8lQx2j6JIYEFS5m38WGWSUUZ4C6filNrp386eAZdVNk8yW/8Q
mTXQLCEfcdNEt0BifpqPoGVK06+hw7BSegmb1sEOXCkKU1SLg7ivBNGRfoN21xqVj5Xy4lrYmGHN
rZdCryuc5mBB+ZeDNJ/x9qLYjPTV0OZzsFv95ebkB0jsF3Wn9v+Hq/NYchxpmu0TwQxabKllab2B
tYQGMqGBp78HyZ6vrv0bGsHu6akiicyMCPfj6xRwBQNUMVwby6c95NnOAVon4wZSbZmNhF9ALH/G
nHwMgxFJEFXvFJt/crba1TTP1mlKRusuSq0Hu02aU2ak/lbaVAYw3hDnLsfdWXYXWsXWqww19y7N
H1Ecd6uizbWHfKZfU2sIcQ2BlacUJBeZ3ajduVm08V3ntTX8ucf6UT4bhZltYq9PPjKPIhtgoH/y
W5y+EwjQ2BPV+tZMigu04I5Ps8qsNUJ/qgBic55GxyBgnh333eLiwJUxD8YvhqvFi6Fp1bWLHH8f
yXI4EhO/bbM5hz8Tlw9AcZCKJLimWwPXtM2+GqLa843qyyyL5On2/0SIt9WrAA4qfN9zDGvinvN3
9rqgEs2qvKqTspHl4CJHQhn7fJOMiBc0HSunqm6qsm63mqX7TG/oZXqJhhqPsmyjLpvOvs+67Ldb
AOr0Pc29tnPTPiKl/Bsc5Ubr24oTdt6+mYr8DaEIe4P9DlgaFMLyBBQ0gRPzpc0s7WpUVjAjj2As
1MYu5Dkqxuint4wV1O0QFTKHv7A05qyqxGaRBd5rWehf2GHd3+hfoEQ5/os3Nc4O2eREjBKtbPVQ
g8GGKekNq1uyZwcG930uCZycQVY8Ffl47CJOZ044fKhvpxFnTJlKf9yrNTtrm5qj7SRul3BH6VMK
8NjVyC8kMOzw7rxYabi1O0zqmT+882+mp5R+yS5kvTzFSfqDbIp2TdiFsYuX2pzo1uCeg3+7cgKn
2sPbnJs7206oqUlHCMr4WlOT3ksroYPmjr9TYTpnpKHxcxaIgTgdGLaa9pR0cf0LdtiT1g/1r4kn
Q5rU6yYBcFKKCMpHhM9cc9td4M50LcZ5ZTmt9crgFr2cq/Oa1o6Am4aN0VGXIclS7QqnpfKb8d2v
/WE2zoZNf0I94y0ktSUpf0pWATogKEK+Z8ZDVgosWBCAdOmMm8kpsPzX5GLEkUL7xQ+To1WMWkDK
1xlKrDLDIbu04FT3LR1R5awaex6xvRQ9ZnLiUoj1dA8amNfz1OolmHuH5vNE57zS7Gfib4ttjR0V
kasmaXgNTyrXVDiSNEpE5Yd0ElgsybQLV5lnne1wLA4TdgFI6sxmXcp3dWsKUZeLViXAR+f0F5hR
8MjYgoeLgAxuuO65sUysa7pB0u5/3y41KJkbDnHCT0BFViGLk53zNYc1vsYHlmwSIbp2laTjn8Fl
5VHVM2dFf0VtJfddZpQ7HYvPJg6eAWpZv5IXBEvObx+zVEKKgWOm7t7PHPvZhe9xNkULN3qpiKEQ
VztU5AEeN8zc2DWQqqoZHDimo5GKP1g/6xddN9bMkvxHdcV2MwNtAI6nLueGth4AK32LCK4Hvk3z
BxhR84h1xDk4Lm3pW3w35FUXIkxnAaRyCQv5b29Tz5ixYwdQC+KoQ/5aOlOqcuJE2V66QdxeUq9n
iKjWbdeTx+Bq3vn7wc0ECvlGvnOsjvmFuVJ/2Ok/nPlTHVz0MgKPHmgpTiE7PKkKFX90cq5RgqpS
FSQeHlnO6RsTCvOlDMlQy/qsfBZVTzOeL4J9JOyvX6uR1/dDkjWbPAb87+ic16DwrjrdTD6EBHnQ
6JjSicy078fGdPAvJL/w+hkHztqgoixrH7Z+H+40DIZUJstnDbQ5hu0Rm9vY1UklNq13ffCbIwDF
DXLtCd20D+2qHeuHNB7b+z55+H5FvTwPWKWqkY2Rzn6/sRLmaLVBycFEBFGz5dgHd+j0nS0C+xCg
zdpkTgsiwkMQYOHj2cD5gfJYpRDlusEo7o1HZqnNLSG5Xp7Vnizu3eestL1riSRwAKqxKTEeo3hB
eUyTzL7GGnCb1HXnr8rlfBw5TXiyNNK51NagFBLkzWRsCXkh6d94rTwYVN6HIPHqRxzS5W4sonTD
Vw0RSxq1+zn36Yt0EeeGOASrtHyt6yq2N27sWju6hM5zY/OdkXb0M3hVt4pNFImxYyWP0Kn38Z1W
FtWj74h15UBEVztm6zPhrTzwcsSM4Msc0qs2BO2joVXyLV8AHvTBxoZOgO1YzrNw6OYB6QHy5eoO
g/hqFIwPe/9iZoUPjJFMnu/LRECPJS7AWMNeIlRH3eItWTVH1c2X/NYnGFJ3oMzqS5OO4oLIfx7S
PWGf/FTEw9A8GfjQ4zg36Kd2zb0q3Lxg7H94lc5Rvg3uRqvDGb4sNt2y+HQuati+EYzPQhfkqnTx
qjqVxwjTSZ/wcEEQJTpVXbkyBOcZndVS1ah/YnnIaQHiZYMzqf6ArFkgCEwf/4wWyxO9hXbTVmXK
PwvMdlNiimTV7okU8EMM706Jfcxv33yzWzLtsW3VlfUEE5hGUDqjB6/DbDs2QGLdubtkDk2f3GM6
N9O14mjBwNLoKfObpkvvKmaXuDvxBsMG4tgFaCK+N8OCki9uoGCj+/xug+fJ/Fm1n9LmHVSZp/ok
vlApjec8ddpr2IW04TKkZDQHyNaq9SU0vn2LYlpJUX+XjlXxops6QogEUjnVHtx/x7hPEj19kihF
gmJ67NIpPxD+xPg7MVG1UXZdK69JT0bkym0QNea9bfbv8ZDieCl6ce2K7Nn1rBkN4FO6DHLoI8r7
8h5xdMCvTA8Ahff5pplajkkV3OvLTOariZjLacl8IkmW99ax5A8Px3sdmy7dWfLMxxR5vGU2OM1F
9bq0EysvGl8YD/brqTF+ohBBL6IWqhGJ0Iho3QfqJkmHkd0z5ytYjbN9TPvwD3GGya3CDAnTAWKH
Kj9ic1GKr4g85YWwY1/ntgf8ljFO0CYfExnT0NJFvuC3abK3Zxnxo9jP/w5czM2KZkF0LH+N7bbd
lTXTcxCc4/W24JeGlz2O6SyOJpGJqzCv8qO9MAxUz1pgsiY+MEvW6jVz+ZWnmbHnYDj+TnXwtQJD
WaxNnKGlQUOfJbZuXX2f1t0tjE4Vnpz1C2xTguBUHXHcgN7/yYhoSoBjgdjhgXaXZvEzrzQI+R3N
rhCdqAoonmdClmWRtFt7qZrmJjbP6lmedzPTKuIyJdOVS0/bIrHaQ0tsOmkCTmIceqTRZS7uw2U+
o3os/E2fKXxKKBU00JBZuZndFZV4Vt87EzD7KoqGbpUv0V8UlgfuhIEKi6sw7oj2EEBQlQgkCv1q
nyXzm+7V1Z1uNbh7KiEQk2c5OLKMgYbB2CIFA7sKlZ7Fw46pngkLv3BoBXuSQ1zcpcI++KXOqbF3
7irpzU9oErbCnK6QjZM1nBTxXuPv34V2gVg+LAAneOVEIB9yDfWQuIYB3W62Nt+vxTiRPXvaqClF
dtQ9llh9hidvhHp6hmNcbJpZo8MR1ilBbOQ2qj9Ql0FIk4QzkVLwBZCLWQfwcPTOCUcn7KHlwWeU
dHumLl2r+AShEOy/Xw9jN1uns5bvpxYTO45l8tNdgA8t25ANUOoM95kqgHSCKxmoYj052RcBlO2d
urOWK4fAvLNnkaS+yKCmRYnlioAVXwNgq41xBhceARh2qOgADfKlnZwy3oQxguUZd0rSo8t3GZRd
GNMQHLwELTVEzKwNUIR4YZY1sDeHV24pcYgYoiK95P+4H7DZ75TwkLRUE7KxZ8itLO36cTROTZjY
a/VPhRnT56jJECB60b03EjHC55lMefeGKUCc/dI/qOrD85/ttBfE75G324bW2fHy6MFtu/iC5Nle
CWH30ITCFP8agWXCQnjQ1B2Mmiz73acglAHcODBgYTwvY5AkwqICvGM4drTVz8LA/xrDNl9NjhwO
0DJLOpA8lFVgnHra6YU/PqllBBDNU4rmOYHXefVlyOQvsjLIDUkV7TxdLwko9RMihEzUrILqpaWr
1r4kWZCQR8uhNZrAKKSBsR5DKT61AB+M4HsxoUi9CqvfR7HwwThfI7MOXlQulJ3pf7slabwlKeUY
1j1ibbtsD6lrZ3vHTPyn1hvs7DrbHGXHUYiraWsCzIXhfY0ieof6fK++xFob3CMZylbjcA3jbPrw
y9I8pjMm0CHy9E9+qjf0O7/rxMfhHkQIFPlufD/kqTvgv7CJVotpJHfJ9DEl+R/1Ubqyoq+a281B
T0L3XnP0HOaf9E+gv501jYPpzAwGN+IGBEX1WFb1wiEy8FIOHVFonGuI7JA/ic0uf/TDC91B4ycm
eYrnzM3oEaXznVPEQGgpx+7IVgkP6t7SLawDfkMSlrp0lpM7ZLHHKTSByJCIsrKNIb4fCxI4Vz0p
MuecLVtqtbePYYmvIGSxY+bi9/KkATHxwGqSrLwuk4eGnNw12UJLfDDRe1WSHBs90v74v3w7Re8y
aH+W1xyUNyvXdpJntMyHjD3i0QakuWTGLrEGpDSENTeg+ig7i5iG1Lb/csIrwbX8icAErcqHMKY3
vs6TkSMJaINN5ca/Rq9wPsOyZI8DEQA5o9/f4sMap7iXroF7ueWd9kXH/MjPdonM4MFYOKqM+HGe
B76Z4IwxRGnD1QwXCVI0wBJkUnNCx5cA9Rhp2BQxSnqtck7p4HUnEUjcS4BlApMfUjopQbVSvoVm
i0gBLymzkOzacN/dOyIMGYtbf1gXukNSeVi8ljFgbhoelvCY28lOj1RS/h1mOn3jaFn51ONi7Ba9
gdpcVV9DQDDaGuCH+Pi1+jjbw6NG5k93q2YgOsk81b9C09LuG82614ws2Jp+zUyOyiyvpv6HKKbS
pB/Slj+Gwlkyf3SnemJ9MG+ncA9oxMVwHTLkwt+RSN8inCmn2KJHyBGsfUSGWC43//yDjKRyVdiM
3pIk/BtjYn4Ox2VG4bIlKxkPdYUSSM/44K66NmLBa8g+m1D70fK23is/mLaDC6tOJRxzXsYDwu5j
O9WaZAn3JaTr/XArl+w+nR585swREqjJXsEndfdzxGjWjy1rSyYYi1AVIjiqYCy25LUjRGWEpBlm
QNj8Og0orSRr2Grw++m9byOxh7SKN74dzbXahkhUTZnl//egNikPGZkeN1dN0qLVunjYGRrssJXp
R8H5toTDGEpuwmB4wvjmJjD6mYyu05iQFReRLKPaFQDEEI1bWEmW5oWamiEG/Qoy4exvKmO3qI6B
BgTYiMGyMAHM9m6SxGgW7N/91LWngoTTVQAYTzCOIW/ETpwdSduU8eA8H+AOYTVlUHZ3+zqDMEj2
c4ayqUx9560e0Np5ejwdVNFTsOqvqg6bdkmKRkUa7RsOjGwdJyQeZxo5OUhwSQgiF8tYThyyBebm
ovZeMm+pSKE4bUqZGuvUb7ojZYO7CnwdYnYZYOmMHm9lAj8S+Xp0/B/Qt0QP8Q+1sqZ1Jk40VBAg
ojB5GOY43OSQtIjtmb0T8jUWPg2lgNvjR6uVoksWwJ3nEuecHtCy91ynecJH6t+HJG5YaKb6JSaU
MehMuq1gRuADGIGhlFqvpCA8xFS78CM8kk2KYcFPeaDjkHjRcVIfB0Zne18RUnKTgvey32p61e7q
udGf0uXXZa5d1OiTmYNm3sWUG+njPMWecXZamV2Ikj4CbA0PjmH9audYYskb8XbTAegvekyN9uTH
2YNIjJqwiRhTLEk5lqj8Szp1+TVMWp0aPBNfCYkZuV+SRRoPX+rXXIz89yTo7LJWTuvbZ8s4xBYz
Muu4pxW89HfbidrbF6RVhIn/EbR28ZHq5cGzyYuSYadvbu/QTf1tBzn4MV/DqGh3yPw0elGj0uWY
Zb1WwyRzmSipZ//nMmj5yQks/QIQCerHd1JsFaZVbtUML4/JT/JsulXfCmltCckla/IY9YO8jpSN
5PmZEniHr/E14DPVkti5N11inZcDv5sRR9YHE1aXMhTbAujGxjFwX3vLg0i790ZK7OEW4db4FcoT
Q5o1bUR8Avg4bke0/7MhjwJQxbZr9XrnGXm378vEOd7ekdsuMTacJZb3kbPCY+fU+Rkv+lXTxuwl
mpInYNfT+zCIXwXT4CDun6tlJCGHcHHnEjZjY8FT8iCw6t5DOONfhlRDWvAiGYrsMMJImn8qgce3
+4MpdraXxLGVaVffTovz4tAaLBfhkPWgJMU68hP4PZhwhiDv1mJ2bLTGT6oATgN58BzYGbAn7jMw
9/d26wTrsvKoGmCdmmGaXsjfIxY5ERVxNAAbGhuLijr2GRaJtQDvAUYpb4xmYkgWfv3TzGQFBrVj
MmcHzaaas5nDWOfx9dJ8lBX1cZjzYt87OLg8HwxxbiIzXgZQpovA1LU4vaaVpeF6A6IDmphwsMp+
gpLc3k0dvYGGs1tJRFyaFRiF9QzI7uKjubXqReRvHb3n/EZo32VyGjIjxA9NhMVTaOvOZVjY5APz
3H+9s6RmCNSJGQSKTIjAZe1aK422XYTennXJOo4jH9vslc4zto5gU+TWsFtr/kiG8+gUv1KysWvQ
pW3V6HcWjnKQchEdM62W7Ub1JWEXbEN2JYbViL5XqjHZz1cfdUB2pcuIakoG6PSHnPJ9UX4yiFvT
Kd+WPfuvIcVTJS3zKt38k1gb8ckcDUWPi/qvadCPZjmHV89vnyh/9a9gvqJ1X2RbgG/VPuqmXfPE
Ipflw68qxLcblZ14L8aGu9oog0NWGuH5tnIhWPxIsvnB1Th60e4AK2Vq57aDKQ38AGXaWOxHDpru
yRrIDqFOVTaevseMM05mse4zVvBdYzFhtyvdJDIVzwCD27+e1l0Dp50eSRwl1G+KX+NhMk7o27Nr
qS2+D6MGtbm02GXv2tQX46ddjvjPg4o2XIFueTVDNEef5oDMdrNmO2CJWrvLTa2547Sf6a5gmuYy
a4oLYGRc6OBpLiOG+bXNrJLBMtNIF9Tmgx5CECCym39zqTy6ZU/98OqZWFTPh3EjCcrs5uQXM0oA
Iv97CVTTeYCvicqtLsgHCQf6V5LIVHK3jrf6I4YklPZMgXMPyrKaKaQzGgQmbaVNa130AYI4BsAN
BJISzB7GP6HV/qWJk78BC/zLHJKpVoMjrlC7v1RZfuLIEJ3U3Z8OCzWkJ1LAqL2XBm3x6XaDIOpB
aU/ZBQbwNFe596IaIjApCGZLnoeYtdIg2YVIu4buuaPDwB+TYT+3dvKgeXp4f5taj3bqHJRFYubM
B8TQtgni0ZlLlnq0c7U6vbUH/KVH8H8aBZQhj7d+ZWx5/hEZwr09D+GjeuDve3tJCBSY4QF7mpqr
9XzvV8rSx72TrArAN6eg+KsGyU3P9lxjD5c935ehbE9A4JkujUO9lcvymSXGc6xX2cFP0xLuaDOB
J52O6rhh40mAs4sSM0yJySkD1oGSMjvnFAVebqhvW7Jq6asHvmmS/GgOheq44ZByxk3JpO3W2R61
4aGPoHZhSXaGxYigo1LHoT9ule1u3VP6MX7pfhIO/aaT+DzbWX/Jx6Ihf3TYQ1Zc3aQ/bslO3OPR
nwQhmFAM3pjS4XVaZod41SyAZBWTnWXiE81eu2p0PF+4wD7K2O2vg0R2q1WkDtuNxhEEsDbAgXEa
kY0n8VZfPjP10GScNemlQ8ZZvu+hZiUPwGljOmFMrQBEMXYKrXSVL5Wn0WviooVHlijvhBHUO6ln
6iEwxn+XRqDBJF/+VL0mKgJ9PdEEm7KOcyzvMKxPt16V14P2tfWSlKzlxkJGhrm7xNNMPKd7SkV8
noWN32Ng3pm2CHasyTP2jeGnkLNRWN1mQE6RI633DCg7qf4L7+GtSNDyXN6VeXtRa1vubRDDkZxi
koxathz/+hD6YJKhW749bVOKihbWzKaPtYPTARL6foBOQ4GuY02xil6yvXj4E6lERsv/gsfPchAZ
yRcCk+7YtDnRvqFjbODqjNW+9I6O+RKY/fST1TGNUnYCOnKUXAYpcYGe7SqvTa8eySQbDq/TT2vY
uM34I2JrPShFxfdYa/aQhiQBcv+wBdysB9zXaLX694ZIjRnd2lPDsfO5jgsCZtPgcDt/uuQMYZrv
o6vSxFpV81xF7OnZ4skrADDcCgyCjnAdLCLaIPK0rezgbgxm91ibA/44nYomqFDEhjQLV3NvpXsB
zF6NZHubT6TLSO2aq5TWLD3r7Wya0TmxMW+pZ+NyOdFOPcSBdVCv4/0Pietk8yej3DL2KKUGmiDQ
X0RlNhd1hK8Kethu2WxuZ9u0miWhOhjj+S88PHjBf5bgpb1tFEet6LfCLzKknPTTVHuttBk4pDP2
Pj4dzu7QWcGQoHFOK/frdnfkAXZSchLUzaVus9S2yHDOE0YlvOUHDuk0t+nkrMtssC6ckK9F4tZM
SUc6ceT4OVc3/TCQcGDeRjscwYP1AUR/12AmKMg8dPpjMtV/MDdMO2WyxeoA2GE5PPRWla7V/F0k
TnCfkOfBMNvM1rpwniHMJzhq0Zqq2JIW2s6FnPk7elxdBPAG7DbiVO2gUzZvsx55kEkOOKY9ahC6
ReTIgWtSPTvXz39itxJHmznInnineH0roRqP4EIrHFdjPkwfrMnvgc9EM9dmsuByUmz0vnA3sxfz
WxuLOuq2D6CfflZHTbXt4A3l0M2BxLVI3lUTRjVvDCenJ1yjHhirw0J3a6N+FIn5hpE8OzazNI/D
iGEtipryXrVkEIpJTu/T1QIn92XZqKy00o+fe6aIu7R2ehAIi7ajGDG6ek3/UgSA4QObKrBv5EPk
EFXJZ9NcQz8mISeTMJQyr9qiCGrWjtZXRJgD5iQQFoEelhOoep0/Th8p+ZzLJ7NieWZU2PkEZzYx
4Z5Gf2zyfvqKzPhXkAbFxSqzW9v4uzPstD1NNTeURLHi2aLgnmF/vyAMO8ixj68wrJD9M8Fd12Mp
3oF4Aq7E9bMfPUi9OKJQdek2PhD4TH4zk6aepez3lX+MNCkeMnuEj13iyQ/qdkbtg9/qX/lLI2Cn
6Ua/nx00cJw+mAz69aos0valLMyNkRrihM+jeKhyyvPbGW4qZj5ERpulFci9O9liEzbZj4rAWziA
WvFguxafWtJyUPQ18oUbTuMeaIEnB54EBxJaFepGstNKbkarJCYNA8RLWzQEpDOYAeNBCyOSw29p
gYNQvUChux8ypQpCITCXO3SDaw16waUxkPFGZtfvHBelh7qsWsNGDJWu2oSjvRrKznnlPS559KoO
R+eDWdI07tQ+P2dwnBmaolugcjcIisgXnWwbF+OGVRfiGNIRwiP6XSs7SA7SIZG6idKLvej5Crvp
DsbMSG9jRBslqhuk0+EXqKxLM40IA5Y+e2IKooDKLy3QqoNcVh0Yg95VCYHjZTnSOhiI+Dt/qNeD
C7yhGsYtukEXy8Di+qcWyNel75ysAmWSekNJEmvwKNcHGznOvxP2FD2bEWjsOMfPKeNJu05JixCp
JS306nmjB5epoXKAt78VJKtd1PxcjdNlNbVrj1oDzKaPUM0HOo2UsT+awsaA6OQOmC4DJNfyo6vx
oFpJM69510vvxY2T5qIXXcxwo8JoHoztrnLd8amadEGuWCQ+R8f69+z22mjHu9g0HUC783QuOVR5
aYDDDMEIE6UvbvpoA/TSOw8j4plIjz5uB7uxKpsl+23cxGwVF7IQ+m0SM39olrGET0bLPmWxW4+Q
P+m2Ldq2KiistepY+H00c6iJI1R44Ts5Uflrjybfswv/A9cKABYHDPJQN9bVIfVvZcgiel7k0NDk
xA94PvE9YxL9LcI3jBbSROI4yhc/S/GoC6AwNBjPbcCYDlD2KqwI9woWW1Qf1+GJz2+v0aS/ajQh
AGO0IFoEosX/PYjE/3cZoc/ZIXkwNzp9ZULUiETqPRh4akMxunDc0jAs1wH2s63MIGXhN5+9gxeh
lVSGGR8QJ4uAB263dp/wy9aF/qzmFmmE6R71yKYzIMMumYnXpuo8fUOPewkjtzF6WV38PJtRsLqZ
4hsTDeU40VxLLQC1hf+M8Heg65pwoCoCbI1D7XVXqOWjl1p7LSd1LS/7ZRQAw28v8Qitp0VoNsgg
uHE7qrp+xnBP2JqQFNkLc4DaI3sqRsRGSByCeQDLSWtLPTSLeXgyXewCixuXfq3EjdtG21triDPs
Caw5B+ExdXCsWMhs1aXvNNPhzUpQaiq5OpK0lbRBddxqCS8e6r1P2cqnNFRn2ZVfgXSvagvu++An
4nHn2FIWYe3Mdryv6ArHeEBtQMyROhip85B65hXs68Po9yuraVet+enT2f8KaGVtJ61zjp1ekOeS
gBYkcaXecdPQ6wmAsM34HBHsQjyZhne14aovshd7xZYMmWSVESLJTNO0fwifojSdHwfLPFNtFC9i
mr2L4xW/3LqNr8zE4630HZiRVtsDgM7XjI4iQiJ7FqVqQdmEhNHWKKQcBsnLfV6K5qem+bSslqva
lyji87TbdaA8sfOHFC6Le5y1bFsJ56iUD8xLkjeLZtU60uB2Nz66SiqI80xCzK0zlHOF3daE5Xe4
wULoALpkd5Dm49cksSxt18z1/bu2+6N6hOqhcqJrSuIamkJRHCs9Eee0n2sQGf0PdWgMXKs5i8H5
FXITrm9HUNZfhtQ4U9YEMrt3tP+3JCMuPtKoAlvBDaaefT+Y2MVJRsLapJWT9dBCD1uTCejvkkUY
3BgM7HHgjjS7/jtWOnNrvlozVfD4dwjL6VGDG3NIfJ3UpaZ81/sedij18cVyAMDMhVGd28R7Here
POUF0e2hSXWD9PcT0xFVpm78jmM64knDmMIiiOzoER3/hKPqqC10TuzbpHDIhBYcEIZVlM18IMu0
JdJpwSrXjuuBWGNaoD/1U1U9+IG9VlcFnaZLaJjioNYdt6QNbkuASviS73jD97MU5lE1oUar/kcL
UJfd6fbdMNC4KbuoJGBh0050oMaJW3nbB12+iXwH42gSSzKYNfFJuIO9CdgZj31BJHEUYN657TOo
4d++a30ifiq5Smz5u0dqtq8tDGmFGf2Ri7NVPcTpqJ/UABKrPdIkCJpprb2OeR/vOhMYbOuM28Fo
/EcdUTBdEZH/Ey5XurbSAjf4FHZCqycR4efg6UejasDhNcmlhhb/2o0/btM7HRFCNbvt3wb4uB7Q
ttaE0K5E8iBXNib3vkne1EEO0nh88MhkWsnBDXDsZ4faRrAqaV3BsIDlVhRr1blj9aRBtYRqU6MH
A2tzp5MkWBYRKIWUXazo8q0+oKFcRvfOUmUokso8wg2cbbAHbYbWMLIzJAnqbpP+1jaCzyQbBJze
wdiOYz3uB7Rn1ygsgitR00wqwT150pQYburonCMEoShHjxKZxXBUbg0WTTJOLBoPFkeQYCg+6kFY
r54URy0y3ffE8y5RaDm/sTNfyqYjl8n0Nn2U1puxeIc6vbHxkV315WeKPRArTuYzdFouM71fNE8b
NZQM2hYpH/bKi6/NLdyJfDrSf3ekW73WFhO+ZugeTBLJ8I25/q0p02aojhKDrhqyVSg6/82nVXdc
DanoCW/jWD8SyyVAiRtgBLRA7G81hGvyTUtIVz9I07RQvy22bEqelTK5Em9hkrzCO1vECOP/DSZo
W+Cfy8qH3g7qbeyQtXn7ylfVvEc5CsdnkaQljlXeuTVz6SkgZnFp/7IH8+tWmJaG+h6CICgd4uDu
cl20B29RFBfnyPLgKy/CYjfT2EETjDLhog5xyJYntWSio50PvrkFRsqRszbR3/aS+c1sQWCNAyB3
JCzJnnIYusEIoNg2a/di1O3JoP10UHLlb/VyJnX6Mr6dsElaacR7Hfqb21ujDQMiay8lUz4eunMg
WmN3Owa5E5gUplL5oXKWgKRxKnHRBa32zFGmWf9/s1ySs0njo8mCrjg6m6Nh36sH6Uwovg2Y7eqy
x9tVuK64TIpEwimPPI3Uew9ngd25RTx6KO0HoZv2/rshoZ4JLHIrY0JTpjq9amagUwHJkf+fkmOO
1Dbb24lPc/V0/f338gzWRegVR/VdiTN+9MYgAqYGo9OEyL5tK8tepOZu2oQzZsMmD+2O5rhOJ+5d
PcvavsZTSIDRsBjCJ91A6ehZ1oN6sHpQrXkZhs5HYuTRRsvdnOmheEcNDOrGNtL40idtfBky+28O
EsvYdLlen3V8DeuA89YjGZbWixp7+BJ9DkvJWfp5tauc0jyn7RLRQD+OVon57sRx+5plCSXLmJgv
WTO+dIsGkTZUv82igTKGEPp47WvA+KomkmdfxoG/LjIfArmP8NYQ0dPiB79j/Fe8pOVT2YBeL82w
/xgslKIT5K3bM/Uandp+NSyv3Z7p2WYwwBfDdk1Jj73cpqiIWonapENGEZ2GlCFmT/B9El7r3rFX
5JaRYa5F3aUZ/ZcG0s+xNWMD0vh/Tlv1zCGolWMlakGT9KUo7vrnhnDUByeRtyvXKuWaSmmakLmw
1yH+yMCTqs5h3WAbn0wkOKoEki33DSOUcKO+p/ZUcexc/s6lMsZSy5Gpa3dBKsFhtiiEEI7/0Vuv
fGtQVVMjdRPT0OmPUUq4W4uFvAthcrQzJ3vZY3yE55HSCprFRmTz+xygZ0cgJ570GHlEnBJT6tHt
YOqKUpqpcLSrR9RtnhUxP1uWCK+xvlr19WDXBxc3QypeJW3U4ETg1FaTQmA1DASVBDCNECypfbyx
7PJUgu6HzDtXxQHjHVZatmAbQM7RsgvXu2FRsHzBRrHMj3ZwBLPzhc4NiZK/OHGcYUk6mP5onW5v
S9QxKeAEPO0KCZvQaKW5myNb+qvUsZ27WvzCD5QwiWmSB7E8awKCJdxi5USGuVMjnAlIzGrRwV0s
I7Q2bYrg4q+se+SPjiQ+dSls0TsSRqOkUsYM6zr1+n1ekB/bJCD5v6lytTZ6+C1wGpK3ydQjOvZL
znA9pdm5RLZK47jjp2rmn8xd6SjV8fiREY0Qj+nxtgLcyAwmDnIOtVDPDGzeu6QDgMmU75UtbNpU
otXu+tFw9pnnb9kmF94WSln1UKT4RRo47ke7/mgqKj57aXb5kUt+sCoROedQmcSCEO5q+lo4fDWR
hOt88ouN+b9JQ5zF1XrOYm8vpIkxVjo25G45MrnpXmPL+NRSb3xwB/c3a9iKPx6fKQsZzsWEwjRE
t0RaND7r0WyfCKd4EvQtzr3XP6phrFzypNSzTO6ZDeCMwm7e+zoiv1g7q1l1MjnxOiWt6NbNIIf1
UKWDAw8FGNNQNhw4hhmeeiahhjEzXtRZptW1V3UVkC2INnpRMWH6tNZDUJawwTyOr0vFV7Y+4RXR
tGMu+zBMnvhM7MglO4ngJMdmnVSa58joYSIRM5cVGeklatjie0FwMS3/Agym+nJ1m2yeCPS0tE1w
6/Q3j9ECx3T1+t10sVHfKIup9qU6dw09fbBW2lodtM3JSR+qjn7D0N39P67Oa7ltJcqiX4Qq5PDK
nClRkm3pBWVJvsg54+tndcMzrpqHyyLp6yAS6D59zt5r513YfJd6c1MZsP3SXAS6bryWk8pSTcpD
xVSPfZZ+8Bhr48YXav3YicyVlhvXyghozZhmXAKi1Zu7kbmH0bU48gXx96I8AcMFcyBuTovc3qu+
OtI3b2N9jBQlvPxjrYHFGS7cQt7em8cX6tyGaD5C1QurYLjUaPjs9CCgOIVUM2kOeeO89e/9RL9M
kVftaBaNW0sn4lahbb5xkVB+l62aHJnwDgctTn8WwWw/IpKGtnqXIv2ifvC53ShtG9133+m5wt3t
I/cdHy/yr5rydIpfmmSY91oLXFdnuA1kxj0WM4oDLVbPDPNBzXdj+5Cd4BgOGPOndcR85zq7oAQi
h+JXsfkSypTa0NEEPN4Zf+Qh5BuBROm0smeeCwcUg0OA+6ydX3q+5KdQs7eENswvoc9bpRABBTPm
c8BANdttHV0C1vPD/3s2jKQIDKUgjbWhyrgRT1WHGf0ch4QVpzaNtkbtnYso0ZvK7v5j2runlUgK
HFbDnTk6eCpB+f1UdaQ3FR6Ir8Fzd0YcKR9OHk8QcbiavYl+cldwqJo6wCy2ZpunASvTCqVTde8s
1VpXQ0H6uhwrz6qJEVEodVqNDlDoJ9ZBtgzC0XktUe+te73ujrNlD1cHkNzQup9GTl+P+84MPH+T
wMw+hzUc2lLBgVf5KOzV7AdJC7+awbm5/fglzw9dQb51lk9CTkjRi8hCMLhrhqvcfrd0gkf+f8tW
Z3NxkVZRrV2NZIw29suXpu6bdaygX1eQq8vBH/6I7Dg4nxa2WiJLdPMUVHSBHT23gH/aBrgZUBRy
eJmxyzNwOWMgf7gUXIskBUqWhWa77fdKCHOq9Ep1EwxD9W5SszCUeFPdtD7LJRONUkysmttvw9+e
g45bNvETECrbMkQMi8+IWYmpXAmD95P1RHNg18dttTEQ8D8002jRrRfaWz51SMWRHsOPKwOd9PB4
NO9mTdM6761klQwppgP6zxg0aGLV6QuXhHXEG9w8TRsSZjzgDeCsU9z+zEu9PbDwhdsYBHAVuFN/
1VNiYNKOsCaxrSKz638Mxmw8uZ0BTaNIsO/we5aql5Q5Ugr50eTLzq36E5Kzs2JGPkZ4+10un7Jt
YYiUpKraz0C+MeBBwfIrzgmGqZe7lsjBlWnax2QqCaLQPHqAov0nC1rL4XTY0UyS87JM075Hr7B2
ne/epII4KqZfGD2c5zDCmyvgCv3Ucv4Ip2U+b48NIpusfeuSQPS3I2357Pta+1uERj184yAbfxYX
eV0AUr+XrpNvHGzZr7pSP8Kg/5PEloBIUotRDLVgHrIvWsHd+DFnA0jg/7LB37V257CWF7c6JCGI
Ds/KaxJwDJ1WQYIXi2rn2S+DXjxbsg6DsECMUihWfdgvUe7fmM5GeAoMjDKRk+xTUzm4L7OTKIDZ
x+Z7rAYsLa3GzLZIjARklPJm9d1rlOr+0W07YGBWDDNb1hlmwpmaswa6d+oaVMHaVT5oXePTBU4J
D02C+bvkz7uaqTMcwy74nrrJIsGO47cRTNkX6HOrzog7iJigaDgygJEGCJDdLD/Uhv4HMVN3+/e+
fIm59y1XEmAiQjolH8xk/jEVprK85dutsS5b8qmCIU9JtM7TnRm0dMkHxYr2wABQ/dPxDJ0CiDsF
hxyxhb+JvT9lkUsvS1Z+VPXWxUwsGqWQGYPil0EC2F702wbbakGZm4Irx7MBHMSR4hOzNeYzAjHQ
yNRtj6s1gkyRd596lnDZFFpw0Kfp13LulZt2YRrFJgimn4XuVJ9kPMqiRytN4iPmCQa6ONQ3IXAN
uwHoRXaIvuPyaxeT/r/DWxw7/q5p8ms1j+XZzp0zBvVj3wGB1BSaRPACmKL1CtGLA8s8ljt6HHWV
FhuvDB+o++urKhrvJpotLaFx0ruBwTKjkw+Q299tMr6zd2CX8WDryptOtaL5qpHrAoUZDZwoaohq
Pydo8vjqhfbdA9yUeP81jN/EVKd9eJBPUKSHB8ONFREyE78qVfSkhvWIra1BOqAq06UntXMlK46+
R3sLKo4OVUfViz8sOzJuK9Z0u7VdrmvqxvZoP4HLidfqpFj72MmmC1KsjQ034YaC5AcnTcSygQjK
5PCLcApbxwFSW7VWbcrirrHezWoYxDJPpISj0j6XmEh10NtboWJibzXSw1nYXhCIMxYrM7qUAqvg
Yn1ecbz/hVoUI35/n8h+Io4MjCw4PHdLgM74UvTeMljDqHCMCeg84j2PNlDtbKFoKaCLoJSdTQXD
9cRExPKCW0/r8GhUNXvr4GgHfOXBYZH70rQ6dBO5enKLimZOgRpQ1kMKSxdmapI+unx+Njodo1+K
qS/O9btOd/zMqBhfikWiWKLZn02kRzjo2LnkIG7wVf3cmul5qM3tomgaSjo4fWSNt1yr7Y1vo44t
ieeQBV5Uu+vKHtsffpqe9LB09t5QThtZoHP+XA8GFnSur29XG695bszftH2LzyYw/msZvJ3lFANJ
h3EqR7tYKUSDrZpo+PI6wbjRy+eKdv1VCg59sM3IKdrxKdZIcpcDgDEHTKQhmNyYBmzVsC0OPhef
NL+4GD9OsAmgdxj2AJ47NnaBeJar3MNSMp6isV13nuMdRiuNnnObTpY4NKHsfpWspJrxRW7l6Rm8
nLVSk8gk2MlKj1Ftloe0dIj9qYlSXRo0lBnrQjMJwCnUbCf33ClGsY2Hx4QQEKgsSLG9URu8p26E
cCDIgGUSXv3E3hPiz1b7k/RjoXJEZxZBkTddZw/HOPzsY3VG9T40+8nvWfwdvfvDmnB3ygKxWJjn
20yBxPlvEUB6iuxlnv1NgZln65KMcYgMSPFYEqaPid6baeE5QpuhbxOu1mvu1eXK6ml5c53GR7U3
2pWPuO2gYy9ipiQwuAPi8orimdo85FQBYEjK5wo7aM6LEHZCM9+1hI/RPDIfDUcQTojtxzyxJqxV
H+l5DeF/z9XKmUYJaXyg3LmkIgAwJDfuYlcpE4yRrC7xyvBhVdkO6faYiZ4Kowk/p7Z3V1jJ2pNX
zNfFmR5kH4Au8NOSafRXml0n+j2rySIcnemkJ4TAGVIwpQxj9aLEho4ar+6eFrSu7F1oiMprvMx7
o886mvpa+oKd+7nINbKXav2lM1uKIWGdGIAsx4Jnw3lF5c4t+FnkS/Egn3VgqraRgsYuzLXkWckN
d8VPEH9n7afeVOGZzQNBhcCxT6mfXJy6q7FvCEUX8Tg/LPTC28hQg+XjNfJgvXy6leePt8C/VT3j
ibgoB8DhCFW0fkStWMRveaiCy4B4owU9mhIxjpDESTSHFJ8BWUTCsF+HjJ+jcnQWLSSz4OLU5+0v
+V1qWiXCoBE+rhzu/0PA7ozngTPV7M72sIkRfHO54YRmX1wv75noEWukKHcbiIYExKdH2qz+ri/L
8HVIjWw1+fEfMvKi175T6T6rCPe3VRB+LMc/Inz9LX/WwSwSDf8RM+I+GHD0yNOVYl+wtoDYHIjl
cXru9HWsVvuyJW2vsXT/TBsmfwW6SrS6jwUxj+JL2JFhpmPdZZhSTWdiGO7oqWamUOCw/7qqOyJa
59IzTrQr8BibtPfdNvmrI060ZN+I2WaAU21jEf+1lu2ypWcGnQsACGNkHQ9hpwTZqq3jlqBBHpQ4
8y+I+A620JrJt+Z4/gaKoCHNSu5yO2PaGj/JVykk2WXshspnWOaaZRAweBYRGNLoURVMQ/N0KrgN
sA5aHd3UuPHVhxwnqXbwxwiV6FD7hX1Ls0DH8MUPmtn9i+cgNtf7H25ieDepjWVJ8O5pP/wsS9y2
mHy91aJno3tkXRrl4vvlvAiq/7bkvbk7F6gl6FHO6VdbantGX+lVGf3u0vfWYyRd5Y8JJcdv+1fu
cGQSVf8OuSjfzwOErjDJ90o9sinw7a70QU+ep9KeyNKyD3J7lQ9DFKOoKXF9JsXvqdXqlSwjEByh
upR66pirTIpS1RQ7PHm77rCuW7R3Uu7Ad8j8lNJvFUYaFDHR5JQP8kvUNHqApapV5MXhp+4jDeCM
5CikHZo4CdSVD/roYUePi/fBTGCuCmmNg4jiFmKAchDNbhQ1w+oUR3D/lSjajTndIWnYhVJHzok8
ijtqXG3o0UXJdFombbSIiYtBZl1ABFqEIGGb4h0GNM+pSqC3BZZcPjjEW0Expx3Yl+1/gSD9xGGs
kNA2TTtPkH6Kuf0KjY1VWA3ODsT7FkDjrcNeCHLNDbduRUcoa8F5wEzkH1p7ziWyyJ5ry5yjfJBE
n3Mzv1X7IGnS30XXfDGEKH/PfnnrvD9SWzK0UXo2s0iABj3tEjsB5xnFw0S8CHzKKd8YeFTOgZJZ
V+VNShTkg5S0EHiKuNUh+q4Ar7uJp8B9plmP1Zicbyxh7O2ool+IqpzZKSZu98I7F2MakXKtXshW
MX9UafA12MHdiNz2otLGPkbz+C3l5vK8FhKXttLRMhylaKQxChtTTddvalj1Ur+EYMHfx0CVVpET
xJ8BQbNIegXEBs5YlSKNsLpNYpNkaSjzZYgT4yno1RkjTvaFUtE6F0F2la6OOXvIBnLCWE/1f7K4
TvumNdWL5rArlkaWL31MzSepJrHoicv+gIdmBvmAcKmOOSgq1t4G0s9GVvtGUqr7Yk87f3rRdQcc
WuQ8uqw/dKUXPLRK809DF2bQkIpoa3hTzcVFBEg2cIoLpuE3Yn8wM0r1e0yCczxUoBXExL6YLI04
SCp8WTTldGtXqOhbxFPERS26Mr10H3IuY5oYbyAEMZy1ypWG2vsSdHOKF1wochqcFXlimpeSTsne
jSucKnKQEqjtWW97erxgMsiISqNDPlT2mpaRRlzZaJ3GmTwyzA7ABjKWrWpCeI+CTgQBTfHzzJAN
p3fjHBsRtFF5mNtX8mkggmay3qSTkxFPtFKz+JONhV4PsUW1T6oQS4PywzQ7ju4DvUX5MnL5hB2i
FG1Ri1MxoB2/yB8QodN36k/xtkfttVjvTEGXWzqiZFf3m8Ei5spRp7vvm+InCmOfMGSgY7K2SDXg
1FOFtg8KmZtpl0BpQEDqobFDw5tsZT3aEpXqgy5aebTXD/JyLEaaLcvfMju1tnXJyxUd6lhJ/Gdt
RgJt2/ZXRobEc6jMjbBueBuS9rxt3yQzn7uB3q8q71NaYJUx50OE+OvQeGoB1o/Aq0BHceb1uAjl
g4sudnn27z1H/GoyYMooIUlt/v0C+KoDOY3ndpwKvAL2Y5DagSilDhAv5XoMFNMgiNZmccQ6fwPa
V7j4yVnqa9f43Ru58tDgRq1yTWXYaGVPkKVAgGbUKoptUauO+I8LkfmTxypCjKh6m8X5FbGSKvCj
CPXFS43DQu3GNd3caqKjTOgO9NB10JGmoM/lF+X4sAuyJvmBUi4BipgAHSh0hcEWSPFpNxzsqa6+
E6Fx0dDRrNBv7iDFWb9yHX6ibOo4XVbv5hSRSjmZKGqpLA5h285vKW7ar75taaX4HtZWjE5xqDWP
uY8YKoNGP+ko49ehzljdIwMBQ5aNIpLi6lqNJ9kpBE6tX4rM/iHbmX7TfBe+44g0KqZnZe8/FS5b
WV9zsjDH2jlmU0aIEf270A2APMzW+AQZsjo1UZKuFAMKPa2Y5yTj4wV/c9RafcVQrX+3VJDZ/lT3
KGcB3MkVhILRuPhohZ47eIqrumtdDtKMQeXS1BaMqtIkfPyb8ZQDW86gJOMusJPxaoUofno9WQRN
IkHlrkIhNduxQ7bsjfu5c94qV+n2i+0Pj/u1R8B7H8zynJa1/yIfwOs8kB6HN/lKgSUAbhIQUuvF
yksFbuWvqtOO426ltY7zXGJ9V1KvfM/w2Py9FwuwoQ1xXRXbVDCgfeTSUchLEvtOzQAydkFxaQDz
Ninevo+xAtnYEmqddc7u/+EW6hYh5iIeA6vwEYP3etUJAm5Mdfq7KmWkvP7TM8hndAKqwrtYFjEr
agy5Puii+qXRYOzVE6KcutKrl9jDilx6yqvqmu4jgyUp9HBVRYajiYlmaQsj+Gx2PdXphgAyQZRt
tf0cxYe50b2PQAGLyHE7X5V6PQD8FI7OOormXV2hSSCuEHu1WjkYuVXtkOV5x4nJzxlo5+He67zx
5tKgRP0dUWcJr9ici6gtcrBSc2jnVcS9uDLqJt3nIYLbjNoYgZCwG9G6G9BahNMKNHR5R8pCTQnc
WAKPR4cpcNfg+EJpWuTr6css6+mR+uOD4JqXRcjWkQZcVsMDgAMRaQMjahKZHzaNrmelpXe19OYT
syVl2rfasxrkP3TFpbNiOfk6G9C7OVlgbkPOi8+wkQNIZAohrG6bkaHF33cJnfq3NdX5Xr5SPZUO
TpbSgZWve4ITNx20zDU9uukif9nEVm4JWfx0cWbH2kfMNuMsO5SReejnIxGR4KU1T3d3s18nG1k2
d42yCXNrB9obrpY+BZsQvOwx8Yh6moy70zP24MSbVucOz5s8Hctp978H+d4AHQE0d/2Q7xdiUtCU
s3LSG85daceIpXL7ZNuYTAJWYWdj6/egnS6vs3j4GpvkPz8nrW2piPhXvtpOp5/Cwq5PeVWFF5I9
OM90pYlD3Ig2jdH9YLnTXyw7+ajxn60ybHMXKcg3DJT18f8SB62QLpY9A7AVlljdcr8LfSahmyHG
JvQNCLsUia9LcdqXXKWzb+9VOwP4jSv7ZPhGc0sxh2yAEoXEM6kdGYuBtZmRtZ6jLiV4NyELdWl8
BErNgV1P7BVb+Vfn9e9TlSZby/A9gLXtLSDK68WZI3c/qGQMEAJ8CjTN/kmQxzE2M+M6gGP5Z2RR
FbjSY/YYRJbHzEiP/8obI0d8KLKm8GOsrC6GKUsYPT0FFKmuIceQuqKAMLoxMtZmWhLS5To/2TKV
hSn4T5+D+JhtopszZAzirnE60lbMAL6r7VTf0OAof0xl1tcSWLT8Py1IQ8xk5XaoQGIzUDB+Gk6I
zyJwdq1rGPe0ukB9WMFwjymOSVZrV71RdpflqQqTcqUdA5cT16IA0O3M53sVk14VN7ict/q94pxo
x4CIpYHoGIq381w6OTIkxYOmd2iSyF5e2iIzBZYtjm+sulsni9/TFm3k3oDEc5DQSASt9NRljotV
GS+uMimXEVrDA/7DZy2NDyLVHDvD0Rn79SJCJSdhJt4XER5jBtRPBLqVu1jlPMRolSqlHcO1NJnp
RoBnSD6NS2XTEe51m3rQ4+DNgZhKcbH/sTSs6pooEZg/d3/sAeiYQfFA2lbc6Bke5atZvBUHXG2B
X5wLq/8Tsge3Ji0/cbIrnTJdVdqo88+xmVaWZKFkfWhB2cKvQaiJfPBdrOPEWFnbf+/Rk05Ip8Ab
0rtWsekQiB0aegTb5RxWBUwVBwupZqWBniqSD+noG6rUXjcO+O4codA1z2YcDUiK33LEH7EdPo3a
fdlF0YnsEz0Zb/PYMXWvsvSWxADn+ZhO2tS6u3yes5OF2u9okPgsfbTIIshnBDAP7USszVOsRHsC
spmUmp579wwEmKEXcGEKP2uewh/xLN88mbPFMq02NAGE3jUMlHljJQTAcWV8mz5ZJPIqQvpzTrvG
3hb+SA6t8AxrhcjgttMOt3OC7DfXvZOucUAza68hszVRtwKPSmtMQ5cknhWzeYmzUtumJdQMetP6
E+JfsITAGlcTs9n3KM+eMmfcy/uqiCYdJbJQ16k+JwVkHmyXcGFiZXg17Ex9jgJ6T1zKs5Z8EEjp
bMLJBkNvfEtBNSKuXVdhwiuNwICPJggLozk8xQ6WEwnk9jyMurFySRucz8s9ypfRrWSl7xNDfbYn
srCrMSM5m15sb0XRZzy2qECTHbkU9wAIyH6R59cpprJ8uI1u7V0Z5Bc3QLU3wJ/Fk0LDe/vvmTK0
COhNCFaLrMXTmdN6XUUIeGmo+9EmW1SKuiodHe+yQKWpyKC3Q+vidg6cS8+wTxOnpicLXRoTGesR
e0X7REu4ffIBhRxT1rqVQ7EnFR0O8K4DehtnmxftuBR7NDTBCM9eRMyLSkSvZX2Dj2PHGTr/qTOK
VyWuLA702XQo1PkXYINqVyHUIkE3D7auz5KiaEAoJH7PbzKEcR7klDLLd0GKI57Mvps3xz+DIVKe
MTZn+7BUp5uhQRvGQvDpYHtdIXDmYsWpgV+S5azHwjyFT2qVfLNRIVSwJusV5PqwpvmbwtBWrNdh
Zfy2i/xNDuUt1W33rJX+vq0aVkr44oeMKdJu6fAgQ2d2k3oHeJvjuxaZL41dlgm5quhTqojGIPr3
JJ/JU9JGZQvlcDwDrYbrMzf3LPigGVPv5UTB01/wi0FH0zl3yPauQ2JMa/ZM1ereuNbUK+S4cnue
deQA1d+jTeAE/+Vult0LjH72oBFwiMELz7Q5RItJxOUW9epgl3WedW1BIzyXJrRJGMA/luUkCkg4
ETYKeVEPFaIBhlbVoXIJKESxavDbw+FMbEm2TkSGwcDxiizl6VEaCrMSMYHUmIyfWj5DwmQ4jTOE
SPee3ST4Ybz2HA0V8obeoZU+w2jiAoj3A7RHdKDEKoci0J6DVaiQB93VT0GkvLtCcZMzGNs5c1Ae
kjjjZD3M/VkewarPEgzZ2hMrMeuO9aIkyFa02vTIPanIcp515pV2V6/1FMNMU8wdZt8Uz7HbDs2V
UXMDpSindWAc5Qv5NqdBbVf1QP4c0feQI3tNU5DfYhOWb0VG9TzOGJxG0iOOrQ8lwrbOeQ570i5R
zg5CAfjvQQdUtmL0lu1NU8h5oFYcZcsuAwu2a6rBWAeESqyQhpFf5pf+nbKsu4RttmMsrpFNqlsb
yycxVBUNsETkT7TgVBGughLoZ0JOScTaLWpjU0MENbkfqh0Nh2W3JrcHc65/t0IV0iHn5I3824nJ
QWsg7yrZIlIsVG8SY5DrBPtU7aTBAi1ei64aAj5fEpulL/SvMaKOg7VmzyblfgDE1SNilDMGDq3e
UO3/xdKYYCBwwOiY2a3XvGCZlRcXrS1BFkbYSGzStGaVTp/N0X3QrVBeRW1JSboqBcOGONGSfio/
u9KP5V0+q2aER+awbxOtXrw90uDTQu6ArV39WrCvFOUxRX85/dITNGW0PHYgBrWnAMLFit85fYUY
MZc+PV9KNYYv5dwpO5IwV1jDZ8Xg/mWm8xIEPeX0eMH8MD63geZjrZ655gsRmk0ckvzIPJfMOwnj
YCZNpiNcFDiffbAfhRfUwdNyZFWgXJr8bCV4EyeV4r1PG+W2VBsj7cURn0XfEvQpxXjyQYNPv4OH
hRumUe1Tp2igACY7fK/qEjFA5f0VmWdNWN+zVJ02oOWcLa3iI5phGH0d8APgAClHF4XAE/GW40Ud
8wYxjFNGo38qMm4OFLjREeQQ9BHa7GVIcjJ9rKvsvIcW8IPl8ooUexKg4nwzj6pNCisUA1pVYBY8
WttXUp1FgBdFfn2y7f6/pRemKaa3Sy/QatQVyFM4r34X/7HyWl+1rWvecEGaN8MviW0biUWUJkfH
TD8TrY3RfQ4+R//hU4MM/MiJSAlWWHEmJLL0j/OKLAYtmmHcFAjutQ4/knSxGUr/1xDMCA3+leH9
5U/5PdsLEKi17N4SjEo1hrR2L5lwk217tOfygl4sKzb44AihWZ/v5ayceguopbxjFOqm5U9IRNxT
XzG0cfEoc3bR3SdNAb8o1TuSfwvj8S0U3XuVHJSFnZLVSANHl5C1up9eK8MRhMTEJRVOnhOERnea
DVRRcqo/0ba/xTPl2wABuCjcu5yf2DWS08iOEUKImUrk9I+cw9dZa119X3mmvuLtaBNTrie7mIzf
deZpr0Zl+dfW6LJXwhUBj3vDo4eXhtuEGb6Ucc0cs0gNmp+auKW4bLLx4KtTfAsS8yGXQ93FVUGX
BNyNqHE6RSWzlLzdjc8B/UpqYMc990zt5+zC0tbOKQ6dM10CzCry08OjdNBFjJLHoYEFQoOCWupn
V6nKFZLBWkTbMekvht9jQyA8t8uTbBE3gIFxZQKgqZRtMloFVoO6OkVaT11NPAMBST2oQLcxHmOQ
Dki/+qsT4vT1TR1T9ZBhYFlUpl4x3okKUALNedJ9hBMdoe6nKC6ghffpTXXg99S6MTODHouNovyn
IPwiBs76XFaMFkqS+NaTXduVwYXz5mEKzOA4WAzCZIoGqeL9ouBKhEqFT9hc4pd95atjtv9W184V
2XP3HLiz+lZ5P3z6SMfl+yfq298vbd1+SA9y3dUAdZ6JRg43tePYG7n2yoDvvhzOshFk41td9cN7
oafhzovs5jSrARwScH1rhab/A/IRKJQsdzbypTeSzs7IvOKzjAFYi+9SHhvhkkz7jKLomq5L/LPv
6IWjY4kGZ2v5RvaizjMYHU8nwMNyN3LQgBH4iIIau3GZw22CDL+2hTO7ns3xKBln2qwC8knq1260
oWqMDPEit/45V5pxnaiCkILeLHQge0jK40q+lA+KCXwvRgyhp9N0dMBd7cPKnXZgeEFoVFO2Kkot
/rY5DgZTO7yrpB8xxbjnEzHSoyhUe/Hg2PF40sv+ZyQK2DkP/UuPf8P6P8OU9E+ZTsSsElFjVObp
M8OL37Ldp82tALd7F5qE9iFXB+cQMSbc5QW53/WEsyRy5odjlOwzYEmkw8gunXukccadPY7Bsreu
miPRnXLfaxN6nPYE97Ot2CWgfKyCd/qsnr2yQzUS+Suw/lBW/sxGcGUV5OydHiHIJxQ0MG3zVtDP
2DV0rIWSuVxHtXIp6I9/d13xMoYekLEygv5vEnGT6XCoIjwHkZ+XtzYMaGkZrn3xdN1/QMB8kByV
fWlz8TPaLLN8QmNwZBbvHtL5Z5R7xk2P7GlVity3WbX6NZicjziYqo2c0rsK9vnWCB5tw4WXavNv
TIXlZgxdglrHVN8sW7KuRf5WTiaTnoSKLkLXJeaU3mSMd+ixq5oknnUlHHXkg2fHVr4Mxp9GSJd4
EutTCgAZC2yn7AMzHjCP1Udp/U3w+a6qzJtvylxuyUB+zwpcoqQFfcwon6M2eqhdfwdYoyPzo/Cw
GduKEKrgmjVMG0ncbnYyWKE3ElLJgwzYlAe8n1mJdg67uDw4ZnHu7UA/mhU+WEH9qlIgT6Sy6Cdr
mle2bRr/JXH9LDWycELgWuaOd8wdG5RXqqt3jNnkzGEjTVhrDzLqJa8Bnrdhru6QF2srg0DUlSa1
AyS3l/vCCchELCu2+2ne1k1v74bI2Mg6uTJpUIMst1Av0SkDh/vmQdtY2UpWMd3pqEwCJFgAq+CK
BdZEVl5C69/ifYsupl1r9fPQQNJprBiCDvjsDVlX7dGgUo+TBG1IRjO4sGi1e0r27BkKqV2Gy+hX
DUlpdMi604W2eux7Yt/Fy8n3EwLAKHZoPdT1sY6LYmNFNgJ597WOUrqIGpo8kdyqdC66idIPGZg4
4adNoEfpAwPuWjrm0i1sESW0LvD+CyeoYfrFgxxQtPMBgEuNELafKcX0QfXpHyEEC37aIZWkYHQG
DdzRfCIza7TBlMKNjQ+JaeHngRiprPui09inODOXUXsUV38RJ0x9JkO7pUpNWF2AMT4OBm8HSbnd
TUr5PWjmze9JPoKngRXIh3y50hyyYXIHU0LWj5ReHZS2+qVuWnezzBoX4CIOqxQ595ifQNhMO9Mp
H8pgRvyL5pjec9iuk4m8D5t/8MbEGLLtq3HmLkQ14hEqu1m2G0fLyze39i+5xbzITmeoFALYitk8
XJlzoryHWbGLZ9N5BS40Hv0REVxncg1ork7MbizakPFL3TnGEf/WvhH6Xtf0QVkWRripVM4HNHDI
h0LUcw3x7p6CIPslcUNjzv9ROzlZqEIWUk0W3YCRhYxl6KLWEER6io6Fhpw6bbLLPW98QpGGfG94
8y1TzNq66o7lJPtIwF/IEW1oxtNOkgxVBmLAzJDl215JK16PcJdoZbf2bP58wcXB6raayULxcuhk
cj7dVHV/ylJTHGDG+lT0ZbzLq5nefpEh4UUnbSP3gkFdpBdOWb8lcQndqLmyo5paNDcG4iSHzzDO
9vMcu9caUMy5L7iEJnXoHmYF8wgaoH9oIvIq+zTwV/Ius8LAWLdWVK7Uwv6JL9D+ppQ7Ksr8m0k9
agsCyo91ZbjbXACklSTZWPV8LS2VsCB31I8hIuV15WR/erPX3xCfYFepmYj2ATFydp1SPAqBepaz
xGPI/1iUjH3HQYrsiHvTjtdl6IlGtNv6o7dpMj885dHUrRFT7OTqmaX6pzOHt2JorFeYavm+Bdi8
kS/jbgBrC35o1brMX7zY5fMQWBI58sS/GQA3NznMWVG810cGiEUdmMBgwvZMQ5F0IBJdnwMjO+eD
gpREvIrKtuAHJqUSdJ2hqyJeUGBcXH+42YWD8MuzXiYjUJ+lLS1ROO1G8Zx9KUi/e4AeJL9fZSQt
uN35yuwcWzm3hpt2zZt81ozm/BTOrF2mM3UrJW+VdWR/xcYc7G17KknJEjP7KSfhXRayzNRldFUL
wucAvI3wN9T2Wz1pSFM2dRopjTNsg6R1Dp4Wzy8IZB9GOIy3QU/xqGTmyWE4fi1VV6MwErO8Ecf9
YYlpZr4RFSuuVhRvpOZt9BGivM+lsg/p4wxxSJiUuHCRT5a02AiAVSyMCGLOkjcEwwV9l5zREuD0
1q2Lo3r3AGPLUxDPFRM2A2a3BV1EXqUxWRdbzvJvFXkCpzRFI0wOcXN1VOOVe5KxSTt8kvCnPcoQ
rT9yWZu4ZDAA8B0jvoOxVtU3EAfdVmoX4JcEO6PNh01UlO7Vp36GgNTHZ4d8rbhhEC73hVLxT9YM
9DUYMFE7BI6t89R4MuCh/+qcsxoOcCeAqZz8qPrMBCVxQG1p9Sfmcj0UvpvrDJxzDV3n6p6VjUOb
drdIFuu6YWPs42PSQMYWTwK1YGwyDU/UcSYVtEmCYufckhHedlt5twJX4UYJR4rtkhHfGacdAwYO
BKtGUosUt6JlOY+bIiWzR7qQoI+1gG/cC0BSEXuMV0lqBKuaGYPs/ylalp1MWw1XjqLOb1qTEgqp
XNXu7tp9caroctyKCek9kIx1rOfDm3yG4gyJzAiQKNG06DLU4/Oik1FiNbvkWYjBRnXju6Lk+6A1
etbXPLmLOY86C5LP5NjVLsUEtO6VDFVluamtfPhyi5DgD1+w0JuRG84dn+MZ85JvBP/D2XktyY1j
6/pVJvp6OJve7NizLzKTmeVVRqqS+oZRMk3vPV/nPMp5sfMx1TNdwhSTJ/KiFa2SBJIA1gKw8Btz
S5kuPoTl6D0hDuD+vKr0QJx33W1cKu0XUql04BonQfvXviPLgurus+IC5Q2uLX3/8riFrWUKRR5r
/SEcnWtkf1VuDLmm0jIKg2wcJba1FQyBHrP3Iw91QNyU/Yv6UzMMVeynTm1m/LNyr8Zs4Gc/OBnF
THAqTtdwbEfgr2hxMm2t8InCYezqOaSqtimesPHW/pCoffFfhoVawgWzFOv3Ei7jG9XWiy9FYCWu
jXbx5bHIz+KDkomBAo7VsBXVjfLBxGJ4lx5vZkgBA0de/94z/edhVgdDJbnaVsjD9sjKXNYmHkRS
qSqbAgjVUcJsnC3ENN2swQ6ou3qsvF3RZcDbW+vx544lR1hOwickBop8a9tf2ogmu2oM0amkKjm1
CDOwoIabMOV0ZcEcfBrZR7Klm16pDBlwinD0mIuuN55jhZtaSsercqb8z3uCK7keX43ChD2Hu8Wx
NNA3Vv0hqTnwdLWO6vy8E7ajPLtDo3iHIhi1aCNUryVrKgBkgsaOcGAkFqenxtSrDxlXYjuMcCe3
7Kig5cUXwwC7lKqKvgubJrk36o8QNZH1KOsRNhiXEo5afZK4djtUOOHEdgcEvMturFH2rgJc0Daq
blfMDETGj4SNzE7qn7+NpscIT5P7n9IVme+4rRcBLKoVt53F7+e0EHQ5m9jR/hKOdg2oVul3Upf6
4L2rayoT0m2Stc1jboGkMzv/Bv6JfOim8TslFTmBMjDfCv0kTcwbvrjJ0qsh1rwPfVVd2dqWu6Y0
3gDwrNtGfS3D8rmdFbDKrr+uDcV6Kr0CtLJ50Y8Fl/HzNX2iJAcPRuG21rryJrar4pobU3uPvYHs
NqjxAE8Y6huv7ZttN9NRFXShkevaKWMWvSim8uxw/fStHRwgHMgHZolxE85VHH/+xR5xbJQydZcH
YGgLu9Y/VAFPnWL/d1SJzMPPbAfZvjmUPcoFlCGSWYUxemQDkLa1fJGCT4BTTnHXSkPtk47RwwbE
+E03q+9ZBYXG48yztJfJyh48OylRPp/rGJAtqainBQoGM0PMr2TjKrSku1j5RBnDuj8KTfQyFJU6
ZT80SFV9oJoInO54TS6nqF532RaPlvgQz5iU6IcFU3w/dFCCfz7CDLHUGqaMEursKNxlensRe9Xn
o8BYR0EYNdZscIteKwFpdoiSmQXQt1mjrgwDGV0l7QJ8YPUgoU3rSkU9ggFCdPenXlWeAFMvk2uo
9e2FXyFI4ujVC3B0IHUQ75HcbKk0lD2Llq7HF7XhPPtt+uNIO1NUDWcGOzcoQDmU+H1ApIH6WHpY
K1sSCHVuqlpERcHB2QZuGl4RZ7eJYr+okvn1iK6sUntfgv4rAcNdltyEUGo2nA/HPAFattmBUEu5
WckoH4MZIZdmHzUdJ+qo5HJ6PjxOgDN+6iompl9Qb0MvqpFgX4AfOVJh+362nEsBFFVN84pWH85/
uN3/lDsCdcKVAxTWVBu4hZyPoPMvihRsTWLx2dOtTXLr14r1akmsoG1cAQOE075RYaRqm8Qncckq
erBloI2fq0Z5mXi7TIKIpuxh0Uy3P0vRlmH7j0yR9E+Nc+7L7VkmR/8qAzflMDMTUtXa2vpYHN6q
VclNrtbeyKFyKGH6NEAT1ZBrrtrZBuwWh/GzYgza5re//df//s+34b/9HznqfaOfZ3/LWoT8wqyp
//mbZvz2t+Lnjy+///M3YNq2rRqOZegWzB1FVzT+/NvrY5j5/G3l74lUjkrAznvnkDTnmi4MS+gd
qj5eHNdyOZm+47WrX+IYc2VkHj5uoTQdWjDxgK6GbmPpXnYXGtHXnyeLsIbDbGN3sStz/OB7RDvY
6zoOjhTHDx5QGexTiC2YcWu7I1YytWDNdfaz44PuG3FeBwH8L7kO0ll17yHKM+5WPlx+58Mt02HV
UQ3FsRX11w9H3EvTrI7DX2RWP46fakTqU5rb002ZQO+pDAgHVuH110b1UbeoP8XJ3tQwcMxNxruL
5em6m39WFVW6V4MheUh9vAui3t/DLcMhLQwuUKVsPzhKaF5ZXLexgYqt5y4cHnSPI33hH1SK3QE6
AH51OP15uv0fn+dgAAcIGcMv2ZLFzwsnrD3KPm3Y02BM4gfJ8FD6/qfjlYxtoJI+7YMomA5FocQv
sg77Bl+bBzNLHqvj3amaXusdl8ZYG8D9VsPrVCuTbalWX/5SCXQ63A8drdodjW+SUP9I2Z6UAnD/
yIOlgB1eaWxFNLmK/xSfxT4ZDZDZYwcj0eG2lOKnI3UK6YMub6KXpvVdqymmF6fybssEc4+iQlfX
m/eWxWwo2BfYQ0k6GLrTPWZa/9ljaF7rdJWqYd9lK79OCHZuBilh6iAgz9ICQdEi7gUGYjNWevd4
/EUaFGlTATK9OP4WbYHpPlOf++nyqP4LHiV8mlVOWBkajOwHzIprLGlrObg7/tI7lQ7bTE53uiaV
N/nAjbydWg7OPrqJkO38i+F0G3SeM2SaKu/hZ8UeQOj0k6/HCpVuq7hs90rdOG6t6j2iREGyiUN4
V3kZhRuuoarfY7m8RVzpOsv1+g4UefGi5HeWPKXP5nSPF0t/32bz982KilPZs2FT2vw6KzAHHOb0
qlI/3UkVLuFHJkntB+juThWiDDPOBFLAPuDcfDPGdQ1nJR7QRq4vlCa/PD0ox07/NT0xFBr6aZrt
wOI352n+Jj356C2Cq5gVCiYD6/fY6i68TlEvGmxj63b8OPSBgw41p730meMYNxkcBh8mS72wC1O+
D2L0nRPUx+ju4FmXJ/9Sl2zuDpy8PsiV2bstNNJtY3Hf7FgWnqxB3z+W+OSEXmffH3/Hriq97GSU
87XgmeswDX5srt8e/48ymbwd4haSSmCXNz2n5waDLIoa6v4oS1ErgLjjYLR3Qw8Ix9xE3KrtjrX+
LqzSawdKZ1wE+WPGSpYXg3pfI2dm2GHv9pqm3mqobl36Sr7rKqhUnMlKLtL7y2OtdGhgaxSdcn1E
uVijbW4np3l1JrV+tJrfO247dwNeIXc+IgpUKjMsXQZAKKgZTJd2jMQJIN4PbSE/H5sztKTZjKxC
vuPkl+BJy3sZf83n44j+1y8rTn1cgb7lxQjlOmiE3/7vR8wN8/R/5n/z77/z67/439vwW5XX+R+N
+Ld++Uc0/OeDd6/N6y+/cREVxRWg/QHa9EfdJs2/FsX5b/7//uHffhxb+TgWP/752zdQ5M3cmh/m
2W9//tG8iCoOa8u/F925/T//8O415d/dv5bU0pv/+3/y//hHP17r5p+/WdY/bM3i1ghBFKrrskbm
6X/Mf2LK/7AthHtt6gmmoqlzeGC61QQs5NY/ZMtWdDRwbMXWDEf/7W+I0c1/pGr/4O+rrO2GrWNz
wR/96+P/3BH8HJD3dwi/bhAkDiyWbvP4OV2+iTyqMkFsTpnpdkgPAFzyMWUPSTFmsxLjvOibHchf
DzB/fQAa8+0QezxAkdLnNs6vZuDYm45+Z3ez1PT8TW/evck1FG2c1HCTsO83sl85GyeazJU1dqln
5qe+aT32lLDPW1hbtjl8KHTnGkTKHfbgK83P3/9X6vurX4Qd2Ugcg/mB221UF4Pj3auwjbxyvAmB
jp3unqUPELY+GIbWsdcCdqzk8noowIEO8St4oJXml3pfWEgB0qIzO6DHAHRX3sa9Z0CWwav4vJef
93Vvel/ragrJOBC6XtGAy7Dyy1LtPtm5Wa484Nf9wL/733CEBxSGNXZYegFuNK/juHyJEQvJSj6n
0W7gmYYrG49fd2p/PUdY2kxU9vBXZhQG3QS9xrE06z93aCzONsG+pI6brEtWAmLpm+afv+k0qgBt
ifWGPt+iKle40vsbbCUPbdLtZDU1LtlONeNK/ynzOL8zgQ0hsNkrmJ09tIZb4/rRcW5Ohr0cq/sG
tUiYbPkt+iF7yCQcr1ZCZmHGGUK85/0EFqPgiX7foafAcSrVy5U0pfx6YPhrnIRwT6okS1hSDbdU
YbjNKHGUKnXuDFsOx0OaUfxoLgyDC7eq+XF6ji99j5ACvIjqCqxcvkfJvoM5vwnT8v68poXYjxPM
LJU5NTbasDNS3eWEdn266YW0Yghxj9qpWatyZLijXoMJ79rxAMmov5wg0a48YqljhOAP4CtHyhga
LrodlwG3B3lvrkzbhaZ1Iewn8MxTLwNtRcL5tki6l8Jvzpuex7Pam+jruqA0/MSnaYR0L500irfA
5OOVPLL04kJsm2NUeomMio4eoI6OVlarnbmO6kIkT2iaYEdH2ojGco/mPwT8/uL0ZJmbeCdJ6ELI
wngNgRvahovvO+Y1dtRtuKKt/ygKcyZ7J9rt6ecs9c788zd9rxtqJxcYEbp1NH5JM+fGNHT3dNNL
nyBEKbiudgThNSJI0O5B6d3pZANY2mS2pNmffsbS6wvhGkAYMqCj84zIUfGwQqa5ULX6zDkvRGzG
Gan0u3qY8f6PoDrdKq0+n37xY6HhvQEWQpU7wqnUxkF3rZ7lTXrBkN31tAcOYvcZtpA1J6JyH2Pl
YskSsqfhebGmCWGMVLIGAa8d3LA0rvXEuOvi7ur0Jy3kN01YsHFj434l7EcXnvkWQvhsaRXdJb3z
/XT7C2OtCYE8aqlDFb/X3YxD1cbuQPVo7et5bQuRrMpmUJrhMLiAKKetEU3Q2dNppWPmDnhnqI81
xjcxVldI7SEwN7r9VEJ6trdqGO7wIsIQo/rC7H1gS7A7/R0LMafNfffmUamOr7UTMQaVkt6h1XGH
ILWro/mJsNTKCrk0zEJYK5GmF05cIQmljqYL8AomhW0nL8mQ2OdFtSZEtQlmTY0LbhB6zf4GXuUp
TZyVFXKeLO+NhRDSVW6UY4zikauaAOMg0+wjZquh6w/WgLhfJX88PRBLk1UI726ifqp0OULYbX9Q
avWRC4mVMZ5D9Z1PUIUQRhAO7rBTjC7FOooV02awAY7awUZBWrLWQCdG3d5ay7DHSvd7jxPCGhem
qaz8EqEB4O9tFW+s+qA6DyZCXVoc3GjKdEdZAHqejPTRzYCUFVSD89ZuVQj5yK880wAr72LZ/Dkz
uZNJw5XVaWGAVCHi4Qv6iT3PsRgB5Z2jl8PWDHx5ZeVYiEN1Dp43cYhci1d7zGOXkh2CZlABGogU
bZBMmyjqfj89xxbmsjp/2puHaJmKZXbJHANi5YaAXzLjs5SmBwTuYfPlK8G4kL1UId4hVnMxoRAx
tQIHqrWuolDFijr8XfK40A0aaaMl8UpuWRoUIfCj2MhKSWsGuHHN51QFI65X4d3p3lpqW4j8pJyC
SrfmvDWqFD08QKghfqWnG18abyHcg06VkD9jWcUP40PlG9eml3M1ZrqmvDJfj+H9ThwqQtgzhzov
qLjWxG4C6gu+S5p6YWQoLoIweu2iR0dLvnTynkkg400zkhS4Xpmvv69yTmRpX4IQ0LYzvUyamaAc
Pue/U/bGXUvSkALjCjnBjaZiOtw8SuDiIoRPT3fPQt8rQg5BbxlN6yYdXVQWPxosRxO8qtNNL50/
FSFHDOhs1RbKn26oSp8s+Q8DdmCn7WLjWc1B9O0T8juJ6fTTFnKvImQNnFPNpq4TkqHtbz0z3eb5
19kVLZfI9GOAowFg6tXUuzCrFCGLBJppy5AVBlx0XhxZAnLcQU6rNqOEwBtjJ3FN20fgaa7kZlaA
RUQjwGohuSyzvYqk4ulvXhq8+edv0owfGwX6+3RwGsHStkzgqKinrGSXpcaF7ML2WuciPB7dtrL+
gFSqcPnVZWc2LqSTvuks+GghSAS1w4THz15LHGzO6xUhnQRI+/cl5G3KU91HZMQPvSk9nm76OL7v
hbqQTZxW1pLAjn6Oe4mzqveVRRdv5uPIz2PMHMunGeuJ6Nr4PFB4TpsHSXk6/QILs1wWUk2QG7UV
6ABzoPp9CqCQ4IWV7RWnfzAkiGq2BVm9c01lXImqhXkuC+mhg4fQGJzlUGweH2VP/lg54Tbyqksw
Lh9Of9LCPJOFLAEvWUUThLUyMIHYxn4VXPVTv5b+l1qfP+xNiFgycnS2R4ig6e1QZeMYOkpZeN6q
KAtpwIphJBZRCVJFn4ovfVjKX0onDS9O98zSYAvhHZmDggMKEq9GM27TMdyZMrj06rOkoaBtlFtm
3mpGWxpoIdobTZnFDAzD1dHw7tFMlosB6gPHFQ3mxOnvWRoLIejrCl/laqK3NGBvoZbdwmf6eF7T
QsxLakSul8vRVcL6UQbaCo7svDqMLIR8YQ91w/3w5EI5PihIuIDL253z1qojRLMJObfFEXPEL7LI
NlLRfurPrICpjhC5/qD6VjHlyAO0heQiE4i4nyH9OP3icyP/mQZVR4jZWK5GM85BaOmDt5t11A3z
eT5qzCe21qjcIlrZGr4/LVVHCF/PSgK1UzXWiT75bo7+nWMD9Yyx8S7LlRT3/qxUHSGGAxnvhWiY
KDCk+Rd0Ky+U2FoJ4KWm55+/ST7jhH2Yg8Gz20YNpMjsJZjWzl/HDdp7QyAELJTcsMwmEpspQbrQ
vuYeJIXKusMaq87ZN6a3cBXQc0bDRYueMFqbz4DW1F00+Xd2YGO1Vg+d++m9FxGiGu36ZESNb3Kn
cHzy5QjuLy7Hje2enmpLfShEtgVnD+a/NLq4713omflU68X+dNOLfSiEtp4Wpk1KUt0wRrfP0Pd5
J22GodzoXu9OdXJVNXMXyskzW3cdW+OUzeTIzyMnuMVvau5SBB23p19n4UttIRt0jSThq0w2KEv1
qtO8R98xd+c1LSSDYOL2DFjY6BpT98Jx5cps9JW3XohQW0gFeSLb4OQLrFt97RXdgWcpkr4GuMOB
wHRWFo6FKWYLWcAMKcdaoclCKKkP6DZdIQgYbMJA/3Re98zPfROn/hTpcSwXqmsUw/Vgyw/IEpy1
eoBJ/7XpMayKUNaZvpbPtp+tBwQIyyzOHFchCUS5X+pAb0YM08JbkIIXkt88nu6TpT4Xwtps7DCH
AcqKmqmfQ314Qq7qY5c656VGEbMWBo4eqwahN6jogpiUoy27fTnv1YWw7uRaM/Vx5HIgHL8lxfQl
T6zPVld/P938woy3hDh1HDOskSBla+S1D1pswL/iQgBlf8xVG/f0M+bp8U5StYSATQC8YouGvrNa
wpaGkZ2ih3u66Tkw32taCFjTRk+mQKwYNahE+xp2yGtWygUGDxyPdeqt9lpULcwgS4hatcJ7G8jX
iLQHELfExDZt2k/5Wu1+6TuEoPUaFSArlW5XpmJRNPZTPz32Kb5Y8qU9OofTnbU0DvPP32QGS4ba
ZOl0FmCxR2CRKGI5n89rWohd32w7G3vm0dWC5CZxlPskK1eafv/goFpC7EZ6ONY1RHOXXcIG5YRX
KcVewqgPngy1u7nQy+miSNcgj0vxIKzQFXyUOoijyQ2jAlAyOjmXbWuE+1EptUujj7KVmFj6KiGs
k9rHB8KqSKWZBrGwTceDptcVUvQVojx23WxNo3e2g9r/riSlsTs9TAtfZwrRPow2NBGfE3dmKt/s
DmqYHW4bVTvonfl63iOEYNfRICya+RiAVs4mhFfpmTU+Tbh+qd63049YiEUREzfojoXyOVfttt8F
G4N60Saa5aGpVJx+wPyu72QVUwj2uoHIlpNvXbvZWzZ2DzL6CiHEMVAterJNonplFix9yfzzNxGp
ofxnBhmd1SfezdiZ8L3setcwuc/7ECHi+8Sc+hZ7I7dNntrx89AMm0EqdpPBZcGgfCqLlecsZBZT
CH+2HLWHUePkZvhZgtfVJ0SL7OSsoopqChkAcHU2WzeMLtZ3kHNmFP0Ho2Sbs/L21sJwCzE/Fnlm
NTb3744e3Sd9epU20U2jmriaYRw2hiuJbGmwhZBv0OdMSljwLtzgQ6TY+3lLnIbGyqRdaF4EzOF/
KKNewUo+NJjmlVES4Gsz1vvaU7TzTpeGENttXplJOEbU1/P4CXvVx46a6ub0VF2YQsY8OG9CwbJi
iMJBxgKLINi1g+78Ps2KlSuspcaFgG5nxm+RcDGQBPUPyGoJmzSUvc57cyGI9R4BK8/hMCUH4MK9
Kfs0HxxPt71w7aAaQgTXka2Nycjc1FHbrMZiozbPaX4VJTAGqw9TuTem9nW1cLY0h4Q4RlYqy0eT
fKTFw49K6ZGdx0vBTNfAlguRZoiRHKm4iRp8TW13GLfFf9Tpi8+FON5337lMON1nC4ucCIBrEH9R
/DGEE5rGzzhrX0WxgzKTvC1rHIpPP2NpQgmxHODP2AWoNbKlhSOQBs500JQgO691EQQHgWKsO5Ss
XWRHr6GpPSDftQISWegcEQQXFFrFRpbSflTnV56aPSP+exf4GKPJ3e503yxMIl2I5LqmwNiZ5Lke
5XjE4RHrwtemXlvTlpoXYrnHnWNMLeaoKhfb0mmvLKg6sjauLDZLHSREs5l0wGY6NoATwiTbXB5v
jbCq0cL3d40+XJzuoqWHCFHdxFo/aLPlXtUCyi0KrCDTZwwOMBzK3dOPWJihuhDKfhIYSZYxCqUZ
fZ3vcpy4XJlDSyMgRDHwUhujVd4eWtVWzbuLgYFObOnyvDcXlmMlzsY8t3ruUFpEajXpApzOmW8u
hC1qfDiOZAr7X31CERQqoOEhcevsz3pzEfWWz+oX9phxbyZpGSorGs7DycqrL4ynCHuTqhzEcGiw
vEN1r7vgCWXCT6dfeyEri4g3Dw9d+HhMkbxJU8RBlduAM9BGH9poh0Y9WlsYC59+1MLU0YTgzUcJ
ViHSOG5qSAc1gihmdxdo4p3Z/PzYN5sInJ0H9FlJ/b0+FHelEXaXNUryYRf2K6l5IXJF5FswadjX
AQx3o9i8ots+FZSqEad4oPb6crqPlkZaiFzONrDkLHvWQlZuEau89vJqpX+WmhYidwi45y8rjYON
NjRI2baXTqOvJM6ltoWwtSPN5PKECVoA9WjC+tpBlu10jxxBFu8cyLRf4lb9exGPtV41c80UOTmv
2KKs5/59QkcnyFSuFD1EFfwJeRwozh4avUaJM8emdVQpwnpG7a/L1q/LTYvxHbozldRCvecSrNra
RuzfVUyPdOWKZ6ETRNBcqmaFmkTcrw1o4/TdLIO1hntdalrYfAMDKMpGpn8drai+9T5yT5tct1EB
Od3JC6EpguCKgvKQpDM3ukC6x5fhOpEvpLZb6ZiljawIhFO9zqxAqHaun/xRma96kFxjdnEYcdVE
Zd0FVMBmtrCn8xYRERk3BkVW4FzXITz4tShNFF3jj6f7aWkc5p+/yTG9AnqAE9ZsJNDc9J2+t7K1
7fFS00LkJ0PVt7EygH7J4psCc3fEUp5Pv/XS6AqRL+EYbHoDpXs5kJ5tSfvOxjXcxFb/dLr9pVcX
oh/FTHRda2QHPasGAYZQxwZ+3hrXb6n1X+Jf+XsY9H4TN3RMKacpViD+TrbjNdrSQkoXEW9q4smK
lzKgAxSORyfvXjCn2MaqtU+Tyjnv6CxC02oLvTywxghh4s2GWL8Wqk9JlMbS4XT/L4yvCE/zRidE
065E9lHO/kj6fNz7ozkgH4TC8uknLIyBiEnLHZx4YqMq3LjE7KgdpW2enId4UEUE2jhhe4ZOT+F2
mr7PKq4oo/L306+9NLrz57wJ16nrlXAo61mBNNkkmLbF0feh+FFU9VqmmSfhO4uTqN2RSn6olLGD
SysX0uqo7gbpO+jA2H6ar7EdRFvxZjzYObKL0SNL1t4LUPnwNXkXac4V5ebNkGePFQcM32ovjfTW
9KvLprkNA+WTw79yYvwYlGrfGdpHp9V3hYHjQ37F7WTpKd8bD9/XUPodFdC5NmBnCCQnE2qdhRs4
96f7cGnoheSBMYWU04UQUxALxR0YvGcqYWhwuvWlpeHIYHwzRGXom9i6w7iQvfKANKALzQlDF/iK
kY3J5LAvoSUhqb09/bylUBGSCduGLMGB23AnGZmqwX6FxH3Z6fkfp5tfmHAiqm30C5TCcWN2zdR0
UFr274wMBH1q58jSGCuzemFERCibLsfliDKs4QYGsNAG/+7KWLsCWegfEcPmW/rQWTb906XjXaty
AG7DvRXa560U8txvb0dbR4oktidYlZJUb4oUtdISBPF5u5j/ALGlWlKFqFQA041d04p3iBXPVykr
c3Wpb4RskofehHjZCIcw6O67ttlaVXettmuV6KVhFTYASo2lEyqvJqHb1pvAd354aPy5pyfmUuNC
FEdQWRW74t3l1r9EZvTC1IyV3d3SnBdWf6zl6liLYYMjpfu1nNB8RKikjFIMmFJ7d/r1FwjNqohd
05OywWCzMF2/w9J6Cj+FzEsVsZFE6T4hBH2H6cVXi99a3nZovbOq9ooIa8M+YwCxEyEzYCgf4sy5
MMLgI1bGK8f693sOBaRfo6HDdqboC6CKaqLepnGwkcN6p3M+kdaAQUtPEMpxYWh2uBIyp4rGfErC
8A8cSTF/tebaVrESdfPb/ucSiH7Pr1+hTxb2qDX0TsqtGK17xmUc2bgfZ3c2m2MtK25bo4lW8vf7
81gRMW5Icsa+6Vk8zJfvam84ROF54a3Mah5vc1PPSmRweGSKGaFy3cTILPuTl+/x3ii/n57GS8Mh
hDjjLXe6z9sPXvcsTfKl6UkXk5rclfJaoC89Qgj0oDNG1UBvy7Us70s7qTsrr7YWFsjV5Dyc/or3
8yBqBb92FES8YhiBQWD7He+KRD3I+DclpXVWqjoqu/wyDiPi+3XUm25rKb6LSeNDk6BkefrdF+aP
CE3z0VRtO+xkXDOob5WqQlJOW8PUL/SLLYRzIBuwNlpeXDX8nZcPE6Y/5odQX9XdWHp5IZqt0E/1
CU1bdxzarWlld0aan7XLQ7Ls1zFtWsNM/bDDfK3HXnvCXMIKH093+VK3zD9/s+ajc+qZE+B714sk
Y1OjuYEFWYBjRJWuzJiFDCRC0/BYSupAp1/qq0TecW+P2c69OtW7PH1Uq/S8aW8LwWsW7TjqWm9Q
KfWwr75FgHnoinxlYi71khC3VoueYd/RSxj+6g9gG3A7GMPxqgvS4vN5AyHErdfXdoAlD5ozQwIZ
S04++r526Mrm43ntC3trW5Ewp4mRAJFK+9ZI4itU/ncOc+ms5kW0mgxRN0/TznTTNj8MiIrFpn0h
T/HKYrywxVBEpJoUwoKHIkB0xcWlU6HMrY5edYCz/QPP2d8nq79LCIoYqx9DMR2Y7Xmw8uw5gN9Z
Qi0hsHFWaZtoDpERQzVjkBOIBdGXNjO/aqaHvd3gr8yyGevz3oOEMB8kxarzkW/Upeccr71hjy00
Kh4vw/RFk56VJgtWnrT0SULUK5BJwiap2OnrbbqdcG3cVmFTuI1fYhii680WOYW12tnComfNCfNN
ijHsRu6deea1Uj997L0q+4CKWoFf9PAqy/55IFXFEjMA5WbZkJChSVPpMbEsN5bSs9iLigh0Uwag
OgQoLuuO9gFi7dZriovTcbOwalhC2NelnLMzb01XZ5fZqb4LMHJ3XtNCxMtcmIb2xCC36ZRf4GSs
I8SMLfDp1hdGVQSs5YPaqPUUoE42oUzJeSvAWRZXoUM8Jit9s/SIeUV5O3FGGxuwKjTdI2TA6g4d
9ZWwAYuFznq6smddSO0iZE2ZCdRexn7JRP1zgIu4tWFQIKytnPkAIaq73BoktWAYMhOftDTyJK47
ovHbGErOt9NjsfQNQjgHOWohgY5SVt6gBDmNUnqrN7WHIzKlrNOPWJin5vzzN2NR5MoAOZ6xUKLR
2HtUZj8gSWd8Pa91IXa9ttP7VmEyRR2G1kjVp0Y+ntn/6q9v7o1DMNQtbce59023pg9DGFyl/Xl0
CnS3f22+ULMsD31OoWre460oxxmCLka3EgJL3S7E8KBLllwF5M5A00NlFw3FVGy5OPX3pzt+YeaI
0LSy0EteH5o64p6Hwo92A/oO2EscTje/8PoiLM2M4pRlhr5nrcEzvfK7bW9iFXS69aWXFxZmVcWQ
dSqYkyWKatss0ttdWZXVRT56a9pRS48QgrfIeEKjmOTQXL4J7BGrPvkKDe2VL1jqn/mxb6IqxuJ6
rIx53mtB+cGpE/lTE/fB0+n+WWp9/vmb1iMIik4SMzUnrf+Wx9KlnWjnrYiGELCRlLAjytBgbKo2
3yahOqBGnkcra8vSiwshaw2F5esa3WIg7sRiG7eb3py+nO6VhV2WCEKr8qRrhpwh1cIg2iCojpdg
8nE07cuJg49hjo9hLz9GWeatDPLSHBJiWKoy1QrxFXY9dbjMo/TKttqDpLW709+z0FkiJC3BV7jX
cHid5TlCFq9G3lsthirntS6swf3gV7VTUHLGPwxx9kkFnozb0HmNCwGsJ5MXZ/5cs/V1f1fG/g/D
kc6b/KI0WzSYwWQO1BK8ET9eVDC9MVs5ECwMqCjNFkhG+3MGtU66x9Hg0W7VQ6p55x1ldSFskwFJ
Z0/lzauuQXa/0FEHK39gcaye2e1C8Ja+VmAUBrvbaKZLJwwG3MXX7liOoIR3DjG6ELsGMv8p0HnO
mdpwW4096uUShqryoSvKBw4dGwdTaA9hYubUHHS4Y04bJTc5gBjY5cKE7OQf+OVR45AvC6w1CcRD
U5G8cvy0Cm9Ahn8KrI2RNMWuifT7sK/XTipLoSSs5YNa+qYNbsWt9Qz7uNhqrpyqqc5by3UhD9gO
luZZBj4mbj1kucrLgc8/HUgLM1KEtwUlJuZULOcX1w4e0puYpx+itFvBOi/0i4hwUyxwlyEWeq5R
y7edmbxY2FZsT7/6UttCDpB1DDBai2shbYziG3bG3taIszWRp4UjhIhqCxATClCA5kbRji9rOwN5
7Fww9X/gzrmmh7vU+fPP3yyzmW+kBkQ3eie32l1g6DFWydyDgNj2V8Z3qZPmn795BIa0Du7QDEDh
+d/9uK/csA/i8+alJqSDXg/sPGxoPJj9Hxvt2o7zlSS81DVCMijC1vfR4da5Qwk1c6OadjLr7ycd
aHkv4LL69BxaeowQt+PgYZZS8xg0e30QpDkQfCXqt0oNa+H0I+bp+E5a+xXnpvw9z6OqjFSmaZNW
302p/6CXVr6JMIvayGb/w1eN+9MPWvgWEafmO3pYJjXJWfa67HEMvlmRuSsqUz+zfWFBT6yCWw6P
D1HaxPVL89Isykvm18ruamGmilg1Xfek1O+ow/Zd3G+0sb8rc+X1vK4RNuMV5uZjo/hkOTO+nTDK
KtvuEGj2eeuuCEyLNAPPIpNXd0rMCepJ3+BQEqCxZK/gMBfmkCjXVubAa8eMSjj2a8m2Ms0Pxlhf
Wl24a7rK2CmJc16+FhXbIqVsmj5njKdMu8496d5MnDVhu6WPEEJaVvVOYknXWcX6m96xLnUFg3HZ
P671qbMm1rYUBkJITwnGIo3MJxRheR2b6VUL/AYL8zVS01L7wmKsKj6eWDrldqkbbofIegod62EY
2zOPMCJ0DVMrLHEjuqnrxyfEsHeUEP84HQYLIyAC1gxdKkoEwCgTJwezDAEVKTeKdZc7WI33308/
YyGMRdCaomAFDcsVcdoMCzecOfYS4q4r6XqpcSGOccvN/M4ycWx1omw7qrZrUTw8b3MrAtaUoBxs
L2PiVF7wYITerdUNL6c7Zanj5+95swpTC9AxpJxv+HAcxfDvsjawMPSd8BOewxdZHKxgNhbmpghb
i+MUjAmIJArm6ouT7bBE2WPjurLcL32FEMAwCoKuqhB5lnOFemQQpJcI909XXoRypEYRC0XPem3n
uPQwIYybsuwKD0NAt0kGfVf75v/j7Et2G9e5bl/l4s4FUKI6Du5EkrskjtNVJVUToZpzqI4URYoS
paf/lz/cwfn8H5eBoGYBSrYp7n7ttZJcEmu248KGDDuwcRbZqC/+/H6u3asLm/ZiIltyPjfRDi+m
5Uco2Xzu0C6hY54089CWsDmKbvfKSbFg1ybrAKUQQbC3t3lDr/yGS/gY48jk6xnNAlupI7aoH9fq
Ft7yyru4RI95DoD7luHFx0P7fubfEkq9QiT8YZUhhmbejaO69gsurFuGUwft7nOuOnsFwPz3C4LQ
p17wJYQs9nqUrglyo5KAyEqMOs68xd7a7bt2Pucf9A/z7poSUrcUX9xFe2/1Dnz4CDm5L8e/ks+l
8eQi025jMq3Nub6EDvSBgs4Wspr1esPxnc/3XzJUcmHXJKVeAoGocINF+GIyA9RIv2pvPK3lDaD0
FbdELmwZHpvESULDjWLxT0jK73wMXaGm+rnE9BJENvldOGtwS2+wwcmyAPsN8N5tPpn6Rmr679+f
XOLFupRaCqUnKDrw5AUjvS2F+O7a8e9/vpz/fv7kEi8Ghe646qE3BqSVBylYVW4sidYMm3771Maf
sgByyYhWsWlyUFsNAYPC5qYcT9LGn7JbcokUG4Na82Dx8f0JUOSrXU7GjTc6Zv/uE8glMIxAdxoK
Zjh6IZsd9BHBY0lvTvD+3W7Pak7/ZbdhaluoVJ39WjvoZzpO0ysECNPHACvNuxQk+3mpzfCp2Ax/
8N8f5k2tD1w3TqkRNIe26l4C0yjYrZFG+q9GTNiFEesJQqI+kCzIiJr+hWBP+s7Fsjx0lSqLZXJl
Xka6PAXW3MxUr0AryCVizDAPdJUhCTdAdmuyZB2VuZTQgvga8t9LA4LR9geSm0wF040E8JqpXARq
oEHXNqUaReJIXoNKPKZz/TCs7Qm+/YahsH8/yEso2Rox7QaK9ySiYa+5uaOm+rHIAJLK9S8pUEcQ
KP4U7Yi7+Gf7v3LHLwFmE/RqIR+HH2VjSMoLd9/07kbcuHLDL8nPoq4MiLaA4U9jO5HMSOwljwNk
XW1VRhB0t36B4xx+fu6HXARwTEB4FJdADLZT9BcYxl2RQP7ok6d0ds7/CLJrDIy/qIB5dWW6gZDk
Yzl/ToyFXALNtOOeDAdM8iG7HNzFtiS5H4pbY+Rrr/fC8EcvbsdZ6XBjwGEAubQwAjccG6tq87lT
v7D8CsT6LeEmBIPHnGZDMmeTl/Q3DO7al78I3aRaVpTOALCQbgiPvQcWeuxtfW65mqQX5tynC6iF
LI5GTqBxmDBXQ5MfVFB/PpgrzuISWWb8uKlrgxF1F+qfFLyuGWnTg+zbfSOrz02iIBz439eSYEgt
WIe0ezFxAXXkMqv8Wt+481d80SWALKq5TiuCJZ3esB1bwemYrgbE9lh7gnVtPaHrO+VV6mcY8lvb
Flfe+CUrmjBmEkMwhJsQUHzI2b6E7padXcmjkgsThqCmh+YzxsoxKNB15X/ltegz6GffcN3Xvvr5
7/9wEa3ouC8CTH9pDSLiVPd+bon8XPOB/C+YmCNumhNINsUJz2MIpCTxLW74azf1woT9AZ30tvWB
Eh3GAsKsD5ERhafqbICa1Y27dO0zLixZDFDP5TOgPqJBBR3WDDJc4mvbBkdvIreWOq+94QuDXng8
MJcmuDxkPE3C7qyMdlyUtyqtK2/4EjsmuzZZuE/iDQxYPoaS243Gat0Nh3Ht6Re27AfG0sj5eHow
amxtTI/9oF/+7IyuPfscof9xN1fpGgV+eoh+isXddSVVWRmEt7L7K3H+kt1siCraUKhebGL9C6wv
W1I+hIwWqOCqT87FSXxhvYODOMswAAefdtOPxEboyrjKbP98PFcuziVKDPWzgPZvF258fOH9Ei3J
e1Iv+sGLHfvyuY+4iMNMeaLVGLht5hLiB5T2x2QO7qpafa5UuaQ0UzF0UWU5nA0s2UM/trA315n/
s5D7v0t0cokVK1UqO0wkMaea5MMEOrOAiK3AeWUem96FottSsG3Sxlknwx8NkV9CBxmwytslU7OL
dbrRgnyOVYDEF0Y+Ip9pfYsMuaSTy8q6I1uK6rhIJz5/zhL/F7psMnwsdRturGX1pomHBmCeT+KK
Ieb+37bYDq7VLMXTpTAFI+FOg9nc9f2mDMfnT122S+qzYKz6Bf+wcLn643/yjo6XLzW71VK54k4u
lUD73rYshg1iA4zcVwt9Z+rWrui1R1/YOaRTHYvOnVe/LJ/Oj07SWxxJ1x59/vs/nCDjTJJxQHgY
HStS1Rx5qD5X6VziylB6xl40p2gC9evedFgSmdUH6CcW/cHVcEvS/oqfvSQ7642wwzqM6KIsy70s
j9YdGNanK1tv5uXrn6/OtUO6CNScGxaD5h0FaJXE36PI8m+ki5dbGynXHn9hvUtfEs9zDVDFhN4L
S7qslv9fivy/lMj/j7Tiqa/laP7f/72Sr14iyjwyC9WK6my29sSW1s9NiT1vpWi2mvTg5u4v6ID2
O0DpZPHn07ryRi7Jz6QYIgrcSgh29zn81vmciNypflgy1gXJA2vEWGVDK8zTnz/vSqC6ZEIbRTk1
w8TRxkn5qWM6zEzVv02AE/35+Vf6OJfoMx1TiJrWiOTYzidvbqxmUmiVgIOaaRBCbIbZRV4m9Wr6
vJXSuyX/d+VaXELT+kUwU4NEZBPFUmcWtw6qoenn+N3JJTKN1NjNh/gU3FUQv0OGvc19v7y1DXvt
q18Edmo1xGZ4STeDnppMxvjWsy9vcXBeeyEXuTkwD14NwiyYI6EPINM++UwevA4VzBxjsYAOG+BH
bsF1rt2uC9sHT70r2Xj+KYs+VKGC5taS16W///PlunZSF7bvnAyld1YjHTvwibZ96F4wquU3wANX
rP8SSxazKGWqMSmYqDgix3h+EbJehwiQuw5q8UnceENWM88fC3C/xE/OilTfaK9e+WmXSDNield2
KXpPoNOIIAUVeuyh9KW5tcZwpXy6JFQjKGYiU8M+4gYYJEftL7Cf55Hwn+FsNp96PZeYs5WZkSRl
l2yoEsGbjSJ1cmnrPrdkTS7FRFEU89arcbmSuMoNT9fMKD+9UV5eO//z3/8R2gM1BjPnOB+86aZY
KnqneDV98uEXFh7HHuvSBQ/3WTNsiSd+jOtyq4NzRWWDXGqGoubz9OTh6RqxqhzXnK/rCYXHMxHk
OTEYa9f8L68c7oauex6xxE9rzN6UByYYPZIsQjtAQyKvrbxfVqpvf74LV9wOvfAEWN8cVAW4wKa3
evufzWM9HppyINtZLAYhbjr42Fm8YbrX3t6FYzAzqFhq3kUbbLIvgMyn388bZX/+JVeefYlLc72/
dC0mO5u+LyF/x6FnUxd+qPwbJ3XFMoPzCf7j5plWVS3xcFKE6+9TWR6rOCiMSk++9D9XvF9i04jB
StwyIQY4V9a554YahFXyVo/12g84//0fPyAmgvXOwCtbrynSxn/y1+nVqXYsdCCaT76Fc8T5x4eA
LoKHgYeap5leKQ12QdnemO5SuHM85F/K00t8GmfpSviE3rwXpq7N6zRUXebR2AfQjpD7VoOwZZyJ
LryKy8MC2Chom8Ll0LhBbQM7LHvoVqV3nbesX+owafd8JQb0Osn6hEXvqqh5Emx4PMVfemW+LWTV
O2PG+rQubrznM8X+eT1N9yNN41MXsP65bUB22fDUz0LI2p8iUwHuxEKy3CVt2h2jSYmPUItm56cV
P/V2Qowa6yAfU+F2mNP1R6/s1juglVURu8Y8a9eiLy0bSDlgeHq/TivIxdDUb+YHi28NmiZss6Sd
cHkft/LdN6t85FBnyFrDUKVPCdbqMo4EuMpTHkD4tCXVh+zPW5U0Fi1UObGEnIUJaFihBFn+KGvb
37cRlF+TxHinLqw9sISO034uR4i6x0zfRY1pszrQf/sEWFK7tL9KidHi3DivcMYjG6CZ2p1q/ChX
3vAr9tb1YwWN2EYpo3NWrfpAI71mzF89VlSD6nJ/mE+jr8TBY9J/aHx/2eoRUjmD19ZPfsDMhgEo
UwQz9nw1TRpUt9EBQhcnF0C7B9tmTd5Pc5M53t+xSPq7JY3XLcHo6Xs4K7ujQ9xnU6eafJRA9eqz
8i9ZY3JyQDOgg07uG6xqF8HSJwU6t09B471GLgQb58R/Von6qdumf3BRO+WBnNZdwha5iV3K91GU
LsWwlEGXzWKEkK1FhVmSSEJuMyn3w+BPGOu2pgjM1GxS1/MsmhYli2HV3bZrlr/9ZWVPgUBxCpKn
FR0NFkBxm6oHMFi1JwFWQNiniA46GYKcRARfHx2qbDQLUIwMC0HU77yiqlK9C2KrirDv16yNsONN
lcHI3VZV4dbm6xpCEfP7UE/9SUqnimqmz360jMCzNSkk9KDCndPO7dS6WpfpYBzuVyvLBY2WPs6q
fuKgymxtQUzdbdXSa6g3IzvZqimlG5nULbaqpn5Ms8qrUQUBdtF+Rba18oc1isf0vvVkxZ/apdVz
QXuCY0uXOg6yZG7H9a5JJJuKNK2X8Uu7dqPDZiKtmSlWQQh5UJFf4/0DgL0jVRCQoh3GrsQZg1Y/
b1US0KKbWym2nT9iQMF5PfxKDR8yZylIPIN5EO9oATRu28Gw37g/NvN2CrtGb9plluJubtf1O84w
PcrVpgI0akvAM4g5BkdTdWFzP2mf+NkUpMPTQrvyXYEp5gTzsjoLK6iKZGYBPUTE5+YLlK9WVoTE
JtCrDWLf34xG6G/+zJp3iC7KvWy0T/PJtzrNVmVn0HvMQXBouwry5BOEypctC31L9rxUAZwS6xuM
d8DTFUES1A+ndDPxcq6esKKlk4xrndJ8cd4ssOZa0fO0JtA7RQMZ5mUQG7ZZ0MM6QRxkfsK81zeZ
sLGrILidGPVYI4Vtd7afO53zqJz8zAOMQoBWHZI0BaMDbV9dw5q2aJu5b7c2tFwdu1Axuq1L0yIZ
XVXnF9Dn0F+CZgzENl4jfy40LMkcUHzxNBOuT83XRnfLuuWzjNhj2LOyf49Wk9QbAAQ6AxQHiImb
rNUQ/7tzqb/IA3btg+99GaXzWxjTAGcNhK0q3zoR6/ZYVa3Bz6etmfsMNO3md4kWyfzGm3VIHjj1
gAbt2JR+waJrmRwHVtY8D/sB8qSqi2Z5oq2qA1S2dOKPBk14aDevmGrd23GOH5p0aksLZSraT8dY
qlS9QxvOjBn4R5a1yxqsjTMvG2Mr3fuSkFQe2ALlQljgMK9OAe3l9+PDWM+jeJpSG8mtNe1aVvsW
e29qPyIMeE/Mn/t4zoIar68t1qRXmPiPg6T992GeMIbLEg1Vdniidll0AX67zn/ryooGBa9RLW+8
VfjtWaONROAHpAnFdex4UtRlH74PSTA8xlXQgsgP04tfwWIo3eM7RPq54eFINqbkes3DwWsQYJzF
ytw8duo4JqnPisWvO14YsIt3mQH2EU1Ln5ATTUI4pSoZ1JxpI60u0jqmVdGN4ATbUePAswNshHRZ
a31hNr4/jTIjQa9Arj51eJgTZZ+Ar83gzgEEOSd3vVp1fdRqph+zjpcILzoKTLbAZ5R7wVXl785c
xk3R2MrpX01tlN2rZl1lNtX4Og9xNfXkh+uJ0rksg8rDvBit5yfYalsfNPYTxmcJTS2T63FpowIr
MGmSeVFsP6o21uRxlNBk3qVhwL6ahpAUBuyol7XORa/VsEx038xBAskQu5D7JYGIZOFoMmtMQ+WC
bIKwKslDL0iWPEqCkR/WrrP0ZR1H4TIubK2y3pZ2PsR8HYM9RSKHo+npYo6lchJLzCvv+x0U3W2V
8Vh1SdZ6oPm8Hzq2+BuueuG/EDU6oLN4Y6It5Bh7nneeS7unJZSq3ai4bZJD5BLE8GFYZsAJmoGr
gwJLYflWMkbshrQ0tC+Jwm5OBlfOwPzT26F7Y2vckdyh35eCMc5NvUAMOE8b0VuzM3x1mAqYUIXh
VFRWEJusrK+izEJqozvNPErPqd00qmfqR+5nHyG8FGBft1FBrF5fwihMPIRTptpvlo2YuhMUtLSo
ZTUfy2qswpylo+vQzgzoklMyK2hKTViK3DrJ2DJkVVuC7oMx7++wBP0HCGciXLpML7CLJzA8kR53
LBGeeaSgBhbPYMe0Zj8Qwz7qmPjBe5N64ETJ24Hq+XtqKWOQjQCytLxP11WIegOpGW2PTaMisZ0a
g0kZg8sO9rqFBBuIJCt/fpZn3c0TjZqe5i3n3IGRbBmabYvV0GQpEEx8NRfnlgQIG4e5BqRjGUo9
FNCRTZq8m80c/UaUG8pt0miP3yEJZyIrQbjgA1TUi+ZbFPb6OJcS2txlLET6s2OzVrsYKwz9C2BP
1bot3TgE+zWNS53FMiX6efE1VgzpjI3gDbp22EpMHSU2jzxlUuzJYwPiZeZD4qNaMeA4U1VYikLz
VAI6mtpwOCeJSCZqlS5/CQz/13sqEuA6KNFgJomqpg7vaD35yuba6WWE6RN4k5PD+nf8wNqOP8ci
6KJCYW3QZis4/AW6sPGsCptqWh+9hiU29wL8hyNJoCCwX6MRa5XhqPz6Ne5n/4uukSDtWojr+Tum
6CAehQQPbSZ0yHkOVR3fQOVgimZQ2hmRQFXcX6y3o9qNkKqkTbBkaTOXcT4CKgW8LUnZCmTpmezv
iFTHTN9Ep4x5wKLDUB6aYKDVR9KnMQVSrBxFYUOoEoJhxnPdDt5feTyTq04VlhUs5EJRU4zyLxWO
S5ozu6AL16+tpzLrjz65W8qKIAxNy9B/DzlCzbazkGbEx5tuLkw5p10xDDyAdsjqzUOTEeZCsw/K
oAm20H2pSVbi7iRfFlZhQhF7si8/aI04eEDzbGmgLj0v6495xYpPzqFuE+cTrHJ8SOMkpFmy8tps
Jxt60x0yBaR1tlWxPJTQ9xu2QUm9bu9XatH5jFEIe0OWsfKfITUNfHPkj7j/UqhqABHYnFZ5J+Y2
QVJDp2bZJdZ49WGap6A6RrNfnlmekN4+1/XIl12JZHveB1rF6gRWuJY+pOclxj3KEC73LNEErLKR
sO1vlXQ9eQ/GVNdfGizBsuMqLYZsOdaHxfQ91Kpr9muNgSlo8D267PoW2rO/xoZ2YluPve1fJgEC
tG2NZJjm3hJrcz84JRu4A24oktfExFCZryChPm8ZT7wIcEfIcB4NQWjMfbq0zW5Kwbp/EEkshntY
c+tel6q1JC8JRiy4FhKz5iQaRJT7zGhb6BS0udualg0gygwF35b5C2hYZ2Vmcmb2a6pDb/2EZXyq
NdnwBNC9U7nqNeRZF7VIVNU8OfNho1SVGbIEUb+sZmLspU9WyzbK8dBHKaldmOs+NF/iNkjt73VI
ax8goqFEHiZ7a/c0qlNbgEbCmDsv5sv6FMllMjnvjbOvgoMb7b4Hw6TN/Um6B2KqUW/jhA1PfO2l
l6UTYfN7H9RVvB/XSIEoXVV0/AsiLtaH7ABCxpG16KbmgUnS56qORrl3FfC1Remq6He4sDIYc7/T
ATqqwE6F7dFjtvcOnm9VlcOn9lUhwohLgArHJj5SgLYYsvvazBsG5zg92Qi/+RBhaTzcRmCy7X6W
6wzvWNBUhktG5cq9nJYeqQsQi0mKgqMdU5WZoXfuq4K0uD2UtQiiLXYlG7FDD2CJ7hHirP8OiisQ
k/5WY0JrivHtzJH2+mkD3Hq/ekJ8Xz3D2FZAY6nPTXumbgkp5gNsE6wEhPHvtoJsEgD0WBVz9wHT
bbCfAYo2zY/WTrqz2H2bAmxvg4qfxIWe5DKj3F1tm5MYLHE5QEa83yT1FAQPXWpIyDIkQlItucGT
0w3X07SKDApnihK8jm4JP5Cp8QFp29DW1W+BVRqvmJkybjtB44vvpQzMYWraKs7SBZHjW8ScZt9Y
pQPzYqtaJi+yT1BECzKivmLKn4qENGSXIOnociOjqM9Rm6d7vIXkpO1QTkC7BesTE6KfD6i/iH8f
QvupPDJvHF5SpPBVrhIBAV/fLBTL9hOdhpNnqA9C6mm1myAAnjcPQZECMbt+mF9jX9pgExvJuqI3
45QlgaTJsSqrrizCRIwSfx6C5OjL2osz3gXtOwyta7Oxq+TTEiF6byKnOzBND9I8LFUC7I6Kveon
aMJhiSHabSAnjjGnyMGJOH1bAs98IM4j6nVwwKfEaqD4gJ+ZSTb3IOoal0b325g63hZxMnhVzmYB
oDCizqIffUsns5ugTzVkQs5JIDJL5liAQDvhmr4OE8iiMq/VFc9HR88CCXItJ4hAhKEmU95xBPzc
k6X/3KSlAmonCv6uAxPzzAYzelFBNARPOlSJ21iHSWemJqjGgqpwaCP8fhlpwCU7lByVNogJUKxF
PRUM4NPdxGFNa6SfaDc9C3A+QomCJ7kOQq9A8ls9VB4JTlEbTxlUMsJ3rx51A6nVcEA1ucwh4oKt
m00N8+YZgRYD+iJRF51o2MQij4wEK4En1IjkQC0pqvbIkjs4hvWLDVWUr6goumKZvXaPYrrj2wFV
yAMCvtmxqnR/jWb8ga5ZvQ+nvtkMCVGblIxf2BCdRtOV2waUcHeyhhpX0zU+kl7oqGQlrzXOMV6S
jFTgqy+QDycnKscV7TGgOuQBxakGqXpFY3NapwBjQC9tQepctbTJ1Vyi++CGD9QDT06S9HC+gW98
dcurv3avVbyMKLXD6imu0AprAyP4N4drd4c+kE1zo7u6SMPavNA6El8wKxbBBp1PECNbFnk/iZ5E
bqv2sSSovUWXkJ1v1JqLAbvHXjaM3M8XtgQHEL3wLkvQOXhxi9/3GQEVQNE3fvIDxDVzgW2o6AWv
Rj96femwk9vTVyun6jdmmirTEupnMaCI2YJm1KtvZU2hXJZ+g1wjyVoxCWDXggp6s4jJfjUN8BCi
ASFqZdMCinAotFjVP3a0RFnj7FfuhCpYG5Z5q0EYf9ePy/he99i3LGooSZT5ucbM57VNCjeGaOcP
6HsxKMHEdt6UvHv1EDD2k2ghdgIhBFB99VhGd9PfNC0HdFOnuyqNnl2PGZqsCKql3rwJ2d+TTtyT
eP3gdIDCbAAV+sbUdzG6TasX/OW4HXJczJ1O+OvI3AtJqpMu3V0YoVpqSlDQ+1P/2gzdEUnel7Bc
TlxW38oR4AmKZKD+T9ppUYB08/hqXfTj/J+9pk/zRbIXpDPdMxzeXRKhCliD+aOLwF+KgNcX8aJB
7dbp3Qw+37yHqMZgUOp5Y1NQIc57iVV8h77Qcl+nJDm4JmTgn4mibzQVaObqaHSFV6pd2/v3IFH8
Siv+WkPnOUul97Uh7NCb6HefKh9IgqkvDFuXHPLYJpOTDx0GDMjdyB9q2nGMuJBQpv28b0dYmrLJ
Q72sR9SHz0h10Eopqzys6IHNZRF3HtIXiKXQst6Mvv87WeqvKA9/1a6GKoixWaCqI/qhH2Xq3a0+
Xi/2Ev8ee4xrK7r3KMnjuvuOPuI9mrBfiU/vvQVTI2neKo55MQIf9ATqZ7SOEBPjfdmSv1WlckgG
lLnW3hMxS5Wjhf7ICds7s76iZjiiL/FRxuynrcfvlIgvTUS+oP0Btu/0fazRv/VGum+jM3ipeeon
9caMm3Iad5hSlomGIoWP3Y9QbGSKxoOr6rzu+t08et9BuUwz1ih/G4cB3ztvykJa34cC069GI4uC
liU4Ns58q/FZzdzbljoU2dqQL32wgH9lwBKXOvTghcbCe/y0puOmb8MtAsBb37F7K6qN6DGMZY13
QLsWgaXZi6rcKQspETQOLJyuV2Z9qnNgvWjmwt7fOjAFyXk18B76m6hwIl083DVztS/N8BqtYh+h
wYsIw+LMLb3JTWLu1ohvF9tvJn/8oUBbTJIZ7gNaGZBDIm6OsglaMWEXvvrIr+FFjhzyVwr9rdKq
d/T7vye0rzZ0JD/q8ByCqL/ncviKIinOhsVuezyLYELjpwloUNedULY4nztoI+8lpjXeHGZczW8Q
sbt3wE03mA40K8SLUmgxzWmyM2Xd7KOqe9WmfYPSrc4B25dZ0HU/fAgN2hjo9FjFO+cNj0lQY0N0
Ke9q7j8bY7+lKX0HtuZOpvUXyjBaOcuceS7ZhUj4q7l84EPdZlUq7lsuCp6IXT/z7VzVv0BStYmp
v0Ej9J6xEVETjCx5TFUelXIvSvcCmYs0R7usqPq0CBSqvAj181z732syDJkUMYoAIKuyHtlXBoae
Bo2euS+IMl982bRw111V6DX6QBB4iei0RVdVZBzYtINb1hPn0W/0b3Zg2T9ULn1ki/2bNf43Xdd3
rjaPoXOnpF/XLKlQwgi51RDPSMn0OkUSf6v23uweG04ebNL/dqYqQORQcAQp9Ain9zbkoCQXW4ye
T5DHe/Viuas7+VWt8V3TrEXHIESpE4iazl7WVAjEkY6/kn7cezF7AC/E21mct4FqMnYq733o3hEK
ViEi478Hv9nXnrcPOr5HQ/Sh96o3Edg7tjRFHPSvK423Hca+GNptnEmeIWb7K2EjLA9j7x4j9swR
+uQjNmZLVW15N6U5RJT/7tl6GNT63FVTkCOuvbRWPHp8eCSL3idnTne7toD3e4dAo6iFM3uJQ7dF
U+ZYx2mTzSH51vrzE8rKj3Lir+FablCq7etGfPTDWiRejWQXkcGp8A19lSPyqDFrmukvjfuezl5e
h+7VVepdLvyu4/3WJu2ha5INT9VdgGSzDcbDnJLDwOjRBvAeVcBK9FnFNgjqIgr63dpCrcebnwDC
/tq0Bk158hD4CrB4iVq9h7wyghAEWa0PRTg1Ps9eWaMpgjYpYLdhTuF9z28NqOUDKNM3KNGOg0A/
sonsx0jcs+b0x6xalS1uRoOL3BHISbm62/no0YuoBTymewEVwEcPB+nYeJg8XYS6hP3Lp2TERU3k
8pJU033UYsOArFUD75vuO1feYyOqQCt8L3nyuvBkl5jy+2DnkxeIKTN6ePCG6ch1d0dC/8Qce8RC
0+O66B/nG2tkkAd6qjZy7XbeiC7LENylI/0imxFtFs8/dH3zChjScZmrLotkANlen0DNDDO/wQ8O
ksmv1NFvY+rNWUuip6qvEH7rryzhX5H7PzJEJedo0QTTYxnwtwGoV4m2SqTMJp2mfYtE7LzHlRY1
EhHIbMhTxMffdTp+xxt5RaIDotNxC8Wy33OPDsUsppMidl/S7nkWbLfacL+Cdex/ODvT5biRLEu/
Sln+HlQ7VgfMuuoHEDsjgmSI+x8YKVHY9x1vNM8xL9YfVNUzKXZKGlNaWmYqyUAA7g73e88591x8
P72pyI80l/k8VrY3SgPvG14MpzCutClovKFDBE9P7jtz8MUqsMV138rXTA/2degna5R2O4qkdqFv
PxcWU28rhisBndYFBCN5HrOV12+TFj4vn50yqur76UqTxlfcpOl3yFDSYuBm0tRdFiM1lPkON5NL
AzQStvNDVSinrlxsHkS2p52hizem7k51VK5Mgcaom+40Gb/TEwwPROsoA1AzzSgfpGNd4UhuuY5C
N7iAphFjr5xMp79XrOm+kflX3JXOla08Gw78DgdElsZvZp7vans8J3V5FczVwdLqjZkHlz4t3id9
uDRh9hYW453M8L0xo8dvCz2Lyu3sW4detc5tL6+TgcWmGsHNYGnWFtPi0NOy+QF+GvyhCLYV0NcK
MJzDj1mlsvWqoYUt63XrNMm50oK9afq+WwnthTKHzSB8y51z52TVfe0WgHGmA1CfhMEqTIpHNoCT
YmpvQy6vWkV9y5t0v+xg3Ri/OL5juqAy16KzH7Ic5wEfLtpi3ByabzatfdRn083TwjO78BKGhNjO
ssd3ScIXtevQclYlJ7Ul1W1E/1Kpaq6YksJlWT844Ti5iIl27dTfYxDDKkxoPZ+kGigllD/QgFsV
dKNIKmiQWKlvo5G8aaDbD9nZBdvTq6mqLC+zyjWDIdgWnRelidk5UvWscrC0nZAr6O0bJZeHOJg6
F2FZQAhCroVX81VISNxa1uekNY9KbLb7jLSSMu0DrOO6qQvhzoZmo+NRnZNdz3fwxF87I79ahitv
zK2Ikldl0ByapVVXTTvYm1H1XweawXrqIF47QI/EzTsjewyrIHvrivk+ABphMioCQ0kQq7yCnOqv
hOO0GMfkndEmpYYWTKJo0xdqcyhsP9smJSpNUNdD1jNrqiPvEiWcdvqgWrYX9U3+pkQlDe/7gfFo
HRPqtSw2eWuEbt5kL4FpSk9RyqNFj6iJMfFtzcEfL7O3kz4/LxuQlU3vlVQ4Mcr4uc2mgx6Dp7el
9SkPrfuaFtmeNhJcwAE4nKfOU4umoC8BoWJmPdTz0xSPJyNnx+K8iEo4fhmq6XpMjL0+RMmSjGZu
LCqPkgNlM5ly+DyjrrO9XnHEOx561ka38hz4Efddo899V068fVhjKtRqK3JHdM9yQHLsQnBqa9Bw
5ToO++5lsAffg32ATYxSgJfSQr5pxGSvrtZ101MgZbzqc2lvWg1wTTWd7CQK4OZ5KlTVRWo4rRQH
EUeAPocWh6X9qeySNfW7FE9VXVQc+zGPHbfmRVz1mDXfj+Mk9dWURdbKxNp0dlMnItVW7Mx23GGO
g3MyFAUZjYi3Rj4pj01UDJuWGHmvpxJBAVAWKZAhg02CqT8OMXa1dmZqtOJppqtXqscvNkztHfE2
PZwqwyxgykKIHRS7RjZgvFOJwYvwmjE9cxQ10grDqIp7JZ66GbJjtHM3Clr7gnYDL3+6QuQruvHO
B+6rRC+STbpX1aN1nPxKh4su9AHVBvYQplcZgfaCg3Ncuulo+S8pK+5ITtVc+Zlt7hs8pOE3rPkh
sNT+kDYwQk4cQz1o7WkStbgN+yTQTvGQB9gt0t8lcEuzqZ/D2AjyY5xVjbLO2jY4RJDYazMgYOir
ng3EyP2zGkZ152a9XW6WNsL2U96MurWSqFyiVUp9rX02kj5bx7Fu3BAX6amX+pO1T5jna8Mx6vXQ
CK3CMqvoLsmk64euq6w7bFji0wglfPLNnDhhcJSDWSXhhpWfrCpH2Fud9jeujHkjYo3yEz0xLcjy
TK61IdQOAMShFzlT7wWWzQXaJNlUFWoSd+HfN8DH04a2PMpz0WvWc9uI/NZM1fgAUFNPG1+rC9Kd
sb+OZWdvq8BsO7ecgXWnVA8e506R0lX9ztm2bVnussboQDPQCQ3ZaANlxu2+1bN4WFUATNh2SADL
jKQKN6q7Lm0mLwMvDI9zP5k0nRrTjTORus76aLkGb7xrdbHtKQnvKUWeySHS7NKz0Kvs7MJagSrG
wAvVTtTd2qyG/WDk3jgKgBwazBJKVcUqSUxokUx7IFmoPG4qcBNbvYo6ZWdIZ62P8tZwZpVlYT/S
YuZeiuQxKzoCNJDqGlILX5AbgsszfkuJmzY0xNM7gB3bxiWprPhftfyslvLLZDS9B9ybeUPaXpRk
eGgyR/VyW4m9Eb2MYosTtNS2zJxjZ0WxF0bjdTf0eODF41ddzqfMrCNXVGLL/J4VVZSn2o+OMXvo
mPinpiCamJTEo0+QtuqcTm60ctpbuf6cxhpunsG2LcVmsvSjho8zBM7ZMvK3SCn2Y2Zs/CK/zmtU
TkEqb5VwPFptbbr4ksc730g9OwF0kLO6HfRAd8M0rTe0AEASo8GgdUUiyRZKEr1FyaWaHcFEk69R
vCQryHuiy2qV63nhyoSjIQ/0h8Kf35en7gexLevhTeDiVXacyqzTlWMPrCHaarX5dm66ndKo60Gb
tqFqHPDTZq9sMzgNZHNzBZuVzV9TIe5iduhVKvAGmKsMPkRwPI2fB8Wu3KnpHhKWDHWRxU2LQK3I
qtZrsCkZLagjdWlm0gUc0AMN0Fs20ikPClcLlFPfm2drGjdS0bZpQmMn1WaLlNdlOxH8mHfop19E
aL1MOs0NCylAVAAZK32z3LujjNu8spj2SN+nmn5WJFnCFAIGjUVcejjRHnUWWYOeyTbjU8lobxVb
5hvNFgeqRAFbs+bSO/P1HITHBm2tH5MxF4ZquYOW2Cem+S7CjqPGXc/taDZPq5ByN/c+fQRb52bg
k2bqfJoD8y7Q9bO0xcXP42MVtisjgldEq4YEYdyC+d0ojLoe5K6iUMre2Fd4Gm1aEb5qmXITRj7t
CMfD8kS9xJMrc54So7tuKvVZ15RNJ5x7dHZAxyGym7RfWaFKJiy8tEvilQRtMfx6i7O9m4/jIyhX
ANeMlrA0tgS518uIam15Y1vJrvSrsxElX/DyR+A0r9S6uW2tWbgdsgHMx79gsbuqnegRfmNbxNFO
GAjN+i7Y5CI+JOHokT/vOv92NILHYtE+CEV8lqp9MQZjJerazaPyYZkq2LBuhSZnZdjlSs0+65Fy
1oL8StW0G0P6ggxJ/WzAUSw/yMFVRwew1YYIUModKks4oZKAS84uh8MR+fWq9ccdFBiHs6wmz0ex
kwnOCL3xSv+FW7zNsG1SlQdFhvtOoJ0YAZDp5qa/obxZ6bnuBewAQmGZ5/3tch+5VZ+QzaxLO70m
U7qpBOsOe6nEoQFmY8IgQPa/Tfg9tHa80qB18ejy4q67CtAjJI7iBU3zSZG2T9jUzNsxxw1YE+OB
5Q430m/UtrvmMPfqnuTeAVgFeiNAV7ZO8UafaK4Piulmse7VTn4uo+yrPmoXNe08wxlXYZy/Lq0G
lSln2wXjDPt9pfmfixZaeKwOufbSKvGNUXe7RIhdMr8actjT555xpBoSpXBtPim0SZGtuhGqvfMt
Mja7Kj85drbDzIz+YPTTDszUW0ZhWR/RMK7mUM/Qh6ovdT5vy2ExOvM5r4rsS9+l90qVXXf+0kJU
LXakrO/fHgEvto1OR0RLdGR7waEekm002c9sXleULL3ZQUfioHQstDTu3DZOXdtOviCyKa9MdYy3
c2ztRqN7QqzVHaNGmb4oWhj0B1CZrHLLNkLi4ht6ylvXZJvOUqeDGP3uKcsZ0TRii6Gp2xcbthyq
o4cTrDOFCA3212jj+Yrgx7kWfZU92GNg7e1yit59JJErs+nVG61nGxFSaXnN+3CAWOo26DccdujJ
uTF0kYNhI/dULSukw6c6PoqAPCkJkusubSfiQTjPZIChiStsgibSfTd0En/GKkEwKBqhqGHV1mmG
PT2h9ps3eWPr+6YOc68cddtVmwZCHupqO2g59RdhaCIzio1DRdL3PKlW7anz3O+nzo/Xjh01ezsK
q4F0qHs1Ibt3QtTRvCsyP7iEfn+XQ0auuiCRnWvqCojd0moI0rhfhw1C4Ck1Dq1eWPt4Th4LVfMp
o52LhxBUlbZxnMex/2jX5b0oqFzM+2Sj0UbSnQz1Joy7xLXTuHIrZ0g82HwDOUGhunh/CxfOPXBl
VFlkclm+S/nGI41Kr9shFOu21autM866p+lodANTe6/o7u7qPcAHG7m5z2ddYfmNyY2TzwJgFZur
oBuzU5vbd7GuHjsT9aeNCT2IwGbQatXVuUN3jIurRlfeW3MewBIzZTcWSsEhm+Sf+qoJN11P4I1U
trHeLKK/lZ22t5Zet891FzseksFFDwo5nDbNV5DkF1/k567NFiipdzwxGY9Sihen7KFZrA4Euyzr
LUYeZF1a9TTQBwdBsX3H+pRXY9ZGByMyb8Zp2Kl5xigMKDGGrS37vamIB1sGnZsjqLxqDJBr2XS5
h67kqonNT4GVpbupI3QtHKtk0+rTFXQkBvYVvyqy6ksqGsnBNbfbKjf9SyDNJ9i7bjU06ULnKfo+
S4p5G7IFuZY1v+pqD86L3mFgfSFKJE2OrrKBMy7XKNcereAw1vQkLDuV03MG3KnApr15FLmnpSMP
TfIWTMbs9qNeUPcxiXvDSq9JnmmiK4JX7HJTr4ORWdc0pnWRfsGiJ81tM47xpg1GxG1N4VCmapNn
Te2llGbKAT5lrpTGcZ60T1BnlYtvz0ugUTO+OJmS65ibyNQPShg9o/C91TLrLWzzEnW76pnYVYAd
kXPO0wyGT9vUKa/eolD7XMvuU562ChQbKQmvjLUynBIvs8F+CvXqnERT6rWGwwTk6LOmfFCPeDoo
nqB3Nr04AJcldJtVZZ1nA7ksrSanmuMG0VZylD7xeJj0TyoJmVxWPez4uff7GwLXuxi6F3Vj85RR
iI5aYb7B2fzs1MEztsIJ8kn7SV1KkmZiBy2eDmoxn5DY9m6U1HeINxPArqVBq4CKDvIgpOp2lE+o
UPJDPAFDZLYFHpke0im6Enm/mcJqT+HGJanmW1PJKTsdagM5Vm4dG0d9xzKudv1Gd/BeQvqcAhCu
5BIvtboP6jnu6nDS1qMBiRb6DvPWAc1iB8q0lmLMkJTIaLbdIc1KzR3qebyARIdPqj2FpzJIzgOb
ZKEngWs7XUvyWnjsn1eJFp4LqGHqmCwToXhwMuf2Uabzvkkhgcss/Wzq8TZ3GMk4YRuxBvFkTFOP
XNyGX5Pzox+M3aowpLkR5JfuYgY/2LHuAt3uNZUaDkM5WIZug/6VO61F2jROx6aOd6VhH7Uw2c4C
fe/cBMfUDC65ar2pfbVN7Q5vPjnWLC7JJq48sKOfctveOkQ3jZPtm0ah0tW4DZth3NDSrGfVABr0
NerCyk93rYTgCzqUo03orLRA3lD3c8+QvmgRG35ZzqssK2/9qluXJoofR0UrMegM1sJIdv1hVCyJ
cKjz14vbcOBPD3MOzTWi8GIL0zq3iMxLYEtBDqtTpxHlQEj9+I6e540en+cZ8jELg4j9l/i7Ady0
NXCIPAa2CKzxi7Saw0TBQJyrV7j4fkLKvcH900usYLuYBbezs+tS/c3yBfLPgXB2SAlKh+diLB6d
ojjbnSA+EOlDUs4vTgtlAafRuBKfmXJsb8wxZXlRcVbkgjBYerTrBJW71JXcVfCW+fTac7Cz43CA
GMeYZgEGPjLOdJtVAk35MWvQvTPTebQZs/c2Mc6tpGsVly8AWYaZuRk3UUmY2hGBTM6REC6g+Tiu
Tx6K3dXy24uxhWnFdAz3vQi7a6yEDUS+/CuNe7CXKvBoTbpKe7DXHpE5m03t1JvAio9BNmyUDnHO
NKzCdkIeEe9UurgJCmp0Tb0VBkikfRdMZz+J2eS5TU0Zr5ab51VZ+Uq9bqYneoen2gjVy3LuzUtK
w4dZy4F/MMZmbGY938wYA6fmQ2IMexrWIS0IvjT1I49sE/2rSb4Zll5ReEENbfMWjOmqzuxzl9is
9drjLkTue/biERLVBx87AcM0yKqn27Ej3Q9f+C/NIHZXGxgOuBZdErycLVolO0WylnF00sHS1TR5
g5wGBVLHTwlBWOchubSvc/QVd2VjWRppERw8FONz25mXjnqImJGpW/B3KCHV8t1eDXcUqLDP0dQP
qiWCNNbeovQr6NLT0os5GcCeHApRW3jkBlRlbHXEozUsZZbDp86bOt+oeXI25wlVLsHvnPlUd6cv
o8i+mJ12FJySXBCt67pmrS5FrY35lImHufY552rPL8PNMGRXwMvu8hZQoHHhJN9aDVxXKFq37pyS
3SNzW7P17Hm47QOxSUYFEUkDGl/uWBvCyHaoLVeFiZoY9jHN4+smiU+9YV0EXwQsM6bqFt73SLHY
ypHiRsuVXRD32zhJN7OEwaWFm6InN4YWX+Q4gElSFs2Jzzk1rwq7A8xDv7fxlbRcxYqyyo3uxjLS
R7Tie7OujwwEgumlqTQRVUV1gJzozcTp0awSsbU7ijinJ5o5g6QixhAkbOBJKMat6YoJn6z8EqTD
ehic1ayWN2a67ZzmZVlEihqtE/DiQAejrZ+ipQdQqLlj178vfh8ix5BtFlB77R3TGKNw8cVRJOpK
4l04yvqWPnKL522ZfSsADIBbHChhwDW29uY2ah6Ebt/0TX22+pyyB+MoLO1qQByMLrr49uqphv3m
qO3dsgLSEdsla+yp6ShfSrYgDb/7xbIq1ZRL3vDKTZc28bcS6w2DjZn6711bYlffV9OrEffXidnt
0ukxdQhABszZWWgR0SJERT6dMl63rOecVJ0WE5pwh9mjpSD1L+ZrgwhDq9tVwtOTxHgp8OJYNGuj
Ct0ZyzJVMzZ21CL5L5DaT/uxzHYF9pCVSS1e6YVkk5l/yofzjBAmXErZSAOXhURV3iXRoz0XPQxK
dp0k8j5oph1Rhyta320oa0S0cygscdWPxrW0lNEz7OZuQf8wOGfqY828SUJ/pfSdm0zNLusIEWg/
jFEScNRr28/HjNsF4Cek9fcNLnpGOK/zZhFOTXf+klq3Qr379sItDp61mTxJXvnMuBUjLemDbGOz
SdFt7dvRZAPDKpAmPVLxDDmRg3CcSmI2ry4avyIKAnRCIJc4xOyBR7i8q4DypmqzfChuE8SxzlUx
6etk1E48QkncxcR19bQdmKeFWkLKcaO2vHLOF9/pyQ4aZO3Dfgk2ohgkVAUCoSfHhFGEOfUb/HM8
KtGe/KHcVFp2aJVku2zoInypAoOigS/LPLEznpY5oXepJ4HGrTEiF9ZXrNxl+1im2CzGXTS/qiDr
y/dKi4xk+YhBF4LR9NdNOG4czpSx2iw7CiOcIzRLKJkuaH+WZ8kxqtp1OdHWLX8I2WYH/PKWbTvK
onPchvc8rmwEjDBOrLXmjVF0HXTqhj0iyxpXUEJpckCgxoMINZ9sx0fflZG3FEhhBq+xnX3gSM+p
5GamT4422pu4litET2Rk+goZ0J6n6dCFectxGc/xvTlIigwytgCMol2r0E8p8DjZ1G6U1qdlfy0x
nOzi6ks1q1e1RE4FFelfBDpt9pCYhcUeClixrSdqMpuHJPevk5hOwt24Wga+gAdysmK93EBilCuW
vNapHjujyb/m+snK54teRvsYRpX/u0w3hy9qztXy5tQoE5d9bMajaAoHoBjdpW7mit9EwQ5cU3g4
Z58KqV0MksQ27gG08uPMyM0s8jD9jAIQeiF1iRHS4kAt/YZb6NJ6BYRIyohaeqL+QidUdG7ox4ba
o2LKrGsHIadX5v5hKJ2R2BtH2Qza0KXmRAfwrQGA8vQ1SodX2hbc243zlb2P4jHFSLx4bq9jfE09
Kr7oYWnxMhs+Rk6dBfmk+jZooLkt+jjEQqUBs1vWTyJfO81/0oR1V7VUfiwDCHOzSv1e7HKItHS5
YBiS4pJm3dWLHysq4ltDn89aCrwyk8WZRtp6czXxki3qu2UHXn5OO8170efvtT/kn0UqbmQxwvAY
L5QwkCfUn3p1Kf3qL8UwXWODclMY2merVw+W0rAqdNq2KHl3lXYDdTXjl2WZwN9+Tcz5FXdVxja0
3/pc3Pa5AXZngm3L4hMGkcVGnXP61uhkTLGj3C6rESL3Fq3/sc/y5ySenyOjJjIor7EpXwMqbBjE
faAMazNzUAarz1alnSnTONZO/EmYyUla7Z0C9W3AiyAgU+6Soqd+uIxuVd+Zrkra4G2o/zy0ZfUU
xPrDkGgvgaFfzJRAIDKdrdCw8swMNVxpxsCW41S3fl/dZINxnq3mKAkNyCcwRa40vqT/5uMby3ad
ZNQP2VlDhJ9OpK1a9iXv/BfEdEfSldilgkFiOGYuilHY2iQlMVre+7awRldPy+vR6rezbK5LgAE6
+mi3iPMQoDnvIB/0ZwHQxvck82pKU1zqk15VETVuXUzgOmV7Roylu4FRvLC132n49q+ZjqdGThUc
g/bUaPo9AfyNZZqXwS7egmLCzCbNN9ks1zzyWgDKapa8i0P92irsTWNH694mvB20l0qY7DDsZpyg
YLll+qVGpIz4p9FXqkZ7rKEFBsJVfx7Tr71AqFE1vnOFVctygyk1UBbFuHnUztSFQtWYjT2sVZKG
sY3XiqyaYzrmryWDkTTtpaD8qx1Q/qHTvFneYGlB2wx95aWV/jgQMZQJac2yES0bMKSd62e8OYM5
FJ5uKJ/1cim7gnZMqvS1RFBQD+1LZI6FF2XNy2hGbyA7OSe3CQHRrZrG/JzniFJamyqj2lC3jeXf
UxbyAPO/KQyYbcGuao75UzFUeGE0iqtOxaGonVu2eKqWGvZbxbm0c3wiOHuwSv81CGxKXpT5YNs9
QmTzE9jK1ZimTw2qoDzNd3orr/CU4Na5FR/cXEzRwRbPHbxV+JCEzsYXyX2RoudCKhp7GIdQvJfu
IzFTFjUTYJRaeFF1NincsD7R6gvleIv+wIjZ2OY+WVML9NS2Glxh/GlK53c76jdWPE87JeyHDfVS
iHVQF1bubJcVrdk44eOQVFdpbH/f4pbN+9VJaveDa0sUYjtTE71pGwqWfJWevmYfRB4y5gyCv7vg
HJfcAGSgiqYEC4eBfNg5IDw7amOji0wjpGDVO6XNPA5GTo98+FSZVvBFr2V2aJA/QGPP82askKJZ
pbi2MEg+Jv6EcHzS0Y0FZu9qQ965qU2S68RqQt0zZY1qkURbEVvvo95uerN6q0r7okbjvorNix92
5jYG1F0jYs8iV4vZfQPLwuZzTC2Mv/GIsytbbLI2UDzT7KOv1FE6iIP9/PS/LKuj+tc3oPQcrfCC
cvu5nAewIqt2g0o5zll4S2HwdkyTfVnBBWZnzajff88c5IOzi1nNbVOaEeYdUWYfYGdIUzRn+IXp
xY+cNT54N6WizSxmnKvj2L2YqAgOT70nWB9E8vbzJ/iBAZn2wagliOgz1MdoQ2cEg6oF3a5Z55L3
efGFWTxhfv41P3JR+eDQQk2nDnk24uQ9qh78yElk6S8MPH5w6Y8dhyRlRNS/Lk8AckPxcqDhbtLI
1W/d+MemQ63RFLJIsc1NUVy4Np6e6uT/nm2NuszJn0xNillg0RNTXq60zV2j2dcF6sff8xz6ZsX5
p2tnM+xU1WXG2qYB7jYZw9a1WvVXXkzqsgT/wjJF/eDHMiPSi6Oely7Jatggp9ZKIsxe4pUQTmaV
r6k6yR8VI9N6VKwa+e7QzgO1kdaA2TRWxxnViiUKhd+cpmVx/Olxq96IimbC/QIJAcK8sqSSE4HD
L5yZl6f6q6f98JqrejGFvkxoBlvVWQv65U+fokEbjxqCxXjz85X2g7f921D/6RHaropB0TCuzOxP
OdkHYCqlAeJOVx5+/gU/sLn51gfhT18wTTGwXTjjYmcsHM4z+Qs4QFC+ifDL8ranwA4//6Zl1P9q
vD687VVO0kPLT3wmA/+tHLJntbZ/5Zj4A2epjx2JulziPhxybZK4objMIMcWImh8Jig1KVcNjOPP
H+IHk/6xI1GEQYkZI79Yh0r+YlAOalblvg76X7RN+cEYfexKpDti0ulzRfdJygRxe8Rupe9+085M
LGvsT1ONE0szJtTsrb8FdssYhYP5q054P7rzD+/+NKsqlcdLFYhU3pC2tis1SI3f8/gTy5f+6c6R
642ZbtIIpKH/xwrX2fqxKXPr90yOPzYi6qdOqt24nKilGp5VXIgxKy1/sUv8aFyWvfJPtx6WejfA
nrFg/OFqaWRAbnr787X4o0X/4ZTuxln4kYWTvkrD8dCoYe+sFUDDQKFgZVKxT4nPz7/pB/GA+PDq
2m1RlQqO7msO6OwU11EBgd8jLCVndGEgKKeErbv5+Zf91ZYnHf76fsQ6U7VoCxDi24ZPIL1X1Oeh
UvaGUCNvyeR+/iV/NS3Ll3wwWEOHQc8fUZrrVJeVJ5Hgd/Sj+o1NYrn4hyO8DyhSmumEi+eh86Bg
EZYH8yl0zP3v3fuH9zgbI4oEJd0Ui2jwlKi/Nqi0+Pml/2p7W+78w1vcW5gXSJs7t9VoI1DFUb93
UeLmNwK+5fIf3uO6LGLLXNph4246epgKBfswLbTVz2/+R3P64UC2J5VGlj6dtGNg7PUCBKnVbG1+
fvG/egWWW//wHpumY1HghxN6OnRFCTDum/6hFkhYXL3M0edTqpagl7TUMfjX8/zHd9bDzT//kz9/
LkrU/kHYfvjjP++KjL//c/nM//2d7z/xz+17cX7N3puPv/TdZ7juv7939dq+fveHNX2hWlqNv9fT
5b1BZPLt+sF7sfzm/+8P//b+7Sp3U/n+jz8+F13eLlcLoiL/498/2n/5xx/qMvP/8efr//uHywP8
448bAIPXv52L/vVv2y7K/8///h+ffX9tWi5jmn93TA2/KpsOM1SIs1yH928/McTfsdOxDUfqqrH8
7I+/5Xjwhv/4Q1H/rqs6KiCHjYQWbfbiM94U3b9+pv7dMgx0otJUFxsV1fjjv+/y5l8xzL8mhlH5
95//9kPLaFs6uBVpdICxNAP5Lxf9fidrrGhCR5Hbx3DQnJOI6GAzNXF40fFr89TO5p+xljrXVYpU
c4zsXxw5H8w/+X7DsVmpumZoOk/10T9c1hRB5LpDU4A0fbcH6ZwURbEPItbnTVqlyZ2SLmxEpDwY
KhQaFKT+aMjhLaCt2AqzoXtdq62juvxj6sx5O9TKE51P41/sY99izP8XEX67T8eSVGroQqOUxf6w
64wWkWDn+9WpyVUK7acGmDvP6vg4AFXTtMzBvyI3zmrQPpLX48pRm5/IMKLtnxbZX0zXt7T2u/sw
Ncx6dNPSdV3AQH/YQNA764upoTjptkBXirnCTd+hZtMKE9fwUNuGc4nazOrGk1TlWy6z4ZPIbAzS
nOAkYrmpKew9zIWD5pJGqLe+xHCwtG8czTig/8uOpZx+GRItG8/3N22YrC9T14TkL/3DTY8tbcNi
zbZP6mxjK2ljVriWdoube+c8dnLE7gYOeZunM+dcJCYqVQUU4YBxjKyKZIWnSEABkCr9dRWHzdGq
UjjYLu5g6dqNRTe0+4KePCcqBkLP1/Xh6JgQQpaJ6H+suxbJpshc/EOLt9IJT72Yus9UhEEbhtdI
AIsDL4lJHfukVFtfxpvBuEZ0nHs2jgmnULOS27IeItcM0nr98/lUl0f/ODQ2o2PphtSxL/wQIEl7
RN5XS/9kpEMERiLSgxOa0JitGNZ1pXSsMl0ch7x9mpbJFgPlQfRLSbg5Ozg1RqB5P7+l/7nEbH1Z
XzSQswxTRcT6/ZagJkEo89YPzjNQ7lVJC+/tNF1HNXUCDV7Md3EXRHe6iolc4epYSa7SOLxBGwU5
wstu7Pwy2qJ+0e6hrv1b/Hq2dkhNafkiZF2cq2b81Rgu0dZ3Y7jcsE0/CW7X0KnN+f6G58BINBwq
wrOdWHRY9k3zqqn1wDWWwnhHjfV1EVNY549U8lC47lOS67/j826uG6FoB1mpiMjnNt7kc3MfKznM
zdS1qC0lguVIvf/5+H5DRz7crqFqFg0udNMwhPwQqbYalmpobf6LsjNbchtJsugXwQxbBAKv3Hdm
Mne9wCSVCvu+4+vnkDU2VkmVKW0emp3qrm4xyUBEuPu95wanjMnXoHr/4KRVtdZpM8x4kiFXDnYf
rYboUY+YXyBIqY8W/Vf4W9VGXbvPttCYbXQrM5ucL1o6N6bu/bsD1mZx7Ji0/+8XZFsGspooVE9D
15mLPrkqdf08qBbg+tqFKIHLuli/VnYo0SAYfr3FYHYp5NHWO+wkbTRtzL5VG91jtNQZ4Z6JcbQw
ILBgsEvQT05NvOrHBGOCbZuzNEQ3FBX+u6FP5sx0M7WxRqG+um5dP9P738q2TEeXeMKUMu+uRrim
K7tpZHhyOqz7da7nx1Tr1o2yxM4ZV0Vi0U8HN7SQIQasFASqFmh7Q04XoHnLWvNGECFjurTNeoFl
BA16SPtrQpu1D7VvfVz6R8eq7AUBD+hvlZ/vE50BYjaGKxdp4NKPMXDH6NN2RQ5Bmwp3HXEzewvA
Mm3BZMwKz2VmHMt5Znr+Ftjjjsv/ojRQZ/x5+Vmfr56cZAxiFLcOdmQJgOd+M/ZUXeoWyJRTnfvT
ynDTRcb2jO4BDxfpeP087cxxE5pMzsx++vBhcYwKbUI0IgVAd1bQxB2MQzf64Trwa/S2TceciW47
Rn7kCFHNLLUF1HZyExi4KUDFn3DRhKFhr+gy/4GbUj1rDMmASyXVZjTKX62fasscoNXeMq4atmj6
oli4ceI/LwDHNFnObGuO5dDL/rxHxJYKoKg56PdGEG6hKj0SU6W9wR/7CPD1PTGLawhkny2teqzP
CbqQdYA2ZisiMKKJhip68pxwEStHwuKqLj4C5p0xjToSO0w4Wpg2sEDqin4rpC3eRLrtA7HAUrOp
km78FnWYP3K4S4Y5dRfbgKLE1H4HwDl9SntRzhGh/mWSVbW83Wi64qtm/K2f/OkjcHmsEQhybTAE
StK7bbKPc82QhRWe6mvWH63G7Fn3w32M3r8wHPGSQ7yvidQ7wBp9gE0UMkCsnr2hOWaIhvnMqvSI
JhfbDwQGrBfxq0byG6qJQXyxRm/g6vu3yhrnBsy9WWfBfv62GqRAU5Bo0cn2Qm+mZ7hqXQRbFzSD
s7odEYGFmrWOometY8OovQSPWpdd7CD01+kU/BxMH4cw2ucwmCRHGOePZRmvICTrhwz8GZAGf66X
Tn1QU1JgICy0L9oQv19sXVighsNuYyssMOquAkbkmU3McuKTpapzbKHoSjv/veJL2MGTileV8QJ9
sj9VlTlzYx3lWCS8FQloOBNGPns/G2zAYX43TxnVzfI0S5cVzIM/7wa3fvfnT5q36fBepY731bnv
SgJxB2Ic8zYNtW6tSV8TBLlR1VDRpnQQzYrSe+xdhJCFhpIp8x+VRlOLFv2DcLNwPdZGdQDT8FUD
9vd7kWuwA1wLJ9Nm0d6/r8HOSkPBJjjl2UQh0sCR9uooXxTKerEJ4Jq7bgldTwQ4o9LkScV5jf4u
5VaCZHM2JJX2xSdl/nZTcw1pSV2XEpuXsCm7PnXJ3HT0ElmhELSjRK6cyUKRjIKf8EyBLhndkWn7
ko2eoWZuJ+fcHzV2BaSjiT7uRceMsigTf+2HYQXOG8sDifTtkhRnd1Xl+NmcMTMWurG84px3VTb0
X3R65HXFff6qba78FJuCi7jiF/n8C6Qp/uFK2PEpmdAg1A36fNezznUifxUUeqvRA7erQUmASqrH
82HqOetin18xdh6IXmhPo+HkaxspaRIi/bQb9711ywbPqMAYHSbNtsajqVutMyKdqbAseFW0tyI1
riOvPnSg6OF9Cn1Xxvm5HTGTh+m1dWP5i0Yi9onMqF6UbFKLqnYaLHcwHopUP+LjPXqu/+pB7Vrp
JmzOGk4VRt4hXHmthc0uosNduClCx1qW69HXtKWUXj0PqTk3oWG5lAzeGXFseUxR2mAgM1778q0X
fvEySHxMsVFLLBRxPUe/WH7DZ3EwGQ43VVkdwACG///FxHWf2htr3/XWep923JSRrrmuTE6AP0dc
mdFbPIWLsR2KVetqwCtf2hrmZ2zxjMUj8bWaNlFdFm8Q9Bc5Kum0hbE4Kc4ryqBh7ph5jKjR5H4j
gwUe7HTbqp41qRVflSzmf60jigNdubQNOEnvqjllBmnl5FFywsmFg28atq0sgn0HbWhwColnw8Ft
B+E1LWrnqBXZFnRIs61YgEuw6MSsO92jWvjbpJysrdajiQ36l9D5iZTX2uYq2xWYPVatnxDYrefV
zLBK54uH4fdLuGtTPXO9M2ihcBe6exhIWm1bFxozJwzqo37QD5A6ul1B32XFVOCjRnl48vhYF9rU
rzOswrt07M7mkNgLKrZ+Ibr0KYv8bR5Y0EcqMCRf7My6+I/nVXFeu7RFHNboXR3GYwS5UUXpqTFA
Jlx1oBQ6/LvqNBDmHu454Kk/izG9yKratwkawShC0QgJ7EoNaNAZxRliGUvNS1LoYafUNbqF/sHI
65VpGxaCTfwclOSbMpLB2uEGOMe96W78hEB5S7eTH7XKfmXgD+eTsorN4LKuqA3cVSA09YrcYlmX
2ax1tPyp86riKQiTiuoFOEvoVN5OJQAS2XGcvQI1EbtDsVVRoi/NiLUtRn/6C0BHBt7BKeAorfIy
/IGyGAPPGPUbT+XaUo9ygaRSxLgI+kPoRpdIJfpVhAcSRPP2idYTQhACybZF8RdETnxbmJ0ZvbSI
hzI/2fqehhpUn57iiNAdml1UJFraXUbAsjoiELOxffo5ITB3tEjF2L631QBojn9EuKJ6ma7SS00s
skjrH6Xs69cxejYLMpYArg5rU0XZpa+DnehifTkIzd2AK2YyPiI8ofNawe3L+kVS+fHaj0Eng13e
J6bilMfT0fUYrL9YN9dr3N02z3NJK4/ylCpT3N2dpkZWvm8k6UlXnDmxtkwiNya05lBJCfvTiREp
piJbdJV8bDKDayrNtqUl99XUzaKk9lYTD4RL/IQpvwzwuxVa/3p3HDuW4vihCOEQlQwLPx9COfQ4
Kw0H6+g640ikS00ERoL4W4L0XYn8sSy6dG9mfJ+RvXZkYq3pDGlonTLOUW4f8OwwannrLhwvhFWK
jexddkNUpjsjyHaDZV4Sw3n54jN1r22Y+7ft8pHSEdEpS+/Lh8YSnVFmzniE8QBYqqWGa3tRn7DP
6QtM1dbCFaU5g38a/ki79hnFwgmFQbaZXDIeatz7z6FKCqzhqO4m1dWPNFm/5fDcDgN8wnVg9nAf
+25r57QfQNCKc2VXBxO4/tLx0nGtSrz1tsT2BVrjXPh5N+thnhOaUHQHozCIeqD9AvSShahHaA0n
TCpDiKI5TEft4Dl8zzTmHhrPnAAfuYvK0uMDFNb4IBOg2YNTYyhlCITSV0/CGS02QEmKvO66hGfz
zwtwJGYWSbAes0atRteWO08gQabLC4kH6/qiZ2mtu2qrFXZFvIbcT7kZrAMVOHNhY7j1HF/bAuma
1jLQKuSBXQMiKYfcBvkJIaMN3AyJVpHl77c+zu2liPsf3TDkKx6gdJ9kwU8vDeM1USbdykYdTy4L
dQjs6mktCHZAvq/tu3aKwAOQEJc9sW2Qhtzp9lpAPWI7MVZW15cPVmtcU02Md3UNKwTji1vbfogi
f6CRFXkPjiY/QrpdBzDA5qzIVbN2hXzptLY6NJqYaXYdHCeXXk1SSiZ/vj3tZU0FYtTZgzeaKf9f
8ToZ+2Ngue12MBSuXw8PKLnBMBpzq9sieHtFvmlsM4c8uMnzrN3kpsuubkEmteE2HAFeYrJQy0Jr
vWZruIOz13uWhu+BoDXqIN70GekOcKQE5vi+22mSLw0FpXW6vfQRnvPi1Yd2+2o0ldpayqYf4WBB
sMmrj5ctROtD01KP9jQo5y1MWSA4oOYGU1k7/EfVm3wwXd964WPw4CYH7oFMEkx2micWUY6K3MQb
NQTdD/IIzIWyHA2xrhk/VHSOno1cR/sVjNE+5GK607LSnbUNuzpIVLUoG4Xl1C8aHicZo9bMRyhD
vNx+Mspox0QFL28bPJW2DJ707lXEjvPFnnnreXx+vOnFWeJ6IzDor98ftYqmqulkHruSSS0ZtsGD
lHRtRhxuFGq0Y3VL1wEsjuNa+FzPJti7bcUZVSDdN9Btj3gWQldtMHT0C04BqrYEepheoOwjROZH
rMNRKl1Eu/nwzWysufc+RaX2alUk/JQYeDBbrmLx0uHxJxIpJclFAuj5Yhv7fRdj77J1g9ubzUzp
PkyPpzaterDrxxC94h6I7dYKS75SR50otcpzIlbAWut9OHXirIu23xD0kHz1Lu7uNRwBXKLIzwAc
JKT67QhgjYpEAuRHN+8458zPHh0kNwv2h2ZVaYhxm6SL5xU00NnQ0VWKYn1aZIxlr5Zg3AwF/3AK
h2xDvsQXC+EWpv15ITCH4wtl0EODlqCYu+PJ6mogg6aAzA5OYggxd8S1Byzw+pKixE1GA5ctHiqY
d2aynuz6rZ5QgNJcegoSADdGJ80X6afrSoFwhH1IAkKI1n4cY3fFFgK8ndAZn3ghGrAt3td0wzKv
F9WQlMhG/HKFMuXFtRpiyCIe6SKq/nZT85HMCUa6ZEadKjF6K+XFzpysiO9BK7MN2OvpGWzUyVaT
c25GDXU8sx6OnRbgczwdeqs82MrrNzK9Gggr/5eb0SbPLOJ1HOFuQt+RIKzEHhUIql/atKpP9tng
UOV2yJPbohdr4Q0MQbCRevZY7QIz9OEkG9MXnZPbFeDzd6Bc7uVUGIw/6UzctequmIsim2ztOA7S
OpdFFIHzrL21amS7rtrsVy7kLww/LezM6pci9mhTf2MP3NgTyCxhGPbMLPt3Lj9j5DUbUapynrnB
Lztsx32n4nGfm86wb3znzZoqUqmqbGFQtT6J0GDg2wWEEoTOMkph79BNiI8jxPC+toydn1WroGu4
LWWtIFQAWFzm+O666KaPegydl6ms85UQ5tmQmr1qEuk9CCMHco1zfgf8y5hDB1dnhje2nuyLUL7T
dB4wohQhw4dRo0NYW0dsQiA/R3TEFeKneYKKGpBcKVZNXry6qYervJfHxOxPxBXvLF3CNqnEGkwJ
dzfhka4WD9vG1ZFdEw/ys+qvXQoepiZwL8ydnwh9946VwAXrV5j1RLSJycHbEvM0nOOgseeDvpGJ
zaBOh6zNsyyWU1FtfUBtzyNJX3/ele5bs+wHLpAKRoOMwemw3I9WIY+VPne38DTSwMFeWO7LqTfW
gUbnucxUf7y9wHuByt6i/p9g1zq+VxPRBMzRbwmqinOv3GL0WKXQ3VfBhBUmiOKf/L0RU0PnoArH
mOvJZB8GLccyaGrWxq9h8kyabc6raYq2mWggxdXcDzK7vOgw8vqwwxLoz/M8UstYd5t1x3VvEbsA
zP78EdypUdX1I0BpQk8Jjtx/THWhWub035P8JOqJabeWo6XH0ZeCj2LGYukLgXB1Iw1fzRMQJRR7
w8obR0ITyjp+/erN3BX4SifKy8YIq2yHvZpB0OdNUES6MRiplp/MoIzRs+EzBqNarBLGBkcd/JPt
qHWeB+8airSVyWVmYa/hXTTzxrSzhS6JAxNt9LdJ/uQuSXFKqRAwDbS0eGfjzA2Z1V16Tf8WWIOx
RCWPGbrMnQfylGC8uIc+pj9q5EMCc61CIWl3zcqg1jTb+CiZ+O4EVxAi/OghCIUNJw2pEiID4lwt
zMVoFT5AlqCdlVFu7toIT8wIwHRdTvB9rTE8p9XgvinfyDZka13wuYjdkBUWdtcO777AnWIbswiM
JbZ6Oo0Kqve2s6Dwu22wKy23Wnee0V/cLjN2EIVmoef+MvC3v6lI07H/nPNYGquwRxYmbMJaSlm9
ZE0zsFkk1kq/HhCgV8wXolQkXjIT61rKdazVbInBq9TOt5cwN7RzG8JHsJyh3AzNJe4i4pOmVl+h
5pl7MegQqUbMNZFG9AmleR6ThmgKfdq5TSg2zP7JcMzqd91jWGVkTMNjSX5FGLfPXhleohYH/u1a
5Vd2jlXMh6gFeZZmk2a/9WbDqOuazKC5zb7zi5qgSMJrudo72xJ8V+PbD5rQxu8xGSQznRi4bRfD
1gghh505yHeVDM4dOOR5VjdfytrvJnosUkNX3BipcK9Hxa178i/RoplzA6dKLU+AMMuZS0zNzkQ3
msVe9kQCEMBPJ5QrJWBmVM30zStxITlBb1FqtR/l6KdbV4OQOEaF9RaPdBKDpC7X9BytNzw8tCOS
4eS79ar1oNa0UwmaNy826MyqA6kB//tTlgf8BKtlhlIcRBKwu30UjM/kTcXnyao3WV9rQI4G8Hd2
zp2wV1s/t91NFI7eFzPOe4nKP58I4Z7U16gbzFtL/V+fSBuLzvN76OAcasFDix0thp3ptUerVN1j
FZWXEJbIVS0NH0v7aXet85VK5m62eH0LBt1x3dW5SZPsd7dzVGCL6oI4iBP/yo5DauBqBQ0V41cM
06rbuxAlIQGEIY8ZhjjZupylxHzQexoXRR9H7zAfmy8udfed+9u7MhUyK3ppt8bD5/3MCIUuXHMg
9WIa1lJW41NRBDnO1FBfSljINQu5JMsPZ7I+bipzTB+7ZtqLfMhIu+suaFYyYFnXQ2KcBmKIfbkB
mgJs1yq/J76KH+kHtCu3N8O15oRffKi3kPZP9yHqZOQYtOwRaRm0hj6/fb9yy2mqs+w0jP5HHYbG
ISOrb5c06cZuLjW75Y+hB2Wo4ac6NR7OTdp3UbTOm9yYezCrDq5R0dqRsXqVWBo2QSqsRR+M6rVr
tHBZt22wGa9/LLXuAdt6fRyIb72UGB/AapFmkk1yyxW9PfmxLojIrWfdkOdUCJSATAfCVU4TetHk
4KhLeMpkjpYf4YgJOZM8Hmwmp6zVh9XtpzFyBihTvrX84tj6fe1Rv+mWydDIlsyz7pQ0jW+NEztY
cerJ5mlB1O+8zrv0qFrHlMo6bjbIteSqUgkusZYmHQSBJNn2sWGeVCGeOjC0X3x1v5/rzNQYr6Hz
0E3a/bdy41+PpK/GwnQExLE4alCN+aPOXzOSg0Om7qKgMzgziHtk8CbcpVHYBygoBAJMJKWNNEs/
/vwJ/cdCIgvruta5MXDPut8yJ4PUFl1pzQnTSbkCBGQw0ekhnbr5uKj1fDjlJUWK0QXY6MbGPFS5
ZR7GijLL08bX0eyjljM2wQ1jNPXZg8oUeohAMO7nuT2cRFH+ysENbtOOzKs+wTwIisY8ecoe1rRs
vYVDwsxZz4NDAu70gCBr3LWFuTICq1umCE9OAyKEPHCBxpDAPk/twXy06nJT+3WMCxvFfte5tIe6
EfGWZXCnwE741WXst4Vk6qwgepS45a86mLsW5VhA0+64gp1q7WD3znTU9fGniDwd/N0Q7gDAxFw6
d1m0y+0sOeiR8dY5hAxBDDqHOXCnP39t93osxa5jQuSm6WgpiwV1N6rwrw4exzc73G3BSCedeUXY
wkWliJ7XZfESc/YsG++n3bbAhQhRJofLDpZxUxtb2x6IfmjTQ5lD3iTbtd2kZgWLIe7gOBTeW+n7
7q6zaDr++V1bv1X5Js8iHyL1oKsUN8rPu9bkOAbKAGqUvk31DRBcieN2PyikJimT0nlpQlbvil1j
mlxuUvxj6VWkFamq3roAHrmkD86uz90LnUyduM5p111FKX4c5pe6rX5EmNV3+LRXfhbTAe41YMuD
/91KxIXLXLPMegHnqYQdSrxBtGxHGk8jy8svSYy2zX001v4XKpObOe3TVs23dH2wpOsYQqfJ8fmX
HkqftIcgwN9QIzMbrAp2W1SebVm7u1GruK7V3ilv3W5/mxO3P/0IGpBbFZAwImcDLg7Xf8qsSaXl
V02u+5E660gyvjZQQaH+IdL67hxhWGcrZv3T6R8J6z8bYQ2MjXmLc+60qXkZEUpupql4q/2EJulV
VXt7gQMhD6HzdeHz+7MmEaWbwpJU/GiBr//9vzbIKPUalTuDdUpQjm5oL+S9/FZbec1Ra4hdQZ89
VsjB8o64FLPF/tD4yd9WPfmLcIgmAhf0evHnlStM/s5PX6JlG5I2gbSUgQLlvgdkecSL2m5mnLjA
a5vc9ZuNFRUOgD/v1SDS8bE1wupcZ/qBXGK0oszhsmT4qTxG9tiH2wNV6qXox+qxhtA9a7yA5Ikm
5nfLgVESNx4RjXphGWfM+uNywbzJOWZNEh86wgEKCM9zv68Pftw4a8Bp7iEvPbm+RlJS5RIjcW0J
G1cpZVaG742DcG5DfARomFT1azbmfB04scte2yPe1nKaGlmJTC3Mi18EbkaTvybMxP3VOM6+iIT9
MTZCUUSp+It71++nH9P1a5+PTcullebcDTCziGS3iacX6/L00A7uo3B18wDT5dq7EGBm4p0RGuam
MKafDbsSrsG43aVXmOKfv1L7t4rWumpZFY0GyGA8lnfLzLR8u3QbAXbX0ztYNldKkiUG2lflsCha
qU50guCcZmUB7yQI9pT+wMlK3VgluRatLNeOIe/6E5AxNMpIHUyCBkGpyDwRew24GXksYGRAr0xt
vyq8yT/ajKpQAPA1gfN+9OjGzsype6nNoX6EwneyU7s+6hC1OpOW2gjubw/4LTj3TPWBG0vCCtqJ
3qAL7cLJ3p0JhHPd2OuhDqEzaWEOzCIUW7ux0y8+Lus/ngBKK8WA3+QS7zp3H1fQ01hRqNNOFlUW
wVyMk9yAwLvo76rWYVM6hoaJ3bpOfwEhNXJg66XDtAO7RdXdxFf58tQuO4e4JtG8Wj7Dkjhrv0EE
+SiM9FvVKWwFyHhIPL/G3NGpope7cZPowQnkG8kHIETXZdS9IvdBS2d/5ba9F0EqnWY/8keUTzba
bvbqz/uOZlCqKVN5J9TE6arsYqimPRG+gfjpG8bjZI72TrsyTl0fW3bZwWnSoqMAV046NsDevqPi
5UxbqkI7SzwKW/p8AMhNl0ilUM2oH4AvCRGDUZyeAaWhJqQN2akmW5Jq/GRH2q9UBGvNo4VFVdiv
I9prq4wUeMLiaDz+vx8AKZAS2NyLlbw+C59/37hQopWTjM9J3Z/bzByPkXIYOEbqEkzVK3QydSxC
+B/c7naFGq6qdxJ+LSOEXhfEC98MumuYAvwpBkFDVR2BqecvVhACswITQ5qYokNwtBARzhiij/Oq
bYcDil+PtKjmIgJDwvVO0X8byMa5X8WHwNfIXEl0NCBJ9kTUTLEJYJs81AZa2bTWy/fKe004H16r
68eiyJiYuC7vSfKxnrOOKgRYRvmF7OL3ewvqUOpEabP6kZ/dVs6/TiS/gyqaNDD8Ep35VCcGMqG8
PDlU1q+xLeyHXpbLsE/hnkSy2gwdsYxpWIX7QDYn8m2eCJIbXlTc7TzH+t4EhJFl0eCfzQoupl1a
mKR990wwXT+ru8EBDzU2m9wg0Qbi3UvnQro2qh89QM8HGVWvCVEVXj19xElb0A2r2wVioK+UoTSg
fzvyHIbyDup5Syn4o+7n5REUBKjZ+RCfO0tv1o6W/PScXrwGkVkjYqjG+aRH8UnZEBeZEY4rG9or
fO7Yf0sSmFd9QTnTZzwANrnye7ia2XZSxikQ8XjOyXwt+8J6KSYymeyU4zRsaJVrKt/1duQwR4wx
exRdftLegrQjyZDyda0loX1qszHZCkrVWad58i9i3eInoySXRDYTRyIUma1jvUY5Y+VZol1xhpZ8
LUzW9TzwdCLmyDs+k+dSn+GRgqEfc3tWhNpPLvLReTSw0koxEI8y6eKRXvoACORvwC0WZzU/FHiQ
HM0Hyaqr4YF7I5FqPcm+VmIv2fOGb+WvgsD1v80X9+rFKFZTGDdEO5X7qff6I0GNBfk0+cckOm1Z
pqra4EXVH5sYg5NJ2VVM3k6ov65CV+Y5drDqvLZ7SWGymjPSJS+BHmQPzeQcUEi2ZxtF2JYGz5Lc
BHKTazIu2aURZ6cE0qTRQ+d28rULhDpHTfLqEwjF+SvfdG1gQN4M+bHDHwgBtSw+fI3ssNTrxocW
vEIfkiTRE3FNF62BsNzm9VmQCpwysF2BqSPG7v++oSZzsi2c12cN+swyGKJrWJeDgl8y26javjv2
mv/LKHTvoWzdld2X1jbmrgKkUOmbdiCzlZPUVqO+qMmuflQfoN6C7/mV7tlTITsRip6Z00fGIiH3
fZOWxs5UqPUSmzlLNUgcXowg3tjUN8SWA1y2goL0Vov6fdYEofWEdFU85SZHaFYcgiQe39mnaQiP
3KZuf+yjnP6G8i4hnOhzhnhoNsHunld2UJycUYfjQxLLKch155hiYIaRqwc/+hAYhZY2b1pid3Sb
CwJmXQKt8+Dx9uIfZVSqBwPJCsRussbqXMRH5UfRzkv7ehZ1BDhBMScGJaLjqNLYnAsGfDu/EOZ6
KmW5shR8mlB+FHkp1iSU+mtFIvVjI9OLSKvveVOk5KEO3lkmaTzjvtFjbTwltSqf7N5LYT96gOAn
vXoCQ5jvm8o+oId6cpAA/hVF42Ou0uhtKiK57Luu3ie91qHMA97r5+Gv0am7Zxia1hMKMgvu6/82
SmTNnJEnuz1ZxWjOez6fFwPYahepq7xhCrfQxg0oaUSYVtKZ23VWH/vSfxiMRls0mRwJNdKHg+8U
NjKAPNqiuoZJF44hCT69PZ4CQwOJM8rmTOxIhhSvOBuxFqFmFPYC6RvZNCYiJoMgq/qa4BvD8I0m
rdib40c+vVei1V4NLpX8smQZxnH4wx1EwfxrdLCY5M6xzcdjDtl4lo95f/aHKlr96yfmi3Ozir35
7ROgetrTwyZ9ttPe4+aq5SWBYD7Zlnd0JqZ0TKaWPmMPbm39U6HLd/TQ21hG9bkZ2voc+w/cYsbv
lf8ka69ZIsEQe58BxkxcD7/a2TZdJvY3CUmSx+MMmPVcWr22GjyPByPQ03mSTNSO+VNbWWhj+pdb
KWHRVl7Eo6jnJYmERdqQMpLnybvOipi3SQHQLtMWgoCGgx0POLVora796wZyJdNVeU9WbUcXUGdF
P9xeJjEfzKA5mWWnbyWxXir2M/RpzSy8Cr5955ExS7CRGjGOFXvWg8BZv5kQMcypgsdFWBC21aHx
fM7DDy0gNwdIR/iNPAu9K8Z95nTeutW1vzQtJemsbi4TEWJJa1fzclTjrGcK8+h01gbd7kAfx3DW
elyT/huE9SEwyRUcSO6jdpTrCPnHc5iCCEx8Xf7MWdgt8bD7yJfOTAWy2IVuHi5a3QzfNSODvISl
dMvsaMZJFDwkCmG1rVXqOeRmNGN7rb+x96+ERHl7HdLknk20HTjl7ajl6sWfcC5Z59TptIcIKt7j
VOB34Vh4wBo5kJ2jnHkZj2qNl7DZex3hhOkkzQ25nkT6FGiUxSRHLjXu94ImE7fHcNol9hSdktzV
FyFpX+9xLR+5A0y/sDZAVK8JRvJL50giyLZrbjLF7FgMVXPxp5LNM0DUW5oMKOPrfCK1p+fRrf7m
yqjtnN4ZkBCViIeFfs23e3ChKK/8kBQ2psLdM96C6Gzo5gm34w4uU3K8CcGwgnvn3Nvju23XmY7b
sXAFiFc9Ng8N84LeC4d1XFeIkB2PlI+ysE8Fc55/OplKhPPi6onknhg/3nySpQnVP+7c8Zvfsacm
j50VQHZv8+jsFgeAIUfO1ZFI5mmhkJVylRyIGu8FY6uAtowlC2NZFUa91QmuhkA/DkcRNZdo6k5t
WPtMyyMkSPwn2qgP54YcohQ+q6gNGLVaGv01hnC2S0kjNWzIpUuNS0dp/IQ00Ny7vkoWWhQW26RH
+mh6MczYhkgPg7321dTAvAdkyB9stz86ZugdtJCGnl549QcZBy+4NkzinBJ01k4YqbXhWOY1icNd
CIe6niVX/UX63hplrPWRs2YWqE7ToxVAx/2nDC9JzsZcXdAWbeJyf3tJOFcWEapTyO6VdgROp20Q
nD/f/jTZBJH+878Nc5Usy54MbdPTpnMZafEljoYnMAL+R94GTJSkYOZ/9ZsFIb3j1DfJUkCVAqEw
vzjYyx4heshNpzGKFVlbXjQvII+p7lakxRgo3wb33F9fxPicxGmKtRPHEveNjV17wauh19rWIC1+
KbpAfmE4dO58FYoJs7o2x6+DIxc90N3MqA4YYAAGbk+52x11vsFXJzVJp7Vtfw8TvroK78ytY0j4
F9cbJ6mcpJk53Qjo2PvQOwsyaElVqiJ0Drc/hnX+CkjdevGH8smP7exnnqdPuW9GC9VNzV4gnl8G
dhyshUr1l3TO9UhflfIKu3aC7qlJBvsxtspZbPK1+X5ccMoQ2XtbtYNWrIrBi5//6Z8VqnhG5jx9
LzKfKNpGfIxyMFe1qDYdOMO9wdMHW82rA1osQ7t0tSo4UOEtbSfPnol0hepYS/0DkN1rnlXpT8Fv
oVm8Uw+YfRVNTxq7xrc+8Wja+t3wygUD80tnDgSfeMglSkteyD+A5dlrz2iE/JexR7SZR85Fb4Po
8c+F5D/y4U/dMagDjFxNm/LZsUmc+lwqKE8fGoSRmOUa/Kr/w9mZ7UaOZFv2iwhwHl59nt01h+KF
CEVEcjDOg5HGr7+LjEZ3VdZFJdBAgZACqpTLnTQ7ds7eaxPOybh8VogGhTc6K3j0hBJzgHGirRGD
THMqGFQ7Q7P6A0rNb8UoGvxnHUNtX68+rIxeNGWpJJIFbWFkG/02d7xq23cN3u+0kmcfsTTR4Zrf
rfOpKhHn+T0WSwdzhtV0996NBhjZ3V+m3ttbnl/nBMZ4eohAQJeJVP4z4JRZ+Ee/DP3XxtGy25Ql
IG4MK7zpDZjyhnioPdL3eusUuvWGQNbc9sK7GSF66MTrvKulWd7V0TPaPUVPfhED2AvP0mMga/DJ
otZ/Cifsxoh1jk7ptHdrvgDmjOzxicIg7S1FDYCcoFHxS+IRsa4qsmbJVJavdkzqHIKIVTGW35FK
+vuZerop0Hus49pwznanZYz2BrW1n5y+7x6lcrpHPV+0kBAgbJjGrgG3qeEg/4rVh++XLfnbRn6v
4A8OVW4c4lFRaiRVg+5QD8xtJw3cUmWlvfvMptemHeYv0m8YBbIH3Ae3D3ddK4k/C5z+RNjcvuS/
clPzUNBzmt/MuyQvziIZCuDnaxBEX1nXuj9V2j3S0C0vhbSZsVVRTu99wvfIpJXAc7rwh6A3yESt
KPdBWppne0L1PeYI8M0xb/YtHwU8YzCwVauOkTs9LbLYzmsk22ZqH8hjsW9DXJEYmw7IvKKQj7xo
yPBJ02M8DPWnXZJ4B062Nj8qZrvkaeXjHwFRqyLyeJ0iO00Gs3iDmIBjgwKgg5u5scn7fEwYEXZj
KfOLZyBwszrnFQ4Ksc+1OBhaNL6LmphodpG/lu/SOvZO7MPluvK8mTFk2bvlI1su9Ap8DJSa2sWt
LHdhYVDUM6D/pKOwd6zJfg2g29eitk4dWptNzYj3R1NPRyJEs3eCddNj33nZThE9skFLbxyrSf8M
QPbe6VA47+hgVkM5DQ9MGd+Nss83Dsb9T52GyorHTdwCU3gveckiF8GEFhdGxMMlH0zv4RSN99Ca
LoBIm9t72baSUXycgxf11cazw/EE3N3iRYBrH1vvszGbfalLtISJaTwiMfSkAvNVmmHejqrYfJS5
6LdlZA3rbqibfWbUxsVERrEuO2/ahaAfn4fCKq99G16teRYU9lRZcTd+8wI+xLwj/XspGzVDqXNT
RSTWVgSsuHFebTCDhmenCsIzsa7ROh6zdmNXqj23U4lcKm2daC/jIljl1mdiIjwygvpT1rH+jTMT
d18ojrbKrTsztOmk92a5Gyu693mFBMETE42WpPipmehw0j7RnruRtkJYWs3GGrn959YFfXxr7ZDQ
euT+XaGYHE7sL3W4zmxvUwWVdQysEm6nTmZgxsHvyHtdoobK/ffUYZw1RFvCmsSxckv0fNpAwBSj
sztbDkv11BJ/JNCCKk1vz6rz/ROK93atNZb2HkadB+137mjI4TLm4NfDZVmcL8tXOul03FPVIZmX
izoo3DMnh3D1B95S+2QoiTrgqGdZBB3a3Aid9e5ORB5oHbabFFDnI4T+gZQqXGklH+ho/PYSmgpB
1mdv/k3Mhb6toypPhtRBwu++xmHTPRKpf7ejcsuqJI/t2ExrI3M//U7Z506bXiEHmD/JBvgWum11
k0XdA1Ii29DWq5c+rrO3vqbbbis5bmSFuUh4DnBpic+YxFzHovWaVcXWLwL90g3p3QuK6M+fuPyd
dOlhrVaV/4S45tV0GgQ8sVGdMX/QTK6y9JqyZR7KhHvNDEvK4BjoNNaGlZiilnZcgvGhqvFVUNe6
8wUPMLqAEnW3YyDi9mYRg+qRO5YsWiuixarPYIb/izCJzgZg47UYxKO3NBK8ZmeFnaT2I2ae0E1N
e6Sd9/DTqDkVyXBbpnx6OXw5AZl3zqxDHWYd6nKR4zMhTjxpTMeYlzcF8Y9T+HNp1GDk44N3655w
mrn85QZmlIpIZEV+K4R7JhAeQLiv3OWZI/EX+dYQ7JbCG0Hhm1dNNxF7xhsZ3rQhVb5Tgv5VZk7a
nk9Q36DSX8X01y6x5YO/iKO/Kidady2S1ADqczz3vbK06PdIdsxVU9GNixP12s/NOtcqkP0H3XRI
lB7ipSp+5/TRzpgdnbPjCvfUEyw2xL52rjAIrwiQL4G99C0eXjmrTsTaibP6ZOSQFiKDNUhVrtrE
ufu71n3zDUGHdQ1D/3cxW85p3T1VIL/vVm58l009HipaMpvcAj3PyEucSQTOdn/ueeZ3insmih79
5OIBJY8Q3VaOlhrSdC9d+ZYa4jPVOaTjwS3AcVfiJYman6mlq6uNJHTVMUg9kShPb0g5TkqmQuJs
FDHTUOSp7CyveKKLAYQmd/WvKqDd2HUksvg4kxgBxjvRGSOC5SD5ZjrZp5sn+T7XK21rtrW70oeu
/eF109dIwfNMQFR9djRSt4xYe26FoT+Tl2Q8V/BA67ytHplNnILeDtG5Tg1OG3yY90oT0Rtb0qYY
dYLBCRxbud5ET70OxMXXifMqg+QYOxJlf+kcaX8wSDVL/8v0hrUZEVSpD278FKrkg77h9FzGw+cQ
5O/LO+8K4sn0KoFZPVd2HulLFyJcr2MU2T/kl6P8+qm1GYnoDQcDvC8/cr88oA0UuwkAN7HCaJQg
QcdD7ZzVdDMAzt+FaXYHj9qCjm2WYWPK3asdnrRGOHPuBt0NzzC7HR3enkSdNrzUqUcIRO+TzKem
CYXJ4J7i1po2GMZDskQYzix9v0SkP6bR1olHHf2Mwg+YLiu9sRZFLK4E5eFowoJ4NRLrtaLtf6ad
0FN0h8kvlziZ0o77o6l5Fqu9pR8SaptNbn5YLXT6Vem15jpKbQ67HOWSdPwdxEg41WzAaSdFy8NB
aeB0zstikOnbvL6zMrxogb9RVM/UECb143wpimz7py6ykb2eijxl2kF3suhpjDIT8TaxeyzdilNv
Isl7bQ21G5viu1OT0ukFtXpkMxvDaDDRDHqv30VpfJMwu7d1bIzrpvJ2SkrjSMDeC4K/iZrNUgfS
bO7LCs8y65OuUnZHnMTrYvLd2Q4tmFNr1apw44K8ZJJHFvdCYszGwdHbUv2QE4ZT7JKRd0Nn89ug
vOpTFLq/RmhUnP0L3m9sZNEgLtjzJY4D09qa4aw1Mfz4CxPZ8yDjXQIzgE0zOtokCL9YvYsoJe++
eUTTRJA3fuhT6a87UGcHr0s+nZCuCduxhyEw+yb9kL8vzyre6LIfnpqMU3RkIKzVXHPae42F5TTs
04c2+hwYpw6RK1U3Vq/8OAq9Z2JRug9Oxr9ss9Tf/iypVTOK/fJURKbSf4zmK036+dGqPzFJDYep
QEvK69y3/OCJgAO2zWwSoCbMn7qlBU+xp98G34wuFi97nTitvXYxxN80ftvZmQmmvsZTUkzOsbLo
jas2rld+4ur72hjYpucL9w7UeQ8RgeV0YA185y9B8t7G1xxg6Tk5ioRwR69e0fjb3EbhR7ma7MPJ
Ds+un5EbocKXScv2yIamA96m9llHzgEYCs5RxKZ1Xi5anBKp1EQtISnOmv49EajzxeljfoMWud/x
i0oWcWQFvW8LtHKs4johgXMHtXKqdz9RnCGCvrgwGtg20IOeCqOXZNFF1aebTC9FM5zRU3tHpWpe
21ypGRO5UGamn925AG8WGb9lvIZgTUKTri6tuds4Td3Kaov4t2Xsab/RWYVUsc0Ka7gulzHWk12j
s/4LFbcvRT3EhIUBTMlofC9lwDSFzrkn0vUgTP9oB79ci0ZQkT658+EqJQAISwVPTNw9Z5VpPGeZ
W+1NScifTKyNtJAaQJpVVwxoOez5d8Mfdu3c/DBtphqyedH9wtrXVckwjIbRiqaufombonyL1ffl
d2iZ1r7I8pFWonquy5Q/bdIKzgt0SHsxXpNcxA/upuiBziI5qLKQK1Td8mhOzoc2dP0lHrlMFt6V
pnGLnRum/WUoVL/jA8j3c7rxMeuDi4aHsu6d8jVpdPMZz9iBF+Q+Yje6dmHQPDFhbFcCNcARpEDz
hLN26+kAbyYhD+Z8fwFEaW9xYr4Qb50/FnScm4FEFZ5xlsSBgCCOmAr07sVu5M88gA9TaxaZ2I2P
nWIuLtX8bpe1WXLGLhBtESmptKJ90zU6y0NVtl/mGB7S+FTA/1ccqir1ZOtRc0RvN648YheeDP1s
WMVEtx0BS16FxDUKc5y2XcPxQnTuTnL8+9b40mda5CHZHoZknS7qySrO8zlJkvpsNB4ojOOXMnuj
pM2fTVArh64kDlhOLv/xMGcramMTvZmeHryYXndiHJu5rCjCRl2DFqVGQ3gr7wR4OSNtn5oCx6o+
DBe11FeOMKibp2IFka17jlPuIV7KWxv1TPcCWnj9//2qY1azMrvJaXcZW+/WphGJOiL6Lig6diqN
x6MRmtErqsgPE/naV27U44omrflQgmztNGT6IMjXobPgFW91iKOWeOb+d9Q2pB+QojKkY3ogV5Mg
EtsomK1rw7i2+BhP2Cx8rPHjgFVGud6pTb+hmwuPyzc2b+5/b/+48yD437o/MwLFQto2e6B94+9s
OJsZQQsgZbhPVFQ7FNti1qo4bMUyZYeqXcLV2mHXMPk9ElBJTl0S66eqC5u1Z7dYtkFd7GR70MpQ
/yrsgyWy+MOI6aTmmbbXQ9q3E2LoB+c++1EwS1xxurr6PjGHsZXIV5XYwd7Q0/nQJ7ZhZfSvBVF+
K7soPt0W+q8Z27W/Dg35kHYYnGKnBTLizoWn/ooahHymyi+eCPrLoW60+pdriDWf3dHXx6haGyKc
4RnDahodUoHno5HdkIyFaHkfusOLUFb0OepORZBtZhMyrsyDMxpqvbTHm/4a1xhgJsbhey937Kvv
YOoL/LLay0FRVFuO+TTWP5JRlP+kEv1fPhnPc2eJu4760FxUpP+iWyj7TGBBYU5sxCmzxCwqNxPi
qzMvm42zbwmSFk2O7HLYhGbxmZvODH4cfmTaZOwwJ+U7QhvKjaqpeblxrLfe7MlA1MXNthsDPXB5
0Jew697qt4peOvKotZsVV7Je/Vd0/Ze+IaiNBIv/fssZxn8oSV0r4H9AgBAukhT9N3FCn7U02GGO
3f88mX5DyHIdJTROXYx5cqyLDfkqOFlEdJR2N1392jgTCpWuRVWZ1zb8RbGZbhqha8e+59zLyWBa
1fXg7nNyRNKRoVDaGBsLze+pkuF7w2N4ngyQkQbu773byfDWmI88yYJbWgUBoizq8NoNM0LYO/+w
rCtO82o48fDaVHJXVlP3wrS2miyYEFY5i/kgDtq9930KB8ZDmfFkpEMxh6ccRl3Em6EKho3Up7eM
nzymWSP3uqDnt1Sackyrg86OsPJBp6zszu+/LV/paCdXnqGjBysMj0RYz8PuSRQkfiuS5cF7qsn6
nck+uWvZavCTlSCaiJbHdYiku3XDZJeHdXixFLETIm3GYwrhgpsH1YRLLDWyS2ltNMAoOz8iEbjV
02vJOfSXo6d7Mb1IW6J9UBMC7UzdmNzGW9NIxK1hTHUsDRKD03wYcdxYlDK96ZxBG7EKi/qSmvgV
u8Q6a2GB6S3VXj0jBGxoJUBKS3n3SivYQwo8WLwzx8EmSghai7u3ct/bDCYtAjWQ50r+4PgP8k/z
P4xFLog47n7kP4anI5r69wb3NHhAOdoJK6Saiv2QB3slaRmRC7DO3G01k0kz5r8i8apzSQSR0zjf
mK+G6yhqks2g4+QKU7PeRlP+VSU2qZLF8FuBAbp4fe7v/vvT8b+9WmyDMHzBCCHrXaBP//LYt2ac
kpWeqruVDia26DZ5mZpDoAl63nQhpLCeEJDbq4JAmkn0ActDbTGhpQg39cOQIbRohWpPNmcT/LSE
hwUGnsoiPuE/Tf4/Xq2LzRMri8egx/u7KDzJnaqXtm7cJ1sUawrBTOHVta6pqI1XpPjVBu2Xg+xC
PPh70ISjQuJxaVS7CsOnPtcC+FnGDSKmy8iYo0RRZt9TJ/ge+jnLWe6O/yAHY5z8Hzse8ynsv5jN
fNAAf7dwDJPKCU1z9Tsch48+LORL0JLLRiQ39lpfjza2O0cd0fO5KMy9UAKpnl1B8l9ywiZgfTPj
5B7mFmo1O6tfNMOWe2WBfqDXv0LAg+q7gYkRTRmatrltrtuqOMiwSB59Pa4xgp9yoy9f2zpNL5Z4
FSYE3bjN+/fBgo2k5534wvZxbivaOcRiFnFQX4aUAPfSqPatJuTZ64mvS7pgIhyV9TmXMrkE9UcT
1ikNZZmh2kJ0k8om/2NaZPx2Gtm+sAogjrKnTLujc/uELCw/yCqf3eJwHhIRYvOqUbXMZ5mKYciu
IOJ4NCgClMiTsxk16htGhCgL11Nu43D3gvvSxuqIOi8Sz9hVdYijVauTm+sD1bSwKn/F2byIQfJi
85WJpz83QQTUyPE+aEpuak/i+SU/+GC7QXdlfMkRtAoupg/Xc+RA9hjQdJNlxc1RUzkXlXcKll5p
qPXnsFTyrEjzUtLRmAEYEBBoUL0HrnZoQmd87nP2OimYCPVzE8P+3qssu/sFlEFMlD/SZZACY52l
2K+TU52w+RCq3J8K0yxZ0TJOt+ia9kEbEoXYoSCsiHec47XGR8zYKG8y9U8y61mN++812ewPszzH
WwTrf7fr4vDqp6bxprvrZc9eXepXqepNB9hkHQJe2XLaYxGyiKMHiIgE9w2lHnGCcfFbBbm+Kphg
vf3DqoRu+z9elMtQFw2xg+HIAyb176soQwB7hApm3RtbfwXxfDdoFT9P86WJk3IH/qXfyFEgnOzl
p616+6YrgfnJiNLrLDshWPEpoxEZe6b+FYLiD0BKPbGMfqEeyVZek5K+q8XiixYHQzzZs2Nm8oeW
Dm9OG5SoLjr6gW3+pnt5fWRAsyHlYrYPbelGdhsfVNbFFBWfkkaYJN2jriJTm8qt/GgMg7BUOv7g
Y5KdJuV71ozG2Q/lCOWbkZxvpjc8dNXZR1EAZKs59ikMUGQLlW+QjO4cp2aKnnvvEfuIuZkrDS9j
0v6Vtj3DGVEiWJkpPg4cjE0gWn0zlckztuv+YljAdDPHRUqsw2ZYvgUBZrGbxGiufWO/NJq42exT
gHNyRZMLXzICCsSNirkYgYLTPkQcC9IO+JaO3/krNGzCF+tnn20iZj5z6puOTbpKvHUHjQsNvyD2
Q1qYgcItwI8N9cCz6UTtrp5bAO18WSoSlLPnqPLiu5v3nwywy6NlDHynD/2h08dfs2mLsbyInkMo
4wcvfYu67FYhLUO6md4cO4hPvpkP61QG1kOXwU+7ttPT8p00GtyysxmF7KVtYn7WuRHtvBbkSsMj
dBh4ijfxOIT7bgDBEYYGPbQy+e7jjk/NvDsJOHt/2h6Q0ZFiBkBkqvreuVH55tiVdfLSAq1uFZCE
RSjJSsJxfAfQ/JhoR/Du+SmRoWs5DS64AFa0bKgidzW5VrSLJp+bFdzQhZlUA06MNbOeunoT1356
DLrAPghtzOgVM4cl5YR6Erf1EzjcrepdJP4RfxcnbBpaZE9tE69vVuY8LogSpFFjf3fIrd0uL0hl
0XBSvPkV9axPpgjKnsotzK1EdH20+zH+gBi7tS2S/MpQYeWNGtLJEUu+OincNwJ26VazzKGwo6GT
t0A88RDYF3bYM5yki5d14yMZJNGgI2Dv3ptbpvGZ5i9H4pmt6DjIChpLNHfD6cRWuBzAi7BYOVad
n0uCWk869B4wUMH5N0Kx9HnkiPwM2vjqlhyMVJkFG8QiDl1SqExTFKbXkKKfCqQtfgmwsdtRecc+
kv6mIRQw5+B1KOJufnXUKUZN/qGENnruIGucCsVhWBXgksoI00GSWHIe055EA/ZpubkdAzjqsAW+
E/7A7y4ZiDTiMTIpW40xzssYFPm+tunrQLKJ8oAsRMJPylsjmRFa40vCWHXrh715D1Jh3sP5q9yc
frQSITQ11HaZSC6zyZ6bET+16x0HKzdPo0fPpO6J2I4CQ2wD6QD2jMkLDAmi4VziTcwCvFU6otdJ
ekajWp+lZxz6jEly9HVdsalmEMkyBTJngUNWtv5ao0iumZsbv+IKDZ9mRc3ZYvYVpZ26dZrsERLF
9qGe3/pWkiur1+m21LOvSBbpebk0MkzODd7LdTvoCXbg7r0NzOTeDDYsKl2vyIKPkByQSwkfoRm2
yqtJd/W9+jQU9cuiO14uMtY/+hjeX+pOtyZVzDTdst+bbciKUY75ZlFZT32ldr1Z/TU6DhCrvHGv
QVd9IhRngN75JJynAG4EuQnXeQRdjNVl8LxoE+Q0eGDdek/FkBa4EOHcLt8KWnzabKnW+evfErxC
fVhbH5phGHsgTNMq0CMakhPaivmyqLzb7/P56ocs9S3IqvavQk9vFpwLdNF5gQkh9RwG1KK718Yh
oTq9hXlLoUT/hMmJ9qql8v/0gOIR8L8T81L6Wr6EVdW+AG0w22qttba1q58CUw9vrqjDmwAIR7J2
DTKHZTuJsVeVg0E7mlH3UyOxATj2S6NF61zBUmX8wopRNuOf5iaskbVsVHDsbFvsCCEGKUcg+HbK
3ewceWAQvanrd63lh1sj6x5+7tZXQ0LahJPyBtVmuuW45i2nIbRccpzzCfrbkqacbyzPbM/GfOma
RD8WuX1wIq9/NcaKPM6EIWzc0jtW5AmHaXLMsSdu2rn/5YTmZ2j00blMqDuDLvoRz8v90IfyigZ4
Zc/LfWfBr2pJ39z+MXRY8jlCtIKd2kGGypgGUl/B0Vi48pRt2EKG09JA5Yn4LgnUuYNYfxoyDpXL
AKQZYuaPEYptSBjFY4L4uSt1HhdRJC7qcnaxHC2bvxqHDvoIufB8zsRSe6AplgEFwlC6/AlamNZl
7XGyFuqFG7VP8DoRdg2vWh+vZTXIF4yI2RHhT77q6dqsYyvrrn5pOXfkgSiSILMtd/3Cb8MFrd+E
9aEQzi7CyCkTz2WuaBI1/ltON+HQmeV4ByUPIDL3tb0fljXRAvXJzlwBjMicDnHTnbGZkhpuAWrZ
idnyJMN4L7KwO0WRy4Zd1TFB9Vied4kdYuxDFLoRddVtwjoP7kXV5dekkJzap1Ojad2PNC68laTm
2RmM11iOBnVbLm1uJXSL13GpCpAkqrxmcVVeWc39dZPYAwB/vdz+Ua3BIMdqHSGEny+mXXvbHA/D
apmGz3jg7RAHagM2JN31Cs8BWE6xG7WEOdwA9coczL9gGlHuTCiKM9wXviHX/GXtZ6032wUfkCQ6
DIF2a4B8XMH6fBkcGRwkfYUPCCUMIWerkwEfzeJj2DU4Zg9RQ2DuInem7xJuRvug9ERyFAz+6k0+
fbxUP9J8ggEI5R+bsxnHhy6BIIrfpPciZE8SUpYvsgRUoIo2dWYy07AdHJFF9pWnSu6dQunrSCvV
Vh+S9AKwYt2jT9hZYJX2vWGKE73ees0nJQ5dp4gMnwNHagv+e9WO35sOgR0n/KUK85pC3nGsn1yU
zYtLIHBpNEU+m3VqvYCkQPc/TOFa65ryEJtGc85Hnf64CzyRO3OlA4o+BWbwaPHmeKtJD16MIsVz
wuGFJiPoG2h8DIGA7Md5HXxrspp3i67prOJt3NB7EFflPSozNVY2K7hlFN45ELZ1ztx7FBDbk+Ck
qU1fQj/VIjC28wHT9xiY9l1NsfgT6WF1EcOxGEP1bWpR+NMLZ3A0H7CHWHy01AWvpTFv6YpelsDO
oM2yU8tMun0EyxXglGWuSteTt0DJTVVa7i/frBOIeBKmNcsRUQrOsac4XUciStlcniPRfo5wCKaH
R8W0Xh5ie9K/p0L06wj900vrj/dKlepomARxILG3cYuSNO6U3WuOo++kKwoH09pEvYf6Qftovezc
OFCRstpjXEeNV5P5Sx8veTiox1+a2SEE09Dy0MvWcgxv1cSpf+0iGr8Dp65pOxf1ZhmKeAhp5w7O
UxzmV6NGMRi35g978sezVzBd6DLKEcSc6d5VTbjKZ3Ljchmcwd7iHh1XFVvZpSzG+GDHDcHZmaWd
dZIu9lRhT8wBiJQPZre+1rNl0yQggbuTNSHeXntGneUeGtfdLRInUYUolUk/DqwiftUG42dntAau
bI6bhTcQYZi66dYZvWbPDD28RK36WlaOcdbzJoM6iYTSOHDPi4nJI9BjBVWe3d/JnOk02mX31Mk9
nYZ0k3a989E7PGg0ydWq0+z02LExbQJIFRcm5r89PRy2pVTWQdPJdIBilB6KjD5NZeis2nY9vRKA
kVHzpP3v0HoJsctuSPcw71EUncY0NH6nQ3hEk8v2qjvdpUem+RRadbayhyo7Ld9mtSjORF9f89D9
xBFZv49mOG17Ny8u0ZiZTN7ZcqdO4vuACp6bUFEN1Y/PYaCRgaRb723mNRBFMQZQrvYPjmCpiRtA
94aA10e97Sd4WwsRvMZRFb0yKVWzkzCXot2mGsm5ADAlPRkAE0sptRRVen1IHWHdUeuND0sW7dEj
3D2edZ3LZaqIfXKb8rIsYDZVVe+Q7m1VU3tVOgpXsK9rYwjMpzwBzdom7CKi7W9ewjxbMBlGfAy1
peePTjs7/K1Sbpy+7X4Oju+s9JRFrdTbaVv6I1PzUann5SvQ8QSG93NQlwPl7JK1rnVVfvAbCnvw
Aj0fBbocjkHUq63hRer7UHrbzjWcdyV5TOvS604Nc8YmIXp+OZb6pvbAItDtDWVHB46n0Rmue3p2
SyPcm8K0bvR4sGoNesAcvhyPZNkUb7oT3QQu7h/D1Jnr1lHgyxyFzwzcCnREqX3Xy4sLXfKF5+uq
tVn55zKRzbPWC9FsWXSoMMpcHidVGq9O038qczKuiRPq92EAItE71pWkyiteGuu4fCfnfzL73mau
U4Iu8X1/BWs5OVuxbr6xnKNxbK34rGdDdvMj/2lxBLW9fR+DFt2HP1iHkQVi1Ut2gpLZ5nFBc7Xz
t6RlXOAC3RC2DOvFV9Y7rrG23YLPtrOB3TSi31id5mEad3QIvFP+hDiiPjnCTogLZ05bMFNp+1Y6
G8aK2T5Ia2SbHZows2a6Ug7eTeWJQkqsbDBZCgCYN0DbbjvjElgN+eGZ9Tr5RbW1kO2Bx7SSO6U8
bYP58+z8RHuy9OyUa4RY+SLwVthn3LVNSg+GQw48U0o3Ms0DUknMCQU5ICZZW+a9KVtc6L38WRWQ
AZndIbHwLYNyTWC4YsiR71whxSWiaW9j4Flm4hCJybrkuS9rtuYg9ZJTbmFdnUbD+Jya5HsSmpx1
I2U8+xQTPALyC9wr1iqI49fes++G4pQf5G3EcYEavwARs3bBPK49MxpmaVkGgR0CqKn76TMGzmoV
6pjalt12sPlF9YgygTUl1jK5tpLK/pnFq9p0qhcmY8nG/YyLvvpI1BjfTaf4PSCjjHNGjJwy0Zwi
pb0j/DaPlGuSk1XrPpdeTQtMDMF+iEl5DGupHWKZa+vldzqOQxiUHsTpnunINlc5OpfOQ6sU6fBy
p4zFua+qde7l4W25VB17S5g4O1viOtPd8dHRHEPMpHF65dT9rAkOrGwH2BWm313r8Ah6uIXsJZPF
5e3xlSZ32IrV9wTyZWQk6I6LjMcbOTwICZe+plOMu6jFy6pQqS3O2bbCX1V52W1sLASqUal/m+av
4tKdvqUiukM3f0dpJ/88GC6SDn5qHTmB9lKCZkBKaXdbkynPyhsF1gdQhXPHqz+A1EpuDFz2wssx
oUbE0Oc4RvFnxAFNDK8igoESNGLAeeubvtz8KTK62GznDJMUmCRCoTCt9XcycT9hf1e0w0d56Wrj
dx5a4S71BGLxsNWumt7MohcKYj3J9OoEzYtX0hTWW0U6m+zFG2VasR3czqfXbWnX5f+1XGASJisN
xcn8tP3qWg1dOkpyQA7sDstJdMrzjPv+ECfiBddP84u8vqfSoqFStuA+mzBuzn6ue5cC/juP87Tq
86F5JUTdB76K9TFL+/mInjzaSHduGTP8GM/7m+8np67lUa+mxn2GE35cGuUTvLgNdgBn7ZrFb8fy
u2rtF/a3qmedHRAIPSv/kuFDZ3aNfQiMY10Y7peEl7yumwABU1vSna4++qloH7GB7STKqD4IZ2rR
NfJvy8U9Zm5X/ss/KFFZa9AOYrf85Dj/eJwSIJGTghGrZm849MCnwVLQnpR3MoPh+P9W45YxyCYq
We8kniecl0O4qQsVEU0l4rMVhMTqBtT7Zyjd02aalVk4ob0HMNl2WxBttlkq0qU2Nbu0PRqVk/0P
Yee52zi2ddsnIkByM+2/EhUt2XIu1x+iUjPHzfz0d5Du83Wf6ovTKIAQZdkly+QOa8055mZ9yXqo
JnZViWtudY+/VykrLAGw+PRNPwfR/ZDU8bWPX1hhiUvhdrSYpf6I5VB/VBMtiqIU8alcPNShVxqP
FIzeRICYdn0qK3KGy6r85pLZvtDMdAQpt6Cpn1fyWefgiTUqKnfrF5HVZyjjMcOa/SA3XNzxwUPW
+jkpoT5KmTKLXd9Zp17HV0jJnOkiQx+/nuZBxFp3gKVY5Nq+t+byGXKTvI/BJHRLHMJ6UJHrcI8K
1tfiSPz09NabubuZHNFe1ouEMRoznGG8dDZlXAvodboDlhX45HBWBzrf8Xs2t2eX9O7v8JyvYH1o
klbMuaxjM5w+moVVdWD9tki1ya1t9narxG79atZDBjY7+nldqJ/oqRlvXj/2ezRQ9T5iifqW0j30
eUV07Pmwuxgrke5Y6jwZer2pUi7nzwPJpJuxjCBDLM8Rk/YU65p7RHHLCjOkMVpkUeTr3O0HtItE
uqAc0LD63GM2OTXRkCiUAsy9CYNH6TBZkztgn43Q2s+W1r15CttjhL5qlxGYdOe2mA6toApOrCfe
iUQxH2INUBdy0wmrgDM8abX7gqS+wipEZ5M1zr2m0vcwrkhyZEN7Dvspb+/W80LTmAYzObDHNoNj
Ftp1UG0jWrvn1krLc+kOJoLofEtVJyrgXYsCUQ0/o7cd1Pjrw1J1lFKYHbsdFbnvppEXZ2BAOdpu
BFab9TwfjPzzSYdZLV1gQX+e//Xyv16zPvf53Rmq2t3oKHrzWl2c4+VQkCV6Xk+xRfPD1nPg7vLP
hzQMefavl65f/3xyfZgsv976SG/s3NdblKoZ1feUv2JfnPXlF/h8tPy6fztdvgDO7j9f/b/T9SWw
gvgJdDHhEwEg/vxZ64+JHDkRN0A3SRwV7O7BtvNzZHh8OH97uP766/l6qJZfcugbXoQqPj+vT9JQ
hWHmmob/2y+ynq6/8W8f0/oFEhy7ParyRwq91blXyMrHaiwz6Kb/OQ9GjRQFfTxmy1oJd+VyrVBs
2dLe3I6yGo5NPql5K0bZ7eay+jnOzi/gh/EG1moeQHWKKaqbov6QgXegeXJfSCh0UWafnSS873Lh
F4UoWDdYH65DB6kpTMJMS9Zy5Gm4eUm7OBveXDMYfdqIHtMvmzAW5B/u5KLslDetMj/iwvjWe/NT
bcbPNe3MHeDED6ua37LhBarpL1rML8IMT4UXjdvMaNg3KRpVCCP9pq1jykwFRVNiOyJshGb7Yrrm
cxkM2zmE3VXK7Hshqrci6tXeK3VfN423CkXZptMad5sXS59MfJOt8+ZlrbNJ0jtcpUfRfBOVATUm
/5kFz8h1R3Aw7qMbhTuZxM8EnzyJAKZa1v5AoN+ynsnaLTqbS4EgLbP1fSbtfdgRFkDR7zvpCgLP
FZlzdXkTSr/PP7CZ36tUP3hag6JaJLyxqN+3jjDQ7ip9oxr3lkADqWvNvQhDHevM7fwR9gLmmeDY
NwYyWju/YMo4dEhCfDR+X1Mwk2WRdUe7ip6anIKTKlHPVR8kxMzzV1b6mOTd8anV6nCTDy5wZ7Ff
Vvon8B73PTpal9wq5nVaTXAJqehbothN8KO3WugePGPYeDoaIxsUvNmFt3B2zmwMnrTqVzgOfDHu
go1XmM9qcYF0zlOY9Beywo5Gh9YNLUP0SgeAz8TK6etFfwBRGIAPlFkyUhcyFq/gLcZWTzojn2le
ac/LCidqzRdnYfJH7gWW5zlpy19CmG+doIdpHjy7PWGbudp2U/veu3aYIlTsYaOXvjneBdn8qFvJ
i0QnzpsHelRSgJRUeHfVGH5FR9ThNNwQPEXPTfZIlLxHghnP1MbrY5w9st2pNnlbfE2t/nsOT7fV
3Whfqe8qGu8oxl10WUZ72WaubyJaN2rTjyKTwnSkUcXKiOHNjWfLG6OtO1agGris6wEcWmnv2db7
7hx/pHZqbwYURZs4o0TXFIc5Dum9wVwf3IKwHlvsZlf50k352KaXQLXJlkyjdjumTDr8OFy7Xlzs
hUM40OJOS7wLKEtr7yG1Ukr9mpvw0iSAHTJAybRA4geGCN+KX1AK+C26qbrFEjlicyTMBdlJQnZ9
DGFYNNkDk/eJyaYNuZbT0KJM5AS/PHdqUAaZdA1T4Cnv6/iUVfFMJMQyxJmJF84IBCkXVaF1YLnI
iLeOhaMYHRDzy4s+H67P/u0F67iIJC7eZZKkidms6vN6QFlRn1Vaniy9aA/rsLhOaevA/9fp+mh9
bv3q/++0nKbgz6nkr+8zI/Y0La7s7V/P/fXNegf8SJXiWDvwG6vOqs7NclhPrTTHqL4+uZ6vhy6O
6jOakE3eOclJG5EnbeJltp4aBCqbdc7+PE/GctEGMwOtT/71ldYeiGkt7Yffnv/8YeuTk0Vk2N9+
2OeXuk441BdCsiCX//HzyZGVPYOzU267oanOM338vx3W59T/fUGQQIAqtN2rop23uHajH9HXqg/x
fEc/A4vCUizl9MVBAA50ktYcNMDmndCAIdhDW4mOwCHGaw3pf1eLhuA5t/s2uMaDZ2W0uYiN8h1r
Mk8sfoONqdrxsJqOySmBrV5DotZijwrRvIiOa80kRXTSm/sSdfNGyMkDuFM9NmMv97MYrZOWjvbN
qbT9BMUAUESKphXdA6R36+5T9LKwedYAXFgD5RVhuk6+La9Dj6weikD+QSfcORq5fB2DhMSZiT19
ozflAcXddF/TEwKakL1VUY2QvI2oDXEgztCIGvumqvqYjUhPVRZf2y9523xDMzzQcK7fZET/qw+0
9i6FQg4gRIy7OF9M5I7JajqoMpT1WretYdudK7MF3J1o06V2nGPVZjvL0tSVDUhyszUV3yq2f2Wb
k5Vbzd2lpD06JV80ZW9h0OG6o6qEujP3KBPbyaG34uEUJ+8qw6iCiSq6mpnr7MDbEZK21G/t1k12
OEtweS7bGQouxnWQdPuW+nqaAhTunPZ1DCk7cQM+xbLGf+607la3aqimi2adfCJZNt57Lj88sWxm
Ars4otyLNyD22TC19r1LUWGnoLvvdRHNz6I2U9iIyU1IZDEBdWMKcTNXfm8c9dJugN3LgTSDqb9F
zSh8uJhkT7Vxf8a1RgMn7TdrwTrLwp9hVOf3siSvJJHEEBk27UxN957S4Dmg1PRHbyZfZ0TB7+QH
wF4i5sZ366jeSjybL45u/EFtI7hEkV49osLaxQmECLLN6GawuXko4lf0tOBYNDn6Bma4w5S6NINn
3m4Pn+k0aLa2metp3ndLymMGLXrnTANSQkp4m1Q26rxAWc+CWwaMKAkG3nCv9aN2sBPpbSs4D/te
b6DJ5Tsq2E1Xs2BH8rbH/TQdKOENfju3vwjvHffuswHN4hbNxncT49Zu5WeKFMNZGBSsQxTxdknF
rJ+m7cTum00zMYJOeiXhsc4jsBz4hxttcQwUzi7zDPdn4XgvBrCC0JDvUwEJvAoKdC0z2Pe8YvIr
ROubkzveUOH+7HQkd8Y45Rva7x7V61IcpmRC8R3Rwori4dwwtUDwMYZDs6S/esNj4qX0TBdjSVB6
j4NwtYdoQAWRa/rBCSGjj6o0zqOTDwdrOEPUNa5lWJjX9ZFpj9yelKt8ONtbg3Dca6264Lo+Usi+
L4lkrZkAyBG9ol+2HFzyLOjNGeHOI734OE+YdD0Wpp+FLZGzzChtTdtIKlM7LausE0Fq9S5wJwqB
449umLu30u2e9XJOrjp8jh31+vIWWXF5q4KnUnMKAOA8k1pgTDoPaIFmQOwtFxuCW9cARlxZbayI
6rtSlTiaFiaGQo3Oxp6j/BF/UBHwZ2SvebLRVl7icMhuFdiZRZgfHv46JY6MIpPXMuhxkfoWEXF+
W9n3noy9oyNK85InnnmZvYb6WFPk+1W61+gMMfDmjxVpXWmCtLUdQtaHfajTIezeNVN5wVawNv2M
QuucRodgJIGyyuKHjUZ7D/6VwodtdacMyFIdmBIDdik3qq2ufe0G5I7QRx2wQ24yRzRHU8u+9ixr
z1M+NhuVU3Hm78tYqNOsReywD4Q97/SFYeD2DE3QPs9WXusXIwnpvjQspmfdRGRTIMw2vJl4LN1x
trUDd2nCz+ZTarwXeV3c6FR4uLFdSSglfsk+rPUD34UFuufNDizi0MDxkgpUzkZ5nTw4BHTtaX1r
aMMpGjsU+bZ2YcSHGDXjAakmzbrFak3845+HgL+QbVfB2UzrkmhsslnGVh92vTHazxk4LIGlR6J4
zzujf1EpfiUbmZNRNN8S8t33WmuhKFOZuWGPF16r3Ap9s3G6o1mzF8IOJ8/JOPTP4TwVJ6kvgJTl
dHIadx+OCeX0lsDGGYXp+/qoxHvxjlaLz22wGWshbO7yYeAa60hr2xlypqtS5xAT2sDAg+UJxs/C
ulqVl+Ogh7cmosbD4WhG92XEO8q8WfkZnaPvFOvNCfZKZxP83febMa+snwNmL9P5OcLjRYAgnEdZ
vdpmSERQhGylplzgx+YA6APRkT+2Sh1YRpBwF0P+mRmTnsGf57NEJ69qkzgRSsdtLg5gX/s90Pfw
YGf9IvetiJRXTd+yOEA14VbOJSSn98CsSj794q5MJfjUMSzVkZzU4k6Oip5OXWZ0xOZxNxpW7htW
I32viqw7h1X95GTGRStVA6exBhiCeGtK4RTaVfsy0lC7q6xpvGlsLjZTnd+0pAt+FApJ7quqkOSv
vCdsGBtRW+NNOWn+nrW9tZ1G2T7kdWTRI15+tyQtnlsZvIAChHXDzNM0mDKbzqwfnJKdMGKr6sMM
n5ULKa+zovyWiGyjdQ7IY5VA7SNb6QSUxNuGE3oQ3WH6Md7ot7fHNrHkzskc/a7W4WkZGA33WjI+
aAmDUdFJZ08OO6qGxcBA1ZsFTEBvbbkz6iY6WIlTXSF9TLepSXKE4tqw1/KoJEglrN7DHi8roe4d
ChWYi5SLGXGGPj/0odWhe4iUrzHZ5lGsLXA9GFipvNiD9gc2J/ul6YT5GFIZXIwLfCr0PsvMjZ6j
OnQvRA2Nm7yZ8HkDTdiBxVyQbyVNQMzhblHnZ8OuWQMtywVNMPjGpumgRnSf5Wo/EngAkwmbfsV/
/LWq9k2nI9haFLA0j8Y7XfberWk/1iVLkSJhkYmFTsF0g1NgZ9+4Nb+v5r9aQ8+ahfHZ7qmxbmLc
rxtI9vG+LuGSazS891kPQuczKzLqUb8UmGooeX2AYP7UYVOod7eqdyjNQmyO2aCfdEGMZeE5VN9d
kOxDIK7RclgfKfQO24BES19fvH3CtIa9Z1BRaTVmKGtpwMZombZOQDN+1yv8lfoimyIG4YdefGnw
lbzOI7r5OTDftXhEs1xHZ0YR0tcqOT6MTUa7Hw45AbSdj5kdLxfjyWXZFMUVpX6TW4GAXg5xy32B
ZGujO3lNBGcoXsneui4BlMk8TF/FyE3exEI8xKEyjuwc841G2N9G4N17zxObIums73X6dP4qWHcX
74yTBY/rp9svdkvCm89AU+qrUsMWnWD7xCeRbSeyYq5m4DyIxcHWVtatEaZxx10+HMKlDFk6Dvgh
Wtx8Oprxy+6N8/q/ehZaIVOvwU8sb6LMbbjEMsUbvJzKoLU3FeQbJDMUhEVGD4zwc/HaCVyfReKK
703vHeZViyNC8Dr9ojYqfrSihpHXZMYTGveEegYa2Eb1yV0Ou+egDQSHdkatw9LBa/0g2mjeaY5N
ajPdJRX04lXptrpz05uGvm+uMjhYDQo5ZA5atB8r1g9Rq96ZFq9DkGV7q2t731i6d60n0ANL1Ge8
i/VTJ0zp+whfZBoT6yla6sSNBYrNKZ5C8gcuRPo9rElfg93hswElsVnhPV3QVQdvsSnwccdXVVcD
SGga2WWt/+gi6T2iJujOGTwgsgaHK67sr1qL1zhTCAxiN361l05m2pXzWa03LMKRYuMABikQ3L3W
Wu2hitXiA42+Fhr4IH1UiONFa1ud6QJCUID4EGfv5fPbUTdh0A3CS7zMV1GatyennOm1mka1MwfZ
7ccFppmMS0lA1OewnRkb27o8BRZ1oQyyXI4OGNBm5LMNYRuniV8r4wbW5pLpsjDoJsIHGT4DVSFz
x/evXLDCfd6+FDJG04S1mA6NiV+GxvUpXIr5CINIbG1t46waHTBqgDvXK4pgm7gSMUca/YojIGIa
9lB/xfSllIIhDAGiCtqS4F1bEfsLoHNM2TtlkdWSPI7Lbwirb/NEI2Muh8d0rtDkpUP13lviJ6Nv
lCSPWeQwzXplvp2nanjsYkNs8hE5ozMab60ZBDi0wU6kUmbH0mUpH49zijiTrCxE5svQH99BYH03
7EY+5AsfedHTonraphobhXb+JoLhIymq5lnzomdLYhVp1JS/l6m1bwT1SbNvOz+Ig9sQelA/gojg
RJlBjevL5jllILybvA8D4v5GI7QLiWMybxNIgBfkxa/6TMCPH2ihem1d4/tyW730xtAd8jovj4ts
FqjAnaWYJyoqEG96Tn1MdeTOG2M6PnT94N56I8an5Pl4pui+t/iVkoJ5Tbrt9/AJBCwJkY7uiWes
MvlzpJn7qAtSXwYM0Zaq1OPYqGMl8Ks4jnkNU4JOkLdmhzyxpm0t4+aoZ05ylhix182322Tzlk1V
cjXKxVlT5jRbc7vZltKe9xiE61Z/NZfGqdDm/iiWVes6aTRzuTeY+U+lO1q7gX3Kc5+NwJr5G+ka
4okyYIR1azTYuvOWjpp7X1nZeA6q7m2NTlwPliIML1DB05pG1NlZjNROa7eTnjGb5/MkNlqkE4KN
0vO+yaFBADOYqHu2YmNH7Lariv1yZ1BHp8OOaJq15dyHqAscRquYKt+esDL3KJGbbslg/TbnlfbU
aL/g3EZElFKErzztFibNsbaiYedN6b5lXXdJ2FkwHI6ZhyPSecmWtjxZleV2wF6M1DhN9o7QYTQD
L990A5BbwbKMYQXCANWJ3RR6w2kghsHPEs9+M50W00Un+/SIFsmCLmFaDz1z6Ma0zGo7NlHIx4CS
ZT3UVkX+oJ1vgSp65zimgqpVoH+NoodVbczOp7xMgup0qhczSdubjICo4TRlBrNCZ1Mz/32jj7gl
IGUPg4xJbxlJuopba8qWOZslhKxZulht4lFJTlkOeBaVC/a3tB9Qgnz60BFjJGcaiaAGl0OiiNzR
WvMeKG62LaEeqG3H/A6h3vmAf+YJ3zFt+wgbOt5V0xCdrLRGUhlkCel33m4I+m9Y2J7sWlf3NkGs
KcXSnU0PyrNmeaw15wTfrLgVk/jVe7nvOG0EADi5CpAWg4lje5mC5UhBpQzKJbcUH1/dw/hSqdp0
qrYvlGoe0ZiOaCcM++IV8wiipfkuBls+52zDPUlwdhXEHs6DMH/QKP77gBkbP1g2LCr53pt2dD8C
vowTNX/JmvchcHGEIT6OGQhJZAiOSjuXbCUu8FWLZvKH3ql8DPTUxr26fi4bbCd8WHnmBucShaw/
Kn3bRvy1Z88EWBJbvrSk2lHN21pD4e7SII92WOUxiLBMcnvb2DPJoJYQ5TYyUJfqoyn3nVtx/UOG
2NW27fgkVWxsqocURRAFgajBk50JYBpjDwk2NpodnaqIqA/0ELgD5SYRzSOflTzXOlJS2eCYo7Uw
oyeSkB+w/B4tMg1NTSMBLIGkJKkhgOForsNAj2KqGIyH5RRg27/YOf+ZKOOQMa9bzOes5rx/pApk
aTQ7VL9tou5Q8Jjze0ApW5DUOszorpCeZZIYmZlyyDZpzHrL5dfsTQmrA4vv/7acGasv979tcDTY
hWUj/zTWf//tODPJsTATgmUforq4RzalHZyEznGqt09wVox9+WTgW9hWgU6QKPxZ3AWu9oti/Ktl
JsUL6S3JzQWSs56FOhS22kqdzeo8KLL5IZiyA7ZWRKsFUP/AmaA8ME99sxDDiMwZjx7MJ6SNxVXq
s/mziFnvBrmPAEMnWG0MLkVAIweWkv4WCONdaABD6Y58idrevuS505PLGiJq0o1Tmw/WjdavvRHr
tjQL9l0SarhMbQc3j9dchGZX2wx/6aWbbWwyjGJMIzdL9NELwC51FxXqD7NgmTvHg7yL7Mm5aZMN
N3EY4+8ULt8Dun+2elZIkM7WQJloiuzia095KzytOzcovuUp0dqj54X5lbr8IexYi/NLoPZZtiQy
u6eQX34egtQ+do3bIIWinFq6BKxMTfzWVVyoZlg9szzTNqxnf2IgHcnQiuUeK4C3JxMOBHwdvFpZ
tFt8qFc0oNbGTmO5G70QOMdSbJ5qTf4w4p9JUe+qTH8y9bZ5dEfK6nqEMYMwvFhvcJhQpdIiE53H
4KmncBiwAXYOpUMwo6dQanx4iyZ7EKP2TL2g3+RG0lyruW2u6yMRwbFqXQe5wqjVuyb05HWqh2OL
h7/eWIlVnMxixIRTbHVjin8EOD4oFjhHkwn3bsQb9vS/r2rvn1QHVyCSwJCug0GV8jc4LmvFoJ0t
Heo5Rt8N4pxkw465A2DBARAdyyQ8YTcHIRYBGf2hyyeB/6UU/qfQvyQtYet2wRcZg06KKgBqzowu
ybORynw1syy9toa8ZVlDz86dPTSyhf08Th2EF0aVCNUh3l2Clj61nH0fvopRZUeLlIN9h3HFb1jI
bNrGIHtXBA81VNsTKx3nuSl4mkLMpNfqInWKKoa3x2JhoUZBG6pnJDix3H3xpCnOZR3RW4byaOjW
u4zHdheNIxu9JRBytu5jsEOJLUgOS+nLKhC4l6ApmTO3K2WqGIxjONnfA2THZCiwOWP5ljxYOZEE
6Xe6mtbNWdwbrDUiH8nR5JNKs2jczOaloYx37klC5c0G4SmVWE7DErcYPO56B4+99/n/on03wz9k
XeRVG4QBONYsZEZF7HHBadq/wTwYQX+3zwIHY/GFpgduk+eYvzEvZhpCeFWABim8GEY3dSfhRfoe
KxR1FStCMlFV8dHV3OqItAzWypRc40xMrJrzpbvkex2cbQ1JwW6thhZmWflu35A66MTdo6YeGt3o
TkYWZduo866a3RrvoGYEadixuvPq/KuiOoj+2XaDWym62Pcy56QzzfiUAvpnE13KI2XbbZJVMP0b
fdisdcJe+UXTVFRzQYdpcX2Nrca8V3Gb7wLCdT0g6yZV86sGANULJrYANMHpzcvQd6JKHChOztSJ
iI5Z6gGy78bz55VMxgq9rKjSXwNXzw/ZNOe7eTkdpZsfFkKRFQdYc1kSRNQS0VK7X4jpPti6HryF
hQ3rG7Lfni3DcGozAqBWONZ6EKlFQ0LCu3WgFq3vvMWjsJNZVB7WoIOqqv+AU108NdSXmfdZQI/d
UvqxQ7ElUV17m+cs2SOMlHsnnybfcJrkYMYZTi7H+/EpZyX9aUvGbHlC2EE1yEx+zjV02bEh7KBo
FktpGCebulftI1fqjRZ6ewclJMK3oF5DtmHowu/KslLbobLzpyEbHqfRUE9pzDTVLEWFBRgfi9C7
oweiIV2PTk7aoe/PTfM1jMOThm56Q2dD8yV+IspJ24nmwB1UG5oB2XzRUxBY0fRDJ6aPdbtT7hP7
W9BL566yxz+yNsoYKRRRGUj6v8fx0fayt4XvdQbQqV+4ZN/RxFW7xArztzCefqL7DX4FCFDdKbqR
+JiOjxgD0l07V9611ewf1BExgQXzR1myNwMs++ejMo7zWzmj/vLg69EbqY7tqsKb8iccC9OjJgO/
Z/2/hbpLQWs5iCCR2yx2iS2SFYawGq5bbY7YJPQR52xrnum4uNe1W9SUvXUyErthY+Lpp7osg/t5
ROXWTwhyKyTvABfTX8kog2MZtfdUZUf8uelP9usf64qgLABtokOhZET/JF2qSjWJSaFydxBcJHIr
OzsmjWifQ5U3FzNrvs/aPKBiLagClplFHRdabVTXT+SwVE+aCemcwbq6jsH8xJyARzwKvoVm9itY
knDWg5rG+8YY4vu+q91HOQHkpfp5pI8C2FkC/Hdk3hytWmJ4ARa00dn27Fcu5Jh7xhbZB9y+8WgU
gf4SIwl6qutmp9vdB/kri1vNQkQoQ4eiAgXKJvkBLC275r26UojRTp83Rhf9gVjKxmZECarWZvq1
9Ly+yti8FhEOh2AgySFawKHUy9Sp1rlNouSXvmAx7LAALJqE53mpUNdt8ehg0zzGk2guXCNEsQVi
O9QZqlLdfhuTVscPAEub4hkFTlf/nuW2fBKQJ8MFBqU5U38xO+MF7xp/O7iSt3oOkvt+5v7qQC0V
oZM/yUA7uZZvUA77RciNYjVfpX4LRv1qjm+q74tXtp1AMPDxaUHIuiQETVxQAbojF4DtUkAY5Vo5
NrBC1sBwEMXYgKkITj8Q79P6g5qoc5CDu2GQNnchagNfkJRyaZED7EVvtHCCltFsRHEiLBYltVN8
gTa5G0ZKxzGk1bXwJbSsQ4qWfoGH627NxcHgUOYmG2W8mqFD2ypqkdUZH/hEnFO0IARAHZEkh8TZ
boJXg3r4wwpO8Hq4FLjptrQdEC6H2tbWe/II41x/KEIJLBA7oefm7UOlz+8a9PLrSoAdplzbrC8d
VSM3tjXGXF0T/8UsLFzC5nB0THBXIZ3T7VhgYvz820VkklKyfbNzDINeaIpLkwLFYGnLzte5jTpK
0ZpkbtoAdvzeFxC0XV39EtofnTUs4dBGfI+wDCuuRQhVPYwjnUzTo2qLdi5SZfMI46La2722yMuE
4ffKrN/bEHyoKr5oQSBwUbP4LEM+2FKEf8QV+nzNXRgRUx4hj3YpC41jdCuz+NbCcr9rTOozSY1Q
cGEW2guzMO5i2qEUq1fiQWur9OCaBRnQ7e1/L+uMfyA7XJL/bAFNxvQcR7d/o2MEtadIRMvFQ5Qn
8hxa5asWjB7tGoNVfUtrLlk6SyKnxiTnxH6UnYsiH7dnWr8N2O4+hqh5+Zf3JP4RxOBR+JSgeWzL
lhC/fgsvrfJu6ucCLDXc79Jfw0srq7tJTVoHa5ki10MW7oKwi+/1UFiHfIR6AFBtuk8VMm9gdqvF
qCiPAibgZwNpao1fcrYZD+BNIViIdFww2s4icILO4NRd3d4td3gfWdnBJN7O3mBfAG7DD57Sp6kt
lij3PrimIR3dXqe5kgy/uES8q+GwNrSYjK5GUm+mwPYuTitpvkHcawz0f2LE69RpSPmdybFuZmd1
dw5reQa413yCQKkVoEOmeboqEXanThffkjSZ7qUeHdIl+aUKZHJpIxjYi2ZkhdFbaMukmZzMwD31
PQwQt3hjHRcA1J9I/vI8bES0KrZmB3kjq+ptqT3psdO/tsVkXoOJpF3Zko+STGTCzt03LYqaWzjq
T1D1K39IexwKoQNzsp8PYw+oGYB0dNKs8kkrjZn2qMTuii5mA0LJAhIG0snz0l1VdxEOBGiCTUM9
KnOvaxfGS+BwGBN7LNuPOoIsyAsRByNPetyDpvEysowNNtRc7llvOji+Y3urt1b8pae46Dsl2Duq
d5Moo+fCRSxYT+QD6nVwCNuI1B1kT/iZRDrmX0LMQW1ONypRTbaf9bn56BqNxIS82iNAsPkj/scn
WQ/K+DdO0z82SuSL0kcED2dI0yLd8b93/3MYK60EhXVDMhVuAeYgEA16jXZrXtLcHbJNP7QdFAnq
umsgp+lAtHaNg9QrJC811PwqnxGsa19o3KegaZz0ENVAL1Vom8f/fa+t7+a/ahWegIojdIe9ncH9
9vutJtJAVKrMb+7k2BgqDHlSWSoWu1b/bEsQR3muTPJCm8QfNQsfNOYnO43eCi/7tq6qDAqLWpgU
d6kNAk10OuBCS+UnHVYZaT/9l8qs2O7qkbWrLek9aHN5lXYYX2mcDr7I2CnB+ECkIRgjV1PcPKjw
MggJYXVCG1vM7ZHepYWLj9zkEl9P5WofCZakzh326+SkGq99UEHyjHMAfJweX42Gfdd6sBCenrJQ
fjEEWGA88AzcizJkBVaKhVq5Plqf65PS2P3LJ/w7f8jUKaQ5tsW14Hj/vB6q2gpCl7L4TfOAcMbx
YLH8mdVBV5Q6VD+WR8PYTUsjtmUEFkPXPzterh4iB8UdUhCkJORT3lkl96xVRNsITNHzTBHjDD0E
P3sGzncy3PSkuVuNuudtPXR0JsnKqO6lGxCHNxW7sTHMc1tVDz9r3a0fXdmc134uJYkzS5vm0fec
8aHxCCYLiuq49hfLKjzKegQdmLnuo1u0HcUUL/uhCD1ra3FQNQXCtkiGS6fb/UULy/bfmFK/MxcR
F1pQFw3dNGHL2etc8TesHFCn3AxRT99YrRur124pRAmUBGKoscUs7Bzl1ls1eawbsbtvU696XMu8
IiAgPjca/SjFv7Eg9d/nKN4Xb0q4nmG6hgHJ679v86DttNQb1HATbuA9uEr2Z173Q8vCH9MST7Ie
orrDY0TRak20Ikwu2DlJSdGcym3hE2n05Li0zkxMz8Yy1uFCl+e4o4hZFM1LXbQOi5Vi8KkkeVcm
8fqg6d0rDRPTXyVcZT5fYnYCL6uNpf9/7J3ZcuNItmV/pSyfC3HhANwBXLtVD5wlkRI1xJD5AlNG
KjADjnn4nf6U/rFeUFZ1hZh5Q10PbdYPbWUWlWEKkQQJuvs5Z++1B2dvv8LqOLbhi3v99vR5gPOw
seT2tShzOs5LeCby/Ssp5PUPkI3rOMdKXlRMlobFa5aPC+SpNtLD61/RGuiD1cIzjU+kH4wfGQ3g
99J0i2kV2t/99ZVZ4CgElYnDTlQklOMROmzCCjxjBw7b3BphK3ZF/uvgV8V9nDOF4y9GaSAq5z/C
ZeZi2Vax13QB6J/skPA0N86rRGWQ4t5c/ICvyj269c5GW+q14QR8tpN0CQSCaoFE+BD2VfMA+W+L
6+CU0HbYy7F+UEv4Xe93oEVnnFUBrlPGPD5dDRzBmwmUPvEExqchpZJAw06R6iC3dDtCNH68Lqhl
H/h+5eUGculZS1tJ05bmJZesyYnGzuNyOsPDgdMSjadJWT8PdTBsfAvNtxO7t9R6r00Tus3+rnHo
077Od9j/ypNCxbgxcb9fDUh9d1H4MRNknagWebJq2xfamyVWo3m4gyLyMR4Z774KofKYaDuZPRav
AQ+yQruZNwk2Ti84L+E5WySPeDgMJ70hFje9ef2vNknLvZGgO3S0z8mFmVNPJ/QwMd9e6wqeAJ3c
XyM86rsk57N7Dct4aGwYZcjTTMAI3Jue7WHN0Z713NVMRDubHrRztHtm24BRnqJ4fOZzoiht5Ynv
bnM301EdwmgkdcaI1vHSlsPn6F6/fhL/8XX8z/Cl5Bw9hWXR/P2/+PtXorBrqsP24q9/P8VfMRqX
39r/Wn7tf/+zt7/096cSxET+w3/y3z7Qm8fl6f/x8jbP7fObv+BNjGkbdC/19PDSdFn7+hq4kOVf
/p/+8C8vr4/yNOmXv/30teyKdnm0kLHyT//40dVvf/tJLJFZ//H94//jh7fPOb93fq6fw+45/sOv
vDw37d9+MqTzwaIj6EBC9wBoQvH56S/Dy+uPlPUBdqlSioWbP3yLHxVl3Ub8mvA/WMg7HV9I9kVo
lnAum7J7/ZnlflAmafcc+v3fo49/+ufLe/M5/utz/UvR0X+Ji7b5209vtw6GQDYPRXKyg1pI2CyP
b5foCYS9NSg603bI7Q7AA5cwURYtQt93UK3vPJN1QWoluiAevZpnolF3RyuJr5qQDzaule8+gH9c
4fdX5NjLeexfq4bivRa+Y4LzZIpkus7l6TIAFWX4jQ3nk5RFeHv2iGlsUAbRU3GeLB9oaYutGoPw
2YsTzp59HkO6rybgbri9KE2fCTWusb2bOAhpDmE73iqV0TzIO78MNkXcQ9wItZY4V2SAUXmcK3lA
F7O0IfoZPaVEXY2FBVmxvo3wzEDiD9zefECS3Ax7hDttvvPDES+tDaCOiIReN/XaJmJLH4yUrWo3
BU6I/Z7ESqRq9aSSHQo8pbYk+xViK91OT8ea9dwh0FSL9lB54eQeBgyyy0nSAA/qJDUvVrc4Ih/n
poMAXUn84kegfhPz0ipUaAliKqqdh1uAo2dnhs0VzaPsGyRjB+8tbpd2E0YWOtXURfX5MlqxN20J
OAr1JqE96j5kE8lMi5AmLtBQGnV9zhDCpxvVqASqSmrWPZPFArspR+CaYESQPVgfTt6oF2VwSYbP
r0XNSWFrlZM17X0uNTzMuYvZpsuVXTxUdu9RDjpqXgTqmfmbKjDW7zowWtNWE5+DQxRMmXNUokNA
6Hg5OWgR5nRBZOrsursizbt2YxAjOSzwH5fEotA7m21+yFEhA1EsQzBDVUgC0BZptRERb0CxtHe1
JkvIA4iiNp47dU9xXzJDQXBAjkeBAPjBQ5Sac9xz8gF4+YBLcYmz/MXP2Fj3UWh3HTR0JN+ILUWZ
IJiAI/DRnlUdftRxWoq1p9IFY5gN7bQNA9vsrrhLTeOXhGAQAoYTN7oO5GQQpKDLGSGw1rp9MOJ8
qm5MMBAz8oCqcm44E5kE286hnNbFYKicwCsUbTfZZOTFWWYBSZl1L4eeHSwuOUwEHT0KuoCRjW5W
pRgdzQBzbuLRR6KBWzWIGevqmzs7AqxEz/8dOqRT9grPncq3ROFECdPquaWaQdQybl3fMOwV0gfb
XBPNgK7Csr3qIDN0zSEJJ6RN6V1f5q59lUA37taqTGk8DMoK0bkRa/o029b8VBqp+tKbJvlCMoGc
tnLSuIbKV48NY4OmQjRl90QSr+lRCHQD5LhTDxPktSVtZJaHNqDmXNmqVAsfofJBv7d+9Y1em02q
hw2zFI87LKFtjqQ5XXtmNkfXWZq55pM/OD4lROqF6J5GNUW3dqpN8Zg4Og/WZtk003YAIaJ4+JkY
UAfBGuFPWYd4Aw4k40qieUpa0QCoN4ijAnM99Tge10MZDyCHJh1e4ZmQnPDaGk+DXxsEycZUDvpx
qNs+3wTCLKOrjkKIb7/wSmNtjLULY7NmzLeSriR2p5lVKzbm7CRogtvQ0IBY2hx0MAgk3IelM/gt
9BOzLd1PiSvpYp8zs0GmeqRGsB3vG9gS2yu3nnQMeXYja6KnYzpVLKgzUYYBR41sSw7VyiwtqI0+
Nzu0Ur/qmi21qC/XKXMHrJy1DFBMuiO8SW7K+M5EPOeB6SzDh7YIrHNjjUhKS1e00TbNHXidpl2b
NlPlYclvdUX5UugGWgWBu0l766eJY63nfjBuxbwE5I4DjpljbY0YTjqGR0A1ruREFuCVW3fDS4sA
NEfHUljIaqPR/8oK0tGxNKG07XrXHtJ1JVT8JLqMpCn6IBWdQcgpmNjbGGd4Y1tfikGnt6KW3YNh
EqNHnlyb3kAaJoo+DUx4U16Kp5PWjTOH53gMPXIg/CwoPqMFZGYblnlc7WNUVGQgjWMVE5AILHMl
2hCJjtMzV2GqgyJ95Rmz0lsikgpjVfBg1TW3I+MJbMbfaguqFGpVdypPriS/5CzKwmymOzMURgxm
E/PgmpWNVVoV2NwPDPmxSnvDAOqpq6jzr50Sqgz3cgNK2SZ9w8NWpzO0OtGIDX7LtI5xFQSm+VDI
wv+c+EldHDoK3+mUxzNzmISs9Cc+i+yK8PVR3fYegc2PfT5OJoBDjXNXpgap2AKRUr8iMyKO1uAj
Zr0ZORYT4cPwlnZnlkdE3ySFX9C/zwJ1LRCDUg1nWfEcor461jQ49jK2o18DX/e/YETNcph4+Rhi
WktoqewMKwqJ1qqn+pOPa/6U1jWlWReFoiJyrQ6rdeIFDA3dgnzfjWt2k78yCQoZduilQWbTEpv9
3eQkBg6lKZZn9DBJvu76rvYIZg5wNXp10/psPGo6pMz1ME7LRM7PouqQqkaDxaPnjIA/uzpGnU9a
rEtDlRTpckcTlVijPGjJIqBPDJW0A8ADAi9qUmIPXe6PvJcow2qSS8vV4JDPg23EHZeZSt0Ac9QA
WTaxQzb7FZnMqKbiaLHUMeGM+bL7DWIyElJpKBHKZUNla2U+bUuGw3Dv/G4eySyeMvwrIkE/RNeE
Vb0qhxsRxTXwmTwgfjH3/EHuzY7srfU891l9iPsgCZYLnuMjgvms2o6UhuZN5gOzWtky6uJDbzY+
qTpjOczuPTMDWly6psjFQTyDqQeZ6PvFL0VJKtrJYN/oKqCURvLFtiN6lbJX3nj662Q4cgosEW2H
ykq4a+KEPN1N25Ahc9Qcgs1Vhne9eJaJAQgIgrKpNhw6+vT6r0E68FnqPNlGsamH2y7R/t1Irkvy
uWisKdz/Nc1JaMG4E20R8pQCLhPkqM0ERs1YDbx+e2VVid2+U4K+rUCVB0qert/SVKECJUD34tTa
J6ETO0mcbmeOnHdkg4OPJIDuZDtEeBXlxM4Q1+q9zsnFWfn3Z0UdxWZlOZzzKQ30dw0d35cVKXn4
ZOaYEdukoTPnlvcziyHKUEufgNvcCoeUwDKTXDYN6n45+kzRgHXI0OvaHN1VUDnNv3eGX16XMBn2
kKfku3ytlknJd6/L6VMl4MzBGXan6VbT0DrnqaAAH8L69/fg/0LFeadfsK7ULy/t6VlfFp7/T5aU
3GQ/KClf6u5tOck//0c5qbwPSr5mXdAmla65lD7/KCc98cG2PMsUlk/6CtOq78pJ84PJlMPlRnK5
h1329n+Vk8L7sHRWhId4xVwyKcS/U07CsH9bfNG/tYl+QSPBV0YI7t63twgeqNCUU95vU8MIMPuY
dldOp8gBl/BoJabvhytkKUl+E4wkhP3W+LlIvw71GFnFqnGEx9F1orterzDkjiY8UKqbECYn5fEG
BsHECFvAVyLIgDEN9DM5uWjtvFoO6rdoNpyYOZXtYNEi6WiBV1jR1H82ghLBSFhEA3oTjq3TrUjn
Er26GxsIJWiGMVKKV0E9ioAsNwQTIM/qaTApG8ET/jY0Zux98uuyrNCexeytmxKIiXwY6jLxPw1O
ntJ3B0FUpc95oaPpWy7L3PviTbT56MJqnZuggEJwPb+SS451eaUTjSWCOUeTpPchFDFqeJmafm5/
8iwGouPWJ2GSEVBSGFjYYxaAYeUb6J6ZnZOlnn8Ug5kmD2EUJuI0glIqQcmFMRKg0wzKqLvlezos
fmKd9mQj9kiArtLSoOu0ws/VsH2aw9SGXySHn+ljmA22+lxEjsAcMjHV199KoNrF2eRqukfEku24
7iOmEx+DpGT4cJeF1qzgCGUxhd5qjiLLrteW8keOLqAg6oaZu/CHI5vgXP+iYhFAIJSpPyZfpjZN
up2v48L8KFVmy5+R8hJKDKC6rN2bpIpinyQ07TR7OEx4OqLKRc030UvumEWndvngDHEpb9Q0We4d
e3uUEY5nogJDdp1bozolXgIJBJXTLEu1aotxlkhv2FR3aVEtqyPlygv1mGZzQxc4BJ/jcUoWe2Jb
9+Gx9RsmfSuhaW1zYmk1KU2yK+O02ocBWQ03lKwBc7oonOrt7GiJbDsdEabPPgbOUy993EUM09KO
o1qRWdYmKxLrXhvVaK3StCDG0WsLDqKxbZULl2oMo0+E9jIGTTuROMAX0MxZp9khSvG6rSHAXSFv
z1sO5K4zbSrfH0oMU304XYezXcTrBnV6AhKylfLJwGYiDvAsO/+5QRESf/bgwAwfk3DQaqPSMfLO
Q1rDBd/YJfoJdwV8rW3G1YwYvj8q1wyHkwiz0awB6sXkkNzQwTbmfaTdFiumwuV+VADzC4z8QkaH
ilOTh7Q0AWq+0uYQmWuDoCRnJ7EnmcSetlkKWq4YujUqxiD6hk+99ndBVg8Zu/xs93s7TgmaGAUM
oH3STyGZpDga433emYl73SI7J0vAdp3hUxEol2NwYWT1jZHhd/iaSLCde3QyRPMB5DDDlSEnmsKr
jshppLNRkNj35EUtLOkeuyZ4uF4xx6e6rIf8SOfO6wmWrcuxOGXoE/od7uHIQpVJ/bKeasqwF8eu
rPw0FW5e7AkWpsMR9zNkcy63VANn/Lon1GaEiwp2KfTkaO/GcAyIze2U+loXcFLXVt3Ke0X0Q0Vb
F9DDeNYlY6d6xYWOw7O2y5k0W4VPOztKvugtw5pAuvsUVWa1m4e2yH6J4ioqvw5xH8tjbVcGVhL0
Cd3Z5ODVXakB3hh1VGotskMrsNzx04iy/Nkd4sa6LofFi7wtPFPPvDttm0w5UW9AHbc+ukYNK1qx
ECBFQnBJWxPBHYgfq/A3gyqT9GevrEXwmxqCQr4sLaMkOkFrSUi6U7BeC0IJo9FU6dlRY41nf8Vx
iWptY3Rlk0FkF9rVV5FZkVpVod2UD67fDvGmyVukPpxeTD/6ZtUp+8NSY/c2Kaaqr9kYLDcK1LpW
ISm+q7mfU8SVVRuXJ924mgTehFjWY61zlW7x67GgGsLFfLzqyeKpJItTJ5py7QaFSkOyYFyWGyBy
vlHmO/YSg4RDWSk3P8LSbgCQ1MpwvVutcVF8lLjDvbtgFLl3WzvKUZoPyHaip7xlut+v+Up31XWW
xXHgnTyHPIPHIUEW2JyKnn2k3maVHzbNoY7ZGE5uXHTlmTP1NNRboUdPQQhppyJfMpEi4xAYPRqj
it4wwztv8koHDlDSti2U3qajcbapfT/PxD7U1iRxFRb2RCxpPfSIZVsnS3F6psKL8TBbDqHnG0xD
aQaPeZzD6I71nMtbxfU8Gz+zQFKuwdKq0G53kkaFHh1aMlNf5/lLBnEPP5msjM5s1m7m2FGIST4u
UpCPldK8uYRQGwS6U5ViTqRGZzHEbkj6IUiZsdFJs+fkTKxwCJ26yOwxQZAw56St7YwyG6sbIzIE
RQ65UlGwp/a2wo9UBETr8pGlqbdpUA3JG9620P2cDX4dGczQtfY6XoAOM++Kc3jT/TKXyvGYfMio
1+wpDeIBwkAK9WDP/WgdDNdJJhJf8I8+s32mM7Gc1dAfGap3w1OddzRV8qWDdxNwSCKNDY5Krz/F
shimkHvSEALAX2SmzgsbMjo28hkoW0p+hy+uRcdmHPalkWdtvilVlDK0npBmu3tpdVMjtkZSutiV
U7cj2p1tvTuJIcWdcDW1yWAbG+rdLPq63CTkaYWcMGq5RWbQYjzBvDwhqssCt0h+s5bTHZQmrJZi
hWIiCVvcLP2clFteN3Prdwof8VajoYBO+tK0XEaDTCcEcvaLg1w0cKQqfXMbpS49if7BzqG9WWgJ
9vhbiY9P3Pg6ET5dyu7Ko+jQgWp2IoXrHiRuv3GyGpxD6ZAAJ8L+RqfTIc70mY5W90659Db06/WV
KuniJ+EQ67OzXrxSn34auJmKKIkQCKDwEPSRT5f9DEsQfSgevvCdEcNlUeiboIkXJZgjHJ6VI/Ob
MohJccG5MEFkOlIoo6DA6Tv4WETWTkcCHQ1xAm8DzVftu0LgT0YbF2Whb/pMaiwOwa7lIst3lp9/
V36RHQ8/Lgthd5YkYvbRyAi9E9VR+5W3//FTXVzi70+FIgOLBRpB6zKpLieWoaDKqLYJHAYY2BjJ
6aD7zh3if+NcJWEOv6F0y+i9287mGr4b3vz+xBQPvufZwqb2fnuN1mQ3XUHwzNaecc3GHVBS09y4
U/OCsPLJrjuYTpgkinxjIL9ak/r+a+mlHEAnN3vntVzcV4yRLJt4VKFsyzQlhdXFS+lkr7uwMTay
ycS2K6b6XHliPmMUG7c4NbN/77a6fD774tLnUdPzkq2xMdrIelAo3dj4Gk5UPl2fo26QBOhuMt+R
N71zlc7Fs1YlUxkVqXrbEke446wndqSROTtzjKaVwCG1fb2z/n9h/5ONL+S/r+uvsui5+cvjc1bm
//N/lN9X+Mvv/V7gC+V/8Gg10fdhGqvcZVH+vb4XUn6QfB/Q+noWnAnJx/jPabH8YFL505HxhO3w
Dy2+zP+cFgvrA60AQV3tUJQjFf13qvu3t4qH2BTdyPI49LocR6jL9g93hKKaD89JH4htMtpoIIoJ
jiXXjK1ZvuMSXB7uX0vB70/HrIH/MJE30Yh7+/0bDSs2PFi1ZyNz78qpgqGCNf2dNfXPrsm2FWuq
z3LHdb19kixHteyQa3z27MZdtT1U9gjx4pqM+3tOLd3uu8/8T5bwP+bj8h66Lv5cpRxUUZdiQlT7
ljdN6JprFMXrnFnvDgR7uQpI3wBzwH5v9XWI3Edk14UJPIoS99bS03wbliSWyjF5NEfHv57c5B2d
87KcXbzdPnobZ3Fl8l54F293WLVK5CTCgn9Lil3odE+Ja9wy90RGnk5QUaXz1XBld199/vF78scn
lsvm7SrLWwb2l11FBsWMD2CknhszYvQC82ajnKG/9ptsF4yYvWhIG2uOQp/MODBuf/zkf2Le4lJd
m/95bHa49t/eAB35mTMH5/gc5Au3TnX2Y97VN7Sxq60UC8ixNlZaKr1D4RTiMC3td+6JP7l+vtMO
xkEcuq40l59/t60b6E4ZmSXJGTo9Z8S8rzetG2+CgIBUyTEcD0T5G4T1DC3su5mpf/bkrBgo25Eq
oCe5WP7nOLOChsPMOeoVRKsgGzZg3aOrNq3MTT4kQLVjsTOoL/aMnL7++M1/dUS+veeQa/CxQ83x
ULxcfhuE3ZhOIXVyznwz24UhdCUGk2u76MfdQG6IfOAb6Wwd0bWHsq69KzxiY+tfWc6QrWu3rRH8
Gvez028ybfU3DVKuDbEYkihVUn9HPMRPmd/eG2m6D7rKInUlRbbNpGQFAGWl7Mcpz7sbahNr7wwA
QZKCXANga4IUv8+9OuXVYBzM1E1usO/03pb+6xVDoPYh1GR11mQjENUXknnIQESnJTj0JLzJGqTz
cRjqGyRxsCEKkgWFS765rKoMPYYJhxDhB8l42CshIu3c1l+PlfGR4lDfhMsfo2gH0pl7fV9E08Eo
Ulwcsm52r+ipHkmhb6JaJ3vGfGi86dem7N2NOxbe1q/T20a5+i6ZaD1kY38WBcu0tX/EUmLRx5tO
BCFtWrjGYexEd6DtSeV2+gzz2RhuWp0dVKs8CFjaZLwQHZWkw2VlVn3VDuD6pfkb6Jpff3wbvC4t
F7cBswUHbIHvCraYiynLMNqJjDADnYdJ3uSta2OkiKszvaN6j7I/3cUZZjs6tgQpOaneO7P3mAxM
1EJKn2vmEPVGRpDIRmGnRzn3+grPvge2zHgoS0JnS8cMHkQV3EdYSx9j+IxHTPonZ0i/aCdOPoHs
w7JA1symNBJY2S4etLx50VXc3byGEMqgd/ZEHPmQeLlhZO0waVuIy73RkK0xnkdPZOvGbuXTBJEm
aMlGK7m1rntPHhUH2qsYyJMZVgE6k/SOntYuZY8AqUoc6ggC5YiG70judHJTU5UTrQCu1szHj+oq
bgmUCUhdYCjdGdilzIMjGWxmNII7r2z2tMzCbaVaAiJc6R/bnijIhpyCulkbmQo2OMKHTWejWGqg
akG69SA8WHhBacDe/PiDtP64m+JxYgaBwJRJgnQu9hA1cZgkDSw5m2bJnrZIMpK+u81Ek10t+XF7
0wmDnaJTuIlk92l2NcQszRFXINdkRg38g4DE8VrX9rZaMu4g1ps7SAQb2lukIw2koJqF226UAb7R
ydBHMkSHnJe0R2yBxu9n1Teqx++1ZH9i/eF6WBt9C7Gu5yxiwO+XZkVEhh/kRXKOQ/LhB/i/aLvX
szmY0F6nK6wj9dpHNEEnE9ZrYe6HIN+78xjuSw8OnHC9Lz9+hy/K8uVQREgv5zwQDouB4jLhOiom
36IDUZ/zKWAlc/aWlsltWim85kbeXTHT3ZepDelQ2IyUY1g0xjZOO5N8HfvWM/xH5SBsVmL80nb+
Q1rk4IbK+b2oc2H+8VbwFPpvcxm/O1RQy8+/29WGGF2jkRXtWYT1vW0XqBJs8bUjivTGdbUAv6/J
wyYMoFPiOrMDucMte56lg73Zx7GTwjF8/aMJy3SVNglRrn4bPTRGbuxr71AJt91rZYGpJK7k2giN
mSCb+wwY+8duwIfUhMF8xma0dhvSSV43Cydopw1oonIzFCYxslZ0V7PAbm2VocFImvgmGx1mM7Tn
IJdggZ4r9WtVG/uqatO9ZU7VVWmS4Brrqid9AG2OW1nuPXTVVbfwcklh/1QYbrO2KvHVysMUr9Pn
NlXdEw7wYN+kWbZRc94/0Qer147T3HEkYcUDn3VDdCVGRoJT1xYhWbdYn6tTqXE8cfvd2x6onngm
QMGXNpRUmV95E+jBvD29ghmKJmuPTB4Y1EMy6V2T7JOZvh+oSmdTjcYAatAEAd5yU9Kzytjowk9l
1vVIez7XS/5ZnvfWOk5SCHdYlVNVyb09mPZOCqm3s9ET4OcZDzHcS7pwPuxhv/pKu9q9Df1FFkb/
6mw00Fl+fLs7f3IX0ezweRZ0nu4fTmcWkp1gMGV7zrs8P1UJPTkYasUe/We7cTPmjKjNlrDWUt/R
AF4HTendBFWS7XSN9zmziCPVda2vXm3VZitITjXCHQ0M++wg9F9VYTJ+AnRN/QKsEjKFfKgt9nev
D44Nvc99FLUe/CyQzq679VqEj2GQWUyDgq+Y841rTOUGoQKgOyVtuE1iG6TytATFzGN5F1gos4PM
627drr+WC+GyMKTH8JLVHr//Ox2LZch7cYb3XIncmCUYPS9fwLdfOiEis2by2J2FgjQ1DPKLGmo+
ZJOp6QJcbG5Rmk37kPgJ0CTfbCduTyDq+ncO1a9i3rcbuue7KBc8U+Htoanz9nUYpiFoZQbd2Uur
o9eKexfSLGZpnw6i031zl4iUJKP0DW0SmVsFNHC8Q0bzdZjT4JfJBufJY2/gFQHvgFZ1REwF1WEE
qpJ8hOY7PYnQ8uFqc3pxVDGDGpsea9+ujqZGyEVm+TtX9Acrgom+le6+q3z0xdyQF8tZWXD7a2UM
Z6/Nph2oQvuQM7ggxwIrON8rE0JmmO3rzuG0hUl83USd3ukGVzXgEfwoITtXoMUNkhJCfj2mUStT
kbBbiOGA6w4MTIXraPRWVgPz1Kjis4kM8XcMsSXKh6TJ5BVkpPCETSRCZWaNOy+Our3QSbFyYjBl
xE99HtO521rxIAhHnucduTx4Z5LSW1VAnD/Z1ZqZEDj8Sl4bQYO4JLXNYpWBkeLb5LLYiPGmZc65
dikXjubUBKRozMHt1Nj2GrruwegHCYS0Cp7Khly5bPIffCeBDJGn8yHWwLcbesp3ZtJlBxDotlMj
V2qKM7ts/07p7r/VGrAXeowil4Yvem+Pu+zi2FhKs6sbkVjnuMCjqKM4v8aQLVnwfLXXFa841oRu
VxqodLonQd1Yu+ZsbLWRGgTocDjJcuOUa1Z0JoD5tZd86/tygDvnkrE1aVRufIp7dk8Awd59g8p7
OyWpYN+q2F/K4TGHC8o8dPGmkcJaNehm2Q4/MkQzfv9rjpZTBb6/s0cNiBOixpc8hLVEmFOzz3wS
sJZ88XVQBPpLzx0l9bMfzO6R8OPHzvM/tUX42R50tw+AZRxCSyOApe95HbvDeBMbTH2YN+Ly01a5
MdG9sQDa8zXay27Luhltpe3fNTLzr5gqS6Bw1bdpt9ChvoRD86VM6+rnFht71roVQ4XK+wWb/xe7
t/2HsPfUprfhpoAWZqgxaPe2LZNPJViha6sf2zW2x6Gol3sBuiGH0Fs45+3KwWW8d2DUr7p0uNEE
DvFqvPr0433BuvzoOZO9GiRwkboMshZfxfeni65k4kd4VnPuMuPBYIVBWqacg+32+kTcFCMrxgxQ
NPQjaIXs46TjI3JigL+0kqDVUdJgXPpYxDAkLey6B4LHmVwnbcPcwpOA2aKDxSj/nfPkclz8fll8
fdWeb1rLIgLi8eKGDXpGn4PRN2dR19GqdbW7stSQbp1ZvrNx/tkzMaBdeveCXCXnoq0VBv2YM/Nq
zrpKvlTjVWuM3HQGJsAffxDL41xeEU0DGowmy6N9qY/LusYPUha5s2zsjUVlvEpi0IA/fpLlbbl4
Ep9DryeYCthAhS4uJm+jOoON3p4L7BvrccjFfiLfZyPm4eCRPmQhEFCQkn/8rH8AptGQ4AArOXBj
tVf+ZT+eIxJtL3IDznPV92sLC9E1uuDDUKlPkm/Sfc4uP0OXciLRHUPTILvJALxCdCyBk7P7zpvw
h719eTkSuBTuH1Oyilzs7UDLeqdi4nlusZjjzEB6Pxrt3kYbtS5kdO9wTloPrWMcMqEJgWD9LhgC
r4u4eWdQsTSULz4QjmKUICzASCM55vPz7872vi+mIJP1cC5re+c6y708ZF913nr3uZc+z7ycY0Wr
VqHOvGNA+2vtmPOVjBtsEjp4lAi2F2UPFCvS3HQvbnIZfVZL9IRMx+CArSVBTgxIZayqL2hWAZYm
Tf1kgWHnjPXOWvI6H3x7e7nUJ+zsFlQGWuQXW3sNPCQlgXw4F7Y1bJqRwV5KMDrUKMRkvCiHpFgi
Nv0KSAIEQHTNaXBfxdK/S6vpFAP7PfVF1EJLmHdhbsm7Gkz73VjGD1o0vwxzY+FU9+RVkUxfCYqA
NzQO2b1UhAJ0JFbVfYveJHKICq39dR3hVa5CdLsgZ9w7aKe/RRxI99kSkyzJQgoTYvVoo5wqn4i0
H9/y9PsuPlkbwxtWNKzYnK9Qe16sq5zSFMkdc39mBjBcD0KiH5/WUeJ0x1RO8TEsN68RHgtM7WiI
mwaV8E0bSB+6e/zgGwAHlJ1synKczh0njv2QDOraaOP6yEH7LvCZ0hWNjp4BnMWNLzbkICcHpy/i
vScri3F56hzRc83HISeMR9hnbxyDdVTZ2NizYLzPrd7a855q1mj3zkxrcg/p0xwiO4VbKKpqhzwY
t0/WuNejEBN5QD5ZoI39SNIInPtMywOqlJXf+eMtdrci88WamHF54PipDnY3+2tObRnExrS7nsqZ
ghl6aWa4RMGm9YsHxGEHyatZjwu9P5U3QxHg6ahQcAtfYPJxau9mruz4Y5JSaJNtv25GixlG02/K
xNNrP+uNnRzbj3QQCGIxED8B3Ajv9II6z5yyue0mw6YHauIZ0GW8bxvzlDlF+rM/1iAKnRKtTO4b
O/zma3uEoK1hp4Wp3+5q8stJzlEHE+IuyQxjdTSYGPCR0boIcJfdBDiHarPMr8NUbsuS8PA0rx96
v6iInkHC6GtxR999xJhSOIdEE3/quUgNtJnc2NU8rIMJXPvrH8bnPHWJPXESkoVTbvKxAbSTjP14
a2Z05CZiWLuYoHINgdeyaHOWQuxnlCCbmc9tUyxcXy+wwqPnpz1i/nUO+OhoVZW9HWEYrVob8BQz
kGvbAvziAzMIGERvAoc0Q0OJL2PIhBgtJF4217bP9dCU2xiA3JY8MnvZ3k1g708Foa/NFioX7UEW
qGsvhCCfcpnh+DSOOXwg+9Z1+whjUW4chlo9aYxzT44z9WtMD+T2wic327E+N3nycegLb+daPSi9
ElxoCtBk00YrdoD8wRqgByiin1cjLNz/Rdl5LLmtrF32iRABk3BTgN4UybKSJgiVTMJ7l3j6f7H+
HlxJt6XuwVEcXVNkkUDiM3uvDS4FuKZ2l2n36ltflz0noSQbWomfGQ6Mox+PHhYTScCWR2K2asrs
QoyvEZg9JEg27g1jYItAeW0MC8P/kY6puCNrz6IbAI0Yn3kanlqnHvZjajHxDJTQsx9+2e+iIn9K
TZE9YnpeO5rXXiTjrRXagXTjWUm59qyK+7nDsWVkSXEuMw6vYXIf06jtQ0SYB4nb6NrkffuSm9Vz
tpTmusssez3wvMNNU+L+E35+yAq3RPcx9vBKdaLWtNbZYaoJ7467rcYK6cz9TESJgkAMHBZNuteZ
K7NHEFSMhGTqNehle6CvZkO0xieCFsco/ads+gkguIHYNnifpIpuYlxePS+ubggq461W4bOsMN0d
ZS4vmlVFQQ7H+NnU2nHjzIqUSZqUwhw2SDImc9JeS1Zul54ryPJKxoW9Lx9j7oe1nN29TJLx6Emb
IX1WoDqyu9CSMPqp0+P9MpMklcQzEwO3W4umCcey8I9wFOtnOSBqS9uk2X/8lTzybku80dEzouVZ
I6Jw8ovndKgZ/MbTzxlpzIZb+T54TcZd3SLDg2EVi1sjnPiptgpvT2nYhCVQmhK83lvbm0eiu7yj
HDWi5/QJWPSxmRHRfNzBMfyD1ehk7vkeW9RmVySB8KzTqr+UhV2ekxoFZCcJ3jD73g96SaFvOrF+
ADVX4uUxXRxrjnl1x7QDm0FYlxpHUuJB/5elPZFBK2cyzYE9QSZkmF7235Usp5O5bEXZACgj8NDR
Fy6M3HsdYffErlOeycYcGBr5DD/x9h4xRXZBP3aYveJdUkXJLTdFcnQb0jwSFLFx1Jqr6jts+pFn
v5WtYWI3qw8CkSR4Nk4h/Syj6xz0PgdK0qOa6xlqxgWZZ1GkDUc/rcejpbNs0bU1N8MA2HQC3GvR
4SqgAlhmqit1efloDuIhjbJjPpbE7S3zfqicrQ4PtuOTjwc3fr8ju8LEcr8mqZ9f4hTOyzAV/5gk
GL+3LjxiWfN5yFYoLnmc/jZTjgmCXNw2VtemYDRDKK+9bUtbW/V9PX+eZyZ0dSJ/mubXvPBINBBJ
c6AJ/peG6WNg8Z9Vz8fbQDIFOgRIByqXX2s4A4AU1tR2vkbZEG/UDFRbsPipo1zfO8khIX6GUVs7
Xlvf1MDUefmq5VsnwMw59nbiryq4VGsQKPpNVRyy5IpEY/LWUKfvK69NQ0SIxcZs3RF/axPzUJMP
juj9B4jP09qOfYPuu/AfcrmkW/L6vshhIp+sI8okvaOK7vGxUrO8ZzHuTXyaK7uPt1JfXofadw9L
85LIUj3mpYHym3xlLIzq5kxyCg0DZhSRv4TzDsZ4nnvru1eido9Mpnyp9g0MY/LiSDLeaTf+f4t0
PlWXiTddigv05A/NQuL4ywS2SF170m520QBD7oPPW+fPiTCDJlLXWPAxpmaBJytnU2lHRk6+uIr/
0Wv+3pkRVAFhhOkbQirsOr8PR0rDHa3ZyrLblBremmMovstop9XfK8aP9fgvlxHTAp3ga+bUNnoV
1/r1MvI1sIqdcLNb4qFiALPhbmUMxK/SYTqhl1yPnW+tySz54rcDm61Z9KEf2SKQQqsPA+jUTV/N
xT5N0mbfcfY0ziD+UeF/tEa/vkk+CbwqDit+j0byt757IPYNEp9h3DDcg7Ev2YACV8hCulpM9F0e
h0P1oOCGsOPOONVymIN+FzUPsLTaB6ZGrf2tMUlfbyxww64Ua3tK1viyKjbRif7975+p5f9RhZtc
RDQj0CHo4MXvR8TMtCU16oS8rS7+kqXuDuD08LnuHWfjKp5Bht4QBGFH1puPP8GHNjROhaKlSnYi
MbXDXCT9vtXv6HPmkUzHi+hpqCICVdooOymw1jszal7iOUnPmhM9fDxPskS+ZUm8BEo68wFpX7N1
YSKsXEsrdsa86Pywr6xg2TYlrbYR5Z3jT9DVdkE4FrYlOhERVw7N0omHJSid+Cv9H9T0rIYWGrvd
1S9GQu5Fd1O6PlIkFj/0ijxlPBHdHqHb1ZcpLm9ZLzxGEZ+1S5utFkZ853p4wUwhAnwV5rV1xVED
D3YSfB67vsvzwEeCD6LdL1mVX/FVmuAsQZSO0cLBUGkqtC15og/tX/rptTfuYLs0OQLCkmu8EN26
k+zjkzyNt3aTFGHrLbBUY9hwrYx3uYeJtRG9JM1L7xCjMCJFTfzkVGN6SzIIeyqm4ndUvxtSbuiy
LniMlSX46do8S596s0qJHZms2H6y32LiOh/aPLUgCVruhjtkGHsUB2PN0Zgvy2OfRh+1HAkSxei+
tIm5m5N7tMzYGei5W/2BXMR3LXMxXt6jziJR+fsJhzXfgRcdZvCuYT0A0Ywm3z9HfY1F1Y4u2TDM
7H689PHjj8SzQjavpDiByopiF6RMGpsB2p+QbWD7OCEQ3tROlh29Yds1gGlNT1QPH0d2DOrucWmn
n5YTP4w4lEnTa/pV72OM9ItIrSCOkFGUQDv1pXnJYgdtbpNn2EyXKZhrYyEdceqP9VJ8cdhYHYcx
f2qZpl8R7ddh0Tv6qbeeSWi279Hcy9lALn8sSZyjaf2kI5ELSX+2ACR14w4nsBd8JO+prHEDrGOK
+aM8p066FdXgk/ZVumHTWuNDaYgndmEJRjJ7gJPXL+t8TJiN8lMHSpIwxs8aVG7RhkZXvA3UqM+J
4108W/KKdRs9NYZ5h6PU8Jm5b97vHDrRLQ8G4ArC46pVOojiBO+AMC+91rH66ne467iGl6Sf7yDG
KM77M9baZvOwdKl+jCL9yNc2nTWk5XIAYzfbpiRSK2V9XozFxm0dFSgiLA8mTRbdX7xTLREzs7CI
S2zylGjO7n1OqhdnyLF/ejqT3xiBqt05xkYIZAWjblmH8cVtNHHr8PkE6ej8dNxh3tmVkR56KQ+l
7Mk24WJpIkLW9HFPfLi95mGWbtVcHbM2qXc1A/l1HN/RvwzQQ991imPTWYDze626dl6I41fBaVwZ
ZqZtSc5x4Ur2+Ona1t3VsfPKTUaRaIOtHvW52TAW/lwPVG8F7vWPSnTM/HCZUnHK1aUz2l3H2ITL
3tKPanJ7EudisZKaSkORiXydt1lxaGiswqZz+6NfLQ6ZiTXOZbz/vSL7oyu/NpkXbxjp+oDRLPdc
NY59zHN9Rd1CUIMO2EkBRVurQjTbxstQ5aAgadDKHCjf5CFDsxCIYUqPOKavPJ6yA8DB2ziBI5ws
CQabAFMkW3woGX6CE7HUGEyIADlGFYxt2GcPOQ/4DS4mJOJCNEfwBHj5r8zsRdF3x2zQrm2SzI/u
7JNTP+5d6w5wsJqR8q8CNTmrUG91te3HMzGk/MJQKt/8AVDsEDmfKXVq+L0sp1nLlKfKglfQ4oQ/
pLRIG8U8kgQvM5z57riwdc5UfBk/Dbt6ZARUwEIg+jCNF1xnurpk94ZIM9JNBVEg0HICX+vSvKhu
hClYQtk0NdsBOFU9GP382PVMx7pad068jDp6hRkMjRU/ER7Tb+LIBmiMWupeiCWh7ub2JTUMEULt
iXDpG9tSb+qzZhEiHaXLoXbVJk76jICQTNv4/EYY0wkciA3Jytu12/dobC9NXMbrjkkKOaSZsSPq
Nw+NmT1h4Tjl/QYtnnJsYU+CqVoS5ecxVgbPJPf/0LD+r7KQjzn9r/WEy3CMZzPFM32S+VsJr9xJ
kjetWddlqDZ525lhlHZp2Fv5C5qlbt87QAPqFqfLKKcd37vziK26YeEXHbJRidNImGxYNDqAuC49
xnf72oRLN6Cp/ubISAWzV9nbIbYF++XEWQOLXAI2O8PWXBIsUCS2lPXViFrjaaFrZtDSPAlrBxJ9
eeu9eM1Tszn7PngynmtpY12A51oXt5QkenTdslrydwnZ4CuTVm9lkJVSK0U6QZ/OLKr1+B8tj/v7
NsK6K11N9B0s62zAdL/Ni/Vm7B0MBSQv6XeYzcce1OsHFS6DnR5F4yDvKQN97otLoUrGKQmmzbqM
q7VZ2NonjjI8D0VJA85a+CDGBvt/2RfA+BBbleDAB2Zpgaxq7k47uunpZO71ga3dxytBU8qCEaDd
17iZP9WGnqx7LH+ryGuSFwMls2VFa29GXqCcINfa+GQk9Xh37iRkrlUaFYyIz3lOVJgFj8jrjDLs
9BzhV6VN4K6j/+VHV4XcThxvKzg83WUwcf3gFuQK9Sb5eBf8Yadhg2BJ45jpLH2yKjl0njFvQTb7
oQ80BMBe+1Wzp2Gve952brkdpQp7syvWTZeWJ1vz3nLb6NZ6Gr2RPpO/epHctKMyHjNlfP17FfqH
MJYv7W7DuFtA7srMD6f3fwz5W5UZlO2We9WJcgsItGaFmhvvrQKlIzSpP2eKEOPl3n/Rim0WQ+v+
0cL8sYHhLdjYyVEy0FZxz9xb6f94C32P/ANUmLwVS/aS81ZDv9Nfijj/goii2MGdqXgsah6OI3YQ
FK9XvyM7HAXZE3316e8fCCMnXu7X2559B70dCy+sy0jCfn07MW5FsjXL7NZ7o3uy9OkZptmw1ZvW
hoTCCcueLLmWJdyQFnYUvEFkobMuzG1m82z2BksEOjJNsP/iGCt/52sGYUmddfzfvf7d2WsZxRy2
41SHRuSto1YdMGfMe2om9zliJDnV/VcHj8wBsMjZBBO0IdbGOnntYJ1qcO9JUaXcIU6y6qeuvTAX
G/ekF3wxtAGjkKL68O4tdr8U2eeG6XGYCgJy7LwzXz1qv3G0n9ra6T9rMwNfUx9e2iF/xZZypdMe
PnsZIhjH0qZwNj5wKa6xq8l9uPHjtCDS9EvS6PrVxw6+StjbByOXDO79IGnG/ET4hn6zZv+Jmcw9
U6Q4s717bqb2OyXv16EXEoaaVW9tAStl4DpvsG1vFCCXK+YXdvDaq5NRiU6md5z7pNglsYQx5RDl
vmg8fdWs0wqkRlg1iH8zquLsEiWT9+Q441tCxmro9GYeiB5yyTSxdnFVkm8//hpb9nta0TCVre5u
HSXpuSan35muJy9pXq1Edh/KisI/o7XtN4PtsbVJHl28CWtEK/1W63TrrCLm8kKmBG+iSBCoW8bU
EWiKM3eDTqU4uvo4hb7X7mGi+Dsn8r5qpGA1o90QwdTJXRdN5bl1840uwLUUBAOdRzXM19y8QUpX
L0Y1+5A92p1rjV8z9FCQ52uxEuQ6nKvo+5B72Snu50+OROHJyh9Cmp24+4US6Y61t8+z3/7sTDfZ
4S79vkyExMu5JSEpnV/AYAWJFdXvS6R/J93QfugtA/ZLMpon4RfzSlXtcP/p1UXUphFU5pPl58MD
p5nYL9345nVLC3xgfEMJU21djSyj7qXJ78GyLIn3XdKiitGbTeOV5hFFD1Ey6d3jDkK9tQcN8IFF
yiopPVlWUbGWWb4ChlSHcgQd47e6caZmV8HU5gCqKw18GiO0q6OP2E8jlyUD1tNVOo7lya3B/nr5
YK4B0kyhPogkzGf+xzVD6NL0qlUbE56omJWac0u34atinVtfO09LzvK+scsyhqljnu5aOXuER5as
mbFVryql7MCzEFFNbrev4x+OyWZGG7Jzaxmv3WAmP5GTh/yc5ltXJcjtltRidlXfw5vbBWi0IbBL
jsnNFM03AmGJC5vWY78s+9IW5UOKpmy1aJP2UmhIEuJlOYooJmeM0QudItxwfdC3Vm3mZ5f2NATG
VW7nuIORn7B++Uh9miM2Q1mOiWvQ1A8P+AXxcvDIvNntH8Bf9cx2e9hzpBs2ul2uEDf3WzWKW8Fw
+5jOWJSRoL4gVije9G6KkQoJZJRjWrzVhjGAf+8EqhrraZwq/apk2wdFYw1nr79HBKGnRHZYfGNl
90ZWR/HSwPrFACuLvVOW1douiv7I0KpYUfIkgVxQ/iKVAFhbuwzyk6VDuEGY1uKVZ7c2m7eFgA9A
X/JFZSS1J7SwtONF8FHCf/yhZz1RoHX9E1vLtImbtHoQwL1IJffTcyNYMPqd224QCc+oB8iUWiCZ
PdtZY168XD/zBfrPrMqpeUfsqsnSN8RKZPmxYvQZIv0OCxY3p4lLvhmL7ixi7z0zu2at6eM9Zst6
Y0JA3ndsHcANFocUwcpm8cCb1wmIt1IYr5xqIylkTn5xMPoErliyE3OETwyKI1wd2pVlUfEk4fvt
fS/5gbJKOxnxT4dZT+VZ3jVNZxvRoIXsk4QL6mkye5PSnFecW2pXFBJ2WJw/SGd858o3j91s/MgM
gshVZTz3ee7uU+r2g+5OMRtHZiucrN809m7AxcnrGzTjatVWEWRGOwSubSArTQnCKLlBVtSwzuPH
v8lWPDOOMB6yuGw3fCaAxIFjrNCazLvEGJJtU7YJn90PLY2tRyk6BwbVp3qZ06/99CwgF3DUifyk
D4UXapk97Q2kCtECMA+axB7Swg8CaPVn28ytq9S/pQwvznX8Hbu5XGezFe0gOko4awPkFJtkRQBw
3dH2u3dbK+dwcuf+sJgQ5dOlveqDMW1rMouVrxxGsa3/oOzGPPpEvCCPT/2wX8ych5zVoBMrSAHs
wAv2jDqgavFHjlXb4FZuXd09OWL8YpRmf2gS76Qq0G5F12WbQkt6InjBRGoshl/84TNomvm1ik2A
0n1Hz1rLZK/mxtr5Y60uuaovVWR3a2lVyeoj8LRQfXvwa/9T32TXZEin76RdP0mgYZX2MFFp7NGg
mLu2YRlgpRxPnbD787hozUrm+ApYoNzcVCdzqxidzVS47iPzwwBZGUeSSOiJh3EPCKc2S/lTjeUn
w229NwwF70uNV54nh7n378EciRSQ0xztOMk5hokOmKwj4fgx74dnyM+EDqnU3uCMScM5luNp6pxj
CRdt27oMoKQX35L7ulewnN+SSBTNiCn0UZ+2pWfOu8mXLKxj80Y0qhPEJYPCidy5jyiVXHEqG5Mz
Q2VxomOeLoSOp0N8nZiK7YAb7zskI49j05urXge47S36Fgmlfau8yL/YNlIYTmqnemyKuP6MhD5k
XBftM1twFlEoQ3UtL7aF96PGRLfJFbL9ORVU1Fy7KvqUg9VfwEi+w9J4cfXs3BWEMBHQ2G4PH1hy
sA/vEDKt1TAKnaPS9+7Eedjd/GePNAprTo7DbMsnNPXJicTHFZl502pMXP3RmY12M8nxUs+5uGnF
Y/cO5TX51LmjfyTo5iZb94eyaMf/Xq/+uQCAZIFsGocVUx/7d2MbVs0s6WOvuMGEhpunOe3h/0HS
dscU/14Uex70gbsOEwjr74oR5ZN92UVRcescjBBIRLsVQhm5AZQOGCFBoT5oi8bF3OVrDUTcuvZK
LczhFO6QKLM3rNeonuKV7bTLCrwuHT5pYUHBoha8hT0/w4+A5Tiuso4c4r9/RNZ9yfVbRU9inech
F2dFIvTfGnkbia1C6MFeWbfWiHpPDXCNkw1EBJKFaHc4EebV3FYehHQDZgNjCqJt7ht9F2MgMc0Q
hqZx+6HkU/1nw6znI5uwVdH5zc6oHJQRTmWHKFSqLVK5L30Ge9DvjLfEqN5df5QhMN7qIHz56lMB
hQ2RTGL6NrC0vxRm+qh1TfsEMOofOh+0hv/lF+dbY3jBKhKW22+dlQUyEodVkd5SPbsIu01wMghj
k1fmXfS6w5AwrzSEEGtEB9GhiGPt4KpsX1ppvwca3+4cMT/OUaKdBgZcp2Y2Libc45Whqh0/6AVw
o7HpUG5/Fv2p8HEN2Fk0Ep+A1BKIfQsWl6PHnNgCoBl0RFOB1EDc2qNGJjQkJw9ck6sCokgtdEYZ
xwyikTIUQgXDYULty6fa6IvAFzk+gC53jpYQP8F5lTtcw9l6msQBabaE+FwUGx1mFRUfot0xaREU
cFwjJn9Cv2LsR13bjl01H9om+iQw1XwoeFPhEr8prGgztt5zpBtExtr06tbG6nrvdRGvTpsBkHWW
a+Pb6ePQ15w5SXfAmIQouh63SbqwgRyPaaGLXevNj/4svhOEh+A967trmzHaLAztmOSxTsrikq5Q
xuSBDlB2A4Zx2qVFO4dDJyETMQjekfrGnnViX8hSBJPsVZfLOnHLxwgTzklkhPiV5tbIm+aUqhnM
yV16bLYohnyDy4rtnLnOyxGmAJmLG0dSBepN7yO0T8jsmW2qWqrm1eRmLhNmn/qqMIaDdJBu2Dmr
PU8NKqjAzG07LIdryMXjmtH22fAytSlZlhEuaKdryyTdegJx9ZDwrMnhIP/9lv0vMwEfGSTKNSF8
oZMuwZX9HzMBwlFTJlhjdhv6vAlhJ34q7+2QgawouifJRV5+R8whJUExgKgkshcgFgb2P29cWaS1
/OsN/TkV8C1GWzqLRTb7qAh/fUO619t8rOQ05LE3IYZnmxjNxRTYczNtco3dGJvJYtUjR5kIT2Jd
N/9M4gyWrz5+XpwyP0ZIwlap0ZkbbWZZ1aEXf9Gy4V+76f8y0fGFyd1uMk/xDQT8v75TlC0CL2DZ
3Iy6W8Ay62pFwvO71ZR+aGuupKOjS5ucLxaguE+ePz5Rf28o884kk85H0UftW+fVG8xGxk265BcX
yIywnI1q1abxj8Yt0FtY6dFkvXaoy+gGfLlYGeNYb+eheyrcuT5pDOeO6K++OLRIAaAq/1HPzdAo
0/wFXc6L8vMnX3VdkDFsAR+URdfYtfMgK0p74yezv2eigLIwv4Bx7wKrs9T9seF/UfDJPQ7ODc6T
/ghNVNxq1c8EB+cM1LIyUKmDrG9I4AGbDGnHmsmE0qfXIY6PQnHUiAlO+GT0+spW/Ru/c1DLKTu1
URVUBrPBzEnZQOGmbDt/pgchqccFF7Se+Lq347i2Uixqo4SP45dng9x7e3LrW2zRx0VLU923I/pK
a5dmk0mNYahvdDuicy+dwpEL7vhYavjTHJpQbKa2s8Nl9iXN808aFpi1txQ6ykRzYw72NzxJkA3R
j8153O/ahb6+RUzZNI55EbOdnOmzPBLwoHZLi332YK0qfXH+8fj8mHP/8vi0TGoMx+RsdXSup9+W
/8wyrEymQ3cjDmfZckoholN1UE5dGUwa2geiaytSRobj7H4m1x6GDFCjFaFX35OYZ6yBdGyXmtXn
1nlDo3PJ5mVr+Uj/2hKID5beeE9BGMCc5Kfki7t30n+Cjv64fe+8SnS/jOGYNv4B1dE0L5Z6XI63
gWZiPUTsYv2F3RiD36D2qw0WJZJpS93e//0g+6M848zA1yY4OdgigPv49WaUmIQS8PHtDazhhMek
ztfzmH/6+4v8l1+OeAe8MWTXWYxzfzubLOTUcVeo4cb8cYEgxybbRYiztfSD7B9SXy0Xks/61d9f
9Xd5OMeh4DeDZmCbjg1E6NdfrUGo53eNOd564/vSGQSy4C3s02RapbWrgxRu3//+grZ/F7//eiVa
zCv49u4SFNf6HTvq1a7m+LnAaMaE+DjprXkaB3VV/kwjt+Qb/l/ODpAf6jpzJ5wWVa0xbKDTZRvF
SiwoQLVt8tnbI5SMmGbMYg2TokMUW34g8vuTiVcHZKdxqj1rCPQkEftkIUjH7rJ0p3kKbXjtfnGn
xgpkm0ePi5Qk2jd5iXKPkAAtlgqoX6GuMsGTXcXW5w4MJk5Wf6vDVT4S1PvcgAwMZ4e4n9i3Dw1J
aAcDH0vFEw1gYbYpLUuihGUGJmYy4v0kfbRJQqSN02f/Nk/eDvR5xckp6xOw++ja5j6Z4jbvLfZY
aicGM2NbYxd6HDWTWJ89KMcfGWYGyhr3PKAowU/k2hvdboZdNXYsaPx8B18B+YE+lved68MUKUEl
sTwlmv59dot4FY9jsmctt07TdstMk0dYvWdVEq0XQ//cpb4Jj8HKT66trxl/B+QXaCF+3RWNnwh6
lS/bHnFpPDuKBTaDfRu77wr86jfVxyfITK+TvswXx+i+T27ahIPrjQdH/iREVb562BA3WO1ikq+2
XaTatyWhUtEiCPuI91pA8tekrotgIh8WYfpk7ZlQ6rwp1qIshlzCVnZ9juOwt5xVQa+KNprkKVp7
6vip1TdsQTZuk4x0taRap4X3BbutFbpL7YZ919joW+FQODAEvXrdd/N0cOG478kz2CdWNR8BnAdZ
ywhTk/YXsxjfYftnO8uM9EAnC551qIZd1bXH9VwN2yKGY8+qKLDp8UPdIcmaFeBLqXgh5Vb3DPHy
kLJQDZeIIUOxvE12TnIPM82hYrot1cBWmd9S2awLlrEf0X/qoelSGI7k3TsOsSU9UZXQ8z5pCbG4
JNmhPw8QoJCJ6uRFSNRcTKRUXQXw48f7AQ0QYol69nJ1HrjuspITDXBBzjRU3kQ4d7Q5wdC2HDF4
9OIZV6h10fsLmjy5UbZEghpPN2Nq/BVm8Xu2Q8E/uEHKwsoO5mI2O69zp9DUus9+olIEqOOlIlY+
qLXpaXD16kXF9WERGqs7oc+n0mZc75kHCSjhGS2fCHVTMSGavVvbl19A5aG6r8jhqwRgq/sF5iAY
QWlR8JRHZsSXp+n3kqLdzO77wmJ9A7nNIc7lUHdNvR+ljNaNbiRbtsfmJl0sSOljIY/L5FL8a0iw
2shnBFy+WMq5tKnTHbWR+Vtx5mFL7cLDH7vCBifY8OZig0hlY+0dv2owe/P5Nu5blZJGuVT0Vkl+
auxibczc947hfWMpSymGbjJeyKoyKgqEQrzr+OQvvfXTn2HLOxEewM4FzWhzzEGggMAIlvg2YijZ
Rn2lXpSZ71vN7L4g3SVpIwKVocePH49fOoF3gqHPkOnLFUP5mj1/zjrP6spNwdYh1026NCJ+mdPJ
+knJ6TrmQx1SUkWbJXWOyoz9a8p7wHDB6MKR9eP0o51qBEP6JNeDR85I5i4vFaZGAxU1C2vrzdDY
dOL1PdXIyQOmEwV+iRTDQDdlh6kTV30iS8Ju2uYgO9zUxCJMp1iDqZBmZ2dTpyZ2zgk9e1nWLz2b
NHKGjcCdK2/DJpn0s7Gh+qqnk5UOy5YF3lr6tjo7xKGTnqI1gQYvkpDftgMaP25iz8AUvnQ+UErz
zZBsuOjkkcDL7IRislnloDG3dld3t7TF1WrHWkDEhmQt6/Ir3pOEu5xMtrr+kVbL+1SxD465dMIq
fzYc/YbxY7yrsspdgf5D+JH7EBfWw0cCr1krtt2o4C0TPutQSwQ2/niB19wF+cI8QSL5VXFyjDqU
9pnvvSrNb8/mTDWbTNBf3CXm1s8JcKZfjZYRdnVjGptZqrd44L9ihM32qVPZBdCDubqv9NFktdeZ
0IbAn5kt5iXda18306myp/eEM03nJUL0kNDn2oyVHTNErjRYJomBuiQrMen05SqmbgvpqaClIOQY
Uk9s/cxMV5gD3HU+MNsuy7xcEx6yUSCsaBUEo1pf/0kqUnVGHouEF/1BOfU/uDe84yjEpWVXHtim
Fh1TdL63vP/ieAgpokJ+cpyJeBZwGjW2Dmy9wehxUmeQnDepVfAFJvqDa9VvZSEipveT3Cq7elpa
0z3ppOThZ5ERAQjzg2Hf3Cg+ukp6u9mqf2a9R8hAw9Aw4fpotJxdemoA16+eQAM4ECGYxqimLUJP
ttMBljQBa1gZFs/vVggHW7Rle00zmfneXWGLap6YSyTa1B2gohYnQjNxUuDNUaj0P0Uk/TEGIhQX
h4lsvufeoq1IWyJ84i4BxjfRngYyXtKID2mYHmIbzKxf1M4a5qi+rRggM2/WTjEp3V+KGH+YF5bL
5J/i4hUUY3MUSVSsUW7z4/N+nRrYOKzIqHa4sB8a2+N2nJ2V6+beffcWEFenv2kluvgkO2WKS1O7
X3qqt5+gFsgLeFdW6rWKNoZJUD3yNNy1frzTBA6HJB2/2QlbPEkoyS6L5Ek1BS5gnjEzI6V15EUN
pluhAo50ONBtB3EJoC7ZHrg9aHk6+qPcYtzCWJ3YPSesF3eTZah6Op0OAdKNQL+CCU/a+kMK7u7V
GyZWcVX1qRrMu+GHfMSuVCEegjcLOdm+Nb2LBtgJ8PfwTdpUGCkS84Ut8EEwmjuYFXbkOSPVkbz5
jzKfAmQMjF4tO5SmL16GOUiksAQwE+Wh0vGIaQmzJt1KHoq6q7lMpRHMSsTBKBA82Ay8Iy/55AlE
KORIWtt7JBQCwLfB6nRm9eiHtYW27+9l7h+yYMsmC87HnIf+w8Tz/mtdXVDKS7IzxltuqRNXIj4R
g260gmRS5t3Gc6ZPU1GiP3T+ZScmROCPAvuuxGDoAviPluJ3GB9Tf4MBUzHf2prkzaHhwcWOjYQi
byfx405M4nlbszwZfckCokLzJuoI3LasLsmYMgG3Gh67uSkv8A0L/Owwfazyox/J/oezM1mOG9uu
6K843hwv0DcRfh6gyT7JZLIVJwiKotD3PT7NU/+YF1g1EJOyaDuixKgqUkQm8uI25+y99gObbnVn
iFNhz2xzapLMODo2ElM/qqnIl6NVN2QxQobgNVWHO98YtAc/pzeCiFrZSJzRPGBDzQtdxDbW6udC
H8WV4hNrisR5fgh6hQYQ3/f9ERtDJBcHv2nuKbpLW/j/tRtX+FeUsQ2P7CaJuNSOaHKiq66LccmN
ZbseBJ9ary+zkVHIeQkQEO+kJqel1ooKVjd9W+b4AaUhNR0UfCcr0m8CzvangnOZEze3tRDnPGbo
mgQt09djqbbHAiGGkOL/W1YHKzWCPdR0kg8aQdj63TBdzUtGaATHJMPhvm1lUg0kBqedTPn06As/
tCKIjlQNEXKyvg2DcSPNhKeh9/AEpvq7itvgMmJvkrma+CVi8tgRK+LCJA+ObCT6baMYt6rai1T2
rjue3DNO/vrcZ1XkgGJNNkTaKTeqMnRXfcoBcgyVk2RZhCskMS3aFvVFrKQ3cZzBih5CuIWiP+7M
LdiT+pGCvXE1WRU5okxs1zLHN5t6S+AmZLl8R14JeZ/ZvMH3sjakstyX9IfcNkamSOte32mjnnqD
dlXUnJNmM402iWhoj7nxHLQcIlAGP8pziq3WbBE9omazfPFg5h1SoMCzejO+HutBcPIA9rcUlOpB
pSHPAZCo1DjLHT/Buy2VRn9IhMW/GgkPqlXnjgExY5bihr5JJKzGJEhdpU/bFcRnoJcSaRQxuObr
tn7t/FrYZMZUu3plVcf3L7HUOUGNIgfCj3FFYuuZRJ54K5aLUVUdk00lRMWNvuy3rTbzjFScHeqd
L1r1Q0eSsBdQ4Eq5VK0zDs/UnQu4+WWF+o3DCR3liXRDon6064n8HTsLyCooBhHXVZ7hfSwy5Dzm
TC0fqa+RGUzpQ3BXRSArSPkJULON3xU/0Q5awAnJCjNPZJB+B8HuB8VZhEmyg4FVbOqw25Jx2FwF
VQ91iwOuESnbXMCzV1d9TVCtugHt0bu1Ln0DFR4eIE7dgdTjoK0ZjxWIU1BxMocZa35DgouIMRdv
I40NG9Rvc2NZenLVF/dSB/MNMyaHqXEMVjp+0TVAKljSS009jqR9hznpEJrR+r3RLyG1t6UIzSIz
zbd3bpHeDIzGSQuRkGRXY4F62y5F4oUSWjur1kirY798getSHvEbgmhJWJveoTFWaTd6Xx3fk2X7
ifbjUBnHIK06b6LNzaI2EO3FcTbHDXEAQbeuNAbUaCbmy4zWKMn610wvpg2NYa9NOUSQTpVzDOK8
3hS5ufGVcbiO1bnxNDWKPJMsDc6VPRV1VrG7kgM00yVQtjCxxLs/rxWfcAGKQkcOPgoqVdOUEOd/
XCxmYTJ7eP3ajWwBncLSsanKOvUKdbwrA1K2xc4SSZWqN0FHjjAHHqcYsDZzlvzzC3kvyH8szejG
0mNDvaPy59Ih1FX6hDIv0UhgECIaMAPCaGDme2xLERDCMEQ1obEp6eUcv6bECS8cp73RRy8mosdr
hO7lqlBSJE1+yb1np6QJFvpq64T2hdYJMlJZrIt9mFEPpRwlrWqB8yueQJedZbAivVA7RYSPcI4P
9iZ1XJpM1SGMzWlb1+rJR5tuz7LcrKrI7678TL3/8x34vGwj41gAFiKYDJwIF8v2XEnINJVZv1G1
7JpMRwVfBd3PIKhokUGYsSO9exBUk7N7Vj38+dqfSEwKiTyoFpcLGwoc3Yt2CZfNESKX+g39/xz0
C/mMBXzArZbCAQJkMNnUOFo7H38mekPSXBPlW99Px90kiAR3FtlpxDG9LqVUdEBSk3YpCGtLj2sk
7MkztLHBHUdpgNBoVw32srQhTk8V04Ov/pSymhbYYvv685v6zQ1dNKkGTGBlMbld9DHAMAY9Bizj
phzFmgZWh2uzS9VjTfiaV4LGgL6JT6iLkfObUvxFdVNanpyLAQ3CRQNMbKgK4/michvHc5DV3Omb
bujHtcZCUAwDaM74QYnEeVfnFRuHbKaLVsauoJGnY1ajXRbTKsUUdSuCSPyiEI+379NrMjRaubRz
FQVh6mWhd8pllAmWGZ7HGheBIeDg1n8WUW1wzhQUVwpmyX7fLA5d2ZJpGu0qbFm7pFOelaIS3F5O
By9t5nYnGcPtXBQ/CBX2ajnVj5ijAhdcQOcYpDue/BsfOMktKL3vjaGrnljT5abXV9/UPcmqixZM
MOlB6vN1aobRWQXgc1eWtH2Joh+krl6LaIkxXxmUC6lWMCHlWyo4MxqKcM/mXvL6LCud1u+Ve+zB
7hDBS+Jkz3MiiOBXcracYZDiqgpvY4MKhyBTfAUVLZzk+zHL8p2GhlEro1NVW/Mj3RdxOwTpXmip
fsvJ2B9ywEUrWWpeOD7qK5JG6NZKwwBZwJ+ckTt8issaot9Ye1YHuWJIYgAEpvXIj9OI0oVDYRrN
ZmzGyBt0NGxZrcl7nuTcwVFbbvxBI8RBGL2wmfdpJbxQGSZ9A+2Sq1ZIjgaye/BUY2Aq1GALYSRw
wv6lm3uf8uH3an4qqPqSsQYrozXbeIO7rfHSQE1WsNqMawvjjWVxRBP13tiD5emcgZ75AoXIN42R
w1Us6TOmC0A/KyYFUW+HHauv1A2PP6tNVz0asQFnw/g2B0JHlUrdhVUzrgi3wWtcymdORKTYyBHd
cTl6mkyD5jP9l129dP+sIEFNG1B7mbv7OKbzKZls74wET0wX5NtKQ06WdQh2MQRUK3ryXogVhlgo
PAZotgNvaoXOaRembWsc3r9kTQUTIDGdoJGb3ZAsRjvBlFdjE/NB+5m1VUfFkWUl208YB/dCTVfQ
B7mhDcldOYzSwWibH1LsNWPT2gHtvm1eDtoq69uA0oceUIoeOdAlJKmUGYOttmoVFCCUW46sQqgf
ArV8oCkfXQ8mlLpRHaSdVqfGJtQ1iBxJcUgb8K8xHQVb84V422UoidoU9GPQhupO7NgdRh2cjVFt
8UIpnUlPlZXFJOxkr0l6uzXM7Fqvx3ErUjT3eo9FN3XH1MxXVWng9I7D3o1qtXM1NVZW9GWumWvV
gyS0BJBEJtyEUnPFRryeNfagBvU9MnfcVlDbjRrPaK3qaj8UmLIDPzbtXGDyjcLuqfbDZkdksrYG
BiTGykuX/9CMST0aQ8r2pkp+VgHlQn26EmcNOkNqDlvNvFeT9jSQHPzka+VOEjL5oNdSfQNp7MTu
9WGM8d3U+Tih886nlUpGEot5XbhIPjGHpcm5RxiwF6J86UfUjLrKSu0aKKZnNC3PbKKiRGfL1Zb0
HFrpLIoD0F3TbLd6RWcCUbLqDV02AJOgNWst2HlBRx3Shj2xP8UuN61sO6CP9UAdXSXorsCozEih
47Ldv38x42MbZNO+k9vAhq870hJCdqIZFkW1ppTADIjqDt/yeQz05lZsEYqR3KleNblebKvkjoOR
HaY9fR9Jea4DZLTQPt43onKmv1hi1+7R0G1HxKtbJYZ0iO79Git7S4D0LMJeSCgv1zzKQQxKQpfx
gKDssG7AbUhSLu4G4phWsJdfIqlVj8Hy5f3fLGJRe2H6wr/w2aq9IM5lUcdnBegc3vbHHSGYcQDT
UxudFTEUn82cDlPKCxRVhzvCHJzlum1N2jZMeMqnMAjh0XP0JD1pP3atjsfgtu8MVGRiLV3VgfbF
qv5ZnqCworNTpciAfV67dFW1ktlk6NajczR/C4GNrZDUS7sqvw7ChJ57gAtFGnNqCioOXiWtyy8W
9k/bCprAvALiFxabuPq+xv6iLNEqgkAweY/nQuBSXUdu0ZzFnS0kvsep+TnpmVObVyPp5i8KO592
FFyZdjxfdK5Od+LjJ6MJHfN8UU1nv2u241RuJxG24p83TZ+FM9SNkKrCSpSBXCmXFyFPz89CSNgY
jOuTiUl1JYBfgu7nSZWRb9Iou0mQugtheQrgtHh1B/8OHdRtFLBM//nFfN6vaCqGHiR3qJcXBZr8
8R3rgxZhehvlszFm9y2yUSGDid23KpAc85pOxPjI7vHV5OgecNIKOALuQ52g02zWaEb502tn5Qln
PvmhDVAWFpAOEHhowqGc4x5ViLb78ytGy3O5xdJ4jtH34Mo3aB9ctpgzc4oB9Ccqw4MLyh4pR6GD
g9Qi0Z6aLDYMaU0o+8M7FFo3OAJr1RZ/XU29g9DdeiLvl/AuIqH6THGRsSKnEmbrYHQ4xPOuETxB
weWHDBv6EklSXtcSvU3ooL/RooRqVtpco3Nv0rm/a7qwRbuenqj2SzS4gFJnBtAqNjwrsVbmH7Va
PDHtUZVp9GkVmVp8pBd3T+/fpDlrTdeU6BwrZ5FCxj3eabp81EtM237vdzuATY5Wj88CEgXswP0R
4w74qOZHMHCyxeBtIikp2OjO9Zr0jMrhEFJv8wxibo4cTzLng1pHje1LAoNsUh9neRuNyrSLQjHd
j2Z6op8WEn4h5S6bGH3eo0THoqePPkkLnblOxG6DU7T6nk1o1bMgoGhYPyVEwtNrRl6MlUNwZlVf
iVj26JPTGGjEadzMQnADNZO5LBKkTWHdj2KAgH3Skk0ZCLswHaRVtSyHStNXG8DSbFZTOfeEoqSr
UfkrCOzkj7E52icBu0Utr1oHyrK66bM53UhifBWO0aEFNHQwlx5Lcl0PU3ScROoWhNx9NeY+qRo0
Ulk1ZG78WRJhLk4aWjn18aiH2rkYFhrSlMYUxacXXL61874jXnCWWp6PeBLmc8021PnzqP88JfIC
yF+RIZVjeb1UcoyFIMsQBDS0/P3T1JuPQYRcsxzjwkkJvWpks3IE7QqKvfbFDPH5adMVLszldQyA
PHofJ4gyaGMrw2tzVkr23AYKMh9vfj1n122wrSP1JUNK8ec3+0kMrBmEHCLwUHk4TWA3Hy+JmBqo
cF2j2G7UZGOl1o6GFltoU7FDvKJf3FptmdQ/HCM1c0E0L+psjm6sAB8vR1C630QGPgnJyIBszOVR
FabMVbrAcIPSgOItFNvSlJ/Hrro3JrFl/Gob9PrwlwguUA3KBxl54hYsEL+0TGpWKAfKQg7W1AB/
hr7ToKC0tdQQ9nqj3MKYBTgY3RPTTlnVFMOXlq2lo1am4AyRNHt6rcEzjtpy58fiGfRFhqW2G7yx
UbMbs2yna7P5GagzHMIcwHjSVFyzkhGh8fOer7e02cb8TQRWtsL/jeTHZ489B6I3Dv54eNdeShkC
tT5tdqOavIDSQxprGV9sJH53Y+GraoQi0S+hafHxxlpMLpR0JuWsTzohgWLp0OcCbt7U+14Mnwrz
y7VVXh7Ey8+SU4QpSYbG2ipeLGftKFI+Rlpyrqx+B9Yn+NZVlqMCg7CCoqZCUuu7OmMBoGSe2A2b
QnuyoI9j2XJm4WAOyrOmRME21yGyJBmBxpGpH8JBTlxt5kgdFCYtsKQh9ATJw/bP4/7zo2bSVeKl
s6a9cx8/3i9kTr4Rp7pyzmLOTrmP48SErhqoP4MaA5I4TDeGlGz+fNFPQUg8YujtEPAiFhN50C+e
NhKMi14eBv2sZ9oAkS7311GBx9KnE1PUZXijSeVBH7sZpmk2ePjtNcfvQcMk5UQVU8O6RKTkym8x
jX3x0n5zQzSDzZK+VAtNMkk+3pAYpCdGPqbdap7Am/ribWHKtHPF8rZPlO4MO/ngx5G2BF8Fq0id
fgKxYlcSijAz8sYVVWm6tTj7RQBCUroMXe03T1+8yMtRrmqQl2QCk4jGolx6OX0kga6m6WCIN6Oi
6jteLuZRc35u6NvaVdEZ+Jykt5lz0bU2TeWqQoK46kZAg0gF9yK++rt5proC8Md0KZ2y0c5Ak371
Ii93tqq2JElZbGsRISI7vljBlF4y48YwzRtFj6xjV5EimrSEwAZiujFJm3KDDtuRiqLADjBibqqx
1m5nw/P9ULORyNxIeslZORyidS3mwAz6cXbfUSyDGG3zWtGvB6hzNSkjNyojR9AV/aWDNwp4wtxG
CQhC8oZnt5bC/g44buhQk5I9eCrIldjNnWQEihDmHiiWfPPzsttI0qw68GvKk2yUz4emHd+soVSP
Cytl6fsFxAIMEXvNUN2SX9yu6xqxSmkoz0OJ4r+cxHlPQxpQ9hRfkV52H2LiXzey3tkoNBEETDQE
mzHInkkq3soCCj5/3hUTHHGYj3vsBShfVQHRej63zAMRSrgmfiHwWfpext1NK8r6KrUwcALEEXbv
X9gU3+tWGV3V9LhpgHGQpndmN77kb4WRGizCQbuv1fo1yTG0zcKuJbaWfB/kZLmUJbsWcbxTleyE
UC+tR5n+K9G5CWbRhN2dfhpjoTgTT5xvoP6HG/Ykw84UZaKptZDKUqFfId9Nr9F+sOsLzW4nJsgi
UGuXBx7y85ziPq66/mHCpU1/VtgL03SUK/2HVsrKEyCPonNoIMQHY7HWsfuG9B9NKO9E0xsNKXJD
qUERkUQHSeuszWD+eM/MqAfth66NBKfBXTwQu7uO4aERNLwL/fFamirgSkXQ7DTTeJI7E5mC39LX
zMtDXemSowyRspKMeEC+FiBGoHCzC6Lxe7RQkGI/H7YgB96saMg9o4erowpWsAnH4qUqzQZd/PO7
axNRE3HwJQ0GHMp3qUmqN1T9zEETipwu2da+di+qRYnSBkzWQIuzFKaVpds/goW9lEZJ9sXW4p1M
/etypHKiYgfD4gf3DW3zxdxKEUCVEkRPZ3pXcu/Hdyb2ZklXKD+ZyTdYsgdNE4YjZOhop+XTqQ+L
auOP7Yvc1ceOaWdDLZEgG8LleVMDrTZIpWLU2n3eSSulME8ighY7i8pg2/CDiH3PUxQFO51JyQnz
8lxms7Rd4tltBcMB6p60+iod8NMEyJsEoLicZdEDM1tfzNIa1q0irIVzpqORBaQ5Hsrs2wRkwdXE
2t+kgtjsMmnIKaL293zC0Y+ySkDSWyv+57RNO/wZfiLjdInD5lAg/V5ZMqZv2f+u4fxeG2xv952h
bmMomtu2BN0TaxGoB8KgV0UWjxtCjiY7wWuIDrTALTHWKw0WKLovBW4uM4bXEsKwG6z8gcSlPLDn
R2Hy0VUlyIBohLeY00g2THZFoXtz3BrfLL372Q20YP88EX++VxhzNAu1OdXrZUb+eK98dZ40jTM0
WAxd2bXWcQQJ0yrxKutyYmGKr7YUn3okqsGKRDkFTobBaFSXdeGXWko9wfI15Da5FecAkETdz64x
dOphzI01gDZpp0dTvS0CcS3XlnVo0kM4B9qu07rEDVXoqz4i1C/W9ffQ2o+PhaVK5LhSaWFnqBkX
u7ShC/WhJSHttqGzb6dsTYhsiptdj2EGJZ11FN/b/iIiZPLOCB+SVkUIpDg0tRnOAqKbeC5Eh/mu
uDdIQZgCa9/SaYTesJJ88FcWIgOpVHwXacXCGFXqbaCAw29oIEMOQGg7dfGaVmHqsuswdj3K651O
oi90eeW2KkQeMyUdndIMir0hIGuNhXSibBlKmJXrVU2CAAoZcocaI1OvTL/1pk6MbrU03tGzF3C8
prUtE+fh0CSrT/Fk7BbcN+ncFpYYDFmWwfvVzRLPTFu75vPoj5ojLmkEpaUQ1GUpW0xgxp1WlerV
V0HNn9Cny6jAd2RhksJtQRny46joq5I6f6ckt1VLGT2Z1B+igXEMm22tjQdms2ClDuVGqBDY9vgt
xVL+ahD8dmQSr8qZWkaHSeH942sYogifN67HW9J27XoqyfhrxKvgTYwGYS/l+irWK7i5Vu2miwGJ
FgbNUY1/mceE4Kfxi0F5ecLGHYGcCiOISaOWFu3FmESSn0aKLsi3hlh/Hzv5RKjyxjSJ58umq2mq
rwUMhUWkfxVusPRIf30WuK5OQ5C9IRPDUnX8eBsia4GDUQ285dxZweE60XI6oVK57WXKO2UIkFZQ
qVWplBraUbvRyg4/bj+jVrHYk8cypgNG7t8JRv+ndOC7IuOff1/+zmtRTnUUhO1//PuH/zpGKNqb
4mf7x59avxVXL9lbc/lDH35z8x/v3w7eCvelffnwH17eRu10073V0/mt6dK/XsXfP/m//ea/vb3/
lrupfPvXP14JiWiX3xZERf5rBjAzzC8z+vJK/v57yxv41z9uX3L+z+G//vM1evn01/7KDqb58U+T
WAaFyjVdYGZ6PvK/woOBof+Tyrap0DK3CFh9j/P+Oz1YUv9J+qayJL5qksbDydLRFF0b/usfkvJP
6sU65iGOhfxevvX+MXADTn8NJe7d/whNwxf2cchR6MVppS0Rs6LIC7wUgiQjvlSmH+Y+YIGCGD6o
esdJbpc8xzRQwkxyuzpb4WagpBV6cclG39SwnIg1IHCssUKin8oxga7WOlktsx+sSLUTjGtQZqu5
Mo903beK9FOGBSaE84YGvjsogtcEbM3ws4h1u9ErYbfAiVT5SVaSlYrIszQFV0FiFdP26xMN+LGw
amXrSU9IuEnFKyWu1iGhpGX0Ws1vSoBxWc/4Q/mrpwVGPFouWQ5lRRvOtWuRrDlOCMuMcGUWgUvS
GPUydZV24c4HxQm0nxDECFmxgNUQulF9ZQwqRaZTMZc4hxrQb0yNLBO40NlaP8zzA6b0dZ/35xYr
88AOu1dfSB3Fw6xjQvw2jxroZtKkRMNWCmiICKKSLHQQxzi04SrpTmnv0uHZ1B8TQ73VsuCW6qw9
RRwxanw4Nc2zds3uA38xImDyACsjctD6O6kuuHLyWFVE6fgYqJFWAaVBxJk7enk2EWtJRPM1cbym
B+nUhXHkVdo8t+tRyleNph2SZLRr7cVSX7PZcuJZdyQYG3IUnfBWszUEnU6bGEKsN+tEP/rmsQGo
2nY1GA96PLGC9wXbUzuyei6Ano60ppOvdvsiCVxDP8ZCstZbnDzs4UcfT9dDkX9Ho2Ubks/G7NSz
D8Od65TBw1yUtmG8Nia7UbTvkYjOTiEQIsOxL+8rOIMBJAxhCja4d9jocnnzBvsBn7vgTSE6KXN8
qMQMPG5iK+WGJq4DFshO5sbJhmUDWtqC3Hnt0jc0XvzmW8Fb9c1s16OtjsTWI5PhaSQtbNC/JVX7
6kM37cLgVArqif35NyUqPQS411YwXAt9vGrb7RQltkBSYBBHZCYs+X1U1mrhHlK20xH0SEeEzL4n
TppOr78WsEjAZtmpP9uDJHK7OOIUW6upDwC94TltDW7H3JubNI3Wi1E9y2ijVNehltnYb4/G/IBG
1ElC8ji1t6AyPJIw4OHQ4q5JiTRlpEMsRohtg1Hbt0K4DerZiYzSrSFbNuCjfK04mKV5U1X39WzZ
uLXQAc7HKh1P+J/XqoFUgeCztDHtMKvcodbXlZJvkFO4I9CPIFwav0dGFIQiwslknLjYkrt4n1rr
qevXffE0T9dFh0g7ojEQd3dZdQJXQ3jjG6PJNnLJnvrvUfAW8UkJ6bFRfqDWpN07kDTyIvD+4TKZ
7b6uN306ebJ1jieU5NFzjVuOxFUnU8ftVL2JaeRFAdQz1HldUHhid26afY6tOVRf9Og7GBub7ikx
Gdo5MYS1Id9KzBFZX2LZmvYS+c16RIsjPWEs3HTSJqueJ4AhYG68Mezh7+wmqVzVKDNnPokV3K6t
BbDQyKHYhztFu+mUnO1iujJoxnRoSaQp36HAvK9yrLItVu3C65bmSPlaipnbqQIwyteouDOCpzSl
tc4z0DNHZCcrZmCqP0MYPaAI+J38fYLb54wI1nk3tb3dqvf67LFnRvQFulhV1oryvdRk2m6xzdlJ
G5UbRdmAHwMlNpqhozJV1c3WCjHA0T9UMrDO0YtgfNNyMkQkhZt8HvLDXH0Lx2y9aLEnqbcXvGqi
CvbI6d4yrjBZOlHS4qrJnA4BoJAjn4FFHBenMC23hYAzrsncOL7NwzsSAeigjU41EnPA5ogZNWNc
JknoxGbNtzhrF3z2yFugx9gd1ri0JdmC6klgPjU9tsrwZfChnfIBJFLvJFHF+OrtjnOskd0b6XFA
kKJp6JFioj1/FOboweI7dznqo9hv7+LUcHNf90YZCiEx7bNAbTvsHCFAwz4TyqmQiBc6pf4aa1uK
3uiIZ7dMnpqmsyXr3qgwH3UY4fwfPuLbfhrsoV3UTBAtsHlS9nASarz+qOzSHItLjoOg2gEFscd2
U/okvcDFNKMrq7yWldAp1MewZiXCcKMEJfMcVnlsZGG0kjrpuavlDYmKG0oPVIlm26dWGQiyU4m3
RhXbsVFu6+FFKDJPt64l7VFGbyWNfCdA7gc8Nc45s82+41MTrkSkma+JOkODwuES0KtoNBekCOb9
hIiACgZZ0S+5L7a52NtZI7FSwFHqt5Rm9+2crOOqJF0Q7mtIW924NbV7QdwhWXaK4SEDDq4bE16w
iiAfcZMyeSNadlrrmym9NenDLPsnvZq9zjL2aOAcQ0sAE1Ux4sXZsVhzoKMRlZheix2qKqxLvWG6
aE6fiQZ0Y9kgMUoAI4qVJuZpISYvx5Ek9KmjTDgdZVTZRe2VBnXoPjrFBYThBqw3WINAj1eLuafG
cr50WZNufInQ4hQzRp25uo4pMra16SZ9uGri5iWXIQSPJR+2tS4bPG0orwbclFRqiFQnIQHbVYkW
z0ofFM6KovpcIdAqKAPIgbUztaeaxOYG71qFv7acr43se+5j40I0JbQIp7HFj4B0pnK8yqMBxRjY
12YGa3eXChmOmPIVWB5pmbEtMgzETHSVpnar9lrNHowMmUyceMuYmWrRjiEdDpKx7snMq5h2cvVb
QLkqR1QbTOLRjGhLAECBdhpmjxo2QxMvdMmN83XyQmUn0dUrODdXJXU7CuUcl0JbTUWy2aFvCnvy
Fhwk3A7ru2BIT2V6P6XPjRgmPOj4ZMmZn59GJUUCjmOQpVNhMkAfMy9OaOB6ThtWjpr2q4IYidC3
3trueexx6I6c2uWnUiT/HBX8JGPsuCY0HrcaE2L7rWue62k4DlKKeIGRr4pObz7N0P6b4KptrBtF
aDZRrTij7B8I8nE1pmpM+NcYB5yxxog9WA6l/HWg+qcuim+CtNsRe8DTWhx5t6rC6QcOC8p4MD0A
zwlp12jMigSI1PK2tR5DIiYa/Bqk5TFBpo6sB7amWttJbfeB9XMyWd+En3rUOJV5zsQBsl5vD7UG
8XrazErnVpHEAq7Xt4LVH+vOuIfg/YqeC2kepLSUioQSZNcRhtyc2bDkXSqFdlwa5BrEG6KqvR5k
ewPke2oiN26RbwkSniyUhxMhyaTSBdxmpbJOhsFOeZoOjdVeJYgl1QG4YZ+55eIB7MNwDTfvSFU3
sPEDPjTEeQegcifqVrYAByzVyo2RyQ4ErO+4P/Yh5dqyZEfddivZlNZ9EK/NHhPMkJ0xUK4MzAYC
3jlEjGbG5M3diCzTJXlrpQ3yY8gGmORIbyzJZxHX8NO+4+6ma9DAw2A3mmZ3GZuHmA7nqKO4wI+R
BgOgUaQftEmVCPTUWB7xrKErZHzyKQ3jjxFNKAa1mv9jptVK9Q8Secit8iDj0Y3GedWBkUEen7Ei
SYRIN31qzwMMJjqkMuuPik0jCMOHKFDcDGCrnZr1twnccxfmHqy/vSCvU11bj2Lz2hLfSpRYiux8
WmwhPQRUykphlrkmYoQGp0tf17sWm7MoIuNQy9dfToR/H7h+DSuXL3oty/mK2F+6j5Q1EP5fNutB
ZbN0E0/rNt7okvvnplvlpK6DDchzMl73/l27z1RbcEBzr+A/PgJeZCeRr62vlGa/eyVwLTQOnBxG
qdB+LC6kM2rhhPIJryR7MZ5IOdiR02uLr9FdeQW5fS190cK8dDu8v/dfrqhfFDgjKxYlqXq/4uRx
ytgQDLAh/mLVrgFu3f35Tl9Kqf66GiY8uls62yL9AnAhMjzNSpLwVRxbN9jkK/Bl53mtreVVtgpW
0hfChC+vd1kkwoEfWB3XGxx8jW7qtsWGE1f/01rTlmRPQY/m/9ZE/+stosBA506DFv/Ax4+Q9MjM
CJbDeiZNm1gQsIpUxGioNvF+XsxC/udbelGOurzcuzbwl3px0SHzNxouJwYY4OA3dMpPEcv1n6/y
+2GiofCQ0JXArLl4VwL0qKbgKXfFXX7q1sm69pSd4hDj4ASr+Is2zG8/NmQkVFiJ2cUCs7zpX96U
OHd45C0ldftVdCbzwokJvXMSh8CSdbEKod3/Pz60Xy94UdSborITR0gbriZh4aaAPkRE3rLDh63T
0Jf4f9xN1ZBFGfTVUtq5aO7KRTSLo0gxe9qxBtuRRy1O4DkvtpD7b7KvwuB/++nRfKKDoQKYQTXz
8X72sZymis/1IEM/yF61rh/zR5AuL+ABjuWXg+XCU/E+Jn+93EW12jKFqTRNLhdvAa06zTp0E0db
x5t4Z7h/vpW/G/6/XupiXHZaU5YjeSluVKhOCh3Aj8+FfP/ni3x1/y4nyWoYfWLyluaDjZPdJQjE
DXaGZ6wVL9x9xTeSltf8S4X579uHtElG10q5/3L0433seAyXSYt92J1kF88QRYBirVAj3FNXYIvn
6E8gfzFCrL/qeP3ujupLcR08zDJHX4yVAj9VWPTQ7yCM+yN1AAprKJq/uKO/GyKGiO2AaqdIV+Hi
c8vKyYhUAawY6hx3PDS2tBdPJGy76mO8/uJav3tHSD2AruMAX8LPP47+yJ+UHF9G5qbYE55EPkBj
X7zB4Pip291BdNtnoAhfTGGXdM/lfaGkUjGea2jHP02YuhwmpEwUmRs9+EdU/NlLf1C9/DZ0IRbB
B7FHRJ0u5/tD6mHSRu1iC27y1W3+vJ/48CouV4euJl2jCEDJLetf/G1S7b8exehkrtRNdJs6X1nM
fjN3c0l8VEspHUfApRi860P0eR374cExb/z1dCyOhI0+V9vcS9z0/qsb/Ztn8+P1/pu6M+ttXMm2
9F9p9DurOQ+vEjUPluQx/UI4M23OQwTJ4PDr+5OrCrdO3kYV7mPjAMSxnbZlcYgde6/1LfOvZzeo
g0Hlit83XZHwribGoGG6yXcTjIRFsvqfBtX9/cSiZkVUagRYRP+4cttclzOOdbiEIZCGBW2UUB3u
zwLMOlex/b52/0dTnYfms3rs5Odnd/po/j+YyBh3BML/+eeA479NZC617Pr4o/jXacz3t/xzGvM3
w0dLGrioxW2fqEfe4H9MYyzjb+ShYIYNHKJQGLH87//1j2GMbf4NYIF7/4oL/eTbovGPYYyl/+0u
ZTT5Cjp+NKP+/2QY84cXhIEf+nYKWPwMPFLIf/yjXh7qqphtPWM7GGTprm9+jwQ5DfVsP7Rm564K
OwDkjiTd69tzUNbNNap7Z9eXoGDa5qmKg2BvYJJxsfDgZvX+k3DsO+HuvxYPXp+NBUNHOOZAa2ZU
/EdpMaDWqBILpIo2uvk67gFItDrycHHoetNmLgLKJAngncmSfn5aZ1cZG8Tyaem1aTpzDyFn55ak
YiEOX0oj75eu6F36vf1T7pu0SfxSMGaiUTcmh7ktH+CiTGc3kB+ixmkfZXGyw+TZrVQ8dWuM9XaI
aRgeqkg/9MmgBWMV8QvxW8QHuxiNk5wBv2V8xK6wd4E1xxc1WBZ6LG+louFmpUP5H0oG+/4W/PUt
8u/0QC4xRKfoGv4o9mhx1Zho6mmZcbJJycj9w/ehcDv/IIa63zkDvgS3ldScdlS86rjAYS0PAhgW
aFk07/4hZ3gTxyTaEZWk0VIrYrw+KgzSVLs2o/bWOsUETsyMrp7WP8z9UDzVrnGOGVpsELF5i6Fp
ohNRtO688Mksk0EyEZ/Thb6ZbAhS86GTDfR30XkfMuSKrzOsiblP0v3EwDGMYY6EWmw1t8nR3P+w
eP0xcLxfRFBSdFzwNhW4ieDjr89UMU0AUxJrWLbTIhnHfgdk5u4lGYZbRiF5Vp0VzvcEIhUJiGig
YKDd6B2gBeBTB7sn9iuwulOnnDMjPNyXLESrCBzRqZDuw0TC8sklf/CUlOZ7kY3m5vtTaOZIj1Rj
smJqqV/NHsp+QdglI8oAteb9UN6bSsagy+0cNOBkbHC2AdgzM4vdr6loL8ysmquc9eMwk2zbjFb9
9wOa2H986EbMHRvDPkSIHM9ydqyzTmDRdujkNk8aVivPr0/o3ZjnxFaw7iw8g3Dn3h2C2dZ2mcdL
3jFjC11iPE5pslN+2mL35KPvT6VJjJ6KJtg+8ejwgwY4wNTtDl0jqoMfEYtA9siUx/aZ1AZ5jOr2
Pz0DzL8WkJw+pAmWSZqfQQ6Rhxr3r6dPywki5/al6e9remgCtzsniXfhbZmIbwfBFOtQuBDNZM+D
1dGE9EXxVLb6WiTg8COYdmt5l5MWQ7evus5HzlvUSzudzgUc62NjNfm5zScu3HOhlHhBusk4r3br
U2UmPn31uSTQgGy+xh7+UzX3jV/4y92LmQyCD5N3Hvj8iX884NSc5a7RZQTpDMNPNJXI7KtkJId5
SnfA504JCDRljM5jMkQ/7Kl6aQ0jvUJD/YUVFDwYPJrr96dmfAILZGPW5vtz3wcUcaDkFOPnaIKU
j7zjJcIytFVZbod+lGcv5Eq7ay1IVyhk7aWtnPH2ffDUtCOLWZ2Hcpxufa3u9hpARt9fTGQx3SyP
oUfHCrAh6g67VHsp41m/uDLS0LMRvfz94ffBk5m3rknQOSgxaedooJMX3QW6mKwu+eQnz6bdqE1l
taEsXJP+oJ/+8Kf8hxEN4qqjQL0YTFrHCNgUwQTZih5tG3LJBPySZlXOVf1c1Jhi4P+Yu8ogTs0o
CiZq+lweZotxCpb0BgBwf3PJ93iQBH6+xK6JzCyur30m4peGSIrGqJzbYDe//6Ue+H/045y/Vq33
65f/0Ndw+XJ+6Tf89fr1YQAxZZ57mtCOWnbSu8alnT/VUz0u5vYtrjznRzwvtZYpG89rb//3g0Uz
W/fjc246BTYJCX2qyoiSG2eS4md08XA9IIlyMPPSP1qFXW9LGdzSzo9FqArzXd3z1oO7w7tUstpP
pCOmcmxXsHxos7eW8ZbMD00fmMeeSJIQ1rZz0KE7b2Ovf4mLUb0lk/+zrB37d17vOgkfs6mrE+wp
laASXiVZq+8TbUdGiCQiMbDh+elztE8s8c+DR6bbv387jT8cA/f3E9+dc2f0gr/invljAzRqBkZ/
5p7LAWe9a/f7rBy8YkHmsNoT+4bgWZtUt0sssGoAIsmG5uAbT61p6ddMefG598W25ycf/usgBqJj
xkitRedGS5ei5lnkBBdkrvHqiIr5ZzlMCM1rRvgJA9KiVhsennsF97S2JvxYdXbBMT7fSiPxQs2K
tJUcZ+9k2Ch+sWJeZd4T6u7447KwbAJ7uUW0YJiIDBT6UVi/J9dzt5RQEKUrW17b+8ExiYkiMKAJ
obetROdXZ8OYYAXQE/87PqFnGKMbkb7mncI0qDUEco/lC+Clg2a07iUbcAgijN2nwnAO3wf0/nSC
teTdGe8jKjBTpz63tFNL5uXCMrdaV0SXabLTK17FzQQH+4RSEYwbKYrkPJsX736AE2Asp87Kge2Q
9DiqynkoSYRFP9P0V4J99TBotPJsS/BSUZy5S+QcBV4jZD1JmmHw64pjrezhMHvENbVFVb8P6fjW
N6O8jXFTnZJAF8BN7eq9KbonRnbDsU2m7Pp9qOdpo6fC3JfsX8ZF5DkHBm3OaSDZ29fr6te/v+qs
/3YTewaqKdYf9vgE4ul/3MTejD9w6iExQAkbHdXcSjU3W9kAb8044SenNyvUCdlITp+eo2ogbWWO
852awMaB5mq3ZVd9wSbCxZrUQQfw23uNqoClXSa/IYRpsOPsazVdkbQEYV6RKoM3XbvZEwHiXWtu
0nQKjt+HUiQollOyZYzEVc+NRW7WQOLjv/+TufrvhdG/Lk7e3bHBHIGtrwMK7k+dpiDorvcZPMKn
Za2f6qfvQ4EBL0tc8zaYtnEiFutHWziENXWJu5SuX+6MlHrTUXn64gx6ddSiYFjUakxf/Cp194Py
suX3V90INmZhe86yJRT5ZYySaAM2y5nTGhqzUTz7GcJzr4XGLeKbIiLiplk6eJyOmIbvD1vB6KlL
ElSkSne+YATZJ9hPjF46/yJRdC0A69j4HqZNBdF7WYG2MdQ47JpZvGRKPiHLiiFJCZLnBLKrRLzj
dti1SfobHAd6iXxazXnwHt2HzYLoTaf7MVnBG9FB/rL/7DT/q1ImtoEcPpfmthCcpvfRYkGzaqyR
NStmOTN4r+LpQwwIQXSLQDQQzkvGnlCVXbCZNYPLFK7qXUdC3Tn4D/7Ojeb3oGP+P1Xp2RDaqiur
SybVj0w629zLP3xhbQLhRwh0GGHXIu8Il555hpMlsVaDf5Z+CV4q0j5mOP/pMLsL6or0pJXBfe5/
R64xS27q/NFwmnWvAqooJ3ohff1Nak+uKx7VdFe82w4hHVX33skyD5U7gItk76AhvMkE8DVj1B4Q
7UXLHgAvSbbjc2aD9BjcdUrqi6nmR7odi0x7TgKabkkVnAi5vOZe16zGWG10o7EXVAMhi3G9qjFY
IIipy3UpBZpcI9pIs3oVVmuFpp7Cyy3MdqE7YtoWNjZcPWgZJLO+Ly2ENBYsb2Hg48g1WNdJD/pO
OBBxY2D8zCzWVhP/QkGoaZ7/W7j6LkWCvTbTxF4bXRnt4lsU2C0OJG08O4rhQ+H0+sqoCfDET023
zfcy/5morVUZ6Kvedsh2A9WJ9Udx5tN+Y8gCOAHd6qXZw980FU4b/PKO0o52FCf7ykHi0iM+GxI9
Yz+9NApPbfoRFk0EPMRpYCZqTU6oFUmCnU1zLzIjeK49ygQhtU0x6Q96Y3x9s0qUGafrJMnlUpur
m+z1p0zb9Aokm+83W9eEgQkgQZDPTfi4s0+CokGZ4V4QfCOQaS2Q9gzJFlkgFyS3G2czn19mCdi7
teH7YBaTXIidt3Z56m0ds6XTmBUrm83uVo3OuFJqCdHjJej8j5KOVZhuo9o6udboMwzXuw1GR/lE
zPNXIaPD4NjJw0jbgDgRntI2p1O47ilOIE4j7NYuxvwonOpnG7ubLOlIZecR0qYEgsWBvZ3mbN33
iEJM49SMwaU3iVnClrfpEmPRz6JA9Je/QAT60OyBtSh+xQ2yIGFhq1wEkE8plqFF0Ylg0dfeQzem
DyOYmn332kO+Xo5N8GNGfYbHWCMNXkFfYaGy3gm/+5V4pHi1gK1BYC+BdO3V+Jn3Rf2j5IUPYwxp
lgzIa7mPLakTWJv6i0GPcoRM3MzwZ29mHny4+Wxs5Z14TR8jW7hxjcBQ8+OQGFO1JqjGOCl9/Krq
kZ74WE3PTprdHenxUgYshFbfonkcdHOvyzhZGlb+u8nBzAzVnY6KdGoxRC7Jk5O4BvVQMSRX29TO
frZDUW1IiztYE/rTqCKsb1Ls8khPWBRB9W6lk9hmDbKaxr2U+2g/+NyBckAbJrjTKt8yVwYdi4US
QbAVMPnS/NPXVkNhCUhqXbWKqlJHm3qb/EiuO6dwl9PkIl5APJDa6GwH85788VhfyxyWKnZhgANl
9I7OatejTETw4pprir8XSg/thKtNO42eswVlBNCIJLYgvZv5wYFiuX6LPOkfacGcOeFfWcHrapFj
AjsGHj+Rjddp/XVAFdK5jkCGITeQldXJcwmhiM2GkxD0W6e/G5e8TS8cidlio7wJgVjOjwGZ8Bbr
kHmySazLJiqWDR5PGJaoUFLRPbdR5m5zsxH8MDfUreazT0+BcUsn9ytLHKyfaYUWUsIDMYTBehKV
J9nMM0KD6bVroNvMMKrDJhryZesOYkXcABR+7W4ySjtr3Q7Rb8MqP30/Ld5KKCPFRNoPCYjlpbIu
Tls9a5q4SdMVmzg/y7a/pt1aDNZTVZspaTfpo9fZx8FR0LGzeafwMm6cvPjsWtBEqCkGQurB+UYe
zoW+tT+jAhOi38LNCPxHIlSmrW9GPhLCIr1VHvISx+k2vTkeRJd6iyBD3lVMXbus0L3IYG0WJKL0
lnHTfMq9GuDPOJJOLgz/QdhPhi0qwje1MpwDiKCTbuwQ39lanoPrET1SZAMbXbWtSmyaNIBw/mi0
uNPfpj+LXVLwQBzItt7ZcOrxYrnLcqz1FclRRHCMIVEov4Ka/wHH423gvv1MGl8+dFG8wqjXP7HY
vgiy3BYBCQgnmWoncKSgnvToqkxvIA8yLVd9ln82CfDvICU/ndxuiGbOFGYpGzDwEXCATYhRVv0L
D76/6DLg7oN5jazHLJrjpVu3Lw4QW7zzXtg47XzqTW3FqY5WYMp7BuQVgicstaKIQ8upuqVj99Yy
IUop8+7cV8riQ6s1bwNJBFQkwU8dUbrMEFxHOdCuoW5/qbQ/KjodCymRY5Wj8lZxSgOrIcYKeV20
bipOypwRKcq4IAiHZHS2CKc1czWrcjr17J4Bz9vD1u1i4CH2kOyc0TjpDoEUY/VEzPsGIjsyLumu
BGnVizyWD/Wo4X9Ks58ItC8y07xtMBXRqnQHB/W0fSDMYz4EJYn0WInirMkW9Wgeutyf/34wMCFh
rde2TekVR9eT8yWxcnagPYFqzSNdyOoQ56o8VIVdHthXOEi5/C8GawChrRCLn7/25IiAPvH0NUKA
HnoVIn8WrTZswoln3qLHQLuJPnAzoqhSNG0qFXRcjeotK6Y3r7AkuiIv36bR+Nx3w3tkIyK2VbnD
nEp5RJrYKtWcaokKDiQZLimcH+CeKRQDgi7liEi0oU1YAqb2SBOjSUj98DulEbGwnG7e4nyMSRvL
TKqKRt/LuwowEFcivclIC3xMhveFz2Wt95Bhy05blbzkhWoGD4X8/JNunxvaNs9MOXlRKPKIcXml
kLzmURS2fmpQD+Sv1hvRoN7WbhF7QPPZCNceVtiDkEFpGB6iZrg0mbMMlNw3bV8uekdnJl0nP+Kp
PQsajzKZh7VqyhMKZoRI8XuCWSEbogdoNQvPpB4iW2w9DdQxk4NJXE92idct8rb/ncbuViPZlcby
E5HGT3k3YgULrOdgugtTEWUWoBwHV/syuznGphet8Jow+zQ8c+E1aoWm9t6BP2JcbpY5setwGPdm
kM1bY0TvPvpH8PH2MjL7t1EnA3ma911P8yBmR1O06E6TaQZMiVkT5WxQ4KjvBKpDC62XQBICn5u2
By+JEclqnoPQaGDmRBn9K5kNG4OAiswuSD5LCZMHZWiv8+Zu4DTvKsi5Wrlffsn1oGHesEm5zRCt
3Q9AN7dD73i7u7CrHOp6LXT4TxHhIEvKpyazYPH1ZsHMoFkkT+Yoh21eKW01jz3GEkvL7um068AI
QFPNUbrUa2T5Abmqi1TGC2HwrW2EoH/ynQe2r1SpFcXR1F3mkWtQxfaIyBo+ep7BF57FaxoRrlkE
WzgEl7LErZ71ZFw5LYQzLbAwK5fzQ66Zr7NY1W1PSKFKHuqK8+YPJG9qmYR/R6ugzwhJYZVatbq7
4dZwloJEN57I4n3w3WQB1rri2gbxJWwQgmO9yzRidY2cq53AX0lPJ/mVNNatqNHoDp3bkmNYf7A3
5YGTijGEZ5atzNhwcXuT/464knQItgnFJH+T8J2HBq9ukR86Vw3wEqwzjGZ9meXk35ijIPjZpRqo
QGG4LA3sgnB8KF2wfUOiq5GuK8DzWNzHBAKWiLWTxAjzebxmTjXvrbl9AEw67Go9hcSUBEs5udSF
TnoQ0/yB7ddeGHF/EsQStAEkL18m3cptPZ75gr0N3Li9qzf+hnSmH9PUh6UKjkHpXlV/1z1nPiGD
jbRDMk40FLyqO/Y2+Y+qfW7QBmqYZ8jwEtayYbji2WkfMlB9N7Sh2GuSjBE/Fe9tZaa0qAm1KMnd
XJRYO6LpBwkuDxn+xoU2o54HPLRwjfmj0PV4JU1zPcfzMTXHlBBUliKz4X7rEmBr4LvdeYa16rsw
EktvXpH5i+rxdzohCy7dYK1bSbxqRrJPRZYsGbqkL6W+pa5/yB0rvsTd+GzzUGlGSNGy4rt8jy5a
dB1HBvZEg5SEb2RAU1TaoPB0E3tTuvmEWpgdsJcHw82ptJ0KaLXnLdnF5ocZg1+HZc7qp1ZQ37Ot
blehx/NlK41UsZftumUv0tAYcXNGHmE2vnOVWvKDCjxsfPs9YuiDpsx5zk17mytk5Zqw4WS+Yoch
kPUt6nG6cltojBh7lJn2vZ8wBQSjmDiLNGNTR+5zjyModsz5N3rQsHK1ftFp5iXpeBlVEp+aRqr9
FLlbZM262Se8qdq0QxXu8MeNyLPNOZUhxD9vp7po45YBO5y5AdnXvLSN/cEdloZ9wG620CUGAb1s
wwQrCVx7SvNhOVuo62dYCw0R70Uf7Z0iotQMWKAMg7l63EnUom/Ee22bgR8A6s3gFXZI+AfuA6sA
MOXMv7O4eSMTOFt4Q3/sMywbesRGCJZf2M72Y0lao9R0gARRQVCLHiYZmXW5CyndbJEKOKYfRvH8
OtXW0/hEz6oOTRbkvQZ/IGXeBWRmAMU1p5wghNSVpv8whHNmuhst/YjH1dyXnzElqSzWThyVm25Q
v77JrHWLh3nQ12ledWfz4vc6vjfLaNcMNsgS6ZGwF4xMycJgCtEpa6MRfoxjp6bnQRI7/dGLmPWV
78fkNucjin2eeeTl+Ks+tUOh2GLVsc9jwqqqhYnpJ1XS3XaKAA9MsVHNDGYy1aodPFgOtHoMk+ci
AxtH5OthiB6j+ZxMGu2BKRV4+wv4rFKETESzh1wOvxVpxMyQ831w963kijUlkMaB2rpjNftq/eFZ
jEIdpA/MU8mvpMKwUmk8ySOSq+r0QFJ6Ss+DR1Hc6RnNCWhQcYDNpHGCbjW6KzUkQKVLOgJagV0u
PWURNT+m3g9rqj60pmLQoHABeNxnASxWkCwY68xo7Y82TyUbmibGIdvhJLl9veRPIJ3JvXsfZ3OB
7pO8dxDGShbPntWhKk+acZWLiL1tolyqB5Im03tkZ5POi3TmcgR7wKp1oQ5mhmV7TiiiOzYTuraN
VP/+D/l1Kr9JvD4dOIfBLH9I0he80ltNpGWGkRatUh+zUhCP3sp1n+GYaod+okOt15bH12xeao92
P6gey4iMFPculEn5OXNN+9sdDCpS6ld5z6phX3u/TrRjCntgxz2U86if7aMmNgEJs2yw4cZigT80
DNyWQgFJgiKiQAWfYyzw6yQdL3GV7u2+H0Ol4wjLaRE0jKKWMi2/Rmpp5b6hwTrkFtCOPN13uXiw
/OJtwERDPRJfusjJ1o40PguT3KJZcrVN/aPeIt334d4uohJ3gjaug3Lg0qFVx7nO35PkoRsaFeq5
z+5JDJuAPCluhZfcjsfVHKsGorh1HDs7D/WUYtSYU3xFBjE6BhQDZ45+Mr2RC6NKEpw55JEZzmNf
zOnl1ii92jc9mIy0PRHElh/GmJy6n1VCts4YcLM5O+xpRJK7EJlcmflrl/THKn6qpfGkFYu0R2k8
E1RHT4MPqg+ANruqxylkE8aTDjmrHzi6RrRg9cryYc7tcV0ZNvsSdrPfH+UjE+TW005V725MqwUf
pFiRBiNo9pVhvlQS0ft9dGSWOT26OH1ppEXyUZI9xZ6FGwSBCZsTAmX1RHarhLW6FrS8u2ntKvNz
7FJtP0TzhgDP5WRHYqM5SEyU36BUW5iktVaOzHH+TasiLxB0mZTWIMSsxSj5pvojHWgL8boEDheD
AJoSZ1kmwsxxP6yECXBj9Q6oAwClIjaxGbRU4PQ2mIkpeAtMBzMqm3Ewn21XvtYj3QIjIPmwbLJb
XDpUcpX+2ZYBi4AdzwtzNj06xNV6mHUR0v4mcC2iwasIpbScTYBTxWFjDrR93bVXCcr4QCpUAKu+
xHUEbldX7o9N2tZvuR7/dH18sJYGntEbMcQUCeEbkXnVk+6rMHUq7yx+i7pglRXlxejEsA+GXCzM
QUXbMnaPfdv+zo0v4cHCIXQF26L5gpIrIhYjaRfEHBXrDOVFXk0rW2cr1IgUw0tXXrs02YwBwEh7
kfXxXh8nf+e0SFeU5ZFJhk5czfK9GKckPOq6TQ8f9xv3v0TlTc7h2LbBMrGfq1I4i7EnPrRBln22
iaXD1eeyE5oIfcr3gumiX19wAW4tjZPkaI9GOlJCpsWpGdh7gWNa1T222WCmo+O7j0SSHUuH6Xvk
By8spDylkvzFG7Jip1kNjUDoOnlEi98bxYNGSDLMBbpJNA/ukC0FZZwcvdKgFtRzGx31vcQxhhkb
cvuRDTqJj/fNYNY5mA1hStFxwevrYMFLTuPcFevZ9u0VEC5nXUm4juNgoRKgO2FZbOUHBCqDkZ+1
LKqXuSxS9lkCGzBOUVK9aBG35CdTE8fGozXLZepKYyeLbE28dRB2BS5Qc8y3BovXojYVVGsscDo5
JMRaB1saAc0qH4hGzwzHxT/dKP42nGSJ2mU0ype4GBl9xg+FaW6h8/KctPPXghjuXhXxo44ddRjn
bJfaTrRIdPGDJJpx1z1aWG5PSTjSL1u6tkY44WA2mz6YzolhXALD7BdciZ8idANORq73zGgyihwU
W58MMQChl8ee24vlolDcRz6xTJB8ujKFZS0/eJbxixnMz565n0r/YTLSfRalj/iTKEK5gJyIJ+fQ
cQMWEumQNHrGLUFN+owaF2VOUo1KD6b0rZ0YnR/a/ZzPzEW3zqxt/Fb+ZDnQ4DbhoqwNbdm2/lHW
PX6GXn512vzZ0AMM2Xp9GAY1MjkDqBTby4ReZt/m5bYIqJUqJyaT0GNeDoIZ/UPqn4rBmddFp968
joTjOjvNwWBuknk3Q+5eZPEJ3d0LrWtaHLVzMDN6dIP0PkaP3XIaxBSrRKAvR8Yfe7xFeInye6Zv
3G5inIImkuI1ebfZSiRGts4jbV1HuvdgAoAyiQtF/bpqGFg8RkF/aUi5EwRB3wrjmgFOvXjpTnqU
Ql5KWI4n4woVFQEt7WfeOrx3Ba0s3sgN5rJrl4GTy4POZOOsPZNEacLysokg7MUXE4gYxlYRwm01
LwOxwPAAvK8SipT0jQcn9/tFLxsSSFzKZUab6H5EkiwHWlog1hrWsuiVgj8iL4wQMuT0Jw+0AbBu
e9PnEf2b+2ZFa6c1f0XHu4MGr7OMpwHHy5OR1RuTihluzsh4yWePHms2luZKny4ky+4rt4pvLB/d
jmk914CdBKuoHTVy7vXo7FC4nH0dZndMfNkya2q2MVNwQEDSna3IZ28W18fU8ORZ84dkkw/ssLSX
ami+4owVyKid7siDm0Q/GU0bYtFopdvBp5OQOS2IBsmI2pRg3c6j0SSXhvTVe3zTnWYbkCdmqZ/a
UB8qd6pIKEpp1+WGPFel4SyNput+ZeMiqwUkBYvUwZjZ6LqDZ3OSDj2BtKhkKH0de6Hoy1vgVaGg
Krw19absRHtjULhScz3QAwOjDVCxzkKTz1cG0K0u3XWxqx5SJx8e/M6V286nZu2zj77snAuxqdkt
tWbnMDvJG9bt9PZ9yEi7Wyc2m3YIgDvM/sU5omC+sT9A9mBHaq+IWGTn5pADWRPvUaUJIYtGM10H
v7EufcFWwvihUDXskzpKiYFqsqtGIYupOOq39y/iULX3mtYyjVGqCZXIGJs2uMnpdeFu7HM3HEUC
RHdo27UX5O0tuB9ka3MPJsNZzx15g84eHfjj38oOtXKc69Y+LU3/MfJ+xQ17ZobkzaJjOQPfptkh
aHdBsCWwPvJ15BBVJ9MbT/psqscSq6jfiBt76uEx0S0ZTs2cbr4/BE9fL0w7LddTgEG758Zf6lB6
/OqpcGz5ZOf1Vx5UZECJVj75FQEnNHoDrIp8Me4ET+14fpqs7AZdO3gdTKOjIS3KbTAr68kZmKeq
VF9jlqTQzaxx01ougPrUrh7NmFPIXoSnctxWj57Za/iHQcWXd/BG3uBjqEe//gI0Gi8QNpanxFEM
dmbNDd0sHs9BQuxB0iYXcFgtA3Tvw1K2+y6ZcC2F9Lcyt/1rZTPkGJX7O2JHfV90bG6aDyK+3+NM
V8/SSgmMabxrhqEwNOpOoJ/qh7CXbbW590+PiSOyPXDY/lAK89hkZYNA1uy/pDSfPAAyN187mCn9
CxUPP5qpXFtMiY+2Rafc1ob9nPlPSQx3QAM9dSx7busRPEnGWLlj6LrkFU+boVvRAZLPsovFY85O
yTCgyk7qtQaBhZLyjFEIELVRDnv4WPHSEGZ86Kib3EqPjynKsbBwnvzMWmoeEduJ1RLCSExWQDja
2dGiloHZkKxyLTdPWqF2ccFbz5sSEStedi+lYyyFNztcW3G6Ui5jKbsm0ThqoleHcov8itpfps5X
k9nxErCgdssz+TQNmrm3oN/RdKvGVQd/+kh75TpkqRlG+ohBNB3NE3JbMgAyJHGMyeEuCDDXo12B
p8pcIDRSbAahOdfJLaoHGtDrEZDVY9VXNxAmHimBwd5RVbH2aSItgrvIw+zjY2+VYlVO3U1O34MU
k7GHX4ujNZcg+Hse+4lTICAtlzG89EMZMPeoTKXWVqolqDTtCqXy/M7zN9p6wCZ2fQri3O3cTawF
5c2YcAPK+wyzdt+sdnB3ToNEuulGmzshPSMSfcsoF8hRA2wSVKW/mdnzb9pWXIjDaLexTL6G1vDP
34dqdLeeKLUtTjkX5/AncTosphkTd+H9zGkjOEXTMBfwGcWOpn1MWYsCrQcjc2cQm0G8n9wUWkPg
bgMWvBXsjX7ju1yojeaRORS5OyuOMQVlC+Qv7oUYtnHHWhegxQXfnqCCmWKt3EYkwBznMWsAUaUN
ScYNqVAaQGYDlCi997uUNxrbdcV9vEtLbxM3wvpVVlYINntBsqT+WhgYnJkPIoLIxvzRqd3QsDL/
8H0Al+IftPhVqrK6emVs34gX1EK/fyOEinwsxij71DSSrVm373rtmUuzzH7bJnWEH0/u1UdRSWze
vbEz06htve5YmSUckxapo8pDNzf1cxDQihENadRzXlUXV0fX5TkdlpmCAT+bLflhBt1vKAyEs99y
VmV7KKi4aiul7en2DFe9Ag0LnIFkKr11FvdI+Cr5WJafVVxtpxweipm7zXP0f5k7j+TYlTW/rwgd
8GZaBZT3RbKKnCBInkN47xJYkrahjemH81rR0Ufqq1BoosHju7yXrlBAZn5/O0i/pAqtuhSPp0gw
VNhJsi0jleYyI8H2bcRHmTiDsteMt7HNjUNlN/aJtlIeUWLQpjB61VoYviEJFCoqTKi4iX5sSbMD
TqyBQjNb6RzzPs5Y8cj+oUsYAATpLsqI8ooUZroGaJFvvS32NcHhBOgxoCRKFB5zSw+OFspEev08
U+0NL9EC/1DmKsYvn45RI5QHN2GFWjvaiANG6NuQeu1TIJphVTRpe4hjghftdKCLmX8vNJqbMaHq
DSE/aQGR6DQ00NGQ2y/KyGKJijvVa0aSnmleEa9BOWPrsT4cxly39qJWFaiZHoKi0aWNPfrTG0W1
aylUo89layjDkaq5yY2CSl0qskVyBGmSHu0ZyZam35yaFT6kZADv2lyFUh0QwDodyn87/rL9107J
rHyZWdDlrOe0pVeaf8sj3+HEAdCkOMmqxwH/0piN81JU7yos21mf7NtEHtwqn7p01YtSR/OMlnG0
ZWMXa8GJaZ7ZsKqia7OZ4PMDAn6u4GLSUZGHVdcp2k4qfA1Kv36bYLnX5BbGR/LdM8oNO1CnKs8O
tpzR7azTJT5hqQ+UfE9ASOP6FC5uTF0vzn7SlWeji8tzoGQbtXkhOIZ6cyr/zrUcPIbWGE88pFe8
Q8mPzSBaNdQ+5o1gtjQM9z/OOcVgbGHR/+wJjl2qH3LX7XIodZdqX4NKOt3YlXaAwFju1vw0Y1Gb
ElMcHUOv1iD33iQ5nSu0TF9SmhTDeqL30+VSvrAPEdvV5uLFIfjJq624XJmSubPaObGnIzS7rSqq
kuXOX2epNcdFj82Kbwj2hP9Zy7htrRez99eIGjLkNkb8FmC6MhtzpxXm79QZ15kIi5sStipSXDqY
B3rumVGkwk074hFqy8wg2dL+6AvP7O27A9mYF6Zx1xzwqDqIPtMwBQUM8vpQ+YheOvmsl0pAJ5h8
zxQzOAwckJb1s7Yi/JAYJV/8nHxhRgow2ClydpCeyxbXBInHFsidDJa9THy6fQKgoz8h7FaagdX5
cUwMTYKd2IR6InqdkokqhhehzNNaplOpnh0REiXUhtpGpzBy45eiWlS9lFyQvcH11+3pz2eqX+E0
I1B23eR5vKN34lM3+g75mTDBJsJuQ9tOsUYcqC3BV0uyzsvypve/0IbmpFZp+XGu5rWayTgEaskH
aKblpJQBipKgJ2m57i92QviSrRmXQO9uskWRDGXAw8sQv6ihrL7++STX7mQzqmfSBV8MzsfH0shx
K8ST8z6SXMMQQ0p4FqXrxqj8a2OM2fWfFZBwPH8LIIku0FXiC9BtqVi1/nLHVUnYN72PgChC+IJ6
ppGvZkzPmaVFwvtTLuTMZohIIdNV7sjEIY2Dhygct6aT0U7pyx2JHQEBRVVOFZg/DcBoaFZC7S2L
gxRQQrGWY62iLCxKA+Sl8IEXa20PID0LNlbo7i0btb2VtEfmk+JC58IZz1J//PNBEpBhOWneyz+f
yvFXGUHUZ6rV7/3Adpu+aTZFb5t7RDkhfQlhtHdos9uOeVztsubD6NmuuspEaih3eUj7cfvM8HK1
sZ1d+vlD2HBvT5pCSBOkE1KWMElXmgayqakpemUzf0371tjboYFapugRtvrmm+hqWrSLaQF8nWwm
jhzkW6FfZWjuUSJynufn6O80AW0kmpmh4OQ9Ej5lUdixvU77on3koieSN0nzUzlMPaBcIfCy+8Wt
AyF27VRYqz93HpmVttVKxyoQT9UX8RuUDP4NkQa7VnsIhDW3Px9sncMYzhp1VeyLME1Phd9Wh4QQ
wJaGhXvZVtb/wa/6v4iGLRPVtW5Z5lxBQKXEX/kQ9FdZhdzP+IiwYBPrqICU1grvq08m6b0zW2PZ
I8NxO5mvieN22FHdJhYqLZ5eic2GN4zEl0QQrAYPeAztkhiiIIouo0VBrRb2gDt67Z8lTf8iDE0w
miCcCOcI2lJ5OlgK3Zxya+SLzY3Wy3JFFzjQdAVDrigajasE1vzzI/MnXOQ/SYZxJDo21VJ4HfAn
//2S5coe2rJqiWrsih4U1SzcxBldrS9oysFhvMoFIsdGZbxWfFU+WPncZeZH1HmU8ZnqWvpHCWjc
RejhSsdsHiIqpF1RyQlJqE753gUz5dGfsi5BEE/AIkdovi8IzVNYf/ay/zHlZXtS1BoesiKGoC7E
WePg+Aj1Tt75VfYgf2ynZFAZeFD8PfVCiBklicrdoXgwEWX3f74kf9uX6E1RVTKqdYurgk3vL4dP
UKpqGPfcy5LWk7qUxL/NTPqJFM75lTQD9ArqgN4IwOM1Cq3++Zf/5V82MDHIKNZ5I5B3Ewoq/3UL
6rnTDNEcgueP+mcqRR/C1Ld9FjtuNcW04yrSToVSTWsPEnZYIEL41FObTJG2a/7l/v0vkz//dxcC
gGJuHnNsnoq/rM0sgxLubRhnX81/iabmZB9tSc0yINq6vRnKaL31qdsUlfqvq/B/5Tv+f0mT/f8x
KHa26v7XtuRbkf33/5b/FRI7f8u/bMmqM0e6qlQx0EaLvdZC+f8vV7Iq/xu+KRxpeB00QyYj5T9c
yTb/yeCWmo0QuiLPTtN/dyXr2r+ZuCIo94X35BvJnP2fjul/d0j9U0SsAi39n1MOyIpQMcSROqub
hj435v711IQNlI1P6+QyYYJzm86ON1gXzzzgxraqskOWKB4JmcnSdwDqDX/Y25V59KdkDnTrq7Ud
qPiB8Vs1dlIxjIX7rmOYNSAn1RhseJBI3quMqiFMWwePT0h2q2DOq8y33iIbnI3qMfSK0EX2YHtZ
stF1HY2D+qZZSojSx5Dh/r5HFefDJNJ6WavpzklnxwqzIGR945myaS+qpLEWnRIeERCnsL99gS7G
eVEHZ8vYX3vCRwU6oM7I1PSWWZV+lJTCBQKTXcGRjljS2u2zofdaswfmIGsqI5E16pkIE8oF6rpp
V3lSNKxz0c4nWg1BnHofQw1lYGjpHjgVgupmU4rGRFzXot1u5FugxUitA6RAROotO9AE2OG7I5RH
2kSklQr2a4wdjqclPeGhNS6XwEIU3hE8Z04aRJUMC6vR9mRlfMGUkH/v2OlXMIj2WkrFJq+olw+t
+Kbk2MppO0QvpgSuwJutkcnVh2btqWmXH6dVlDtL32oS7MK0zNBAJK8k5BNMZW7X2I8Su/IqMyMP
5s/GNogiNPTHg2zD8A67EOTrMBbpRYlszevpBF2Y+UmE9ZcScfPgcQ1WfqPfu5oQuHa0IILH/r1V
f4zCKbCIdVdCC/HO6uMmggdo0WvUrQKvPUCbTYIgD2ucYHi+REK6/6ikk+c4v5MabtgYCAsurHdB
0PvSUlMNUrU76HWFiA2BGQF98rMSOH0iMmTzUS9xIfrNqlXtYi8LjVxB8n4HOQgRUCGcIa9nK5s9
4sc5/rzI8F7o4SZKpmOMSG5t1+VnoNuMgXC5m5ZtkmrWzzEImg1TP+fgIsTRCSoid7/ULjHcWG/J
AO4AbVDTHTQFc4HiHG2dg1iW+/iAhe7iIUIhB9SLLLN9H3yfgbK3b0OWHoFUOC2lveU2rfzsKKha
9dEcJIpX13UM2V8CBgdC7Ti8WMhP9MGlIZUiwRQmaCzbRaqb1XLsUcf3VCtoDeXA/pi7faky24XK
urNA/YeRsM++RfIZipQg3jDBHd3VS63xsxWzmzuSroimg7Beyy8Tpu9wFw+qStx9/1Q7Kr/9TleR
234pUoDgXaY8Gybjs89lYATRevPuhyFDX9tCMVdOMj3trlGWtYWDoam1h9xorCPWKxXiKiN9+1py
ZUOJdlJRIrr10+gihurDL5+SIt4HakhIgT3nPvJahYw5VPYkYhH+SgY6raHXXGiRK72kwI3L9FnB
iO4HRGddUuqYKtNoE2TXyiHsOdfeKNcukAA22F25sUcALg9h06nOWnkFK7ToC0k51PZnE5vtOqMJ
cBHp3ZbQKm2Buv+1KZ19l0wuNrRpm6DfkBTNXxWAKyU60wOzhNkWxCcL1xG42KN4K8ex/ceDCsBG
v3FekFFbay+DRAdfasItGZX+5Ih2nobgMrIyk/cl0JQjqYdDZ80DwljWpLWStkl/Xk/1r9YjqIIG
sjSEy41lfNN/xBudF2SEBcN16CVUHH64KqPZQoG9geomooOd1rFXQutvZHf2G6TcsAKp/BZBlBAM
7YRLLeIwnibjUW6rz1KPxGZQxpcskYU7tEwVYYgGY1CivRH78ZWBCcUfqrjEbmAoug4u149oHJTI
ybbxdVIc6paM/CDXc9Yvt5RuobCu5G/0Xvou0xBuZZHj6r5Ruxjjk02WUYvUa5e8S5+plhzpnwJq
t8NfZl1aS9PB++wH5DY7KVAiTKun5tjjfVtCAJCVbqtG3bUpFfUUkipO4DNBCEPmeDp6ySsFEERZ
0Bfo6rjUWROzwot79FkNWRb0niJ/xUFqa1nmjRkXMHYy6rHJ/0WGId9DfIOxX8qHpgzkQytZV4B2
jJmqkNZS1XwZNS08ie2TCtl3zwmeYRn4JsJdDGdY2JSn1ib62gqLh68ENZ0SLyDrMXTs5NotoYVJ
pyPTi/ibWgPDijKE407vOQya5qgsbbIbjwnMvNvnZUW+WN5dcNAJnQ0Yh8prWGnZS5VLNDBJVPVR
+AnkWperJAk6DvAq0Bh3dZux9ZCgbh/GbHqRba0gTRQkrvadBdHX1kmr6keijcFxMjDrkUdyt4yw
3zj6ULJ/PeQ8DnapErqaJcKTaVPfU6dXhexmnD7jtNHJWKU7M343DNS3iKSoBJ8L1mztGPWmvgon
/X2IAtDcsdwh+3fWgVeYmeY1U9K8ahCIciKiE6Jql+B3puPyUyfWdyS7kVRJZQVOr7lNSYy5qCbS
Y7FwbrBmq1VFDpHWZ6/6lB1kHHlz7jjBC12qb3PkLTthfvs0R+JPondybOkFlmrRbodaJjOb4udb
y3O+kWowy7Ybt8DtxqqmMP0mq2GxLFRTfFi4DDsReKgL+s/AEpRUVVFyVDs/pWd7lic1VI3G1IA8
i9q4AjQa+4KQSI9zyanPg/hBqD6mHSqfsa0cdF2Lj1SaVMgzH06KBtVOdvBj1bMZOyRFk78pQ/Cu
VtPCSyWHx5Ja5jOaYcJ3WwPMe/60ydBjpRLSzqaQi2NbV8URfQtyNSp13KHMkPT4WunZJouW01OX
MgxocNj1350Z3SfkYDj8+Se90DzZ0Hj7ZPx/GD+5Vrav6us8D5JjaH0RGm3ck5YyPwQLXjJTepFK
ikkuhYRZmhpmbPqfMI2yUxB5s3LA9vqFhBLaqysbsWq4KwYVCdskcWv4xUAkfxhRgp0hZlYNrE7o
cqQse+dc6V/xFzdNFC21sjlPTatvUbeMiRScer0oNgajI7BJBj88BRsT+Blm3ilcBw6W4maETHQL
zWwHskSOedtqctaqkw57uhYeVR2yhVrrWEdZoo8KmK3CrVrcW5G72aiucil9zVi1FvSChG6lqvJS
RamtK7MWHUqfPo8nuSdnP9DTOTrkvTKf9Exe1ApnPIy9Bg7oz6YCvWHATAzzpQsEdE9K1CfHfmDw
s2N8CKmCHaroLshJCRhdWPCFNrkJosSp5jArIYdiNbc4ms29sLGGdicgHBwlDwokBQZZaRH7YlWR
tILL3WJ1ye3qATvPw2gov2UU0au4mjZOprarTKMfAS8ZdVsvQ/4ZIlIY7ODYYQzA4dcf+irZjXa6
4yB38APawsiTyeDx027YZJW9rqpmY7C2IwzdYH9d19KzC81N4zjA5YieEglm1KBSll43XEkcNFsS
e9ued82cTYy8MrO/8Cii5Elxz43T1IFT5c6aCN1qCr/NCvAIZxTJiRypZ4d76irwTAM8fRYSQ1x9
VQjKIhOroHNBvY9hhkxTDBymKFzZprp9IE1ml0nBRpE6V8W3Py+ceq56iyHn4rSoBx1n2UaFq5ti
I/EKFRDcRFOQVY4uwt9FieSvqS23M5OF2RHFn03g9jHAW+To4UJtNUC95tsQ3zGZ94bAmsupfeKk
ITsU83b9ookuJkaduFo0nMfITVvIAz45Ae+DwSrDqjh7XB21P6a4JAtFLMqSgqM8+xDqNSODjL0M
n+UAJK+YLQJInMrN3HYEhjaWyUYuXsccO35L5nlLJ7Dq9USU+xJZ8SMcGITKITBiOKS58J0ricdM
V8FIsY/F8DYVuriqBim1nDdTUKkda9c4pWCB1B0UKzj/TAKw04zsyIyuLh/+YNkYzo43EXtzvZB1
zoDyd8WvqOXwpEOGdeqvVpN5EJ65OrpJ6ywMtUMzpbBGawsTt4dUR8sAyrIroPR5MMeJnP2AvD7O
NtO4iCtlHXbF2jQIChJq6PWqsaxbW0VduQ/12N9oarGAwYYpZaNkZBQ7haFBclppVnpyf2DaNWIc
mABwZIuHyK2dEZWuzdmqSsaD1RqeFD7qzrmr+nS10EoRV40mkNCajt6SCDt6eDYsGM3KzKgFM9It
oo3XCSn2Qh8nrlmj3kMGRXSC1iI2xhvA/pfjAwL7iV0ziPq8TDsDEMNbWZJ6GE4CvSi6I0iE8ioP
48eA+WpR6ulVarMbeg/0YGH1Zo4cuDpOxyijs54iaggA3JIN9g8pOJuB3XtW0p3pyooW2KLGTv2M
jfpoielJB3DAfoI+Twu9rlKf9CDaTxJF5hVhQiuIMF0ZEYNJavpRVvJTlTLYWlTFEi+xTXgq9YB7
2sZgXETd/JvPGWalvFRJUww4v+s4hyK0BV5VkHGRZz8Me9xsPIaxaEle9rVvv67MdZEHv+rGXJvz
bYYQgswKh+0Lo7DrtKSgBrX/GkQOHjaz/Gqzpt2KMPsJK0zyRHlh8qmIbRSyF4MZb3WJiHK6tFlM
zOKgthkntDF/E42k7ZxSuIlSbsLWkK5j4sANU89ESZcpg4jzN5KXWC/EaKgbzMM8iqzwan8RpE2L
tMxdMNvEq7KEaGYAdA9uYCXgS3jCaYqYa1+EadGO0s0B68nNDGrXagUUga9fkyi5ZhbLTGUVqzy3
7JWfqwwcKbIS2BKOiCcywuwlBdzYIKrC9U39rAygbpmRSas4HtolOmfcV6EYXZyFTMUGcTFVtRNF
fg55KNv4aVflMsewhieaLKwA4rzm2Uq0h5OBuEDi2j70eohXbauiQRKIuSOeBuUzbE9dtLcHiH5v
4r875V0wkw8OzHMYLUv9nAT3orwJa1ebOV4nRtfod1N9ivFXIK54Y+ruMopdMj77fFu9FuLq2weK
hJuMpdC8N1S/i+Cjnn5UC0942+H2pUO3pgWGIdKR9gHTSmnWSwzybsF2GQ3vMcYk+rPaz3Q89026
gPpbFMVL3I1MwRu09rzEMLkZ2UdhshF2G1s6rdTg2U+PsNu2yPXTpxS9AE8w8+fcU+1SQu5c+beR
NZvULX4zsmLZYpD/Hc7yTKbQgOcpL16C5JH59w7FdY1ERhuaz8B5xjYtohs7ekv8H1/6DogoGNTH
AHZjYcwV7D48KouKfuthTeOBNtLz2S4a8YXqay5oWRTVwxA7abiWsVfiA9c9p6XcEmLuqeeP1Lod
RbBHURnpeyIKNJ9aDgo5ciKRyuFtPqaE6OAJ/UEcuwmtjQUvaNgJVvLTOHlGsM9aBLbDLcXyE8TP
SJUXveYz1mmLdljRH5vqx0ZiDWVP38QovuKXKHkjhWfRDfpiJRNlJg0h3/OZBemca7R0hp9ePtRi
WNTOVpg3pWpQQ4AZ+Z+Vtuu0Fdu7qNa9sWsMGhMDvBolWuZyHSgI9iFfDWchdZfZWQP+gvRw140f
QfdZNxWbF9pl5Wo7p6R6GzWeYxvCxd4H0REw2+6obv0Vqec2M5Yx1GqGRa9e4iqtWWLyfY+hSBdM
EqW9mobP1iCQwvlCWr1Q8f0NZuuB4sSvAlBpfpjfQ+XW2BSMKOQ/RNEiGq+Gvsk5GYGLEE//ZiTv
aXDw0y8/umSckQqyE8rqy6LINKe6nLr4/UR1ATdtb57GcpujQoGugXcumy85wzXr6cmJZALFv/rJ
CDsA463D1y2RQLM6Ahdp0iVojG2ZmAtz7jDYScZepmeJSFTeYBUn9p7oJj9Zs36aBKPFC+3os95m
647ZYbJotPqIOfbq6yL4bQDzyNIPPayLzLx02r7MSdTfO/ovRf8Vw8Mzz6IeXcdQAiSOk2Atbfxh
Z/W/suSklt026OwrWRJuXd+TjrQU1LJGiFj+MUi3cvgxbX/nD+jiu3MT3BnNqyTCZhstGFxtDiq+
Lm113Edm9dFrW7U9w99rqHElxGZZxgHQ+JSjnVDpJJEoURb2snTWdgyF0aMEAKWMTBbGC0LLpdGR
D1Yoa71/5Wuy4KyIi9Ht0J+zszv48rvirYu2bNk+ZRsgNQDEiKt4jU6Fp5aDVS+fhuDFyV7RofE7
ZOdkWfh5PqzSQP+HjBUIwc6/1equxOsouxYc2YV9sYpboyGa0emb8V1kMlSxb/Kk31Tlg4BMHrKg
YICHCX5R/bdG+gnFb3oYJdWVGhxNIABuO1788CFpt1y//RkDO9dMfxrnQgE3pQxGf63Lg3AORFg4
0ptMGmz/u7Kuin5puy2dEUJbOh3GOjxm17SZ2zJe0+qYNzsJ3Hpvma/JeE5SbL3eQAOshmp7U2u4
KQKO8+aunJ5Bcp3Uk5+dhngHgjrke5X5r8xoqMhYwg7y8G4GbHMbvJ4D6b9qSV1WtUBpr+buYLsi
XXGVWQAj9M78alpPFwKBgWZTDEwbpn90ar53i2qky/cSRRD6rVYl3E+e2WLQjz676pKZe5QgjDjX
IlvjOW+PTnggNMahnbG8JNWp7TCeXClhQq5GuQSvyByxKRz64SJF7y0UR/wdU62V9Vddu4zl9WGA
DQWsw8pK+Mtc/SypZO+vLDRjdk7tUx8/Ka2YxlulP5ryQIXE0JLvuBymbRy+msOhYBPrgaay31Zw
G507a0yW7TL1qIT71r/q5Wdh4OYix3FeXgOHQx7+FGCn/TTdSym451zthk6IYDUvyI5Lxa5byg+7
+0K/tgjK3+a0TXmoI+SW451KNU6kvnHKsICZuFJdsI2EEIwC7eQajGJJGTQ7A53SavKVK58AXvz1
Tn0PPIx8eoJT+I34zxVXyoTv7c6ZsBcYMryMSpJ8/D0Ejy44I2XNlC2uMtD8jsFrDWxJfReDH5cx
I3SpB+rISS/qeVExYXzFSmd1WMsBruZ1GRFkelC0m4NxX5M+IjSpHJqlGORbPLpkhyfVrL4r8To1
L1SM5cm5oW+DIALApcVg0PEdstwM2qYcfyEslvNvPXiJskcb0jDHjUMrqOtXJ54RYPgi2CAGHbFl
iTPZauTYJJiTj2zK2rDi/nGBeYeAlIVgz1U3kgNtq2X0qjDj585n196QNaEbTELCYG/sX1yZVkcv
ceddmchfU5WNHu7sHqnXfvYLRd+DwpkH3M4Zv9pSLAr2Z/bNsXq1xXUWbnMa5yXxFkyFN9LcTHKD
hDddP2bBTh93Pgbh4Stjy+H+LZ7sfTEax4mQGZ9pbDNKD0P7rQTY3nYiwznsWfjklJXV/lBlvFDa
U5u8CA0Te/6kQry5d86bbnkFfpVywKQ2ouw+89AF2UazN768LcbPuctNPdDBndirbvqCIhfSd2qf
LeeomzSyASmtHRlz6sEYv7FEcmXJCPHJeJbOQck2RlSexA+9Y1oFUePETsgm96sG7FevBGjIiCpa
2aE+ZjlNna8peY2NQzw/3ERFm2vUOZh4wDv4F/2KOjzOVEOElIHtNSEmPF5p8tcgdinKWW4IeW3T
6JqEBMJnLWU3r6U3Bq4+YTcaN3yqlthJBKM/YyQ1ezyogcWjTsg5XAp3AwdrBNcj1Tg67pS7lJlL
E0i2Tk1PGUnOz2GXKCytyoOD/xOrNF/H+2URGmj1FzpXeLlLtd9S7cjOLNufZk35Y3y3/AOjeRKv
Jw7OwzK1PigurCz+LJUqiuy7l14HrHRKec1CfHQrB0fUQDiUkd0G4dXKQQflUdaDfKzmNnLpMQ6f
PW8LAblxuWH3i/tLV8INUYVmVTsSllHTD8NrJlyz+ZbTDWV/xE6ZwRISBDgNDeRAcOVcvBT9Nixs
LRilzTXkIHex5r+kxaYYlsy3dC5FNecQNkQpX4nmZwpXgUCYO+JWqUmcA0Slo8gLDU9rnn38ylKc
5Biz/GXtHzvL5ZFVB1dX0N7gL3SLYNv5YtNxfgNE6xDlM89i7Vz709afjrZ9glu0mk3NLS7fmgzH
Vk/Glex26xlwxlW+5mfl1dFpoRbNZ4UDWD2GxFiZZyvFprfFaJgkXkanpF+9SvmxE0eRvNeWtQj1
jdzjQvSA7RdRfIm115jkB7ce9/LOXscERqQs9PfS+Mqih1nfiuIik8xB0K7safauEFv+ELNYj3NT
2G3ipKACaSMmW1nFDp2Ma/cvnbRpjBP0w6JlBpkAq+L4fUgucXMv1BW/kskM/fu+l/DwuhqdhTwH
BEsHN836bEgvyZAOrUj2pFNsm7du3m2RsqNhWaQDXWxM9MN0FuKRpXe1+zQ0EhQ+WljBhGiFjkwt
SijDS20emuaQqq76o0332HyTC9gqGfgm/qnkJfWgvv5iVhcR3dL01S9Pdnso6nhhLCoE81gnyFY5
2O0tms69/ptySNpAw2o39p6p3HXlF515UXeklGrjx2tEfa5dLJ0FRcuqO4bH9uCbmGXfS6pQ44Mv
H+k6xKhZD5dp+EHKCt/ESh1TvycvQb5E5gnOXYinok8P4yZRkev0TSmXWBvbaFWKN0Y3lQAYLK0V
GGMEMi3xY4NFijX0TfB/g/aYjGjJ0LTU5SfWd77CBeyBHtyaMVLfU+ScCsazSNkF0LHOo40PNDBH
aDWNsz30C8gRPIpPp9wOzlNkB+Sm5Nmm6TXTFR7lb4sVMpLe2uKpSRPn1o9KW3Ofk19Y5+cqfgbS
oZ2YU5IfzTkiIRXjqu92YBXUTwtceuY5mNF5mvlSjNghDmOD14VfQWOe2qRilQ5rtTv44MLTR2dx
jVg9c+dVky+2ciQtSSq38/mr0dboixlVwPWnM6FX/Mze7duKJN4laftEB0XmymxXjTjOFan3ES6E
OkLRk/nDIIVw36m8Wgdx7R6d9BYp5UKggaKHfDH6v9HxAuq9cMGz4UUNeAz3Jabz5bTQK+Ryc4Xe
b0EUGd21y1S5qCqyymOhvwzFOiD1WUc5uk92vngx5oRCmdyca0OqMkxeYJ7k7M0xE5Rqu7S928FP
BsGTx5hsh/cR8DgeLolx6nDYZ41B2iUBbCl5UDH4UYFyPVyk6TnJd9DtwR5ol6gDQnve29BffhgR
BXDEvKwDinILT2r3lX0gjmwxJy9p7B14aVneAS6wBk9P1n8Q7PVXsYSNGr1mWSTzbcKWvcRFEOq/
fJMckTReDupuqo6UutXBJSyOvFl6sJlGNIYvUg7R2rPN/O6klM4dHbDgHLqM170XeRL2VBfnYcqZ
OPVYf8flVwMg2q8g/eNHaW00f2fOJ9oGm9Nr1hTciNCe/M+v0HG9zT2oxa00jnK0b6XnAlwc0v04
A9e7WL5ZuJXBonEi/GJQRWt9zQaO4OGPzCYgKBxMqcd0enBb81LYB3ZR0jQnEmGaUy6/UsIueQ6d
wLBiyQUZL3AMTsGVQjGEXH0HYEwQG0vUvIuk/+y7ChYaMB6IsxWP3D8a4m6U7wam7A70iOkrvmTd
e9CPXib9aiLEaJjErfEAkTffOnXkDtY+tUD41Ms8AWGiC7EERc5zzhoqSDBK2hVpU0610+J3Ob3Y
g6cOX4b/FdkyIHDuUuO9QEm/7k24j/hm5R9qderdL/K0asNjQhbPyseLv7bMwygOSvGqAqw0JK9s
7VdZOpBzRwYoR2hOoqW+neyXSfGK4rM2qATE4XuSzDO5OYtGIURuEwU4DUCuMTPyCwzf2XFfkRgz
hJvW3Kn9tWx/4uZHs/D4O8ARGe5DuOqacSPfT+GjwEk4/Bp5Kxp2YJlomcBL6s9G3ZYwC4JLsVGU
N3t6nwDAOEW4igFinL1L1pbIpyB9lNwHhUrgheqiUDX+HKChB4HCnHxnSM8ZF9P1kWSLwiNYH0U3
jsfxhaeDbMs2QY2t8dTziMxM1K8UPNrxd0r50k4rHp6QQ4x1SSlEjsL7aD0kZ1ssvkiOyghss16M
6A2fdWLuCv3I+pZqb2GDf+WjrJn294a5sStmHjrk3/HhLMPOrVk/FR9QA5hOvdsSw7d8lbFCO5tJ
/RpTKpJZ83TQG7oSWEc5RPpn8t9w7G1YsnL20ShrFnlLx7J8gdlV2QOIvSHERX219A9jTDdcUlns
ynJncOLoXaJPeagiHL65vcEmYqYPwLXReFGmQ13uCEIzItNrIS/6aj5zEQkIIsnzqnyDnYgVRWAN
iqjuf7B0HrutW1sYfiIC7GUqUqR6ddWEsFzYe+fT5+NBBhcIktwcWyL3Xuuv66HYBWJqZzHvu6tD
4jNWctJrL0p9HHzw/pKfluLCZKsIbvUnxruamH9o+coz0mcv/E7keKnjLcCXZ8AJKLG4kvvXmAwF
dXpoXCrlSQm8utwwvgIFxRURgrVXN0DQEHVIlNkcKvnsy56h/TbKp5jd8/qYxq/FROgN96OjD991
8mx9CnDCM/ujzqtQ25pMHxAAofgaVxvGUsHaNNM1969DtmnCD1oVAt0N4y8LP3gZetLgnk3i31P0
8C8Rnt0INfDH8t5bkI4cVUcW7eZP151ksi19Hfj7jlCkPD+M9bon+CLwUhnDAYQOzLUcZ17d7aTe
A5cTwSB9HBrkO7szeezd1i+upv5aiPvAIxxAuFVQ7c1DiQ0nTFVX4lgSqIbSeQatXWHsq/CoBeIm
M/pVoHzm6au4ToCQ1b06vSxSqX+pUcshThYkTSC1uROHI4ATFNE+5xxJ8nce7AYvTsme11o0L7+G
891KHgS96RRHK+e/N9H8jLlalAUTbS8qTZD1pmZRziqgeaCvhJbit2pSXCH1bcEHlZwfqfHUjASr
11W3Lm0FyNjfB38ds8lueTob6zCOb+ESYJph8huvavDbIQIbSJBTkCF3/CG8qPidYLmpWyWqYHUJ
NYbqiaOwvVN3jaX6Ns732aU/s/peiqyMxCXzxR0sZ1gxIeEeMkKMOgZy/oYrHFpFlsyVABM2Kj+k
8QTSNis9RT1UuosqEW9LyhTmV/RUktuf0sgxrsB4IRWiNbp9duQmRsLCsJbgaLeblcH3vh6duLoa
8g/REfZIUojdgQegIuopduflhlpoR+hr7EFk5BIgI13K6R6I62H9rMQNCbcA8iD7XY0Mjt1fdhX6
J+LNoJBQZxPumF869n7xKQxvfXZMFxBAp5xreJGIxw95Tm24YkcNTS4cjVuatMMws7XxEY3oDUto
h/jdsonxl8/Lr5OwgRCYg6oj008Sab1LZ6Fo7Bvp2CwXOpE6MnZNi9zIZo2O+1Bku+arr49l98FH
pffg+OpOJhrBMm9p+UEcLJwYyXu8HXbUtq5CBjN5fNn0oYZ7RFsCaxB/fE9be73SB8Jmf2bh3tVn
U/vSknU0/QahCbjzo7qEenS3zHpmwpdR1/z77Bo239i0JY2x3atbnXpAmU/UAr9m215r/nZY07/r
A1v3IF/qnzTek+E1AL61zC0z1iRf+RiqdE3/Z8Wa3m+0BcuXvgQeiTyt7La8KxAxyRrTuLcEdmwV
N2YDof8Dm1JsFw1G7S1fmRHdgurUyEcx+IAEGKINaGu7BLKQbrIP2A36eq/mbma3q4ptdeNvmRhZ
2LkYRW4TgsfH2F98zLaiIqea7mPwDOiYVSv4WxpsCY2O2tcQ/5QV4f5PO7sBkq7wfCA+q/CrZEtU
MrFfgMxRINgtY7rev1ZrwgGoAqGmTS12pTcge/EG66pML6plrLQaQ4J0EwEvUgI9qeRRBo+YMNC9
Uqay2gEBofQFedcnYnQytzzue8U2qd4oHKL2IKjhTKlcidnBN75wMLUPq5vshrDuF7W8hNP7cvr0
yatc7FVvWIuZFxkfJC6txsQkPY+KZBS4df0yuqDh1bV0VNAqj3APgn29yPWJwd3pPuVkIneI8anj
DTCoMmIs14iEYkZFrbYdDPb0Vdzb0Nr12ZLXebmlTVfMb8X4ogp/JIH6/psyHRR9p3dIJf+m9igV
33r0UKQJ4AAY5T1N/3C4UjLym2NkuAA5AMBZ2pGdkhkjGMGoPqP8SaQyKrpfZKB0b0XIgT3oDH7y
Yk3ie3y1QFiolVmXXYgfWiXO/A/kiFlfUM+DiOZuRXDFvJsdGPfo2K0Jsy0vIvyc5LUi4QkbArLs
DlwnJz7SDiBBR1bl3P8Oml9xfK3E86Rcx0xYE7sI0tuwWhYwWxdNfyb8VabtATjsYTjU8JsNCy/q
Fgd4FOjOtghY2WSfhXCcpnc1dVPS+2ryr+PyrybQqQ/cLv+o85s20r189lvXRIagSD8yYieh2gAJ
5xzscbtt1Jeq4fcsriIywRDah2zcvWDUHiejQ6jGZIdoSgECDmpxWSr20C6uxrPJiLwNvZLclk6k
hR0+prcY6fNjVGw6fz8WR3JrOZDRTgTkI5V3k14LN/QCfNhO5A4/1u+4JvQBCxRJJgre7qb7oIyA
guN58MT80ivfIhl9MwVBUX6RszWnaPdlcoX1QP+1TApOTShSIzsNANksPKXuozVuTLw1y0i4poCE
JRRE4yYITii5kvmms9UrPaOU5il8gW15SHRvqR7NUUl1Di8I8VhV8+GXL0Q4FxedQYVCATq9mTAW
wDix66EhmfE30o5BtEUYzxMhITvt9mh+V5lxsVAx86T2d47akStLss4mL62/gZoBab/E+a3DnmhS
ck2HX40X2hbTewkL30DGqZ9QQEhvyCPnHCOu2ijWCmdVtC0F4vaKFZ7zldgec2WrU1rgWHiKXQGH
pCnkbBG05XFbxc4oxDxr95F6SYzzMZozL9xm+RY8xWswQjZURe9b5Vutn4vSTES11HXcRhJg6Njx
RbYrk2MneNdxRC0/uAR6MizYL5xfSHRjuczPWecYFHm37LoBV42ArjBeMpfqelfl81omIqQJXjLp
0SSSC9KIDmMjGc+UEOThlpSHUvVU+ihxTanjqVPXfnSorOMwoAm6LYCJmFnbNmO1xtgpV6919pHR
v97lbl27PctS9t4ZP53xXfZPUXZ6+YjK0caw1DgmN7bDpwiK49CfRhqjFzum0yVkqSDe0HkEeGyj
bzV8y7rr7b2PryqOhMSTnGjNqIMRda0nu5R2nQxn3cAo3YLBmvdWoWbA2LD0ZGRrn0zgvZzbjmKN
laJENo5AVs7vBJYXdRYHLvF0PV+ChvGXq6DO+JsYo8F6VNNGF+0hbIU2Qo7A+dvZ0fINGfhJKSU4
V2W7nqBTJHjuUrrnEdj6ToNrrzfkoQTZCb4DsLpnWeAPtS3mJcg6rNJQOAJpAR/RzaCjYAD+aNai
jf57FQA6kgUQXQ2GC78fHBkDQ8S0J0ae1boyVyE6iOGQqfhn0wvZX/3shQYOJV65k+8qkCAH+bNi
RgzRPhro6NPnksTD8R47XAeeZH2CFECcv/jptzhGhxE3/5TfhPYC8mVHAalJE9Q3wy3XpHkdJ8L+
sXR0lKFK0o/evsUep297qivil5G1rFSy4xO3TMFxtWcV4Ae2mbb8Jw33c3uWrLc8Y2eSOTTEvU8a
YlPeK18FV1myYewQ9EF0y9pLEYbEAwMJeRX4QssWk5zykRq/RgMaKF5atnBcwNnggBhnTwDnVfwg
/QPxxcrg1aC/Xho2WOUaBNvWrHkFwvqaNqCMczXkh6r5nw6OPk38aqrKZW+T2lv4f2qgoL7fDNax
mxZWjIMl68gtRmVseoQ+kACKY3L2VL1CjaPYgwe0tuA84e//F4z8hiYo3upeOtz/XaiQjTltMN8l
z1kxfislsfbSzsz3pbUNeIi7v1B9BCuojjMr+tKf4/FDV8dsdbaQSdXBl2S8IoVEs0YmSMAXXGyC
KucDmu2sI5+ZPV4WHhodu5bN78MG1t9JpnKilAsgupEmkMxnOhYgnj+y9Bcc2xGQa8CTQ+sT56ye
lf4qXUTmCNAv9IkE87qB4mVLKiqfalD8scWOEA3LhTKAads0IyFp4G3A0J3F1orGCEPUuV+3BE0h
cCWuGV0z7rTg1yQmzybLDoxz2o/s3TxNBQ8uQ1dvZE62ekz/uDqUNQlcLXF12xmkTEjbtUDIbooX
qH0a0OChHawtc7dINFOEWaMB5+aOTgDSSvZn/ya15TlKLAImiKMqvobyHXXLSglJKUPlyjWoOd16
YhMTYYc2IdeMXoKa4rJBnO4IBusvaORMJmTw0cnXaHpUxY+MfaUbH7r4UmNTAtE3HL0+MbX5+S2C
J+0RBSzgm05uY85mJ+ZfgUAJDcrj6KDjDs7+eulzQnGcBb6N0AzQ+q/hEcjsyO6qR8AKA5wlix/k
Oq61eY+CFXmiwieMgB/QjrAcWyR6egCTSft37Weq3mWCn5tsOxD3fRrKN52O8bIhxbb8waJUW54W
wuwfB9QnfNdV50J5BJKjZp+leYo81TGMl3Fjbn31LuQfcrSbWx1Jb0NYHhSehkTqNnIuswoVeGCA
4e2I9767Yg9dEGE5Qq7KnaMFb3JP2mz43VNZDwFBFZEjpNkqLV74pDiRF8SN/F5jF01HWXsh3lEp
z+l0X/7TlvAwQRhy5ECjmfAQIpINb1YZOxNLnUTeLOZV/caWoGJmXnJf96gjdelDhV6HIk2CvzH6
fMLUUmHmIs1j2cjoONLEbYsERAMhSrud1VDX5yARrhV/rXBEoTAo2kftA9BBHRXhPaIeXt4QM2st
eMcEHTwmbg6CRYQKTqxXI39jF1hlVLhjxNgkVFl5iNrhpRiJyXC1KywpSJqRrXpUpG8H6Hhrt/wq
oUFDAiEH4VeHqvHRwFAT2mWnyk+HQswIHzOb+NTPDJHv8wfkYZO8S3y/GI0QaKchC85eEEjWLFwM
AjMy8igtzgXtAnVz6sfnxDpNWQ/7kcJPuuYyDI8UDCADhYnK4SyhFiayInvSlPf8v/rxu0dysixC
aSmA5IIv65fl6tb60wN5nApDngzPpH4Liksjnlm+1eQnJB9YjN/C+cauL4WfY009IDcm8AWpXnCS
VLGssAGtWr+BhSM8Cq39hqIN2LodOxxcthC6CZd4w5HA3Vr1ZLIO31rdO8vPAsCKfk0CtuzOy1xP
IAsOnYUT6oJjgZiX0k1SS26BTNFXtJI4mftXGLZ6PmD2QwErbJ7AlRoTAW/ioNISM1D2slQnwLyE
IpqztUkjjong1ROak1Ryol9VkzwMihLz9st0eiKDVvyMHm+iBPgcaq9w8SLtoCWDZnai56eaRMIa
P/1xl1NGpBzb6ewzKzYfongRhXPO8peTCJvuOgcFs3XubdpQyqvcbfxZsYtq2wLxwOau4tpr+C3h
PxasaU1iCixphtsIdxOpz4b8J2f3mkytz0q4oYwikBGm95a0Gcfli0LRDPJlKAfgDspIq+pEQY8K
7VSQJI3kXiYvXBGZQ2Zqie7L+ahm3rLbhQQAOVh2on0ZXwzVSSfPKAjRq5jk671QbavMk5MNnhUG
oYpgHWL8ctQWvHfSCPzzbuiEsd0NJKtJItt+9KaYn12krAwgyUtgrlMHGjGwIYiWGQrd2Zg8ElQq
zuhW0TZdXqwPKTqRR7CuZqfDWWZHbq+4lnkIpKcQ/rTyPTJYbwh3ewgY5YgRBlEwkRH5YL6oGQKg
veozRMDDEREQUP4g3KwDwnA0yy28roTPcpv8TMEZIS1g3AuHgV1iecrQYoF5rNOSt2RbgJSUeyE9
1L1nZG4Cg5zUP2yBPPGxxeMefeMSC0O3s86ShgiONhpGk+Jmah41CFSOAX+IjNkO1llLJdFmM1mh
O6jvAwQTiWDxSzwe2vFW6JtMP4AcwTMRmMUTNVtbzDiUh8yuLl9j/v5MHKreRXaUbBKVjT0+tM2m
m+3Rndb8LOjtmzXfNp+nuR2trfAsgbLHXdu/McWjuFkR77UMwgmWeZWzw5pSMGAG+Em2dTMjwRmc
h/MBPlZwYaWxlfAVjFjSzOWpz1mAekaXNsYCagfk1mh7iwNEwzX1ha8MI+6uy1DTCcAa5kD+MvpE
d5RAt+c/0j/h/iPrVvN61dTAWoxgMf0V0YkfMXb7TTz+Nle6axjSVZttm8C52Fr0HMm4Jrx9MiYg
RF7majfDrrCNQTGhs7rPdBOCiRpA+lJ2ZGLAauhFucHTgIgVgmtgvVzDxcQHSXj41XPSP6dSZ9Xp
1oYvr9oGsA0RzVvCxFeG/zLskSewRc6gQ5gwV6K0n3h8J23cqJW66vsfQ8TadOBwxXrDi9tv9G2v
eRXzyUr3JpLi79bEBpCf9Gg7wb5KnynzGbS1wuZBKy6q8EcqnENZ4Rp0w+yAaUyRXxOWofmm9D/k
X3oaYZwLUpzuR4CIAQ2mEiFtr9juGyBmvn9EdmHyqBVQN+s40dcV0MYR4dca+3cipahVRME0Lm6z
VRF9kxQGzkqShWOt9XjfMERA0S17RTkz/zCQpGT79PDZ5Jc3u6y4WPXHMnCVPxxxbfQZGyzZJrtf
ziu/wPCjwykMrTEOxAuVrCMw5UGMsKzCCMGrx3qHmkhsHs3ypRjeM0o87iEUXWtN2yLhafG5jbvG
J2+WYbb2L7EAabEiqxwLz1P1fxFI4KI0oDFPS4k6F/gCWdtPA5ZErOLVPwStOdT6syZotZI/lQRy
fAvdNfQ3HoMu9aZH3t2b7CQiTR0KuokJm0fD33BwQkyR9wHeY/tOGB5kmzae+LYQRxR+kZUEynwp
6BMh5IS9C/XVUybtMrVlfVHiUA9adZXXJFyOjGZR6SJ/ERFCWL6CbgmkeznmGkqyodVAORf/s8PL
LGkby/yJxF2YX/32McG2L6muy3tC5zYjY12RE5Z+0xkD+Yvc+E4mrzvxPbqgFdMK/YBCMVK51qJL
bmOXnR2CmCkNkjOYteU4nUGA2mYRhrCxT+0jgvEgaWbeLYR34b+VPBDChHqqhFfld+e1QUW3HkF9
4BDCbkckaFXwVTkUmKjGZUTdo/EzDS8d+hHrjRe2IRXb31TKLSpfQKmwARkCB1iKFfWSjy8yR1/Y
vprq19cEVB3aqvqGHdsOlL/OHUBlafxUTsHqu2JJbaiJnYbGhkEqNKe5puGiRRYl0D8VcvQ16B4t
UhJ95ANFfG7x66Qk45f+NzT+3F/q7Ej1Xdr85flP5xNoVSK3756mRQ6ppzK/SY1qt185Z/BW4a14
j5DcYw79lSChSpJhDRN0hdeBx0v44MypSFfvNnRqUI9Utb/xsBuKE0ulcmBW4G79UaioIqh6uf1o
3z2P4n1h/6ONWAWwDKCGwxUCU7Qqm9wo+h6y9VAjMtR2CSeJyj9f81DxDi1iDUAmYpc2nf6hBV8Z
xCCZ3vyOAAq4f6FQiOd5VASiLnGZqbIW+h1nnqqfKMoD4z4v2gZiP7i83iyJ9Pg1q3gPkcetMveY
kvjzeSPczKPsSHYjlgmw0oi6gmgxVAAyKuA5G4ZTQB+p3msWMgf/YUp/c84+5qHhWM3BERUaiEtm
f7eqN27azUDX23xI8FoP6akPlwEkj1BFfjTVNhG8hCNJdzCKs/ZX9yURNbsurIuQA3CaSLbgfd5R
BVTlqcIjWPVfAG6UxDTRO4DaELNvqi5iKt5ms4T7GrzlkI9JY15k9wrhfgpAeb7NJ0fIL/m8bcnN
5juUf9PW529N0CT6qs0vkbgnkHulfy4NoX27Z2qjgLWQnLCm5ZDuyRoJf5CarKpXPrQxPlRrbtNp
s6A2fvdGKy2S9YUwcRErhPQjh9iZIBMC7IIonLiFAuNgkdHLwhC9J0h0h7s+we05rAFNz/Lko1uE
sFucficu5RkZl1C/kA48sYr57GVOP21qpDTyVZE8vUM2xfTB1LXMfqjLh7UQHKBDl1MfvWudUTwA
BtTfynlvJIdGZLljOJxOfXlEv+IAK4uwu8BNQvokYQLX1vtS72C6OLJ0rUQCeEc7DPAvYxNKuw/9
TyZoK922pifCN85kKzrcexKu8XwTIwE38DjTomcrhGyuZ3soj+RZNxRG84hx9WFu0oy/xSUhUKvM
z8+20cCD5xH6nBDKzryk8jM0rzySo7wls8EzocZUMj7oaADFeDfWRHYMZF3i64UcTa7LecrF1SNW
GP7CcitzTLHo9Y7AkySujhLkcAM3Uyo/gvVl1m/U6bH7Uf3c55tWimyt/VrCgYCPQzZerfjtXII+
fM770Qb6QKXvAyNiC+h9k+PdxKr2jf/Sg11kPZnW3GvdYdHFdZmnIG/oo/rYUF2GLEJaUf5Dxv5j
gey7+EXnT/V71OM3jv6ltq1dF+DTA9gnRoWFgRBvIc0fmdy7CVVTtDbxE8yGDQKXn0QLxSb4mpZv
Ne1MsQ/eIKQ95qKu+4Fj5Aw2tK3OfzEHMhTHEqUAl6zxaiHmCj0Sh+p0H0e/gXWVpWn1RToF0cTW
Rp/3fnP0v9kvuu9A3JNhV3jk1WuAeTNnHXZ6sgiBUSnDpFO1pNFkWzPkMTEOiegsUQuY9gC5/8F+
YCnsWm23Y4VbEUiwLKsNSlKrfGmK3+mtli9F5Q6QlzwL0lon6Xs+amj9m48a1ab8ZtjseOkNFKP2
0R19Zcep+Mqd0NUUCP3EwZo5JlcNAbn/bRFMOECGwonh8uDU/jWFLaOyzNcUpwhVBJPtGEJUYK1n
Pkv2MfJ2BmbmAvPfWKWJF8Rq55onTCCJCXlvz1Pxair1xWyP0yXxUHWq28YrPGAUrn2sLkdmBl/C
Gh/aEDx91fO9vZGDQJjEg99NJI2Q3HzT1cALCyIsWLbDr7B7ttLjHzptvbaI1kgXWflo5jCL8HBX
0SV0LVserAO5FpxfV513OpdOSy2jw6gxlucKwSszE0OClp5HH1iyRumYvnAXJUBDGTWwIQgw4Tmr
WkkXwFvA5rZIugZUJ5J2zB6RxSqP7wIAA+lM7xBcyIno6h7hgBg42L83LAOu2eyJ+3KiGTfBj1XS
avE5xTt2ZQoKB2lTCacFUOKvrJo0OUbO9gClXHRAfyrdH0xNR6YbzMoH0nbb/LPI98VGROTghb9y
BPXLmfNlKpveR3ETf0fdSchfwTgqzZ2+puhDY0ytPovxdWADXpjqRdcZDV9INThuFMRpgPnVu6T6
NrG+S/peX9mqY1o//3Z/EPmEhK81kSk6FBYPHwp1hiqw72Y9uz0cCjZyiIrXiZdfuCbiVSiPU7Jh
wNMRqBEb+yloDzkbodanVWj6JOH+xNpDyIq7NRB5DUXoCuu+XjjmQfhbJsMs+hHbc/PLsAulRt8n
39prDxAlDHfy3FezdkMzrBKkou/86KTIZ7HfR9kn8SaoaUZPDU+yTr8CpIrP7hZdYA+4B9KWgI/z
oHwu5EmTc0YwduuGQ6oGg1G2xaRsm8mRGsc/VNLtZ+BqaPWRZahHYl9XFdROwOtXIxqi7gmeF3iX
FW8R2M3mVyO+sM0YZNCK3gDihCawdMjJCHAMKf3bFP7I0qIJx1/zXqknK98uw8+YXxcRGHKjvt9N
4VVHndwKX9a0Tytx1WavkUaEEea0135+Exjv1WZyVLCayjg0/Xsj7PT4ZqWndNaARnnzhhvwIg4B
KOGNKrjLEcDIaMHa1JU3PosEC9euGYEkKHD5E4bL2LwrqPvUc5Vcgpmbb1P2blwwlhzSaQ03lFnI
CfrJzhHEdVBIa4WCKQCM5hANyG18N2jPs8iEezDMW6ffo/Avit8GqIQOeRfwJY9IrcGCseKq/Htw
y2SMY7Jc8wrxiwfVT9+uYew5ML4aBIpdxulcXWaBeD+KSK66chFEmr4U20Acvyhu0+auM52H4Wnh
5JZlyEpeGxSNiXINJJLoN8bkVmsuEljyewKxwkbdlrgO9Euq3NuJISJ5Rv1P0qEuv8ACoHVibRsx
v2nUnzXhny5s+mYvIXoG561sOdlaxeeypovNzTfuPx+jrjn+GrhCe9QRcHP3i5ZtQmdxxcY4yoeM
6z0WvpLxqzjB8i9Zicxepf69UEgGGM4M7WXkyAPqCHXatFpsix1hB5G1VxapBaVD0G8bo6Zj8qMu
3ztMlsVrz1ejSK+XMqR3jSo1MHaZWbv76zRjec4l0qVCz2DvXLYnr2GWaQ9ATLVL4QZibTStHE5B
wNNtrq3gl+AJF3q7RheNMhlDIeaW9o/01ZXKANJar+xOxLAL0hPXjNEBaUsILRajfPlYem2JP15V
WGwn+SREV6uCuecsWMBmKu6bXdtcyuTYkONf7EKX6ZQLYPTANvRkPWGfK7laFoyEek+8DgtBjm5z
QVYUvhApwc+PMokwSR+wYJFp2HxezV0kD3euv0R93TUObLR6qXKU5a9pzGyT4nLPAMF3wfgyFRx5
GHUW6qerGOjABmVnGTGgClEkU4e3zGxqsRHCDfiRVj/MemSU+JFYbo1nr8P8Gt9KC0m9UsotGF4M
FRVQkKjhCJvDE7eXBcYcoqQBeYsUVDGbSn9OxlMBLJCT0paFc887o5VvwK5cjshpK5vZt3pdluse
bmTMH8GgwM3R0s6/oOt8jUtZuXqA2W1W/XhpVQb11dKlprpqtZViGqIwSEQRZoXmjw0BKcpKqjLH
IAN05gfR2IQbai7qd1PtSW/Zz09+/wV2sLhQ2LXFaOA54AitWStW2lm2LkSYdN1PIb729Ucu7Mp2
E5JcAYyJvA9+VCeZwbU6faUwf4/5UQ9eoA9sCZqn42ioS14qSByxBntHnFHjUhTEt8m/6PlvUDPu
JAdN2HUV1hUkNXgLiSdmGbEX+CK4B9wTJIwHTe9NXBaxQwDLeCWdfNmBSRQmOoXfEGLY53dOu58R
2CiRnH54CEyXMM6SskWwHShumNqmhykcZN0//1NYzJeIsZSgGRN8GjGSqHw24Dv+C1QqKdWoq3Vo
J6MIbZMjOs7bNUHtdk1E2IA43TABTsg3m01tl86ovWv0J7LEsfzRt53LTumQiVPzGzdEwP0bAyyq
cajMgzgO9HssEvnO154MsJg5SvOzr9zC6RxkD82y43mXCALDMoeTDVmNjNQO1zVJeCvMEfKOarlp
ITkcXRxWv981+elDQwqJSLGYDbbY0SCGYyG5ttMNZKwAUQ2Na6fco9Vvz/SPixrZELiRW23C7Ui0
ePla+fvEOqHU5KMnDwfjbzL2C9CwSLlnnwaD9MMIXyL1u5VfZmR7qg1YELUbPXXl75TNzkHIkmF3
cXQCQChYh4wuUYYON0M5KL1Hri46cWraiPGqlQNqfzTy2HdaA7qM61aJvJSlKQJ4bZDUYjmBMMqD
1pOlGdMgmleO8V1VvvFVhBa3NudLPVKLhSx2As4Z3yoUQHzR0A9riCYGGFZBIP8BoE/qbha36FCf
BwfBSegkBmSfM0Dj4c1il4Ic2ARe3/8O5WvE+mHqdpm9xAbycO2KOBnvrxOz8QbL+cRUXYsrtWBX
XrNmkzYBiAXShsiQwX2Al1Ueo/qRQBz1rbIeqhdzetcJdhQjEll+s5BuFhfpgaMUP1NbIczjaaVi
W2DEFhPggdU7YSuVXLhtWG+W58tkFY3KYmua85Znzenkk0z1eHeF8GfQ2pqfKCuWA82v+GTvA2uT
PJ9LQj7ChZsJS9zE5UfSn5fz1Uf5R5yj/Sugp1DTL1/6TWLOpBDlR3Pk0wPlRcV3oL9FgxGiIA4R
VGuPSgkV3KO279epYax66aYQ0xuMN6PYKuYVY0KN1SFQyVq85SO8HySIcUeCS7oYR3+8IzKJSLaP
qeXqwsPtpBZJjwv+b63/fXK5suEdp0QRSRFvu1mf8AHCPnP1AXPAFyy4oMqtWx1lb3aN6SK4Io6u
dWZ8yukf7LwevxMnECDXF9WrSVd8cRBSFFQUe9HRwQDoc32UmbSemsoNJ2YE5JSl+Or7P+GUuz0e
QsSVqvCjWn9R8RoQicDNz+eqxC7Bb6tJ2dExxePEmTncEzZUzMSz9LZMjUr0SG1Glubyg7asqFlB
IjsZb7SEEZVA7fh4ArzoEIi0P8Xsoc5Zvoi2wqmnyoTokA5D01oGcPgt+BiyeSgs9Fz9ccJ5neQ4
9oluylEtp5im533BGRhyssC11muiX5YZLE82w5kTBlMTUf+fFAeg91p9hSjXuESdktubBDDAftOx
OOEr03J6IeMESO3tuFi7a1q9wOKDTwnVbjKSClhgfGCjkV9Uf8dbLnzxtIUM59b4k4K7WABeIUCu
WTbf/gys3RAvxFsfkrO02EYI1arZQ5CMftJ0ggZgM5anGSSgb41VMLyj4BZsLiOox8WwAmU8bBbi
oI2erbE4TM3srQmWfCILKANrDK96My+yeahDhHHYIT3dz73euKo56Yb404ii/iboDbXNQljq1zH5
GBeyhLN2gW9r/DHpYeJbLMYvnnVeXcAOfQ9To8Pq1VzhabhcrkoFd/GVPwMDTK/947LiIYrWTTwx
2ss21Sp2gnlzGsE6mFDl5kOfTrMXbBv5XVhH3qwdFyCjSj3f49aF31tEQhKZPh2KDArYyPNA2MLV
ZZr3aPkhuOtzouDATH3Xrx+yAMuioLkkcafGuHXpAnQu5l/SEtCg/NFoPiZvRnzhS3MI9PO5LBB+
mKvX2j/1ts898KVqT2B7Krdxce19B8kyLRSkSTmSNK+jgR+H74/8Q/x9m+XQCJGWQmQxbLTKL3+F
5w4vGLynYuzMaD9qQJUDqJj8mJRLJhBmTNXJoDfeIFdI4/ZNiDznAmzosBfbkslRGqJOdBJqfdOt
UqKc5+HozZxKNIzZ1av61evfi7Naj95zzH58MiKcfrqcFLyeb/RjI01AJMRqBsZBiis/qQXQ21x7
9ERFsV9OgtogCWmdInUxp6c88Ekk2OKNR14TkN2gWFKf9ABY2iVWT0J2KMU/o3hRljgj6M7gI6l+
xjogU4ZnN9w32aVhr2f5JKGk2mnJS57h/vUmuv28GoA6EllH+RwztOgJrzBQDu/7a1Ueq+raad8m
/+HTTBcbCoJUWkCvml2kRbjABLyy7E5hyOJ25I9YXFNUrFkpluB9vvW9IL3P4Y0gnxihcrv3+2uq
LOAqebLhTD4B7GFFwAOynmA774wOQxA3QBMqrO0y9FHiDPBjFZxAfKIHnmQRarKbdG0YFQfl5Jmi
sFnyvjQU+TrHBb8CXQyONljsFcz2pFyNcPwtw7zIcFXY3+aCknO3RSSILe8PLNiE1hZBV5WuOihE
bjybWhfkdRAt3afhF2QHItpLqaTmHZmtfI2stqbQfookdpE3UuG0+sOXPjtlV9QXiHq1vOGYMazP
JDX48wV3ilk8+nCliLYF99m6Aduln/eYzybbhGDyh3fchADHIHIPNlnSrEAYmRjP+IcrbM78zAHm
5ggaWJZfNF34p/HWZiC5E21bdgFJl8j9yjooHbVibCysQXq1XzYhf8YqtCvpHoEzpj/+qCNtg+Np
5E0ZHxJxqwkuSb/i26xtyOvVTbZfpKE8k+r8MJCCppt8i5tDPhA8uCxHmIwnolIQd7aha/Tt1opu
aoNorIVJ31D6wdMUBbhm4brXw/KziBz5DHdmDwKKKp4SDsy9Tm9+su4t1oOCb3mZh+l3W43Cp1Bu
kixkbH5phDvxU8Ob6Z9waA4REZmT/R9J57UjuZEF0S8iQG9ey3tvuvuFqGpD7z2/XidHwApYaVcz
PVVk5jURJzoHvbcTThwTrb+az7W4maHdnVtMghjxuwblF5aHGXnqevFqJFKlbozD0+zUouXwGJQb
SAUVNrGMDIjq3rsWwvJDF79Um4oT/GfFzAa7plBVWRS25fBLbcrXSL/LYtd85SkNl7aXDP4QFVd7
GzBiKXD7XVy+j/jLD1HKMIltF421i9u/vLiqqD3gY/FswfokI+DE5Q2kCfU6YEdKLbaw5ixD8iGR
KTEbUfnw7eMNok4DXrJS3Xya8O2DoNBtEggzHKOvHr/g5N2lhI4yECl+Sn6lob1bw1V8HaX56IJ9
zh4mWjrlUlexmW3SYRcx9NWE/pRdoynbBJTQiAH7DVsuxOxZQk6SuKMwRiIHTIOF9oQ3IY5T6PPs
nB04LqCzmSM/SMmws0Pjsun08MTDtS4wy+VrmKa58g40ygpnK8mvsv1uNKaPpKPohIIIpFPOwiC3
kJCiiPT8bxueGNck0pRrLK5jAmyLi6vui5Q06RqJd//vgfe4ajv6inQOJBCtnWH+Mmj18guDDJ2b
Pp5rzgEKLLItwXo0JvL3YL/oJIlzOCYuA79vc/gI1Zch1zOjfGpsDgDkMJYcdq0TQCpgEIR4VYw9
vfxPfKeB9IQ9Oe2xeQAewkS95njmi6gJLWP8iaMioZk3VnqwIDDMjT9s6SN3/kx9y6mQSU8XXYWV
y5MhffLJSCJdnSYubk9ZeDBzvvmajiaCSbKM5uEiBMTASkZDO48yJ/AIAlpbxjurXzq1S+5fRomB
AzicGQMu5uISokQyY+PxotBpaAPDzRDtY0iQ3o7/RIyBQvSILRWDrT3VkLBTShptBlHK8pnDzCx7
pVRrsjkr5jLWeMhajSYmQin/EyQox1F0UD/EZHQiOIsJT/E2kH9Sho6h1CIYCae1zD+iXlPbq5Ax
ccCTAet2e62+WcZfwMbBr88sWVwPLBhSQvsUdDvfPXvVHSsaA+85uZhkwkr8vnR27ifMO6FIYbLI
YoKrIMpebrv3zb3WnEoGQclPBNN0WFUlZWVtz7RKROj82jOQpe4PAs1pTLsZBjnKHCA/oRgJIHc2
juglRcfbVio2Ksx9KdLMGsHzSQWdVUhfWqVNSuuD4NNxLNfkuyKpHOepjT4kvoHwxhAwY2SeFPjX
UfLRUaAJT41L5asYDqpdXDKrhm+fg8jxeRmikfDS6jcP/hzjppY32b07f8NiIFN6QxFJACo2XTH+
c9wttXqJg4xjY3JpQcK+GXAUm5AwmsYx2A/sBQaDsO45izWBDzN+WnVmahtcEiG99EQ3dyyqJfdD
qNet9qGNF9V4Cj/fyIml1t9Ys0TDTj8cJl+S//aHRzdg1dqSBdzycvBQqqiDK5uQDo7qFOu9cw0q
nEn7vj9bQzhNum56Z1sX/FVoRKtHHJzTMoCb8dITYE+TnBL7Ci4cMQimvhV4a/cPNSN0UvCKJkuz
4ZbWV7n8YrBAHbYYNYZhyw6JfSZ/BFzOw93Y1va54IrWUO2JUPiVzsUsHeuLKj/96seOCBKdo9Hd
dd0yaMXk0JubM6m8+s6ZX0UGbVHoE8QmExUBAL5Gg9ytHLURzhK3Y21ecjWtFXXTQSxHowsVC7sG
99lU4a5+wdj2D3J3IGiPRp7npC4RSCzs7qPCs8lFJe5lpgVItBZyuotjuLucZwA+vR/V6hmeY8zj
3ejNMyBBb3LSEcBKW+0JKah0MXu9yVOV80Oe8+4wWJe+rfpjdO5MT2t2LTYdWD8eSmYsLpP/R5yc
OwaJXYmtY7wPxVoaVq16SzCzheXEILCAqF8Irxdqpln1ic4L4CYwr2zpzIXKY1QuA6ZKxuxq7UwV
tZ05LPtTg7Xw3la3mJv16DtX3xbNRIH0kd81hT2GzV8FYRPOQRDK4S6p1iiZ2nwbSgfg2JMSM62y
ymK06pyWBnEMiAHF964FzlTTF0awdtPPqnEmg+OtLKZYQvBbu3xV0pwPTpRdGcgB4TVHzCA9xcwK
t8PEZvWguwfxSXjqZ2JtsxHAJFv/YZ8F5azqPisT/iall+UQB7Pj6x38E94HtMolSrUQrXfNXsKW
QNhFcw25hZQfpGje9A8LdQuMdrK6Pu+srtPzMMunSrQu8mOq0mwdxR8gDJ7ksqAFY9Gr3FmJAQ9m
s8GRgbDF6r/7VcD4iGYeaeyJcfI0gtRYSKcKzwbqeEKWlTGf+zb7hQmJhmTrxWxzTszgNI872+EB
SV4kUTp6NZWTz0S/JDBjDehRnv6dVgctv476l4+ETUUT19wpqNCCSB/g3oJuRiEU1AudF7zY1zOS
lUk8dQlK0EBrEmUGJUzF6cN4S/nNtUuNrz+cp0yTXYxIUXxTGOBW+cZuTmyu7qB2J4bxruR9ip+4
JmGP88r7GIqHitZRyJ9UHsZUQ2FrIF1nVN2yW0ebgDKOw7RA6h3mays7GmjCgyXBFBQNLJnBArK9
8bdhQsj2NZGZ1U5fjh0CJ+IkH8iSR4VVuV9OuJd4cxnborWbgTvwi42uX4VwRQ4+xGfrdJiPylsd
vJwEfyAjuxLszAyiKzf715C/FWvTAL6J36W66od1ENyH7plUH1L6G9bv1OAWYt8wlGuL2yl0kTsc
UVPhPtrWxTNjPk0ew79uUVEhdpMQDLeY+pi7PStOkA+98sfG05rWt5FZEs37oKcscN6ecsyKraEP
TGe/iMVq0TbJzVvOtgwcuMDT4LM03X2LVMTfyMzjQ+I2MX9E0W9hz8cAE+nCAo6ornzR/Z+q7Ch1
d9uYZzbAgewcJyt7QrOSHyP9r5HNqY2V8NtE3ne35sYcnp9Y/rr+T9efEXuO4iO1Nq1zKzC2kPjA
dOXFc1YUSJKtpRvQN/IxVBsxHDLQSZDYQZOl+Qv0FIN42lENFM8QZfkQH6p0Y+Zi490OT/EiYv0Y
mGNiYFagUdGBEELoW++QB0JSHgWb1lb/4ZsZ5UODosazUe2peCQWSiFusK2a7bVkGY5HWXvkElHs
I8/il48cg+3SQgGOaMyTnWF8ZOlnPO4tbY+hsIw+Eo6w3D6juoG9uqRi0NWlaSEwOrX1qu9PuYVy
wVlE+Z0IhBQlBG15BXP7fysWCxIO+yTeiPl/zfGkGwuR+BKRPjJv6i+bdDJwUUIGiZK0MReIpTqC
S0A6SUe8BwNWZyomEtCUa9kBHvqsSh47oRMVu0iOr/lo0K7QRlRhTdboT2++yf2aRQzf5uRjN6c+
IyJl25sr4eQLvzTcx7h9Qem6SyFOjvx93y6ldum0LBqhaKAszr1TjQSK6ufb+oi2nrYVjn5yUsVv
XFdrW1556qrTJ2m51OQ38RhOfQogYaPaAbC7kG0SSO4ZexWE5ZMS/Quj8lBd/VLr15iUxCHNHs9q
fzPvCnefkVsgs8Hhbgiyq20hSGVbUS2qh1WtQ0ZsHjGtF8s44tSI3xkIEpmJOAOowvs32XTs/3UH
zCHlI4xbdJqPQV0aKkUKPcOiKb8S5LdgufsDi9pW3ZBAwIZjjUAXKQN7p2lOaXon8WeqFytNoxDZ
9s0vJRxCUia7/LBBeolDZL8dA4t7mHHRcFeZXrBg1gQj4xAk31wPfnKzIP9I/5grUbdj24qmKmTe
qyxHOFo3T97nPMQmy2Grx6X5OTDNsGBcK+UZ8VQir1JZ4FSlaOcsaGJqa2+BaAxbm1Z8nOreX9ke
hDgAIgRybT6nf9fTUczAwvTTIntBeJpG4LwGtrfk0+iYRGG5xvI57pP6kuY31wBw9V2XAmB1yBGp
m0ztKh32ztvOTxrSamljkR/kHxhqJtEah40fQBc71vqOWimpOIQwJuHizZfySyYgCPmGI4gPwH+I
hWACeIMGEPc/ubu1qcQJZCiZIslcOzVLnx6uB9tpKrsUlcq+DCASiZkIrz9aRXy0fJ6L0Tz24IVQ
nubmOmt3lg/ojYRHeIfdI6eKc1SuApb9Gol8K8w9ardhwJ+j32uYjekMzkQ7E/f6MiD8L8pwR8az
sXqCEnOTt3igCxI9Yo3B1hxaoh2fmgpKnJ8y4l8K2qDDOE2wWMsBk0i18wrGECfNJCDvzUs/9TEr
sevmgKwRh2rKV9lgClg2zZ+HyZpiiUTiGsUySgdct2KbmnpXjU/Hd069sh4W+sLxsMtnaIfquWc9
fr9l/v90hnH3owutRmkTb/7jsgNDJTlrUc518rZzNtCnQ5KcEkTVzk9n/YmfwYRp4RbetKrOVcaY
ce5SIt6KGZrH7Fv0nQ3QsPYWMquU1BccZTnf4U+HRaQOsHIcXjltOejnXrqPwJwt7THEG887o1G0
5b2mCSc1IxFvG4iUi6VOTHO265V73Txi51k5iE+vmXzw3HUe7C2Gh9MShNwaBdukzn4iru+xuhT6
XNd+rfQv1cAzkNmzqOuvsLg78Vt1bvLEn3vNmcSG6bDQplH2KbNVEDpHE12D1adUWxmm1WfT7DXg
NcHWEvm0C9x1bnpvmQ0oJTHbPEZETLLplqaeddIMjBjrzgeqOUO0PAP8wimLlWX05g0zKWb+fr3R
qQm0eml8s3KFWYPGEBqQMIybc14E65sRENNcVDnkBZh7y75VySXuvoPhlKk/XaCu6+pSlxorZXBA
hPDo1ivudmN6qNjUxtx6IyuCXLnJVxP9Q7L+d3WyGfOugnyVmE8DvWG/AiTNI30AcqaVVzvbtbQP
pZMvAN4AyWKMLPoUtfnWMWwMT8F+qbtl1R7r+CwDAst2MiNQhln2zMD6EXrM9Dgr3VTAlw2KL17K
ZMl9HbaHdtiNFXrbGMIxrxRzMxkM1oEjwKQGQ1gRXHzjj0MBZoqlr4iwcb1fTgMEdb8jIo2eoS6F
iosdUv9tqZlHpocdi8dI/YQ2YLCGrCoqu24bRZtmXGMumAZ/cYWI6Nm6rLS++2qtsKzDB9/Nc+R5
+jPmF9ZPQ/CWkq3KYdGBGOyvLROUQqaaBbWgI7t10h/JPeXGohqRI7H82gmvq4ppp1i3Eve1xZl9
+Cejkm5Mj6ZpAXtz0cRb1Vvb0kM1yIlZYtVYR7i+DNQcDS9QfAbypzUo5gWU9jwGx4wRME2CYHjg
MxVOgE4G1rcjRyvdBQNQ0SXyyDnEibR9dljdq3RrKTtQcWW+t/JzM4FJiBYBPEx+U6sLW/8cy7mF
3nwWJgvuUHRSdXcgmXXgfpEbAnKoHVlUQ7v7aKgYs+JWVR8D9Xx1scqLwyWqqSvYgQlDugiNjhhU
FdLFUO/kA1nNIfDLadJ/tjoH1vjNml9Au2vUMsjz7bbCCbeB3m6uGX937ScJC1NcCimjPgYTuANp
CbXi7FzdAX/Bish2uHJny/2z9f2IPjrvEPdxYsl+P/Hzo0omsoY4gbprpYdbpzk5/Q625sDiHX47
08yofUYe5111sGnkVTIm2uBoMq3P0xr50FPT1lK2SfSDcGCP5VKdJ3Nsz0Kz4B0ktA6hEBXQX0SL
JF1CRxe+Ga1/WoxZIxAUUyQxGVNnWMfddjRXRMab6Ukp9iFSLelk0sHliM0fhvGlDJdEWqfO1oDf
VTEgVaqF5BfQoGwAG2j+sATWB0rCaWp+KZwClvsp9mXgelGnWulH0B2BdEy0ZD8WmwhTSYx2h9Z7
3mln+/XvAxyuWGrn5P+F7l52rl37gvTCFSO5e6TVqYK8DylzuhQtkx5dhZ855MWRsXJW7lNxXgFS
lwosMq8EJ2O3sAw8elvP/xHEuRIyQLZJ8UA62odXyUv03M6mqlFGwT53rGk+b5KjX13ySriFzE2D
lWNQn7r7Xdm/yGZmNYJAC7m3OFX0+sgaxA5pa2fUyNCrwNhqPdN0HMsKQERSmFwUx5teY1F+qXlh
zF1iP/JnH0NPtXAM0V/IIPb4tn1YOj55JA0CFpfHstehZWA4Sflba2f3G7//6eyC6TQOGnpWLGYs
VUqYnMJCnZBafBgJfUcsVC0inip3ifYHVxK/t0aFwHYjUK+estVpuG3jZBJuJfR8CGWg4/LzZj5Y
A4KdpsQeK+YmYeCQMh5rmJvlHflk4AjNhZesM9xu9k4co5UzVxasZz7q4Rk2a5v2qL/BiowlkPYG
ayWNNcA4cDzuqV8S5m9o/eMSZP2ZRcOU80W2djlpDzOUx6316YpGHQIU66e5Aw1Zhiu71S5q8Ejx
B1nY7tgyBieofUNwyJtFZT/Q0CC753XE0uoMFyW4QZd2mJuqvnvI1ZcIa+EEaihVYAk0DEuBPyX9
WWoOcvRArzrzmTODmYq2yEoD81RN/QWWcQODOfHs7sqrZ0zq/EW9svWDT9u90u15GB2p2ROQGw1i
YxkljLglWuiaDh46rgi9AZ6IwxVxtGH7SITBPn6yNNMCkA5UY/YTGTp3VBOfdOMZZ7xKFnLg6BjH
N4QUMH1VEKAuUAJr54vFRcQaHioVRTIw4X96IZ9XOjo09YKJFV1eEmMmWHjuo9eA8h6GZgUGKkLR
1JUra69ne2t2pz+0J+Oc/HTqCQuzDPE5yzZiFrwBqqFRrGeb1r/ZSN4lZ9a5pCp9ITIMpwwkg7Po
5dGUqQxm1UNpMCp/1EgfvBVLu7zfiSofJ6rE28Ybz8M5thtp2IKp5WHUYOrBTzOs1eOLqEC4jnKH
OPsUt8tMELagEjn3OFkI919+6Uhq9tbcGu9fPonRuTEZ4tUBmQ3X9h+wD7kuUFsWkRbymYxYd2DK
/QneAlZWz7CnKRb/DLC9TJazyc1oaDVRBhPq6Amt5AJuHs0zz2TrEDu3aqMzK5OnBh+c5hkRI7wI
z3hmvCH++B2FBOsJnwOUT9xw7izr94O/iUu6ZzGShaTUHgm0T9ul1gNGgh1CVA3oebz1uKuVZskf
GyJNlzyHcG/HWyToLpgDe2UjdDIvOEemVc3GbeehkYcInmibAACxQUjlgUUG83hZPYQVk152IkTK
U7xBUuYPwIQ4RuXfUdwPsxo5jBhPIlHpouWYfKQA75xqGwwbYUBWirkwM6v2Nq/OgUYWMyx/xJ0g
bHhcy3uFP5fscop0mfjKgnZh41j0aagHBjorVvscVWp7JosjHy5ZQ+C9xy5SgClYRkgG5wWi+f+l
0QolEd9eD2EUkHo+lx64lNtyOd4gRXqoTNP+WurgSrx9UL97Z9kKxyz7R++dJgslP5rJhnAYLJL4
TZGo38Z8JgYvbjKTqPHVfRQ/O5aagApUZamQm0mzR69ogKISYv5BuTXGh/BihV8Zqm97PItuzgoO
0iycKu3eQ2blEQry8Ir1qKxs994/Uoau0lFyr2WxtZydbCzDEJszcMx6QHBxiYWa22cGEz4fgAXY
/Pfad+CcTBbNkfUZLv0lpMMx+CkkjrbMnPbSXwzTL1sVDThHhMFVjnvPuaTyVu/IDqSLA7d7kIe1
I89koBCD0Pop+6Z+7/kYaurSqjyBPcyGc0GWT68fw3gvI7HVT4hf4qKeMAkQ12+orXl5i+KLfBq+
6oiFgUcIlcCL+Tyt3Vz4KrPqlRA7qFL0c2qCQ8sQGDDtLSgMvWxZ08AK/aR0rBB6SFfxB2wgCSTy
crCfHlGmAdZLNUHCAhUxWiFAb0q0jcPKiBaS+tAZBRCCIgYvxc5CSkYjZOFz9NfkyU1qmkCUZ23A
XdY+dR8ivHsMs6UGx7V3sEBg21OQuwEYZJ7YxtxQ9tGcQcojFTyKpjaHKINJAS4QkyTu8wQ7ZTAs
WY1xlTLBWTbBitxgrTxjb+7p6O3yDYdPKOHt6yhqlZY1qXEROube+RYtdrcu4HdUX3rTzVPsmm/e
EvfcNts22SvaXdiGmdh60dbsN6oO/nlG7spY/+rFR2O+PdQOGWJbpYLAzOjDKBaDPjfMj4FlKug7
X12Kti0wLsK9pBczyduXzoH19rJCecxaB0yBqJMV+9wpHwzvLbQBHjQ+lsAcocUjMxZd+lt0dwqi
+EqlG9ZwT4WuNwj+auUSuI/kdwyPb5KIuwW6zXT8zVraGiFn3YaEN6TrkM9LJo6KsZvWbPJkWjm4
wGSW1RvAVBAhmURk9mnk0mYNSNRm+6A7ZmZnJkdYIxEATTQ7cnoko2QR85D21UV299D9hKYLxhp1
NP9agHhlwQSWLA4eNb4KUcppKq/YXtChGEPnmGUMFO2slJ+p9Fk7NxzMBoMH9Zr6nxXQVvOGzqAR
N3CAsxx99Ea3SXm4y9G6EaMBEzVtfY6LTYp0BmyxTlU9vLMKEaozY7/k/XbkrVigHNHzCGk4iDiK
Hov/iZjRPuTIYUcNRYv9ODwtLziIekOO3iz8YX+gWu3WDPnnZDwMzLSaXaItCybMKkXnd+Vv9Byp
LNqueMX2xzH2wCUndbERfkW212KiTYtvnksQHEoItFh7aOW6bgQ32YgXbcIPRMbIXzmzoc+q69h7
mQI/4u0p1vkPxHajIT9ynQPm7NjK3lNFYDVZBFi3WgWqe7M8lR0ayzjuY48hcphlU5WO3IQh3DkC
wIWKaxGtaRVcVIs09MFJ1g5qzeuWQvnc2UAgGF34xl4YpqPqSzzm0Zx/vejmND+wkdWMJQbIRebH
5RGMuxhuasGFgAK62Fo7OUBwM6oADYEDJCuxWQi1X7W+JB2NDitsREv+epbvgvRgWEeMi0TF3j22
ctQz07ag5ZLw/Fo0K9Cvy+AhaYfaRZvYsVb/0uNl6rGcCjBCEXgNokHSkSIxkVN2g8nOhaFXkf60
cJDUHSM5Lbj7xiWLVqa6KaRrlaGt2BgoXSBH2hs7QeijzZkr41bkzKjCbd7+DtS/SXiIW5TgKe2o
9SojDuli3RMTRFqZ6LA05VUmKRiZz5irzyJEq2VhCm1LDwbsJe6jNIuXqrDrJA57jR6MtUuHMzLc
liZIqbzkQ5xlnXcrDftQSeFfUxZfJJdwV3mpPjMk5TSOwnVErZik8p+mOyc/GR+JDICqVIA0MM9X
Q/RjvrStuYjLfE3c80GxVoOevbvxqyNN0ubL1XpyuTzpYMKSHzPzWSXg0fx2aTPP8Qtvm8G4D5Nk
X1JJBnLDSlW5oxefNrj4wcR0FxslKdhVpIX439KI3A1MlgX0C3fcdb7KZYoNpNBXDsuUpuWBKyMO
zWFBa71A/z9VA22/9/vm0MrNwXKUpZfbl05NZBYuDefvPEcbqPkSuhkMoW108ftxKSk6uFFnKUeU
m1J/VNlFIsmwMwcykbVoa3PR02cJ1mbHWVPK9Y+th6warLPliN0OvURM/jnCNwfd2JBkayvALwrk
D5m5z9TJzC+FCil2gEVn9sAX+3mYQZOxhmU2onMhe9a1kV6BlnS9cpmPbIBZRdXqm8NYaruVkpA5
qA2bTpb2sZ/u8jYgOGxcxcgEG4QPise9yRZhSDqy1xxeKqQ/arJocm3Z0HMWAF4Dnd44i05jYt9b
B6tHaxqnfOz2fpgvDQ+wL3pkK1ZmfSFic3IauhGtYYzwUdqbwUZPeCKosBJ8b7RgTvIR4z7pvf7g
YQqCtrkzYAjIUTGvLZiicB/FGiMLlXPlgGEjo4x44kXEaxT4xa7j0aAwAaCnkmlZLMPMwngGlgi0
PdziRWsD0mJ9MSok1wsRUEkWjcJNqeD5ttudor8k+T0CVMnF2fOjWABsLCIIKnhaFUtPJqYuFYXO
BRhRKbG0Ben46f6IsiRGtmKw1+9Poc+0nNVSiNrQN2iTUAZGNotyg7Uf1Eb2FjpzYz08OPFHTl81
OHTOBG30B6lG/0Aw5GhCpwGtVWN0NhiomqyJhxGdWA3zOYlmYUOH04N3Za2eJ/pUJZvCBhc2cGer
lBvOy0G7VJAOpiAl7BAoiN9Hp8PKnU+XYr/Jm7kfKRMDwxUnsCfTG9NpBuPCHbdD/FmM1YIfdE7M
5jw2kNeNFLrtj14zU2JMEh5ta+cG2xTXB8NUKuUZ0iStYrfO+WHhV+hFN+rffGNlKWSAsbkktp6K
8KsdLxTdSfTI8fg2ZJAFFiI7ZhPI0AKpm3l+sqxId7D5RGK8HjEZABOXQZkr2yEeOwshwrDWAbh5
ybxC26kzCJES+c5EseFYFB/vKLg2RCFIMPAt1NWWzseGdl78cAENbZxxPmjPlgyjTsgv+QVzk1Il
pA8VkpaYtEEWYySaDB6Sd+weAzVVA29vwH7Ndd1mM6+T5mqA3tbtFykSvBGvgJWucp/1Y8V4jaYS
YXaORCEYqEpAA6no2VMFYComygQIVCsqNR6lErkWegEIAmgeWj5zPV1pQL1yN9rppTJPyoFugwaO
weC8MK9lzh4s+M0AH5vMMFSecEH3MupkNrLOzUQEpEMfXfEBcriDLyyHS1DTGdOJKBZjN2SmGckZ
DlKHHO26BcXOgmDsUy+jv6r/9ORlYyUWdIpKZR7MslJUrOzvlfhZtiBntS0Mrxvk+opOGCAQJWL6
LQVMihmRKx2XGBPtvKI0tNCB9UM198Dt1a862VoA0HrmXRW7OZlbO+Nn1QCRaLK16lp5Yoc1yopw
ihkLV1PGm1KXqGi/WuXte7BEEz7mc2eTYkorWc3VHlvISDhAp27j8qM2cYWxRujqd+c+2/7g+PfY
OebaI1P3VfChFJ9AK+zyLsV7Hn6N9lLpqVIMGhbG/EgTcpV6sAIzQP9R0xL0/H3WL5pK58pAQtG7
G6d1WU/96B0Y4O63QbQmJqhiJiKHj5h7Jrd4gPBTnlO+lCQ69QUbffWV2sweYuWeh+BdYY5gtZiF
kBTcFLNBRigBso0MingvfwuqBctMw9wrEKUGC9jxwC16T3NEfQHf3XvsTpb5laCGjkd3Lswfjh6g
K3kbEFX+fPXWNApkC2ZuPsNYiEk1LscgeAUVU3sioYg2SP+6BvGkidpB+awwGuSAQ5RfJfqzmUrl
Xyky0JBm7iYnb1wKXAGkQ56l6KiUML0+A1TVwoSnXoIQ7DrmPaXMZpEKmC2ZrEccocWr1e9mf+OT
6PCCsDIGLRdJBHIF09TY9PLZy28JQbrAj8ItEbCKSY4QbyBbbxKPsvXAeEj2lwmb2eikRMcWotak
UT9khfZfWvgsBGO+I+AXFn2chkOtqJYGerZBmyaBO7XZBNRUoX4BP1omRETK4YhhIJX5LHBU1mwL
DPuDf4TQD+uT+Uo4ZfqMqsVeajz0/6TYMVo/TOYaN3Zj+wvNM7cp/a5h5TOfUZwLyTaKK/ZKECP7
L7cVaMB4UrMHVhkq0BQiGCYUkYU2f3kDSQRutuqzYhWVM5EfQiNisXFHVnFkVCVFhKkcdGLYaDOS
FXlvUKNBLE+shP6h25NzMyCh7BbZBp/jmCxgM4uKXb3zb0rZvBhOZrjzgosEXg9Ne7OVcS/i6tGz
debA7bvH5c8I7lUC+9kwpjCUm3jIk/yrxJbi8SNnTs9fEsm6EETYhxMhGzB1iulyw2RchaiD0FWo
dE+xDEo/QKGu37WwmGntSXezhaZcJP0ukS6pqW/FvZnJW/E+WZWPZvrv6Kl8nOAmZTtSqBzdU92/
cuMzLQ+N5cE/MgjaoD381ThBsnOQEvX2p/oHnURS8Vqmya9s3VXrXfVb1T3mwGesbYoQRtGYLv7G
Zb4Y1EcU7aRwXfD5Vt5cC+yFqaGJUP5aht/uE9YZUNjS3fJZBvaOaQJrO5Yx9VZ2dkTx4Luv7G2J
3TK5FuKaDV46fd+g3ZT8M0kQ2f7xZ3aGXaZfeUOG8SPjmk2H7w4hX1J8AfqNoysKwxEupnzQ7YqA
btKS1bXV3yvqgIT0w0rT9zaLFGb+tcKJ+Clz/YQ420vnJDfMqPZucTGb77RYFb2NwZe+JcDER2h8
OnLts5kq8rvqW7wx9zR7DgM4qO5q1BdRISgyWtxFhn1TOaVRMjP9napcWuNaM0OJ4RZfWpN0s429
UL1D2F5UivdhGxb0cgcS0vl3C3vdgbYYTz7zEVe9avZnmStTgzs1jo4Y2tgnOjK7wGPJ6VVeB/87
SV5KsmKn2eiXBH03zboxHtV6jQNPU7cyaSFKuHXlAVPtsmiegYzYcRdHJzvbWO7FZ/AG1a5ztyWr
yvaQFwu9Ar6waYyL1iCylO+jeevQLyjpAQp6SctoKwxvqmOGYYcP3lWedbqp8n2sfAbjQe6vOgdB
E9x5ZBSOAfzPhfOrOsZOGRGzcWOKP45GL1ql75a1rhXdGJqAYQ+8P6l9MJZXhn0Qsjid5GARKMk8
bWeyrMO8yBLFw3DI7LLLbrlyI14IAezRDLEg4TscTxJYSLG0uJn2umYYpO9ivL7hIndYVxg7dttD
85Gwke9w/NDZCr0rdWO0dI0j/6WMTrJzMxnF2gYjypQTHWlCfDLKu2Ue/BLm0NkvtomPin/dj0gi
V8D1bP/kI18kMsLRjqFhz1yZKnzJJcda3EL120PL77qzGb8BO8R8o1mDLo8slz6n1uL0bK8EYefp
bwxfs/iJuP6Sve8F8wbFgu1bM8V9uPqqLdGgLAosS85LKt+D9xrDp2njTZV2TnKiO5gtqUB82MYl
Z2mm/eTcNTYerB41TZWh5enCecB2K/NeRk8+NKUeaThoO7P4MPjk1NOBRqwffOUV+Y+sfZrmPR9Y
wMzLdI4ZyB22dbtT4y+d7Xx69PyLwa9ByjYDBbXZ6+1N5l4JvzkcK2OmengSpgFrKTB69THX9wxY
KibFGAiRmSJIeCUoKG334rBAq9xLqFA/wd1Qr6r7I/MFZHeeiCK56A1f6F/OrAwRI1+9hkgXzG2z
0RGWezy1J7vfeu5Lrza5wnws+xq871peGh3j73zf9YeQuJh2HYZHeMY08Ha3IqMOczUHfPQr3qbm
VDV7T92p5Qc9tgzRMwyfEvxNyihd+26bRygvC1STrDWcbZyxIV4H6oNnNc6/q3KNLK+3yRxNJhkS
JIIlcJKQaszw5BFgtlHA2innAudkwlncwoYEZwupfWrCeU6ghzEKnVEW5rY3DW2bWdWveMHE8CCv
mRXuQ2ObKkuOtkZ/5GQAoF80kr+SNX5AxiQd4BQlCmgdfrJc2RCG7Elr2WTahSKV08TuNlX7iQ+i
HplxbVxlx/DQwVUdeh8qM24q4EnVYRXmr7HXZ02YTOmoyVRd2w2Bo9qvLgIVqGk6tH0R/FrZFip7
TlTLOtvpxWCwkG/88CbaNH7YtnzTpXrw3G3GsKIwalGMWiV5GS7qq10a/2o4klrGvwHGQiO4dcMH
7V1G+ROewuRMUFvqLopCmB4Sj632zo6uevzbKKz35c9e/86N7/84Oq/tVpEtin4RY1BkXo9ysBzk
IPuF4QhFkSni1/ekH07fvp2sI4mqHdaaqy7/agT9xUoMpAoek+HHU+MKg+vSH3bGz5J5mNOH9c3V
sd7ggrVUIQbD/OQJwypj9A/bRLiJl5QsqewQBcdcH6IWlNlOEOjjA6/ajTPZ8E9aXYOAYfctCS/Z
a0PuAlRFE8YdEjsq+eIvC68dSt/qm1uU3/wQP5VwcADVLIxZSMYPFVMRyTLxzMv1vC1QA0IoPZ44
Crt/PDRJ/cYzkNn3Bsas8nVirpftLXc/FYSjPsv47MOEpkZpjg1/UpOlu3lxsMa2d1zH1B8NuHFE
uGSjQybj06lxJLChYR/1jw0e9A2LlCC5409S/zllQMQ5MfkoVw4u+ZKo03QF7MM42BMuCg7GLK5Y
o7RcCDwyE1J46d/2TjVtnClFDxJ+9Pn8FnrWa2U2DJlYVlrzZxD1C+vwMeASsFA4d3lxmfiVXfSr
Yuomfeeut7GNDgHYoPTY2jaPbImY4ztqXCqI6eAqGHHhmB/yoD55I7VBVZ4jVPR5wJY4AKZnIPpG
CjCCqiyz5sHzo4dz1eXnzvUXN9YmMQsX/Y73kPoOyjnyrfgl6PdSSAFaWtY+U3s7b0/jYJ8HQ+Gh
+zcH0Xaeqq3BkDL0UxCGqCgTCCHJbYxoUXzMgGgLcLTuXFfv8p4QiqYivtoV66p/gkC2n/3kIqL4
sQ26Rz1C4AgnWu6zzq8xUOn+U4fzpac40gkgAWVuOkrTrhqPtfwwUQzkE3UtfKfO2hUyu8uJZK8L
tCkuwmFC3bz+PuKsFzTrZn/FIFD591M87nNGezoBIoLUamKpY8MASvWnWT4u8l2JC0aRGlco61/N
EtGwnlUzwQGb3lRa4NyZzx0aDjFimtTncH6RWbyeC6KRShJ5yPNSzrQyK40qeTq06qvHFcbIRpEp
gdVvz0e5LTOMKtFijSu/Y2DItKMV9hX15zIMIRMUqpWFvC7eKX5QXhJSS6M7AVHHSLx2LIRdgOuN
ftqG5Jd5RH65tIYuxViF0NG3cC0jq2jJm+lroPz+hmxmziM+aGaxFnVjNIKeiOqZHS4BRHror6aB
/a/LOHdab3jC5NbnT0Yz70pJUlkXn20xHYO2u+JPnMvxjDzzbGYTD5S4Lwr9SAO8c0ipw1mDaxRS
xEhOPfyEMn0yyfarA+Mtm4aroX/HQO4H330Br+sG05MVZ6e+ivcOOVoaY6/O7HPtNM9Gnf4aGXFX
3iLvbYdz+OKP1Wc9ENPrDV9pW1wrwXeHuhSb/xB0D4MxXgYhLoU3XxKFxJhTUifE7LEJC73FJmxP
3y18p45ko0WDb24QPhSkIGV19tk2FYcIa4uRSAYKmuAaQgYbadGRzPXhk4AmVrssyWEt+4W86ZrV
0R2gs08mBBth5B8kvWLuXw9SPU+J+ZfZNuAv1V/a8G8Uw7UPnMfScSHR9mvPmfcDyd+FO6xDc7zH
YYYqwoQ2ZjsI8Sgvel503rvsFFBBl0hAXanWEd/pwTPAz/rvKB5w8uSfdnQGLsN2y10kMA5kzDYk
uknAKzHeLFlfCbWBCW2f87i+diHms9yxbuWk+pN1D3Wf27Qub/EwN9iov0dj+hkHglEQKB5qsHNn
rsyQqXzI+DDrun9NvZQbiHSyknC2WgXyHEXziy9zshsm+UgAIsImw/lXkuqbaBxxAydoUROwa7Nv
FdhyiKTZwaG5Os0+pXpZzRWrGsdtjlV6swmpChHWAx4gr0XuAyvZO3N0tIPm0EyQe6GtIPnUVXqy
aGm7DNUX+pM8YN0e5Mc5cUk3GqD1OXsPOkVo3vWkTUU27jsYJBXrEdRVvEO7oJWHckjXc4XTXjeP
5oRxPE0An8QrnCUH3x7OXgwr3zTWUeK9S6BcWZSv5MBzRvatObS7xuuIzMQh3PZ0YelZ0rBNsjyC
1XkSBLjz5d/MPpZkRyBDfa6dbj91WJ868yjSt7Hnyy0a8TR347uZtOR80Gqnyb0pxHeNSLc4BVGE
shCIcD1u6qw7LFIAxvIdbxpzR7LXAMiP6tOLWa477DvS5iGummMv5++ZhASe8YfQ8Q5jx125INg8
bminWhd9j10JbzxqGJHPd63B5+3OZycxT25snTofuoeErk+B4LPdd9KPAdpVBmMpR6aSTNTYHqSf
4dxV6aVO5XEAOTkKJLegEbAORtV0NzJsTFy9t6dua8TQmtxyl0IIyHV4oavBn3WIjfqy/N8eUGpf
paQID6w45MXtonvNTr4Z500WGAz5xkObtmiE9HFmBRgw9axB4RMZvwWqRBSp8FYa1H4WiwerAaxz
n5THLNlG9oX4ZP6YOAf4D333YJW00cxZ9IUs0AbskZTf1Yg+D9z5FP609luztJH5Z2ns/OhWmS++
+4i3RiTPoxQMgQFaROeG+XdTf0nGUbHqGbIz2PLedeOtM4YH00PCOZbAmqyFsfIhdYSJgLPKAhNS
FjZgU+CgCB/wz3bhceBgj+VHZz8s8Ho3YoZiHh1cXn3xukw24/AppF+wQWuM7UOvlxfkMBmtSV5t
G/Bn/mfMYauZnbNhp8FOOnIOYZnY8lHjHqMq0hP69jvSs/DkUwedE4In4prxfg2CWG1b44MfQvZC
8hoUzxUXT4Xf1idmV69CLkmnDRGTn/Pp0a83nbmfaWepfDUJ207zqsSej6PNjkZ0L+LPxvmzbOTl
z77zWTtXz6Z3hd5roty1r5b84fuexxCvP3KwlrH/BtMN39Hcohk7b+VCkrsrgRLWiVyD6O9GpmXM
5r0tsnFMMCYrYqUuIyovN4E+zqCgwMBg+KSxdBW5fzzgofHP6+AS4kfRUDi0D20da/ZAqu6c3VKP
CdIfvxFGQKHBOPZovfSgIy2useDOyJ5LZsdBjyFE4osbQDa3iz/61hI2alEgcVnXy6yNqbA7f9mA
MCsmakT2OMT4GMGHrxCjsS/KYyROUbP6SpORY1mtk9LbZATxNKznPCMjozrcRA+jzUJOhXs5dZjx
0ITz5qIrJXGBp4h9zqiLnRtl21Qvztlm6zG/Dnr6hemA9INENBbEZHMoHLx2dAO1TOoDSNgCSHF8
BJs8MmGPUhstkl7FHgEa2N7DpyH4TXIuRZNtGOQdh1GyG48snV54+9OtRNzWEZ9V7kX2aFgvUZqz
o/jM01/TuomOhuIhGg9k64bblKMi8C5p8FG5wIHib2d6CPJ7fCesECnk5woqsfxa0G4Wlrbubuwe
CnYwE+ur//ttOrkgf4/lv0G8FsD+ZrqlHg5CVr8WMa7vG2VUHvzE5ptnwRN5URzV4tr1bGE0nn4v
p0VCaj68ev7Z52NIovbkGT+ZJk74NVGPM20zQRmz/cLTEQSnxHiU83MMm5oBSmZ9KpYO8XyLS+yv
cKrZ6nPSrFLPXXGhMjNn82zcCINCjH5NctxNBpSQ28hSNkDYx+MYfnaluZ2VwMP13KCTabLfkXSW
XnDoyj83d1n8sfqeDIycK8MhqIoZaZU9o4PXKF5c7yPNeGlzDESTPCuGst2v8iHcI+1gnYndBTH9
WupszQ5vW3rh06Sz3fJV6pJ6szDItNjE1BrL6K0Nqr0bo2EcIXyJnjxYSKgK9SnCWGszW8mGqRJm
mQQbD/Y/q9iElXUIDVIH0fOOHleq6NaTGx0Tpk3R4JxGVW089qmVAdCMHFQvZCTpDNuUK3iAiOuk
I0kg/LV2seEfRW3eDfHwOLKNy1weFszPOQmeY6IO9MykF5Hl1AesrK9xynk5OxfpVHuBfMOIUM1T
Yvgi2QZmvuVVkzlebMuGWnmod0XqbeYgQ/gi3isJ66QeCQ6HfBfspsG9xA1erTJhA7IIIFjJxC8x
VItAIdRj7Dug/qA8WFdxutH11U0UqYyk2iVobuQ2mdnyYVeOXBR2CHwzGmjTNKANqq3FbyEdecLt
6FQX9zIozligQY7Uxtabw1f+1QG6J6GieE691WyiCrDgglgQsWoF+5qYK0ghrgMVDhBCDpBpttAD
jxzAyCMzFkblwKoNC06VbeAWrVq4YO4yetb1uqTEoTZL9HkkASYthouW8yZH5VGkkO9itv+9WA96
2gxDdDSYAKHNFcClGn7eOPh7CcLTzbpdMPlAPVmx2+Z9xyxtjvJNuGrIL3EiZ2ME02YKyVeny/aA
VNLgbNxq2E8DthcUGTqU2x50pInUVfoW4qUZF86d56FcZ/ddgnqLdbCrmQQxspiCl1Skx7wO9vQl
nVmu/Y7oN8O/tW24NhlMUqfzi6AKvibpfpzbYxKQ/7majbNHQ+dRVimWjxMzkBDwj0ktGROc/jsw
CXJQnAyLRfnPUG9mxdRJjesBX6zy2Q9hVAwldrj+q4ZJU91Dpg3YwdneqlxW1KpDWMx+l4i2RN38
moDiD8lyf8Ip6nf3TvfmsSUqo0PrPSn32zE+enp+ZVLNiMdGXVO8u5jzT65QW/sxie/iUrElnHte
U3upXONZps2B+Uy5USRRF628W1rDqprXIX6dkZCU8skGKNNvs/S+B6mQyXdrfG7El5/d2f2vW+xH
+WYa29R+DkjwLHbKfGia7zw4LGP3qRwOJp2cbZzTYQ3CPBKvEcTg+tHt1CYnWUXU34qdmdQI7oLP
TpwX01EMLh0FqBl8FQOK8KeQjYaLyjByFslJvNJduQl9QtffE9tdDYzyFLu5wf02F28mBqatk3dH
aeCbkxSUr6H50hpixf8AvIcV4e6cEM0StgT3sS7wIOYnT5C9gDqONtCDPklJ4gkcgmZLeBFJ4Q0R
xmzBlh+T55gn/In1ZEiDsUy891KiP7d7ctavdvgwpTD2KS41sG8ciGwgkGKZXv7TsRsXdnvQHKGG
clnNy23GNrLHa2RcWoHGb9DHuCGFJYVtEMcMcOHuw4osIWM0ll43+PeckXWY91JwH7Zhx/693Yli
3o2hvRlGE23quK2q9mrYHxHHtM/gFUy5DIeVHaaov9pdWNvb3ovWdiS3QjvrXgXbvqrRZH/YE20J
XJwwvLTyJbKSf3P4kJU+Un0fyue4bfAemEHEoWrje8i+dYfhTfHyWeWNLXUgaHVnIMyHWOrsvlTO
A6Nhc8p4w5dSA7sHGXtDSHAKKuIaGSmbXHCTsOrJJqGxLtC55Mm0yyOG9vF7gdwpRVYRO28WWmFU
VjXpZ3Nd7icdgkdxN6OCz4TaQs7kO04jge2I7zG7VjXZZiRqkNObW4i2CgzrbK5K1vAhx2NvMpnW
qFD+RirQgdSj5TxJ4VaP7H7xvy1r9qafuIVfNRuiImDN4s6bdopWY9US+4eRkhenMVt0ZExmbJ0l
ihbrZGU8ypTXxiqx+AtcdbSiOyVfqxT1G0YOyjttnPoenNBPxYastDDe5H+WpvQW73PXEZ4Ur1Ga
LQPVats3/j+HDnweia4z5L7y5w13FrlAZw232yNptIq7czMEp6DFYmF1O0lwxpSDDnUqwXKDPUx2
7lVCElTXcwnM9yDn3pGC5Eyd3ck6lqK4s/z2XvLC6YiblF7Pd9uHzHE+p7y+q4CCzeLeEbBhfB6N
f1aNL2K56N3M2M4d10zLqKQZL9nQ7aqOXKVMXOIwuda9eF2cR7ZE5Gil8hRkPBRmhS2EiHrrsjwB
IrX2/WT+kN99F5UxOLNg35gTD5qG8eWBWZMXT0C9K+vjMHsPs3MXhcnXrMprxGAqN9o35nVMnktI
/BqkRNT9gGxMdHvNSgcFBcA5fqohpu9lMNjp7qJC+ErpwgtoLjHx1dlL2AHZCtEtZy95mG58bFEq
HV+7sgVzQrUy3DKgLa3hHLKJHTmKKGRVmAvVtC3j9t5KKkTqWXviATr3wkNn4nCmIUl2xbtAiLHY
DIzm3fTZXbkDpNv5JCp1YJCKAgvRetg8SI9e0+UGm5rmrqERlSlZdl52650GcUZs/7RBvXXj+M2J
3ddIDE8Ru7jQfCYA4CnjTZoMUFsh87R/cmd5nCsBzSMBr98DmgbtMCXLvJM74QNL1c5seNVlc3HF
8j2g7CzEcxkihhHTS2gQ5zJatE2VzN78Od0FDpWx5/wNcXkws3orBrlthuhpLP1XfuxVOfHFRhEV
14gFB7SbRgarLqfY97zhPgyx6XWU8my8HhvZcuqg+o0xHDYV5EWk3In9nbQkhzXkBvnGucqCbVA9
wvBfB+RBKB62lD1nW7dnHyoWnfqyNaueYtTjE1s0u6vxEj/Z8/gwp1jFsPMZDSryBW+aECaPgIhh
fJoBO2FF2XPDCUvelf18QwpHfT7d8c1Hm3gzsTtnjDdZW24mUuQ7l2Zu9q8KAYVppeBc1R0+6m0A
UNErrnmc73CWG/F004gU0sTZonFl0UuufNQ8z4zxu5joS8s6Tyq8czWTuI4pcXmKZgLDBxim0BU9
sKLeiPDH5lis7a+ZZk5gzooG868xs40Y3H3a26dJ2S9ZbG7dzj1UFVtPMloB/aM82OYyfhZaX9BB
/MWls7YTfdBw4/1h2/N164lQh9Ge6eRQoxRJ0GalpIspK9vOrv5KdLAd/Cckfuu+zi4NtY0sz1NY
sCBi4cFUFmb5wcfKNbkx49D8oezJJqijl2ksjDUFyf3gnUUoiIyXgH8ETRvTK9PrKJnJkkYXbY/5
JUjbx7HcEyMLR3KMjEteAAm1EaR8BcG4t3l+5xynIfANydY4IBpXcdkXMxKXWZzrAVtcZyLkdU/4
sN/czv8b/3yCTa2AeZRzx2ZUQL9gwrdygvtm8J6mxb6p3d9lumap6GSxX6iT+qGe/bMZmZfSnLBi
Tjs9AuLySMYu+4dFPFDTVQ3GDBO6eAgK6HoFSConMLa21+5F1T7EA1AGzNkizPSWZuRfCzBAxBGQ
Qh8qo73VoAnE1J/ACXf+vO6d4K1ssIJG7G9K1a6YSaB8mzfBpSiQXQfUqzHmBHwrykEXpatriFJN
5qgN0BbaN7dvtiOZB9xWrPtSb6WC7tizg4ZhLyYFtiYk9BwXhwrZiHfRU1fTRaTdsK7z6TyyEiLx
/bPW5MS1p6DI927Ynu2xP2Q2dGZmlr2bnpsEaWZHmHtwV4949M4iQZ9UsL8aXAJyqoM2oPpy6RgS
1Y/HHF9bK/LUc3x9JZcgmQcV6wLd6Uv0miFYTKfvrsq31RSuQMnZo97nc7lVaKcm6RB1FcAWsMFM
WKu+8bam2W8r8Oulywefs+uK2p3pIH4px3UOgT8fdzSTh5bUXc2M3yPmu6Ujx4d5rgmmMunKagwL
pXr3QSe2GIDAmAYfdQDF/WakJZ0U2giBIjlO1nzEW5l5TP/ydbQYJ1H81a0Gt/A+ks0QrYmeD/Hr
aSi1E5jxpequGGySHDXQiLpMFdyFuICrTjInsRfJGiLs+lM3qLKQb0maWpt01kLi2KhgO86MwdjM
Swy2guYoJ796TnBQ9+n2zbfh6phc2DqEeVNjHUS+ikiSmoHIlO++ORcsuoPkY0q/2vnWLyOiHIyh
h9EHnh+/zc/C6NYlRS5XFy69kn1juQ1sbJ3eyWQNJZuA+QwDd9NFnf1syWRviEfLI6mvkRqaNgVi
YgtSdjqL3Od8CRskoqHsZnwIIR2YcGB9VUbVH4oWR18okQG5HRBrD9b+WN78JkjWjk29nrzls/dl
p/o9AwmzFqZc+zOGX23V/Pw0/rCtlNKrEPeyIePHDxSK0gD+yWDwagEfWQoxR+tYj14N5CwPGNaU
gOZqfgulcikDfQTZhakg0eTVRdT6oYUEGdcS0W5X+Futz0bEFWY5Y7Dyc1SeBoGq/bxsVTK+ZIkD
L2WWQbUtiB+xM2HtJbiTsK441QSi70Chw0ydImVfTNk5uiLZe1w+pKFSTEL4jWJF3CLSqtEbfEbb
at36UXsuMRdavkNyJ1Zmw3e+6sEH1ToS5Bhlz8Ins8JQ3TfQvnWfeVslrE1gYVZmwLQKaBAKiWzA
+/H6BQ4i5ZknaaEgewBtq2hvJfC4qH+xNpNJH4SIYeWH9ot7VRnPynEB7cT0/OU5GfQ5det9NlRU
0R5CgnaezgH+rSTrD7yxYpvm1DzO+BBo/5oWEYQOK+pB0aXXMEkefZFvVI5Xf/ZsWnVtsi5BHIDn
H9AkQsDBQM4gAsLixgU9SvCA9OCHxNI/xHiaLYFjo9bBXa7AYWlQ9iaBG4PF2NpyE1SByx+KImVl
6gMoiEfuEBNRr5sGx6ZjrZpUV2t0/2zvkUQO4IyGS/RP/DCbcMdT760nxtbyoPvzytOrtnJ4TOPn
mBOZwCa53BUOZDQ74UsS1892WmFDccedk/Fw2e1wMvze3oXFSeo0P+VdtAt8xsi5T48VZ+awH/P4
XFegV6SMkI2vA+7N1RjD+UxNoPhFRiDYnGVbMSWAPqQN+D3qN7rBpxgwqV7Zk9PtGp6iekk8cpuv
uPPVJk7mRYOe75W70GugP47WPK+nGY+mt6icyOUSnRy2ujDGTVCNP0Odf2uLSA5PtLToTPEtxvRm
+tKQ+n3I5oBArsz+jcBS1h7L6i5iZ2u3+dGsEYn5zA/roL4Tqmap3kHDlQpAl/I1tDCcFAELgZX9
Sgn9E+sSB4uakTeIz2JAoj1U67Rg9tbE7ndbVcOmAQlpurxNHXytAVKJmMlczImnaPPMgnuj0I6G
7N+99B138vPsdxZG9Zz+iSA0c2bNPYno3UUIUM7xd5OjaFU2SXUp4u0wz29Vn3p7W0bnomSR5gHP
qifAi43v7SNWLOu+oKGzHedqQphj17cTZItWPmB9xmjzvtLmL8qNOXuuZ4RDUwx+cZSzTT08X4KB
mU7bD7hrBbUQkUK5/HQzGK1D9NxbMHMT1puiRGTZi3gzJoR6GDz3jva+Uqs/pQ1JBMXsEqWIccKq
/4Yo+psE84CRukBWiOdqRVuKcqCIJaxk/9LSaq19Ezl+aH5ETHvGEUlPallrZ1rU1BbGZWmHx9oG
dy4M/z2Em9dDpGmdqwpoJmw3+uWsybmwGFS0Ty5eE9FPP8KuDdAmxAtCzbJ8UBFcYFlkzmxEMmqS
8GVoeTKK8SP1sBmnM7mwwvHvyupZMZ7y0l4g+ebjcHzGf8aupCr+F/jeyi5jQPwm0cJGQ8iaMIro
HGNTsyHKBQuLbS5zVj7ZcOvDeuMCs4pyg4YN7XQXW1Q2pcZ721doKtqaauEpVOXJdwBdt8Rwp0qC
sulRz0aljxZp2I6Fw0JzSgFPzPZ5DKBbWFVy7zrv0gYHEEUgR6NF1x0QGwEhIQVFLRzejRoChu+P
T9quzrZjmet6JsyU7VbrQ7GxWAEHNP1ZVr+xpr3PgxIocGQcLJDaYeecSt5xTk5mTm0WXXu+PDA/
obIaNg4Ot63Xs78eIyp4z2B/Vsg7y3BmIlUe6//fidpJN1ZjH1XH3KhtCEvrNCIP13iokdVllF3M
T/EsdDn2rpHexg/cDj3oU82MIUM8g4WtI+jFxXs41Hjfl0pIafc1bBF3hv1BxBW+U+TvTczUSzT6
KROYfVqLYiVvZphM4HoQXQmnfHeSmC3aGGOqU5I2qoH6RejQNOuDLVt7XRic7DWuOneKSMRm9GIU
SG+G4CNtESmOZsGq3nVqNCB3/UwgiBWEjOUNiHNIkOMeF6IJrXt5HwmhX3uowFqveWrR+8BZYrPk
hOWtiBq2YDYDuuSh8c1flgPXoGkIWAy3RPsi3g+HHD0oLjrP43T3BcrByI/3kk1O2ZJDpnKiHWTT
HXkuMSsmGNLahagzWlAw4AJOaYG6uQ+DNQqAl8zUZ6FdsEVEgnBWHx3EvzRrt4LHlO2YWiWSrI+q
NZuNaRIzrOWP25NaMFk1PR84XrZv9aphXlwb7p4njk3ZyFc9GsGQ9+z9szRm7YChySqNTal8/r4j
0PChe6sn4ozC5htZLZPVFo6jgpSblOq1t5jSGh4eQ5f+yY8jJL3MhnoeH2Y0T05WZOse8ysFeLka
BoxFYdrFbCPEFYxo6Utz5TZhRkAxc8WCbFoUiyipUwb1tVURbylCABJzv8FjOEW5udbdj1tEFIFO
f3M5peoWjk3HnsdtnGuByL+3C0DlU+9tJl3CQgge49FfAsZnaAM92+oMyUbSmrfUpjJyxKAQQqPM
61DUUnfPG6vQN4xzykmhPnjxo121DgcZ8iWV+CevY/sbsRrrZtWs+JJiyu4vqclI23JdfNuWC2Yr
OxLDgNmQhVZvtHej5f5EM/uH3v01ptZk3zoy/c8Ykzmeu6+yQz5AkNftd2UgUJnDhbFPp9KZN8Sv
M3tAN8x2hhe8UTBAjZN8E52csFxDvgg1hQz3kDNNVXiRzWNm1ksGCGCopMM3NPTjcwV7wFFsunGR
EztkpfPqadYqw/MZYSN0kNG6MnlxAzveezYzS9mH3i5tM5ZaPR6IsHYOEVfq2YAal+Xpu124D1Nj
Endd/yQtV6ahLP4b+kuWlcs3bYY6Il+qQkznpniIy4hPw2RO042w1fwAohQtax+XmKusmIhMbBKm
ZCEyF5J5ICjMsYyJ9YUrIKaa44DYzGBmwKba02A5L22UA+Jx8PbKwiyWWpHvDRv4tGsr/IsjnvSp
/PDTJYQxZ89g4aGAuMs43YyfbKt6Y+8yeZRzRgqHp29cBorRYxbYEa4B8WxFzDtrNV6SPiBWJrKd
TT+oO9VoxlaBvLfUiBeLuiuW7B2ypgWe0XUEwTCfrswPsijkqvSsiudyxFU1ND+YF1HHzliNzMje
KD/RxyjzHiutP8teMWlDvbdrkTX0nUdXNnoPvo+EeChLbFG0IWEWiF3UUcGZTNsqDnWnJMNXp/Ey
2zAIX9XBco0CvhtD+ep2yY9v62lrNudZYRHqKJT/eSyY6XAATWmXJ5JhQN7RTDb6zpir+9Hwcbfa
KlhbKYFsEXSRlg4xjXJmRAOmJrtlwqBCNLjT0bM1iT0iZN4SmPfKpIC3Y3irBQ10k6GOxBwYyYLV
XtztScNZK9uA5CLoezuLWOUhXVXItFditL9Gu2NNitEgnGkzjdTeVG1/BNf+aSUhRuuGFZQq4KyZ
XChYhxyb9lMvUriG7AEnrkzggd5z5KDvlknwL2gDLIHVnK8tY1P4061Pvow6fy+M+l2nDAuiECdL
KdtbkMSY2zQff9w6L8J9Tgvo3tBeiQv0OY8GvRHK+pspXXmMuRFSo1klpJ3qEYah0naIlCbfZbLc
520L6RCXAdbP0sADZ4ZiO5EljeXxX5tA34juqqGB2wqbc/n7Q0mZiMyQ0I7zsATjaYdJuUKYtwYt
HYXQfNvKOKSL0iJZtMlJhFvHXerrmalytRjcu7b9IHL920fDZM7BSfTZeujcBr0axQjjlXXXE2EZ
lFTI0yCuY8yCnBR3ZgffjhsI4Fq8ujz88vKRWMKJUMpEIgFiIAkXg2hbuZS8zBFZMpE74Iv7NrA/
UFJ+VXN99cxumzJfWmXDo2H3izqyBQ1YvhUjCIOEvVYbz8gGsqUPHDFI24K8bg0zRepdB7gBdUk7
gJvMU5wk3rANY1gekzSIDe9YwPqgljrrTJLbAKKyTmn9kp4W2kpYF7ephrYmkJo4ByutfJwoRb4p
DN5eP8XXrAJnLwxukWGwRtJn433QBQiuTRufVBBs5wpnHKKv25gXX0nJvGluWJIgmXwLyhbLmbMz
xpSwzyBk5cHMURbR/v9/Tst4Q8zzU5mbz3ZsPbPB+MagfupcKmvLpi3Mi/+7pH2SFLzN7CL7Jd/d
glFppn9x59239TVlUACghi/ZNPe32ph/CxtVjIlFMVIv40Dv4zT6pbRxdBeUZe3MLkg9WrVDOmD2
UZLsGNTlOpxhAhRMCLrcRVMSujsNUTbnv/7PW36ybUCHMrlNJrYhhGPMDIsW0opS60oY9LfWsAsM
YgZsGwteGqI5ME1OK/4t5lVfbeJ856hZpUxuSR5Crr26Az5Ox8u8degiuysl7skKmSEXF8tflp0c
BU0XxOs6aT887GVFgn+4tpFlJl7/PVTGSxumya5866J0JHvtjBfg00tmWswWSEvN2iApGUHFyQBT
MVS/pHhYi2rGkvQ+zNBf6Vn3CgEkEiflUP6tug5rJwCNk9P38QbAK1gg3yEg3ixJ7j1jJ/ztdfIo
HfOoVYe5mwKmdKEVWF3r4ERGNKTGMN7kHldLstEeqZc+ZoQqCvd1SONSDUG+cV0ubn/5Smn3Gd/u
vRUN7Trv+czCQL/YPQKy2f82DddiuwVxnLPKnT50jJfUxa63ijU/ktsnAwWVX2xFczl1Ij/Vg77l
4UseO0dVFKsMndrkpdx2Y8YYEFN4yQ40K8ppM9d04tlY/XWNfxPxvonsB17RScUYFEcPYRuEYubX
cltOI6VHx4hmUOLXJo000uz35rA8ynBappDg0Ize39s+4ig1QE2fKQY7Ox7XfkSRbPcU20kcsY8a
1zVcU8f3bs3gQFO1nXLNjTSy3rfYY3J1sdfjzG37aWXzkpgPx/GGKPpn12SIya7zJYbmQxTKxJ5j
UfK52U3/x9mZLMetZGn6Va5p3ciCY3S0VeaCjGCQjKDEQaSku4HxShQc8zw+Wm/7xfqDMquKQhIR
bbTMxZVIweHTgfs5/yBJjlRD3lOfrrzztAtZ8c2obUru7FMhfOAL/Q9DI9ZVAZehYRovnQLJx8pl
tbUFN3/LocTZqr2dcPYYQlmeBXpS0Pv5BCYuCqU96R7nwEwVXGWEednY/azSAarDx56G0kx0TmYZ
5rLIf04VYI40FVzm7fqzEwMnAjBwmQ/mjUdQhzHJyJQ+I+eYCVS/dDth34KEaI9CZyFJnCfI+KRk
RMsylLsCDcyhgDmV2BcDag6m0m8zC6B44WvoJQ2YVbYNOikFWrKFTu2lscftUOEWy1lQhNnWVYUP
sPDPpH6cbI79cWzCmDMQPTChrMIGZa/Z1FCzFFH9GhWNrMoBLLCnCyu/FgMmz00A9kir3Suu1psg
ZTkmFrmQPkKvSAVkjPqGahGpODgRs+RbIAEwZmP/JA3XvS647LsR+WlS5NEE0tWBSl+3WXRTd9p9
QxzbxUP5bJaU24TLc22nzfcD5fw6MpkvPefEKsaHwM3zK29w92WbzwDrT1muu9chBcxzOxf7URGr
ChVUl5wPL7UKT+ggI8mr+xpXBVygkgB1Wnu03IupJnyZyfDN08G2Om6pzrxcShL40NAA/m7tiO0R
Gqgd5y3aHT0rk5KX/gm9g2gzZBDOKg8Li7z/MRUc9Rq/vG01SE0xZc1c4vWYYzeTxeDxwrapr63W
vpNjlz9kgNEo4reUsD5y10FZX0cO2VewPJodEX/c6hmmYlPxjdwWxyxTkrPhiD5O0Dz1BD4jH3ys
C6szEDfMaPFAGkpyn5XfbF98tEf+lbIFF+XKPc8BKZxDn7kkJQmj9aJTmGYMetkCKyFZNBUDOC4b
V8uYC/qg1KVhOwj0Cf1brUwNZEF7PfnVSzZjF6IrN+KmmSVI/brhLNTZc0oyz/zc4DQz+qgSFN3W
Z1ea8VXs8GdpoCWOJke1Bc9P/MJLtIytLwKkZquxzfTQHqnXtj/J50xguJB9JNRmgKK99NDgrSt7
cZEW+WWTmj+mfMIWMCXCe9o2iN17PcXFxRpmqUalf+8bhJLy3rzpBXBfkb34QdGfDwP6yCakQwOh
R1uEFH5GwLCKG3Ep8gSv22JX2BJobFxT9MzCfYIMCDLKMGoK1/1s23m5i61hg05JcFlzQgYw4v2M
2WnbKfhmRlV2GXTx/Mpck7lq3RWBSWm0t6Jd3pj4g2PwALRLMza1SvGpNbX00nQAu5XNkJwXCLBJ
0sY4+3JUHuV3iFVZJ1DNkcl3VhUSYVNH7M+m8zGwEJ+3IcEF3PZE34O4r1M2fU1wqWoQ/OxsrIA6
+B4DF2bNHkDacllBwxqMm58i3RGTTTmTFWcYMxsxBFBxDe27uPDj5k+95W4UduppUl11GWLLZZM7
qV2StKFf3KTw6FQJTDaYgBWM49if9yWOObH2ORnI3si6NC/59lAPFNk2wDq8SqPpJrQErPlgukbv
ZQubAl/UzPseyaehRIHa0cFuFEF8G4Td53SUqFjlBuUX0LyZS1yashmemaTPhahuupCKjEhZNqUR
IYeS3akETLvhzVR6ZT42TrQbzPGpzZzvqeC+5McgMq2Bmj1aTC1mNX3EwqQGkk7I1tkUcxWQAdBP
P3UfpfTUxIHFBdLhecNMtWvDTUShbhd43wiZzbng6gWVhuRUm8Xnnqy+2QPfb9Mm1NfC+aoaXexL
FzyeUYOYD41nvlUXg4WAp22hIRCrAiwVkLlEU9/KgJNX3F2Yss43ubfpbeCTDtfYvOKgjTmu5Evm
9djfKNS3AsQVtYp6gZKIt8/fFhgxFxZlfJxQ92HSjpcTt7BzfvvKzgBhpsQTtD3sn8AQkw4hlj4D
CT404JfHx9Lx213EXj2TbXkV2z65QI/bL2zJ28x1HkXiNFt7iqk5KmurAnRjWg3zVRfgehNM0dZD
n2NQPvKPjkV1L2jv4wQUKhSMIR9RxXR/DCYp2NrLLyob0sYY+J8HZeO0lPChsVr1Uhi1Tb5Su+4D
Hxv6CIIMtoaq8vlajyQ/4gHrTYOTNWr1XOWqlrSjd2+kXEv9JmH0FUifzhnLXTkcfM/t+aLrSOBb
EiO2VG7bcq7iVYm/GycSZ2MGp0LGaXnp69suH29GD05fnllXjtH2VwidfOr0p2bKcEHvMoD4OR8Q
yFikANz8Aqkgu2BHVRh11phTIXnwfUDAtkzKnxQYo60ZaJd2b6AB7JFb5T5kXXJ3gJlNsjgM7Tu3
RnmhgAQAvx485fhJWaVzDYqyu5rG6iUC9YGWaaJtxp67nRKPZGArEJYNEYGzcNfYeBnqG38Mcbxw
1LboG/Dr+BCbmuvzO8ntlDfdRQiy20W4qfEYT8BjWFr02dZU4kuqimxL1VFzHQ8jv/p+wGKtRmEG
VwycsV1QqFPSvISceq6F291puHRsqsT7Gvv+X0FdRQezwSsicJV/FWoFCigA5RILQzT4dKD4ciK8
Msh9OiK4mJKc1FDHBb1OvoNdQJ7UMJBvsIby0pHej7h3riK2I3Gp/tTjVdPqCXKeGjh6ShzupvX2
qUUbhrT3SqJqYo+hSYXRRfRI05F/myptq9L4sxwNxOpHJKlz9b3qgPVlcYfsGLs90W0PEfHhyqn2
yuqD22GCnT1xmgWIl/CdwicoiKk3BzBh0jz7ZPV6uhkUiUsfPsB1NTTwB/mCGWSyoPKNiCaAXuvR
SNi5HaLeTWFdurJLNzYIrsRC/8EwfESHMpLU5CYcF5VWp6gglVIQhREVf3MEhwirNfqN49bDhZnm
X6vv4eTtAhMOSw1Lt+uKbTreT14YbiXA8o3BaMoYTYUgxC8uyMLNVABf4oP8zL5/xjgs5lQ9vIyW
hX+TBj9oor7sCa04KI1DqoYiREwBKDamj1nlbprvVWKbF7ZTf7ai7DDB75xaSuvQmagP4ixm/SWg
iW5lHaPKrQ3343Qja+6LeTkhfpcAZhrAWwsEGPNAmA8et3pLYepgR/YhbrlghlZ/02go4pozJHu0
gVFzrWzweOas2AJpI4XpGuezbohm/EjnzDZEPWR2kr8i2OCAHZCj48M/I49BiiqwmV5DFiaLgF/V
julcctNQHuwury6na6L8ZeRSUiU/SkbMzu5qw7wpJ5PjZw8SY77DJCAwochxlc9LY9ootFQtMdzC
vfpm2W5ODFRwy+0C5bsKzGCPtrvHwOR1d5X6YmRP3yYtkPdJg0DT+Ba6qT4w9QYx0xkmpkeVj1jg
cFHGTgOAVF2DcUXO2c9JqAsJa6CvkHsHwe0FmPVYQN5bn3FLRZzBlK/QDI0E0osoCcY24QHEHGY0
YV5fRBXho59qMhMyJVz41D/h2V2YFfipsiTj2SgOomjTAvzkGl0MPf6BoMRcUQW7sWge4xKFJuie
3Sat+K++Nh4r6iaqrrNt52YfNQTjNlW0LYGobYBVh4At+ByFXlofdHWB/3Bw6FCXJnJVIBpbVNIq
UjtauCsCoo/npP1lpJpPVucSpjIH5KQjP/tBCoi9ITXSlsi2jNVwiA13unR0irswkbWzD3/8xz/+
8z++D/87eMlv84RCY1b/4z/583fIhFUYADv8/Y//+Jyn/P/Xv/nv31n8yk34vcrr/Gdz9Ld2L/nH
5/SlXv7S/Db//WRa/9fbbZ6b59/+sOVL0ox37QvyVS91mzS/3oJ+zL/5//vDP15+PeXzWLz8/cP3
+XYxPy0I8+zDv3509ePvHwzd/DVQ/xyn+fn/+uHcgb9/uP+//6euw+d/+xcvz3Xz9w+acLy/ObYD
+cN12TdATj/80b/MPxL8wJIcaXSTswty4c6HP/jgNervH6T4m7QdXeiW6UJK/PWP6rydf2SJvwnp
6LbULcviH3rWh//q+m9T+D9T+kfWAnILs6amTePDH8U/Z3rummZQTrVswhZtF9+f78MsmH/rf7Wy
qqO4tqIDWLs2wAYorIwaZTySwskXPxgMxITRGX0WaVfOuQzXo9A657NqC5nSLDOTv4LBBklXY8E+
fH81gP96y9dvZa28lP37SyEb1zg5KZxD4lTxN1uvjMdkyG+PP3x+yFs9nht91WOnMtRg5H2K9WBL
gjQIBpLTCproJqot/+J4I2s9YOW8biQHWm7Uo5EeMOGGrVHyoStJl5Y+64e9+NtWfD1C8/S81Yl5
Ol91InVb8vjI+Rxg9WOEkATTLvSmu9JKRrKM5YmhWmtF/N4KKO4o4jiHd0xgxPdJbtzpgd2Snsgs
Tkn55+N9WZsQ/fdWsrzPzcmxjUMUha2+0YzCDPE3nS3sqG3jqXK8mZXO2Oy/10NWhVzhyx7f8cQY
M/HgCpAeO9+AfgvneCBYkjR0QNz9M1quztDazrLl7+3VNtmQgNvoAXEFB+1Bp56mdNf4Tqt9ilQZ
aaSXaiFhMVObSdUVv+0k1oXLZ3nApHcinbbRnW60NlSnKtu9ed8wuL+/lqg81+qGPEaZtIaMQvJO
9NRg2hkVJanAnhjtlQ1gz7PwaoEmk16HZKQk5jPqSy8wrgoc2jreh7WHL+KD745IilpdfDCUZUPg
i+MbL3nv3rXnVl+/+kBeVPhK7m0QaAhdSLTlErRc/zz+8ivL3V6EBt31VZe7kXmoDdcuv4N6JjO0
NSMRhxhNZmXXvHOUFjGiAe6op2MZHVTczeZIPsDDTWYWenliia9NwyI8GIMcElH0ETXhJCk20i0a
baObZJaPj9Tajl0Ghsy3fCEKd+/VxIWUzPAGhYOvgeH5N8rtvx1vZWU+rEVcSI0QWEzfox1Hgpq0
GhhkzosFPEqU6o83Me+tN6K1tQgFhd9EFcbSycFLKhu8LfTipgNHT/p5kxf5BRA5WGrH21qZFGux
v3UAJpT3h+RQaBD4vRx/zCzoguvjT1+ZEmuxrQvDLLqA++MhMwMdhCpSBLoFoivIHZg/ATmu4+2s
Tcpih4Nom3Iuhu7emGEClo3Yj+8CdsLOJzwcb2JtoBbbvHHsuVAmsoOX9dEDpRH1qe3ih/c9fLHJ
B4C1kZnO8l8iHJ6sdHKhekvfllfHny/WBmixuQ27qXWd28+hKQqNLA2X4dzBpmjy+s+V68Jm36Jp
oonPqjeD5mfc1ZIU85S73JWTpjUekBmxJAgMTXfktzDRvJlmNFSTuAV8m7XZ7viLrr3nIkbYfmgg
MFHqe01CW9OLAIEa66vbYEH+vgYWQcKDQOBrhiOgUWvi0BlJv4N8J8iQcZk63sTKSjEXEcIbM+W7
3A73IwI/V5Vml3/K2KhOdGDt6YvgMPVGnIk+aw6m3oBDL0ftqz2VJM6Pv/z8mDdij7mIB+QeS4g/
bnLQwInaPipkqfSbs1H5FLuQpPK7Z29M4uGHYZu6Bc4Orvwot8cbXwkX883m9afUqyhgaZR/D8Cx
Sf5QWH4pCu/OrF3SNo6KLt/XzCJamHXOpcpP20NBcoBUmAD96YAnLOPym1aRJjvezNpMLSIGl5JA
6Xra7fspwgmK1HNhz1hEw8jsdzaxiBvaVJWDkyBIyk0RlLoEuJj6LkpS7+vBImpYeV+RBNa8fTSE
lFZ7DaEmaKF+sj/+/LX5Xuz20SA33cQRa7mRQfNUCitRO2V0jnS3QA9k9pz3DZjDE/O+ElzMxd7v
USHB+KXr9inQUISo7fFQ+qG4C5PUe3hXj4zF3pdaMzilXk57a+aTADbo8MGAcpGFxR2FLXUiCKz0
xFgEAQWFUs9wC7opyvRRa63P0s/ByAVo2L2vH4swMIXpmOp5EM1VnS8S/Idpk/K1Q25yIOPlic/2
yg4xFvsdOLWm2jRQh2hwapAbBnKulQ7o+Hgn5pd9I5YZi30eUEvVzErT7+NpeIQQhv+d8n+0oMvP
/SzjdDj1J4ZLzEvoraYWe703ShBbWR7dJKH+ZMUuycqP4VwntzBHxNrPfRIIfwDIBB3TohZ9vIMr
+8dYbH8KeCjiBYk65AmiRm0EVc33KGiPxYBkATaox5tZm6ZFGCgLbSojJzGo6A7JbQ2S+YvrRfqJ
Xbn29EUQSPoAqHdvqkOcQbPdGEYcFjt3MKihvO/1F9s+MANg7XZo7nPNy/40uowRqgLN+Hb88SuT
MCfqXn+0lHLVVE5KHVq4SzsRQyD3xibcNcBrgMzm74ssYrHlfa/SJ83M1E3aAZJDdPeTHQYzhRRB
9a50kxMreWU2xGLjAwprXBML6Rup6mTXRGb4ZeRkfSJurY3V/Pev7srKHlzwPX5wwwcRQ+4s2QMr
1S56GIlp67rn75uRxb6vlNRAaJg57iqt66GPlppoR4wwE4ILy4T7TsmI+7NVnbjlrI3Z/PevemUg
lmKBLgxuut4zzs1ein1ChvZ9u08sNrl0RRSYytDv26AannXPC1E2QlglPrE91uZksbsl4pW+Iwrm
hFPRue7HQA8jxOqL9GsToT90fE5WvlhiscuVLFyPc1Bww6FO7VpTRyJJgceLBDa9x5v4FfbeCMK/
gvOreRiSMDYnXLn3mU8BlARqGxs1HIDeppx8WTdDDqLMFmbc/gnVLasvLT8iA4otQe0WwXk1RRg1
SidOSqp0AAh6VEJVKsNyEwGWQgxk6kv3GaHBfvzklrZjXntpgu0e2kR6e+2SwfNmuG1jCRyCUBwK
f6AA1cqPx7s3x5M3eqcv4kxsmbJDPzWBx58/Adq9j3Uf85a2u4b19zUxdbDjzYAYArjc4y2uzJm+
CDm9GbkO3J3gBs3Fx7Aeg41hgjOCQ1qcmLK1FhbRBgpqBmrU0w6tjydC32rIR2t1tION1p4IOWvD
tgg5FqDPIS3G5KZuxE8H5t+ZXmgA/Mr+DI0JdBsZuMbpwcJptnNisa8EBH3u7quFiPaLg46QryGR
0ST31mAKYMEugLnj87KyY/VlvIltK/RUENyMDuoyvubexhp2ZX6aY7cw9/B4M2uTswg8vZqqyRcq
PPRFXqVfPWWinepFQQ7ZcigDH9+V4w3N6+mtlb2MQMw7Cf0gvZnPaW0gPvlBl21j0d7Vg/c0dFxu
vflvjrc2r623WltEorLo0z7BEuqQFwr4fdnYlJeZfz2SoKe51p5Xxfh8vK21mVocPURCimREROHQ
dwgBNKK40YMhgUqf+1stlN7F8WbeXm+mtwgN4DSrNrDj4h5SCaI1vjs8uL0Int739EUYKGEzeGGi
5/eG1eUHGWVymwoYvcef/vbkm94iBGBjU3edhquh8qIsyDaj5tW4PphZH/9Me9dWKGQnwEp3U2TD
79goO+/w0Dne+NrAzfP2aqPG0WRCApiKe2nX6q6lpyQ5kJy5PP74t3eQ6c1///rxGlhjsyiLe5+L
85VB3SY7L2qYA0Plv3ObmhR2f2+kN+1ckUvfu6OZWGCrrTjf6eksjF7HSE1ujvdlbaiW0cCvJ2hp
OMih30f2OYfPdVVndvjwvscvYoBh1HEMSq26t6QrrxxpAdAp8BkfT8SYt3e96S12fWBbuRgTMey7
CbPmCX4Ich02HNYWHhY6Fd8yPvwnPjlr077Y9VZEEi0Y7fI+9fAbmmOzOjOHILoaQGJ8Pz5eK23I
xZZPSzuvHMsMD1NHDuOz8HwZzzUIA97LlDUst+PtrEy7XGx+33S9kIVb3YeaAfIZOUM8kqO0Ds6P
P3+tH4vtP5JcbBM09jmzjZCllNdgyzmLyGhmfGLlrjWx2OTIMfREYa+9H0ff2Keu7/8JO9C8rhQf
0RPLa22Y5rZf7fSwBT9Zwfq9T+U0YrjaafsiRsri+CCtLF45t/rq6RBVtQZXOed68HoJ8Iwl3MNz
rhwPomHdBLaP02PqTPWmrKDBvBxv9e2TkykXOz7UEgU8e7LvJm1QyGSLfkyQ1Uwi11XzHVfzPRT9
NeJne1nDyADgWkzTABOb85aTviubbspFYEj7WKLxl3DsHSxFdrN1LyWkkBNrY14D/34YMOUiLOTO
MDWjIzHrZYwxgHIvZKfG64ijddf1j8cHcm36FvEgdCpf84ecLqQdYkJpBSGK2tF5oI8/B5rMXM06
8cVZmTN3ERYsN2uKvOCSkOsS4Z+0uG5zvjR5zNlmbsrAp3EaZvMWf/p5vHcrS99dRIjchAITT72G
fztV1qtcdNL4YpbwBE6EoJX96y5CRGboemONo33otB51Q8SjuovYH3WYJC08rBM7eGWS3EWUgM7U
9ODnFe6hcQjsXa9kic6IhGYHyLGLbP2ln0YkHMB19yZ03eOj9+sC/MYKdBeRg6Mn8sDVWB8CL8vd
ZhPnpY2ViQZnZNbFjGG9KoA1+MUIPQCo+nGqcuC5JBjLMPlqu0BTN2Kos8A7sYTWhnsZbEQyhcJv
waiKSO+RbVUYhVTOYGMyVcjdiW6vbDx3EVwAuZAay3pvX6Ud+RPAuk7ZPsSqLKyvObqsM0lUTVbC
9d1qWlyOmySyxhbGIEep9soYB8d/GItusC/TEWx5tRv9ooi/DnEGBfrM0SsB32PMZaNfHH/ltQWy
CETcf33MO7LpE8EwzvF9jivUB5C7ASkRXweWhu7jpuy4yFjnVW3J+lQ6a21PL2KUCjRbKoVgT1MO
+pAh4zXLbRB8XbHRSoVTsuVGsgovCkO4LV8fo0n9XVJKOZYn1oRYm65FCEN2Av2OzGv3oYkqBJLC
Y90hJA+Cvoe16BtDeGVFBdD1Q58ExqDBgg4jjHHarioePSci/Xo2NtD+yIiDHPwZ1m0//DAdMy3C
bTzOrIwwHcTJ3bwSlJxFHOxHs2x6PD3v43ocJ0CuakDD2Mud932VnEXQC1BSKYvKix9qY/IOMZgo
5BVyVfsnvkvGWgcWQS/EGgijF2Hvdasvs35j9n2AzG2HC0VwPVp64x9AgwVGv58S6AZYKnvOgC9V
YSZaA3rKR/y53xrCzyDTdGPm6UgK1L3Q03O/DROMCp0oa5ONJOp5wI49B6GOXqHqBjWp93wioGFo
kb2rh9bDNQKempulSM7UaYRLemzp4bfj+2qtp4vAWyppDokxoScKV8HYxA4cKgQZm/72+PNX4pmz
CLBtOZheqMLkIUBfqjjTgbs8gXBB2aPS4/ZESmYlODhz516d0Pokm2Qm4/DQ6na4yZFqmQ2LMhSH
hhGiTPmRVNdw4sj8q7LwxifDWcRO21Doq5DhPExpZpn2hd2GTXPrG05ryKu6RtJXQ3ONxFazG127
ALYYjpn1o2nK1LiBYla4f/V9yGXuLHG1WM82XaR7Cu3iVAbiaYj63h6g9qsI8CbSo3hLfcwwz3nJ
m7DFz+X4tKxN+yKc5vi3tFODmnTr9yEeqWVnV3t3YO2d+LKuhCxnETahs4raqVGYs1EL3eZujVQB
czO11kPON/TEZKx1YxEYAQTVCVbgHoAVK95VyEkgpxGh2bg5PkwrvVjCUANP5g02ZQB3/AHvEse/
k5MlrgIZX5miKk/0Qqx0Y4k+DUzINwEKpHsDa/AetzIDcXLkBTTX+zOzujBzYF4MaKddVGkxZY9e
DdkJqh5OCqQBhYtS0mPKrTcr4BZCA2og5Rile56iLamfeMm1d1yERJSE6jp2s/EQCVgyKHSj6CMF
DObjI72yhZcQVOR+OIeIaTho4+h9Aif10CH+XolqukgnpMxc81TFc21OFxEpLFLDq71MHZxqnDDN
HdI2wREgzkjemRyHzMtJ4Nk8nNgIKwFwCVAdVN6KUEurfaUZSMmbg4uIbRzEEuGEfCrfeYD+N6Bq
MMSjD+0aDJsaJouecPz6MYa1S1HC86IcOhs4vf4OYZgaserjs7a2KBZhxIGkT9JuVPeh5+vVFzRM
KlwRKwzR3vf8RRRJW9lwmvK9fYYl9oPtm8MjNimfjz98bWYWwSMt/RLGlc4h2NXGnRPWV2Cv8oc2
V9WJ4ZnPI298KpZo1XF06iYdi3SvOVnu35h56xbPqtbKdkAARBQCbr7nqQ6xlUBaXzLleXCC3tW7
JYxVSWvAxN0U+z6xBJHFcZR3VssRC7Soi93u4ngzK7tpiWBtPEQ6k4AZskoPLT9VPOIG/3mKGEND
PwXQXGtk/vtX33dbUHALpqnZj7KznCejN9NZPa5HL+VbpDLollYfm9GpePwL8fbWvC1CxIB8aw0e
O7rOnKwZXgrpt9NO5r4xPSC6UGtnZac7WP1oblDhqVL6ClfIczSee2yBrMbAjzfyS82661LRdzNn
PJJkIvWZjN1n49DnG2QehIMQADBcHRm3PIDTPEklxzuUDJT1qar6EAGitK01Ij0M1TRxtn5YJ8FH
0WXC+Ku34w45a4yGtexbq40tVqb56CsU4fwajGlWgOMSGxFQLPhqRAhGfJ2Q8ogQXBBOhehTlTnd
iW26Qp9AJPP3CYoB34ytHZd7TUfPNj2zjCKfPlkVbH+gZEWBukLOUAz4CzmyUAh7CMf6WI24o11C
DW2Lx1GG2vinH9kKP97jS3MlOFnm7y+luwn3wDh07sJRD27C0Q3FLmtbkZxY+mvPXwa/2MjJUQjn
ztAon114ltvvgNIY5eb4+6+t+kXw02xqYmPDl8MPq9lILYOCAMFxREIRmcBmFAH8et200/cd1a1F
PHRTHaESzWoQIcZlDIGA0v6KyGCJtWcHl/J4p1YGbQnPHQsxGWFQVHuJXsK24NL0XTfMU7eNX2DC
N3auubgZtv5EkjaQSLFlmB71yPLJEHMHCaDuJiaTg4+Y4XqxedAlysDGRuth1w5nmiaLlvqdTLOv
9YD6b/8VZGeLrpGW6X7GCsr1sCWv4WXWlvHHXK0tbcg+Luaz8LURqavPWntIhxs0TDG36EGiDQ9p
5+rYwuGZSfqxtqqqGc4Na1ZSitWA+ARV75p9vp3Chiwk8pGVie3O8YFe+botocRWjX2YUbQNLskq
fETAJTu3Or9A3rCtivftgH9DDDtgt0fbqPZ8NwftR25w1Xt2iqb8cbwPK4dCcxGHO1OPMG3Uxj1l
ih47utbN6lvomQoyeUGhUt/mkMDKsyjtcBx95wqdV+6rj03DvbxLMxs2YB6T9kfNw+jqgwpHDEOP
d2ttDywCk9M5WtVPcY0BQikeGoN7Emwu3JXe9/hFXIpkAVil7KuDXYkvTZHVH9ENbk6E+rV3XwSl
rG6FhbaZvA5dbfriK3iGCKdGjvW+Y8sSJSyUO+pIuwR4a45BdmsjBSxT9GXiyD2fcZ7J87sGaQkV
RrB+8Ac/yoGH97GD5kFcYfziSVWdoO6t7L8lSJi6cFWgnRAcnAJnlTOE1EJUVDSBqXXnCfcUhmdl
PozFtcyScILxo8GOIYrxBCWBm2SXVFqMU9TIla/QEiWsu6hwFqEWHbI2+joUho4YhoO+LOauBLzp
fVWGJVgYi+7Wowf+fZmiUJv6HTIvE1IleYxe0/EZXzmM/8r1vdrXmISif1rVzR5J4xbrohIbViSF
7FShqWoXntddts6YjeRIkSF+aq1cUt873vbaYljs+FLr0UZCWPQ+Hqf4vEZX49IqwbpoeVzu3tfE
Ytf7Dj5tjia9+9KfumvddtX1r8FTojuVbVnrxWLvB6mWMYCWy22vts9jD6qlg+8x7g381/FerC3n
xRkEcUwrBo0UHzjnt7fRgIbAudb2WGMcf/5KF5Zw4VDT6joapHvvJxWurxPy+zp2Z2eNfnKUVtbZ
Eiqcqm5EtKRDmjyvvYcGYcDwu57LSkd7pdGCn9bgKwyJKzsH2pfB33pn1xaRAAp2VbadblxD+nev
RxR37gpvVFdNRnXw+OitfI9/1SdebaHUCSp96JoMGRxzQDeo2ySlkWzcvkWNEMew2H4nH9b8RaV7
1VSsT76GUqx7Z1iN9oIwRv9odJxejndkbRnMy+/V052Bu1NkN+kBBSYcKaIYvfovYerr9SXS5io5
tZx/AbffOI8u4cN8tVIqtFO8R5cqzF66FjHNfcD5xb9AJNKcbm2tV7hlZMgw4oUnMkfrnjJfWfkn
289CnF4QBCojXDQw7rgaoibuf5ZjFGDnERVJ3t5ElQdOEO1DR0c16fjorGzCX7e8V6NTj4WOWrJr
3etWZ/hXcU2C+yxASjDbHG9gbfgXgUTHWKdJSU7et1Y/Dp9HHdkzdPuzQW6jOLefjrey1o1FLClV
G8SID9l3IRfuwyi86i5LcNZ719OXgGAHYbpSTkUAJE9V6Zd2RGpnpxth1b+zgcVVRhctPq1Vb9yj
cWtGW/QGPPwywaGcOMmtFTL0RcCAWhbZuPq6+2aKOuuuUa3uTNsYlRoTpRz8+M57C9UcDK2EI/eW
Fo9dvcuBA6AfhFLfnFj0O6R5zmU1Oc9hNpp4aRW2T4x4Qsiwgtxa5K6vhWciaXQQ80pPdfe2U7lF
Wur4LKysJH0+tbxaqmOdtB2YouAhjT3txpJe+DGQdfU1sdR44ji9EvSWcOJiMF2EiAK179wUMX5f
BTvdGfprs8ROzJtF7npuCOfv688iMFnTyP+6UFxbls5+b5BSRVUqHq5TS/dP5YrXBm1xGqHWr/dp
pcUPZVbGNebdHVa/tW0qhKfs6eTJcWX/6cbvczOMhmqwONKuhYYLIQjftG23tacjY3d8sOZJfiO4
6oswkutRIlE21q6TypxYeeJF4r12XXnI+6k0P1XKWivP6ItA4uhdUdljo+8DVElnfcyRNMllHLeu
OBgGKmWXsY5gyawhH8dK4DztSBZ9mxcGymM5YnNImXeFH2Vng4cQw3mRC2fEm5yUgJk8HB+MtycV
mc/fR9uxAdQF2GI/+CnWGnhaITisJ/mIvVcM5Ol4I7+Ah/8+5Ia3CEpFLURgYM52jWZu7GH4h1CR
wLIj97Db6QPbCf/KmyAcL9xcpWW01cElOGfCMmoMgIygnaKvBuCQ/gKt9rALNoEhMKJXWixkeoap
kz9th3Jsx+aQcsgcmjPM4/viFmW3sE0uLUvVkX8dAejNftpl6EtcrqAYPnNgR9tzO0rcYJyLAOMt
JEQDsw8eE6tNxWPSlBK5Q82lmn83WK6GpbuHcmCJglxX28au6dK+/4GbgeHLj0L2KSLOU2d0Fc5J
sQhfwknXhbFBHAIsvqWhA+JscWlVCvse9IbvcJQpox+mi87xFUkdK41wCy3+H2dXtuQorm2/iAgh
QIhXD+mcs9J2jS9EVXUfIQYxCCHE19/ljvuQTRcmwm/nVHRYKSFtbe29hpZ+skMfezBQdXiRoXUG
AMGB9ygaQxuugr7ea4PydfsV7x0ebKMEPlHFNoUFXHavZOJDXBmC9xF9hJsBNAnxPG3gPWFNYEYY
HrZGDtFTrWXb/CholMJuGuSX8Gs8BqmC94t2nQ//z9C0CiJ8UH/6mnki7R8JyfOU7BIPkJ6nvm5C
/opWWJDewb2u1191wfO63UPRrIcoHV7JdtjpoIAc2sYSKaB2H4+9d6ksl970UkByNGO7qhqa/h3v
movicw4QCvT609pjebkhKlf5yv67bOY/bb/ZlRUGhEx5n0FbfFAIknliHfvWFDyrHsw0+NABzB0J
YeQJA3DkdxvFkUSV+0D1pfp0/Qj8OarRZHbj+Cj4NZBjJE+sSdut5hbF/rGpb9RpgQLZv8+xl7GC
JKmdniIzpBD0BAykgDUHdHJv+/tnN4yEoVEo68J7Dw2z9g4P3h7eWND3Vfe3DTC7XULgs2RbhvlT
gbA/HVzCsjM4DNiE139/KdDNrhXSQY6wHX372Fs5wiFTsSJPgg247APqnNChjlYqOEtfena9kMTT
XIeNe+JMMr2HD6gKYCvUmZUv8efriyaza0UMXWoC5TcnIyGzzuDhel9xDmlNDm9u6AGtiUosLNgc
rN4DkwepgnR4TChv2F2eiST5pqDBbPfhlJdrvKiF5Zpj1etGMpjP2ebYqgCuERZq6XIjhfR+Xf/u
yWUD/eHw89nhT7XWUR1X1TEZeDzwh6oodUF/1KwQotwpTpTFE8qStoW7TSoMZPKlIFCs3yQwByoO
U5V12Ciu4GP+Pxwuzh97xI76k0VZ399pZBI+9Jb9PHhB8cFksAdNwvQbdMa69zAtzXTheCALaIER
oLA+hrHQScZO0M/Eh8XgS6p8dNYhil40UQZHbQSrnWyh8wd39WgQ9IczpDMoLA0GzqnwnYMTu1fl
TXcwU9J3EJ7BhE7wlY/Gb5DlDCvABHogibbw9AJE5AFZNMufggS90HDvamfRKYNs9kVwGs6vsBy2
yEhgwKmZd7nftOt7OMMkDBbCAE6Cn74pKenbXYuMxN5pIMcJxPVFB1Qv3jLdZwFYk+gRzKYxOFa1
IeLQgKOjdrDsomh2CE6iGvLGnkQuLypH3GMYN0mg4GFZVQWMA4FKrO9aOEX76UPHe997pWVHUTIM
K9bD6DdDdafxAKrz4SoVcqeBCAMSLi6OYGip8m+8R1TyqRgqxn/b1pEYxrAUtlTQ1iRhi76rKALU
HnWTWlUfZJtUzecY6bEPYhIv4iLapyUU8EAtjTXsbyMA4eu9gUyugXKyjYDDfh76oaibTz5k6mH0
ggwOQsAr+3Nhe84uBpp7WUSx848yx3EmMTTHIXYPVh208ElgQKoAyH0L6cK3RKZrShH/FBL+dChm
1wUVjjVjaKNHLdM6erMR9PohX1cFIzkUKVTtUkiyQ8Z2QipWYVU2HIaXFFLD1EJDNorasdk76Svo
2ED2MDxA6h6Sc8fblmR214woFAsdQCEhSwb9SmlbdXCR8YyAXHIoo5Dfex4NU7nrLHyIYDfDJjrC
hM5LIEtxUzGDznkUiQfRdOhs5s+QA8rgWlrJMd3neWvc/vokL+HnT19gdh8luRyTCiEEJo7csb/L
3o/k90boVH3pdMRyOIzLIW4R4QErUj+vD7oUbGd3U+8NEG6oUUuaoBEDBXID/uzGkDRdKQ4s/f7s
btLlqO3EfH3CM4rvDNxJYOXoM7umzvNPn+UPqzanSiB8RYpmaM7XvYYe9YvJ4h62mlCWhODt3iGF
jrJ7koTaC2CZ19Scbu3oLrYGra3gIRNELf6JSbRb5cHA6R5O7gpCXgOc4QPRuAPqM0P8CwZ0I6Tc
U4RQmFjlqiPfRoTerNirKBNAbyIKphXdUA27hC1PvAQuyFM4wpetSGPtP4SK5nKfhWNOHmtSlv5r
6fQUTys5wJ+LxXRO36DGNDF8amFEXHBcVJDI6UYCPSSSw8eIUwhQPzJSeCF98DQqWE/wSJJqjX+5
kIDMqR1pXCoOGwh9YrEHCw8YPj24uBJ7n6EY3lAIut+0WefkDgjR91EDezeI3o+4C7ImefaShq4w
85dmMYuAHIoWKvcke2Wi8e5oB3uyHlGv6C6y8lR9uT6HpVFmoQyo7TGXHWGvbTDWULEHrQfyBmRP
ID+PSqxa2Q9Lw1xynw/1LDzVHO/ylr3iWQHVdGjK7IWV/SZg9nPSRPHKXbW07WYxyzYs0M0EbywN
Z0IIC/hl3D5x2hJdbbRPgu5bWMD+cN/CmoyPmymKYSZyfSEXIks8i1zAQAJLPwLNR32V/A+4bEjU
w4wyL1dWcOn355ELkwDcisKKsgSVtahN+ga7seC2X/8PsyFGAiK1ak/I/sSD1Vl7KNmoV7byZcv+
ISjOeQ226y1q4Tw7wtgqeKPyUpeTHrSSVMLz39fXf2mMWRbNVTl4vZb5EYiw/odLJsjIsch3/+tJ
CKOn2wa5bO8P25gWFK7hXj2+W1Y38U4aMFjuurwWza6USXObOAudkwtYM5EmBvnzSFUYvaZN4QhM
v4rmfH0WC7qNdM4r4Gaskgxwpbe0v8j9ATLgO/LQ0hbIeVxHZd48Q5pJn2vXpLB3onB2h6VXZRQg
RYbkAXp7XE2kPJSdnGqoz/kwaiDbaeJV/QKgW4/C7vU/deFAz0kJPPLSPPe0OJoapqbgWnxlIzQb
4CbJUIfBXdLV0cVYek36biHpYfMAwmDUZXGQj4D/6Ff4fijoCcG4OPVBHaMlaCxDyW4T9IA85L93
EzPglI05joUEuIHvRGnQj2K4U9YqvEurN48ZVZQ1eLWSdxfIMhzvHEAzWbIH3Ig5CXBubWN+h2pD
K+HOwED1QCaR0eK2oj+dswyMyXmYw57uPTVZOb46K+AQHXhBAKeUMpLlCsZi4W6Zswxc0sedVW1z
IjB+/F7BXQrVGWl5/Fi7qYM/CNgya1F4YX9EsyhDCxFrWkfhO0sT7Aq4uj24Rv+qc0vfuR0+9/2q
AsNCeR4WXP/eHgYKEqyqVPxe1ZWov5FRw/+YBGHJ4CMGevsw7HgFtu87NXXYl1uIaRYqPGCV+3wH
AyJVfKu8aNB3YCpBsA6+XGAPPkZ0zMRKJWkh5kazFIXVPGt0DR3zIkYy2uaT29ukG1EXZ2tCHktD
XK7DDxFXhtlQoQtSn/AC9h5cVVziFUuSe9h15zdOY5acYFnRPk3z5iSp0LDEQKBtRjxlc9+7jVBA
o1lc4d0Aawya0BNIp9M7fD7VtxzSyHfXo+TSIs0DCegKfW4jB/fwUu7lWANSzZDwoku/JqK6dGdE
s1hSU+FPfGiKY6WLapNacM6rAOCC9NIdRq3l8n+4N9yl0LDacNzruyoL/v7nf5gUV/2F/D4hlq7c
xAuHfk5BqEuCYkyWuFNqtIXdivlWRfoi9RDGmwQ2gvubVnbONqhlmfMWXnYn2M6BhIRG2TNpPbYb
Wl2uPEkXPt6caZBGuGVtFFcnDo/YXQGQY3gfwDUlA5vewaLl+kSW1msWTOoyiScr/PTUcij975hL
PLrROkMzAVbS2uwH1WbR+/XBlqZ0+fcPhzZ0U1tHTKUn1ttXyP51+9TD/dkrpu+vj7AQh+fA/CoB
sLE1Jj0BzibvqjI2e6F6sodRyXFqu3A/xY6tbLWl2czCA+ByI5sKkZ6453624ZQeEtQDtyC/lvvr
s1nI7cNZdKiaBIXWXqen1HmhjxrkAHeipEjyfmW5lqYwCxBgRzBYPOGDAOuiIEyFdyT0F73t1Im1
XGNpiFl84MlEqoSqBH3aFq5S2ZjuOPxEn3rprwkfLezhOcbe8AHlM1hTvQNOp76RouAtDLYhxp6I
bU+ShnxHny5U9cqRWZjRHHPPOkBdLyYV5zqFGyO7hBdAV7qtJyxZ+fALCq90jmanlVcODnKYZ9F2
zTmt27E7SEO8fKuDofZAd0OcMWVJnqERESOvGS6Ak6Hxy9t2xhzqng4TqiLoWZ+rMCyfRFN/4rpp
74HJOd+0t+dY9wr0lynxqTzD3Ky7qG9nj3mghpU/f+HkBJd//xhpPI2LKAnHI+SRmr9aE/ZfEU8z
ubIFln5+dvQNaqAujaQ71tqNP7ism30X6ux829LMjj268ZOhDa3OaQxTN1jc1YCQ1HVfrOyupQ08
O/VGBL2Dn2RxBo+2KLfCTrhOWDV1/ibrfAB8bpvG/ORPtYOSTpscSSHjXYuuyv2F939bcjYHtDM/
RS5WmeBoUuP9AoVHH2xZdDV0Q6AVdn0G9J/7/A8VijmqHVw/6VnJ2dH5vs6f69AqdYBluSfK/SCw
DX7k8EMr3mQajiVsbvtYgo+WeonZg4AV0H2KFk5+IF4YJnCnzSO34TIEtFGOGYErBYS7mheRt5H3
hgdtAqPwkMGaGP6Uk4P7q9+ie8c2aADpfVJNMrvDpYkul4uplz6nTR9/H3zYE95zMBI+u6DQ9NlG
OdxmUA1C8bptdduc2zwr+JO2OXHdRhoAMeE8Ww7tg4PRYfMbBTCl9qz0gGEQfsNi/IljEtw5UYxP
SOX73y6FJfGDiKbyOw/gFbInFzbKHcSfZAxY7FT7z5xl6TvNKB8PddMQ/oQkOf7b60Vof5lJNsVX
E4CicyAlCN6QExlb9mYNxON/VQn0dtqNZRUuN533BsaYvgrg0zle3mpQlWNb1o8Xc1oZ17+rrhqb
x9ajeFDxuOueGdTJXjRWfDxpVdmuhS0rVPDOQpZl/gbA1OTt2AAgyXeISsM4ui5oRYd9FfVp77Ya
DUtwFU3YNfdpBt2uDQryGkay1SjcjzpWQ/SJBe30zup6Su7gZtflMGmUdNy7JIqmu6LAwxIW2mUu
4BIaV/4uTKiG098IZ8pHyEl1oEJsSOZaeQdHYPSIGchQ5UOfj+7F4m0U3lUDkNPNxiTt1FYQ1qYk
nnYgVYIBaXLw3Q4cqtJQIarAt4Kbaz9GLdq6uh7C5zE03bhvp7r+GY/jwO7bC9xoo8ClYxsaIlM4
ZKrIqzfHHf9c+Dk0T8dANv/jpJ+wJ/C9v3rdFEBPqRqm6ScYu9I81GVgi7NGrxQSLAK65tgRvfs6
ZGb6y0CbJdyk3mjgNJhNim8sD73vIuxk81abom1gdenJfA/enq2eTe+LYQd4bUk2cozqBhqYEU22
NQgQwSGL5fgUksSHDCaFs1vm4jF5RmtUul0A9ieQTtS17i4cdVM84lJqISzVQmTqdwPoTr+FGym2
q3A2Lw7B5En9G7y19q8kMHTrVZGs7mkjYvdm/R5yq+HUxXj85HgtPlhnvXQHE1dMsWoua9bBwbCD
bIyoki0o3cM2rxhrh50LAHi9iy5Q5m2kB5REnMea7xqud3C2Nz38VoH4Ud9E4/cEvrfdGGKO0+Bt
iLlc1SorphIGUxetCU/jlbCvG4Ckd450zf98hPYvvCQ2e0wyOckdKu3hX4Ww+AdoIEJRJpaq2zRo
ctKnJvULsg17OMjCStxheNECDLBVGf77neRhE1SbAOKSjyDZZcVrW/HqREaZwFC3heDgU1f2Kt8P
kHkqHtDHd+RuRFn3hbfeJO9DEwQVzlhVTs9N4akQxrsGuh/fuiSComxRoZcNl1DXnrzJ13SPLa+y
XZB4Dg5UFSm/tpWA3fsAXdjpkGSmjx8aa1BTgMtKBLCbaCDpV+gBf3xgJj+8a6G9+aWEiSSkw1pq
kp0gDFboHuyyzTcUhv3+i29o+dVKiIt6Et6XQPlLSNFlNcDfZ+dfYMI2Ue5xzDX9GvvQkkIiAT7F
k+fZlK1cAgu35ZxxlEYGEvRjy49hVGi7Z9RLgl2R2wZCXbFf8dtSijnvqCpIl4dhHhy19KtqB136
INkyZU7Xr7KFjGVOOArjmGdh1icggsB4vUDN5zXy/DXdxqU1uoz6Id3SOWc66VR2Yhcmk04BF4X1
Hwxi+zhfSVqWJjBLuXRg/GCweXZKO+sfyOXF3bjgxpyezlIuEhtokoR1cBxpWJ4CY7xDnwSD2pqs
X3PqWVqkWdrFMk0bUqjgOES0aQ44U35cVJ+8aprWKNRLizRLucBVQTO+nPgxoL19hE835JT71Kw8
eBfQiHMyUcGATS2akcMJuBl2VL5rjSgHXz4Y8wzoPlqS71XgfR9gfH3jkPzfG4trnwLCajioGfad
4cM7+BxsobJNNghxbovQsusjtG8za93u+lFZ+E5zUwKp2guk14+PVVRIA0CsVf2m5gJ3wQCF9bVK
1cK3mpOLSADZbpWDmqVlRvWGxDIO7uEvWa1JyC0NcJnfh0MJsVM/7XkdH0XVAPujdeDVu4Ho6a/r
67T0+5d///D7YZTmrHAluGUxKJNbTqbB3mUxgZzT9QEWijlzMlFKeByHQpizHaJyLwG9/QH6TP0O
FTRzqNDXa3dDFMubqBV0zgJiUZDWaWowWgTmgcmGAQdIVJtYrHIWL7v2D6+JuS2BcUWbxENgzlyk
f+khCpuNtJ0+hH0FTZRpdLsRVjtvPhPjjZOaBQTixi5XUpqzgy4PqN04JKYHPTe7DHv9Ky1UX+bE
ICjwubCMakyqCsu96buXirfxPTSdXkrQnXbXR1k4lHN3AGoryaKB92dgt8yGR4GG0+vwOuG4rIyw
EN3m9KCLvylM94x/pLhhgArgzZa0biMv4BBL1LDhoXnnTh0gfrnyhl0a8j/FV6VM08r/H5IE008H
v1fRI6r+MyIERbpN5XebEft85VAtnNo5vUdEpUq7ZEQTl0nqHl0hpd5XA9oCKwMsfalZWHBU89GW
+XAWQwGLUpFHo3icYBBEDh66VreRc+nF/vpj9IFjuhQ5V/2ZZFx8aaE8991N3HtUk0pWmsxLS0X/
PYSPdxLzANx6T2wwiVcK4U9vC9AsKv7XN/VCPJgTeqxqRpg0DdOZ9Mi/oa55YBAo3RU2+RIo9qya
2O76plwTdl5Qf4WS7b8nBC+RbtImas/a2c4eOaheSAY7jxP3UIlJsx34RCQ+WQgi8p+cBzR6K5wC
EAj29srnmxjO2t7b9cn/Obr7cwKPqQC7kalBCyWbgodq0C8hnraAyfryqeTxJ2SsK8fsz8vsz0k8
LaoBft5XFGV0zbdUtM+ixsqiG/e3UOkWFa+Xjgw39Tj8ucNAPebdWKINduakSN9N38bf0yRxL56l
0Uou/+cT5s8pGXwcqR/Hxp5hwJC/EqMBDyB+4R6QKNVrKPqFErQ/J2bIAalqzB05T3H7ZeJTugGI
1nuhCl4mSPDPYZJu+hHbNcmn6BUmsitf68/3iT93GIA0o9fC/jl6LzoKvTo5JMW0YyHz0byWPgTh
Pejhsk/XN+HS1phFkRZA4HSKS3KCLJ4C7pNuQa7wsZoegGEUzUrPRseRJGv45T9HfD+ZhRReobAQ
ohB3IuA7bQqImzIPP/5PjxIQbrWFnNQ+ozAIgRvqql/cZTb/zTv8uR2BpumgO5WMZ/T9C0W2qLSB
BbORKgLgdJP0Bu9zSLiSINmh0+BPzxDhr8V3VMWo91TWSZ0NOwh85S7eOxZw+Q71UeR6K59g6YPP
ohJvq6kqQNI4mkFIfeYB88oXq5Msfpl0hEoDqh+V/wO12DaudraRw5T+LAZoB8nHIYfz7n0BXCkD
H+Bi6bGJfTBZtiyq6p/wapf2q2wSwJO3yraF/K1ZpwoDUaBEAMEESDGKHo+Aj19a1WUbFd6DhLgO
HJ1Z10hU29KCoHAi+syrow00NYaw3IVd6YbP4wS8OZYtndozdGFKvauJqUuAGAsIH2xav/XGvwqv
DD1AkiK8HADnZzlNTiKK4Eq1AS7MEzujoKVco9da1cEDXrW0/WkhNgnDyLh3DURBJhp2G8pJTE7U
4UvtDcR6YTAFVZ2M3hUgV/h6X+SEgaeTwhhcFbsqZ9S+0xi2dnJDojDUnyuo96KDmNbAYp1ZCG3V
M0DBgfcVdASRF9tKiRGSW6YtaW82ORmi5h0wU3hZbeEyOQRPY1yU7JvUIDbzTdUWGbv34j4r2D1z
HjqSOzmA4I6/NPVASkV5CtY9913b5p2DTLWtxBuKuoKGO8tFBd1dHfZRdeczODwccJdTWDwEkPRQ
D3Xej4PeQJYI2v40TRo/BHKB247ts2Ek6d/Xd93CppuThBhpQhsTpk6OF3cOvqk7onoPCBVzaqBb
uLK3/5xB+HOOEKmYy6kv4xOJCMr2IS376oBeYZHsbpvG5XL98AZrhy6SI3EoWQADN92Xzms+1RD/
eq4huDXe57xeA3osTeWykB9GKpxThVWAI4QjKtp7UcSt9zg0AZxar09laYDLbfdhAI50TsSRrE86
iP2foPbm3TFuIPFxE57Cn9taUJh9kBCeuO9hSUB8aodmyF+TsqzSi3osnmLXp7G0sWY3SsXQiEAt
LDtbpYctZxBJLvI022YcKXwverny5RduLj67SVoIoObcTOIM4UVw6MCMvTy9CpKrHUic8DWJcWgr
zlZ28sLFNbeugPWBtS0cOU8c6nwbUutmjxLJBeFW/xYhuFat75rvKSTMHmi5hnddGnR2M4DqkA6Z
9O3JxarbXk4qNB4/GXgtgiaRbOEPvW14/ZgVa7nHwoBzloYITExEp+3JGuAhLgPWZf3JXFy08M7t
Niz2tzGef1FdrhkiLiRzc0ZEDZeOTuWxPKdSxHeVSMkjyltmDz807+H6llw4Wf/hPUiwlbuK2lPF
+/zeumh4RZq/xgdaWrNZYLAprC51x+2JyPo3N/afb8RGPJVIX/5uw/wuumTzqBat7PyFEzb3sNAS
FKTW8urM4XT9EGYBf0ibTjyUETLTPF4dZ+GExZfl/BCQCJwvbGCb/gRosfdLKHehqku9qaiZUJkf
6KPNyL0KcOKuf6eFF9HcpYI6L1PpFKpzbWmwcwDeI+PAr5M2TLYdA0YugQrj9vpgS/tuFj/qHKUo
PZnxLeVTuSPZSO5ImH4veblWLl6azqzendKqNNw27q1qRaZ+CTIE4SFpoxTC01aDg4qEGzQkt9Oa
83DNY2dps89jRj6MOocgwtn68KSxoqvfJ4ctcn3VFn59zocgrU8bv8pQJMz65pWmubwrNQvXdJoW
lmxOiAAKq1ccSqEn50PUzE745O0UqYPWcGMYmTkleL2uXFRLU5mlDkVbwEwJXacTPESTL9UEvSAo
9SGBXNnNC8eUzeKCGzKVByCfnlM2xuS+gk6NFtD8rDqQhtF+DRsFuMlo6pV6wsKGnpMjrFSpadEr
OBeuBiAaLy3vlwzC4i9FbHy87fNf1vJDSEhlJBMFEe0T1MegNG9iLaJfGaDN4/n6AEsbYJY9GJYx
B45ceYb81CUrNw5tf1RFLtXJTVAXaudnqynE0orNQgCHX4rXmTI5OtJ7sJZBnVvoCPIkGaF31+ez
tMlmMaAISTUFKijPcjLsvapiMxxi2UZrAi1Lvz877USkzPMhTHEuxrAETqJP4IwiFIQerv/9C0s0
pyq4SdiyQtP8rEvQ3Xd1x3UKVyAe8btRsWSNZrXw2edUBQjINDqGl887b6fyuQJZeZtCnRgSux17
hO7ZF6XCcGVKl/P3h2LAnKpAPAnqRWezd6ozG21sJnX6GLk6Fk+uiBJvlw3U5/fX12/h+8y5Cmj9
o5hZs/gTfB6il/ACOaCO65XTsvR1Lv/+4TjaXmo2ZSI/A7XCDoQ3ZFePLLmXJbxpr09gabUuE/sw
BE8CEM6hsHJ2XsxhWcOe20sVOIygZhkIoGmuD7O0TvNzL1kCznyanaGDRd09rHaH4iXgqEWtfPWl
AWZnPSySOqwACzkb+B3CZgfc16gf3cpdsvQhZsfcsFbD11uKM6EcrVk6GNjcBjbK9l2DRv1tazQ7
6wV8Lm3Yj94JecrQbqCtBP9UwNjE/vrvL3zqOXWAE9qaErLsJzKwEldu6D9APGADOv22tcWv64Ms
nPQ5cYC3YEvoSHRnHfV5rPZ6Slpzx/SgWLsNgbtyb9Ae4sPfhnuTXdNjXfj6cy6BU6o3rkv5UbS1
UVtB+2xTsKlag3oufP/wsqQfTglgPn6VW5edWzjbEah910G4BS05YY+TGvOVG35pFrPjziYLwTsO
JE41tBDCQeEw6zfOwwP++rdZ+v3Lv3+chVWdy+IpPtYVD96KbhQh4Ewd/FSv//5C/8WfK/RDhDP1
CPODT0aXuX9okhQC7YDpNa0H3W3VJskzhUTk8M0H6M18DYkcAkiCsKY3xUZCnTs954kXrgFSluZL
/z1fAxnrpijL4ERH9EU4MIqPPt7cu+uzXfr1WUwoICxTqT4MTmFeuS00QclzE936pg1nwSBFzTDS
VgQnPNShZ8wLsL5oU6hv1//4hQ09pxTIEDA857f0xAdv0i/Mw/N1W0mFVgTX1e/rgywEnDmRoIYv
eA16eABIUwhQy9iQZ3BtX7q4g+Js0Nx4hc25BAz2cUkDDaFPsmxBTdFwbPa/0jzpg/sYJkzZy1Aa
0d7UM/XnvAF4VeoGtMTgVOQi+cZrDfsJcBOm22yZ/DltoGeAtEzOiP9B8IimbzFkVb4B/8O9L9e/
ycKunRMHXCUKT+elBPcW9z1Ioz8sz9aeREu7anbLC4jpZbQJspMbUYiBBB2gj5Llgd736PLd3TaD
2anmAqVZWw3mzIBhUXdp1vU/ws5v8psgJX4wO9dsSDtKjJ+czDTJZ5mm/g/mtNpH9VR8vm0Ks8Nd
VzA3h1+99wxLtXYnkRntfX9N2WLB7NCfMwecX6Pj5+X+p8IPdP5ooLNCIAdayuK7qEScv4hsAI8g
Q8YU7VLWw6pOcJXs6wHuYw9TMXXsEJd4U5oqKJqHtMc7+o3VXePthOnwLORGGwcgN4QKG/Qsh7g4
yLQNUKsS3QjgX8ChSjX20H75AQB8tyYMsrB151yFAipxRZan4qgjMz5D0Kt9bCL1/fonWchb5ijY
lndGF54QyOHx6qEl2wGI88UNyPY0tAb9vl2rgSwckjkQVgMdnWTQcDqLZpws2tsBuNpt6AMH39fu
Nt6jP8fDGhMFPh1S8WKdEncX2E2Vwmda+6qF4bW3smpLc7l8qg8ZBVzgpd+UY/Qp5aZ7ChPIBog+
sG8ja9ay1qUhZjGF9XIS4DlGn6yg+QuZYuDvW8W3bS3lSkRZuKfm4NgQlthNIxrx8s9xFIP5Fgo8
f1oexJsM+my761tsaf/OAgsfwHbJI+q9O84q9wAqQXVns4HJlffD0haeRZWWRegzx7o9h4F2DzJL
PokUrIBCC/Okm+Hu9uLqHCnr8oZaEkT9mWUyNveuV2GBPC+wCJNRm6/JrS+s2Fx6X8ehR1tIRBw1
7HeeGB/4OYugg3v9eyyYC/lzIGwxqDFARyR5h1N5BUETDz3Z/h7VVS/ZEBGWHBJnReVAaAlY9VQg
Mkb3YvCyRmyt30RfZBJmMGWEDly6NSqoNXrF7mJYXDdlWoEIXjK4TodKgHRxp0YpH+EK5ti5EDBa
fsIDyHSPIhnrpyzL9LSJ2FAmyJP7CIqFaCUT0uxs3UOCT0IIKzu4KqkiyGH3IEZcX4GFjT+H6Go0
GKJozPSxbcfopU7LM3OcfKnD/Dwp2JpfH2XhBP9H+r8UsAv2XPpOKihUPQpdiB+CFU3y2jX6NmdB
/x8xiQ+RSBeQPyr7rDumdVw8VrEX/VSQirstJ/gPUrfPCRmLoDgK4IR2Aq8K4A7G8h464nJ7fZWW
9vosrQFRHA3I0AxHwWTyyqzWr1HWRSuxZyE2zJG5QslAmlaIo83MhQEHEP0QfK3FBNSHmbqAvjnX
Z/z7GDLIba58+KUpzQKSxcVpE9YVGFSBIpQqmHJuStt6a8Z+CwP8B5pLR8JcFiXvkJsS0WMBUg7K
ib3x/77+TRbOx39AuWAJ2diK5N1n2Wc0xLxnkHBg2BcGJXA4dbbqJ7PQiptjc3nKPdgveeWR8Wh4
aBsN6iK46rbMxB0Nyu9hP9zlHerkt83rMt8Ph4X0MA5zAKFB0wKqy63Mqw0Fku9Bj+gBZwFynuvj
LJz8ORaXl51oAwk50JQqJTY1CJz9lsHtUcApbXL2tqNDLtvjw3RS1Q2APDTyiApgU9zrMPPtwfO8
G99kcyiu80qAK8CBPkKWIgSqzbR4zJQdiW7sIsyV9YEIjOE7TtURMGyavTioxNp3qF8xd+MKzVKP
GrKLXWBc8h5ywNkhJNMBeagkbEuvf+ilgzI76S6yE+Thxxp8cZndW1jH6BZ1ak3R1stjvVZg+vN5
J3NILaQAGAU7szqahFC4O4H+43XR8focln78cjY/7iKId7HBw1cWEB/aGQhsAC080JVkY+nXL4H5
w69fip3C0wpuumkqnwgy/Yc6yc+3/emz8wxb8hJuM3H3vyKqq78M4WN28GuO5OO237+c7w9/PNSy
QItGJ+ps4Noqd0XChvAJwpXIe64P8OdAARnQfw8gpXAqyTvxWQO1t+NwWdyQkauH2KxqBS19gODf
QzCoJ+cQD/XfYR6p/Q3WqAE0tAq+Xp/B0s/Tf/888YhsIug0f259y57rC6fGmGAtkC79+uz8Fog7
rlTCO3MK7wdedz4EkFm6Wt/+8/klc+nyuukUrpmpPab/x9m1NcmJM8tfRIQQIMRr3+bu6R7P2Lt+
IWbWuwIECBDi9utPtr+XWa3VnOg3x4QDtS5VKlVlZeqZ+9sZKg/ZVgWgSv0WAYNnNj3yhd2KoTk2
24YmzhkaKT0T81PboX8X9/cPGQX514XM75f3wjWAZclokG1rHH96MrHf3rV1F235QMIDciLLisP7
/YWNRq1/bzfLsyyJy9Z7GQ14ocNF7nGepkfFG6g2gFdo03GRHJpxXCOW/T0KiXDLxCVI8vHGLoJX
Kac3UHKDDD0FNcuTHIP7pfHOHLdyGyQL2uLRz7zG1OeapmX4EDCFkAe4Xl9BmV9v0rx5AHj3p0Fd
coNEIoC0JrzvfUQqlzfOccxtCGMYLVOWl3p4ZX6kdiKa+l2ZZD+v+7jlAEA5gx6CoQpOofSm4sBm
xaqbkkfy23XftzxAN0PwHhoyxdvQgMjhyXh12qJp3ouHasVLunbD8gLaD0w+pmJ4JW30IMCnLKUa
8Dr16g03uGm9GhSN0zlldd2M7FtddClruio6gaNZPY6ipV98BmO66us2FpFCMy2gSOC9gL8/aBAd
JrFnkn3dRgZ9AteNYXmCHNQf8MkeQipQ/B8YuvgOS6luLn/c0UFCbNyhWJpwGpDJfQKi5X4Om8dw
GXdKqKPw+FN1hlDOdHmOkupP1CLEypQczs0mX64mBp5HsGqcTFlXhxBqEGD/AIVETIu1aPHsxP6L
oCA2AHHUigdVMnovpO30QYXnJmiFdICcuN6DVuLPAnW7FcCZazpnV/AptFCMA+If9x0ocv30GS0i
8p8ReiBfPeJRb+UcOzcq+PcgQi5VqkloXunoP0M6Irr9hQgS0fw+m0o9oqYA71Y3wD0k4b2XXqct
Q2LLJbAl1ETMhX8SAfgiobu2+MNLVEbNGoOjw2Ha5MtjXkxaQCDnRJc87w5MZUuyJ4bTlfyu6/uW
Bxi9rvJEbegJJJwQ0BALW5KbxRPmn8sm5Nh9G27YhmGMakuRnBQ0iCGrAdqh+p5Lv6+3XRRIvsLD
7JiGDTtUICqSYIANT9wM9Aty7cgjMmCeL0/CETwxKxZoVROXYQzW4gqVYNDbaLBQZvEPHLHsBUwv
3copdk3CigBC6CijBtMijdbHZjkINO7kj12XNs1VSS5iAwwhNGEyEOuol5an440Wyc80BDZzGcnK
brtmcP77J1sHfNFHY5YBLS/YW5NbTggoH/sxbNeCJNdxsux8LttCUIorRUBl/D2k8FKy7yCAF7cV
+ePybrsmYdk0SuTj5EHz8C2PE1Btp6C1iTZDtEqO7HC+NjnyLEkvFZQM/soBX+yqgxfXuVeCgKk1
/D6J5jj9w9ccYdFdmycJWyvdug6xZek6zEFf3YB0F3QX/RRuwIrpl3/FfkiCP8eQAhUYGdBfrVTR
HRtlww5JLRklzaTewFde7sA3Jh5EjpLLwqe1pljXENbVz3wBiYd6mk7wwtX/kHk6ndP3KY3HlQDA
cRRspGHud4oFI9y7mUaqvlch1M1PIlHBSkHHNQXL4ikj8RBVBTlBB2nub/Mw0dk3wpeg2zdLyucV
u3dsvc1mrCbOolFz+Qb9PfoAgcdvykPkDSxwC9k/IKkuG45rGMv6w7wHxVQZ0BMw5gv4t4VI0cm4
4RAWUjuwEOgh2HQDdBl3l8dz7Y7lDOgQhqOM/fJthDZ0vAVzdKQewIEwyJXtdzzJbG5j4Fn8mqaQ
LOKDRDvtGOv5a94yUzylkKa6z0ZTvBQ6j2qN8CnsvNuxh+TR5cm5job1FGgViVgs8/SkiuoVlURx
l3X+8wJq1tvLA7h2y/IHFHLTGq1Q/onzSh4QZKS70eAsCBHmXwdqVrzp2Rp/E2ramMRcV1XrN2P9
MgNwfjuD4k1rKAqFiJuzomC47CSosL/MWWXyTeFNTVSurKDjeNhARUwoX2Ihujc2GOAgZrGYn/GA
0tx1ga0NSUzzAhpbdQBQOLKWj6Hu62hLkji5zYLB8CsnYXkIwtA+6ud9AGZYmM6+rUwBpUej5hU/
7dqe8/H7dGODuWkolczwfiqBoBcN+GAhTbDRnRRo5ZIgvqvYrsQlsTIfx7G26Y3Tbil0AnJeIPbN
EkNTShR3HKSPCsov7DomMhJajsFEi8KzTS4nSnwwWDISBeGy9Qp21sq5bD2/SHV+d67pvxeO9YxG
3Ncpns7A8r7wHiTBIMnLEZOUmxmkgdU9ivM0+bsDCV62peB4ynboPOT5nfaq0OyiKm2y76hEJ/3h
8m9yHXjLZXA2dZFJceBNeBbAm5QZISDH5VqJ0fV9y2OIoCVd0nTJqdVd64EPVQDDKidB+u1VE7Ax
i8DwJdAFars3Cr3YezOD7Bx829PH5a87jp4NVtRh1RgIN+EpJULwY4qoB0YK8nqoWEUchEXXnXAb
rAhaEqOgvhWd9CLq+DFVjff3WPl++hBNoV57K7gmY/kF0YIDdS4VRqHZ9AzNRrKdkzi66Vv/Kqwy
sB7/PuC0XjpwpYjwBO0U8B6KJq3AFZ0F/sp2OO4fG6do0kDEoPPs3ghUCG91ljebMYIsARkjseuy
YY2F3nFqA8sZpMhF11nmYx4e1EAOeT4P7K6YzvXqy+fKEc8H9N8L1XYBSNSDuH+jo+4ewEexqDM+
PQL7pLckywnEEGq8aVgI6O11I1qGjv6KuEijs3aM54d/QI6v2cgU8tSC+PUuTxsUzcgq/blr/Syr
xx2aktEn4Wks/XjepVyCszCNwQB8eTKOk2yDGfHQSZKAALjAKtVtsWTzrZpKsR1wf68M4ZiCjStk
pkpYCD/7BrijD66M2XsK+iC47gq1gYVSFcEIubn6ETk1dAk2tL2rykxtqrChex6zs8OHdEjfrWYI
HbgmYiMMmYeGaLALNQhtOu8MaCrm7M2YyW83rG14KjbgFL5HE0v+pYfA3tPS53c0I0m794rF6zfA
qIk9B9f6NoSYyp72g3qFdDgYENlI1O7MQcygONEnLYDjA1sOQMr2AH15BXiwc8AOs403xuAtGWMW
ZF8mxWX/RIYiVH82BupxYpMVGdE3zUjzdCVedW2i5Y/A1tACaZoPb6PnJSdgTMbszuu8iV7F2kN+
gW0/RUKqHuKygGzqSdKSvMxjDyadTPOneYEYE/IBa57b4feo5Y/yoBRpouvhjYRoKpwhHGEU2rGD
BXlJVOiO11mV5ZQkIEZVj8j7RPHaHw459HTnrREIWjf+4kUrDyTXXCxHBA3LJUpYW77knlc9jyUL
biQUn7aannnMfQkxieumYzkhkoMkp5xzelK6A9M4AY1XvJFgc2huQlCrrKlJOM6YjXrUPfJh6TLU
j2NTzltAqc2+12sQM9fHzyH4pwMGMPU0sdIEJ2VCc5M3c9/tJ6L6YH95jVzfP99Pn75PKQcBmj8M
b+ki2d2ceoD6eDJaLRU6HLWNJaRd1QswyTdvo1qC+UBZ0o3AuPJJfVsC0erTddOw7NwMbaMKwZNT
E5PqoQvG/HsZrnI9Oi5rG0XIwhKAzwpiP0C1Txu1jIczWvEgzNCDPyfdBkFOVhyWa70sQ4dIASih
5354U1MPBiCgdUcPr3eImH6/bqUsG0f9JKQT8uovoYjZD8rZyLbJtGTXSQQRG1I4p6IOc57JFxmV
YF9F180hBZZ002eQw7o8BdcaWXZNG4T3ukL5YY5V9WVe0FK4IalKHrueqh+Xx3A4KRtDODd9HXfK
ID5j/nMObmpw7ef1tgzQPOqrwLvu/rChhCQZaDRpbHeYjQq1WlDNNd81ODjmG1Ck5PN2yBMSrRXS
HQtn4wkp93nZNMVyEtAHKPdhnDUbMlNBdgKNuNd5XXJe0U8eZW6AYCZkwYMvHfCMDsYvc9mVd82y
2irh2pvz9D6NIAoKQvQpLb4qpujTKNMk3zSFXz7kKOQ/LVAdv67Bk9gQQozUd+B0L150D1YNBbp4
hSzKnbfwNd4O15ZY9q6jvEDfGFAvuuiyac9ikFLkXeR7N0u+LObKPbGMHg+/EirHUXAiURQBrMGi
BznF01ehM3m4bDCOi8Qm9WR5M0kAYAX8Si3R+eORQEzbpCqhvrEyC4cbtnk8WRn7XAnqv+ez1/no
N6pYfiiMr6Lt0DIw2emIpBnQJ5W4Klsc4FHx76MmA3D6eoYEDxUS4D8AxV76b5lfCLkScf121fB9
63qX05SB640HD2k4+eW4ITRJg0dKkile8TC/PWAYwbrgx5FJmTXjciJxocKd6Eb6ZVQiZzspw6sq
qRjEsnmuyJRVNQj39EIisIanLXQIQHOa9fsrThcGsEyel1mSkcaIR17EJVjMOGDK2wmNpCv78FuX
gu+f9+eTSzEDiGfyuEsfWhDho6dj3M0T93cSOZmDF611vp5PzX/SfxjFMvZqCvwS+ivmhXZdDpaL
cNy2UfT3mWyLcUiktCrudnNkbtEQ8dflhXNNzLL8do7npMnr6WVsz3TradJX447pEroyOmfzBPmu
zFuDv7lOsxXZ02aseq6R/VFTU/xBCO5+PsRrD3LXSbau/UL1KQmXZjoNXqm3Fa27vdE5ec49s7JY
jhFsCGLbdV59pg0/iWKBTDwHGZrsyu5x4Om3y9vhWKH/MCNmWdSGddG8aZi72clyYd8VBCqazeXv
O06YDUCUwKOnZFDkFBYGGkFBPELBWJnJ+5sPNGSI7VEulHgEJYPMNjquRf69T1QLXrvLP8A1QcsT
0NCYzgME+2QW+OsNT/v4O9RP+EpR8ldrzW9MiFuOoO2mepiC1DsRGhQG/RAl0f+EWaTNLQS9ZPSj
gjAT+NiXaIaJBU3sxUcUKTy+i7oi8xG8hS0d9ynS8KG3iYcmG1Zm/ns4UZD8B6bojaogdBhfxjND
TpWAupMk0V6BOK9Ngr+VhNYbL0K2bYj5Wqb+Wp+Dw8S55VWYjEM+67k/QVwOfRQ8KSGLO5B9yynZ
TMEaUNI1jOVJqlp6bTtrlLVVY9oTbcIyvxGCdWQ/SjQKPy0eQryVfXYdI8uTcNp40ShC/t4zr9tE
5znFQ7oWov42kMBOWZ6EBCoLAurF72CfTW9EiTLZpppp9oKG0uwl1mr+3no+e79sEg6vYiMaAdxY
kqQayUlmPjmICF5xLHJxKLxxTfPiV0/qb8zCplOEalfqVxAgOXGvyOZvKcuGwt8EBkU6jQz53Mr7
Jq5N9CfDMspDjvxHfkc83ZovaZlDMHej08qTwFoVywQBNUjTVlBpQCpruuGA+/hgguzKCBw3psuD
b20gURzlfjNnH9TzA9S5eQxts+ngzf51pApBYgMpdcFasPfU8wt0ksBIQ3IIz+0aNSds5bHtOGU2
aNKLklFXYAr+CZmyGghgkNXmdKMANujXmt0cR80GTUo5TKPS8fQC/OpXXbIE/cNFtz8LuPgJGJXq
dLU27zpn51l+imFCbxEp9XX83kmz3IBDCZVZaAImfbMCPPl9+RIbYnkamaCVl4OH4kUH/j8jyW+h
VQLF7xm8aTopC5DLhk8pmvnA7/+6hO30GCUQQurKcCVp7nBBNnCyzRgPPK6nB4o7QMs9WEM7UDBw
1LfFW2qgzva+ULOGs3GNZvkg47WV9uIuBOk28nqIPrellyb7vOiO7ZhcJUyBNbV8kcT7r+8DlBlE
iaeZyr3ldjDDmliN40zYSMpxBBEVr/3wnYDaZT+Xwz6FxCbUjfNrCn5BYmMoSZHQJQzq6H0EI1W6
5UvbN18BDwrJyqFz7IINo+xqsBT7ywJffb7ddNyWm6xM203mob5Y8ut0iTCR8/ifrEeBfJyXS5+c
0iLhr/MsJrWpUSVbwZq6NuL890+fh3YfPouI/71NdYSXi/dzFnGwFyYot5evGYczY5b5Q5o7AGtw
lZ+AaS4+5gE5Ku1l5roLmVmmn3Oo0QGEM7+EPmVQQhiNMTsAl8s1TInr51vhRUgrpFh1yd9lA3XL
fubmttVKfLu8OK5TZNuyycAf35f6YTQiajY0hrJ9PucVGvpjKBIENTJhl0dyRODMsmcQDEdFEnDv
mALasZ3JPG/COtpThcFmHwzVzBN6MzV0G4dQ17k8qGPxbOBkYmaeFAi136cMGs2vXcOBlyMEwpU3
lwdwXGM2UyMSHnIa2STfk7AEB10zfolTWWzqAWkxrdjRV/Ll8kiO9bPRk9DUU2U5+emxrSQwX1Lu
IXn1JaXLuOUBKqILGlWnqntacHevWI7DNm22xlaUkAfrJIYUEXkDQ28GLo5ZHVGIXzN/1wZZ5o+u
xSWfR1GcVNc1r5AryV6heyVXJuD6+vnvn5wLAf00UjpUnEARmAf7dsgh3tD3USR3lzfFYT6RZf2l
yrqCT2H4zvI+2hW8G3ZlC/I03XhPzEz0ynlYPoBJqPcakUODR07gA600e/x/8Ny5ttnyAaEB/1Cd
Tf0DRSd9f89BCXgfdiksP/VNvKY25NoLy/5V7AdCJtI80Jhk0LvQ4wztU2CUwmUlo+fYDBsceSZq
GM8aFC+tQAqkndmPnAGaVKV47kGl5nR5yx3zsIGQuhpkO0FZ40Wg+fOOJl3xkXRmjZTGsRc2DFKF
E0sh5pOeQOMTDmSrfALc0wbSViX377KwSNaM+5xJ/c3LyOZoFIJCXhVY3xN2Xx9EkjwZftQElflf
Lhk5/2Y79PL1ulWz7FwnvIJEsClPtFDQMIdeMi7IANQt9crmuxbuvF2fTJ1l85T6zIwPmEkA15vc
CgaBenRjXJnEs3GQEoQ46KcX5QmK3OymCgd67HJ55UUSWiZOy8RABpjKk1QGsGFshxLjaWQgA9A0
+YYOiuN1O2FZO9pHQs5Jb06hf87lZWiIiwkIWi5/3XWqbCsvzKQm4dXA9SdPbMhxJ07+TVvoDz7j
klLQy4Mk8sqeO0zRRjimUL5poMtn3saBqGIDkQERPUB1JolX3lWO2dggRx6qLujLtD+p3GebcEKk
At3PzRyYeq/iQh/OdAoQG25WJuRKldlwxzbMW6jId/oh75Alm0N0exiT6tucQmYaHf97yIane2gP
lHsa9ZA5HVaFJ5xjn93qJwvKuyxnADrlJ+bz45kBLfVUAQ5akBqzqui2JlyepwogFDS5QQirbYaV
2821ypZvqEwXVunMs1NI2aPsMn/LSv6qCNJaua/GzTSnAJUi2Ll8RJ0TtVyFrns0itBQP8tiJgD8
lZBAvIFwdCPfW8Coh4cK8oThvokoJJBoRZgeb6iRHZiMspi0a3oIzt9hBQ9ATvYF9SaNI5vPN2C+
L3aS+v+kntnPcXwMQ8DKZl0AJRgCRhaXazKTjpjVhlhStNwlZJmzkxq7BKoCrxUEOUC91f/vqky9
and5pR0Xsk0N2cZJz0OJIn4P1PYxY117M5cI93F91j8nkbX7y+M4fP8vYN+nk5vORkGJoRve2wjN
hBVkOg9ijB6HGtJtl0dweBobVpn2Be8X0TbPoGkm5a4fefq9Z5X3cd3nz5bxaQKsKVjJSNE+SKEg
OrZnHgVhAVTgUFE9XB7CYWQ2rjIEmnIynkmPqmnCjUDSRgtofEDAtN15ymwXqY6DX61RoDi2xMZU
5md1axBadg8kytDxTQKvDu54Mkf9985wCIhdnpXjUWTTNraiIz66yKsTC7q7VALyqoa/EGI8mGIU
m1/ewydm353DmssjOs60DWzMNa8rvnT1M60ARiB3Ej0YEhRB6IZGy3crqzx+6EQ0yrV2M9cULS+R
Ijs9zHiJvaUs+E7BsfgnbwKkrIzKN7CjexCOfJ2iCHngero21rEpHkkiQsEApzu1pu7CG9KUGups
kET/4/IqOlwQtYKQMAQtn9+28g1KQc1W+8ise2S6TSPEhj25j+pVoSqX5VoByTxPEIqu8/KE/ofy
NaUFO4Eh+uflaTg+biMc866GZjejxbNE8yECtVbQ+LBQsPnuLg/gMKP/MDpW4KTFM7I8pV6agcSi
rcriWXVI9wIUnAjCrlLpDZL/cDtqHmviY5lMEXO5zXHiyGaOy+4h8vy1Hi9Xnvw/oEdGe2Dfe/Uw
js0ABguQA+YAQ29zMn4B5KbGO+esG18RFCLDvrhR/WuvuidvWAMauDbsvM6fHK03exTqHV38IwD3
6mbJZXbToEq44htcu3Ue9dPXddRx9CrV1ZsIJ3R9tUuwM20XPfmhUO+XD4TDG9jMiqyONNIN0juy
ZMa6pf2HLqZdhZCaiu5u7GIfMMwKCahVUWrXktF/T6oqeDZHFJBIlmahvoNYJGQq5VyN47fLU3Kt
muULKCQ3IyXH9FiBHTdECrJZTuD7RbiFbtA1t+1aN8sNmEUFQwhai6OYQEAE8qnjnGlATTTCkTFa
/gmpeKa9+Fku4d9XTcsGSiagfsmnRsiP1u/H/RIwoHM0RSgfj95K4OyYlA2SFAS99BMNvSNY+hWa
DfgBsDUIBMjz3UfZ0TTkxu/ly3B+RV6elcuEbagkmpggt+t3888qbcVzDv7WbUUydSM8INWrBnIB
oNxBW0MzpjfeWNEtVJ66TaqTP2NgtFfcouNM2lDKVLYkAAvj/E76SL2lZzlRGsb1Sk7XcSBtGkah
k6YwrMo+0E5gDki41/tQ5v2mpjDoy8voGuI8sU+eIoJ0bV0kY/YByZ3H3B/Smz6GHqSe0mblbLhG
sMKGmdUjgeRnfeS5am+Iqeb7Ch2Nm74f6v3lSThCSpuGUYsgHkDuGx/VgGzLWcbtjABHMxNeyAok
SzoKIb609mpx7bnlJsZIB8TLaPah0cG7J2XbfCkoaOMuz8X1dcs/jGje99Gh1x3DtEcvGylKX+Oh
m6XXJUa4DZg0bdokyG7HRx2wx3FJnzgt0Np6Xie+RHdTRJ7/H2b6+92HCsq/zxeLF1WG7dgciQ+0
fHW+whl6PTYeW1Un/P2KcRs/Ca0wOcyT1x9VW6o7g8QY2UR1Ov9zeUNcMzjH358sZM5qD+LUQh+l
RiIaOfbhiaroFRL1w0oM+vvjy23oZApoplhqwo90muAvTfzKiP6ooAu7nQHW+PUims7pnssTcq3X
+e+fJgR0Zg+okFree49w+UDKYULFSKg5zlZiA9eSWSZPK6QQ+7Sp/hcbIHLfVdk47/uWvV43BSsU
0DE4ukSkQJSeQTFXAQR8t/gjWXEnrp9vGzgEoipw21THipVVflN5DQzEwBPXL1FQglf8uklYlo6r
sI5ZUM/HOQ6+pxmk1dALdV3BidtASU7aqRBMz0eQuv80DLrtgGOsuZDfPz1BR/rvE8QXj8nOm+cj
JFbbe4hDQj0AnOnHWRi1DczqE9dxUm2spNFjbyKZTEftqzO1+5QE/0hdX6VLEXCbmpFLCVn1cZAf
Uzi9F5J2u2ZaVRn6/cOS2zBIKOVmLEesd9TgW4Uyn4SsPfpVHoXiZFvjnup4Oqxkax0H1sY1pols
x6kJ+6MJoM4ZLhRYm2CS954g49vlw+oawjJp2eMsRbobMUQNynswmKhqI0ffTF+bM/nuimG7hrEM
O12iRlRJDqoADzsB6W0qNj2VaCKgXv1xeSquU2WZd9qkaGtEq9uRJoN6VOOk3/uWX8UthENlWTVa
nzrlI491VAvo91rOjlMO07780x2GZwMVW1UUIOMqh2NLzoVFiv656nybZhkIzIpFrEEkHNtggxXP
j5SQSm6ObRr9Pc7I5oRD/weSO2uYKtdEzlbz6Q7KAB4FJ8ksPqYS5gBIhN7GTfBCCpo/qCBeQSY5
dtpGD1ZgqsoBUW2P1TLcEh+98xF0ky5vhevb56X7NIOw6fyRewO+DQJwZMdR/kDDzlqa1xES2BLP
csmg8GBo9df5l0NK6r6o6I0nw8dfAy18+KOtyVoXrmsqlm2no1/6YyVbhJxQNYIwpkAXQvnndetk
WTSrQEQWQ7PgofW98YYsY/Q16ZK1F5Lrp1u2TIEbN11StUcwKy8C1dbJB8uEKq8DVfH/YP+mJuuM
4c0PDl/6IDpveQn61day3z+buY39I3AMRVaPzQ/Vy7HzN0nbM7/bJ/40N+xgaB33D5wMc39IofwY
jciWp+AP2wQ87tOV/XH9BusuD8ZUssB08q9G+EDxTOAm1ey1mszXYgQFCcSbQPJFIDM6tddZpY0X
NEWlQBDC5V8AlAWbFuQDBzyo1hKVjhNhowSliYoMOvXxM80GL9wiqxdNmxAsA7eXz7PjXrfJFtVc
KZJ5TfwMNnJoAYny5VfohvxNuq+W/uvVdX5u4wVByjL0/ciWB9Ikt20MfFVSr5JfutbJMnrGIg/P
gIaBujVI5ZPxfROhqEsCdl14y2zDhwBQnhemPCot+n0K9OMHPGaz9opx3CA23aLJCSgj+8X8hY7Z
dtNCrGIrzxdgEXK6GQKwrV/eb9c6Wfc5yUB9V81D/mw0kdmTMgxKzlM65MX+8gCOidjIwHFhoym7
RR6BeUJ74fmWMgEokuYYVe4gJneXh3HMw8YHqtDLJk+XJR41bImfBBI85kCrsrxKByfgNiyw0oIp
OeT5cyp8GB6EzBKyW3wyVysL5ZrBeQE/3biVNiFJOSmPuVDsDiq44luUFfEaTPp8ZfwXhsRtNkWC
Uo8f9Mi+QpU99/9UQ1mZv3Po4unbLCpBjjMuJk5vlyAcvae8Kbwfk4LRHCqQ1H4X44A+RIhht0OD
fLtPgt2YC3+5n9Fyg39LFub7eejR2LQgWeptwaSozBP6GMrmJs2qvNlSOgfJdvBYWT9BZDAMi00j
uc6eKTKo/EBCNfhPVRQX7I8w+FV34Umd4H8hM9AmzwDOdXgFS940t6Cvq+Wh1UWqTzCHke/o4ofy
b4UlxOWuk7aK8PofRPrhFZXP5YrJu47yeec+7VBY9jxZVCKPtMr817Y7w0Mb+RpOWr2N8fB2+SQ7
4Arcxjp2PCzjws+9v/qm9PdE03TXTf3XqEUjUoYH9RZwS72dvDnZJkm9o2ifW5ngObj73RmxfNo4
D+CJF5igqsFF/ctWwW40oHNnNTvjWkMroqky3oOUMs4+RMRe/L7kW9CtpntSqOSQN3ytQuQaxnJr
iS7qsB6xhrHXFcjRA9XjQxyA5Qxi8qJaKww4hrGRkGwy3ZBRNT10gym2SaYeYxmipDaJfRWGK68i
x5VsAyFLjhQzuNnSv5YkvU08r930Y7Atu/4LuroQlif1CgrLsf02JnIEcnsOka17prA4vgcfRCOf
eZuP8tS0NYRWVo6Zw9PZiEjdZ2IEL+SINmc+bZtUTDtDyPfL5uP6+Hlyn4x08jUYJ71cfiyzCqot
HYrqC/j1+c/rPm/7gGYKqzil+dsMyujmnicj9fem8Yrr3l02+DHMIBvb9C19B2VNuhF1ynZ9ka1F
Fa7FsQw891QwMZ5HzzPoEirQFXio/jW6g5u9bnks8854qOegbP33opkJOZJiDB6XBbmVFefomoBl
11EP+BQtl+Dd1yp9blhvqsc+MFW9Ev46DNpGOoq5hJx6mlbvUiXJuTW93tYKRHVIQd23cP4rJu2w
NBvvmBLkm0CBFj1LCItsc5zYjepFC9kPshLXuSZydiafzEDEUwgyvbp+j7uS7afw/HpkuICLxv8h
GxB3X7Xftuy0yAn6b/sseiYNQ1s3Aa693xQki1b2w7VQljXzhWajjvP6XaTspQfR1QHi6YfGaH9l
nVwDWPZsZr/ulV+Gz+HMXkYSQ161D4u9Hzdm5T14fmn+5lK1mRyzJJlFx3X9XmfF+FIQ+RMkDPMA
WjNW34huDvc67uadUNW0Euud9/h3I1pWXk2IIqHwU33wjr2AIvmfOcDjSkr+lKN6hFR/fJXoR8Bt
4GFVLd48FT19HjnKX2MGcLCMA7YNmunt8gFzzcUy+G7OTQGoXvUBtXmIb9Uou09tLjc1Ry5Hg4hh
E0xQGLo8mMO72OhDOuV1PgZxdK89QOrQvRrP3nYJoS12nbnYlI7jlIjOTCb78JP6ZWJQOo+hlHHl
r7dMnvqeP5q2Fh9oMfE201IEz14j8pXgwLU2Z0fzyaGAH6/qCJCMAAA0ethXBXqz34o+rYfrTN2G
GIpqztssNt57VFKKKxVZZR8c3wh21gDJDlu3IYWg51UAkdH4WRHkoHYE2xFAm0R4aOiqMz3trjtF
wb9XypTVUGegtXwGmLCu7oHL73xYu7fI6966NmiQTcEcT4OZn1k/fqHFuXwQd+Ph8q93LZJ1g+tp
IAPtK/q/q6kyw23emxqgDH8G8u66MSyj1oho8qaZw2c8eMVOlemfLfG/R+lYrHh1x2G18YIiKpA3
7SR5ZlVpulu8WsHWE1YZqKWvmoGNF5S+AJ1n0YXPcgTKF0JH46ZFNWq71KuZvl9gvd+4cRsqmBM/
akLQ1zyruorFs57Kafxm4qgejxMPJgD7ZhAOo4yrNW+eIA5Z1d/HJmMR3zIBNfftrLkf/5FoEDN8
ELxVpno3ACacf684XRay8bme6ZqasmvJLf+QT8zDp88XKUGzuqJoQBvyLtxfXm/X18+n9ZP3STr0
TqUDqd790Dz+gg6gdNavbKbr4+e/f/p4RclUIoE3PxPqI5lRDTrfQnBmuDLqtrGEJD9z7Ek/fD63
rQIITp8iFCFWiqOuH0///eO9WUOzc+6q9yzPq20zNyTYJGlPrj3plj8YKy9AhiYhz2KeEvoY5oaW
B5TmzmXfxtOmWtkER6L+Vzbk0ybkYC0t9FTRe8BQ0GJE9BOPo0eJLPemUvWDmqLHGH/o9NpLzuHo
bNwgX5JA6Hken9NuQHogJjdV3nl3vjHziit1bI0NG1QjHyLZkPE5DAg5sCXyd9A0eb1sEa6fb932
bZ8zHo4tIu9RAYIGRG/ga7PRtYYw+/+R9m09cuJctL8IyRgw5rWu3VWdVJLuTiV5sZJJAsbcwYD5
9WeRT0fq8YTiqM5LpOmRcPmyfdl7XTxS1qv2S/Ou/Jd9yAYBFinB3mKM+Qc+awpoXheW3Ync5FKk
aXROWCTVp8EDK7DaNY6K9MWUkMeE2/xUM/cD3NvzfthFmqb0YWqmVrzopCV99C6MS23GvV/5sjpG
kofuxz71HP+5wRlELxCMEHW0kVNlOCwKkH69GMerJ2enFd4Ew6YKkiIzG2i5pj+KAsbqcdeMl5xB
bvkAfR1CNpPLjPwEwZkw/zZCKx+CxXg7trPHsI7K6Bh4vQmf+5rE7btqKjySboMozauPDu9y970U
ss4OcJil9W8euTr9zj2aF3shgqD9OcDnKAODJJ1k9DUOYE0D7xjBCt87Rir3WfRIlFfTbuUZsRAf
NliyhMrFVMXJ9E8GSMc2CaOXHISEpiPuMQTIeuMW6c8YOOUN6+o1VZ+Fp4utPtkmnDGkwickhCjx
HxXlTfPoVz37Vo/dFPS7IGRl1Ow5c0mB1BRDLvj26l4KHesONbRVHrM6ZicJNa13wwDHLDoEd0nE
etwGVCLhnAwkR7/KLOCPeZ9M7/2u9QAOnNWHb/dgAcDLbT1KU7UmpIGkJ5LKB1qi+PEHOCz6jz4L
HltA7WPGH5TXvxrmbmeCYxZDf/126zSY9+e/Ra11xypnZCJITs43SSYuTolBuvolHEXiZHvuO0Nw
rNs2Kw8sH1h9FvDf9jdZoAouN/0ozIegqP3mKVINlJidXsBoCyw9Y3Yszrt2O4wwS3+lbTiZU9zE
UfOB6SKU55xE6PbrkEI6Nj0aGFGpXdm1fHqVJk/HY96ByQ89Cjmqf6J4pMWpSdoCQwOnKryyBCil
zoHoMO7jDZIvWG5i8FK+VZrid0xjEQzePoUbTv6bgDGTyplEPUYPdAyj4qNQINx+GqB3NbxTrMcz
AnJtg/kB4z4QH6YOxYpXrnQzfalRMTDveNZWxa9WUuw627jjQxBssiYpICyQJlXhXEwDPdznhAaB
/8mrWQy6RJcqaGEDUOBvm6Kjz3nvQOJuMp2Kt4zk1H1JhlHKz4mjWvcpGiAc+VrBsBAEU2gF0a2A
fpU4BsxMsC+GHEfHHxn+rY8QT/HYrgJ3i++LBrj8YxA7QH1HuPI020JnOn0fQgCeQLexdsBFaF3n
MW4do36xik7VhpWi1RfaVJH3VFLS8wPNSq8+FtIPYkgItgmER5RHffdhpGXkbNCToP2Bmqtfqc2I
9FC777G38ce0BtXqXdyH0BQvphnbBRXdThx1W6ry91SFPZd7Px365pi5KBc0RRSpJw28ZbmJW9y4
ybYLWxAOINSfF+JHURsSwB9wmFAfhdxXyg9eBj2UTZdz4bf7Sox+OW2GAkZHL6EfeMHHYADYnANJ
lpr+Q58EIfJkfio5xpFNUhT/1H2OV4koQ19uoFkbhb8MMPrxxyFIA+9k4ij9gXWkAfjWcQjMr5Bs
6g5Ynb3Xfi0TXfjXNMnT6QhdmXDYGtF24INXZVSNOExL6oMRE7li5wEDmO0AgxZqD2cCSo58AF7v
UcLBdc5ARKhrIi/RNU8TOKauu8myrFNqW7iJU58aQ8VlhFt4vxVJ3NenlEH8/yCgGSu2DVHm2QtM
z794oBh1OzbG3DkkQPeyByQ1EXN56UzlFULZtN4VTpzHOx7Dd2hfeNBsehjaImsPzCubsoRqWOXv
4xbqPofac2K2VSys0schK1sY9HVeN+3aNCr0uZJA9xxZWfl0H7iG1+eskdULiyNwggo3Vv+0OKyH
j0gcQs4Hft4QD3wq4ZLGTmOsQn0KOcTkxk1ACJawphPgLmFesepdicpbPECJraaJ3NHRCWromU41
oJ/IGtBPwnjl8DF0mQeDNb+INPIU0Ght9TZJfPLKGyAinQ3Yk70YwU/pIwdDUlFxcAuHfc9E32fv
woCK6lUFVRDt0lpH+n2ZZ132DFlxnOi5D7rCJav6kr7HvX6KnmsyFukxRc2h+QZdvUr1mx62XcNv
WL5lyUteDmY6oSbqBgAw8iw4BnUcO/sYA0x3SZZ46TErTcx2MAYsUbby/CDYI6SYPBGRQkCtDbyY
H2NUHsWDcgtWPAYTZES2fg2k++9IVZ1zAmEwBGq/kk6YbJqsGpLTJMDV/KBDP+0eijItKnlALjhp
vjKnhRqEw3swIbKG8leRef2XKW9CITeQ0mzFrjeFbneuS5LxC74GxcuN30kk+A4o0+IVtovElK2l
YP9+FIc2oH4IBTyK46S55NOAUiQIp6oE+zNRv28fVUvfny8fby7+NZAaRd4R50Vp03TnPHOxdulY
h+KuzFVoA+hjl6XtADHdC0jLBsWzHHZKJwfV42jlcbqgCRra6sOAp2YhbhL5mYDztqEzVyeW8VUS
rJqofIJF7QNI5vkG26relEP4U3r6IQF71gn4Xdmz0AbZ+0KRGgf9ePFdJCSQxXE2MPiNt50e70uq
wEXUmihNZeuwZLpoGUev2Nd5tsPp465lX+dMwX9vLKEtToxDP8oanfYXNiIxCuVIKARnfNjlRNeP
o+qfb6+3v1+kw8h6MBPwLFM/lvmZu1m38aPxlUP+uG6Tn/N9DHxcZDj1+4Kuwrz//lILI+sFXcY6
YikymzPYjENgHXsG7cAXAK9qjae1NHTWZU/SqaAj3K8v0wS8aZgHO9ll+pB6ehcRZy3b//dcfGiD
7uHLAiZsUo4vfgFryQ0U/BkII4QfB9XEH+Ms/DlCTuH2LC3sCjYG3+ewJ0xqpS+870rY+rDAp3Pw
cuKt6UIsLAQbfg9Bde55Q0NOhMjLTNSHG+bZVzNAKSlPs61GpwF7bVZJsQsLwQbkl90U9a0m/aVu
RLqHRIsPYjmI2Om4xt1awI6E/4XlK/jzdWF2ZjkeHDqtxN5ADhVEj/oQJ8ETDbTZ1QaU9izhHzJc
YFeKD0uDaW0Oyssdk0Wsf4/rW5QfPIgj1nwjnKLyH9qy9FHqxGN/whsy9qPHUUDlfFP5UNHnKz9g
acHYL8YgKx0Bsewz3BMHdRSeEcmjl4RQ6r69IhfH1to44KINk+VwdE9+CyihHN7rkH/QLt0OPHj6
857TI9uMEHSB5/1agXVpXK3NA1nDfnJKkp1jLFKA4dNtGUCvhUZYNywPXvyJv0sjNAfRuJ+3O7oU
5vZmUkWp7sw8kqGLN1zv4k2c40QJNiwN3G8eXChgS9lDpWNlZBemzob9l7Fw3DrmLkolishtnBA4
77oF3J9WXsNLDVhXDBk6fYYMhX7RyCI7UFurGNJOLl1zvV36vpWLU7SMkZs2EwIbv1k0EO7HC24N
LL+wBGyYf818v1OCmQuAJ0nINzVFdh0arSGLkg3obf74CH2KNAo2BHKrwRdZVFkPV1rN1RoqeGHn
skWEeZoZKG2E/WVoJwK5pAray03Rb92Ilrvbq26piXls31wDB+IBOcinAXlmuLXgOZ4CVYPkQTA1
/U9c6kS1ct9cWN62hnDOXdfXbq4vYuT8lThd9sRzoM67ZCy3yFFkZzfs+5W751Jj1p5Bp74f49zN
z7qCGKeehveQ2z3XdQ5VfFN86Ms1ZeKl4bP2ibjOvIJUOFt4WgG+B5lnMcy6VQCarNwwl/a//5AF
4BbpgndOTv78Uo5B0pjFqxgjF+QXHuI+eaiHRu4mFb1zRbEiPLMQWjaHwBc5MlfxWF8EABoGGGhH
edvEwKFypYF5D/jLrdPWDwbs1klK7qrzHyIbgSb/PEMG7ynUmVAwS9hT5ZX6cHuVL3XH2inyauqJ
30OlHtUyFm9VqaAoHvRN+PX29xcugjY9YKhZ2oe17C7gIEx4o0dahACMUx0gsQDvbCH7Q8Fh8brG
R1haFTZhQLVgCcmiUOeya/oHIf1fOgo/gL16VFORbsoZr4jrIYwf4vG1GdeqN0sDaW0XjDhVEoUa
1Rs/nqjcMGgVBOVuavBw/nV7LJeasG4UuQpyTnyNuaq79hiHcCoaUyKO933d2hl8UFyQHyiwsDMI
s8Q9MlFBvOobtfTbre1AVshw12PMLgMxyQv0w/XXMMFz577fbt0QAIEG6qDr8XVekw0IUM1+SiCa
fNfXbcZAXORYwnGcnfMISqMb6ji0OiOBReL7ht7mCgy6nSofclJnqZHU3YBMjIWrAiN3tzuwsBfb
VAFFVKiY2/YXqCLzlziRdX02iMy90/oRW9lJFk4WWzNYT3Ems9FPXhVuo6r2z8TFLXBmVUDh7DLJ
O2FFoU0c0Lx1wIntsUEK4pxV4FXvBpORlbFa6sa8gN8c+wSqwTCLn5LXnPEPceif6wosTOhiXSCY
+bUrgee/b1KsaIZJW8CaKEKBEKqKexoM07Ycm2RTRBD5uq8JK6SZbmo3rYPxQtvqSbL6R5sVH7AU
2H335D+lnjdjJQfgvsHp7i8+HcIaxnkjiR89ioT3SgcWTo/AimsCb5441rSD32DlHFQkPouxM4fB
zKIs6/1YiA8bNS+nvu5RPdUXSaFbaqb2B0UO+0MET5RPd82EDZmfqyKo8fnp2W/kAHapyeIfQTl6
09dqcrz08XYrS2efDZgvPQN5Ldpg8SJvvaVJLTatA9NJHjufBwdaQDnuK+8GGv6c5VmitP1xu+GF
3d0G0NdJirdoW8kzlEfqGpIaAergIQo7aw+mhUuRP8/cm5XGBSonRIv4NfdBzlBO/2XATXXWb6pd
+qsekhxWyXc5zHqhb20BInZkFypVvKjAP3PM1T6M4B50e6iW1poV9pqIWKZmQFIxrj63qO1tKEk/
FWJVqGlpLqygLwXqam7ux69aw7xaZYO3A/9+DVW19POtc1w3cRW5bd1fYG/SbWqB55bJINiGSlOw
cgFe6oAV9D6uvFCbDabXVocRuDIxCd6bfuSvtydg4fM2op71begWxdhdeMmrK4nJlG9QuNX+5r7v
W297AOFSHfd9/CpZNp4N7MfAmuDRyqNnYUe0dYL91uv7Iks1kIoQFftMxwGO6S6FKikFJY4f8L8g
TXC7J0ttzX9/E3RxZFov9cz0ypHw2dE0LTfUhUwEEFd813l3kkBCb15rb9rRThdi0v0Btzfyu1QQ
sfOAVlk5oxYWrGcFMwfkIWc5Hy5jmYwPTt97G4nH1DXycazfHqelJqyQHhLsEaMjp9eaTQaJbp+e
cUw9u7AGW7kgLrVgxXSbwesxY8H4Al8DQEYV1ILNQ+5X4ddO0ISu5AYWECKhjZ6PUVclbaXNqwHj
Md5qANLMno2tFhtl4JJzyFEQVcfKGeV49Jt8IqdyhDLQzneqcngADALl9EDELNnfHtmlWLW2AjjS
JS7K+vqCS1i8lRkKuw5YJCvztnCo2Oh6ESV4VKNA/UK9sj7wODgpghT4IKbfQwWeE0Qok1p6K60t
zKENtW8DsFyL3EFfzBQ+1B0BT16Ljr9WowaA5faALXVpvtW+CSWhx94LPHRJ1kjvqKz6IOXHPzfY
VqXF1ijU+0AiCne3m1vqk7VDiKYqBFAWzQVGU8VeGihoKe20jx64uytLf2ETslH4IvdK+MN08VmF
8GuC/eg30qAFEkH7I60gPXi7JwsrzYbiM8/RUCVCeQfqvmTTtkAeVPPhdt/XrR2ihf0YKvHJeMKm
HcBRTmUfAgi7frv99aUhsnYHExZ1X3NcX1utkyNcuaMNTUQHC4mRfoSQ3RrdeGmMrLPf1GMNYcey
v6geVWW4cZNd763OwFIvrFiHMifTLifOibACTvKgV3FwrI+xgQn4/0PxcyFCbCR+7QhT8rofT0OP
uvSsW+hH/IFjM93OmzaAlD8cZb7fnpmF+LBR+aygOokCg9O6hWYXnktk7+dz6qma1rirC+9VG5Rf
Qhmx99xEX4YoDXewu/kZlSEUEzLpbZGDUpuIgGd8uzsLU/SHGPBmdzGmM52fIY+gfDnrp+RQskkg
lN/DNGbbgAlQFfBrVh77cLu9hQXnzsP6tj2tHWgcwG4e9ETvqCudXTuoqK7sLEtfn//+5usyTp0e
QlTIFs/p4xb2JADETL9v//SlobIjfmpc4NQFUi5R0WxF3gXwAsR+Ml/2Q8DU97ebWVpgVugL2LPl
k2lcYGF657HO2Y6X0HUfXBT+brew1BEr6GOXOzQzwgWOA6LNRpFp++clyYsxOEdjvVYuXbp8/HnT
vpkO+FsY6O8U5mRY8E1isMCQhworXAokICuiIceadPSBFh7S1I7/5ACZdTcTObTR97UqMlUYSlCF
yT7lpawPTexmK9O0UDGzgfeoUTXpxF1AU+vyCI8LvhvC8ihbL9yYKIYQsSu+In95WH+RL6UCbLle
E9YCTXIMZ+we/3iy+O5Fdu2jioIn1qLeM4vx+7r/CPDWGtt6YbHYyHwNbmdfAdByMimqs3mP9DE4
B865C3MNeJ5kK4mOhWVvY89NOPiQhiDkossw3MAHYEfnsQSrdHfXqreB5oqNbHBLNCBooZHERHJO
wa7wEMbFP5PI28PtZhY2b2LtEjzCkRPH0//dgjq4oEjffyEZ7mqhkzw4o+esFGIWdjsbYq56WlCv
0eSC5LL3xJhJPlUtrjq3O0LnU/ovVSsbXD5A1h+6Rk34AkCuO5U73am+2qUAWsCMISvqbzVcuvQD
nJLj8otuOr/+JAICJ7BdYXRGskePdPDS3INM5jnPsM4l/nvODM0hwgUREPK7xyOuAM025axptlFL
455u4FxTJgQIOg/m5/fdBIl1DwGw0EszVoOqNxVjvFEACUvUYoc18eS/TwSz4YtEABk1FhW95FXQ
mIM/9G38kvGyjFfKFX8PDmZLAOvCS1JXCJAk3OxTPPP/hrT/OHarUlZLDcyr+c1OHVeMTF7aiBNA
BuQA1DOs1piONyHv1giZS4M0bzBvmsAzlyNTSqZL21HQA/jgfC0Cnqzl3pc+P/fszefryBFSu0Vw
GQQ01+B3wX+7w0hXcjR/3+2ZjUuEo/nsIKSCS6uC84zJwXHibfIG2GXgsh0oK7x4WNGdBizjdvgt
zYi1j6gxGv9H6MsDYAbopJ81CZMPkdOwlUX154733wBnNkpRcKcG1h2Yn9IgsXhkKYWpvHKAk91x
KhL1nlSpPFWAjZstrNcK/pACVe28Bx6PffO72KleSsfk6ksthlp/bouoGL5I1D7qd14+TN59z2xm
gxvNBKmwofPFe49A3+A6NYaBol86QMr/U02042uanUtryNonIDNAsqQi4gRDFvOPBAFJbYapT1do
lAtTamMb4bYbxASM3gv1ZPVpqKoPOVRjDiox2coyXeiAjWiUcCzHvRraK8Tpxx91Ejl0k+RIjN61
Jm00o5hAxygzr7oYruIzaZDRk3Uln8IJmhb3NWHtEmwIp8aHAuz/rgG1Ls9wM/Ef/j9asDYKPvay
akpaQ07EvArkJg9KGu9YAWTycl8f5tl5sxVJ3lcOjd3qwgRCF5zijwqmKHuwA9eoV0sryd4caDeb
lJPygmQx3ecd9gQfD+0t9Py8lczh3+99jFvPkHJqcj+DGusl7qNqWxp8OJcs2Pgue05Kol5vj9XS
irXeIoSLGCCi1r0IYeJHrkeczBkMGlamYqkXVkSDScGAizb04ocN3/MwNVs/1uQQ8oLsitkv8XY3
/n7rYza8UPauw0IYxoOGOykw1/BhjYIdcLf59L3vKvPY9auH0cLs29LCtd/nQ+VFmP1iyh6Jq71H
yXFY9xDKWLn8LUxLaN0HlPKIViJrLgN4JB4YMk6ISkHYtivT/veUDbPxhsaRojFZBgWIAu46udLh
V/CzvrEuYIeoLj+P6cBOiQMu2+35WerPPJRvQtKIOPCka7BzTUY+QdIJb5kQ1ZXrfZ+fm33z+dxo
uPUYUV1KJi949sIWDxXn299eWMI2llCqrhWmx0svVpk6EEVSwEl6/xMe1nwf5mo1LbC0rKyIH8Y0
ios2di8177NyB55hFu7bRrocJn+zPMd9/bEi3o+cDFcpSS+GaMB9oUZVhxDhbjviH4J+ClacIZdm
3Ip8n0TZCCi8eylFrn8P8eiBQUkkWTlpFwbLxgy2QY8kpgfJApPiCaOjnH3vQsx7pVi7cl1Y2FNs
1KCvQ1IOFfYuHuCC2SC9KOeAmF/E4fxflUJu/vacLPXGCncRDlAKA78Daxevej6ngQNMzDSJeGW8
FqbDBg36ftFUBEWuPxpYPNHi4hn8c/vnL33cim4/z1M95pCIiqXXmD1J8vhnGtVJvjI8S9+f//4m
vH24BWd1g8mGEF//ER4K9CskGdcySUuDbx3m/iS8tnBy7yIhI34UvSu9zylNo3DnVJ7sj/eNkRXd
0ImmxgRRdJIJSX+orDGgkfK6WanwLy1WK6rJ0GH9JAGewAXO8dp1IYZjyjg8iGFK6Q6qsNlD2jtt
c7ivO1Z450UxNQy3HWCRC/JFxM3ItgG079dqVAtTbgMEITTn57VHcS9Juvw9GZoxPSSl8tdwPQu7
uo0PpDWM8TJaef8rI4Ac/cL5OLzOj8gJXPH7LnE2SrDsxACudOJdwMkBhkA1xUhPMGZ0f0WxoQ+B
SrPh5a4JsbGCg+GzfESXXqEnCYG72W5YhMlamWIhRmyAIHUMFIXLEru59NvvrUPzXybz9T7JVLO/
3YGFFRzYQe7USAeKtoAMsMOqM1QEPL0XITg+vyRoRQWYRjLx6G5sIcW/lpRcWmZW7HOvn6BKS9yL
KqvykFc0bTeBw/nv231aGjYr6GnDhrgeINL2J+cJN4ry3MfyAZTr+r44tPGCouhMqWJXXgVPQgC0
URH3tjpJnXpl713qghXoui86kfMep2AHjcxBOfED7Zxq09V1unI2LcSijRUcigxM5szF6YcyxTDA
rT0qzaMfiq8VNPTu239tuGALkH/Sk2G6cFQQwZzwHA+FvLIwze72XC+sXxsoSDUNCyhAyeufG8mQ
tt7TfKX2cxRb3QDFKojcrVFOFibFBgeWJesyh4CM9EfNykBw6E9+W2f+XfVvZoMDoTuR1AVo/xfu
Nf2f7JdxB3qoUA2D4J1YuYouRJ+NCswTNaWJcrC2Qm0eRcImscnKOFqDbix934pu2MSJuFSzBkyU
RO+lKfUzDLz4yoQvfd0K7tJxuWi0Sq8mEsNRSdCXDpCQgJ7E7QW19H3rSK/LJMmgwYC9iaaFftUV
LDPabca6WH+5rwUrtmkk+zLEzeEaI6d3qvMJxseVIuU/tz+/ENc2LBBiMVlIk2i6eFAk3k/1+H0g
HZws8Go+BmD+3reKbKHdNkX1qGky92Ly2rBD6bO+eQejAMCtbvdjYSJsgGBbuFCYd6ruCuk4fmaM
Nh9T/07AD7PldSWcoJHqD9prm+fjZ99HNoGOZbDNumrlFrKwW9hgQFnnbuTj2gmHUehN65Z/GOC/
fgxDtsbuXGphHrk3F3TaZ35Mdc1PZdVW+7ouvkI+v9l7fG2lLjVgRTKkhDhXoWiuInPcnSjpNh7h
vohi2H3Hg2cF85A0QnBe6SsqCPCTKGUfaegOkejD7TW01AErmI2WYdp7pLlq6tIHJA2eeFFmTxBj
/3W7AY6h/ksxwbNieeBpPdC+RQNIFj36JQ2S90OfBckLzBOgYpMHhoSvfFROcUwaspZIcucO/KXd
/yD+EqdvssJT36k/FXD5YYD/XepEqr49kgjvwRrc98GB92fVpKz1Dl3oav879/NhBKC9JYSfAxhQ
dGuU/4WRtkGBtBpGWPG4+gpNHDZsoOydfYIgkPhWTfV9FD9G5zvAm/UOyzTo/wwuucCxvgZBV7JU
bwvqut9vT+bCjkPnHfXN94cxa2ooM/VXfyrbD9BfG+FqKmrTriRnFu4qNgLQ9LmbNDWR3yACJJNT
mfWmYicoowVtu0lo3tInVwTUNwcBlS+I/t3XLWub0H3SUV/6+trCAAOkMgHt0Nhj3RpOfGnqrV2C
sQI/GhLGF4WsrxqK9uAI8huLM77vtm2r8krXgRdY5Nff41xnn7rGKV7hZrUGDl/6+dYeIaMK0mbR
2F2ZzyU/GDeEHhUrHPK5aldNdJam3tonfG2g8tSI/FrP+NIeGceDhgK+QdL/UDbgSMsSDpi353uh
QzYwsBUR3HRVFJ6Il6hdPaBkO0jgMEaxmjlbiBQbDkjZCF53KMqLbNo+2LdJ2aQnuB3cm7m2wYAc
AlZdGpD8StqoPRkpsvedu/p8W7gi/Qf+53D4dUKC6wotFO49KPhEqvd+kfPgHZOO+jlSuCGsLN6l
2Zj//mZTKaGa1ZNMdlcxjhkE6VCxiEk7bjz4INx303DtAC/drq4m3V5rARARBxfniDWVbEeNMt/t
NbWwfm2hXR6GIIuq+SDt5JS/ozXqiS9QLIMiKmmqvP0Mhp5KkFsDiQ7PiduNLq0y63bAe8hHplBF
vKYsFY9Z5cGzp+afb398aQ1YYd/iWCoN1FuubTx5jzXRz8MclXKClGmYrDr1LTVjBb4MOigiyCS/
xh2FOirxIL+19X3+0KXF18Ak9X1r4D+ovyGBuEdMy2vtz+7PSsePQTNOkH+7twBnY//qNuvczHOL
/+W6oK9GNn94nkGG9M3tSVkIFhvrh/q9O8pOFleF+wTb+Eh2vnJPRHLT+rNh8+1WFubEBvcNjiqY
cnVz/XMzhwnPQSlHPtZxNWwi2d3HdWE2tg8HOByZRFdcfVnGh5bg7QLL8WITraPVFiLERvf5tUF+
UIn6amhgvsblCCMKR61luZZmwzrYSW+GTAdFga2rkXhAutOm9OFWFsDOcuWsWuqAFeKEdmCTtKq6
KpgKwbS+MBBf93xyZ0LbRvOxirh4sZDyasaBPZFSRA+M5StbyNL4WLFtaBhVuUcx+i1Avs5cMpwo
kHb/D4bZf28ChYp/nx5iNB60wCReYA1oMNighoOC+v4Ozl5rGbS/T0Fgo+zkaIoAblvV1Xc4/ah8
6H+UvqIr5bylr1t3dhFUueymtriSnOEhUAsnODJ4VI3727G89P05xt8cr770mFvganWlDmrnLPfc
H426s8Id2Np/sask7Vy/vA4sc4uN6AAP3XRRA53G2z//71tRYCPsVIbDOo9Mes0FslnGAVZGR3X4
QIf63RQN9yW1AlsAEGYfyRAhKX7xS2hduVGzi+7N8QY2oA6a42XYqkldkaFuH4aka8gGWBlkte4b
I+ukJl3CsGOr+lJH5Xlw0m7T8uF7k5Yfxtk8+XYjf7/gwGHy3+uIMn+IyrbMrypJxUM+58narqr2
QqHeAjW4T02m1OF2WwuTbiPiVBHIMeRjev1j6NDG0U+iE3NKO3n58zK43crC1vEfVJzOkcqE/DFS
75B6NI4DWVsQ6XsQkQGkWAMBL7VixTcjMClCmQoLOIC281CHw67EEb6pGJDmtzuyEOK2uB9XuAXA
hDK9ytir3cPgcBcICiTK7/MOCvjctzd7SNy1STa6Uw02EEhgkC9/avqqX/n1S5M99+rNx0nuTa7K
mbqaEiIGFIf/OzkzP2Sc6Q1qasHz7VH6O1Y34N6/24FJ9uRAl5s953Jssm3eQvsmdyDcEzu4FFSh
SLc69dqHMk0uScNebre6EDY2Xg7F29GoiODpYQp5kKgqnIcOAMk/7xxTOeYj0m/TSowuLQRrI6AM
umvZKPPveurDB9Ln1X4sy2ylK0tft3aAHGZY5ViS9ArUjB9soQIBSpighAf3/XwbLccN9HcUr7Or
8VRdXKDNR8Rj1PsQB79rMmyEHAngUyVYnl85TsCjwnaC/VHBDhwO0+EY/cxmrcrbTS0Mlo2U0yUE
oKH1irq3443fwG9ot35E7szJwOvg34sZxXSsZE2bkxDlZ5nWEKP3UQjrqj57vK8DVszLUYeFC4Hs
k2ir8xCDyhggGbMy0wtREc6j9jbmqSoggkzdKwCk00bFaRM9EQlGtgdFoYkX0SmlvbiPQxTYUDkz
DXXvqCTDHSIZekhZ9P4X2LDzM0wXkl/3DRf9d48AZIrDPErltcQDHxKFPTXwD57acaXyOQ/7f/PZ
QWiHdl3mIXKiPWIDPvKs7t+3KZzXQwNZkft6YIU3rJNGdEA1p9hxs68sKX14/nYqvyu3G9jIOBQu
kPhW5XDVSpZHY9hLSeCeB43oZpsrmPz2pepW1u7CYNkQOcjUV2Mv+vwqMzFN34luwvyR8zaQz2Pa
dtmPu0aM2Ue712TcuKw+wdr3It3BQBV+1YNrqQ9WhOfUQ2KyN+Ra1wCw8To5Zir71EikYO779XPD
b2KwnZxhHIYwvhLDiwmMBp+64kygxDSsACiWumBFOXdzqmMR9VfZmfArnN36nalrSPn3QBPe7sRS
E9ahzgySrHhmTs/ANL3TkCY6jAXqNwU8mFdaWNjIGf33MIGEOjYxUMnz+0ynDz4mJp+dEPTX2z1Y
2AqZFdiAbLdQU4vV9zKMfiZD8MRn+e/cdX+6tH92ZxWW2w0tdcSK7zIxsQmbTl39BCamn8pcUcAD
0kznv283sDAXNjYOqk3wKKft9Dw4w0fUibJt6xbDoUOSaoWatNAFGx0naG58sAGTa4ui06nWAeu3
FQ3D++DtgY2LgxEbC7kY+2udygxd8NRncI/vPbT/g4XTk0mCsjPPeQ0bI1rg+gQzyPQYEb2GwFka
ISuo68QQWPow8xzzSdGtT6RxT17u9mwlppcamP/+Zteo9UhgT4wG/g9nX9YbKe98/YmQwBgwt/SS
ZZLM3mHmBj2zsRpjzGY+/Xs6P71SxhM3f/VtIuH2UuVy1alzStGAb3h0QXypr6SZC0z9+czvHG9o
h+U580Uhd24fxX2C5/512JggMIxZ+TkocReaP/MGLNPowRnL9aYopui6UmJg4t5c6bhVDG6gzyEa
3p74mtNfiHP47+sszDBhTZtI8LHXn6GhuO4YdL/2XOV+4hM8xC8PYdlfE/QmXC1I1xf5syBOV+1k
2I1HsgzXulMT74ZEiAtBxXl8yjj8NHcUWHvdTaVYiwsywW5QHvZcYAvGJ1Vkj2ETjYdSRkfEmnrj
sWp5RJoINx7hZTWG0fBUylolIExgd2BxVDLp2MIPIh4/BgoifqKO30MyOi83hj1f+m9Ef//g3kYN
nRYn955D0BUlpNPNXoqufyfi6kvQZO5GjcS2+YZxQyTMq2AXCAnORUUlcqT0gA8Pf1w+W7bdMS7r
bG4lZO10kebSH29EPn9k5aR2TGWnywPYfr9h3qAizzokUEM8K84RDeumKLqDMsm4XhczUeOylrkI
XLAcZM911IX0cUQLV/5fLHsmNtyrbYlMC59JseQ+zteLFKVGPT95iZsm6DptzMEyxD/wt34C8Xin
9XMuQ+D8Z3/snQN0KAThSS/zTeSP5cya+Dfe+NRru2h9npE4uJFF962sV/EBAJuvIKrc6uG3hE8m
CG5cmsrTdC7ScAp4u8vD0tvl4Jn7RntFD+ARkXc1gpLrDMQExTGGFj8UdzLcT0P9vQyaqUimqV5v
rjq/JiJuRCOt0xQU1183QJ1Co9lj2FctdBYuf9+29YZ9Z23nOIXsipQz/xlFV6RwYyE/VwMPNizQ
NoJh4h6ERWY2BOPTmvUy2NNuDLMfc6aceOfikd//ujwRi6GbsDjmuh4FtX2eum4Xys8liWT1rZkh
y7lhJLYBDEMnYlhmZIGLlES52ude5e69cQucZrMMw8hlH7UVrtT8WYftN9mNP0SL0ieNGwrg2SYd
omUKJgKuXPuhbPreOalcVf5BoII77SIPbYj7y5vwNrQvMBFt1IUDWccs+0yV96eEktYRKcGHc+ke
GNdbSHbzo0f7jaNrm43x1tZV1gzcrfxn5oDCaczp78XZJGi2ffy8Ua+C2tqTXlR4rf+cT976Czo/
6r52si2Ai+3rZ1t59XU3QylSemJ44jxiX4FtHvxdW2XQ7rtuH87jvvq+QFcVCrh1AdYFcLDUZXDP
nT7JF2SGRrxoDi3oZaYGqlyXh7OYODFMPPTyIEbZnjwrxYcEWzKD6QwkehUEDK9zsyaeTTUdqXsx
FF/AFFffQ3rGues1SLuum4Bh2zUXeTOhIyIt+0bckgzign4GTXK2lltpCYuFv3DnvNqSvA6iNvC1
c8qrqX8Qfjbvs3hebnU/ZzcR22L6sWyFCWQDAePYyHygz6UD7lNwP3P0vIkhbBPHD1h6ebksN6wJ
ZctKjhaLtQCaSTTlwQWZcRLMJDiuw/RukfmNN2Vb0bVl2UxQWz3SZZ5m7Az0dyEyWE3VroQK8I0T
lNXO6zbt3bZuhr1TBThwk4kSWqwq2GudjQdITer7OKa/Li+abYTz318dAOgvglOKnBUiFR4BzInm
99MCWZ6VNuuH64YwzJ4L1+nRHho8kwoV4JsZyiTjTst26XZVs261sNu2xLB2COJkgGV5RdpL3hx8
nIb9WXolgFT5LkLFZiPysa2XEbkDLgfUaqHKFIKi5QH4bPYOOsGf8JbbYoux0KQFL0jxV1tCmriT
4MzBfaimlBAk0Lt8fmQxKkECOp2JHJ3grs29P15O+OOg0LV9eaMs/t+kuwMvcRy4TT09QU+YHMsM
PeFRzLZEZCxf/wfXVvVrDp29KpUzADxQDZ32VTXI/eXfbiEDwuvm74PMx3Au49lt7186HEDDAl7L
vva/rb3rv0eLXHlPoR/SQE1Oy7tsBNMyA/Ppf24BRr08aNBspqrmizeHX9TaolMvzp0rcTkmFm6O
PW9cCy98JnhYdAluCbTcD3jTbHlx29IabqIchrBBA+vwBAniM7Oe702JFwEuft3BMPFvPChyMcV9
mXIMFCVq9ddERh00ay9vniVAM8FvYYPWtaL0yXPegL0r9wtvB0a1aS8b8HiBcfXX6EXDDk+kYsOK
bQtmOAuvzAefTVWVdrwKUP7yx7Y+Mo5e1o0ZWe6if6jtXDb2U06RfoHcU5IF4+e8atWHGtyGrY7y
/RpDoO7y4tnmYkQJbiQbqCF7Veo2OPNRXqCVogQedssf2b5vPAJGpAVntkTOiXFxQ2kwPa1OFn+8
5sdTExWnFNq647Ibn6jj+TdTNKYvy3Pdxw2XQKtK6Zwt5BkFXFDbAQ7aKnFdVYqairl1I2aHa9iE
OznQdGfRh7ETzkZd8O01h+DN386szrmA3gAMQoF2J8ln6AZVS77Vu//2HUZNLFyJdCyonOLgMV+a
VvzJ46BmHmS/S6/Wx6XuETpd5TioCYobWF3yLs78/9yz1nJQFIj4lNODkv26HTbsOINj6oVqyHMN
6vLvsjq7VG9x+NbvfzuooP8A4hjI+ESM95Zg0Ja8hXD34B9Cb12Hu8GJ6mpfzCxfrpyMYcglOOuQ
Zmydr9AJJ2ABabplvY1JV5P95dWyRBaAcfx9rMZKBWQNF/2oQm/4Wc5C+jxRoJfSSJ2vsZh2sozh
1dnA/ByBRsdiyIvXyCFW825qq2jLPVpOoImby2ItBVgmvWfeQzlijz6d8X5phmDexVlINig9LJtn
wubGmfKhxJqiU9ALk7ycC+8wo4QJbk4aQMZeu6q/butMYjnl8iWMdew9lzGn0QOtUPs46GVat/Lq
FodgIuco85uCV41zIkOrln3mADZVyS5zj5ePhm1Dzn9/FXPmeVeCTpTWqetBwEqRvr0f+shBKyq5
rseVsvPUXg1BQ7dHSgdiXyz02KPrt2H+fsqGZUz6VY/Bxhm3LZThEZoRCGISRHWajVQdz9ogB8cv
tuQZbF8nf8/BhegI6k49GCMJd7OkilZA/yIZXwdtocxwAaSMfTB/Cpwjj7L5XTg1fnWTz6OzJVJq
m4DhARgRhGbUF/fUm/2HUlDx6f/wXH07jqMmLg5IqC5UJUMoQltxDDr0P0Z8aA/ZmWZcyGZ5AC6T
JjHZatq1HFsTJ5dXQVyH05J9dcehLyEgyoMy0b7nBh8dtJptwUptw5yjvFdHV2RNmRW+Eqg0ReI7
dGHYYw6C34c897L/rjJAEydXrTrHZixV6uQUtKRj1NzkLzpAVV9tsExZ/OE/ArUStDDSK5u0XIDw
1BxZdWgAyL2EH24KdBhdN5Pz0Xu1WNqVZU+pbFK14nXXN7zdl6z5Nq7etSMYNg6R3Zpx2VVpM2hn
l631J5+wcLfO9ZfrpmCYOaMBG/JoqlKvZHS8X0HXKnahg6aTQwhRnWXD6do2xLB2CBLGjTeE4h5w
kfld3vHlEEIO8V2GgsFBhlvysLbTa9g8rvdOlWFcpcR12zs+Vu5hgmDwbe4NW8GwZSYmZs6ptFdT
z6lTFvjOTnZ1tqumCRx8k/8n7vst4n/LTEy4HCFrtBTT2qSsKskE9wv3uAO5e/Oucxvn0+XNt7hI
EywnV1m6C8mQpyDQL9Dh+FkRVlyVMAZ559/GQShBU4LTRw+57vqhS6DgDKwfBPFWb8tZ2X7/efFe
2R9Hq/6YOwPuqFgNftIMfdAl4CVUW5hYi5cPDQNHIgodw2TlTy9coSP7cBYDFnNxK5rs2wtdj+85
xYY3sc3GsPWaAkywdIo/kWZggHLn+Xtf0q0yqe1AGYa+DI5HQRbA03hthtuyGcsHMnrPzOt+XD5M
tgEME2+ddZ1BZcxTzy2eO75CH+IcVgl33mrLejvTgCjq7+0mE4THs5byFACqm34EBox1w13lfpkR
iPbFJv25ZRwTNDfMvI27VvAUb4PlP1ApsB00g6Zds2jyLHLwA9eq6K/bdRM/x1wvF8C487RvoIOZ
+JXn/C7rytlwvJZdMeFziujIx2OVp9SZv4KBtNkvbv2pB3XA/vK22xbLMHNXj/4S097/j/UoAgIt
9gDmeLFrPKl2cf4FlGZbqE/bm85klpNRRdyR0uwkfTQsAkEs0ATbcB+SpGCCSpBQi372VRXoJEAG
AYS+gJh7SQcN6stTtRioSTunnWBsszUfnzRh42EeJv+9F6xb9Mq2nTLMX4RBxfPc4elKeZtEzVAm
0PbSyRh48cZZsw1h+ACVAR0d9dn4FI503ukAchR5lN+2jG11KduWyHACfAWdQh9WbSpQKvwooEo5
0yk/Xbf+hv3TJnbAZZbXT0S7Od65fJw9H1JYXohe66uGMKF2UVm5RVswno4olf8uKh7eAxizxaXy
Uuf/FzOG4PlvD5axbp2bSLr/AZLri71D+nhVSTyxlemELYyKdICohkIxWtStIElXlGN4qHiQT/sR
NfC+OIY9OPyjO3B+yXp+QJaPBn943FMkdxtv7ovnkhA/gOycG5YfI6cn8ixsA3nHSrU6gRRAlQc3
E4K7Zr3BOV7dJild169r0LWhK0PuSNYC3pmIwPdI+6lpBzQW/sxDJmmx4TMsp8SEBHKtnGUuYp7q
AdmfIFT6wMctsd+z43lrjQ2HVDoTIMjF2p4ESJp2YGn0QFmCOCFpIBdw06l4M2VmMScTAZg1PBhi
tB2ftB9+QTASJbmcjk4utyo9Ft9qkt5pBnkxUanmW55zvQsL7hxnr+5KJHRW8Pl7ofrZCZAmXD77
toUzHBDVXZx3biVOcgp+AxX9PZsale8Gv3+E0ASorC8PY9t8wwmJQEWtDmV94oRVB7Amh8nSobfw
uq8bDshdoyBWI29Os4bvr2OxfHeAU/h6+eu2DTE8kNu4fojqmzjRFy50V/3Iytj7AXk5ejhb7D7q
KPl5eSzLOpmYwBDdSs4QrzzNl3mMkDOc+BnCrPSVWSoTDEjgaeLM86sTZaCodn0Eshkau5NYbx4p
i4WYSMCyGryy8tv44aU2hDrREyuLdu9AXWljv20jGNZOG0YkXVyeBpEej1EVkFsq2mk3iU3WPdtG
nId+9coYoyFa46mMH+o8uyUTHqxNiGb0y7tsOVH+edBXH6e4epFoybsTORPu1TL45BKHL0lWC2e3
hgBJryO606+zPd8wcVmTqADrufsYBm7mfiKAyuoDc5xJHC5Px+JDTBCg5h1IJ/uxO5WO9x419kYk
5dxkSSvnj80UXFtA+EcrF91dzMl89iAKtX6YFRNlErnZtIFss50qw87LISADCJbEieBFf5jRLAMu
fyR3+BZpquVMmUDA0BPa16SvT8AJgK54HkMi0amWbeXYbN83Ag0i+zWbl7I+SbT2fdCyKaNd1YNB
b+PYWhbIZLVDt6bfdDRuT+EA9bBwBn0PV3i0NHCJl0+SbQamYXdF4Q1uET/MkFR957bQoPLbyd+4
62xfN2xa5bXDe/8cgUR+1iURGgOGhATLvGEHtu+f//7KrIUo3WDK+urEaIzno1zA3LNDM6e7keC0
fd8w5KghSqyOx1Nfy5+h68foe2g2ukItNmwi/bIGoq/geBIndGzK2zxw7tDVIg7e6j+FbAuWYDtA
xj3NqFPPgcvbk5wZ/zwWa/2R0v6M3Ga/rjtAhg3TKQTddZG3qPNIdqBV0z1Ncy1vLn/dkhkyYX5s
7JCZ9Rr6WAZF6SQkH1h8j7+t7T7TNeRQjp4H0ptDGMz9/I0Amu5eR84AsaC/zxaNoc6Wd4tIc46E
80DiI7TVpz3EpKadwzbBFpYdMoF/oVI9B+U5fXRj0nyDgtQdk2v3q5838yyWQ2wy2mUgq9SQaihO
FNmVGNrValkefMqz6zS2qKlgO/J4KP1goidQPoz0UNdFzHaC9VslJtsSGVauIbVO2BCJtHTwnp41
bmvpt87dmm2Kl1iM0eSwK+vcQbu0LE4gq3EPcgLekgSueoyk+NDSaqsBxbYVRlAObppz26BfnPJQ
tffSD9z7uEVke9lYbOtkGLtG66bTzqH/iGY5yEBM83xkbqybpG3ajWjZEkeZgD7lrUEplkmkcwBN
QRkReefOnbwVmRLfHbf+EvSgfrs8HYvtm/A+RmqpWTXFD4SJd+egUHbi3ailswN8pUgWZ/wcebU4
Xh7NsjUm2m+uljprhVeeJEAJ+lYiNzn/B/mDuN7o4H27f46amD2StwFXYeid6jj+RcqPIgoeRN9O
tyNenn2Nzm38IQo3j7RtQubNTuuhH4KcnjgbqtuX8JDV6xbfisVgTACfXquaR7ErUhF1aJULKf3t
zXK9iT1GHggdNy5Jy5H+B8cnoRcHKpQ2VYFPlkMHdM7BObNyZ7Jl9XWPG1OgFtoZgPTKKjgpLjjI
SgrlLXv4sqk4+I1D+e11J8ww/joCKeoQeMEJd5kCErHzbqp19feXv26xTJPNjsSSY7G0OIl5au9H
dPB8CGV3mlEt+FYyTz1665US6fQf9dgw8iG8PBX3oFmeD6yPu0dgsNYPZMmq7zyb2NfLc3r7CPsm
li8fNXrCuBInFBwh7QXZzUbtQvAd5BuL9rZN+ia/Xc7hLYsx9k6ZEx0pZBATDpGnsO0fRdXeMAI3
c1Z9qjp6VbXONzF+0ptkq4LVP4mVIq1OGZLdH1dgVoarDplv4vy0J+tyIWNwYnpxU1yT1ZSA81eT
Daf8tkH6JtIvr9lCkQQNTnrOOPi8Vh1XiR5iuRwqPeutdgjbMOcT8SqwJ2ihBPy+6k4ZOjahkd7I
41nhzR+v5N7yTdq7OnA1FzXsRVMNcsC2RplripbPmQvV8GXZVK1921H6JuAPimjl0vVN9z+MxBiK
b+hdWW9bUYzQbqm/XbYU2yjG1c8apw9IwwJkY+v6J6/gYOYqqv6MZU921bgFY7DZixHs45Pz2jbE
O/E8/H5W9mNT/FjDOjgQk8L13w158wmd+htXpuUUmKC+0EMzRxfEyNZnS7CrqKsTVUe/nMD9c3nZ
LA7GBPQJaAoHkE/yTgoKNA9hO/PPRSCdrTyQ7fefffWrU8xH1VfTILpUlUX+SEq63LVdz9+js2er
/G8b4nwgXg2hAifrha7Dk3ZU/T2c8vCGOw2UrdDXsUUiZTlcJgdeGYOiXBdLm+agu3iOK5d+eeEl
D+d6/uHDhW489iyny8TzZVAMQYvE6J6El38v3e6lmU/DoR3LHoh9hEmsZY9DBkDLddtvPO9l6UfU
D5BnJkEQN3tSNR6/dyrkLDYiC9v5Mq78ORLKLWPdpiGyIPqdQIsDiCXKgNfP183AsHsgh3Qn4yY8
hRocsFkOBtVqvLKP1meGuYMMVPSKgaJCBbhyy0XqY3Nunb782y3HysT2uVxAotXlXSrKmTyVzOXv
GxJChABEDEm7tB8vD+OdF/vfSpVvQvrC1g8jlK+71I3bn1AU/DAv/G6ul2zPGvHBlfq/uQFtLrrK
biTAICwuvkcV/nt5eNssDR+g/SAfoZgtUu0u+liW3UMYyOkeiQ1I7l5ZEPZNsN889ajSFl15f+6r
zkZ1l0M8ZWOfLIfYRPkFLFpLUbIurXz6ZxrL4eCQzcKC7ePnv7/yXxQ6j1DnYuI05irKE8Y1jM9b
2q1uRNv3DRNXEzg2WdAHpxnEJEe2OvoGaifp5b21fdwwbx2RqOkpa060cDPoHYD9foHy13UfN0wb
ZFs6FKHTpS/ImBi8gSC/Zlu4YMu9ERmmHa4RUYss2lQOPm4Lp2j95EwRCElVEm+JcttMz0TxcZQi
aASG4dPs9W0YHMIOpZCHeQK70e3cBGG3JoACBKpK0FHdd1GSVa2THYCVU9VD3qvW/TQ1ReF8nvVU
bwX9Z8t7wx+YmD9UrQFbdLo2ZX6d+Tdgiw36owLvhNovI4kfHMgmOXs3RJR2eSctiBq4m78Peb7m
GecNfIAqwPkIsvfwGeLYEOCJMqpfNJlekigSYpE3PGzDh2xQW8yilo028YFFNjPAOIoujSBmcNPo
iB7bOkvA0XndHReeB35lwbIJFm/hRKSsINo74xm+uB3UbDY+b/v9hoMI1qBvkZ5r056G3ZOY2uab
yPL3EJ+tjpe3x+KhQ8NFkDYYdOCP/BRGEzkQr/nE5aoP9QAPutSb+gXMcuwMZ8ELzRDNFjIN16C+
F3XVJsSLUJp3VDpCguegeLYr2mkjc2I75Yb7oHKq43xRHZrs6mgfNoBy8VqynTsBirR28W07Olvk
shY/+A9iEKRWThQIfhqhFIrGHy1+riBQuvICMoGCRTiPAghwkfogON2HhXYeKavZdQfMRAbW3Yo4
Z2Ftih5l0FPowo3Dj+BLDlwkAybQSV8+ZZY1MhGCIPStactGchrnqdyXOYChk7ySPc43+fVoQCCF
Lsb2NFeI1GZMxXkXxT7n1+UtTExgDSR83gAjn84s/gVGjwrIw/rT5ZWx2J+J9yNLL9Fn73unEc/8
e+0zNX7C6S38+wxVGXVayyLeMHXbJhimTptSBTJr3NMY1cs791yd3HUZGKY2Ntk2FcPG3WoJmsJz
gfXow+BdNow1zKH0p+7b0pBMfQQlNbvWKgwDRzuuT9ql6uAYs+w9AJrtCdHzuGEVL5wmb9ySgREg
jHNdtm03uw8gyxzecwd591uvcmL/fRHWjP4Z23AJ1puFKw2JvjkP/eCWEKp+hFgBcB6NA9fNnyyL
FrSsMQn16K8k9nDThlVR6IPjkFl8DFGQgubVKKds9LAfuhSfQU88d198L/fplJSr3/X3ZCmyaGNi
liNgQg8ZSASpHpGxlP5MDqrz8pPn8vyqgjHisb8vw7IG314zSO8EBJN/MyrZhCle46u3EXFansgm
pG+OdD0JdNo+KA+ou5meBYDjAjT+LvrnRT3t65Xd+mFwN7h8I7VkW7DzWX91vytkLSCyUMlUxFK+
B8NB8KinudlfNn7L9W6C+/JM1T6FRtxJM7+iT2EIfW7Qt0toJve6lRvbYhvlPLdXcwDfr8IrPI9O
yCY5x9ybXehYL9NdDrXvDddiG8JwLbnoGEA5Yfc4gU7lOLXFbz6DRwNh7VYZ1HKjU9O5xAD9Uq6R
6gkqH5Q9o5sqluVH0J+Pd1ngdPdDFFxHFwq+ur9XLChcTYWLINlbUIm+hdJPFH6ulOyuE2eBbM/f
A7iBm9ez73ePTKKTIak5OI8cwWW7cbAslmLi+ry2UbOIRrjHLBx29UTflW40HWhIh1tSCtwz3btO
Qzh5HUhzc/kwW0zFhPqNjGett0TeSbbv0N/9rNvlx+UvW06XifALfK5X7uMFIWVMvzGHLRC3FCJZ
5ez/ujyE7cebdt6g+UK1iIOI67Hqj/BZOH6Ug+q3rhTbAOe5vTJCUPBVkQsdMvQVaJLtoWmJm8Hh
RbUR8dq+f/77q++XIbTjh6XtUsTyE9lHXhTwz46fXVnA801YX5jVAHuJaf1f9KALFh7nZrOiatti
w7zDam4j3gWIQ8U8F/slwvMjrleI9ha4XpPLm2x7ipqIvlr6fgiGMfWoOVJtMkDZoyS4CGsfvKTK
A/qOZv2SqIWLj9rzntttln2bRRoWv4Z8cIep79JZevWXrI354znJi9vlQ7v0WTJnQbzTzjipZG7R
13R5xpZTYUIA55pnFHJ+4UkMqPYdagpOikO/9GzD5i0hn0kFOFYxiUAUFJ1kDxK92f0jYp8eeSse
IiRNNzIIlrPxDw5Q8tgdSnjjGe+4HZoy4h0Z4u6+y+nWPCyywb6pcJu7UJ6sC6lPtavQwgtd+cwj
806cDwCk1L1EE/J7dv17v3ROQ4OnZJup4spdMnxDCTCxC60dZEhy0MftSr/xnEMhUcq+cgDDOdC+
h2QWRSlJMgAqExz+Ci7C5VtNczbDMrkB9QIgVzXjdPt6dPcNd0TCY7RdxE7wbgF3cjK5Qn+evewb
osL7/0Pq13Y2yN9uj8xymiY0k6RaO/y9KyawBXYjo1Eyc1lcGTYTIx7A088b4wpJ9LFW6McFS91d
FXfLRqHPZqSGa+Bi5B3NlXoMc6R5kpG7IHRp+zLYsJ9z+P3GY8aEEUow90V1O6pHgWJlUjfdh9xz
s/0InU0hivo4r8G878atF61lOiZ00CWuzAaOwxa3EPPpWdH9rIBXOVz2aLbJnOPDV/ccEJeqckei
HlU5Hylk5G9nMqbnCmyJuEOrvtwv3VYayXK6TPBgyQonExS3kmbCfT8qoLtYx9133FdbrY221TJs
v1ogB42rQaQk6LwmWd3xriiy9c/l1bJ9/fz3V6s1IIOXryDoTKHuwXZqzJxb39Nbv93i/U3cIDIu
okZvjXoEW0S1A17kl6zEfU6GNM43C2W2PTAsXNdqBdxuko9jC80uYN+6hFTIoDs1WmGuWyXDvHUW
xq1Twf+WnRqPY4MG1rOruu7jhnXLSfY1HQh/Gv3yF9XogpHjFkLbYgwmSBCPeblSGekHFQ1LEvah
us1n/lPkOcolDTC0cQuR2+kcWlyejG3A899fnSdCGUbqNJKRM/u0TjWIpCW6YpmOi123hF/QSjTt
g3Xr9W0bzjD2ETDLwouQXQ9J+UsLlQhWvA/xeTye7jOH7/tlC8l9/uQbTtKUvuUiKGQUe/zpHJVl
MRDW4ME4gzvGgjxvQ6AsYaCJHPR0E/LIh3OkldfsGl0jHAN5rxMzEEIHzW4mMTuSju9IzragpBYn
YMIIhROXbTYM/eOLuxxnvNBR1jxePhG2dTNe/sByDB1pWvWI7pg4KZdCJFpFx+wsGQxJj32FdMzl
kWyHwXAEZxpDyZHJeNA9UFGigdaMKn65ovmZLcPnFiejoVutM7axDI8gB9FPZQCPUK3iIciWeddz
dqIhuRG0ej+vA4q1qJRfnphtCQ0P4fpIhUudqUfegZCWN+FvFYBs1x2h8zXELspWm/prbx8FYmIK
x7FfNARK4OnA+5/QiOv7blLq5vJE3l41nNS/vUNWT5FCt6p+kHQMcBZAi3NOPZwNVmR+uHM7+ul8
ti+PZpvLeTlf+aJSs85bcoQ1LxeDHNv9LMct4ILt4+cr79XHRTW0AHyAlEPXJLtBP++UFAXKO5d/
+tsXJ1rU/v56FBZLQLMQcUUZyYMX5nI3gGoA7mxQPOHV7J2uG+g8vdfToL2TQ99WPbqKQXsSVv//
b+nSrT5dHuPtC5qYWEKwIrBayfNStTpPwrqd9mEMNe+ObEpY2YYwTD/zsrkfJqd/5KILofYMNm3k
/NHzL3W+brTjvUQt/94ASMf/vVYaXO1zvrr9Y9ZMZDy6omj5PYeyDN550NP15Fc01IOOPglLZ85A
I6lyWv10Ze4OJ6fpMpntXRDo9AcudOTsqmxBVv+6JTY8BFR+A13QmT/NeugOEmQTud92h2tZJ4iJ
NQSiGSUbJwbSHA9RNLaC/et3uwTz18u/33Le/0Eaui1y0NCJTp3CdxMUg36Ohet+mVa8rpeuGzce
Uhb/Y9IGZm6t5gEMBCm0WtIF+dtdvC51uau7MOuO55odiMeY2jVFt3YbpmxxFCaTINiNsOU1Iuxg
cNU901m2JgjJ5FZuwPK0Jib+sI501Do1HghnAFcrdVpU4TsQjZHHcZ41Usd4a0c6+ATi6+U2AjHV
de7VxCPWcSOdcZj4E0PuJaEeAkzwM2wYm23VjKgBouF53HR+m6JeGH8caMacJPBBKbm/fOBs3zcc
RiC7fCj8uk2npg32ZV2IWyjkbtFTvh3EEZNWsHdo7bYDASS0FePO6dYcKUP263zPndNERR/vXkIE
geaB5LoJmR4g90jc+32b1qQod2QG2KqJgAu//HXLhEwwohxIUK08jx8YtAhV4/4Zl1z/BLN3uaft
2txUEPA8arXmjwUcxYa1WvbIRCai9TZY3CGs06nM+u8i6ochEUXg316ek+XOMIV4VcxmCrx28TQX
zZdztCiAoX1wchJsOGXb7z87u1d3K2v6lk1ZiTOm0GDiO433A9iWrY4s288///3V14kL3pkMkidP
qKl+BR9DdxBdNdxBJ3dL38E2wnler0aI5nBgmQADleN7fvksKfr+foDENV8eslFl9MN1+2CYui7n
tgVjDx5WE5TTAAQDp7AMRLD32rr7c3kM21YY5s6jzGGFO9bp6mf1PdTMsrtwddGuf93njciADzxn
UdTiXqldGt8tXVs2X0MmgutYVomJR4QaHm+8iGGzA7QRcw+y1DFe05d/vcW4TRiiaoNMoMIg788Z
s7zMHucwj48UmdobJO8/DOg12Z3/BZG26zL2xAQZArQ+x6KMeIpWjCopna5JgGVBOjhstkJoy+n9
B1UY6GzAz69TpYp67zlV/xup5QBE9/Nw3akywYORoLihEPmlUz8H+VfmTuDi3PEmyKOPl7fGNgnD
yBVr6mUA4VyanR9MZOwfEbXwR/TkbD2az87ojaDWJBcUvHIlmNrr/ymrlKsQ2Q59ZNUPFhUqdeXq
bgmyWWzQBBLWYGiDeNbCU1Bw+LvZW7HzecfCb9ctlWHi4CyMCJvCJnUXyfJEQ2An6aLG2fXC2ZLZ
tE3BsPMozMe+afWZDSf/BDjqeuPD8jeuC9tOGDd4KYdxKMAtltZD+Kmu0fqoURG+a3EzdZEvNryt
ZQomWlDIZQxzDm60pfp/nH1bk5w4E+UfWiIkAQJeqepL2V3t9rXL/UK47RkQdxAgxK/fg799aGus
YoOJmJd2BCpdMpXKPHnO9KvwkjjYbCWwHFYTKtgiGkxLBd7TmYMFB7De5kQSDUQv4oJ9MacJE6xF
wwcZZPAbLUSQcU1ICP0Wutpin7JNYd2bN1cegZJRsXhBCSylL2981rvf2wUdNnPb1Zfr59S2AYZJ
e0WVVYKUOKfV/LWHJPwBmmX5RoLFUqZkJlpQLKAvrvsUlUI47JA3dyHAzfGw9N3dzCt2s6xvBM87
TuMsD4OP85WBtP14fWq21TNu8sWrXUpRJr1Mrj8cM5oE6E2SVQANAgpw5PVBbOtn2DnDTd7WQ1Jc
ikB1n4sMLeGHusg2mdktb0RTqNdZenAd9nVzodL5KVeOKIDiLmtman0fNoso4sxt98FrQZrw54Fj
YBCq84yUF+VR97ioUfG40VBpA7K73fCMlhUzMX2SAvXmlx6gKy4SozFjQ/kctG2j9227iepriDcG
Lm/WpwcUfGPZ9O19E/r0nnuJ2nrmWs6WCe3TgarlUnnZIxmh0JEwsOglhKhD4G3q3tuGMIy/CcmC
jmA4YDahW6z0g4dh8PQdXdr0ZtfZNeF8uci5cFHNvZTIRNzVeJRLIbewgrZtXv/+xnel3PG8YUQO
RYz191BBWCwq+ujbvl9umHYDJqfIdWs4Rie/d/ygOfodRJSvf9y28IZJkyKocuh6gz5tRoaiYOUx
b4ubHCSRGyfUEuGacL0qHEPkmdElEc785In5qNbEUjMn3xLIwGp/vE8hwAC3rDceBJa73ITvVT6A
L8io4patw3/U0hdx25L0iEaXElSq/YYrtKV+TBRfQouiAKcJLA8hwzgDUBk2EOQWwDB9gyTxw1Ig
dkANBJDe/iEYivR214aZSL4G+0UlBrnIoZsOKqfkW0nyPDxMHlr4N9bw71UPZoL6IMoyiK50q4sE
1u63ObrlJN9RN+ziPvOeunzO7/fNx7D81NGuGPD/o4yW4iDnQB1V1PLXvEjZTmwZ2E//tM+GR//P
PtcmgWDIP81rlShZnPLsRLL64TsBEIsN5DizLiPfVCSLXe0JzKT3852spBPyq5fAowk6SMeQ90c8
Ir1P15fP4nlM5B8ZHB8GDDb6IhfNaUGb9XfPd/0f179uMV6TzU866dKoFMm0tT4OjeI41eGvoVca
KG7xM5c/tSh+lZ3Y6ue2zcYI8tXoAg/hIF6pQHQfxG3B2+QWdJvOvHGwbQMYd34DoB2kguDuwqGf
HyBFgLJu1g1Bu+HtLN83MX1uM6E06SEb0ZKO3/mp6O4DVm4k5SxWaQL6IP7R+HxpUcxJZnqHrg1J
bwB2cUGZJWUQV5UUR0gabVmNJRozoX1RCzmmMJlrZM/LX2xFegq9JHcTTIjo5ymPOugR8K2LyDY5
ww94LuW1lLp4TFFudUYA+zQrXqoaLY/NLVOK0uQ84yFL2gNqZnTwNi5A27iGayhIl3Uj70oQk/rR
dNJF69x6wVzgJa4b+gBarI8u2Nw2RrOdj/XvbwKFehHo5kQd8VJXdLqES1G5sW6ict871oT6iTHq
oeLuFI968fR3oDGhGcJFVkWHNl3kI5QF5bAxE9sFaLIEVoEnhsgN0rNscEeoCN3XK6G4Djs/bvL5
B5RPyyM0vt7TofhEgT+67pJsK2i6CAnNP6iYI/FTBn53ky5jVN53Tt0FX64PYDv2hosoQElDHErS
MwH07kYtX9ZZMd69qgF6PtXUnWi9j+OSmei/MuVLDw6/6sJyKDhVHeNPU7IT9M9MsJ9Gln2aNALH
vtft9y4MiHdHCMnl8fpKrSbyl/yVSRAYTnWlJ3eAooRGqrIOyic0dJITgf7Kxgi2Q2aC/IgDzvM+
yupLBbqtQ4Z+ibye/0XeDLrmdSTOZdifZKmOUSLmHwEei9dnZnvLm8SBdNQe90eGe6Kj//YAznn+
l2RtLkx7QKqACikOK8SJBs27Ki9+tQraWNeHtpxvuv79jYcQbYIT7aflJQMBxU0yB9kTcOHN3fWv
W4JjExUYUq6SyMlBb4+kOURl0hIcTF13B9LCb23WjhtBqm0S7M9JJHUCZha6Bv1V1KLHbi1TjeXO
bObvTXuzREmWdA5u7urCIWWK5HUU3DWK8o3fbrH/30fxzdfR9V94CBMQ+2bJ+XcKZw16qiz9BZmL
eORlFe9XQGYmTNDxy3rpm7K+1BihGZqfKsz6OAGMYJpkewNwy9FJ56/L7HxXLtkX15mUgrUQdQ4y
LgicpP5DVzTvc7dxnoO5LY8Lye77ple32QBOXy+iZOPCsJwJk2WwkTIqx0ZFpySb1acQ7WcPtBte
r59r28eN6EEXoJtWkRudKjrzj0XB3H/nCTX3fV9fHeCbI0Ghhde4w4zlEgQ0fIx1Y/t9LCi09/ZZ
vQkDbBOdtBCJhNW7DFoW0AisVSy6bNq5+EYOgSdgyZYTvEpbZz6LZVL300dJ3ak8XV8iy11gigDj
BdL1UogKZYuWfoZ2lf6qK4L90HW78ZSy+C6TR1AmQQ9OaFZeAIAR4lBKVn1CZ+P4NROt5xx9j4Vf
9k3GCAF41RIW1DQ960yXWQz5Q/JO8QUCXNACSbfSan93NNTE+1Up3uttjYwUmGtY7CBnUHqgUoGi
zDOPuleP5jeUboEm/24g1IT/8TJE40IL9Scg2/pD54/TO7fcpBKyfX0Nrt8YSAHg9zhPgX/mtaDv
Ogn+PVFWW3GG7euGcRPwxwfCcdOzcKR/lBPkNToKEYzrm23bBsO4Q38Kw6Hz03Mhkl/hPAKr7fPb
UeJl6LXTxylRX4PtdqK/H2JqqgRLpbNB+VAM/F1VRAQ9HKDqUX0AoqeMi1nsU1WmJvBvLFu+5FEN
bdC1ekmQwz1u8yL83dipyRyomdPTbsyLi67VoxsGHNQX/fABmrvt8/VNsW25EeUT0ARnYSRz0LMH
01MXIKmWe5uyKrbfb9h3RxGeRPWSX34TnJcFTeMaoOL7qnL/2fX7TcxePiAJLDTKMdRn4WMu+YDs
KuUVv7n+fcsMTNBeB/SMP4xNds5zz3VvQQbO84/T0DrtLZqJlq0auGUbTNCedJt5KFBZvIR90cc6
BKVb3FLp7gt2qQnQk3U6paADrC+ep7KP+HAJapNF6Z/XV8n289fVe+OWGlolUek2yYmh9BeLSdY3
+fq03/f1ddQ3Xy/qqqig8p5fqix0+DGPKA2f0hos4LfXB7D4itC4tBOh0zkUgFEAtAr1IjKwW8qq
5XEtSyMSKffZWmgE66TrVdsPsDVV+R4EuaOg/afVFGW+fdMwbFkgsZJ1dSEufEBtR+BQHWeQJUFU
oFSngrWQbNw3kGnWpEXYkSlxSeYuPySi9w9dn3XvlhLtHKyuvK/Xx7EcKxORp8txAZw6T06yncK7
tFiSH0FSZx+vf92y6yb0znNAnzJ7rgCmlP5bTU7kxE3nfcpxGR0oIja5sVq2WRh3du/VyoUOE46v
rLPu0PhDXdxGiQJ24/pE/p48pibzH4h5mrwCOc+FLlOp0Dk7jU/gbek+5BAwfWkDyZ4DWrfkGGhw
NRO4mH1mb9IC6mKpSh3J7NLMpftdOiT9FvRpcbw+Ldu6rX9/Y/ao5POsqQtcHmwuH6C/nNCYD80W
zsXi2QPD6NtElTn2orz49dw8IiFavWNZANUCkAFtOC7bEIbBy5G3bTUu0em35FBV+y9ihnYZYBev
15fIdoQNi6eTmDQbEnEJAIlmYeKweBVenrQjTh1r9skBUhOZxysnmtzJyS5EK+hAtuHd5Dd614MG
fet/bnNTtsPiBHl+aaDBfKzhFG/7kX+aJz/YsA/LNphAPJL6qeL+lIGezitv+KDZMZl4cVw8AEp3
bYQJxAuVTKk7SvE7l6EjEn4l/VpWA/LhSAa0Me+zCRONt4KaNNp7oxNZkl+yzSBaNaPKe30SFoMz
afy8tCLCWZLs0iEt81HOitMjuvxLsWEOtu8bBo3mfjBlusgoUy+Ljs1I+xSMD0X0ed/PNwx6hM4j
GGX87MLbefhQZkV4UUgdbMGyLKlKyg1rrhDhjLPupzOU4cTDWqhLCYRYx6w+EHSXx8oFVzxp6vLB
q6ockqLoJ0ddet/kTEuvF5oOZSkufpTyp4S0TXXoMuZsOBLb1hg3OvN4lQwpMth+MbTRXb2M/fDQ
QipL7dt7E5LHQfYTiRJ7r6U/36dR36Dba6F6C4ywXqb/TZFTE5enUxB6CUA6L5Xyi6813hsPg64/
cZ2jXwjMm1+jaB+fLHJPfzqsscq83F0y6JI3dVRDHDJM1U00Nlt7YcnFU5PJr+Ju4rQD8hVsbL61
YLpc+VFmWvjHYEVvrCzFyMQ8UDQxxrtPmMnv57o+dcvOx12S++XJoV37pZ/8sdxwLparygTtVZEf
cO3PuENIH73T2dorz6fm0IS1uiWQp9gYx+LsfdMLNJFyPUi0otLTvRPp+oTi4fIh0n65JYBgO2uG
I5gnKMI6k8IQWnlxU1fvM125PGaDAy/AqTwEYPzbl7GkJlbPTcQSTMmQXcCs6VW3pdPQ+RT2lb8z
PfYfeF62oPMN4PiHZlFVnE6ljpsggJzw5zRFo76Xi/F9PXT76sDUROqJUGVpGuGqHJzZAfnTgLbM
lQOs99pDw+qnHMWujUSmzWWbqL1lcIqoA6X/JUBCPF4K9iOKxo8Zq774TcJi3kIVTa5dmk35BCrn
d6p19vlrE8qX1t5QhOjWvrDWk49NNvEECUc9bnzecgS91crexMaedknnlZgY0HBZjEu7ijlj0Dme
lx/gjC7ikSbVcdfVYwL6kDvofSi7AY+MNvC5bMQROYqt02C5eP4jvLsgIRHmE0pMXfNdSgCD2hq0
q9d/uSXj6Bm+oKsWv3F8HUHKJTmjMftGNJ2Im8l9Hy3N+yDlD+WwRQFgPWuGV0CVFDTvXt29Uxr4
u0nNsebj57HqFMRRcMZ4QA9LkH2gK8AjD/WPtaZ5fZ62RTSCA1J5aQJxAaDqWVQucVMm1Rznhbel
sWh5YJpIP11Fc5m3CbJTKNKu1BDQrmKV94+qx8sYQPC5A3vDPO6UFqYm5C8AcX0gHfd/49F5CY+Q
at3qW7RdryawjyELmetqLC/l0D/UuExJXQwxuhn/bR1QCkOf6UPrAQ/fhs273s23lEAsF6AJ9RvF
IsmUsvCUtIh6RAK1oQKJVubAM/1uP7p+Fiz3n2t4BunLuppF3j+CCk8+yb4v2Idc1M4SO7z3nPvr
o1hOnInzS9psyouuic6qgnX14KmrXRDHXf+4baXWQd84tw48Ha7jNOEJ0MgpPHI1pfdgOZM3YkI0
xwYSPV0fyDYLwz8ksu4r1qEZrBtD5wz4m/qUR0JsvAltXzccQuUE3pQNwJz0Zep86iE2NN8Orj/v
g6RTk8cPyiKUKDGHJ9VlL94EIDHTkPpBBL/12rSdJeNVkCwQ+Q6mMjmjxSWfDl0eIsoR0zw9QSZv
n3QkOnj/3G0eUe7WzCmR5knocigDXp27NebZeHlYJmGC+Zq2aMeJdeGpadJnQaDqJKPpK8AMW8LS
tgGM94BXjHQsdRKciqSfDh6Lzl4dRPf/Hw9zi0H8h5cvmScXmd3gXAwB/AeaIvUM9rXQT77njf5x
3Rhsg6zTe2N1DVo7kwycJagzzXmMClMag4X50kXcvaER2iOvD2OxCmYYt9Z+GC6Sjo+VHl6rJKzv
gt2ew4TlkaylnvL94ESmOr+IipbP4PzrPndVBRrBRReb3LK2W8RE5ZFEpHkLNPrFcfTHvujkR5ms
hBwtaJiDlSygQG35cz/p/JxUxS/BtwDxtgU0LnsPkJJxbsDu1sgk+kgGVF7iwGn1PmQtZYbRI1U2
S8J6fvYilGirWgo8bLLqdtf2m0C8ZgmFXKZEvuIxA851gj6d76LcCepCHejPQwymZSZTKIU8ag6p
Q3BvIy7hmwwBlqU3cXijdDtFSj49otWrPYCrPs9jPwqmjfqNJag3MXjoDa6WhafqUY3gqUEo1x+a
ESBFKfwT3kkQItzt2k3cnXAzT9dTLR9Znf8KNbomRD+lgOZvdhrZFss09IiPCUCL6hHwrntZQEJq
GZWzC3+Lasyf+5ziTVLVYiZnvUBKgYQZPQhC9E0yjfJxO79um4N5hWcJhNXY0j+yLkqewbWfCZAK
z9GW3Jnl6jABdorLzstGj56TLpSvpEZfC/Df1ecpK/SGv7W9S0yYHS95vhLG07MMiZgmUAZpN3lP
RYt7K6ZLNIVDLEbUEe4VqMUH9xboorEBtRdxplC886JClhzcbD70JK77AMusTSResszh4OienlkY
PoUScMURbCGfe67kxl1m2TcTdtdQ3YNyraRnUtPhWEXoLM58yG1c//22rxsXfplCzl72SABCtKw7
pSpBN7mot94ntq+v9/Obe3icVdg3U6UfVTs770toJBx8sP8d9/1245b3ilmrtBfFxXMAepRh556c
9dW97+vrnN789q4n6EMHB/7rXFTzIV/c4D6rOm/jt9vuXFOllyIFnyRTBXAdkqKE+Z+gGBZ98wce
QhYebLd1GZ0rqJHeEu237xY1v+6bluEGJNeJqLjAga17B23rxP2gFX2+/nGbNRj3edP2AqoX8DEC
NKiXopi/pkmwvB85pBz2jWDc6MojsP+Z89PIp88kKro70VZJXAu25cf+niAgJsKu9NBTWuaR8yMD
1O42Ry+CmOn7vgAnEMWVdkBS8ZcTlO8JaXdtCTFhdszzkdkPWnYGbF2HN4nf8PR9xjrwqlxftL+H
w8SU6RULFRHtGTn/juqF4l88ufRoL05/LZPe4gT7++ZDVuhPg1EoVaF+kMM5l63+nI6J+gJ+fH+I
+wolko0rwDaIYfOMOwi66UDO4OkpYrY+gUThklOZ0GnXS5qYaLtG1jJKQ5ecPUd9HSekNMp5Z0cx
MSF2pM8HgNrD4RxKDkxtGCEbFAfMiTaSGbbTa5j3JNSUpK4qLmkfsnh2yyYec/EraeSrzlI3Th2n
Aiex/97h+RZvo21PDKvvIqcYfIHj1azaXL/3xOtr74a6kt5dP8Gr0/1vSYxEhtk3iV+nmo7kDGX2
7FPHmQPu63oLdGKZgAm8Q9NWl7tjMpzhp7xfIvSjpy7jIBufs7b8smsGJviOD1nQ1wNm0AX1iI4A
kHfzptvwipblMSF3ldJzMwL+eBZRxV64VMH0vgbFtd5YfosDMSF3IiiiCEx//MQC0cU6QnaUOJ3z
vo6W8c5ZZRb2LZJh3Y1EvwcfWoIyylQ+AP3ffAzCUW4Vu2zLtP79zZUeVl7VuorwU9L5CoS8gOzW
A3g19v14I44naVlPflTj61PinHXnOmek5f3P+77+p2Ff/4btnBuGyrTjuwEYBSEUtPLGe7S8GROa
HspV2uf6EJa4hpgiu2h9zPWczOJVOZCnXdmDlVO0X8BQ2R/rDk1/rhP1cdshdTgl1H8PEuAt/jbL
KTUhduE0gvPOdfxTNazaFfPX34lEPKX+nf1qi6bKcoZMpF0qy24MgoyfpJemL1wvzc8oY9mn68tn
+7oRjnc1qepsWdj//BzKeNAGRNSxsTmWy8EE10HJsHRGpb3TSqtQOMu/hFY/SajI7UrzPoTNQ06H
7t7Fv+ybjmHPuo0oisfEPyU8b+5RXWaPwLJUGwo5luMcmOY8NxXJFyJewRwLZH/dJGBLyUG//2WZ
qk2ov21LDLMWCxPorsjEKxdcfkUhiv0sgUPcuK9tc/jTrP8PBOVAYwC1yVMTJuqIjCKJvdLjh0gm
+5B7JDCsPoxUCwFa6p8Qz9TvmmYALeOICt7RB93hRrrHZvYmrK5LaYss67pKBEkMypiO+6E+rO0R
uu5VPOJwqWK4IBJVD8VUfrt+wCzLZwLu0hFhDMgG+ImX7bff5D+cVt/6aZM01TZA+OeVAU6QmZYz
2NuaBL6L8fpbQqr84BKksK5PwXK+TLgdMD7gsiQye0V2BixuDtdl3PpBtUsrjpgoO5Z4E+CCi48H
kwx/T4B0eX3IJWim9k1gXbo3t6pXdg16Kl0sUSXnKOZVUQ/xPKGD5Pr3V9/3l9jPZLwbgo6sci3F
K5eMkaPjzekcTyyNLk6UybtwLoLg4DT66/XhbDtu2HsRFgoc+Kx5RCwyxgSMLMQl5Q1du272jWDY
vB5yHiXF0jx64XjplFoOUTXrOKebAa3tTBkmT6DZA+mjCgAlhuQucmDpaQg38y62FTKC8cjNm4Ii
f3iZoO0VD1nSxnlJ+UeUH6vn60tkmYAJsavQBqOWJC1eK+Znn4a2/Rn0ib8r50VMfF1I8pI1vmoe
CWtzKFAgfHUS0Pft++nGFc58YCIEtMgvRd8Q8DfPwMlzWpKtF7Btadbo5425oSGfNV2QAwHM5+4+
HEUACEaVNJ+u/3xLEGVC55qBTWREmvu5qeevBBJxXzpev3ccAKVbR7Kb66PYJrH+/c0kHMFy3bg8
fA60Jx6KcnBAs5RFGyZs+7phwrqEfug0RdFzytAk4KiCPSm2yTlo+7phviHP0p6UXvS8Qhk1srIH
zqetJniLbZkIubBwo3Ju0uR51NDEQE3/qeyhkuOscjDXl962wYb1ik4T5k1T8CyK4IsS7oKcAA6/
V2GEuc743fVhLKtkQuO46pkLGa/uXPUM2sdiaMvmJmyR6tqYh20A42Yey4RDEYdEz1U3+ke/Gehr
V3V6H1SRmKC3qY2AFSzb6LlJ/fI+kt7wU2WOu4FyskTiJuatmoZKuxJ61qJup6OXzh+Vey4QZoSj
+to4OTlm4I51lmxfmGni3saIVEFaieDiyVC+a6QojiHKy9/6KNoHViX/Qb8F4MvPSBNcoJTu3bdL
VN7SzqnA1V9vdd3S1cT+EgqYIDgOHpdMDWH5jnX8KEb/nzBvn8bwiQF+pib1leQ+mD3qp6YO75mP
9jcQuF8/zha7NNVqJzV2Y4R+rVd/QiBwzJKVZyMHTkX4g+Mcrw9iO9Lmtd0QOVIZ8UtacfazUUx9
cANUUPbFHSb0rUs60fPCDZ7rov+ZsTQ7AofxGizlPpJ+YmLd0C/J3XzJw+ckT8fnsSV3PRTqvuxa
HBPqNg51EzIWFi95GLonOo9tFU9NlmwdLsvim5g2sYyEB3osX3QFPHc6TsOxRI/bPm9lQtkoSASL
pdblSz2V3g2jmYwL1W/BpyyFUWJi2EQWhsHoRMULkSX0TNL60E/q3s2hWuEu81dnqu6SPridMv6w
6jcNXb3xALM9/Nx1Od/c5ANUgsdx7soXdCa9SCnvQ+J9yMDOiNfMEE+pulWuOvak+rlSNl4/CjY/
YBLYcYmPU6cE1Zc33WsXcbr/u02FQf+Y++Qgs/lHtrLT45BX8QpOLZPxljO19Sax+G+T4y7nyex1
LbjGIJR3TtvxMJYczXBp+c1DKs0HzvOwrrOuw411ttzaJkBupHM7lm7nnVPP+daUzRPPBnaTsOFz
77EtbKzNBIzQgKRtKkBWUr/rOqjp8gRwX+VDjeT6rlm+boLjHJq4Hh7TxYuImj5Oeyd8ylAn/HH9
67/RHn+5G0xsXNEtCGyKtnjRLYCD63Go2/m2VtPtb5uoc0iwt7AH9NWrQ7lM98FQPcxe8J1nEJpq
cEn5zlYTtuW2MFnwaBCx1iEVf0XfXFYc2lrBTYF/jv5QTRPsu9NNJJ0Mdc1C1blnOaypCZGOB7Gg
FBZUW8RPth1bp/fGthN0ZnheE7Fz2GYvXTf4j2WFwsX1DbOtkeE4GpqwADmv6BX7obJ3OkyD28zJ
PAaBaFZspTxtUzCeAqT0py5YEu/EaPmJ9AC0gb1oC5Nv+/gaprxZH5QOabp0+PhvHdaQ6x9FgpfM
vvUxggEkyNnspCE+HuINL3Pnm+LADdcAOe0cwTB3lYcghswxAnPbJE6c4AlczcOxrwAhvz6HNRb/
i02aCLmuKMaSVtw7dU5/4t47htJzE3g3DTAPJScfptbbwOFYkkQmWA6K2N7Yat87EfhHWeFdL2ly
AD/H14Szf8aQbsRQFj/8H9icm6OPLKjYD+5ykI06adXGNE+9g5cN3tek1Fv0UbaB1r+/OVtZ37nD
KObiZe7H6nZcoBg4hQ2UVhhChwXkYtd3yGKFJnZukOgZWlqNYfxU33NR3gIz2Z5BLbUV+dgmYtg5
maohGDgjr2WW+lHcl6OKZR0SCHuA/oWH41YQZJuKYerKnXWXgjXgpZhAy9K5Y3DPRFHEgQT73vXV
shj873jkzaZEQRhBYx7XfttAq44UvfPeV9NOX2Ui6AS0dyVkpsgrUsLDiePwvluN5PpPt62OYezC
bxqSeHX5ElWi/DT3Wpx4D7qi3SOYULhUoMQteyd/qWbQBAq8XzWg3ac22kQBWIzchMJNUZepHBDD
124ubmftLQd/pIeoC05gZW6hLqE2ggnLPpu0c8wfinGAQvirEBO96zoHoip11y3Ohhex+EVTmxbt
dCIpXDd6HVKH3eY0hTx47YTvQref0QGnk6MupmXVHGO3u7bflKktCq8L52D2foQR58+tBhtzCOW8
mxDUrxvGYTlhJh1dMuuIZjCJV2fm9d2MOu9N79Y12FBBm319FrZ9MUy8yrTsxoWGz5OTFh/QRS5J
vOC/nW9Ak5BOl2pwBoAgX7HZ9E7yOvjE6bhVr7T9euNG16SbGuoU3kOIktKXsAOldOy4mzhi2/ob
Fu4UKnUdCIq8gIP2A1n5IDI1OSfm996XHcsPrdn1NfTG/TGplADokr6Oy/C6TKE6DLjYN07oX40b
H19t5c3Hoaw3pUGYew/gMgReiR2IXNuACoCWJpm+RKTbsr6/7gNGWn/Bm5EUNB0xWJ98L+ko6tvK
Q0fZcXFDb2Mmf90IfH+9Cd98H2z7kLLqU+dVRmgPTwIEtp1LqzSesmzrJrKNsf79zRjRBGqfvFPO
awvVug+/OVmp60jAkP2thJ5tmda/vxmCa68OhZLJazhN5adw9sNfTgYY7/WztC7Gf0JDLJJhykrU
AXWWxXntJki0Z2136gc8zJSDCHRAL8qGx7ANw/6cRA6BKSFz6bxmqJsc0CUHLsAIOvNC/s+/7qLs
x3QM225I6w2lpPN38Nn15DAmeSI/OrObbwH7bBtuWLeCyh5acQrn1S8mVCTn/DxnTn/UEAfYuJQs
+22i4Dr0841to7yT0ov80YYkfL+3swxK0oZ553QJKnS/Jq9Cgizdp0p+G2e0+MmWkY20kG0Chl2H
9cgiz0+8HGSMibojY6X+ybBoe8qGmIFh1qNGj5Kes/Rnn4NoCwJ1/G4AzPHXdXuw7K+pCqvmYqGo
Svo5xGYj6h46p0B2SUPuRHInu7k+iG2F1r+/NenJk8AWTyyPNaI15AQd1eZnB4wCy9aj8q+hDVbJ
sOsiBb6/6YsAQ7QLe546APIb6T+keZ7cK1WDr7jOo3e+qDcy839NxWFAw8K1N3aat4H+jlwSf2hb
mjN0dy7jwwhxdPEAovQqh7hZVA/Q1dJJz49lkQ/uhn+xbZth96KbZRsuo/7egUfxtpbJk5OW4fts
Elsj2PbMMHwpQCcNWRXsWVqDLv83XAs5rI1DbdkuEzM3DujAVGKAzYxB6S3HYpUFhmJCea9KV934
iZgOczLV/i1ARJOzcQ4te2aC6CBeUI9kEMv3NFe3Trjc+f330mtPEeL6BFA01//SsXbfTWPqxnaC
+FK1U/ozDfPolkT+DVHRdK5qcOe285aak+UgmNi6aE5EV/hL8jpRQKsgbNDq4zwExSet6moX+xeL
TJK6aCwk6EBn/b0GT2HseEhnQnMVjVZQZt840JbjZoLqNFmKevGog9SlA2kgBiz5Nw5Q2XGXBzKZ
6vjEQ4ggRclrlzhLcbtAOgeMAZm/xVlt2wbDG1RLmuaUpW4es1qxG+UDujNWyAJMuvp5fQq2IQyT
TyuH9GD3d15z6O1+/S0KBO2P9pxm3r6L7D9guiKRnHsDSuUCeOVqOCQj9D8OUOlz3C3IuMUETeRc
MRckL1qfPVQ8fGpY8SUZUEYXKfyWt1Zumr6eDiLoTks1Z8+7Vs4kr5PIxQ66CaPXMHec75oGX2SZ
NF+6Dh0810ewhHv/AdPlKVe67cPTONfHQvo3HTSQYzdTtytdyfUxLPtvIurCEGJa7kCS5wD592Na
Nc2hJ5CWqTsR7LMSk72u6ZpgaNyEnQqC7mtcp/UxCNIt7jrbIq2m/yYKACaMyiLxSwgxgSd5ghjg
MVfeS7Xy6sYRICEbm2FbKCMUcCFMMKJLIHzta9XctmAai700SI9ZtqWEbHFWJo0dyYfZ19plD+ia
LY6auePNwDbfDravG4YeFh2krKaRAyNWkOKgCK7GMNwqWNlWx7jXuyGQPFpY8rraQVHjuZ5W/sMg
UNbbdU5NDN2IFw/JVMROacqA70EzEyQI9BGKaZ+uD2BZHxNHxypIKedaO69CoRx6TBo/b0/5CJ3g
jRnYBjAC+lG7+f/ScEWNjt0f4VzK+X2KmLi72zcDI6RvyFS4kH1ov/ezq+6WomT3Tr6l3Lv+yr+8
cE0kHQfouub1xB5ELc/FhKKKalBq5MlwszYp9DJw973cTD46hnA7yhpHXJjIx+y2SZdAxlEyKm8j
SrRthGHJkInT0A2T7fdiDpqXAOzFwzEUtdqqEVhswTdvbZFQltcOuC6CQtwkbp3E/5ezL1mSFGe6
fSLMQAghtsSQGZGVXfMQtcGqs7oZhBAChICnvyfqu4tsVRH8Fru0XKDQ4C6X+/FzeB0H6XZyem0z
HFsWsyr9BMWuk+VZvkf2nqQKHDlHYVHfhlYcuGCIf+dqOZYtODF5Q5L8BfkyD8LsvRcVbxZPg3bm
9rH9M+gCj9rrpf7Kg5eeB2kzAlaha/xMQGKFNp63JXgUJUrYs9EnSYePYydTsBk93h5z5aHg0s9p
SxFkJn3+MkPzGsRSPEwbCwHGZuk/yKxrDktVPo6NByGS2wOunDkXgEdxTY19KfmJLgH4CFtwYLRC
3gXvwwo6lq89aspg0eRyrQsXGR12Ja239mftp1+P+avt0dovwxgseX+XNZcfEU036IUM8/e3F2bF
WH4D2jWlbCBvlVSpCJYfgLpke2r485JvQvnWfr9j7mzuw6mEOM5FE3Cim3JkZ8gsb9Hkrf1+x9jV
AjBlRWl4AlF9smMQp0WLKrK8S5H8vG+FHGOfJ/DYRjCQCwHElfaihjozqw9aBvPxvhEcE0eaumRI
7CLFW8YffG+uH67H38uqO2+m36B0aP4OOvRDVmnW+d0/+VSXNNkltQ9k/P72HFbCQBdQp6FpGRhm
yUUN4HpCGJulMwXbc9gtPyoNGsvbw6xst4urywPKBFQJyhcqfZYiq8z3bVPJtLkStdw3hGPMiU/V
UHaSXGpw2T7IWXSHuFP8IFu7hcteMQkXYCdVXADu1RcvAJPrj7SrVZWi/eEu4nCSuCg6a4SVvsrC
0/XE9r7/L42SYpdEcHq3l2htsx2TthPtoRvfkUtnwu9oQ853NAKkvx6o2tfdZmvL2jCObZdTU4Y6
pOU3nTUX2djq0XTkK6dz/Qj63XJjv9c2w7FvAfFy3uuEV6nPo55/lyKS4ivkqrZC55XLLnTMe+YN
tOqbDrgVP/6kI+6foEmX7EQFJ+iNYLUgYbLzylL9fXt3VibkQuMAk567BFQmL4lo9T4KabcHH5Pa
uLpXNsVFxllazyyWkp4oXkh7iAXyf7MSLJ5BAqKcAqJFG5a+EmO5qLclKm2B4p26tALCNbX+Oy9H
hD9iOo4ZYzs0vt9VByaJC33TPhvDSRF1Md0ElHfQA1KydFt0AGvzcK7vAuNB930sX3TbihItYJD0
bMOo2MW6Sv4Kytg79EOeHW7v/Yp/dEnkhPS6BO8J+EchokeScwN9UtEf2xC90/cN4Ri/AJHUQvCu
vwDMN1XHXkb1Qww1bvY0E3IfOSE2xbF9WwRVJmwVn8iAjhU11uYp86/V27LecvRrduIYvo68KAq0
DC+z4DH6Vlh5+j/wiK193bF6jtiVhGVGLxFQH+ZH6JMxOkeeib2t9NTKXrt4OD/kRVPEGYojuWkK
mvot+V+Sr38slk1awj+jwUniguEEN5HphGguXR18pSDFOlZLlnwcoD+/i3Mgu2wQPoU1XqRBqMxH
xZr5mBXi5+3TtrKMLkQOj3T0SdhBXuZGFfuK63OUkHnDWtY+fvVxr0JrKewMKciYnWTeftEdsbsx
2WRwWNue6/9ffVx7kACK2oqdAPKSKRlldriiB2t0hN6X2XWFWk2BYlEbluyi0SGxQ704PCfyPgVV
7Ltj532nJlqXTXPJ/KF7Ep7RH+9tYcDXHfuuoWLcNKi1XQBMnQFBHBeoTeYypxteam1rHePmnDdz
tPjVSxY0SAhDXhs8lz0U0Xa3z+Xa7jrmbXUZSiS/4guts8dfat1R2J0CHwK9twdYmYALgJvaUgEt
X8gLNwGKjV7osSK1mtOH+75/jVZeHU/pzSA8q+CfCA9DeSRAUFcPsefT5et9A1wvxFcDRGGDZ18i
KnS66emxgPL3R4S8w8bZX7lWXdCbiYXIRlDJvISe9bO0jENUHXmsxrQfYWs7D1Kdf42EbR6olQ13
MW9JP3MmpBIvI8Q00rGbljSsyZJmNsz3t1dsJbRyMW/5kMdgwGbRxWde+1x3eUyfoac+0z0dzVjs
aii26431W5uOY92ADI6xCDCda2YxHS37OZcUkvNQNL09mbXz6xg4GqXjYkIH14tG4krvAM/Ipn1Y
qvzOOMQVY21bD7JxBWGXEJM5EGo+2iTXD3zstnzI2ho5Nk6hh4vwLBQvaKH9KRU8K/PC72OO8POe
NeK/QeAyUS8NE+VL3phIPag6osVj3Ir+vtCWuzC4kGuxMHAJvYCn2j97AAW/54uqNihT/nxeIXL9
XwvPdQt9jHyuXxQO5vu50rBD6DB9a1lePOi+2tKQ+vNRAqb0v+NEeP6BbKimF9miW3rf5yZQJ/A8
K3GXq+LJ9QC8clUkyHOQWhTVC2jy8kNDVfvBn+dsS+Hlz+eIuxxwkWq6icuOXbKw5x/0UJMmLSZu
v4NcFPwct8/Sn0uw3IXAsUCHcd0n/skW9aer0sK1ZcEX6p228TszmL94/9zk9v3t0da2xLFur+li
KchcvESQwGhAfV6PRQoFk+guV8hdBBx01YZoDGj9QmYClRDLABms5p1c+v7vyhvvUgQHa5Rj4RUU
cQS8anj5VRrt5mQ6myEfN57KK4v0Gwaut6DMA8nsC4/LZdn1U79MaV7WyV0+HCHNf49t7scA0NYi
vIQj7kEF2oC6kCaN6031tj/fsmj7/O8I0kRZXssiPKll+ZFP0YecNA8ZIDbXHpgw2SoHrDiS38Bw
nRwNnkcFgjWkuCO+eOmcsy/ehM4F9CreVUnhLiiOQuReqqKPLnnfo5U8sxD3epgGiMJvHNq1/b7+
/5Ub0eDD0hmaEi8dukRO15zCS5IVxRb/7YobccFwHHxOoNxqOsQ52A3VNv27Bt15gEGWp9tWfT04
vxcZuYt+4xkp6rj2qhc2jlm4h2Zw8d4LcP8VqAZwroJTBFDhjGrdFjhl7YA5YfpVZdnaPAAXIFKV
eVlUp3k2UKayLLuMFL8EEkxbueO17XGMPVCsVh7FZajnwocUFY9awIUawzeuw5Xvu+i3hHdo29VC
vqCFS7+Fqg5Iq5lR+nJ7c9Y+71g7g0wGKyA6+BK0dTDu6wT43WMD1fsNJMra9x1bH725EKbCLSuK
CttQMPFvS7TeSOetHF4X0dZDuWaUtBQvUR0F4wFNK2OH9EFP6QcyTltbsOJIXEgbg7RyTEBHdgmt
4jm6ecCoZ0WKjQZN1V4US0A9yDu3fp5smMzaql3//8rmmyBE3c+q8qXKsjlOVXLFE7AYgu77+7bd
CdRVPyjOugFxtNVLm/rRYI8mR3FoIwZd2xjnJu/ipIkXquRlKql3gi58q3c0b9ovAKdsaRyuxCYu
aZwpJeAj9SQudEAPw9V7UWJ2elDsoNC49KvDvgQ3sme9O43FsXUoFU99gLzuae7Ul77meAYmIHTf
Et5eWbTf8G4dcgtXcONLOESfumukm4Fc+//wMlg5yC64LQ6CaKhASfhCE+Ltuib6Gidd+7UWUJRu
WsOOtw/X2jwcm8dNPkEtnMoLRA6/wsmTJzlYtivtskX2uuLgXXybBgg37jpcugle5c1hiOb+kQ0Z
+N0axZBoJ4BBQZIEirC3Z7Rijy7YTYJnGw1wU/5Cwqb0IDM7nMZQm2bDWtY+75g7weXUGNWzC8gH
qre5GopPHoQV77N15tg6Bc//oiIU7kpO+Oe+b5LzkNXLFuB37cc7ps5rPSl0SPwv3Ul68O7G+Z09
RJw5NzkNG0SLUFIHzBSbcIZQWVwINJhD6GLaNwhUt5qV1mbhmHa+GANmG/Bh2Mzrz6z2p3ZXoyjF
NzZhxSZcpFsC1ieEb8Cm+L2vHmv0NL5TAHv/Ww/z1iFdG8K5yscOXJlzsBQvla97/d6g+ds8ZjkH
u0CKNFy4ZXxr4zjm3Q+zXyW6bF5QBP5RZjr5gmrUJwBYtzC4K27KFWTtfK8wRqHUWFSSP1BWNWnm
s2FnmOofeqDJ77NqF/1m8QaxXTHwC2sDdmaZH8Fr0ATSkbe9xto8rmft1S3eqQYNXUXGLiQ23RM0
8ICUyOd8L03XAM7aDY+3x1nbEMfAe6+uaa2S6LJIUjz0o/g0+qR6bnqQJ98eYcU6XPBbhr4LjjbK
oExBNq8QU0NUr90PRRvprdbcX/WFPzwTXFq5DNS47eCp+jJrCPYB6oHebLQlZpCOpNc6EF5X4687
HSQ9764EIoZWH5oxeaxK7wsFjvq+qTqOwI/yOCuViU4smNUbslgwhXbZsNyna034b8C4dmxCLpFK
Ka1anmk7QI1JFVaPe1t5ItwVpQ10miMsG9OwIxCYnJHCPaJLDIiUiksybcx05Xi6cDlBBrzVFhs8
23IRO26r5QFgnma3yOSn15rsvheAC5Lrw2LpgkqwyyShpJUGzHh/d51fbTwBVo6mi5LzIgsPRIfm
xRpybRFLppKZ7z04l9uttNGKff3GTOeJeCGMNi9NGz81PZn3TcOxbDG7s6WFu4C5fvDb2G8zcdGB
jvb5UH2KKvxx15F2Kek0m7HT5QyKa7/pgAsA2Iy15ZbE2Noxcu5/MveyMAqrw2jwFtGrftC21/rI
4+YMplHDH27PYm0XnFAAGk0eMixh8zLNXruTLBhPpvHVPp/L4C6iY9imY/w5yj1LRaPo0jZmtPtA
VKAgpghoP9yew8phdSFzEF6uirzq+MVmrQ96w6KEJLOa0Ut5+/srTyIXL8ckpOrouCDxUdH+s7TN
1P0wI9rndtE8SbvnMQiodujq91AdXVBuettWTWw2utjWZucEBr6CjOhMEYWbMBaf2Qi1zIdqhIzQ
8fbsVqJ+l6DOwDOWtgFVe071uDM0Hz7pWn7oESDsq0T1Ry/zkq3M98qxdtF0FkIxPnq/r0sJ6M4V
uFzmAO3NUr3xagjJ3p7S2pJd//8qROhLA/We5Bp2xvMPiff9LsinasNi1qbgxAW1rNDbDQ6ES1hF
/uEXq18BH5xaYYd9rwOzcZGs7YvjAXg21pJ6tXrpIYedSUASQN/an4dRxvvZy+RzOECO7vaCrXgB
l2SOI6fQe4ziNunb4qH2dfj/AYJkswS4tieOE2jxFpCjbaLLXIdI7NRFd9XSM82WJOfKFFwkXe9R
wWISs4tNlo85DcC3SHbD4t/5IHOxdLoD80gZJQBBJCBuNT4IsPuI33fdugC63souQpM8vfRA4x6Z
b+fUDOO8ETGvLL0Lmps85XNaoaaF7lcZHoHCzuS7TGdCbCTWVnLR5Lonr+ytuLLmqDlil6CSPxkf
40c7VodsUOfejAfmQaWeVsO903Gsu5l600xeoF6aJACcwLY09N7JAC09P29bw9p6ORYuIKU9k7r9
X6JbqQYFiBaPAXbndriG7UXobmCGXSKIzA1IeOae2nfWo/cukHOnmybKO6gcqxc0voxQx7D1T7Cp
x/el61xpVVnnSyMkMhO/6OnmDPIuyXZ7xop3dYFy4+BL0mQGXk8CsDEmA01paMf3mbq+UvtMfrtr
j12kHMCPlQH6DWooY5mkeprI4wT6hf3tr6/NwrmzNaS4AhtB3OPaoiOaTu9BFfA+Z/w50QPZCEvW
Brn+/5XVUSO9qU/6+KQpWPz8ClXdrC9+Ztq3u6CNvt+eyopfdXnifNZlKpiC+NRX8+df4p7ZpJ+T
YthiVF2xNhcZlwHWKWQ7xiek6f6dkyJMC4ht3P7xa992LFmVWTc1sgep+oJiZakL0D905j7hOzTP
OpaMOp0pImKzrxMviveWT/4RDGJDnSI1sby/bwqOMUvwYirlWXR8tSDmT7OCTfkh6KnYWKK1/XXu
ZbqUkHEggD6WFf36a3+lzH9WZlNBfuWYuuA4SLRa0DuhbCjza+pMjnmdPIUSK3Rk4LSMgKuGnOPG
s3hlNi5RnGZoe0UpGjJKGnplZGLfGVuyhyLZtLqVI+UyxNE+JGWZc35CD1a/I3BWoBke7ytL/oaU
C4EoQ7Im/1aQqEZ7xhzSXU0ivuUy1pbn+v/XLoN2VesrHj31xvePTBNx5prle1SSt+KwtfW5/v/V
EKSgpYZ+G3mGTid2YAAH4Bh7WyjgtQk4Bt3zaKFDNpNnTABISz9rlnfGdrbaTVPAP982ubVBHLNW
IJLI52SJTxAoh0+VSfOwBLZMBx4v+9tDrK2SY9VqGaIqKa331VZB9rYtC/9Nyzt9vO/rjk33hoss
KTPvKwJu77SoGHj8ZqvZ48+rE7tAuFwAnjYvLD4B5AKJGaXLFND5T11wnzASiV0knOo8Mcoe8VfZ
BW8zkusUZaH73oaxC4RjhJACapWQC6gEmn/V2Mx2dzdyIXYBcI2oJFRkjfe1G0v5YMpKH0FD8/H2
xv6Z6xpLc92UV9ZVGtRrZEnDN7jZcGEmz6rxzUPG4ne2kuqYEXkhU8N3LGPHKfYfBotekqJCYLPk
aMaYgrE5tLLbiPvXjoJj6z7IJEw/FvJnIjyS4s6YHmJ77ZQqN2GXa0P8ZvAhbac2ET/nqgpoqofx
LxZTDfrSAO2jt1f1zzcUKLqdRY2GmJddLn+aTlYitWH2BTcT32d0CT8Em5wVa8M4Ni+HyAoOedHT
LBjEUUIwOoEiK2+zy+KhsnrfXBzTz2TcRV3RtC99nAWpYEx9mYXxbep5aBcuumHZEpX4swsDAe5/
V00ndTUNy0ifiI9YUAK8kYIxxt9wYb9aF34vXACE8d/PZwTXYN/64YlmcVxB39SPSI5WMj6UcDiJ
LdgX4ue6VE9dPuvuKU+abC5A2BEDP7KvOZXj30wnsp5Tv7OQizlkIhrZhiGuTd4J8Iu4jgwPZfaz
qgRUsKypzSVeqnzDsNY+fz1Cr8zcxD1tlTD0CWIxc7c3xdQF6Hoi/V35HqCn/vt9rYAg8oOaPvHY
402Tis4s6hNEWK2I00VA53VjG9cmcv3/q4n0fhzJkDT0SctoArNYbPcl+iRun/W1jzu+ATAlkOmi
o/yJLfUHtLiOJxQ5t/B1ax93nILpOzbIPmmB5fHiYEdxoJqHQvKg/HD71/85aYII+L9LQxdOoRYx
XtvAkFl6dy3N9aWfvZ1H8UElIbqA1VLWadzeJ2wPjn3HNxhG9NLNIvgnQgPJsSNV9Hh3l1DsQurC
YGnCLkHX1Nyb3P6V5ALEp4tpO/F4e8FWdsTljlNVkzSzJOTFFFSDGIIrkJ00gbqvhSB26eIMdCxn
HzSCLxGEWFO/hrpP5wXhPrK23rDrldvMRdYhzY7aysCDlwFN38ibtDGJdq3X9WfilVsiKb9Snn9w
nS6yLlbRGCL69qt0AiN6/gnplDY7YPe1alORsEBd+lFCue8rGJQmGx0AYVF+9UCacezwIFBd6z8i
Ja+yHYWE5z9yokrsczHEy2cSjF74lAfVECCwHKvuA6FzB4ge1BAUPo8SLNJPUC1oa2l3eQdBuQVF
ka7Ln0xOKwY0vbIBGigiknXzeOw5rdnR9q31jldmzXDjsKxcti6bnc3AZHgVdHzyUWRA9tHbla35
WIrgaxPcpa1F4t8o7fhQKWBC0EyrqN3xxR57i66W4BoS33fkHSdUQtqknKIMUK86MfRHP1B0ussi
j5sNJ7RmU44TYlEJQRQ2DC949MfqAIKRZn4cJzttZI/Wvu+4HCFH8P5BBOCpXwyaDqyd9/+HwG3l
6y60r4qNsRmf1belHD+PA9hiOg4Gu9trv3KCXFgfeBa7ZQQV21MWLOwM2tQItCu8OCtaHTy9iRRf
G8aJJAY0w7Gm9YZ/olY3yWHpPJuk8yLCsdrhfPHkHSWy/XJ7TmsLdv0Rr65jUXBYQ+yHTySLgvlB
JKIvd630GrNRyPizQBPKLU5k4bPZ4MYCE1iqYquEBuVmpXGNzVKHPNyH4QKVM9CzWq98FEltJnL0
IeaV0xOLho6ZJ47qByv3MN+iEiAnKUp+vG/y10V5NXkCcpgsqxVefgv7kA2A1EWQC9nd93EnFonL
KLRaSgGdvflvE+Fmqn2McN/HHTfQE0MVU7486xoKZT2ExFLAPza2bO1MOC4AhSzh0bZLTnaBp8wC
0LQgG74FJ177uuMA5trvas4Ye1I96LcQhy+ptXTDe61cpy78T1DTMDA86fNVDTCbfHK8yjt1elME
euXXu0R3ngxoVtuA/NPnI/jc5qaMyClh8bjc1xkZR47500UlY4SEzYno4W8INZYHntEPYDXZokxZ
WyPH5EkoA4/SDq3tFBxaqrTfhEQUHkX937cP59oAjsUr2SRTU5P6zIo+P/iB+GSkioAp21L4WduE
6/9f2W0elMUwoDHyPFsv2PtdC86iZKvXYe3jjt2SrCJyBuv8GaIYYCph/vQ42Hirhr+2No7hlkNP
jRIV+UfNYFrqq+gdjxLvS2eDLaDW2giO9TKTj2rRcXHuJ+Cb8ejHe6Lzx8SkHbX3DuIYMTEikWjK
z5AzG8GEifsQaYsJty0ekuntU7SyDy5+j7VZYtqYirNNer3vIdSwW3Bo7/u4m0uQSA4HdlJnhRj/
QCWyU+j3+3H74ys74CLxZt8uXi/n/GwIynA8Bw6MAgMESV2QJdweYm1xHBtWfGg0Q/fjmbUQG1TB
/G/bRvdhqGMXh0fCCPy1YC84/6rnEohYp0bGw26s/H9v//y1FXIM2A87b2Fg/jpDBuULCdgnwswM
BpJNvta1ARwjnqHTUzWD0ee5akQKpjQ0xwuoZVUKJ/X2HNa2wLFk2dO4KuuqPWsJXImoMYTJQKV0
39cdKy6ZBvJ3jsszhMnf/Vr9iaKwdN/HHeuV4KGYRj+qz/5sj4wuqA4Xeks7YmXpXeydKZbW+HMj
z4aWKjUCUXJWgXU78MY7E40u/A5Kh30A3pr63HcoMUi+vG3HTXq0lX11SerkIqVBO257Buk6AP2h
qfcLu48wPHahdX0mPFHnWBxrqg53L273K9VveHVAt/d2bfmv/391N/ZJZeNcDxLuf/yWW0qP16tx
8jdz42sDOLbbz3KJwnoqzrxA0IyOBJ/abD+AyehwewZrG+DYbq5I2+ZWgck0yPt9GQNf3NXT59sf
X/v1jtVyRLRxaCYszwy3zHk+75YeqHfQkW8l3Nd+v2O6rNSdVJ6QZ8EBns8hM1Pn98YPLh1djkZM
63FsL6nM3wxdAjsbj5+76+14e4FWfr2LmkPSHIpOhdZn1kBi0EiwQHbghf92++sry/8bZq7sIQs2
eMXZTPxIrk4H2KqHavv4r/18J3rm3KBMm133t0GpY6dhYfA/vWT3HU4XOQfNuaXDEwPft+oFmnZk
186br7q11bn+/5XtljLpGs8bmnM+j9+o8P+F+sawb8JNdsy11bn+/9UABPR4ULatce8KDa4ElPg7
v7iPqT4mjt0aYkFTOtLqTEOyhGlOGz1+DcHlTO5j6o1dWrlsFE1vDFxzaFtvF7M4fz8NSOLddzYd
u82hV8N5FcuzjJZ6zyw//rIvPAg+3DeAc+36icoJCintmQWICxUO0pm2/BnszVun8xr+/SHP62Ll
bBJMkw4AAgYXRp7OFhgXDlz18do4Vpuuf7hrIi5UDswCvudPeGKgT9vurRi+0WE8htvMHldr/dM8
HCsuQfUwwPXIM0T+3hgLUIp/vclmH9DCSizgOw6UHPe3Z7NiFIEbS1d8wAOeY1vy8aMO7IJ3xmbV
csWkXbCcKs0QVh7BTK5P1atEOLvWRTPW3NUMELtgud6EA9GWNWfrgTjk12WQ3KcCTmKXRU5DzD0C
8ZE4U6TwUlSNkbnHc/6+dXeuYhNHFV5huj5zn4VnP26SNyO/T9EYP92x5gwliKgxGQTMw7H8tfA5
DdkuNFvkF2vHxrFmkyXUFrNQZzMjTlRm0I9DnXX3HUoXIydBLIXSGRfnDLSz+Qx9gEJBSf72yq8c
yt8wcUsWgSs8b8AVPy87SIy8AzunSrdVa9YGcOwXDPFZIooEL0gBvJRs0feOniKVBkTeh2iKXWCc
PxdLIhCjYPlBQv/LU8eYyO0FWtlbly5uHstSzGAiR5J/VrtfPgH32Jf7Pn4d9NUlnLftMjZZ3Zzn
ejz82tqAbQbPayvvXMJ+GINpuSD6TIKuTGU5zfs5HD4OYlPKZeWOcYVRJagwOWgfcTLzqPhAwDB0
hDKnd1WFfDPoobzTAFz7jSJoII/XMKVCM13WLeJz3GzW8oPoF3bsD3eM79gvt8WIUAvPDH/i6jsw
CLr9aHBvfjFXzasDAd/ETzSSV82RgDH7sR/QQ5SlC1s4ZHKl7aAmNXJIpLEDmdq6SIEGaA+lwdqk
VdkgW0tsIsi+L4syOCBZSeTbYFFTe1ZWt+KR50ZwidQ3mWl+KPGLufwK7udmErs+Bm99Khr8xKNF
UyzZq3Aqih3xaVkcaZxXf0HDYoAkajQs7VFpSZ41ofKZdEqfe3QQ2yeLOPuEDqRy2snCqw5QEGsv
eH6O33xVFMshz5bgh69N8T4mfvhWT1mwnxMSfpgLtUBVMis/5mPjP5pQSoxGTLKzEMB5Z5rK81Ov
LatvlNZgKeaeFAcJyaijlWLxkeYF9i+YbfzIm9EeRxXJf5gU7AQdWj4+gOTsqsrXJ/xf0dVA2jHQ
9mKDQd36l4GeNlasyNA8JzPoKfaKAiC/IKUAApBONycVLdN3lufmKx5C7L0JEnaE1Ls5oJCNPWBM
oldthvptypsO8jk5uz6AUWV+Dxx5/kSv5XxwrUo0sAIFPOzqpGFh2leZ/ZQXTX4kJFwGFNuC+qnI
UFnNeO9New3lSIQ5JRnTPMS+07AuD4tm5RPpUK1O/bCJKTqAOnP0te7jFAo76n3e+mjg8JekPaJz
Yf7eocuGARgkSgSAgMIiwTDAO/Yt5FSQJdTTGz9Z0KRssml4q9qZnxjBE0wOSUj2IhbaPPQTp59B
NFGbfc6EefJpHVMgnMD886gTRb+pZkYjcz5OAT1mnjRfE6xC8IjHOaByoz/3P/yhbqOUe0XAn2TP
+s/CJN4F78p8z7usVU8Nm7q9DW1xkf0Q/JMHwZSfdSmWZl8rTaN9qMAw8wY4EVQ8/R49m1XkJf4x
r5vocWKe+Cm0NhezyPwtdGckGpfaqTnUqvaO4H7ITwWg958V+qXA2R4EiCusjepHbxhxVE21cJ4u
XMzBuc9D/tzPPg3f+wsK3+9KMbLuBNRiMD/qPMv+UV5wrX4nA+iuiOa9AncPnEU5JUDIcF3Z5zhB
nmjXqYz/pf0Bv8UDTYpKqxk4sv3cxXreEYGSy25ekuJdL2kACtKBDGjC8cf4pVl+9YXroqd7EC9o
P82GWbQnvwQKBMDyIXtm9UIFwG75QlJSiGE46BYFzz2dLfBNfSDq+FBFGW+ePQqFzWOel7Bt3hfB
fDYF8z/X6LbsD0TAHewGMePvsp4ATAi4IfgZGsb7we91Id9Xcy4zdFSZBpqgHSTcd0gSqv5RMshT
f6ATTlBkQeIM5ReAFpMxQ+K2RGgIcmlR8eZv68Fsdxyv1k7shhKi6Y9B3GbFM8QRAoPQd+j6fZ9F
Yf7BjxhIttCImRep6YJI7CXeuXIn22HAtmU9CEHA+WbjQ5xMcXNIUNvtHhgZsBY86kAIk2Wxnz/w
pQjqBwgldAooMlo/hJXuSYqOMPK4gBmyPXo6ijsgaprWf8CPHXSfQrhP0nGXUZaRv0opy3gHEuN8
TuMwFM3nuW7lIHfGVNGSsnqI6MGES9DsBHotE7P3/XJo/rKRLPHMJRk708SY9mMZIjGWWmmn4bH2
bRu8meapjYrUG6MKWO54mCE9yU1Opr2RxCMvuc6rCSiO2ZguZSJvkm8sUQ3eIL4HWqdvAk5vfJND
ItcA4FoxfpoKYJLmQxSPERvThQST9x3JVtzFMHNm7RsVBNBxz8tlok+g11X+dLAjaBfGlGD5x6O3
QOPjh0D9YPwp8rrQZ+T3K0VS61W27tMZ+G2DW8Pk7KMfQiHsIGe/Kx7LZa4hoCI6sZxosMzyQGTV
m10RJ21wHIOg5zvZzz3bg/LRsgt0XPq/hF2S5b0YNcCSeHCJPhVtvJidHD09HSI4WLvrSVnrPeBV
+fiOFbFsdn05Z+wUjDFdnn2w+e9UTkl+pEG7PBQxjsEPqL2a8WSTWZsjXjwZWC39ogK6dUCv05Ns
prDfD/UQxm2KlszOfxeAknz+UnW1NA9QOBLldEhk1vbv4pxr8MmZLhxxt3pt5j8BitQl/xaRJ8N3
WZYn7F+fcS/4UUJRWx5tluBajJekHB/AwMTsyStk0CywI7F0/8x5EuefkW0S9gg4Rz6jg7Yqbcrn
vDKfekqKTyhtzf7nIZFjFaSJqUjf4A0NPGG5Y6VJorSMBBNPeEvoGN3eeT3YnRSBtJ+ywMrmsezR
bjLtbQ24KmCgkwaPziBZUvzIE4kLJLZZ6e+AQyXxZzHZrD6APRtGn8251z74Y9T5aQm32O5nNdSf
gDfhEXpXRMEeqw5M8XuTVFP4kMOxzM9WV6p7EwcR+IVxYuuTUIFuW+Q1uakeQbSCZ6ZP/x9n39Yc
J851/YtUJUAIcQt9crdjOz4kcW6oeOyRAHEQ4vzrv8W830WGSbuf6pupTGqGRkJb+7T2Wrj5YkAu
TLlxxWRljFNi3Js6Zcxsp87phy+8o1DGBY8KmR6BaMzqGytG55fLrc/BlNxq3bzMWTbYkwtag3lD
+h5v4ufeDGGpCmNytzoXctjyRiBiimnaJxB4wIGFlHs0ymy5wrzaMhFJO7T5iBsEDOs73fXhfPLF
lL0pqCj6+wLYLLt1xl7Dh46qN1uejrN95a0ThF8g66DDNxbWoTNsigyySqcug2ThrvFsog89Kwu6
Exwch78Md+Zw27WzDVgMDY96arY5r4rhqAcvHP6uaOvd9kHZOV8SHGp5w4Gjf8UWjqm3TxOv9cad
YYD5eRHyGH8U+7xq5uBrCiY0890NSp1/zSmT07ckI8hDNkxI0t2LQZflBkOWbo28qiUmvM+hg1Dd
goikyR8N0Gzh1i2F3yUw1jIb97RwkqqLOSSJZ4wDFnmD963nRn9AZMsAqlypekpfGUo75mFSmjVR
R3g7/BQTR3TB/bBwJN6RBf1+SrmXP0mk0+aO81Kykx1d7kI7rehq84bRmPYvXwJl+lDIQgFm44AR
edhWTgtuL6O0D1VGcAvQ6ZDwugs3dl4uUpN2zL0Z+wZcBsaTY3jQDF2GnRnbKrzrUleAyCcfSzrd
8Bz4awiOVQEySj0O04/ECZoBZLbAbRcgvhz74K3VcwsnoepKtmCbCn3ImdKs6MSuUol/YqJk5MAy
PYrNpCvrbIsZ5CkbN3EU/AAHCzJG3sD4E6cuxmM0PAzmA/s+l1tBWcme6EITeme8ahzCjWyq6g24
xlDdeAXTjzbpVXVboB/OoePiDf6pG0Y9HaGGUogKFbMUXXnUAZPmXQN4ZeLCtaS5d4jnJT9rS3E6
LVfNsHVEDhIBN6z18+j3/hdJVNVXUVUj9jm1aoLTHUnmhnfESv80eDUrDh2Abu7ODVGZVptkKLKw
iCY0yHDR5LnO8y4ap5yJFtwq3ujtUtpNrIc2Hcjw1UbWWcFemRlK52XuFQF2DuMq2QOT4BI9GWya
/83yHmq0kTeXiYrz2kWcNJRuMO9xE080Cqoc84I0syHezg2I5Afw2Trk10CMFccAY2zHcTJo3kW6
gYJpDGG0HK6pc0eTiNiUCUQ2MEVEWTTTZvRfkGl6ya7NZpduA3Bg/yxEU8tfAjwloDmdEAZsJjGV
ZRNBIXB8hhRXah6KolH9R5F6jfh7qHmRfnV07xcRKO1FdhtaxXVc+a0ctykIqtQOsa0tXnnKfLXF
4KamHy4DzG8DHzjLL672LGrNNvHUnczwhSIxlk1zM1kXiCu3LObgyXU80bwJ5WXN1ks6zW4Yq6d2
J3Q1jTGroCL5xfUVHz5yg83eBI3pzFaXY9/vTTUU6YsVgSd3BjIgdkOh822/ixrO50AchUCI+32D
5APkRazZGZEiEt0z1o4/mwY++E322pM86pXg6Q5hfiufhy5k9aMXFO18CnVjMYejW0QkWFLCnnwE
/BSX10gQltAp6ZL94ATpUzIjbLxPXQ6TYhps7D862QojMB5beem2nFLxIQcHaEHXYBoonno9NV3k
MuRPO5CT+91zauBsYpm1tbgNse+zjLISCQVqe4Pae5Oq7a2Xz6bcqt6jsUN8+MfIhFMzbxmu7Dly
k37w9kMYyiLO2xK5KfWboYub0aoUPnfuiw23GUKtDsGKs7G+a+TJrzIQ4VUqH+iND3Dse+GIRZiS
tSTfkqGZnGiYSoR4DSL6eTv7Yf29mKFOv++QGJ9oPSBIBOx+hs3hEqI3OaY/nNuEduJlymrciqAA
0G0sdFEXJ44kfCdLBiUBJEX2DVQwjB1yx4ZNHsEDsm89qAX7u7Hl+ntIg1p9V8r3HoNeNBVykKq7
zdToJifHafi8awPW5/tCStwQQxGEMVMLqKaA6luzY329lM76sEK3CU+NzbRw2k3oEQEd01BkGxhG
CemGdkPwKASX+TbRJmAPCBpg0ZQpOGY22gBQKZ3hz2AkBEArFoyL+etUOWmOC7zxN6FMgnYTjios
n8EO5n+rvBaJSlUyOALmuD3ZycDt78Ts8WmDd0yf8sDYX5PDqoeupzW/R9Uv13cVwKrf4T87+2MQ
HWYyA6iyPeWlYdUe8bFsvhYEKlF31VwHGNjsU7AMqRLkEAuEscGNXCYe8iS0Z+cvkCfKhgN1JGTB
+4nPZGMsDNgwPaDml6ROnOAYVpt8nMtym6dwfT/amlflfZVwlDQ6pFbiDhpbdEtJPjVRgTF5BZnm
CThUFgj+3W2A5niD0YU2Hljt3ea1l30hoTuKLUTQXbKFlcE65xI4oX+8udg2ZBw+kmLxEklrQDfH
4Z8hY0BGlW4q8IGQTccsiHoAdO7ek3QRSUWdGJrHQjaOiApJ6wbvUumq2MoeWu5b4SCD6iqvA332
4FZOEUkHWgKPFtmbiGdv1t5uBEvpD9ov5R2PTbAql1h9Q8tlG+gk7XRqQ2puOtpnfZSUOULbxPN6
u6MDmGe3gPuq1xzkEh9ws7nZYDAXTWkkJ0i8dInr9yc0M9p8GwT9AEP3wzzyEFzdVEhG0hjVF9Zs
aUhbsbOkxXGy9QhPBYkT6+9yYJaXe9JRz7M/kQ7li5xohBp0BqtTJUCvHafpqMRugjnCGkcLmwT+
OPkAC+g4WBCXWhw51WBZfrAQGw2kQFbX4Kziz0GNMLqsG+82QRB0ClOLgYx8gNhb2EmDU+SQ4h5z
aHMQ51Ob3XPtB8kxIW5rNqzwYU6Ii6FJJL2Gv1U+zTqU6otZR40OcG2Gxez0hwF0lM7ewLFsITbq
IEfpC0MQ52ocSjZ2Fi8CAXk3mkJU7CTYZYq4dahtIg2cVLFPaqf/MSgP58Rt6rF4rkZQgG2kYJA8
kJwmqCAZMQZfhgllmmfDG34L2oYmO6ZKY6irS3sEvxBegbtKW5SXCndCua8UwP64wcSPuU2yTTFU
i9SVwPSlQM51QxLdMWSZFoUhYBucMlrO8rcJoeTGLSgSCxDt2GPXZ3wfAqX0uljJCUR17l3oocIT
Ae0Cml0thkZvKuLOJGbAz75R4PnGrShUWp4qcCjJGNMw9o7RBpRaIKjECH2eSJwJhIWuvWGq9kwM
UXS4lqqDnk4xYDdGW8xfENS7yabMB/Vdur38lmdGPyA6XDxJaPOXHBJ7B+hD9g8zRwnWENb7iAoU
oacceW+95UiWjnxMg+ZUws3CbSVer8HxQkoEzVUDz3wLkLn3BcxV3bMp5rKO1JTqdx1MzQdMJchu
1dSDeM9OyixfAUGdHEeqkJJO8ltXt9mbSfruKZcGAuK8JcMvU+LOjFolintLzNxjbIbJGJwMOI9V
57pgqBbF/OCGQ4BZD4XuJ6gTiiduUYktVBN+o6h9HPtQ4YtAnio5SFTpUDfJnWlbUlCgbqBMOv7U
lmQIfiodzHEqExDsQklmcXJdRu95HygSlSm1jxw9m1swn481vKOX3jFoqKSbOV9OJcdw9zYED0d5
9JCCoYwihl9qrMFWKRJUhHunrTY4MPyjrZO530gm7DZjUFgGnZRXx4myuCuAZUN5hWPM8lBTXBXC
enj2qHgNGaAMYXSYTGaOqZuj5jVP4ZDDCxAVDyFFUTDHJMRfQyr6O4o+967qYdNO2bkxbk+fx2Mh
q71wfP8E+xxedC2hd5c7fC4iH6XQb5C1t4+e4vaYhj0C+FLTdjO1Rf5TtGPxMU3p/HczDtkvipId
AjVcVHGeuDCpBOCs23/+83kax58izMe3YkhR2Z/YsK/nQd5g44NDH5huiHiTkTcw8VePlRtmm2HA
rbSZeIqaAZsQqm0qCAGX227MizsrPCUxVmDLo2Atqqi2DIePulbkJzgHupNESl0C/YfhMzZS9gJd
OrwPbLu30aC65gdXo6ExJg8yTCYVJnj0Td8fkZjw7ygV5MeOBPQbFuHv0ywY/3LrprijmGJTEQUj
9vOEOqV7yG2Y/GJIi3WU6kY/56ysvrKENj+SocKtgRhncYOem1ebdBJeHhk5BuGt1DqbxxjVMhjj
rGqSbSoHKWNkcEO3EHt1dRWNFIOlh7mfUa+0Uze/435K9o0XuCxGh6I7pQEGJmqcF3VPC9GKL0Wf
VwhiqBY9Om+ocZdhpR+1W/PmZDrefHSUy7iqfTCL8gTakpGLTssPlFpw+J0gQRq/MAA+QMbI5C8g
VuJfcU33D17AisU9uwgpQfKPmikJDcbOQyZOYUC7d5Td2291nXoK1Uk/2Ot5oCiCVQ42s0fVL056
BFb1MKliD6oDKfYCs/E3mNi1yabgIHaPRK3oiTRpyjdUYPIR1WSwCkFwFdsRLNNaST4jCx0aL9tP
bSjIThcACkQuqjHTzkOV6SkgqUeifoST2bTNiO7dHMKf4a/pIylpKGKMMmDDB5aHdxmgVHYD+pHx
CWc638EbtDcT6ADAai0S1NlKSMzhuq6QPQmfTH3MqKyRyCTZzwBdAg9nR8gXDiGPmzIHBRvIvnMD
DoQAHwk5WfEFHrhugY5zwgcjFp6Tom/9WOHqRQRAQEHnusPw2NOqP6Rg2t7DT7Odk4YYkDFcgBPV
nXHraa7aZ9B0AMs6ejV5pMDPHlBcRIEXN6r3N2rr7SvtO4SDo3BQd7W9nPc1KCpq4MMGXIVNbSbc
ASMvPPCc5mJAbaAYvqACa3bOFArMa49LvRgE/OYw9gRRv9QsfSorSHnGgHtk9xa1z7gVyHjB9t7E
S4RwA3XM3kdhjPi/YFx/C2NhBW4tRLHVPhz6XkxEbRtExGRfdiG2tCCBeEmSDF9bguNTRpCv1gn+
n1reUxkA2oGBAXqoM5tBMztE3S9TFOU9kEI8Y/gJgu0h6/bKcfIXyigLNxU1+hFrnv8GxQWRmP+U
qFY7HQwJXTPvvmsMAgAGR4OzwN3p78of7GOFgviNX8AfJMoVf3dc6nde6uFxiUgO+ArAXQUkPHCt
yCOBqlN9K1mBgFWSsG4eA5dXDXBl47SdBWTPUWdGHF0CJRH7Y0V2zCS4eTiltYnA2Q2oakMkNg3C
Wv7T5KI10hh03bqpKnZ6KPmvUvvuV5xllB80SdHewqs/hqZA8TT1Qoz7ZQTR6WR7DO63o/aHDR36
ZFPrEa7Y8w0+cSVD+Y0rjp6SQAvmXqReelJdwd6TICU/3aKV98K1qJ8EFGogLyPNvP7g2xY67W6C
GnACZtcH9KLVB0wII20eYsum505yIytUhb4WDko3oIh2Exr50BB2HxipulOBwmy7Ic5yUKyZs2Zf
+CWirWqAirepggy3p+vmGRpHPq6YyVh6H4IPut9VTmN3ZePbY6BL6Jwi2GiDG+S6qGhQ4tTfq5T0
agv0UoA4sDdPbT8GB+3mSCic0dLbsOGOONQFiIwngoNJa5rxiHZFFy6DS3n+s+mZuAlFioQqN5RC
2CXj7Lnrpvp1zBqOGdgQ89tOg+Q2zovaPJUCaNDQgG19jKC7G/abhHN6LAkmICcQbL3lQKq8SZ+1
82a0rnqcUUau9zmYHLYsRIfvaUbCfo/uR7KH98WVIKAlaU8gCwzaIzzzcK/sUG4T1PMrzAUIkmwk
lCzDiAEPwyPISzU6TlvmZDGUk0S9pdyZ3vshbL5iINndCsurn5WtVL8tEFltKTLcR2DDxR1HuPOF
VWkF0nza+ZsSOU6FfMxFag/53eJ+7lPlbTJD5lMw5/BidZOgU2Z8SEQaiVpn6LRmjBvXc7+6ddps
XRCEP9mxhqSZLZbEHJZfYejUR6LmEpX/7MfF7enUolyIohf/lVcsvZvRHfc28GK53HCoKv4lM8Sr
BBoVzTZUfv4N3RdkF7LPEPuOAeQdUuSCwxaInXzHVUXedNXZdhtSj81RLX2gGKqh925ngeJp5Etv
5DtHKr6vPD2/NxTn/UDA9pBFxgEtJnQ7mRORAAo4OwHnfmfAf5dv3alFkASfglJEURbZQeRZ9sMl
vPoLAo1FE0MDRu6SxjN0MyVV0J26ca5f8w7/jpgpvfunS4pASz1XGFuDEwVWliDy7++ClNffXYl6
hQqFPUCqC1qVA+P6gKOGZG+p02NIKS/dtyaEHO5mDPrA7vSY5ulWBZggjVKkNRiPZuIHEYnHDn3v
Vfmh8H1kAARcuYtqcgImsbpUbvpIEuaiL4N+E+Yqa1BCRGZyFK61gj6yAkqHEaCq+rGf8XIeQeUx
an2O9kPv5PM7JM30cO/OCX2kmVN8p8hVn/wgsN9qUosuUoFQBLjTjMxRuvgftL711uI+0Rtqx26P
po19GWhp9o1fo7sABTb8kSDa1vU4vbLeddSXSqLlFdm0nW4KgDl+uvjIj56e0PFl0qtO/Qhvv0lH
COEgokRzHxV0fEbj93c1AmADkN8/jYB8rGbvp8xwY4PKN+v+RvBk5K9qTOWu5dQl+zwDeflI0umv
YTYt21a50ydZZLlgh7Y3wYx4LSTlmw3Uz8TpynAve7xwXRXkEan+jJR0KlCAMIPOF0+UbJGL1d/l
XKRwsGGHxrQJ+uJpSn17cGymXlGeNk+4TuTPmjvoiKLPpj5AxIO8wAaZ9uIU7cL7qi3ppkOizV7R
sp+OaLVXJALMrofcumehxUQ0YDo6SkaevwhJzaFILIp1fCDDcLCZA9YBhawlsj0G7g/V5ML1gYbA
bORoTX2wNRhjNmMHUkEUtcMUtNyWA7wSSjre9yBVzr8U0MnKnonynWGPRqh+ZEoa8aQmgoZh0Tn6
e55pHEgExWAIGlrS0pMLijZ/gzaR+0WnimU3wdwn3Q88wmkP3hTIGX0ZCqgG9RMtvgVtOb6XQV7G
pOaZ3CbVgC5TqGgS3qES45Zx2Hbu93KeqX6tUDqqDmGdzemGTDN6xzDpatgjb0I9BhXyVN6FTOM+
QdaJ1n+oJnC3R/WM0/gAoEX36kNxATBBFGlZdwGW/me8F18zWLm05FPddfL/Jp4WGaDDTGbvKigT
X7NXibypuOMl1TFHoXxn5uUWUgGu2gvP/zPmi68JrNxE18lCr/B/qN/UM35s3PbJmRi9amCIryms
usIfeoNizrHyALI7TQA9UJQxACcqr/wCy9p+A8VV8KQCCVh1nAgmwpYlgOPnktzvuc+7/P1vD0+Z
GUnBsEEsS+/h2Gz0PyA1l5HB/+LI+Fq6EdFfGiLfAY7MB4Oea1TZwoeNzt5VXlVgaG5UiOYC5CCl
lzJ+FUKRhyvwLE1HhPyjKICbBefaUPE6DvQlfchzB2qNvXMswGFZJY9wDDwGAu0Vd85DC0HSqwCo
fK3cyJHiuS4m5o4YF+VfwWA2bcFI7P1NkvCSmNiZNazJqNAf6D20EjHGCzL4CIH+K3cb/3+hgzhz
qtZ8VNDEWdptAYyCIdF94aTP2FeHzNWFGdU/Ay25WIFoXVNAIrwJnBOF8Kh3oOi6Fg7AXhNypBKS
HRM0bqYZYMTPYannNmwFg0edHAlsAKg9Yqf7aZkX6+bs8X8YrDv3A8vf/2aFdCCdzzghN2wC88fA
VIkY0ryBKri7cgkrOwcVmNTc10Dyo9FRQckkLeNeduHtmFX6+fNtOvfVVwBbhphc5pXURzcc+VFY
jTB65F3QXTCNc199ZdgyR7+PtwwVLZ9EDJ83poMEUMagIA4vsv98Fee+xcrCKwTEZhoBXjdODTSL
B5fYPEwDanHBZrbITC7h2M/90AplK7sCKghjUR0prknEVuUrGCtghhcH+s58jzXJVNV6/qgcCeea
zLh+l1maovA+rtqmNcEU+szKMaTEPQUUPrJakCqP46+suTgr6Cz78AfvsaaYMiz3DEvKHt5D/pR+
es/8Z1nQvwEjeALO81UadYDI268Z0q3XrWll57yXDvjFMXaRhlW/WSaAC+ASDz1umwtmeO6TrAw9
7xwARNuixwxeghDEDXKUrZWk7uHzFZx7/vL3v18kieZoQDoLz2C37Yh9q9zygls9c1zXBE7osCSO
aTLvNFnhPkDrsOlPFE0eFIlbHxWlzxdwxsaDlY0LV5VqzDz3lCuH7gB6kj46X+7QjF9bU1fg+g9o
VV+ayzu3ppWtQ07PL11QBZ4mDyMBuazU1wThYdMm/VWEMTxYGblJUpCHtA0OsZt48QRrjJRu3z7f
rPDPFrKmdOJIa0ntp+2xCxvQTYwb64p3SbzHIZQHBpVAlHiO+lpZCr5meQJeZbITq9rjEGqNPiir
Y6IvER+cObp85dOBokzm0E7t0QqMHxsU1zY6vzh6f+42Wes1dqrLBh6k3RFNJ9TJq+wdrd6nZbM6
lfeoihbfgIw8BKLcl82VydOa4Ik1nQekmoviltAtpvFBmAKYwSXZo2Vn/nBB8pWxo6YUliQZsaR5
uEs6EKnJEpGDCcwXZKXQiLw4/3kmkF/rNxZj3WnpYx0Ld1CHGWiQF3Tbojc3iyjeiLwnmMjr54f6
3DlY3QAc3WxKaqc9snR6MZgt2bTTlYTk/D9ijpyngZeW3VGMYGNxu+ZNe5gr+PzNz9wmfGXrkvKE
AMTdHfMAcnDAE8WJdWQ8JhfnMc/8wprDSbI2DElrpltGl5AhAyPX1IE/KMhQTfl8EWcu4DWLE7W4
r0wJ8lQTgppQBAUaowW2inV3QXElQwhfMznxjGgo/Qb4FRiiAOJs4zBUMj9fwpkTtBZvBAqKVoB3
2mPB+DN3siZGz/o6EgAgZv/tYXPg5rhmnj0OKsWQhwi/eZdjnnPfd1nRb+67GpKs94iA99MQLcPY
dQJsQZVGOh+vY8vl/ipINyCF7oyZ7FHqPNhUCVrdSyB13c6vbDe1pEQTSLdHqaCzh8r7K7k8RH9u
c1bOWkDwk7MQ0qgdKgjG08l2EamDMLm5EP6dOzcr+x2U+P+734n0vQKQJFbexQTszMPXnE1yweMk
pcIVGo76FjRIrzYP2YV9P7M1/9FRRDmz0zN6YYkHv6YGtPMkrrZruVj5mrfJBGVZJxMOppz1s6X1
dJPUxTfHCex1cRJbhd4UiFw7CG2PdF6E1TgwjfXyia86l2vaJnAPEYzU5IgtOvmTIw+O0V6wF679
c192ZbQNqo4Z4Tr9gHQN4B2K3tsqMVe++cpcAafn81IiPlUVDj84AVO/jQD1Y8+f78y5k7OyWCrA
P8n45J0KVTVxsfDETxOomsZJvV/3CyuzZWjGBE1pvBOdLctikMYPJs59sBQAoASh1QvFgXNfYWW8
k54kCKwG99TlgDoBbPT6Pwz2nnn4mrhJAFJDS7RvJbrBVN8A2YRBFXQ7Mcrw+Sb9M3v/h1huzdvU
cGH6tnfRoM6Vehxrk0cZ+HcX5YLZKo2CcnrQhRYx5tkM+k/w96YfLlwf55a3Cr39fBRBDhVNCbi0
bYfTLLIsxfgZytofn6/vTKi6JncSPWmIVQE20HcCfaN98t549Tc/nXmM2bofhedeYGs/E7+sRRN7
Da2qCghEoCc6QWPVljpq0da5oYV/SwGouLBnZwzHW/byN1ctaZPzznE6oCoWNKEp9VEL5wUysNPu
8z0791VWps/6pHdGV+MX4CnquAPv9AYA8euYzoBz/PcCwA/eTiMGXGTUSEwypUCZbGnjXNkXWask
YvgQiP2W4e1lM74Y1U2bNusu7c253V9ZO+CQYIUcfTw9LLovSmHEhVbT3Yj6zfaq3V+TPWXQjhpk
CCqICBpGXrM1mAtuHzF5hGH2C47jzCLWjE8FQWsizQBginLGb3wH/UFoq+jt6LrkOre61kpsbSsC
x7T4iQTEdodspubJaMzdfb5J51aw8tolwwA0RXdCgSSsZxD9IeDld4n/MTuAL33+G2fMwF1++zdD
04LMAgNBgYpap/0x5pZ8URIooeuevjLjruqblrAGT0ep5r3LiL/3ZCmu3J+VCVcA/AI1JvB04OiD
qFQIEGyRA4IgkUQ4V+7QypKTAV02TNtgNsAf9XhLOu4/eDPEaK/bopUDt7IAtieoBRbhAE4mgPCL
CuUDl3Hd81e2LDrRiKHyXBwi2/OtmoSJltHYCw7hzPlZEz9NpYcpEkwSA/qlwE1Ah/wZZcvrZOkB
qfr36QytwdArDfDyXun+Ajyl2EAH6xLR6xn7claOOfcxOV00Nd6dGSg8Sgr+qlQ2N4tDuxB5nNue
lQmPaATWwC/j8NTNDOi6A0GkZAYa8aqPuyZ5QnWKpsZbLqBgRliZJgKsxKCkufD25zZobb60qUgr
neRd5QUGLjCgF+mOAEasACT4fAXnfmJtw52F4J/nJ+96AuNc4CTZLpiqbM8ApL/OwtbSiJ4BDLrr
KCzMtfqh9jwfkxxjdiFSOfeFV/Zr0gmMu26DQ+RRcVvoDjNVMwkvbM+ZyO6feutv17MHykhM1HR4
+hKvFr79Ii07dQRVi2Eu9wV39p9/hzPLWNM+yXbuwlb+c1ODWhy4qFHtuQUs/vPHn/nM/yF+SrWm
OZ3gylxwht3STGNGJVDVzreXyOPP/cTKmoXbEicvuwGEZ3AGXcJ+UgziRLNtrxOP52vmp4BlvRDL
wGfEKxxUwAhzTGUmdf34+Sad+wbLyn772HIIIBTPaPIO4onnIcPAC4Z9i6v0HDld2XKZ97OfAiQJ
P0AQY1EJOF3kYr7+Uki6XGl/yLHoypJB7Nv2VVkzMFunh0pNUdGV3yg0DrRxv3++Qed+wv33BgkZ
DKAxVFgD0PNm08nwAWxf7S8gV93tYIh/FbUdpyubZrYXYH+Z8DvUU/kG1RO6BWrgkvL8ue+8csmg
IHAGZpYrwzaAiEyEd9t6Yfr5fJf+/Hh/jSkzS9fbR4/t6AKePcUQ4lOvmIockgt30rnnr5yyOwGk
bmuN19cZDKysB73NO0AFPn/9P9uxvwaVAU1oAZiZGGpVDX8AUDB/KfK69bYAwk7pVdcdtNL/fZLS
BDEuZieG4zAx+ysHr5KNG1tOFw7quTWsLDlX4GgSFhM9KWi6bgfb/XCHlOyIfx2FoR8u3+a3qyLP
WjQQ5sLFBBfGgoGCnWICTp4LAKBzr78yZYgpcqVRqviHmFJU6HolfnfnjWAIu+4brw05rMe+RAZ+
RFkESN0Zeh9AW4OkPuNqevr8N84d05UR42MmISY4+mMBUChojgJM94Mp7rqHr0y4yluPN+XUH2XC
H0EFQFHbuaQld2b31wAy0Sn0PrIx2dnaA/NWrcU+pdmjn4HQ/PO3//M96q8BZBNmQVXnuPiFdNhB
vvDWoNzs+qhVKP/x859YLoP/egNMHP77gFa8n4lnMWIFkHh6aNz8nsv6tiz67UILYZpg18zX9UV8
sTJmH+Rvhrgpfsupsm3TimcM0Ow+X8eZUyRWlhwUoJaC7B7kHCXGlDahBs2XyccLTvncp16ZMaan
UUoFwxgGoXlaRpiYPnBELZHvXdJFXfb7T99hbcpda+cWMg0K89IYpGH9gVC9M3n+CCK4m8z628/3
6dxKVhZt/Tpz22rASsiIrqyfgWAvN4zHIMK4TvjAX8sUlkXZ12yoyPsklvHyGioLLTGXgMDnVrAy
aVPUbsWaeRHuLGa6TcrB7lVvyeMAup/PN+nMYVpDxoBB9IoRI+/4GLVPt37Yoz2oCvfCaTpjc2vQ
WKFtqag74vHGAX7ABe9vmn6VVB0wqOqDOhHD3eCJuG4tKwPvTKNz2br4Mely9gK0wrTDzO4lQukz
53YtTwh3mYLiqifvbBxJBOrGbgd8lNkPcnihqnEfHORyn6/k3E8tB+I3X+pD3NSnc4gPj/kY+vIP
P38r1bjBaKsb972pQJ4y1BcM5dyvrUze49DFmfSiDztP2YFN8qfiORhnssfRBVMZra+qTfprQJmS
fTsMlcllRCv6AWmkHojwK8uG/hpIRqdiVPgHnt6CBjcO56SOHXYplTvjn4KV6+Y6YUHrEwW5Rw5S
srYAjI8piAqhEWCgyZBjdunzb3/OIldGD+oDxkDKKT9kB31fleO2AlsUQRfwquevMWTpaIXJLXOO
ucrujQsCbujnXJJkPHNjrQFjYFbxbJNJ9YEqXLKvuyJDe0vwXWiG4DorX8PGUorxH7CH9sdhEPaY
CDXf1QM6gJ/vzrkFrBx3QhjBWMeoPkDZ1Mdge/E3Uw3Flsa/JHty5kr8D0TM0M7zJtxUaPH538vM
i5Oqv5u9/ldogufWL785Bfv4fDVnztIaMDYH7lKo4fIDFDLmBjdu+lR5pboQUJ17+sqRg4GtTjB+
Cgs2dUqNBEeMnOswmhMS8qvK9RjL+/dNCLZaDmqZnh4xnf3/OLuyZklRbvuLjHAA1Nec82SdGk6N
3S9GV1e2AyqiIuqvv8u6L6eoIv3C14xIENgbNpu117rpHjSrI0ouN7qC4dQIz4auSacJyoHzvCdl
j1wQQ9Jy2+QbjiwHGYHjGGltvAqosw7j/KOTopz7cesWQzWRYVEZOmCZ8kF4h8fq8g04wYByFGGA
AmaPLYQz27pZrPjVSaQKcGpmpC7uHcRP97nmp4TGKAEevW0JdWoiw9wi1qmo+/r+/xpJYNE6opK2
Pjz+fouNmtAwF1SjCDVVcZctlKlQM47H/A6V89taXxbn1exEngsCzMCt72CjKFHHGkwfgHSrVwJ9
2xIvY3rVepeBZMsvhPdUual/WHJXCVSJR63W0jKWQ82Ehvk80G2fRvzez0m0a5GkubWM3FjiDe9j
kBSvZSltAzGcmIEQqSGSe09pByNCsSp0HGdQ4Ld6DUNq68HwZOJJjeyY4z4pf6qPKHGfL2kQPNEY
VBuPl9rWg+HNjhjAhxGW5V0UyXMfg+sVRG3/QVqkOj7uwGKpJl5sYqCeAX2muOPSIv6p+imQ53BC
gf1K+5YBmJAxUChFNIU28r1KIAKRC/gZ6hcTEI/IaluAZ4LGwIsNIsuxA1+nEOd5bJPj//CqESzH
yh/ujSZijHtl68+MjE8CgGdxCgQe6ItdGRCUT+1SjvqBJ/Dp6vkFRQugk9npYWGzDEBY3oIw18vB
Znz00r7jFKREUVPhT3meQvdnAJm9/GdQvJnfUryf47UcpeAAfLLK/ZaC9wBl5WVFg+bgxX7l/JXP
4LTyVem8FK6s+Tdwv/UeqnoQDmZnn4PDFrgaMK3RCFTIXkzdXQU9oObTQnGj4l3V9qAM7ds49FaS
YzbTWZb81UYxqWks47n1nvKqfGEj0NpdrT9vM0tjEwLj8RiLqeP3zonBWEEGAgqyoshYtpK3stml
EUWovOjAAyPqe14qus9jz38PtvJp14uOrtilrQtj/wEFOYTIndqDhIVixymgC0+VR5pnGMfGh09K
jC2I9uBATyd3uM8RTUAan3wBCWW+svvYVtjYfcAbOjBBQSymlAbPLPCM9YhyuMdLbJkeE+y20Om7
9VB5P59JZIDKLgZmviIs1q4cP5/e/+C6JtgtAEeeW4GbBgybMKIPMo/fu9nonoqyf5ZpDvwnnOUQ
SPB4DLQBz5+c0yvIEWbQwWXv6grjdQcH1LggFvFKdggG+tKVw/TkUQgyb5sFI3sAUtY5giEO9xFS
ObtmBM+xnw0plAKyfAWZYJto83LBgnYQjqruBPUC4L5gu8KFqnQYIJ29bRBLz692gtGbxraBwt69
DKoUfPHYe5w5Y09DF651YQkaTBxcVEFzwCmFuKuhHG80rW/U8aNbCPYsCFUADvF4JBaL/3kKvBpJ
BKxdKFJEz0gZvE+Wayq4rjdmikwoHDhdGuinDMMdBBWon6EV1OT9jYKr1ETCkbYnwxC76g5Gm2ZP
ehQyFkUNusFo234WGLsB6Dek40aJujeBDoBQGN+WkAHdT7XaeI83wXBJRUBOLn0Etigk/uzUof81
rjLs/w4pAWZ6vMSWvJMJh4s4SrYhGiPuPMHTKUsgDJlNFXvCmzZow1j/MR5Bpfa4L4s5mbg44kTK
TT1Z3UfSRrcG2Dt3jxALog3b2jdde0gp9SEycm8nqHSCLTEb/52LJlipkbLsHCYmzm3joID+Sn0f
veCWZUl5quv4R+bjnHz8/bYOlnl75W7EFzUgwGV953nyg8QQN2MDSLg3pyJ845jPB5dAwbqr7kVE
6zMFP8Q1HaCH8fjzbctrnPAeVEk4BLyqO8iIQhB1DvVxhCrK4XHr8Z8jT9842rsESg5gepyeIlfj
8GqAnQe+smpB+Va8gD3wOsyfwBe9crO3jcXw7ilD+bGq+/aeg1h71+T533UXfHo8EkvbJjauc0MO
pgYsM63rlzDgPyIW/njctMWCTGBcHgWQigeR3j2EYMdPYCirOu9cDqvlj7YejBMaWQ08EbZ5e68g
XwDucTxhD20OivLpn8dDsBxtpvphKmQ7ISBs7+6Qv8sUeaG6fwsG0a8O3aaUR014XBQJqPLkvrwH
IVTEfZAT4a5BN55rpgAiHlAh6zDO6u57vv+V8Xj6MKeT/Ph4emzzb7jwiHpQEqdU3vNB5wew632J
QwLRqiRdg6FYHM3ExQEr5dUNToO7kzkXnHHfyrK7IHZ5Vp26zFT8GIP+f8Bn2bzB8Ot5bho2JdDk
4mExvpsbN6Y7mesmWwmsbe0bnszAdTSKScm7iLvm2OH83HPPiVa2bEvrJj4OvL/NHLWpwD4BhkIC
O+WgeEdJzLavNwFy0A4Ar1tS1HeBo8YHTdmOCnCCPbYl28cbviyhXgoRi356ystFayd3vsgWVKOP
G7cYqomKAxHYXOAhsL7PIAmGAouD2h1d/oukO1npwfb5S8+vjsu+qwWH2JW8j7wXl2TmLy20GrYd
ACYuLl3kAIQccCMeUY2g4rg+OwXUhh5Pju3TDS/GBXJ0QT4m79CLq7+PRR2Xu0Ahsb6tef/XmdEF
K9yibes7BC4+q6xUt84rnG2JDhMFN0EtKQz8sb+jptvfhYqLc9y3zsaZMdwVup99OmWhvE8eveue
QOltDUDz51CX/AaAc+QUQlBR3sEs/ZcizdPyBN65w4dQNO+5k69Yjq0bI1vvgva/xzks76BNTvcs
I1952X9zWQs8OR8+QNzruGWViYmIk7Oi4wBdp3wHet4f0FcEhWUzaLA7bmvfCKejDJlKB7TIJx6A
FjWivXsKcjAAbmvd8F6/alUcTmFzRyravbVdWT2LjHiHba0vjvdqbxhz6WqqaHlHFN10u4Ep6D+5
Rb8NaEdMkjXFQ8gqQMbjHnUgRHyuXM26G7RX+Idt3294cDJDmrIRSXgCQWp3ZCJT53XSD5uFGkeu
ZvMwdt7k31gNFqG8PCXg4Mh5+52F3r7R7nnbGAxXLrxSQAvI6e5lHoK7Xceok96LaSHH3dTBb4g4
AlkxUUuoJU3kzvvwBzLLa8+SFuoSNPWrBYlwGGaf4uvpIP7ufep+50UIRbEetYARpfOtgFjLmTn/
DFrwU1Ckf28b1LJoryzXK0fIuFAEeHHo+KcEMkpX1arPjxv/c3BNTEicoNC7iCvG77kA+HEEzfAO
JHpg4kndd15crHGkLD78e6qRmOi4RYR04GGO460SBMp/5C6hqHEAL72/svS2Hgz/diA0O/ZQCrxX
UNks9iFoPZ/i2XP6XVg0auXd21IfTCLjmC6mmdZBSlCiO0Dw0Tk3ddtFn0cVCfYNWNWGnwaFi+L8
tZEl9M12yMolfok4p2nBpZw2IZLEL6MDWvU1qinbuI19wR9TDvkRvARANo1BXSh+diPV7Z1hbWOz
WYixN4BBH/z4kIK5c1C0RJ/DDgDZZB+ChSD/lqZ4Q0/4VOtPj83RNhpjh5COJsCliekp6cAElYKe
G9J84Gpi9ZfHHSzm8AdDNJF1kBZlAcRUcNNzS29f5EN69ED59rhxy1T9hqsDr8SiINbhWT7wFh5n
kGwegK0f+YFL4bmHPk7974/7sg3E2BUipGnqeMRWJ11An2SRwbzEtuclYoLqakiwdHEw9Hen7Tsw
fUATqjpBF6Jzjtu+fln/V3uarGThT16NdW6A69aJ/sxAf7yyFVhOs9DYCvAGGI0lg36pnth18qq9
8AYcm+yTzML3I2SWVvqxGKuJnAMk16MNOC9Pi2zCCcyp/d4lI8MrRfbj8TTZejCcGwUgQZIKGp8q
od9KDxRJXVd8qsdi7WpvsyLDuSdgDYZYDh7I1cWXbkaVxubbJAkNZ0Z5CTbBEF+fNn10rryue0ur
1Xy+5dNNxBwHLHkSYzTdwLjWvkFULV7wONmthCoWVzYhc9xhhe7HOT7xpm4g35EHiNxJBkz3WAFh
qta2DIutmri5SsS43NB+AmVMn0Dzy9f9Ox2T7GsHjmO5m4IJogqZX0z/PrYo27iW3185HkuiSSYK
lK0ppBRuFcsgFNUUTvK3Ww0B6PdZs2K6tuUxPVy4IDBJA+/m4yqSMD3v6x66BY9HYWt8+f3VKDrm
ERAO9OQWdY63Qyj/JWnD99vaNo54pkdInE5ecppcz7+AKbw4Q6rkn8eNWxzaBM7xNHfzrGLNExlq
hcenYHZuum6hsxWUYXV/3IltdkynhiD1GONd68RnD3LuOV65oHW0Nve2IRhePXVaeQ0QdFCfraCS
6tHbhMDuBP72l02fb2LoEsgx6KRrkhzsdgiykIkthuLrKKnq1riCLF5gsqtVeU6aelDurZIaehW0
yI94ih0W5apkF4xQAd82lMXrX9kpaNuSoOz96BS1oA6Rc6lONIvXrrSWlTBRdKDg98KgTaabKPz/
8hTUHi4jx3IEeObx59s6WH5/9fkQfuyTUBaQgUfGdA9JtRedILbcHI1Rw49zJ2gQSFbklrSOPvsD
qtLTdg3Sa/t6w5GbHmLyqggiCKeHI0odash0ljVIudiw8T2cUOOAdjrwlJYN1Ft2YAt/P2iOYl+w
9q3Mv81MDUdOIMgHMgCZnisdvU8HIEkRyESkOEJM7fR4iS17BTW8GYXiLRR+eucU5ahGh3RpC9ms
OIDo2qb2TfwcwV0HqpKteiMheHWArvQLgM9rAZjl8DTBc0nq5A3ypuoNRNObZyaAN/fLxZBQYJCC
9BFqoOFGOkNiwuhcP0/iLJtQ/JaViJNGgLmAIGu/b5sn41x2ac8hV9SgdSDzo2sAxpv9qNI1zm6L
L5jMaxEYgCDNUUHRLh+nEwSDoZPm9/Qt2CC647YRGL7sl00R9C0JbszvsHWP0Iqp57ULie37DV9m
eaL6onKTE4QXev7MiFTtMdJ16b11Rw01ycdjsHVjuDNJJuqGEJJ6kpmEQBIAQDpKdw1pVvIHf35J
Q8XIrxsqS5IshboJVlnLBpopHrDtpJ/+UUX7XWvyskxYA2IIoINWcs/+8ul/uPASw8GB04GuR5PO
Nz+BWi/QlUU79JCmSyA56SQ5ZLijNIDSHUR7pn+rbobwXKcm8K4LSiH0Bj2z0v2oPAgd3YMkpPQ4
lP04vXNjbxY/EGdAPoyrJUQWTQ+igGqO6wSU9lKOh7LUWfk8tGzYRj5BTExc5UjkXniW4MYFC2ZQ
dj/AadYYOiyrb+LhBKQRA38O87NypUB+UoUEZdkH0MN7JXDFYJb577GZWTbdwAgLEqgHQhrIcU5K
hJ+6lF0XMZTHTVu2RJPhDZg86kVQ/TlHEJ85dhDHQR43FAddAJhYtbgkBWJeq862jWOZyFfxQRrg
+sCgaXeSfcnOkAgTn+JS6pfHQ7G1vvz+qvXcSyI6prFzmgRUBasYx4azSspvW2tjQyFxn/tKU5x7
A9Se/FD89ZNfV3Zrb0u2rze2Et3ODVSDsMZV3tODLHB/JClZqQ+1rbKxj0BVrc/6OXROS/0m8n9v
Uk1Qvl7+lTjVYSyGlc3DNknG3iEzyFiOHoIDF5jtPcnZG7a8NS/UR5uW2AS05c4YQS85q28IO6YD
r8D1miBH87hxy9ebQDbedi72Vu2cuj75oevYg7Jj8Dd0bTe+NpjotYi5EKcdQihkdhDYTjSiV6C1
Vo4K29cbAYFup7Tx0so5JRyJeT6MH1JnxmvDKFYQ3hYDNcFrGgK9KDWJq1uy8PgQBzK8leJrVwdb
64bzRh0dQOUjq1skgKWNUnDJp1Px6fHKLnPwhzPtN9Qad5wygNrWSQfj5yU15joRGJrpYdG+eNyF
7fsN983DFPzVacjPKgDX644zGuefG8o12Tj9hgvrKAMZmtbVzYVq4c7tarJbqny2fb3huDz0XYBc
huoGHRtxdvPePWYoEtvUuIlWU3jkj6TbQHguRwnX97SlkMxNnW2vXSZgLcpaL4BQa3UjbVG8hUax
c6UohD5s+3bj5JU06roqhCqvjMGzS6qyfeNNQ7oJAUxMpBrK8oo5CoLqxlDNtlcecvITiiOPnrv6
CmnZFkykGukSPdExqM+dB7OpQghZaCjG9hA13j2eIkuMaqLVNO2aHDVuy8ElvoAMKL0A3RFBnB1S
BkAghzsvC7tLoFi899p2rRjEcqJ5xnkMtXPad8MocNX1zi5OM6hpnhYREAfhkQNIxuPBWdzahLKJ
ck50IWZxRpky21fuPB2xD648/9gaN1w6Ealbhx6KrKC3+VE1vt63bFzLBdgaN1wa0td4hxs9KKBP
SOVFXvgDwrPb4EHEBK25Kba3yZ+rWyUmsZ+gtH4MvOjH4zm3mKyJWPNFmjuOhkfnSS52iuH89cMg
3FFUyB62dWG4daehgeSHkQBfDHIAKW8ayD+qjyA6XisSsdinCV5jdVaWbIrFmYEZxSVwBYiOLvhH
wvUh0xufJ91lDl/FvCDLAN9HJeanqkdAlGTYN9xk2nbtMBFslYQIuvT5/NQR9iLqvN85ySobl8U+
TVY3jizSjIttc9YqeYZksNgF/UZCF+Iap3HlZzTrEUicWQatjUXtIZtXs5y2LzfctlMtGL9B/XjV
Mepg1QRihJKztQImS6ziGn7Lqh4CqlGcX5OoeSNxt1dD/YU30cUL5TbSxMDEsUV1PXLP080ZGrJf
9IhIV8zQbA3zbaJAgakPymntuVVKsLhl8c5dXuTbrZYTmKg1iA8ngIXG8uY3nTpxt4H0rBxW7sN/
nv7A5G+rIMedT0XYPmnlivSc5B2iuSTrKl1f2zpVXXt1aNOrFWadP9tSEBv+y+JhFj3gGE+Kj5N/
wV4XIQ3GeeAdH+90tg6W319tEAASIvgdwwYZnFrtXAaZWaAKP21r3DiEJ9AjJvnsw45mcOnwGZvD
Vow9FOF//XKo+UaSyaq96REiTJPLX6qllmXblxs+DCgkgkTHlTcRR+SUpl76pfWHcuVgtxmR6cPa
j8rGmdub0AhQJhcXPpRjxm61j5d7/aYhmNg1kkKMemyhc84RtJ+rEWJLVdWv1Zn/+fwKTPAaj3iC
MuQmvy5bxMJz3rFPedlepzS4t+5a/tRinSaZWxpQlDq0bXvrJhgQpJvTd02/SiH950Ai+A2rNouC
Dm3W4laDWnmOCr5qqUFFFvXb4yWwdWB4Lxl6WCmez26kd3zE7jxlZ7fN0h9ZNpYrKQ9bH4YDkx7s
vzhn8iuZk/QgouzdQh8hWfHyeAy2hTZ8OCJlreJ8RAQxdM8aoLiddoMnUCEdhyp+7tO13JBtqU13
JqGf4kmqvSVEsqMmffKuLwHsX3Fo2zQZDu23IQiRYtXeXCLeg2ey33Vj/GXIkEd4PE+27zd8Og/9
KMnjur3JCMF6jZqoNi7m86bGTZSZUKILxyTAXjcACsoTwIBB5FF4awgny8ebQDM8hdN2CIruxgun
qXfMz/JTP0uAHbd9/2Jcr04ZCAspzRM1P+UCz0UyLF+iKZ9W6q0tu6kJLqtCiF15PbzMHelLokOQ
S9JrWP6LV/i1O6zFekLDkWWe8Hzqvfbmz+KLwBPtm5zi5hro1dcui5uZGLOo8bw09ml7U0AqoFZZ
fVyeTp5k4ENUp47fIEGyMbozYWa8y0cg2gZ4dOcWwBe3O+7gFX7rvSAwOdqYLD2mh06emWiL/lzn
KflvBCHWWi7QtuCGL3PQyyhIf89PEwVixA2Gb6r1v4o5/sn6vM1iDXcG2h56pH2QXZOfjEK9P1yH
ql3Tr7f4m4k1g2RYD8D9nF11GZbnlBB9CPo1fLfFlEyomebNyGPtZ9dqCr5WEMjaISS+dFX/TSkY
7czjlfSUrSPDq9Ne9HCMrHjGi9aXNCS3aXTPehw+g/92c/1eYEp8gvIWFFtRI8/+UkRWMffduqna
hmA4dhIGop1o2z1x5jO9Az1t5Oz1WPRHv2V5+laAwf8W+rO3JnFu2UlMrrbO4brDmZpfRe7k837S
MiiOava6t2Jylf9hk/Wawp6Jw9uIBn0HJm4QJQGB1r1vXHcbAVBggs5QZtF3YaO9q0DJ4M+g+3/Q
TLe5huHcHSpDWwrBIkiQlkgJJ8xppn1W5P1KPti2AIZjEy9qpxi0E1fQ3ciD34XujmWuOEQiWhNu
sRiVCThz9eC2udt516QvfuS0g6hEN5czSI6bbk9rDQF7Lyza4+O1tgzIxJ4xETuFM3T+VY9LnL/A
wZQGJ2pBQMD1uAvLmpjkbVUFBT+ue+8aZQ5JXyACVcfnnHcbUUOBiTyrfF/2kQRTUsSc/JagCOJM
52RbvXRgantKRgloxfPsypZsJBHQN46dtVdBy2FkQs5YlXhlUifsltM5fcY9DpJeKRKRlVOzN32L
lP22NTDicLcXJeiqygwXLa91nwWb2J1PUFb+vK19/9cQLSr6uQDOs3nSbfycSHClxGC3Omxr3HBq
hxf16I4zubYdqmgPkwQkche3ffjP4/Z/5tt/f8ELfoOdIX5y1YglJg0gqhBP8MBSk3aH5WYqAILJ
Q+jfcAi+7LGjfyK0HXeRG9wGNwxWrtsWOzCBaZ2a/WJu4+lJhwrKX26y16jDZFlwpzixHg/T4ocm
Po0VPhjAhAyuUU+HD2BUouPF4X7rbIukTUjaxCCZXQe0v/ltjbRWB/QVym6nxJEELM7RGKjhWOh4
rjbeC8gyma/uBdiB58JFkeZT3gKSwQLp70M/+bJttpYN81XjTI6tJl1Hbyr13vEMSUYq8IayrfFl
iV41PonMrzXIum7B4N+HSPEdF+XHbW0brq4Yr+N2aukVAh1gIY5RBxLESMw9bt1mqIajQzLZGUC8
lV7BxtVCtCaJ4iNemZrnQg+ZvG63VsPpJ6gI8Djz6ZV1lbhMY+bzS927bnx+PBCbNxgnuedw6QUJ
BEJ3SCcPb7Oq7qHHVmyrzw9+w4a5bZqMy2thqd2m/YzXh0p8GJzAc8Q2GzLxYQxqoNxNE3qTjheJ
nQ/K1WhfIC7ZJgIW/IYLg4ZJoarAuVRFgdoPCGjuhiL+sWn6TWRYp4rJZR6oMXc/d9qEAIwe8I0v
BKbep+z8vilTX91Uo99ykRffMlTYfd326YbzAvep0yKGyOEu1Tk/qDDtdt687dk2MDnNwAkYoF4v
ptdUOekh4Ugplm61dvm1WL1JaqbHqJMVKPYvLvgL+l3S0Pofvwc4dtvUGE47y5p6rG8xNTNvUa20
0APOwt2G8AtMTjO3cWRXejmab4VLjiOez8+03BokmfgvEauSJ1I4F1Apzm/BQ0t2yG+EK/A1y9T/
BgAbBWZetyl0EpELJctzRlZCO+bxzFvieBP95U46GtoE3+7GtSCHqA0md5/wQp6yVaZwWx/GeZtH
I+10UmrwjTSF/jbnITAFUe08x1JsO3VNGJgfc+3IOQGlophBh/MT1g6Zmm0v84FvuK5IKi9KsgDN
dzmCvGQWNyhNuhACECtYJ8vtzQSDSbDFhYiF2a2qvDPEk/aToC44t6PnOUVkV/Rq5XXA1pFxEPOg
d2hUSnpxJb0tAWO0BKpDffP6+rAeBlnOe5PWTE2CQ9Uglk9pDEUofzgtwLYpnN8VZGOk5Rsn8RSw
bpqaMUZCYASACPeULN05TqdPj13D4ni/IcRmT8qu5/qGrHGz0wpuXWRrJXSWZTABYqIAxQlKbfVN
8uiEV6yuACyVs0+kiZ7bESClbWNYun8dMNJsYnEfdGdw/owoMURh2OZQywSKTaEWPYVQwplUuoh3
U44807Gf+VqVp20BjFB6IigrpWlHL7ws2t0E5MR/FAnMr9umxvDp1GtTiNOE8kn0aL3T5OYGiNYf
N25bXiOY5hJ61WleQw+b+PEFGnIvaQLa6EUfMOzIUx83+UpPls3VxIKpdoAwiVPoG3Gb9ywCZS3X
QE1kfJIrb322ZTAOZ38augCKOv1Z9s2bqURgMbdyY07aVPysuAOJ59kLr7KL3/uql9fZ4WplU7XM
jQkIW/Q7PNZk7jVKEBOh2KPQ+a7u+ly8CShpmm0ntAkNS4qKiiJrMEGU3jmn6SHDD9tCI9fw4CgX
i3a7TADRYlNz8BNIWF/8oNLJ58emalleExPGqykZwrKnlzx3hmhPnPADjRxn4wKbWDAB4rui9Am9
pNOM98Mm86vn0sND5bavN7x4qihNW5a2T/7MK2gzIcVCfUQaj1u3GZDhxokq82pqWJjvfqp4oHpj
FDvWEv/W9O7YrCyx5aw0cWF5L5H48FHP5FIUtRCKQlLG5mRXRBCT8OaNyLnAZDgDLx4Uy2TBn5ij
KCqq83cTr7faqXEaJ6qqXZqAtZlzqau92zYs/hwMleOvPab/2VD93/BhkXSAz0tRpcpA6bOLBv3h
J43346W2tR79elLqDjXyTZ+yC4P2eXKuky47Q2CFrSl8/dmUfBMflpcwTSfI2SWliOcUwQbB2upL
OKNaZNsIFvN6ddbni17c7CmYEd4muZqDA7ic17Sx/3yg+SYkTLJMpUNesJ9hI/jmBqh7sx56q7Js
v4PpYQ73zuTOa0/fPymVfk+t+qbip46RZYxij110PbXVTqKKrdyN48CgjhDrrD4Aaz1/KJominZT
Kinpd7og+ug0MPBzUEeT/hC2I/mvltSXB3wlYMZ0Hqe/pFe7/G2CCtK/UgREAYhSZ4kAafLpx7zq
K3HkTREnFxTBFN/8nEX1i9sE7LsA/WV9IuDO+guJk/xtIuts3Hm5FygoGfq9eu+Apf8vpvtw2M8i
mYqdylgQ7wCUcbvnYc5EetQCgJlox1jNKNultPbTg2Q9z3FlbLIWiiIlUMZAw+cOgJUXjIVk76Y+
VjxASbZWYFpnKEYO5TEqxqr+RGYl40/MjZDD0ZUM831F5qjb+9A+kzAwqMvuVZcjz4MfknIHnrvh
PSj78HPF3eBl5pAeeY8SR0RuteSF+iS9IYjeEh4AOuQxlYzvphnVZX+FtRPmB4CSwaPv12Mf7MOo
Hr+LHBSnus7l1yyL0uxJV0xDQpjWbbn3EwecaAOo96t95QxKHeYoy3MFtWrGP5chKMf2Kooy/1i6
mRftQ1KRfqUwxeZu5s7NZ9CBhIxdElDsv0/AZZP0I39q6Jpom60D/1dvg9Scat2oY5ccY913iGHY
IQJdcz8WOjts82gj8iIQZWy9VrPLImoQyaE/NAsFybbGjQ1beGApJKJUZw4Uzl4zpFw0CzZFXr4J
A0xIoHgxUnbhin/SIUvJLqSVewjCtl2LsS07tgkGnHoHpD9RyC7ETb/mOVCY1CFr8t6W5TUxgJyI
bMZho865w8qveUWcZx8I3L9oLN0VE/3zse+bQEC/zIqazzq8aBZfkn7ZTLHvEm+XgR+RdqV0NsWn
kOL51VSToajBD+qGF87BMxM54Xyr2SpKzDZTy/K8OnZEKYYxmml4iSBVu+9agNxykSfH3ocK0GNT
Xc7gPxwGJl8dVPlikKSjC0LGz5Hj62Onp979221xyC0c6SPqYE4ZDwr3++MebbZleHckkzJkiL/+
f8qW4naSrbEA2No2vBp54FgHQUqhFey6wcEnoMTItFxLv9vWw/TrAbyFXZKmT67WXO4I69pvU0LU
MabQhH48PZY+TGSghKKySLsMQ2AMYCghEjBV4H4LuNUmCDqqXn61KjnLvpBDG12mDjlVhlcd/50D
trhsBUVkWYTQuFalrspU0Y/xpWvFv+6EstFQo+Lg8fTYGjcisckRjI6di4t/7Amd7XJJOT3wdhz7
D9t6WBbmldOpKs2DPERl/88wWGfkxWHIT21rfBnWq8bdhC1x0BxdQG5d5nvJUCu3LwCAW3nwtVmP
cTYDb0ha6rj4eJE4X/wlmb3A6EARui2r7ZtYQBRidDGB6Pf5Z+ZIpUilAhzT7zYn/X1TtFUpNy5B
pKJR7wGNbHCbyp3w0cW2JTCcOEIRJtOer29T0z2rGFkdbOH94XHjlvk3cYCJhDRbV3v6VpXsbzE2
w35KcbQFLU/XVPksZ5uJBgSBrdvwUcTXfJkdl+sPOhbJuymtD0W2Cl+1+JlJO8cUdM5CiDxeK1wX
dgxqbHsHnALb1sBEACKBVvvKE+qswoXwOkXrYSneb1sDw4E7XPmdAVwmV+Tugl2ioJJb1cw7lKAn
Xfl+2zIbbizSQvKsiTzwaGdE6r1ieGIrzkWkfFKcWocMa3qhtnUwHNpVQkLXG+a/y8FQvYNUh3hT
45FhJcdjG4j/636UB+WIjOMkniAW3wE8V8lTiiqHQxGiQvLxcthGYJzJevYaGc8kukJrnR1/ll7G
Pvu0rXHTmWPRoxjGyZ5RAU6f+ZzEH5pi7jfBc/Bc/+vs+ICZkSwusZuqHhLoPoo8DqGzxrxjmRgT
5+cLpFxwZyXXnyS5ImDpZcjYSgRsa9w4hJda3SQe4yDfTYzeCVQYjyUY7Q6bpt2E9+WoFIm6tiNX
hRDiuRMRmCj7DsyU25o3PDgafResED8/3g++osRf7utKd9uc1wT4uXEz6SSLG+TFQSE8lZXaTWHn
HxupptO2ARhe26HKfwBYpsHuiS4gs1ztkK778rhxi8+alHKIn/0WHD7N1afNE3THvS88mtR5YAsk
dVsXhs+mIvc5SIKaK9jY3QOSD/GO6aLdjyVC0sddWI4xE+CnUxeM5T1prp0H6hjlJu0B8mjJ3z1t
6b7PKuflcT8WRzBhfJUfTh0K8Zorl817nYDDsQhWo1HLUpj4PS6gL5v6RXMVC4mJkLhzcAHutzbe
qITsmxA+3ZeSh2ORQuURmndqed3q9bDtKmDC9YQXTCFC0PSJl069Z1RckODceMiblHIsVmEb+j78
DESa7yKuYgiTzfm2J0yfLAv+OpTm3pT2HD5GfBA0TUx9nNrVkhqb1RgOXIFkyGlFD+uMXfaVxH7/
31Dpvti2fxLf+Pa8mLOcey72hkVTswQBa++vJlhsH294r9sFpR92Cq2LGlmJpHTouRmgrbbNo4wz
l4mKApQeTPnOJd5/KVAhL4NXsZXozbIvmCg9EnoMOtBOeV3QGhxcGQmMJ22j53W+Ccv8mDC9tEqR
Vqlle61GqgHSwA014067sraWjIqJ0ZOlyEF1oPPnHEWcJzl07JgjXtyRmDV7YAX6A3B79HmIVgGg
tvEsU/nKEyCG6eh8JuWVl+JfH4jfYzygOPjxatvWwziLk2BWuq8aGFMle7qPFPaHtEatXxX3HwOF
G87jfmyDWH5/NQhIBDBnnuFxitTQrOr8hIY71c7jSqbO8spigvhA4ft/nH1Jk5w41/UvIkKISWxz
rHRWtYe2u9veKNzDI4QAMYP49d/B76Ysl5Iv2GXkQkK6uhruPfcclhSUyBdoyUe3sEvW7foDD7Pf
By28T6PcqS4PUdKfRyKWsdAE9I03XAPyF81n/QUyE3Qf7oTaMqXci2tUaQUFOAEDBjRlLZ/baYta
2XGg2XC+ifd1CeKj4qbnJbhNZRt/kGnUfaZUbxGnOwxtQ/pQCTSFtSTFjXnyfaPx4qgLn152rSIb
0ae9ZQjiyi9uqE/Vz9DMUu9GsQ+1RG1AnyniBaHSaXiaCAIGzRB9BnJ+60rt2Dao5cRllOaSkGa8
xijyg7j2TY3hXfnDRwgw37zeOxRqqzLbYWQb0cfzAAnHYhiezDLQPxuAE4v1YpF9RX22999jQ7j6
sNyZNx122LEdgE2YLrzO+s99xT4kxeY54VpG1gnNBFSUoJalboLMzVNcgGah4Shyefz5rtYtH0Ya
b1z6yRtvcZ91pxLip9dxJQjc17p1QGuwbILKOhluUiP8EY5NfaaA9O1s3TqfdRrPTRsZVCQiBFgG
4GPcxlI65uUX4F4a1KLvJ4m3B2iUZYF5WUW9H0+L46ixgXusrutpnHt5M0tY8vsUpUXBgVCbgR84
Dq2nNDmKpdi85DmOBN96I6OEqOtBlzhd16uGFvHzyhLYJeWHFto4fT/8/nhYrjmzPFvKkPtxmgxP
1Mur/qIDAEWu6UQG8dfjDlzztvrgq6MTJOx+zRSBweMk/PIjTRRDR/xs5ojcFpSh71tYNvHbELOc
1LjZgBMEypW4ZzSnFMD7na1bDo3bcBeShQ9Pwzx4IYDS4FxFKC0zG2Zw7Eg2mm+SVYdU/DzemrwG
XJ17ozmDZnd+8gkowR5bwtWH5dgAs/KMxrm5/bj7qQYBU0AZ/u10t/NRZYP6ECrNhi6Yx2uY9x5y
/3OxVKcoIX6zzww2sK8bY1qOVTE+GRV/a1Yu1HYnpy6COD8vVF1zMRKW9Iin5fT9j4t3Q5uXnHKy
YQCHr9mQvgHkgKLNl/GGt1t+mHpwEALBLHe2bnmyzloGOEyE759E9q1rQf+9bhWP147r0y0vRsop
Zyh1nW8/4OkG5MDHpBmDXUhT+gu1G6U5y5g/PMW+D4lh3YTLAfhQ8ce+jw9+tizhSzWFS1Y+sXD5
PlRpf8yGbO+SpD83Pi2qDoq0m29KTX/RWE+HKA03qscde6cN3BNLVXYFAghPnbcCof2ce4eQmOIc
1ODDjvqxiTccy7E32DxvDTguIiUVYPsJl3chUvkby7r5EDQ7KSB9G8YHZZrOK6HPcJMz6KqBd7/2
PUjG9pjYtynezJDMrAnq+dbMa0YI0rPn3EM47XHrb9vBtzF8Q6pEh9DfeBuK4lND4+QgAG668rl5
iaDvvYGdedvHoJT780riEVIRlfSWW4y0+EmgiuWc5vVGyP3t64Rv4/h4OGdhBOWHp2ZElaeiw9GM
5D2oLq6Mi/czqDQeT5VrEOv/r477IZMQEuyKGaXRqHUjIsQe12wlz1yNW44sirpIFin8O5EAHiQm
PkCqesvIrsYtR26QBfWDzBueyhW9Bk5scozG7u9902KdvR2YxZqBhONNVKh0u0KSnPv3SAAUvZFb
d329da+WyElnyRRNN1aXy3IUJB+iE0Kb7cY1ztG+DexCEUzvj4WZ4L3I9Ily/jLUOx8Fvo3ooqCQ
iUY+4HQR0G8Rteoukbf5eHV4rw3pIhVkK7KOTjeS6eaqO8NeQIgD1i+f56cs2BRgcE2R5b/gUpdd
Q8YJFciApA90EIck3irfenuD9m0slx6qJKjAB3/rQkHudBzk89DjRdkuO0NDPlvH9cp1aZMNPvUI
Hvc55J6mJCenajLfdzmADeVSvc8DYL6Q7h5QBLBAuR5CQ5S8RGTy6y1lCpelbRdeBsg5jP10Q8Ht
+zhjH9YaN1pWf3hkS5bJZWTLkUF1gjLzUGGpjqu+2oA4IEmiLVqH9a75K+ANUhc/m4BAcSSvwX2C
EGB0BhEKtAexUc/JBeGozwvlxyWp9m3UNpRr6tqpNs003Jiai2elET+YJhPsbN26TGMt6bKbsvk2
1CBBQbZOXcCJsoUSdziDDeIigexaL5j7m2YsPa5UiuAu6I+RTD4/Xq2uDixX7npAfFE/191QJ1t8
EIWCXEtbxNAv6LeYFB1r1SZ5m7x21mYi4kV74ptQqDrACyR9qodkuvayGS6PR+LqxnLqDlSQgw83
uBFQct107sd/dPHATjIH9r3WqALauCOtsIM3lq7N81aGAY+yCAeQAt43uTdDvvxG6nFOD4hj5MVR
g2vJO5Ss5GedpEP+0eMz4tyPR+myl+X4YaxaqUUz3cpqrQZSUHXndflH1ZTVxuvK1YPl9yKQOoFW
NhKcIiw+sxlYjqkq6/OoOCgMH4/CZSvL+2lQUzqN2OMnXVYnzoffNbSJL13DXjK87TZG4tjBbBQY
rnwcvBh6vKEwZXgGr9I4Hpa6bfYFAZAQ+3kPC0EyZ0Io8N54DMWuMmgEGPC33qGOKfoV+cWBXc+m
7la2oHbUy5hdf9wDIXopXhYwMj62hMPaNgQMj645oCSCtRkiltCVU+1ZeSw/Raic3tgiXX2s/786
bnVmsiFalu4m01E/0yz9YHxomm0rXbg6sFxfyRjlMCkFxqMbxDcep9U1GllxHGMA8h/Pk8sc1oU8
BN+Kp8EzdoOWmTxz1g+XsgZYAtyYwXGi8z7kom9zwDU50eksuw4sMr137MqOnYexK25tDTLmx0Nx
HL2x5eDKi5qkqYf+VrKRHpt+KU48xOkez8NyTLr4ljWtOKfrX487dPmh5e26TbwqTIvuFgao/gOW
9U8qx60iD4dhbHDYgAxEr0g13cSqz6KnsjjEIQwjpD+do7ER512DsGFiQ9hPnNZrSAvlSydJQEIV
iXwLDOUaRfKzi9BirL3K0OFJImz2QmvWPaHWaTj7EJX+EOA5+PnxKBy2txFjbJ61VOlg7lNnDkOl
76tSpRjHL1UzHH2tPqEC7MPjrhxWt9nhjPJoNkY9juJe/IlooDkGkbcPueFHa6evthRkJpYZtWXd
TbSqOgiIIh/GdCc83I8sZ5daBQXXBjHqSiSXxiTRdWn3Pr9t4BjJSVCMjcRuRaqiODRr7F6uJRL7
5t1y70nynEsEj28mDrvfeOQj9zrL6Glf65Yvl3Xtt/O0vm6YgVkbTHy1ikY9bt2xkf+CEkt42JVZ
jokXgISUOTICvAa3+myyfx/34FiVNlRM8oZ4uViWOwedtFrIcphXGpLHjbs+3/Jio8cyGTODycH8
R5BdKtpzWaBsq8jAvf24D9cA1h3k1cqPI8r9gfvzj2wZXyGNnu993df2Oq5XbRsNpARpsvGmalzL
2NTGoFpI/tnXuOWybAqkVys63kiCp0ybzMvZKLK1gbqmxXJZwZdWGNNg6n+UTqPQOYMU4ZZao6t1
+vPEYOMPSS4bc5syqDVCKDA5mCb47/HEOPZ+W2wUYUpE4PSKj6dTkx+p9POrqTrv2JC4/xM1qPuq
XnxbYhQynL5gbEJH0E4RoNPskqdg3okw923ImG61AMkVliT2tQYa3Q39c1uzyeFaNlisM2UC+qAK
3w4ygfjMxgCyUCzD6k+qdF9k0YaMlQDBoP5qNYTWfn+iSYudJ0cM/LGdXUOwPJfWZVfh3mBuTZN8
LkEsAzbLNDtW3SafrONlapO76Xr2kdhDYLdLxTcaCv2dt5XfnQZeMHCyQcjgCajlZEHB9LygkiQN
tqTsXWOznJuEYOPlojXXAZn8I5lYcDRePp7GaLOmx+GDNnIsrHrutYpKZP3G7JukokS1PCbxsXFc
rVsezgip8r5YDAAIPj9BYjvrzwHr6XJ+3L7DyW24mPa6gqnKN1dwB75ntXxaGejjEcyBhm9phLv6
sM5mw3RUB16DGeIpAOIoTPrKcG/5GKrx48jx4/FQ1tPsjfiHjRxrKAh5qy41V1knySGsyXczBt6L
DsvqXZ3j2VXDQzf6ctxXbSCZgkxYmoIf5Apqhvcr6eyazxEIDeokPK+aKH2/Ve7u6so6vIfO940X
xObaNepMPf99A92YlXl9kNHntWC5b/fhvX0bZBZOEpQAJjJXzuAtJu/lqc2njSlzuKINK6NNp0wG
/bwVH8qDY8eDnl5KkbSn2Rf1dH28CBz+YvPFiSAdO+gDec8hK8QFqm7/4Ta+D5vo21RxLF+WJYSe
7XMTIXuNs/wv0KFsET26lq/l6bwCAzbYq4LsQEDcFkaf5QDM+tDcVoTiMmcbxTMOZ7Tp4Wikxq4e
AmgQaSTZWBnddR/e5YBMhufz42MruDqxPJ62yrRe52GNNpD+kPOXSU8nVUfP227hMLQNNTOgWJ+j
SPvXJoi/xRLPlCQA4OLx9zvWqg010yEy0INu/SsrK1RuEJm2IOZF/jk6Rl6a7cPq+jbCLI5w7REa
SEsJwUdaxp+XesvbHKvJZogL8yau5ibon7p8PoVKfV6TzWH6d5GWXxO6Tw7Tt9VEUcFRV3oe26dy
RE6ymUCtszLoPjaC49Zg48kgO+BPHbgAnlQ5XSjkZ7sl/hQrdZE5HgFy/Fiy6u4t42Vfd7/c1EtP
iK6mwGQZAMBW0B/X9KgD76uZl/frbltj5032JuRsxJma+6FlXOdP1EflHZfZvwnNt16sLvewXttx
YqY5qH1sVXUafOJcJO898Jhs+Lerdcu/hwGE7qEpyxegLz9SPxn/Sosx/OuxIX5otr5xkNsYMzHy
TtVtVr40yr/SaFUMn5Et/lEmwWCOMMs/sw71EQhFtaeJ9cd56P6ezUyf5nEzmezYA2w0mqJ08RJc
jl6USsQXKgd65JUPPG5dBRuQEFcX1tGOIjpBuODesyr78dhMa4ybgbO+J0l+fjyZjp3Y5pgzEO6I
Ux0XLxBL7Q4oAEeQs24hEYPNXpyWhIMfZl9P6yBfPdJFkqZtnGTiRerhb9ot5ivihuZUleLbPBmz
EQpw7Gs2UK3pIlQ4eHmJ8VSnRo3nIUI+gM0onukjBEzGWOyTbvFtRdIwiuSQpal6Fv6SfZYcNaDT
MgWnrJb/Pp4yx9XOpp8DT+ucM28uobNG8xdGQHCFeqkiuFTFFH8TY6M/tn0Q3b2EjFtxGteaszaG
SQyIk4VMPZfZ2F2Vl+cohC+jE0RA9y5ra3cQfVwnVU/FCyKUBDge8Kwx3C8OKd2ZuiE2lE14CMZl
nlQvpUJACwzH+tih4v6KYEu+wVPytucQG9BG+1BNpIyQHi56dhUquSHmhAh7m/NzXcWfHy+Bt80B
7YOfvWaIak5qwmH9TqWXJli6v0UWvotywEse9/C2x+DuaPUwkyJN/bp4IRTRD5l6wxkwZLnuBf4R
YKggOFd5PbCNY/Tto4HYMDeTt7NPwET2UgYzUMexVuAjG/02ZtfH43HZZe341T4Td4Lhq2P1IqTx
8EpFWraMU5od20Kn78C96G/F7lwzZ90IwrlNlw6u8gLKAPQCqLmYP3fItoFEMMiDF59Qj+6CHpLU
uv0znaeN6DkICiWFHgAYfoJj4atPj+fMtcosp29KNft9LlGbpyLcZxuNchim5+91u1Mgg6SW0895
EaPKU5VPoJC/jZ2ecR1MtjLaju+3sW/lzBIQmFSYncnXH6iqBSJt4ac63DztHcvWBsBJERUQxYhA
GSRQtQokw3gMSrIF7nWsWRsAp5LOzwpQRTypNvu2ShbqbLyofoRQ9FbVlmsAlpt3rRDKK5MaJs64
/30woxef6j5R+1JbxMa/QV0l4YYFxVM8xt/8UNcHlWdfHq9P1/xYPi3nGaRBIKF4omQ403h8Url8
zyr2pCl7etzFjxKIX2+V5Bf8G85zTXHOPiuo74GoGWRpsn7mUa4OuPfPhxZFdNnQvuSgHAN+dovI
wLV0LcemS1UHol+ZRyWknT+vhDy6rpNPKQ3/ezwyl+Ut52Z5DQhM3hRPppjW9wqIeOtiH70/2Cx/
3m1BxaORDUzx+bhw5zdctNKnBWPY9ek2BA4AzWT08h+Twxf5bEJkNCuyjwkD6Zufv13IJRtmaPWA
9DVGbfIAxRKAyCCdkc3NtHHrdUy+DYSD+CveH9BbxPw0UKL68ULwsYr2zY/l1Krwsxyqa2g97lcU
nwK/+Ha1nmNp2gA4VnbZzAjFliEAEzsA0LMctRy7Yz1tKoE5PNvWOSW+15YVJHTwqqbFp2lAqCmP
PucAV+bFFlbIZQPrnIakTj8pL8M4SrWYA26EODvHLeC4a5YsB+5USzOK/Q4jqLvpwAqc/+GaIIHm
/JZinasPy4VLSKQsKNhCH3GswLKx8H/BMstPQxrFl31LyXLkpvOkLESDLtSSRHfUwsa3GgCYfbcy
G9OGEoYRde2pdw2r4rOk9MgS/odW0a0GiO7xCByTZMPaulwXLZsKjKArgU+QlRjPYFOLTjkz/LSv
j/Uq+OpyGXZpEPV1WMEQgif/lFkYNFfIaUbTCfzEU7MRP3ENxfJr2sVtlcQZhsJj7HtdOvzFQP/7
WwTU7sbG5Opi/f/VSAq/1q1XSHLxs+gpGIdj21QnP9sCazl8ztY1LYKJD5B9JZcm7p5oh8CYx4Jk
wwquxi2HZmWIbFegMD0shBSRkGA2zWW2r06P/IJlIzTzQ4qpoVojjN97qNNDFdnOj7d8OezjRlXK
mMvAxsPc9ledqY2IqMumlg/zoo14B8WV7AAiIDBUUPK/QY0gHROy3Vg2jqm3YWseFCcDQCyXSyWa
0xKSI9S2N77e1bR1HA+lAkoHsmqXMlCXee5upunPj93Wccr8Ilga9Jy17bJcAj1fveW564rzIKtD
Ne78dsthAU6j7VTCqFHcXaSfXJtki0zLNS2Wo4YyVrkOmuWSc2A36dc03lI28tcl98aV10ajjbTP
BGtgzDm/pGcQnR/AHf4uP4iTFx2njYu1Y1HaoLSIg0QoJcNy4Wn/KZq8T1EQXQKv3Qj4uUxrHb8p
44CceO1yIbO+zmS6gv77XdaVB9WWG29v1wgsj637mfKs08sljoPw5IFO8VjPYIOuVLhVG+8IJdh0
Zk1RpmGTpehCQ9M6lLk8Q9uTn7uAdWegkL/5tBAbGT7HgrLBahCHy7IywlodpTnHYwMw+9bu4DCG
jVILR6YhJ1kvlwbs2edl5sW1TpAOo63HD7PgesOfXUOwjmEkYIj0zYI9dPmigvGcarWxWtO3XcKm
NAvBaTbGxXrA60Xkd0318FWCcekIETbxXkDxQ690r5CIfp8VgdpA8DhWmM11pmWcMJJ56JVAPBEx
RP99DAjMefG39BMdC8ymO+uZAStuMpoLKmURaRX+qWrrQ0WS81SGn0AKsHFzcVnGOpp5NoqMh8K/
qDyvD50Qy3XMkZN7vI+7WrecvVdhIXC5w+kzj19NP/0Zd78/btm1ci0fx5OsBP1tBAtEWv/VeMnF
n5G1yoLPZVZu0OW5+rCO52boGV6zIaS4W3GsvPwC+cNDGpo/q1ReHw/DMUE2lo2l+eSXTbZcNBdX
xDg+9lm04XOONWoj2UjZq4GKGCtIfCkIOF7Ju0Ru7LCuz7b8mdYGIdR8ve/qChWgcTmZs4+M7uNJ
WS8QbxxztjIprSJVjqag1xW/BD7lT1yOT7TtfweA5X0whO/yejo97sphYhvJlkAWDYTUmKRAKn5o
SlQKLf45m9JzQaP/Pe7DNVnr/69u7qgZyVq0aBAg1PIfKLm29GBwddp3lbHxaqDszBHmbMkF5LLf
RQQ1gqUPpo1F5NiGbHKztC2iiJnEXEC96EMTPcw/mbz72iu8nKWnxgOSj8XORWW5dFiWEKpOM3Lh
feuRQ6k9Jt8toujbjXXl8gjLn2NPZAUblX8B+Zv/Tq/JedYKeQYwv9zYlhy2tjFrqNQL8ngm5IIg
kneAsBW7jnraugC6Wrdu3FJ0RjO+YIbGmp/pIufvoD+L/ti1Tm2+M1WNposIKfBWnpj3wvhc4FID
ru7HzTtm3wajSVBvpBHH1JQEwbum5tVVpIl/GPnmanV1sf7/ytNM5s01pFjIRUHdAqqWn6E6+XvV
7Ixu2lg0lPuA5CTo8M5sGP0Q4ypmjtXYb9ZcusxrncVDXJoA7xGcaXE3Tc27DqRI/DZA028f3QOh
1nkco/AZjOIUCyhANZYBN+JtiUF88tjCjs3UhqJNoJcrp2FE6wAedzj6L//nY42oDv6I+NTjblzT
ZLnxlOu6hPotrKzI95VvCapTct9z2UahTdDfwRMfi1ShwvKofShMJXKYN1p3rE8bhtaxaSqnskTr
BRCTwlefRYYLV1vvZBwgNgJtabysjFvpX5YaadOxKLxzS4Ps/HjmXd+/Gv6VfzWqbCE4FePtNuHU
pwxFISFdHzym3sfER2wEmuzKXALgTy6SpuQW5nP3PWqpzjaWqGPt2Bg0HQQR2DM9dqepSf/Quh2b
g98F6YfHE+Rq3vJgANz6qc6L9N4Nqf+dhoOArtl28675t9yXeLIBUjVP7qE/xcO7nvRDdckHSuZL
71PgWPeNwjqIhxi8RWk0JfeB1HS4gJgNampdFdONEIBrGJYDI8RFQxrk7K5M/GmVzDyWWjaXNmzq
jZu7owcbcUb6MeVGNWtEcA3xV6AEa3oZ34Ky3duFdRYDiTywJMrYXRCRgcQOpTpRwIYzuAz31QIT
m92s7FvQbNVB/WR8FHLk9Tup2r/HJbzP+dZV27FgbTjZpFhW8BnKzKXK6e9hnIC5uKgBvNu1kmzJ
0hikfqQqJbvLFpDIEBmiqBDxxtvJZeR1TK92I9q0ORTiSXDhyI6akpEbHYbf5kom+wIvNmBsmlFu
X1bhdOcR5CBYgaAsxVo6P54bx2n5C1jMk9Psz35wGcIaOqLYSxu/PIHF66VXmu87cWy+M4J6ftSW
Mpw4MejkCS+jP9qxpb9V+c5qL2ITnXXNVPSpHILLKpv84zgGbnhju34zugOCs/X/VyaWfaiHsZjG
u8kBnmceiHqGmV1QFL1ciR/L2zR27GXKx49tx/7dYRf0aTn2VJha44pBL9CkqA+yHOg5rGdymdoq
u0ZJnogN27zpe+jIekTHPaKfXsGCy6T0PyqEEDQUd7YClK7GraOaaRH2fZTNd9DmqvZTB4UrIQ6B
AiPGhvu5eljd8rVtkjDIeKbmezgOEI03vI6XY2HaLUmTN90b07P2+6r9LioG1appuXal1qj8AGUP
zfSlxo/HhnZ1YB3WJFVqnCKe3CGvJC6G4oIaGg2SU6/e4opxdWEd2DTtgPdMdHAh2dBAwwzYlMIk
uJyVZiMS6bKCfVZDrkZxRSBazjyYFpHPlNwLv2ir/+2bJeuwNmSc8xRlkJchQIqq43gtMNXoe9Zu
yjc6ZslGg4kw8v0SxQ04rXOIQo+qvADO/GeG0+i8axA2GoxmSRCTDi8TwUJEg+kS4mLmiYjHBx8l
V97GduUwhg0L03WSL0ThYhPG1fCVl4jV+6jX+L5vEJZLAxk5tzn2jHvD6ucJOfmPpm2jw1L4W7Se
LkOs/79yOZ0golO2LLnzPP7WjRAR4lqpwxIAJ/t4DOu3/hLaA6mk7dThEIdti92UhNPHVWf5tCLn
kmL6mM30z8d9uKxg+bWc8hSlBQW7A8TAn6al8+7JwqaNS8G6O781Asulfa8HWxnFiUriuj3MNYVE
MFLSp6oLkIZjVXrMcG/bWLeuoVjeHcaEIs1UzneIss456l37ZgRjjonnnSvW8m4+qqplpJjuSrZR
fWRInt9zDqDqRvuOFWUDwkKoso6REv931dc4u1/8JfqWLvtwnqjisk5rneR+Qsr1wRvS74It/nsO
8fSN55zr660TGolPPP4ThEuYKZ/54JmzSoP57LG62NmD5dMi7T0moLx3CVoPj2k5TydEDn/nQqeX
Xd5gg8JEzHhIoRp8GUz0rYyy4JCPFdtYn64Jstw5joveFEuY3AUNUnaEfLAuUP+dD9OhHZY+2jkG
y6ObZWbgWVrWyCS2wGMsIe/XFvt4nrGGLJc2zQB62yaBRCS4qaLDRPtGnsB6iP722cByYyS+ShmW
bXTtxlT257LydPlPWpMg3gIdOPbVxPJjaApkzEiDnbvooY9axc9miT900mMHL0/3vObApmvdxnmA
v8Z2xrQg9V0cuxTRsQx5z9PjWXIsJhsPpmYPwTC1xp+bGqWspoOIaSkUNryVw2BfH5ZHCxToICbG
oTW6Am54Y4pTl5jiyWs2afMdprCZzqBQaEaItpmr6f33si0+dXqAEFBwZ0m7taBcU7X+/+qgHgRq
clTCx3uHYraT6KED+kMydfT2Mc/D2JZrT7X2VJh05C7KuPgaNqE/HjzIgu9SZEf7lk/rUQL05xfg
NaRgDTqYqp/l+2UgzVaO0nFQ26gwIoY+JG2NF2OHSjnw/oHhLMj0UxMHwzkPaPFUEzb+9XhdrcfN
G7cCm+tMo+wrZ+1E7k3Mgk+sRvnfEGCXIhwS22KY44OGGsQx8PtdsWTMn+Xxmk8oyTMtXi+q7z4Q
lJ6iH1Q5dFm1TxceDNeWw4NeHwzpoRfdhwx0C6hs5qdejcnGduIwkM10pvwy0X2exnfShPoLkNe/
xzkaF+u73qRgrMjGfah9jMTy+7CO5gblauhrBrnHl7iiafzEOx9AIWyQrNul34p+1k3hlWNKyEMp
cHTGd1Qe5wczVd01EuBXe7zKHNfBX6jORjVNPfPi+yrWQEkdv2tLZBgfN+7YU2xwGZmDDOLvOr5P
QR+e8dZuQWrek8sY7CtixuxYPj/Jui6icQHbcrJmeIeoDPNDErZbQ3DNj3WQh/PiLzgF47vE+wul
caV3awOx8yYVWac49ZYyW3yIPetKghdzbqKy+I31vW42EuAuC1guTXNQwwTtEF04j4q7yPX4NKWS
vkQF3QIuOWbIxpJBMiDmRBTxHZVukDpoFDHylIM/fE/g3U9tQFmXDWDHKhW5x2rMn8p5RpgxlEP+
MmYs3gpqugZhOfMQ6wTbrIzv2sj0oGrsF8m4j14KQ7Bc2ORQ38pQ5HrvJjr9R6G+CdAPT8m+gI0N
HeMRGKVK4Y13mXYAbeoJaDuzGVR2LCEbNraMk5nSWqDiGEquhw7qxUdqgm8QcZovu7aJ0PJhFvlZ
nKNe9h5OmTrFFGKTfD1RgzJgt8dduOxruTHEwsF3XA5qrfPpXroa3H+R3kd1DftabjxARheENV10
lzNjJz623RdTZuY8IWSwcct0DcByZBMNUOflClUZIDzQ3RLgzQ6Z212zY0PGwqbty4LI6d7FvWoO
emD5cMybsdiT/fPTX3BjDFpxslww+52O3jXetByjYF9ZKVq3fJekc8CqOozuTeB1hxLxjXOQqC19
c8fE28gxgALBCzey6E4R1HsxaS+fWRR+2jfxq8+9PtuLlgQzE5iYFZNGTFc8j8m0Rb3i8NxgHdKr
1sXSTDPV1broB5SGNUSIe4o8+9Gfq50bpw0VA4VthlLhGFdiLf+lCjxKS7xZX+8agO21bcprhJLo
JVRQoRWm0BfeBgQhsnZnfNUmNwtpVI1pv1Y7NYn6Qpme8uMyGrL1rFoX4Ru3eFsOs5Oh7oo2A4VS
DR1sFA+96Gwovpqg/70lWQLhrbzc2EYdK9UGimneJqAaI+GdQnYexU/TQoNbIutQnnetVpvRrGzL
ceAlXe5lOOGWBR70xHsXeGyzQsw1AsuTGxYG/czb8M69JOlw1vhRfCwggvpx3wCsc1iFnSlyQQhi
nzL9DJnM4V9cIoZ0Yxt1LFebvswvpIyALCH3pesgmizKT7rp+YFW855aTx/lvz87dAOJYWbq3r8P
ZTr+BeWG+BDNidyqQ3ZNv3UON1URMhr5C25a1dCcRA2w7KkGE3K57xCzsWKrLEefl3V0D4HSMAlY
efpuX4EkJsc6hGUQR4XuOBYPXOqAUsAcRYDj+NFPi11K8OjCOoR1JtK2B+sHAgzdUh+AIQIr4hhn
gb/Pw37BivE+UIk3+nfWITavEYA+VMHe55iNFQtR9RFlpgjvw7gyosxe8ewHTXH4/3hOOlzABos1
gkVVUvjoIuP6A18WfiUeUqxVIuqNReTqwnJizWgMjl9FL0aC5sccsAvP9KSUlvKvTNJK7jXG+gGv
js84q+Kwicb5zoqwF7+VMZCsB5x2VboR4Vm/+I2zwUaOMekzVFZLxMO4+CajOj6HbJq/9XWLWHel
1P8e73qOQNIPDq1X42ColGmCEAkyFvBjCKK0yYDRXIXjxx+JMgoi6aXaKrR2Wcc6suPCL1MVJeG9
81l9RC2N+ONHsfVSEPHl8Xgc29SPUrZX44mzPsyhhAMkVg95iTKT/JyDC+Jx467vt1xckCmGBpJn
7sIT/VnVgFCkuTEnf3fm2EaSlTOgxAZsFnfAulC5ms7qGCfgVpwnwNYej8IxRTYx2RCKSHhDstxF
MOmPBre/f1CzvBOCYIPIaOgVBTCay32qEnZjLJJ3PfKvLcNIHn+/wwo2howySCA0cvYvwuBFaPqG
HX9gc4oZb8PHXbimaO361SriWYCb9pQv96bUYfIMkaJ4+NhD52fndcymISNQoi9JO/iXEIsz9ILw
Apxdt/Hkd2wdNo5MRsantGDT1YSjPElDzKkx4BmVIBu9ByXfpTONGk3LncsC6cSeEf/CoReD2oZa
mqOfmva/x0Zw2dk6s6kmpYlVCjvz+BNZYY4jTH/0NpFXLitb7hx7ZUYWH1YOA0hfKJNM71egxh97
Pp/ZWLKm78K0LrBMASDvLpwUzWUUy3cARaON4Nfb389s5JisiiX2EHC4wMLm0CSG3cdGLRs+8PbJ
wGy4mAGguwV1LL+Hnf8/E0f/TQW0V/PhNw623UNHg3e9BBvzvslal/IrhwNNGrQVs8Xca39p/FM6
LVllDmEyNAnwDUOC8tDHHb3tG8ymFxOx/n+cfcuWnDjT7ROxlhAgYJqZRZZd5VvZ7duE5Xa3hRAg
QIjb05+N/29QLZeSs5gykNAlpFDEjr3rFIQi26aCoo6svYxV4Ias+PhxprtYMtfcbSv2bDg6BN4Y
KOn8QYXjVyJ/gnsquUO89cJylvkatjjXu8rWL78ik9T2zAee9/Wip6vsoDFLvebzVoYy+QHe8/U5
RS3b7al72R6hO/TfQS15HZi2Yjk/Ea+hD2EZ0bt0DaZXKR37nU3n2tKWzS8NBIlo3tAM7turPGD5
qwLchjvxblfjlr1DdzoPVwQrH8hCkzd1V40NmI6S4v3t+dmyVH96bNCt++/88Go1OY0GzE/H2tcG
oe470hfjqW4oP0k2XsAGCHrbdHzwCJIdtzt17GcbacZwSmox5mDC7hC6TIDzE1Epsmltro2PWMLt
XhxL/yfQrC1jM4Y0Q25maS5DvP5rwCV/IjFt451r3bE6iXUETIL3ZFrnBehnX/+lYrm8AvXIcIjQ
FgmGbWjPTHIZVz2LvFkeFI9SvP7i2pd3HsR6j71fExtqJvLtQq/C5cFE0Os7m0SA7iWp4/Ln7TVw
zY9l5nhu1GM8NsHDb5ouqHhTQMKaPfJ71z6yjLtD9LhRhQoeOGt4Zma/uiQcIQQRIqscc//X7UG4
NpJl37TXpiI+gnZ8bpozhDV+IlHeXQJyDB6OdbaMnHdGUiT+gofcgEa2RKHwSBqd3f59xxrY8DLT
1FPXF57/UOf1+nYKhfxV0aU7lIdIbGzZYiKg/dcSv74VGAA7f1lTSFvc/nXHzNtEY0uzhqjxL4IH
VeZvaqZBfA4lk3MZdIdoW/0ktgy461Pl1wjLZVsPfPvzdoy+zwmKeW4PwTX7lgkDt+aFMRU4vyFc
/7jUcPe7Cr7Isda3Xp8dEJLPaxE0JU5SVPtBrQbyRgHfRa65/t2y3i5ME4l6A/qAekuwNItYfPVp
aw7lUBIbUUZRQDsLf6aZkSmiNzSuY3L2OgntztuT47jbYstuOa5kk1Rtio0/vq2D4MvSLBwYE1Qi
QagiBH3Oqa50dPLzeOc2de1Xy47rDqGJpijThyVktLzUOoBE3YoH+Gks472XkqMTG2FmSsEmb1N4
Qd2FDCDBM8X3ovbVJRrrbufMcPWx+YjP9tVCgiAN+oRdO8UBzAIr5V3HGRKYKxjIb6+OwwO0NTXN
GjbLXPs0Y3BjQ+EHeFIyXGxqQ4D5CoMaAxAc7JihqzfLzifaQJAb0ceMoXU20i+sAx0sl+ET6j/W
c5Anew9Mx65jlsEnFVtRx2VSxMCi6AGceSir09jfS1I9SRR3mWHQfzMD/q1yDHecxG0UL3hxNg6t
SwcowVVNigCMYe/rdVASQq6gkgFWtsuzggxkx2hdG8M6EqCwAHUOEJVBj4AG64n7fsNOrFm7x3nl
e/ybruFY9/pSwcutSU2zbmzmHzGugbdtEgf9A4i8U/FmCuvow+1N6DjhbEgaUz2EOuaAZGVYJI+8
z8fHMPa+HmvcOg2gKohanBmhBjnp9DV417xzzik/tqNt3Jk0ibdogn0mxAK26ZxW4n0CSidyAtUb
eaoJaA/PxqNpcLk9HMfS21A0OlFYZYdVMZMCzT1kL8CAMDzEwaL+ut2DYzVsABoKXvu+LBA8kRHy
Kih4DfyP85DGe3qurvatQwCEEKMaVZc+JFHRfk50XP5CYfCe+Lhrfrbvz85MOku65Dg3Ie4FDoQr
9+qfLB66VzM0g3eWwDWA7fuzLkydxGOCmzQTpNCXSYcQAMDrY+dEdrVu2XauvFGC0wxEV21s3oyo
aIK8CfS1j9maLbVpJiQrfVSwZDBlQi5KLNT7sq6e0jtnk+v/rfteUVbmaZUkD5DS8L4wGSJa0SeV
2Tlkf8vIvHDK2nxmLEnbaEgm0MhvumE0H/5OOGoRoQ39Hbws0yVP6MdlGD4u4XAX1+q6QhorTfz0
VK18OW2iLUVRPe2LtzjGa+PUlpiRmbcr/kdxykBlS9SGyD/oudowNRSSjqbCzY86fej40qKAlAZM
f+f4clyT4XZRP9vKSTr6cSto/MDCps6YGe/VtOBCKaGZUEfDnRnU47h+AghpD7jguFVszFqY81SO
cOwzXYTlDxYW/+QJvL+JVfOjN+xKtr+s5OInNniN5elUkBlF7wxuZ26EvlANSYgu6t+wBQgtlobf
lyr6xFIIq0DEqbyOCFIW4OUGZJJkt49S12Ctk6JOukIDRhpkAAiYhw56mSBuWtXPde7aO9QDlXss
765NaB0auiUabCndel1o8MVEozqDSGAvUORq3HIEELglmlY5mEt+u+5Q+l4uHgRkLrcn6WWuSCyV
fWLoddRlu8CCchPxc+k144n08i4cAJ+JzEeVrr+Q449PZq4/kz56LJFjvN23a4Fs52AOV1+UBl0n
vEeddvJtGeEglCng3EUX7mRVHHeSjYPz4BAA775C3hjpSnEKAfKXc/MzSIJuZw4d47CRcCzpqxCV
RxgHRCPUpe4DTGGTQ91lzD/Evvx+e7pcA7GPixj8xG2/TZdZJALEobife/JYxjnZOZAce82GxdUt
6VPWb3thO9lFDkgf3h97+T9X65ZzgI2EpI0ZtuUe8ukCHKh/2ar8bs+Oq/Xt+7PDlEJKXDTxJnAi
BINA1QxIOnjm1THHwIbEmTaepVkABsLjee7u4YVDlbM9aAk2fRqtNApAxjbMAIeOYGkI8sRqAmS5
eY8M793tGXK8/2xUXLc0OSj96zDbqgKWWgsIMkZPJDAfZOV9G3cJBV3mYJm1CqgHNrCtn1ZDymu8
C9n0Vzd3b4Zpl+Xasdo2LI5VhSJ8msKM5nl5l3dmPUPH4fPtiXIMwIbEGU04dHOW8DdT3lQ0P7c3
8tiAU/AYnyAQIZYt13UyLmJYMUdjkuUAkJ+REXhc27g9z1L/fXscrknaxvfMJFjZUTOqMMywu/hF
b5l8YKl2JsnVuGXNG0PVWtYmzHg/tHcqTf5JdLXHaONqfPv+7M9rVLl6ZuzDDFIO3UkU9bfycNTF
VvOc2FAbz/PCbKuP7/PhDF6H98ghfurG/u+jHGFYY+vmntbBVHWCbWRIA62RavnRIpN/7DyygXFh
gqOUFBE2ECrhTsSET/5+FZRr+i0LpgQA2j4iKK3KiUS58YqAUdQcPKltPFw4jaB4XyHccGICrRuK
4BPC53sM9Y5jzgbEmSL0aqEZrDeaPoDJbgH3LgjUQL4ExetzPOzeZ4772IbFLY3xctPh0DaKEUhD
eORsTI8ymcUci57YYp6cQbQLuGXQgqTVJ6lQ3+BVajy2g2wGNYOKJ6jN4XQQBDjyfJNUCoh3MG1h
w+CQsOM5XTucPZ4fXKDv/gnloeyuH9Id2Kxr9i2ne5Id6DPHNci6pvWxk6Lvy1qrx2Kavevt49O1
kSz7XSYTCNGwACaWvJ9w/IPCCNxU8w8JeGvlkx1wmsPY/kC+gS9gXCEfnSEp+FkvcOaqHvCG22Nw
NW5ZsiqjRc0dxSndAGNg8BSHy4Uj9XbrjjWwQW9TBHkdSGRgkfO61rjCygSkKXKtllf9uCmW3+7G
MQgb+AYAdhgSHYL3pY2mc1eCanQt0n9uN+4ag3UTM6+B+Hw4h1lSLOkj9cT6Yeo4GDvKg5U4iQ18
E7LTfmvmIGOgzTgvIJ8+aZLs2IFrcrZxPbsqZTFXJUJWYDeDpOCd6WqTjXBZbk+Oq/Ht+7PG6ygo
QNKwUad5oK//TSMDzfgfxxq3LBj19IvQesTMM3WtBQ9Oc3iwhAVqRv/9c1aLPDUzzp8lneidNACg
LZ7od3ak42iw6dIWVukOnDpBJrXHL2ZZ+Cs14U1OgFb/gFKxv8dxl6zWtQaWCbNehmZEqW2WAwP1
liSrfupayBLeXoSXtz+0Wv87T2nVtTLa2OUaAwuWDAw+NYU3PUWFf7ndxcsDiG24G0FuHEqaOEfr
AblHNiLp1IPCfGcArtYt+xVj03fVrIMs8SHtBoVAcSaN9+3Yr1setCZhRWlP5BZ8mT5OBQhqB32M
RNaPbUzbwvqgyWkJ1YwY/MbgBKWnAjWwhw7n2OZF46UH8M8E2rg8RuyDc7W8JpsPGpbrIRxjbAPY
KIRLomTNca6N6lsCooFzpHdDry+bWGyj1mhYsckHq2UmFXsSfvWUF6A/JOw9H8pPabtHle3a/1b4
S8SpHnOB7WMqzNJves6kqX+WlXdIPxGrbNmvLglt4GoFGZ/ID72C3SEuoWt0aIP+gV0DcSyFgEWQ
KTF9ncTKTv8fDq7DtGyMGk/DguczA15paMMTl83PpKv3ZKMdE29D05KxCIK+WSgudTwCCEMpCbTK
mpM3zYc0K/zYRqaRWc89B30fCjEB8DsnBMSMIC//99jUbwN7djeCWCOagrap+EkHMyB1CoRxONv2
xKq2I+bPTEtsw9IMQNlVU41bqnH8SBsoVrbyKUcUpUn2TrffivMv9WHdwEQZskKBfIW86qwo/8Q9
EbOfxoyy/RXyPCjPcZSXP5emTNf3SxMUUAtkqkri8p1UPpS5zkPaQSryDI6iJTU7AVvXtrOubmig
l0J7PUY+gMSpjqDZCNWxPWyCq3XL4HmM6lzU+vpZR3rI2EPXe0ZI/ZC7DW2X/+4JEZOSsBQwOeCp
PgEYUN0VAV63hzacDWLL6UxYuFDAxvGaon4EfJ9ZzfV24w5ztDFsoAJPlzqEGzmoaTp1E5iUag3W
QAle0MvtLhwzbyPZQpbgwZn2fpZAgCLgUXRmKEA4dhDaIDZVF40CBxvy5g1SLyxsKdSuURp97Nct
W0eZfjGZSAF9vmlyLtCGvIOwr9jZNRui6AUzjLcJe36SoMAXC4miEgPxD1CqxOMHU/ZvYiSSBn2K
U5Az3B6Ga5Ete0etA3hwR6AxNhC9QlXuZQrEcOo7tlct61pjy3a3Z3+rOrAeUg5fb5moupTrrnCA
q3XLdnXQdH6+IW8mAyykn/aXOYWY1u3JcTVu2W4N1hYKEmrsIK3e82Akd6WXi1e3G3ec5n8A1oa5
9KIc9INcooR16eSTBpHVKUDpeNUSurORHEOwmdFyVnnIc3XohbLwr7Bk4iHp52PQkdhGqy3GH6Hv
jQki9Thlv6e/rYe/b0+Q69e3iXtmA/WAR8JcYYKmwtdn0qvwbl0Y29n4rtYt++UdXUutBx8ybN2j
ZFDF8utdPjpX49v3Z7+u58JbxhqHA4mBjU4msNOvMcpsbk+Mww/+g/9s9UMUz89pRkERJ0P2iiUE
iWb6b0LCp40k+HY3rkFYhlvDFWtpuB0NKOAwJYoW23kQl9uNu3a/Zbcc1VS0SMcUkXD/3eLXZyrN
W6WT+/0iF9f/W9abIOcEitIW07ROa4wM4wAGuiptp6dDQ7ChZkzUvJ8B/8qUhotXV+NbGq/XLaJc
VQd5u2IbXib9Jc+9fMFF4BH9VoMWYKvZQIpiZ5Ed578NLhNBPJDGbGaQgJexw+vzJHL675yH5HR7
mlw9WGYsGCTVxRigtNBreoA+Efb1AeWfl3AnzevYSja1mUKRLeJcDToITXTiKXtU/phRgZhgEuxx
5jk20x8UZ20PGIpE1JSkaXDuRvFPF7M9xWTHbf8HuVkF8adkgBsUNtFrEhX3HJqoZ6UAlDLqYSij
781S7MSWXcthWTUFn5Ppgo5lIk5aH9VMtJMBqLAiKpoM6am22wkFuDqyLJwmEM/0CM5AOS9/iciw
1ylqIRrh7V2griWx7du0au1irLtsRfo1iVTxBWVHe1EAR+s2jIyOVZmOFK0vs1AnmbbjeR+Z4Jgb
G0Qm5dRM3GuBF+ZALAoEbC+1H1XnKj1YYRHbSDJjihWaDVAsA7BqOide6p8okBuX20btmh3LqPN6
QAnhOMHm+lK8V7pMX0cGedPbrTss2saK1SQcdK6ho0BI9JDgcZuI8cOWbT9sBjbbWdKvHkbAEWtA
tB+UQ9CE0iARqUCktDNFDhgVNA3+6wSIYp20mYooo9BAn1Lvm1njjLWA9G3HU+qfyyh6Ktfw9VAA
BNHKZqdj19pYFp4vgydbhSN9AhU+VPaA9yxa8c/tpXE1bll13oWeV9UR7qPtJS4maK4D23uM8wNy
a/+dstFQ1AKsW3gmYUh/jUntPYxNV568zTW+PQKH7dngL5G22o8MioOqknzSaV+e8rZ51VOA3G53
4JgiG/s1lZ4eUJgMNquiqs/5VJkTJH3r+9utO5w/mwVNaWSygS0Ls8k3Z76AYVCPW/EGfe8RvKr2
r1XXMGwTn/WqRNO1Vwlm5XtSoM41nsFkdXsYrlXYvj/zkAExmvrI62Accu30VXm0+ER0z8RjZQq9
x23tGsP2/VkvJpnTmuUraDHBj/G4sLRfIYRb8z3wrKt9y8RVkYwKWUgcg+vS3C1waaTYRS24Grfs
WKESHJw68L9pb5AjpPH7ad2tx3EcsTbya0HBYE6Lqr2aMPiSq3V41yG2CxmZ+lSQdC/P41ply57B
SRbUAxEAt6fFkxFIklMAd7yI7CkhOebIBn1pZuKmzzUy5Tr6VzfjV6rHveCaY4pszJfoSt3rkUdQ
WTJ3vGWPJlCPsLNCHoO9xDbky0OMZwanuJ9F4PY8TwGsK6zEIeVsP7ZVM5mnQNFXgLUiCaBGtDCh
T5WI/r1tv45jyOZAE02vcb9VcL6Qpf2J5fXPiY9cAxQEyTswxtVvetD27JyoDv/Y5kPLOaSH/M3D
Z6vMcrA9//bJknXKjA+q+qhowOm/pxHp2LM2FqxW41IGAp5BPYCpqZ7B2DPN6dsKBcM7kR/X3FmG
zVYyQJV9aq8g0fopjbxD4vhVIqufW4lEII5x7sc2HgzETEyDW87PdIi7dCtErv2e74zBZXiWZSdr
E6QdENlZCED9Pa8n+jOudglXHK3beDBaeG3lkc0/npCCm0Ikx+oljHe2k6v1bZs9uxWgaEFVEBWo
XI+W+Y6HATuXZv142zBcjW+L/qxxziNwkqdIYnUl+3eKUK+eRmDLvN24Y2/a6C81JlBLm+F9EU9G
96pC4FAUcnpKi7nc6cJx6tkYMFXIfpPmAIDHdDR9IIlqwPasuxb1k6cZ8hmhOLd+FB5SVvZjGxXG
moYWrMbbF7eyuhLcPadkBCwVhGnHgNqxTYw2AUo16kYClReuYHWtvPTDAIXiY5bwO5P2bMFboejQ
FoZm7UDG0yIA3M3HZK9a27Xilr/NuD+g9B5BpnpY2WtMVXwKfXBMlYhvXI5tKsuUFxTczjVBiAlg
nq1aPlAXM4NWugqnveeiYxQ2KixeS9lVS+JnY7p8AIPfO1ZNn1QQfrs9AofN2WgwLozXTcjvZKTS
63tgYvi7Ss3N3bHWLYsOm4GTdqvQAy+2POcJko8mOchVENtIMBUB2u/luKWl0iNeCzW/m7er+ti/
bwvybHN2/lZ1rUpElop6OJkVm7Ol2EO3W3ct67Yez1qHwmLlaY3kwuQj3d3B/7qEZBourdwFxLi6
sDxsKZLCEwXK07A5v2sCPmyyrOvJC9I9uJNr81i3MXikGwMqnPaqSuguSAXMVhwMey8E1/9b9qvy
Ne4g3Ly5LgjDhIX+xlNw1myhsNtrsO3CFzKFtoZm10eR6UHzn3V9i7KNOQqWE50q2UAdIaz/TRhL
Xq9s3SsOe3k8zAaHQTpGI6WKDZV3UAuiGrk2ASWZk78dG7dH5OrCup6R16eMJhhRG+b6MYrjf8OZ
y0xuO+t2Dy8vObP50OQgI0UkHAAJHfNzLUE7GM3Q87nduuv/t5v1mVVI1ixi1oi8dQtuNDAzRohh
iHfpFgi43YPr/7een/UAlYR5Dke4R3W38lecAVSAqoK9lOHLHgDCg/9t3cz5QHMGb1sUXN4lKVOf
meHdqSgG/9pO4MI6NgrLtNutGELDociqKUozHU9/QdYlPNi4bdU9y7ve3+J7pflbFc14novdKl3X
/FtGvaDed4aQAV7mAeojZYnWI9EcusyYDQ7j87JEdYHQKhaiOlNDpvOI4OHtOXfszT/AYWMfoVpw
+/MVxV40hsJkvEzBK4+3yyF/iNkQsTpcYm8QeHZMokReAWjSu1727c66vnzcMRsjRpYiJkuJd+fk
p/cb/g+y79D/7odHGSt6Xpfkn9sz5VhjGykmh2CQC5Szr7xEMPrSsWms3rSqWb2DHWxL9MyIw4nW
bQ/qsqyrqgBgTC7uWnKQGZbZWDFKUMnk94m6hp36OUVQ/Q4YpL6OzY1luWTu/RXPAeBIZTCdt1qs
37HHY41blisGyUEiDehLXZu/tQ+mxXmMksuxxi3LnYYeFSjtBOBxVVZnUBB9q2ax5w659qblSE8N
0Ougd4YrB3ZyeEPyVCPav6QcYMY1eJhFuwMAcOxNG/bFIJQz9x4eBazz/Kum5Xgfs+DHoSmyYV+q
9eclALrwOg0+uZsSlt57kzceqk1gNuJLpjVkBsHrlpF2Dk9Go7i78bo97Kvj6rIhXzmkTDzUJuS/
RDS9Ddf6p+6a9yDj+dznzftj02OZ7QRCzijUQ/6LNeKfqR2+DmZXYtC1rtv3Z0eCZCpIaFn8714x
YM1908+FOLhrLKvFSS24j7BKhrRUcQpTyBYiMPR0e1pcM29ZLShGlzD38OvMS95TBYTjpJL7SoHi
fEDY9HYn2xz/6esym7qMMlWsNZ3ba5dDgpHRlt/xfpLnvgN99+0uXEtg2XDe5xyc11JdkxKl4ycS
xHhyxP1BZj1mo77CvFDMJyr9Vct1Ockepou6dMS4Et6cbw/BcQzZkK96jcDGMvYtgin8u47YK+0X
75gqnyYxZvNMrre7ccyUjf1C+mBm2LDqarxSnxLoMNN2PIbdZMz2oeuy8eM6BZd91I6QVV1+TD4q
LY79uW3Claa8L2NEm9LoTrVJeQnmXQ0wxx61ScfqOGqCPuzROKuCb5r1szmpqA+8dw1UQ9odc3s5
Is5sCJgQYdojzdhedTNlxJ8ugpDrFESPxmPZbMa3M9JFx2bLsuyw6oOCRt7/1hk1TTlSRBX3dtA7
rm1k3chq4grvgCH9peBHn4AjB/v4Gu34oq7FsKyZ5UMVjsmWpUDl16MY1EPYEFR5j7skEI4ebBAY
aglU37SwApD6D6fFR7I9DKbkTUU69uH2Ajjs2YaAhUCghkgUtdd61MkZbmhz4XltvhkfvJZhkqtT
WTX5MXIZZgPCGNd5y4vt9Rqgt5qhrKw3fGexXbNlmTWBBnOwVH7yqxNdfpKhEHdLAL6f0TtqfzYa
TCI+rklft1eUyE0ZH1FcYzb2mCiMjiHamI0Fm4qpqmdQwV9x84/sjdQ88EAgA/j9Y7toI3aOqfTl
285GhXFey8KsXXPNF6jNFQkQeWpsdaZopJ9QAgK4YTe+NiYq78Df3+14Ca4lssy9i1b1f6kX1gbg
DBshe8speH1LqELvDMxh8pFl8jxIgRdCBOy6RB55Rfw5uBaTzG5bi+v/LZPvcGlIWfD2KnrGz3ma
qieoVwTnVRRq51RxGKQNDcNrKqYgCMfbCnA9NZmv8BKmy3a7AgPVX/wNcXN7MI6ZsnFieTSpYE3g
VS0tB2EWAxOMWumezLHjErEhYrmpTR3pvrny1P+lvOWHruQn43evehY+FIX/rgc52+2BOFbFZhnL
ObR1CIFV5iO4TcWck9ejnLuP3lHYDfsDNDbMKo3HoblOdRcVF6Skg+FuHWK6l0ZyjWFbpGfeORn7
/7m43A+qazdONPPn8S2UIPTT7VlybSzLQ09C2cxBp0jGw+lDEvAvdS+fNp2BBBwtI1htjnVjmbhe
VxgfS9VVLsPymk/ha+hBeqepRaimINOSFYHcK2RxTZpl6wy1xKtacIhxaAXVFGS5LQhR4xYGc3sw
LhOx7D0Ha8jc0pFsROdXmns/A1IcdBRtqBjiTBBVVFNz3chd3/FKh3+1BcpLjlm3DRRTeTEmJmpR
GZPjsPopuKrWR66HKt5x0R2Tb2PFkqWHlvSIhe48vMNYkbwXIu4vBWKMO0PYLu4XXmQ2PRgQALxq
YrjSG4yBiQpoWXIN/epng2Px9gK7utgG98zsmGeiaUYxAg706onm5Forc6eq8GnbSMe6sCw7TMdE
rmtMMqVAiaEHWZ1y7NmvIKjML2lHqkM1Y8xmDBP9GnZhh4uPpzy69xTYFT1vF9LlWm3LrFkwrABE
I+UADJq88BH3tYnm+b5g3R7PscPYbNRYlwdDqgAJuC5ICuSQALiWquLH7ghbQpMWECbkom6uUrfq
7wWs9JlJpvwaKC53DgvHXrLhYmAGENBtj5prqNQ1X8m7BBUn/Ri+LsKDMQobNcb6FlUgCB5cxQAl
n2UAZQgf8/VrMOji0+3t6lgFGzaGdxLY7UGcfJVjyzOiuvwdKvsPRkBs2JjyUwXiOQHvtlbfcg5m
mF7t0ai5/tyy5Zp3aY2HPNpmyDyUATDPrer3pt7V+vb92UkR9rkZUiQ9r3Vk9PRqAcdKc5Z1zI9x
kDEbGkZGNQ8jGJh+Mb+d1alrOjj75bxL7Om4/216sBCanAnEPptrTeM71efV/8W4yBbjYnHOTrJb
d44ilyVY9/Ky6CKNasS51uKxEuUlCSDbESzkeyPiL8e2qXUzU4+ODSkgGisHgSwl5Sj/8Tqm9sDi
jiHYILGu1UyX48aLT1GpgfkqP6tCf6Z6OYN4a4+UwOEk29xhEgTyQoA+55q0kKibdFEhJu491HHV
nyk3y8XI+D1j/J/bk+Ya1LY1nu1hbsQaTZ5XX6NO1Oe5zc+yAG8MwjmAIWK77XgGrm6278+6kQC2
xrkk9XUK83NeTB+TMgQz73pd+Z7CoqsLy9aNNN3M/UZd2ZLM18nMZ2kicqn61Jw6Vox3xybMMnqN
c1XHUAW9cgM0HAe5dE67N3jCvvN2Y/6uoVh++TKlevGgApaFCf/eBfTMpASiBpRQsZafbo9j+98X
PCkbRrYg3ELAy6WuauFfcg1Igj9Ue+RErsYtawelO4DdVMPBSVd9XjgosVuxGw9xtW4Zeh2vtE8S
3EebRBrUS8Rdkx6s02U2dAxSGBHIGRFPZRSUeixBKEeJ3YITx4lrI8fAEF6sK7gHAcWdPiy9Gi/b
e357yqc69y/7YFyHc2Zraa7jOhcjULLZyukXNXjfunnkpwlp5h1P3LEINo4sbDvQHA7YPxtPL9Ub
o1Lp79VRuP7esuUcUEAopoO83XjteKGDbr4KDm2yFFqIOxeS6/+3789OpKnUMYSKwSyzyKLOEdL0
SnbqelMm2SEDs6U0ZRukMerH8RKtAyBxyBLz8NQTUhxMPtr8YiSPPUQ0oZqR4LWYsRlwEwU0P8qD
889Rtcfg6loKy5SZmpOwbFMAW7j5V3eoykn0+CEy0Py9PU+uDixr3pKEkkWgSk74xu1C9BsJR+dS
Qah1Z6u+3ENkY8hUSI2UfKivDAS9ZwJGrW/JphstIh7uqVC+vJ0im2Gs8UBsP9V4as2gQ4pe9ena
ilOVltMxgFFkY8igYZHHxVQGgLksIJjmoLCfY3aMGDtKrfsZdAqEJ/7AQY5WzOJSg6MIhUt4l95e
Y9fsWPbsNQVkpobaB3EJD7/4QM2eqecfY/yIbACZ6tMl0L1PChCV1P2pYL3KAuhO3B37efs21uVA
ud5m3i/7Dh5MPd6vY73rUbx8J0Q2zRgY1UVAx9XLwIB0neDAbLWaCymzGTQF0UF6hSi1DHmaRr/p
fWAVzAA7gyrHeF43JpBjk2RZsSdnw/wgrq7AUF6avM5ksO5kCBybx8aQGVUHxO/RNC6DE5XNdd4N
E7ua3pzwZ5cAbda8bhLcknzw37MFonaxTo89/iMbOpYsVZzHFWCS2qhrL+n9DDmlU+7Vl6jchXA4
zjYbNhZ2kO2dwmjNIGqhTlMPk2Uc+NhAF3vvHlcXlvEmeTOQYNJrVsRj92mt8+kvnhafISjpHds8
NniMMFIAs1yTTFTD33r21Ol3ifKhnZlY5huFAETLGjmNtaASqkyb8kZH9tygl131KKH/3UEG3HcV
h5ebcdAbnDf8Vb6AtFqVxbsYZde3h+DqxDLdMMDhNoRwp0FWihwpwp6bR8e2Q3qmx/AVkU0clvig
y1g4FoF0EJrRMi/OcXOQ6jmyIWSJUF0UgN0F9e8aOO4VZe9jP324PT8OM7YhZLnk3CsSBLa5WDxA
QyA+2iy7kHpX69YT2YC0J+pKgl/v0/dyBk9mNIljJOqRjSBD7LerBiUADW+FvAih9LUIoj2EoGPj
xJbpLsGSR7yKgwyKuw+cr687H1W9dPzr8LViM4fxTTgolAJPPUzRSY5IgpUQLN+JGzjOntgyXsnK
picrMlQglpTnDjpI5yGWTzHSDDvup2t1LQOmS92w2eRg1UmiJ1UgfT92B4lzIxtABqVf1MFM20Pe
pP8sAbglfblLfe36c+vKZa007crA3MU65Ot1D7rQVoBc4pBN2cCxOijnshAbImqr5t0O5txTybFJ
tyFjMghJVQEvn/HV7z4KVHK+Y2DjPPjrlsESgKuqSKBKXiGF+nrpkJKfAWzYycY7tqQNFZtEQiCm
AOJl5aF0ZxmUfx18EGqsFbjOjs29bbYkSQAV7km2Uf6qClgVuFbTjkk5to0NGMsjVc1hjzNhAi3+
u2CWyzmI5F5SxdW6ZbBa9Am8G6CpS1rN5zU2mRnB2XFsXixbhf+tIXiI0sdOhvJ1ByXi7oRTpzum
Ix7ZOpQEKD0ZreuGVu1Z+WPLhtfxXH25/feujWPZaxdWIYogIH7626JCD2StJgDlOF4ve6VMjtm3
0WG6HVBqRHBVkckr8Ygom6o44WIJj0FpIhsblkx8iUIf5IpSkh+1jMu7qDvIPRbZUDADmvGuZ9vf
D2V+L3NADVezlwpyzH60XZHPXP0wmMMC+Q4w+C+gzqiTmfy1FpN3QjCx2rGs7Xz5M6Qa2VAwCslZ
7TFUWPAS0EK2gjAahfYCqT42NA/Ah+24O45b3caDrVyyVEcCJdMFfVrn+rKo7k1eEKR59+oWXLNl
mTFgeozJHnoHiRH3HRKXrWkuq7cXzHA1bxlyWBa08barCzUM6aOowWMKnKf6FE27QBCXKVg+c1dD
e29NUbnMTEI/LFO+/IrEslcR4Vpqy5bF2pKixYMXssn6jdBJpnh7EXX5tKz9KTB7wnGOQdjIL9kw
JLUCD/6bAbWSomQ9revRN7uN9kqaoIHyBGRqZFt4PzhNe34aQ7yPbp93rp/f5u6ZxSFf1sxgjkXt
S8o+Jchq3RX5GN/fbtxhAzbACxRBCwCWfpjF/vouNPJTlzevkzZ6NUXB59tdODapDfBCvemqghqR
T96GIYTXg0aXr0PguONLX9ay3SkycE3T9v3ZNE3RQNccOtwZDcU/EKqsTw0C37eH4Joly4wT0v8/
zq6tN1Jc6/4iJGOMMa9AVeWedDqXTr9Y3Um3AXM3Bsyv/1ad8zIfZyolRSONekYzFNje2/uy9lp+
qHKMHx2PKSFHvoMJQFv+EKzn8FCnVmljyq3vg655oGCfMqq8o0Hhv/RioLtST9U5wuxTn7GxZdrP
ZQ1tdRDxR/M3cMAbVNWPX3FU6/x8oU5twsaeWcH7VVjIyIiqXoH4WeLveSWjr1F0hVtgVzH0IPST
OZxR2d/MTfQRrs3XTukW1AW8/yBLyGXtadS+tRGsTBQo0scLOP4+X5sTO7xFdbG+bKNY4bqRrrvh
g3+YNbs2kzhjySeWfgvpWtfem1rI6+yHPJ4xuoD8Wk5xeSbTOOGog+NH/cO61NSYei7Ao4lVOdi8
u6EO2XUdNzdHLz2NQ3dmlU6c0eD4ef/4IZuXdo4czFj53rNsWv6rjtBXwhAeJKcgULf7fDNOrdbG
oq2kkR2hb70vwuC17vIPr/xiFWWrAAmu/YnRMcSlTMA7wVhTJpFfnMM2ntqIjQ2Pfl3o+aiG08fF
W7zo+3l90rG4tbK0RzD7mezs1DZsDJlD6L1YMOq311V9WKroT4ChpFHmH2N9riN24ku2oC7FEVDT
45cgHroJYlAT0PzjSIXc1TwrvxojbYFddSXmaYpABzYPPE/7HvLlouIKzFNB/rXDtAV2LSDragsO
+aOOuXUnrfqoI53vPz+pJ9zGFtdFJTCTUPyCuFsT3elZfFBX7uPYPH3++BOGsCUEm8k05iKA20AD
PU+sAu5t8c4C4U/t8caawYnr09WrsMcVeQsLczytHByqCe/b+xiFrs8/4tQabay5Q1AUQ3cG9Dp5
9R3MjcAaIIQROXn9/Pl+8B8v/S9JyRbj1euiZqGBDkGCWDJ6r/2aa/BozGLem9JVD5zU3qMgdTRA
gM+iosxbB/bqeRyXn74l5HmMeop/FhxzHzRYJszeCXApACsZNyO6wlW9ZwPQgLKDZJxhIq/TOezs
X9LE/oSJT4+9uMa0NwVoC5pkzjFfJ7ueX/WTBDcP5k3iXesjC+g1NxesglSfnsDal0aAePwIqi58
4CIgyeAtsUZ72NqbNtbkB6VFe3HsuF5CcJ71Bx2H8/MQd/RO9Kz7aPDFXgYxqXxOAD4vg2+KikDu
cV/KIGOhmvp3EzdW/RG0QalbQf3LoStWFlVm9BgZKJaC1nSn+GQPAzhIHteg6Z5qihlZ8G2BB6Bp
lmtbCP8318341JJK7xVEkYOkH5syJVAQQbdKTQbinlE7donpOkzUzJ0D7aGafIAEaYSyEekcSqYs
H8sftrL2u6I1SMrZrEXKK/CsJLpY1yIxfuypRNBJZnrh0x1YAtQKIrcKpHe8pmy9FwPD+npQm5xT
HerlSYFS4D3XApSdupNtD1xoCQkyA+/4Atlr9IdkPfNfoonXa+4xKn9C3nvQtzRn1TWy1incqRlL
m6qRBVcgygquCpLTDGys7AfxHe33IM0yTy6ApkNWNeswXtVkrS6LYABkKdbquqUdsxkfi3lKwLAL
IKaqTa53Cn2M6hH/nfQSPvNaXvPQlBdeObkhIYALvUBiAZ0Nx3B5Iwddapb6nmvClyHoFU2A9Bqx
rhyjaT2ra5fEc1zAeNTQf5cVcvvEtGKtE+FHECHwOgqBeX/pbltnxaHwTaSScZmho2H6MP5Wly0i
JqJH7FLDFCtTLX3pHgvXzo/O4sVcHxXrBcUy9reiRb6X0qUACyCYMi2G7SNMeO5I4dRHCyaZSx1R
ee8ESPf21YC/0q6YwI9jGYkuCPXWIMGq9pkpW0szMi6jf9lMhk47vbLy3YPwjEqo6fCSAMf6vwiT
7FnBNIcEhOPBVcXjcrlYoPZKvmsTBMHO4vDxHZmoZpdiHYtgh2rwfF/wyqHhGIjqFbDIqLyIrWM/
wOCzXJhwUB8YfuTdI0WK9gi432wSU1WWvLfg3DUZBx8rBgxXD8NzIsAfe9AkpKLrhxvj43TVK/Nu
88hv/zjT2p+rHKqbMh/EYeYB3n9QNDjQEQuUDOXYfoOjy8PrmNU4r2s3NldjULMP0R/lYwcmrl0j
MMnUdK1MVT+iw1gO1YNSE/89al6oK7+Y/INVtbXZ3I9VkE7tjERYugoXsV4XtyaxicVfb+0rm7EZ
JBHfKjJgdwL8T9fQpqJ3cAaAEFE6XZJFNJdsbc0edaEgkyLP5WEGy3RChyOMuvCn+ntt5jAphJZd
wnI78quuNZX/UAzjoNdEdXADRYbK6VDcdQyDi9eqb+3fuqQeDhBY8/KsBhmMSoJRTfe+Hl2BOUrt
1kuwDhsAduZ4Hg7K1ZgNlT3XVwUfsVpBCx7wrNXiqDxcFuNj3xPu0iJsxhcVjtGjLIV+xgBB1Pzu
hMbZB+hBiQNoVfqLpV1FUaa58/s1BdKovA1mvR5yWjoFaTEKLaXUQUL8j8HE8G+KYbUH23vxQw3D
fhR5iFXU3vH4zeWk/8oWLpaQIFd7qcDnmEicpScO/Z/f1rjysMBNXkjIhGfoqgbqxRY0KA/HYfAw
qyPqyVsJv/a0Bscz08mhCZJ8duV6OQBvshxYORzBPhqaWJnhnPZZDkK4HtIMBNmRZxuy/NHFHNzP
DlpAe9rELjqoSUx3QoXzE2pgIAqEcNp4H+SSFyCHrsopEaFoXNYSHA4S+l6c1lTT7xx30ZQUIzVD
0kDy5CYGdvCSr+3405Ki3iPDbIcsDpWhiZxZ9doAF9vt5o4GfYpKhuc9F3Fp7H0w+o1IWpTFSErq
YbjB8NcYZ2C+HOdbqUx4C0yZeHaYtn+zuPcOEfSsUsajziSsW6qHGfx9t4wz8+iFE6CpGpjlJw1S
yAOfi/6NlwP/hqtrzqjzPQjjrGp5kksZFgmPajJl2gsCdrEwyBffzQoTGGUibEnWJ4qhXN7DGcnj
TykQmbwz7uH2jNxCeUoqGeJFnAjukZl7NdjZW++R8kqSS+NF86gBTWj6ai8gX9uBey7ATQiKOD+/
5QoUdHVFKNnZ0hPwpUU03Wo/QCWETktrLrp4qNo9Knj5q1Fh1dgLzIu74o1NDJT/VY3e2qUVUxc9
dlHHhkQrNMuJROc8oXnYw2oAbH1uWE/vgMarHiD2xZ7tjHXYNUXuL78dYDPX8zC7Ko37qLMzWIP7
sX5TOD3+c+8LvBXQrPwPyn7DH0/CsgnUnj4EdW2VBOiU7RC6QDlOIbi6xpTmgC2jU54x6k13QN67
KGlJWft3YJ7042tQzYUUfEUaarJSTd6jK23YXw/acVAceMUPYM1tuOsgmvTBY9f8iPOyjxNDdeHS
CFmaA3qH02vhLd4bJLdhjjW34XAtugEvz+nU3ow9sR+dqh1NQ9KVOkUotZJUErjDiof1fdt6PfTS
PUfBEyfYCB+Ma81Pse6zTEGoHDzO64LLiLehDjPJDP/lptZ+jwzOHHr5QLfNsyovPdxtl3PLzC+Q
tyEgmSU4CEpZkzHtwN6Q8a62cZZHMd93cV+RpAzk2ICaESTWGJfA7RnHOa5qFZPgElxL9XfmDw1A
RIXlEB9FquLRRNUKBKQSTgQhpDS3NY+DR1BUt3+dgrMIltZb9nxcuLleHUTDXIGLKJkDZVSyRpBo
gmIK5T9B/N1312yqsG+zFQ6APbfICFMhtOKEp9CH63PgOAhusGSxBVYdLkQ3t3BJkH9PMK5OSOYV
Xgwa97iCI781gGiMWRAZbKkf5Xq5m2Kuqt2IV1yzlTRcfK/8or+al2H6BojsSrIVfQFz4DE3L3qd
WJe0cOCQ5IVS9U6Hk6/TOO7KtJ0w3u83nvwZ6rW+W1lR3aC9U6RzzQH0LInHXKKC0hQp78Gec+GE
E22CjvNYJhOKZ3mqsao6qcwS0KwRjax2A417etlETFwu4+Leoqpzr21Y+jxTpe0zhcuR5Yks1VBl
fd70e6wcRgTiNl6uOTykl/LFIQTvUb+8p3kBP6kRceqdrTBjzSbFcbnlyzW1gXuTcVN9dICbPxgz
N1cQ5CA3C2aAr3oQFOYpnGh5K4aqeoi9OTC7mKx9kE2IPB9mWeUY4qgMHPgUzm5Jm8C1P1XB4zyN
QcJVpZNd8jxtaACnSQaGxYiqsquTovfUG3QpW+9AgMVkiagn9Tzmfv7IS6m/RfC2FvIwK0pwBDnM
msqOqSlzvih3EH3uutRIIX+BAsS+gXqt+iVI29310uIKVT2BYzEV8HT70dHqFcH4+qvHhF2UFr6H
QNHiIr/CbF+INyEeSNo5OR4k4Q11fy8WMPQlU9jn36jOi4cS48oTRmEMrgJIKYgmZcGxCFwg9wkv
GheBoAL85ujkNQgyf/ZLyX+xZpifQwmqMN17yy/KwvijLgTf86At9r3IERvna/s8W8cTL3Kgup1F
/Fbkkf4mkZ2AIDien4wCGB3HRKh07CwnKfNWrDWehgDdxSMsRNfLS1GBgLRtpuU3EprAIj/TSClq
5slXcPX5v+jEl/iCB4iAU9mXBaIa06ExaMmIiUBW0vI9P7Katd3oLks9EwSiHdDQ0k3TlQrbec85
G1/F0oYvtkMaqM3sXTPkbhd+X9Z3IlTldwUYi8sG0U9pgcD2+0zRHbeQn8hcM6lLICwE4C1jeBsV
wHKkDnj0K1O3QGq2mMoqBvAuEzbLrFiaFSK0HYTzBmguLhmUgf2XHOWPBJnDfJvPdC3SIUCZtkXT
5alb/elSUDi8Y1Ms42LE/24CAtJLFDXoncPYo0sESIUfmK3hZWbSrQc5UzrvbGPMncCoSLlH/QD9
WBJHXWqDePim+whGH3ZrfUuExaK3qiIXuumXF1mX/LKPhzDDlDx7XL14uu312N70tO2vELXotJiq
9dsgSlCgLr3+6Q9EHqSlWG0Z0f6ykKzNetvYV3KMjaSPrEpxEj2yrtHv3I11nIL8sL8M/YlftX3b
XA0Q93yl2NPbuRfrNVqX8t5yVu5GAzfUtAB/qK4BdxkWISGFsm8UUdOSFLYzC+46uVY7Rlz1hq45
LbMBipM0K01epC0ASFfQtWluUXDCcbOOxF5SN/APbYikFixRy0ssQViJoa0K67foo4MOjPVRvIPW
d61LfvDJXEVJ0zUwx4IT8HPG+YPqpUhQiK73wEyISwcNWghXadD8Kq6Q4ksqBEdaBf7QCzfS6Ucf
9fYDwH+DEFzVcqc7nDHmcO1kgkTdrUQ77KEX/CdtFVSKo0qqC9u2NdLoJQruYZ2gAKQUOUvd1eab
4mN1gxs5uOEunC5HmM/3iSm4ZxTk8yAruhCoIhYD0zEktRcGJsP9gAHgA9Il4iVOYCaRJFVOiuBJ
587roUtRkuKi8Xve/ByZL4uD8jyjwcLSzVF0ifQX2QaH9NeSiUWRHxo1zksjIY2T8JCWvykxDa60
dfIfR1+SJQFy9saRITbPhepxUhFnQabdQktFfCcY5/SQLPe4C1lbj3OdoJTB4CJWWb3WS7BUf+3s
a5P1pEV+d0yGyoRaDOVeYDpRmCvMbcLYYjIsLCtzzJigUiawUX0DVvIr2frIVTBW68s/sqM6PNio
znkqBh4NF8HalG3mtTZorpRW8gKIbdy5eVcX0BCcumM0GSLWNobY/LtGJIq0tGqULr57/pgXIKee
JYYXQdM75TswNGqc0RGJR+LyuQheQg8uAPw4uBuRjgKu0EYSyyRdXvKHmo4IveB6bXjF4LoMXHQQ
zpkOPfqNtTrivyB5i7QZE80GMRdtkRddr0XjqQdEF3HEcYH67fM0aahvaL5E5opyGvmXpsWITyJ0
Y9sM4r+zd8shpol6FeQv4sNAyRBdzMDCR1esWAfxDI2ko6/MFQVQCQwWEAqucLVDlhgrIBdExHuJ
U1GBGT2asXZ+jdQTfGFztHNdrJtXXci2u43FMD+S5hicQ468o4ejo+svTD7O3l54Tqtsdtp9L9YA
YT+njLc7vkJ7Bc8KquLAELMMaDGL2MuaGMc7CZq8enQjQpw3WmEG+KEewuYXjUuYQ4u4PQdToi3z
fc3HiCDMgPu8q1kNIvLFb2aUS0dOb3XUVdMrzKnOd7UhvLyAnSEMdqYBaKSI+aQPzdzyB9dNq0wQ
bYwvEkybiFhIfcw3iraRO4+PYBVLwHQ4Qn8QApxqkYkLZ3rB0PowWV3raf7pY1emlAKe/07XvPZ/
BRg1ZNesDnLgTGVA0cjyLtcJKd6lmRk66m5AhsqFnxNoDuqaJo1hHoL+URxaKuYMceZCPmw9Ru1O
1QJuQ06GV2kJQsElGQdUAUBgMooGo+kY5YIqEnSYUj4dpe1s2b2w0aA+JUI4ZmGHuX10BRFPMu5E
WiDBPhBZkIui1fxSlzMGOmqrUCmSkg/TrpqAWvOlV+W7cmnUh4G6DJC/xbKI+KpfIX1lGwzUIcuA
BQowACPgs06nZiLxTRh3sLzjuckv5Qj8FWxRj/5uXuENcTmuKDpQUB4/qaFdP2ZC1UvEwEcM8Ky9
CQjgWqMo/G8lgdTjlW0Wc2dVFN5JbocpdZO/qIwUcX2IEJUGiQjCIGUN7jYQf0uUhHQ46rSKoJSe
l1BJLSB/VA/ltUXoXR2ET+BFzYK6IfKU+lbHeonB5d3ZYmdCBKUGXrsAQbzMH5DrhncATIpLFbXv
cBvIBnzhtci+BjOkGJH0kY1xT2YDibhMatRgUXe0sHzKlvC2ICVKDH4vdmQhy08yheUvuaCeirlB
frNCHjrfl5EkqVlDZJJ11UMWhZL2PV8HcuMvjbdeBKhVv4tOIHUCsPumqia3j1kEIc/BsgpWQENW
JcRDMnvNnM0PhaUq5X4ZoPYIEg8Rt+sDg7bOkMlJotZiKjH8IPXIdn2Vc2gdgezsOR9RtETFNAqf
mYFndWIiaCbS6ar1GpR6Bent9ehQABB9NYFs4RiBAI9v9guqGhe4xLu7sS9jKAZOo3dtcgVExxJV
yNEU/MFT02GPY1Q3d/BG0zcJV84P+YghKJAt2eNK4lL2uggjNCNUeY1A9SmZVxX0B1fn8QeVa/wg
hqZ6ZDNDSstRfRyGuvwhV+7/tF2DBB/lfOTJuP/cFeoVaM8rN6Dg0Yc9cnIMbsx7fzIRGMOBCZRs
RJyAfOSl483aIFaQrZcg0JjvYePq3mu77qnA9Nb9zBaZY1ooUPNvX6mYpgGilecROhS3lEXyVaBh
mfK5ItB6NAQNBMkkxmah+p0GNa3WxBzr67oAuV9qxwDu1wYeSxhkS5IFHchvUeh0g/nCOuxwlylE
2sHYgoHMGu3JHaSDcab72C+qxK9K+hMDO/mrFdGgMGWEJloChi63Y3rOD1HY1nXWrNYXyURR+t5p
V5I6mdCE6VD1MiEoC1HFTGu7apqtoBlsd2GkS3dTL+XgpQN6A0NGOs+v9miiLN850RHUVCY36ycN
2/YuewfGClSRSPwyh3qqXwo5xPqt8Bpvr/1uQOGs0vWdqRR/8IBqyOaqQN4/Bm68ByeLSL0hbI/b
pPX7UjAcVUvdLndF1WZ5jBwClF96b+3aHEfYfPFMx5nPqUU5DEVmGwcc+XuXf4OvbMFItKyW7ORI
W3chEc+tuMaHCf42WJFJ611HXRQ+hcZX/SUu+cJeNmPRN8fq9CLhNCb2PDZ6cHsP5OUiLWmHd0WD
B5UYUCbCtzcxC+6Vj4KNkZi5sn0k6t0gFGyiHfE3UNZB3KEekH/Dko7lI6gE9VdqHdbyr6lW0LF1
YkYmjMKcb34JO5pfJFb22gVl/2Zoh8u27hzy5bAr7atdQoOMZ7Qf9cKW90LK6s6sKOIuCwJGBOxE
4ws8krYrCkmLj6lIz4mY3OfEG4MblCWLu76lRy/kQcRENbiwfII/6bY2D4ObcRIjn/+UwsddX85F
/JEDXwcWtKC8nctjSBGw+tkziDuTfrLiGucWEhwCGrwIWqn721SoN6SotaIdg5un/QmHj7imD231
5ClcORmyLe8RPH6o3Q2zQa8pbHt7YyCJKlJnLSotrQTot9ceUp1Wt+TRqrJ7bOam/BGwgd7RDjKn
aWU8/3sO59E9QRupGZMRgZu9yMsxehvVSFDRR22hNDtXBe4b8OIoMtciJJdHHfEX6YX+TzT/1sfZ
xmZX96rV2YjgI7hoahQd837mFcqEzQimhmUMyHgZQ++iCLN+ddEbBNVwr0HME/qzRUmnHnF0ILBC
yAAzWo0FAntMbQ3XTFELQiCHVgRbZmRSuqDlfOHqAFdDB4+Y2KbTeFWPrddePEQsQ2XKc8kQQhMc
XCblX3BFqBeM0oKOrNCmBEIKwdfbQHCppjmj/Y2KkMVeuLwuL2oGWUhUjMJLNIZYcwnq1vrellNQ
73NvKMqdFzViOqAhguyoA8XhORHJU73cDcChnnPrgwo4AHoVfYRWtuIwBsNtFVX9mY76qZb3BttA
sXpCRABokIauuAbA/daRr9HAh1t2C1uU/nEuk++JdUhFEDj5A/vzeRv6xItvOS1W3aiZ+F24D0Ly
G3ILf+bI+GcAPieW3T928P+Bu1E6kKg3oI3ErDtAHu+V9pVKQlxUZ3r0JxAlWw0k3Q8RPClAEqK3
vxC/oCw63cnK3k05/xr6bKuB1FM7zaaF4gsDUgx13PCp8r86A7QVPEJTBqR++cj2I7E3PXH7FVlr
UvvlvgKrxOcbfAIusVU8kt4IFE87hJAbjRLOkO+LTqcUpY7Yix7W6Rw316mDtAEbzrQYoKwEmB5z
OsrgacZsir768I0BmxWUk3MIA66jFg1yTBiNK6asP1+hf6d1Cf2N7ZLYEKQQEA6sVtcnGJTda9Tg
j8qsdRhEiS6nvQc0/ec/dmKZthwWoA+ZICUQgKlmRmkJzeRgdm+VjVBN+/wHTtjElsaCNRCxhe8O
95iN+4tCVjZ75gezIOA+e6ROfcPGrpHBA0Wq42Bv5PKMxLRLp/HsNOKJ80qO3/UPpzHEEKgpFxPu
ASH6WVt9lGxHdmFBkRFxcD9HxRd34ui1/vFDJm8qA3rbcF+3RaaleY1GdmZI6ITjI8eF+8ejHbF9
MS0x29cS/qg+xogIBkd0UeGczpzaU7+xwSfVIa+qboLjRq/b7viMsL1YQZEWH9FoXztKG5NurWF5
W5MATH4IAuq4fjsiewEiuPat/f75b5w6SxvLdoWS5djBsosVPO6GIIfnNTkjcH7q4RvLnsKQzug4
QD045mPaxkNzVQyouX7l1dmWu6ImAMb4/hLuiSou5ILMb2nOqlP8+/ayLWkFFtmg+BvwvUQpMWlj
TMIYb/zRSb6egWP+++KwLWsFwUBiZEbG9w4EvImeJ50GTfn8+dr8uxdiW9IKVC2HhQi8fkt9VJEY
smSAPGPHkm7MvTPxxakvOK7dP8zMdFpUTQv8QWHkr16isRRW5GusCWzLXGG8sgHtMdC8EAF9ttNx
d5f+3LTcqd3dGq/ta0Y4Jp6O8xdaQtgERc8JxNT2nFLdqQ3Y2K6LTURVO/z39QU82xEZXtj2psvb
c6Slp75iY7uzqVnnatwDGhz9CY+xRm62a+pV6FN97RxtLNj4XRSWXhseAQwPk1uyYdAfDGhV5Dzn
dNn+/cZhWxILaSLfQC4EEjYGrKINTUUkXyRmV6b1qYMnP+OwT5zWrRiSZkKUBcZr95JN3p9Qx807
bVR1Bqp/Yi/E5k42+ZQDvnZcqNih3dzcHIfOmnB6+HwfTr385lamyNMHR3pc+TG47XuCKxl9iN9f
e/jxm/5hxxI88Ar9vyNwPq5SjeZc5h8v/a89/fhJ/3i6qZWteImnE7N8Ux1mGKIByqKfP/zUsm8M
uYjHHDOpJtj3AJglKPaNaY8cYenxh89/4dTppP//9eepXImqXLgf+Hy9BqjT4h4mcZxGGEWqvK8l
sExsbDngrZqhr4jBxRoIQPQR+wTVj3NPP7VMGzMuhi4ELNrF/3GmR8B5HfmvIwQfzmzDieO5pbAo
qgi8qnwVe5RzfmCMpEIXMTrHA3HClW4pLBz6AbkqfDy8qW9c0d/wYyTUoTJXk2+fb/KJ9Yk21lvU
KnYCWOg9mhxVhuRsTrQM4hQ91XO58qkl2lgwm4iN0JfBbLlGk9UN0BXN2XBGyunUEm0sGK2lEnPx
JXCRgUBTiGCYLb9oi+bhfAr471ka1Ij+vx0AwYAGP/idMDStvAcpuhviNQ95wD66uMmIKlFSP8d7
dmqtNlYNz4Y+iRlwwyi/yC/QITb7lX+N3pFFG4tWo2vAGh8JJB7uiCaGbmaDRsL+86N06t03hlyO
pef3bMG7+4Oedl0fR7soJ2dUO054o2hjyNQA9WQbgbGOuhb7qLDfg8U+d0OwQ/X7ZxWcU5rxj6/7
v7MRbMtxUdCj+nTo4YcmyNgY7aBBVu+73v/z3x/rbuZgzsRa3gcwxLV++9Lqbdkv6rJHwb8KBa5R
E1/ZCaAO3+n2zCV9Ym+2OkkFl906lzkG3WPgMNDXjbIONK/Z1959Y+HCoSDrGVh4QcbfswfAji++
WKpifGPhsizDLg95sC/7CRKvwlapCNmjyoMAN978tcO7JcAIm463KxsjcMQ1z7yHGwRwcD1zk55a
/Y1VC0XGOfZCVMLIGKLBi3xhmr82ocf4xqj5OpbraBSHoEX0VGBwMl1nIOG+trMbm27nEC0zadke
LWWWFJiK+brv5huTLlE3rdc5OE5qYTakGOrD2DcFUEL0KkLj+8wNfeKG2NJfoJ8VYWJFHoXXg9f+
GFUfawkDmTPIab9+aZm2DBgEGAcZ2xpIPiA8dwgo50Ogz37BieOzpcAog3oCY/9qsE7N+LAE63JD
h7Y8c4OeevrGeOXYCwByLZ7e+8ErhcT19eQB2PO1ldlYL3FkUe3U4unCtuMleutFZkNJXj5//Ilb
Yct6wcrZW4EHQVFzPSpcLmGbuRBqUU3f/o6ZmROfdudS51MLtbHiGVAFQGAZfgvqfEHWKBHvkNs+
ff4lp47pxoyrqhhzg/41bs9K/ImAI00XHWAkgf/kXnDmEj0RyoQbcx6JguwK944/Mmm9+4/+7hLJ
O6BTFaZJxjal6NyxSn/tUgs3Fg7QWlvh9zqETsBBpoVbAXk01ddUAtiWCWMBC7Yem7EH7Bmc2yzx
RjNgxGXJu+fPN+XElv8PGcbUg01VcKzXSJEbAqaAsZZmPVMk/E+d/19Cjf/RPlLgYquG454XIeRE
epvWs9gbn11Hef0QI9Kc3K3o+DVmC79We9tSZFBfxY0jAHoD3QMCyqLEUFcQnlPTPnG+tuwYchqQ
cIkGT1cUqFDf+w2DyaCNc+3n0Fqzih6Alvvxtc05bto/0usiaqfIK/XwQWq7JGGOW6oHQuZrjott
rJ31mACqpmn4aCDMkk5++xv91SD72qtvjB3wwLw2WvQfZpp/QD1PJGUMsODnDz+61n87VRsjR2kM
YPXA996LEfJwpa296yjS8iLvaPzw+U/8hxD+335jY9jV4HqvJ0JhKGz2/3pRHyZHBso+PJZnjnqr
tERB2rEROgVjChWsV3AfL/DG7Zf4X9mWPGMqdTw7THj9PV4vKQCwAIuVujgT9py4Vrb8Ge2CaSIS
0uIdE9FZhYoKjsIdWjZPR36I8x9x6meO//4fJ1jbOY4DACz/2sJcOs9+J564LZy9OHrhFXLoZ07E
CTe2ZdOwuLPQExrc74U4BRhOjNhn4F/jk2TB5oqvWrYWbtTs3axy73O2QyUBM0Yaeq9hfE737NQn
bIy9I44XoF4Jf1cEcyTz0LyDbKE8Y44n3NZWEqmFwqGJLfV+uw7xeWj91Jvqxzhs8wT4E6Az8yk1
jJ0rrJ36lo31q6Uf8rpW5F1qjBd5868wQk3kc8s89eyN8UPNqeIac3rvfJzv5m4x6QgQ/RmzOPXw
jdUTwQQtwta9k6AjGT++9f9xdiVLcvLM9omIQIBA2kJR1fNkt6cNYbdt5hmB4Onv4bubtv4WRLCt
hVClMlMp6eQ57pJ3x0ZXKTTStiUGRFTstyQpcQe4NkqA22InY2mmrhJnVJmc53HG1BfcIHsn9Nlw
DsK3qk8PwTUclTZDuK7hgTrafGMzsa8BewdZHfpyju1GllKkg9XKjik3yr8s4Q0KNEB3PXJwI1VZ
M8qMy3h2OvMNjAzDz8IlzUOfuOxh2yN1FyrWuiTvspwcEwe6E1H+l7Ph3rH4PfiOxtN/UGK0nKb+
2ET3VHb3oo1bXyb0RzseI4F3VK0kd64cSAky91fcp2h+yoDcSAXoLLb/mc6nlDh2oMqDZvTR+WXU
mROYbTUG6F7dKQ51gyuBjA6Nhc114/zC6/0IgjdpoFcu3TkH6AZXAtkCT2ALOZP475wDpO+Xc2F9
tYshuRwyjAobG7g5z9HS8T8Gesn8UVKCdpn07djgaxJ/50524vIKHbfurwSd/H4EprGgbOWeyAj/
uHhSkWNLtjC+tnn+6lfGz4p5f1wCHfnZLr9bAkjCpXOvo2VBx8skrWPBrYLJmhpcLKNrybfGoTlQ
WDFoabsOJ9htg2l2NxVIBpVLu3ZMw/2z3immaRW0IKCspuk+gxBmMTQ36E3ZybKagkaFlbWsETTr
p+GtzpMfHbqFi2oIzcZ54bgQnts9uSVNhasiy7zOjpdpKoc3Dgq1mw7dUpd4cYHTMUagOLatpvuG
EtwGNXEh5U0StzmV34m1lfmHNR/bLP5Lle982BUJ1INEI0MCzpgYBBP1QWSCCikzXG+iM3jeQpI/
ku48ZDsXLZqMoaLHrMImJGYYt6MRCNmK4eeEdvSdnV9z96Eix+bJ4sA5zBItQ1czdMbG1O+6L/V0
LGOoskeiTDtpkVaGIm6u5dL8iltv5/Lsv/rhg4OQChorGZnH1DFliD7Huynk/nDqw+40B7UP+d9T
Ez64p+T0+c3xSQB55pMMoYnkT/6XvZt9ne2U6rub54VbaLMO8/o2Jo0vvC+J+zkVewWlJg5URFmX
sMXiEYzX1fVjIaobw0TPaZV83Q4z3fTtf7N5Ac1wvDN3MuQCV79FlFxjH3oACelpqUqx418651Vi
Gch6bPomFkmaVeFnICDyu/QYjtkxlY26xYs7ergXLGxM/MEbzq61x8qts72yTRtG1XO3EmsOasQJ
3FfFM4jNrKvJHeydc/TH9rdVKFnSRfmQDDBNRt+q5AE9iehC853q0NZmq2AyzvPYS9FsHHpyRttA
LP9Ycxydtn3nY/NAOetf36mEYH1fwncItB1ctJba+AZtebg9/MdeY6tIMkvIWrgxhjfaz/X41bFe
t8fVXJ7YfP0/77K/k4FdZvYQUtOX6rMZkltQeRRfHXDcnIr7Koh39n3d/Nff333GGKvZ6SFbHHoZ
cLKiOvNxzzQ6yytRO3Z57S54FQ9l+dqZhZ/Uvzr2Zds8umkrwerUoFJEm4wMoSY3/mUAClYBzaqp
3UkGurkr8WqDaMmELJoMQbALSMtfCmGcKGv9Y7NXQpZSqJYVFE5TedcQg/Rz82V7YM0xylbBYmjb
G5aGYeQM1fQvev8kg+HyKT/XJ3GM6t5WgWK9mZHCkzBNxaBiyetTzQ/GqooSg4g1iG3mCsEkz+10
nU6NP7fJzpJqXIatye2dp+Oaqee1tw6enWfjh3uscLCZEqjdRBkYA5G9Eu8qmV+4sZMVNRf/tqpt
1IPLtqlBXxHa3hCkonzJifw89hScFdYbyQUo7u1PBO/PPVoet/1Hk+hVxaPKsWP01eK/ONnXkYC/
Lw+z1EX36K/t8XVrYP27BgvOkej1LJBtEnDo3HbZzvXBx0cKW4WH1SMUudGmK0N3Tv9MJX2ZwNRf
GPODk0egj7J2gPO66StxOzcupY7EiljDXSpvivTY/qriw2be1mAvLmVoOl5oNV4gPNH56Ff5xNJq
2llbzeRVnBgnrJmnDseJbOavsdEW8Km22gkunbOqELHKGiLcoyDxgDDEH6IGKA/0gRngGnCaa8Nh
N4MHeiLpBW2yB27ULLoqgGTYVYouc/whLy5OpUv8MjunCfMj93HynrcdVrMPqDJIZEwaaN4hIOQE
NlDSX1OXob+23DkZ6NZk/f1dTuKMNFmJy91whvoUKG1upWnvpA/dzJXdt51mu4WWpwzZcOdMz253
3UQ7m68mS6gIMXdl/Sh6DG2nVrgMXTDSLhggQgVthp1P6Ayj7L8JmKhoQ+BOrMLe+xcd0tvrqRtX
iWBAJAE6nrAJxF4OOvvok1fkOwbXDK1CwiRYOgi1kRzALQNC4TGwp3InunRDs3/dZHYmlwkPbtIU
YAR6kXQnberGVWrjuOotCRKRKTRpG7ZUngxQSBwytKp1JMqo6kp0WYQESuB8zE8F2VPV1LifivWS
ztxPywRDV3VyBnmOX/c/HTMBP+3e24smdlScV+ukpWWDKjWs7D8N/ZEXPxrv0KWO7Sph2Y1ZRep2
NbkRBX3fniQ4NLZNriv+VJBXBUovJzKQEAXE3pvqy0Kqc1O5QUWRVyA0Xtz0rDkt7e3E97jrdR6k
xClk01lpzFhmahQ++CX9cdjrINMNrYRqRMD7B8o0GfbgBe6eOy/cNpNmXBXqNTlLItiCccFe63vg
a8Od3bGRlTAtaiokuP9k2PRXhbyzD5YdKrSLLo1Xgpxwvb15sMQpdV+OzXcNsHe7Ty7AFIVj1BS2
oKoZ4ezn7XF1Z1e6xtW7gSf4l5XFGHi+KR/EJb3/Q55pcGM8galox9k1SUDFdFmCmYsDvcbQlT9k
tWqstL7n3UqPXrb/hM5NlEC1MyAhHNudQmKDPGhGQ0Oy9yT0H4P6/94H2tT61z4Fj4FvWkB5MQfu
BUQEp+xc3yfn2I8+z4939sUOgsT/dGUbvvNyG3899oeUUKWdGD3Pg8WK/tqbQNR4LKOp8C3omJYt
z5HRKKgnkQpuInYwBajQrfUquRicaAqBRz9Jbzp57t7pSuM/KmirQ6j2Tm5OIWv7e1Z6X6ssCs1U
okcfnOnbFtdsIypyy25BLiCAPg7R7ha0LL7nDQd2bu9SV+OhKkoLDEFJ5ebYVmdqgyrX7PNwiutj
gnC2itICuy9eUGwYqOYPMQjkF/pp2yq6aa+/v0sO5dR2PZgYsagcLCfe1UqZuT2y5kCgorHEkjLR
1BhZDt3NykGOm4pXiZMgbune6AJ+ye3v/Pfm9kH8Okr88qKx86KAbdzn5pzfxD+8h9G/GK/2TX3O
bthLfXtFP29/S2ctJWrH3LObrsKn2jJs0kdrL73pfFPZXauEV+AsjXG9CJavDOTeWfJtgBbQ9qw1
o6vAKyjMeFnOMPpCX9L8rU1fzPLbsaGVTXZxe2aSAkOPaAtu25+OnQQiPThvpSCGjjFvKrDVhoZT
hSNI1rNZBNClOHbcUyFWA7HzEqQgqOMFe/DsMrRHb2fmGj9R8VUQwZYN8OtTaEkQ1wGG34GkbNvi
/5GtfODuthKxNJMpBVflFHbfQFf0I78arozAC3mwPDyVd+UdDZ6969/lr53Pffy6jh7mfxOEHK2s
MtfTjnk//YmeLJBeP5mg2DpDA+TX3+ihum/ujevs3jtFP/Od/6jZDlQFIxEbJYpy5FKO3OFnucn9
gjaQll0PAaKUV9v/bXXSjyypRHPDo2mQBfhjC/Yat3egZDzV7XNEXtPpAiq1nT+jy0+2EtwGr02v
n6FFHKdTQCl0A3h0sRbw+0IEgTPrsUHAt3x8thN5V7Ho1opYsFR1UFVW6ObLo5yNcPsfawyr4rVq
YgpmRJiKJV6z+NSD2tV8atND+BdbBWxFElwlhddOYWmWIXenM47KO0ulm7iSCoasSIWIJxQIacFP
rWGfoAX/PDU3cqWQ3jaOJk2qgC3Re4PRRUjuseHeuaAvB/lTeWtm8bH7ShWzRePOQ7M7ciVjgWlc
aHzsvlIFa1Fo6bbgn5tC0OBb6VUd/wSyVhxT7rZVPJadmng4KoYpBNlfEHfN41RbZ1ntaa1qYlCV
NYIyRc+idt1AxoAQvF7c0Rn0AP0tiMPcaaco1pQilhLo42KVZMlWy2fDk9VAyqJ1Ll1t34MWGIyO
5HTMgZRAb0Cq5oH9EW8P6Kr37tLlnGY7oaXxTRWelc9xL2QukfQZLfwSD2Bnb25Bte/mxbE9SyX3
QhE4m+OI2U/yh2ffyz3mE93UldBtoF1s92ttI52XGVSK7X1r7ESUbug1W7wrXu3CGYpq3Qr7/s6w
r4voqTh4M6QisERNe4gHYdagkeDGXX/wdV2FW6USwlQg7sejhe34bvTmucduD1WAVcFq2hoQGQlp
apxoN+AIcrCa+e9i4Z2ZyyipplFiaGcOC/vRLI4VYCqkaoqbjECGGgVYXJ4JIzcLqy7boaiJeBVT
hSwbOQZPcEljPUOoxuBXBvvuTa/ggjy2W6joqqGGoLgxoXiozPobGKYf0An2V0CTYvsPaCpIFV/l
0GiNRvwBK4qCxI2An9+DyWlso2KryjyPADlvcDCrQd1uoAlraC0/HcXDlLVoAHH3nqE0m7YKtBJJ
lZUVz/GhzDqnxXxx3VcCskmx9+akM9KaF945Zu14ICl34Zhu0n8BjBBSbp+3za/JLCqEKjJJ6Rkd
9lRSe5CczOPATMH1KokoXre/oDOOUle7o+FEEFOY8GTjmqFRFuLKADD/5IJFOEwkGlO3v6OzkfWv
jaw566s2R+FMrIDnN6D/2h5Xs3GrGKqJACnv5Fhcq7wUuKRJoW1BJ9B5gxVPxk9jtnMA0XmrsqkO
ecNTSAdNoVfODxRaVDHor4GXfELP/1Vajjuf+dhMUMz610zoViq7lgjcg7T8B5DnkAJhbK83STf4
asP3ftpazOspghls7kFChT8sO3nuYz+1VDxVJFMZe9ARDBtwKWfkxMfvHYiYt5dYN21le20Sj0UW
xEXDOgGrmJf7uMw5NvL6d94ZZBR0mixnzW7VbS+uOrmTlD8+rFoqD1ddQkemaNJ13N4vlrsEV3EZ
QMYCajuFBXGg5wKagtv/4eMAtrgSwKQbbGjd4z9Qbwrw4uWX+WdOb509+M1/pcb/Hk8tbv1rpKIr
odY0rOb/8qsP2NPL/HTx7u/M0+x/MoAG3/kfOhdSimMJ5Qb0/OIzq7JC/2WyQJRefdu2kc6DlOBt
ClpHdoqxc/M6ljfJ3sldM64KrCLStmmxYNy+ewMzsj92ezRlupGVUOU9pNZsr8QZtszg8xAfoPWh
TIyQ/3c9bVzg/v+k5/lxqa6XPTyoZgFVKNXsmGNqeohN6LBCodRv62uvZzveobOHEqlDEmUGhKVw
KPaS8amu5k82JCJ2ihzdzNePvksDnpzsokYKC8vmKTeu8uSlqF4OeZ6KnYJDQJKnxdCNc1fTl0gc
XEQlKI2MRVW0MFw29+mpElEImP1pe8qa5KXCpjohigRCOetVfCbOAzGcANpz0Cyh4Os8F7Flnmw8
ID/lTQ4qg4bvSW3rVkEJUpIZNHciLHFkl59qcNmgTdB1TpZ0dpb54y3cUgFVhoSSK0tqfKDv7GCu
++8RmudPxEmWm2GO+lMM8cXrbSNq/FXFVUVQFwFXIse32EM/PLJj/VGWiqgy+xYSBwJHTbQfXoys
uUDLZcelNPZXkVO5DaFYA2eJkDh/XS+cReuL4lgCVhFTUBGIUCXDXaHh/beVUv4uTbL82ra1buJK
+ALbgJY0CseR5l1pfe35KwRsd3Zy3Toqu2tqjm00WygvuyT96wm++APPd64NdGMrMQwxnaruM1ym
yAh6IslTQa62DaJzdGUrxaVBYrH1qgNMjZCcCpz0jZa3dfWtiutw+xOaqkPl1Cr6Ik/lhLlDU/Lk
TDdk/p5518I6xkRgqbippYOCYwaG+hAyTGc7m3zTlqd23mtN0Zhepcyq8zaF+hPeXAoHiq6NhGgL
3VlVjTeqfFkuk6SEftwYSvY7T35bLtoA9wiJNAur4qfmvIcat0QGG4x7Cla5wmhO6fzEwReUl8tO
HtDZZv1j73ZDaSSJ4AXko83eC+sGS9pNy8F4UkFUDeAGUFfEP3Ca3Hmyhn66DIM37T326oyvhKuE
qhZWkuAc4iwB6IgvYwIuCWrveL3O/krEQr3HExbB9X9b347R54UUQd/el+wGfIun7cDSfUKJ3cZd
Gg4aAQBvmue8uEg8h3NnVWcwwHS8cw+ts5Ky0zou2s1rao7AyD7UPQ3K5AJF+50/oBlcRVKRccny
GWweoWDJ/VLkl7xg1xNrdsJLk3hUvqxscq3ajeGdPGvPEnJJ0M70EcmnuEqO7d0qsiqpmtgbbaxy
at7kPAar2F43mc426596F1qUkxyqYOhTZPSW9T/o/IOxz9t+o4laFV1VFz03y3b1m+EKajDm/Ht7
XN2U1++9m3JT5kPZufAVkV0P4k+G993xeXto3ZSVYIVuoIzcAveu2XKuoXrXhNvj6lxEiVII2pAp
kZjy4v3k2V01/0qqPxAI3x5dZxAlQLkFGgirxM60TPLUTCCNYp5fAt+3PbzOKEpsGpIWc+biaXSO
DPfJtgcPnGFEvm2Prpm8ip1ykg5q3Gvkj919jKflhN9F9ddjYytH1g4aUTVpsJxONZ3BtXiCmNGJ
Da6/PbzGMCpuihsSaq8rboqgo4aBUmenWNKZRIlJUDw0plNhXK9IXkGgFpZjdVc72U6u1U17/ey7
+LEKUJe7qzMSN77zwF4BHc2fxyyyfvLd0HOD98qJLxgaZalFIz+W1Xl7aJ1RlNBsIOdmd02KtYzl
SZD+l7ss11w6h54RLRUqVUONA6LRuEy1nO8D+Vk6fwR0m7an/t8T1gf3VY4SoA7occxliIzfcwnC
UmiLfMkaZvmFZ99CHdn0c4Nep339vfIYZKWnxb0hxIXMDBQcwP33JGWdBdtT0a29Estg4vNaLvGS
3zQd9CRHvzf20LSaBVKxVEa6ZOO4rn0GuS/LbYFDqEHE7B1LciqLlVzcqnKKES+aVvbqzQXzee59
r3uyd2upMY29lj/vfDdyQcQ6OqgSPPO3N6QQY9m7KdJZRonn1jJK0C9hj4X2o79EUDevfJo9ba+o
ZmtRAVV8iT23shDN3OY3kCi+QOP+kibjXTFFOzAKnWWUqG5JnhjtNKBGmBwU99ZXOrBjG66KocKJ
ak5r9CyFZCCnhrsniheSbcPorK7uuTabJLBFoOqwbySauez2Tshf22PrLKIE9OxAQ8cQa9XExvue
lj8XHu1Uk7qhlQhFh0vESoLNfHbPY/MpH/8emrIKcAKvgiHtEeMSfhH5r3na033QTFjFNlFADw1m
Y2CzO3fpo6h3al6NY6scVI4EvI7NSPieQwy/c3AckL37g3WkuIIWXvF52y4aN1GxTdKrxmieMf3B
+hLlt9Yifac9Vn+ouCZCK8rNAYHTjYBllTScOLmPdgts3dTXFXmXsVJ3ytHGIco3Z8w6P3fKtzRH
mxHw7Qfnr+y5XMSFsNcrFd7eu00FWlp0lO6E51qDfbAnqvAmr4Wyae5iJ7KJPBOBRxtmRRDI7kGD
VI7nUaTfx4zt6YXpnEkJWDp6fW1J3CBDCQXi0ZJmrfTbqcbjCy3kmUfiaDVuKQGcQwfQnkg/hQnt
fWrxSw+uvYEX4ba/asJNxTvNHZSO0b+HsLCLM7gx8f4YH2t7tlSgE2gwk75Y13th91X/1cpft+es
cVSVh6qNswTi9cjyTBg3swSugo1xMCbV72Pjr6v+LhBkufS9NSPORpZCDbv64rIu8OpjACJLRTzV
1sCH2oVZpqoOcVaBvhY5b89ct5pKCHcuiDE7A0PnwvMTz4Dg7x6YRTe0ErwDbiLo2KOiJWz22246
QSz3WBWpwp6gPFLEpY1arAYyIJzG2cL7S2Lt1ASaWFXBT1DFmxwxoqNpiqe7yc0vLAFAZiSnEfIU
O/9A86KkoqCMAawBxgyPrNi9bcXn3n7rkpvO+0LQn9VMt+beFqBpOLdUNNSUsqVzchn/SZKkOkEj
LOjjOA2mJqn8yvKWqyyHTHZTW8EYQZ0MDx57RKAaB1CBUl1UOhY6MnA12J3d6qU4eBmloqQid2gK
z8W4jpsFDmmuZGWdtsNBkyhUXBRojZLaieBYdnc18btueiNs7xSmM8f6zXdJAs8mhRtz4FgYSHz8
MW1aPyf9p+2J/+f6H2xnKiwqK9qlnWJsZ50w3qzaRp+K8Hsx/BxceaKRAEqthsK8Gww41zvdkAVC
uDtnV03AmEqkzzkeDSuISYU0iq+YZz9BhxPcBvlVuXg7VxI64ynFNBdtFrUuFqYtp0thmT4V887p
WDe0sjUPnrnIIkHyTu0bFxdANnR1thdFN7KyEw8js2Q+o0o3+ueo/xbt0TV/bG+iIqLyzBltMCqi
ZByXVyMyn6riBDxExvpDdRdRiaZ6p+ijCGoSYbpcWfTJ9K66PUj8xxFGVFiU1zDPqVhavvGauzf1
2t/WTl16Kkf3WN4hKtXU1OYCglpwR89ILizLgrjiOydR3eyVGHapndtJiggaoY+wiAdmdj6nOxWp
bllXN3qXIJKobj1aY1lJ9jrwm2n6nABwH01/jngjUVFRFbey0lw7TKL6tjd+eM7OtHU2UUKz5abR
8bXzLq0zv4+7IIKydbF3F6kzihKdJonMtl1Putz9xY1X6I/51VgEdv3zmFWUGI1N0cdzh+ifyL2D
l40KHVSHRlaRULSXxpw7GBnJsGnLBb0HnRNuj62xucotlXQ9atoBVsmLHpS/V1X6dU4OXQAQFQw1
xhW4pdadpOmunfLOJQfnvK7wO/emuFVOPQPxzm1QSz3O7XOyl1Q+TrSQQ/p36BLk9SJOoiGMjAWQ
syH55kBYcmcdNR7IlLDkJcSR4II4T9lx5rsSEl8RcRc/j2nugw2+2vmObk2VXTSzehOK9qkIed9c
eaS5BoVV2MzmoR2UMCVMwS/nmjL1hhDsC2DUdgOjP8Y1jnaAf82PJ/cMfOCwkGV40KaI1kbrQ40I
hCnhmSeOC7mtWITRVPoM2gFj6u3YW+M0KvZJ9rkNi8DPI5GXfmpCjdzomn5n79cUZESFOw01bYS1
oGJJiTH4S5HSu4SN9VPF5/vZqUhgJdPr0BB6qidwv9ajY/rZbFp+z5f+2Jqr0CieyzK3PJzu5tlu
bptBkm+N4ZBD7zhERUd1UUXl5NYipEvne1wGhdjrzNTEggqOmqbO6NphPTtO9HvRz1dZinuM+VjJ
R1QRQtZRCrkTDO9FjxA9DmKZn7YTs86plCDOxxHiCjWcijfLElZw3RPvd9tidaMrMczjnDR9hBQq
yHUd3dvjQT9RAtiUDjikUjaESZcHadoEkccOGkQJ4J46UBMUFZyERV8J7kl8PNJ82za2xktURBSk
jxA6zBDhMse+mT5U5IqLY48mRMVD9RFlbWIlAC2Z6Q/h5d9oXJ5sJ9mjaV6fdf73wIbntH+TJjeK
jnQGfBDP/X9YOS+XcracoPA8GrJ8+Tz3dI+kU+M2KkZKECvrwX07hA22yMkTlxpV1PYS6IZWdt7c
aBd7ofgXloNbzSb3nb2+Ss22q8KiFre1kzqnQ5jmn+RyZ87S90AiQXcqed3ElUA1inqAyjuGl4A6
Bwbv5VmKJAm3zaKbvBKoRQpmnypGC1oj69OQvpAEkj3xiR484rhKwDaDCwXkldIkATVb0tJHw905
+unsosSrBz5ngU7ZES9LHj81gNb6wiDDedsuGqdXkVA53HDKa8y7790LoJEX24gvQyGhcLScbNzl
bX9G8ydURFQ3xWW2rJ1JxHjszRiEh8daMogKhMqs2CKQoUaRZgBcMLamH1XyXDT972MzXx3qXZGc
ywJ12n8zJ6c+u62PKXISFQvllaZs5LKIMDFHgEaHxm/HKN+pdXSrui7Du0lPmUhyluBCDqzpsoX8
lnxKmi4QeH9I5E686r6hxCtJW2nKrBTh2NwzBuL8+DxUlyXqfMfZU4jW7Ccq3ZTDWpt3DHuVAB3L
ZLNrN+rxyj/tIXh1bqlEbZHWJS4mjCH0apCby+JqYfbTtt/opq6EbenU09TnmDqTr8y8LeOHajxW
gqsAKbpYwuonWF4an2f7i0Vet6f88RU4UZml5NKnrRXnCCX50IqXlj0l0Ohy+tYnzkNVfo3EHrRZ
YxwVJ4W3r3a2e/inuVzPzlen+1ake4QourGVgG2EC5rY1Trl8oMXBHvg72a3DGYf1wgqt1QzJRkv
IqxqVz225FtEnzrve2//pcKEbvxOGa/ZqxwlehOjwWVWgzJ+jM2LYYGtFM8prSjPbSePFWr/QzhV
do3txLiuGNtnFv1h/dUu/YJu9spOGw+pE5NxjVk3eoX+ygtIt/2YTiez4d+3HVW3xErYJhEb86XE
JwZQ3sTlSzNfz7vYLN38lcDFsZP2FHDaMHYEHrd/13byyRn52Sj2IC6a6au4qKUfvcHOUfkBsnrf
z+IbG4znyt7jZNYkZhUXVRdLnSYFAmAyxqvZSc60/10y42oZAJWfy8uhNVDBUVNnjzVx8BXL6u69
ggTD1JyrjLxsD6/JzCrh1Gzn8cgYDlaUJCeHjeEEgdXtoTULrOKjmtYT1DALEebkeexx/RKjvgcU
H63r5+0v6BZYCeCMN4YpR0RXN7bnaZnxTBwH7mDsDK/J0ypESgyeu8QdbFOU8hYKJmiThgJCUgQJ
EL4iyv0hm32vK07b/0a3FEpAZyQFuQdDhWXSigdMevUZYut7fDOajGorsTwJoyyNysjfUEu0Pt7S
pyDv+f2UD98aal+DOzE9Na63syvrYkMJ7iVxal4Jcwgpf2wNAHtwm1cMZ9DHBx4/pqRMVGAVg/g5
gDK4IutMkEVAVjANmAdahEPLoaKr0mlMZ84W+C0EPHHYe5rS6dhKqwArWuRTObuYOBBKwMKIU2wf
04gnKqjKEwS6jV2DoRMzhCLvNRN7+DhNtKmYqrSMi9rqcVfSdcNfUdRfCcE17TTudGTqhleCmZYR
jz0Ko/T1F6ianLzlEjk/jq2lUkOz1mvMEay+YSaoTwH2kHLvtkQTtSqaKlql7fP1MtX2lrA25dmp
j+lREJUiypm91OjsdYcsjQc7Wu7zbtgpbTW5WYVKedi3GrOAsRPrrkovFhC362uqt/fkr1lMFSsl
Z5pObYOCf4hIefKGRQQtmfqgWzIz3F5T3SfWRPfu7DXyYZ77Dnc7HbXALOQWfjGlHFi2dMdGmhym
YqfMEVFp9euzRP088YBTz7f7l8R5NqI9BKdmGVTJvnRu48l0kSZjEgcW4d9YmfwWWbFiFJqdv6Gz
0/r7OzsJ9OxATA9L3VA82Zadnw5XSdUfXAUlarnNyq4XiKxkqU/5nAXRctvu5mDd3JW4nTxbtJ0J
N2o756qI+JPJ3BvLEl+2XUgTu/+9YLwzTRaB1w2KHUNYiiJouDgJ9FAeG1rZbqERO4I6G6UJLiC4
+WqY5vy5raWR7yBPNNu5CqPy2ghXrTl2JyJFATrPyyjsv6yez7i5zU9zZ4Wpy4edRdZAqYgKpXJ6
ICwKikp6qJOwbd7yyAItMoQS8ejI8ThRAbXfWDW0GPLrbftpIkOFUA0Wybxuxj9wpx9lNAdLVwSR
exnq1+3xNUuvQqmaoWuGzLPSP07eiNs4nul1T9q9s7EmdahoKqyMNNFNAr+NHCjdkTMwT+e4iYMC
EBs33zlcanzAXKPmnftaCc3r2MXDZjXZ4y2NwKHLC3my5voJYoIEj5ImJEkk3XsP1tls/f3d9yb0
5dhmvXqB4/60xuTct+bXY8uhBHpn9dZodQSJkHW37hD/Gph9jD6FmEpdPcgBzObrfToFCCyv5lNu
7NGPa04IKuEUc7vR5TOtfptDemWKt6pDN8g8XNV1dZGLA86E+mRNeyz/uq8pRXWRe57bG4gJ2vGz
bT/iccBuUmSYGHi30K2kz/fAJx+7lqkCrWKjSas0w6fm8jZx/k7Fkxt/Ee1n23m23Z3rl4/dyVSx
Vox6xZALt/xdOwlULcVchEtp/t12KN0fWCPzna9SWg1JxhzIxjrzjSVyv2GLD5IUYEBNpHoaJMMe
697HqcpUUVdp2QppMlyylXX000J1+ShFT06E4j5moW62k7F0n1Gi3c5G7oAQb+3w667oQq7RfPpI
rfJc5NFOmaz7hBLgBXqGIe04V78HCq6quMs/N3z8a9r83Fl7ZCgaqVNTRWMV0jFduwZKn4G3uXF+
owUPKsimP7I/Y0x9OUK0HS/TFW6Kl8Z+qcVzFT8yN/JxSXqBsNdpMv5UGUQuZjOsui9Wx0KnTcKS
Didm2f6UffVGx6eJ+ZyWe/qsOsMoKYRbXVxYw4xaE+y7PaV3c/XqihJMyfTvtr/qvqDUC6VdoGFK
YseAYEpxzlI8Ucy2F11PleMGvOLul2PfUXIIs0k+c94gsKV1EsXgx0tlwNAFZLhM6W9/RBPZKgCs
AZYPUqP4SANS2FPaJr+idNzr/V39/X+fj83/QYBNbjWZyQxKisn8a3ufnWZ5SYZjkpRo1/43bwyt
yZJ2wej1SsuZmhO5iYel9jO7c0/b1tH9gdUF3qUmR5DcTGI5ArNlXqamuJRRdjXG0aFztKlCwpZe
VjYITMewhy4fmYeb2MwDE4q7x2av5AhSubiYL2Cg3uNo7WOZAYwf/+0sQ7xjn4+3OVOlyZqNohfZ
CPYCqzsnXh3YMnoUw3eaXUdefKbmlUv3ntp1n1LiOq7HdijBfYvmJOPEuvnStdUTt8fPAi3Oc9S+
Fa13xxN6PmY7JcgbkziARYMZMSd5CPhyGpQWh8gYOlC2P6ALPCW6edcspM5AiLEI3r6OrHb5y+BO
7Z60giZLqcixxeCUDkkMkI8DWGdt1edB8qtlxJOnYWfX239CEx8qfixPlqWVHB429je1fcuMH7N4
2h7aWQ3xQfJQcWEWIXgqdDD2clec0jD1rz/Lu+ZzfNteknMZxK8v9oP5SG5CQJj+j7NrWY5UV7Zf
RIR4iyn18KsfdrtddntCdPd2gwAhQIAQX38Xfe7AR9sqTtSsogZCSmWmpNTSWrs/JH187K+qI6R2
8LPaX2dfruvPq0SRn24VmT8+KhATS7Z4i1uMw1+CituxhhhreAeZpS5ZXxNuLOsWrzAxZbOkLM8j
DLqr3UMEkS8tx41Ytc3V+sl3uUy6TV2FHL0nKFl3kz4krNjxgF3YvHEsCJLJB0YRe54iem3rP2Di
m+WP865g67kR+qSdvUZ5Ax4pk/gWfJ9Bk+BCPd+IdJvJjUiPQi70UGv2e9SAWHqsGtMpcTa6bmvc
iPKItpnDvGlNkBkbUqAtC/eai0KSrTD5OEpMeFlHszahDIQCfkx0Klbmyar6fZHdTXQZyATaAidJ
PH7YsRu624JjWabTBJXlzrLIemLgT3OObJpSt9lPbMMclrOEiSITZT8zj8rit5IR9qPsOsrCvcSO
2KP1DwHm/ibYQKDbRrH+/y6c6NizuigykDFx5oGS1/Gd6k9XdJ0POkq1mQZtnzGidmQ6krqL8Np0
7x2C391G7y1+GRnROruFI6Exs4ANJ6a7euBfmWjZxtJm67MRrwJHw1ig1nSQgcdT0LQ5qYoUJGqr
8tJPGEHr0oUlgqKW2ZMIhGHPEJvejVssAJalMzKC1tF6aWSIavKAowwgDY14Lrt7xh/Oh5WleRNf
1uZdVgQ9mgchZDrjrW9wLyKdksvUOokJLFMAwhSDg/abRl7NVbTr9NZdgcVtTGTZwEBaH2Qw++Ch
3LfKhU8bDmnxmXA11rtwCj3HAQYcLaNQloJrnOZytzhv5y1u6/b60XeNT04my6rEdW0dZKkIvCOZ
/1zWshGeZRFjVzrA1sJrP9Wj98qGrbKqZcMbGiE6Cd+rwF454jXhHek07sIgbBKcJvAq9kc4y7z1
NspmHSNc4UDOzDuYfsIb6NbNjxPt9ufNY3N1I0x7VycenvnLQ8Kh/QDhqXQa233QxEeP+5e9YSKm
ZmE0erNo1tl1BqhIxd2uE5dF6r9QZc408NZbIwnxOQZ3JdfwTZwyN5zeYh4TXRZ1JWhdZC8BGBEp
tMpSqu+H/KGVW891LMuhCSpL3JYxJjAAR9/72bEY7nj2D3KZH91vuo8lck3lwn6sl77nMP+wPEvc
ZufxP1V24QHcBJf1SUTqBTQYUH8BtDq4RXUHJcGNtGDruRG8UY3Xhln7nwhD52eCSXBfznu+rW0j
erkifekJBJUMp9tE1Ug5Yt8sl0FlicnElUP1umMV0QcvnF6z1r/OlL/hlLaeGzFbL2HcsQAXeWpc
0kAsKbYguxCVp/OGsWSbv8e9d7m40X0RTwWaD0FW4I/JToqNli3HMxNDJiABTEEbgDeMlR8fGh3L
OzXL3ZD38hZ0YfmRia110PapNd7eDYKrxdcJNMWA/8FFuT7mFUSZRQo8Rxr6zxcZykSTjVFclSKH
Zk6H0p+O+HXcbLE+2bpvLLZ5h65PK35jzWuMP4/JG2VPrXuFvHBZ51fnemcgFZa+GkLM8rqmCPCc
6fwysA8xBQxdMfhuj4P4we3Dm1bed3F5vKzTRsyqHKA6vAxcL2pLQAPd43DhYcFUJMx4nZRJgRzZ
cRTHwazg0SzNigtXQBMw5sQlK4XPlgODOniXuI8hlVfnbWJZonxjL8wVwz2WQAIexR1QvmlQ3FEK
UUp+WbYxgWGKF56Lm2rMpjen4fBG/beJX6ZAQkxcWDblXj7XMDsb4p2c5A5r00VmMWFhTeiAq7xD
BMEQsf9W8ocpDNH8ZZVbExrWLJmYqwThU3X3674PSzastJEnLQneBIclrCZ+GyF5ofH1eIAdTYMI
PW8YS3o31QSzZZaJN6wXzzg7JXEESZmtfltc0ZQSLLKRFw5Zl1T6jM0Mjk2ZvvhUZoLDVIBesxwd
X9w3t3lp+R3scmk+NPFhLZ+8YOrXjIszWRy1+01PtORyEx7mMhXlkEL4axUcJtfk8p++F5e9tiIm
QExUQ+d4Es7YlOFuGUE/eOlmwOTSkr4/CighAJfdvam2289JfJkf/hsRVmk8GMV0BssDx6lvxVme
93BL+JhAsDlmnCUKLU/wcOK8SdzFbZ4IbI2v/79bN+uw8fUyYzYRm6TGfY37culG3dQODLyijBj3
9aHMe/WU9TkkSmunWR7ElLCtt2eW+Dd1BMdOz5AxdzQ4yvVLM043Im43liJb08Y5dfGnaJoqAB0C
sBu4TfjIwEF1fk5tTRt73iLsh/+gfD00jbrecTtr2Zo2FtAmH0Tbdx6sLsXLoIqHBVeU53ttcRYT
6sWaJidTiejB4cUf3rBIBFgrzrdt6bYJ6gKNRKgYS3Bq58tN7OdPTdNfdmlk4rkqSiF3BSX0A9fd
nKe09sbpU+wKh+/aUTtbR0fLcmECu3Tshq5ukLaG6Q7R1K/YN/G2WSS0GciI1LzOXOgDIQ3MXvc3
K25vW2w9Xz/5LgnMrNSgIMG8YqGr52fqP084im2uRbbmjW2uZAkBtwOax3JRT1kKctkUpbYElZPL
fMcI1IZXYxMFCNR121WA5LoNm/1lTRuBCoZdcGxksDoWjCbvwVvRb2QXS6mEGHEaJVEESVxA5im7
xmWmeCPlkDqlTL3suFmI/HCxBlRrrfW9m9li8JIyGlesFk6LjXvfD/dxcx+WwOcfLzAQvmCcTEsJ
UciZMeA5/HH2d24HDe2u8fwtwsQPnQftryN7NwLgrIU7UCWBoKrvoro7+O2fho6P0dbNxIfzgA+s
H373AY91lUDq+Vv2VOJuaV4C7HwRuRcvhfiIEbxDzycdrSXPJhxusqT/OrVsN2btxun3w9ItmjcC
uK/VONG1xtHVf5ZS0BQh3GT3PQ92bed88cIWt6TP5yf8w0UA3zKiGQkurmeNnSVUidI1yWFnGW/V
IGyzbURy53sKeu9ofPSbFEtMEPyDNBQMb+f7/mEORd+NaJ67IWk4X8MBjCT7IBr7NAMa7JIlDK0b
Ed0kseZyLe+td0Sahv9DDcJiFxM1VQR8YvMAuyTjMy3zVOHIClmo9MIqBwCXRhy71UCaaX3R0OPy
Zs3QlzdthHCj64qyv1XtqkVtBjdPzRb63JLfTC1B12nCvIzRa5yJp+nPurogueHmjF0mtAPDGKEL
1q//L6Xg5M1dHI35g1O/4axGLlKdxBeM6HVp5UVei6oBaf35KZLV8qtfunDr2ZclwZmYKeZUdU4C
2AgDKBCzhaZ4krouAgmLr5Piz/nYsuQFk0pLNSOfRi5RPnR/AICQ1rRd2a8viy2TTWvgWQfxr2j8
3TaNeKgaZ34WjV9fAjfGDBiROxY50Aw+Hr60Y0HnQxc7cjpStwPT4HnjWBKPCY6qyYhpB3D20K/3
mEynEAi4Pt+0JTX8CxKFTuZNPeoDnhw/jz75CozAVcSK674Ql5xWSGIio8rC6wcCidrDOMc7P+uu
OOLsfO8tXmNCnOac0wWwXn1owM6agHEqbPt9pYJLdobouRG8bRNCkqwQGhqV817SZjcyf6NpW8+N
qG3JUidQmpegjptuq7bdQ3H+wVsuNYyxzPolmzKnmvFuWRXdSzeU/fTIpyFK7jwmimF/3vw2v/T+
e/MzkmrOlNTikHdYTWjclGnuBN/ON27zTGO17XgZ9BwyRYA0hvmdJ7sEPLvhLR/a9smLtnBgliUg
NmJXY7uQTH2DAsDgpgHrUw2oZr3sPDzCbp2NoVjsZKKe5n4IaiZxp6y68E6TZT+2W49EP35AhScC
xsrrdM28jDPT6wXVdD2g8WBwr+isAKB0byqe70QUyK8qPHmbAnW28RhL8jBmLBlKoE3Xc8F650ZQ
DT8/65a4MBFRHpBtjqf95TD2fnfs54DuIgKNeFEKvRF6lhUtMqKaCoflwdwMv1FIus6K7hPQIV9Q
7FSpu4Rv3F2gxQatoMvGs5rw3flg6jw297UrcU4Lrvus3/NwOY4l3RiLzVxGnFeUlHM7+MMhyYD9
YfecdLvosqoKfMuI7wHIP1DNzfKQE/d24fxPNCwXEVyibSO8pymfFsgHyEPhFJ/YqoZUNXyrmGIz
ixHVSz8qMY5ovBzCfQ5q6yaqn+q+/X5+Ui1Jw4RERdFSCzLCLqxCqVY8YD9U+M2+1BeiXEhioqLY
osWcuJM8NJVzgAsh1PRGiFmi10RFOQUQpH4N46zXqcCN3TuVv1ErszW95vJ33l70sfanAawrfT8/
yoB8TrKNFGpZDUyyLQ/UkjgBw+QoQ+RFv8fdW4aHDnKL09/W8/X/dz13h86TZQ+jxE34HINSsYVw
7obBbX03gjSvywpPjdE2qmPwllwJPG1t0hVne94fbR8w4jRyEjHztfPAzbTTXRTdd8ltK7cwELbm
jVBdsjFsIaEqIbkOmVCW74BsUc7tHG7dkdviyQjXPl8KHq5VGhYeHTzugXzPClxycBfHVLZhJMsM
m+ionlex6xUjsDlD+aXqgGXs6/vz9rc1bazBvbNIwXo0rUWWlugxCbfqfJZMZkKiCneMQj238lAB
zNXFR4A7C/58vtuWeTWhUNgWTEWiAHdrk1ucUveo7SGFeXK4bHEy0VBhGcpBN8CLZf7wjYvoJlDV
16Le4p2xWd0I2UihmIRcJg8Kd9k0SNLZf7nMMEbAxjFUVhRdUQSKHdopdVZxhAVST+VWzdni8SYg
almmsXFc9N0pnLWw7blH3ACmPfAWm7fytuk1wnbqpOdFAkcMRh7C8WpNOzi1z+HjZUYyglZ1jQAT
J5pH0qmzYqfco0+CfQ7UxfkPWFzfBEj5qpeOSzjc05VHyh/bXF3lw2UrlUmx1cbgTQ+qAtkAiJ8Q
agx+v/UWy7K/NJFQRCSK8DyXB1n/Cdfn2s4tAFfK+weqvDfhFmTJZp111t8tWIBchNLRy9+vcC1S
Du2ZzWqMJbRMgi2VDEFHA9pDPzvYKw/E5izYn59VW9NG1AaM66YkcX9og/LaUfo4JFswN5tJjLAl
oeNnSAryEM7DLSf5V2DpdpDe+3FZz41VtmPQ7qyyBEd2mFtH1V1I9UYs2XpuhGrfVJOQHXoeC1Zf
ewnHC+VklnuJVzKXVWFMZNQEX6/DIZN/MV3Kyz+39YUFHhMUFeqAzbyMcL1FarBO+dWrKMqNNcri
LiYmSrNMLk3o94dpkm0qeZTsqja5sMBj4qJkpPMFui/BDyraEnz1OIWEy9bRz9Z1I0IdsJq4RTsF
P+qkBlTX53h412+9trY1vnrSu/CXdIzqqRiDH6UsOjztUy+k4L8vcnQTFFX1Tt6yugt+xFlCU+nP
Ueot9bS7rHUjSqu2LyLcpDivTtiA457hXNO23Xg837olkkxclBDtAOkR7rzSxo3Skc3LbhYdnlHM
1da6ZDO9EazR0kFs2Yv0b4CLuusIj+a+S54P384PwNa6sawmRewy2ajgh0MgiEH78cUj9dZJxNK4
iY3ieYWXQv2gf604rLQJpUobmW/lX1vrxjaYVRCSACSqeFVjD6ljnbgJIEFi6TbWbMuGxgRJZUAW
V0Ge8N/NCtaZ8PIx0fGnIZfVbna3ODcsDmTipfy5npI5rNrXEDx6N3TJkmuU3jswWAb9/vwU2z5h
xC7turbuOWlfRV5/7/wp/h16s94Do8021hPL9tLETklI2VQgIuK/pzrqP6kyCY7zQt3UmVi5o33F
i5SW0eH8cGzTYgS0LvuABQQfm0X03A8NBD/DTzIPoUN+GWSYJCaf1uJ0Uznmc/nTb/V0MwYlO7rV
+HR+ADa/NQK6UXXC60rmP4c8GnYaQO1US3+LdMDWuhHQinoy8nvkOxLU3zXz1K5QqAOe77plr2li
qkg01kkQFv0L3Ohx7vnOp+0B9WaUyctvpa533PEvm2YTYoUMNztRHHcvQSKrdNLup9JBkZl05Q77
uY09f4Ll61+v6EFftjr0u2VNRwuoH3MfVxbKf+75UxfhiR1z0rxy4LHDix9EN6osr89bzxImJuaq
KUbmLNiDvnhTtHfj4Tph7DUc/INU2XUytS/nP2PxAJNNqx2WlhGw/r+AfmpfQyI3DWi5Baa3jWH9
6DuLFQkEAoEE8l58p95hMbpXRXjwKve5QyQ62dZZ3uZoRpCjbuJ6Qxe1L0lB3xheD7JB3I2i/9xF
3ltVFtdSbN3Kr2nwIx8w9tlRT0ac6mXzc0jAgXk1q44+yXlU1T7y+Mg2PM32FSPoYx6MOsQS9SP0
oQjA/bB66AiO3yomW4Qmtnk3Ir93PJ4gxTc/e8jugLpfqBT0LPHuvFd9PPHUBGdNfu7jOjhvfgJL
8jlMXJKONEdlsR1/VVUJOW3IL5//0sfjoCZIK+GdgwVqHF4TNxP7vIeqU95uLeqWCyxqQrRQRNBg
ky/rn9UQfaNEP+W5uFo9a/WqXJff45AdWcbwNie86MKemqAt3BiHdak8/jMHwSdedfHpnma+c8lr
CEJNtBabq5aQrG1fQa4NuiheU/AhC5ZWoJvYmPu/urn/jhFqQrZIwwmAHkHyOtP6GAW3be//ycCx
XHjRdYFk5rV817HwmWXDQx/SjXxpcwQjCXQxAzXP+tUeJK9pXbbNvtEN2Z93s4/3ETQx4h5CTMDK
ZN7yg4Vt7r3ReC6eg7gQoHMYWHcbRII4G0xGtk8Zwd9VEnMzi+wHKpI8hnqsOws8/PLqqv00TIIK
smO4Ptpg1LRFqpEHgj7unEn72S9g2OtxJ2XxrSgF25dEFE99V6tiJ93NupzlaybYK1dJ3jj92P8u
HHW9bsdyZ3roZPe5JN+3abgtrmACviruxA53h+QXUAXhLnAKhqfw2PSfdwVb6+vY3i1qag47LkWA
hzOqeqGhQ1JS4or7fOM2A61O8b5xgOU7CMDSX3kQfVKOehjV9IWJ8Vp204MzXHZrQk3k1zQkcZXR
hT6DJ/BZQt4w7ZL+wWdOvu/q7P78WP7u6D9IBCb6i1MI+bVB5vyaXeGC3bfv4t4lu45WJdR8Az3z
xj3KkE71Y5BBHttPGfCeTtpDkTvxn2Ssm+7ojsNUgXoIryFAi8R8UiVIVzRk7vfz3bTNp5E4yi4b
sJRX6pc799FVl7nZVdwydVk0m9gxfyB0rPiif9UBSGtACl9exX3oX9GJA9OKl8fHy0ZhZI1kCSsv
Y9H8K/Iikvpe4u90UF+GUaMmiiwDSMBhIH549lTlp1Fc97tm4s3GivHxdgc6U//t9H05J3yaSufV
12V31JECCpQlwTV1ly2Ht0yyCSUjZZa4o6zVL5J7/j4ISxDlqC1Kz4+1H8GeZ6QENsshxK2d+zz2
gdp5eXMMA+KmfUV3oIN4avrlLpsa3PY3YKcPgr0z6n+wHd6YetuCayLN6EjreiRT+Ctz4iN27/du
FByKRH/F0/mvdCwPMdh71gNXHZGvc3uRaCNGvU7nu1wlyoAo3bni1PXlMOyKwomWI+ceDkgiKZqN
0dlmbv3/3Vci7LMbn4fR01QUYbmL3aafd3gOLTb2Wx+f6qBW/t/tjwuJuTd3yZMTRHc50w5gBw7O
2PExi5avfRB9k1VxXcl5f1GgxsZOQpQgPa8CfK+jMUl1IcK9k+dbEuQfH4WwN/jv0UB1x6+9IqdP
Crw78RsYrPX0Q2UjHnYjE2cuS7lU1VIfoYe36BeaTCrZ2ICtS9QH2d5EqwWZDCPdOiD/cjsQ2vAf
4CY91D65QhH76rztLJ8wsWoFpDtICyXk38UU7yM4c1BV31ni7qrRuUi0C8Tqq2Xf+Rt2kVmTqzl4
IlJXu8jlp8FHujs/AIszm3xdGQ2LmbQ6eGprGMXrRr2flmyD8t7W+Gq1dz3vg45A8nVRT2Mb/iwE
JK+4dxkzDMxiBDufZauWwlNPXdPeTTN4FDJ96fISGTEejpC1xmWHeiqyjKbQpRK7Mu+25MBsdjEi
vJvjsVyVX55md5z2lARfwxmc2Odn1BJwJgxN4DQAGblRPfVyeBza/kRbJNiZeFfaGb80FbCneVhs
wQNtQzHDOwQ8kEdRdWqSapC7wgG6Y5c47CJ1dMyycRrwW5c7/RwlT7kPcupi1cPTbHo6byrLMm8i
06Y+HIZ4kXw/ePHyfZBg7I+xJl8N3Z/zH7BYx8SlOUvrgmaU8T0Plmq3JHndp56bxb8va95Y5YdJ
eiB+5Oi/E9+07SS+lihybCxDFj8ySbtG6UO/puz4HqXwaz7n7U5kOMfSDOrpui73vjf6nzs+XaQi
BLpcI54XdyxKVK75vnWD4Sgcr79D0F8YcqER0FDHyHrdKL5XU3XQibie+61dh22SjWhuaBtQhd3z
nqGqlJPut6/pz/MTbHNQY2l2Ha8uQ29JnlQb+7ezUEWahMTfyUBuQYhtFaXQiGCat+XUtzz+BZyj
cpqrgDhx1+yUdAt6HwaihIpIOUiCAlkrsqbLd6zJoYOJU1Pc+uVx5osfhRtHWduAjXBfmriOIBHE
91MHhBX1j05+JOFF5JTQoTK29ThxT5oRt94H3pTlh2QKynveL/N92Y/E2Z+fM4s7mLxfIuiq1k2W
et/kcXWcyyp8nstouTnfusVAJsLNlaoTLGvqfd4FmKQgCdJ6yb55bXDZjsaEuYGeDLzCflFDhGw6
BU78fYrkQy+LPM31RRrlmAcj1KtBCyCCeb3nzlAWaRU6wK0zaHtd5kWmoCSvIz8DCSnaj1n4pS2r
aR/oISxSMqqNvaUtbExFydJtQCLt0PzUBwsNy0NegQvAT0H4nIhd79YMzH6x47Qt21cF3ki0u1zo
xd2NOnAgX1fxZqKXupyRJsiQF+Ocl8FTIHULVs62W+JxlxBZk9N5t7M5tZEkAtd1i1Jx+rS08YAj
JE8emzyjGyUJW+tG1HPqTx7O2/lJyHFOoxB31S27DFhCTWCcWtqkk1PZn7KsQ/VSuSr7jHXT38JQ
WI4AJjZO11LM0our38SpnOQYVUqQ/FoXpFM7fwrroL5uQq2jjfKozfFMwNyg2JCDEqb72cjxy9yG
KcVZus3rA+uauzwGkx7O20Vy3w5bhEWWnYCpTel5xCfgu+t+8mh9gkwEbpn4XZTTm6Kp79fDqN9t
kWnZrGmkhkyTiIIjoftJtL6L2uUz7fo7gDwedbH1CN3ibSbHWDLMcRDCn09xwXg6CKL2Q8W2co+t
dWM3QGg/FFVDsT9i2VQg6lEu2MV5w8ctsWvLEmDyjcmCg0l+DrOnSdXza62d0nmUKKDqIi3joNSX
Hd5M3jEe+/XY13l+Ii75o2unxdajzQ/n84ltDEbE45EVIIFl4TzRyW/FPVmGin7vmzaI/7S6J3Ij
S1smw8TaeVFbU+i0DqfK47g3YK4/yRSUJFt1NkupxsTb0ZgWfhEPzhNqePGX2CujlOtA7LkO/0Rz
ke28BdUUTaW3S+Rmvf/vFHxQ2DCBeDnJUYxsBrHPtJqK7MSDIPtazDnuzFKHD3ECcblW9A7baxKW
PYT/AOVXP9VcOCyEYyp3cO/GoV36VwBhtftLTU00pHFGgxdZeYWTp3jwK8MyFZAaqHyU6vhEv8xe
4lV8X8tST1Wq8BCQ/0hoXpLu4HgNE/M1nSD++RhXnS7rNOvLKH+NS+ojH81LIoadA9LbBKqnKGIl
zVWhowwcZRuL/nro+cgoa0Z5V2zI+140jqrZq5ijm1UDSk371hFXf8uNtNhIv7YZN/JTMMjeIVkS
PUmmjmyeHqlckXNFsysmDfTfQI5ZUh6jbOt0YRvW6trvhqXLsgyL3ClPFMPKRPupoepxiet72pfH
kc9bO2/bd4y8pTo/gNq3Hk/Sd/9IEX0KIxyEQ/cr6Ejv63xLXdQWkcZWBUXhqHGyjp1ylj/rhXfH
lkV0fz6r2Bo3dik4iMwTZNbIU530ReoFZZXqgH4/37glZZlcbKIMI9VDEfi1z/07nbO3tel2Gh8v
at4EG0YL3vNLltFX0okrjz2s9crevXBZNbnYonkpW1FUCehk6TFgeLkbKPpPyOn9UmyWei3mNxGH
CohpZAO8nSU8jL037H10eB27Jd+CiFh81EQbDrPnC98dwxPy+rc8mOZ0avg9htamTqS/c0T8+cmw
fciI8sghMhBNiO0ubT6VxYhzHHY8xcy6FOTuNXSytqSzbTZb/38X3tTDXWPVe/QJe7oEwGEkkdCB
wun5cVh81jWCevGwV+y1T5+SUX9x2/gGe8PPke9tYDcsmzUTZ9hGOQuGoFInRfTVUlfRnVph+doD
a24QhxtfsZnIjOpoGPIp6ckJeCZnJxZKdoMIX89byNa4sRGZcreo0VV1QrkD8mpTr1Pl+1vUc5ad
swk4hKzRTKpFw0BN9G2O/Lt1UapdAAGZ82UK9VXeb8WGZapNwGEnQCsm4nE+eYsXgTklGyrO0qhW
Q/aYAE4RXp03mG1Ia8i8c9hEq4K2nq9OtTPtxRB/orW4L535a4P34WsEjrK7bOJNwCGLIDo2dsF8
It0CjTmSoSy0eTdhG4cR4hlPcPVdO/OJ0mn5J3bE/IuEBYi2Ke6jst2cISYjP1lNqTPgQc5bz+Ju
xAh3cO7hUkGp+DUmVZXGTtymZbOJ+7XEIzHCvdNBMbGpDV4TOh6beN4DmvCZ8vGl77b0HC2Z0RTx
DNoxaibdzCfwO90EdXa99PzvfaRLoD1cb9EIWrZZpqBnRqPGjZvef123WeuOpCpxwVM5y3jV9OKq
HN1Xfw6DYyu3ygS2gRmJgHYqiIZREajcTiDxivbdHH33Nb9dB5aPy0b4fOwAsYlDZMlEgnYi6pQv
gLZkgXB2s5y3Hqt/7ACxiT0MtMrmQPTJaXH8NPadXQdm57lRX1jhbQzAcrcfmwjEzM900gBIfXLn
OV2dTAn14ib514n5t14Ow5XidgjLEsRZ/Ohl3cZ9hG1s6//vEk9VxJRVLb4rp/5YEbKXJLjNQ/Ea
bOEEbXNjpARVyKFmqp5OE0tOooQKcUfirVfbH+fn2MQgylnFRezQ8UQoidLew9teUSUpmeefl6SW
2OSKc3sZx84optOQ1wQXTp68ZtAFO5xv3dZ9Y9+uoA5ak4hNJ7duOJ6A8u/ADHxbN5Dn27fNrrHI
qxZnUwE+1VM3V0dc1HxZb3UlD79p3Ltu7IZs82uEeCAAkquCWJ5I0I13RUXqb7hq2MJVfZyyYhNJ
OPdYMWK3oic5B3uQYu54z8fUXU+F2t+HrAZsuv2BDcDxvMUsozExhWFORVgtY3wClL3Fa7y6QoW+
+3W+8Y+zYWzKb7pQGm9E6MrTHHQnLwjf1sCmocSpagj/h422bRBGUAMQVjdFFslXNkevXqTwrofM
2f78ICw+a2IKaVRRTwO9fBJ16JR7sAv3L23u5M9e4sy789+wDWD9/11Wcl1ArSacC09dhxt8XC9R
kCGpjTOhrXFjPSfT2CVBlPcnUukn4gJJ7mcQvTjfc5t1jIiGkBTVvOP9SU2rMGmbi5tJNb+bLCsv
tL8Z0/lCVFaQ/gR8Yb0b3UKklXKKXZBsshPZLGSENFXM8+s67E/+PELbSAn5EBKvumgDGv8LBqga
YCk8iBsX1RDW6bjU3bLTIldv56fAkjJMDKCsiK9n1vcnRFqK5fQnwLspE82e+s1VXMaf1r3Hql1+
2efWYH/nqzLUYJRO/AHrG3tus/yrK/GZKb/mTnnkovzmjOFdW209grHkEBMEmEUkJiSAg60pHS+t
rnQNrd2Q3izc/w7Fg4ueascm6E9JmtdTF/knFmqxCxaypAUEATeixOJg8fr/O5sJ3HaIEITWp0pK
7d1OXHbuLvRbvBg4PymWMDTRfl1Zu7nTue0JWIfPoyuiw9R2LUCZ08P5D9hGYMR5U7eZzAU+gFeB
4gZYPywWZbZsVNhtk2zEOLBp+dytC8XqT3LKq7QGMHF1qGDEl4AMuDk/DMsGwQTzQQBYtAHeOpzW
s40XT49JyL4NHcC/F28xTTRfkGvuj5CJOUW0v6k1uDmaiH0dUNy9OKebaD4t+qDvG+meqNLlV5nk
7NDQQG5kLIuVTDjfGNAxiYKMnPAECGRzo9p7vPs8Ls3dEJONErjFoUzSOddfFj42hXuqsylsU0WX
+lpBSObn+Ym2JEUT18dwkR5EvUdOEtmIcfermMWUCuybBq/Zu2346pfDlzIAfeL5D1oi0MT6MQpe
OG8MyQmySf63RNcIDhG77nQsaia2uLUtgWKKcsYlyj/FPHs/UCE9TlV8FJ16WEtyc+vdjpR/Oz+Y
j8sasYn+o6py53yE9cau/qaZzlPux0c/lp/XGg1WYwiUFBuxbzOcEftMJc7IM+n98Eh766noe7mA
tQhHg/NDsfmysba3unIAMeu8H0pHN0XAvo1udF933k5NwwbwwDIpJgAwwR15QbOqOUnOP3GhvlQg
PseTrc9MdZ9FG122RJkwQEh0RsvQOstJQqr7jmhOr8qBJcfzdrINYv3/3RLVtmDNBystOaGYeKT5
TA5lNz+s01xkOBSwcNhYSSzzbSICs76fJBfBcoLqeJkOirtXGcQLdg6qmxvHQEtuMUGAgv8faVfS
HDfOLH8RI0gQBIkr2WRrsWRLtrX4gvDM2AD3fcOvf8k5afCZzYh+c5pQOMDGUoVCVVZmPjOvHfQL
TSf9RQy9ddtY7vjP5ZXam8D21Q8rxT0rb3y/0i+dJ/lJ272IoXDfJuNK1tPlT+xNwAjZoRdeiBUa
s8hSCHkirEiT0vPm8+XRd0zCM+7yQUKrZy5s/eLg8d12sO6R2ud2nv9xdXmQEd9bJMOqmy4DtqkZ
9Yvg0okrwdCMi27v7QosDqaxt0iGZQfLWA2ktuqXZfWGhyxt3+xmzg+80s7gJshvRg56tRpneVk3
wo6ajk+pPEpL7piaie3LO+6gxSQN3oehes7ZenYI+THzMbFr/dtrj4qkO1tggvxsEHUE1pgH7ylz
Pjtom0GB4kn3gzq48XaOkYnxa9tVBNK1/Hd/YvH25gC71OdgqM4azcSXT+reSm1T+2BqdFATVakt
X7Q7fEU5E7hC6JGksR5BT3CYTd2byHYGPnxlFBWFXCOAY9ROIbCKmUCR8wldfv9WI66biWHRsqzb
sVvwDXelv7dPwG/cysy73R5nx5fpzsVtctyhasLALeO577Offp71N4Jn4HayamzLpL81QX0QIu7Z
h2HfbZ+CajBn7ruY2YlyKJQcntu97TDt2qPI24+YA+XzqZr9G6uHxMoCyAk+c3k3dj5hovmcQjPf
Ljl513l9h3O1eh34h3nkHLEZ7tieCedb/LpIgR4V39nCgaln906w3uHZfPCM2bELE72XW0MgsErk
3yXC799eS97EHjKE6mCfOTDwnT02EXtjMWd5NUv3Pc3J57W2qtAC7cnB4DsBukl3BzRgU5Z5u7xn
hH3hvIhcWp4pHnpb+Afg4UalUXb+VRUz30TrzU22TKql5TtpJkXvSOUO1deMZ84RnG7vRBn2XVk1
eD256t6tqoFyRpSRbNHnsqXofgghiDPXQCiPtsh+XT7Be8tn3OFSCNkX7dq9z1xEBRwwcFpxBb7S
JZ1OCj5lGvH3w6Ow41dMGB/Lms6zO9a8cziSbadynLQa7JlzNSUVgsSMHxEe7H3KMH8J9tWULkHz
XmM22+xwvreCN6QGko1yykEO+fIa7liRiesTbjNPAu0H7zObn1biJwwJB5cD8E3/Uik5SM3sfWWb
54fbpbctSRu0sL0P/XC7cQOAmSahTfDgD3ZkI7F/eTI7y2ai+fig3Kyla/O+tkW4fWrFWuWTiAaO
LEQ6JuJQNm1vRpsNfJhR3S3dnCOj9c51fVLyO0HBVqYiyqq/s/XoWbhzwE0JUpAd2IMAid+7SPtw
JvVZrDSckMVEV3u4zSeAz8gwv+uWz4gBAIWljteV9Xs/lGEKYvFyeyLChuy8DP9fQY0pUorUEPHR
nKReKpvcSD9N/GW67dR0WpQT91ZzcLp3vLfJylf04NsoiMvfWiCqfkL0ExjJtqbVEZ3ujscz9Up7
p1N9V+fZe45r+t8qqlV9GZzpkZdHgfLOLWqC5cbZt9IUesvvgnRpGKj63BP+sjXGXt70HSYH34TL
2Rg2dazeeiNUa1qFE5FQjYigs5CO9amroA3cRshU1ewZrqKp7ktSZbyMCHFGi4esbr22uKlHORbI
jPRifqNqLYdbsLJN7OCu39lHE3RX8dHtLb8CkxVvaHPT1Q64eahenCMC+R1zNgF3Ne/azFGe/Tam
qSih32wt6wxo37Jk7nkEfWaF7A+IqHi0+LJsDx6Ie9MynAiehrLpVr68QevI9T7RDC3J3yZb6/66
K98x3g6tJ7Ws1NS8EdXUP0c49B9yQv/z5aOz9/O3v3/wgWzqigUlo/6tbqpCnrRqnf48DpkXnC9/
YG9XjIAC6rHg/eH98GaJMgRDW7SRHwiYlleS+4od1X93TMwE32nqKu0DsPbmCug9/iTz4ounwA3s
/Ac6HJj8et1sjOcCCaTggH03b6lb32/XRppWKENSMBPggj8sg+xcGv92u3zYlVKhgVKToH5rc/Wv
F5e4X9N+eiwDGQrbiRoEEZ24MlQxgXk50EUrC8byhYjhry1DukVFfUvj1XFepfxOyXpdttzE5fE+
s4WY3fSNFz3/1kMT/VvNdP18eXd2XLnJANhIqRn8jHqzsG6nfGl00nDnhuRUn3rdjAchys5ZM5F4
7RTwdC1zBdFf1usQC9VZqIVZ4BLt1kEdMY3tfWb7+4dDsEhHg6WkC15znz+MWZEo33+HJNN1/tgE
38naRkpItcFr1pOlfxfgsVThICrHuu5xauLvxprSfCSp/7o2/YP0LYT48mbRNMzY/P3yhu8Eiyb+
ztd1NldNxV4dpuqkBX9KKNpOhBTxFBlJcBogohe2TemeLn9wx12aSLxAppqNlvBep2mYH5Uox9eC
LdMRPfDelhtvhjrIKLTTFXn1ZT93Z9rbvnO/SbloqGgu+ZxcMwtmwu4ksWhp134WzzmEw/p2DjkQ
fwfW8WcjZCbqTna99uosQA/oMCfbRtTgIZ6of9cJflCo2PvEdtd8sIyRLBandj68ijK1Xh1SS+Em
kAFaPR1OCH7t+UvOoZpysFx7n9v+/uFzdQ8AJJ3sLM67KfgiBKkiIVLnrgWoOJEVdX9f3pa97xgG
XzOO4m05qTjvi299izpfSuo7sbQPejkEuvz5BDMTeUfSIpNEzSoWC2JRMFwF0QZ0uTyDvcGNy54B
625nK8viYFq/pyNePAUZjh6ge8tD/rsNi7O2bbfg1BYT2O1x+dlUft4yqDZ336/7/cb17qYOc2uA
015xgbCf2Zyq14Gq3jkwjb3lMcwbztbSwTrmr/4oQS9VFYEeo2pTnT34wM4Smai70XIa/i8PWD3I
13ZR/7DMPrua3rmH79k/uyhmAu0AZwWxlMuy11zm8wPVDeWnvPLoGk6p0x4RlO5NxLDwCcWoYV1Y
kUBx8Iko+4tPXYj5LXfBJK90VKaCK5iVIbDajWUCktL6pnSL4ffUjOkZWk4AWQZr0B4EjTvbbiLv
Sr1UTh14RdLkLnj822AONXqID/Z8b0O2r37wTktKQWldiSJZZOf9BQkCd9zauuk3SrMiS64yDFPJ
tQd9NiuRUkp0PdSRU6fLWc/LdaAcZpLwOZkPObGmwk646Ce66aFL8EZndLocPKH+/AZhpoRrI0Gx
EFhYIkHwIKxmnp5VRYtbtsj05Ff9ivzV7EXXLZVh5H4rqxz5niJZu+yrh9shrp3+iI9i5yiZGDyb
ukXreQ32IaOf1dqwaKn4EURtb3AjwzeMrUTbao6TNLfkdlzHOoGC+9E5/fObBmzf/z2nglC/cFMi
X6FKV4XNSP7NhIEEKB6bToca0YJb/a3GIyjZjgsxAXelHhiTfVUktcNv5sLxwhHEFAJvtAmynQfG
tzcp48peETU7QzfLV7tOb8BBcgKfbgtqW9Wjadjl38CbunrO+aqTZaLvypwrkMxn1jcmbSQQK7Qa
oP8Y/RPXJZKZib4LKOlaXnDrZXt2bk/Orey26iEm8xAhnD5wJjsey6TYa/UakLwPVEyHUYUzoo96
QYfqcRiytyvGNQ5Q/miPFbNesqK6V7MTFYgF83SMxnyMnbI8iwpcTUfeZc9sDIOHqcus4aRIkGaF
ychaVlU8efPCD+6PnfUygXiVN4LgAD3kSevrJXImWiZgcHbPK1Dv8eWjtWMsJg7P6xlr3NUvEugj
+rdOwN1zXwz2jQecYRiUzZX3uonI43kgaWYFObLeenTvHF9bATQyRhZJKtR73yhJ/7puSttUP9yL
wIe7oL+EN+vHYP4xLXp4rLg3W1FQaPKkpcWPyKd3rhcTo+enhR41JCCTrpuzh46UzykrYtFSdbaa
DK1H/hHsc4fuhJnoPJSUuppPpf9CNs1QJJDB25tIW9142jojyjiPzpi003wD6oGDo7E3OyOm78oC
hAoO2ut9nd3YUiaIw1UI6rnPeESedeYfZbH3PkT+u2Hon53I2jbZBh/5WozDEq2+qyK3hVBO36WJ
GNgRFn/vU4aD8EaLDZYrcQzz8Rei/hyw2exe+OLG4pUT+mr4dvkQ7n3I8A1smR13GfI8gdLC12AW
vzLHeusncnZXpwrdLvt9+Tt/ToQwE7pngf615sjpo9FY52HlavQxFLeNN90E9fQdYO2nAfqYl7+1
4+9M/J7o5sLvOrB5DS4X5ISW9gzypAWpjiRJ9z6wLeYHy62J5xFsDnspJxINXf4+5ul1+2GC9gqf
O5W06ixBjfHBL6w0HHn5OJQuODvyFNSy+ZfrFmnz5R/mkE5DZi+BhaLYnFMrKtoge6idbB4Posyd
g2Uy+Pl2OzRzb6POW4uz9vocse0U14u+1UEOUa/0iNRlbzMM858QCkIJa8aHOjd9Z+6k3/vA4/Ig
gNob3jB6JWZrmCySJQPrRycMSJ0t4LQcF3XlaTVM3XIrvI1gaIk1Z+uJiRUM1mN97c837NuSbBKr
HGALUtnv7lC7d5atqyNa7J2b30TvjVk6iBRdzAkdrEevAKUomrKTAALzB8doZ/lNCJ+1jsxXqJsl
Q9D95eWDi1ZsNRytzo5XMpF7lpvbVg/26cTD1bHk5BE54S/Ern6VlrwZei+e1lofzGTHIEwUH/Gs
ma2uypLAFp8WhVz2pPSLmzYJdcFEOV/7BDPp+kAi4WDJ0ixRyh9PZe7qBC9V5ypwNDPJ+rjHAm07
cORgQKnQTw6ym8dyADHDwW2+RT//ywvETKK+tQJJhS7hl1a0ECeyYDeeXd10Qd6cwDp1kJ/d2wvD
qKFYIz0fPc8JKzWypHxI4FjPE0UuXjbLm+374sB97E3HsO42nXOyejl23XLuF+3/8Oh0U1ZLgpr7
VZ3WjBomPgOtnkPtFfvddp8Q1YNY2ZIQa+fxsvpfL98WO3Zu4vhah8gWuVNo1VRFFwel4yDkqbtP
A2/H66ZhIvmGhXa1PeDY8q6KOcM0eP7G1vHO0+nt5VnsOBMTzTdUQV6OEpdrD5BGXGXBEFOhX68b
fDsBHy7UfiFOMNlCJTod/c81z/RNm2pyBOPb++3Gfa26soQyIJanyYHm7+dJRvYhjn9ve7ePfvjt
wk257844QnmlIH/Uf88AbFuq5qCoumMErnlFW0Wm0jlQSW+5f6UueyH2SIqwcZw6bOncDtcZm0m1
xwbtjj7FNKg/PahKfy7tAdNw3ob+SF+F/ltz/oODMhF63gKxuNJ20u94S9Pg1k+5Ts9DXZFf3HO8
rzVE6ch31qW6O9WTU1sdqiVZOj07PO3m+261U5lYWZb/YBX+i0b0YgVfC+al9t2IZ6744Y+rEifI
fOJ/pZeXMqR1nbITF9JNmA9Amxz9tTl1em6n07SyMYjKnC7+1uyNLKEC5Zk8g6QIESMQVaxtz+VQ
Vm8VqLyaJBCTn0Z+B8GJ0zTmjpN4jqznUzP50j0NVaX/AZwjeCdr5pThJLr+TVPUJ6PWdpebIpjZ
Uy4JtCCCWjePYJUBP+/Cxzngka0Luzt5FeBD3hToIZzXYLVu0cKt1VeSexS5FAnZ67BoR9sN+4L3
Tzpvaf0XEVNuJQ5YK2kiV3f4u8oHXDH9GjjsVAdbjpL4SFdFrPFXEkIcrHQeWyVU/7ZOZWA9q4lo
775znHyKaBYIFtYFNGLu4Qmrz9qz2jVJwRhCl0fmdysdIw8MiWsUMO2KRDfLlJ+tSbbBjRi6juK1
ZaeF/OI3HV1+kbXLnadeu9JrI+y5C0nAYvxEJaPjCURHY1I4QBrOaa35CVvA/SevaVV1Au9ORR9c
NLtSUPLJDPgSpoIhey+1lTuPAESKItQrcCcR6+pgvgd6Qy3AR+crtD9q0NiDvC/AX1xULLFqKsiA
Zy/8NPXPIA+q7mxIlk1Q4QKFRP1bkE36JuUpXGfpZLX3yFJQU90ElZzKcwDA1QByHLfFLntu7iBS
A8UFz2PRN81ihZndgL8zJLJx7TKxulWxz9bEghcuCWQ5mJ/1kI90ibWigp2uf89Ou36dV6u/zRbZ
f9HSm1t4pMytQ9INQxZCQyl/rhCAositaAe5Mw4u8gRE1V05beB/N/2pMndir+swi/Z3NRWS/0LP
Nsj7l8IG5NVfU4gcUHfAdvp41U3hus66P8uG9tNtOlv9i4XUU/VceR6oemvWzLQ4Tdzqx08tYFss
DGqKAzS4hPzNXDZ5kZ2BcykEuWQlw4qn9V8Wb9NPNFjX5VO7EUyHOTTtqrjOg16ccNARLrfV+gPM
2evfFXO94r5lC6hikbvJxlsbUMbsXGi/sp/thaghRKUGxpdj0WTIJ5k2UdeoYPzujmAZDTWz9HNR
Los61bZPYjrr4Gu1QhzkBvcS+wm9Be/Rn4bJvnEWy7cjBqry77K3vRe9Np74Ns+80GHuN8PnYfW7
9A51eGeMK1I5E2hdB+Hcz7kKnE8DwrP8bfGRXz5Z+dLmD6Uv1BhT1dXrNxTChu7RUo0jTyjo229d
Y1No0ZeqSUOCjhz7qRr7FfSUZArcs2cv1Ri2joUVXANKu7AHI2QapkPhq3uqRAP9rbb/0oua/yP8
DAIr8MNgFVNO2aGOmzXPQq+tFeUoM32Xgw1VrbG3qBf7VS26L87qBaB48KfCH5/HVM8gW1q9hXdN
CGus3DMDF0SA3c/AkaV02lvRACqhLlzIBEdi9Y730E9L/ZT2ijtnyxmYDAOZ6396LOYQZmhHtE+q
HjgLWUu4f26pWL84DnHbUw+QRH9ia29lkTvjZQ9Ozpp/W7px+DmBPwsyEmjR9RY4PJmqKF8GmRA6
uL+xDkMfT7JyeeLJBVSdddlqHVGnxtlRPZN8DDteFPk/cF4dBCx7O+gjNlGk+j3a5DoLJVduezNx
u54+z9Rj7taQPds6nhwQOuaxR+qefbbl2E5fg0L577gIcO6Aa02XTws4CGXU8XoWXyD1BozPqBVE
lYa2XHnMC3RHx6kPHbYo93tCUUPycnE/kIXIMzquIAUJiCN7tdDRBeQvLpU+sdjoiTXs6NiTpPbL
dDmpYm6+dZojxVqCvsE6Z8hcBvCQdd6H1C3FGWzj4OIJC+hq2yTsm2Aa49IB3UkihIKvpRkK7Trq
JuJBvGHhavgNg+37k10I9m75zF5jYg3FtxG3ySvi5bp45LTX9tOMGo93Oy9L3ZxKR2Tk1FToNr5d
S9rihrc6Mp7RIj96MVJvo5VwMjTrsz9Z7XDPW50BLwhuhk9eQVaBjHfhBjcyb/3miQ6idV6pWKC2
BEgRWNmDerXRP84XgoS/BC+bkDnYmUtV+yQBmCYdnqlEzS+0UnchZ7Qb1O2t1XUayKoZArsK95mL
mydEk3CQ3hboZINgZTvJZcSAKWQ8VtX71ckOgGN81rY3N7hSq8kDp1CA07Xy1v+7mrICaLZSNC1Q
SA1imXjSGv9SwPnXNw0UuvoYKtckj6ZsUe0dqAGa34prAHygPd7m372sbJ6dQZa/OrDG9lHtuix4
Hxc+vC7wDO3tCkz5dFsUtddPEdpxWP2wzHi4BxGvVPuVZrwQryjM6mojBrTXGRj3PJfP6BAT7G7q
R7+MIcuG27kr0jWI0SXdzXfY/7J/CBS37lzlBjL2Zqf/GxoyyJeGfdelPKpnJ0N7Ed+SBFnKPHV2
ZTuCUa1QFKI/Dqgbypg7uv4205Y3KIBmmbyjdi7b5HKEvhflGg8lIAE2lVeEoT4I2O+lsDlgMjl7
mvvWPfjETpRudjp40BGuRwePAK+A5mLl1vl3t2jKp6smYPIXQ9zMdgiAfUmvVa+iGcW2OR4KBdHd
3J/Ko4T63iS2V/PH10DmDUWGtAu6k8dXUsnuFCj7qOq5swnEeCalhE15hlRmYtV2ccNd8rvsiRVn
5SoP9mDvC9vfP/z80mFlVfWuSux2zG5aNy+jGbnBW1emR1mp7cf+4Q1AjPeSClAnzhdLJYNP7VtI
CahI0Zmc2dZ2opZqPV/e8J08hdnBwNbCl0GWpsk46IdJDTzMS+cBzQCxYCXSCUc9IHs7buRDXI/A
N3qYT+rNqA1bbL61i9I/eJbtZNnMBgYuKWvRgasAOIBBC8Zv16p7qFz71AWqS9wcIRm4dQ6wFHt7
Y1h5bqW61FOLuRTMB6N28WgDoXbyVIOOt+t0uJjZz6AWv2gWXivgD6CI4U95lYASuD84wTvbYXYi
tMh2dUqvaVLXYrhxIRkEaHBQVVNz5UvZbEVYxhYavoFIv3vB8ugEw63v9LcbkA9bdPDo35vEtj8f
zBBszo50mz4FIscS58yFsIICN/bBmdob3TDywIY0OAhg4GidOv+pFLDmIS4k70qoyb+NLB9+PZ68
Q+uSzYnMFERYZavABw9erOI6oC4zuX7zpWeOZc0qEa6rHiXO0aOVqvSqrmH2P90GaprdscDiO4xD
A9N32o10WQMMcuX6G3nNgq94k7paJTW3KEIf9AouPj+Sf9px4WZ7AUiK5FJ7eFQvVl9H3B2an40P
ynuKult+MIMd32r2FCC8g7pAih1eGvVZK9qEq1XfpHK8y/zgcwuWnMs+fOekmh0FpduBdqe1VVIh
zo6EPYBWrQ+uxJyaHQVTqlbVIBxIwD0HTYH0efHnOoTMQJJ5h1WevSkYpryuHFpMkIVMZsVUSDNg
KS1WHyRl9/bBsOQZUGzf17ZMRD/396UQZ/R3PWT1OgDs3+QgXW0O3OrOPWQ2FKBZd2z9Ej5joTnI
cNtPVMd1kP/I0uZ2aEa81I9gxntfMhKeja2sJtiMu+z5Lec/euHfd3iZ9f4SuwCXpNl4XUhoNhiA
g5FKuWxzAogDapPwVW6Xl3FWB+mBoexNxjD1SUAha5Sody41fd66Nd2yjZbGudE6TYr1we+PkIk7
sCjbuLp9JVqV9iN8YqURmrvRkuafBxEkQ08f84ncTBZ/Ljx1UNT487H2/qfLIHOV6GpECvagAAK3
GjBJh7VlMe/A9P98tD2z04CkuDCyNLNiy1I/s4rHgEZtaa0ui7Kmv8vokQbt3ky2H/DhtlpaRAhV
V1ox+LagmdTlw62Q1vp82YP92Rt73DB/YhF0VROc5qXp6+LWsfDii1Bin0lcEKjcnS5/Zm8ShiPI
ZCdpis79GBArP7QD0py8TC4Ho28/9n9Dds9sK6iR43aqBUFonXXDeWps+7NM5+z7ygaFYpmfn6+b
hWH6QDuQoYdoVdwA5fe1JUMXySztrqq+epz8d6NH5dOlRbATp5Mf0WUYQ1dMRyLde0tkGHpq23oq
GioT2qr6DqG5tUzhAK3WNFyhmVYOoZuW+VVtqR43bD0fG+UzcKwlpUCw9dIGbVo+Khf4uwO3tXOc
zFYDjdJ1mRM8LQtZF08eROqTrs+96zbC7DLI6sG2FoGNkMIin/S6CjSxz9X3y4doB0bnmYS+OdS+
CyQ47RdktNH1KvyxsHpgOAaraWPlOL1TJv2EdwcYfisQ+8kza8oUBsmQwaRe5JQBUwdT3fFiZhvC
AJ2hoSxqEbcb7RqYSegjqv5BLGknooqwJSITxAEvz3znDJqtCGxwO6ka24rXHKavvUKcu6ydH0YI
eZyQIhfx5e/snY7t7x88puKdLKesFXGl8jqZiAM4xgD9k8uj73hMsxvB8YBIGkAxHQfdbN3OSFZH
SIrRE4T56ujyJ/YWyvAEflsEjrtRokHq5GYaaBvqBcnzAVBBa3V/Xv7I3ioZHqEHszoB/52ItXaq
xA4c/RmdNPnB/bs3BcMFOCDS0euCvR7TgIWeasWTDlgXESRdz906ZQcR5s4szJ4EYVliIkBbx+1Q
iMiqXUgq80peOfoWNn04SeA4dfmC0lucC+aBztgPbqkIjhINOyfJbEpwmj6XmVvhnHbcOi2UDQ+a
ifxx6Sm/zlGafQjoJrMZ7bHJ6AUpvgjuO7dpLY54q/cWf5vYh+UJsowP3uaGbaAa48W1nKgV8gip
vzf69vcPo3Pe+d7M4ZsgDSJeRy8dbmWeNgd3+d7iG3c5mCo6LVC3jUnuVjc1ndQNmbL5JhuKK+8R
s9WAdoEWhOVgNkwDPBXUlN8xqVH/umzAOybmGwasvHnOoJYoYmdY3BPti5uyr2+H1P41OEt64Ir+
HLZ7Jtcvy1CkzpaFA+8wRg0bE0u5d3mX3+Q1SFk32jXYM0+nA+e6s+dmt0FZziAPrzCndmrIaXFo
dgK46kiPfee2MxsNqtW3g7LE6NLmt20wfguyMoshpRkugBdENoGMxuW92ZvH9gs+nF2pddVJJkVs
E1lFUPG1UDvK6oNV2pvHdiI+jA57ADmnVCKmbv4TFNV5CCKr98l1zz5N/4Je6xEEdOeImc0FM/rt
spnAQ+EY8FdZBPmnpg/6WxsP3dhRjrwuKYSO5v/OqM5Ex+fK4rFIuzQK+i67Wb3KjVRp21cummHw
hRVwx/FWKwbJ2BcC+Akea/k7CpY3jAlU82R7nX6fZxL/OtQrIRzmiHiWKC3+4NWq5F2Zodp9W0wC
ZXZIc+EZHMzA8Fx33AxXUDG5Dn25WLHfO8vfpe80TyJYrOfrRjfu8sYGx4Q7cB5b2cwjidFPJMu6
A2zgdpf+4fFmdg+4rFLadmuMTvKvQEukcTOXgMKgj2SwAMzwCzDjV+vBjb5zos3+AdxTLvBMLUfA
q0SyCrdIHHvub2Ywv0etXI/IFPa+YzgApNq9rmAEtI6lgHXeCkuDthX6SQcZ+J3ry+wlILngkygx
viQP1vwpQ1Dlfbm83XtDG7d6gco9qIwwtJK401G9V6FXFQcndW9ww9CHsazTbgBwx8++28t5af92
0yt/t2ngS9kD7oahGf1mL49je2NfGSyYZL/E70Ddzz0e+xkbQNVHeJSBCAJgo/m6VLLnGSYMyRLC
CFpE4rGc/ROrfB2NuvXPl/d05z7yDBPGG25ZGHd4PPMWAcgwrBwYKd29XB5+57SbrQKAJhVB1a6A
Y3lDzJbiXEPit9NVknb5geHuHByzWaAp+cQrsuBUulU8OtABoCQpyXQw/M4C/U+3wDxC/8sFDWtX
etEg3yakXy6vzc5lbfYGVEFbNigos5MIbKA9EdXYE1I8dSIKJ5zs4OAze+tjWC06QBortzEBV50B
IYt4l4XMOXqq7EiNeWZrAEXoBEDPNvwEUNt9L2UsiuArlb99mvheGcvSOkGH/kTrozLU3qEy7Dkn
zPWnbgI4tpuAPtR3nVtEVU/uM33kjfZ2nfw37CAjLUs7xSf8MkAJ7WnxjwSu9n68ac4jp43dY73q
/sWbVOQDJGN9RmR7unyq9sY3DLrlIJZlDn55gIzQ6PkACwYg5gIeTh+pueycKLMvINc01dOCT7Tr
eiddcYLFnTPlXtWn4Zk9Acr2KllmWCHpOndVsUae9iPf6R66tUpa50rDNvsC6tz2un7b4kXoE1te
a02usziT2ddVDOIhYsT6OA9t8fdKZejWPy9v787BNIl967YtAZzE2B3kiBokNdRRe8zOwTFJfBG9
gfDdtoMTG+QtLCwReLzVnvzsjUf9oHsHxzDcIIAspajx4/v8azn+mOrHoHq6vC57QxsGW7NhSsce
QysPUt/8xedfp+X98th7a26YbE+dUTvoSTv1y3e0bYdLcV2/pOcaxjqneJgD7QFn0P4zadDPFbd1
nfh0RSe6ii7/+p19NdFpOsgmkkPS+6S7+k7Rm4D88ll1ks7z5fF3Vt7Ep9Wj5ee2jzk46EJi1tNS
P6q6jy8PvrP0Ju/uxAOXT12PwZmK1u6tXX9fN/C2Wh9eyoGTa08EiHtSN1d3ai3Q/Kw6+evy6Htr
sv39w+hZ6xWzV2HNp/K9SMtw8ZqIBgcwj73Bt7X6ODjrpF9VWPBgrb0Q8re3nb/eFfXRcd8b37BS
aeNOBxKenRr/exPcVfZwsulwum5lDDsldlchtIEtCRuYs+Jd1zHo+OLrBjcMVTdqAbmKjWC2GP9C
FuKf1Os34MVRn/beyhjm6qf5JgnTwZSspHfc2AfcsyuOkvs7Z92El5WNExA+Yd1Je2/5CVl+XV6V
vXG39/WH84KWFVL6KcZt1/5paJwv1D/q29wb2njMugMKHnmBoUubPyhw2PbukbD0zlo7hoEOUzVO
aJ5CXElfOhRQvD4Z+RGAZm/w7e8floSP00r/j7Oza45TB9b1L6JKQhKIW5gPe+zYzjhxnNxQiZMA
AoQECAS//ryzz0327DWeKt+sSrlWwSCppe5W9/tIdZpI9uKaOG2bnbT6yoZ76eGnwfrn4cwlDnVM
NoLXe1dodNegx0dfy1ReGvEz46yEnMWwwPgT2r5UmlTpUM5XfItLP/zMNh0TCnECfnjsn5OkuvHV
pzz8WIGu+J/44Z9R6cHRpuD1Yj6jet8sL019WPN4+/4Sv/TLzwxzUGOPrrkOXtEpBpxucjRlzdGV
/fbCkJ/XjJUTQMlM4uGtbm482t5Dcc3kL5zN52Vi45hAO8fh0Yq9KC3QF4Yuz/goLd28PzAXcmjn
lWKzbkoH9QJMaUA+NQJJOoRMxvfoomnrMRWm/hWTa7qnF2bhXIG2ABau6midbCPS5lmuZ5XKKp72
Sb1cu1hKYEP/kRMkp1f/s4qmVZu5NC3mot/FEkW42m1E8r0ufy6GpCXUWaqP5dHO68a8krxu1xrr
dba3s4jTQqE7Yo7pNUj3hfD/XIh2YH3OBqGijYgfW+lvxfw0Q/Ba/5ypu5LZvjQhZwYd8TZWCbS/
N4O6FRBfYccOOjIfW1lnZ23kx5gnAZ7dLcFBBi8msGgG+tUAkEHGrK4/VNgtzqvDGnRONnOL10zl
z7iT6cm4FULy9tpR8N8myM/rwXDJB/eyjMSmndBdS5KHdZluyzU62s5+fX+o/nsD4ecVYRaVFCMN
ymTbFo1/9HkzPjm/XinU+O855ueo96hfbVSXuFBCL5dxGxv0ot7ahUq/oYmSv9//hEujdHYa4xLU
BOFSSnQBLcMeIGh1I5YiTEkbrDv8gu7p/ff8937FkzP7jgFOi2PN5Lay0Y96TfxehdOUTeg/og59
gJzk893A6JXk3n/bID+vD1Pr1MVceLn1XXsDXtSbnNfXQg/7lc8PSU2vJX0uTdLZqV2DeID+sC7e
Qoi7yyqJjulYT126THBW3x+5S4vszNYdaCseTWbxFhoE/YEDbn/bmkZd8WkuPf3M2itI7+Xofoi2
JF7Ig8gb725skyQfq53h54VhEPGZGzQpR5ugHzMVRKhsDvdosPvQEc7Py8Ii0g80iRu+DaMeIDi0
eh7MGpR/PjT052VhVdPXSaik2MqGsvlAjF+R8mSVL68s0wujf14Y1hFozqIpVWy7cB03Bf51F/ck
+vb+z79gc+elXuFQlp63k9guDd0v+WvVdXdVLDZkZXcMik0TBCrff9Ol7ziZxz+nN7rCuwDi9GJb
uAA9yEUyoBeY/P3Yw08v/efhVBg/AGDCoe5R+WQntdP+EyLj5hoh9MIeeF7f5ZAhm4F84dtBxbck
at/CeN1TwG9ZsF75hkuvODdiCWF9VQZ8CzElmd8ALt/fL7QJjmsYskdQ5g2/4hpcetOZQTsVeYX+
Xg4Z2OoxMvWu7hIKero6qtM/3p+SSy85c8sXM9WGtwvfWodGI+Ke8zl+Ul31WDJOrrzjwpo6r/Mq
wtDjdibk29aL6anitrtnhccNyvufcOnxJ6P5Z1VBtJ2OMsbjwyYfftU56V9FPycv7z/9wgCdF3q1
FK32yJ7xbeQAyS4on7dhb9CTHjE5ZiWox9damy696fT3f75jRLfw2hZ9+wzH9tMwikMuZnCHdXdP
OL0SP144Tc8p74PM88XFvn2Wdfkjb80BiIBnJDSOJwojFeDcvj9ql95zZukS9TNDg+asZwclQfDL
IDs6IilL93Qcnur+Gnj40tSfHdqkhsvmoi7c2pbVB9szkgYFTo73P+K05/3fSIaf14ChqrdowkmM
xxW0oS8r/OatCpr2E4Ko5kN5a2R1/vect9CvtYLL8VjjguxmCcICzDpEMu9/wKVZODPuuYekjBp1
uJULuJ4FJT9nHBTOTc0GpYVb78n+/RddGKnz0q8RyhGQ9qbjMXHrmgZTo7OlmYtbdpIreP8VF6b6
vP4LaiMLN3Hjj2WClN40SZpNiXIfO/bO5WVzYudBzTM+QHiImgRof09k+O39n37BsM9J7x3CjYKs
ZbglbvlKoLk6q+lzMve3ZfPR3392bIdtL3o+RsmxM9XNkug8hbbwtQKvS0N/Zsxjsfrc0Hw6GggY
Za2r+2wpoKny/uhcWjtnNpzPMoeckB2OZejybacnncWo79yx5WoO59IHhP/byqo4gqrG7IYjD+5d
/ie+dh936bln1jtqSBqV2sTHIqF/SRTprfKx/uCSPDNer+Lal3WOcaHRNtEAPPNraK0Lv/u8bCuM
OJQsHcGjyyB1HhC+8oN75nmN1gBfzua174/dWt2xaX5B13eehvLaddyln37a6v45JLFdylI42R+T
ldPmE02gMnpkejbRl/eX4wVjPS/Oslaz1o+6P0YmOgZ6eJ3RgSgEeTXBtS6SCyv+nM5ejI6SvCb2
iK7+hxmCWmnQRLdjiR7B97/h0iCd/v7PIA19oyBmRO3Rj61NAfnz6UDrjx1Z4sxeoY8etPPS9cfB
QA0fqjg/HGfXovBLo39mqSZXCfrAZjx8sMs+IEl3s4SDO/RJ1GULV/0V47o0BWeWK4PoRDqU9iiN
baZsRT2Dz2Ydkjde2XDYvD8PF87f88qtkpEw6Xjnjl2AzgDKELOF31prb30R3rFQHD/0mvMKrgIp
yooaxo9TLzaR7b43c38wXQTFeuhICdQJvP+eC4N2XsbVIAwdhln5Iy2STTFOqW2BPxXX+h0uPf7M
tAeoAflRQpMKrmMDsUwXQrJJT2kZNNWVL7iwvM7ruQTaw9wAEZ+jie3dKT48edcxWIJYY18/Nkin
r/vH9iIoEYRclf7ogqeImFRpaJ6P0ccs+7yUa5YQbG6jwR9rlUCnSEDKiMbTlaqeC9vGucSrcExT
rbFtUBrkRRoOHArgTA1XNo5L83tm23lkxsiV2h5t0b2g9+/tRJUt6XTtpubSzz+z6bZdQjcOeXis
ad5s8oaXuOC4+vQLKZhzNVcNXEZV95IdgTr9cuJNT+gbZ6La1kbeBCPOUdZesecES+U/4o7z4i2x
LEuwLGF4VATxX0v3kIDJUIL+Y4j0vkvc57zSLx3s+/0Ve+l1Z/EzQJudsRNnR8QFx6WZtjGz9/E4
PBCgKf/ny4AGgDLr/v3XXZim86IuG4TJuIIlCw/B4PvKuOo+r4Mw19IBF5bZeWnXiLZo42lojmMd
/54hfBe2wMZUEDe/YoOXXnD6+z8WzoeeWd1T7FNrjX1Krvux1KgdsdeANxeOjfMyr5FCE8cQZY8j
HV8J5Qe1tnuEV5BGRHd6XCRXLm4uvefsJA/i3rDJYqS6dYHoV7xtp+FX3IiD+J+axGuvuTThZ3Zf
6CCPw9CaY4PCknR0xGRqWa/tiJdm48zqq3xCGAiiDexy8qkfcp36WkPdBnjmD67YM0+cTwHjfp7N
UdX9r0mP46acuo8JUfPz2q8lEmzqau2A/kCmBHt5Ms/PSMm9NtBi+pDFnZd/5c0CYW3RdccgWetD
Ae3HO9JW1zpmLkzvef1X3ogc+r7MHUMn/ohhrOrPbu2WazyEC4v0XJcMEsidNJXTx25Kbk4Os7P1
LmowTtLcc3a16+uCa3COW48a3ULHbR2PJElWD8D6SnG7hSRsCglv+QWiuOWXj03HaSD/2T8GiqAR
2kXrcVp6kdKlkaC/lh/0os6lyRaRB/nS6O4YoSQ+q6KVfCW85SlA392v9z/ggsmdg9VV2w8i0Uof
KVMusx4KTBC5zYH7udpTdmk2zqxarO3UM9HrYz+vj0DG/DrddsSJ2J0ipY99xZlVlwu8Mxy07XGG
P6g6eyCtuHcxBH0/9PzzWjEVrzPX0BY+srWFsLN2IPjhjnZbWGhuvv+KC6N0rkdWTIGZxxCjZIrg
abRDsYNrdV/xGpjLtnn52EtOhvnPcq1cRIYQ4phHApXLO58U5gvO7XxbQ1l4A1ZudS1nfOlrTn//
50WRKAo4t3FzzEn3wqS7OV1HnPyQHp2MVyblwmb1f5jokFGO0ALUHKN6nFPKZLvhLrjWknDpC84s
mzftvI68ro7YcB+hm3JbivXbKdNq1LVaiAu2dy5PBinoZBh6Xh0hbc2AsTVVliRL8IYq3G7z/oRf
esXZeV3KQA1RHJZHEbO7mfo6g1edBhL/eP8FlybhzLjnupjmrlvLoyfsoJPpp6r91/cfLf9/6vw/
vOdzjTJR9tE62mDamtqHVm00UVX4jPLwSQ0b3U68kBs4g4S1mRYs6SFbjo4n7nGHAFxZmCIzQNB/
Y23HizJNILIx2qwIoqBctt7mXbGk3aBqyGG1HLVGGxTLh8UxEk2PuWiHJaK/lgVnyW+CYr2geNTF
bIJxU5nBR6+RGVr7Y+mquSvTxaxN/hbWyTgAdjH7Yk5LhoTWAYrusppTCYGywmTV3A+epEIsdDt2
YX2YbSRa/FBLhuprGDht+5QFTJQQm3XchyT1bskLDnm5OMnhFEkqkWRSbcmnp7EqAs2gTT5peZ/L
aBlfmKM16oGA6srmgFS/Vbt2s4c4sWwYCi9bE9A9qvf5qm/riK36GMsZgspbtSrdvK3lQqzdhGHs
ff8Ad9KFAdpkq6BvtqivXghEyWwrzNMSsHbs07nFVhhm1HdhAVXlZBHlbw+lBrdVuGar1z20uKv4
dUZ9xyQ+T2WDrH8mfa+Xftv2iIz6DRvHqn8wvoFwPsR6FeRWoK7fTyMky5slgkaVbhV5LqGxG3yH
HuSAksOB5zz2WdmAZsG3uQrqsb1xQ+nE30G1pAjSbuqU6FJuZBHvqSqx76WkX0C43wfNQKc1lVCl
b98g4a7nNq3BFY6CTT/riJfP6EUu6F0cggSWSA/2ZQj2Xp6KsJrj41CuXXRDQVBWfycqVfIzITke
tYNDiYvdFALBE5T850aXKG6axDT9IJxoGEfZdclwB9HDCvl2WYV51KRLg7yLPdSNWsW4W4KmOIkc
t2uDACGhcYVcaznXYnlIIABe1btgdZZCGjwHtOcF1dcJaCoJugHa76gYIrbPAlJy8RYTXs3FthAQ
lXsIaB02zR0RtRA/g6AY6YmDNE7ix9w1puYpK1GmfOT9wMcvtqmC9c60Pqpuh4h3AxRF55zZ371x
zNRZiaKXlaZz0GIKIxlM06MQs2yB+mjRXNemro8KO26konp9ThgvGdgKTcP9LwNd4rK4h8T6VH5q
zSzJsqE5Aao40/3Alialus9Rvl/QXDC/xTkFiut9YEVNyE7LTq73lembcE59kldgbRKlrXytmzmZ
5E6AmGMw/3klbmTp9Eg20AkuIS4wMya/B24qJ36Xhzmv482ErHCAieV5bB6BydPsFvWTZHiIBhNM
+6HouvFumqY673c6hsT/vQ1YlHxpylzQb6Qka9KnyYAlhtaDEJdYUOou/aFpoFmrcGCvE32BNCSZ
X+NeBPmcteGg8+dELKz/pcvRjSR1QzLnD12ehIgOjYdVQnuxB7Q3HbQp7VNdBmUDyAwgX8WSac2W
fkkpLWW71Qnwe79lCK9Kp9qaIUQXDhpW3U/oYNXlfeinPJ83FpLg68FEiSl+dJrb5VjGtBk3fQXN
xxPMa+3lYwzd+fHrjPhXHuJI4Fpo48u1H77mYRndU4AG+INrFG/dYx7LCdfYyahWX6VNH1X1cwxl
kPIZqupkwj26U2h17LEZgnjo+UKVztYZz9lTLJt8flvsiX2wrUYLJazUsmCY74TDPQC05Hlu9G/M
C7FfKxVS9iLnepIbDWH5dsPoMBebxU/tAJwHtfW9wh3+wRXYsHi6jK4SbdY11VB9LpOiHnbhqmmD
WwtOevTZqnFp3wAq4MJu6hloAnUbiyVJHiHI20NvUQNFgVhWd1UJXfkREufzW0B4UL5MAFvovxVx
hf3cRZKvxUnjc+4OrBZ2/qOrLhq+2Sis1F8rm0X+mAALGMMtnAdCcdeT98UO1IWQLlliW02+mWYh
6JhNeIl9mXa5b4+OJQHpcN0totymEEcYuydOuK0fkMUr18+QtGdtmQV00f5vUY2VAY4BQzdsDIci
wLGNungkW8kGJrNuzJuKpyG05z3Q67M1gAy6OoTMI9UlNYd+ACQih8b/ZKLfWo59iOU5T/PwCMyK
qfc1rgRwMLYTq9RDOyGOytoFXSpo/jTA+zxHUZfMdw0b+uB1gnJO92qtWsrbhTX1DKhG7ibCd7mz
zD/NNF+Ao7N5gpQKUsAVKjJDElc521RhI3GT3UrTk730CKPaNKn0ajEQkAOJ6rRiVGiTzqjb7uY9
uuwdkwAwkWiVLwuBxIb5NIQIwdT9wAfvw7sK1dfdCPV/ggayIoPG+WlHhCCr8ntbQeq9TQMHvfs/
dCiYfECNAZXLBkX4Lr7VoxUgefEwtnVqle7svlB9DykdOB09+V0tRYNEhwqDCfr767z+9LKd6O1A
co5d2kFIXZZ71O2R/Isdwt4tEO6vEwYeiXFjtx9aXfWbyfB82sewpjgzIugqcVCJbkSYgSiGUydt
I9qgZgAyR85/M/nS7hsa83hboJ7R8O2KfY9nFWpD04Z6o0TaEzimawrx+xVt/KC3CVDDonL5kbRd
yTJdx9DUOZhkDmAn0bp2yPNr1y761k+EuGNvDAtMOrUoR6t2uPjEVRyoxTXvo3Tw3HmbDixAnQ/I
OfilHdwab0bA1bwVa2oKOc9sh+lb3FNZIufxq4xsISQOlanhhzGQstjEtRh6NCrHyrV7Eefa/MJ0
WW62vSZrm5IKrBayKyqyfpdAGP4MoQUBtbByoX6ym5bFURjusGWsKso04HT8yIAH6tp9CaBftM/B
2mjvc9MU5WMBAENHcEvpgbLApohhu1cV1G6xElhTgHAmGQ5XubhiwnVaECiMB+mW7pUb5kHPSVxP
bogoowPFvWSC/nyp+AQn0hk9N+kEH7CFV+JzHFOZVxOYPrcQLPKglEbMOvqgcQhEe6UWkWzgPXqs
dZwjLn8CMMbzxzqBx1lvEo+j9y2B4Er1uWhyWi5pyeU8rFtL4m+zD6voGWuyXL+zNWRznCVGxZ5v
xiIH6CmT0i0roBNjpLtPK6Vc/4xja+c47XgASZ00BroZIfw0Gzp+8gUZDhP00ga+axkRE2CUoEFU
AAMUwwjB1LwQKtQoaohJ8WfqE2G/tGWtOJjZa2iH2xCEV7ns9IiDHIrsKlbBr2JKToLyBa+XfE6T
xKr8UzAZq/8MiwnNkNq6Yt20CQUIB2GWVAEKygcaYbWRwTE6wVeA7UVIOLhWfNLjGoy/40nDtYXa
9+SgOAP/qS3/tmupB/2gV0oGoHtUK1d/38S+YFsjmRn4BqUxnZ/3gheCqLTNBzkFKdDfMxG3fq5C
/YCCnyE4hrqsmm+L8hRcDb1WNEI/8lI7LW8j7K7e3kOfsSw/B7ZZ70oySCg6l5C8Do+TW2V7X4yq
sKi4z5Vh9W0o55G1e1IWU2UOZZEY86vnIeK6DQRaaLug7kTHrj/0+A+gSb3GzHQ3jUJV43rT5dEI
WifO29JE+6bSzpkt/JXBTHDvnejrPRC1tJmOcon6ELAR5niNgpAFkKED7mpNuWa6oEnpwABZfgar
AsvG1Fr5zZBoMX2WelR8BLEqT6omW7CfB25DGdgaEumLkS9Vtp7cnWqj1pwMQzrKRJT1bq3lDMRv
7SqEO+mo5xUMJYF7EsihETgw5e9V9FAdzyT2keQbNiPbvoRofqnITVvXbJ62wFVO2EfHueErRH/L
OF/7W9kXiL9ua3jhhu6cGFhsdl0ZjHb6rAhjK0cysNHoIcT3TDjDNIMfqFKI+AzyDsR4OpWYFUgj
P8V6HsS3lRqD6SQxDuJSFWGzIA5LjNgtSMtBmJ7XMNW3YZxjYJAiV5QyjaATymDMdDYSLKUOkmBv
Juwb9lmWKxy1jZzKQLzQYlbNk3Ll0DyakhTs1RlA4Y714PKQ7JJ6loiwwB8Tss6aCbeEUdow0kCj
BfgulBuljuIKOt4A3Vk3YjPBw4X/ovMJXTSRmLqxTUcfTMNDE3naMJRYdVH7GeoO8DnQMTTxqduE
XtlCb6EU6hAbgUuH65ANUDdO7nMxxN2cNjmJ1yRz2i3R64SdYf3ewF103yaigSRFBzU8jq+qrJN6
2jIwpMYKFIC56MbnZVpcfVfEzcr/MuJ41aUrrL+D7HBLbQQoSkyIhtDhGOaGPzEQopI5raEbuNRp
F4Xg7KSR75LaZFFVdP43BwoL9VBr7EOcs10iCIlTfLuGqBOFKr2iOKRCV7yBoDTQz3Q8qeemNfbk
DQfJpU1bFRY5mrI0UEr9JnFx4nUK7DQI59u6A3LgbV6rGft41Nuxu6OjqPL+LUz6sqKIErVeSKZ9
5Qd7WKq64jodkQSwyUOJW6rhYDhWmkDJU1TRL4Qu7UDwqXF06kcs66r9HbQWGK4s76elEVlfE/Rz
pDnrevlF4ehQJgNlqgRQCNvsIPcQFMGyUuCviO9k7rvwaaWITQ4MriRgC3EyNYCNc92DeNqv9Tym
uuhj9aksl4VsFgH4B3x30Qhzl/jYAbFerBUSu7s+YEy92XjASkwj3Ccsj8qibRJeXMFp8GNmvJN3
8VL0rtkD68XXb/CTi6JPWwPHxQKFo8bhW8itcS7lcyFRM9LY6NQZ3RGqgh+yBYPoR57YoAsfUOpX
Bw8Bh7fXIyz1xOoqbT0Dig2yKPNXVzkaP7exUYCDGbWa9TNW54z9XVUoVAMZXknqojsT6gR+n47a
NgjSuZ+jP3lQg763MuRMlqwnBnCkLERKh0G+DmQxnWRsWb1vdgTxdz1nSdEaCSesRB/SXROPjQWJ
x1kXYEfoEX1DsqsrO6nu23aSiOgnm49Ft+1yG54UUcQ6VlOGlkpka3DPSmBMKRBfE/0dBUGsxsws
sQ32kZq65WtNVofyQIN41oF6VVTPrRQtgydlcgf3eJ7nhP0uikWy1wqLpfqTd+DN+FSWdugf1YDt
5msyo0byS0EhEIzQeFhpfNeCWzXIDRzHLjoSu556RgGSQSSXKuoKhE8F6+zyTSKuyz9FoyYwK8jj
owwKQD8OlTpvbDTej0Vgin0McB1cyEG5vLoRBW4qH5vVBn7ZlASpjSZjaH0t4TaCRlQ/jBzsnSHL
F1Yv95qOYfg1bOmAC8EeCDC1qZQKo2delmv+iBpMk5QbCA/3KDwAVArPSVcajcZ+64oSjkhGF4wn
28seiQ0cncRDCwmB8dQdZwQSeX8YR8RjsN4cukypE37tDms0zItACA9dPEC9aJ3DOY1RlnGiha3Q
rNshEoIvnjpDFktg/2FMXjvBEKoiFtAsRzCG2CjnGQhNomBI48O7ex5itIOOGcnhwP6ixCRWbBQ8
5gCtlQEPT3K82GN6l6oCXeMDfhRybF3Gk56uHFKkgw1fYIM90h1RPiJtkVq0k9so6+G74lrCV13x
2MFfqEQmUGEYQ0REVwFq8y1czfptwT6+Hjpta/VYwkdevi9TA7DUCTzH4RtCN8/upAsFfZKiWeZl
i7Z7Xb5W0J3s5CNJcohgb01gEHrve9om1QJINK6jwu3Yi1G0uxBkisjvuWNuQRolJkPbpQ4nRqRv
Wyohh4T/vfwKVxqHU2ZNV1q5nT2E1Og+DsE7UzcrbSHMgWF0zo8b7x2dbFYW1Ix1Bh/SjV/QJqOI
fkHPDBQv0kYgF2pvlQk9LW4CtFz4/nksiuhp9DqOHiPYDRqoWFDCkdgArYauwK4fcx8dedJ5PWUV
UlTbKiqky3EtUgKbBkZcWW9nttRN1tsOlbKoRVGQdhQF5qVNEVgZXJBxNQTfZcTCnYyG5zkkPs8U
qxv2O6jq2Q1p1ZfwH9PYTILp26nsEQ5jlx+75kmChFH9tIAZmkOERZSfkA8Fh6HVwwToHr5Lq7Xe
dUBV0u9zD58Gr18U5G7BFi9o8AyyazlFuL8ehwZMimZSbIezT+fmxpFgnvIvuVC+++KHZqzfcF0Y
2AqZczuOf+uxBhksR5dkg2SZIMNdLHDyJVtcQKHYcNt2degfQpy8sK4kGUfuUsDA62bZ5ox4Vuy6
iHVqzRJArIqfELUVEsPRrVHV3+IHYxfNZlEs4Um6vrFbwZUOAYFMUNqR+UEgocWQmYHxWTnFv0jC
BRB4mgaaf4VbO1cW0Ru6XXfypIiBizC7dntTBytbt6wprViyBgEQQqdwhO/SIqqwjyMyBhByMQg1
i11VKNycgdsJnMyriIhPjgTJw+otbLFxHm0wtuBGxIgIyk8cOsjRi9F5Uvy2NdoRUOTSuBly6R48
0ORzAjXt6RsWq16QtpdMfkLmae2A1VP+Zz3hIM8RbE9rsl2cw1qEY6YS8qmAh0JuChYv08+mFjh/
wiai+SZRdWI2Ji+tspt8AfISIW0IAFzmkTNpUKQ1VNJ/KwQiHJZhbj0SbH4J/fbUnEsQtkndQBwL
PeBL/9f1VRTtbVJV0U+yIin2FRLVyiFRQ7BfzYc8jMGFyuJJjfKAk58+t3os4g1QiMOS2h4+cLqW
tMLAIusItipxJM4CjWDyPm97bw9Ys27HVlphWAoZFSBYLUCHFgCgVncFQo7hFhcKkBaiIe2WDB/c
TpnS06C2SRKsr3mu6x+lmjBRtbM8uKstBEhw0IfBQND/C/lPZN17IOiGaGpuF97HjzNixzvGq/qT
GA1iCZ47fShaHiMnJPrxRzR7+TVf2/AbYvPoTRAIq28SMk03fYMKfyRZAhxVHdX7CGJ7beax1Y97
B1UoghEtkRHD6fLctsIuWW778EcvlulzK5y7NyQHfNF6sD+QBvKsz3A55HYA47hdyVrzsAI2wraz
EvMfJLx58gyumoiODPKPCKKRqVLbcO6GaasLgxsepIrNzzEJ+9uEAYu6afIayai5WBOR4hDXv3oS
iPENpfenO8weKd4d8snGbGoYC1IQyWy7vV6DpN+vS0nXgxwhm4uOvg602BDqhzZNXF6SA8wOQkMo
3wD9MB+tfm3EAsRoh4Z0JByiDqDAPon7TYjE2FvvyXJgPIIvAC1/0C317OxjQrs+PnWsiJcO6h+/
NGCLFJY/cJUVOEPirat59SoaItGIGhdzmY7UyvbBEgfVaTYU9RMa9wEM9FzU7BPAnOKZQAlzTUlT
N/oGPgr7hGxi+EtRiS2vnNrkwAYYcIpu13CwiJNWsGhbXD0A5g62pt3CECO6SZZVPDhcV0UPYqqh
7iXaBjTEEPcwz0YvqkrZGAKeyFBjegjUqJI0bOD6we3w3VfnW0ynb+o2yXTllbiNizpXWWOIHlO0
ghU2o84VED0NC/eXr53rH5FLtwb3OEP4DXHIwje9XIZmI5t1+QZ447huVmTlxGZEMFMDZNrb8h4E
MM/2I4PjvU8EFEiRl4nR2glghfMg8PY4/rDRrx7KdtNSirvKo0k5pZLQZ7i3OM+gkFrAwyyBBL/h
p2wHOI7SPAwCWe2NRaUdy1ajmUsh/Qd0uA86LbI8nDH3uOBHbS2I9cPPelyQUymqKWx2uCkUw+3k
wuUvm5pEHSaF5tabHlccVapjpfyn/8fRmS3HqWth+ImoYpa4bXq021PsOLFvqHjHYRKDECDg6c/X
53LXTjlON0hr/WPu3D4qUIuh3vuiDc8hofR1KsQsnoIwqn7US95MR7+peGpF7rIp6irul8vMZEop
pg1nPBjt6ix7DgH+TNLVqvs2Yi3eZBgbTbSoHYIjrm+69ZKgLKNjZaNlTbVD7dud1MtwDQ0Pyrlg
wtEvdBpEj0oWMj7aTSQvzTQU0B9xw3iflNOHV6FTTyNty/s+pMz0pCw3/922TPHtEo9Mfxi5sZM0
dP2pTbPNhZlQ9SioU27XbabNk+2AGxobyTvB4IXL9tDZCMxNaQ12Afr/Qi8Ej//QVf5jEc05lZjQ
F3ud1AW8Seh4n0FL/xqRv9J4h7DWS8mHxy0HtRMGb96cBW95X3Tz1RZjuFwkjKY+eYNZ3tAtt080
L0Txcx5YXu0e4UR1GNkC+ct1KOtTryZFHMwWb0+ZUvy7mZnMm28XVewGKtm8X1OTeN+F6OOvpYyL
jNtuKvzqaZQlhQIgHqWblsz5XhriRgvTVvv0int1O5Z3IJk2+5gGGIfd1jP4vxmA3n9qmkW/Jy40
mu4Cd6C4FgAq6isQQyJjHqeK6mjQxc0N3yjpjlXaebM7vltHWC7NHolbfUcb6Qo7Hxa9lyKwG4v9
OOaF2vmirtWef6W7fvdQBNs9o4ivnw0s3MrRZJyI+kU6V85myps/UAoRHxYzk3dx+TPhrq+Hdb3G
SyDA8rmzIcD41VwWLp1lryvT3kpNJKjZbggKw2U1h9FjE3Ces4DfDn5ux6g5qyZcpkvu1jSjZ7fD
62CMrD77TdYfJVPe8Lfu6c04Q1W6T9ui+bX8jry/3aZl8OSNcz3tfAQJ15CUJLKfMSvS6utUv5eu
mJ66cJl/Y/9s2aETp2M0n5cgPMXSLb4bUwtAdmjharepADY1R3GcwkDNd165OsnOGLaLVLqBuSNi
oGyPWP/139Hzw57cXD/e2pMevGhhEMxm724kHOKvQon04jEVhTtXk0p9NLLV072PnOiSs423/3Wa
rgz26si/x1NmfqwGGPMY00Ien+umTNyvcJr94XeYl546op6TDClaBQ9UGI/UkXEBQSvXo1YHAjm5
Bt2x5uZmaENq4+t4+S+uWtYVinxZPcU4OM3fuoVP/Us+emAOddOuqUfk7UtNMQg1zGXTtT+sB9d8
gseKq4eMCMr55ORBX5yXacjis47ZXFN/c1eRKtx8Ty4UmD77BcKBY7fxyT2sFW3JZ7qLt/AyZIYf
OQg89fsReYV7DZy5EjwtuVMf6KJVzX7K/Xq7ZjVjS7ljqy+rQx0B9p+YR+Iyzf2ob/ndWvMsa1v/
57G/ybt1yUyQlh0SFKb+tVgemkUCoqJWiDkqMw/6zTCGqzfq5UtsAiIpqsaeynWbkiEN/QjD94T8
TX/5nkj6Eziyt312S8XDY9akX3f9IM215B6ihHgYss8yTPonF6RhuJfbxHUxd4OnDx6hcxX7pE6w
0FSlQxlj6pHbvi5Ma7qtOZdl1nb/xtKnv/o0kWc2/JayqE3/e51Cv1JPC+Wdvr2OynX7Cgl1wjIU
fA+FzBhtYAaK8E45rlktmTVdI5adxhtNPSCaQKdcnmDaW++xjDysjpNG8/NXTfD7DyzaNQO9lADb
8epsXSprlph+FxH1UTyhA3ESHC2gZ2lVtyzqkqla7JlolL8fl5t2na03f+/9bFj2ViXgd3GShVzp
uVcABMOjtvdUAM35zi1qJ9z7mlT3M5HDyXPp+5s4ZfNmHn2e+eIQLf0Kcpm7TphOcCMAjFNFK/nW
FeUKzMKampo5NtPZU6LunluE60gZgqR7Z91fnsTm6b/cBeFvNxnV9tL0Mfu5GscemW27BlDtQkGW
1QTAjzwvYrW7roLnPgzNKJjo52V8r5lku7ObAGleVoQtThqNgQp5tel73+dWVHfdbaK+L7YxwGIr
ov6ViSvLDo0/iOb3NMqRq1Rm8WskZ//ZdI4KDqoTwp93c18mlJF5QR9z/5qqvVZ69hZOs8K4T1Pr
182r2crusspONU+NufW/JzoD+bBRk9kzekwyjw3GgTlIUSRM88GTg0/pskNJwo7Zxt/2fXV7KyhR
oBieEVUxWok4qA5VHOfqYSylALuaXa7CPi/p9oKN9LvdDVGqLz0We1LX+cqqQzgSx7gfQuXVh7xF
UXGOg5nBZyP1/RX8Uv5bK5Vc69mlsL5boNSfq1rEv2La5Op3CUH1XYV99TD3BRyw5i12HxxPcATv
oBa5DFXmm7cNtkEiUFqD7do2t3ZdkS29OdEQQ5m9XUorf6t+CLfPVmRRXqQ85nkrUuubfMNAP+ZP
TWsBkA8IhZr2Cc6TUvBE9I64+O44qW82yTl5Wl3C69PQjpxxXumE02sHPqDeRyES59hijhDHcS0p
h1/yMnlv3SbpH/IkWT6LwZm3o3HifPnZr56tv+qkUS7gtBYO+q7aCkkPt9v48v3m56cHXvqe9ye2
VfvE9GfHE4hVIZ8pUsIPvG+2jF6LNE9I1n1a5tiNr3U4TZCbiy1scLZLpboLK83YHrZQFOXR1IH2
yVQIbHBaZsPH7cDGFCcaghj+fGviYNdTB0gEl9967iG07pDvFVD2z4nydHEpmzDI93Hiz79jPYv/
OJF8BtxBOuPBDPxyqev04wVhAQ1dhFkeDPtqdmAL6ZOLs7SZdyp6G9DUOU+yQsxWAF3oR9OLadsr
XwzTVeoMAHk3MIWV1xa9QnXoBycfDpF18/HZAlvnfxoWR+fJycobatgBQ73qRS/3jm/7xzJplz+4
tlxEBNYinJ5RBI3A0tsc3K1Bto10mk+beOC24v/CmvMgbUyED+GyNk91LzY6VppseEH7ldz5EORy
H1SuF6Rhm1XrM2VW3c+NT6VMbZ8X+z4w4McOc95XwNB89jZEVH9KnsruvLBRq0MvxPCnkTZ8s2RB
XNHHJv8SLx/fRnRGL30ik9dGNZRwUiPj/qYlhbHL2nr7y3YHu8BWVzxbgnSeQ1bxf5mq2hwMvOnf
17JM5HfF1h2cdBsJL4VWZBEHbs7/2nYFhpz6rbxS+SfsDURvHzf457/IZRnaMnQweyKN2TDmQq8X
yUhxzDXahTNpbxuExWLizg2Olu4+/SQqaeYAGDgR4ixLYic8SNolhdjRHQfLBnHlMnmxca2qppLC
M++jDNdfecL7dhPm5vtRzVAEfTWaE3WkVX3KZ23tPgmX+kWu1DpxpDr3c5xV/ym8RpdwXEBZR5u7
GUJfWL01WOZL7zKV7ZVrquBu7Mww3+WToMF72erxT1ySxTX1nf0JYB0eRi/oQnDmaXJ/TSUHJgU0
4r9xDgfvmGH/GNJ6CxiuGROj7eyGQeumHiBisg/dPq+uObp4eJA5ZwqAZwnfWbduYHBoxuGQJUEe
pzxxEqlLsfQHatxRHGRgIo9RWQ7zIWf4MymCwS46kjM4VXfNPJbXwrTKHnNHuXsAwBmEvxi2db/1
fr4eahRJOeR9vEVnMKvuvWdAAd22U+PuMuQpJMhM7XDt7W0GBHNEdKYk6xLJIJhSpYrdmsF8iKPD
mIni2SRzPqf8YoW7c12kzGFv87/U7kAjMFlTb9rFrW/3a7hQWuzEW/kKl109+b1si0dIZG1OQ6mD
7IgKqmoeFtFP3Xmi6/OYb14GsK+ZZWQyFm+D4MHzs2R9bGziF2SJL+Ls9y7675yw7xeFkvAu6yrv
DcmLbw+FceAS3B6FaNWYoUkDtHb1LjCTuiYNwX3oy/K8OoN+5u4lFLFtUmW0/MnJKODht4o5FFCK
Ug94xj98zaDZhBPGny7VPx2nmeCha5122K03/HIfaLvYFJog8dKmbKOH0fXFDmP7cuYrBf2yzPCV
BUKYnVywSQAEhLtmKwfnRpQKy5LLCkmAQsDcDnl9mtCFcG9pp/X2+RbY+s1flPrbiqF4wVJNCEwL
8J3qJeHf29VVdVkaZ9iPQ2V/siy0Q5qVG5SoU1f1P6ZjIy8jCsNh3w9+dVqSRnyXrpTqTMmMIbCt
zVg/CseYfdZkYXRIlGf6nc+NyfzvZ9WD18C87Wllzy8mCzlYXeq7nbs6s4G8AyyM0Bs19X9OnGgD
I+VywoB2OuMuq8vtoSnEbHYr8XbzHhiRbweBXXKVEX1ATbKsh6ioGJMLm98KfhPTP9a5gF8T5fRr
Ip5wD2nv/Fgy4b6tNq7vyqJN3kMPnIkBO1wPIsvoBLXrEPwo65pRsW89eIxujeXjRA3jV5Mp4X/W
VbY6+bGpiIY853kwOy9TXmYsfrW2HVs7aOsxMhaZY9yU5ZSu3LnzCfCFlcsEfV9ysnMM7jnCvOma
Ow1ymqiUwx/P1KCCbLVBqjsNl1dOMlb3c5sIGNpWdJ8oRYNLBD1YcD82fP1+xxtgEJUEe4vO4r6p
oh5FTROVV8D3/r8p6rxT5rTiA/1x6YC89kVzXL0IGiuWKpP7eQIoOqE3rn8POcKitHb7+ucAplAg
GYSI3pm+acNXgOjovo9ESWenw3uyg5PnH9EiityOJZkX48XNWRrZ/ESw/eNw66sfdBu5VMNksrJX
CKZmOM3eTcMbt1NxQjE9lZdsHcz8YJwiD86J8bBPoiK030GbQzPrZfyUtVl/FXrBPsOzTrdMmMz1
v7acbLxzhnJ6NavfiWMxV6jdVuPkL6oWmlzFJDL+noiCKUC7rKwBqVVTt+8BwyZk41Y9J1F8i9YC
lTwQaWi8nZg4KTLA4q+Ez6jeq3WzhBk0aKU8VTWPcjbN64Q4+ncwV1O5yxmxVZoBcw1HIuv4aM2y
JXR2eF3wT9J/yfw8xOt/yIinX6W7VP/5SBU1sqmWpaDPs/muyaq5Pfb0rS53oBk3zVAZtdsjAosg
9USkxTnHJ/0SWidGbhj7gMv95Fo+SW+6n2XS/hoCg0p0F6zuOP9X8GKsR9E5sTjfpBH3pGzMKV14
zatza02CkcwbsxdL3Ke2svXdFGTJKzen/5J1wr/vO8/5CIzjHMIQFt62Jbx4ePulIZuJwgxnVo6y
XPyj4yqmZ2RJxSlPKq5Nut9PsB2C0XwpqvDQVigUYq2JAs2Srf0axxr4zkmmcIZ2CcfPAG1beOqX
ZWQfUk18mB1B7Ny2/dsi68FytgREXm7IlqI3UzkX1mP0+NNguRyh7/xH5PfxZ+I5vTgOEAKvs7P4
nzwD4VPk6uLd+IihkRUYMEkmWhRDnMLjL+O5w29/dNd2ryD796NQIDGBSaLnFUb1MCce6hsi6ZD6
x6ZQDoBg7X12RTVMj33G1ghsIzbsJP5m0VHzVwPuxsFXvfXr6yY4WjlO+SbXyJt/O2uoTmDnC8yl
v16jLe/vqyi6rQdN2P3plrH4rsls+BxG8MadF0N079ayG6ZUacdzdgUM7LFAgPNzmftpOPqu36/n
0TjhB8GI9S5G8pWOjIikkHNXH4G6y3bf6MojTrmeIo/PDedAOjX5+OUv4Vxz5azZkE5+s72wIA33
BiD4PlpvRz5GV+TbuO2aTHb7XI1g4bPW5ke9euU9Sp5Bpo7Rqjtgu2YcjBOcErMPz9lG/bgrkY0V
KSJQZ6d7kx/4lEuEv8M48IR2XfjPDfqIUHDDHDPWxNydvdYPhoM/4YPc2XCJfkdLEX9bUjnejL9M
H8OwlY83CYfdNUGrjxbIbIGK9L0/yhs3tqk1ee6U6NPM2zi6dB2dkb9H6aKGjLliYuRT1RrcRVVi
3jmYt2CnO5GdckCJCwS+hedFLbWiuC49YmURquwzB8XpnnhIUiEkZ+23QTI27syo0WrdmpeTUxve
aAJUW32zC4u2+wpnN54eBPrgRywpGee8Ew/fxH+U7RcyFDPsqL1cqjTjb3tYM3pPHVU5x6mW3l7L
uHmYiqZLThTUgzKUnQnfkrIB1MxwCeBJQBRzGLyGkPyKsYFE4pqfviBUH3f9WjM19EE/XdFC63YX
bQXJyF6Tl2tac9tBs4tyfAPgrf7EHmJ4aC2w+TFx27up10AJnH+PNWl9P5124+gf8xVAsIIzOvRK
jT/R3Xf3RdlmzwmSiDcH0RsPnts3xwnt4pPTKigaZ6zOtvcNQuQ4/tLJDa7O4gUVUjsv1zLwOe7W
oh7PUtYT4c3trYfG1k105pW1wX0+Dd43DTg8VQPnTnsoAh9AcoxQVyHOACf14nq96NXKC8OraQ4x
r53Z1U40/w2dDQ1ErIW7k84wfVide35Kz4W691ivuX9mdXA7GR7B2pdz1E1M6hSC1F5KroJ/mJnB
/4vE6HwnXFhBOuVVLdMWmM+meI9g6lxdM63NtUbRIrzJ/KxUWEYHx/q0S0+xk39DpeT/QspIfxTY
appHthJeKalnToUiZiFtlGe/uE+90xzo8Df3e1hdNP+yn0gBq986W+uXTo29czJqib+UZI/dGaSa
6D8b+d/SDFt/XKgw+Rrtqg4TRNeD17llcSydBZx72Qgs2ufRElxKy7mzSziW0m213XmYfPdJd8E0
pKJZ9NkgTVNYXbvc3SvJDH0xbT7fdYuS9y4alp9FhK9t0k05YJVcigKuW7m/Z4PEow+oaTa2me4D
d+1+optRH0Udzc/K9MCNGKbO6DWiN9wc1Q8EmxO1BUjkzX6YxuSaeYHMTh3Mtd6FS+Mim5Iun2mB
OLRh3amzNkUmbHze9xHaJmxZl/e2DL19URfJfqGkGqU21VKTbzlGRzlVD1B7zlc5WOOnshj9Bw52
uddRoC+GUF8vtctY/+v8Iv87NlKRnMo4zj4GYmy5KYAYhDknqBePALXOHbAUWhf4cccnDqHVH8OW
gws2uRsmhy1JDGLkNQP57vwklhffRzq6syCdb4zZo0EUkiCu2Mh2lnd5zbQEfTZN+zwet79LjsAD
Xh2hea/G+NfsxWzDfHD2QbmFeHKzFhEcZAgwS8D0UO+iSXTVydHoDO9HAUWKSB620HcWOJIqGkei
FYIoftFNo4O9KvrswR0DG55VSN81U0M5tMtxxLlQY6+MbHSn52572YLAfwnAQY4GEUBxWFuNAnVl
TFtSQOsK9DQI3CsLRk5ViR6D+G2bden9MgyUGb+hgH1xsiqrjknij2/MrMtVrmzk+PBArQLWK3Us
ReCAlLR8vuE2258RiDTCm6AzY6oyx/sK8YkgYcV+prt5DPjUSx7MyWXrgHvxVP6Teyp5L0vqJXPI
sc4RRRrV1U14xLkbjA/oqcAe0bBP5WGmuFPSD5mX8g3ZcmGeNwttvpCItKCEKbXtmf4EBbtDqhvN
1yZmOz/7Rda8FsCOL6Jxu33TJN0PpV0/HZwt787s/fOD58roy6372buPRDgWP6kydn8Cj4v40Gya
nXpyksi/UCPrLeAkQnYLM0CeFd5dWI5jTGp5MWNPtL2dVxdXject265eO/EDi4IKnqKNy6c5DLYm
7hplldrpQk8vcY7YloyW6mkZlv7Bg9l/7jJE0VxuhewOQGDB8IJ+QRC72aCISq7eZh16tSnk8aon
xlwmqGqzLMpJBrCZtsBtya7j81cpVZSdt88m5U+npg63cl/2k61PzswieJ5gJnx41Qp1he4wdqQO
E12VbvnWjEdEZt3excFDSr5faZc33nMvZRi3L/z6IMzjhnx7V7Quv0DmU0MsTCh/RxteMqyhCvp/
HkQhOZPd7DPpHFbMZtkeTeuYO2dM7Fc1lCh8hihbyQdCi1ESiMEfQWjsi/JF9gG3ubv001OgxToB
hBCoduoTxTvhiQDbNfKC+JvaOBiKqCuG+3iW/9eSjHOSRu3ED0cjMSf7ISAMYDe4PMmETq/UZHJk
ZRJqzm8RH7Js97tArSUaPaQVP9e6UCDRzJcd5C+f3n3steI/QlTUmSFVP3nO7MAe3d7ilmHXPYeO
u3BbxMF0MD0ejWOdBzhXBVdhdlcUrj0iWIBdc6T/YiwBuSWk4rFcax4Vz+u3R+Rkwz0nbH5pa1iT
vercEfh/QByLdchRx3mZthOQkX9cgcsfYwnKHEwcOUqg2nzSRWAdaLEZ2vlVTfzgO7NI9Yarm8CX
baui4lzw9bxFnZCPRkewag1SnusSJd2bsJV5JJO9QjyXhXwbATXqPx0FZ7yD8hz3GTIu5j/uNVof
MJyeY1fGcxowXV9LmMFfHXDQs0QTi0aTgfBi6Pe9xcSC53ZWF78EbWgPXh75H0Hl5e/JiNqG+Zcv
u1BR8bHwxF+BFJbPmSfA2/vzPCIXhf7CjsKTngNXlP6XjIr1zh8SMD/kdah29dTBDQDXee8mk/jw
67AjWXeS91Zl5Wup+JSSTcPpTD4e0AN8OkRtP5m1SOHvo3+F6Rp0q3OVXPs8d063tOFfqDMYzWZf
fqwuG9eu6HpYHZ4H78shkHbhRJ7HTzP2yZ0tgvhJTGVz7vIlewJmTq5oxKLnZkoaRpbQwvet7uAc
+yYsX8dBNk+D02enmlrJf2Nzk5S0YHYHUQG6NzgiW/QCmNx8zLpAQFG0/Cf9gWepbguEMHa8BYJX
kDcNLM0xB/OsP8LQH80P445AR7iF1NmLiZAsY2S4dK7IYNqHYxOhOqhVLg8d/pzvCK4dOWc3YEzB
dcB7Xm/PDfLbR8U2nLKy8mp3gR+RnZFE6rso4UjjYVAXId32JOMS7ZBp8k/tIos7E7mff/ijulE3
wW34svD4LAUFaa7oI/N7Nzfmj1PKDk8X6vaniFj2k1Njbth781pXf8K4Gi91noGPWM78HZcRYsA0
CrAJHBUw1/vcLHi+ZR37u6D0ivk44NBN7kALNu+HJwlX5qTpmS8Bk9gZ/W4L9KkJVTXvctUU88G4
k5dAfelAfVRVYGGy41ggN4nXpCNVunSwVKz0D6XEiNZ/0KBm4igbpcw+xhX7y4EQFY83QIbDOdFS
7NnmR7qVxnmRb6ys6z9vXgxsH7dg8k9bZ1jOFDYAo8dYzXaVM2As3uqyFOfEKUqsg4ks1KNpIgb/
EEdwu9uGmwQ0F5OcL17YVe55hJ2+q7FTYKHU0QwLPmwczp6Ufyv6VvWuhBOIdrWu8uw8sRqDjWcx
8m0qcpANtXLtH5Cvh3+dOk/Kx000WUJDQRRwSSXobXdovTWLEGXCy0MZuVGD6yW2XxQcKPTkRuW4
BlBFDMf5NhSgvbR8xqQuAGLNjHjBDteCtxdbI/FGz7P95mac5ysMgPcu1ogNqkIJ4rBCZhV16CZ5
W2TrspGyoGAzWMP3uE0UzJWt6/7UtqRdaBNaTPhrzWYRzn12kHW1wKXWS9gAciQuYtRAOtlrUxDi
YzeNHa1k9UxvKu05XUVh3hgPi+WE6jU45Su95fsViOKJ06dUuAlEVh/LDvc5krgFWC1HJF9AzlQV
mcCmGob7quqKJhX5hGlJJqq6hziG0WlRQIuda2V8njd9Azu929qiUTSknWsDnQaUTHw7cqjlU7Em
m9rrRYxPK+Ljx7jX/nrSBkBz1ij1ORuXrDn4PS46rLkD2vSchFlUTvzoB6BBdsPNL9h5ievDmR+W
PuPsPMQ87xqXZslU5B2A3UI3RfDRftse5Llnjv+cUYSebRKO/6Sce44XxLt/NJao+MXv+ua7yab1
AwtA05/CNejWfatVPz0OeYt7qVBin/jCPNjRYoosMnZvZ61Ckad5RbnymZkExpGDbgFpAtS8MKJ2
4Rd26uQvrhM4Pi7phA+6HvrHSTZVSlBxV+4WrhuOW2CJMDWEYUe/UelElCl0cak7BdwxFj2uyVWT
FNkGatEfY1eYEd9I4IWnHBtS+Y5lAZq9vOs4U1rvAVGZGvIragugQL6DaYnuMyDtJpX9hjAB7Ul2
7ojP/CESHeubimVoXL7JDtv3SWRT8G/25/qn1j5oHa7v7j7btMtklOWz4O4rRudCmbSQWObG+pOw
O1irKamr4ya9aGoZq2uY+bWKs19L2xgZ7X0l/WPShOtDPMzKfUfwG4d/szb0sUgjILXLm1PVNvom
42XmAmIjnCdOLuEEgtGzZInHNwwWlYR1rI8TK4F7h46wLI9gijkc4OLeNDxb3/1joxX2qR0TT++7
IjN3buRzr2bSD36olTCDHYYPzWNCruGpUqCqEqM93QkuCLhv/fUDy+vtlfYk96Qplf57U0T/aIjO
LHYlRDWa4iZEKO4t0JFePiTknCbt1FW03NvOOw/huoi956DGpfxMojnDKZujDBqx3x245ObWT7Ub
VtHBg4BUL+1NzV2nToXq934ltPYPOnDV7Wu00vIRJ6ZU+w7/Y4Gbpp6KHwnCZs2ZmwEDFzJEWUdb
VBQf8Nm0IZZ7HNC7BO3KlSujf0jm1W+OXYk7cUcaBl9QYur83RK1ghup5Jvuwcqv1jIKwcFiHzo3
leOVP0pKHKs3LPqefqzBfZG48B+PIhiWaxg7gCpBXtQd0AnDcorEZX7M5GTi/+ykGAXmFgWILmWT
wG1XMdACYoA7/v6NRSSRaFfJyujuBL7Mlbbe2nxHSyflsafdVZ8K7lnIRHQm5r6reNkgpNirSUmw
HoujrsaarEXcnm+j0/vyHIwR+qfd1pC7cbtErbfkBycYTf/FvAmYumuQr7H+xl0A3Nh5OPtfKwxF
5gpeBOa7ChlXV42uZsZlEpj5FfXsRn2RYLfbKyQbQ8r9tMzP+dYn7Akwgf37hOzih+d1Kj5MpiqX
0xT15FiEftYdVDb2vkpjSKHh3nMFChuot5Jd30MnetCYPSF9exM861GsFxTbPepWXZZ3fqfQURB+
oE+u3LyfHMRD8+FqB8mkioG6LiJE53Qh76GpmHrEKu5XdvWe97fOh88EIc555ILNzu0kCsy74+h0
j5wMBgmdcX1dvaxOyCKlg/ki4m7srkWLmeobgC6MP7to6ApgC9V9tdDptO0ZM1UvLf5MqJ4u3vKT
ijqXvtDGnQH7iHqLlw/e6kmEKWG9WDVGSe7Fd0F6k/1S5YhKdue3umx/Fy0I+zMY5uoeC584b7TK
Ue8wqYWDPMFlCWiTUFiD88r1Zql+eBjZN28fxViiL00CkfFS1aVnvhYbwniEXOftnQ8ZJf6wDS3h
CAbbIVbi8qinPDoVWMfCFV30bfNIbUaI2JqWGvTjUfMAhOems0H+STSCN/wLgXqiDCaLY/W2vVQi
OLv4U/ovyVti7quuaUJ4IUiZD3KpfNB5XxryeNq6Fk2zU6G1BK/k7aSe+xi37QVkMWoex3WJpEdT
AFrcEsHMR1cggSYxPdrqC5kGUOWwZMk/hRUvvlqUVQKNnh5t8NnDzd12yHkLQ6LQtU6OS67j7G4O
vXG9dyBKiqszjqb43tAH+CvfNiP8R455ukF8gHiu+TkSPFa9iyHw5a/KGBNkuzLjeHz38zYmML+u
aaiB6jRxL+zF5hyE5lwF5TRUYHu1jJyDtrHysh9lUVkPh52n2v5htBafx+3ZGe0pJ0S3ENUOGYwt
DjJJqvy8asKv5H7p8SvvJNsVqu2h0+Gx9pptS/uhCHvuuyaSrouHf1mT92H2i491y0V1n4yM8bs5
YmbuT2rW/+PovJbkxpEo+kWMAB0Ivpavam/ULfULQ6YHBD0J+q/fw32a2B2N1Koigcyb957kCR8R
few1q+zsANOt5uTH5s2Cj2GqVL8Gmct84ZB0QYX6IETQRzcvGohz7zpsAP2PDotSf2Eij2qeTLUT
fIppwIKhFxd/fNd7cXmcGVH2bziuo+qlabvev8MxFtKaJuWSn1LHU+aFz2R9JsIWmCOYGPqGjFne
a7hEodmbMidi2Urlv+ZOZymJ3YIxHbP/WF8aJN3plIRRjtIczvGlnJ0eU0o34XLO/aYvP6OJH5xi
sBJufGWqodOzVRBe8MIjjD3KAlXqsfOhOD14Nl+Ki8B/tD5NBi5Qd3DDqNZHU/jzdDHSJPzVxzke
m2dcb1nDY+5u0+txWddkF6Co8j9wKduAw9rpwiU/V1FAfh58QcmACG2FcSTndeias+xDaxWXoKQh
PtoKaxL/6Gu20pMv67ymv0xDE+cPYdxMEpNT2XXRfrTSrPdjlbBdCU1ZMEtl7zzaFKNpzKfR4qOz
Vd28nnWu9HezkhslQTwm0UPXlMyJKoMPj6eqxfG0xC5lMwH+NxIjXbTznBqjPlO5+XmqAnwttXXW
h6jFj85CxmiqwYfM4kkw7lyPMYET6qXOf6q63F+uoozIlM+DZ5ht+SOTRdeJxW8P1ApuAuNXareg
tWVHU7akNqVEZq7DXv9g0ZUHalJ2rw7Ust8utRanTiYw0UZD3h6rbuR6XAou2n1nF0ZsWdunZ7/2
AvcISwD1DtiByR+TARD4ya0D2ji3T/UpiIrsjREPvugwZj8OUbax+MyWasD6MiGb7NKhozOy7Ubn
4i70/tKVD/c2icAgLLOLmBsVTfyhK9yi+zidcY6u68zaniHVzWsbxrgO43lT3GQ5IYq1sitdLtck
PYKs8T6hjuK4IklP/C8bmb/77C1f90XeOb9bB/bOcQpq57ea18HcXCYqKyBzQ3SD2Blc9tERV2xt
0ByWrWme4kqQhF8YggSx2UwGTEySXQYg9Af4KPK9QFHc8aKdRlwKtKe37Vy8W2zDDagFdk04WV19
lYWmQ6RiIKIWh2Hg7hIm+z+YhZePLDLUOduIp6ZDQW+K6xp1Hv81wMsD3qzwMTICgQpzLUdflYa7
Yhz01fT1+jjnOBp3E4YeqPVjmWiSlbOw9W8JCUw0vBminx9s2EcDczs4S0eGbKk9Txm3YHGeyATH
Del1F+UqB2fSxdcwXJVpqC8rk7yIxWtNvx8WLO2nlVakmJmz9kvPjjSRi5PqQjv9Slqp/ZtlADue
0nieYgqfYTS3Pi7Jv+Xo0Ywky+o7THsfGwGhsvsknaNf8Vo7fyjK+ExG7pDisLREIpmlbxWzmTyK
piSZaTyWFbYcD5h1unMgsYLfCt9R5kcztzFzNFUR1GqdIZ2uhIF5JtJ6Udd0oqjF0oYfYheIzP5E
T6SoDlaq3Ith63yG6dQu7oFehFtlglZRP651rb3yFVMKubRRtEIX+3IVrioveVrN3i3E8QflKsdF
lP5sl3lIHxK5TWGPua1jhkzKRWYmLIJLOs3p6QLSTjTGSBHTxfdJ8vovqEjD+rFGLPnBPRMmlTwQ
fimXC/asLj+FUatc1OahJkMbTcbtXsecTEaxeFRoE2OMxwarUH4Yax2ZE+c/vrJ2EdgicMLSrYWT
Zp6HdY9qibzANH9icgpJLgeYx3ZRA/tuZ/QqhzuDa/MD03hqH+thnuZTXKhyeptofe+rTK92H0E0
4q6VloFD7o0t3LbZI0xXJkL150j2jv3UQctHgIc28DEY+35ob6k/EJAY+3KlfOYtxgKUO838Nc2Y
RO6SFnDPMeV5rN5VQY12NPhyCDQETvCTFAcfXLRWBZ456eLgK+Ne1L/6OZP3Fr7UeK6cyZpzP6DH
P3H0WDHvVxh5BGexL5Q4ioNYnlzAcrjh4VX9W/oEihu/egoOzgCL454Hp24Yu6a1dw4A7vW/LNaM
/xyFMsu0fyEjn1B+/1q7EUgGoMbKvZh2ydcfIquXdT/2jgyJw6ROEnM/BfXXPOlmvBHDWcRtxWn5
EfSdSfc2RoS4FISF1VmtTvfL18PwE7WTnqMrnbAinpo1xWn16nE+Q8FrSOqM8VtXuYzzBjS07NS6
TGgPpGDaTwaswX+rwkS6t3JcCSK245bi9Bh9LIlcfpXTBPEFpQ9/W7pJb1EeVOrgrTqoyKIaZX6j
43kvck6j/n7ToOABznWHlxxW8HolnOmfyfQ638Ts3GsLsnR6AB5B2NvWmEOttyI14hNCz8xyLNWZ
P5T1KWAqf7OZxl0dFnqqHpO+rivqpoJkVxxVEZcqu0fXPS5p6tOhsyglaLgS1hXd9Ibp4RB8QGcl
N4nyyJcTkyefrrzbXvgrqfFL7KLEx6CGusSVBh8v/mnpiEhmoC7q3dpXVLbtXPIvuW+zca+bunkk
iVx/uE64vFWOdL8yJ/T+RiFa27cjTTxeM/p3cn/ExfPpTzIVlCN1n2freQOvmAN5whhPbeHSui0d
Lp1LDpyMUSNW3POcouuhsUFuW53yyTgRAdJZqNw/exDG8LOwYwiraSiCBMW4594LoCxdhzLQAjCk
Jz9JX0fugcGi/HIh/sWnlFGBt4HlOAgzav53tMnxEmar+V4gX71EYIceYI0u/zkZddEO8iGclHEL
wO1SHUAh8Po8gRUG8uVBreH66rat8+2nzrzuWQ8ev2hcjT/kAHxtx3xcHzstvb8p0+V1x0+9TUeh
P9yvjK3pQLgFKXtNdmm81II+aPVR5D4XY7Nq+xJ7if/UkUUBOAbEhih0wZTXNL1XHuQg4+dNo8W4
4gUCSatnTh7PeCN9jXzjVDgGwULp4kPyfvdX5C9GwD3sH3wVmXqspaS7zW2orjnAyPs8q8TrQKxq
ObZ63UoZUrtmX5UJDAd3dR4AoEw/J8vGBFwjSyewWaZy5mkq0h++D/qM4ItBgytSQaC90uGPoIH2
ABtTi59+Ww8ehMN6GXZAgHHzVjhcDm07tGbXu4wPm65Jngz/xTGZK9zT/L4eD18Yx0jPXLNfQWfz
jxTTKMP6NZwpSjolwNvMHTzIS22yKDhQFdbdXTJofjwJ1UedZDlMzlYqIBRW+LLf6pihPEps/sqn
SbiliR3/BxCh8aCDEhuGTWXu/avrbSi/FqV7ApGYYeSJtlyjD3TgFV4DPciOKY7v3E1uEZ8Eqjx0
mZVP54MNj5bVC7opFd7ZsHjE9kOQH36W1z/RWJn83C95nqGw04U8EgqZQ47junkVPUiovYXpej9l
SwzaL2K7CQxDXwjOZHwA6PTbuV94Xdmcgqntquesh3x6q7JeD6giXCkYeRS1u/AXUxxGg/vqhtkF
VVSukbN3Fc1lEkfheiJhrt7xYAkf00096YtdMQbt8hLGBHUs9rh96wv7WOKyhKaGjuLv+VmT6R/i
azSfq5ZtQRGduZO443kaAybiOy3L5v9+QKZvahcwxnV/OwMlxTHMo6m/LIx/ybOMXilPGJbDN7zb
YXqaTCLtCTlHt3SSFtflR0d+aB7PpWo7WjXp+f8N7GR4CaVM6gPGNpXexknp/tXJdHaVU8iIjUH1
9MfjlY13LQ7fl1V52UMH6/gf/7paDp27+dlajAc8DCOJwB3B4bx4xk1oknfmY8R8+S2d4mWCAhKd
8adO0ZEeJ8OZmPmyIvxS4CBICmvPSQ+x6AD9xvkzRXQGe7dS01eYoCOszLKWSj+JtCSVPRJx+KoC
mg2+MENofOrniLS/wlPB6YJ9Do8+ta/McYejP/aYM2GB1PowKp+tzyWtXnULbBpW1wGAAsY3PBPh
YegTN/qhqpDhEM6WHxJE8EkT9NRHwtpEu+uEyMIZjiPJgCLhzqXuip8j8hMJ/W7JHLdyJ+9SjLYa
znEOvGmrSviWctTdRy9v8UYskjWl1JlJdCuxRfpXqTT9dFVbU9/KISKbqZOEK2WXG0/CARoK0K57
vrTlF1i9+ALHZQEWxytLar0XgKtqcgWkPeoifehQZxBirZLuvVlbhFXR4x5hNkXIDfNmyPigjRo0
JgciwLKLlhJZPcFK9j4jN5xVryuBjZfs3zGRun+PgArtbZe0zQeufb7CuIzDj9Sz2Z9yZWA31apQ
5zwjT7MLZVC+tYMp3uvATsNfXS5++xuXF11YR/jO7rietqxOYuf+vBLurp8U0md9X2bFcN8xrzuS
niqj89RGm3+h9xrvFRKPfEHkLhgZlRlReJwKLOEd+CX1Ph+H5HNSq7q262ZFaEEWnZhZ+eqS6ylk
0unBSn1r/ESrEwnuNjsHdYl1ir2SK2uyh8U+W7xy3AJ8OBQOPGHncJ4IyFcNI3mG3h4jmyEV3e92
nQiB4J7CDACjx9/jukTvGLps+TuvBNuvLfZohmHrKM/ovc2zsmaq7jeNfd4rQ0J7T7w4VE+ZGlh3
FKGB9KdkbNwP6S7ZOfP82r3HL6SQ/cuS8ngWxuYnzCusHnFDFOS/WB8oiUmuyGf64WJLX8DSvalG
TcjVlUM0+TkVy3CWvkBUqP0yN0ckrsq5m7GM37nozc+LrcLqn52qKT5IEerql5NO5FDUkIfXHIZn
da7GvqrOIZFIcw+3jQkNXKH6q4WSecWphH2FgWXu7xundtvTYl3sQQq/Yg6Ik9jZcfWG5kHbzfuY
Gtt2z8GUM50n4ReT/6tV+q5DJHxyC7jHjgv+wODKCR/8p1pP4oElDrJjADcL7PB0Tnj42XeIJWPO
z6jFICt2Gj7xB8bQbDzHxHm2HGlU2UsZ6qaF/efLTv7zKLggf5ad+06GIHjHIkHlRRun/cfQgcC1
ZyJCWDduiOrdjXaw4ykzK3a3OrIiuzYmcBjd+RnBAM3TPhKnWQKHXJamZZqt5xaPckrkeiqaLJNg
qLfarHPr7GLCtPiH6IviNICKx3DEGmF8mX7sfVZrjNNxpLJ/mvJwm8QOgfjhiZ4cRzImBv9FluiH
IEZi+TMAr4rPTMgpVYccr8GthkdwB0SGiVUkq2641P6qYBuGIiPWtcyU8Kd2ZQ8ErEwPIELQxAy+
u4yaB0BrxwolPAU2rU7Y7tpiD8kBIMYs0v53Q5hePYEvk/0TvjnAtAEhh5OEa46e3M7VcSJpSgax
LaK7WOaGiwRCJsGnnM5mW6DivSx5lLh3esoRzCElblEZmkFJGK2Xmz+6hMEjl9RgI+4jEtG2nr7h
WwfvoHhJXuQ6ILedckT/NGHA8V00zVod8iHhyiNGh1UWq6IeD0tGYKVGul9309gW/TUzEAD3edag
vSReaBiPNEJ1J4cJDV90ORdX7a8Y4kqJ0c32ecSa+aQC8pn0LXOVxOdGAThVUmJ5tc6/IqKW2U5j
kn8WSJ64QYl37QEBkAVpLQU42GJ3OIOl9p6hsIpyz63BQUzAZTPKJjgS+HgsrvUqnseXhnQFLogB
tMNOqu3vamiwmC4vsLF2tPMOkFsE1Ff0GUqIqQ2LIzc9BhqPzRKfLvEQZ5c3ifq3XZFiFwSjfIae
I++JABP/iiqwNbgUN1soPlEc2NkZhizmZuqnwD9aKWgKpKiwJHARFfVJzP2YHoVIdIkDq0i7U6lb
/TShG7zoJpneTbRSnAbj0DxOXqcejMvpgDtQA0zwvQ2IgYrKVgU83+bRGwHqnYBber+VHiWQxdbR
b2WDyYTi2uM3WnAkyYdwZbS7MHk94u1NigvnZ948Sm9VP3Re+r+CDicZMMFl09Bo9C5txgBoL4o5
IiHSaT6QaSI1A6l97B8T18kQquqKlMiAF/qYuAyMMBJNMSnngJQC9Z9P7IxT6IEvrfhlrIefhvye
Urzmo/fAkUG8rPEyXDVhzbcA9Z3MFaGsLWiVVsmRmO82yGk2MMwE7nJGrZzTz2WMQgKrlgNib+YG
hzGVM5US41nLQLYy2T4nNXWt/YJzMNQD7oaSiNi3BD0UH4fM54gewjV+M3WfvpYA9T7j0mh/Z7po
swWskfk5rBvMwes7fq3qVPVHjFAU+G/jD5VHpA1EJ+8VU6KvZA1i/7AJQt2+jkDq7sKWKWyLF+iN
Kl82R1O5fBm0sulLMqQxRrDG1t7b0iSOucC7wbg2yM35o6UTXIwwkAWY0hf/IECsIGMYDX0JG2P7
sKUybzWx96+STSrtRWHGRpRGRLKHPMywKtQSrWonowHjpS6Z6xvX4+9krOo0Q7oQj7JTYnQj18Vb
bpehIDhkfEwYOtkeehVyPeTrwilXQi/ngm7DsDzLxaavdbfRqAE4cCQCakKbxhw8zJIZhKJEyoh1
AV/DhbilApOutvMxQPf2j1IzMD1si91+UVxwtjPMIAZccyy/TB5uUQyP/DStxjRUcufUe0R6npMW
q9CXEy+0E8aZsKGRNzEY/pb6r+66SgPBCrwLoGGEwISJMjsgwj5vjktTL39bG2MRNLAzMa0Llkuz
HIBZdx+33Z3pFP2hKpz+F+BZHvA8dADGhelmT8fSTY6M5oe0BJbFf94qWasA3Lf5HCyaFz8n4uSB
uQoDkbbvxI8kD7I/Hmnreje5JnNZPTTJmyYyu54VTxuBWKfxf/lzjiNJ0Ii0yKjGqc7shsfRiJcY
vglLz8b0NtWzjXZD1gfpKbX4347WreJ8x6x3LB5wv2OS7Fb8XRcPhvF0q1oLvF3bciI6vEqxXANP
EOvBTYNEwl8u6DCHgmyyvWTmmZiRv4voa47HPh4R0AlPtVfYm1gI616ud62myjnRdE3Jj6ZfgFap
dVMC3VB0qJt2DKfrPHE+0HDyM1JEq6vKsAkc2poOBuHDaYB36G1vTcRKnqtIFSVfD7gSJg/WTNyF
im0J93U0+MtpbKiUFmrG7A4TR7fwemamvtS0BiHWEew3+b03m7z6MHwL5ilgEte9NDJHuoSwqry9
1pRrdCphI9s7GcbROCBnQum8BgHs1xvnTJU+8xrMHac7teEeLlIXPwVZgbMBq6cVF7b2Nqbbg/WT
QH6SiW+TpnACLsG4+5sFbpK1YaTkDPpxM/AHADdJ0+miercaxGEQZb/2lwDEaMRZk24kkiSJRlrB
jlUSjzX7Uxa0x3jKD8pnqj8cS4xEXXvP6qg8eZ0WHtanwbWwj00aIwPjAuXyv/YZY5VHDeVd3k3I
0s4RqBLtDbVI3p0HF3ZeDbx4mip9ywNewQBVBC/0SbhDSyiWMCKj9xvFEh6ovSfJ/xJFypjGdhc9
4S7/WeLP00RNOuFdwPW0XXkQsbvW/8Qq0A88jsn8Z+tVzKCPmOIUf3dfF533GJY9KVO54szal2E5
wPk3MwidE+2T5+BZHFryggOfHKHPGKsVfh4YSjyrAYZliodx5OuHehTTfuD1GGn2B+oHUijaLcW9
Zz3D/KCbqzRiH0E2J39ytf3z4Pm5qkhvzERQ8fvkTRl+CQfmDHsg2NZzGKVhDGDykecY7pTnP7TN
CPxX54Pj7rwM9RkXpIRVeZfMeajuI1zp0OfrPgBKMknW7ZyzvsjCL9hc8WbIxOtGgNhfsLERZmyq
a1fxBWwGj9pL+JKIJV1HEzbw9cutM1fNQI+75KIC/OdGqRw/AM2O5fPEdDv/T6OzIKosc74+BS3o
4cvSeJivGdx56oFAPeeIqIBovegeVtwzIKsSm6voquDBQjh3riPmA2jFVVAGbzJo3eVZewFym4CE
k2OobvtmF+BPay8JPCgkZaLk80mPmZ++16WW1ZcSzRKkx7x1KVLhEeIWwfcU33tpDZNgFMCnIpqC
bs/DujTXOSoYTi5ONKaHyWXlIJyHoPk38Jrucb9M40/uTmBJcar6EnjDTKe6g25IaMnAgU6uQ4Ui
h4au/OUfdnKRDgckoFZAsdpM3f1ay/LckcHVjLWr6XXwcfTvjS/yH4j4FBgs9iJAkkgPpzLIhQJR
upfqwGzIqf+REw7Hd5QMH8kE+xNzpjwJF9bzhnzp4k8vSzn8tqNfg0Nm6Wdfnr3VXXswW56vnhin
uZSVHvszPsqsavJP5BGH7H3GjhjnKHF0kF0YlJb1zZvDfiURjaKCGD4QBr81qM75aYoI6aQQ1qZD
kAHo+1nMqk8uI4hJ2tBS0csCEeva9tRGGjA9wV1NH45lnCkf8nFKTbFQJJKhomCp8nq4U3T1S8IL
bkHxUJXFFQt1FSAfC8FwwoAwHtpl8L1zMo+oT4vx9PS5EN4FC6hNq/+S+cr0jcQoUattXwg26Dql
FoEaT2QFYIN+YFy0ORBplvtDDQGl5CZledS4I93lz1eYjqHz4VUGl7uhj/f7vdIJow3meEws0kFw
V2HM7ChGsF2A/fRUF4M5i9zlxZIKZ2Lo1FxOHqvg6m+ROUN441Brn1gkwoYMs1E7unwr4MHGEqYr
3UoETKRFnutXWAFN9W2qAsfiwiRTvNDtYrcM2LeUnTAdjMFtYYRfkQvbptloALQRHIrqDESszzV9
2aJCTu1aXkveX8LTge/+MaUQ4lGPg7OLTFz2PxcICmy6IvOQ+TySsNG/8d3Z5EZNtdSPXj1h9Tkt
Hc4THtyaT/QVRpgXPtGnpKcabON4QTTgG9/jA8Y2MLi6Vi+WT1tFO5+itGd06+NuCOZVz3AJR4NK
0sb0tDsWf0TRXZPH83BoCiGX6ogO3S+HkmSof0VxmZtnM5Rrae/ZrCCHFzOVY1zsmXJD1tjNjWZ8
IsJhhhe7kppI3waUoOZfaRNcceAlRNI9s9JhY/jhuYR46ihGX0SAuHZhuCFTaAN+EuqPYa7vKdd2
j2uwcpZ4IDWXy5A1pLeFDPvnAGihuLM0/x3JbtW1DzWJ+z9DDxfmqmlVuj927Xz1WXvs3jwoELn2
bhnxcL64g6MqkBrB+k403XePk2oX91amwAR+em6TzE/pAJLk1BE8EBaDk8dhutRL310GoEEu2I2e
HEeSDDZ/UAu1wx0bSQnBtINtzNfkNE7+KdXiOP9NZqUaZnDJUeBBKAp3sssC1ePbZAB8XENs8dsO
ky3Lktn8GzQTEIVsFUevZV/oW+ut4/oI7NqUeCcqFft4jMiGFRdQUvxu0JbsVwv+m4FPkaG32oh2
k/5DFIE9opKzimSXIn8/BHpph9PUh+EbVTXkN+HxE+4Vr4a3lytKzN7TWNUPEygc8yIrJLWfFIrF
Btbym/YkEHh8QJ0p/RPglGY5A3bCI0eDHeDFH+mf512c+bin8ryL6XmEbR0EkLkmVg29zw95+bPl
rRRZ6TwFzlir+8BFGOP4Z5tBtqOcq4YfeLtyxOkNEouFAasHUaMlejFZEk13RBe8BxJcwEAgr3ik
VdCROKc0G8jwokmhh+AdK03UnxdXgcsNlpVojRhNGz+xBoi0EYpKNL1nzMvk9gr5cgf5P9kGAPHy
J4j1SM9bRxzNOYzY7jiNHlSSgAFUTFOAuHvqyB6vZNG3m2Hz6TsnMHlJiCHAdMXyJvnPCFhxcqw3
xxuIIlg2eju/tePljIQnZsWXFRsnmgrx/eGQ1ItRv6RmUndyQb6Epzlh2nZQMu62OVLcmDsL+CT6
UwdsiWLiheq33Ej/BZj3JrjmzpH4sHtwmrBvT40l9gydB1j5tWwT1LMAWtOwmzDcfbZxW/+Nui42
R4m5ueLu9k3zO5lY87LgOsR/z2NEcHIOECfNVGDE6SFFHWixSg8MIhDhMzLM3JxZA8CJxuYzx7/n
eeUQ1lUrgwc5NkzVEpLt4lZHDOuG2Un6Uzu6aiYxq43z6KkSWxKUprg/E2GCOB3YqLUvymBhuhuG
3k0pGGL3D11B7n4rN6/dz4k8bO4BVQX1WS5YgI5lmSMkCfZFtfdmmgChJT7VzIMsMzQzLvdZkOPx
4efBwHbxbtZLFh1a6bf9DQdy/Zd9X9jQPI7IBZOax2HTrHlKasgTYQiWDJL5bh5XEzyGAOvWK/kA
ZR4YvOTtQeF3wPMrV0IIBMuFubhgxYozDQdJTTrk2XU+GVv0xZcATimvE6MixlECPfVH47hYxPVs
u/kJ/kD4ZptqkkeEtbl8T6AEMzMoG64QO47UjTLQMVaKorYkbSrEwA+1pl5IxCfSVX1FSCqWm6To
na6cs1n7TN9Bw657XH4Jaa7oTRQtLTi2LIgUCdrogY19jGJUrhf/9xD2ZXVR1ZzRxEYbxncR1DuK
ZlowWFQTjamNiWYdmKAX3gWic54+kIlP7MtAsrKtjohv3KJL0TCrGFbGlHyXDg6BEhOrvDCtLYZf
0mGU9s9bFM85w8SaLTwVZkAo+mYaqhM3OzEf4gh1zJ9GUOg8lPw/3xJ+S3RZBsWLmsgYnDAjbDo5
blfiUUHJDp+Lp3xIDG0brcHffnAJBuimA/xVL3HPWrZ25ZGJWLD+gEtqES89SPMvvI7WHm23UIF4
SYlBaLf4w+QeCvxTCsvMOuOJrdfsqXZHOrTFn4j2DgznSt4G5f7BWLwZ92o4lhTUpXSbvXX85IlR
oWDSCg24O6tl8udHhghSXAb8MsMhn8lGPgRVK4ozdnbxxNxIh3dp1lDqGhrKf9O8mV45rf3hZ77a
TD3BhEVmR80hOi/wWFVU9pZLpxyGzPwxSTvcT7ImgtJldo3ucndz4oFfoQSUqgSwl7v1thGm7tHD
cbOYBJTaFrVT/oRcYiJNo1j/v70OUgbm+8kJgvdBSn4JpFL7Q7Mly3lrQ49bjxi5RBTGpdbcz24/
NzczdnmOKAZoyWHeW2z3j5nRxIG+FD5oMBQ7a8VRYHfhNM9UrPbUvkmPSXOyv33sMRGNWMYlW/iF
9zPm8iepzW6qT4p7cD5DMkJJVLoh5RSJKQaU1BM1GjK2a+w4y1h+7GOD75+peMhKUU/58uiNAVRo
v5I0ux0l0vDAtgfmYrrGJwX0J5nGL89P2L+WFLPt39nnU4i3TBID+cybPupZwMgMnKU+icOoACEx
zp/ILWwg6lkXDysY9vO2RE/exV5M9T76zGHeqkaGPtU7m+12vLY8OMhyKK8wLN38L55bL7mzVLzr
rZaZ/CZcA6FTdmGm7jCdpt8Jcb/0xK5DV7C1p+IpabNOBFcysm74spTQxj5zfuzxsRhnr77Nibe2
n4JMm2K/ETTZvQGlG7IzQjIntD3L2pik+yxZPm9hDXOwguwlLCvENYQtLFxvDGcUL13Iqr9Hj0I/
PNvBw1jkYTHHKIZwh59fQmMoyyJWH6JdnXY81jaR1RPrszr33+hP1fow9mnoQ1lqBvY20fT13+46
Q74bsAT7j6ilFV11PgUlNm4m3oAehnag6K/Ddl6erFm2QAbMf9b1zKItH0HsoyAtUQ29nnMzXL6C
OUC2VzBIi1MbE8jeyWqMxIUO199WAIQGg1YfwBCPjA7+Y9InA1YZA4wEggq5jAbIhVP7E0+MIJQh
5nC+6EhO72VF0BDyo+dZCsPSnHxqkfxMAnaTnJBXfzP2CvunnM6Vzao9pccBTqnnnduFUcwm9KBt
KzZz/B+tTRpCBV73Uzs4GdiLSnRa3BlbjeO1woM4PJejExZ3bLtCyhGubtGYjPTC+GGrVvUDhwmJ
W90BlrqYjCUAl7occ6CzTeK+BYAU++EwNfhdD1CS5voRx+Ra4EJe4+DNeONUXImW4lZF7/cty6OE
cCUpzjHNor95gJP/xlXI4IaElPwWqpm+DbT94rFhh0BwZHlE9ibxbqbvqOB1ftJFkKRPio0bNXUw
NVPwYSUbit5y5jd/Btf1bc6YsXSdY0LHDhShEto8ubLjvDBWbGsCMiHjB8Gkn2+LP6x/mTBYzX+k
Rcji7UiKtH+tEyq2vWIvjXtSrBJpXmmEyORiDzK9ws7su0AhfISJ/0afiRXKssselwZw1MyELs7U
64KkD7rc57zNLTYl3bE02ezwEjIAYjAO3MmL3RSCR0T39ErAMK0vBGmIwvZzODa/FtROhcOKZNh6
sFPWizshLUx2fC6IDKA+t6Pc3QpiE6XjcOBbWJgi4KONXkvH3W7VwffHG6FSjorJz4P04mdQbd/E
0kgQrjXgRmjO0Nb+iYlSgonBClkvIKleHCddTu5bvEgEwABvVfjklwFn14TZODplxYwGK/wWYalI
BiUITeYLeqb1kvDGtIT8RIAfISDr0A36qZOSIxmA1xKd0dxLl0sytGV6nKSmfm+DCFGm94lBH+AV
CXEopd2ucwVIsz24C3tddszBAfDt0mYkNsMlna1PsHSD2dkPLosMHkuJB6c583sv4T1O5mV93eRI
nqsyYkfAMDaQwhGcFLsPiSdw98hcz9NlYfhp7zsnLN0XL1xkBmJAR4yWZC3A3rN+r38e4MEU996o
cmZuBPYlLhkOFqJpNovmG39WFN9UnCftrSfW8upD4nfOvsmTE8osYMGATy/+FovbVAeBujbhaRnl
PatKyK9YsVVkc+mgULLdd74rZn9sb0Nac5gwP88e0BE2iprXDmj64KZzeZRYUDbjfYtdHSsmOkXd
bDhfFoli5WNVIgOP2hjI5lPv2uyZIpI8rCnHKeOmJSIWnEwTDOUBJEKKA0k2Tf81qDho3GNrhuq4
jAm1LR5OyOIw5XWdH/K0nPVn3Xm985JByvP/R9J5bdeNY0H0i7gWCBIMrzcn5WBJL1yWLTMHEMxf
P5s9rz3TdkuXlzioU7XrRDoOJVeMhP53Ka5fkpk5dFmWdQ7Ht+yzYjiPU9PjS0yhG3z1ZOY1fz9L
e0TPZXFC55DD4MKJzKuP1OMcDmW9H+lWIm5mhbl46Uc/7L/ox/Ue+wAwwAtzpJvc+9iLJ/tUleyD
H5hrevPRanTTUx7gTcRNx2i0nUALSb0r2mwFK4hxzu4WLhozOAzuAqdkCLhtjs4AidpQY0WfZFaQ
DHbJZiKBeMDR4xKq/TfwUlMfe8ETf6RcmXOAUwU/Dua2Vt2lRUkSjNZmddVzPc4Uw9D16bNkJUuG
xzNcgmvkEig7jvzY6ZnNI6naMRhRB1iIJ84n31oVPbGIcgnBk78zL7oOIRKntsv+3MonR3FPbYL5
XiyRk77E68t7D4shyO8iF9TkZaVE45oIfGDgEJ4zdZQdhDWqApbAfaTEUn6FaVQ3r3UHiOPQ99IP
H6OJJOuGW37S8ZmzUDzEJeSBp7YnTk33bI5QG+SD/ZslMvZTkk/Y6Ua4FMU5mIyT3uGGJfCcu+7o
vQ5TNLoPhcQ2a7eDtRxDPXGEC236a2VPuNZQbZGdJzdjRCfTWXZAup2BqgtfQkZ2qMXFuU5/Y4D1
QtZgVqi6+q/TZWpRkIYho+cOTAZ71VwbtJSGUcgjQzCRAnUkxu8d4+9Q40Qs8elsNb/5dhvzScHl
6UitwPvFhCShMymoc6T3I/lnsK3afeR1AWpWwCtN99o3Su9xTBi5B8XXtNcg88iSMpdx8FKvR/PU
xsBooS840fQHmGkFO+e1KujoGDM+BpaTfUAhU6mLg9QqSv+ULSrb6MNIuXi8qB+A7fD49GtX0atS
lJkC3GZzOJ4F3QpMEzZizoeHnDf+0C/DpqhtcVHtW9HzJDA0WHFPkaVhBeaqJE2fMWd46TvaXs2D
NfZwqjI8VcmHaIByQGJkoPMNtuI1hjKzT+yBDb1UnLoKTUcCJSa4qZoniod5UXEQ1ByhLalX6sFR
WOCO7z2sqnV6HBHGMD8sk9/Wd3Zv9+G9pjsjuoMOCBctJWCLKcYfWrH3IeeX0MTzzHuEKjOrI5ts
mPolpA12/6oWAJ4y7cMwQ1L/795jSWLaQS0Z6IDsOgKB2xr7snx3aZBWzi+dWzCsG4etpLRLVLR9
lOOQhw7lBxyEM1Y5STuHrfuXEvN9+mpy4PdQdFBbHwAtsF7ZrJl5DMAsleVucL0JOBo2lF9OzxeY
4Sf3H+hqyOwjSwx4BaPdcIdRJH/IBVoMVq+geLDHynYo3TsxqpGiJdUUjb1BdeCbRfsbl5ie+ljQ
CJqp7ITcG94Es+f4C6cOr270HSL8QFOch4CI0aIxByoK4HC7DYCzeGXBw+pKZ5i/eZ/44qWSiGWx
6CJCl3UhwGMswmJ+H0iV+79Msq7CE4pQ3j2XOPluGROLtZZPG90OjRyfgJJu212a2pkoqZbWwnMZ
awwkOxw4jnzwbSXVsAHqTCklV7q2PeUuFIPbEhYGAhoEyv3ktghheOt86v2gD2CLX2ZRqT1IAUTZ
ibVyjNFg/f6f4sEI69wLO70h0SA2pe1i61uQld0fTq/CfnRYzNDIW6RO8V9qWwG7ljntcdzzbELQ
rBHDnhQ/ND7WjhmED7WXiD7zN6gfL7sapnaGrGCVQo0v7egvmwHENXDjyB4t/ZZpknRkqSftPUWp
Bf7zJDyXD5vvTsFjEw1ucfGxDthbbkhk87i4xu3J9zMPLZuwSBzrk5sYp+0eV1CauouCNbcH3LWu
fjwsI+JqWaM+1TDikn/xXMoeBjchjmaNjdjDV0fHOgXdWJz7M3JSBwc/mFQMXGSwC+85zuB/p5sg
sDpm02RaVWVvRtqn88cz0cYAyV79yqXLr71sJ/7D7rylrePmQHIVZUE3indWmgTBG7EWN6j24eSh
ClaSMfEbj4uUb47rc3tYhj63UFXdFmcalF2/pEQgSmj5oboq9t6LiF32sKVaCoFbR6U7PgzYTcvz
RFGv9W73BXabul8IHBmfM+eJMBELEeEN5Y/XrCddNaP27r0B0enY1eDM2LxVTv6Ef5knnRU+cfiB
WoLlmxJQalvmKaPZHnJUfivqka+TOyaR/xqGKnVeTVEB9wBXYb/i0rDCD1033WtO6pWlrlWyygtL
h01Zt2T1KRYNkmkwuXl1oSwWXxX3JdzVqFLs11CXJnuXUt3d8cYpFLfjWi/EHJgzrNi8YlZrq5oO
AZc1HFtUUh/Hehja/hGgks/fkWtXfqqMzrJNRyUoqgXe//qe1qGCQLsMiK9ATYMMSiW0IACLMyQK
vObalVwD2D3LtaGXXRb7157pBJCshTUlYq3ebOtwifFKsVeuL3lXDw4unBkK3r70mjB85Olhzjf+
oOXRR7MZDx4nBHTQUPd4ACjGFfTcj7L+NtgCsFR5ZOdf66ykQJlKcTwz1OYi8c5WLx7w8i6Djc7G
tmfvKY73TSUF5622LfyqHpdK9r5hjlunZIG6JAcBRjpk9ZF51VudJdlHYlDYCGRaUC+ZxjsI3t9E
7O38a27Y2v0KgxEI7a4q6BSW8CqpCSIvTwfdeEDudqZrkJqwOfN2xGh/mUbbvMHQm0sawlxroSBB
18op6m2MOIQhBLf3Imj+jkewQUmf28DxwNg3UMZDt46JgE4Jdzt4SRyCESuf+Skmo7R8lionKSdY
dy9MBSg7hKgS9R8SsgdX+sk7smDyAGixiPsKgQlbPtNJwU0MhBr2IcqZ+Oog7GTOB4/xEP/ErD2b
bT4SB/qFUGnPZzCwi7X1osokuKrXDAQvynb8zdwCIoUWHJlNFAhWzHI/IT8CpUCsu5jmWZADB/Vw
yz4qqDYDzgZDCpjBh1hGtaFcKB3/2RBwqn2nRoqXN7h0VnQuE3G1xxzHjgHO7xJvM88tf/q4wpSW
oY/6pwrX9F+cnwDO6MQxj4r5XT5aknDrw7qqHDZ0imIdFJjD7520ppAnHmWavvNVLTNwPkpibcVk
PBMaoB2hxqI0VIYyLcRo9NeIEDzNaJN19TFf86WfXPmUcvrytWyZSvdDCwr0yq966v/GRPLqi+vy
lYACKLlJ0IWIEjNHq6zEiZg44F/Y6QrX8AknSGLjdoh62d2xbtXNKYF8R4Wx1MjABCsi7xLxomAF
bkByk/elw5u48BwsR9pfWPWnfUozXkva1dz6ta2efbpygxtbHJJXaUV1xmZQQ9Y+46HEGBemsfwS
DiYj/nHVe3S7rYLmQgkrRGeS1Veri7HRxUnG32SHQ8+2qXBZYKiggsXFebdKGYR4fQiVuRofWPkw
TpUtsKQt1+k82MUxQR24yF3X/JUWyYlzaqUhROUyACyD7Y/F1zknVwZRsK9r+e05LarKUVLwEt9Z
usXKZErJ1xR9nRcpTpVUXupuCtS3Lr1O5BDG85BUDXcv9scbM9VRdqKli/wUPXy8D5BN0JU5mrma
jd2AczBuiDOe6oai0+XAlQYbRmRAOT9ag+8Z6sOwTg3hxc2tUZBNN4Wfcp8mZzy7G6cs/ZBUDROC
t/HXwCB6BwUOCbYjaJzBZQzUWm6BBUl2FYybBdMXRjcgWi9e0yLt7sKIW+yFrjZnxvWFFjBBIWPD
n/yjYLjy4tOIggUZCSeKZ+8JGi5MPc5YR+nbBKoq4NbOr1Oym2/ihXbGVOiieu1jzlG2iqBtYv2g
cqgLPx4DL1uqDDlwvX+GTRByU68iQL7c2vqPZCDte1d0c1OE+3SI1reGn7ZU5+oJUBrlY00/nURl
1EA5ketM3amh2sizdjF5phJ8c6b18sgI5li/PdVW1M7E8JoKpA888ThyGt+eQFfWhvKoJa8dHuiR
a0Lym6UKkNPNnMhR/Io6uDyQQuseo1I+tPNLBom4vqVKE4zzAn+9u5aGBb7iThOto2mVC+tb8WWh
s4cALjYssNwvXktVPcul3un23EPNkU8h+PQ7u9S/vWDiT2Tf+cOX2QqOtLCnfxYnX+8sWiBriKnM
D7aL/bXtOty61C/6zR3HqA82AxD2sypWyy65e9ZY6VrMJ5QOjihGzs1kOvsAo4WJTkcDDjX0/MU8
UETl19sEL8kF/u0CFIWeS4r0sFME7HAKhGwu6v2qA/kVvN4ta1/KMoakUfzLDEzmyc49uG67nsrx
pt/iFBsFSM7Jl2yTQ6cNyf/7S8cyyV7jYC5MFHgJ2ibiwEVltLlxMJa9+ASrlx0LJ5Dnme/b0Xlk
w5LsJbogNXitYB1RJwntZuy0Y/s1YiHIqnGpF/8+bnGJQ+8e/QFzn5XJPznqJt06jOdPkcjD+mS5
NJfuFdli+zCjv8lXMUbzO+FylkfJ3JLpqWdhr0vAyc56IGCDZpEUBq+xSU167XGCBE+lcebqpotZ
tTc9ZIm3zXG3FrvSTcL04gWLStmnLf4fDmgLkc2K3OosinYlRhUr+CBydPEaL5ZhvOH/PhGGWhke
6Q5WadhwIWChGpEAU0jq9Bog5i7c+f4CiUIqcjNMtHGnsHzDGULSFLmG0trHiKQ3EhCAA6Kw8n7H
vtZHaCNj891OtrryjFst+ljnmJ1ZCCEcOHIHcBFk2ZbyjuQDz1LTTKAVW/IU0EKzjPKvSEzWnds2
U3LGINUEN3zQfBR4hrs/BELNNy3dvLfKxWLbJpfQT89BAkj+3q1QhbYQPoIjC15+6oCH6qGuPOlu
6y7A0YO4L80JzGVvfjymmB72to8v+GPA9PoOKZa5sBw6TiSqz4FsMLr6D6pJUyrOgInwnziPA4sl
yfAIX9mavOanduyufM9dKT/BwNUnkgR58zT3dut8xziaOgIPpYhQsXBh56ib9Npn7V4Xck533ph2
X3HO0XMUTuM/j5yTT33kERZZscQjM+xSfNaRMhlibamcpxzYOS/zZvKDT5kC2viEuqnZTFjI0pJO
qcbBhB1nvBlLOyLUrP0e9/ZoQgjasQuajJs5Lt//rqIoRhhutWuq8m8TKVQV0LPjs+2K5Bl7L9OC
DkCQ71f/oL4UClclHtJ1U1/na1sA4W78FIX2E+Lv/8E6l7ZFe9yxU8ZV0Ybk4L4F7aXYHmp28eJ7
5Y6NVBOE1B8Jl7dI2K70pSyPmaL4jusHKAzx8JihadKFSalrb85QEHRyxc4zkcFcSpe5EuYMTRo5
rpiu2yZxZjuPKb+8ARe1xK2xm1uYGH9Ivw/TS2yWJrV5NRRB9tvM0YT0wLaydElJqXzyv1ZfA2cu
OIKgPFfWFFOzGHq+dYXIwZeTfD/BiG8pYWp9sJOvrbNEY3bYbQsT9FT7xYnF972TJxsv9F3FJlM9
KiL17bErM+idcYCMqgInFmcw+lWyI5eFLzCAPUxsIA889J+QVXTbolGdTJdxkQGxCVZd0qyxmwvq
AxCX43w8+HYp9QHHWv/JmbxyEeeEb11v+s9Atjzp0wpkvaGyxCSEF/aP5XHxEzc82xHfxFvGu6z+
bBpFdjLApKXuYxwbFz9JxTMtXq7ce05h/8y0ZwRPXebxyQoItOuckLKNmyMH1dEnKbfqL/QLcu7z
1ZFEhdJDUrDZDFo/re6YPeTd5IMUXE8yFv24+TlfqpAADNZ1XsKuW7LawUfc67Q9+k0V/p18QnC7
2vZIXi/L0nERGTzz22+QvLGFs2zeZRhK7tImAlc7hmuMwMfXcQCrxOyLuY09hjfbmqLjoqlznlL2
NxvJtFBBNVn3T2OSa5+TqGbMq+v1nRA7eL1xZ40P/H/NWxBlyQlkoWle/IScGih/am74rdT5qLGK
j3T3LpoL+qYewO6raGKlIGztEjSxLP8R2ybeVjXwlb3FruKiEXpJzBWw9TvNfAQd+7XHsNheWDAM
ITZ8SyH5s2CLkAsjTJyazraEcrY9LmqcqAHQEpd7cr9wbcMPllFzP3R0/G4TFlXVpexi+d2CV2gP
2Np6d8+JxZ0S8yjkU953fsVskoSyC7ZhPgTuc1aGwCNNRMbkjub40N+7iU1UpO/xagmoGsAIYHHl
Z0W2tsOfk1rdQTVrwrhn7VafgLd1oXrsjHRdmzZYBZJxx7q4h6TsEhDc8nKI2zOTFV2MRsvom7UN
U+sGb3Fprg5Wk3LlNrd9dG9Xq3Q0JxP9V/h1Rwj2oGJUSGzLBWx1NUvCfQY2ArRJ/GjDCgYMF0Yr
iWdXH7gR5W82tif/IoxIx5Ory/kl53casnmbWullm9aYzj6zhMRodiIw2dAPU478y4r5iRwjE928
p7kvau/AzxTFm1XFnLBN4Cf2blrSkfpoVjbFjYQt/i1OlXGyn0U/EA6ifKw2MZ9YgzT0QF7RCX9C
hugk3HpqLsL71FUVSE7Kpk26sTG8OfEpctnY7CPD9HaHGOi2z4vooaWylm9455AR5G2lYSMEVy+0
MqqWnW6d1Etme24qIs6RFnY9wbkIZF6dSP1TMgUX3TGAmU83OSm3Zac7J+C2Qc02OVCYPFN5x2PP
mOmlNqaqoDSc9fA+SlPd0GWG4YlWYzokOeP4j6bbgstKssEcQTE9eGNt/4uLNDN/mCFZ8LK0zR12
iUEqvv2yjmiIHnCeXuPOJzOfmoFLVuxLcJmIxJZbfJWAJtz9HOAR8HexI+LhWabk+O809s/5i0O3
uQ/gTrDUDSrvZbT64M4g1J3QajAM5FQ7iRumF5VeJwWT5hFekJedkmZco8eO6tJ96fMPhJfFA0IN
O7hLifUTvl8Gww+bQjn537pjtVzTGbW6MjwHswZqPvGJTd5CpKAmkXIQutlrhiV2XjTUVpAut3BW
vJ9JCbjOlGekn5U7KLPFFiq76+L7xJaVz/qSA7dh0qxt0k+cduxRy5xsC8xGsn9136UOpAfaP1NX
4j/Uw4iI1AsHlxWlzTmZRyLvVC0Ei17tldRxr6Y/hi7KdFY20zLTHuE5BEK2buCs8V+N/lKmHVp5
ObjzZxisrrasyNdKRx1THDlQ9yBOM2eZIVMtSX4GvmI74oj1so++Mn5UdUbqv+owRMGHQ3XYiGCw
p2eBwbJ6TAGLjX/Ja2GHyeHbtp+kEtemFBY02FPn1XyByVrepVmTGzqBFkjFpC+AVxpTArzre7al
s4nGK9I1SwdmT7otymRpbTZ9NVW+MS0L94q8RXls/hMphQpjqz9wN4/pLp8rVGZBTrzfgWwPu99u
zvqHMHvKvRag7divsYPK9ixEfsixrTM+0mYqTj6b3+iQqNzzj0Nkzd4xXQJiLzPf1N9rQDC+Cr2O
ZaFddl+kI9mAAMty/zql5Vf5hnKiVt44fkV1R8BynnD7LIn9g4V3fEvxrORbflHc4QPP4xwSVh9m
N/Yq5odxj9934JFOrUte6NvYKUpDob1VP8/SZnPY5nb74aUZG313FgB4Vdm8Em0aDd6khFWWx+YF
BJ/NRQVqVaheMjWyjkMUCz5wSBXBQ5la8pFIte4x3wiQiykExW44zInvc1arsPqAtlM/jajUTOxA
Y17jccRdi9QyHtyyxh5ZmtBxD0R1qpMu26x/0YJuMNHZ8ACWIBnZYfxXHprbeFCoMpP6HYmFBkiy
z1GZ3ga1mOeAh5Q4G8dAcKgEQhBUF2cZdhRvc1WoUxoJZ9wXfbTlqg+06+pxR6JhA/k9YHWlOvlA
o2mV3XJ7TbP7OLdYWHeYa/ncwejOxKTQ3I/VRAQOzN+Ix9wtLZdxkZ7LYWOr1H/o5xIvE5Dc7IUS
HrTR0U5gp40tZrljWkHj+QOZFGs9wUdSuilOfJbiEHixVorQvKfIB7B7aLOPSJ5SseFyEtfsTKPK
OdfeRALXwUu1jYvOt+7XTG925OeIYYrBViAHAFyabzpCqv+PRVRrnYTxhLUXvuAk30rNtuCNlqKk
/RQtiv+bZwn4hBu+L3UBEr4I6jh6QrnCwAoPqFKcm8Vk91C1chP/m3kc/GCX0E/hxDeEEXe8J1OH
qoPFv4KkSQLPu4osheODB43CgGfWtFlSndkSF819hJFheEFV6Voai5t1qAMzOzlXN2ATi4FOs3k9
E7pnnsBRbFv31FVY/RpztwuXPxIO27wLkkEMj6MGmPijZA/Fm4/dxvho7JnTkgC7Z839M29Y0eqN
17UyxQgZ8PZ7VJRKGIYyPGN/bN1Een41wUxKfzM0UntMSgz9b1acJOlzTIyb2RrlGpcHfBCV3AiC
ltOlg1EHcRcbQjpinHeLaN5Wk5IL+uFQiRuTMetUwGZ+e1pYMM/PLNzpZ9UObLHtSFUI2GW4jfmI
CVLOYgtYDleJiBS5S8xmk3dY/1DoeF44qmdbpBhXe0ge6jZPliu/HNnMv9Kis/MTw19G9QAXQVVf
F69tk2vXwI6ghKFsqisBJphwtuyn8V9OE3q1g3CDLOIuCDIlpsXV9rbmMvqlwGYMt4gJW4QBvr7Y
GTFf9br1LjoMuRv5qpz1HXmWrOUAYUDBQ9iCwWPF3KxdgVHYPiWYukkh5WV8qAnp4oujxHoNQnVO
EX5IWnecilfUwlzQ2kl0CuZKfKSBW1TULcNYfHeXYrxNQKjkKhCo9kdBN+LnI8fNfkcJsuXAPGV8
IH4HwGLjT3yvie1nfzik/cJfAxL+QJYGNZ61iivpccdu6QSZjw2Wd1f0VCWz3+1tK3fznAqbdu2j
08L2f/G+tQ/V1DT9fRXW3FQcx8L2CjmJBDgV8ewiUZ1WxpUoiHBAwGaKMQiGqEaUy+o9UjUqbwKo
46tM1ohtURGjBmc6JVS3VZStgywKS3Ub2xX3E3NHZa8cISwdgUPY4Qu/TmgmzRxQ+GtKN2h3Tsq6
b98vAf7xEkS2tSnJexjoRUglB6vk0gG2WLzAjMX9n7eTmA8xIVkUcT9X/TXMZ5LOQzTqJ9JpS39H
ikt+OIJjauPisrvacVYTmgpsssHBINxfnIO2ZE6hkNlmRiYUxN+pRaRZUk2Tbh89Qpg/CysBB046
K7C7WCEo3qcD/MddpFikbTJMvyGoK9fWp6IZshVtRNPjRkrH/PDEqvQZBO2iP/KBC+wJqgJWJ2JW
fLkRkRH9Scdo9ziqrGHIqB3VwKPF2Q7MBZJE6sAACKrw0ZjWLo7YHWT5MNLFqd4FrR6agz5nBw38
wwpYL7MsiPW7NmmLs7FzfYq32aUQuM4l9rs+9WVxWTrc0ofCZop5luGI8SiBO6pvZvCAFEoLosfF
wQCsr0sibLlPXA6GH+TmTijwms2i/s4sEpInZD+XV5sqUyAqeZMOByAlfkvAcWjXQtN6pjeXLEhy
oZSFAWZWBj4/2h/vjV6EFUdu0mboux4/1SFfSjQE3n06useLw1HM3mk2NxxNxC2BgU0poYCW2Qzn
zuxvI8hcgnYG4NFoBgWex1SFPTja0PScM0sS4xDSjvB/90zjzcqVA1Lis2Xf0MVOzRrXV5BH5HM4
vHHFrVZnUHb6kqa0t92EyiCT9KS6U6pBR/5X3insBXTIfXqXt4XvbOPW6eRBGIemTCDeC57UUiJ9
kPlczQlQYARazTfdy3y14MKrd2lJdT8vBb8xqjKQpOC/iO6dGZjrt44DMD9E0IbuuDIWPiPXTn54
vpgtA8z1v6WTjc9BW/OI6H5lSyEUU94+IoBwMuPUtDY9eNt8m+uJKy02NMwmcNX/u2OuAJ0yFdiM
aoz9/LBS8WAIyoN4c6148U0Cve8P4EcWLjlot48CfcDC5JnlKBEKgWvrNnX7FRidXdjAJdYOvJtH
M6xj2DTzUpw1W0N4QOizM0mbHdA3NDRPLJgfUfDj4FcceObSk22drzHA4D9Y58lUp5GTc+Bp2spW
rx/pCiOpUNthskdwHSFWPkU2QIw9brWm2cW55MZVIpBToVJm/muK+TbY4bsiuxdJY33xAwZvMoRd
gBGYcwxfU6qrK+E+jH14U+FeYIPivzDvLBRXW5n3clT49HDLQEUGXut9C1Eal1AVErl7DguHjwaD
V1leWlpkwTnYDXwfIqRUa1B7sl6UAVFvzAgzFWkIR/yFSzOjfR1RhXqAdI0pWERz7N/nDjiJLdBS
irug+BZXCYXAnAH7IwPQeDMM4HgxShL7DC9Mohy2kWURHxSBy2SrR+yNG5YEhn63NhcsI/jTaazP
NBodL7qnRkzMTUY24Q26ovxl9Q1RQZ8Ryn0UkoX7TsgmUU/eAK4EQtwKNJlT4gkEPdeiJBDT0w2q
RUFQpcPb4zkzYUAGtfwxGlOgI9geXCzZ5Er3IGX4McyMtr7jrjJPt7gDP7DuWmeWW6vFT8uCmxPq
j7un8G8Ez05FVncOsEDTN98PsJ+I8DB1a2LS8sXNckbmaNJUz0WYxb7jSlpXvidE8/Ewe0+ePXFB
rHWKnzuFmoZ6V42V+8g5xBTpYf31YV025DxMZatuw/NvknObKCu+zqGhficfWWTcEixH0DDwncVb
NH37ayZDsTPIh0jFbUZ0LpjWwA/veSJ5M9sH961PrWZ8y9MQuloWYv8taUQ8EwNdxxD6LZgrcUDx
HqXrtAawCCPpT451sNwuQ+2+mTgL5adfEZ64BiznXpAL8kMVZpzDQQCDcJM7WemedShgFUhcvXy6
cYiNOVrq8TlzJRK/MIm9n+epnfjtRxDNgHiQmsEvOU2/Or3CD6OGZRUGpsV4R5eGHKY9IvYkPqbR
qC0ic8GnbIo1SQTs6qmKMdYd9NgCrnFpmHD4YhURtRtwbsgKHzJkheAXIhEtB2AUgCgbi6DKjnWi
OuGjaLA1J65+ISDFyS75ReUvPfVua8vTtIJ3Rr38iwgjUMTW9zmV1BDujn29YJHPQjzcFwolzSkv
/sveudQS4NJuMNiRFvI63iDUXZ4p7SORaLHloNfYo6P2PgY5p7lRZt1lxH7AlSC3g8eCZUQHWMNz
PrXtxPeR3yevtvENRjgHWsWadewn9vV19q1dTdeumqwy2BDxaHmFT3ZYVyyYc+8h6Ba72bSa5cA5
Mlb4iNWD5pmCkeZljEHdbPvBtwKqWzg9mKCi8EgylWQ5lTtsz3KyZdg9qhkDru+F9vi8ID/CRul6
2Pd+29kTQCA3wK568qICm5Wf6/YW4jjrH+Q88cuBEJHufYlD6dCj8br35AkH6yCNnU6ssrIBE5IL
k5uurU5+EaoZI3Tqws+2TT2t3x8ABxQG0yA24u1GmD8oh0GzyWY2t8BpeFS010y/FZ0hVOoUKf6J
sCAXT631UFgb+nLZfPy/2xxgFnmciCa8bAMiyn43ba0fhrLEpEIk0RF7NIjKgDgaGnrzKLn4Gwe9
1Z/rweO1S6aN/chUK8brGgAO7Kx64NnISOLwUk7DkleOBb9h5tS7OlXF5RLTj9XtQsT55RywvP9p
px7jb9OxGz9MWWp7W4d80y9/HqCmwLu3679hk1XIrlTT+r98siX8iXxIKHpw/aIEHiBM03OZuYIS
wN6qw4Ocle5xeaW4D7cRmXZzsZKu4VgCANXhGyXyS0qjjJSLadMxPmUxMm1BBedcQREn2dLZzdsc
geDDxoLj79HKyVd8T/YcFr9T+vwQYFFsae30EpPoc4ndXV6KwBrYnhqqNvIH0zhrOH1KQFxcptjv
ZL7D9e0hwTiLUxxT8NJ0khqC+QZ3IA8OEj87vpzrbX4hawkgoGzGlF8l3eMUI8VUsS4n02ZtA/eI
JqLxEUIDVg0l1sTczAtyPEJ6LF6h2mEKCYyFpcmdB5fvMlaK5JKyCJhoL2oRFgTj6nSre6bTfY03
TD67eYetCz2TNbzLy+m9JMdKBCpTHmt3T/XFS4UKX75aNBZMXx7x0181adGFB64dQTXQoIHdMuv1
H12JyeHMTNvYRqai8JiX2QLF4F+px24EXDwXWMbOXuMOFIny0bTtrz5ahBds1nbkRmx9AvRiCwEu
YNpu+4GVMs4HCLdgCOK3qBuMjZDj6CW/8Cw4D2VcjV17R/iU58tTvF6YbfQYYEpnlR3TksdMAky9
qvGr7kpwqQeBAfIdzx1lTK2R+py5iE0F0dK4cF5zkM/VVx2GFPeCy8xudeJZbGA1aSPpaO/SB3Ky
y5PrGGoBKP9BPdrHlb/EZ6eZLFCXdeaUv7UrtH/gDhym37iqEKNpg3ea50p1bvxW8LYaP4vWRyhh
e955EE07bHnqLSmg+0AEXIfVoBf8/ZHmfvsPlSx0DTNF16B46IUt6b9+4CoBXMFgVwSl4bgLBMZ0
yLX30reE4DipBzDL6MlhMgP5DmRHxYPflR99Bg3lylM0mRTPVE0l1zYoGF0vbMZX+TFWNuUdught
mmzCmA1AalOm/NBPfQCQp+/1+IZVorBmIgA8P9YWV0q2xnBgOQX9KUd3mVl4qNqjmmtpA15Pg5gJ
e42kK80724baevPLwC+fezACDjEe2cU56x4cHmirMfwWSVQqwiadkZN+7D3XC6lB4mZQT2cWbGMq
MMGZtPkELIf4jxOpzsWz1ZR2qzZ1ULbW5xK3tie3izfHRDTo3CESwBemrpwDrWSqanfSyKB6sii7
qCET2HR7EcEprIgvawEynmVd5COV7heyGno+0JmDH+a2yIB/aw5Azru7IqpUiQsLV/SkNh0ZCpHu
kkRln1kpFlg/XOJf4ixJZ/xQXf2p2WJI50YFa2BfysamIKjiWb3lCX7bjeBuZuNb9YmSgksBaLsx
Osz1kfvdUIf7JF1YYW5tLQkH7BsHB91T12Luv0dy7+hRIqs0Dn/AUzrzn8qjVPXG5LKE/2QAB3bb
UcvQXhuunYIEDu/dS0rKCBysz1jBY0Pu8VbiZ23uDTUt7WHUamTvZxr9HLoDzdsGwphPkKeCTLgF
+TgTKUqxsb/ZUdv+IwGeuE+TzBYMnUbMxUNULvTFu7FnZcR26Ic8Jci5VKIvY3mzKqv8SzWTKY70
5gqHHJ3y6a4dUaoeByz28WnSnCLVNpOwWu+VQf7TSMllIptd53rWb4qlbap0Wn6FL5SiM6xt8Tri
pw+ICkMExowdHLAy+dk3izZV3KETCYJ8iORMBGWc0UyOyA0ClJoutiqtiaYfKvMKkvcFI9MiN5lD
SQq2yUHS6uzGKIdblkztm0inkWdw4IhAsmI1eZ8HLewVn7yFcyYAOvORj9RBMUiZsP03lNn0lDus
iX32znbQ79nwhiGVFhQyRQ/kiFr/iyidBnUXBcVvioYig6YdW+H4kvFcKR4mYc3jppvawYN2zce1
CQcc8TfXXyJ9P85s8W5DXzowJsHY+z8pezjntZmYU/ClRjA6wowwTLgNLV/jWIyV9xC2Q+2DMpss
ajTCrgGpZitx7ExYU9M1Jcg5/+PsTJfjxrLt/CoV9dvoC+BgOo7bHeGcZyaHFEX9QVAUhXme8TZ+
Fr+YP6jK18VkBel2R3dFqyQRSCRwsM/ea32rDEiYnsaLuU5RTl7PNN6JvEhBFaIT+jOzoXMiOQp9
Y5d3qfPdxWUazrVSbdGsVRri5TBQjIWqRfJrOuqIoxA9uebMoQXarRHzkeeqmorxAMTIucdUUNNq
52Wdq0b3nIMB9hcj0ROQQBorMnYtcrGClhxrNe/7DGEotln9gVVhOAqng0UYAtol4jiBh4PZJ2yO
DICSJ7rTigfSocDMAMAz+Yl8YNhnhdOuAvY9j40XZGeSvs1VSy1w1BDunhQrll9cs+ufGjZLglAA
WAo0l6Lg0NMkfnZY3kD3u6rnbBTdyPBuk61I00zxVJvqF5LGfOzK+rud5s7E1nToLLHlyVc8c4S/
xUyKXyGPld/0uBDW3A786G5SMdwT3KvfowPrsYkFnroD5sQLDTkBm6qs9k5xWpE1LCqk7ewngf8E
HaqFjpyFn3puiz0Elhg/XOnBIq+G8icm0n5PeU/Oy1gR1kD1k/avitZ41tJI6HjClMDz80DWtxyw
EyEc4SfzjODvScOE2174dFYm1S878ZSwAq4lH/vSInABHyPM4pvmm8Ul8SB6UNeY3rF2MYpv+pT8
wCVFYkTaW+PBX1UkI+k20rsbfNPMI53CyuaJEpvqaSwDsBmzFA3LeBkozPRg3hZjCTC8Ah01L3xL
/jBzzAkLnxVuH8cF/cesRGE2j3PQpoljIqnMLJONKTO7LnxKXd1/9nQzOiSCoI15Ke083zCBSXDR
2Ym/Luxp2ElXNLc2MlQ7a0VqT2Q/+nqTbNBw8noHe2b/9IhIYzcawXBfMJXxWsZR7didLV2J8dx7
rbEFH+T1EDHNVJ2ltNt5m8Kis7G0aT2mwETvyP10rcoioUP3gyWgigQLmOtkhzxRBzGne5AYCxmn
ZrFlKoBlBWcYzeN0KEAHYuuMNcairjMuJO25eN6GkXYks75f2NAoWfOs2Km2Izq9by2kF3NB1jur
TFbaboVRq/MfOuxR8aJhEptdbKtF4tRUHPMFuHmEyauKbOeMONJoF6TR28bGikNHWSpRVTNADzE4
Tzoj8kSIxjGAapNhLXAYJl6VuWJdOHab7CkdNAOlkhI7bDvsIeJn/RpjGFoSf2VGD7uhSxMQ12qF
UUAoRnXpzNiSM6e21B8C4tCzEmoKRBFPmM9gYxswNSM6ROakcfJkOxp6ZEyEmB5bJKhw1SEhYA2F
wUN0dpMXt6ZZ07PK0oZxsdSdXV8OtbFzIxSfS2kaFDWhjgZrCYehZvKroV9jHlYoxk2Ud/r3qrPq
9ID5pgouWVErT5qi5dnOMvvkxJ6KQT1+YfKOYHcYyLjYlBFClw0k0pS1IBGbMALlgr6mfBl0anGi
axXVO+ilw7LXK0UfUFOhXEXboyTPahHJiPqV7RzMS6apxTJI2JQvGcwmF0fzC55BwpEOdp/3HjsJ
n8W57gLLJtw5Bsts4RS9rZrG32URu7aFUsvwgqChvJhs13YqW6BuIwlowmqEEsKFk5ir/oNMMUm/
YPpI+2PqMTyjn2tG7qLXxxh5ke/p3DNenSP78ZGca4dQijC/1LmW9EecsFn1EIWZwKac+7kTzxjs
FhlKRfDqa+pz8m95G5vm3rIVLJke3d30GQlVpDw4gYCN0eUkGmH7xqU5Bw9AOqEj05oFEqp4Qhev
T1UZgnUP1XHBisz1B5WXdYdA9ZN4qflxpjD/MVWEA0qvuEeyCRRjHSABBcMZDDC0yNaka5cywrG3
06azfAqxqUgDd6rhJtsItjLwMRVT57yDIsG9w/fUHokBCvSnDgdk1c+B+wQmObWoNB5VjUbaIk9g
Fz8oIxuVLxK7OsPYqHPtJy5MYdAhIhpkI2TvDRdGX7JbVYzRwGghHNfXGJZDLLoetfQRg0tqb8aO
EmPeZa3JuktJgnXDzuzQXVVGHRrrppeKc8HJjVp4Roe9C8mPdc1HUqI0InJ4H9mLsKNHiZGZGEtg
T56M/FmMJIuwTBtTP2Wj1EFCkFS+GNTeCw6SflO61DFQZBsSQ6v4bNuWw0/ossIWt3SpBwRregR3
4CnX7aJg8z9k/ZyaJEsvcdXEzY7VLkmefTdTjFWYhHppLhDshNjPXDUrb2Jsfvq5t7WhObaZnyU3
uBDskUlPODA4ZAcg0VKohdzVMROmx4GMT33J9IC8a552b1gRGqynD4gV9QHoJ6/pi45s1h/miWEQ
dE+FFTPEtQKkZLysUgOvKCbWS4wVyXzVaj+1zxO3bFgOY85lWqTQtA1kRwMK1IXZ+oW9ZAySxGjd
PKadyx5E18RMKYtbn6dXrBKWIUpD5OY/LUJ76qXS+Tkvf9W0v/W9ndybzHTCVWw7TbtoggipnmX5
dBDNDmosLcABXUefyeLrmFg2HSjDrvBXRV1DGgdNV/DT2Feihezs0j0VvjRORcjeYpkUyvCdFA9B
BRE2NQ4mq8ckvyC1NMI1w4Rv1rFOIzHVpf6lxHCKKT2hBsRnQceedhP2rblKpsVNTj04CWD86lEl
4YZuLyOZfc6LqKU7r1U/RNdp3dYTYQ0RPpBVu1F1xtzQBjwysu2caEC4dswQoGNmLDU8PkxO1V5a
aLMGSae14zEmg8grI+ZnpJXQaGYWlm1ySeIkHBF6iRhIICAt6ySQ5XKICcbdQgem7vaNSnXnpUKX
Z0nMRoEmUjBk2xM5V6CBpF1PhHkyDSSpn+05U+7WmVUiDrwVsDuM/SZaKyLBpu3tjO/UcFaVaZdk
J+e8ImbwVvVH26UZswydVIFjyHAJrVJNb2xeOQUvYD00YrHjHsse2yAe1rSwrWaZ40wNl2MVq8aG
dUtFLcXW6UbLXHDN4xDqI7Q9t/xiG2U1fCmQPLaktCvd8BJ0IRX+mFlwabiqXb8hxMQ/QYrR8jv2
T4DFnaEYxJZXhicY3zigSRjMVlmjz9B4F90J4aaebSwTZg6oPNJdVm4nqQ2LMtFx2JSVEhwDBQfF
nFl7Kje+Ug4ZTrWcgMmZE7SOv4czHyJxaJrMR7tgeN+BABg6cNnO34cdRMvTSDLneJRdU1s3cBLH
BpwmTJ+FqSjWsw2u1puZZUCFo2VFHG2igQEW2YtVOP2boDyFyKV3PFjNN09i9ONub6OvuRc5/g0o
ABltyb8rx1VSmPYdOJ+uX5K1hCuIFbLLLiPdUUREeI0jnOasHmwBrR6RGwGrfBFmqDxaUPnyPcZh
N91bSRD2XBHUAiix65pun0xdC4pW0SxHfgwRGwB9lUWjAKy5WDrucIhOqPRXfGPleGEXL/UFMRVp
zk1UDM8IqIi2tDJfAzwPfj85t01p5oews7rwUDoR8YojhsxsKce0AaNJKfsCUQrZfZo05fNo5l27
dImBbvlgQcKDNooUc3o7Diur9g17WQ4ONJuYdFHxIEzAKT+0XEUIyzw17M4jkSXDQmkNka+Lkq7V
2ol5Y81YKxuiVwbhOItMTzqbLnSbEoKesZqsyOrI76NBr39i/4YSiPXPunELFEko4BqE9Z0Fpn8b
IurpNoqjBP6ipZva/EjorsOa9xmCAy3pSnct6HFrC1T18NnjwZYPXqOg3dRBcsS7NlHqdMvMvVQX
jJCVdoUmi76gafpZfkgwZWxMEgkdingAMigwsQx1OmNYYOCvWs7WtwApdhLMvNeDk2TNs5k0MZKT
1vnm5GSYlqlerM0qVS6tKBwkKyDX7+JgyG9M8jB43iHhLXkkCM6RdvZaE7878dA0JHmx6yqU+rZ+
m9MjeK5YA1cjYvOdqbZ5dqZ+0E6Gq9jGWtgRmzUBPPM1KX2JAG+sdpi1LeCIer8oGcHes5zp68BX
tGSJS99aAs1N1jAXhtu8VQU2shRUn6is73Tr2vvcJ+R9izXLfBlYjfdS65VtUbvjN2ir0F4zxy7m
mJroT1ZEYG7CEi7SSm16w+Ttodpikad+dZ/5vbWrKuzW8yhvkaIGjJlvFUAtAr5paK1RRgXLVCNu
FBS3tSIsAoFNItsdqtZGZYueW8EJEHQTbFPdsLkbCGycNwpUvzwM3K1fjQNJmoj+Zjhrg69lGIJ2
7XLBllkJUHvPAJujmjcr4aPB4OFpSWpl0Eunte4eoRf7Bam0PnZ0xdL0bpMVZnnneoKRAjxDKBl0
BAj9K3BBHXvSL4p8hv21+UEKmQ1QuoLYD31BrY4KnYRqYTKRwD0cRgPBoUU6UtxVg4mdCK5Js8Ku
OgAdF9oNDX558CMc0JgHxye7G8SFBFeEDmwvDQCTeFb2XGM/2JKqF2LEY5zIsqrws9RCV596vJzq
BoTiVBvR96uZs7UZcIA6Am7EjehVG+g7Y3cYUhFmc8A0+DYgujJe2qp9SHOEYjGJ17WViDPcErim
bVysta4q9xDpxBoTkrhxYHN9iQqiOogGKVdU/NWdF6dltXYCCeeiZOPGKuwYdbnXI0S5dFFQWcxE
4CiMRjKQAIu0jQY6D15p6guS9iBp5ZphdWiccTV88WJ42UXRJffZUOlH+nolPnGINl+6sciILisc
BoMOYmaNOYnVptnGwaEllzHRw7A2AZ0Q6N5WBWVh2uW8uF0Jl55wYL5CRDDMg0n/cJdePobHZur2
8Bago1Rw1eBrwZS4hQTcb8pc674yZoULOLrqc0CUxNY1BnODsyndYh4Kh6Xt4UxbdPGoRFuDojn5
phSQGlcijTqUlwSGGnM1lyXkVnZ97ArSVguXXsjobINEnlyn0EnA4tNUTDTHgm6Zlvhv20AopK4W
Xca3XbOrI8dy7NdBGbUVUuxgdPe4DEZ5kQ5RSw8F6y1lgVmRqzmEjhsfoNY35LYwiaebp5AVo9qO
udCcPPgecm/uba829qirYVyXwjyj4eopzPh3edbGCD0LDUNzXoT0JJvmR6fxoMq0LIaNsKaxcgkb
gqhUPI7s+Ht3JLAa0fO6LUfsszmJWu5NloPjgpATej8hsVbn1KDjRUJzUO7aur8HPRMaJzUOsYT0
rO9kM4gxAPgEtWgRGiRNrWrYvDAR6IB00O6UttohtNOqeIZDAsNxkKcjj6pglhOA1GXO21wGhTEU
LwQNdGCwDuGZaIQCSkKA/ZUD5Fd3b1CGj0q/UJBYNutRKBE7Q8XMZfKA9lML6kVSqaZTrQATkriK
cQ9hSldnZ7vCoNKlSgFLkqRFKGHLpGYPXC8CbVRMA3xYZeTVQmGb3mQHIo7H+EIwspI/Dl3VclZ5
rRv9ztQqpqHbsrAZ9SwcyCDlM5LHFo9eRuoxE4XOw0XGQ47/21uYdK+nW86ya4ZVMB6HuSINeecQ
qEFdADtCGXYW7+zotam55FCiK7U0mI1W/mgtA0wn+lnXTEXd/v7bf/zrP//jpf/v3ivNPmhsWVr9
6z/59UvGQCrwmPy9/eW/QJnz319/57/+zNUfWb9mp2dmRtd/aDrOf/0dfu6fx108189vfrFM66Ae
bpvXcrh7ZXdV//r5nOH0J/9ff/O3118/5WHIX//5+0vWpPX00+hppr//+VvbH//8Hfbpr0vwxxWY
fv6fvzl9gH/+/j/K//U/vwfPv90/Nz+C+vnd33x9rup//m6a/7D4j6RXaqI0Mg3799+61+l3hPEP
oAcaKg8pdEuzNfn7b2lW1j6/pf9DMykpAP8LlfRy4fz+G1Xv9Fua9Q98KKoq6doxgjJs+/f/cwXe
fEf/9zv7LW2SM+rruuIH84nyP77K6RPaui2EKSwNHaCFwo35Ir//8nwX0OPgWP8N3WgUGR3iHV2a
3yyXDgW4Xms/aPW41aj6NjZDs2Vnjvap9QP/aE5Z2PRH6hN46HEbjsoP4APKJqzZJOSmvudhWmMD
q87ov4JzmVWrEaX2s0qmB8Nvr1r3Qe0fVImjiYbjokgH+jxhpB5DcpiOjtV+j8yeGPde65cNR1vG
E5CvMLvzX76rP6/EXz+5rv3NJzenYZmhqaqgTfb2k5Mrx/Y4zVPIIChR8YSwcRuV/EyTMF+Vueet
ZBprW8yehwTM7sINXYuqn4XZx3Gy0r3nFKwa7oUsXOMugvTY8cyKqnfmhSeHMzDXeGYO5f7j856+
kKsvzLalxr3JGxDPqfH2tFEFMvINPEIADFr8tFl27Aq3+LqGhYhcbWvhs52PsDBnHx+X2/TquHDY
kB5jDsLQZOnq2+PWoUIooBFk83FA7d+50UKLgNpotmiOcGnr0Fx+fEDrbw7IXgAFmLB4Eq4PGGk+
6mjf54PmYbZtlYVOM0KbhoEG26CPj6W9/3SmodGJVR3dkpatXj0GdAJ5WbIvRmTT+zt2UdkxrXBf
a0wisYpYZx2N5FThqxeDXDSoRDNRg9dzO50hsqbeRAmYIHpuBLDCRO6SPPjkfn3/vaOVEywfmm6b
hMNfnSFqC9eqKTSZj+eMKZXCYitIF7BtQSwK0qkzrziBlQxvPrk0rEJXX7yjGhTO6LU1YbHXevvF
t7naSFnwnDhixvvqkbC29KEWTfJgG8HcF41x1pwnL1eMe6nJR9d2jJk5or2BThrfFVRri8QsotWv
XzboQ+6ETUxdNf/kPN9/hY6tWiyaUloWrZGrB4NQIenj9E/mFYrqmSyS7MCT8SpLG7EHCQ4ztCsU
ct0SncY6iEV6S07FuCwrLdqTryGBHrnaXf2am9lDFaKS+fj89HfX0dCFoaGRtjVMLNzUb68jU5Ne
N7URGLZo9vQb2zWKUElbEltoZWAVAg2XkQlVx0s+wGsWtN6DqyYX3ufhyuq06mRM/0ARgbiX/sfc
lkgdwVj12wRr30zNI0r10hQ7U/GXbZesSCkZXuhYUiAlkQ1pVx0YojbYIdN+8fGn08T1XcItIiX2
EXRVKoCDq0+HViWXFtCxeVuZD2Z/z3ix+hG5HVHF1dKL1C3aseqVvo5e+mg6zeRLim3qIUQO/fGZ
iL85E9NSDW5UcMNIUK8WKlS5eRKQCz+Pet4bUqIOV+Uu7NQHlk1/LhpBdy9TDpZi1nTx02/Qem4M
mAKHMVRWrm8AfEfweA6lvR7AHX9lF7gYnLjFzRKuDPZLW30QPiO3amTGG7YUy2mBe1tJloi/VMhR
G9ux+iUG/WGuW6CwSkJWtjEE/48/6q+P8uZdgDiS1xe+J6lL9IpXt/xAdKMOg4X9gm3Wi4EbjCqR
BBrLG/dG5Sr3StW9Er9lAGMZVgRZYi8Gs7L1jbE8OH09NUZ9pgEI8A0HoLrmnozCJaIlNO5MjS7R
x+dr6e9vEotXrdC1qeCgfnn7CCBASkZeGoxM+/E2Q9a206L2jkYaOSK4sU9ti+a9SGw0hkxfZR4B
oAt0ba2n47hWx689ivenrGnpecFbmItAey5F4N+jZyhWrYu+ARfJBkBCvo5HS2EHVZgLpvz5sQLu
OYsNy71BCXiT26G9p7S091XY59ukjvxHZjdAuSf5Xm+rOMciZ6Q9mFZLh0DqFc6ccuUXaffAjCtl
w+HkB2uQwLIFxo3a90NiGXFpp62brEivL9e+bn1p2Tsdmqp9SWyMiq6fm7cggH7kqhLc+06nLtNI
biFl5feM6qGKd/de6lhbFdXCx1dee1fmgdWgkDSRBmiC18fVQ4FQH/dNALGAHCdjS398Yajf2G/P
oS2339tY9efsxpK9h5YQwTtjBNoNN0hGlpgqXuNEMe/IjhN/bBne7Bj+WoNdrxoCqqCmsmprumVx
YvJq1RgqBGc94sh5NBZy3mccvBHquImFIHU2hHyAehsWExseZhxHlFwlSsPXNoAxETTt94+v0tUr
djob6ilKDl2jWW9enw02pJox99QbyTUHzoo945Ih5yxXTC+3Q6S8NK2V7z4+qDZd+r88xJT+us2e
3DaJ3VMFFcjbh8KEwOKT7ObD+tK8W7x/Pel9lb/UpScuyDue6SbSc4fpsC1Sby+nP/DJKVyVwn+c
wnQCLCcsTde1BbpF7lQ3D+bBM53MI6Yr9aGzCzHTSKw79Hm61IBzLlrbe0C5S/9/QMn68Tlc3aCc
gjAcFGGaYRrU5Nfvj2lSQXQ5KlsY+T8Qdg9zSasWEWD/SZ1w9RqeDmRCnoXMapgUVMbVk+APgZbr
ZejNPSTFwA2+NExd0sFCTVnD/1ElZU31Ilr39G9/QMvSLNUUHJ0N+bQ2/mWj1amTJknHjdW7jBZ+
fcJYwSPCGHn45COaf/MZSRagTDd1NngUHW+PFYMhCithwXoWHpr5IunPJm6sbeA9qkn7laaAfsTH
wjwHINaMytLBjNoaM8Vxh28YPRg9+fF3pGXJttNEf0srzMF4kQfl0ajQQSGot/Gwd3iLs1YeFCNZ
Q5CSNO0C0DJxHa3xqewyQ2XEmQ37jhJw8JIA5cWmTgtn6ZWd2AWYg05hEqHdUzY2M20ClQIas5XA
GuCL6BtuODTfHo3nOtdnTtQ3+yhpzhF1xrwnDfO2ECzFOvguGBwKjhKvQFBhoUFwfLNd6U704lBJ
nRBTjCciEsdPvtGrgpM7yTD4n8kza6hs8a/upLRunZwkB5C0o0SvWPW3DG5monW+JE4TLuWEA/53
7yGIrTwdEiKGjobl6nsNxtjvAQixVhftxW66S5s0F5X///Fh3t8+Bm2FqZrTNIsm49UHC4OQxD0f
c1SthexzJs+3VSCbc7yRBEiSJtu5UmGfRrD4yQd8twJzSeFVmPiZeTh5VN7euEFDVxKglDfP0ZCU
9PcJ1QbB5phg3hncq7sON/FQO58tgFc14/RVWropJO9HqbNlvTruSFZ9VJKOMweUZsx9m9E2xKsY
z3ie7K0aakYKWWdOGG+4Sf2CIQVQolUN7nhNuakxL6/OH38H2t9cCt6JvISgbfCOvK6V2jRS3FCA
ASzBKu0KutZF6ZQ7ZI8SZzFkWtq22xg03RFvJhoz22wxr0DPzrPMXEMBNVfQ6/ZBZ98O9JwQNBMA
5DCU23x8ovpUZL59fxk2DwJiUUfQmLq+WxK9B5+kCG/emla0b5IWmZPTIadjsDII9aQF3TQzjHAk
RSpIQjPpNyx/DOhD92Xp+y6uBbQai9Rt9nabMYewdUByo80ujdHzZkQlR0Hf8EfJVYjVxvukCnn/
HHOZVdPS6PBKPspVFU3UR95Iu5gQPcNFG9ttgFdvVlv1hb+WzOlKf3zF3r/qyEWx2ScheKHkMa9u
Nqiljtf6IIGisf/1FDs8yf8/T7EFuc761StwVP36e6mxy9CCatC7OQpePq95HAbKpi4v02MFGdxW
0gXzjWivAq3+7A307p6waBpgvOf+5YNe37xdXZMCp9FW4y2zmxaqRA12n3/E998c95xBE1OjE2az
A3q7XMQms7S6MPCRj57YAWpWJB2JzD0nDPf2oV//+He/OZudO9st7nKqaedqYTQRKeHulXJG3h6Q
QEbYcyYPk5fksyV4KnzfPlQswPBYNbbVmMOvjwT+ZgiID3Jn9ClSMOrtH+WgYg83vt8Zq48/198c
DSnu1KVWWXSxy7y9jkDzi8FlAgvjaujOTYJShRabP6E1UFC2n9wc+vvVlh6QpumCepeVzZgekL+U
QmwRg8DwEU6HAAtjDGTzhBx7aCUM60hcLW9LK9NWLhDRWQct54Tf+zsJ1yeg1eUBPQhdAzBJdoh0
qLXzl7YTB7VONpn0/KPA5t/HQ7LS08q6y2qrmn18rd6/HDljevkM0ihTTf3q5N2hIgdvQDeIOKBY
qgp83STATxTDdSF5OSDNF0EbGhBxF1v2p6X63107Cx0MxTopSO8WD/w+A+QFFqs2bFxMterLr6IN
rCkQc9mtkQG4K7XU77FkjFvDB6HRGdH3HOnUGdWw88l3+e7OoSesabZBP4vh27umW5SEcugYxM9E
1py4GMFCoc+Ffmlv+234yS723SuRzYlh2QCREDLyzr+6TZUxKokrQBlbl+OZZkLNK+dLDqxCRPed
RakCeuGzC349JhA0VhwutsPQhZKI2uDtzdpA64LBFLmzoTKNJ8LFJodaGB5kNnTLBIPeIhzpwDiQ
Zl70KiWn2uNN58ivUFJyMJs45YL0YbCYhQB3vnWgijaMo7ETWMekR7Q7jgRAfHyPau82dJw0cyWW
4F+36vUmp29E5VheAWqNmS2a+O62l0m9AQ+rzmVd+Mxocxt5RIPdCs5pL+4jDb7Cx2fx7j3HSSAn
FpCGeRW8KyPVMATT1QlKejfxj6Hb3zpqWsx6iNWf1CDXU6zpS+JgQhrTBFi8K4xd9vRZWMBzInyo
2TY/eyxfWG3WI0QAUI+msuhZdO7QG762+BUxIBvOLrQn1UpVH6u6bWjzRO4cxCBh6UlBcAsG3XOu
6XuPL+rM0gK8ImloBkAmilo5fNNIc1pV1ZAhpsxvoFGoJ3x+6o4AxCfDR/LegLi690eaVezTtN3I
3HX58QXW3pVe3JZMLLB9IdOm7zqtVX9ZSId6LHMj6KZ7szZW1PKIIZMWTpw0bsj03vZ4wFZelA4T
D35SnTX+mTzoUwox8hZw6Dmv5fHjc9J/1cpvXl2c1LRtkDYbbSrCqwemgg+VKj4LZFNmNSBkEvAc
6xuM8XFdOjXY1pTsNdrDK0TbuN09XzvkK2rY5qw35q0h5I3pNeomIEx1soBkd6y3X4O0ik4x+aNt
6D62CB0XPTEM9wIR8sIkiPWGTpo+QzX/PRoGHfnQnLhufB1m2G5A2vqo67sNhgH3KyA+/Tt3bbdJ
ytahML03Ctnc9YryXI8dMaGuC4aboJEup9jPETKC1UCsl1AvnQrM5vC6mHDwcs4XQSvzm0G3f6SF
pu5xy83zdpA7ZXSNpekauHqSTKyDlu1vlacXWznGuA63pSynTG+fzPG8ekJLFZ/UKNA3oU3IiV+T
2Gcr5z5UIxqfmIrTnM4y1LMj5hKcfqpzEEBZdrWj3sCBKX8suqLbj9Iad7LEzZjk/tqAl4yIQf3S
dspXUsuCW0h2we3Yez/t+NDCjNnFkYSOlmQoYByLuL8Kiv0YOv0KvhGyXRE6W9XMH7ukMXZJj3+8
w/a2c4jImZduBTValOVB0xqcmrTWFd7yxJDAQaoAuF5w8E3eA/22TuvXoi/N+xyg707PFR4vYU/B
voa385GB70IZYcEWpMGEdCvOuiAnbkyzH4lXY5AvKphoNKBOVZ4dRFEBligNrOemcYzNLDqwCOdL
EevHFLMi2XZfMbwnSxL8xNHJkzN5CybA69Be4cB1DygET6MmlCMth1XkYWNDIIPBa/CcY+hED7CY
yMiIHJQTobWFFMuWhSZGz4Rv1qRhdwgxCGHzMm+6xkCgbjfFN29YRG097Fu1PKNaA08VdGKdgxXc
AJwtZ2rb+oBe+5bwP4OHNMEZkviEBxaB/6D6eOj8Psj2eYFkGXV2eyMCZPheALGpluMeKSW638bR
boQdPmFH6le2W4Z7SE2LFh/F3mmi4ktaXvyC905YBFj6ysFfaV5Tgtic8MUackE5xtFNFFffzCTN
biAB/LSQL97WVRfM0/qmmsZ5ear+tJElH1F8PhrW3kYlc0hrrTr6Wn9vA4dYV01mb8WoblrVHu5H
R6mW8YRkgzgIBNSJVkjOvim+jPFzFvrMK44i2DNsaM9aC46XUGGHkIwJv+tIsuJMLTqrYEQXFbCD
f7cykWTnSTrLjEzZIVy/AisK1z5sbDlzNbH1NOr1AvrkMlAJQuI0PnsFvW9lc7xpX2Cz6yKh8bqB
6XZjDniRorYS9Pgk1D4PQ/28FQAcCRmzl4gCinnKy//U1/0cHwv3oxl8IRoA76CSPn+8Dr/bGnE6
1KgIRAwWY2qmt68GVKhcXRZTAPgVca+gGPZqFSNExLZGcEC2tSP168eHvC7PWGxpOGo6K9DUPLoe
cGZYsHBWmQow7mSKkDDkLNRbsaP0MNauvmxy7PVj0F8+Pux1CcphqQoZ2zN1RBZxrWDBkBWMZs1h
YZzz+nNY8Kd6HN5SeJe2dx8f7F23nqNJldRxBhDSYNx5VYO6cYC+0Uf53qZNhuaVVQW5VzhTm2RY
pI4KHwT+6TpzqIJxb/JsaGHwyXv/+rudzkHgc0cEgICF2vvtd2uUUUPuI6T1X6/9KDL9JX5snB+a
stAMKoGWtIxPmhbvSspfB+XmtiyqFVp0VzdUEGZ1pveUlOR5tis3TA7EkXdEabWAZAZ9DiJzpXrY
uIjKSL6nQb7DlBnff3L5r2vK6SwY7XLr0nB6vy/uB0IZTKfho1sIZwe7FAvBzgTFTcnYvIzWiVTK
Ewai5BCnTroKhy44+lCjMbN0913aNaux0aDlYzz8ZGN4PWPjOKw3DC+mfoRGQ/iqOxAEgesMmfHn
nr3MneaM82FZlM1D5jj4raNij+nvR5Vo2SWIFk5VbvGE7/xcUR6x+I0Y25Tu9uMrdr1d/XVSKCKI
45E6s5Wr+xXIEjTionRntBn8o9ugMxhNdbhEhQiBceKmAwu3oMS86WQjPlmDr+vT6eDU5HRnjKm7
dt1XiGAABVnWwPAiZpn6md2Zl0njkwtvWL+0Wn+tOfmKVQRzXH+2G4ijrp6IqnSM0M/wKTQEzZA0
kJPHLu8sO3rWIzxt6qsAI4rTGnSTFOmrDw4NGaz+RH/sBXfUM4C1E3tLzK7DuNB996tAer+pVHVb
dq531IGVp24rTqWyK/0RhDG2ZnrwxUoWNs1W9p6LGM/xKvcJptKhYGw9R0UnZ2bd1jbVi1T0V7bQ
lK+uLxeRxBKU9i6mJx0rp5FjcTQ6IODIfx0eenTLxYmoXBcSDraCzPsR23q1qZLXUFeTpQhc/O+a
fNGiOlxro7aoyTuekbZ1dOvup5LCLips46sL0WBjNPletYanWh29Q+m3axfRiOegvEPrS9InFPiM
fuTBSsZ9Fle7Fh3UvvbdpzJDWOQX+sC6ap0ak4Tv5GuuGugy86+mmcltGRrIKZRAWTOoPbFaLuMK
Y0wOHndmxnfwrV0CXMNorgbuZtScDd7leNU2tGRqIPwzgXJukxOYVnMPnfACrtXQ3tbARlZosWDR
WMV9rxoPEJTU+UZ2OlI9RbsN8uGB7LZVPToHrbezJegdsR4c57tVeHeol39YE4SJ0OSTXuUXLI5L
IxjkRk9OZpAj0WDGiC9xXpLctc40E4g58VDk3fXJ3G1t0tpCSft/xFDVSIdKRVsDrl4mCbO7uBNb
8+h3X3y8pjOfnSyqP8tHxUhtbOWkSYFimEsgzfjwiUUbgwxfF6wNuyg3PZS1me87FI4QeWd15d6D
l4fF55fBuoXi0YMmWph5YiFz/d+MndeSpEiwbb8IM7R4TUFqVbKrXrDq6R60FgF8/V2QPZM9fa4d
Oy9pCQSByCqIcPe9trcZpSFdpmpSrccCTpjcAItt2vQLmNe3KRKPlNPfoP5K17VqvWLRrmHg3UvO
sQz8v5lYZHCI8o+uG8IlgqR8rfnlBybe77qepRsqVWEy4lc+VGZwbsctsqQPlbLsI1XCq0oBkTTW
/ESGebPsr2wYuy0DCbFgLGEo0OwU2fu71qairgggQckfJABYb9U5CPtNg0lF7ROyzODZIy9b2DKW
mUbXjcs0qfptmAEzN0axxPjQWBYZXtNhvbEoklg1ofIuRyR4cqs7qZ2VuEGW7Kk4MxaSFp1RN23H
HO64ofXxEuFRsnC0fq8aSJtjaF2DKW+mQMHCgYzaT3xPJmZAXPKXhImiIJ6JyPxZirtblccXUzCI
z/m3DZEXLr0ADy1Nx+5SXXMxITd55cmZs3OGZg/LnJIQjA9HIkFNW2zgzrwWPtUiMCxdpECvVOeQ
lwsxC/6uCxxhpczLlmqYGVvYBuc4khvXNqSfqhW/SlU0XnX+k+0qDp6GrL9aRf3Tgxr1nPj6p+A5
ljBz/QbRx+0a8UNSB2eDYJaTH6t1GIG/cLqGREkpilXSlyhjrAQL75xRd0uVAGbMStGAWUwsSpWC
HkstdKNt8NGVFNcDCSuWpFCVSG43dWVKIIj7YZkYQXqlnjxYB5LzUw1kdS1pXnWzhvZbORR/BW0A
c96LgSN2CF300E1jOd90eKFtE0kvX+B/bHuF8AgpXmggQCCXFNdAZ4pbea+0F5P8ITXxlbETAnpD
xB2FLNAt8GRH6w6ReIf/qrzExvlbVSTmsge8jeZorBeIHnOi+W+REUSAavR41ZmkT7r8WWkwfW5N
UHQR7E2lw1KE0Ky6AHtAESaTGVf2DjmPFbcChIqIql4oVf+Cdm3jqxBSiIos8emQeQ93btnJ711C
7Q0IKOMIWcgA39UIHhSIjYZU3zpW3XwXfnHOk2SrGvht8Do/BoAt3gweW6s0st+NVNp6DM0Al3jE
IIS3gndk7eOhfAmTCoV3n3WYG2nguQhpf8QjaB1P6FQtAdQ+an66wETaOXTBaCyVQO52PgF7bNg9
FIxWI63wfGdYbYtug80BhV/1UO616aNEN7e3Eid0gcgi9Net4qkClDVoof8yf6CuYSbgW8ahj50z
fJc4ZLik/o29tnfxVIeQQ+Af5iXAEd5lJLBF0WQV7yA9FzeesuKUdj5BZZZ0QwawhQuo5FYqOiRN
s7dhCL+RV4D/niY8MXW5TbZIoIJ3xPUg/Ww5PEWjir1zNrpj5hfPI/kMXEdBJqbdD2iixVZrVHFU
po/5mzBrAT3OCQHdYYsD2kjP3ccWP/D749xmXndvmIzRuCHH8PbbukebuW9p7rFpqvOA1dn2j27m
xn+syxE0U7uZ7DPDAeKp5zsGGc1h/nCyoTkoXY7IFiIin49N87fMyq7tGBXbSJUC5noijQgnNZWy
rmHGECBQHZi3uaof54/7dlvr/k5BSrjzOsCLv7YqiSAz7svlBrXhLob9+lcg8xiLQ6O5QTyIEaIa
masgf3pXQnMXKXr2lxT5PZQaiu5San2wUDNL10YF+q6Vwz6d+vCCGiRy5ek3y8nsnfCi1kVUKd4x
rT/MfUCpR3sNg/82OIW+0+pP2x517wXJtLGfwCNLb9SsvdUn2Ter5n8bB4W3cuDtAmCihfTM+iDU
VKiTsr+dF7VSummZr9/MqjdvwANu82qqQ8LtGKZM1tMx+yY1OGt23ikty/4Jr+nyVAflkyi14Fkm
2/Ec9yEJwMgJd0FZBc+UtAynDMF7JafYEHteGC4HjMG3c+PIKIxT3LWUtrHr3Ak1ovGySjqN8Ul3
y7RWflX/thA1/fQtU1AJU2XPZipnm0Cy/L0yVYsWLTqpyqyKz7FLt7biFz8hdb0S4EnfzcmZwIey
d+zh5B27VNHXCWZAb/jFfp+7BWC9cnxj+DLKdFy2hhVfcfTKd32k2psc0ORTaIElRLiX/TDV/dx9
VMrVwkpH49noasct1a7Zo5dWzrz/iUD3ifyBPmg/988j9lZTJfMuo9DmXd5Vp8qRJzwtUK8gzJtX
inXuV4ij5tLE/PQ7IuR6WQFUwbFbtnGuQdUa42Zx464HKEyd+qXN6pPkVf0CUMB48Kose43aUFCX
YVJRGsnZqwfbYoUMRd7MW6VejtwI/1fXnhqn6AY2uuYRjJ4WrUyXd1Tx4Ls07dsrtX7oK35qRzbT
V6Hxtoed9DFvbJDPXH0l3c97EmjpnnklADGmn/mjsl+hh3rPc+uxbbed5US3uSddU99SOJHneRu2
Z4xsPDQd836RwA7UHCVUotNJhJYC4S4aIEbOJ1HigxP0WuXOjUFJVhufqdyvC6jsZNeCd1nOjc2I
KJ7sadR5Tqel4Wp2KqLqR25mOvW5GpCrJGLoGzR+dvQcNb1/kEFJj9Rglou8r9CXPNoYuEnHq7n5
fa2U36IKNPS8y6OHuQVDzhT3Y5UD3DcDMHJFHH/91uH967zjb72WKUV3GEgz2JlOBVdyjvo/ups2
db25xjcIdPB0sMd1zIu/7RyijN3CmT/P6x5bHyc6b5g/HteSJS3IJ6Lm0/D5V/f3k3m0fmwRynhu
MdHC5So4hxHwQtCu2skqSu0kShM4TmdTgAKhJNxIhRV4+0ijPA1AIhLcHkMthjwbCS3ioragD8Mt
/2dv2cM4t65R8/22Zd7cqtrGKStlf++itDRzBx/iaA11N6ygCminuZ1c829Qo6lYRqKdRvv/9j23
kUb/w6kqXgdDTIFrlyTtUaWC574IcU9bj6XRLTu5PFPc1yMxr6tbMeXFGVBfKOBmkD6UYFpGIgze
WGbHhOrk29ws8rVb1sYB7DMGbIhmzSc7T+zDfbH2/JdSctTDvMPcJZLd10xv+8O9S/gvb1ZAnH3u
bf7ws+Bb08vprz400X2MYgjuLe6nFZufvmLa+/tRnKj67reFtr93WaX+Dy+vhl+LZd/+ZPzV/GpM
mhK6Aqyc/eMynUILFpMPwK9dvARvipEY8+5xVgJpPrJO1djdj9IHzGYR0sm7+ZTmhkQFcjTbodjd
T0yRMAT1rbT6tQ/xLNiuLW5tj34hVLUESKPwvm6+UWY5MvMh/r199J0k8CCS0da39747rWPQm3Xy
ljQvGcZWsWFYUE1EOfr0W4GmRNGqCFRC83KkkVHMBglY/vTL3n/BZhKm2134q09m0BI0gMLbPM4P
Ii+VwgJd/P04plFB0RjxJ3mcW2upEx+86Tf3cxMJI/4UaNUGs3jOBcFftQyNCuuW6U9r/uj9uEWC
DoDwfn6xSkRiADKyYd73qw2JUd5XQ+wwiZ/+ugA9KUu7KYDEzct10OvAgTqFIeF0D2qHabaDlbh7
77Od+F55Mwnzp2uej+vLeLWlVFK6v87N1qLVgNsVyBmOqyqISRr52jZ2vcR+ot00OjCA8oBWP9iF
gFFvY2U0Z4VZ/rzUDU21GSCwLPE69U5qJTZAkGHIOp7mnPT/LjLn3zj4fNziPq1vg0E2VHaGDWlc
/OXmxanFfX/xz9b7YtwZ9slI5c28azrtP6/y+SUeXc6rJpdQ2R77deEkysqUu+rmEKrFeCHfSNPR
5/YgwMIzbCZ37svbV8IgFKGpustswz41hnrvF7RqfcNT2D7N7qPTgef951VeqP929H93nPeZW3W+
ZZ2mVo9VmAnb86q5wX290APSVX67wpVmoyi8eeywKm741NpnBerTY5VTefK5j77wzyTLIMSNnI64
wX8Zz73UrHMjVw5Bkr3Ol61A8TgXfuNKiD2XQtjJpqzkhn6589MVGjzcsORMs918MvZgm6dG9n67
JqUdzFNeOv/8KmV+b/HrR5oWccn87VZ1UI7JnEq/flUxtZgW59/N86u/Pb1NTl3J+FXU0SdJa9WF
pmRvFPB6t1bOv6j0hN0Vf3jgonZRMI5raIrWR1Slp3RUtXMehRc4AyhqdAmvxN7Utp7dOOsUduVC
L+RbP0jJoXdGgcwIcaABov8Drli1ZBwvHVGxJM+wWJ8CxeY5UY/qKWkD8FRDHO0L1QzfA81Zak3h
f6oYgbmYBKibeVEygFYsVYJi31K9T3dyHZPkt4X3QYnYkZKF/EXYVnyMQh22u+r4l8giAYvZcMJo
Y6yugZV3F6tnYD+fU+uTgwyb3j9lqPmfCUw8aUFruABnCBD1AejaUBhvtpIkK1nVx2sH4mTTN3G0
a9N0BKhV9McE7VRL3RZf52XmlL++aWry3pjNsHmsmr+FVTnN26c95t202kB1EwAnuvdFtrrHcPKf
bqL5AADUyiMFYo/1927m5cce82IJZ2eBnRATivlQj33m492PomdOtokS9fOx85+tH32rUkGws0v2
j0ucdwMcz8U/LiW1Mp6QvhKtfrstfxx+bi21Vr2DNrh97Pvr4qfrfpzSvLmsrOdixGL5txN8NLnv
Z411vNb13rrfofmY9+ZzF7+dwzjYByH2v63597f786SLHpdFB4fo9dz6ccxHn/djZIVC2cvQ//gf
l/Pvbzn3kIWAMPL4rerCa2IN+YeC1+LSksvmmkYpwMlhGHYmHlbnUW8ZoZq69VZk0vemHbq/ucDc
rPWfQQiXU2aK/Brmk1sCsrhTFtblvvCI8PaAR6i6UlBpqbn4HGv/UJeh+NsMog1uxfqXJqZ/O0dv
nnRcySmJaKODoxf6EUi5vm7LanzJesbVEPGbHw2pvm46eAB9xA664JtDGHsV4Vh1SRXApxn1qlvC
AN1l3jA3YdLz+uuMJ5WnXv8wMkzNNAy2XqD1gHoKff04H1jgw+AavWif5tOaT7AxAwK/HBM67qFs
zO5TIuG5xMeiuc2XSHKk3M+XbY4xdFFseTD0w7PSovLoJ66a8hB2f0/3zZ5uIKZNGqR8Ic7oT8Zd
L7xkm+tKc51vfu3E+Ufe+9f7XcK2y4Tw+pcUkJxIVat7xiGmxPwjcw61bzoHi0SF21mZeG4rxNJV
OYZ/KYAs5jOefldyBmQdeC8i7UjKfYV07v4BaBdnaa/RdgQyox1UqLVsZtk5U0J/NzrUkowaoBOK
tvo3G2ugVdvVWxtfsQseIcg7K56xWTzyEvU81K24DywlkJJ+yhypUfJ4HxshQ8LnXnGqrySPxnVd
GS9YwrCv7vgnRYRQaDrezlmnD9sGKodrdZa0N3lg73lhfVI4T/mOZAdnqOrhMcqkbYmNBmOgLvsY
rfIjjJj6N5W2tHAN31C0mOywukxJ+qr1ybBj8RTqxV42qR8aI79cR5benww1h4VXObYLGVpDPO9p
J5zA9VPYY9JpJ+HKh4u4TfHAesOwZd8r2mvQ0Q//BzHEqwHH7rHcIMken7KSlEaEXO4E7tJ7UfuR
CkQN45EmYzraJtWbbFQONwcXA2cwt3aIxt3umpAXSvza+ZH/WoGU8/EtfC765i+pS42VJzn1KQvk
mhetVuCxmndQuPLnBlrbBaEQHlWahK2Gs8EthXeY/pPo64fZJdl71mM0hYJIgO/L46WhQpbgxKRN
VzfmtY9TeVm3nf8JK/iotF75AoK8dhVhdXtt+iCYpKwq2zjoaFBPWpX4p8E8Eo/VTvMa6sB+ZFZq
MrJllSwgbIU1tux5Ghwy1ci3Dvf1hGN54mpSF9+S7to4qbRsa0aSSoXMEYZa/42kVBhZHybern+N
Zfk6lFb3qmL5BWW04B88i05t0ePzMjTqTgmRHyX2iAzBCuN3WWUYIDzCuCr4r7aSjoYhiVNuFj3j
gRc7Ixqnw5B4j9GDr/GzLDcSw6EnsIEh2ozlSNL0vUxlCV+vwtjmUe68V3F4KwQE8wCK95NO+awB
5WVZaVG0wzXmRJqYigY1jBZlI6RhgdMhBVAUvDeZFO1VeRB/ETq2Fz2E5/dApWwoj63vteITjcCr
Zk3YlVp8S4VgWw8heclUufCUABJXevDUOjm4Uj5lOmDylzLCqZtos4WletvGMr3vJbjBMi5RhBkx
5W9mo11h5+jbAhNQgqdqdutCrF304Ec5ZDHua5G5GpU4pdhGjzc+sMnlfIuKAhY+AeDcTaeb1UgM
PKrOSw5JR14+L3j6Es93sdYZn9BCLjFJcz5QiUsLsyRZNo4Y/iLB5TdsKSsp4vTmp07xMXbQpII4
rIig6dkRaKWAL5nvo3IVDVp1JO697qnpcCOq+neBFBl7Px7PVV5g4O1VzRXRnr1Tc8tcGI3pammR
vDOeGldi0PdMa60nawjeYya9n5h52pji+MURnNtv64mEfkua3NvJhWbL4Ky6qz9U2T4D/3nSy7xe
yY2UusJmRFjDWljJVtLs48jI9p41VYv7GLO15hEMYn9UZX84YvurHdrhVeXf9+KUBFSxrrL2ZZaH
F3Ts60rVIAuJtWKk0Lx7y9mMeZGBBmOxKcZbNxKiHLMh3ypajQ8NnkTb0cYdEnYveGf5XcIA/mX+
SIYXc5zQ2UNqHYow0l6pl+Cxi9djU6bck97tuzJflbLVbRtyqSsEq/kJH5xVy8hwb8FSO5JssltY
jzYIFG8RasJ750/H3wy+9obghRdOlsK5lyTibYXVLqsUlzZ4bPpVaynBVUzsNLW8P6iVKg4Q2MWh
DuIPPze/FWSAWlOntpKc3ZOKFcRTRNySP+drio50NxZFsC/N1FzEimQ+kbdhNGCilO1AsT9lavGs
euN4ER2hn0H6iEkMIKnQbL8gByc1T3lkYIwQFa6ObN1l0D5uascf3biQ5XOnMb0R2vhdo8AQs/HR
ujh1JcHsK0lVZ9k3oy7qG8998pvv5XTviqkwVFaAYDapqt4XJVXZ4WuMbJzHHhZYPPuM6loFkK41
ki5XLZYvlBAWWbNuhiB4IStd3FLM7wxf8Z54czw3oxGvBI5RT5L3IltRcwkStT8b/mRoU8JpxtFL
4rF1UCAwukaCR5RoqdMBy2YvpcTfE5o9J3BgP8KCP/iiKo+Fl+VUsJ4iUrVUPhrdCzYIL11bTsLN
6mMw3ofI0D/RACprhDbNfnKfpoRa4yFU2Ome0k5t3ZBdWkTU6roRT/l1aUrWYf7oowwxWPgWBrhI
maK6jBhA3YZSVa9efWFIl25qO9cobqVGi9LFF6wjxIemNN1aEHbYzYsMPvR0wLLXs6XrqCluazTZ
NwCfqqthwLkrN1zjuBsTz14TmjYWmYlrVI671gl1jXKCaRkTYCfpoqdKcVAaDftREp1fCRnvtuys
tWV7/jrqqRyTysLY94kargynDjGm8cwjYQoCUQphxgxTB35Vz1w11CDt8QXXsMqVd82YQ+cF8nCq
tSJ6wj6RomVNVS92yMNaacUS05riMyuorYkrcpWEel+4mWhhoYDvUOXHm6yR9KNHeg3JuVQCQ9KU
nVHXicsLmUSLH35R0O29WGaxgecgHQiwB2eb/CkZXxuUrpNJt6iIPPLwQ4h5IqClXvTkgKwqP+fa
uRkM/TCXr/pte6icmmu3p8ebFWSvxLkxnWqVg4frMwGgmFJ5bN/IwQkXc+5hg81L+mniED462VJK
IbCOAdxlHCaoBG0aV3zH9TUAsqxXZ9kqgq+ef2pGdf62FsF4DDN5W1s9UIMY0JNag7UvkgMkxGab
WYzyrdSjthcbxsoqAYVECmJsjK1dighKTGTzeBsZzZNUIz3PS6U7YxWbv4TESoldWf0lNXVo+bkk
73mPZos8j+NtaAfAMNS+O0hqjfItJ5ErkbEvC/0ce6UrN7ip5T5kkCiCDFJHhrMRYOMXvAYLHlg2
3ls2fGj8VShfaGoTGTHPTresPinYHN/ithhdIpjql55a35MwvvixNzxHxpfAxejJ8hgp2EGF9aju
50+RReIeU2ZlYVD9vu30jPCdlOxrMCTCjoeDIQAA9p4pDhiu8Bp0wi8bh5NTGsX49JDtVbQxWwmp
k/aF1OYEQr0sW5i+bpCMGsxlS7XJSjRWfakrHAbrNrBWQds3a4SZEeEArdt0PrUt5mTpV3WO/MPu
iHCbmXn1VKI2+oQ+kQFerZNGcq4D7sj12D/HMCG3ykjtsChg8ft11a4qhBiXoAu/8lrTd10DJwPX
K7HIM8tedlWlbXKKlXL8Do4ehXdYpOrtqcw7WIZhPx4qz9N4NA/6VgRac/ViyVjGQG4XVj0wuJqe
Tkkkacum1DwTql3trPChDtxRMatnL03Oksh8wirJVL1K6kyRmR5InnoZGAQ+4+S+FnJqv+CzDIUy
aVeqIIE9MFLZwRCL10o0Oh+Dk90yFa26JZnDiZqNcqFXxkS9t/0rik3gtYp60UfZXka8VJEcjD/N
jBiOZQ3HTsYmUYHjt25cP6/6U++h99LwQ9ykxRXt6j5Tk21HifG3RiVnPVLF6VaSHh/4odXVwIkD
Hf8eOXlzbeRcnKAUnfnlGY0DV/skAXSjmnX4CvSWKu/iFGOZd0Jcq99atbWWY2hT61Ul6kGqPjQe
vR/qMndMzMc8SothQw5rULDxJ7E4Tr4qzwi2vbWKaYdwiu9GGKJUxGHeTfAeZxgXg5Wc3tNx59Ur
RNUd9rYdCapWAWKlh9pelShPMQjqnSh5/MQdoXxjNII+OnT8q9QEzDKAOK+NnqqFMrPTQ7mn5Fp7
dUKlImZBgkNBp2HF+hNlcIBuJ09oSJHaru9wJ18DJDEpQIBSb+rtHllsu+9FwBxg+paBu2JIIk9d
w71a5VnZ7cdpM06b3f6xGJPo2fDmdx3A83uPMcpvH491VU4pVmK21iqOGrEXZFzh8piKIA9hUrjS
VC7cSsEEJJVhWmLDDe8D8CR+4ddB+OMaj2frEimdwkvuqgeetAMntcVFwrqNZnMG54v7m6IcFIqo
VjLwXRtFIAGKXl630Qh+vxYVM9iWehTY2svAH2gGde7oyMeyUvUNJif7Co3bGYa5vyvljvlyfaVy
sDslHXM0O03bTdTWuGskk6A3ksw3zbJQI2kq2FrQpTp49mXU5IAeSgqiUkh7B7+0cJTDEerDM6iz
T7xzYA3ep5LtJMwGjipOKNhvj8M60fubkfXRtsS36ogczm6gPvB1/ojCsnMNcmNT8jQ54jIhtKI9
onNjpIETV3uclxOKS5JCM7clik42aB5WvFr3swL5Okmy8KCRBDEkxTFqtHE45dbTx7w4f1BhX4Di
1Jul0jsb1ZFbSnPSmmocPvxa8C2oRbPAi2WiXRcj5XXTmApg3dLCZ30Zm0Pb3Fd6aYlctBnW2I/3
Jzjcw06LqX7UChBui0j0xslKhWu0o3fFJGxZGMyxmxITI4AO2mH+1mBq5eZR9Pe85OAN8mv91OzP
tv+uUxkClYt5c+zIB89ui62XKch3/tiFl+r/0k0VcPKRIorFfef/6+Hn05+7dhr0XyEo2j+OOy/+
sW7eITOmIci8RS9NZ4UXmoK9/D9nOW/47er+f/08uo2rYtmrGuyBfzv4o6u57W/HtBMwgkIgvy+G
7BLqpvZdlyKxUPSkvBm4Du2V1BzWRjwkn4onkSSstO9NQfk51MPoTKWWYM5eSct5VzX4Qa269Bln
GcYPVEMemF7KVxETp5obBI1ziP3GeWt1C2aJGuiAwp34xXOKz7kB41R/wT9lAnlYrrmLYnT7ppTe
CbVv5xYKcQF8FALjMvqWxNiX4nJsn+PvFkh1z0ZqFqIYzUxFO+IP4p0Lqj3vZ+cHKYW+Y/BBnChy
bQV/Qi8Q2VNmaUQKpksv0+YFA+P4VU/1eKuYvrYx0sJ+VcL2Ojewa1AtQVj1twZD1b0+pBovfNP6
GBl4zvdGbftxKaECPsd5XeKywQhx3jWKX3j4FF+Yv8XrpuzaQxsRAqwxHrofHIOqvS8Tsmd+xTSO
0CjuHK39HGbh97kHTS5/puHQPCtEona6BZh6ZLT/bsX8uU2/C7Ra6uAsS7pM4KFDJkpKn5ljfnnM
jaYG/kCFZgLO/GjElXaG54bJ6XThABFWPZWvH2XAC2zE4XRv8S91o9SE8e60a+sEz1KR1Ti7UJYY
5LK1aYxmfO0r7zb3TUCTUHVYGDc1yrG/7HH2ivsRB2ovWM0thEVtXxN3/dnXqQuHAZaueNOvLDUc
vnUwlzOQbt88CmlcJ6+UbcDr63Vo4jO1gs6XNWHMOIZ6TroqoFSl7JZ+EjhfkqXutdDs3jKb8rfa
zIuN6OPoG/X967lBWaAZ1vlrOYYm9wY7EKy0cLT6io3sjXFV9GK0xCkcHOTcQIzKJ0ZO83bKtIO1
LzfRoa6j6Am7RLLi846hh+dx7Ng3DdtHTENT5gLTBhULELVtP7FZjV3D7sQu6avyBTD467zdocwU
9Tq2B1k4SkcA5vznTBfRdlDMfM96z02z3uC1EFC0KylvniPt5ga22eMG0+f2CR2KdZbDknLc6b7w
w1wSb2xficgZWzzXIDhXdfqRMuac98REsV21fRcejbK3j7YtPRepfc4KHGjTTEqeyzGDRORA3JoX
UZt6h0bF03raeP8wmZZF5dgd7nvFQbj3HQiPstoZ+TLKvFvmMboqpj5Dqa62cRjhjFFpvw5hS5RQ
SQWDvakFMXoK/1UN0vN0iHmd7j21eRU+zfvoddat21gf13MDCwXMrQ3/epyykW0xPfbI95f9gcdF
855XPB/6LHkWFBRgktsQn0+b96IZwkOE9yUFuCymEewYpTSpV5wWvZzRKJ59BDBJfr+32ZMdN+mb
ZAXmpTalj7nnrqVSlmzyuJr3obilWNVNJnbzPnGjvOL43l5rAzQQ0+np6dW8I24uTngDCir4OBCC
jXRjlLrv8sho3hNFS5ZFLjNCn45bGsbGj/L8ufSG7qklAj3vhOm5f/BTveVxx04WpH/cIGWFPw92
8jvG2mVDnd68tdIvDESKN6Er2qXEE2Bu1LdE0EGMyqt5MYCdu2ryYLifu2dmrw1a9atRNdUr7MrF
3ErFuYoXNTON8CsU6kje+58P9KzyaWzr8WRgfbN2Uq5j3jpveLSbvw2Ywi5boVmrx4ZE6SnjmJfb
gdJljOGDzW8r71+xoDlSaq7uHjtOHAbCX+E5hvl09KczigenJbw5nRKecuEhbYd1nCqoax67BWmd
bpUi/nic+b0nYqHGGt0cw7k/djFaHaBwNIAVn46CWlJZ2DEBtUyBlYgR7yKdpqh4GrqektcfhIYh
eo3FSldT+Wg6Q3AihGMy+Na9c8UbiT8BnJxh0X1CW8JPRam8rdK3w7ueRyviptZrr/p7LS9yjHyb
YCW38bioDL+5zB+eqJqL0LNgU7VU5f+xIY5VxZVqQ/pzQ26jlok4p+W8B4H35jJ3pde5RMFTTkhw
Osa8bv6mgGdde1Di/9wQkHlZQxyCG/TfPZwoQqcRRSmK7f90VQ6UtwU2ZqaP7ucmWSW3iE/xovhj
wxh4ycqgrGX9x4aoK5xlXjTVnxukqlSWSA+U9dzz44OoHc8euHruY938Te4ReJSeXf65QWmo+1Gq
krnjf287glsInorCvZ82PG6il6DTaQqzuW+Yt84nPsgWM7rJRuOPrihAI1xSU3/0aDx/qycBNgbN
458bRCV+WGaI7fx/b25M1QTZmPa+HotlXMyNgII4HgA3anmTtSP1yU3g17pOzCa6CW8ymomU4OZg
nLB2mMBds1wt1l7dOFfRSGTBmMpciepVa4FLw9Xp/GbtMLW8YpnQrhPcHa4iCLu1o2fjNWFesBaK
Ia4+MVGOFnRXUfLfl5RSfRXq5LOh2+XVzzD0JlxRXKmEVehPT68CUz18adT4KkayvcKXQo4WG2zN
YSWohbn2Gsu74DiHK5MeOxfU7vZaNLp5Ic3hTEczLhnhIq7N19CFSxLtJPni45UKPccbLn6NWMKJ
PIHErscjC6HdRVS8kfkvai5OpydsHapLlpIi8BJoEkLUuSuiLLskflO4IskSjiYjN5P66JLVVuUm
5RBcULvW2J4N0jkpy9YVZu6cadK5hI2tMyYUwsU6wziLyJosQKhV8dMI3zElUM9+U8mu54SEt/VR
cRPP6NFN2qornETwjTy8JpyQ2AwxG+Lpb2ASKAMKejK+Wf6mYnF99kbra95mUSR9TGwe2cPUFCxN
sE8ku1/OW5XWibaE9/TVvCtgs9oVrZW689bedpwVni/2Bj27sg8SLOuhIOtT9LQ7TO5ar8yVEUDV
Kdz4aZFEUbmIhTzeF5mqTpI2Jzk5bWm9ZmXytyGPxmluG5fhF7PS+jxvi6zmDX/p4DJv06TiaQwK
eYuLU7zBCCtzi4KKfGqgTJ7kAV4jzIGMYeHBP1vkrRm6iULS6/cGGt7Jca51B6py/mkeYk3HNMRv
d7aEu9TUz/zhD2MFOMEjxdmXnbqc290Pdv9EdPAXWQF7MzfP52Pz2kVNJZUpP0fRTmZXYpmKMP0S
hv1UAOJ8ycOg3xcYc63jaX05Bis7NqNv2IlJBLAydHVOan0o7VMQyMmXqmDIJMDa7CRA6K+mD1Zx
2s/UxgjVUp0hQ/DMmwxFGLUaOwx4/KH61TCyQ5FwHgHGxF2XrASG8wfDEu0V53ScxGK1+O5H462w
zfw1t+JuazSUj8lZMLw7AWPhuUGHkUiBpd45R2t5Qk1jLPvq/zF2XruxLNl2/RXhvEcrvQHU9yHL
O5oiN91Lgm6ntxFp/0jfoR/TSJ6+ffu0AEnARoFuk2WyIlasNeeYZf1RTlDiyGd/qQdzhFXt0x2H
u/84aNXLz/8kha3FWt4N91GZQxXIGtYTLw/fZfLn366hZZC84g9Mftjw6jZBrxyr+sLcq+EV4KOM
tv7ZRKT11y//+ek/vxY3nOmcMsN5t3wtEga/Y/mIfJZ/fCTljF6n8mlH8PVcb4sx+Lefs3ksdKHF
7r++/uff+ee9kY3RbYkka6lABL/gz2//3I2fm+UHwzbEmoX/6V+++c9f8PM1HZrLWpi9+PNR/ft9
WfKvTw5AlD9/+CpL7XZyq+peW25yfWa87hTnssy+GdIm28a2GGw1ij5RLg/SRC8QeSRlZZxK1kAh
N/S1aAhqKrqanVCgeidOeSKOrj9fq0GkrVPwjszntF+gUsaBY1iIRUyPLqNvftmcIe4YLhr7bs7s
wCav+cEg4JUQE2tXoKdAYJT0IgizgXBJEwV8n+IOCLPtmJSffuF7R22Oxxsi78xDNcz3LYoALdfP
6EpoB9UO+j47qQYcsiQ2VVFOzCCnlbeekihr4XLOZjXsu6Q5DQJuf5z1032k5DqajfEOvxfgZtu5
EoFuMPWKPZgcAmFbw3Qx74pDkjRqU2SNznIK0iAlqGMXio5Ib5LHNo6RZ5suqfOtp4nxYejFdANK
8yI6Gupqmoarbt4nhLaOnRXfCtJanzo1ogguk+vPZ0m8E7/jqbXupD6N97M35Xd6851CJ7y0efw4
TDY5yUJGt6UysnUW+fpr1I/HYlxkZ07UHojf1dcWWa1rN0JjrvHwNjQBgljzxrufG0WH4wZX6008
2tWrW9lPiAiCmhrdSKV9K6kmUdq63lFo2rBhAjbt57C2XnRn3gLQfGpGFI50wZOQKjLMSJiGX3LI
moFkKWM6xkwRT1hKSOHrQ0IPa+wowSDqMKh0oLD0JEmn9NgaYmoBDu3tDCoCP1ne4JlT5msMNWht
2TRQ62YZYSOXwO/GlKf2gEfZWEI/0chfTD1Jf7ndo2852U0au+o4lnSHiGW8YW/deZmIb2rfTq+a
qH9VZpqfm+S2GR9it09ecBEDWpXH0cYYQErxb7Ap4L2XTqI+zOCeB6s5a962jNL6pTBS7ZD2t4wL
o0se87gIqEmeMk5TJ49wwwCqJN5ST8Ni2ZpiRyxusy4zKe8L+p/7tgtr/P/41rpucldWh4JWsieH
Q6KdpSQsCsng+Bwx74MUsfKtKPq2ivxb92cdKLlwVuS+AgjMz8XkhmsyY8dD34T2qkEmtsED4W5+
4FMF/QaMOtd2GUIXdO8JgY/uG6U2SVj11+UrecdbT7O715Sm/EXQugqImhVbO7PfhlrXznldW3i5
iFZFXlIXNbjNiIrdrW1+Syw8VkG9CnRcjbcmw2UtmaoPkridoIcycCTU+8kXWXUjFSIiIpBxILdF
sR4MWjem4Aw99tFVd93i6Mau3FlOFJ+Za3mHsFTdDrpnIJfpdzt4rB5Omx7FMHunEPHSKlTQuKky
un0bG8U+SpoR7A9tjwkz7ruWN0+zN/a42H0TwEw53Bixv9VZ4Awx70necl/dRNzIJO0TctLDfdrr
R5c55yPXf7UqgRkxqI3yfWJ2w7nUynwfLR9hXsqZ/Q75QUTFUUTMR1Zol4ezGEjn0zJ1CKtuAHBG
POlIPBiiUEkce0KoYQUfCd9BV656K0lvmc6AxkASgQiKv2jN1IlaNszHKoz8FYd+EK6Mp0JsAjuF
AI4Kwcjo/2QTidjo+WKOhlYn65O5uP0S6P7n0aCR5Hq5d7RglgRNX8h9OnqfVV+eFXXyxdTaZqUW
blGpXoe4OZBfCTBPvZFFVm4m2+9v/6yTu9uOzfguapS+LoguWfvtbG4y5ctDpNVqm8vkFYv2cO3r
c1056StCQH1v2FS4NrqIN5xei5/Q4azoerTZDONKDA0pnbRddlTYzzrTgWsTuy+FxFJPraI49xfa
ZsrcCdx8ZT+G5IhXutSedW0Sp8HCQW8UxC2Yg3hyWi7SPrPaFVrLZzHV9pObGK+2i/hT8xctiSCO
EV3PrieR/aFZxPuhn15cF4MWo9SbTlg341AYZ98Rm2TqJTPgiSA5dN9ObLwBwcq2RUcSazgMasXT
UOy1IYPyW5fx3tW1BIdCb55bMgnPbZFe4a7ElxbA4kMhT6Mr+0e9rQ4w7k2y3Vj3MIje/tz4RXP2
lOGfRidJt1i4odrPSXMnOECsXfxxB9fl/OlVv0WVfnV9QjRCaHyAigvvnZuUSbkllP3wc5Oo4pm8
i7NBlgc+SFRgqpXzW6MXj0rrEjILDfcAIlhtzDiJdvoPPr7w7ks+OphTUx49rU+vFlHiQWx65mvS
a58cBbyPdshuRs8Mke2bv6PYKrYgSa31EpRzHUXxpTlo1eWiZsmH8ku28bQrhvaRnq2G2iq+aFiy
DxTG+XFcepJszPoBPCMuOl/+strY3to17404Qw9karbxFDrmBe6F+BAupD5FdCNKItSdQVRnOhIY
PbkDSaFESvCwI+d140kDPycRDsbUFp8SJQiAM/+lTkd7s7hcvZaJ4ygM5gCDPX4k41fb6ergdmlz
wBO9N2M/e7aMGrsGoIsNws+tWpQYfeynG7RC0CA642hkbX452g6x6AYjUoRYbKVaFt20ZZaeWTYO
eqZ7SHDJFf55KxHM9ktOA1a+xcZBFxGWG6eDWorboou9o0MW5TqawuYhs9N93obGvZeOch3bFLaU
yncJLsjjJB3JiA99EELW7NJr46rjvIHl5UbASH+pTLNfVXmZXfskATqnIlIG+3Lf4cJa+/awGjPv
IZ/t6sY3yDxcOKQePeBHvRyQtmXhXYz0tevaZNMRZ5rQn84mM3q19W3CbOklaxv3GJlQuOaKLmnY
a/2JytsO8tI2r+Sp5ruoGeXRU9GwB/mtgpKeY2AkSfGk9yo86lqdrgbyovO5HD5hAnHo9393ek9j
kbhIyd3c2N0QHeA6MLTzpPdctzdmklWX2DA3zO4GdHhNGYyRP28H13iAPhSd8OenOy8CGpAlOl1G
a2rvRjJB1lOPANlLOvq1fe3s89TQNzR48rUphL8nFAdaN/I4hFruGj10eScL76iSji637OO9MAQg
EZnmh2E5mcWa9khmInNyMIsPfXe0Xf9oeWZ0r5yufjIJVgaXhdIw3U7kAb8WlnuN8fRl8ZuLunDV
wqXYjlO9SHoNPMBkYqV1i6TMKxH0yGFYY2XOLn753sZl8ys1+3ZXaXDZfm5iS+pftthnZh7w9NiE
V0ei3M7Lm5eNbiT5EAnMz3v559O+aq0NmLkTauX8VTrtmvGS/RDX7nH24QspURNsKZKc1iAeEtGN
xXNPt7YfWvtbusk6x4lE1K6sKaA1YJCTizt8+NcP0PogNRp35BJIfFXc5INI4d/MHYY1b152Zfvw
81EJP9SOaD+kbvxgLppXJrdijYISBU2jPzrDcOLw4t9mVnLlMus2JG+29yUUyNno8NGmoXvmiGAd
OlGka3q4cu93VXMgwecLIXRydS0GcJZh2LwsKrly+vVuZAHUTRVr11/YIonKt0oXGn4xmhduwWtt
KmRxNXP3BDVa6MmGWOji/E6EdLIoL4TkeVVtpq+jGF9w3WrHNGm7z+nUTtZwCDv4h3Nv6qcMMMYu
asMHaxH4DhCST6j3Vz0ZIecpnIOycuyHZBLjrWVPh3oiEy2SCCKqPjIuwKBaIoiEe2CoohI/fE8j
I9qY7LrA/lr9zmaoG7hRN3zIML3NCQ/c1VzBqxyE1a1qHglczrZ1VMttp1kI4ge7XE+J9hj/pG9w
WvHWoFQXSqND+KdbifUQudor8zAaWn71ZHZNvhsycVHGnG1KfEmvaV5tOLlOn1EzGMEcTc29EcYQ
aEY73fkVkIAxdrOnsOvGo9tSphRsvIYBNVOxyBaDa78YAw29jvX8zHDNuIxjj8oHBfaMPOSpVxMI
wBqTUkESz1ovzO5AhLi5Ajbu8hrDG4p79auTwztF9XAL2M1d0wfwdgy0NoYS2RVUjP+QhTHdjKgs
PukBmjc/N/BjuzNQc4RqbAbAkeqdxF6DWCgX+1lTSMMiC5c3KpUN4MIBnTVfs83hraOKpqkXQgTL
3SdipsU27RQ53v6xCSWa2uWGkGTQuL1mb2J/7B46wjNalAQ3NDyXIku/uEP6rKyWNsakq41bW4T7
xSHZRJVlnihH7MA1vebk52l0EK7HaWa0dd7Uvc382m9U8pJWLVVaM6qVNI1pmxq+At2RkP3jRZef
m0GUL5KEno2RtC38x3p6jsSyVFj1xfLH7NbOQnNrqMi9eIrNjOJnPlu1qjYddCCUgN64Hsow/sWp
8qVSRrkJi5Jk4bapnyRhh2ufTXeJHX2dZZjchtac3DpdNO6HqX1PFq10mcbyXJu1H0QDqpuoSpfL
DxlPIcWwn8oZb9pY3ZDtmO5Fisgk6uFZNrHurJuBd+8k7037oZuwtxh+Y9+z0+frsUusPWYask5o
glp9eccIaLp3JDkonoOsLHPcO7A067xT4lrq+kbIvLqkLOG6Fh+oLpHKselsLLKGT7aA7YL/ZPUj
VdbqXByshCfVs6kZU8cY75eknsmOIFS1yEFjPYxPSjOhGZkFu707Z+euLQ+q4w01I+DcZgvSKozG
LXGTmN3MCcX78G5qtfvQFn0RFOaAJ5gt7BVLQ4yO6hVN1meU4UTULdweJd6xSwlVdS1s3m+VjhDA
rsd2U/nmL57QMSiaiqil/h0VSwjlLXFvF2vVETXPr2Y0Z+4ogY6FazOyJpzoxp8wv2EW8G/msZLs
3wt+VdWkTWWwm5gTT3cIEA7VEv3VGQUq8EUVzYBsJWNsM7UV6R+cq9jBqu4Vc8hXpFBLN1lLSWtx
hijS9tpoWnigtXczlsMADQZQrcATEViUDacCw1+iS1QD0XghxyS8QvneTv4ovoZTF093NkvYE3Br
uGhptjH7qHkU8RDemdX8wPgi3fT0hm/SaTeS4Q5+NBnuC62wX8U81SRXovnNtLLdln3bnUEcO+sx
ZVDuPxJl4d9qdpQHecjQgN2HgG89gpRWBqQe1+fB6Ju1gargKKmuWHvy6Wr2zFg1QVT6HBpIG93Z
fmxqipJo9lnkxWQGY2qPa9Rk5q7TOrJ7Q+NzzIfpJTWSg5flPUqzdHpJiFCEUhmDkXQ4cfyoM2cL
ZTg4Tcg9DDX7JvlOYpW9ZCINt7hCNaCHfrWq7FbCiusx8NEwwgVV2lc2jegO39DOKjlwjHr3Goc9
9qz+FaE5J6RKfFhACtZ+GFZb28DvkthvhFS6B93T7KDTLe2hpVkDeGZcIHNtC8SwKd9EhfuJ2BG1
g6T61Vpt8mwO9Ki77rnqFupZipg/lXH37Omjtysr4DtVIbIVCmdnr4RHRgiujV3H37yW8T3LAGNn
X+40vZpvZWM9SgqVipf5jTbMaajctRtWzUnY9JH0hK7gMGrPP1DvNoalMJvyMxyd6iSSylnnuohO
42xogSWidCuZ/t8OmQIn2zfLsup9Loh+t679b+m5wZx/5s0YLxDm+KHoWZr9dsLIEWkno3tw3Qqo
7dRD5l6WWQ7WNJSa7nWoNXUXmcnv2XDWxfgUu/QHCzdW97mNxb+bcd8qBZpIz7tdQ2bqxmMStqnD
jP6fV3jXYirqddujcKq6rNwClmBWIxocE3N/a/upvnembOTo7f9yuoZZQmfvMm00jvU8P+OdxaYN
QOYUmc2TYFdYFR5KisqbxG0qPesoPX1ewY9eZ5lDb0f09qqS1lOWFIg30qrhmPLkgdH5EMq49K13
F9XNTz2aHEdL33fuGJ1+bky3Rb7k1+fSbq0b00i+x2HJSy/HRWQzMqOprVMVO/Xdz41Ot9Y0RH3j
hkiWyCLfQs0LL63Qml0YY1JwakvchSh9dgx+OhB/a0PF3atS+conVF2JJ1ebnAc/mbPHMjma2fyu
othk7zbpRTfJXdHE1QZbibzL3OEl6sxkq0TXrRA3zbfUWqembd11gfNpRhx0N8XmeDeEH6PdddhY
2IZ0E10RJ2GQxBXP8tDU259+S1K2TPuWuZ9IWTpxziQrPQJu0DppcYm7UMKuSudT4ji3BUgNbCcF
E+W8O/xUx1wel0yZ6lSaCg4jfikOURWtbJl8OqPj7KsFyjdhLDK7+qOgg7xuVaOzKol6lUG3aedk
J/BCUMLZu4ZkZow6g30uTdqRjluUWzd1hrM1bGubKqPVDCA5U7rJ2zxc0at1r36coZtgnISUnf4V
aewHPSfikMCrgiNRSXJ5Wu4HB2+VbV5ACOmA6dz0BDON89zovWqCR5yNznZGlL/lcJ2dDRrhg8Gb
EMMC+fQ84vtuSY1PtrPZerznlf04tM7zaPjgBXJ2kmLGph+R8QmR4TVyuCc5h4CDo0BuUVFvcVOG
+95ub/CJlw/5BKrP6PGOlNX0QXGOM8NvLlnScMESKsmMRz7IKrbeGUGAiUGgAP0l+cZ9EWKV0WI4
YItmqAv9R2hguMQoQxrNKD4S1d7CaK1/x8iMjTaM7tFgp+siqzdGK9R7STt5xVEsvZOhS5xX490Z
zcPsj5hEpGtdG7f+gIS4a4Qd7is9f/cKPGICSd01eugWrLcM4+7cwJY8IOC1tljykbyJiuKxs8Cv
IHQjiuJpKPFpTX23aPC0MvAzEOCyzb7y2PxIzMQ8xwkoeleyb7ttSFi6E89rz5fZ1tcZdlD9gwYy
6fZY5a9+ERC5ntQPlFzw7UPjWA5T80ny7pcJg+m1dBs3wH5arfIwbHdpK5NLOGd487BE9Fbsbgpo
KDCvumAZKK8szfEZmw7+2Y4l0hHk99IXKy1uDUyI7bgFumWQHmqOyBeB2RE9Yt/FvWh3CV2dgBOA
smz8BJ7XI+puWgKKVdLSUAF0bXSC14tzgNdF8tjSNQq6BkZREJ5klfjHSqro9HNjwwvZMbOLL3Vf
MvdUk3+akto/6ctHspvRxLV6uWU5N4J6fJ7BBBx7NHpsmmb0mFdolrWCaE109OMV8jU+D6ulnsk6
b+9V2XSCV2ytDb2gbhboYazUys/KGz8jiXsm9C1cswzkZ8UFkqO8Z/jjK7khA23GH+TA90msWxQz
MYaNbIOF49T5I9r9Qr+To58enAnFOmK0+CazRU53xz0ZjT8xZnSqtWeO7pZk9WrTUgisRMuiaRid
ebSoXhvBu76UsAsi1zKZUMo3oytOqTSjBztFwNa5udhMKmbkH+rTFhG4DVEbnykVLGhPghrp6OjJ
Ji27le1RAbLKqGvGWeoQ9+Ev5N9cmXXp4iXUvubBJVKMsaqtwQCZtRZ0VNEwrEirccdD+jZb91wP
iq020r+lAhKY5uW41+SKCRTXTWLoYHdwXGnuaxaV4gTz6tBHGCrGhrc1g6N+0xfR8l5cjqMxL14H
UNBrra0j429LU1DMqgk1Ai6h/0fww/+J4SY702TWbhmO7UK7/CuUetImuBJ2CZl5WYsGWdC4ji0g
2D7ohUn9SRb+73+JDpU/wfafZNO2xECof/v0Px6rgn//Y/k///yZv/6P/7gkn20lq9/q//pTu+/q
5r34lv/+Q3/5zfz1f9y79bt6/8sn4FgTNd133+10/ZZdrn7uRfRdLT/5//vN//b981sep/r77398
Vl2plt8WJVX5xz++dfj6+x/01f+F/7z8/n98c3kAf//j4X/9Tyz1oOL//GX//B/f71Lxn82/aZqr
kWJj6w4pVkvO58B19Pc/dO9vnu4Ba9Zt19UhivPqlVWr4r//YTl/o+Y0CHCxXN5x+hIyItksl28Z
f4PybvCaO77Jtx3nj/985Hd/0pn/fMl4Jv7x+b+GwTIW+7dryOAuLHEmVL++pnFf/o0x3qmunOuw
aYi2vtAChXHQGaQ5evqp9apmrfKYqgjdEotZva45PbcpIgMYJP3cwW2uxLQV8xjDKSjXTjG2KySa
X3Q5EkYyTKRzvQDASUE9o4VGN+08exNOcPyV5d4hYSEbyLpC9Olkwtj4Z89n+zH68ZDU+3JpKRHn
tqTwAZ4SLTUSUEHidJkPFUu3Qc1iJVWLY8srcSO/zSNoOX2OYK0y7CSV6dtW6S/e+QTZhcW+cNth
TX0OvC/08HphMbNnTvSgLsIxa5CSTl9oZODq1j2KFK29ouHgtIfqcmWQlieG0QtwuD/mJfzMxQ3G
l+p6Xc7lakxD4+ClYeA4Pr4Ru9aDkjURZbW2qvYI1aytq1ldoLtYbDLiVTBPEmgdAtikVO7oL457
rp8Nsv0d7np/YxeINoryu6qb21a47n4yEonel5ayV8ZvOEvweiOPWc0dy3tX5/qqHMwBzEJ0lk6I
8dVh8x4mkWzglX232SSYT3T7RPU5+pAjlM8jadDP/vgkEv1GRhA4puEr4weZ5mXvoWixoUEZy5tl
pm+NxPNl+XFu6CgllvG76LFWWGwvo1IMmxE6eu2gBxEvUOFgQshn820QDyhmuqCz0ItYdYy+yAn3
Tu3XdNozUpnQJxZm9dFMUFLbcxwN6cpqaG/FvtT55bRX3Ba8lYJXlYBTNorwPbS3jSofVDdXgSmh
vjqJzFZjeOmASuAJ3kJ5ZFP9Heowcvv4qUPrFfBsHeiVBpbMMIqXcqUPKFmkmN+1Bekfk2PDOYUB
Sv8wGcMNWQoFtQOMBvjPsz2/pmmPuRdXd9CX+s2Q/JaJc9aE9SYUp3OmLirKUQIxh4yqAUgwXWlq
QPPpAA5j4YQSH1oXxII1kqLEtC8hc13VW0UQrp3I5+nrOmJmGuddVPPTZPnoc6QHaIeYIeWLGy8Z
zkxM7kvbuyHp/sUeYl5fEsSTwgKGbT3ELQcJdoo4cMP+ABn7d6nHh5GAAq+e/eDnIVtFd221FElA
v2t1umwmrRYOvsr4rUgPcLLptsztX9EYnute3pri3XGmHdjgaWXa8bMTD/fTeCTcEJSBvLp6/YnX
ANKA2ndpjg8KCG78yxqaDU/eaSqbq2qSQ9ef4b1Y8KVwtYeMCKgSnUub6MSbOgfKxgZXFrszSt+X
po2uvNQr45Ve+IeR1rw1PDZeU4lP00teImC1tJiDVp66yPaAuIZvnpUNgVCUwfpJlJjtFKOrqiPh
xWyGxTJ5UBPGjVQ/mLSVAo74ymnfRa9/2lb/OiiuWEph0oGzFQOQu7oyDj7T6zqMliDmI7CKPjA1
TFeFuKfVMGN4otDRsqeU2OzWEdQj+dQFRszWC9rutWhoq0RkH+EBINJozD72+PzRK0j1kqT5s++F
oMERcDhjva566yHJHeJLOmB7SZwRJXVP5TkFptHHdJoN9J0GYmMuQxJrxmfmMTe9hhO106InZwKb
kSfmxxhjL5SpFqg4e2ycHGQsg00UaYZKP7uiPgjLuviINFw0WjwF3l3CcVZrwes6cXztZsxOubT3
foamj9SbEwa1x7Iqn5PBx9Y80j5cwehUuuTpd6Ak2q73Bs4dwrpMEyJq95HUKbxpW9I6uCRWcZRG
chqYfAZMIvC6KZNzbHZPcsyB6ujLbJnLR70lA4ZijE4KroI6IrYD5nUgNXGCxWJsTL1/0r38I3Hi
dq0PUbLRSG5TrXs/eh/R8sXcN16k37yEhvk8jRKiFn9eI4M5GJV9dvEfd8t98JKRGpi3Lag/qM76
fU/P2I4Sm5YvQstkzDn5AMHumaXb0ZueZhPLceBW+KKdPHeDsTA9TmXttpGf00zzsWiGMegHI1rZ
83Nf2/UqFnYZmAhgVgxJn6cZ2sIoRx4prfrE+NVY4q2dn33CqPLxK4yci5WZG0Gwrpj1g9tgn/NL
5z0pfBmEwEs4Or5UnttRmmNKZoiiOoLCq+QX7bH3wZqYkcbWPXiHALEbrS/HY9Gp4JyNpv8cZ0W9
HeUynAvXNuyl2vUebZqzBGiVX1kcM8qpwHi5mAmHwWNlVs4+g1QSRCQdL7lQcK9pZwmvxHqoMbXo
U39Nf+elV+bvglmHHCqHobnGwaWACVvdo/wduDZMknWmWxVKe1vaYMYdt7wPU/HUOwp+it+hgYy8
uwkzDtMZA1Q/Xgllu/kmiZLXRlliIx1PrfEze4LhNp7u2EjUupvKe969m9RwyjUT7SIwsfnk+PVX
GWIP3qjik7ndL2RtBwNPfix7sGmWcIICNvSKwx56p+6QcslvhT7epWR7BpqKMcAPGSSW5tg5BIJ7
afOSyHpc5b77ZujNA2zzX7iN95yQSzrJhhcQBozBpF51aSRXmslSP+TJCsXYDmcQ/OWkcTac+DBO
RN5J04d2R6d5I6KkXLkLMavXOi3QeyNed/nOq0NWH3bOFb1jJHjzWZIszvJGSKy1yexR3059Egec
TjachsglcG56jCYBYo/fruSM4tbPI41Gg24ohlJQJgbwDYGMwEg+c6+lNyBJ0kqRGkcKm5ovwg9a
L7yBR91HvJFs3LLy9mRbpGygiNmyFL0MmnoaedrazNqrjBpqjgmPBfzsk1aFSMh8/b0a/U0TTfu4
nqkKokwPOCqzY4aPAr4O5m4F6iQn6KBKxKpKRz9ozHwnNPREaD/MlVlkECwqjd20A86DbWmVdtqV
BuRWaOYL9VAGfibWNyW4N13vqfna0UXGYZOOUW5ijyWXHa9bIStkH6wIAPLZx/2l1iTQ4SJyuKCJ
Ffh52TLcVZ9lVM4r2yCXSoxYwsNPtDzfbPuH0dM3nS56UAs5R81e3jRzceQqXs6Ze/h1ybYtYvYc
zraBEbr+Rm9bcUpJvjGwnu7x8K9drcjWoWIRw5m7anv/pibzg24I7B5e/Hyg7Ai/1TgcagZoFAT9
wYM4NOX11jPdKrCx/NE2R36Uhqd2RvcJmSpG+9iCIOkIeMCUR8aVm8e/syi5ndvwCff3Z4QI3kUB
UPkjdAsuLpGThDbZzMj1u7F3za0gUYFlrL2nqgbRSq7yNNpfaeJvKlUzoY9pZWILSGv6H8tOyFgh
CnQtzfeF6Rwmeq+rUkCQsMOcVb6w1qWZQ2wonU/QCk9xku/82v7FlU+73G4NIDP1fePlj3VhkyKb
0Pdo9Pai8uKduQNWZBfNIzlCq77CB84wu8LV3j82UXbHAYrLr6mideYhdnQ+aWv4FPDtpmc3PaYW
3HZU9Jc4Gd5rjfvcDurGl425L0ZVrSFoPIJsus7IPVfxvNhnm94KSrv4nWLpVy5oKvSuE8SBQIv7
Fila/ATVEtVdpt5w/VO6ZHJtlWTY+q3BCqDGMWC4kZJaaQ9wxIyU0aQOYwORB50WHQlF5G77Msb9
LAk/+Oln0Ie0ANHLQA7wbSaSOpc4AfLsZiJ3nZzh6Vh9pnNI/aIfnPaL4bWHH50CgCksFiGdmL8a
if7QlOVe9jV0ePqLDATDjMA4M1xpg5XuEAyBffRrnBy4IgSt9LWRtuV+il4RL4UbZBQQlgULhxxm
iCDEUCgK7Z2ehI8hdfy20CX9rjI5QZYqLo2N8i8ta2rCKj/4Y3tMJvJZHD1ZlllK5thaT2PC1RTV
gMv18nvUXdYk8zIqE4RLrH3aY9ms6DQhskEmxRlUMAM9a2QDbbvC/CprEGEDIBlHML/0i7PnWpwV
M2NazSadP5JEfuuJTWkjjDQwqhE8emY9o1AZ5JCzuRnthlyucU2pJFema2YHsbHrfmMToAxGe3mA
gU1aOTs9Y8rU5IkrqyFcmbs59Z1VX8CLsyUKnF7szBw7akLgfI5stJ/mmfPqrG3MaNhN9JD3ekmj
EAFIuKk3Nt4RZpDtHkcoKKS0hKwbMrEWnA5J8kBNb79qDtkANnAjuA1vdTuw6OWQWcCAPExSf5y1
FG6InLxVh3jMdF+0waRzZbTTxuvkrjf0+EjMkJu02cbAmXMTxQNxhtdsSKuHSpn3jpWBmNdKoDZF
Db7VNw9tSRw9kN3AFtUd8CuWhlF9SR+mYQmHpFEtiR2Gdjuyx65rmh6rFENz4KDZCcYcnpeM63UI
U/3sug37vTY4RysfXzU593gkLeYsEcyTcDl9LIbvGIpUQPHtbZns7Em6afdzDJHIATObFkKuKgSx
iE+s27arHsLRXZQR1SEypodJq/KdSmmqTUSBOE5XnQwX+IjVJC4p1M17F3XOTvXiShsC8WDzv0k6
k+1WlSSKfhFrJT1MJdRaliXZcjdhubv0PQkkX1+bV6N6ZV9bMoLMjIhz9qF+Ba79QEIQkTo+pV74
zzcYPJI5+Rp7uVqhgihpxXFjjoNMgBpE1c4aETQXgF9WcUH2bA4MyoVec5DQ/5BsaIcGMpnD3UXu
DT1SSIxVwS7o24bBMhXx3LMwOUaSr5kQ62th22JVdPfY//SIl10OESWNUgqlYi9ttWnEqNFxZgYx
9OjkmLsFANN4MK2FPRuLixqyG2QU4Ba1FSBbb5sEtG1h1qtJy7W155HPGsvxUUs95OxMKhIm9oTY
0q8eoykIsTLR8yVNs5R7lxyZJU/wpSx0fy1ap157evVPSStBFOOnNFe1rZWU00raY7cSurmv2JbX
uj84mybWXiNjW8OdRozOuUUliCT6nOWZaQWRFDCz88xjcfchv7mtWukUP9S0chVGLEmhq37L2eVZ
0DrKMEUUypBAuxetT/YQev/Oq4dtWVTvhUtl6emGIkRIp5Ew3HOtn4KmyDl5Fojn4tRaZ7wvImHY
8QzzIaOkXtsOvfZtZVqkBo3IJGzXeW8nCzwTQ7IYK7sfA3pkt4SawpXBDTus8zGF9VebCNwHd5/Q
MiAP21oJvzpqWMvpfJbXKdP/RulnQa2mZkVpmuHxWivHQQ0TmSR+yfahC82LEe2HFoXsVP8TDY8H
QZ3wXAzE8ElGmFFebaGU6evCdz7yslwXyj4WzSvMvndnCAsCQceMXk+FanSC5zkgKMtrA9m85pNI
F39xLKvKkBgQzPirrA5/UtsgpnS8h5bJGTs3sEDI+GIJ9+W/pkQ/ilXeJCW4E4qYvtX2payfSZYW
tIw2RerevQK7ZT47WMhzwN+jy0smOpxu1sOtUxvHGbOf0VZ/7nxyRUUUDOIp226gAQ5DtJFhBlKe
oTZNLmR9oJZGj/aA2++Nvns1E6AOZi6zwBmPqDf/iL1n0FSh3WuFu6/IAEEPPhMB70dfwjsNsF7X
9VvvpzG7kn8nG+1H4ZRczzz/qyYatm3cfXbSiwJ/jJwVmV3EeaxEBWdQqxJuMkKibSd3eL0yXk9X
9l4eeT18Q2BBgar/CJV/ezmE50mI32zJtzE1bgoO8axp467ReaZbmWVBW+0ZIg3ruaNw0WtnbWn8
lGvbbAUpa5Wsyg/pI1YuYLoVJUTBcA4/fQh7o2PcwPV/mo31YWbXfrbeOKS76zFqf0dA/XquulVl
JPeuWrUmJluanH9J0b+7nAlXkNkoYZrnGKVjIUCWGOJ7BIZnL6+cxOUPWVDkMkDGNBHDGEZUrOZs
fDB7+8eKDE5K4mVW5k1CFyS1jzCxkslbI3CGO+ReI7uhKwRevOqeYbS/idZDfLf8O1WU362lvwvW
d5Cz2CYEglVfeoQ8yWg/QcVaG5psKX6svZdScFULZSLPETqZae2uc+tAu3PVp71P3AqhLQlQmHWb
cjtMmDfxDdaxNE4ezZTQRE7JMh9GbKzuuC1TcrB6HJVsncFQNa9N0u+quW+wppt6kHDDczbUt300
fyQQEappsDdu9YbmCxGnxXi1GK+ZQfS3K+S2mZvnNI++Re981jZuTuIR647QKHL8oPWw3mlUe4hJ
6mpnV8bSYFUPRfcjSoOnC9XfCgHQT0JpAUXsGSj/M4Mgdz0M1LsaTNxQ0JUDZtoGBv45IXA3eOnG
Q4wydN0n+hzAlbObreKQCj6XyVFXNNdKxXCws6Oj4cRRoOQ3euEMPkbdb6ympjmAKJ0OS9QRfdiy
9a8Grm4ztqgoo3NX7QTdyXmcA9r823r5vq2Jb+aTW0PJl7qv9zH6Kq9x/ZWcBF1hpA7VkHY04VGK
GnRVCOX4N/I52Oz1/thzrdHm0kS8x511J8jIXvu0S5GkdO8ajf1VXXVQU8bqo/XSD1d9zf34Lu2N
LCVPUmEjQkpimtd0oMfYeSGeSwSDpx8nDWRxhR5hzXiZ3YtcNqQP1FUtT3ns/8srzI3dALzTpI1c
sUPFfBjKBPQ1AUuJ2xzPF0vwYOyJBzEDTlUTA/UlbEfuwxEGrwFHYmW35ZWp2rtFBl8uWAqkJ55q
3UcubvYGoCl1tJEGomqhTPNH5n0hSE1YCV5IjW2SI0LwnRcozUVpIuqnvu0f9QI6tXRPWW8nm5Lt
fe0WZP9mZJxpMIdQMJ889qytI+Nf5SevsuPNDj0j65a9bSnhY1iApMpaNdAovXvQIJzuwhxNqCdZ
caqq3WkaD1w/WZc5FdGWJgy9RhoX9cC0AJvPl5Y71xwJzFEPzc04o9b1ch3VVCl/04mmUe2gjUL2
CnqwFp9W5dzdSsqgAFTHI8ISj6HMhIrPmcNLnnJoyuOYAdNHypEMOLHbbDqT3hMiitFfCuwClHPh
lUkmWudQntWUoRmYmZ90b46IblNGn8VY4ve45jwB+goBIkIpCNccl8oKRJ6XUy3shN3G24X0iLx6
D9Em4mQESTBq1mGSYnkWIphmb17nunpzEn0JAZNlADyuCRJZbDWbPRjFwFMtwT0DoK02A5FjeV0E
OXTvnKyjFXJuugpj+tHr2VdkKn0zzdq9t5mH1DAMCah3AeTPEOv0ON3IqfzAnHKdOvLaHIc4QNkR
Y4dD8sDK+Uq7ovEAls2AJddRaiEfictV7YphnZCNsJNVwunUTp5L9D0qt/y13Qz1thqA2rgD0TDJ
DIzZae0cM5e/7x0bOUWYU7sBYDQKakUvdhlRqxI3j4ajceDo3DUTXZC4CpRLJVPqg7Oq7KnYIrx7
Fa3Ag9xx7cOwmR8c7Tdpol1plJxLe7oA6MEC0xudwPfyS+/33wmTNbjReyBslOExmRMtFpg1kpRi
Mwj1pjLccIAPV7E9jhsrR6eMyHuT+1SStl4fjaIwgqz5SBL5mI0j4c7YljiV61AJ0WXTZxXrwal+
Q+2rJduKYL1m0bBm+UlPzTtZpgFJA2BBS2tiPpMADccUszUfO48WmD+HvzPaQUbzxEplb33T5ByB
IMMKn9LKbE2W7BiKam5QXgpsQlqENUw1G90hfMmWzcT6oX8WjAUVYhlGX3G1ljXp7sgrQm28j6Pz
mvVimbEhGaQ3s05Kp6dwT1GAIq9MzOLIurIMrX2s0pMhsdSYNSfCJv0JYQWK8KNjRiDa+I6cm2ZY
a/7D+fKthyLnXqogAs4kfUas+AJVDO0bwvJE458sh/n4pIY3Iicyjg7WFSZST9+V29uGab7qwp5z
CcWVQ2bx2u9olaS9e0BsuTJseoSWT2Bhg4xH7+TVQzy8CpVbIipGIGrU3aaIjyWKCGLtKSC81HZW
KjyWCaQQzKCruZ1KoH7aFpG0vxnaH79WH95UY/uuXYs5KN3Y1BA7DyUp8R/E5lQOOl63IMrD+WfU
sEFF+KlKDuidQa+VoK0/zm963dsBmxR6pqj7IsKe2qKQLyTu/gFN3qNZ/YBcZqM3H+JNbdFdwWyE
TqEIT5m8KmS1dVPEe9Uq9zjNwz6J0HvWsAKPDpwlOI9ebA0P6eie0ihBDScjypaMC+X0uC0Rda88
P8HXwlOou4VB3VBMxIYWm8oasqDzjrrZn2ThPmObQKGzagVXqxx7Y82pvAmQ69BtBMJUK9Apk/po
XRx2gKwJocBQrqRhPFjh+JLN8Z/vJzqFCwKfuuahax2GOCT7fJOECwZ2FG/siOMmc3jxuRSXom73
2jxb+1lLv0J2tW0oi3+zSWfbmHUaOh3KVxfI41qajbYrVXt2VfwjO0rhauBVBtu/uk41rawsYsc0
FNTaSNtRJc9s6U916J/qEtBsTyVMtwIIyJAaNz9jnDE1thPITKzi7sfR/JdW+pd8cGjyVOjKGHM5
WbQbokdNqHIjmeVu4nx4nGbnNWo0nTRU9s3OFxtAVaT32WB/QpM7y+Zg23RdCA9J69fGwqZqZyfQ
De8zNLK3Bg/bGYLSaxqLvYNwYA1x3lxx0vjIbP3PqthDOHuxE7O/ubSw87EYA8X2S0XWHO05xopY
OEf2xl0ZU4XJQkQoo1aDgQomE0Wyzsul3WmBHm6xy2bpA+70lsSVjKLOhGIaeTMPQpP/Fp73KQPS
DWkd4rywi9k8mdgjCDuRBdD84bNqNt1Al663qj8dg2WD7FLQwc3Nq7tk/9GMbU/UqateKrnBgXCT
Ufxdmdj0GEFsfdf6iUvzEHs28nzMXx1MeE3ndJosE8Y1cqL3tLV4ltz8bpZL0jDMw080yxz5hd1s
sYHnW5FGT05mBoYVaucpw8jHMXFTLz0vA0LMxoFOEXhWjffcV7dG93fAAfCNokt2dFE+CNcKip7H
15uNbWNYtASzK+Zb95oeyJDJt5WwT/asbq6jFzvq1XxeyjDj22bB3xKbPa0jVXPxFJU0QBj2fSfN
kUz1vwlZkEfdHr2jyhdXPeq2JB/wxHfTySJUBiqE0xzjIep3Q1idp3A+R0L61INDj6zZpj85gcM9
Wl307ZUTCamu9oEzKIhjLQ5su2uCzE0/cTGJBu8k4bnwe6aUOc2QM9lXBLMJymDw9Yw/ewCQZemd
WBlXgz32O0qHA1KIKnD5sIIcZfgG1WZEnF1pOHc9rbGxdsmt1hxnDTIyr54LX8bBWDNabKdxG/mI
ymUU4UPqH0HkEgZGukQNpU2jnWID6k1bsw7GVO7BIGa03G1zX06QYZOKbqyUyPyrybhmCQhcX+Zo
nZKSzAMbHI3f+1GAOBpvsF7EK4DUST2Ky4D2k7Uzm7nG8k6ZTyJydzJtmdK4YjUnu3MnfFKTDZ4w
ZljrbsbUZDDZCqRZfpGz220L9KihlWxmxNSbyHzNPecAfFk+uNqY7VI0esnIdgYuFESYM0OpSF9L
A1N/JCmLLLfNVvihx8Dwvc/a8dC0cq3zfhGISGKf+7xxUdImn46B1q0W9dodWvBRfvNZ4hvgGeSg
Y4Otzgv7QBh6uZq9MT1Gqf1Q2waanNx5S0S7jVxzN82xC/i8Z/ABA3zjWcoPZqnTg7DVzoxKfndu
rglXyXb+3HEOoCEWRWsDHuGOnCXKKav7h0manabqdjLhhNrrxV33CStVTU8p35f886LNUWnwIQDb
YmVtyB03W/lel2VAisWMZLNKyQDNXv1mZJkU9XkIywvrHkwDnR2SjD7HGWuaacTo6vZz3fFRmHPz
zzVwv9ulux/F+NWXal/OpGEqHzFIVKk/m98ZhJTaga4tg15XAFww89dCMqfsHP3HaGi5O414strm
NVsMOGbu7qFBCBo63slIuB1Lm6xPOfMXdbTfkLG2+7Z1vVVTwKrQ7Nyjicp2NrgABVlxtVC7V2Ii
HlDXSFQJUAt0pwnjalBBwDmE/bHrJ5MTSJg+F65+Eo721OT+n6cKdRj8GdSw3b4n+fgTklRuJ2F+
rMV+KChbQrHLY5qt3QRH1+mvMdzE2qBsmnRwsf0IrJeInpXw9CRQLUPgpmkOaSXnzaSxc7pabqxV
XV6HKYngRetEg1a4vfWs+0A06wRxhSAez4zd5/Ujx65f+1UPx/6Iwf/g1S3ZUMx2bPb6VUI+sYJZ
AknJ5jTl4gXqwy/D8VgoRm0v/VGSeZp8173/m3nFv8TWKDya+bnSzG1uT2+ymBiB81QhW2YkzXIT
jCL7jZh/acn8F3bJfMCgaweDNTABtC6VcKyHzBwv48T4U/Y2rdZ8/o6pU72KRsscdRdCatiHMr0N
tJ6RtcLfx0Mb8tBCmTc8vpRN4NFzzl0rDJ7JaTCLn7DBEEkGaxQ4rYfB0PvC9vdVtP28NmVVrwhi
GCe1qknIaerD1HKJlmmljLI9z/MyzAQL2jJEh76ZbefGZDac5LScxuyWS3OfdHlGsemcC8HGYyzB
8b7YDkvilRujWvF0/YujEcP3WdGW2E+GYviqmO27bvzRsgI21KKMbckkDoEFwYkD2hQCTWn9d72q
8elDwsTbdMQ2icNXBQvYpxPUJBmwLFoGnk5S0mTSbW5fmoq4AcGMfG1MqbWq69Ha26AUEdVF7YQR
DNFs5Mj50aiqYPIIXKnkeYgsJDzOs1uJ/diO74Q4seEZ/m8ORJFtGvzIjEDPToIJzLos9X+CU6KH
aXIwGf5GTUJ8YnVvEvjmZktVn8A+GIkr3rMwPYr0xC450Nid7LUnSIREHvRqxzUH1yUurRiY8Z/T
SP6qFP2c8vkXNTRV0rxNdNwQ91e0ZxpGJzqs0FUiFQm4ptEctVdhj5DIq/6Y2lnFoLZQ254CMW31
P5f0io0ymqtTuxqno9Chjps2KSDIgszZ7az15roAG4EHNuOQNbskisB9BU/O9aM69psQCyGdWAhe
GoCgucg2rkVZsaiSYqxQj8TTBZk5PVsMKtPoxzHSz1qoiKZpiXEv7A5hRCMK4HR5TDKqxEliax+S
5mZjQ4Bw8Wf6ZfFtFfPNLaX4tSuJVb786NijrzlnSU7OY3nyNWzZMKz7LrowR6j2CVUHt65LAdrV
9WufmAdLeK9Gwe2rNGfaEspzbCOVfjVafp1KCnanlgD3bZhmzWSTGYE0vBczsJ1L6QuMLk3zjVQt
MHLPPjKGYH9T8V8y2YdEd9vzIi8Lzc8wm7ExESu5muQAIX96K109O/BIe6uM1XSHH0wEVW/dI0dR
bNR0drqZ5zepPXFgRX6zhxpKeCpf9KyaVwOLN/QOapWwy54SJvRpT3utVS2NlzlUa1oirgvuO/Iz
g95hHtDLk196SD3LrNfzp52QzWNZxN2Da2k9z1yRY5iV2jEEArJxxnhRoOvWYV215nD2sD3mDoJ0
2k3qYU7o2GlG9tW5A5uXFf4CTPgnjeZ1Wclgpysl9K2O4huZSv6NBIC4ClrsHL5oaG+zBjDFOCuC
mzriYrF4So+/1M/xkdLCRi3+5VZMgBLhKSwNM6Lsdt41s0MG6SA/ugzjngrT8mwM1q6F90lLAoSk
2FSZw0jOk2tGGDgBGpIMaCqsYzN88AkNV/rwhVhpmekyxZOodlZdUW8KHSMuUh0uRM7IeGa5wpx1
7gZMxuRynJqqU8y5cPUgDbDidJ/MjrctKoLXurI453Xj7VqnfDTt8W6JfI8OkZscMp/wOdHBD6CP
3t4tNgGQoLj5eju6Ybogo+SpHAdrjVdoWM6bJ1mXp4Yz2Fybe6OmAezXgFKLkaZnjTrvJO3m1MCr
muPW3XoOgRzjwFEu0RZMB+KwFu+BxtYWODFt2Ew1cp3SwLVdZlbalBwnH3Bs2RDKnZCI2C6DAizp
CG5ZaSPU/Lpgut7YVBAtIIhSw2aZIXiRtHc8wmpZkt2rjIBmae6jNYoD2q2N6FzCQ8IDu4t66KYl
Qg3JUohYKMHWYji1R3ENxB0dM/qIKv4dgODIK6jSx4KWo0Ze0woCxBW3OnMOOiMp7Y6G2UYYWtTR
0cuU7RRHABQoJCzjhvRWjmd9IQTVD731k9awLLMxY3SlIhQnDHJGeTfS4uIb0+/yJkPcSI6bXfJa
fzOtkKzK6EWhImXDPdTxDDUkfol7/z5Y3slR0aES7A1l/JJb/3wl99Yc36xE3Sc9fgXZcy/gFcC3
dC2McY13zpPpnpfOKeyfaTccpjm7hLp3Tv32rDLzAfgzWa8+/B2mEi71ROvsY5ldxLKlGLzRsdMD
s/hqw1tbd+CEkbK1NbxGfx+H2bvmGEQkETrvMPYly8gZn6j+j0NOX60msDz7Ngq8yqgABzq1JpMW
nr+koWSNCa5RlrxV5h4HN+lpA3tmXIEj6GLtkWP2izlFux4WdQPOH65EiLnDmjnvYm1noQoPVP7v
rZZeJ0s+z2xLy4LAQHLBhJrDts6/0zz8ZE/5R2IR0SuWfHWS6AmBCEMHF2gY0DeLDnYW8bCaPCGN
mI9TrR47pd3qrHoom3HTqIPtxyvP6tYShdzkP3KKc9rv0cZDYr5rtTwDA9sMdbzBSI5Obd5NeKVj
D5Ff0p0MlmMyVpLVYJaPXqSdqNgyS7/klvxM/fzotPFbVc+vgDqJ/yYOtpn+ua7xTXDCI/4hlA7m
M0frdn6ozWkfCX4yqh7IhF3blfVnL0pNzT5NXkpnenojVeWmVerI32aRKghxXysfu4yQghouxfsA
kKLpsnqlW85HmMVvcd1/Zf3ZtMYbgpmvgnovS1Ed19lt/pjn8q+s6icZb8llXeftuDG5KDyCGw/f
qd1Tb0QlFuzoFbf6RqXDDU/TEbrR1fXEbrbInl2UM5i/+rBGdtvdKj3ZYSdrevk41+7J6Yk88NU+
MoBCTOYa4dYalQKY0ivkj00/uRwxW3Qm8xGjy7ossGUtY+kvEAZndsKNGIIGIumqNuIvRTNghU1+
A3+L1pv+xoj/UoU9nfT52TahJuX6vlHDc6obl67R7hrBPBOTD77/5tnqzaMI0/gYIS7cfXXxVXOu
lPmm80AuDyBatSdpdCDoIDCEw81w1VuZlZfJ+f/3MZQP4XFJVp+M5sN+klZ09cvyUqr0NqTja5cl
5yEDYuQDP5i7NQx+EOTuqdW7Z/R4t7ic73kfXhXjis46a4oJFMLfUsi7lok3cA2WIx9FJC6iRCCf
L2Ma55RPyU3FvHk1nNFxnRMmWeR9bYdWe5ZmfItb/yxy72NZRrzBYZihY/webtOCMkvuyRjflpVk
4Rro5hpYhOe8j/Bb2+x1tItjBJzAW3dTf+/+zT4iE7WOeDQ4B4MwVdWl04dHtPVed7HLO0XM45hU
AYikI67cGckOLYcWrKA6iZrJaZZeJpneoD0f/xP1pclrFemXWJfnRnofLT0zr+4OusUzxQgyvmhP
+bx1dTPwpLoty9zyT5ltvTABupvDcG+QhuSj/Yh75NZ0xYXBzc0Ryc1BMRYN0Wvdvo/JeNYdVsY+
eWOCfJGDe87z5DX1LYLjfnMpz3FcXgZXXUpT++8P67r4ZmrWHRSbU2jn5f34y/Uc6FNyKiOJs8vL
ozkwZhrzy1g947w8mekX9rBjr/xz3CWvZhqdi441mpey+QtSx9lU9XkmRQRkw5s9yXMfa8/LB7D8
/sLsHrVh55gR7Cv9AR3aHUongWfJaQFoQ316N1X0Ojlojdn1PjHpftj2+LzcUfrgPU7uj6rzC0Xz
rS+sJ0tFNw+FvV8UnAKHG8U/xQeqI26+RNQQBQH+h9PV9ORNeLyWdM7L93Ir3DftF+BptMvJq0rm
N9yH1+WPmq3kQvnWGc3OVPOVkeNLKuUzCt2P/zYd4X4YxsgRlsFwDAQkfE5c96NJ4pvdbmxTXpSs
vssW7okRPrejsYu9YaPTuab7p/xxI7TmM54l2uRfMx22hZ9zco9flrdQZPne60+DHn4sTxTX6qxL
/W0Yxhfc5+mQng2dcLfm2pnD89ha325SXjhJPTMbuNlzupehgC1UXf67bcRwX+7eyJ4OJeyhmQ4u
udIPft0/o+l5n+fhlmriDUnNR2VzenWLS5NbH8g1dlNqb7kz2SCyVarCu1EVl4IHdNknR6vYLf6E
jCeyTsdr2A8veBVvdvQ3sCRbZvRqaTaIMOxF/BiDz/+21zKLXqToYSoWj3plkeMU7aYm+7bM7LN9
8+b2CnY8De9t8U+FwxMH3Wdr0q5x2J2TkVe35Z3h4XkR9zHY6mqFPBuauzc8CyN9lzxymuWcWvUk
/eGON/NGuVsxaIun/44hy9v672P0UYN2WJJMlGUoa3l9vuGHr/+9T8c4asNLNIvfuIluNBA4530u
f4XTl++swFfLOfpedGaI/zwRNZda2bsRi7eCmwI7KGpvee9liGFkfhiRzBB70nV3yzWeWtatZhkw
And/njzxUMRbBO57r+UnXM5YpoNqpNwKvu1WdyuK78vmZRhLlbUx2/K7r7sfvYiCgfrJoaJieBS9
moW9laygkandOpLaOrRmFc5hGylx0e2Kaia/jiRKTTw2ltzYfrRPy2SXciZ1qdhTW54yV3tBWHEo
3OqB8cfJ1qFzauDv44JTZXZddvbWL/Z+2v3ExGRVibsbnegVHkW30nTrKbRBHtbFo+kuTpa+uozl
O1DuX5lrnJMMlsX6ZbLKb7udXgvT/evG4anIn/Ao35ww3gnHxH4+vKQGq23mwYzxdlalr2BhDHp0
s5VYOeWS2OxCfs7fJUGUczMdlDceE5SVheS8vFoinnS/3ns4jCdaXqTyeYiL0LHsAECfhoIfQOrk
lipobGNNqJtC0qFYG6x16cvTnJcXM1paX87JTfXHqOpPKj20rtyhz34SDPKmfBtf2CSSMw3UfR7K
E2af0+QOm55GdS8eEtGvwthGoPpbw98UyXDL7TeeenChydbiPAyKdeU50cmK4GtFA0LocdMCVBCG
OsSIZQRtSeVQ+6nXKEpOY1Ws6dSdF/nfgtsHF/eihwyQjSXvBe9iHrTNHzNUjpcY7COOMGg9haiO
TSII0EpWNQrPKpu2y3VeTpTIEoUfndC1HytcM8bgsxyooz1k54gzh2eTKNbdHJncZKqumA2QvAJT
sVnTGIQP9RPsuIuHCBF/GMOcGVVnzDuJGCWgk1hbDkKi4SfiLjJSViQ53Kt+eDY1ZJFpF9R+twia
4bya6TXKWW54uey9UKBLEk4GLYSTelKPQ1zuZwuF2JP7kUTkbHn1Q0Nra3L8PxI0jja9CcfWd4oG
WoUhyfd/3dNycI3SiAG0tzNYzgbxl3akgqCu7N1d6j8aNtIcJz70U7bOGVKi06CVEGKcjrdGV220
5V3y9QajcwpCr0kbJqFTMAxXCSgBRsaeSfBaBzm2vJkIn0hm3OGeoRryEGoyfaXWdws6Y9G45beu
nW02GFsS6A6JSmhhwxPTyn2sz48DzduwA1e66ibczcrYGK617RWWoIzOTBh3QWvkQfdUp8PGIye1
DRUAwfIBrB8PrrauJw/2RdiuwfuZ2XCoCvGEQYxcs+JgNvGuU02g22o/xvmBBOuNpbYS9R4K003W
GMwVkR3ii5/TbWvgyzFxKpXrkUA/anCbB2jgTwp7du5fE4krSgHuU6Suvgn+5OZZj8sV4L+W8/Ly
KRSkjlt5G/RqDhjp3Tx3etWybuf64tH3w021mYR/TGZ7S1choSGa3IYRgB7JhVT9H2W8lGrxtcis
jzS8pUiZhso6utJ4m55Cd7qg7P8IaZhTZdWDQGezdQVoQe7ASj223fSCluzkRcVlQF1Qt4IR4FsO
ByVNu91yF+RCe2S9SbEI/cC2R7pjoMux1BWBPENqSp5lMuos1hFyPbm/fY6cQLmPy4bXo8EEvbiJ
JvfQLqSgUduOQBla7sK4vXlZzUQHskiks/ONxpPokrPrZeu0mX5C4TNYVkedd111a8t0GTEXVOh2
0GJt0SlXCQnY4/BYOLBNOD4zMLnomcYSKB7tekSkaq3R4K5KVicTx85yNG0iGhzzFrfx42jb2+Xb
7OiBnXqAKtnWsL8ULqtpEW0VDgw1WjgIKRT4/0mh78KWj7Ect0NvbZx0D8jlkYpklZ7GcFOoiC5H
fJ6IkkFHvWnraRsquJctq+mgbfBJLS4h3MMQaqGFFypYvjxzsTU33PFonpmlDywGi+TcUd+LpkIh
ZMQXvFs2winJrmooLqqzTlNlbyc/fiABT4uvdASOyiLuALFghYS/884gEvepXj+B0noyvHZHauIu
jZ9rJrhmtLWjLQ66TU/DSutuoIRnyO+OTfKmRg7O3HzUZnSt2fYIdM5IkkTgSQdNUQd7h1KLdi3f
6upHojbXjjuuNYelNcFzObQBzqlgQBhqpm3QQckIp2FjFs7JYTA+FhbdrXFjkIbmCRSsU3xKuQT+
iGda7Z3RDrDtvdYpHxwHvASJ/FLNUbEEqe8+M9J/A4pzlBZKke/lpvKahR9nIMw4eFPxqGJAT8hR
UuX8LWxJwXBuMjairPc6gZT/VYdW/xxRyhAR/97U4qFfcN/6kkh1sADy1jZ9POOkuFVKikSwVCzx
X4WtPXbk6yJve8ydct+QpGpebAMHsmXvTY0VRg5bfrDYjz2mNZYdNyR0fR4PbuHvisY7LJep/5ee
c22jwWBk0ObjNfzvkvNanTUHIUM5eotQWDkpGMHyJpWGgDj1d3QcVtwrn5KvmaTjTFgqaVBvw9bA
EsUhgP9NE/CZI7iSCtpYuHUq7zBp0dWwzKdOWFsClq6JBqwFzyEdsjVrKxMEa5tYcCnCuzajxCAw
ZIqrPSqZlVwseVLQSqjhOar9IId9nOypIbkmzcN/a7XgQ/fFDk4ZgyB7S2t+I2M0tMTecDVUShxz
VRKIERPc8z/qznPHbmTtzrfiCzBlhmIV+bd3Dp1b8Q+hVmDOmVfvp7bk76hbcyQfwIBtYCBMj0Yi
92axwvuu9SxG8ADbR8mDJph6HgqluN+KwTxlnbpJi+yY2sPbijZcuhQHZcMs5KiMSZ/l2j5FoEv8
0d8FFmIbq8UuMJHT695ktMbRKp7beNhG7fK1IyDYHwkon+P3eiSnbaw9NrdLlV2PlXEvffZaAiEt
ypW2ic7LwKAr7A296z2KsSsrrE52+8EeaVUN7a6wqnUePSvOdZAHMjNYJx5xV8UW/fSOStJaP+ha
Id2I8/1MjngGUKTepdlTWFk0FcWtaTgbBFCAHL1dVQ43hcqOsAb2zQyyPsarFnhr2ACnuiZ6pK9u
g+y6Kcu7OC4OSZwf83B6rFIOPUD1pxiWHpQW9LLn3IjXicOVENks+DozpBUmj2FCk2ov8M8KWqZs
ub3l3M3lYV4wfrcZqi1Ri6+ZnTg7FEZlUtVIVUxsUXdNUgxo+YO3gKvQ7VdOuz0FkxdtHJLnWJk5
CQRo6i9YjJ+Ejhf0if9ig/yf5IfoC/36F/+88P9VNIgJzuN//C8Ax+9okG/zl+hbln1rX9BB9B/6
QQdx5Rta/iYgD8+WUpoW9I0fdBDB75i2A4bPFcpzL1yOn3QQw3kD/9p2AI0q20EG5PH3/cSDGJb5
xoYF42vzCk4r0IX/CR9EAZD5QRHRGBMPOIhLiZxrCanAUzj69798foiLsAVg8t+TJmabZCK6RqyH
UMUTz4hYegx8CfZcspIc7Bk/RskLyMyvSBL9kX+7pqDxJoRNkgPOiJfXDBoLhtTg0XbwPouOshji
DyT18cGiD31Xk0Ng5hjfMHJ5hJ1WV2PhDOvUwufRteXXpbGdtW8S79uQcv3Lw/s5fn+9Nfe3O1OO
qVxfuZ4H00Xo3//l25ghXtJmyhBIhR5M8xwjkeF672aVLts/X4kH+Oo70NdwLJSupusoEwDNr1dS
dR31nc22iRSx5oRy97vfTvUeAeccPOny/ATJ4S+fDqbMq2v6wvIdwdjyLB638/Ka5ZT6zRA5NDN7
mGaCQNtG2yo9ye5dBXRk462P3LE1hL3+86e1fv+4vrAZrJ7kkUvLM19eurEWYOoEHNNHTfu1AruI
Z8c/Swd1PdkVzSEMw08kkYaPIc1nsNkWedn1Q+jny9ZW9MhNjGmoCNgdNXjNsKU8ohrJ/jYy9bf+
8m3wQRsIx4bCTg/fffU29HVXQXV1NMsDfREbIJhYI52iBDGhY7gt3UxxkxfJipb8znF8e+OGdfuX
L8v/fRT6WgaECw1gvHJfP6ciKOBtjIjyJh/8VESr23QrfxcSWuHTfQNxXK1DmxBXSuKnuSPSxx3V
VeKHyL7LCtxDKKlJ0y7CNXukQU/5OUoOqda/ymgtF/+h6oEe2JjK1lADCurwR1nn1VMjwTbY/iig
0yaPlvKKndmNX9tCNPemlhSX5OAdkFSMLFrmnUEe0sGeus+Szoun4vpgK69eSRT1eYGPwodwChyZ
vtuYfhOVQ824N9yDSt5PKGSuxn4eSBYGl4H303pQkfvVY8apqRmuHCAYnCGrbOMOiq9dNvc1ZpjE
QYMJuRAP9oAs1blLYUwAD6LPNi8ZNQXaepkXhvvSoAo7YyHry0Nuw7cNcvJDKtP8btLaZvpQq3zo
uu0YR+/MAPwtCqj9KF1sn8yIG1Hbz6BLJ6gbKDOxp7gH2rbIwRGbFi3xauCvwx1p0x6wFTJYIPT8
5V119RvxaihK5TDJK4keWshXEwQtfdtuJEMxovS5c9yMQFw7O4cVApKBhvXFND8tIQyZpNrPTrEG
RA54ZCG6bSie+gTPtp8jxFl899lCtEbo92Oig6WByl0VNWVHidOfba3CEtZYj9m6wLh+47CjuaoM
fFO9nabHQnedLR69dNHv0ba+Mno3RIhe57e2Vvqp+MHyMfqGBcA2KwKDlpIlDQLHfV/NigcsovsU
RNWmI6ZI2LR2fC9HdT9cy5yO/5/nmX+Y4aQi78PRGC6+s1cznBuUgYoyzeiQE9L15mNc4t2k+Eyo
pn7uIQZ3mKZU2Jsf6LR/v6j900tLt5n3lWXZM71XS0dVyHBwQy7tNlV/TALxtpaYi3vfo7pmgI5Y
wLt2FekgdRBtCWIJCSYWtyCBjA2wO0oZ9vQUu0iX//yV/MPMq4eR0jgx5hKhf/+XJa1dfClJ56GX
J1Yif6yVKw9hRXqybRczG8lTEd//+Yq/byn0psQyoTTrr8J6tbxbyqwSIzBxxMxXbT131CcIQVVk
/wZ148GPbIPjn68oX3/5tumACfNMcoksltTXl5zGBiu0GsUVMfTY4t3c3sb2PZZNl1ZQznNXHUEM
g3MCmNrdmcnydXJrecQNMV+DmQHA6e4X0lPC5J1ttNqejt4jkYifJx+11igGlP3GNtZ2FOWn3a6J
G5xeNceuDFlRif/uNKSQXmOz3bVQpydPGTesrmLbJGK68sGN10PeXoOqiGAQu+WO/OT+miQasRF+
C8iCQCQy0Zxp1bojh9lkqU7IQSguCJN6XvoYRXHqYkqvkquBY+66kPG4sSprp0a4FN2oop0MlDgs
TnMyUF0DmS1uQ9mYG4rxPhQBUiIQwZ5p1k2kLondnx/Bbyu8bbLAs511BEx9YdqvVngz4mDhzGiE
Go8Cn3A40A1DRWU+JhaYfCkoOVZziOb5Kc1RUBC9GlFdO1xeywqP+V65DeMlyh5zd2jRtUTHbgmC
zZ9v87KD+3Va5TaVME12QIJJ3rVfvaZk7jgp4dNIrvMoQ3mTtPd9SyAjtbhx5zqTtTZQGm7DMIPK
NC/XIhypcBDst6FUhvjYHSiej8Ozmv0VyVNbq8n9Rz8nkWGQFXpdm/IRqGsrqtWZ3b52b1N67KBt
LHIOTrF7bkf80Y1V+beNTbPfk85dgwRvWztQy5gNyJED8FxE6Bs5YxbTYcyjBtgnCXKjKYEpz/M1
ITnL4UIlJ9fR+MuMYb2eRW0ThJ1UvvKFf5lIX04ZcSjdAfmodwUQOlz3YvgUTAvAnt7eja5VMM7i
ES8BGK7IpQ6hwVRyAYIpItZy16WZDzrjrR/CN1OD7l22nVobA/VR1BM/z5z/+xOvbbmm7zrQwjUl
k/PUy7vNwhRZXoNhvwuxFGRhhuSGdEov7K/nSXNf/Akve7d4uv7z3LRs7NO5uiTBwJ+wW9AzsfyC
DdD6y27y9TGHG2PfwrwmHVeyGXk1D7bO0k2Us4wrZ4bB7NMjMFqY/62TrOuQrcmfR/brWVdfDYC5
UHiBbY6ar/YLIzeAuioKUdAnCWLTyr9C50WFMPkyj8mNbEXxt1f+90tyMQ4vtuLa7FVfvfJsf3MB
pJ4lzw7m61Khv27paMfLd0RSzaEdA2MdZe2WuAPIU+48Hp2erabrkB3kxis6vWgXZgPDswqMjUhl
+5fvxP5tJFuKg/JlSTA5e78+ZYWhWhxZVDgKx9i/4f/82pa0MRSnsuP8ru/IHo8yeQRPfteqDAyW
RJ3PRB5fNf0s7nMq/1XE6SMqguxjZj6zF5+ZG2q1MrPYJkaJMzOBf+oopxCPQudUm7iVdB5ke1Co
wlmVuq1pTHd/ftaXfcyLWczyPKoJyuGUoreHeuj9sqinipC0dIlDwt9NlHj9FGDDat5m84IxNOIV
DXwgQ46vXRtDQ6J1IKt9Nq7xxOmBb3d/mVZ/G+pMq6YrYV2y9cKg8+odNGO39BqSVcA9NERpYYRv
LRpm3lJJ5Jb++c8f//fHajuukIJ9A5M5BsRXH58xPaY1kWqr0WFTZ4ZtRpfTqbFR4m6cXaKcREp0
XMyppRjjtxUCcJ2FdA20X8AOU+a6SitC0sflQUq0Z5jVzA2RX+iAraU5BioIiUhu7m1isoAEFfHG
64z6QGInm3BvAIzkLnsHnmacmvIvX+VvL5WtN5AudGnFa+W9LkGkJCCaaLbQi9f+tBJDcsjbbltA
7WZl8r0dpqnhL3vXC0X4xXCyXSFARLFzZuPKDbwcTvTrMsTZTrxqK6ehwF3lwBMsF3Mw3RJDEORg
Kis/ZBMmE0lFkkNjc67S1Nn5yM7XEh4PJDoZ7dulG/bGeOoVxdapbo5maacbaJXFtsGHtDUC+y6i
NBwRjoofqZ6JdGxy8siLrSw6YjIWyuV+7UzMCx8tUQ3nTgzPw9wQKYz0dSL8sPRl9o2jSGVk3bUt
CLhuwoHDbBnR5UuZ12FkossvrPTIQXTcGGVBQl9QrE2/zVc0G/xdFyOz9booup5NkkNDl3ZvqfJD
7habrqAunmCtJ9JSruOZNmQ7pvl947n5vmhDus9BgiuoN6dNLaGuKBo359KB0B52HUXk3NzzAKNt
AdYFc75Xvx3snVVS6qbgRNBGTO6yTw9psYhwQW+znj3VXcO6gIpuRetU5O5fHq8reHwvH69i1fUJ
NjaZN8zXrwuJN35lqS4FgU6cZqJom9PHIXTFG5rrvKnuhtw+OHlEcprh7ULRhLema68T+450WwPJ
L0JbgKfZTXc2FC69kTC0hyHODp7Le1AW3UPRGtm+8+YROz8lZiMt0Ha0SI7KoD3ij7npbFGdoqLv
2Knmm8It02Pb7i1rpOwdBOOuMCJsWfQkyEpm0oKQuBZZ4pBN82zXTnkbs8upA0BJ9ogWYnHq7AGL
zEMukJ/W5pfWzXAsBsSMDz5ZedPyYfKxvF+mnf+ouv0+TuPq29f48/8PVGuLze2/L13jvw4/V33z
+UXlWv+ZH5VryxRvTNBLrDSUozzfZJb9ybU2nTcuIGk4+q5nmspjr/Gzcm29YV/I/wzok1MAg42x
+LNwbb3hZMbqwHmTsidznPWf1K2Z7l+Mam6LY62+OHpJlmvx+syXp7Fbx41BiNGy3ASOuxoI4vHb
aEbvaGxIytbhG369lQ1dkSmjSTR51aNXLieq3GvSda8Wx93XhibxAn8EeNH72ZkKT3c1xAZYbLa2
wVgQVSb3ssy+FyQmaf/vKiIrx5gCei+kSiQA+qiGZOdSYUi2sk0VjyY+NmyONTtoL3NxDrlUXHMO
dlwqxrLNlrAFVGlhNqqNFKoEaWbNYwpkMa3yT94E0ZQoHVRhFjxtA2xr7h3a5ll58mYGeLKqTBti
7LAuwi+JRFufElgEBB8LdQUQM6UZjMypEw+NZ987Gl1XuDh+FIXUfq1vVd9MXUsUrXRqXVyamDJb
T2ffUqHji3RDfE3wGyAuQKHBQCp2QyHuXbf6IPF7Fj5MyCDs1xBOr7qxuNN/F1WhlWqzTwPZgbX5
2VO85aglUt+6DwNqPfNzh2bUIEigQPFcxDdaYF2ot3N8CJ2HztDWSuBW3QOwb3eWq8lWBwI7Vhwx
9pN4cNzgmEX72lpOdhQ80awtdjU5NMC66aDNEY3LaaI8CiW8FoD7ebpef8d5flcGYp/TlEuQiy1N
D+5mxpVS2NB6OW+SeIUCaIDpNlYf2/65NJ9TvinDys6EPIOSeCDlfSVzJP7Og75zs7JWlgArCKBD
GPiwkvJu6FAezg/6P+lHo//gzAE7NMXOarONvhkDiAJuvQPej68yce/9AKoL//9ghIjRDIKP6O/V
3XVENcFI6mqV80wXE9YfztPO8ADpauoIQktuUtpiP4/D2rXkKjYxrD0U5YPJ2NMPgvACyKLwRkrG
gTJWxZMfU6s2kbZMapWk0Um/J7bo1xwZtgqzsmA4jCBpldjFyj3oEdPjgoyQAlBp7XowdKbc1hXb
WaC9ErWd62u4ob58U7g7w0YJNGQbyS4fzhBhW+6KZJYVKub1SNo71B28pFrVQ+Yx3pXhISS/N0/d
fTmhVLXkTZGgKO6LT2LJzy1t7H5STxbF97mG06VOuIsuYyKtw205MiZQ1NReutHjY84hU1MXYcQj
w94gvtw0TbBzPGKEMp58xB9RsDbn0jiaBhRXyAeFK7cSzbYOkwR6Nl0zcdE2B8YYTBuMv5hR1E1H
7ozb8FT4lGRJ4cz3tvqp6Scao/iobWdHstzVyORRt8RZ2MO1fmMq6C/6OfgU/xQx6fjTBiaNwVOH
zJDb0srPfmRspiraziEBbhbvdnjV83L0th4/CKG84nFI+G9wEhqzv5Yy37Cb/pL7jPe4ggfD1pp3
vy55tXFh67HDj+WSA8t9cOaeyNHoFMRyG4W4PQbUjPm5abxDIuptbJk6LRf8TSxVycsAhDFFh7nq
m/yqT+EvAyH7FPRVv5ty95y0e2bmr4QlR1T4nTP99nOYlzNqyhL3dBCtMx+wQMGf8Ru8YaWKoICh
GnNstja5jOgwWM3Wigh2rFrwewRgbS0bntoIv7+JqD37c1msh5D4KgKpDAvQZFBVKFyCjj2au7fr
8RkJzaGyMnl1+X/RDLQ09uMnfOF3kUA9YfrAbuwRE4ftP4DRg3Hr1e7aHe10BZyZ7Dhk/syGK3fG
RKlZ8yR6wWSfEkK2lbgrmJuQPNn7QQdsWBxn1pUiVqbK6FVNeXiFohnkCR/ycp+di0TF5FTY4z3K
oLBYuUQxNhTf0bPg+jbsa3bO8d5wo+sQrInj5XiUo5byFuyQxCVcpuz7oyerauuDefA6iie2Efvr
uIk+1kOxS4CnbQkf+Q6QXOcK2wbZNMZ+yFCY4Pl+zlrT2fYhDAYWonVCACtfDTMwJugv1tJJginD
9/PAmha2RIW7KCJir6g3nDvW3uRvq1rTv8S+7Ao8HvG2TLMveWMdcgeXVxF8qLJwU+bT2YxJKcOA
Z5mnoE4Ohr385YR+WaX/tTf9uYrbtL+FpIrDtuDl0cOIXV+EYix3REVu55oplxlEIfZUzCZLYd9n
4GnV8ByKYc25bGNgufhl13P341q/9nytV/vjH/fAgdJ3bBI5TMqXL+8BLRP1yT4tSU8Qu9yvjlUw
EnRVedsoYh3R6zHrVxZ8Tquveh2dWrVdIIii5bKv4cN9Fq71Lsnte6Oif0bOw7sxu69GCko05uBu
teQc+uU3e2dIEy+2hX6HroSeoHltVVLf4cBSErBhDqEn7sVOX0QDac38iT4YmFeYwUADgLAwKYaL
cRy04n7ONnoq118UwecbqxU7sByP6QALXDznFZHp77vMO0TMthPjXgh5KMACYiZTQ/FpZFaSLQMc
P6FgoqtsMrLA4hQWPPEhBA0TUDoG4xPLvZfleKODjUpBeXifY8uiExpgvH1oqJpIePXWqNESmkvw
PC7DuumfKfUhhOXA1iMZJ7Z8tB6oPV/p5UDzZPTfIaQL5Sg7j54Fb7Z89L30uwE047JVsIxj4xzD
SYIBHm9qRm2GuyRFamxM+6mRE5Y+/6YA/9rkKLTS7PuI5dd39h3JPQmiVOJ/2EkcLMucrzvO9j2U
xKseXZY/qydANfd4yr/HxBtsNC02RE4nluWd3khR/eersdk1shrH5Iy5wUZ/lIbdQZ9tAuZv/U25
7P+UOA5eS0WpeG7z/Ny1UK5gQgvxXC7ujeFRSobi9OcR+7JE8GO8SktSpbV4YRm4L8frMEUtmIi5
3CHhQewDebIcoooJPcPMfIyM+PnP17P+aauNRMHnWh5N8Uuv8pdyEyLOoQ8Xr9zJUt30cXuKaEXQ
R9+PRvoJUcm9WCy2oc06ZNnQi1+BaHNmOWOXfP/ne3FflvR+fHhlIp1Qut8gvFe1H598jYKCbbmb
hgLwMtsNdqJzWt2NHUTmPqS5x5LosUuQRyN+zCLjSDSp6XTvhJ2fE9tlQfMgGNy3dC+R1PnlV4Rn
K3fcjpUmbTIqI+DUzk6OwLmqdBeMxyqDnCWR31nihtSUo+e87yyxp7FyqDtQq7bnXIdo1XntALTD
o5PblrXBnok1jsAxMsxBWyERXzXyktXBKxOeGCPOVD9in9Ob55DaxsBH0LvtP39lzj99ZbqRzJFN
6e6Y83K8FJZtR4NZlju9rcsCXu2o2sOhvRJ+eDVU7xnWY/a8oCLVL2Kw68MPMLTXQlPr8AR0zTMv
uvLzDba3y3YOCsFez8uI6NigssuzxXbyVkOS79oPtSCshor3FC03YwvAMBRrfeHUUDc2aDTDE7u5
G9Z/+ZD/9FL4HGwotqNxoR3w8kOOfmimomch4SHoE8c0i50cerzr+rDD9DYW26yCMsDRrIckFfn5
yXafvZRDSvSMErm4S6xuPQYPZpOdM3bQ6cSrzuC6PMLqQT8yfYLKNMIqP5AEdoTBvjVdqlAtmHlk
FvxuRC4a3J+/PMJLW+r1MulLh5QplilLWfrT//IGOhUskNGdGPVJ9gzCyp0F1RcTNW8PLzGShxLB
MPvZK8VBi/mPsdVDwEutW5FzLkiY0lGDB+D7bMCbYGzPNQNUT9qwdhiYCidVvv3zI3klYfjxqvJA
XF2spVb7uiXuZLVDmxtWpj4B6SMe7Ri8huhxc7HX09aMRjEFFbFY64DUg0qlZ42rN3114ygm0exm
FDHhJkQZYmuKeQF7ee3dNtNz/FYb6GO+7IWTViJYgNqHPkUoytuvz/KY06+DJnqHbZp8SmyaOnGn
2AA322SSA+ji7KnwIQfgSAcCLo3VtmOQhhb/DcUKUZxkYfytEmfrncRvj1EhSKVszTRz+f1fHmMm
lyB1CNTY6W9BHwf0ttzmKbjY2PXsQZEO0gYb+nEkaKDBHgLVWJ9I9Uc0y49j8lbPVh5UNjHIVc+Z
7c8PzdaTwe+3iFfdcTy2ZVp5+OtIcyuc63Dqy101yctxhFVhxTeuj4X6DFrxLeoz0Dxl5yTGRqT3
aZw5Hfc0TZ9qHuGlHOAyDbJiG/NKH5ImEkAkAUp/vtfLqH95r7RyTbS8VModk+rmy3td+OZIROat
cKLT0jkPtNQ3OU9UNRy0WOxHEixsE2KO2lm0/ZwOfA3qQj3F4oAWcBFJ/v3L4vwPi6XuL9MKwRRt
KirQL29qrO3AmBs6/HrPxQdHmE25RhmbmvJBGOYbfd5mtOqJ87xU5Z2sw5Mxyr8IiMTvY+3lfbya
9Ws7nPLaYqFMl2a15BguPJJUc4ow3gPPk04uaTFf9A6ykOzheIx6IHoGKvL7dGjx2cFq8MVKj7c+
Jk98+QTjLm9JkZC38XTNWD6q9nkaR6wux0o+63cJo9lVXbW7Gt7s3KobIDsb/QrqDzswpAc2DL3b
v7sMhP+oMktoIf+8Lsv+Kij+97mF+kL/r+mO9bj598Xbh29xUf63t0X8tXxRvtV/6mf59g3texeB
MEIoB9Wlz/P/Ub41vDesJBRP0YDaNOyIBvyv+q0036BURgls0Vcz0STz9/2s3wr/jW9pNRrrj0Qg
6Tr/Sf321bvrCmTEdPA4bHFvOt3yVfPYHJxYyioaV1lffncjh/i1qbsXDn5l9iBup872YxUs4fXl
l8lE5FY1bn5D5Q624BCxK6tK952RxExNS/+3adDV+8h/zS36/mjBOXxttOFsCLSvXmMipj2QP/iU
omroDnJgt5k75s2oHId8I5AvgAmD3eXHyy+l7QApKYwP9UhOBQIz465h0iFpUFcTdMKe3RTOW5tz
8JXfwUSa7KVaJ2a6fMr99L6iUJxrMCLPLX9qZihuUeYDCBvULa7lL+HYmodStrB8pGkeEAWOa6fL
TcLLjJRagTvuIPXGzy0x1OQnQgUSGWcQN+xu4SGPg23c2AjUCHEEGNiJIjqEgkQDGnb5O9s37mTD
BACd1pI7NQNjYqWF3NdU6Xyo8vSE8cU4eCn9GzeKUjycznJFjO6nNJHxc1JRnyxq5ZzUyH37ofvO
ggP9mOPDwhQ7kC5NKUsn2r7L/Qm2bDQqgiZB8aASAk6txhhVjJ8/jXPMTrx3TOAjl8+m6QDKHX2P
dbD/BMB9upPywxzH4VH0DZX+Xvr3PhKEq2mAHFnHxjPi5SvcHP03pGLfTdH1bz2rYts6dodIkatd
edZdqPxqFYL7uYpqJ38Chpk+zRt/CEIgUKm4ch1AirB2Y0Q7Tb4Nx/ABzNzIQ8AI7Xfz3orsaC87
+ZR5w4IyFV4ex+bsbJd4SSBtebvW7zaDH0a7PjKnuy5HAwDulS5kXd7mjusA54+tJ8dosmNmQ8G9
/EiKbX4LgNq/tQdpv5VJHdyC0/nxU28a8zky86Oaw2MyV7kOBPNJDZl6Y1ev4Ta5PNm4ik6pXRwW
kPnSW5a3Sbs0OyGKel2OJz/1lpsU7Nrt5Rd0D0hgjPh6akMKFRUzyRHTcrUHgcME38cOWSfj/CFb
UBMbFZBr1yWnk+3pk5jG9r4U83SXJpi6XAyi5TJ51yLI2tu5HYkii9H6EinzrbM8IFNdRsKJSnOk
Vm0Qf7WqHKye6X1Ap5pvmgCD54whjALNY4qT/LYipMZpzjCX2jOPZzkao7MnCK2AiEUQEoihAmIJ
ULKVwdHmarD6nEdmu8apC5yn3kuWfaMo82/HWt4XIpm/zPyLkYzLR4MKKd4lRMptZz40gqkkFu6A
/Y1mYhhPZUpXx2y3UEPVPSE0Uqb1Pbkz6l7m5CBWbnEd1kZ3h6o0vRZzGbG7lNnaCu0Hd1ra0+XZ
ZWHyVcZvF9Inz6Z+mAX/AYdvQdJ3e+NVlTo5hbxutbzvovHzC/A9PR7stWPlximI5oWanyY8KVVh
q26yz8mA4mFo6idzSk6JF0L8NEzz7dRpA6qRJJ/Lsr7DSxw9/7K0/EOFzP59LqR7zJLhsM1C7vNa
2xekwyxnNTarzgoGvOBjeQ4jOu2Go67FdJuSfHYb2Lb7NhzogjgG1fnqfRWXRBLd9wsMkZog3NtQ
+ARl5YUNThPAPnau7MusQlyepfvWy4IaTyTwMG1SqstxulYYj//8QehA/jark9CFABBrjUUB4VKO
/GUDvsQy7UdzZkOEjX8HDPI4YfYjIM0iRywwnV3tlsu5cRPrzkloE4yKeLR6MMPrRcKfCQl1WUVy
SN6GlY7VS2mIRG1wl8LpuG4Qaq+CrrM21BGJx+qy5JB0Pt6woYSnklqcSuLCebj8mwXIryB0r+sN
BAm5bb+NWJJJcg+trSKqzvCC+RPOtFVjm/Fj21eckRrvU8YMrBAG3l9+MQ3pnyD/+uCI8/haDL1/
Pxrzl7wApN0wl5pmgqE4tj5aVeutnaoyAOLL5MMUg/uIiXavk/EW+GJGDEvhv+tL4s0dqxNkXhYm
pTpSRbxm6d+NlcXSEef12VTZ8wBS804VZn5oRcm3YL1rlH3qcS29z0bSOcGjeddxv5KFaVBEYyLF
fusOCApono5dma7LIDrGXqD2PwCxjYf2wwmicZOJsYMi18PbQKe9JEmALhe+JHHr+S186l1T2eJg
xIF97nLy3Kh65/eLg4xAxoO/GmA2roTZY+Mn3/jKVIXaFEaGKjUaNgaUqKK3n2cOzatEQUsqyh6I
lQUSrYjj/G7U/2YwybPmhxl9uYEEc8/DTYB3+rYeRbqOrIkxLA0aD7Cvj6rw1JZeV3VjtnTTQrp3
Tu0D/vSd1WAG7a2TVcy1GbbBtHnXKf8wy9h44HCbgKZSFCXJd91CLbSeEocAQC/ASwnK13oifMjf
2gbxKT6RSgbK3jvPFZRt0FCsl8T7S/nk1WlBb3fY6TguiiqLV9x7vR3ra2ngESTcGbTGjqQMqOn0
ms9LMzSHHo8YNQLRnEUFObWhamaatrEWXjvsVRuQ7VdYSk/E6YfIcT9SEYghcjQfJay190lM+lgf
Tm9FME+36BB1q4JKtg0Uxp0+Adf019JvC9jl4hH6Ahqain6cQZUjSWX/3GPhJoBR21yi6N62w+Uc
OkRRa1ZLUMlbd/AIYKnC+C+icue3uYINsOMz3WEJ8immvNqhTohtqc8RNZ1n3b602+hjMQLrgzh8
XpbA2cWdTfIzjah75PuQkjPnZM4eOZoQAVEWF8nZBMK45eC6V7HtYXQneTV1M+dgssu+hysMxNEd
iy+sjLs6KitgV3V9zjIt0ilpYk9ucx2nuK2DoZVbb/Hcddo45tkuWKbdLiBF1egPKiSLobQu6gHD
OXaR9P6mt5MvK4iMDmk6FqHEHGcFBcTXSs+B6gn4aoImWCANpzvVyTI8gZevNmz7hu1Ypu5N35Qf
Ach7qy5vGfCe0+8akFpTPIbry9a3GJRPZ54fPbueT7FDUqMfUnCFiFlB4y+7h6kJr+1Qpz13lvEO
cm0HvdgoCaLjR9qCWyyFxOK6Ah5IXK7INffXaE05O0ToMHDU5h51X5qBdbb61+EhNKPPsDEZbyrY
Ktgv4Chy8RAiz79xEG2+FewEgcduOUrBVrDmb70lhwgy1lzvGjAFFdptEmbAAIL+psHfBeLGA0ug
9zpdY3xF1jrvLzNyTRTWdkKjtMbt/K2uaqPZWLKiiCWBPV5+QUeybAc2g7S3cKADH4CNEZXl+9Tb
2EH0mAOQ+O6Y6dUsW+trVcl7XdZIiiT7OAk8kGU/w4aNphI9C0yffqipvA5xccpNshsLx8+RRZHZ
4Y3+w2Id49hMHio0w5tuHNR6Ytf/kCR9th2MGqGKFcWnoQaEyPYyWrdgTmJidvrwjDIovxrHSLzL
ZrZWkOay+zyL7K3IwVJWCwj0WDl3SRsOT7Nqh6eeRN14zttbwtjJCyZjMqMUvVGdSRo1euB1zHp3
a8eRiSImIcBR/2hBDEsr04IfSHp5R93Gcsb67Mv5oBRm96n7XhqJuXHtJaT1GcE9/XGPCkkBG9ah
uivh0V7R/DQ/zlGUr8PRTk5mboEhKcevKSXuazYawfnHdCvZJ4vw+vJLUlVfgqhDlu0QUwNtYIAZ
Niu26B5xLzrAXS+Kd7BePzjpDJc2ad6ZYXSbV0n40U2Nm8EdzkZX3TZ1V2Ld4RGMGgEK6PqLQefv
QxzW92aYyce+aD9ZEbZyN8oDYNt6cF1+HlrvlrmYOIjL5/PciT6eHoRWJR7yCguXbEoFGK9dp+BT
T7H+5fJvrIXDKl8a66r16ZyilqoBdaiVRfLDxpBt+d6dYONB7p2v3YFWI1l8w6pqQJ+GnWfujcyv
PhoANjvU81c1KUnv3XDvmEb4LVnU0a6De3+uzFtIMOltQ5wnTGJSNi5rVs84PswpJcsh1ESOiXKg
wVR/00d4UmSmN7LYChlOkGVhjyPPFV2X7uO0JGWhrA61a9/CN0m3pV+adz+eTEpk9RXYi/SUhAL6
TNUYR68LyQi1Rmdl2HV1F9mGuV9iEGWqBnnIiSX0zPFd0WIEXRhN8mhxTj01mtIfp7xOxQwq5vKj
rD15P6Q4Zejn5SsbYNPaKhPj2CG7OreJ42/k/yTszJbbNqKt/USoAtAYbzlPIkVqsnyDsmML89Bo
zE//f6Dzn5PIp+KkiiXKTooD0L1777W+VRjJRscCtw7sFE1IM7A8ay+QJLoJJVdRSDAUy/8uSH/f
dpni0WahFqWlgo/hU5chDMH8hxHDu6kzhpvG6mnh1DlPeFdWNaVWQt9zT1aBfwnitlqZnHDXhqjy
tcvZZU0wKQcYsg9vVlAvmG+5P0D4z1jX/Iy2Rj4o/s+uY6tbIJg8D4Gs3tHy7GOlt9e0R1wxn0xi
GRQ72vNymcXO1wzX616lTPXQNsBFmZSzmJGV1JwJimrUSQiNbKt0HxRz1IcxMNI/fSi/HTf4UAxq
dwymzpwyMI8j/1GkqxS4E97HEjnyRNZU4yq6uzzEk28dxuBxnNewIYi6veGXWA1N2LTKj8y94djR
NVPDQSaN9VSDjW1R2F4tpzvYxKe93P+cz3DX5w1RgsC1mLqnp5Hd2LXVI6Jyws3zJl8Y21Rzuq2F
KQC+mltrZyidjSISCXTLYw3K+6HCBSoboszwBud/xYHzaCd6/oqeJ4LkIM5NDgXCGQymTHAYt0r3
0v1/Xzyf5nr3XRlHH2WfSZGCAePTxWMg5zXF/Dkho9G/jxGRUGM7zQRhcHSZ3qmlE1K7+wOe5dGo
2HtbDvR9NjxWcUVWNKn1vpGXkGB1rgKndhY9Lo+9xL9Uy1pdus74gDLq7DIWmnWfKH/DRhxurKJK
jhnZ5lBQqc1ai1s19AibKZtFL3L1MvmheNGqhUeJsM7yatpwcOqeshSaUtn2w16v6j8c7T7NLX59
GB69TCwBHm6bzxdNRxBISlANo7HOEZuyGUrgtyTOOJnBF8wDxjViEqT21nnVDx2x8JELYDxm+BlQ
d2d5zQxwG+BZsr3QWfvtQFA3onhETEgkAS9j1qvgCTu5OnXa0PyhAGcU+/loigBmFtXq84SPxNPP
32aGHxutKie+Wp+QViTx8f4ge/X3T//7O7tDX9dVDN52kc/pprGHFUQ/+1wXWLWVEeI77EZi7BNG
SVHMUuGYeXk2+VYPXQK/1BjsJyF+OI6sb/cnnddOSysI1O7+1Bmd+iDqSCfyzij3UoTUADQHjmFc
D+C6MuPiZT3YT7PyLhMl46mKBkhPKjzlTUyCI7Er+IK8944Qqt29SCgiKPraFM8BXVpEkhlL8iFN
MG5VbvuawXwKF8NCVxFyuDxzXsiDc79ARAfpb8bjVWilvyF5S19j0Y83eeVzHBlC2MKmOHSjAcOx
5zzlDai4iEU8Nbgc23A8Fmx3W823vt0rH6bs2jUm9IWiSEg3WRpCa9dG76mb1effR5mMR6c313lN
PGjnpePx/hBSe8pFYA5XOej6KScacVOyPq8VWtpnwwzP/eAihIwtf4eQiDlHVVdLm5k7md0olqKk
Gc8J6ldn1Thqq2kNurS50UQI0zIyac7pk55C3onY8ovJogVJy+0l72vksXpLLOy8UHfDFO9rUADL
+7rt6MR3OHNqudLURrN07VpyNcw5OUzhnfGroLO6M9uMjyWJ4vGQGwl6//mh75tgM+RxhkG3VMNi
BAywKAMWU6OlNJ8y6y9RQhwnvSrplkXitBvU5Et3ymoBBC5yuIryPZUnqER7zCJUmtVwym254hCn
H6n73YcY9tomnDLEQEmb7jAkcfO7ROblnpQLXYCpMvNmHfSw7fIS7eAfVkeE6/9u4GOQ4k6yZ0sc
NsbPC8LEVdkS3I7uerJJUanMnW+1cCWlHz3ZVcaDf60Hb21pbpnCWKuKo5nKkoi0Oj1Mg1KX+8rO
mFVs6BGSNwHzedXN3lvZeMWZXf04tcaLB8zu1knSzzp//FqVwEyiQZVw1vRtVSUYFfRgY6JLJbWO
ksmw+kVmGBiUyyk+Gp09Hv/7jZvzQvGvyQXGMEOwKTDdgSLx2RwWaEWaqh5g0C8ztMKYz4J+X+HC
n35foAiuxv4CtIBYpmFYFXrALRBwNs2d8m1MigKNWfm185LhURa6eWtDe2XkBF34sUm8/bz3R7Hv
PrSO+fHfr936fRH0DV47XxrTSP6ZS4N/bP291kdapUhDx2LybbQaDeFzL8nP2zQ0uw7RqAMUiyNv
laZBcC0KOldN1Bc7K87m/HNyQ7DZxLu007Gd3x0+Sj7fL4AkQIuFiEI/ZKGtH+4/mYU1biM/GwIQ
2DSdCZEbL/iLbpYa4ysD0FetJ7yjVpHzBlEPeX79GCm/eh3hICR3q7kWjwt9kuihun60d7Gff5hq
yi9EYY7Mt1A9myQZiEaRKMVPZpP2m//+zO72nX9/31ze+HRNRAJUb59ryM7qY2c0sTvQPgjTQ4zW
9oAE4S3VQrXTkd6tSkg5ADz4KfSFvUGqGJD0Pa4Dt7dfBYX42Q1dGvNd/+EZ/TvZzMEZ0XBwHqvG
XPsVlWfWZPZTpukbSynn2REkkFMqNxugd4hxBRLfqU1+SEUOaSUiCPuRQznht/Wj4eT1QzVzw0QC
HHQMRPqn/sQ8yv78CWBQQVHhmsgR7sChf141YeWGpB+nnP1JVSxTc5l02hwRCBWeKB2P2DiRbobW
Fg9zgsoDJpVs63ucS/wh8ckiA7Q8N+q6yLUempJCCGN+u7Xj9AxXMjm6//OQanFy1Mbg9b+/Q+e3
XhP6GDE3miw64aCdPl33iUcPI7d6JGRZRyVSx96XIRri62DY74BqvopepzEoRHFTRVfekmrOgx2a
x5oMmVtpmeh48ljthDVLXIr85Cnd2dokbSyCLk5vzJqIYMaUsA58XdsR/fA3WaAH2LhNjOC75uXG
qXWb8pBZ4zGx/eRpkME3mxyNwaBpHQ1Cndwi2ipPoCgmH+AQYY+8jb7+jCtu6cTFzvSV++5gUl4G
raovAFaYX1rVbTBZCuN8kstfq5DicBOmuv3UiCJAwQ9f7tdS1UzOXzS40tP9wc0wygyqbtbKMDW8
hSzjoz9U7/FQfNGSFtcYlJ4jg2TSAzOPrlxK/th/fzGfvPCUlbNwSehcWHQtdWxv/16Q4iFKI8vB
EGljIsHQ6lkvqQj3w9gjnZhocxpO/eJF4i+3H76CJ4w3WUwwZOV24i0oYMcgkS8rsj1Slwp4TCTB
By4lgBk3f1j37X8LPu4vFTmkwWieYc2s9Pv3Sw0cOVUFvXxaC9x15OEs7223cCJc9P4UCyia0ZY5
jopj42S5/g9bWRiUu2o83h+aSBDEiS2HBE7OxlUsj1MqjS1HSHWZZLgcOxsoRanq5LHv4OsNlr4s
3ILoBit0t9OUftyfeZrhL7QC9ocVmepCnIR/JsjcuCKK3vdTqTHchhob9RdSIKyLU5Yt6xbc4rSv
64d6GCHZGGiw6/ljrEp6zeRaG0z0eNo71ktMw/JBRze/1zTzD6qi36ddgL+QPqEGJ7JgFpn++3M0
FYW1ieuVi2resAn2C+lkVCsuwOihLUFCaqFDVFgNMmvoh+qGo5LiQq+oAAv1TJy2hi/G66FNy53K
LW1/70Il9hEnLTf3LNMTuGFuKKpdsKwzsQQyKDaEUqZL8un/RMX5v94RAnvG5ky9+PfzOyq0Msr7
OUjnVx0P0fJYFxn5lBGTfaawS3CNXbKkDtpnKVJyAkbHr3zVyyy/kmKMpUZE0NoqlOdi0O13uwSP
rTfNynbbaH0vRiPY22H29PfyxUHECqY3NVnv/30//l7cAC9zLGvuzKOGpHny7y8nqic/iE06xGaT
vFsDHeis67xj6ATDWbdzl+zKEC9MsQUUb64kmbuL0G+No1a5piR02t33w9FsY/u1CEW9InrNvTBF
IO1aQxyq9bjjQr/g3RnJH+5P05pf27+2KdcgDZwLy2KfxuX96bUzWexDegnJEkl4y+jKSk/3/oPz
yqWUvXVjcWxhwGlNHsHg9L9pWWyd8U47qFKB0nSBX197N3miPbsgzN27ZlqWPdJunH2PdnGMfTw/
HciBW1VYIUHXNoeBwijg8xtEPbCOLXlb6jq66LVw0D0AvBUSh19EkhbKUmhQXdPFe3oiank/2Yi2
6R8Hy9zMnY1R5aduBJQ5TPrFrKXzYDLRexjMLsSi2AQnLZnUgwvXeywpFu1hdI54dVCzYOsN6K4m
IhxORdphT0kmwhqLaHgoZA6SxhBQ1Zz0SoLxplOa/dzMD35KBnecoPGpv99JLcohFCasI/STJW2W
POGV3ZtB5NspmDtgorMxpiuhk+Uw9bi9bHNc87ES7t09DfODnREeSGgGJuLenXYRS9MF87W6FCYm
wWiwHrw8gFs+9z/GXJAKrQUlnIGou1AhbusfXehoJ7csCOpzBX3GDmhfqaUPFK3mGpFx+Zz3BGFF
LVoUjx5RQt73AnjYSQs6H+RT8fdDleXaThvzEzIAUATSqh+rqgcTbcXlMQnI5x6nsQLjCw3UDCp/
H3XTDtpnBgA4fG38AiPEThAGSthTmnwZUwizsW0yuk0zfdGXM2QkKt71Ycx2JmN2TKFt8S5r6xZ7
0yXOpnilWb5cprX38z7QLYmp7GoytS2jlrupJdDJmzYg3tTFLhP/aZq3Xi8wndc2A7atV2N57jd3
ZQshjs428+AvRYzcd/c+YyQB6XoWGTVpGx1Z81dDJ9M1vqpuZzjA4LWuedXRmCwGCTHmF+fItkBO
BykLIvbtbF1PtjiHVuIc47pbRL4g9yIuDmSb6Mwn4PJJ53w/SP59mlz0SXfpQ8+6IRTvzk1F5HAc
D1+ypMlOjcraY+IYz2VGmLSWEL7uk/9F9qijlnXWjV/LecxD0K3YhynALIZRzd6ym++oIcsLQCI0
LZL0S48B1e5+gbRFH2BpW0ijLTAQ6tGTFsb9VWAJ6P3+WpDllq6Jwf0+wA9ZKDEmz1pLe6NztK+d
FNFTK0r5EKbqZvNprJXCYreOvRnLp3c1s4NQHtj9Pu7PPBdOrtDJ2yuNzIBYR3DC5CvaVlFoHajb
NcwOPicQf/wCp+8P/alPJqm5upjbjJw0CLT1fMv61JRFrk2/0CCKGxVZj0G06Ffd5MSnsm9+hgD7
d8wATWQh/ASvv1rVslWr3mHKrjWT/97U2Ya2pHjUYoIY5TTl2ymoR+C+nEdbm4+i1I2jFbf7uVl+
CkdClDuqdAbHHMnn87YpPQgPJgG0ljGa9GAm0OXaGC19p0oOnajfBXmm0HKJRER24ZynfGxWkaeF
ew7+T8Tp2l+inCG7bgNn8b3y1TIwecXjV6s20q3tPP7aHSs9GzZ5Q05U0jF6v/+UzT9pBNn9YTf7
vWSjvmD0bsybsvEbIogJM31HvaRkm+ifru6jH2Ii7WPgzn1cx/ouXd0/RbNKrai1N2GP7k7B1seW
Vg/iYGdsfzqbuI6npeI3DxZS3eU4duXjvbFZyA7AZhWalz+88t/3MsA63l0hyVb2G1Oi0tDriWrM
KB3MdlERQUn86xY5NVOgWWXXqmoNd2c0E/fBnHVCNKD8v7sQ8KAIu/Tt98BVYh8UEYBxfD3FXs+0
DVUh/cn8j9Kf3wWn92oOIBBFg+dYM5ngn62FuiH4I1EUQSWWzxeoTfeJiXm9/2SGzAHzGFCFrPW3
OJitZDw9ammlzsolA7NO0vgIH0Wd5fwwigZpS4N/9ZbodveKDiC/oczcjXV6TiSFCNJ6H2yGHB+l
njFqM8GD6RjLZpFIYdT2sW30dpGYxEnZQ15s7r+bGqOjJ+l5K2vsSMuIQIn3TfrMS6hPBJibzvY+
BSOySg598LNx5DmqKu/qBfrSC+FyxEF10KyoeRsx5K6Iii0OVdt155D0qDPjAiYdOQvc/Oz++84V
yTZza+R/WUL/1Ui9w/2mdLueeaDEFRrTpEL1Ecu3rq6XPbEY67YiWGGYBQ2VjatYS3ADa6FdLrlv
/MfArJLVr8I2Dm+CwTP4pyDZWEhKVn6e9Sc1OJchZNDIFKJYOK5WvZNQReBznjwyCbOf1MSwuhnI
Z7kf+cyznCvqVDPsdReaZIz8Whf4sHviddAJ/LqDbAcN1r3XHeY+wjyH085mNJW+0zs8iMlc2LoF
ySmc+nhLCfV9LnN2ibDoLjZ0tZQx9k2Py+iWJeOfFCWfb/eZKYvZC7KGBSSJPejfl2CBhGLIe2xV
adZetK6X78z+WnAlcXB2zdfKCIdDbSh3h/qYxTC0H82qszYBgdObjCPDixsGr2OivL1jduk6mGeu
em06R8w/PSHWvypxiGi3+Vlme8ieiup9kvXGsjU+vlQrVpbd1ljSUn/NZC3+w+yOMd2nIpf3KKBJ
c35B3w2M85N/BH3YGHDnZMuhrJwVh5JVFNrseXaT87a6/Dt3Z7H4JWjT2mLdjzkGPRKeykn35vEQ
CLPajPJtZte4tdwQwqnekwTYF3qyaAMp3ugfo6DQb1VAJE1heO7NYrCsFeTTzc3dXA40d1UxHzKt
euub6eKXpjjKZLytyy44BpMVHCfL7ndWY7wFSZUtW6MPTrVR6c++QMFlEU0vB9NcWxIrzqKzj44b
0jhBRnw/zQ050EDEVM2ujaEYGAm+dsEwg5wZ7iJzmlpyJMFqJ1lKMJyFbM+rSjKCuvIbCogCmQJ/
TYokPTuN+z0b+viMHr4+2yr50aj2MpZ5f0uRiK/pZ9oHR5bTpWkp7Kzs6mnTEwzFdN/LqHim4Qwm
MCM+eqJAHTjaP9ktyjURiWZneMWz28byEvnMcjQ1Y5csH486vCTYB/EkN2zWMPgx7mziyE6+VFNI
/DRk7gxC+SZURUNy0wBB6WdH6HOe1cVXb5Qv8E3vLTOKSmYGEW/5Pkpu3YjhnuUve4fxE/yJ6j1v
5a32+aI98uuZNAzRHw7sd8vnP89V8yWH3cblcOX+H6LOsBy9tiQPadn7GbVE+S6DYNgronkvgoHP
0qNFxCcYbvCTWh/FMBx0kTdHXxol5UKKvaVo1KXsQiIsw4E8FVIFn+08fOiFv58Mo3ora2zGTZ0a
V22etWQR0UiSunTVue43Z8i9I/GUxdawYqbDaW8AGbPd5yAqbazVBI9K+v+70oIxLMlzDQbmUr+U
KVVPs6/wx0PLQp/mRv4c0TN9MgpjPXit/ToYVNa1aXxkkslQRu7268RkcI80E6/irIqyhuFhItts
4U9Rf6wSsob62ie8MjOmb+SUcc316Uttx+g5vWRu1mLO3JeeFA9sbu6eMQYBQaUXXBMtDa5tzbBQ
N4xzreJ0BQGd2KKEC8SvB/lwX4p5UAeGyjwYpbNo8q57zhItehwe9SmwjzVFPzG/Vc0BhqeQcMc/
DL5/awLwhTP1nqFE2EfEb50uv+7D0LZ0YmW0unmQZqy2oSIsMR0a69q26kfjwCMRRerfz5DKzbW9
sCYu1aksg61ONxUJapuDnuEVOqn5NZ+yFPLVVJ8mrSATU7qPVMPp0giCP2IT9U+4Wl65BzSDkg/i
AR0muAP/3gd0gyOH1loozPzwa+yaOFSjMbnCLkqucEtHQJ9DRmmQJ1eh/ORaj3F6Qil3uf+N+6/I
vWbyjuZlkTnw6geRAFwZEiK65gM/ZwWx93v3r/uz0QhOBEjkW78NKpp0tThLizzKfdiM4lEQlzh/
/dyj2nX0S+9gX+z6Uk0F2y3d7nvz+1MbnPYm+H22uY2le/UzCLWVWwBxnzkVWtuBRxuZnaRAM4AY
deg4B3h5Q8rhrtHcV6RlP5LerT+SAGJuQBBH4rdLd3DtDbnrzmtixbQ9aNvzd9TOdAqxhS/orLL2
se6ReVRi+kZzUTwi+RWPuSLEiTzPeF/IqUFsD6ibfIxqdW+RhGhzLTNh5mW0wQJx+3xHT8BI8I+s
KEAkB5LOuyaxWMWpS5XN2ezIHyK/C0Lat60V7OssniHi4i1N5XNhAg1oY9Iy/eCvQqWPBcPNX+3r
cCTOSQE9F3oJGg97rpapaHOXWgVOvXQBoB0jowb62nsoyqGrrTWwbVvLVhJ+ezd+r5J2WdKK/kJp
Za+KTl+2aR0+mzWUTIvDyhpsjrVHiwr9huzllYC0h8LHf7e9tH/sx+ai9W26rpv6pBnYPHCi5FyK
xyzVneOEEfYp0t2femddGXgtMSjFt9Rxsm3sW+ZyYJy5i0a32jeVne5BY+FvksHGx/K/nuDGv/Xu
PNrvaBt0nY1IrknySxKxxOrDXP4qm95WOVQkATvlg5bAWCnIxnkxK7glCtzCsnGiK8NHoLYqb5FA
6+mL4ychzEivXrTzU4+iFtbp3jCNBAHWgP2+cYy/H4Te6vuqpCKYKwbFmI+eMBFW96fj/LvATEpK
dyIiQGuR+VLXFxSrUJK7bMBkjHK0q3rOl/FVhwW48NFLnEO/qc9Qi9WvnwpwMvTQCb+5/6k7/5Ua
xsWmmbdVqTsPaWBZX5KyIxBNF8TFjcLYaf4YH7EMlxul5xbJPJB5AjNK32oQo2RiVfbrZPiPnsZE
peBEtbXaNngIun1cpurVTdqTL9rqO6zucCljv710beKcmD7kqyYfyu84RRYGsHay2Zty5dsRJKyY
JcThhPtaVCzfQ/0DKs26dUiXBESe3pTFvtT39TEPUVGMlR+fsXHdqN23Tp15myAQ/sIocVqjWzw1
Xe0+1zJInp3KI6A0tetbxmcNawNVzf1p4NOqMAhRBeLkyl2bMegIp1vrpcbT/SGps1dMRNXD/ZmP
OWpjaI69iqV8aoMpOwChH2BWGXJtNVV/TiKNtuD8QAw3qPrKbA9+ZbkkE6lpS39PPneDPMBPX0LA
DItVL6r29OvH1uRM7lJZuhyA9qXU9onwjiPrzYte2/pedmQo1U1P96QEqK0RDWXNPZMmn/QjLuZR
YpqxeQyg4q/SycWcMAWbslLaOWIUtCklpllMQAStzg80mIdEZjtmWN/83FjJNpEfjDSJ5pXhe5Br
WCdQ7QbxsNPQUa/yqjfOE8qjczsN0xkyW68nG6MxO4BQ1G2WdMpTbbbRPKIjoQxBbddU4xPc6vzZ
6TmeVi3QxDIjQdCP6B+BWplFCE6z5UA/voiiViwwLUIO1CUvUzvZ68TSu42o3A85ud8sqbhQSANd
FA1lxjQQIGFxS5oRd2iqRS8jR1Mi7R6NSeP4FAInS5N3GwNfgh0rD9JL27vtgRT0DNytvy61adXG
PgMfc9IXVgml26zimCtosBahDMoF+BmAmDR/BEf6Rcw353skiBMNFqpXtjN3pVpxSEKnhwJnu6x0
NUwj/amK2790P9kljad2viCPRJRVvFFeEy+0kmg7Jb5NISDR2oV2azkL0yj7tT/t87H4Jqa45wAK
mRPjPQrmJUrwhyIT0xbf5Dd7NEwER4Wzx3SHsXQKrG1h12QUm9NIAtrKy1rWaUnzf+jKn3QKObRU
KTgnT775icmUREUXqxy+QfwFNwcAp6NcJICYmgxrJz9oyNazFxG6Gdhd91rw/zqCNX5ElM3lL8sf
zTDoB51DwKJIhVqPLd3YRnRQ4aWPlYwppy84mfgPYtIzLNQiXuOpSxel1horYitRQN3wSLJFKiAh
BnqbdaD1xrIqRXXOWOOhG+gwuHXrRfc5/wJgmzawwo0V0dWpwXAqLCVy8yZDdjQcB4v8M4kfx3Ht
N2eUJhJb65pEzU/uwe92t2utSy+Qy4pxg+A8nc8c1kLXamPRgyVku8ASgUTNt4psBcMsXQ8pjiVi
x5uV8Mj4aqZTG8rkoSwwC46j+xprCJoKetM1G+JK2d1DmxPdjsisO9Fmy5gYd8KuNk2hiJDIjlWN
IkpVZKVZva3BuLLtuYvfkLrtxpO37yb2x/Gno4ZjWnebwPbibRPVH0ZIP5YJxSlIkwBcFJmrjuWt
qwDd6OTjhI2EALIiXvsGGqButVc+eLY2o9GBKLKrBP0Ra+fCly5KKJO8bN+gDeHyja5mVzvxQO3S
agSHq55mYNolXxsVroE7TXi+yDvXInS6QXIci5fejMZD5pjNsbVBOZXWxHtzTDBIdbNs6Z7NxKGv
fvMB3hJYTabfCo+k1CxxvjWtJxFIRQQmuHsxNzfjneM0C8EsK8Zo4zUoA0T5M2bgu9YA9TIl4XLA
H8Ly4xnxsqgb9K0qooLQtZ9DUj2XYfGtGOAet+lH7YtpNwWPnC9IWGZun4VmeUBtt0dR9kWEnbVM
HHNjUxiwXuAjLTlINo5A3n1LJqLkLAIuRNr0i7HrEA7QeZq4F7H1j1tm9NtEopQemzrchExSNw1D
T2JY8CvUroYsSoluXxZfPG/EJAHImt1w7J/SIV1EeavtwsBc8ZU6q2AipFZVNGdybyO65tIF6Ufv
EynQ1Q3ttSHeOyOWVEXpsHRbzAwj9scyM3dUQFxl7UgsoVnw4iTi7lE8eESDrCx9OvR1gWNGkd9X
C/Ho0eGah0Lst2tnKPR143pfInQiy8R0DzIPyTkhvqHuq24zdP02Z7oF+dsPlpOCQTKmcj9whiJP
TT9Ysvo6JegSHHNtmJLl3nxKfRr4rdXusqn6UulzpYeggppXP4aI4Vk0aw57bcKoxR/WviJhOodR
xVa1igWauaw/yDGTh66i5TM2CVL0kj5IvomwqyIC2yKiWKQpKe5NW55DJlu4sKOFCKl3Xf0j0Tbo
CSsSzKHOTZazEy3g4QGRR1aOb14C8U36/cYi3QDWnlmvg/SLspDGpBPrdaCOVmH029Kt7HXaTwQ4
+crZdQKxdV2fVaUc4nHIemWgVB/70TxEOnOI2m1wWCKSGhK8XqTu1uR0AnezIvhHqpIfgSv9bcsR
aVmM3o9B9t2DIaEpJVARE+MpDPJ0gdrlIw0TYhSCbexAQyNIfN+S8NP2wS60vNcebDe0JjzQaSSh
20wNeGGG0G4wOSsyNpx1bspvpS3oUse9XFrDTHySSHpBddHutALWIl0uW5+izVSvsYHOy+601dCP
4JzHNNxmQzaLJ8trKxnjmdCRc0dSh8U/p6GCa1IbAP3ykEAdrb/4UfXRlMklUQTgRC0esCTdZL75
WrTeBFyywPJZUlNouGjSPmBNyYXcDFpLd5U8P/IQD9RuA9Eg4fd4zB6wcZL5PT6mnvVIDfHsNrM/
sbdfbNbAtoGl5Kjw0BeI5Ns+RG7ifzMmSG2++GKEydrQwh0pa2+V4j32sfuilUzGBRsPw3UCIcsO
cqHt/GUXnrNL3OhHLJu1LdN2b+IhaKQC8OwHh8Kxn6IQmZs3w0za0GSZZRkkzJCv9OaU4gk3hX6K
guQUY/9OMYJCWaebbTGOIxJXNVd0Rduk/1BxdXCsdnxgvbdvToM6NifmqTexCzrSbvcl8NnBjd90
IbdjmOCVrrY5CcgLVyUPdRwce1ysRrOlVDOdZFZl5D2wthFHeoTYOTe+RrAMFlA8Y52klqYLa95r
nizzXjULS0p/GUvMKXr8k/rSBlRdXkwKYYJG0mNjfbgu1Sn9A/nI+MmEzG0c67zmYrPH7yY+iDZt
h51jRUxYNGmwHndiE3EU5I9HmW1ow4w7FqytnKI3iVRoqSnXx8tHLG2Q+jQfIrHDZrdQRe5u2a6p
uNh5TMZiq2olHfO1Vtm7O/gKNCXty0SH8ZCo99yj4LDbpgJwzj7qCWC0PbPMvmW5mMQiLSI26ryG
wS521QA2PkxGguQq/921Omw07bR2vZHeQG4gKjACRpj45CoFaJtBYdXmBI2OqlvEJXbesgw/uia9
6XOmljktO2bGELtHwdwRYaaeFeNmyJwz1ag4kdh24ui5kgXznjh2Fhgg6cP1HDwclrS2sHHqB2xf
wjbpfSH8HWKTAxAK6vvnErWss2Lo1BFl/MdUhl+5ZaO1smt7EdcVXNeQFloyC7uFu0Vw7G6sHWhT
pGQmK35ajMS6iqMR/4Q/pGJ3Th+rD35LyRoGk9jSOmdWgV6CPmB06IV8s5EFkyfGfxyZHUGfk49T
cKSN4rHn6OVfEfPDBcShbuF2TzEjowVq1aOpdz9raGKeGXrrkUFwFyTrUDpkKkn7C0BkEID68DYF
GgBI0433FZFkWZ3rTzbG7c4zMLMGQOk0QKOxIL8tgs9D5dyJNTSGpZVyRg/7ql0BCiKTK0F9y39C
wgYM+bXeTwsVGyUdgK7eTFAiNwk2mJCu3aZ3lcLkUO0LBVl60Mq/Asx8oeIaNbJZzJVMzcLJjd2k
bIdTLXVPlDYfANkYu0zaFjIJxDvvuamK8MIS7C4c5+uMbxB4stejjr5Aplnz1Oi1jkeucxb3pwBD
m6dAsoQV+5K0gmtuO+bz4DSYPnrnD8NG97e5ie/qpuliZ/AIMPxN0azVTIIDFKrc0bM/sau8ZSpM
qgro08Qk4wbKujq9tfkadVq0rlSTnNKkGHfYHnl3GBjq2IkPd1EWibUrIKJnkybdhjWwfMpUg7tN
AxISDL5Akm8ryJO8cXO2sdyfyuD/jyJ6/xRkqXGMteG5KjX/HE14GUufHNtfHsXWgX5b9K7BvbEo
KzkBczFXGUDiJ3sI4GDoVXqIZq0AXetrOdUYpzMdtmrVOMTZaSuvJWY+wtW1yIZcXc8QSfT1MGM4
xtp6r+8kAKyL1bZuo/9H2HksyY0sWfSLYAYttql1ZWmSGxjJYkMEdEAFvn4OkD3Tb3oxs3hpiSp2
vRJARLj7vefax7FNnb0tGvNQOdp3hAjjreuq73HtOHSoh29e1ZdX/Bp/v3iFuiakER3+73Gw8W+x
vccgiOk0BnKoZgCC/tXRVFHb0I3Q7VWFV6YKLRxYgcfP6vSroXWIynXA10qruWmmlm0GJkKzEhed
/QSFdOq1jCOYe0Ac8/9Ig41/S4PRbaJV5Hk1ST9z3H/rNwXagCDjpEvplXSHDuFaQafs0/Ea1C66
Is18DHH3uXl3shk2PvRrqQyxEREAuBJoP/+fob8x/y7+c1zBtwQiH/EaBSeS7UXP/R9qZSZYrhfj
vqPBi3aEQZN964u22RYhLnJvGt70Qf7WDe8ksuY+Mvu4WnpirZekrP/7z2abSzrS//pmbJxIdoCr
2zZczzb/Na7ricmO1FiziWiMJfVmvPX8HYau3LXtjCZppv7URNEt6nV5ZrZtnyNAzLsgi+1nP4P6
QhT3JoP3sckTcOUJYOUr+OzDMn0xc3JwTNv44bQDKiblEflVOvLpMZqxce0hehBFRB58grcIyrT1
7k2clZbLTDM+fG/IZ2NKtGNVwCU8zfazEDJvb7mff9s1kIA4LvJ1a7Zj132N56YoUegg8V/5IqKh
6mNB1rOYW9MgGkB6MwaOf0sdMXAYK/ytHHpyRDQgBHYerCOmWL+CrodJg51tP4G43pWOVmxTp5sV
ybnaAlCON7WiHfYAFWGa8q9KdMGTPr/knbAQT2LCdepnJ9eezTTHrtqG/F4fg+rI9F+haS4KXezD
KX3PbdlU5HUvFtvEFDgGsEielQ/3HgLr1Rsm+rg4jZ3JIogjNYw33+1ebNQrN6VK442jDwpPlROE
ofwNNoVwE+u+vnNC5oJ5yLwyHBy11fS2XIWUAtSk4HsmiNuremyc1wQ3WZs19lMOVLaLmnejxG5N
MRVcUpEah0pvQiqmlomio119GcdPDV3c3WNRnnwr3g2Z5t3jIIDymFjnJratfc8ppfDaPxlBeMfQ
NPw7uLLkhG6ce47Ndi0CBR5ItjShbGuQ1ymC9tRGxUX6VXGxmunvd/Gl1Qj4tmAsraaQeNYAfdSF
YKPpOpaI/RMrYW5BUiePD4bYyChedssr+t3yJRDQiIYUP0lbpMPBi8d8XwXtD4UV8snuyaTvYsc+
AZ8B7l3ENQ5o62hH3FnTeEW55Rz6GHJxy0iHoo48zMXwTEJpswMd6h8t5WNHlna219QAuTxxom1q
+ljfdd98b9qJPO+qzveo2cU8Eh7S7gXIyPTCZLdhcgE2IkGT/Xjo5nearZ5VrZeH5UMG9Eyt9YaP
MUi/AQ20dyRJgiwq9fLaNnV5DVpMsHgzEAQlzEOcWi9Q1ocoJTQMX+sknjBFKqe91/PLkPunB+wr
DBN69oMYrqOft89Z5nwk9asjVMTRs6YvGiQVBM3BUrdJeePGzZmKiSo4Yxk3oGLxojTb2pRuLQCZ
2DomZl46G/1cPqj7cqU7nP7CWWcRA5OajSWMgcLb8o6dA3ppqL8Sj4AQPAzeBPPGzeh08WFy3O/m
Yk5tXpXk/N97ubfV9VwjnaG2zkPhZmc86OFVs6S9Nr3S+IXvTYlNr4Z1WVrinsNLeZFWoXFCtqcn
X3bdqgd5fgyvTBvkGW98UK3atocelcPatAHpHGnb7+vZw2b6LjiaXNGCgyHfbOy6ZYKaplG/mwxT
MnN1xrtj9jogNfY7HIjRU9j/8KJJnRIHmS0NBU58yzUuq3I1qO5rcaOCGUf9YwmHeHgLR5jdOzf2
V3gQGRWg6zXuVtr6HbulOi0UN+InH6IJpw494DJZ+6Ic6rwmey4s+/3xOXSLP6JFzZoTHu82ptpk
HLXpZSXObrBpFM7/XTPa+fOo7tkMR/CoMneJS+rJcilUEV/Rw2WbRihjK3K9vWZ0P23pGW9942Sv
dfFHOTkL0zzmaMevJkxUTG0jd52U2m/Cif9qVR88VajdbxhK6104QrBK5+kaIVDqYlX2H8PvaHnz
yGvhAcELfZtBNc+ll1VPms+dq17++ajmm/G1Yimuf9E+sFduASUilcaxWDygQmab0I6rfYXb72CV
Y7BGTv094C//DbcTAU2684OZegz66ZVkjGQDS3B80dWYbBOj7XahrtJtI6aKzazHCSHbcmsWubYv
7GEdZhNCCfJ9fZzn/RDu3DDoHs9dOAJesaqR3uP8BJY9jA0arcHqIT1qqQpODGcuee0hYax9bDMh
UQeLkMkeFEcMX6NVXuTjFYIQFFPD4Rc5qu5Hgc9yHRQBKtf5xfufd4FtQSqXBNAUUWFe0yyI9oxa
4cdS16O7bhsUr2MizIuqXsPQjA6jlt5znu9LOb8IE0uf6Ve7tGnpP7OTv1WBBmQOCT18PkYwAFTc
lLki84G/8LSux97370pz/wpa0F9hVA4XBsLdFjmSTggMl8snZNi++dh0DplHv3rVx4a4+PBimlhp
V/SfDTHGHHGAliPKojyM9xri4kwh256quHuXoS/XlWHJp8f+hzFPP/znD1WLOl71BaBHF1EAdGfW
x9Xy1uw+KKi22ZRaFz1zoo+kDL78PrKOD/FQi4mNlE3tPeoq49f8RhdW9hSGTrkp5hD6yO3e26ZD
X+NU+05TtAXQK4LH76aVRRd0DZyVk1kRTQARc7xOelVCd4dp7Os6vbc0baqn8q/G/ooHJF1t0huH
FIbutp9p9BUn/C3gh2tPbs6bZ8cEw+RpJXZ2nU1X3PvmVm/NaCu7GriB3tC2mA9ecZeOmzGVNM48
cUi6MPs0Q6YDQjn+Obc7H82Teg/NetNpdXFyecoRjP7zVgV0xGrd+/YwPiweCLDLzilC0cBKLWV3
QEPCaib1IKaV6QfbSCMJTSG7WC2apkUVLjVLPdnVzzrNjQ/mNdNRtezo41lGmrw7BuQUkE3pNnNs
Cl2jNAeWbh3IfkG2KYJ75tbZbW40uvFO2rTmjfl8tLBfBI6wXY/SGiKz6tqVjgxyVceYFrSqiV8p
69IVIqbg4i5HcQ7yxjnHVe6SVXdG0rfyq2g4ZTMSJR5GkzWx5jSJ2fWBd/kH9NJ630OfOAzho6nz
6XfqLOXLZea2dCqEjZlgymaEPZ5A4k0ZnyCo8jZp5hSnyBB/FhM44mT1sIOXpjee9ST7EL1pXAyP
2tMOwAfNgE+pLPHiciWD8UkpyHGe2+Mbl114rCQjpOUyabzxOSCu8FDhojKyLP9WG/pfyYiD43F7
0LeiOneykUTdjAGp4d8gNLwyJvHCcy3KcTVxUDeSxjk1FQ2x3tfIn9FS5JGl+tFmGhtuYHC8Hfzd
wgkpMwlbMI/F43Kwh+aQmMSne1NUvaqy/xWMjf9pgPPKOcedlhcxv1NJ/9k1sXUFx5XegzD6U8eW
+haxgXIXkwoLNFp98xIs7npiIijgX8Fv+VWa1zgtk2ttiO3DJt5jVfhB1UC7JWTjomy2jwEm1N0c
XEcwXvseT7SOcRuhIXCj+imth2OJ9Y6JUy4+EPKsbbMLnluQE4fJ7Kd9VcbJWwj9i8XAvTSYKG+R
EcSI6uPnOsuqYwOKHrGcca3c1rhmOHOuy2Va8LcYsvonYsbiqUi6AqppxWnZom29XC6f0ORzvVCc
lN8TuuSGaytS+e+pW5Plav6axvFPg9l7gewhkf3wKZ1e0nysbxzQrBUD0hSa5CxiBPJWb2vpWvAS
yuZQuQSItMrVQX9Ji+9cTdtaDBbCB1hp2q0s3GLHKY65ZAMIs/CIAZlK88SD+qifOBXIrW4rYx1q
oryhLrP3oWdyypdlf4yGEtFtFA3XsqvafRnpw5VzVbuPNaDpwhh/TzxlV47F01q0ZvOzDOIngyfq
nWA/g4mGSXs0ozKAnfkWV1q+yUHVYjiZcVm5m2+6QudyPpwtn3VaOR2ApWq7Dh32Ft8o0e8Bka+J
ExofWuJ+FQzVb0bYmB+MyjZ23oyvTTl2hwZD0GqmwZz9ucJBcwfeU4rTcrV83BuFVcMG4p84/7z1
0W+AEpv/m1b/GbmBfnJV6xMl1KpVkHnReXnx5ndlir1ovbxNdOffX3/5GnUg/2jDAIltNhsstoNK
aOFmLElHG2fcQS3ALcCpfKhHFe1N6fruU+4J/26A/VoG9y0xIaNGAqmfeM1zOL84OUlalF6rPC/r
lzmQt7Rk/CssnWqVddZWgVXY6TPgJsqrv1+WS46Ow7otzZG2QGjdSGB8bnNdO9qu1qzTttLOsEui
rWPU/Z7d2XrHA0T0aV5uPS3IrxzLyFmyCXhKgYIRCUS4U5x2DhFedrSNbEv9EJ575NlR705eHbAE
EpfAJky7P6/wEYXul98i3PHa9tMBPBTlqj6Mtq+vKXedV0fP3wUppWd6288MFuPLQh/hKdgzpePe
Nwx1a9JouhEeqG523jK1qIP7/L8ic++usMZTGYXaR2fIDzsJtCcfqMa1ifKfIeIpxtvul22nfzVC
xO8C1cCurV3jZPW7wPPGd6+/23ZSfRYQ8G5xn7zxq93qKFn/VJJyYeaIEHf75DpC34UVNhDPqbs1
mA0JgG8I3pwuG7Z5JlBMzEpBywiygzJGHWzkSBudijiuKwqmiJ6rqHJQmPNgczCrbzbY4n07oz8y
KUGcidjfLpr5CRLFWQ0MNRjI5W9WPo6rqFAg4XLG98no5L/bgQICSNB7qzm/q7j5jDNBUYQbkEJy
iOhA5fVrBF/xhQ0BPW896Ht8GMkPQKQLYWL5MCYl6BIBOKbQ6d8tEX0bxkF7orVsvz/IIgZ9piPj
LfvolwkBnQFkA41MOtwVyN43RhbKu4c27ETPEfRphDuZHmn44sZB+YEcuWevtampkiL+zmMRrrTJ
K1nP22BFCkywaYZRwLggtktDFfQzVsPBH2r9Q29pFZgcP9ZRVf0VOZr+VHb8BpZ3IPei3YS57Yli
m49VOlW4gPQIRYqVFXzBT6kFG+oA74vBDJq3oDbpUYv2kJba1bDK+MlKR/QxXk8hoOS6DzoOmFi7
TqLji/l5pDFnrqODMwve0xYCW8OKnEVWvLdNeCidY6R70aBMcGZrcmtsut5OL22WZXuGoD+5V0Hc
GnFPqyHbpWN7mi3gHyIXaF3HqT+zPMcfpkenO7FALS6frVoiVEqnuETMc/z5uM4wTr9Eo1ExF2C2
JwLqoyAe273gS9NVSIztojfU1AsjvuRV4VbapG5JCu0+m0EiBUaOfUyy7t4fBL/kgrwlVal0r3yn
OxQQRN5HunUGJd8vyJvYNwqVP+lkHY3IMXdo/aZjWQ7uKao4tJW+uSsUcnlzsqtr5Y32dmQrfA2D
mIhrR/tGMGB18+f7IZvvB22+H/Am4JpMcDnDaQl8m0pwpiCbwtPuLU5OlbQpNZwcIW/z35ANd/jn
dLcc8QqzOvcLmlkKBH51OuJpGSJiI8xOJJg4TDKU+95+ITMBRXUp3ggbhUSTBM0ekDen06woTYhI
Tnmox/ZnI4PmLQi67GCzpu2p8g8x07GnLsg5DxlF9SfmT5Z2fxqNOC0zD6O9XcliN5YxUxAtzb5y
Z+PnaGsTO/8p0V1tgoBIuwmc0E2AE1w7gcg//96wdf+K9FF7clVBcV/X1PuJcF/JDglfo8B4y9mu
r2Tg9FdypTUy5y4QR8ZPrWjyi+uCXqvDRv/ArLdpje5jIWnLMB82bsFs0cqNVxW3L510/Dcv7S9J
7mUfoTRYAaTxEtfdszO7GbJ8JIrTUtsaY+9b73VrP+jLc099i3q2QSVbthpkwMLMzpGNWllzUodE
w7hdJ0LHCjxzNXUtOJTNsB+Y6dS0iuhzwZhtnURhxS2q3XJpLbTZnsjnX6VbjdfAFBF0fstFLVmW
gIBLn3t1CragSOrrWLfdhrWVE/Gs6+dvMuy1hrDIqaAT5sCh3y12tl6I3x5cWCcFepgqiycTfOsK
qxf2UmbBC0Qzz6yv3O97mmeTfqmMtj9OSfM2dre0QmeHe+hGE1ceo1GvT1zEy0en7haJyn2nIZDC
ZvEqrN52fIWQXX1MLL9axrrhVl2yFVXEuFZJ55PsoPnQ6vebyB9RjafTpe5zfdOZwthktgh2BaqH
OY6pB1k/mdYnVgG814Wn7VK3YTTe89MaA3LZ1Ey+kD8hbhTXCO0qsZa88BToOGvtcheS1P0S3NCv
hfhD3O2yJfRuVTzLRgdzb2ubxGYnV6MvFBAsvvpQy9+NAnQlG7c9mIY34gDojxKK1k89wUrZW3A9
OBkyZePcs7wwQxQcJDt3u1ziuD6NErJVZw14nxfj82hG9zwzdx1+/VeDaKPFmCF1puqLh6jU0+bG
iCErrOE6NagtVR0Hm8Wgnbi5c2oXhLsz9OIKHYn0U07oxzpw0pdoIM778W2hX7F5xEsIUX6TrONZ
TV9xW278pgKXEI0EClCxCVqb85Odq1yQ9nmY9AF11gRVgqPpgOOnE9fHW1sTgiRFiDnhwHJbJ4zP
oyQ3H34hltpuU6nKt4/PBn09gvamhn6K2WjbdrbK4/PsroBfjt1M319egpRMWodvfv3Px1oQWteM
OM5Gp4VKc50hQA/ic+OQE7Mxc9XsHPbVDQt6y8Emrc/5aDbkAze/qtaKL0vUQW/L6sTUgeSHebRX
GN2AmTyu96WP9GaulqzUQjGRpPXGsuLi0gQBJcFc6Y9WAz3Njv9iDhJyqghhZk9G+GZLzezWQpEJ
sfijJtNH7xlH5Wa5bI1JHID+k1kfh83O6oYec3VnvImmak4oRVjXVV88V0MansrUVHDDo/4XVfV2
Eqb7DfOU3LXzGKyIHTbDubgduBH/40Wa/T03mPJPUv+dtXb4R09/D8n4ItmhTl0jNhWL8jkxOMEA
7FxNeN7YybFG7SbitxBvl8kBpkr8LMmPWQhCPvL111biAMsQrEIaQNYjNB1xh4t+h2bq8gIB91mX
M9QmU+9C8i0/2puusJP7csjsnG9O5mX31mnap4FRMLtfdPbns77nDikQovn677cVzF4BNfga+eVV
Tkq/daXRzQnlwSnpdEYHWDExrEVAQfHh0F2EnPRU1JLc9sY9SUnVt5S4tdLReRF6d2HY9Ro3KuDB
vuA6lk8ANsjimHr7L8YPKOOKLr6MXZ1cRBP+8ouGirSTatt4hr0SB9IPzD914L96mj69t3a1L/Xu
z/LnkxyPXny0ku7ccZ3v6+egYpWNN9aYouuqNPfsBbL9ZcDMXskozT5hXJrcKJ44DaRCbFKP0cs8
dRDEGtzN3Dz30qQ4QAe3xmMADclvezSFPg7snLpK+uV56f2SxMAgRuOnzdDdX2TBxN0RUfx9wjy2
zmvLJlU2ql/bgPrSjeSzXoXxJe+jT4Of44PjOkNd/GnLlT6tx7HMP7JQ76AGwuX0s9+xH6RfYQbC
WgntM7FSQr4QDaB0depbAzHelcnbApceavtX4o0Kujo6J1FWznmq4Wj6RhveitDvt7Zy+pciq0jD
Cqf+I9XpaLZFwTQjs7ItKr367HkgSuZz4LKfNc573RrDO7FNv7U8mE8NCcVsf8U+S1KH+mKWPrK0
1+Yrim468TXp39Iu9k0LJMrOWuZgXjBHWSD9WvfTgFJ4/uDy6chw/EtJ64Mszhb/8/8k1yzvShQ6
nt8BV6wdLftC0plrlXYaTDZsKor5FRMYPZf5o+4Q+7tJdh/CDOtrYesYr0Y2FbeRiF3my+UTSjfr
cSXdur7K2glOpU+29vzZf/6JGBjmNqP2PkB2vCuAqEetQCRaoIK6Lx/zrbG78mfcg/ohBEYHx5Dq
UbX3qqm7DLPYfnmXt9+Z/rSETgQMCkrf7y4ywx6oqQp5DiIRpFtoMiOG8e8Z5POjjGnDV6P2xXwF
9V5SebALRITW043PWkAS4z8vmCAbJO3e19JwjHJ9BhhDVK+Hsyot8zx4rrUmybMTn2ZsdU8Dx4ZN
68PyXlYTp5QAo0o07/rYHXuZyHUWcZPEcfq1GOYKmVrHRMAdB5EIIhX/637Zh7rOEZchM9HZdles
UWSUWV38So/sWABnvzQzBCRW7YhjzBwQRLIqBIiE5Gcbj/6hN0+tnRMqzKL+fdTsezkWEz/EJ2vK
KfJQ/yvqldckYKEeiLpbj3r3Myqd9iDK0Dx6XX8cSG1cN1QOJyngUMYBIwpdtWSGybb57kcZlAzd
3UzuTOnSpurZ74DBzO4BHKP4qgYo296YXgcjaH6ifeFZqI3omrL33h2N33k2WOHRIg5ou4hfJqqf
leUywfi790sNv+0s5nxotzw6R+OEGqqW5zTABtiFA4x5CeK2soYnQyGdDzxoo8veuTTAzcHHbWOV
v7VeC86V65+7lAEbHVTnzHT5VyZrxcSEq4pAIMwidv1kJD/DpBnvSgTBGtfeSZ/bpo0Kqy0mL8aG
HUMBQnzLX1rJj1gP5R+62391sDreWRvTXe1gdKT93101e1tH5M6aqNEfyRGTS5MXNQCnn3kfVW3M
PDj+XamnMWiO3sJ+l3oJBBAgo5UNt2HuZCxb04Agq7Ok9z1yCsLKcH9cGo3iw1D2uHbK5H0ch27/
GHZ3WZ+cS+vU5Y370SqoFQh5AhKezDMADOeIopQZON2xMysb3fUcGLU04djP/29hyQatchrYYobq
LR9Lnd/skyNsijy+SXQp60H1MFBJLodZVG8bvuwuSh3nbe42H5H+QCqZLxMViquTcuaz5E61iB5w
wVYIb2fdIh1P+2Ug/PNp/qzvZdHZkpxRmL0bryUglqANkm8BBrpjOqJuYwRhnhLMsxsH7pxwPfEe
DEO+t+u8OjKcdJ9J8plWRYgN3SW8HEiWsc76wSeH0tfE1vL7p6HXnO3QWZ/a7LEO5pflXe9bKaJn
U1wY4n0g3ZiepeeKe+1YEbboMPquFXGxLTLnEtI4uhZGCG4ZpO/3AMfyeiBK5Nz2QfKukwSBLdM4
LTKHh+da90x1YFuzOLql6t7H2p1pj/ZhNur7mIvwvQkJVE+jbmW6uOwCl4cnq4q/C70kwM34z4F6
6TlqRTLu8cO8S18xsgJKNBwLd3wGL+Q3erJi3DtAFIw4UMzDv+Vd79Y/Op/B1dKumzwjurn6eXS1
20LEYbKySqd4Iuw9cS6VGMk0D5tNN8d2xcAeYs8onltDN47tPHumPwxeeyreOxfXCzKBH0NNHFYT
GtN+wWqkXgtl1ZggwBQF5v9Rx/lop6MBIikp5yiZe2c0Ew8B62Wk1SUiymiqL0mhn/06RFPpQG09
NCkpsEXViEvRclNXrXlw+zw8SQrxeobxLZ/LkSxdqlreqrCxOuqhcGJF0FFIIWo5+ZIQgtbv4n2m
oWRk43zzjRAE/wKHTXxrWnuPWZkHNqP08mir+f23NDZYEf1fmspe8BpBOrecIxFROEkl0Qu5Gf2x
wIbskEeMK6dS6qbXLXKEVFQpKt/IPlo1kWAKkV+v5fEpKMTJIIxCrRrNMI9Cj/+uTj1/GvaPW+UR
H0DyQkJvgXJHZaPcWZMVbdq08tY2syHGpCZPaMfgHL/KbpEBRthXX+YrC3Tw/fFzdfQvnt1If5Yj
CQZODId5qZNowo/7pa4dXPIeG1OPN/E8lbfo611Cq/E2NlimdRhyPmEgn1wwfQNbm+cmYfWmlar4
FIGUiBySnO2hsrbxFGnHsEvfsoHb2pHDLmoN67wM1f2INkwEc+FYVeKtyJofCgTSk5GltEAqvbxr
jAspHaU8YEzIz27lImpvrGetMONv0tUo7akWpoyh4uwjWGRYYRMk66ptMb3E9a/KpH1qUwm+MT96
zYy4JDfZrfZWHqKKojm6X3jFekYc3QJBaA/VPNCvJlBhfB8bnHfdtyEZXh6fnuCNZZqPDazytJU1
efIIPOwR9dd62gdy/XAfI3i2ocK40nS/MFih1DlGQZjtSbVk9ZttgpDOa2KK5LTVvDb4GEZSSQjV
8lsTwbwh76V+sWcBj1UuCylouwclGllC8KjH3cGJ9zW/ic2E03aTCj06GIX4yOJEu9HucdZaORE7
b6NHHnrGTEM6zw+Q8vcmMiwfsdONPsaHnsn8Xvna3S8GdaKpg1hkqOrvJoj01fISl523fWQ/YMRU
tMUeogc0WUTicPZZxbM+VNWOcVyY/UPAhChkNkm6TUj/ovFL42pre3aA8iZd8+jQADw+wsPEqnGi
cq+FnY3TTD8t0wdHByLFeFVE8ACWsUaf9yPWZ1/tBcKMbdLW9abBDIL9A0WQlcTbIQqJmmGg/mjF
1EiIjnHj3VrEP99Cj8z5Ku43j4cI7lua2jH+w8r6jEs6spXmE2bimOoVNv3ebibyaDIcRMsoQsdQ
kJQRwKaB5qWWO5+DlqdfcYYSpScOzquYEy4M/hC56a7lnkf1DTkX17Y8S6dyNlHNKcKRbntZXmJd
/2EyEuFIjomfxVW0x8RCepeESLnL4eoBbmIBzAnjW+STeuoqY5M2LH0GBUo9Y4scVe2YvmU8bbn9
FAQ69KHGfV4erVDa7IzF8CTDjedAlfO6cK7M5hvyj9+lw1dUwBx2DG2ABOdP2CgAXj3usUjX0lVu
YRFg97TW3dySiMw8O8gMxXfNck0mMuOCyaqsQ9IA1RnGCVUvNdnR0T35rMWoV5ZLo8JAt0T/xFFs
XJIWigc855VsBvcDbcCRZjxd4FptFkKDpA7ZaowHn+lfmXiu+d1UDT+TyLs9vxrZBE+ekTNEX1SJ
mdu/dHUQ/MclfwAC3Gfg25CXGU0izrpDRqhZ2bvpeWrqv5Y7tER6xVRjoDVWpGRYNNFAEokPWaJ8
rhufmf5gteExVfo2m7U6C2CBnld3yJMXNgDy8ViHmVhbNPp8HKi+SdZHMMbBHQr0b5oy+yFC1+IF
sXdOq+6X6YbQN+ZT0xCxf2UZdGbS8spL2mfRC8PVnVZbX62DhyW1rf8WrglhX7qEgWbRmIyaM8CE
fNfw9ZPawkuVJtAz7DwnY7Ax0lXfZ29VQUOWSCznOLpFv8tDo/vsx3zLyFG8xbLIXgErgL5C/RDT
5ntIp1LRRefHk5HPuu9ugLtg+cTixPNO/fcBtaTfUGeadbQGMjSNmTjeGKDlompM6dVnr0PYxr+0
aNZ/99ZsWvL7U2I5GKMn88NrOJwVQUCapGeN4Fg57v7zssgZlstisN+1OeLOiGp8zzPihRit6K0D
bL1P6p4d3yalPjbZZr0UBMHCU5jMciUlSWsLWAELWrBtfFYMopoIWMsK86YaTNUDGsSWDsMh7cpk
15uQd+clKYhzZ10kabyNiePCB9FUIOPBOqD7rOoNAW0TpcE8VGatOFciLPcSCuJ3Ub81YVnuynLM
GLYkr4ZXan8sEAeSSntlFDbCCoRW9PLnJpUWWqnGBDJFRGDjtND6yMeGavHUzDKEGMa7XxlsGxX+
/Ajy7CEp2mJvZrb23vfBc9raBtqJoqTAjwN8MDKCcusV9p4y4ok4JWTfvQ3vlCidaevEfbkP3Nh+
q8Pvlez1P/Afv0b+6DcN6TAnV1mvC8Bf78s74mgbuhkIro+OWQ9EszNC6VzWoMZWz1nu9q9eyxLh
ZOLOraohiGRIG43ut6YKzMNCtYrN/BmRgzo+dGQ1Kgue+OgMuMOBQGiqH5NAYqqPGvlJdefdOrdw
6AKuTfiB7AexfoSwoW1EmX6P+46o09Cvv/le4188TE6Nq/DnuhVoSs4ju6XpZHuTdxh0cNluxANp
w+7cIWCv7mSHoLembvBw06/jysjglKHSisg5ivq03S6aLQ0i4W55F1lethsYnq6jevrRu914rf0s
2YexgKmQxoxE++Y1rNCbKQmyiG6IdyIdytyrzAK7XTCoALhpPJd5ajwLE4gIi50VtuZeYnJdS3aL
YxIQULssQATA/+waF5Ij8/2XPLCv3lT+1gnVe0qJDELwK3hcCkTfwvbCQ9vZr+2Uaucs7olY9/mC
ehaU3/BP/C5txt1kRaxj4cUvCTapPQP6s4mq8EC6Tk2Fl9zNzOmJg82+FjJl79o/Qco5h5EyFhEg
eYQa52KYJiL/LXr/gO9GfAvDDsnN2JSnitjflXSciOkPjYHWmX52epiguQOAJ8YRYnMd2ytTYNJZ
Fl/lE+hTpM0d/tG1t3vzPdNEupGW5h0ZnucENeT2mpz2kHzJrmIUjgBkM1mBc3C7Rr3Sgd4JgarK
BHtzGZysvScVxjKdCJUtyhTrXUvIDs7jb5h9SJMdqttS27PAU0QNr1rxZ5jVRDl58OjQcvq0nUdL
2dL2YBVfo0yKtyzTeTBnC81j6XM7831piddZSppRiKJiaYmTmLvGtb839Lo7dknrf7hCbVGIqx9u
hMQScZt21Drrt4bDjQmwbt/dyG82JrmDZw5R8ZvNL4Lgx7semeIzz5KPKk/H71PbpFAa0unV9jO5
7VWyC/vu5PWODZTc+uGgTKEJ3cY3Vsz41oVGSwHrlvtCL2G4Yua7af/F3pklN46t23kqFfWOusBG
77jnPIBgT6pvUvmCUGUq0ffARjMkT8MT8wcofaqx4x773REZDJKSUhIFAnuvf61vAad9ilIMDmBt
vow9pi+Vi52vuvMN14mHeqyREsgy3+ehgzvYtuW+1834MYMcwM7hKigo2UwuVRdhobyttvpPnWCq
KpXIocQa3Of5zpnGGwTFfIcDnO7a3iFOkLTUtsxjvRndzr6zQBpvsgl6TZ0Tssxx/191pTHus2b+
vv4tyn89PzCqIxIXMwEIKWBe2yrwI57jZIDUpw0X3QrejQ4iYxY4+o0qyBWpGvnj3MTEWFgShY+j
w2fVia+VBg6JvItfBXCzzqwwxqP7JaFqeZPkpKSAGgXbEcTw1ojEqxJpjHDixoouEDWccfpiUvUl
ZTkcZNcl+0oIKgTwnd30KEFJld/UY9xtBwOO8bRcLPQcqRRfNp0usRDHUYr3KAMtLmrenjgDiy/Q
iGcw86+a2RkAdyk5HcyueAndmQAv8hXJnaJ80LAve2kmxpMsQZXpVdFekiC/T4K2uZvaur7Yfd76
CkZcX6kzZ5u6o3nS2XhvxjiAAo14vm9sw95Wbou/wbJetdppLogl7WUUVbZjOk9vsfuxJlf0Jb6S
A1nzOHyCM8FVGu7VPQ1/2bY09emuTvQXPLDVvZrRZyaE+83UqT0MQnyHqw7yhywihbKrVOUymxX6
5KjvM63W0CMRjBQJjpC48jLHyHCq22H16pJiTBC6WtXRn9m1Qgl0DHZr8Ho2eZnPh1WSDxNMtwk8
ypDtQLysFrOyMY5TMA4bp7TGXTlLTqOLsklFQ78RTklqJ87ulMiO3gASGUNK9Y3S/ryTFltVS8OX
ROn624gUIJnAnt0fpjeKlD0NAek+mbo311nkLRfLZhgkzuVzVY7bdSnpsEsvrg0dYJQ57CzGGLsx
KrPHllWqq4c31dLjTjdCdWnmmZXq8lCjv+kwM9327SOYo7qA1ro0NIyBwBBJiXC/h/bfPDHHZ/iZ
G+WHrjxMXOw3n3mcz3OREXOeS/RAvcgsz/0KDPSTHpRPdsqoAWvJV9uJWNSlqDR1jWlCptXj+tJg
gdtiyDty7mzvJZoc7VHZC9M7/XnWl6i27DnglHjx0XT9npMVnmd6SZ5a/jpbW7GcHSUF5HtB3V9i
CtgNF9/NGplgSxIc0pk4cKrHeIuTQmI4KsxHpTOPWSvHW/oOzUc6Xmzmzyom6RaoSkd44a4sDDw2
qMMq8/zjlMfTHct62++k6RJV6mDOcL3b27bDpN8iz98M/XT/OToLyOX6YdmM1y5D/ML10OxZe1g7
1t3Tdg1ZgIv5+bDv5v55vlsL3rQM51wyM3+Ils6XJCzSJVlOVijHB0GGDV2DvvmLYxk5HEpiVWEV
so/kA5t89fVibao3ThyzGF2UXsxWuhcTtDsnOoF42qQ/IdMtcuDNsKafVDHwewf0eAbCxo2TMQBr
QxtOvZF81Z3oaspJ/85F90rvi2/YpX5Zs5JBTRdpMzs3ekPmsCgmoAkw9yab4T01us6DorJ9q0zO
jn14zD931SHOI0e3TL5heTKGKLlXyd9gsFfltsgNjE8Mn14+7yXYl9bTuyaalGF2iXkya6yHlAX/
J7N5/Tkyag58NK5Zxvztam0wz8zWmmMX1k9lqW4HvKqUXFmzz9ku/l7NkpRxLYeTTbU2oqfLCUOW
XwT01m3eMdhdVWpWkP7n69M7BiVSy5VHS0JsQ1xNTqMW7Bqtbl9mjKBHpxlbluGm2MQDULRE1FvL
DIOPphYPlWo/hdVUPxlu9p2aqfSdSNT3YayBEmjDm2LlJ65uxmsy0V7LqJGZ/Bglm8hOfMgL2b3U
I0TsySWk043qvigtE/oTBXTLfjFIx+xW4gYkbQufQuOataNb5MewtCG7UWMc3NaF3ZPkd2KcMfKz
w/5UzdSw6DnYYwNqRSBfQ3bj2CMfPgOvTn9X6U7mRdacvbCd5pUriua2B6d4EMnCWAHnprDwfqzd
oDmFlIt79WLhW58L5Ydd0nHUmvaLWmfGjknfS0jkjERerb+6ggZ5VSjJRVvLsuo0xwYawy6Jse35
5jIUglo6HT7PLdRaJ9cVs++w/96T3j+HpTN6y8X62zC8BX3Iwm6aqR/YsEOZQR9UeF9yIVFqtVQ8
jjbqfZoNNp2CiPAxgDDo7GQM1IXOz84G4+LyWoIau3Xwqpxl1UZbtRzEV5nYXt9n5Z7dME77haBv
W/BjxkCXB329TBAn08tQf5jyUt3ogUyPYfNIjl5/DkJ4RSkzap8Ikr1vwoRdfTylF8Phd9UKu783
moEZklFd56xQ/KAaSC9pTjadPu8GDIu3yHXQTIEXNnHzHTca+KK62HfAVsmcM6tdzpmqmHpiIzd2
X6k3NaP8/UCBx+XzBRxsTP12gvGyxCf8mQwy6/bSWLqxrZabZsGxD/BrVP3gosQc/2bAT4VabD99
jnM03eRKim3ehfX/xyypY+JBORiTnCXylPcj7cIsUjH7M7jr24dcT9g5VU7vZTQBnT9/MtCvXjBh
QVpzN200g8uNVOk7q3idqZB76O87DFFmeyG47YthZOEhZZb5eW/dCJF2aVkRV+195ETaWbC4hP4N
5nc9t7kFFq0omhbZsjqtxQSBCp4qDKFoJVqO26KWSLkWtK45CkJg1HPusWMyfw8w8rlcTZ9lNXwB
pwdfvQjt7SrzrecdGYjWr0f799kkKiLN3nzQyyzbOGnJtc7Qb+JEVTeqxQSp1AktaNiEWlIYIF7n
6kHPdcB42oKmCCYl3BSu/l2FLXbKw7Tzk7yN95ne4OEx0vaSURLMPhsYaiy0YMN/rty0RINZW7PL
R1w4K6WVfyx3CropPqa0O3NNKtZn/vohBULd+jnrJyN/Mfal97zULF6QubDuwihD0WQqvsXG2XJ6
IPKul8p4IduCNQsR6o1DitgvELZb10nsWzSxipmGrbzRjsdi7I8A/HrPXkLxib11yltHodktQWa8
NRdYLU799qJDzX3GDRhRHyqjK1mp4NwV5deA/fJ5vUliQWUYfiDqT42jjCrCW3VgHEnCoEV2rNwb
LAvPqQ1CqrM41yu0jF3XhyCPvgQjPM1tY7F8o2S3eDOSAH8W9slJVYJjtthGSGj23pQAdjOGQb9U
ArNH0hjDPutB4biL47/N5UvW5+5DM8SNn6utc7Bl/5rM1XhKNSdBLlHVB0h99M0hmotxazW0uKLA
ZicOyBRmW0NjgYn/AqF223f0LKxqsm0nYCfIjHM8AkWEiq3TBqZzAFcbSr8Yxgtp5OjRwddJlzTo
4VnWNzXixl421Q+XhNzXSRmIbNNM/Bkz7S0tZNiLoIZbzfaBN9Vv+K5+BBk/y5AND2oDgzkaCHkQ
w4TRTnysjvPncXmgSJ5ePyEczOTz3h+fqlb9eKu3xegTt6pfCRP7K+bb7YS1zZoxgxmUNch3gx9q
6LgkBQYILPRk0nWABm7B/cgLuVQy//1xb1TbxzYX4rlPb5Xe7X1b7/S7xp5gFkTzt3JSOV9Uinpn
p2V7UiAy7YA7QfRjMHwY1SHz+napcGx6Kqo0ZOm+umZqNC99uuG27FnkAiNNXtXarj2Kh6ZrXOfJ
axTTnawzCnJEV+ONLU+1G6avFeWVAM8AyKyfFdTF733gFPtqgNRkuFSCassFZL3pgvCp4sg5h6n8
+VSldw+U5QXnzJ3ZZUZGeE8SI72sn5/apB4+s2FdxOFIH2D/SBcwEJqO/hExY+5PhxvLMiVGHXjy
ucNUknVP6hvLcywIvw5NBsqkGQEOEu1lPo5slyL6MOLEdzjUzbCRFqkjSEjysWzx8Aiz5a0yNrvV
+rHedImT3zk6icEkT6dd0b9/ThyHSEbeVHXOd0hUBkryR53g8+KlGp5qPLjeoIr4oIz4S9zlRhl0
+l7NEDmG5FRasGSoJu02znX7KNAkqQHEyzH00v6azjSngUZ5acQ4IuhKbZuTxj6pNdx/rGuLR85O
bHx/lnWmWBrVqBvczfqQ6B4VHPkkwCi5za5Msvk8ZoiCuI9LhhhW+6ZU/cyfIfFZA9+XTjLcuUnB
lDtGiQFBRZM4Z6JGFIQyadhal5etIaJtElGXY3RiuKz3ovWhxaVByPwe9dx80OgRMcJs37kPba3q
bGK4kXo1n6365DDs2dR6yd5GX9pbSUzfp+Rd900UDli/Su1tknditpyviTkzebHuO4BGV5vpPgEa
gj/e0KTRbn1SiZpoPymYetOqpgUd03ndJLOnulmxE3o2ekPXlqfcmIgkZy67feMaV1Lz8e8z1TH0
BSy0JMWGkVFR6wlMYG+p4tiHks77TVxZKX1FvTFvJVH+2uCU2eW59VBSJr6Lmlo/tUEwXS3RkBZM
9PkFuti7MBTlozX4G9kIv5DTvwlU0KksiBaTuH91S4ATQ+7ejr2F97RZhtmhC/tjtI8dcV1PW5jl
o61Nx2pBISSdybSVScrUVOyWGfPfKDQFofHC5xc2vav6kLSnyQayiVQ0bSzZZae4tSGrD9k2Rah4
1I222IcVuHB2a79rcUoeoUdg6/JJP82V0d59KkOVsDw5z6AiIOkQf6OUrVseUoDp+nZW6vsupJ1d
CFmfSTfz6oGWPRAhVQ8AStVdW2qRn8Vo1YFlFHegWGO4N9CcjFQ273FhHs2BvF/PBGtfFlWxn4Zw
POLNsu7UqY03UrPq7wlYxqbAWeZm7gX2E1zDMS6PZPecvVpM5lnrHpaA/HszqYE/4xk4jypmqknM
x9bGmqWmjOfogov7irCFPXaPIgxv9UIf37hKTY2Dr3nZNGMsbE5kCcnSO6F7W+uCX3y519nGt1yC
r5+tyxIEfIFLf476yLkH9GA+I1GFJYklkmQNmlwgNtlAlWXRy2IXalZ8TTUxHQVcDnik07TXell6
6ygaf5R+GTDSfILpKY3aDWNY3o709cTRw1oGzJyM1XcgfcWMa0IHMnxab1QMsyQvH9cHNkk4Mjya
sQvrZbqYw4+zS6ntwlRMnrEGmpG+GSngIt3+OW0r2K/1bKqpDtHfrCbWX5tKKw8Kc22uxDzUEeE3
qemq56QOLrD+bZy1WGe5NsIGqo+hMiHLGL+vF2X4v+qlVqfCm5Sp/zQY9nKJFBJX9qwlE7tGYaep
Ds4FpwB1qf4A6/qS1q5xO8q5Pki7y7ZUzQWbdXqvpLZ5thMcKetLJiwaTow28l1jpFthDq+k1OtL
M92udckkefRrOdbn9REbIwCtK47pc11r641BmRxfNdE1TqAvLXdrcN2SmHIp7XvLFfF1nUpGi3c0
UwhfQG0lKFnpxr4vetTY5aqcESu0svyxgVzWzip1j2CYd0Hu3vST4V4mmSSHyXHaY6EptV8Lyaga
Famuq/BVWpQIxQaYQjoJnQcqeLdr4inWw10vu+raZvGdMo/2IVFUUFVB2/mGmBlWRZrFRcAqf3w+
hPGyDNyphChK9wbQI/bWXseWGfXm/nNJU2rycRW64SQ6G0pR5KfQTfEwv8gco7Kj6gx6k98wCdoD
Nb+vyMmwL+aXRCakSra4JDi8LgpUMPTb5a6D/nsJlhsm685ez9oX6QZMLuyE5LBrhFDW6uqt1Qb2
nUV624mWvUbWhGdkNvJY+qz40Bk2mUPt4LhsM/KMkrRyynXUJDRtB9rybWMm9WHqlH7f2iUk3LS4
izuj8Cp7Mg4Eh54tZxlMK11EhwFsXQ0jckMYrYgZz059Vhme3kGUwB2wTKj7OfAhGVUNU6+8dV4/
zWBTHGXbqB4tLxzC4zoD0DpchSS3MBBpc6ltCyXDTjgY12ULoJRq9S12lIfQ6oJ3LXhhI3PF1pN8
N0X3Tj44ec7sONwzWIr9z0uaOwMRly3LrJaN6jfeVHcRKc0X/t9TNw/lRtZ285xNA5wGtbE+DBKT
Nnm6mfmmX3AtJMPVTc15vZHQ5j/vUef4iMQ470v2CebVAUZ9cUsT4dyNl9aUJQFSDfKl5wA5rNtd
M62MXRqBd+Vl+UHmQLszyj4h++XY58nSXxMRmhdDgBwwZlHjNxp+AvcpTqAykyXo58uCywE5Xyvd
2/UGo0+wJyw4ePkY/Hxu/cBkZ4RmMWZs+mj4ypkH/7pdF+e0GMObdbNb2jhYNZOQ7RD76+xoFKl5
H2cEjhdzeJ0NL22kGfioXWRF19LP6z21N58mOCzNlvYK55yWsb0hV6u9iiz66EBIfrB73ZAo8Qtz
HkkvEk1KTByNOPcHgK5L1DmIzXSzfk+9BxnZZmCA+O7bXjI+KYrYxlsAtfhT2uknmkmiLP9aLqlY
9gLEa4pWnOt8hG0R5YBG5vxMvohq4fUuZzImX+oJnq1+lbBi0GLay2oPq51iYl9kjFvaWgFh2qkF
QjGaFmauTbirHbcjWxkDJtwA1Xm5aUV0bsnynxkwRtQrdV2xIwaEPtjrCn+pjMZmIo9Tbu8GoJI3
dtR3JzjU6Oq1vJmWp6IFYB5y1vS7WadysQEkojSXOpbTpV1uZJ8tN2br1TR1bUdzarjaMWAoDPPd
0JTSK1WutmEMv1GlLudctjMXHYU31drJHasYftnW3YnckGdGcMx6F0EnTvtgozZ4s1LkjEeYOV68
nEUIhIUXbBLvIUUlu/XRH88r2kjngWZ7WHRIw1XOst2adEC6Verg92XooKCbfxup/06rxv4muRMl
PEOi3ORSlkM6vOtEnj8odni/GoOaQLbUCLOSwZuQU1/SfFGxHiEbfxsBlWwcVPIbtZiB2vBu16VR
Cg+LX7Ud3RAbzvJX65LJ9aggodSwzM1bKNMMTZeRqMAluWklXfcrNU9JUpMh2ga8L204xcCOsqZJ
L7L1CceG9lriEfIqqyLkS/4LzngNAFrDXhD2bDisGTWmZl53Hly2ga5W+GOul1dtcNqHRGOwyfF/
RLZdgNMa43/00efS5VwXxBUus54THsQX5aaw5ZUxQvAysvelHjMYsezHu9Uj7kzNQ5ghsqwGQ2so
jgXY+Modv8BgDHzItN9DR6lP6cLfAbqOpDcVwKscegldTcmvlqJcKgYUj7Udvdea5nw+0lQMGQ7R
dEQyPphG8XjF2vWyPlpvJBY5c6ZRd31k5xrA4AIIthnD1cqy8b4a6x8a0nWSUHCBDEJLGEKjCs6+
kLZ7jRQMYTUr/q+shzfVUg+RKwM31MpgR1A0rw7wom9oaacxtUC3NNKAwS8FGYY20+Frm/1OQDsT
855VWcZxbRrn2n4bdMIwfrJw8ztzsNAlF/5awvyBExaTvbzA0aWa9/PsqEfDcF+JlmbE42gBYOk5
XDsn/4Jv3TmRv8p3OvNWbxxluLeWrninzpu7uRubu16q/67pzv7f0IaGI1xAFLZhqPQf/r3QKh41
gZDBwSLqiex0VB1bOGXXBt/mXWY/x8tMZWYKcBYy2yRF+iWGO352Jse6Fnmge7nmHoalYGU96Vfg
vg+E9XQqOnmuVzIw9c1NGdClHpoopuu90hiZr+CD/UxkjdREfia0MBHNoPqw9/ajnROiIqBoDEqy
F4q8+9TRs2DwK8PwcHVXv8syZzI9jcx7i7JHw8eIlCw301LMZzupfQKQ9Sc/cWCh4pgJBbtEchhl
OUnCtRv7Uw/zAbm2YoW45NK6kDEWqpt+l3eAq1obX39i3MHsTrdsJIxPfFE6BpYHL77YVnjAWugR
b8KqK9jDwfSEO8LvhlzftlGl7jtIMSvd8D++jf8t/CgheU9hWbT//E8efyurqWGa2f3t4T+fypx/
/7l8zb8+569f8c9r/K0p2/JH919+1v6jvHnPP9q/f9Jf/me++8+fzn/v3v/yYIt5upvuSR5PDx9t
n3XrT8HvsXzm/+0Hf/lY/5enqfr4x6/fyh4qJP8b6dvi158fOn7/x682h6uuAsL8jz9/j5+fsPwS
//j1Kc7L5pfLR9t9/B+/8uO97f7xqybs33RD0zTb4dzjwND89ZeBr1k+YvzGmwHUJ99ICGHRZEcw
vov+8avi/KYLuBOuCbEVqymB7V9/aUtsR3zM/Q0Ihmq5uuPqhi4szf71f/2Mf/l7/vH3/aXo87sS
h1a7fte/oDQdy7UtmJWGafF/OZAw/4YdHW2Y2l1Vk3zu8gH7N4vzBD8zwTXloTA7ELiTfLWhmoCz
Vrky5/HolSP5AYmybNR3c/Ju0hhBrD6+5ZxG5HWoPoj5DBuqZWmB1qPWb4DdE0oYe3dnp0l+Vhw3
3ET4UILMvlT2wNK7ix7rMhk3edziCpQdbeoDwmtl3U5B8vsQfanxd260qtqpSKWn3pYpJ03qDns3
FFulhN/U4+GMI7ptKNSOATYCNkjAMqjaZh2a0v1byyTe6yI8Tjj5NmyYfXA05akNoTKqauP4TkHU
VI7ztVU0bE7wJtQse1B6CwUimhrfhDgFRyCAsYRjc+ihtXZ93FBC7NwxnWu2c13T7pPEL308/9Aq
auU616QuAkDeiNniVKUUtqa8Mp5Z0zGsytcqS98xbiOBT0w3s7uUsptdTwaB3oWp2zqd9u6Ayt4y
Hkq/YWXwNFUE9+Zk3IYB5EJVFPgHaT4bJekTTUaXulWhjmdsSYUkliXi9Awu8tASWPFH8NA+TCP8
lJFKsjbV6AJifU1lY+31GIevEOdwPZYw1TV1E6jma03efts5AcRKe9wm8t+0kdvir22H6wHIm80S
7CuB32pr5fefWK4LEXuWTlXhSkzqXU/G8lCxPvXiuWl3ZSbn00QHNHvNJcOfjWfTqV8UFKC9HrvP
jK6GA4rWTVrHvaeSI9m2Rmf6bNrDB1uG37RueCr6Zc8VNjSWjQA95QzAwFHvKSH5gWrGNCZxMEpq
FIFVQO27cOl5K5voVYESRHIskdrTpHWIJJSKZx0umLDYsshQH6esO0xZfuRwV+9VxXrOUFD3ylgC
p4Yv7LO5EnskVspYaEboM0f/EhXYy2iP8G0L1AqOD1zRM/0hMPHdfTxbAypVgl19DHIMCOV8mKKQ
mrqiGnxb+WpyoLaCzi/YwIwwGLXuHTAQ97jNPFfp6KHokquioi0VFr+zFeivvYJCUaMVbrDORZhR
MRzYtZ+7pkEA2zpk9kR6ISxVpoTIeZOm3OnLkE7pieerUeJbWFym2WgZvKo2GmXUe11CElAx1GxH
KQTTsDH+htEmPaiWVdyGY3hp2wZGWyqkXwQkwA1FS89KZL40MdMUdRT3s9uTDB7zQw474ZyaFqh/
kwyyvmTyGL+rT2FGfzQbTGbZUT4dyWEuMI4f6Aji0PTGQPknTbBIDjtbw2qnZ7I59oa5i9rxY2wi
90pw7pwtWnJY4DFKqfLaJUG1UPa5qUvto6S4cAe29lpBXbwgRqoPvRU/JtCU+AtpmOwLG6cM0fPG
Yw5Bqc9IhBEuZUydmckoK75qTT+eHWt+VGk3hJ9QEKwHqwWFhh0fFKHjqPBDqpVgYpolA1jchomw
Gvye0p829kP2RQw0pMx4g4dIU+6baFT8IrnAyCv91lqO2AXe0Sc5G9FdI3xlmsRL59JxLWtCnlly
cfjqU2hx7FkjLgUXSzNEbgFUhCL7kLpsHWHYV63Swfr/GCR9fjOkhrnXxolFRDuW0F1gNHWqfWuF
jbOVmqh2VenC8IPc4eGrjbYUZU5AQahAsKkYMlonwMLqILpInShpvZ0TIOtZETxPnc7cLcRuZNZs
EUOhyZ2z5LVMu8v9SMnxAwW0y1JOc5xTa8TOTnIqjA3pKcjlj7lEfU6KIIYQziyXGnYaxzoSdZqd
5y/xgNNyWVJ1GHKOhPJA/jHuO7Hg/GrrWrctWmVpSxhwaowK14cUBzgLP79rsBuKlNmsS7obIId5
getFlQuWsi2tZa4XEdno+OEPptaxXm5cB6+ncWpoYGfcL7qLxjuVsa9N9H9Ogl3f2MKzWIOh3TgG
TA+m/xkVSN7Qhuo+DFNvdAI8HYHztaPNle3gKLYYbClMHgNzyQEdkqoGRrzcuNG8w5lgXdmQ4cRr
nNvaxglU6PpzYRfyAv5r3phZs+3yqDzHVpGc1dpXkIcLs23uzZRyl8/uQO0b2g2cdfwpB5xYkx/h
TfMzJcSs3rc2DQgIShT7lKiwbAAlgiGVMCEl85xGJT5PflkTEkCbpPso7w54LS5GkUxYE8YfvZhu
jJkZoBYau6YE+9NUnbYp5m64BaCFgXi5omH9PUrIH1sa5gEDCTiviVadMkyDG6XjTxPTib3lFeZt
7DKZcuUVbui8HQdeBUdVhhthPtiF4zDCeDWdhOgEysbO6MPf2yVgS3TgolFtyPpAf58sls76g9MX
6SVAarD1kDdy2x4rKcOtZkKuKJKnKnmt2eB6gduZ9zaa3KLGiA3KKK+2nT5yupnOxH12VmmhAbX5
16rQ22Os1vedy/zPKbDtcHFu5vY1M4y73E5mn2xUtpXKwFIgmp4z4XDmMaarKqOIUArrkJ5WR9JP
iCxUbJF1J28XG6T42gZkiK1/DQyd7Rt0K7xmX1TxUqfm3tJmFd4giWghiiPduXKbhG5B3wBFTkuo
Hz8Dl4hZjBwZmc70paAvYjLbvR6B5wmV8CoX8jRvQMc0lC0g0eYcSVgRasNkuYMkIs2ZUhvB3lew
a8yxhO2iVNtyxg5OifpGUV7IviWt/SDOcyiJXAviEo8CyPVt1OnO1nKbxBvcqdukPVtx2LuSwL72
vRe1zXza1v2+nVHXoY1tgzICf91MEug1dFLRfqnK7gJ58Tj1eC6pw+UK0S+FY1QX6iFolMF+IOOm
nvuIvdmURI5Hldptj5KRcGBXNJ5VTOCAb/b7wcBz1PE3xrUUFx498AaGFnIKuKCYHdmS4xNXf19i
u+dv98YCJgJXyA8j2sE3pHjlgjifcCpRS2OzlFTyHJVTE4JT3BulZha1ifpTJEwF6ER+ko1jY8to
vlgOaiiOsV0xT2yi+wRvvtX5xZClmxkVCBAvLGgKr2JOdGSylOcpTcF5WhQLOV15G1D1faXnDUh3
ERlblKQtVMeUHf1N0dIYXkAAtYBMirqE4K3UR5uhtyeoWzu5EloOQ3b6N7Avneekps9OY52XBl2J
E7+18P677b4Nx9QnzRqfe0yfoIXykYtFGJxC3RSsZXvlHPRjv1dHh/Q9+06vJJy+H2sj9mrUtE1H
gMQDtiexcmjqYezFOR16nPWNxTJTp7oL3i5ZxMkrxcAKt9FvBs4GEIIC40rVOnHG5ZRkSfrhrNh9
KLVkOghxxzAz3eInF5yyjMfKbHDbMLxitemXEeseLHgWVHRA19dqEs8B+p3aU46pfxRuep/1ML80
i4B/fTXbXN1g3cUBhlQ6GU3vRYp1KJwlyaEO/b5i0DmS9cXX352Z/k8nIy58StQSr5IZ+OnUulgJ
DjYEwvMMv4D8tnNrLkE/TbtTC+U7RuOrhRWcrm/rhGu1Z1MY0M0iNAEhDak+leGxiljpzSHEC6Cn
wCQC3j50WkN+ir04C74XhTnsc4Jcc6AVF5pbOjjfpFrulfhdNyjhk5H9XRtIruAQ1NL5Ui2FSgBR
vnRDeVTzlGYNhysoxed+GPaSgYCnD7RRhmEsfdMiuRvkxVOHbn0KiRqdIMed0pGJVkEzi1elMeQN
wO1hKY5gnXJmpmjxBbTFMa8eIjDbebvFfNILz2H0yDMuu6axmS64pzexdL1CR5osqsnrJbEKJ2Do
Ag189tvkmdA4m54cU1wdMh+y5Y2h1XsuIa5dwSZGtdAKMJah1SbnLCYxHl6OSVGfxs59ZNP5zOwx
2dDAVtteAwYOaR8aTxMA7Fa0nmIrziE2bUWByqI7CSvAykazrUtDeOMgYshk7klvx4TXRN8LVgch
ZYpx2SrsrHgVYKsD+ErgclvRd2CsxU7Bvc/MRfmGgf/C8RbXGmfR1jqSa3sJRJWC4vAlPG54V/m7
EuugIV1Q1r3jTX1NA7eJ1yEMcSLWZCMG5dswRsesTH9Mgdn6ujrD99FR2kndRkslcUGcSyPVCc13
SPmAA/aPWEX/bzrjxV8LMdhEORrhSRY50BENVVNVdvl/2kTNqtlkjVnLc5gkjwkupoVHMdIxaVbZ
pWn6r6nE9kUwlu6G8DFiVRgaKl1s1BkuU0PZUiuuUUIEUYqhAkN6rP0Re+GR7REx4fSzwOP/60r/
RlfixPBfaUpbSmTk//jvRfz+Z0lp/aKfcpL1G442C6FGd0xVhdH5LzlJ/013dHQhF6utZRpoVz/V
JMP6zbE5LFRrOTL0VYL6KSYZ5m+G0CxHNUzV0F3D1P+ftCTTdv8iJtkqWVhVAHfgh6MxBoXqr4ch
uRDcUwWWp9SGPoOxj7gFZ/SEzffOoBqA6JkkcUlYVEkkDYctOcIm6ZpbYIOjF3TML3L6buIUklpc
tOzFGNxmbnpOuxsbXzleHm3nNEhEZFGjTWMTHIiK90Yw08Whd4RBxAGtuDOjXQWBV/bUqSjKIQP+
4YEBrHGtlQqEB7zp5CJbBSYUpRXTuaAdnDa1O8L4lQcCLNlIcGBwvUbQVolqnIc5jrwk4DmLgeli
TfWpX60ZxUWHtMBo6BQscPqC7YyqjLcWTvuJyKkfa5K30cSAQkPIZmdjnGwTjEfSi21QOzu7Squt
YcPSlKDZNxZQeBBM766pa/AeNIw+Y+snRrYNZXeII/NjqNqc8Re4vtZl06zSX4y5L/H1jFI0rEFe
Pejo3iLe1nOJ+wW8A5cvypea1GTFEtEM2yXHSOBC5pJAF2q1jVJhw7WwNX7++ksrg5u5IlbV0aDO
5HEZ1/T1lbTDw2Lj34yY0jdivm2AyxLO7lCn9QXQoiUH1wZYEYQQdzsGTkOK0xUdih2UMsudqFj+
lBaB0I4VKefvSGxU4vnz4lSyzBw3f+HE25LSOm+wTL5et4r/yd6ZLDeOZFn0V+oHUO0YHMOyOc+S
KGrcwBShCMwzHNPX9wGjLLN60Wbd+94wRVLBFEnA8fy9e89dCTI/zZQcQnuQ72QbbomJohTGkKd3
9UdLAvVqLKvbgBFxoRKXeIhe+wVq4Y1uyK+851qZ+xCNpawYtuSKkQE7TJk0txpEYI9zY7bXpku9
RRyqE5vmNqW+cge072XRXTp0t/SZ2EpqBi2bIjW5BDMcQNlNKZhmO94iQPmqNhdtq9JF2XbFpjRf
dQklqcPPLcaAP3ms32wmTp2TLoSNITlyx2WvR+aiMOMaNkALjNBCJz0bTfHpoEZgnbb75sOjh6RT
sLEOI2aLbMHo3D07Op/fCKgGkaQxO/Xf27J3D0E8ONgZQRbV9DDYPolpFaVv+RzBHFUr10P8r+TM
7vdBAnbeMjGmM0IM4CBQVZde6V4QKRokDzg4EiZ5zdmPbjJVEL1qIzRpRuhsdrnR+GaKcTvE2EUN
YAKDJL+WbUdUciymK6h6DuICb+b9j59KH4pDOJZbDv9XLSMQWfRM0zILgf58cenI41NTUm/GgcYG
RI7FkOcc7Vp2QCZMmT2QPQg4mb3cJ0EgHFpu9hJVRClOfLdtwby2wwRSBm2xM3Q0mW3cAFeu0q2R
s5Lobe5tG6mWlcYBb7j5B7EGalFOA9se5CYIKTh0S8ofvydVuyWuIs7oD2rGYMws2RIFVrlxDP0n
aQTzyBh6XSMGOInuiaCXrXDNZqU7bIbYTxDK5T25vOwy0TtOlCy5gUGh2Emgx3TxBGoMQU4UTZQw
kUJ84OnGeiC9ICD8lNhZEqJwIjYVccvDLFa2avaMJWDTHcQHIEXlRlb0EtNgC7v2JxE9sJTsepdm
DJMMyTmoRtVi/4vWY8xZK7uct12bq3a0OL97Ng2j7T6VGpAOPUUQkeviKEL73QqJv4CuNS4bF7NL
n2yVz7QMxRgAKw7vBrFKMQGUYf+ThnwwCYkn2ERThJ42jLIanwZIIWcxOMbesGxWVzwWtOnx94CS
XTqjkS8TyzfI2Ej1hZt9DwJDoeWM9bbK+Sqz0ibprzQXpjtBIDV76JlU9uBBzWWD0XbRFCwzta89
OUH01hZn6WKHIGngJ5FH70UUvyLLYuXJsCVLA4oo3amllhPRm4mfMZkRRYDZa14qkdKRY6bz3qzm
1MGv6kkkStzueQJ0y9YCz3rpAWlL5oxu94fqbJDGdrvp7TEiV/fNrsd2k1I4gvAg55UiusVz3chP
Ga+dWLhLn74qF7foBzUzI2pzICdLkJikefmSYAr/UGnBytDTJ8V+YqEcglUDZ+RMFmznES2RWItJ
utYhVjfHRPBJcKbeaBGYGN6Xd1J489yi9ywtnIBBnHx7rNMLXHLBCsZvu0CCtxCI3O38JwqqOVKv
o1Hnz93yBGBM85ZxCM3TvEViWPm+L8sPlI/dbgAI4yQd2vuUa16vyGWMyCxd1MIvd2W7ZWBrLeld
fs+vYYzXANeRpxfmshStselbrcRDQqkdRgT/zHm6oV0+yUzFV9LRoqNUA+IoT3909HrrYAAE0BnA
xq4T6GljcMvgiHCyW7wVnYTSxieLYzSKG6qMdZvTIJ8mosPLPNkmmbatgozsRZ9VqzKku0qELukL
WGcILT9ElFiP4SrWMVClCgOP1aUPbuQGbDCz6lT5rxQJ25ZOJk03MRtCYYzMm4kJlgszLe2JsxTw
f31ROvgPZkqkl3Du+y1U3WwOUJw+7ajHXjzECJPtY5GRGGCE9QbdBw0TeIFyYMKSTh1zBmk+W6wG
KxBWV9ejN8S2/4LMv1irVbItNHJ/Dav4SuNBriqfAO3Jthm8ZOUAByJ4CMK4wYURXMa039k6negh
wZSexu8ZmGwrDLlADNlFN1Nz6dgmyFp3wqSYOhd0U5x+CqEwKb4dAcKFXDMLNTge5yFSouAmkdg6
iowhmMf4I7C3EUAUeySM2ocbThOp21QjGLEyrVatT21SYm+mP593hlohxwKgMDpHmj2YxzBtuIM/
nlQG8NhRtIxJTIuRmi4qt+TIYnK/spsiZUss4DTVVbjI7P6jNcOB5jQK4T4lLzQLxrVl581iYDle
9CVhFbGdZY+IIuyFRoeD69I6Lt0Yc77aGR4ncxOZP8MuoBwropUR6O62M9on4BQwspqbnpUhzWfK
TNLpS0l7VWvdflXLRl8TxbxIxeAt0G8Em5KIL2USjeyUabxixM6VxgN7jVsONxe5W2ZSaNc2tlZB
pDXLuE+9D79Y6UgfV0Qr+IwY0oqB4jQA6vVaE41zQLuOOSjR8Ol+ZCax0YamYgZX1qhFc2ftnzp/
hpg7QCl9LAy9avUX6G2sfq73KRM2zki+YvJ3h35DSN1jN5GDO3WAmMqaHuzQSJzlFW7lIWxYDpkK
DElSrY0WOTZmuF8lRk/yp9A6+aTcJLYJUQ+0NnQF8h1KE5C0NfkHz8BC7vjWk5kz5fEMHSYwOrsl
DgHaPbvWctUOwHBJ9b5wQygHeetcR9+7Sie4jeE0XGoZ0cBXBsCMhKQgC4MXyjoC3WLKtEnjMJLF
kvHeUkB0cOA07uJRjtumVx6aDByWskwoVYH/8C/RIeNNXpX28OKkAG7rGLSnNQD2hFHV1DRJkOgk
lJgVDeUQh3tC9RtHMXOWIP/J9Iz8ipD84irSdJZ42qVtksiVMagMgTEUNLvVfqOMgOnh/awmqUM+
GdE5I6Wonf5Jq6nFxaTFS8a4/WIe4cZ4xE50sjHPejg24j5ZGYrQd4w1s4gzWFQdNK+CV6kDnTCY
ng6rjUGV7jvp3IPK6zU+V6DDBKGVDQm102hWzGoNdyl0dYKnh5TS93+kAV19SPXbVkwTQUBwL2mC
hFJuKMczxLAs50xZCA4wBrLSq4rm8DtCExb5KXw3rMjfel3yyrJ9ycR4bsvpGjktnbJq7YdUS5Vn
U3QAqt4gSA4AjaWzMIkGXPAS6GoW8HIspOjknZbguHlm7ZcxHwGxVgsvsT3sB+7eDXALGLUnLjWn
gfQuJrNB8Np9SyPP+w13gO6RW79V9rSJRUkIl3lrNM3athHtUVUX4M0KySugak3aSj5uwZPMdqwS
wkuXfJo9Le2MXuJyCvqvNEK+7g4uE0ji9FhTnqQZPCnFBVCDDVVE7aao+GI9VP3r0gCaArSKgjK+
WUq8KhW56BGsaxC7D3Vi7ZkkQPGRlIm5QsvjwUW3UjTeBa83sS/bMsn9VJ5JL1e35+W12kZK7rKQ
k1ovjtoAiajxx3FPxsXSkW8ppJfe8qCsasiPUQ4smizMgB0FrHsJWJuO9EEFZm0ZBxWjxGLsVow+
8MIPGqk0Pgm5juUBbiERxaRINNzr1NhbP4ridWHS5aqj7JxSgj/a+DBU5XA+mex+q5LXDtHq1oP3
otR09ipxNjqWNwL4ikXnBgFD6rQ7934td6KtLkQDksBZcU1AlKetB1NPyLLv8STT2GcfMnz7YRwS
ToGwbPR/hoomksE3fEplQtBOtulYRnYJwW5UO4FxwOq7sT2wP1VVaGutVuMass+y8GBysb0D+zcU
46mNkWnA+CLBGvLyrg4ZFsZDaRHLXKwTH3ZsAhQS6ykJ1KG2MmMJ2H2v/NwgS+SjrvAUdCaZIsrr
HrtERjSyK2M34JF0ky6/hl2uH3SNnnWhfY957h0yXI9qHPRdVAxqFU6hRV/R9cBUdR9+1WY4mbSE
ubxLs1PkDFDb4NDYSX2IjGKTViTc+4yGURuIE8lw3jZLoTu1UbTTq5rIatGTLleG7GOH+OpFRkn0
2Qh1rmoOcDX3Q1mewtR7dhDlI7SFxwEdZD+gH+RyOV//8jNsSjDZzjIksgIxXy6YDBXJwjTaCLII
6gYnr7ahm9LAGNKTGVnPAanXGzcbQzDTHmubwybX8KZxWWjiBv6U9nDd7gG6KLKPMWvAWAtx8rIb
RSMsVX+WmPcXaaVbx5KpLo65bk91vQQtTnD6vAI33S9/0vWtlvanMYDlYXGupwANjg79U2yQ5VJX
V6m0Bggv8pB+YqzW23jJpEec0I6PwMG5JxA2OEGChD9ZkQqAaoF0baQxRQyDTrCxy4TEmzR+T6qs
Vwnd+cmksCNdAurC4H/52cjoCVeyX2tfVRPPK+mVjdCi7gvnyMXNcyp/b4uaIoXE+W6OF0tYT1RY
4GiiJb7MNNQ1ueX+7MVPFVn11jDDJ71rPAzoV2Emxh601NQb3laWLD8o4BVbaOgdGDvbfsq2Y8Rs
S3kwOfXSUZuJCCz6JgjwavSGR90n7Cah+KO1BHNGO+Vx8BK3XGGEYRTbYQQA1/bIFvQ4ZvuEuINR
gOcg2oMQHfj1VeZQyhrFZYVOBxeYHEF8DHBiSYe2Wo4xW3dJjVGLgYiUgEWRv4Y+N7srF9UgrN3f
Q479pB4SiZyCPRZhaADM+8HfJOl7ZjEzLZL8UtXVoRzDnZziVRqStDu6v+ag0E0YC+IYx7TYG4ov
VQofskANe8LPDvzNqwraC1vfPlsZbf0z84an2v/lt91Pl1HLUMc0uLA7roHsVkPOSm29Y+x76WvU
NZ3fP/rY8bngrPFKs7jAjF3rBc7vvNJ3MCfhTeo/E8UuOG4JAjYDtGL431+k1+1IQPimgc1EMIrn
eqRYV2Z76PuumVkpF0OjHzMlc5asp+FINDZ64rUrH4vhluicZWQqsS/IJNw5urFpWu29ydpk7ew5
gLyOKz2Eyvqo2ILTN/zKQ+NDF9j5hs5JtjoBTovKrukj+fIpKEu5Lb3oK9PSxwEhzcYM056xRRTs
eiqyk2tm29CnQstKMD4GrjBc1CM7b1YGj6noc2gNZCV6Gh6jKVorkIs4aLV+Bjfh1EMiJhXlDOPC
IUChNqaPmGkrmHtkYSFqJ3yP1FmvQN71hpT8bQqwQCi/qzaTAKJd5PMJzpqlkaS5y8ps4/FFg0+3
HxJS3A6yRwlFnizbVclr/jBcBhcZhuh4CPageDA1D291sZJluOwZrVHIf1FHYcQMLLb6FuoCDxda
nzxaQ0VRqxom+OKoRQKFtLlTOVWgXbQWjmx/0869zij/dHR4fNRBiySPskXovpdVpdF+GlkPICgP
cOHXIVwjBGbOQ6gJtG8koq0kbaapDGzK7xgjwvCKUf7sFO6lr0OB0u8V7sNjpXEB8WOm9WTkrNKG
wkdwJcK9OySLzGFyK4zhiqVoIjvmKbD6h9HBA+6+hIZYyWk/0TLa82ksyULZNXp6ymItXml18J6U
nFXJwVF0OnR3frV6YvpTtEsMqPWiVmh9IpZATLBMJYP1YFH5m/3Vrs13d4wvRmb+dg3JyqKtc/jL
jYwuVhU8Gy7nLMl5dQpvdHITQv00sQy6rFwVOKcEoQEPwPK8dA15dXq0VUIV5YNCHMbiM2fBOsnM
+s2mH5pKi7zeM9A5e3Z9qEr1Jaxo5SQtRy0nHNd61kg+5x+6Yx9tnDOJJ7+VE3yFYEF2ka2uHqfQ
Ngw6Em9ErM+1w1aXibW0jMHfOzoLV2BXuEbhM0F/PQtY7Hw5zpMyJwWl1J9HwOatz1sS6oBlhIla
u0Mp1ph1mSPWLV5bLKk4ecjuHJx3wlgfOlb3swdzth6jW5FEpF2YLopORKEGUZzs8LRd0lUZm3Zo
NowOb6kmqbxluekqFzFL6S6SgW5rrpsoeji+F+hT5TY0jE0ZMuev2/gLa0O88qeXUVP02Z3ouauQ
s4yH0CNlxO9qgLjYh1sLSK/vBOowVAJ7t0vjbTLjXey90FUNVpjL0mXqV5twqNlewj5casG49YEY
jCrDC1hp0E36njgIJt9FNKPgPIGRqAioXsZ2JFYrvpZarJY92KW1mRH5Rio1/4hXH9BKQPGjB6dr
OiGL8U3v+MAsddKwFJNFn3pLpA2mZFdG1AY8kPIxd8VHkSrsinTEzBLeWzNvhgU2iq5tbuyAWjzT
llje21xeFO466vRlIGlJel5Z0T2f1hHsv66pIfeX8Qpzcb7wbD6Nwey/k/TghDHetgkuaJIqPLjk
R9Ra9mgbWXFxkeUmzJdWKG3aJQr2t1K3wXfTzJYQDBdkXNtMFF5oDKbLyWPXjo0TgC0ZF01ubi3V
Y9FvV7rSbglCo27wTqZy2psXrwdtp8E1h6Hr0K+hzTmnSi98zeueaLQfgpxLnZs5tGNsolUt6G0O
E1aPOMHN1EO/YjnPdPURBsFPib+ysrtn35HaIi30t2ygneRMOX2coVTUMzQuQvyPW93gvA4180rE
xa5kY73oXYabHaUhwRi8Z86JSKDhoBy4gRChO2C3dE0K+YnikeYuSqLcRXilw3ABw/JuGemw5srM
zkMhCKlUfU5Dk54v52fN5IrjGMBkwhWAjO9prXSjXuC47FH3xRwbBRQ1iaguc025TWw+CDrvqClG
cw2Y4l0oq0NFBrwl4WqCEOeLFjbTn6LZ2eMI/DGih1CJ+L640i3UWMXt4iKU8YDulIQXo4mXFLEo
6gbeGTTj82DhopRRK5YctoQpEQNFVrgWoYwcxcpzM3h7usG603wTiYWICr04DdjqzaV6Wfy/meB/
YyYwBGPS/9lI8DwL+//xn7/r6OfXP/7jH58q+tbme8l/HwLPL/JnCGy6/xTCNE0a30z6Ee8zU/6X
p8D+pyWl1F3HMCS2A/evIbBmGP/U8RjgWKYWtfgvMux/TYE1JsSz8EA6QiAhMOYX/D9YChxG0f9t
DIwUwbCgW+nCpNxiMGPPz/+bGsGKCGSTnWEsIn1QBz/ucaf7/nObkcAwevVzESTtQxG08iQxLjEu
hdCd34a+LlA0zQmaFYRWNY9R+2rY6T452UJT+iPSYcBUif15v8c55e/QqyNQy8nqrcrklwptf9uD
Gzk0zBNHvWNDF0whLUmrb9F4ZOK5de3gMKYA1Pr70xXjSt+SS8g7zgeCNFiimT8RN+D1FOj82p2H
pBH9pWnKxc9Q3u5G3LQx5wqyAFtDLsdzLnTtoQLLhZfgvYVl0F2SYqyJUyPmC1dacEtIVNlil9Tw
SrjaszKYmhlWL04FOTA03JPqy2VjKOtkKVhubJR+V0FABRk7MoLHwtTVTrFP3aOr3DSLGUChIkWD
dqi7t8xMhiPTif7YDU5/jDTmTj4X6XYOaLkHl+dyrDZeT/dm0kyYIwb7gKP0qVwaTd7qsH2rWi28
THKUNxC8KVQgw9nXWm3f3Hb4jaYzO3vCzl7yKWGnJfyrW+f5S69NJ7+S8lLX700FE9FktvyAFxPl
DZ/RpmMnyhVB2puo6furg2NRygJ0Vp5aSwd50c4tcLnRj0PymepN/phN9rtdxflBVYXcdVTs3jCS
RDTfkAYAANYVTnUE5kEOq07GorDO+HX95/uNa+gPRlnSlHQC82BZTOOiDjZjX1tXX7WYVJoYXNw3
iV000/s6wl5QlcuUt7ymqRrt2O+EWzqILnOR58zrsjWRWALCdiKnFb7EudcfEYUwJ5wrXMZaHCYP
TtR6KLu1aGcM+fBaFuLFHYpr060VW+YrO+rwOVG6hIV1LkTTMWGnWEiQRb3jnN0gA6YADYzqNdIJ
a3AGwTVgvgv8PONNMozhf4zcHAzzAgu0c7Dmm8bJnB0g/VjblXofPeUoVPkUCAZwgvFNBU3GPtJk
JGiqr56Eq21YYHC+34zllB/HLMyPojYg+kzQtea1Ye3JlJGqjjJi7ZB8s1R9VyIK/+s+gvmSsRkt
E9mr52m2DN5viGVaRhTkl7uVMO3WQZPa5xqO447EKPrFRn8Uf92Esu3hVwfD8f7T/Ym/H1NlrA6a
+wu9WbRPe2Rac0J5Mt+UVV5hu3SnjfQb01ildrNF5T+gGpfRxgoz65Hgin7Rk+hMXnz0pQCVnuPU
8BixF0/FnNGUzTfEgmePaF7vj3RzuFPc4H0YzWHfZLlYs6rniO6SCjOD+aKzrdtWTL9P94fuNxV9
tT93OQrTrTPVHxMYYowSo0dWVTKP2++JffdzEEJpARFaCz+jMUhYt3qmDD0OCaexsstdlx878b9+
kin8x2G24FTIaQQ7IGT77nyjbF47R5//57G09c01FBlskxb14iKWTG/YUBEpoWE9WJkdOBqreqZf
tZBW3tM+hcRHI7rapPQlV2LUEcS3GM6dv54d/np2LDT3UGTFtz0HhyQIa85GtO8jD/SE++5JO18D
wCwufzCQZWrwo6N1SzV3cYQDozYbptsEvfPYxsWpYup8qWyHCQVixR0cgW0sQ/eHFYzHbgr1jwK6
AwrSPrjxaembGKLfQSGhuNBtd6ijP5GEsEqIyU03ISK4pZYO1dYuumbXtqCQfZQ1K10nFY6mIwwk
HGX05mL74tITX02OH69C3/SJsfZr9Ij+RDdzDq0hy0rbkia4Hpymu5EH392kZwAPKRMg8TxUGrlG
WWSFhFIl0c7L+PxBzURnpXIMN+yElsJrjNX97t9PuAmtD9yoFx/9xpFReHSEDUeD+t9+zIpJX8oA
KfqdzhqHyDSV67y5fuoh39DNi67aC5vu/JEdk3oxEbvWBD8R7DHqztGm8udjlVCUi+YjZ5LQZ5P/
QwgGBmz32ocOCNgJG4O9apuy/XLLZTGucSWXyCoICTqFzviYxTZ3+9bQdyStkEAZIh0ZNdrWNqjV
Q9u1To6cxfIP+N8Ytd5/1KmrnR7kR4k9/TwrFM/hEESHQjcOYQGsZ3V/zI4G41z4FrpV/BvLP4/N
v5zklKOOx0WJ/jDZs2VoWRtNZ7sSakZ5TmSI+jmPFhaXbRKLC5QoQ3u9owgjUwi4UHW+AplIP7WD
ANHTQzren208gciMZt3KD2u6E6l9E3E3XSFc/wl8uj+kJ4JDlGF1WhU00uYrl5yvXFbl5BvTZNZ4
f8xVIGmAjzkb6SDJiNQknnuP4ZXtJdm+NqPsydJCjdyv6QzWSpx1p0qfLGCmABnaYn+/e7/JBhp9
iORB7My/Ek3ZIWwzuLpZ/VoOqXzPsDVsorJEuTzfnYL8DEIleQ5sMSv700tmWd8GKMn3AMzEJs9L
faOFXUrwcMZYwghboH1Nf6PF8OdxPauCQ5XT6bj/K6+DHgYfBjF0Q6uDbg28QYRCA06U15FIAI4y
DbnnTPAmwwPaT6qGrQee+L3Vu4/JcNSjmafDs84AD8HpSNZC5q5sl2FWKTLj0iZ6erC1sNgWbute
3R6zu2E7HdYAmnq2Qp48wZLXGjg0htgn42zG0fu5lR0YGn1jYj/HNvIuPc/i2wmfJTgCFFcSHR1U
D8JlC/OINSp7ZGuG3ARy3sJNbbyrHhdR/mS1H4PBv9lR++hbsfiyBXodpxgJiCB0/RIlY8gwlyeS
Ut28APxBmIvpYlIGMb6Iwm1tNx7SsOnRMcxPmQsTWxXzDUZGzUbvbOMlSyDh9znWxHtd+PddAhb+
9cv3Z6uplVfWCYKXUNOTWyUfLZd6tZodVL5fB1cheAuparpviyM1q9NdhwR3azhWuQokjLm4NYOr
MilknUgvv8aUTgta9+lBIz9qb2ATQ36Ow9+d5Lvm249Kb5PfRKGuQztKfzQmTR1UD8m1Dvtqyz65
OeTNrs5s/4C8rt1jDuwPBnasg4lIax9MWXtEAonWnwySk9GX1hZP4nSeaA+DLEvlxZiTCcBkv/mO
NhdARvTgM1ik/J7kFyGp1wk81EqvYnffaCMzD9U3T5HEvDGI2DgPfSB2YzKqA/luTDqa3NgWVLzI
ZooDQNzu2JVy3EiXZBMq+GQ0UNtVTXNos9Z8FbQldFVl76lFa6Qx0R5aoNJQveoEQA1ibwb1+J5N
RChK13opoKZEGZgoliL54ZavEqT5l4Cbh3tsj//MfGoFoRJ6PZo/jSlbO1kffFbEsazGbKhPDm35
SzTqwYpVy1r4BlbMwp76I8Mp8gKGqj1TLBLfapbrvkoCZHZDs8/U9ANTCYcmY4WXEtvHwtEC7Zdm
0gEzqs+uLz518/uOLOWFuufSDVDeteG4u98d9Tn+LsOCMMSCNHlaRKlrZKveYZoaentUD9OPhOb9
ypSpc07cWp6Aj/xOBJGUIF+6J46Ibp2YhfOQWBykJjr8i5eVzVY5eK1zNAW7vM+6Y274chP5Q4F8
C/BAXKvL/WaafxIJpxMHIglN9vhpCpp3HZ6E3kQhCYooIsQFbi3L4K9Ri7W3oO3GZaTi5ioFhHt2
UuMZF1ayd/GgoQVDo+e2hG9x+jsIgYgg7XwyN5D+Y/sqpuxalDnmusikLxdk+sLBuPtpmKyIwlPf
pptsLdlBv4Ozf592K3MkEVHo35FmvhH5BU7CZHXgah2uZtHaJZFBfDT7It74aVy+oo1+hZQ+fDd+
eMYCXrwndZ+tsXF1pw6L2znsfKQ6rGEfed/va6savisj/iEH1bx0Ai5JODXdwUjNjlWi6sBAYTaJ
rY48uZ4VJc5N71zUXU9Ir/wuILN/GngM2XQWxcmH1/is1+YTiNvis8MGvRK1NJiXdeKlCaAfzY9X
iTuRXdl/Q+yVq7j1/Zcey1ERm8mX9DCYgP3xWPr06prqwfefxxvDx1Jmywtim/AhBWy9iMc0/TKE
9mvsnfDaO/kubEzy5/z406pzFJZFFh3HkugOcsz013pqwUYUdbW+P4tUlpkMCog55Ux/bbKaqtkm
NfB+NxTy5uuN9nC/NzfKMI0SSqvXgHnydkdhZR6xBGYcpplzSCVXn9CW2n7CxoXJHn12JQ3r6IRW
g9CjMk4K+QtUVamf0XH6GwLZjUvz2kwdRGGRA5hRA8VSxzwL+2Our+suLq40MsQ+rIJugTW9PSkg
nCjFHPYjvsLSMOr5Sz0GP/vG6b9NP9lLY6g+CmAKeGnz7OwTEnEafSdbJ53I3zU9Po/4Auncuelp
8DJaZEHDHiFojWMQAIR3zDjlpH7ovcb/tJLKXPtjgGRgAhs7lOav+/OWhxZEIRK82mDQDmpkrukh
W2Xipo5hHhtHuMYOONdOf6o6C3Y1Cud3yW7ad0nPWdQnrJ2s9PUUvdmYg99DUxAW08n6KYTnt238
Sh2jDqZTwRcK0Cd4qzWgJ0MPpNYO0v5MUgTAQ9HqJ4voZTC2lUNqhAj32mBGR3jK5t53rOoQFSzA
ZIZMe83K4TMUiUc/vgxO1pgVO8yJqLBMgigKRsvPZh1a2wEm+J+798ca5johmo/HOAPw5zphv6Hi
4jJNt9LznyMnny7K6x9rs81vpieymz7GG9Bq7qOaY1fNaR6OuUvQFv5DXvvVtg9s/ThocxgsFrod
YnF5UQ1rdy2M8ZmmT7oExZ986LL7IA+j+pXNpmlaz+igOoQ0NbEzeZb9CJg0vkcNIuqiybJny8M+
icCHUsfqZ0lzB5poYE8safAe0GBXOzF20QV0vL/2msx+8vuazPLSu2ALYgfohKj8XbbXmPIHla4d
LwvRSGbIRErWtByBGMt++CMdTO2BWMr+ppOSdn9YJYE8+IO5CQau2nabdp+lJz5kY6Gij033NPYU
7i3K28/mWkZFdrAaj36138TbMDK6Hfu8Jw/lAqYdW92wdkADmqYwBWrb5qf7TWCljz0g6gNfbrjT
a9SLoku6h9aU6sGYf7IBg25tkwy0+2N/P8F6mhKlEkDMnH/57yeq2gOH2II3FKa2oGwPHk2kUdd8
ZGo48odt7nfvN2M5PhCDGJ6LIsivhkfXLJSEDMmCFX1+KNGpqHoG15PH9aGphiv5V8OVrCxkkJ6P
FHp+LCcWA+ko+R3zPaCx49U0uIh1hPViKucf3G+KmRvSW8nlfk+jse7roDWApxCzvSDgxTtN0eT/
uclJoKpXZcpsru3r7NiQMJSQZLyMJgZBSGIZiZgtcKn4l65sfe0lvnvQeiRIQ2vVK/6n7UEOgkgI
BkGIJT1w0KGmLVhLLaDeot3ATeVE9m+J8LINJ7i16gKzRBCpusP9hgmbh5Bsvm+0OBDaAnFlRxjp
gXxlqJIB6teJT2bRhk516MjWCBGE7eZ5376rcQkaaJFlkcC1R6azsO0k29b4ZQ5eO6wnI3gNBYDB
gr+SrYSqcQEg6HJ6RhON/e0Xfb7rmxmygnKfQQ1aDYhsS7SXwBwkeswounF1ajboAA52IGkyjc3S
67EZa6J/N0TvLsxiLUgxhFTiswj3HXJaHewp9T3SV9IeW/bSDEvxmCW02wSSUWIeX+thaM4YRMIC
96/z5XJUtpqF1cNtHnof2u2c6NeMG8t2zlannlqw4Ps5TrAexvxYFQ29Avkki1zu0NJufS+bkB37
FsgO1zw15OgsLXEZDJrAOnEudcWFXHP0vRXTuckUQHxs9seJLfSKwSspvmdzmswj2A3tMETPTVWF
hzjMEcyX4D6b8ocXtPHG0ZoVp6pDDtUQwoy0H5iKx0cr7ii+cKoupCPTLfupi57Q1JvssccjqZ7k
UD7djxbOJaydbh6/FZh6N+mEhmfhRszLHRJ9lp0byoODx3rh0oZdCJmTXdbUhz83wqsPedcyIEbk
JjB7LMwqZXszIh7CF9wi7WOaM/dNmrLexPRHURubFSGtUYrMcNJUw4gzAg0rBnSeyg42lWe+S6Hw
vLrOD/r0zbJ3/a2blg8pait2A18NzOENFPFgYWi/hR8ERyjwW7oV6d526QGOU989mWWxMyNlnIiK
1mmOr0frv0g6r+VYlSyIfhER+CpeG9q3bMu09ELIHTwU3nz9LO7MgyLOnWNbUCZ35srxdUwZbQNO
PGpmZDLRW2iSz+UTMmR0iIvp8p/92VIdNuO2GTZQTDYhCQ+Nx1jOaFD/faF119k5hfeDtLPV4h3q
H95f2663Cj0LCRyw2VBBPqHObBmkvnHTeycxPb+cNN5q3DnAlB5qSXI0H1Lr2rSOtbVKIXkAMj48
pmACBMGh0zExOHZya+jDfjI4IvahwJiLl3CXgTDeTN4IG9HsNiKdGfCKVD0Z1dAESTgPDxioOQ8a
O+i+JNEVOVdvnkd2lYRMLbIxlDFzW7nsoVp/ypaixoVtBO4QkZxFOyaWnXzrbmYcyh1PmQ6Aa02p
EM6J3Rh1B5V9mVdYhlldtIxgP12DFLbM3QNMFfCI7T/Paa+YauVW1uaHLbOEVF2Kv2oSVaDX+c3J
ErRGFwVYEwGXBvgUEzteWdX0FFX0Pys2Newa1t5FCgbfAlAaKtWd0Ja7UY4ZWlNPXXufnkTZNlRG
b+LUIqwmG4KqGITrLraOZTV74Cgey7YO6UW90YWVc9JzsOnXw4EVVrFz86VAzc/SrNtR38Y1Y8jO
IT64Et7aMszwkmxJdA2nkF9gqFX6OJ4wKI+XCDO2TOqXohUdAwc2i9le3F2jyN1H03sd8w+mF54/
jiL1ukV9cNw8Dxxv2TFAMR8Mo/tH7PtoKOrD+iGLD9ZaCTSB9NwTGI42JaFWg7XvXeD27qV6NkaH
nMk0WWelRR8WAEHs7tK8FhKyfiXm/UKZ63tMcJnq+DidzsAHskeZlITU0oX6yjUeknx5WbSaZGrx
6rZy17UOhXeY9P1dnUfyLeEcBVig/ufRrLAvoWMETkrRnoW3KimtN2lpIALaZPJDg+sEebATlebW
BpDY32jhVxkaMpIDTqVN372WdVXf5TSpxVAAicwtEBa0aIuvg3hXeERBLNDxaB3pxaNRm7tC5M2+
HPtDxsD4kOfWzR6gglSWCyZrpeq0YfLbGNOaO7S/UtD0gRBwEUfa/XzPhhSOkguTNjH9UXFcmmpx
5L5FVHOhwLYssPNYnKVS+kQDbgZBBMa6d8F/V/pMcWVkPeUVfibCSTJIavk+1nT02mjQ9H+kJwcl
wdMm0t1Wd6e85bVpxt/GcVeU7XL1WusEA2y5r0w8fMU0fKQZe9WQPmZQNAEdt7wk0fBSk3PRIu/A
vhj69Ird2xbewxmDN3s/YmNuVM/dEPqGV+49bvVblZr0zE8N9nQPDw9oPXnRuRT0jvPTovdLrspB
WxbPjiQXWQthgqTMo3XpAiExuh82yXA7m9q3xCvcU6Lkqz4QI4i8huBkkv+5JjIOD/vdXK7R80Sf
dmLpA4SgkvXl7Liqv7KjQTHhd60WIvVlClcjqbaeGvMP9ugN1zQVTG1obEvUnWG61i0DKSae3+Oa
b4wVrY6KDUFfm1tzM1r2VrrWAi9kuPsV2kQl/E6kDHu8sL66svvCZQVevV8A4XjFhqhr+YiCszU6
hl/QJfn/HKGOIsEyOtk4PCb8lrtK6Sb3ahrYjMWuH3LZ+aPI3jQv/ez5387Qpz039nAXoSuEvCYc
x6GGGnV/GqOVElKlmD2naUdgZZvldv5kRM6dbuUi0MfGoJukvJqUq+9H3TnpvbRPKSxOCcbhgO5l
npP4fbR6JGAT7RlAFHAui5AF5corPGEEeiAVRujaLnxlxVuHGRAkiBHJos4/LKRObHwabhaf+2G5
6eoPKqEorF55Q1rnThB5GuozaPEFixhQXfY6QJw+VR1N82b4zwWi4Ve5frOy+JK4fPcc2AcglzNu
D3w4LA8HM3ZXPTk5xeVuxPR/tLT5yNN/Mgjfx5X3JtGf/KqvSHaWODPqWEAsGNWbmeMoFVPRB+O9
18fN0S2nrV1hT20adSC4xKwBuJZvW+1FKXHj2toenMM0wZcwWGSCuZ9wlDXLzovkgSHdX8ENPikw
4HZ5uiXASHx/8KjibvR92wu5J8eo5rYImq6lXtxbtiIZI75rZRxECnwsJRTPIP3nLYyKY8hJB7gU
XnaCmX6qrT5a17omw/yN0AFvKzR2NC64R5y9e0RAzlJ5nfpptrrYY7AP2VAcJpqainnAFJXSNFo6
9tHmSEIehll+MrbbzoEXIVr9AeU3PVR6eqkXGCOCqm+9wc+swxMDpiQ8LEbVCzUS0QYRJt2O43dm
YU2RVjQEHdYpKxK0ksje5VCV3xuCgRCQPzgpzhE3YCo95wgMjmxgVO2ztnqtmX3fh9B5MWg3kkrO
5qwVQ+ZDHYHkSwzmovAZ74rOfqwsfTcgevm9AcpVZO4p7NS/cMzUU2J4l04V72XSV/d506T7NLbv
FhPSVjs0/K6VflOJVmwEyKLBFeED/HRc1AZkYT7fu2yKXvqejyevgNbop3SYwbemsCZKHYq4bE15
rtruGXwrtt3oFfiDtjEXRwTcJdN9MkMEWdyIOsnQxEY6hI+E5/cI196xBt9hhKxO8kMrKvvc6y0Y
54gt3Sg/JowipOQJZ4po60KnBki+KB5f42OsZo5S6+1XT0OOAS7TBKs/Rp5TXIlylmeKj7ONJAr8
gL15F5mO+9whGhCbziwYyJCMskR6waTZEd48hOzMPCU5oOn/vrTlT6/xlpspifrGweRHnd3dmLiv
/3GNdK7EJXbKZaVsaKl56yguDrLc63aJpm6VIZeTDAUOdNCt98zMxTbBxWk2rOpxZ0jgPS0Zjp5I
sTtSygWM9lj31XzOSRNLkHr3auiB/xuS01JJKEqps1YbH8ZQ9bsUJAmcIGZUdkfJWReyu5k9h+f6
fnDUVtUDeHTh1luHfkV0qQJxnxzEzJ4P0e7gsvRomqufk/nFZKilUSkE2K5lUHY1gDIEeTQ2wWK6
5SMPiJotnCx1CVmQ/+SL1oV8SCFiCwuZyYJ17GHVAJm3F+5I8mfSvk1v7LelGp6TJJJ3nTMe9KX8
TZzIONmD7J8mqg54z/XPpTBAx+nJefBMYixDzekXFko1YI/t5lQLYHo8iz63nohjGPehPbP/Th7Z
k+bOosN2p0qpAkoRf7DHcz0HB3Qa0/mHQyBWcK+dnuhyVccqzMCFdPb0VBXFltLPaKdnsbHJuQng
tyynnXpoIqxq7SKfEH7lU9rS8NLHWbKVBtWtfbuz6dPe05KBI9TzwsB1JKiGpKrPlrW8ad8cOVLe
QcZURJK9KrD4pgbsx3wOaU6AowV9gzeQl1KJgzdZnAY5ICQhfDWdPkr+TkQhaacllO51d4YsdgvF
HxtGhnnghgfsUDERkqI4VHWCM2V8KTpPO7qgNzaCnA05zHqoNN/UiFAhhT7+96WqmZMXiAr8Pngf
Udg+ey5kQRdRiAuj4AvDhTwatLJac7XqqsteON1DRDIBQs+egQyguQ6vInCfS7k8z0baP1OM7scT
ygNN7MnJbaNHMxqfpqVj4NRhk+znrz6lL0cW6bMrF3sbjhSLDaaj+dDqT9PIiukky47R62c9WuWO
9IfBd+kg3PERo5V3XGa2MUQSm6s3x46YtE/ypJv9U8l5G9rQ/B2n9XBMwIUXWUXZq+B3hsUzQC0s
wCARRhdUG+dlgMhGdtjmW22G+FIVQmxfy/To3vC/M5Ymdho5HOzoBTpqbGARMHTldE+eQ/+PnlRW
wPQSE1GFIXKEKFsM6T0qj0v2CgxSSim4NtaoTs9JWhl+lzcPXVHTMjtY4L3ChVdO5Xs9ih3fNUtr
IxWG4l7mpIvM4a2r06OekyppmrDf8nDQAyvHM7OJQ5tqI9Z3iDwT1WpBO9ZiO9LxNyG2mSHnz9Dz
OTqgMusufLwS/9Jq08xSiyc8owaxp2+cqUwQUQ7n4snkja2dbRli/DWA0xWFSbqhI/49koHKyXRr
BLL3JRqmr7cf5N9x99acRdwGNzeScxPQ6/LmzpVx5Bk1mMAt4aFxccyJZZNaBvaNTlMAwXjqFT3E
G4yAYCRawJTDdLHAc3CtYtjJiGZnahmhXu7mGyPZdRrxzLwEyZi1V89c7sHaMlpHHmcjZ9ggjWgf
tiU9ru0NxTE8Ce/cU0F/hhdKxMCMsDSHT8CMSRVpFatoot9Xs2rx0yT7bPiosD0HCcW8G1uOX1YK
j8vsh0uk4l0q1T0Qx+6cE0nKdYUPNkxxYzvjmTgD/7IwfjHTGeE15i2ifu0YNtOCH1qrLl0147Yj
q1AaTUztD1oI0xmArpZ3mivSnpOn0q2uuOw7ExA7/Al5gGHjLaJ+doNTChhxvrzqAsZMXhCaj2w+
6P++SDx64LQZK5k29CoHk7WB/s7FkqsbtWCY0vAgjlC7xuxXH7rRd+DY6VN3rgZcWOHsnhgi7zOD
9hKsEdJVCGoE8zekLROoyn7M8NBeiL1Goho3k2y58kqtOmTO9AvvhaJa/lJznM6+JcRrEVI1GQ4M
l+swYPmb7srsxPQ3OWpMBDjZwgkoLVNiktOhaCju/fhpGnUNpX6ncAlCEKFexhUfjUaRRwpPB63T
DvJ3uUDtl1rXHOpX2er/QjKXMONoSSwsHgwYuVU3WFAUqkdLtI9VH+1LlHi7ITEd4VSsR/2NEIDl
810dN0IXy4EU8L7nyoZoRYa7X0O+C3BlNLh4Z+l3SRpV793gPeRYXH2Ekw+VLnsv6d5GgxNq54QF
n7PczVfmHEkNxKWZnVs1sYomkLkPy8wkXOM+VApkg+2MRhDgj+HzdbxDnoW8pHn2Sc8xOGoPkqjr
/OVygNU5owE2Ut9P3JhXwGTkgB8xC8MNcm24Iv5yGpXNsHX18OxmjgCCFh3lBKGrZAx8UbFxGEX4
pGNt8oeYpXmc36PWSrb40btNq8c5NJQ0ely9g3XyOjlwaUAe1YQsqk9SSpNHZTLXr9pX+Jr83sLw
HZYwjjhL7VOUg6GyxMnJzGeTKoK8t/QDtqvPLIYDdy68sQ5m+3WUoCdGkPBOhYytdJwuYPV2I9ie
x15Q6uKwgMuaBPCcpdMxBnOf1zOyyAAzD+wr51J6r7g46MXfIKrvUbdotNFRjy18n4QsqcZuxs84
ij+9pZTXhaakUnq/dEvbQY3piGHlHFA3zUqLyIiEbRK4QyzqzTBhqacGoUZEaoziIRW5c0T9uK9A
87Idl3xIkWohV3CoVQUBzVEncA/qmyrS6MOM0q81WL9juu+eYHDzVuknCy6dn8kItp2lexzmBigk
6o88dOQjifhCMgJEYWWpjwPX0/tnnW1YOMZMEcxDi+fIx+XBGc/VRtrLCWjHXXPtRtC0U9G022wp
yW/Qk3rIV+jpMhDEwz5ykQORM27r2qZskUTMcGyDtrvFidZvnWZ+HWAh/gc6xHHioV4oFn6av8n9
lUxuSFXAxsW4io3m6ElYTmluBLEFIBX7CknoOX1um8kCUyurHX0gr2BPs/ulgwmYneze/JI2pohC
w2tQ5P2tJ4WTlvNBV8VPMd53hvXdaS1cab1/7yKzOEKGabYTpyFKw4qNg7Z+gtH3shSuOM4NrDY4
TqchGryncp5fsNieC8O4cCgwSej1bzigD3PNtSuxgBWa36UpvJOVGCVZi2Y/FdFRkLRQ6fCVsjP6
bPYoTORYHfgxpEHAkPeMPUbR3UrDZR1kX9+GQ+htLKFDgIZ/Maiw3de0u+waE+OT69Y/fPR0e7Ud
lYuyeYlS176f+yfb42ht6s6BajCSeycqpZyyaLaa1G9Vcyf4ntst1aFCB+mL+/AnjMiSCi7PxUxF
27qj5ctPOg13lLR8MomBbGpXzw2VkYHRJRSkJyhqVnIBUZKvq/urrES2myz9ZhDnvYuokQvNIfWx
AXH6ZuOX8xmzLltyf6e3eCtq18NZlHU3fXUrmxzCxhkuV62RBBrD6YCVlw7UHDxqqYfURyzze9rI
6zjpHySs6PbUSTy6UXI0M6iAtkA9B0kS0RVIOAoeudXroNAyRHjK8chyTzcCuU/Y87m7NL/tlLy1
tc7F4+ZqgCeUZR3ymu2jVdXJXtI7heMO3wZ4LMv2jhhWE9/UW+pZYO/XqfocWxequMN4NBP6BwfJ
o904ANAHuLXGkVnmclda8n2CK+HXncPOMSJHtVgflIPDHAbksesX0oqI6D6NeO+xhWt8Tnp6VUKo
EjB3tz3GK/54DJWq9raN82JNVU1BCrc44AEHuQwfkQPxxU6+pMusZ5JENb0Y5OigvcfA7w+VXf04
2sOST7u2odhz1rQfmXpEbENy+MRfAfPyc0sMArtJcjRJa3wk2Vc0xnD9B7FPUmDehvkw6O2VFDbc
9pOhii7I0u63H5YVgFsnMDh2OsWBm0Z48Z7J02NcIZKt0/iAcOcnoVKTYyJDlep3aNuB0tChxFZH
dQ5ASt3a2ZEFW63wuK0bySm35dWbzVcypz/WwC/Vne7aYsHikWRiQjSOBtY2+rJTwpA003/pcUhA
R9o/YbfN4vhSRsPn6NYvzGYGPrsBTE9x7QX2glLrv0r+tZu6gVDg9PMqvxEYcvubYRcwWMwXnNtf
S7MAQUJz0rTuQ/Ocn2zIHnGlg2lY9F/AV7cy6r9FNz8ntGFFo90H9SC4vYVxj2DhJxGItlY7Y9NY
vlqHNdCEmO3Hs/MARI+rdRcsY6H5rZMRARjpkqryHbPbmxp0jNdpeYkeKX38LCzzhrXgYUoazum5
YlxeY1gV/UNZA9WLRfQoodyLGMTHQNHzVl/BRm6LgdQ1vvIVLZUOJs7JGMO7XpWPlrJWpy7wLaWp
6TDonPMs2xbbuY5IhqkXow0PaUJedATEn6RxcrTS4n3dtCgAFV7C+bfVYZwtLzKyDt0yw8hY4pfC
GhOsBIxhZveaQgMG7vpK1y6haK1AKirDJ9aqu5Q0CfMJ685Ziyy8mPbJlE29cH6dxHj0evBwY5ec
rHn+4AqDSyQpn5Vw3+waPcLo26dU45WZm2Np2uKenMVhkDf+yPNMD8Psvug9gIEoaQPF/XOXKgT9
ZoY/ky2geDrPokRCjz+1ZGDnQ3mkiODEIOl7pAuHcVhSodOUSBBl9O6YzFfpmfvW3PGS1B7ICyf5
SBEOSGGzrnTZrVKcsLzxQrkwEU94advRbFp8K+zGq4BG4RiFAap1NiHYOaP6h6UT80VcEDu2Sg7g
Yldqdr2fRv0aS5wKWKtDJHh1n0nk+qVCjajymGEB9APDUDiXo8bw0zi9wk4CB4eRmCsto99FMCmG
S+IBAkyMDZoTJQWeRS8qTJmiDV/IO3DQ8LI7COFf7UxhAcZq/imUqemoo8emt+4L032ks8zYwrE8
r2traRtE7RxgVUR84DkAT98M9OFCgvLMLTZHsIac/RegCABj5OQjOkGZGk51SnYls4cnU32KCOZh
kymc4nL+hycK5gVPrhcLiyHnNRsYzITedNUZjpYD4oKj6VsrjCd2ap4tjXKr7dSDDhwwUpnMFr2u
hEyJkG2rD/I8By5WpPfN6TyDRNIi++DaFdCgovC1nndFbzEYo7xoPl3YMxXUrG02OY7WSF57DBPM
YOMdg4fXvKVnsG2f2iga9iA9uXw0f3WjIdAby4ZKvNfFxfPCc7c3W9Zaply7KU5YIlpgDBHdzYeo
fhEO7iRtGD9nnawrj8wZVxc4bxPAphTlXs+c5lmfO3UoCp0K6r49d+a+cEz9h/MiwkxGhBJr8prr
nTq+dNUWevs+W9IeMgnrI3FvM2tehbQ+AAtS1tZCMmuSfRjC52OfVmd8W9CByTLXRY3xZvUQLe5J
dA6aIi9XUgs4gzWtj4xEs7My5ncmfnvZUdw6rn9+WFi1QIjqrANukn9qwt1WHkQylQHWZW7x+BYn
Nzfu1+bYe7ulPqrjrURZnXwbQkKq3HHb0U5P1ftfRmctF2xjP8aZdWq8CXEzwTeE0rThQM01nj5S
zTL+leW4N4c2f1IZUxwTCvtoOCPDtjRE6Kck2igYik7JrteBYJde4cM4izc6ieUovgiseIGkFTNP
T0wC+LZHJWxKDYiIGqbDDFXNKttL3XWoQL350qTVsPfsVYNr8pacQjWdM1omKOnFOl71PNUM7hL2
jU0t1JXD69PSYpftZvw8dUGMLg4r79FMHd/Qsev6Tju/aiXT69w2DjnpPPa0rgwWlepPI41UuvBR
sJanZZLyFHlg4LCL/41dWjPexHozAb66zznXWXWCWAeduSHL74iUsjD1XhnYzWlqMe66mMttVv5F
hVveAccEx7d+IbOE+qfWKeYynTSTshCGOb2vd2vWNW0fOu6n0WjhrauGR2cI04OeS87isbrFEdSj
eazdnbtCMuOoIARFkwXYhj7QMOe8hqZpQthYvP//EBNDgtNo7XzoGB3g91yhmUcAiO1/Plg/RvM5
d9RgvikO7VpMCmrqxwvO1nzPi9fhJSBIluDVuHXzZ9dzFmbK4u21BXKipve0SYqKRtD0klr8YIZ+
32nReu+E0lqI9sEEnnSfgXPaCGrb75bGVfskBnta0HELkAuk34TDYeY67Oe5223nsXlOMI7v20aW
57Aicm6PVHMs7kvaTIQBnLMrQyKCWfKcDySLPAWBghH8mt7FLjCc2gRO1QAQpQxhLMa1+OtcDDtW
C61GTP1bMTZrQO5xAe4cuDP3Y/wICSb5g8dbtZmqNyfnLSn6uAw0DoeNIXBDeOZjThxwnpi70xXN
UzVBwWfl3dBE9mDH4WnK9a+oJ6HuLvWHigoQu3lxK7DMEadfHwWGirr35A4RaedIIj2u/s9JUFxQ
Nfl2PWDErf4VluKxaSd7kxSO62vNGsfoLLFjJvfJKv43RQtglIzQQFY0w2lq5Yvb5EFhDt2mip7x
bPOrJu+7Z0fBjhMzmBxgTGmlu5tMiiFFldxDSuPzxUUDFQrMRkpBhzeaBRscKe8+A6rfE5o3+dQ8
gUN9VN01nTp+Oi2QhWyag1q+C6d8ooce3ktJrC5hkA2wRY6Dt4PpHe4bBuuHGMJbgMRUL9I4iigO
LBvPwLA8mXpRPdutmZ0c06s24a/jTd1WLfyUDmrckP2OJoknvs+oSlA5DfQPBMNgMrhIxx6lFF3D
8gTBAM/GW8XYi2KT51GKvcu6wA2Ev3ndXYa2fnbdmMRkcSzQx+0UzUJNXPx1jXy/YpYTpCFzcC80
HjVbcz8X47vtku+4vJU6doc69L7l4EHt06DROfrFwvS0aQwHX1J4owQmCGnc2o6pd49REtCHmP9m
55Hs2j7z4rtokqBlMBxzUvw1jQKFLXvnj3/Wpv45Z5WqRxPW/qJTt7P0vmMVyPhxerAcfeZwkB3G
OHnGtxmtvN92Q0/KMbTBV1VdfySM1SLzw0PRY5ubO0cFo9b4ES1AXciRaW4xivFAmxmogJ7NqHqo
+3zFoHjv7bBI5Ov+4oya3Kg6umN3utTa+BqOsfDH2fq0HQAi2IB3+HDpYSzWEEmx3ssHLgMh4dk2
wyko2sjzh+7S5PUDZ2qMSM8avU8zsRRf1UiyS6F+5MBQ1R1uqUNwrYia+6iv72YHxcZJfTeSHbas
9eN1b1pOnpXDYgM5Elsf/WmYhaEEMJmc5s/Gdh6jyPiX0zdUxvI3KhUfmmFcpZk/dJ5LQTxDBGml
tJY04p2MKTgl6BSVF50n1/uuGCRNKyhV6mO1NdBGUu7/KYTozVBqa16i6O9HS//Hx0UrO54dw7MQ
mpkderMngoabJ50WXQJtxU1/xySHbmeIK4cByDXlSYycW2KGuEbuYNGI5k1UGTvDhjXqcgFvLSoY
o3+Y/DmemSbOowkoCusEvWYFTRkkM5PmMa2tR0yR0Xa5YYH8p3rjmiW939IDRZENDhgsaCOedLz8
m1hnaF51E58dNbYkFrjxs+5BHuPUo31HjK4YmMjIN+Gepq72PTfQVR00P1uWTxkjksPsTlMAWQ1E
SuvcLyXta+GukS0JAM/F2Bn/pHpdbooYN1jIdtvAmZT9/FtLSgcYrj0DHFka86m0EC7IVO/GkJmA
Y8AFinxoGFdRqcdc1u0W065PZdmpa9zfaj0ghoxEg1Ln0+Vw/YVzlCOnS56xvDNbfOKlEt+legC1
H7STcZ4770Y2uGBWZfKkDs9xpXu+Vxh7vPe7fnFeyeoigJVhYK0kkaQ8xmb0b8aNzVkXrwWGBTw9
FFUbraD14po5No5lsaXCQBLzwQjTkfCSAgNXrP1ZQFR2EAQ6mB4MdKc2Ow1d/1gRqQkGpbhyTT1w
WFsZjJpecrHuZJTLc7TkWIBQ/Ie17K7rp8sizE9IA0HKL+S8T96QmggtMsmAApWMjQsuoeSoyhU9
jngUFWToI2UMB5zuiJ2cwCIbtajjKIgtrSfVWPk1vr89/v+3WWL6X4cdtsFDZWnSDdAwnXhy7nqP
wNREJprOEqoVFvExjcu2STCXcT/4aLz4RRsJDjpkhGaCUXtv/VGM+N6BOyps762ewmGba9XZbGsW
y/U1qSXK8gzWbzMNEbkRJS/VQNHgiN5NQgamj4bdxqmZTwlp/4ZK/6DlxPY5s9SHiHGbplkXbnxc
jhyLLpgah8lEXlZVNP6opQZzDp6IvxE6VeL3xYy0aSzXmG6aOMz+AO+i8+b0RrmqAMieHEM3GXdq
lQ2jPvwzm1dSxNdi0l+KMXlP0BFclkw9Lt/ILjPPtz/p6GofZi1jbyhGxpHhD2CC5wq/QNBmjclf
h39F98bvP+9x9j1hyGtnHNuc5hW+3r2WShLZHXGkBS49E5O10IpiarwuuISTAoeDeZK2rIP16neo
CZbjHdOvbtQbp1n+tEp7t2gvwBUFLRH2Pfp+ivDkrdfzhdc7Hq6RGp9tAhNIsSlqdpE+wDYkmB3R
3Z7oY6AVSJFSDciwVCaZ7htFFEpvxq2XEwTxkvCbzcsjvgsprrLlHxPhvQLrs89qXQVKNfshxk7s
DsTaXW5dZd19TFztTQesnS3gpLlWzLdeDUS96O+l2ejdfijc5o+rK+7wxtzrYf8Yu9GTiqN+l8yo
Xz1QRG66bjCmVuszWu7ZKoRF+DjbOc2rp6JPa9yyPSVbEeeveCXvTVAAlJ5wUYtrdBaHJFa3QhCr
aR8v6W9voOnhe6F1sLeQbbygGDhERdlk+R3Bl8A0++IIHu6151rjpw3WYFbMwfGIVcftS00YPSXt
rYc42ewBr8c8UeIb8URiHSn+CYp0bBYY+9XQMV23yTGrxx+7brudhyPZtXF40l2oePGn57jTuYtx
lQ5Cm8toZ181h+EGYr1ZR7/UTD1zwDJMDDZ27zKeaNByFmNXGGBXR7bLjYmVqFhVscy1X3I7/Zhs
vEFgvzZ0U85nl2AynqNhk/Vjdio72MCwdShAxWIbYzNnvO7bTGKQ2Eyxq63i4PLgcB8Cj49P8xzj
wB8tgH/ZlN2ktHEyzecyc3kCQu1B6RiNOOfedEggnCMK0E/2WO7QhUPMlz9TCPSf7Btcb4OZB+ZF
GhzCYQikzuZV6dHZrLOb3hov6ZxePMwAKqOM0NVR2sF5cBjksDS3vGtDd+0XOFDm6N1kYDe8H5ZL
toSa98VuqO2JX+a0tE9GIV/UyBnJdgzfIm6oSFGZdT/ezYO+x6/L2zoN721pl7uC2u28wLgwZM+m
Hj0bqc1BDCNiOdvhnaOZAdH6j15bEJS7n7Hi3FyQNkS35JSiII1WLVJ107BG97p2l/VTu+V+vjGc
4lTko3kKo4rLKYemMBuNrZ2WCSb/IeX74fz1aYm9pei3U+I8IRL1G1KeRzByx2WJ3mew0tg9cVum
+JVTvoeVSQSksrkCQ7zGptiJna3Glfrel7vBhAoIkXTX46LBJYIBICVFljgBIy7QvLA2y3xdSaoB
+7lLaEnjAjpjzpULaxw/h47YLjmgVAZuYdCQRlh1Goww8HoBfA1r0DgntH9Z8z7tjMNkA7YXfdZB
CoxPccs7CFh016sY6CpYdtFmX1mkgePznsh1dFssuIXin48lP7+khBk58eUuAGWHE8CZ2zBjH9N5
KZMpiOn7AfcFUUxUqzptXTybuiMT0XlfNpRa0JN057pMrDsYGjkiStyG6m79o/JFBoXLwdnRO8xl
BZ1lmuQ+NTULhU1h7e7n2ePsaC1h0DfUPoIxCOp8/FkQ+i4irBTcpyYJ2sEZ/Lj4K9eMxSwmmPGQ
t4NU8RceDGuviSI7irqZApglNmMqYQdmjdErN7h1aCVwc6eMvubCBg9QYkroOQpEHh3mtkMzGFbN
S1pdZ0ynGxMgOGoqr2w/UpOFathq6omVBY9rJLaq1eXGTHCXt27jbNuSNSpGSuBaf4G8fCtbqJ66
ZVw6HTHA+RK1TpXXAOiscl7iWL3xfnO3athoCwaMKX6qJpmn6+Qq2mG0x2Fl6LK3AZ78LDO4A6Ex
P+UiQ/TyPDIHOS7U0Aq4NX3CIWBakk0zdSGLPEfI/hsMtw/RNs9b1MHKdDjOmd0JfDMMCjsPpPPs
kiZlLlv8GYn+bc04eo1Zg11RXEWozigg3xSm/wsXkfsVD/LW2VoSqiwxEFrRJ1Ch2BLITw0/otcB
yTnLu9cBkQb2hRehzNcn2woWm0ISgV3nf2ydVW/sWrpF/9C1ZIbXYg5UYCcvVtAMaxmW7V9/h+t0
92kdtbRVSgV2korhgznH9JMX9vj3sTB+41jiuq4Q3zME6dh8/BmTegdSETQo8oBuGAgsm5KzP/7x
cs27b4zfBLztxXcxaNghuWyW0sggl+SdtKUpFnBur1oYlXexi3rXMiZmXbOCOpdX/jLdqsUU5Nv3
DqfygwoD+SDTrDuQ3fnYOAp9byoWbufxwvcftZMfrfGOcdC2HLuvwUTYbuGlOwo2Owy30w985whv
fCjFYw+/0DQZVGZG+KIXzKMs1lXruPTeh9jc4Ux6Tym8NkWKA8YIhb4znPFVFCQkdyjbORDa3z64
DpEGt9CP3hvyRu8CxqQ6OjrsRBRv4OpoeOWpctGnhqbbrkzf+A7q76SYAF8rpNNNxQ2l1GeGQlGg
XZTBS14iN0808aVJDBausyTQhmPSHO4t2tMY/BO7bJu40QjVX4woadWrxuZ+DpTS0+y96XmH2pLb
Ry1J2c6a5c3Ks5tTxxgr118GRPdFHOw6qE3bgFD4dU6iHkImEOM4VlynA0VDe4APNl5hpFyJRJHs
U0z5Rjdhxc2JWzq7ozGKPrzBOJtpcWjHEMCmJQus7bgY29Z4wnLnLpTDX1gW7C8nI9jU9FAGOyzP
o3WySjxrIyE7eIAgXuTulxDdY9vWMFn1b26azTqhqkHv1ttLbQoYI7oGQ+p2rdse/mjT2OpdVuEZ
8b0Fzq5Ng/WO/Quj3MT5je3pV9mmexjKYE21PB0LM2ULlsc+3EMKs9Iizj7wCAJlJ4YzVpoJIgYg
hX7eMFPBtrlkccUGrg/EA+tytBOaCrnJk6IdMsxhCfoY6thvtbolO4O+ZllDjKWznJj8msQEM6k0
4NYsWH+zkdYKBPEI9Rdj0Z4SJ7kDo+GuBuGfdaH/hCygpEtFENnOUjJPY6uZbcBEXofakcfUfhlx
iGll3995ys829MIm6WsHdAQfYwAfIZNPXTi5y7jk/j+ioG3FuUwDjsY5jBKNWVdN8WoKilXl5+OG
JQFgJFxD6Vj8GnqFZ8DgPOoFF3GgQoiWaNwao33S+uASxpBzJ++Fhf4EF5ahPOvVzVikCHWGfK9T
PehZ8m21PZIF0lOomFvTZ/jsumvU5OcuZZrReuiX8FL7aytL1Mpv4rOJIn+bh+N7BE1qWUMay3Vu
GYK00ikmwKZSc4cJwL5nP8IP0u5Nn/MVXc3SJZZFgUva60P1M7TFg+7oyd7Rpo0288sStGOiZ5ZW
1ONr5eN0jRLQi36JYbOvf4tONCtVobR2lDrnfXSG9UAGK9ROAqiM0nzOcZI+JvLBDqEfcpMBQ9A7
X8i1EG85l1RtSV4CwcYEVhk7UbNzg4B4QfuLHTsjfBdr25IrAzk71bMkI7iY0IQZXNq5AfcUwoVu
sVFMSCNomnvY6iheVfwMuHMXaILdUBPZC7zFWFaiaVpbHGojWm0weIzzCBJDGrxmQOkfJ1wBYbYm
GpnSUoUPZUseSQV9v5rM+yAvkI+r4Xu0tF9HizlNpn4erNi7sUvoSCz/ypKm33Qe/G2hLycZvFfC
e+vMDCCmYZlXiZk5obtdYq5PoAQjBmo74I41OyIjeWs9/RVD+JFk6BPeraVX5geEVenSZ1i2yopq
WMs2mScoLfOSeUvAJV4JYxtm4yN1+85Pk3PSVBeLfcKUZcRvOuKp10cmUhDduBOGmLz46+d++NMH
3rJzeo2eM8KmSF83wViZnG5XRvGwLpvm1e6IUAqmfNfMsfF4gL+1ixQ49kZeuWo0DjVKsL0azmEW
X8IxNYBJD+wvofuvx5KrigLxXo8CJ3m46yYsDBqSlUIi17brGXLvKKIkZqJmMPq7pnLuiWB7c63+
ovyX0EjYd3D1hbCPzzFwzXe3Gh6z5IdqB3nqjPHvfIAbonQeEmkzyrScn8iISAOKDj5GNuRPCXNE
DazYRL6RHP4kIR2GcTKBI2JiH14aiyaZzJcI+HdmTXeAHM8UTs96UbBjR/gYTf2lTMWFhCa8XLwk
accgMI/XlhtTQHtsO2RHiGaEdHzSrd8mlpzyzOZjUE25wVhgHMwfpdwnpm2Q+PKN6httmSu04pkq
v3KZnVC7YnFnIgJaekOsDceis0I566L8Iwq0d5tlw9V9Zbp0aEjmeFEIjKxsO99YgQWTh+t+2jyn
COhXcTlJFpfUaoz43e3Q0oeZhcAGqelQxDkKDn41rlqooblpEUDZRYQABRHIJac75n0/bhXrbK7G
wdpFx7Zg+nnXCQSkgLo3oV0d5g2aV33N/6yBayMZJLnHzEkgTjeGYRa8F0RnZTohyN0nykMyad0W
1AUV/RgClPEwdpWgavNenzPWcP2nM64rIrJDOdJGbGLO9BCHCe8YbvyEv1ijdMQLhvOYq0bsBxrE
oT4kCGnvR6kbaxZtaObULu8xKbgAyBYeR6HvpL9Tx7HV8cKti8Z4NAv203qCdifGHT/VlgNEvkpY
yHAWZBo66XI2XSuHvmhoxMkucm3T2ll1ADz/EhcM0W4fi0FrYjuZP+32EPwkfhcfcJRxYctN9DCk
hQMANIr5f4zyDefCNZ5N3ZQh5SGd3/r7qSfEo2lNj2iEu+XfP8XtU0V/JPAGs03lVocpDe6aNBo3
cv6RbNlWh2yOpbg9bcIc8rJNmJaqCLVnWrS4/Q8VVIPFiFBnxQQGB3mT/+shggFhGbPQt1azkVxz
+YBuYio2ufLcvvb2atwe/v6x/vG+v37n//U5t9/y78/+X59ye59E+Y8TdX7h//E5t5/hH9/5vz77
r2/9j4/f/ou/v/V/ffr/+g7/633sFfh5XKN1t0KzN//8FDzGxe72ThQVyOr+/riZ+nikbs9vP5TN
FnHiMvrvX+z2VlGo4F+/Ld7ZtAHB+e/D7r++/q8v/cevdnuq377JX/+/GqZid/v6v35N+MCQRgh+
cwFp9GrHXO1OV4YEQUH7XqTJcwT7aluYCNKdFvW7mWQ9qLt7Xxs7wrLSFzbnOX2mTxiJrwFheu8w
US0liiFW1KgojN+MCSgNPKqjSYb5IaW3mmwiLWMGmLFBfmBGPhaVBmPVfjb3+njGMdmyYTl6uuMA
KvSQK+pIY+gVd5ZeUbVUq6Dt/G1mt/auKlk9IFVGJjAMSOj4n5rZHyWyDzUkvxYsGEb73k/cDtmF
HcIrBfXFkAklloqJLFLkm6nsNWuoGooWlLVJvI+nXHJ3phbVempsou9mbK0N0xqiePM57w9f89YO
/HVQWt4r5Cnaf10euMtY59ELf4dGtYePaEbN5EEFa8D4ok3tevWJ+o/B3FjdycBu9uSMpNsAwyEW
h+qrZx9sdWO8AyjJCqbvxcUx1AYBjLOOOH8hjd3jqK7hgbKLynwVbXBuUau0zacrOWlbTLtLy+oU
RJb2LGuAc77cdy5ayL6cZRdEFKJ/d3ZGM6siYoUn2PHsNZllwdpwcIbx3RfSJYtRkCuz7BuXaACw
5zhkqLsyiX5bTcErU7UR0Ib5GWU5SFPSQOnoQcqbjN/dIVXLKH8HGo4zx2SzwZqGySh19dLAm0he
IZxeIGgSHOvGz62fYbJXSetV16nLL8QH/rIPSJ5z5ClE2rgEBRTGV2ih6m9Vj9tBf5GEDAVwxOMY
K2hoKJKA6nsxxBjyyMbesh5Nl2Fy30EVW6aV158SQnWoc8hZlayOE49tcof5szfoVMtTn+EZ1vXg
HQ/jt7C138KtzRWQuaPwUIQ63sCKgDy/lRUaWxuHFi9ED2uetAiBPFzvIpZugnK4hT+06tzKYgbE
kWWYOgKXIfnS2Tke6hT4bUakvIfa0nEYyKuMTTKCdgMZxrBIIoZ4HFeXQat7zI32J9i4/aSHnxBv
+3Vto+COk0+jcsydTLVgaSQ1X1539PVMXaeOEW7gX7XY91cKheWa5BXUdLSCSQ4QV0ygO/GvEHgk
sln/KsyVaGm5q1RqO1i69Jd5YB61jP+1TSXZAdO8eeloE7WMmK7ihQb4tQWFRWr8K+tMcEUoMxah
ii5N7eUETQE40TXrIYkpXOyp7DE7aLiTcZIdnWJbxCz6qwHuRd2mwUmri8dAtfEGghvuHRgTkXzH
MzbMgUXbquuMO8dNvu3GIZ4W4es6d2GaeGGInWRkoRPz4kIL+opcrr2e8p4ig8zXQUwQQa1qQdQX
CVlOjsHvNLl0P4Ip07qo5Is3MOoadPMFTxCvvPzCBQuKI0Enou3ABqAhDH3ik+S4q+NYI3/HPkzU
Kst8DNdVja5eg0P2au5JpMItA6F4naADazuEAOyVuh0bA4KGOWWHiLwFv92hSugWmGnKI39OXg/N
24QNuoC8ZYzCviL1jD+dPRFLQ9e+ot84j1E3IbjE2pHjRUuJ/RKmrfZNwBBFk8UTe+hXbt/1whi4
uiGE5WsTNr/Jd8BwrsgE9lprOslGb1cSY+RyZNbjZH4CLSWqGe0pxr52tS+QMi0NOmSdZJioejMr
/blDFNeK2S6LsNkMKcGzRNsCRb7Luvi7B4ILvVaX66wbT2Mf8AowVCc5+hkl+ZrxtEDUFbcL6Xd3
wpSvTROwdB8BEehsvrcww6tlikipMPWtRWIQDeBwdoaRizm5wdjt4xzccAC4Rm0AzTrbqSMvvc2r
Ew3ps+s6j52qaREYQi+iNSKYHN4CJ7wTIXHyG9Kejcx56N0aRc2ws+KM9YqO/4PtUHBEPrmWzI23
jmPLRf2hR+HBqRnPz8BSq5pg0GrJk6zVBhaIs66HKkI4xGQoz4lQ1rtrH+QvZtjGCxfE3VZkSFcK
ApaU7j33jDiQdKGGU13/kQgz2g2GfC7z/OTaKF8ddqLToD5s7z51zQkxKPuYCRyjWxSENGsOPquO
2VE+z8dyaayNzsoXaZ0G61iXSAPUTmqs8RudiXeJZsEpho2QxXAQCGw41FFpO9o6M2x8N6X68Qyy
W0BpjoTG+wlLbP4QL7UBbslO/XTJYe4i32aj2+yxMRaYS+vmSP/xEAb2PccDZDRbu0q92znFZoya
4ZK4RAJCA0iWPuud0dA3mUZmdUfeJmtOvPKNyLht2sR2ab63zMoXLUpegTWobey1i3LljfZLaSoi
Nck+2gA8Ye6vpQ+D6zg78sSIC7ZHMHE4wRhkrYRBo/0oTb08alF7LErtlx2Wg4iLH6PyrPe3uMPT
4xYd+z2/npZ+b0/rCAuRaWR79NniwkL3nmXjwpGEkcrcJ5Vl5lhTsbREa7rx8Bx43MCwtMP6KP8w
q/jmbY+cZm6kBeIQesaQIT0+EZa33r4eo7uS0baoTJYeOYQDApsR4LCNMN0OCmK7ililsr4MloQw
MNfYh1DqF6FAEALqCzW5it0HFmSWYz0rM2BdkE7OnoBQf+vXTDrciC1ujSmF2R9z2Fz3nLsyR7iq
azskWiPD4HzpmY67rxPFomow+RHyRxiJX67Fdd6NvwcW+jtbFc9II8lEmoSO+rl5Gg0zXrc7Ofr+
0esVYF0NHIQdIpKxix8vFic5uo9YE41NTCgE9eBJYnI92yNGY71Jsk1koTuAm7RoprpmUbIQg4MK
bnLWKVIbJ0LPUoMVtvpmwbFFaWWZB6fEAaF0xhdfBVvtqByvbFtYLCTuJymyXIsmpsC2ZRC9oY8P
WZKfcvspdpHO+NpGcy0CJliZyyRkUwFhFeOI/6FV3R0H5BU2wnyToct3E+yMVrtNBizj2tCeBpLP
9x2xwKxijVfMi45M2A/ZjYHFhxWrpmWHzlF3SBWsRRCyBB4ktHzLBZ3CPKXks0Ku7lnwCzWoWdhG
CKHUsCKONG6fRIQJqin6T3AePpsFRJmUIxkBp9RY69QpxWbk/ssBzXqpqZNd5droQ9i3Rk5n7gIz
/mPaL72bvpjtFRk2ozRV3cd2BsDPYalfGc5bKOOTGaFrj0YmQM5AqU54ThR8QieUizxI1DENKKQj
tD7JKN7iYDppnUUi6TgRV83FwypIZAoRJ4mEgeNQkhCgtCWxJ++tab6Jqn/TJ2xIrkNiU5JoO7bf
qK8EFSYH+CYTDKbsGhuuPmOyzJVpkfLKhD9HS4AWKZwzl0vtdTbLugN3YT0fQWMH+QaAYLv1zOGB
YZNDV50DMc+zl5xEUzYbAKknFt9Wl8J7yUiejery7OZois3GOQ0WEHuirAmXeegryCO5v5xCMyTp
AbdV/1lGiGJk5O5J0LMPrtszthp8cZfBMmLv29lPE8BPTDeNc+jiIF6jB/mJjcZFvuDLNWl6COXt
oTyaYYFdMGJRrCjxNhz4h0ww7yWw25mP3dY5SCOqN2WHQA/ZUMyFJwofOhn4x77SkYsFWfNBaPE2
8GPtpXDUtm4dC5WL6q/EDMs7apB9bfr9FeNqcu9bydngdluFCUV21Sv0GXrzU8NkZDsr3qKZgVZA
ndk2Zm6vDIvx2u2BEYi+A1Zy0F2bGXiK8pkgCvPZTvAEeXarcSlIreeqJmLq9rSLjf4Iuo9hO/ZX
TGepftZcu38VPgeK67/WwxCdS3eg88vY0Ue6Pu2RAdfkzQSslHtPw2LMU4Zt9QOAJGL6uIP89b56
/gBSBXPJkWHR7PL09tCi/luhWmJo/p/3gbIcsasZRMX9532yEA0GAP3e4ITb9PB5r02W6mhc+k+D
iQbmLWfcD1KMd7bWOlfLTbyVmcQf0uiNBao5hWxOV3e3t4KhfONPpe//8f6udg8kLCCYdbzNBEaP
yM7RXhNY6GxCMMYvsjPsVYl6cmfMH20S5S9rR2feGHmCvPWOztiz4kuFCObYzQ63+dlQeeyuQu3Z
ZAbI3ZxOEq+790CQ8XtNTOqbQoYOTNbyD1SW0UupWvzzWggew2g2kRyIvJw/bcjWKpHibWJFvCPs
0sUwmAQbvldIny2Iy6ltwEyUcSMeDuKwhXeOGF+uNbAe187WKbvIJXifYxEkU4IXYNBPjodZXJv/
KE4YkEMwPyRtYa+tiQK+w9nRK6+5zlmB17D564mrl+21RuyF/yUrsEvOqqLKs48qDPOjihC+dFmt
31ukAq7KuHlwjMTeCc8Qz5GwX8hdHi/N/CzJ8KaJ0DdOtw8CIgZ4IBmecQ+yd20RJXCABhbqg+4f
czn021L3szvRa2Lt9bb7KHPUyEnDJhBcEJ1jwjYxS8x7L3BBOWJfo7v1CBQNa5eW30eVIqZvidNG
DNPv4HrHusXpZ9F5Qt8V70z6WwStc+AQYt3lCHSOOyAFxyTq4KFNGSpjYOwZVGYe4rESrbnltjuu
hMXRcgUqB8MT+1AbstOU0StqgvaRyC7vAauJ9wAcYWWT67XrS055Ib3+pUpgxiSd9wYO3dt4vjkS
jc7T0kDJzbXyUGDgQQNlNo9dxhqCVAMiCeen6F6DbTf231UsX6M8Az5tWaxGKo3eIR+MpzzOa7oO
BJ5NyHYh43gxSp0rSHFnMrd/0pGa8gM3v/hmw+MU2eN29KxHsLnhMZFdt4pabNZcruTFmx8KN5aX
yVew3j1cLrcPuIp7I5oZPgKJ4mjH7GpVP2x7pyY8EMzGOoys4dT3FvkwpFqCUTkVxkTZ0pcPZu5j
w6wLkrVubyYqvpM1rlxiFC5pJeqHOO5/KgcqKZhyn9LS0o4gJOcGzK+A+ZrPnTUvh4VAA071dWbG
5ewrmd7nUPXW9Pb1sarq8RIQurMK8GVS0wYl66gkXIvKLtdRl2Bc4D6J2A4SyiJPuH8XJAg+VkVf
8KcL6k865Q8zMdp70wq4EuYjd0UBQcIvMuveDx4KWWWPt4fBSp196LOUbVLkn0FSH24PbBDqA2FB
9cFnGcDYY0Pj7c7ZQ/GlGa2SwXDSn0PNorlhO3ZKSfDxsijcjyADTw2/EGBcf+GC+jybfh0ipik2
CbyuEZccOWMa44EVKYLTc8j+nTUY/US87rEc3w05ARXCYlPptl8uIt8XIydUiGqKtQNljQ7ceWsE
kfXskF7L0ekYKF9t2oOhnbYaGYELlQ7myR7qP9kt0yNo/BcikOtdhSPxvuDYzl0gc5BBkAgkI+U9
UKXzpAXxjtGUeVS2rjNikeHehSd3DG2iwmKBK6lrpq0RcR0sPeTJ/CGrTyOz0aXX4Q+//LVMwGNL
tuNWOMV3tweodG+c8XSZnas9IGdxFn1YuN/qtR6HAScl4kwBMOZhrHAjUOgvmTR7eztw2jOeProj
ObhXHdrgwhoyAyBdK471/MCXH9vBfPVFHT3XgR9sHG1EEBcr7Qnb58WjNl3080U5iJNNben5iwxq
+xBL4yjH8qvptfSCkzoxV1jEB4oFypaIMHJNr9UDF0hzl4nWwuoaqbciFw8D9PIVCzagYAS4H30G
ohMW+zNGdH0DY1kdpt6MLm2QXnUCH5+aJt+yde/uoA6VC6oF52VMqj0tZng0Y5gU5oSJi/0yTbzr
oR0oWNLCptYOReVKcoDragP8RHukCsIlnyC/aPrsLR3r7lokbG/yNM2PdpkoYmgI3G01qT2VmuHs
8OdBFtNt7alGoZI30dUYeJ0jhc3Y40jVimiefkHmd5qDJBtyWUy6c4RhSgtfcFK1KG8vIBJt8g0M
tWqusrKHS5y26D3nB11Z4wWL/bU0y2Ef1O8F7XeBZisvarChUH93jXIDmGScXmhZ0Khy6D7yejIw
6Du8REQrEZ47LlAc+hdp68UDmrZvVSXaEsdmhC+4oAWLvENWZljs5ocK0ZCv6+nDqApQCAxRG83g
MCNx+I55enWsLCwu87tuDxis4ewXmYFUW7mn20M+ce1LDJcc+Pl9cSSDTYFeHOVkph+isH6+BUgx
DC/vbw9WjERDEUq9k5Cmj47uTOsrAbj+3SSZ7zEBSLcVuvOti1OKAN58H0lS7i0sNUS7uO3ZAi8D
7yQd8JJgQLJJyVn7hDmhFCFJ4PYWUx0q3ggvtPKj8yA4gd3ACjZgjWkpXZxFayvP/LVhudOjxzpy
1GgWzanQHwsyPffdAMzu9sExQyXhDj2mXDY6R9OcGMnf3pzmq1HVkans1zaobVt3L8qzs30zCGvn
ShfTFyK/BvxpAHM47leZn9ZrA07AfT7lKBgjIGOOVSvG2KUP7OFE9cipm4XGEch++Gr0CG8gPzx7
fRYycjeJCYukvKZQABbgJdQ+CevsOKKqX+TCK0jcYk3OzWP4M7ROvULGCwjR+sOFHDZk9zqkpgaF
N2+XmS0u0VjuUhVa56rPcKsLMlXAQdjnZqr+9ZA1ekFhZY40B1N51lryeRusS/sypB3QaCQSFDI7
ifRoNeLRIsuaCdnQUeBPffMcBH76o03jumP4j0ydTa5NA4hqtjoNWeI9DLZIN4mVYBvv3TtoHDVY
VQDJFmDxeyXgv5i1bYNDGZWx9XrMev08tKBmZSQpqw23I/huXI9GpGjQC/SRptyy2Y+X2d7GUsnL
VQcHZLLaljBQ/xJl5o4y6VNFhYBFKphi/l8i2zFyyCGCZcicXcUUtyhmHDrA6Mhx/F1YBvqiKd2x
Pf7grJIL2O7mSpJCutIwbnI33XqjK/fpiFFeNeSJgf+j0cdW1lndedKbveUXckMSsbsoe/Sp1JIG
iskL4102GqXLMqPb+gZnZjU1JznQnVrI41mOrRrJJdeOHGLngnSFfQC0pzUUTLg4Qi13fG7MKT3R
v36VLOE3dm4fCK2t9r4+eqfRxCNSQn/ezpzfxiXAijL1OhjasFRYLJdtRVXXVLzBMsmKSvdgOPUX
B+Z7UY2vmTaBlS+a9FR1Kzf7zGoZXm3fDo4VQ1jaXrnx1Twrtkz9MDCc7NL6KcX7mCcBU3cb1dpE
/k0S7Eun9Rdx7J+iokjX7G9QM5fBV9xR4OWj89WVHVAH4gP6VNjHyuwvseU/N0nNJezYqPNkedqR
E5b8UoCeFobCNkzxtegtsXexuGpZfMh1JC0gk9iAk8HUZf0u84Dxo/ncGCK0tmS7fGdqF4/Wo8hj
lMSIgJdt5IIPaZhoTVOmrVPPi8+tZ/qbYUAPlRrW6+QVCBC7FnSxC+gjNql+pf9glva2jSAMtYXP
FqJNv8tWfSTBCZ8oYOSM3VYp5Fo47laaaEqxwd5j2fJi7490DQ9lW8AVxkYUxij75DsRAyuPBqiy
afizCIJQYWRLu64vNrrvLQ7Wb7ZDj5mL1EcDZVfJYO+1/OVADn0CntkpVT+5UbOnHAICkTF3j46a
2z37js9MtCErtWg/Esdf83q7kOUSHA3YKhlToS2adHsvSPzCuninzlkEBw5JmVwywuzvxbKBS3vn
i6pa0/S11oiF2WVkPLg+h48dj/uUrOh9yc9/UtV0Eo3OTZiiNdYYm1Q2Nhf0IoOF3MFjybgI0u4I
MHtD7V3e+xWFUYoOsPWARdeMZxyjGJ9sL6/Ppl1+xpo4tUp1RwQQjNm07ClRpH+XLrquJiGFVkSA
VFQwaVuL+Pcg1etNMBRqnWT5dE5tpN2Muep1Ci7DrsyzFpgHkBIVNJ3ozsphc0Q6BBivXFcxWKdC
C34EsZwL4NuYZFKHbCTTIHMLqKrnG1tEZvb9EOefPaL1qXch7qL/Q2WxIQY82pt99CfQH3Glq4Li
ImrllavMxSvRArYmU4PsLjGaEdy99lZV7Re+SdTWiU0oGxx/Yc1fA7jIbbxn1BnV0uz0sz2kLkSB
7lBhuweqM+nZth/G335Iz0oW7z7i170v2zf0QzFbiuRr+EPHzfLD7KdtZLGVCl1eowyNHZNs1mwG
e6dC//QSiInCyTCcS+11QDuziBoQg0X8btrjE+YJRrsGHGj4cKn/WWs2CBGbkVXVMt71BvPaadcx
zDwSsSX36xrlfRqjFp6aZpHXwxbNUmmYO0XJpIjPWjvteG8nZrIhAwMXbBo9G4X02DbwKqleLIRg
/WTo072ngza32xm6U3JHg+wU66LdMBJ8o3yLOOe5ts+LGa/FNhCwzN+QppdiT8Eq0/dwlBoM7n2Y
IePCRazp931oXAonfk9n7nRDEMCKXdeKnSelyPhdN+PE5XZ6KEltK3tu21poJ+sheMy9KloXYYWe
utYBnuv5xUxwTrlUZbc2mNGH91GQ0hbkJztr3ibEwaSnDe8UGYcOdwy5G2sTKmRS/5Rdk+FmB2rH
Df3Yz9C3IlLvoVEYO7cHoJGgLnPJT7ugqzGXRfWp9+M38uSvdDS4zvr5R7wZ0xpgic95VI3+cZC9
f1Rx950m2PUYWycrpyX2fErsRWyXv4FOxhRXjS8Edy+tmRsYpamO2Xp6UDmNknh1HRlLnnXNspVy
nUssOIKdkh7ADC90OlihvRIt+WvqOLKq9j5V9I3tnLhhlPV7VFUPFPGvpsIRbKUgIprwFOn1yZyn
jwbefyGcnxjvMuT47hyGl8FO0SDXu0nRxxGNuxpjvVmzCUN8z0LXEazfx+xLFc6H6TOJ0Bp9SXgY
Dr4UdbrQxJ820e4ZG509X9Kn+YfYS0lHeEi7ALG3NB+pR5ydHMQGltsB4VxMKdg+NUF68hnyUMcb
cXSOhfM0htGhjSH4pgHWEdIQDoUskIS2gI3hsPP7sG9pkofE8zlOwFV7m4I7Gcd/itdrbNQiHguk
YP2FngjKRk50pverxVw+RFAGK3/LFWqfeCiWExywyPcdFxMwWrJy5iWcSRV4NNA6dj5Sec/hVhQP
2rhOzOgjkqrf1eopg40Cod+Ge9TjXGRWUlr2MSX7RqQgrDJEyag4n+2eZW3lVbP4GcsqYMod28qL
z2nGChRPov4YoNAlYkYdvCJ4R78klm4Isthnfc3GDv+Uqk4WoDMQwdDGzeo7b82MFODwVNoRY/Wh
40yMrXxnp+LBboK3vBNXkeKgLlp2LiUmyb5EbwsoejHp9a6Z8o8usbjuJQWausi9i+SyCedbrUxY
93mwz7ygQ05McF7ks/yj43To4LaONDicQWzo4M9kZ/9i2zbWGjclImzXvZGvIx9bvdWCTCdScFmi
8tkjw64jt0dvblBpkQcmpxiBiJd/E2G8jD1zbYaw6GS7dywkrex4tzIu3nDtIuKQYp8n710dfuS1
stZj1H9U2pguS1NDYpc7JaEBBHd0Yo+LA+SVCL6bivxnasmuHZ9GN3+vnaxbyRqdYpqGR8N40TJ0
K45PzafrIJtaztIRWDX3GHvIiDNUKBcmXf7Yox6uGpPIxMTu8WCnJ4YARz2Cmqux9S3IQ+RiqlVY
wQgjqqxib1rAKtHz6dy69tFEHrJiFsJtVQf3K9nwEbpTrWvD/0FIWQNgMIFQV5QprUkmjG++EPAI
kjKaHDSV/dorC+uEyi9zCSvyYrk2BYun7LO3bLXJ2DZji0NzMdT6XrPS1wateAg9S0M7MOu1Gw2L
R6NV91NNSrqfPFUKv5hpqCsmC1jdIAbjBMNAIrSrOZqsEMbqjx5cg0qrEQH5S2vo8OHArtw4fN/C
na7JJABBtj4ozyhfg67o4Iw47AIHRp6GQaeo2yTsMDSP86++hm8dE828IPMhuoRCAJRrMrwLz36h
nWu3MVjIwTnlcIii/DZ8lHOxBdk/ri85h6/2R5jeoqrKANL3cSoNcJCBA12nCT6k4PIYu/hpg9p8
k/hFVlVMoJ+WfiUIaA6ar0WMyEa277L8HCkRFEwBXtPPIKaddrJPKoT+DkUvt2e1BhaAyJr5tdYy
G6z2iIoLQmzbbtuP2blo3GqDhKL5f8rOazluZM3Wr9LR1wd7MoGEm5i9L8obslg0IiXdIOgE7z3e
6DzHebH5UOqZabE7pDkRHYqWKFIoIJHm/9f61kLXjTuhBTWhIfBGp954S66tkpQNkxifZaaQqfZ1
eGKxWFgxD7lh0wiQp1s7QRLuDCq7SzBr6eecCKWy6G5k69zaXfcumM/oac77uwbzM3Il1bSP1oAq
yYvsrTA5jRUgb0IH8Gka0JFravzmUBbOdhFV7BIdjW7OuKsoX60MHBgrv+1WNWHe59pwz3Ss4HZT
W2TZEG/IQTZssckXaKZV4znDyg8CLNwhlV8nam/1XA5XjgL9YPvOC36LWfUb73Psfvi80p0xhfmq
iuVT7wy3WI4Q8gwUl6YEOoRtXw3zxr0pVLPFHYdsSk+XdUTuAbksAAHiQWyhnOKtVwCyyCtemY77
bnFmY4orD9OkjkTYHdm2XNW+9upFzRFb5NokE8zLuzc0DcVeWeFXBDziQOAFgyQOlhh4gz3puZS1
u3I3CezhTp9sTTpkSIXZaCIuuyb46QkBD5JiMryKqVhEnGUIKaAK3cCKqlyfV3biKRMVjAICakZm
bgbz3o/TRwvvQyLuCwQP2zJKv2ghp6VSOTvA/ocGSPhuIMWmzp78FOG49CqCFQzwi21g4DCvQMqp
sdhCY66Jw8CyXJFPkDavGXliHAQQFNmd/olqWrUka5MkDfClbYYRIIY+m1QjMQUmPPraPvWyJGBk
fMDhdS+NHoUmOzZKxIlP1uAj3kA7aA52ogcHTZNfk9jeJ/XMNNRtJD1ORwYlHYFl2EyPI+XOtJ/u
Sp3KYTwhPzaBZGUzsbNv5hRTJ1u01oTSXZ8VDomM1uSYf5IlrWEpmrcJXCyN/b0Im5uxmqyVsP0d
2MrxiBP9C9PhpgZdG2vjxHxFy8CJnGtXtVjERrzTeZxvLHekEVGDqtTzbmNMxkMem1+shoHUhQPn
Ts91V6XjHnyJ2n3wgIsOFBqWxiiWEEDlVh/prARk+mQQCRJCRQi706CoVby4Wn3KfAiNlg2Ob5pq
zm3Sf3VL6gGB5/FcYXFZOjuYCgBAVPQclCuaMMBYOHyLbzYZ1AjIvH3RWd+MWENjjEDASXAM5FT3
yFw5wUF86r2K6BJCs0SoYm7riAvEognadyg3et7+eM5zCfVmjZT/mJH+s7QMh45xWGMLAVwweca5
JK6PnxpwSJxEA+q95RLIp2pSTOoCaGVAUAFEEeeq95rjTCuvvVzAH3Q9IFaSmvOrLfPgGgkzL/rj
QFokeaYvTeG6MKcQSw6eelYFCz4VacQzs+WJhyyjU1qZ3qFFx9DFbXXUR8CoeoN9LASajbuuXQEw
s1Zmba5jN0FGLyJBB52qPra2IWc+6AVdbrv1EL1CiBz7e7aWOtQcGgzeWrdeTDJoN0Si+stqIFsL
3Uq+Q2S5wA/Xr6LSQYBh5p8sWpv7WsxYXt7rPUCMddIsgjgothWHU+xenOlcnvja11dhnj0Fsml3
lQPfJggSINKKFuH45JkaLEvkKrRFVwbM0S51b10vTq9icKOptM5DRWmo5phn9m18G2Oupc23p7N/
1xGdU9Tk4BneedTyGT5UvQT+5B8sEp/1wm6v6i4h+wfLdEdM18bgI5IqlRsLaZJZm4mv9GnAtOmE
abYdQkJZzHsE3ahXQVFwMrND2s7Tfiw82gxddZeSNpHAmaTcgiJXBkg62duWJOzpjH0RwOxoXRJ6
aV5gwbI2deYlOxyX94HhkhiXGEuh8a/rmXvQwpBsA+igS/sLfQSCOzL0iXqz9x1KTwxnKkv1hEOx
ATyE3qBmRdCgKIT9Qmm2wTsisk2R2TZngLFclqa6LnxI49g6HZxe7ZN0Ib1V8b6LBvDQxVyEyGkT
tVZ0U2kd0fOGfnX5h/uUDW1lKc6nCEBo9BR7zi28ibhwHUQPBTA5IAlMvrDE78Yi0jaZYNNiGOpZ
L4mlbNkVMSF4RBvuAzP6Qln4DAoDDKPeEAEvwmoR2jqEgAnqKRIv/npEGe333/7tX//xOvy7/56f
53CwPPsta9NzHmZN/c/fdfP334rvf7x/++fvjnQMIRydY7RQeJd02+Lrr89Qp3z+tvw/KCb62EZP
sYyDsjy6ADlOEUBS16T0T4t3uA4AKnrAuNZBZ155GoU3fZIUdQ1i1YyKYqYL8Dfs0UD2FexopLvG
njS8O3vcDW1U3XSxY58bS/EhqwyPvTHLJDrv5hefw/7xcyguXxq2VKYhhQmT3/nwOZyxj4o0A/UO
vGUjiq7eYevuFnqQdmfYtREwWpWvdLrwt2UUP0GQQGac1teubmun0vHc3WAUL2U8aKfA2ZhV7l8l
VngfOc54IM4gAxMhyjXGN6wnGEAd2Wv3tpV5JzlmMBCDxl79/COZ7l8/ku66hm7onL1sw1I/fqSe
9QAriBuuAZtF3Fg67SknDHo44dH3EvEkfLXt2b4SBxQYK9ifEyeu+haGZPIe9uVWdjZTQxqfOBUY
g1Q3//MLqb+UBcLoU2kn91bSuFeXXyYwFFeU62tcesmguhuQhxSBUdo/zEenZZkXJmR+YE1dRwJR
n+IxG+qh3uVFvazqtDlXYvQXih38/DYln5Cpcsyy7elAKy95LGzGDwUIutHhsG/0tqDUHIWnVrJ3
SgKypi6/tTMm/clMEIIk6Y2ZGs4+9dXD5XeJ2fr7y53+tx/egvryVrzmfPrQD5oPv/3Xdfha5XX+
rfmP+dv++6/968ff8l1//NTVc/P8w2+gyrHo3bbv1Xj3XtPF+K+3cP6b/9sv/vZ++SkPY/H+z99f
AZ4380/zmeh//+NL81srDYbCf7/l88//44un55TvW+bV//u/4fNvb/lv923yl298f66b+WeIf7i6
sC3efMdwHcWP5MQ4f0VX/7CESSGdmYHmkGBKyAjOC/75u+H8w+LLhqML6XL6dXkLa0Du85eMf+hC
GMKlTKok0g739/+6AX9MQ9/v+N9PS8b8uv7PtAQmkktzubpZ22vpphA/jn0zBocyaZp/HhTdJbOK
ojXC9TkbGrqeb7g7P6+v4feKdW3D9C0GQLK0VPWE1VR26FxpmPuLwWxOMVv2DQ170Ibs3nqHUoo7
3vCpwkPVaIxhdP4bLHLf8CK310EIt60aiOCYxSpuyLRnF80WsnFXGHTaSLwU3dmbtadE2w87zZ3S
68A4/el5/c2sLP/m4ztCpxsuiJewhdR//Pic4y3bbSr/DDAq27eyGheGL5Astx6SBVpmFc3DCRQA
WCDABNh+8myoV+PYVF/oTx4M0oUHnSSl3tYWokA2TRNg+MXaIee14ceHJF1b5wnxH8NF//CQmjIP
GgrlyTnOw2hpo87cKCQ2ION6XH9l+MnMIdIkPhpuD1opsajRhl3it0kExCD307MFyW3HsqATnGJF
h5/fRPXj0jaPIQYOpRnu4fw/8wj/89IWhNj6fL3OzwPJbidcyfnaHvoXKYhjpGCAYxR0wgpRxBVc
8eHGarojaDx1AK1Fg6eaSeiw4szUwqyp4xxMoPkCPcFLWPgPcFBXZZ+9q5q4BRIuv1lJOiBvAajE
0Eu3LrqeKnJLYkHWpmheVFPjVvfoyQPhLe4qE9NiSATFEtovQn50jLdVSxeGAl25BZupLRGEIA+Y
TPPI7hqHCM3EnW84335+l+SPq8zlLlGEdXQbDaJrKvfDUEs9Y8azZsk5qzqJxCJ4tusu37CbY5I3
2CPFkCDAICXpDr29wabUzh+Jj202RpwAmwXe1reoHiw79k49VZZl1OrDDk7ZnU9NfPfzy9Xny/lx
zFGUtW2djRWzk3KNHx9qLSqyKN06O+cwePe8Oates67wVXezuSTcph41CrC963SsjSNVaKqyD9hZ
v0mS/3at86kvNPjnTXKcwFQPEQUey4ISPcz3GEnqE4LmaP3zi1Y/bk64x4aw6b+bLHSWbojLSP3T
JmuKbDq6TR6ebSN70tIMFHcXObe1od4rq/QfUgoryaQ5x3idyTt0NdED3cEHo0rA8RjuF1PjnHD5
Foc/WnPUKHalB7E7d0tSxbPqMZjS6blv+gU4k4ekoFbZj+pKG/sVEXvBEXimPBmYlvwpz68jYBk0
SeyrhnRHCpXjRAqlNzuliNwtovQBG+Naa+srUVrjLXLIbTs4BB9UqFzrySA2gzRWGsnVL+7TZVr7
4eEatByxMQsdE7BtOR/eWAIcIHC3jXNTFiLfD3KQJ2q7a8wzYt2Pvr2RsuMRZz3+F7pLJ7+wnkjX
MwE2cR9+/tDkPJJ+vBiuA9SCNF2H+trHJSjVU63GwFXf+AUQDb8nUq6opj3ZaWIf0t8zPe9QzNc5
Rjpofc1/DC3AmY7s2o2t2a///5cz3xUWRJ0VlnX5x4Hf2BL3g4bufYSiGeauhlYtQN+hoX2vZDiS
hz7oS7p7+rLzGCRkjxDMnAKHdvm/baOh+/35Jenz4/hwh5hjlSL6x553BPOw/9Ow9srBAdPgDDf0
+e8KSHcnvwSrAWKcvaGGwGzr1BrebDyWRtXZV27eFF+ieeRHWrFoYgDDKc4wOZoYRvsYkHM+n5I3
DZSHpLApnTWobBpKBUh9U/NXy9dfphKOWtIyOfWwceFZfzgypIyogjVM3NjzBKCc2fwygz36ZGfW
XrqOkjJckkiQXFPLMzYG5lHRgHYMu4df3Mi/rFRciYW0mFXKcSRmiB9vpGRL6+Q4Ym/iyoquTNXR
GLGwjbGViQAKx/YurMEgFboPikVlWxV0cL4KT9sWIG7yVPWzw2s+HyKrodaoRTk3D2H/PkjzdVgE
A+it6aRpQYEe2zR2RhipcxIYv7qlf53oGJqGZaBNsgSnyg8jgoKZG/QY3m7sBp6XG7rJemritwlf
xzqkLb7x0UVgHqruDeOhLC3oqB5VCYolq2nM0k+ZEdBM9wGKEsUt0YgG/eoX9/ovmxYDoCyvNWdF
LpQ97o/3mjSv2BqRQt9wFavKQ/tMzluz60rzlMWpOnCkxX+Vo2DFHTYFwLdyTA7+mCCLnb5UlRpv
B/BUI22GdVUTnNGZmUsJPS8Qn7G5TEkuubxsKtSiBa02mHMx/h2fjJmff5R5VHx4/X74JPLHT9I6
JSGVfQCsMLU++0F4kG70i92B8bd3i/WLnahk1f04MpnMSDehO3ajY4A/5wEcVNVLNnWRSlfAnyqI
uV66mILypc/8z0jM3i9/6molQhiC+SjdR5Dq+pYlVuvrnfCrU+jFMF5nerJMCUfyKcunMznSRRAC
3i/fF3bxPL+4uy4Up1JFKanrVbVh07QbfPdzYxhnuDsagnUv42dkIPA04+Hnd1f+3e3lXRQsSSzb
4mNFoaZF52LzMW6gNjWfIlpGpBhgEKtIcekmXK9CNGJT2ficar968QvPPjVkEq7R5IIEtLF+Tlml
flHoMP5mrjA5sOkcxCy2bR/3EpqJQjbDL3eDsO+q7AvjU5NTfbUiHQGcczsWyH2NFCZICDXsXMYV
NT2BD58Yya3SCmNRtEo7+DgR7gy+bZ76jHh6Saw2OnuIB1a4cXDIyDkjE9dGMb8GfciqIiQSu66C
cnTZlEY2AZaqotdGhYR9h0XYQ2777iOhb0SEp+efP475iPtxtHNWVdJwpfU3e4PJdE0aNLWEsj6Q
qjUWaC5Ef9WUgg/QhdiNoOOSMYIsRlHAAcAtUO51uOMJgQ61fBaeuDqgH9NGaFjfuFjx6Qriy+u7
YN3qUj9KNUG4DL1s19KzxsszfV9PI2BcBTXuKxQH6Le5Y1GlH1Nby05WGd1apkYbC+PbL7ZDH2pz
87bR4OzrKI6/hErx2X98wSdnkrYX85HT4hFnBD4AIrB2ox1oJ5IPNZgfJiVaLzc2Wj58DVvnFUde
i8afA7EKDMLY7FfIC3vbzYOjn/Q485Wz7iZatGLeSHWiX1R1jkVxLJ9D6W/aonCOv3hu83z6YZai
uKfYP5nQpuXlEPmnTUJCkrciVVW/uYwanpbCd6ylR+Rk/tr3R7G47OdkRQgHjstqXwFsIsxhb95p
mOrODebPhag8SQ/WsjE7pdi4O5I9pSHvupYuS9oSAtzEYXTFlPhsEdcH/1FjitKb3egjlRg7ziFJ
EAF/5VT/88/31/MTD+lSLjGonvIxP+wizEEYeonP88a1UTtFU3+0yHadsbWvskOs61j2KizG9PtI
NVOyrpvk6zjxzgxdVx9yByeM1z2NDbGFQ2vS3GCndUvB2/zFo/ib7bUx1xE5D0MV1vWPR73OKtAk
uD2XWvTmEfVqcgZNDYlS1cmx9WJ3lXvwdJLUvR/xQSxi4YdgHXYlgai/upb5tnwcFrajpMm5iMLz
x8O520q8Qlqms/nSNpUc2v0gzGSJA3zvpe61PUBNwPun05mPp12sV6QbhBY+sBrwqZhqd1fFVOiH
KfO2kCIWNljLrWxF8qsL/bt5xzFM9NkW0ZmuNc/Hfxq/LvUjXyMa98a3PgcFUAWhh8VmxEDcTAgx
L9c4bzSPou2fpix+rBAC3ba1Tjc0bW+D8tcb178uAVTYJFXAuUrnSnNetP90STZCJdSI+nRjaLAR
o8QgbMsr3G0lYLVT4Co3MsA9QLztnFWkOESJVJ4uVQSpJYguS7hR/hTqW72njP/zF8L565aBq1M6
J3S2gYquwoer62XR2JkSN2kCdgY2LYkDmSi+dJ1PmHSb0ISJSOYy3ZYM3DJ/baimLZueM2nqkBGR
1N5x8HVv07RNQYsBBOGMQOyNDO1ND4IFilm9iTxSB534ydBk8WUYhST25SrMyc4UxnBTGig/VQXD
ziDLc0cWpLUhIm6W2jrFl8v/+QOQvs7Q5yQphLJ+jPPLj18DSi8b4h/zI2fLnU0nbaPi6lpaGVDw
y2Ev0M9an2srfMg0YH2LBk1FiVLF7TWOKGOD+RQx+gO2ba8FbA6KQWw0TkC+NIfVZaojKSA+h0F0
63a93NikIH1xJrIKuoy2sOyNZVeQV1NlAuqdiikE+WTBaEWP7BUv3aiF097vTA3wrnyWIRbLUje2
o9AgMc9FDAcw1CLSdEVz3l1FoV0Q6FX5v3jMOokEf3mFYUBSgbEk7zAr1YeddJJ1Zey3/R8z+1QM
wQnQJ8KqcGuWX2sC2xatXUAZzSzWz2Y0VpWWUjiIi88OEnIrSoq7AUOcF/mEBBvmZ+WxqLfzQVUI
liYyG+lbGBibjQGIMTGgSKMy5KRDr6wlMT3w1g6hEsG9A7+GuxbcTKH7rht2uWb/SYRYhs6I1Cp6
gq3M93VRPmuqAfHO6RMpbsFe5txq5k2L1HWfemm6H2lIHv0moXNbnppo6m610F/bfUlD03USypso
jpKoA8KnzZQLt+aQFqMeDryovcYbiGQjSkiKnodKYqMhC0JPW6W4T9dahUtRTHF0hQltHVcEUoqu
GNm0lS8AYRIal8SJESXyFiQE3hBRZSynLNG3fUwsXWRj8mwq7/2yjOpiBN6Nq5m/b4pNGJYj4UMv
ppsBTbBQPujDaohJjqdjdMqoAVQgHq+ZkmCvprgPTnSdkKmQ0qfVjo9RGnMMadnrfGZBfL/4FBmr
M2h85/gN7/kE2ih8bUBNXSMoeEd2tBm9LPuEE+zQWPzkOgLtcinKJQnKtcKkj23ZCOoGICb+ALXA
1nhV9eSt8UrzrEr/yRbg9QzbludL7UJ3gb20wu3OumrJ1grEQ9qdGmcYP0OxeuzBQCAyaN8RHIfb
TE1U/kATTJG/xwH51touWSEUk9cj93bflGizLeWNW5+w+HVUaxHK5WrYODimiwGAk5qqqznJOc7Z
1zox4eeypqDCsklORzrxZ7S+2o4OGjDD4mymM8G/+dSD69xeptZuauQJc43ujymIPB+FaYcDJOt4
YryHl3ddJOG0rV1iw80i3vbKQc9h8WASyWFhHukanTN+cDIbWnAJcYA6lYmu74dseLYwaB4zvxjY
hjJ/NkO4RQh+O86Oii5BaqORj7DI4xrJnaub67LbJFVvk7Vjc19939mq+Mqf2MwX9W1L1VEg/HQa
Ka7TeYsxQJknUZuWotOHah1EQA8HaR6NG+qLGsb5OXYp9Q763LYuGgo4GL0nik3pI0xgEGDKy/fG
RL4G+ut1m/RQzylEnWzcQ8CkyEU0EflKCKhLigBgCCKNBHSXQLB5GwruGsd00mFoaeTwZODiTAMK
uug1mjh4MdLIvBuaOtjjf0zWaW1u0laZR7MQ19QdKHIJdgh5Qt5LEANv4g75a7iChr1M5/KnK6hR
2hCIKtYRpDeNiW1O7BmlpNWWEaxT1caQs8QTKbfVcUAxtL6MwgK7z4YUhVdgMQjKs7iD7+9hX/Fw
Z01NdGcEw8mgQLSdLOmuvHlb6ROHikijKXcXL13RJ1d0FOSJHGT+qe5Bl+qN7CKUKNb0ULo2wsN9
NyX1WnMZ4/PHCuoGxaCPZ2UowXObJzzg7VNMAWRpzLVNF+3TIW6g4hThxh+sz0S2jssezSNBR8mN
52vXlx2j4p9bWJMxrtrJPQLPFjt/kvvLUIsk2aF5LY6hBx4tMhXwLuRqC/TT9t5Pv+btZxdZt+/4
CQRnTjm6qHCSNsEep3bzCcENQrlLndyWxrByku6bU5brBnjRFdEJ8JAITZvmFsdlfwljg5cgrbxt
XciBraX+GDA1OVr7GPDea0pQEoJLO5hA5BPmPUoFxP1GKt6CVKarkCMUmNsflyNeKvwtgcjpQavT
U5Vm131lf4rLsrgeegu15mCjgPTDjsbFLTCPIUl0xsr4/ZleXsVpKk6pARCptA37thRK3dZt9nT5
GsHLSHfrLr2KkIOvrDR8R22Hf6MlTKcQL4NZ3IoiD6EIcQ+yOK7us5R4pa436KpHjSCDjivNWs1Y
Zw4HtQlYltfV0/VlMhXwIbqG6JDL38IfdlVmyPRsz5yWIOjMo0JgRTSfeRvH7hvOM+p5Uf5OKR58
DxG0WRYKzAVVeDdhELg8AuxGL6kFG74gJvDkDpCg1Fy0vNQyObRXa8cPeAO86wovFkNH7nRGEmRP
670ozexa5HoCQ6hYC7v6Y3MYBBJWQRyfs7bZZI5K15frdQMirJsKbHyVysfLcO3z+lykOIiwYnzG
vVYDoiVoVJ90FtJxRN9nFeshba91k4vAYGLdt6ZnHTpjpn/G4EID8Zjiez1isCW0AlwEDECdM7qu
mXuqtohJxTnHGrkMNCmPTgmXCh+lHJZpphOey4w0TWLcRc3wmufA7cgDnTYIfV+offL2zwccVTYj
Xn3lbS5DcYqfZelUV5BdjmOHQMWfxkOlvAVJC+EBrHW1HCeH9vGkZdsauQUieqSEVptVmwFq09KO
gSq5BMb7qq7BEOMLU7Vzq2nDkW1FteMWsXgOtIjNThJpLYMnCw8Skyi38mxG+TUm6291auLGmDdJ
0PvtlTamwxZVSnYzaI9KRxs6T8283CRzm3V1a/MjmDZs1D/+Lcw+QkWBwWJkYE+V9lFywCfFfcVR
Cv263Fj5RNtbAyZfx4m2nlXh+B+xG80/OsLGv0ElF28K1L7rZhyeMkStd4is96Bolyiw1T7NyrvE
R/QTlgxLhFYpqwdV8erFqyqYQpmNZB5FemdO7NjDdtOB1dniMoz2+jfGlE2i3+Atc3z3XRWvhgba
Vh2jrO85DqETAfUqpxy+cFZ8fy52RCa0n98bblqvG2ptrGj7Uo7+CXO3t4yIjbUMjKkFKPVzGFX9
azPa28ogwjE1+tspT4MlZfPxkOS8Ti3xEJpwdgoHjzuExyDtsRXFiKmoE56rHGdbQjT098lJb28z
gFZXCPy2lxMbioc2Wk5um96SyfN8WeZFWZxGd1Anp3llLtABFObMH/MOj9PP3idRHqc5JfvLq2fR
Kjtr08lX46YbIFV6CbWm79MQi978u5Y/LmDiX5sm4nQKMOzURdjfaBm6yKof3i8HjcurN9kBiQB1
Ua3DGl21LqD49v1XK+C041x+MSNkeQXkfZmuplCEu8tsCcrA3uuVuIUjvyTn1TrJAoWq6JJrx6/h
WgfO0m/z8dCz5WatRhqhSrmmumHvJieWp7GUb/Av5UrrVbDJeJhha81WWuIlZtnX2nIbc8OWZdUV
zyOwl6MT5NWaYf2J1PsrB6bh5rJwlZ3yt3i2CTyGQZU2fgRzlF0hJ0DUFeC26BhdOs+iaQ6hdAjx
FKS9ll4fHdHtbluM+cT/8Don0SzZmIh24br2Wuc39GuochYKrweTryQsbul3RQm4U5W7hvBvIs1A
QjOFYuYGxpATVHhM645QKwCArDmS9FZqR74EZBf6X0xDo8tJGAc5dsgahdl+YT/5qgZWO29uonmh
txu91Nw12o1XBw+xU4OYQAdyJiblLEMSazwUkNd+gsevand67L9P5lDsa5Wm68G09FVs8VIUToAJ
Oq19QmbHkS5umx0uA4pAYLwBE9w6PyIlaBx3eA/lCQjIkQ5tuaJKuxuToLvrfcGT6nveiry5c50d
QROqKuKnMJKI7MrCcxaqpzesijskpel1prxwk3mIIr0pfsFTNUkCozx60ade46UINYcDqLMLWsCP
sesHB79XtwKEzyx95i76bKAvGyTq/8REWcB55v4sexGdpD+NU/3cfxQ+ZLoAGgGRGfLNzDRjh29d
LQp9mECeHixhZLddc192Qlv1af/uMYZIRIL5nZus7m7qkpcm9xhmrL3ocYVdjm50Ca05CKSh6w29
zR9Xnanfs6MCy4I8c8fOvN1e6vS9ZBjWcnI3dWIsOhoo6yJrvS1bDgLkSWJkxz2DoxqcvaYbb5MG
8SamYRvDJqrFyW4B5amJ6L62gAcYDcE2rghgLwzdvYkc99OlLySNBN99lPa4nak9WFO4hrOizgJr
aGSkfPcInaUuW1xFQr+fkukrsEE24CZRgTlEKxgT84ljCu9CkADbOPAjro7kAz/20Z6O79oYvAPl
cvfxgAE4nSGMPknooeblKL5J0raF/r1H5eAeA2sWdXMRgySutDv48bGuKaFyl7/4kX4PTOSp5IpO
rRrebWU/oFnWDg3bGLS27km58CgjQ4gjqumnckCvS30OUY6hCm50bhCoM54LJyT6qw3CUzjHzHne
u1BFuzFEISDP54/S/Ax7YYpNawcGBeiDod/Znt9tYm8qPmnhpwBykJOGT4GB8bAnQO6+ob2Gmrq8
u+waa1pni165V3LeDuBFyJaTrhG6MLcgTJp2pzh2VvAt4+8n9sCIzmaTqZMIbgGHR0eN2ibG79jE
wDqNG1LrTbIxghfXcaJtFqPoqXqXbq4vdUISSlC5BYHyROP2+8vYsb3EQqDfmiDndIXdU1GL8QhE
KYXx6mlJt/HNdFrkfnw7IYfew6cDGZ7pn9m34kefG9vkabyZY7C2kmG6g5ZwspXMzyHjo1LdxJl8
VpmY8TOosX7paHG8vxQfgL3iewmBEOLijUhhtsHDqCy7MgInOXHTgKY6J60Y4ltaUIGjiTMTuo9U
Tduw3zI40NVqjQKFXUMQJ1BZFXWuoAFSWHLPmrDoDnpavOhm5d7kpvcWK5Pa4HzyxV1yn0dhTc1G
zfYlrDEglihcFodmGOxNksl6lxITvfWi8L7Q/GfTNMdTy7lqQbxcxg2gcH15gG1vfpVsXG/9u350
vA0x9Q2AxKw7XR6hX5vLZszGKxtFbkx0oatgesk2/tI5JoElnJ2WvVK0KtoQuxwy3iAtbJ4PzgyO
mTm57vmVajO6geVQ3YTxqdSctyRy4nu9zb6YwoVSMTb1lubkdTmG8iRC9xk136J1ZP41ICBisrA2
+mP8AEGJbIByDai24SyA148beNIa6/tpg0S2RdRCNgyqURLsPSBXSNxDk9U6hRL5mKv6JY8n/xav
2hnhmHfq0nRcK7NnLgLIvvRjGT7HyjvAewPxGXcFEd4xAiNhvfSqZ4+ks3J4TfeJkjzPq+unW2fw
t2MDvcI1g/CaJA97X4KW2cV+Oe752Pe+3pRrglSae6yg2RKq8ODdlAmhQ3FHUvBUv4XO2q516820
k2eL9UKpOPkqxOd66rZFblhvzWQ9V57r3OaWhnDdK3ci0sJNyku1noqgmy0Lnyl9uvscdRwzChje
uoh3zPUtYn8GWahvIMfEjBv4R03UgKUmDn0NvDTZ4PHsCRFS31+nutYINan9o4mSFDIlrku0RCn8
F/h2+XBbxGbwhgPLWATeppZBjCBYqZsINeEihUezF2bJqYbzzYMQ2dsUzfGBqXvVuOk2S7mjKgAu
NKK6X0xA7qh0NO9j6PO5PAhIsPeey1kj1jj1nk5ueQW9r0ez16DsCFxgF9Wc3z4kp0k3vnnjUOyS
BjUAxpcEX59PVkwk12HbJsR4uxGcCByRdTsObwKPgzVANNO7yt31vb712MhDdXTp6KQ6o+TblBTn
MTI/hSU4jiCLsaM03nJColUa8UKzwnRd6toLN4ZVgpLGosjYLY8vdmrwVR1iWL4bDccgz947aJ5H
eKKTRaDAjUXdq7sGfcNNE7WbIOk/t3mCF1qHyNURbUj2NR4oOxXXLE+Y8MaNmYcSvziGqzpuqFTi
mWER9tetV5e44Dg8pzj5R1ndAQMY1l3pcvIBelaZ+mOUuthCMa56aX8z+Rg58yr8VOrppypV1B/a
eIStfS4bilGtwWklodgnwlMnYnYRFqantrLhUFfOoXYgWyMIRTXR4xwyrCVB2+SRGMWyJdscm5RL
JqCtnkYzwSArkwDnnb8wkWARqwjpYUw4NyktWEaJ7iyT4SuIE1bohmjIicws8ry/uTm9QuxZA/4a
5ZHm2+FeLnj5iLSaHrLBPdu59l7VJT4sCSy59FNgQWSRwYLLV9pEL6xCEr0nYeZGMdLczrwfqBaT
Ma3DQdVCxi7pGSnV1tCHLtDp7hOJP1sn9UErzDRmSER41Opy40RCcspwMNeN4uRiJB8M6131Xbce
PbkajMBbeLjdV447bKyANavQJVodNmWRIw9zN53EswodQcXBJjaWEK2fEJHuREXfRGPqcduKgHc9
/0/qzms3bi3ttk/EBrm4mG4r5yqpZMn2DWFLNnPOfPp/kAL+sx3OFho4NwdoqNuG265ALn5hzjFT
7Ghg4xVjYjX1Pwt/JPa5dduVUpONNwwWQTfyHuUYynMrTbGespFUleTsZlP2QUmMZ2v0e79Prp69
L30flSJIhToqJ9cukk6PYIPOkeueRB3dtYm16p4S2/nJlJCRVfXZtAmIiTHaLmjzwA8JFrAgaJZx
Eh6zwkWAphVUurb7wteTbcZ2eDKC6Nto9c4icfiOCYy6ehT2dKtYZVVqOoVEi8LpoyXUFCCn0b2q
5E94Kt9wRt29FmJrbZJ/ogafQ6C4+Odvgj+5yGxPEHylPbUoWgHOpMYqKf2N0xmfzdogpkYVOnLo
0t7ZfoStVsEWH0s+wUccmxaPnPRWuIR5hEay7KZY+Foo7mr4TCXRbnLNIie+T/GtR3cPVOli8Afo
31SCeUpVpo/k84haW/iXgMJ0bdgQegJDfsp6kkuJPsHDX1Y/4rDa1z2OdbWqf5ptmxI81oIFIdSv
C0kKMDMCaeBRA+C8CavGeCbIrKoH7QHW3dXSg3xP8MqySsGsEjS56AXicBvukxvAeVFG8ll5em1d
yQvUGBAfMsV81fywPXApfJNNcQZMFOdauLVYFG2bLt0aDmmAxCAd1Bp2LFNw8mWrFfc/4FglaLZL
VN1k+jo91m8X97sgjK02s2Y5mka5dGzPOoIR3gOLqSMhyS+R1Y6N94IZ2wa/q0cNTH5zQAjCAgbG
l55bCze5eVRShQRAtwEE5dyVvqP1qbANFhPGGfUfFsO9IoJrCzNwwYe5rK0uOLW+cTU9tCdxCjAm
aY6Dsx+t8Hvhi1cn1ljMueq2qsxXjGY/yLCLTTK8+sRznooYYpYwYmfpmMAGQzJ0HuLCPhAK9yUi
9/rSZUaK8CzUDlnWsVKGEKDJxjk2RnYImVA4jSi3gVm7NxHU3Q3uUwpNCupmIHZ11fSXUXHPITCg
bUzKHykaXMV8Ft2mTSZ+RKERbS5xS+VeDCTA19/8vnX3hYMxvwdlTp9VHbDs3Y2uVp8ywemZ4aCf
EFMHUy/sHWl/6MhAlZ3ctPveK1ly0dQvhWu+1koRnatho7H5OVhaG2/cJC9WDvOsHZzr5JjT+ePz
ukNvjUl1lP62Mgx/18kSlwO5G7bOcsFqswzhTBeswsSwbr7to//BxTya5RdNH8EycDvHk2MC7nNq
2w/zjwm1jvtXqhvHSp3339NS+cMEQHeYf6t003oVtOOw8kRunOYfFj37qc5diOS2a4FMKIpDLJ2v
YZX5J8axU6aZGqxMAuSxm8uOgVENy74lgySwOrZ9wxAy8oaBl5eCxRym5M7KkMlPo4IA5sQ2pE9m
s9F+92XTPrFtc7roEQO+AvkEfSxoWxJ6FefRq4c76kqs5aKCLgi/OmUd2CnJT8+sGCB5nGnOcDPG
Wnyys/5bWaJJyyGN6dBhVhhJu7Mi7how2i1mCSya0+R/FlzD8Hd2Oi2LwmA2asaYPip4KSmq9XQp
Ct3epYGRLwsC13y7qr8TqbKG8p5v7TKH6hNa/Zl41gUzZo3xKTZaNp6Jk7bP9oCsG2J61g3lQwOI
Y/4XGDXeHWgEKyyPqA4JxFwYFZdxFQ2bLCSmOLORfddUtqKrrqKsvjdG2YLrh5ZTC3Tghn7Bir1P
ckYr0sieZu1XjjPOjAVb5uld9J3yw7KVcq22jk/QLaeH79pPs+wYfZh+VtUAATAziiOkbKbG5rdE
aRWm+sPBVcVNEm1/rLt0JEODVogAmOxso/l816GxSoGHkt8HVOgL/qbgfd7nBWyDh6j/mk65yA6j
n0Ma1z5LPYAjngO0x43t9mQ6/LURY90liDfQO4AbduTlagtbqe5hNEIlUwA4FpqubGi4WMuzIGtG
62g0LKsY+gGsI2cJEIYSopuXenHonI5NfkZUHjs7fRramnm+LtLyxSkS5gFadGss8BFmgY7MtGuu
m3n1Vxv53pu8dFj+L52DYjAgJZbeNKNON5tohdgnXeitSkgO1wTqXBX4OdZEqup4M29rcjv6XCH/
W8CbN+5KpvAMr47wUKg7a6ke0pQK3sxtA/4se/LOx3OTDCTSm9mVodHBrD1wvSQ6jsFUyaQgpaeF
DImP7cqNMSZ7iQ2CuIDYKALT3XRNvtS1pt3jm2AfY3Z30vKouIBqoqObBpXTyoJwUFsAEAUCBBHr
bI/ZRge3e9AyXM60wf4GJUd29q3iaYqrMKHqQapMNwpowpNFviifKABXyyGgxB8F7Lboh/RrkvGA
JPPM5ZrwLFEviI4wtr0vvYf3T8+P7GuaVDd1pBWbodlk1u6glaQMLeXF3yjsHnjQGMUpSK38C7t3
/6gUct8ZeAz7iGlGLbtum8hK7twaAQAsGvJ5kn4dANs9J/H7RDcHkkGG9ifyd587pXEuOUk787WT
ltlVz/sfJDb3J0GWex26MB84bcaRMEEw7siSoLQUbpgxWLCOGTghDCduy6S2SoCCVSd288lZBRHg
EOr3YOQectjav9p9vHbCgvlGv0oHB/93Mn4lue1TGPG1pYrXH+DiknM76RQE9fhDrblrat/pwPPG
WDA7c6LLIGloufUYggdZFxJ9Ifs1GhxUmqr14E6eq9ZksFIpq1g9DYxzNvMqbLAy/aiF8Us/uZw4
BowjnHo2/3FFLoeasI+cRLnkbqKeVAk6mHaDWljwzo1y47uIVYpKbDo7sPc+PbhrIVXs0end/Rp1
etpFZ9SwcBWnKImZr9on5NPHqPjWVW3Z3MyjTko73yWjhGTHxGsxL6WKQiWDAgjJrN3rqA2gjwPI
nS8Thj3g+xm8bBVOZvZvfbgN1P41VLJnM9E/m1oZrIvapH+y8oNgzNtrNp7TaeluASRGOFnURHsG
WO1j3jxN9oKrlVh5bfymx2SWRshuHLMwtxAlyu38rsOkQg07XaVxmnY7y3O/KgoCtOlwAUtOjC9U
/hONY7JmZZB/IWRcgUALI5qS5T4YKDOH5lGn29xFYQeFyS+tNbal7zWf4jEXI19brxIG2CZt+0QO
BrGCrIOsgGT0Ri3JPHL99bwD4To1EXfp9P9QmRG/TRKhbCp1zZvVlm/zQEuOpKd6btYvPJlBb8hV
d6naKolgkxajwPywV/VEp9u6Wcyxlq43EsFRe+wFpvc4hDBLq/gprUpSMkoHjrZd8N2PRQklmxvF
14dkY5C9u+GjZKnN5THZ1iqUw6B84eGEC7cVcPkZrK2kxrJXYxbNtLDPdkrbsUl1/aNRaTuWxh2b
hIRpkaGuOFIJkXA1h0Huivfj2uixHK8TT0qSn0gV3c8v3QsYD2etP2xxQeHATwJ0AiVGJ2EE2soq
PvH80u6Gx8bcN7y9waCUEop4zFbp1vm0vwF6APsTeFooYHcp2ruyGTnCqwnE4VozWJ2XOoEmviqM
F1apWVjTbRfvAyCWCxAblHmB/f64hzf6QjgTBTJjY3RaaXvAbEamo0oGr+K3C7wZ7oahNlBM1uL7
lEEjLh3wJ4BH4RewqSUCQjpF/cmtomvF1OjoVHa4s6AbNb7a32IpARZCubOzlyYff2p6xXwjMbvX
Nu1f68aITqyIFvMtPJLStbOj4rU3I7l1WEMQXiONk5GzotUI19DcDQdXtHfM4BtAX+Oo5CmGw06y
5yAwavm+4cpDzi8iB9pioeelibg6dJeF1QyHorPNa1BBwZsvllZI9aHi9sDTWTyVzQ3lnXaJ0yNj
suqKmi3YACKnPxKMJzL1FPPYdB23WIxF0mxLowGyEEHtxm1h70y4xctGtHz9PBWxn4XdK98RnRkY
kV3sqRfwVl9NiOhsvSFYDGwWez04gvZmtThaF+FakFd8uMTBIDeAo+MJQWFvUEyOG2Tm5Jx0bD4L
ob1aiahW/L3ePmbvRwhxZe0Sn3GcPfwEDJnc1JL5qyEI2IRqfety8b2z4+AkKoQlaeGqJzNqqDRm
KUuWxI8I1QglgZOMyKTTx93odOpFm36ADDMX/qOnMoq3I//YhTwwPM9pAXQhde3dIv8yjKwPRDna
T6B+Fxp8tBeWGPq6AVy30Lhl18iRirtfkohKjsXerbh7Q0JJurhZVWZCvzydz31RxkRwBvHKUviA
apAoaV9Al++Q52eFsdXzxpziAytoFXKNsjnbIxvZ9TX/VoJuZ9ZFkE2TdE22Kxq2JDEri70VHwo0
YzvDg03Z25W2tnR0Ml5Wy2Wc5WRY82AhAMtJFza8xK0Y2bgYGX1qbsFo6alFUQIebdHeNR/nni5C
8B65zehzhJWpyPKitNXz/CgSbkuasRebEDqHXUpYyDnK15bTsy9Rn8E7sOZwq32X1+zkp5pWq41z
Fmpgylo4M37W5kQ3i2+pSXmr92p2aMrh0o/tUWbQQubLFmEYS049eFOC1n4w02Yk8BWijuna34wu
JTwIgCm7s5fB1/sbKtTjMAHwMvfGG41QRLnLvKm0C8NFubAo+di0Yxeh2V2HtOG5xa645v0vydKg
VCL9B6Cns4qSWnAL8qVXXIMXp8iNY0kCx9L2GIh4+FubDDIchEyMfeCEWfchm1KsT1ys0ZaFpEdC
SD5VcpSQ+NTYEkNiX8G1BH9V6PdaV9S9AO+bmbBvUkWB68iApI20YovghqBoF7l/diD8LmePUTzP
O1hfl4CrLAiJToJZNEwrZd8HPAoLRJsHk3J3ydSUvnIqeyQogGOBYIH8vrv0DQdzKUEjmUMPOx5s
zXnR1VYll4oHWJvCiy8zMjoG+/2fmotp4v5OiIaKbZ743qKcVMrTN8vOHmWNUu+0sWFJIgA+m/IY
q4hBkAhdrK9zA5cRrBAncsvajliZqWphnhBOZf/SU0b30JolbfO0pW/Fc5thTMYlQjPmAl3xrSHZ
xRm5NKAmpubkgUgd8rw85avmuPCntLT9ZAgPtG5DmnHRaXQbuWoSNM/NEhigX+Y3kGRhf6IBetcG
u7apkjYiimWMemunZBZ0LUNaeOAy0BlKvDGTuFzhrK65I+lIY6NqlqaWOVe+vdWAR/A4L81DWwmI
MyGBHpWUsvHU9qWauq+5SC7A5e5046xjVEGsVQuEHHqLz1mGWBaZyFF0OTB41rFRgILz8n2mFzrl
SftYFiLdhw0ZaWnLvjFjYtY915pn7iqb9DyL46/Laii6DZ1cXNRASX032XRF7J25hCQUYlRjYGB6
d8+GrDuNPVKl1uZw4oAGkhLSmxjOqoJ/FitOeMgdgV+VqlJqkH5yF6F0p6aSnkSGD4EK4tj16i1f
7xbkwcEISA71w/AtCuGnV7Lur0hUvIiVUGb6r14OeD2jbSaKxEeRoqtEklYMefPy7BGPoLTD9DG4
X1xNYzLSAyIx2/Sb6fdvo2ihTzrdIR4gzhMdVyOuubiWWi6AMVXbofC+mNYIic2MVp5jJbtk5Mom
EXInudXe7dMeMmv6M+bVBdJBuLpopzyo3pOQVM23CeaqC4NNVBHyBvDcfpxrTafCXWSyw5Uw2qDs
5M9e7FvHHkz23rQ7lmzao4tRe6m3nYHyzdeoMvCiCgqIHTitZoU65TQrIOAPJuv51NIQk+0ckFwr
rzAGXhXsKlZq2lLPNBZyOrOciJhUs2nuPHOQKGOUZzARy10c7sOASrd3v6Y6qWaBoF0RuZchlZ9y
Xknyy7hvxr7emCION6XIr/SuBKT0WrQpM3/bo1fDBP3VLXx39e/egb84nnDQWLZt2JpuAP74TVIO
x5q2J6u166w4jELPvaoafDB5aGPEpnVL42arDCQKjQ5YeN5uVh1oZWRt7ZjBc+cmGprohZFWpB/w
HUrLy1/MQbw0ra881mqg4R1LGcSwMQsp0iP9A8PI394DlmjV0o0ZSfS7YaTpSyY9eTReVTFaiNuJ
cjWDLD97Bd0PedrMm+Fd+ahlSRzLzuDPmjURGxnNCnk7uuuJDZG1/ZcKnt5+ZxPRSDPr/mys8OrC
4fimKIBaDaX3X4Y2U5ciDD+Q9muTr+xXbw7sFYgwxOhYGk7zyRn/D39JQNhx27iK/W7ZSnXypN3S
pTfVLERkKUFTM8gCz8KIRgAEg1uCQo1k/qHD/E8PvuXYmikcVcfbRvz7r6+krYjTy4m2uM7doZLK
8jllMURcSwu4Pi2QcAwpOXI1pLaIKiDReiYqtKtH2yLVvusRnGrTI5QA7EtZfo3BZ9qR2U/KoHrZ
TiYdmAP2orDkjiSI6v7v17P+19dvSHUyvmmAnCZz0T8+SXp15jz1qFxzPV8PnJ9XNy9gT4re2M0F
B7OdlY98mCkEh6cDsXw9d/kaBtAFg/CDYhhvXq6u+7SSL2pJCQMT30nzl7RpgH5bL07Zlpuhc8kX
9N1g7VRjRMowp1QaZilqQi1ddyh39x6hFmhIrXZVhjVdS2p/AK35E82h2yrDFowQpo2XXZ/89v94
sy6cWrOzCnllA0TPh8r4QkTiYZwa4bnWm79EF6oOgwNtHxV2RQpo3m9QC81Ku5T98brpxr2e+eFx
CnQji8a8d6n/wzTe5n5Ere3snf4Exen/whr6kwNg86pVS9NtBrSO/O3QYZIp4toW+rWEErAmwXhl
Zdjm0ZnedXY3kGBRUxu6s/VE0WzCJKzWncLGLA6Qjg3m8yz8GPij+1SwpzRk5JM6qBAcsp2budJA
4UPmq8nCX12+e0bmtrKCNL+wAsH2R3NPFDwoiKf+1bBKZU3P+aH3/a/vFFyD6uAqJf/iN2tWJlm9
+wkLlIpDfmkAkF0P+fgmQgKf7XbU6YywhZLKsbad8qAqAHg9rY/ByGbJQpiFv1X7jjGLZSKxaaxi
ORdBs5iVKS/BFYSIqjF7yoYdyAe30p+HEt+SAR4BQ4vJO/jt6tIFzMFUwU+NZ/ukZgFDxjKIifYF
g0LIK6OapgN/SIrEug5qsPoE9k1B3XOR7XlESIQqaHSkM8YprOKlnVDXuuzdUCaSvhnH+uOYyC95
XvxEWmWwq8NVmOLB3mDyJyhsmhcUEr9YhvOm6oi5nbYI//4m/2ImtVVD4Ig0VN0w4Az8egtNhI/O
UwKB/Bs2IK1x80WLI2+Ng6pm6Svdo2xXwjv4lbBv3mS496F0sr7bQotFXtlE5aGsDZIrVQLgwyEi
ZgCFc9qAvv3gpf7t+zCN6VDj5tEt9be7RlFbjU0I7q8A1P4mavjIMMO1aCtskjHCPD8okqedKIaG
845luEOA5Arma7b84JX8aYe0cecbhgOhABSV/ZtNuhOFGJU2xodGiDh77OBn7VT6Wd/klU4IeKwR
vWCNpKAEDLFZLR0jHshFsp+Pf7OygRbiGPrAFyz+PPptFXMmV6tQHUeav30+OLJweKScKq3FwDeZ
ZMYIlbU+GHdI783FfKtpqbVCsy+pPLsCpIfk7jLY+Q5++ZY1WBzx90WrTGlALxTgkW29P4vSC7aZ
av/Eso5dhDrkgwpG+8sHqmHX5ludsCSm+ttTiyIvM9SuMq+T3h/Z7gHYN5F8OT63+W6yWzqDAsc1
e2fnR8Y2GAKofB+txlVzzyavfJyp/31dYnNMWziwpsIEC/OvdwdebkUmfWRc55tRWDl2Fkv72Y/S
Weo1vg05YU1yAujemTfzjE9Laf7//Yr725OO57mhUqiqjs5j79cXopSa6kyrl2s8hsNWV3jihvo+
pChj5Q4Ogw5t2OSsr/sRxvZcomZUcw6bcxJRVWttJ4I4cezE4DWVdhu6hsCEn5PsyYs1io6HSGad
ZWV5H730v323EI0sw9TAHWjmb9+tDg6QWsQ0r6YsxNEqupc4zRx74aolJiBqDABNrKL85DXtVf/o
2phzqk4wQwC6pKBpeEjJKMKFwS/HQUoIeDEoXS7WXdR8TkQmMWW5HYHS2p2oPIKAw0Y9TN62//47
4IM3JNen4Kz8vbTKpU7iqm7ZV18FO+oMSvvUVObjXD2lfvLS2f7V70DRyEFsWT9Ym0hlw5Cdsw5D
ydxJv3OSsnaXwtVtsJmaUX/pjhbmlq6P3Md/f8V/4vIoikD6QUuClzRp3n69auo+k4zQG+M6iyVb
A22kJGQNglywQVPCYns0gVQyhwBPfZ0vXgif58RgLmbrjb501CG8yCDas+OMPnj06H+ie8CqaZyi
UkgHKuxvHIOmyTNzJK/mNms1M5eFJOoBfa3E/PPOQL/VW0hzTEIeVmXQ3YvU382ngWsNz2wQu3MD
duGem9qLQOtzIIAMeWmHyJNYnCo3+qXKBFx1qbhraHv8U+/rvgoCWxUZw4NikYeVGdvZABM59Sul
bLoYo0hMipt1N6UlgpEnjBRR3QdfzXRy/NrxTKTLyc5s0+78QSOIjU4qfV6HDK15Pqi295TitGRi
IOTKR/Oy9VWijErPP9qjcPfz8iOOpHPzwg/4Lhy0f74W2zFNSFAWr4cC49fLBBVsJ8dK+Le5rvKY
ju/zBJZHBrc7SuFQMWwudWZY0Whdq1SjTkhyn0ouOPe5jTEJK0xravD51MkXGeKnqb+43ItoZx/y
pgiQfvSrplCf49zs1ibCws38Y9QRyml14q8pL1iX1cFjKhnmWm07njSltafESujL06KO7JeG2Sqy
4SjXnwgC0y4kyi6K0RyAomHZaYKW2bzbk5xj1bjqmDioLGV6jjwlAk6JZU4Y43Pi61/nsyQ1o29x
kDKQKLVzXGXaxfeSlV40ytJJKx23SlwtI+jxWvataenmiGQtFvMURZVYrMLis2MOeHADVLQjQIlF
RGTiQ99Zz4xTkE+GV6/ukzfA5FfiJNY0SxUz1vSERVJ/8FIityYlf1jjtA1lsTIwfR7HKREm60bv
lFj2o9e2lPB8c6wxkCQnmJT3OX5STMJ5cEBk99NQSxiNLo2o478FaWec/vvrFITk5JsGSacCPf71
2sDJEeHD4zqdJ7Ba4lwSaVK8+uLNVnvUTdHAkEYbhv28T57PELupyn2LWOCD1/KXA8OhRgUZDeuB
E/i3WtVz2NqyUg9uPekMCy0dzPXs3c879YCPqN3NL2FGufwg8Ejd0rCSFxZpeycZn3rGuauyqjdu
hOcUJ874QcPwJ0NVR3coULqbE4jsjylGa1R62pUGDCSmr0yAll5SkaCRYFts8qJ81kZ37ffI6ROI
kEQ9oA73ed7mMoALxJpymdv6d7/GwuFnuUa4nL+3WqjwH3yMM8Xn17PHmfg+AhoZtCnd/u3gHWD/
txlBIzffJD+sSLKTMv2wtOFWqWSfT7dbYWS8WFkSvYt8AytHsRRk7hDLNVhnjH74X0nqVmPiBpwG
eONcIM0X9NxoKuCCFkYL+kNF0WkMRJJYcSNerLGTZx2L3oMBTDFy1FUmcnPtmQSGmkNQLJw0eE6c
xD5aVfnmpPoPjef6VtXLaJ3fzPauI0VZ5+7onWNTPPU67W+X02tIpUK03RLtZVVcHAPDTOIHAqJK
glLaex1FNeFMtbfnho+DJt+bTf08O9dyiWNVKTzEOS3igSL8pGUsIyMc1sify/xcGtnW0p1uD9ZQ
W2Zh3DIDrLFk5bl7ZAD/A+qDvy3DPtuw82ar4pslaUvdBac9H0JfZ4+ZQFgqyDNM9Rz/cYEVwrB7
/dxVzLcUQK23hq3PNlaGfDNyRK8mM2Mf17s0v5Wq2R9sdO4w/VPi5pADxyGGxdEpYHR3w3iRSXQs
a6j9rd+GG+J660XYW9rLPETO2wjivHFrg5SwBKuq9poxfI0rVJb9RH1I8oo81SRinBxgstR6Xz/Y
pfMwqOlhCBk7D8TWzsuOvtO/qKJhERp7T8P4MqouJJ/IOdZui/mUkrhn975nqrWdzcYZ4pxVwaqR
rMpuTeQkaUBMrlAtEdQU+e7BDjzzTQTo4caPSMHiz2aRgaIGZNYGWziNRX89t7yOXEEp4+zm+QqT
cD2SR1UM9Iny1LPnIAWrMKaYqSPLCHHNvEJFreZg3JCmR8iyyVq4jMQ27ReUdsrdGd0lG7FxS3Z5
ugJVtrA6tosf3Jl/lsqgxlQaSwH9DX7Cb+2GWcfFGCthQZYC7hyvyE8FKKMjWeSoGTWYywbSu2WR
BugRUC/LXMW5wlMKTSoku/KTMGr90xD4n/79delTnfjLgcGKBeiUTQ3pCCqF3w4MH01onLAXfgBz
iEzNJsfFdcqNSXYeu2w0XU5zU6JsMd9PbVSy8SRGYK7VZloR0YY7U+YvMefIRp1IK7SpGus3rzrO
fwotV7KDouYjEJgQQq7lrpuI9XOcYAb05AZhRcC+VgDQCMpHs5UwEkxkSG5cbGpoPYhShlm6Plnj
DOpFl/GkBuDpgyZAm+MJ/vlZSNZnFuxpJhGUS38USxZ7/txohuY6D87m4j8fjB39/LI3OuKICtK9
lDr73NRoRpaMvQgBzdlzzWb5NEF5UVnBQ1MuCu2h5tR1AvOZpI33QdzICPXgO951LsVU+TmTdb2b
D1ffZU+rFZwDbljJVUcg5MKzjP5QUwWv8OAk5+xb5yrHuZxtDZ/lnFWitbYVypbU7zHiIgI3EF8d
ajc5gxDcNqzM7pRyeCFDCJRDHSPTqFPrGtOEybQmTrg1L21neqt09F47MfT3QVjPM3VlUL+SgXdC
C+gsE6Nhxx1nX4QuX3UDrx/owmylRuNaZF6zmY1foVUzCNF7DBsttVrSGCmDz2zlWEy6fN1+Kj0k
i0QgJcvBHtAq2Pq2Srulkx80haSkLlM/zddH4hTphtb7U8iaP2odbR8EskD/xkUyLwpMqewFC5nz
XOkNfYkCpylPFlO6KB9YN/rWA0vCeMcbCDZFE7CsKc6qhXK8Kgd9TQD6D8V68nT9UCEkgbOkY5Gf
tsVZlbBblOu0BtVqpla0MorI31g44uikK6ieDrJ+ve/IgchJ8+r0a0WomReaiOSiNtrYE99l/lsK
kdeskcviOr+pwaVq9NKO1A5kaknK1d/WorgH0MqmFk1Dl0Y9OuaYHvpveJvytVejphFl4iyAQS+R
3Qf7WVYhbW9STpHLyusteNZQvKHRRczSD4Q2grMmU8e/95av7aFbA7oRN6E1cmuV9WPTlLu5T/UN
80lAFn9qgx8oNtQNSYJyj0UUN03K/ew1J0VmMPP69Eq2WgbgJD6leN2OqfhoQPR7i8IcVloatHDd
hEP2x8TccLp0CLVSvbpN5++qKZ5wjFAzVoZPrpCBp1j3q0upwSjkEdXt7LiS7+Xd/5vMBmb//yfB
4SlL+M+vOQ6/ZkH8fxX+QHrwP54Xf4Q/rKv8W+p/+2fqw/z/eE99kP9hTs5Qzob+R7blDGd7T31Q
NPs/mqVOvwle2tGomf839kHq/7EsogimOAb+iwXt/8Y+CIusCPBfPIxMjZk1Q4//IvZB4lP75eFm
wCeUCIYZk2iCaoHRzq+VQj7ASokgywRF2m404bvboMNk0lLbPqbOt4Z7+B4YbEhhT+GsLFkJPlSo
BqESBPU6V/rxEhly1IAhJK+V6Q6HoUmIUDBAh/iDn5GFol5DbucN+wIdj++dgbJ+KNRzazYBclAP
kigS/bPRBsUntmcwihT9pVHQrQHdQ1Zu9vYqgiX0TUQm51OXfolbBUd85i48Dv91Sd7OJ8CH+boN
AWy1pV2ctQblQ1tQ4Hm9jJ4GhdigUb72ZTEAXTWAC2aXJlH6W1snz5FNEmg9jsCDmJesOjIhaepF
cIiL9LGcuBdD7DJNnkbKtnqws9pbV50V3UYEhOvaChMoVFbCYsOt9UPdfIEzEz20kT6e3d5wyzWu
ibd2+vvfpSdB96o2WMiqioqLaqY+Jqg8d6pMmnXtWOE+tbp61VYqgpsMpJ0Pwnsr2WC8S1cQZ765
jDL380vOQ0RZiNN2Sm3bO9SlBEDmdXRRIySarDau+agMFz/0xM4ZXFxBQ+PsvaDPok2Yy2ZRWpZy
SBjnHeb/lU+/7IVE6qJXMA7S0iaOUFHEoqgIasrtdLiYmNwutW4PF7VGQdN709NdEc2yaG5RbW6C
Jhg+d2MQb3FEQpToUvVReme9TphIqeOg3zziFu+YvOpl3xT1zphU64kCFCIxnFvMTAAeTM41JTWv
3M1rmPkHVkuSwFx5iLsHNR2DBeoP+WKHXb3NqgEJh/0UKol5EpzX2yA3PnfBF+muxFAmr4hMITTM
L1MnhbSwJUNI1cxOqqRi8SPEyyCg/GUKwWM7aGH1MKn02dkJZ03ElFibk3lt/hZ1Uiyv7+9mZmjF
GvKxumQBbhZjtcTEooI1d92dwzRlhxvfPc4/8tDQNu8vAYs1JhLG6weeSd5qKNrmsZP7lDhIxfMY
AMJQ26RS0b73gnxEw6uvfi/PUQhKGCeXuosMYm5nDV4wCfEsCRatibkGbVloyz5gJsXlFK6EQ8Ym
knDtZhTnePDlW1lZ7aLuj25Hr2cWnb9Nqkpfde001BmTV3DnOYRzELCWfxyjNL2xG8Ad00pisZiy
+gAPK94gtAm1CE6eTnFXVsQDvn8iSoq6gvIYTkxhbUrTJxVej750Rmw/YyRB9dvar9SBuOvnX8lQ
o8yiv1B4eq2wvqJ9zbAZI8H+FBllSgrfpJWtBofYuzas1xZYppVqjOq96zrCpPFWTr9wpt9uVQ1L
XtJopwCISeFoT8CInxotGuAPVv5ttunbjfm1r9PswQ7in/bkDGynXxmRHa2VkMj497dqx95z1TcV
umB+OLl1s8rhPm3mDilBmg9u3Lw5oTLhz2S6cwKrfIjzGnntSomgcOhJQWZGFco1dJFkpZROuO1H
cDjzn0TEbmBphashoiK7tK4JwUAuSZerf9jpTzxQ5ISjw7qQUd59HTqsYJWpucSIcd/COiDAVYNg
BcRr66DJX6lmnn1H1Wak7feYbRJq7LREi+ggQi9T/RPW1Dc/FAVsekBHiMLFpyZ233ApT/GfQ3+z
KCCFIp1LUGjZcUDliPPJ6F6auru4nX8zqWfPPWoPlNPdzyGcgrRF2x4BwjnrVmMyivPGXkMSACnl
waKaKm417wihnS+cunWCU8XzYWn1pb/vSpPZtJ/erK688KmNRw7KZyX0wrvimSDoeu1QVio6mHiE
mp+W5j1z4899hM+z9AfljJxCOZuN74IFz21UsFAwJi4HT5pmSVY7RtERGlUQoEE3fPDTYz7+D1Xn
tdy2EmXRL0IVYgN4BXOSKMqywgtKliXk1IiNr58F+lbNzAtLomwFEug+fc7eayuiXvUT4lUcvln3
g9CpfZKcD47/Vm946i3qM7W3x6K49k1c/gIC5wQye4QuwvmrZ25g20n9Sv+oWRH41O5Nx17fIVf3
BxMRKyC81xJJvS0eVBuN4OScMD1Wg7VjATnYed0+pv6MQHtiTXUJeCfqrp/Q2dJNaDIHQk80VQ9j
X/bBpEIsOiQpPxeyfnGKbjjWU24EbkdKzP23jzo9ZjBI6Km9BBMFuTU2B3ci19zTCf2rSAj0Shlf
OkDc1mBXj/eLzys32BJvLK7tn6zvcWKY9dH2NZLG8Ceey1m23NZxwjifSUSudTdr1CE2SouVkaUR
gmNVfKR5eRF2Zf/0HQQF8QWee1hNZuKt69ZlGic5VmW22wGmmbRtM9bWC6Bz/iCQjH2ayGtnYQR3
vFpxylO/wmRWUFX68RKPCW4NY0BYzs1r0xA9to1sHx0rUweNANCpfqp0o6fm5X2dBrpxoM4kqkaX
V6CapqfUzsG3uLJ6UMuDM2v5WVlq182d9XuKk0+jnps3yLMnNNIwa8ENH7PaNU7ETiDMmLIUD0mj
niFiPmQ+AQ/QzpT8q5tHPWbKGpuFCWLLcR6AYR5btRldK351vCo9FeS3kTkODAhRNUL+vA7XLol9
+2ouy30oiuZ96gfzHI3eF02u4vP/fRBFEQLZDtOrf3cU0vcwZThs/Zhg1buJMF4We8C+09kwo22m
lLkWMWrO1Ir7s5yIC4JWP37G4qOvQOqOlQAxyJR0MFvrZqb8yyQf0wPpIPa6dFF7U7jGFHAwISQw
m3fH5ydpKgl0K9QOBMBaL0bOOH0S6qA0CcBY99Lb/WF5CjN4c9Bq+eTLct7akXjz+upa4xKMLVI7
+sVUI3EtEGVLUnjIZEnmmINKPT25ndY92/ncPU6FlSJQlTDhaBuu9Lier6pB6Yas5GaW9if3li+O
HLHaQ2WWxp761KfmsWHfgizewClS2zYEvjQUIeOj0XUvfjLYp9Gpf0VmFa/v610so2odZ9HuvjIb
y/LcHea2v6RxQUiQTkTCrMz5yTdJNeqGwMZTjr3KdF+Srj3ZWig/cU6DLrDIAJ7DeTyHZruZogrv
tevK9TRb8zXRtY95oAM7aKH4Kwn/pgFdB9Y4FZcMudal6kxCgfu6fvWM9H2wuSGc0TK2U6qa93SC
FemhTBc0JMloqL8bd7Bek8WbZ4yIh5AE2a+GZWgYecb81DrOphJEk+lRbNw0zAE3Zmrr0fKyq5VE
eDF6Fa8nxaG6xYy9TmzYvfPYG5eY/Nw+rR/cLHV+E4XCJAm9YwBorLuJckm0zczsM7StAwnne/q0
7ec0NVsrstGNj6bc2mIICHUy/g48XaH1fBrDBYQxS9QLpcKqOhXtUxI24a6LJpqg1clKYIQGfMDh
W13u7GE+ce7PDtrxvp24vQktZJrFpuhxpBslJn5SgBySJ7zxzIUfLyL5OYDRNFwmzCfHrGqt3VTx
EjbehA3RWHYEAWCwjKrzfavQBiHOhSnFLjQ1Kqe+Gx7ZFpp1O5DsI9LGxIjiA7Uoa7UvbB9Rve9P
18lvYAhTYD7Y+LcfXBED/BgxrGeF4eyV7/WXzhn549s5fcLJDSxs6quXvmPLaCLZnxBImKuOBM1j
PAuyXima7w+qyzAJK9ltJ2cgjZZRASAfzAyVr2/vfCXfseptZ3gsPBUosm00EoLGbvB3+YCQTxAQ
DmhE2/oNDVUc7sg7K6U3mkjwDW5edhQdaXbuOGhlRpf+nUEfoITufgn2tsCOWxWkxSQunlkXOyAW
/320vLHj7DF0XZ7/339hTCdberAq8KveYhsxOOl39QNFX43wqdpULJYR3Ddal5hMV6j6+v19fzJN
SMp+yovmlnTpKszSnJJUjXnMGKK1MdIhJLj67MQ05e51QjNE1Qd1RpBpjfpq/RShyXJscJYQ4DSV
L1o6sGsvp9B0Kn+M2SuABuE6WLutv73DX+/SBIDNO6JnMEAz94aXrAGI5a0siYrejLiwVqz7Y9LF
5/tDN5jxWS4P/+e5TtT7JCuA0INysbkUj6MmD65oqgtdK3UFsnkekECdc+VHK2fiDRVmUT3cH7wo
jTdYz4I4b0gpX/avf5vYsmcl4EvWcDMZ0LIAAp6aoiMiQOsStrp1IdrGvtw/jbnBNg2uAYYn5s6v
wTzYdEd/JaH/VcaJexD81G0i4w+8K9kvWXdLEQQdMsdC9erbHLOjxvije7jSzTH8rLMYuoOPDLSN
cxcgTTk8qzydHx1T7ilD+y4xfmm0uG4F+av/CsflM5dEba+N3V3F4Gfl9H137acoOctCnaVqRbPJ
K3Oj4vog84GE0UFz09UA6WCYqicmSck+9JwYf5nVYrl1Nv8qr+U9LGX376l7N6EowHpopEMjF8mN
NRKM6BYByh2m7oM3bjyjZJDPiLK7PYDObmVPvXyeDSGfPTRc4Ao5wmRJddP1GhN622jbyc/8lWfz
a3Qu0ILWNX6Rt2xwJNCBhA/9eRD8JzGN7a7JteJGdk4EdyZCNvTPTpqpx6adIb1HlrbrXQ2Hd4mn
cEqa98KyoMCY4nnwC+z/TlZF1zs7OXWjCDv9PMiH3IJB15nOV5i7Cz/E7V7KsmRt135S31dv0Bh3
venTF0nIjPLC8nc169GpN3ou67aLs8AfavQBSVG+2Vr1YOsmQzTLpTuNseJeQVt5YqEVMxaTCTV3
3ADEASeis0UMzW7WBHHepvatoijf6c5QbhXkrVevlyDtxvQxHTqCEydEVOVsqnVrzdM2Av++stKR
A18b+x3Owybf9WgDth0B3iJqn4wMhIyWFiyGol4TJr6u1a0Uw6cw8ZnMPdRzg0LVBxKs1wsE23j2
tOq5jYwX5lBgbCijA+eHODxywKPX2E6fizR9qZ3wD+FHG0u0+Xqem3PjA9dJCo77dnuL7MBpGSWa
NvyT2ENZrmfs3vLWxkA5xag2A+BxLXvokhnNNyK6DQikuG6ObafvlGS0aeBhTiwpsJt4HylwbT/1
XvTKuXlSh6BHSR6G8lc1JCY5kvM5dPMGQmgPi7bB9F37kgYQQey630LRxgCtGRDbS14ZstMBvA5V
+J4LNpVy/uEkYUOa7IClGupPWECZYh6ObD/x3cs8cprtwP6Q9YpVLhoS7D9fAC0Xuzq6D1t9oM6x
zkKfdTA1Z9yohD7BHTZjIPOITnLlgMEy5hbckmUH42Q+WZP7kAiAO3EeqjWkQMLOLfLrjZVGQ54T
bNqu/UhAQBJJuQck/CBSp2Ee6dl7VKP5nrmwCNLQuNFW4eoIxWucx5z5jbYjU4D45dbOPpKZlnOs
5t9kb7GqlNk2dLXo2Hsa5vpy1RSh/uhHtfE4aPpn6xTMjevFaTpEh1DBYdOrtGcUo+0yOH/ZAh/x
2VDODe22qTHqw8gNWJeyXRfZAvMfIGN85VrlbdOW+bhgtwNT82CJX630ylNvAsN09fJlEu1m7v0n
mLb+37ZCKEgueq8EEANuIkd681kznZVtMvfVUvr4JY0UGXWrFIkTCMnpKU+taJ1205pDq44Zaq0h
Pbp5RhwHTCTUCjzlgelYv6IIRCiDk2hgDrNBXu8EONczeITeU05se+CVWblXhbN1kvlWMfsJCoJ2
1o08OO4CvNdy1JyT+eoXhQPSdHa2tswj+Es2AoM4L4MG6tqlCxzE+seoEdVxri1j4095wV9ixHt6
V5QhVvmkqemHM8ZPmpKQNvvwqcwa/4pnQ9wMWYOMsd8uyWBAVaJTk4IFTcKNFVl4iw0bhTAj1mhU
1YNbOsehNrCzhZxpkXlSDidPeXaEVlkedL0vAiIqK2x8sI/GzMLAgWgKD9lAhVPpFTSzsz7wfjRF
vVgReUVmlDwheOJ97o57aTo81U+we3xtXCloy4chlOhr3R8ronMIRRU+kqHbG3OK32qv+zFf0FBc
ZaJXNyw5q9yhIBm9FEIP7Y6URp9r/e5HGW1qSYghS/lxAjglxFxuWndR5ujWvjVwMY7dye8WAgOQ
BGsJQmNdoJ9cGs9TQk6un7TPpZl8VAwhD34L5s/la69SRnu/zY4mmIwLeqNHPdKvrmsCowPD2xQP
SpF7ZC2E9rIsbkMCmLlHCHuEQRmtSLKM1zTdaCG7tLIsEKGuS1ZglyOYD52D5ns7Aj7GI9zX3Zz2
lEHe8MUW1ZK1YT6SVftMRIBxKtN6Y0Nx2JfuR9LpnCDnyljdEkDCuhFrHwUBb1DLKMVjiYm5ZeAr
lXDRD49vdOzzde6V75ruNqeapLfBz3HEkhLS2I1NUQmC0I5BpJvgIuc3P8cGnyU/y2vATDJ7RUTy
0+hWvG1iN9upvHskWPjHKrz0UlpjGtQ0ti5DZD4RHIUQc60lVbIxcvimNYvyOSNfkmZnTqigicGk
AYeHIHA3WyObeudFN/uqWiYLCXGJuxosBaJH59HLMBKPsBB3di0Z4hlVvRKzclbT/Oi1pn+c4vZZ
1jXscf93bJgPcuacUOB/nAz3V9YXf9PBDizwOwzZuQxkC8kBuETADVvuaA64DAa5NN02oVzEziVi
8zWe1avsFuVd6Z8iC2OQTIufube9lazoSneN5DxoziNT+X6mtzaYQQtwkz50rh2rsd7PULU22ah+
KhGd6AcmGwXbLLe0hxT63G7CxXHyko1O4XpMWLO0eWjWczPXeD11ci7D+sOSqAeNobgBLKOZG5oe
ywqn0xEAQVU1QNFA1cW2lQSWPycHcoD7oIjltciRRM+lfWZO/djrWn80HKaiCAfN3mgoi2WJMsGe
CK/I/tKvx7iRWhDJZ4+SyRL1NYEXSq37p5gHMNGtHbT+Y7bUUomWG6umHaKT7ozTdg6HemvNDK19
oj5mPaffLf3Aiiv7rLBh0hZx19IYB5whDQ4y9xdxCfnGys0Xvt1rmZfygHiS0n4COF0jAwySWtDz
p3JemR10CkiEKN7d8g9Lymejmh1VV7X2lNWvNBaUFZkR37PdfGN6Ckw8S6sMZhPXcLczW7P6aGb/
HHJoQ82ePT7mMqObn+XbPGuGQIP/MqMocgrZcul7H0zZiF5I7O9oIs4wTsB518K5kgs6Ibs03wWb
GL2d1uS/emWgFd5rWvnWrqlfmrpyfut1923RG9vKsNlZtuwfASnYW16z7wY9j1uFb/pogEobshdh
NNWxnsnstgQWYQprbxUy38oEaR9NVSAxrW2WicXuWzrZ2h7abuUsBnYfvR4q4cA1smxtmc5fj3Qn
2zK/0Wd89SYpPROtnE2mwIAL69iBMQjaDC4ib9s7MjqqXLi+K3OUF8Xxr2mmR5/oxy1YMbVWffbB
0vTXc/Fd9yK7tRVSgTlQkN+DMnKnrVQ42o2kn19abMNTLZ5GZv7nHALpOhLQXMIhAma6ilMD0SsO
y56p+9HxpiZgz6CD2dewlvC6an413JL4O8U7NEVQr8USUCoJKgm990VxB/eMhh/Lck4Rh88ev/w6
RONxmCXG+pKtf+iGfMcZ7dHIRv/ggUX1ZNzv6CpgzS/hPPg1QSL8ViFC3nZna6KFRdGjDBVUdqGe
vYzWFZJRfyQrp9yjzGGAlgJCjeEsui4eEGHZH7YopiCJrC/yf+pVnekPSbENRxARdpuGm4KZYmAQ
KEf6ITwMCs/VTPj62k34k2tMHIHjtdq2niZ7mxk6uCs4PrE7czih6W3rUIyK8lExrFoVw5JA4lf9
hjkv/SLLPy8nCKdqYrJPPO0w998QGMUadwgIld45xxBKAzEAMk6y+izq5jwV+UEsoyRO05dUhH+s
lAZmHnXFk57kx9iRxE+a+JWjAtVeS1uG6Ul9CR3mO0k9vmOPzTeVgWIOfH4VuE306aaAowYgEqHR
5ufBgN/o4ADNIQZsCA2hg1fP3bFGsktX3n+fiNJ75N08+7JZ+ayHTMycnQdT4ygm4kXbqjj4wLwO
yk2hslZXANX5dtBhOzlT82C7OvzA3OLW9tUq76stnva/Xto212Sqt3WmPFoFUrKjEm2qHAXNm60D
r+yXGenZpodQhiWNGyRs+tWkdU9a7NHLJKmDIAPI76H0Tf6fMwWmo/EF1++Dmtht5hrqbamVihah
igbVlGNicy29qDq5PvTQGToof7qxEryXuybyN75JU64GBUedah9cztRyUB4A3z+xmOWW6UEINC1c
F4n1oNuMsLQJIlwJYJObK32HkkK8DXnGRKVsCivyA48zZRBqujzaJihbVaRHMwZs6pl5DBF7idww
9XQ3F4CnlXiVuvWT4ylFkXwdcgyCaZg+xAluqoT+RF0XjFoMxo9O85yGlIp6Ph8MWb9qFEiBFab2
+iAM7SdWU0mpMLAWenGMKLz9a6gGHHQRJkdd2hvL19WZOTJNmylEOW4N03k0SWrWlo1xgdbdH0oV
jafIjxCu4bmptOL1/vSUZvYhm4eXZPCtqyVVt3VCjzNIydz3/lzl7QTqtTCIIeVuNB0XZuIL7Aok
BSkzdS/M+qlX5phzK5/Vepyt+abZGphcdbk/zFn/rle2t9NhG+4qD6f3PWAVhU57FA0s1/unLhD8
q8WIqyLJYs4981XMbrmhf0EHSw9JcUI2vcm8GDALjppDVyZMn8Hz1VSZx5BM43VRD/TpNFYcO0V+
kFdjAX9sZNAa41o4FcuEZwATfiYXEXW6AQP/HnRVO6nBp8SrpTaKyUW8NHZQ3+cZunu4GAvvqqaa
EKV/387vUBVkUyI3YPSGV4JQiG5g4GzENroGr7jiJS0CX7PMlTcCCDKiwV3JBAxjEn4XywQ6XuZp
tj1/mIWCJ+s7hPGAIdreKTe0uzUOPdZ4sdqCrHI7ei/H5JYV/nBqRgGa13fSG+3NJyGldXbnPLt5
c8d65Y52drFB5F9z2b/Xk3SQg8bNzQy/F3mG6Fw0BgsXMdL2IsW+yZ4ebt2xbt4lunincvtdFN8H
PxCIRmZS+0mZ0ZWiehPjY4M0qPknYSfBUHNeuz/EvXeKqgjoKj0iTFzRUbcWvpDq3iI9Kv6QkUG2
lmm/hF2/qScvXDQcQTKVmOLubVMCddiu2mhD8exeUN65Fw/L4qmJyMqFjHMyZ3CtXubYz9qi1RgJ
mrhr5NQyAfMjJP5Gk67SMWnW96vw/i1MQEhbA250EHFBgi+Net49j7i7gZrO8SUchBAuio7KTVLN
eOMqpGYJt6bfwDhtI0R6y0MWzTVAvKnH6QtGlcY0rYC1TYv6DGkG3ouRlQtMtiAlxWKAXmVpuS9Q
mDyU3RSSFWIKTpNwmPNFW6BUE5400f+1Em3cerQnQIvl59wNrQdDzPZDMu0KB0LkOkaNvS+xP61T
t/bX9+94f9Boe67rUFJoNUYeMjTEveJrRcYlk54mBZ/UdC52Z/bbSgAfjxYySOwZ8jlNuhn54/Ld
OxBEDXCxbZWFQIPDkN4AmmEbLivXkVj8Hfff10c4vfnXXcrtHLLook3Ul9e93fbKWnLO6lOlt9Tm
iy4Ek8BOuPp0LF1EJBx02Lpy8ImqbB7rNhUoAMqlNZ3xd5t1somdfaLU4pcywKGMzWPoGzCeM2S0
wPDBtrVDka2LcfzyU6bcShfyXEetf7InesK91wxHUE5fUY+1xFn6ucQz0C4m/nB7DwjqwwigYelc
2jy04OsufzqYA9KwOPefYNa83e+GrHMSjNGIMSK/N04osA1WSz4iHF5te7+HvQS25ZLZX/efYnOi
vkTk7S4qo2YRHXGoyc7VgN73vlp2un4uVJHxy+L2vD9EsDbTyiCIQc18McsoVaIO9FMfwbmQNKr/
fZRG1rF3c+iVvAf3y+X+RlRoJlZ6ipcIpSrnuIbGXJktl6OgM+UPHpzNMvGIrOAuxOQ8sx8bnfko
4+JHNDUBPcvD0FBECQ/bk+1ZT1Cxx30BoOvEdIzutmm9eqO9wLh7nHWt/W3qzrRjQpDs+7RwGehl
2oV6HQe/RWNpToS2o5Gr3kpZnj0LwurQemJdp5VA9+Bu2pxU0RblzO5+cdDNY7p/TDm+oAQXj3lH
I7BjosNrpK/jThd7o26mbZkWO1aq8pMQ75azpKSQotcbqBz/DtK26uhp2v5f45Zy9NyNzGjuyy4H
uuz47wuenL4znJo7p4i6dd7laJgAm8V+ZV9bNhonbZ+wbtV7RHE+92ZGPA4ZTOfaEFaA2kbfE4lk
bjwuyADkjaBq4/KtkbsdBjOJD03nlQ/9Mv5Pyt5ftY626rq23oEh9l6QXdyQRxRf9Vxt/i1yABXf
RgPmJNal6dDe5yf/NpOWtMejAdB7NeA+ZKvpTezgqM0kErW/afgcA5zcj0ZGqrNOUqdeccLuhjii
2Fo6z3eWIhlsao0SPH7CiC/0/qIpxdrYJOqfju2uhaqHyV4PxKAMI2qxe07SXURQu4C6xozlmWnk
d2RN2uu/W96bSpIP079gb9SHLkrmbiHHlH9THt+MhtVd1YQHkEG3ZV2zeDjrvKEpTI1X8z4LEnH5
F8bk1nH1/Gb6EfIWPotGSvN0cJDeMHh7IT9oSyhvRbU+T7TSp4sjSGwFI+nBlzbWaOjNl1G4j/fd
EhnL9v7f6iKddvpEY1At3fT7jgkPY7o0BZ3YTAOVWk4Am+3JMj/wjW1mVNr/XnSifWm6Oy36yOWG
IXQWTvgSi5rrsU2Bzyp3f5gjVayHnm1DwGjugwaW0WzExstkFrcoq4cvokFv0UQnzpxLZmP2qjeQ
jhedzw9fvv/sFxpnTmjRRjtmoMcBSt+LL9XSBO/IAQCdMf6xIfU1MFJx/qTOknsif49ujIeDBL2l
t0/G81U4Efs4IUhzKI1n2pf//uQ4EuPe7NXnv7UMz8yBzRLE+30pyPtu39uMYm0g6qFX5+9VMjzN
qh+/ODZvLbufXu6qomnTecSaMEX7kgmqAi+jacQ7MihS68jawfMOmLgKf4jc7X47CySzKBg6OxKv
SjlwCvB84PPpSGI8+hQ0nJ1GAe+3gHcJ61RHKNlLgqOW/EqscddxcN4Y8E0ZWJ/7DjoxxP9niMTI
1ZTOy5UMrL2dXca7kaxBNqVUQ7zeWfKoGYShOLjTdiz+LMDOiNApIth5ubySCSlR6voHo7C8VR9b
/hG4bQW2EUVME83ahjRdVJSOVz5mRLeuqiKct16jA0bXD3Taqz/3cVI/khLgEJgxJRVnqxZ+c0A7
rd57Q+Y+Syv902qyec7yutxO0tqOi97KGevPLBHW2TKGZzNPmBHrg3zKFHGIyAHlttC6t6bLx31J
75rJ1FsxdhOlVZfty+XTPB6fFd2Xy/13yIR4y5RApe6J9/ug2za8+mINivl6lXwSdqfe9L6cNlka
ft4ndYIaHVgo4QUWfaTrKEcXwQ9NhqRxG0aqULGYVTBviMjRHJAaMOz06JkHhosSwqmc/zR0BoNI
WlnmXivUnztTuOdKOljWuPhEMGgM84CKUCfUyBEj70//R0AB3WsO/S4Jh2xTW3bOQ8QSFUYKZMxS
EiRePm3tdMxWXRO3CEPqkcnTw7/FMkbiO+a/6EjQRVuq1KqcW6b3IHK8sYi3I0ioh/APv7VxVG08
PN4Vj2mK/SBj0rNL6Vhd/LRAqIe5dqO5cfQoKvvLoPPxSs/EPsjR09j7/WOvCSKKTP03qbM3Y+7T
v8RyvcBgy38XZdlvXQ97iU6owZloK2Jgyvq/Ksg2O3nV1SsRbMmbw5zIWDSB0CaIulYmJkh7aYCN
9vY+9mY18deuW9QbeJ8aYor84T74uz/cE7n59kcJDmhtVPlVdKS42V3Imp+ol3gu5k8MwhwaNRLX
FCKHLc3H8ib68Vc764CD6vyhTSnsvZFuvLGIBydscGOZYRiLk+TZDmfml3EHbMdK5lPqiXaF0x2n
3vh+P2ogfu6vJY6JqxfNRQBC0DiDQTTOhaZ/jXehtF9Uu05F3gU5nHsxO9PFY0IhKXqTgJm+H46T
2+dQ7rAZcRa2QgbsVMr408hwI/85JcXFMx6JXVm5KvwhPRFVg+aZ1z7MUSQUsA2rjskI0ptQL6C9
u/Hv1jbMPcdresJ+/2Qt4yqXGX0rtR7t5fDNmF3Tm/JhgF8bDKGjb7TmYEVufnWimzB8GrPMdkJv
vBqin5+nfOtoRLdZXbuuXM19bHOWVkQ0WzJn003RgvaPaL+kSbXwUiHzkjm+Gm2HQzbTcqSeOVZM
0SQkc/mfSBwmcvbEqShyaKyMRDXgFDFtgc49EJBn0s/KLqSSBo6Y3qg/yIn1/AtXmrWL3K6jDkVH
j76O1XBh6JX0X/z4CjGJaFbo9pytps8uEuE6ts3vtpc/TdX7Oz0Nz9EUrTWUdqs4RFfE5OCPmLXd
MLjuPm0HerSx995Tvh6mJDuZgA9L9KKYcLJ6X1rDJo5cOpJdHa06uJzBLNB5MDhbJ2Hy3OTxker5
UbkmSaSMTedkoqH3iYnIPiKd3hm51+5CPUeQTOc5MLLinFOaIf77tsPGQyE/Ezzu18Om2fC3fXuG
2QeRYVw7n9jjkbO/Y4PzGBOfvHe0cnZzaZ9t04QVhRmrcQyQAoNMD9D8Dv3gaDfitBZ99mvhpBpk
XmPvlzDCkD5rqZxXzHQObth/FhOtdiz92A2aUR4kanta3d6yTNMFqefvKJdqpZtgimhX7Zm9yLVs
6F3XcbJVmW4cclhNaWE9K6LZ6FARURUeNKv9kkMa7VNJ7k2Y0n8YjOyhGscCyQwHwBrp1mjpW9Se
VAXYFLaTq9kbdET5Fqn1xYJmEjncBWo08cBjNLURmAz0a05DP33OmDiThjwg+gPtCuoJGgR8ZFLC
NU093mDIbnbAOkq3EUVzyuseTHrfb0Krvg6zzHlrMEPoy0U78xLFTQXsrjmr2H8Wpd2sSNvdcCpC
sxTPHx2Gu2kk3txAimRqgjiWmmSV5qr0HX0spRMU0TFojHK0mD5TjAfOHDFJaxhPI/tlxPywKlp+
VuVJlMoWIwWvE5e3euACSrP+A9FKuGoxJQQ+NGxdEx5Y0vg4rgyvCfcO0QCWsIsnjukbuzSRC2Yl
SSw+Lekx32ZjhmpGoH2fE+d3ourPJFzUCoxZu7b9C4b3zKAiRHkO1EDvmvGY5MXV7/zNlAJ5ou22
Qib/gyL6qSsZHEZRz7BbYy1gY6MKIv7Ead4I0xXvKV+JvQSeo5v6G7NM1Klvn2xn07VC7WtZblPL
2alBoCImHakd+5dh1pu1jhTDmFnv/IZQdFxsCvet8z1SMWGIyW+O60S70cV5Phb9a+fYL33acJct
20ZWILWNRAPUu4VGy9mt9yDhW71Dg8lC9uyITy9toN76TFsMYuittlnFYyR2Ay5JOe+ynM6u13hG
kGW5HZChvOEOyPahQcBUQNqAvqYTTBPDyyUhiRr5I8auk1I7qsr5nmfCJSvmyiw6cyyZ0c9KccJI
8A6iTmBEnv/y6Q1uQAb/7rmQNg1acdfJLejI9m+7ZnnKqsLlH+rcD7a7Qzj2kHUZcWtOOG3dGCG9
1J31/TPk2I8NrN7ArFp0UpnNANOk5+70e0qNQ6naT32BMZRzSDFt4WsJKmX9mttfImKAVTbels50
tyhrKyKHxWEStr8F15z9GaPuEiJiOBmiu/ijvFUDxu+nLp+TK2NszKEhNVUTnylncBzP4R+dMInU
8MkuHuWwQtZAqFlHc1J69tkqOUF7IJM2oyB8WzmEgk8jOjSP2UA/sGs+am32wWiai70Y8elqE+Tf
/APhK0tnGzdBqvrnZJb4Ok3/akvju5ZRtvX95Mr1DUWjrt7iuH20kGodPZexQsnp7n0k4bZJih+u
HbXq5JIuiXvG6ftpPZf5kfv1WhmF2M7NY5W3wA85kAVMRWemTB0ccgJRPI0RFKMsnrTPs1SkNYWG
OHjAZLCaIljgeLMiMW+GKMDuVYWkG5jFO39Wsc5DJjmVXz6rUK8QwTkreG3upkhN+ExcMydR/kai
6W6agtvSTKOtaIjULNPO3ZTxaeD7tD0CTi3bWEN2m+pEW1kmjZzWLLd1qNOvtl08DSHTre4hRT0b
CISxQQPYnwdnX0PDgz8CLiRl3QyauF4Oxd2S4JC/oERIKYWiW86+xB5JrGnFEiHMEtxBS3YWAdQr
l6a6OyGQ8GnXIQLrV/WMDoXoBty2jKnq/MmN8s9p0D+tURrEKZ2dJtLWOpLjg+sT7qlvCIUgIteD
vNwYDCG0FrlrQlwsqa9dwiQ5QRmn3pkMBgaiwF07sAt7ybaemuEkvZEp6Q+hWXiiMA/zT0HyT8TR
g/A+csjE/JrMf906AlRfSbZSmQcGyIhT5yc46MKHyox+ZbhxGah7D7q573Syr8d4BIM5bvxqLtCC
mc/t4P4Pd+exHDmyZulXGes97gBwh1r0JrRgUKvkBsZU0MIBONTT94dgt/WtbJtb1tvZRCWZWclk
EHD84pzv3CyCNojrkvUvOpIy8kkC6yfsusjHRcOmw6/od0RGwrKPbqSeKYXk/Ux01rZL2bqGVcz1
0mFpCA1jRa0quEz0osuSHGTCaneeZkpj3cdZ2WHzMXcEGhxLjLLHduh/yCgs9niIZWHvhJ3+ynyb
tHbm52vO/luPt6j0+9U8BsVmMhDYloBd1k2XHmkDDIonvNnd4xRbz6E5vHUF7kCTO3gDdoqZ+cCf
kDNji/S5FC3ZOpDVM20/se+xNm1LPYgObeUOmHftKl2RBv6OGe4nqWXd2kMcpg0EW4yTcBLQpazb
MEVz8ZZbC1B80XoVgp0O9JN9ocNTV2fezkhg07DBs5oBGUoBWsH46HTcEvxXcjMGDHuiZk42tm19
Vk7x2pRo1idEXk1KkJ0zesdCI0YOunxtVgRSI6JuxXRE2xzvJnVxR+fAzxkBSR3eoBWeqWGt+7kF
B1Qn/WZoy/lniEkLBegLeeIc0u0NKPweMjEJhR3KopWriB4wFn13+dqG6M3S7C1q5J1PsvKGKfoB
2syLMTFuwhX30Qf1pjXib5bvPHixMNY1kUlax5s+zztuFugLpK8RdeBhe4SbfYDiTwJahGSb8ilO
zU8O9uZmHl4CEWAOGIdHItULxEB8c26GIXBg9Ug6eCEeWaNkk/FgjSHr5PDB87ZxBjjaUmRGCitn
4zO+tG4b3fuuuNPtoRud+BVbzToH7bI2Ex9dD1v/3USOJOFEP7W9ZIHMzF357UTpYVP2+bSWs3HB
DOdzIjk7DqXkbEbzTWvbu8I0o61Kx0/PBorj+eBrFbwAl8jbYPpGrjUoAGISB9skhRBZ4B4Y1gen
HVtRYyCyMTM/2FxoUhotyN+KaQjO9F0Vg9gq1UuBEdZ3gATkpGqvmexC7KRf4t1kKONDS8r74GZk
Rw3y8Zswa38fzUQ2K6zqDpJ7DqW42zZB664S292CD7+EPvoM1xg+7SI+M5K2Vnbt45tH6ijwsxwx
NN6JyJhO2dQ/DDj6N+irKUUZb5CHxlFUSENtFVt4U93Xuc0XyiwSr4gvXzkEOVmjsi9JRu84Wd7i
qZe3dVkMNw0bXx5KZKeSMO9VPw2fn3cJTn2XEekYZq17KnqdblEIjhur9aq1qKtP6YTQOdBFoOEX
j+DtfoShbFZm1s2HBLQgo59jLZHUzSDXIILCERwMwW6urz7IMNRYVDJnbRKewJGF51biMpSFcfBt
UjyII2DLv+iiZ+O2pKU5TAr1p/021iOXNlHdsg0SWjIxbfKCgNskCdmbBoeYhKBkVm8hgdBbr/d2
OpLU1MuMB7L4vZj8s7Q0oUmGICmoBtbVT4hQvd8joaaohzit5sElIRhn1yqNrV0/I3cuTUWtFVS4
UMHPHoKHVtWIHfk/q1RwgxQrnY/g3ASqJjtKiCxi3RnF3P6Shi0YXeKTlpeBOqmjUnWyY/IzmTvW
ldbYbCATnZGLyN0EgJk4E2T2yGaQA4K6dVEurOMiRFXkb6gtKT0Jad10nHxL2lQlEXwkwDiqgECf
mhx2xnOIho70a8nKYGXcalmuxvk0mH5zDGzNkcjToeDAicvhhxWky6FzSrvSWhUzm3KcoGSU0BPR
C/SWR3D1Aq0VxDGGZBrjawx+j2OwHciiXRNbs3YD8WIKe9xMXfLsTNVzCJ6AEeMBeCWUI2rIMjoq
gv/GwUkRq8zDDjrcTqCESIbwLnKL1dhEH8SFbjRoNhI3ByA1i9FFoVwK33kQZOu8bhg2GMAyKrke
3bC/n6BUJ2jpEPbwCOR63jO6gmhv++6hedX0OH5pmKyGQpIByh7xKrLkbRlanEbMOVn7aheTyPA9
1Sz77XlyV6IOt/YioA9L0fHVnjwLH/E0QhsZjXuDHnM1W5FJGBiVddc2EbIDLnbXop71PsmbS0Ff
5+5Z65MvKg771H1vAovRo8KajUqB7cxKTEG9m4hE4AHtRNu05CSMkvxYQO5Z2X73UXbdiwf2hfne
0Ox60b+HdffukZS4wpYyY/Uj7sn47G1XowxjYeat1cReMJ1sTvAe13fNbBLQhkYQAntiFwq01HbL
wh/KKYXDiriO4rycxeexiCkx66d4ac47jOjKjuZ7S4z5zWAaB3vS5lkjYv16qUf7jOAIWUVhE29U
fIYt3k66xzOoamcVYqTf9jGBM9ns3uP1+B7B3VnnUXPXDLGzKszcJTSLy78Z933D3M7yHwM5Xxi3
xkeni7KNlUscuv6Urae+mC7UNNsSRB5Pyb7Pgs2UUsRUZbbQPsNdlRTFiqDagfjanvKz8SkRWjRd
Tdsy7Wx/BBlaAcV4b9XaPfFS0Y9+qaUbo34Pg9o4J16FUTVguiThQdpO2bGviTa9YubJvnNttQRK
UIWG2842KADb+dL7rHIFXalTta8wuSNCXJ/SST60afniTb63KiAleJnt7OZpfOlTjJ99Z04b6ZAZ
U9OWWJ2rcV/EkLXILWYkNtyiVnhgVZUzTQ2Yk5IEx+JlYhAw8yVK/dyG0TaPyvauDMbvWZ9D56+I
J6lU/4O96Oj75U7rxNxKy2GGYFUofJLiGOFYWrEvV8c4+WkZrHDjxNwXReVt3fKQ8WTYAlDhGyQ3
/RKnmwRiH9Oo/CHpEYCZUqF0b57bTvl3gRh5CtHRgEff4ux8tFigIyrYFSx0M0LC1z73GSMBROOd
PZ6dMOLa5K7A9p+gNEiQPFqSfrl+zsaGfWvuan5U8lfgjdkqdMfoLkdFSQkHU5qQ7V/antt9labz
sXf6ndvJm6BOnpp6TDaqtp7jbld2w4OR3rIsVxSq6jHI8pe0va8xU97Xmp8pV8nWsMrs3TEYLUmP
6rrAiRFMCaHuUYMoMFfbKuRs4dFtsT0n10tOw5sxkWnkFATb99ie2PDMCNVLQaC6E+3iyf3txE9d
ciHy95e0nQ2iVGKeYt9hrte8EK9jLncpj+DUzdcUgzuq7Y5YIf8dSzZPFKShK/IBtTU0p9Tcd6nR
rqbO0iiNyk9y2amsp0Bfarvat4h9oCABwghn/UCfkiiSbFvFX1NalH+hs0Rj4+BOE59crOod9AUC
1MhAJcgfnhmGBoBkA7JR2MNE1mtN47oLJ2ded0TfNQVxa2JewoaZXZbMzsOnfijtE2nDYiXWypmm
wxjH7tpVnJeBfgzDcN43TlluyatTO54IuJN+wYGGEIkR2+DfBNTD3mqJ3KvHa0+kOgFLx/w01e49
yTev4JXVIQvKj1yTdmAI/J5ZlGiyUiIOrP5saroHxvPfIbseUMOXm2pm7RqyiptIxkEKiISpymKJ
ZCT7OYMQhZyEc9fW3A9sRJtHfKDRmp72MI/l9FJU4BC1Of52E8O6ZL7sd0boR6xpKkm9QwtH1Eqw
cbLZOlhZ8Dmym6M0YaJqkjabE0a2MmzIPPkprHrvoR9BHMA2X6WaCaQefxm1dYoHuivTaPUm8r4l
o/7Rig+IU+TjDJuxYMzPQ3Q/1MG3LgAqHr8Mlj+dxg7fOZmXIw/GVdJKhAuvqR5Yb1uHkeWbxfPL
m6fbuRSfORSTblb5umXJ5QuxL0Y8dhX52+BpLqxCVy6SXx1ktMoz04GJ4LeY7K+GgRBiyO9j+WS1
dniP9nAZ+CL1qEuxSRLTOS/baZbY8V1t++fQkb+5HtVzXHXd3hH0XqmYL6xVq4A4Ss/5bJzsNW3W
zTCPW1EKEFNpvs3512BqIHe4HjoPgZBNDIxidmg29JS8ta80b0QR4d9XCh2wbBHGZZLahe3yfWfj
FbJhUbllOR81IdYu4eEesVpdD0er9fZKm8/zmD9yBiucOm68C0Rknlkz/h4RjNoecoGGFbhhc9bG
M7O6oTXcbUqAGYd4dKMlWuAiXB7oc7+H5hcpallLk7ddOB3auSg+yd64ofnd2669spBZHyo1O+s6
iSDuOl63jye+HYraYyepYfLA3Bb2uG1D23vBC0DeHoKZEKe15jdC7tpFDHpr457bRfexEQRHQJBi
N+VVulPNfEzH1sfHsmLU9L1t6YJ99lmrJhSHUlU8WwqPi6K3d0pi92valXYmf01sQAY+p82JuSTA
y3MnYteScGJcw4/TUPkbks097Qt0uhRdqwxaSnODqLFhiDdmwCAwEN3eNJgxGlP9kJTBJY+pJXT+
Yk583/38pNJ+Lwlaw0a3FsX4Yk9gaDGkY+UHcDPETBR6lysR8S6GHP2Gin9RLquPhNUH3k9PHh1X
PSnjGTbDuyHDV9AQOEEczsEqe8qVsjhSI2YmAWZhXI7wAGZ3hdrnQYbGZ0mgHEQZ/9YWhYWsY843
pcq6Nc42zOwKFL6nwKbVyWfPe2V4LSpoSJ9luLVUfOt3JQrdcP7wjvXg39V5Q6Zizs3sVxFDLVfu
BwFQ0LD9FEhbuVcUUmuv6z91BIHdIeSTSSpc4EHEL1E2fQyIjLlG+UxHK9Ya/u/uV1PQ248ieGcP
+g2XdCGo/cvZ/UAjvPUDRhANT9tDmd0aEe8KEXQrM1E/3QDqi1PVz5hpX9kGMbpgZMtFOa5pZvZh
O0n6Np+fHJDZzdUe6jGEKtNAQkOs5IXHkME0TI/xIUu915ZRAWPAMM0O8eCerM5rz1ETFqcvJJHB
M7io4mxb4BbGmQHWVF1fGrYRAba2A48EuvNhcs/K0cYr4/MLp3z6gCyOzgDFOFoSE7twgmB8oSyI
OHBOEz6Ea3Su46Q8Lsbs9pqmi2bZ3PZuKLjQmJ9WA+VFFJOh3vXKX9uLXuP6oWQhxFwkM55Iu1tp
wtC3ZmsUF6syx3NbyGznOXbEmc2l1KD3PrKR5NZDVV6IWn5Us9AELFn9hR1wBOUdW95st4/EgdE1
lzUjJD+0Nw6OcCYvHnrLUKbLkmlXNnp6GNvkO7K65F6nHTHrZeHdgNFlY++vjY5gdx+kw93X6ljW
6W1IDXVOBI+VdB6mD213txBwd5kXWI+xxG2ynFvquqzuHL5iVidoeZoJZ+Oyfo6S/hUsEzLvOb4T
MTYVziOyjrUJDyZSBBg7uxYdn8r76aOStdwI2NKbPklBfpCcsREi+81sr3i+1qZV3dpArGKfVsLp
D+ZUphu3mCWCQMZGbvHDDlkHmBFrvqDkYvGd4/ImcXU3xysgKT5ZaZERl4q9vAzVhucfbvvlV0Y1
33hjy7C3SL7hWB1OrJwQDBO5BHh8+ggReG3c4bfjFsRdokI9xnosjmqMvAswSZyOLZMqW6Fpnf2U
M6myWn38gq5Qz5obV7AMsuIguVOLAatP6WyJdq8ep56bokGI9pmb1IMy9af7OTr1y6adYbnTp/pi
+QZbvkVuqokeWHs14tevv9ugm2SWeEOyy4fuJ/c+ADN8CuPOYrLLN/BP2Lf7Lwbm/yl1cV8lZdf+
+7/ZC3/5v9GYXyQ18PiAmaVpQ85c+M3/FMejKgmDQgS/rEByQk7uqYot1ralcx5S6R5Jp/iWAuuq
7Vg8p0h2tg5yKuAiEWXJl+rmqjYq8MJjPRxv4D/SNLYiPSpVxQ/c6asJUsqGSAD8DsPWh7+4SbRT
/E0+zx/w2OUbcf3AFi4BH67pEQf112/Ed3seztWMVk65AAkac28X6jHujG0Nso7kZF8dF7m+WUXP
vtLRggH7PTqUzVMC9IWCkCYTwUPpUB6HPUU+hAIea659ZyTGeSSC4W+4pN7C4f7Le+9CdnRM3wwk
WgPP/INiN2BnjmKVlCvnmgoqC1nsM1WU+zZnnp9hAfrWdPbRnwyBo5zUknK2MpIJWuakc23jsWVc
s6/cekQymYenyGPeUTrWU+uR8r1IYpD8oYb07XOwqK+vL3Udb9wwUpvCD8MTj77+FtcAU1HLZxTk
LQRSZTebZJ7dje9lT7E529tAuhkOBJQoMmX3YpJ3qjtp3rTLy/VXbic+BJAL2DuSoRPosAujaL0m
wXDcTyFwq5LCGVJucc9GFVeE78k9fGH0C9Lz30s98CsjvlOe0bwtZ1Dc1tVT1xrnME/Qa7oppiIz
D5hUtBIS8TAexpFatq7RgyGo4U60X5lqG2cEO+lj79rdfUUZlAnR/M09E/yPe8b3fLDhthT8B3L6
H/cMFWPM1AtM9cAjnljMY1fP0dPUuc0lqac7jBYrOybEe28bdbIWDS1OTW4H/U7gPIGJcJ4iP2Se
LVt8J3O9HxZqU+eUaIFYCR6vH2q3xh1YLzAHs3tUOs+ORmxgjGEe+qgSMjZTzyaZ3m94NEhr2PbE
y3ASYa9bkjbbZn5yJy+7NImDsnWmf10kmsWIWRksttokQencuC5ZvljZIfFyXE/eSGz3bOVnCQJn
xaYyOTtSRtspDJj4+m1xRpRxyHLTeyVvUx8aP0cxXvT4guKcXGR0XuMBxklP7MDysaMEwZ2ajQC2
t6fGTdRh7v23sQgerjrU6wvy4gfwa6h2ZEgQXkGpGU6xfqkMtO7CNceXrrHuQyVo28cC1Ya0mclM
YYZBumTZkeGmuCEEk4S00qk/2OZs6jJwfviLSq/XMMjcHhsaaHseCTjTMU3kwWVOyu+U1Bnxm9fP
VZF7+dcnq/tXmjUHUrCQMJ2ArAi23nAr/nogGbFLQ2QBqcGbSkA2GmuIjG67MxymvL2MzUM3I9qJ
PJMxw9AGl0Bk+klMHEYTV5hYIXED0djXuG99BH8ecdWWIV56nXQP2pjiu9l591ynfVQpQ7koTKi+
Gtqe1How264AnGPkv+sh/x3UM9GX3EqOppUdGzYi9TwYxBKIdlvHaKyvMJa5Rck5WGKfJn2+hTU/
3ZFSAp7Fr56uL5XWIENQPz3bNTXLNI4+KlKiZQXosm23nAWjaNBNzWlxHBzrV5In7TejilFoV91b
BOAPBkPhMEA081ewktMakud/Ml//n0lt8q8xHdc3ntxY07mGAVq8939944WYtIOzCty3H+A2ceua
tM6iKg6e2JrF8JFCOIalF5vrtCQ0M6xDEBpl+9lIKNiNiaIrRWCHgKtibYPWghmnF11ax7uPsnR8
TAm4XcmCvlY2mD0XaiCHq3fywvHbVXx9fQk1Q/XEir77k41ryO0D+wUSEBl8jbk2Wz2SKjbTueii
QY2E2GyQA/kZdLnUwcxj4uo2EmbxdxEmYjmb/vmZg9iIS9HhQWk7prTNP0KJoDnOeUD+L5nUvdxf
AZXXUFtUd/M6qQkfLU1vOFeOZjAtq678zHr5I6rij95xmgcG9iFe+g5GVTET99mhduNWH/dNY2ry
OnrvNINPPNQEzvpWJx8Gl9znqlHRTaxEwQx90cNqv2Iv8u36GY/79OwU8ISuH07k1t8ZBMt8DzJN
Wmla71pZDzfJaFkncMjWXkwOmRydZJJuYYv1XTfAZN8ddRyXP9rBfZS1d8uZO5+vLJieSD+29wEc
PTXMB3J7ga8asPSyKmbbrU+sEerviWRUETMHecXLWq0Sc75DKR/eyD54/nIyGKjOAE6noAQsRFAB
tnIwamU2bQaGlCezVOWT6VrfY+3F32e4K8k07ln5TO8M28utaC33wJZmk7ceu7PYHOxtzm+sY92Z
LFEnEHljmwLoUFgOc7hULHYM//brjE0q9HjKs9RdgNZvMVYNaHrWkwKYcaWrXW/godXtmZJ3AW+M
90ya2/Wca7m7ftgv4FhW7Q/CL26uWk2xCDYJc4DydhFlHfAOSoxGSdDdAdeciHfyq9fAwSS7sBbx
gtKZgY8nsZrGoVXueiL74DmgNejTkXfUNtgcc1C/pYwlNyjLwj28Qy5+nZrtng0KybHtMH/L8/HO
FYP8DTVpbXFK/U1dZZl/ngBLLixLNJ+AWFu6gf9HAEoLfrEOFVlJeFXivTFF5gHaEj1lXB+uWDUf
U6zLXIl5trd2SlO8cIC1GYXVVxFeW2odsmB6KkQyoMNxmvOsx/BGeMOb40ZsEOGcWecrBlN37i+m
BGTNFO3JLqz2xSjN7jTixAPnFx3TNpy2VlYJiCkD6W3odVmRJO/Y+2JwZrbeMEcvLvbgsySSFSE+
OmSYP7P0CaYgPrZxGbHp8YutQRH+SnMdbMBqbUYzGy59LjoGP4H7wHIdyRjHBqWCfeOrYfV1tc59
OG8cRNKb64WSOyBY8cPgTSD6c53VFuP93jLXSyUsYNTdJTP0gixXw85aPrx+zme5eTBUAscUb1Gk
UoDHjjtvdRdwO4zyOxDpLSOZKlqNlrNlvRohyxmt6axcAzupHw8EUzD7cDpXPjeiueWoARWrvQ8E
V7/LMK0fTOK4MY2hd7+SeA0oD0g22PW48z124eyxXsx+CHx/QiBNztePgPQn+3/93LauSZ5/PSKl
x7NZmgExnzxA/yjv5mi0Ck+RD88Ygqh1W+WblK/2OgLyXJFjFf0EWoPBWXvRygMVyS69xattqwfb
tYg1tdIXPd11QPzuajMlkT4GQsKSltFz5Ip9Rk7MqoO9AAwaCAkLXcSRDnRWNhZzvPVy0z53abpW
M8lyfIEeikySUGmyrEjtllQQx9MvdVWt2oXIR3K6c+kGDi2BOigtn2tWs4/eaH2dp108dvdf3UIT
GOsoGXBMm0Ke9JLD5VpIP8eyOVlD13crN0mLm/Kb18Xx5fpy5XA6HVUSB7LJ1Awvgxms4lLXbxMz
9V3hcQJd05Ozzn12A+xgsYTX1yPMWBkJcQf9wML5ahLi31VvHGFgP1mU8teXIXI8SqBMfH0uskYy
YwTSOwd+3YmtTb4xlQgIPlhsvCACT0wh4tXVTBDkLcqqpofD47BzXTDAXofPfCp779ZIJvZF4MPY
xz58jSesqb8UxuconengmJmPot8O75rC9da5r2IIGEtUjGXlex9EJZyDdAGeIjr1yqdEDyb4JVHt
B6ptalkWGu2y8uZabU4U6/IRSMkGYZr9Ygsvum1cBHBZ8+X8RDr37o9jfg5D2GjmZH5LQMmR0YCw
LCE0zWTaH+iDX2T0Zi43M3pqdnuO2mtCpKy9zfC+R+GOxu4WQbhx+NeXvL1kgfz3Fe/Zpmuzk3Tl
UhgsIbd/nJfxQBaUzEKURThActs5eBmqg2p+jLkda1Cth5rZMNNNLLKjf7RklR666F4Itp9h/Bqj
nE7hqU1WefYGLZ7JPL0NIn/7dYpY6K1IBCJ3BospmALweDU1p2aGe3S78m+ikq6503/5ZrhrXYfq
RgTEUgZ/Bp/MbFUZI7XkJCcGklG0J2+yZjF2tYHYNQ/baIGBJULNkCr0Xg5kLV+bJrNWiBrb4WSx
8sVhQIcdFQGahKs7F59ucpyB2yIxnN56D3ZCHmO6Fu5P3Apsn1P18fUn3b4zWPAZNSBFvcutsIFA
omzIhv28vboNJuKMPU0hQiLeqksS60aoHEnY1dbooXY8N461d8wgvWkTCLw1oe4rO4EhGbHtfGai
4m27MZM3/viUTyxz0pIrh2jgJ+wsw8W6QrVV/hvXJn6uoajADCgcGNzqnKrTfEJFU90aw76PiZIc
KtgVVrRp7SC7TC3aAPrNjmBs8iZjyVi8C3/GWchiuB76gxE4x1n1/I1pLd4CUHRr1NzlaSjK9fXo
Tl8iJxwOo89m9QpJV7n5A+xacMY8lEA5ze6vRrnGZmKeNpFDnDm+uRp+2t9c2P5fO3UPj5QQlu9b
LIgFOqg/s0Cd2IWN73Y/q4WNOc2LA96+vje1WEjTHC+r2oyM+3ShQ5FiefGwWT9KZMbrtO+pH5bb
35iY4i7UtdIbkYFrjBqjMMI1rs/sImJg2oPu9op54C4tKUQxKYTEPTU9mng5rWB29PeTXkSqbKUs
SvMjT0LwOqEWpypDU3i9JBCP/bcNrynzaN9P+BZsX9bfFqGewxlnD+aw5QabT3ZQMNHmk5D8Abqa
notQwrbVYkK6QUxd0uqLTVmP7T4fi/YhnYEpZ7OCc3w1TLv1nctqGX6pAgqdDIB20rAlReAhnKZ1
FQpzdZ3VoNWfbhK7eB5wv5yMvmLnufwqGly5cbWuHmefR055Y7utD94pgvwSzaRLzWs/gfWRW7/j
1tE0BSnDeFReQfiZ5M3zvz7A/gw7Wn7OvklL4wFWthzf/6OrAbXm5U6V/xzt10F4/VeRR/Ndb3im
9ockj5u7YqbmInL61bPjA8jH6cPq4SoQk/d1SQwJ3pK06+k8JsZS0uV96IX6pkLGBEXe4JGZvPob
0kjY8g9N4eWf6G9+zK6fPRl5n53q0RFbGBnriBP3exQN4zoTFI10dvW6LzfGLKLL9cVfHrBAx//1
u0Bt+sc5zmgLNL4lEBZbMPO8P2agjPwSJqPML4emQDVn0XekvT1/Ojk09jD6KEtz3hVp/jY1/Gww
g8mdZ+OAhRNdH1BLVrALKF1MgSosYRf+qco9KL6L8NvmG6kteMZzCZQ0rt/rmAfyVCTT/fXFRwl6
kvEMmCt8t4oKUyC/MFu6t86N3pcP5v/6LL1Ci2X6bSgJiOtjMFe4J9X6WpAkS33iSuOZ5Vx1C6qk
YENHao7LvHA3R9GeO8pnhQcHuUROidoHmFacahSLUIWrz6lAYIIHsrlEbrCSjnCeuj5516OTYfyo
fwyq1HeeMB5Z1mc35Ri+9zOxIDk/34tMDL3PO57smEbb1XU6lRRBdW4z8VPYM5ATF+M2akpm8Wl1
wH4r31QoIOW5OJaapoFyH2rnpY8l4L8UKjoO04PtvjFw+NksJtRadDXPkBJnddLAVEJdeOoF5hBu
coLsr3OyvhNyf73t5dTZh3wZ2bH4//pDDn7wU6QXU1ha3nfTf+KRiZdAuAS382CNiEfGIfw1dsWh
zXGkNg24DVzR7VksLzQu7RkHjjOY2ZnRq3346m/tsPL2RelOL4lbEFfV7778tlGTDY9XT+c8OnfB
KG7DJCsvfROFF1JEmEOSEbj6+juy0bszi7SBif9Wo3V/Qy9zQS5o7K7RR1A04u8QL+qgZcg8KRRR
UUkBpp9t5rUvRRxjrdf+oZZ4lQNR9vd15U5A3HJ5ql1XH205sGeh+63MOd+XOo7WRuM9l9VUPQiR
d7uK/fyhqOynYqqMB6fzEBup7rLsqKD/ZsHJECabm1F0t5WHJHGedbcFRSo3zgSfFcpPvuka7aH9
TqoTwTIUhC5xj8li4DUcw7zUpTJfwVMMB6f38h9uiYT8uhkLzR8auCaMxKw7FGo+kEc8XcJ5Cm+j
Af6ndCKxL1s5n6RprOaor350HFsYE6ZXSX1828I2OyB32RPHhPlIBYLstSTdqlax13RBIEx0Fdb4
Nk1hA2GR+kP0RgqSkAmUEs3v0ubtMErgIJGQ8ByrHfrS79Gc3oLB7W5ax+z2pFl5u1BHw6F10u7Q
Tya6H9UeI0KNL0MCm6az8kcB4Q88l/fYSG/YXIGtqVNMpy/asfRNDgZ/uJSh+RilhDSKq8PddvI1
dtLquQrhTWZDvo2GYH5tmewzjoZraNEw4WgJ8xFmGADCJ7OX3cP1EPxfJT49//+V5WT5jJb/738F
Jv2PLKcn3STlZ/Hrn8Ocrv/LV5iT4Yh/BJ60GYPQOkghHJICh19t9+//Zjj+P1BT+zw2fWkJQgz5
rbJquvjf/839h8lDlfgnzp5rT8CMpa308lvWP3xhgaMLAmE6nu1Y/5swJyrzvzy0CIQiI8xmm+JQ
oLmm8JY5+j9tICMbgkxq4TYaXQbZLHToKLHYo1FwSLpDu1xG4RE5cviQzUD7p8qr97IU4LU7Q3VA
evP6rjLInljrHn3vEiU8EjSAj77NlHvO89gGg6T0neO0KRqHHP/BKMcj48iIZcbsfSfNJXpVc9qT
u9MBvyuCCNGF3R0rlGG/zSCzNjY6xrPFYGDX0irulJZYXzHHBJfCUjU2JkbshhqGTeXb/kMKTB9d
KMG4cGbx3a17v57Pntb1Cb1r+kHqC4mgfl9hoMo0blJIXcNdGrtqXTOXMNZWoMdHoDH2NkrINQ38
2FvIO7j4hhzgIlWFi9gQ1Bl8rlgvs1zvLfYHvfVLOZxR9lo1Jp9oPMCVxKPlTE6DnREXBclNmrdr
VP5zPLbyLJmT3abKNIJNCkePM9UYGgiDTbKG1BC/pDZyx02HcQnkhVHABc39Rn73e+jWm6GaEZJr
181qQuE9vRhxp1zh9ivnDOFLMuMEjhwI6zIivRBDglBbh7lGsdamVz1huhn3NbX1D1gPZDXZi7QQ
kuJ2SEEOiIKRGRvPAeupJPaw68y7xjXZ4PYlxmqPAPocSA+0kQzIuSmiB8J3kRVpM3qr8gBuLT9S
xGJifs21I78nPWHQqKCIrp2ydjibtXQucSEVZI/S5D2OxJuQmB9Yjw30JTki/kCCTULl5R+8Cq+e
EQ/pCUQPDg0UEod8UChK7D7Q6zgwg4uDZu/RnBdbZR8hh8aJMCJOqPwZp5WXGfjjDPyv6Tzx5VTq
385pVuyxQFV41CbMcBY69zKv5nOci/LUFln50ahQ/R7w/q3ZOaKvExZhD2mUPVgD7qrKTsWFU3RY
Q2xEAIrYGiTvQD47+IbuwbMJKObeb9ah11CmkHm7aCiBmdgQkHgH0uwIB1o8gBvLXkN/RvGGECbf
G50pPvKwy7aVpgmpOjM56SILdrnfDTexKNynqMrqU2YrMpd0YJSIBK3pPtBlciPr2b2RiAF+ZjlL
hRH1yLbo5vGuRZt77HCLHMvc9w41OYUky7KYWo9B2h2lTvP3XLB3Brk8bNDfI/ozuyo6AwgJ/oOy
M1luHMu27K+U1Rxp6C4uMKg3YN9TonpNYHJ3Bfq+xx/Vd9SP1QIYlemRaZZZb8IgJYVcJICLe87Z
e+018RIw950uv6a+I4+lQi8MPU2SHBTJfEaYRfnmA1dxF8hI6PY3FrszBpy/9BSVnZI6FaD3fnxC
l5b9oLOXbdAE6KuCshNLZIOaXGQtRohaWltNprAK1VjbjRAkpkmmja5FusNrYyRGcnITdXgNNHV4
colhufqFJgm2YmLBRMdRtU9NtAkYYFv9VXfoSVyfCmudK02G26qKvXclzdxslYiIqwK1rVwpWkuw
ZlewtrR0eIHpluGROaaJy9pSp4mEhf0X/kFr4U5ozeg4mKPYktzhXcDreeGWTrjwKQ4dcMNFH2Yo
hCr1w/PU+mq3RkemdpMwMqBBZtELaafxQRuT3bMoRBTsK8Mt/SUYhc6hHSC6HZGcnr3xgfDQg3SV
8nVoU/OZRDpc45XrNtHORE7iUQ2C1T5wulqPZe/naKDiPFc2rRU7j4XMnUcdNPgHAy+ml14/KMpa
MTwww96YUm6qOtkTgZN8NmGI2YgIuGlXbMhgXOkt5dvPfprzpDF4eU52q2/Kp0R3lI3blo/qlG3h
JUXyoZvJFOcFGBrOQ2pZ1G4igVGkjf5z3gXKV9Zb3laNKnc52sgF1QH+X+58Fn1urqWjf5mNcutc
TNVt5btvbapRxPWVka/V1NL3/CXld4Zb4xj4fnP0e/crTWwylglpa0l9sSLkzvCsurgFNa8YF4JD
z76iHMfayvekTsVM23CH4v9UauwRQBmUWkHnH9ZfemGBRjeHaheEyitqyQ96N/jqxjDcDCVYspRT
ZeNWKarwNCrRPFjyluijfqRMuIHHooekIV+j5EKIl0cWvu3cJM8rDenpp4WuXBpTIVVC8fxLDnOw
o9jKfJRKzOS27shGD03u0D0QyPNpxaW7xHUSrWOHxrCeV1ChBmUAE5D9jGi1LPDim1vLK7tt6Xjd
ZTQ5D/qSPplmMtVgk99t3AwOgO4PyTXmhDs6oEPQgNsj43rb2NdRv8nGkqoGvFGfsJN2z9qYpVuC
Lk4WJ0bf63QeovgkRu3FGOKznkEYY8m/aRSpK1zJ9YbSqj6FxrBzm+ock9dA4o2/U7zkKAdxoo5l
XyvPg5I+BAVweNNuiPezazweQMOZTh61ALywyv14pfPmyUthD+tkSPxKZduHEBI7233w9fKPxO8e
MtR2tolnF78QtE+13VFCnYRXIr6ItM+kHpRVpMFYwOSVM+Pho2Z+mJb6q5nFksSiWKcZL/qgZQdR
a8lbO0Gx1yMDqmEb0wOj8Yb3QV3kvaqSdOTHBM80mGcZCow4ns1GLbmzAoJELBAIL90FReCdymgi
n0G4AxXa4xPJF1IP8x8oNNpnPDKDReBrVXWnfuy49KQqqkshlGCC4KT2e5Dg9c/TEO9oxS1+Aawt
LVZMxulIh0YntkA6IMFZNn+6FbbhQ6dV6EjNgksQzrSGQRPsCKbbMVSufS1IV/GsxoaxPcD1953+
1joKMQRRNxoXh2ycZ7MeQb/DfSZTt3GyN6FLa5lKoarYbiz+QQsxvhcwNy4ZyCMqArJv4Kh50ErP
e7Ny6b464LQecgz+3jY2QNkbeiAOWc2cfqXkdfXQx4a/5/QbP6xMx7E5jOE3OQ4OVCBFDeHGFspT
pCaA9BBMEmskSlaoZRbo/DVC93ES2SoKTs7lANELFne6BEmHTDZ2+uyHZgz4VTRggScJ2ugPV7UN
zIZIWcUZiKH9XHako+BC5V7GtY1bjAVejeI1ioIA+l5uRc6zH3VZwiXLfGkB8DL8HH0KtFtaZ6zQ
lpf20CtKdbh6TTQqq5YhGNlSjkqzBjPRzyiPkrceHnK50LoY8MlgVNF1sINg7+qc0yvY1fh7LCNR
3zo/YXFnI5a9VZgfL6neZA4zC2m/Ge3I24T1U191bM07u3az/Wg1/FpFBlG2IkdUPXeqIBZKq51T
67b+l4XTIloGIJXpa7horAvmxt4i5+0+m53pbXXZENxWW9bFNDKDxmjjf+ma36+asqmvUpWIJD1f
Qd6iuq3z0ANqvDK8oadeQYQHJK34e6OO9bU0rXwrS1FfAy+XO4SQ/O9EFLzVfaY2DBCECUZIlLy9
DMPx2zjwf5qlxV8DRganOTIbkBUkCtLy9CdgZ5k409y0Wnms7OR4+Bw+vdb065gN3k89ltk+MTRf
LKEyBdVKiaaTIcee8pbKpKJzR4fc+XJDA2AmE9cYfhaiVdycRje+4c7Mv7xE4gzVrNaH4KAgXqWb
TaBGh1tf1Usk953+zbVPGEHue78q1e6vzLBrBAYUKXC6h/ymNIVyiDBjrQBzpw8oxuIdiPsaj54O
TDKikwGfZtqNDaZ1yAEarGmbiX2JwnzjaaN8Gp0xcu7D9P9WPX0OfpZZlf1R/9t45Gv+nT7V5fd3
ff7K//knp3/v72HL1X/N3/a+s6mY/csLMriDenhsvsvhBtEnrn8ve/9/v/k/vuff8jzk3//rf/7M
mhSd8+0be2r6e42sTxLSf1dW/5///TP4+pf/415V6+bfkJk6qspowbEmrdf/K6o17W8EQDBV5vKn
TEb+9Y+a2vkbkzbkSH8W0kL8jXLc1GzJr5H8R/x3Kul/0j1JVdUtYdoCCaxtG5YzyxZ/K6RxQWem
ZRN1WntqepqDgknfaE6gRM6p+jDrY5JccLvQ6X/xFc0JnNXcdvWw4d2mqEkBTVSzMxIPYls92SFV
w6ChhZr1JW01AATK4luKQfBMX3/ceK0SrCxP0XZe7Zi7gKiOpUJy64o4caXrjL0uW8p1lr7FEFJV
hXXAnUJKVDxTOijffM0ICCDQbdV6iUChUbRPvx22h/vk73eJs/VPQyCVJoUtVEsFXzEdMOuf9GBW
qjt9X+MtrlK4aLDcFFQuDrOnzmuGi+nbyusEgkl6skxrU0+3GnaNWy6rYsPex0tKtLhhZT0SyFsC
S8DY7WFlwvhhk1mUj/0n0n+WnkplWqbZkI6LxD+7nRUCeU0wlptZSc3nYj2ibFiAcx1OJqn2i7TS
4OOJ2nhhZvnnS9psqNflm9pYR3MijOnTA1B2qtQGtrumobJeRGF2y5yieBaqgHWdkSzg1vr4TLGI
REvq6/mV27bqMzX7WmcO++i4gfrcQuFYJAgqj3J66Q9UPf7YV0sHEBvzId1463RiI3xiAc/zy+ot
pjv5H+Zy5r8eEo4IEzlkIcKQ8p/ncsDrbaacollZJdvM8Vera+5b35KHmaDT2TApUN5ETZ5hgqr1
7NMgemvCvaIX/mvsvyiMq48mK3mxUCEv058n0YXPsV65p95R9UvTFPplftZOL42MKJXCS6mwMRHu
MB3kMLFJqPB018V1UaNNHC8aPE5AUui9XcP4xDlkvbIfJbmMCns0rnNvvtHjD/omP0aQqMfckv3C
8bA1R1J4ZyZ8//7ENSaF6G+TbBXUkw7pVKNTzFAekfhfO2O9B0k8cgwwXTZMsFm4VOtDu68tcBik
chgvlhNnu7tbwzeTFfUAvRo/qOCOuSsybgA35cZLQ3+wR8RYotoJO/MaCYgbXQJ5REdMSqyf7SJC
mofcvkPDg4DeY96P7atoYjYuqgkNyPzVma12Vquk2Y1DbNIlg05qB73yH6ZY87H/67u2NNT8CG94
z5Li9q/vuqqivjU1BfBaSfO/C9SQyyqFzVFVxrmmysOum0rApwpIlZCRgehc2lKhLV49mReEWYDL
DCymBCMK9z1YC6yueRt5O4EwMCJk8a7SKMv40YsUAp4AibZD7V6EDvu/t9LqqTMzOFeRQ1xAoPcH
MyR4qSm5NbcJRut/f5j/yYLBum1JHSW5RTtQOCo90L++4TBXJePoql6JvgPTBG/qJI242Qw28C8R
usW+8/IX4iftT0KC9lFr2y8F7dwdoXm3uItIVRr1+pT6NU1+wqZPJXsDoKvT6/khUK1g16WW/Ua4
9HfqD9otCDDeKGaRrwlNjP7DO5r/4r8eQmlyY6TpbCBC1+YT+7c7UVoidjGFCfAniHeGrJ0LDAUU
Z1kut4OhGyu3IYMiSWN3aZoJbtxMkg+bMSEFMf+Ph7y1P8OcQrog7HNLWcvUSsEwN0eVe744auHg
n7ke25sNklDvPO+hhGRA+7Qlw7AyB5JLg5F9fnAp5VR1js3NpF+xnUnSCgSaLUKe92jCZaaYCM7I
GO7XAbkgxiXPsaZZof3pSAW8eFCLHRK3gzEw+qJ306LPo6GVElXwWuFMSOu0XTWMoM5DIGBNdE0F
G79Q3vJAx/JvVL8Mp3/T3P4/rKa08v9locAtoeImpZVOrvm05fi9hQ6uhqA+HxNHoZD6RtWZrNV+
SocY265dVoHd7dU0629Bbx+LaS4XcxPcF4kerZrGcJ4bU4vXdRZn20gn7SmbJQJ9jxfBS5o33D7q
STO94InBHVbREanqHMqKCeDZFN0LLTJ5tALq03IC7aPpWptkXIVTloJ06NJ0pdXttCDCQiP84BBp
FdztkuDSWaHrRCSa+jl5lYlt04OZDBKaH3b7CqQxDeGFmurwvQtYisueMMj1nAedTUk+oeXsAxHL
Pdl2wS4h2PehC5slnbv6GE2oa6C6+FmzX+FYRXuPKCeQ2aGx70X8Ez7KuI9NxzujHkmWtsGo1giV
Jbp05zdWNCdxCdjCTJvPTAPUCYFSW7ad90MRifNUdA6TaxpKqzslWJUlTXAF4V4Sm+9GhaRziiPu
CBUjtDV3yCgrmnUVWOOmHkk6rDUZTQFLxkuC3XTrORqBfDUR07kDu9AguOAPpaqe/KRj3jHrRALh
+tuwFID1ZL3vnN6kAYjrls7THrBucnEKhCeWD12jAvsRet1S8dPhz6D7PI3bc5C05Sl30U4nT7OG
UDcd0K1eQkAMlrMrclSsfChJPiLXzpbgMQAJZ4Jug99VW8PEUePVON/ZaCB+4MKbJTWN41TIqsfH
GP0qNBx7XA2BU97wJ73TPCd7e8xpE+ctM+hoUoHm3bGYvp5aMsdnSQ4O3ju32folsstA1SbtPiJA
2+jyV2wobHJUUU4xta626GiYkyf71lt5tzQrq9kpRlHdIl9fGd2AqA4hbEJvDQWWPQXSak2wFAy+
ifZVP0cAGcvAIKezJNe3xjpSYhB8E77/qKELX1ozuh6g2wrcLVP/sDP0A3suGhRd1D7oKOdfxhaj
P87U8DnwK7kmgHcjIiPfB8wRLsRSxGSUuN0Xe6AFAcI1ECdE4rEdt9sxwlIzD7znl/pIuszEH5pO
gvTvP9CkBhMrdXgeJTwCr4rr7TxRb1KdNva4RqKYfprCClj8kwCPiwluN8a2fIxSPz7Uof0U0iLa
IxNp2dCqWDmi7nIH2Uq4LO+kGGSrPDDCa20q2yzq3HUG/pSoyIoO24RTNyW+P4kxkfgLKFxdRKLM
NPalEfJUNjmsPkhs1cEZ9OSBEEqVNhaMHVR+4c/Mqv+UuuCyl/val3I3X2oEgBVLhGH6Zl5B6Bgv
Z3W5zWCiMB372oyjc2XogxufFXOT4UtezT+BTkTHVRw15bcyNLTjaKSvWOncCxsR9zI/awI7W1n0
kFZ6qf0Hg6HQxHQj/v22xhAS4y+TSkujty1m4fBvtzUo9I1UfF1byvnT9iGXnfQOc7pKMtVqjvGN
R6s4Swht7ctYFsODraqkrHosYncHc12/q+B0qDyiPxwjWWXgn/Sxbc8zwTmP8yfAbhkRFF1trDDR
ueRYEJSB6NY4MhyFC2oibY3MiyYAQuUuZdM0/tfAB59p/B4G9na7zMTeXNSKQNKavpR1VQcbT0fG
B6fvOnZv9z8lKjyOc6Msx96WWNhzZdm1kKtgXiAj61l/XYGkQk9b6x0x+rob9fYH2ZYPhVP/SulH
nQYR5Te9Vj7tnGsXLchFC7v02XTDcOFFTXRqhblRxhrILbtodLGZsSo0/VJZhrmmiTygC0JG6zoA
Pp0pjdatMcZ3/Pwck5CE46nvwZkTOsssVk3j3X0drEPV5rRTsn0dwJQYh7Hgzuc469kcx0TA2pRh
Ea7MGARfkBAYgwlnH9hJs1bj5grAvjnNnze4WUmLrF9UbRX/GrhXne9SBrQhyxzizXL2CjHMQU1a
EmnLgMzcqLTDmYu1/iMJqEzVtNxaVnShF5nw6isKNXkg1/pV9/rkis33J3Lg/I0uhbLrU/sxHxjx
7m07e5yFHfPtOCTLPRqyZNXlHMOQhXvVItG/lIZp7VKrLPeWHBgckD9R6KTODnb/06eyesA788uA
2wiNrwL4xupRgwB0DMhL01mkecb7fJ21MSWPU4kLnFp4lz0ymum0qecHHQXT/W2nRN4tVb0bMNip
0Zuv1wUJLuyLvEpzlvfs59GK2uP9Wu7AFBae7aw1mBY1QqPhE5mcuU9RvPEN7F2IxJxrHgjnCp2w
PaaadiFain6CFYObjiIZLujZQhiMUVaaIRTlIegC2Cnn2SZZjoDUg7K14CPk5kVMDyVT0vXdpTFF
viFXZkMxXSjzg0XxvLl/F4xQtgdVRfgXW5MNFm4AWHqoTSNwf8dI4U0J7X5ypqXvaYLdBuYjoarE
QuwYHNdrtplsCBNCeHXylLXBJkFGr/0PYGgbfxKbJ+wAy84+tew2bvcHHb0aAI5Ng4eDdQlV25j3
/kXXTUxfsDktMzP/8AijqrGYvcI+XhgSfRXovq2UDXHtnX2cT2IG9Nmp3iuETYGAb/SbT7/8JfJx
T9F1Wvm1X+/VStYPVd2XS2F+qxpWraL4VY3SOueabDde/SMWdvXpkdK8AeYZr5EsIxNmxaLTrQCE
C622+mH4Hf1NMyB/JiEKfcrfcTLQUEylOf07Er/Q2GkbugQgRQbznHNcL7YLNzqrK06UPoAfaCXF
h+2U0+pPzwOHmFftdcH1ViZDv4uqEWVBpg0bdnp08RERiyF/vhvHpZUxEmzwLQLQyenvOlopVynD
opWSBAG5ZbXcFVMZWw7BC0rFX20STIhshlerPA7BXU8i3cSv4fKAHyBxduL19kzH1KFfD5VIl6nt
ZDvBMAxFOqbquJWPRGrdGvLlfJkNrzC4Dq0Igh+K0vzkdkZjB3q8b9ndD6VtEQrL6kepssrk6Sdq
Wn0fFZCYVD8or6kQyj6pa3iAKab+AAwM1lj0/PnwmGlgpZAoPM76vvslJsJqeBDTLieN4y8oIAIG
5Pt87xgr6ezKyuyX91tJx8d+z3DhD7KXndo8zesosoB2lUgyTplZ0uwnbkhrX0e17/d96NqPVUDd
mHW+cSkazsB+4hx2oMrXuEvuC2ijSg/ihY43yvI4SIq5JHOh+BiEf1ZyRaWTbAS7MDefUUGDG0RA
9Oq56YsTyW2cs4LPrsemfUZ492Xqifw19Cp+VTPeJIMzHisPZzYkJEb+RtHdDFtg0c6cdyerxcan
KNwWrmW/D55+trpwiQUjQUhvB3ujLyS2I1lc28zgr+Cu4XpCPQ6+pA3kjKTQZykkpRJSai8x86ZB
rGP/APWhqOoubf1yO1oCaHFJTtpolch1s24TOeQgRYA8UNQ428DkCtKnvltStM52GAN9VZbixsfa
nGr9u6moIwfT2Fpu/zOqvW6t1Kbxlvl09GKWC3r4aL6tJrVu94+zYx60qXu9uyV1ftXM8ZlN11PV
p8TYRVW6jEipPUofnmczB9XUiVKQNsgmNEsMYJKVwI7GAmC7P+2YEM0o0Q1O6HjcpbBEPJu7ZQnJ
51PNTpbt6Y/s2dl8ydB6xUqfPjhDKQ6FFzw7kx/GNq1JfZIbRO5NqkeT7l5gKOGqN4L06JRW8goZ
DQ+mUD/6kRFJUMA4OSaa9zCXKgQtX4eseRddylwNy0G1dvzaXoR6V11Nx3V2XggvppSflVYgYurD
4IFhvlj/41mXCoALlvye0QS66WmbUovbo+8Hf8zmdgUF5s0T2kI1Q+VZrw2AGBjmF/NJAiswWEUG
0AsdpPB79CK9SjxlVQQ/tsvXmO/cQxoHtGuGAS9T6xf4mrE739tgSkjmuaZY5tU3smmbjKM1V0SI
0HJImLp6yc9oStPRPBQCiUp5kzYNlee0h8z+vpHUkrAAS4V1/X439F5hsSBfkIh5/AgnM8/QjpJ3
kgkA+zl7l2AcwDJE3jHq+Xfud7Rp0SzygVTqWfvfAW3mrDRT2K8hcbl9bFtrO4KvZgv/V58ZE9cO
JXDuyse6DgE1lG7vrvNOsVamqNY4L1ombma5rgCLLyN0IJdw5OINE1T8ltvlKyd4NQJZP6vZmG19
OL5Taoh5UV0FVpxS72rFRppjDO8mkB9RWG+oj0w8PFZ8UCcG/AhPd5JqJKltH323OagwhC61L6on
6PKlMparXBUnlMZgPrrQ1sCE8JAFj6VoBRlxOJkFAN71fbWr0rRb+4XDbF+O0Skacn1h9P3NJvQL
TZm3SKSSskxBj6G9DY7VVW4JM4VzZNDNQCjcfGWet+zqyL0lg0ZgEOzpBblTyquNfxGQRWs+oB6M
tmXEZi8xQkm0VwSgLMeWhSKovGmW+wDTvRrU+CWrLP/i0s42owThmLA9gCxG8lwrtbfL2+QHM91o
CS/IP3RjId+jYqlXoQbvhC/XqNCOlgooPhagwfPqOldDkRJRx1rEHsBJJq03DBbzprHVCZYPVJoc
tdl+2EEUnmuaeasqhruVxxQq3CkQQQl81mViMvprGV1O8WeFM/b7thuOcw7a/JDbFwPAXl539cpr
E4uLp4B7S4FUCshz8x5PurB8LFM58ikzaMSnwpHIoNFlab4vcd2s7vLdQXgTBHUYLqGwfpR9x19o
2MMlI6DpMqoVXQgaZueMzBkY6SiaW3SVG3UYfo4dcXc4ObI1kiMsKfOuD6InNVdXAFDsuulBOOyQ
qWULSKwlZiQ2vS+Wyz5wTiAu8peO0/jFTvP41mAlavxhg3Leu3iTKwsqDzxb7wRVHULa1E2i0PaO
TYt4bkY0mbpfnO+XOrlusPtiK30uAZ/LRns2K6k9A2p+UGvlYKPmeCBzNgNVWOlHU7HUReb57I3t
sttRmAWnTFMawlaFvAaqU8Mm0qiuYkIJqjng0JZoiXynNs8DONL5nmdb4qUmKPQ4vyJ8rz9FXnYA
b9XQcbWJkShLALAhv/2cW9r73BDzcsV8EtO7ynr/6gUSJGtHjsW9+ZQ5pEkC7jvcG1JO8WrKOHyK
qqm2cKzqhqfdhyoZAyz0C2Uzn11+tWvs/DTolXsh7Xx8yj22XSlij73i1OMTsZ1si8cpRcblZYyj
Z9GMtb/R6AUQ7hAnO0+B//Hh5ST/dr7iH0N2djDmpqfx/LS3cEAhI8h2jdXvlUmQHvgxnCSFZLye
fIn5MJvsrbZOXK61TLemDo4/LPIYpC1T7dTaMjmFBiJQxC6HSCMLNJdftZTJ3vVhRGSDo20k/MLp
YmDbVDYiXVM+egfiMwUbzopKwC3yj7YyXy0ByRWtuXjDjqCCtIk3TmdEi6DOJLxlKpQog0CkKUW1
IwwItn4PMQty1M3ObFDeCvIfVwsrJn2M5fwyHm7+NDCHqGjvzFb0N5TD3mMURIue6iVZRnnSIINF
NV/4xSWrQgLSnbR5qaWR458wgl+NXy5ThDHeZIk9FYWZPBRF+2ljrTrWgDgXMNfEExukZUXuJjDO
6XPIicFdxrW2T1O2QxbV/FvWuy9q1cUA3pwnVTEgVkT1qggqcY5ZOLe9jKAMTp69WkTfZkuu6X0T
MJsaCcw4w9v+Ahs0fOr4+ZdwEbWlZpLwYOSN/eSo+TnoUu0DFa5DHLze77hFAoIEZ362PQitpeCE
zaKC+spXfniOf608JX+mv50cXa+/DhZN4XWcNHLRTCqHpRNQ3tGOfmKjma+CSCbPMC7SQwGYg4ZZ
6W1sO8K8MHm2zUznX7CLgu/ysnDkiojPclmjhkUZFdiShT/1lx0YkXcMptmqxGl7GIMiXQJ4hJLv
tSSVGpxfNVsaObEDBka0/Eb1GoUGiRJ+wt7KpR3jQe7Kexfg1Oh2F4P2iizMBvw/d5tVM5D7V0IO
vENq5h+ZXkZxDbInDdx7yK1lx+7RYIe69z0Eq5XS7gPpepuuVDISShatXY9fQPifGS5+eXT47Dx2
p7G2vWCTnr5KQi+IiuPtj7IiuLERxlnvQ/PclK1xDlKpbbU0/yq0ToCUJXp1ftbgdl57hKwgFhnK
x/kDrmN0gmFb22uBAAs8IQmn80Mm7Z0bFOPBKfwDWqA4W1odIfDC3JI/ntL/YgUubSXZDSbmzhlx
YOla9mdBQawBwzO5AFo74O6y4ARqUlkYhhGs20qnVzNwki3jqmfFqB9UxlMPvVv1OJYc2swhM+jc
bfqLAyzgllTVCxk6SBenzcswyv69qAIyLg3/NaLLe0qqAWeZoyrv1GBryypAEYB/jVK73KVpzLba
RTY86gXhPFhiNrPr/B8m9EgTQKAy7xpE7acSCvebW+6iqtzx4T4ZcHvU9F2HNbL11J8kVRMCbRvl
K4MhZqdiusimcOzEG7MjHS5Oofmp3tU3FPIQdxaG74Y/pCQgkM0ms3xASLUDNWhU3RiiRggWbBxq
MKSYAu8dZQ8gFzqAx8wecrpd/WNI6hDY1fgx7DL/oArHQOPtO/ZS0sE7OtPDcN8GIvjRJRJ2Baru
g66H8bESZYcRsbEPIwduwc0vPEBKwSU2LR+i3NKVJs2MOgdMtmLIs/eavrmj6B/AJ65zG4CzL6Lh
Qe38X/eSxNOMV2c+W+yEHZnetMRH0J+vB1pwbUeFAqzpgNn9VabduJlXDql/OZmnvBN3kO7mL0du
CXeAbCJ3YwzCORp0W4M+bL5NDdC2JruPuMMsVlpZvzfjHmC3gmieO93FMBvzWA1U+jbNyH3iYXiN
yCW+kcZuYd8vvF+acgtse6ORtPNbA6f3bVijBVIzv5PyHIwEC/tkkqzmlxqmftJjIIYLhT13S0YM
tmcg4QjNEEfG5XGiDUTTUCfLrad7VxHao6Iv1BA5VUFg2FTHDJwwfTdZmHTXXiWtXW4kjdpzqQFc
YKPKjDQEPEhWTjBtXsH7IDbSxpUSgl6fGzSMfOJz2NRPTJ+Jk5J+xkCH1vU8PUpafHH3KZrh+9gG
44IsB3KbyXKi/1Dh8ViWFLtd9eghgVvbwmvvz+rIBqfE6I5g3B37fvMliYmcsAMYrn3av9Zlql5q
1/oJ+8y80APUdvPgcn6wRkcwvhLJSgkczGZ6Fi3m9oBRpC1KE+3d0QflBnRbLZNzO4Eqh9bP3/Kk
eAmnwxpyPAKIPbv5npujkFvPd82hOOV1GT1Zrf3BDootal82N1TvSy/XtefMzP7yrO9xGahTjn2l
GmdNRey9iBLDO7Z8SvPXFOdAPCVFJdy3B6MPaXCW5RUNWnzV24tS2s1jYyjN/t7GFINES83NL9BJ
3hrCIoV3n1brmDi61Wi4+U5OmX1z8RFMFQiA/J/SqbQlHcbkGcsnTr+ywy2qwlYyMaqsTdOs91jP
4ZpOvsyECIrlfYxld8oGy4oJ/qn394VnYhtwUuWx80wStXykicbYuY8M1sPzvTuT6xF4Ioo+ja31
CoBqdZ0fVFL+dvFgsXMtp96ekz7MGg4z6S6Wr7nXpBurlzDQHyPbVa9zb2d6NaD9PN1PXdt8wvd4
BBFCrwF4DS5s0MMTrwZFU7Ji/PM4f0kamnMQESLkua/txObNHcr4IPE+JiIhXBlZAys7EizQMcE+
EWQwCmNbgz18mFutkQMmxjOxeHgTpc4ZGE5gFDsGpptdihIizX3dm/ceQ+mX9BNAfelVD6WtqdWN
hzJRRNWBHS88nOi5r3xWUo7E1Y4NsW5HjW7TNLmodFDHYQ/tjnSTb03x2otlQSNLew93eutpH1me
feR2ahzpuLxD/nBPqdNYy44Aq6/a1E6ESvUvXmwU+5hx8ibr5NKHtjcGZb4HOxS9selb6XqULIsk
VHcyyWN16zr9ptTL3dyoVSM/O49ue9WpJ9dtVxN5Yo2CULkQj0lSWZv75x9U5bAaZ/ynPTrxn3fP
+4qYOujqMQFEp3IKvvZqsnGpPWmt0GB4kL5JCMagVSv8Tra9wDZ9v1mFhOPhW+JLY2lfE0upnuyO
/ijXfLKD1TPpPpDGhZHwT1mgANiQnXgVFlAt0Wj+Wk+M6EkbbSZ0gXOJpw6/DZ8yafr6lqkt2+m6
b8u1MQWYMrN0H/OJ3mT13ldQw2ubgQy0qf0rDR0MCf0SWABJDfRcIFZMoXdswwfd7K+ugpR7nl1U
dr6B+zM+jZ5gtDhP+e6nvm4P6W4+cdm5k0fY1YfUhEwwJ7AmQ2xshO/1m8BX98w/h3dsHNXOtqfM
u547K4qrfIVsONjTe0NRN1EayI2Ggp818Zl6T90qoSVOY9LgyUYyPQebCldr9zIYRrxokTWZKthi
KxNtKyfySxvqb0Wk1i+FMI/Y7J8rn+6bxUy/8yOTeSgAo8Qk2xgHEHyViYpVdOG36uVyXzYlcWOl
T8Yvgp1lS28YNGyfr4hkHzcsOR9MUeUysmocz5NMYE6TTvpyk+a2cwpz/cvtdNawlFOy1IruGCmA
T5HUbcwxOeHN9b6nJ31Va2+elz25VQwBaHqQefvns/5DKw4BfpgDotzqcbCjm28BGtswmeW8yFx9
bzUtqD9L7BOt3c1nX1KE350sx838ysmdP9thjP/7ja4YGpv7w3zq+y65y67SacRa5WIjqiZdya78
v3SdR5OjXLRlfxEReDOVkJBPpVGlmRBl8XCBi/31b0F93fV60BNCQsqsSglzzzl7rx2ew178RPb0
Af8UoYocXkOEHAyvK6Z+pbJDEnD5+6VPMY7KtXYNjTbfKpEt9olK/Rspo7MvMKzt1u+p65NuTzMC
hG+phVdzKNPg3yMzbWlRZsZwqsW3tXpfN0mBaImB+1OhgZTKXEIs4zbVN5Zh56/GwJkpw/5hVbO9
y+vGfAFH+qdkKfhWWD25pg4rZQn8bL2meTKYPC/fmgQZneqlHYtj70ozSXtSFPMKSsXemqM245FT
3HdLMHKxXTU6KgO7/o4cMM8+kqJNgsgGkGI16reqjB1ayDCOplxPn4bE/I/wBHOG4rRApzH3ZCig
2dxXtT59cTFbTCefkS7MTQ6LPtXdjptewRy5cJvXjmQ5sNXRtWf2vAVvgaC2UiBzVCQpQDowfMBF
BSFLNID+UhFmi7jAcFD8TmuRp9RMIkWMOCHJZXt1ptZh5dAVp9g0yGxJos5vOj1YVyfr8RpnE5bO
GuGJhwrU11CCXjFq2RW6sFod7G3VOq+Q2wASLQelshyeLgF7AZhRbT/qWn6ys9rYtSAlXkVfP6zl
DKS/TU7fqJ0GFa8elqJruAgD4KGVd8J6c6jeenjAiFoFIxe8DWmv41UoWrOrXYx87NLO1pjRVqy9
9rdHEgRDVa+nN9aPL2Ubk/CAjOWc4H38r1lQDfI35o38DFhSHNdHM2ZcHsmEgAfjwyzijKleQijV
1GxAqreMbUPtGA0q3GpPV0+yGS64edqzrPq62HfktCIz+0Rh/1v2nBu6/cuGEZMrinvqdYNb/Nrz
+tsWa/Gyl2ExXuYaLf6Y1sZzrrO49WrxRMDTSovpxRSfw2JSfTilzoECtKSJ7na+cOs08EYiGQst
ba6F0chg6KzfYpbNta3JQYGXDYp5ralywtI3qwKrdAVhAUNpBOsAlz7TSEOYCzyeG2RJyyTSnPHf
KQNQ1qyzPtaWZ5dzWzNxWm6WFcPai1YzfboqqWq9NoN3s62ZVeoqe1k7CtIuGp+krgo4Xmvs4Y87
p5WgPJGZdFOcaCHQZ9MHcS4xa0gCDaLOPTeqmdzMjGYhXZZn/BQgiRmibtY5TjX8AnhcvK3Z5Dzx
+qR405cpDE9MhvOHQVKkrV3AkcsENjG0IRwCBKMzpVhvMoMxj+f1qcCEC+BuHsiDp9LN+LPVNIjK
wfqFm+WSUd9eLLeoznVU7OZBzo95Rm2djESC5JMRfeqGjnDImPGTuImxb2IygJxWKffJzGpUgmb0
m7iPrmpNI/LvaV33IG5MNRHhluH8cISJt0tWgRCjlfb0VxSyro/yZv5Iwz8rom5F1zUzhnNZxv0m
7AQMoYTwYzUUylUWvbeNSSMzcY8+IMMS+GkCd0pjiU+mh40kNSb7I27nOxAQ8242Q/kUyTa66ELP
obS1WOSWR+qy+fvIa1Q/zuN+n7XRyCCHbGOThLuuI0QydEZn11pRHkA77f2UZjJsGu2zcLToFC7F
YmETJ+VMRDGv9eM0qxcHpRLfIvz3AaB5o4cmdFqyHXayoau1Sm+qXlwx1pabVIn+xBlFejU+F800
Ir0j4ESZJ+0VGce4z0ZUKqSb/T1GEHugl59hoGKGgrZGw1e3pq1WLe232hlPMYKATWQa01fZjofQ
jrv33J7NbU8Obpxk00kjAWDrDeQVZilor9jQX6vuKZqs9LIeGpZa/vlvnd67MXh/8YPCeUFzMR7c
GGrzLLzCCPi5XVbMxTPRhOYryI3NeqBCGzGY0jFSzoxvE1yzj85QtSAUo+1nSV1cxALunEwlfRk7
1n4ayh6yK3kqXJsQQ9VrrlTmwHLLsDua5jgSGis65kMYhhl0t3Q8Zne3nuXeeS02bVmzpMzL8sUS
cY4Uv7RPLETGa6lQsHUZIaeJYgtf6byX2krTc5Ip8p4wW0X8WrZ7PcWm+PcpXWvExeAIrYRBhmwe
MDqHbbkss8ZkUgJtOaKG5diKwdD5ocCqP0m6TU7ioe5a6DljPB6FPg0n7FpX3FncjhxFwyPMYTM4
7gfCapY65Tjdk6RDZT9lTWDnE3gerGKBIvh0/mtz802vdzhWx8VW7XL+KeY4RCmqGA3DBgisRpRi
xEe2wUjJfJPIWDJHZXWclsuJS7oudAWSFypipTdR3Ndf0TAkFIST+Pto3ff31YF1ZiVAJaSdHj53
kvFBlGnaEauc8tySW/Zsu9CV010Jd2CsuvfB6pjzVilGuW6i1TfX2hNDOuJ7Ok17Qp3t+LajiM+/
E1xdZP8BtUXZUIw6o69EnfI86sZikevfEsZhb8qcX6bwv0VBrv/qLI/AufUOMqSgXhGn2DfLkjDW
p/qNi3e3yVE8Ys51Cs2vbNM7ZOZjVb/97fbijOScqwy6X+TlHuxGm8kATv9kY3InoYfYHdxqp7an
JosKL8a6mbjiGmWv67rBbvVpB2fXHa0kyC3G0aWJTlHJbTx2uQausEt2uF2bNzMhJjVSSIYuEXq9
iI5FzaT0DrptmiD1gBfSHqH4e1yjyFEV/KHQG3q512zvXQ6Tvm1tG5ywzhdqoipVOXC4UPcoQUIN
X4KGnlQfAzwgm0oVYpvb4pm4Owjd0kacXR2mlGBALjPMs4vq1Zw9+uFJSZ6MW796QPBx2ZPSR7RO
tMG3B40BMl5YaPMGpfuPODN8CXRGccDMkESgXC2mWLT0Cc4iQKn1YtoatfaitJ5+4u+Jy3reVA2l
BDf/eB81fNda1Co0muMJA0hBMkoij5aoS8bBgNO00T64BgnpHsbZFsNl1lYgDjULK2Hh7vvY8oWE
8K7Dpvc9tZn92Z5prysbgnpZYkSescd+3fP5X42UaJGs7f5ouRVtqHytb661ym+mfQw5wc+XI2kE
6bGHYX2TPege/PFbLBTaLuySi6WY7VlDpLVnVE8TeO6f7C755J7pY3IdzkZcSz77KdkNifXdncV3
M6YRFTlKEGf5L/JACGMiZG1ENMmF64zdbZOpaRSYFp9IozrHCdjdLrVld1Wj36T17ON+pErF3rWN
yndq3GLvFCRDdDUauM7sFyE2fZAEzTwKczwoeHFNT4z7Ap8991z1tzE333qSi0AX2qfR0n8zZSru
dP8hcS0b7PGCObGSH/QZHstoxBdot0/GqM67MJp/MC9Mbu5kPTXTvu0p3Gb4fL6jF/2m7JaczGoA
60y6chMN7d40IBcnzXdNjre6Yo1hTe3vPqT3g2Xoz1A6pEe5PWQGk06eqmEXJuPrZZzNXTZ5VMyD
nm5lykpttrgeJL31NVZkXGSZvVNTxklK+z6CpGU+qX83Gm4qkeodEDUWO6utar9V3rtRO/QgpaAp
CkpBTb3HUp0OS6I2F/D2bbKRXaoVIvjQ3Vty1M5jppJ/RJBeTg/1JuLPoUScNoZa/lKRWokrwmEi
R3pQrrrfmnogBVd2ru8VMMVtxf0Fndu5jdoOPUkbDG1knveZUGC+8JXmkedrav/Tw6w/FcjPnTLw
HLplwEm13TRkbx6KhuDo0FI/NrJ9RcDgPKdUYkPqdwLq62ih0eR6BbFMMPnr0sTaVlICN88I14lM
udMV1q9Ndpdy/sYRMh0SxE0L2QFHTeSGTyBDeGenAy1QOeWzXiNMrlKMHXe0blerDlk6yLujKDHI
z1W+h/RRF6zFCJJhbv2mIAIbEYSxaaRrBcKJ0USkE+NKXa+Og811ZyBUp+8Fx6IzBKVhU+/q+znu
QJVmTrXrwyyYCvU7jcCfg1kF9Bhz+obNWwSeNRhrHGBa9jyMMvXnEBO2XqsRoW21F7Rl/DKVYMSq
rDF8oXjbxIKgVUXjl+4Id183+Z9iIP5ODuOpLwi3GjCRc69x5Jbz4Y8G+2cnnS4YPejGruRv0gTr
DQYRICBFxmhxMlTfofvMKZ/8cjuOhdxyND/X0MJGbrGNZ83x9b5PGVywdFPIpmujGtOgasIlrneG
0seka8f6IQE+cfJi55qH3OkGk6mixdnjNyrfd0L+0NXpf2Jn1M+MxvlTLU2DKk6LQS8vqC1PdD/C
m04GjnSbDPBzGOQ9WkXXdk9lUZ6UBqVxmlOrGY0OBk+fb1XMLKPzum7bI+xZhbG7eBDX1myRn3kM
PxoilQKA2AwBi/oABBn0WaNtY5NTzDbIYTfsCpdPyn8YpgNKPKykhmHfnY2bL7ZI/Y17Qejjpup3
WpgZ5JmpgM6pmLiTwXREOBSGX5rstANLVX3f68guBrP7PSkJ520cJb6rcxlIp/c8JTJNJClCni7F
a1buXYU5pFaX53D4rBiu03rBwR5r9W1yLknxQw1b5Wh0bUGiREts+QT8op6jO5Mic5dUPSmdlU5Y
Rt7xj0DNqLS72yLAkDXuJbfzkoPIyJZBATbuu3AUpzA6dGn40um96+M1jjFZgKlsxltrpsHsaNU9
F+W7khPWa4r4IVPjd1WHvyLKGZ+IzJtbe96JM8mviJJ9qqBfbeqFZecq46dqAZUFbzNupDx5VVzC
4RHyWAzZHo4jN0cxWQfYLDBo5i7Q4YdgECTMSrTT0Uqj5OosG/DWj1lNvqQ19Z85SUgQloLGatWX
TIXTMZTFsctz71w1zHBhbEEzQom80VvDfln0NMZSmVhtRuGf6B+xE31346SApDdYW7LW3/PMc5fg
lNy3vDcnFEdbIMAsNXV4rh9CzmQO1d7nRPBp2YTPOnmePlasLZcMLLwFmoJodq0dbqV7OtSIZNpG
28nSGS7SJqJI65pzBSzJB4xf+loa3yPk+gdt1jmPKEr6GNZHq8sqmF3mzVlTKveGltPOYE0MEzY6
ukMeHjJnVvYSq1zUyunmSD4lGoUiiDKcoCZpc1UXWX6Ue0MQ1dZ8mRWYqhIl48nN+r9e1CyrLd+x
7WiXGB6jLabwmISKcz7mMVn1QWW26rZvWeS3+UKdmLIfpY1N2ymd6yzv+IWMYNSpfVSuqGAK60dl
ZehdYxazellekzZBlOrELrL+sLqqxxyUzKmRuFZ6Vdl7YUcrbMgvtuHWh97pMS51VCKs8LaZk3DY
mA6XIkY/yx0BOHB5Yu2MFSFBzGlH7pFcDfRmuQVEi77DvhE6NysDGYGKBvkOk8jcYfTAiWtX1s1N
WalrmhvvekdLd0xtEl9RW+fJpn1ITlaCqZp8VYx4GjW1fsdJz2II/kYgd6GvlTmBMDV4S9AQEWrO
QdAHz6YDk/JHkxvq3km9dF8O/UfX5c3FTqC8dkZ4nvOoOGVK0Ceqk20G1GeRNU5BORhXYxREno4O
YBTyWKAv0K+Gzb+Tc0SmbYqHpoO8Zsx6R3vUJQE16nD9GC/OIOt9RZ9/0xksai09++mZyrxVpszc
MFrwACSWC/Gr/kHBcYx0CKBx5TrbEWlWMBQvVQN4Ix7Qkcy4d9CVW26AfuYEem9L1Z8xuNHVW09Q
1MZqNBJuhj4/lxEcUsY6/a6wpXtm2bLNjNI8lfi2AN2NHUmsqrVNXY8PihUmqrZ3gxmLnytji8Gs
+eNQ6oVgsO10lw+a9a3A3lEifOrNAltYgbo2VU9CuIlPsUQHt3UDTy2AOaftnjgpxjOY046OzlTU
MKpzLF4VqtlT46RHMSEbd6dDFTmk/1lwbSapXwidz/eZDRfDqwuf2ql/Yx7ya4jHGGlVqL24izob
TZI/60ZEV5OwKEqS707v5YeEphmRf+ph6N/duhUXNSstHxhcsm2oE3xBS2GXk0XiW8kTN/DsENXy
9xDmT2iPzG1lsGCN52oXWsOn1O3k5IVIZphtk1gj9SZoaXgR/VNHZ8Uciq1ewAvMGyplYY9y1yma
xcSooYHnjacmVVgtafmhVstnqnds6FHunphnHew2z67ewq/sa0qmsTWDsMxcvkvieOQk9o6Vcqja
CF9K+yxiHYCASmwT/oliz2j7Cxz/j265v5WOUINJ+T2kd8LunauRp3i0iVa5RCHpAi7iBqzrQzl9
A2EDMX1qygAZDGf43LFwE6W16ZFjbZvWHvFcFRTHmG92TRMfHQ7PJWcT8BJf+U5kru0z4p58J8eT
B06F2g7ctOpZl6IjJcNNoXmjQwI0SEzn1bSsh6wK+UQ3v6ss4iUclRSKcdy23PiQgDTitG40Itrn
WdTHLC8YHkpUSyFxrT4kuHpnKgaZp+FY7Yu+e7WyiLO66N8Z9hCzqXP/JL1DnKBicU6tD41cFScC
aDkxllfWp+ujAoVdvlkf/q/n1bqXylvsiJr8/fcp7Y3sJOGuvdFkV94yhJ91xk0jXp4BDf7gXExv
62uwhOyNolbmya1F9ADd1nKrjEBAL+8VHGqMgftxlxtT/5KHULJNvdvbLaM1AbaRoybkFCS+dI6q
fSf7yU/d+KYhdblKrQ4qI5uPbpXJ04xdMbHcW2m8YRBQ38e4BTZRVeY30pi2etS+2fghb5WGcBlu
ZL21Evm8oKOufeqg/MbhECdJ/mQUDEzUPml2lVtZp6KgOBZAGN0mObp02MnOmlMfLQzeKJqrHw3s
y7Iq9kY5DoEFmIezVCNppquePBI/7mmuRgctjr9EJ382eXu1nBRBRCK6RaTxjfQ+loCu2r2Qn+Jb
KCfauqsvhlveSDmMn9dNN6n6Ux7+RqIz7RhU0rkjbjHo1QUOTSQ9yhptTE60IW511/e3QaQhYwqr
p05MSBSQnvKuK/YPL7xHZqQ/mJtpb4Cfoch+68DgXtVU7V/LWVDsd96GhlgVUAKrz2E8ZSd8A2Q9
quCNJxqnx7kUCH8HxkbmWJC7odO+nhEnc1oWt3cp9OEkCuUW02MhtzgyF0w+wVymR+mnFItjqdSR
vU5Xktzmo2aAzdw4AFKv6wttSGa8AR5vffZv4yQj2PjlbcrIvAv1JWnRy75/b1kfrfvCHq9VPnXa
7t+r6wvqpICK1xF9SPqcUEL/n1+wPtUajeu1qQEL5f+5/ov/60clDO3dmKMq//ez//7z675SgSYG
P7LZr7+BpdN40Kf6uYtUUW4aN7JPMWmfhOuawj6tz2EDSJMLMC+FBjvNuKOZEU4IsZd96xvXF0Y1
iXdCEu3A7LqKTdq3TAXo5TiQ4CMV0wbDCfePlg3FeZVa4oGIabXN53LEp+h5xaucoob/n+1zuXEv
qr70YIXV19e/DwvThAw3ZqS8e7LOg1SZdr01fIUs6xih/p9NL4byWgxeeLDM9up2s+kPHuQpLRZk
5nD9b3bgykz0gNUc0uK0XCiv2AuaTrvp8iRKhPUoyOofk2gRTCNh4PYBcsTqfgtQs7cqbX7mRmL5
YVKlz83k6cg+2vpp0AlCVseeNO64dKGQlunFIniONABHPQ2ujZRe78Qxk4l3johhOJjYWK+pZrj7
bkjNbUnr4CiXzqSQXAJHpJ/e0qy0oRHinuu2Oh2F09Qof2Th9lCz2cw9QW0OAb/+us9m8v+UcCg/
MeAG1gb6iyt748dIAjil2IRUm7f1KVDul4Xu5qe04MnHmtrbaJbtzfy/j4b45yCH8mjS+O1zcogT
gLN0c1o1vtlN95HnrABiA5s62rgR4XcV4PcO35YWWKrTzxlBcSoiIs1sQFoBDsG5c9re8lkg7BEa
1q4RG1Lrhq8wx07UBB5NXjaWR9ENdHXY/9vXtuafIe71U6pLD4VM+uWCaj3X3pNiZd5LZg3eixKL
IyygcJdgs8N3kUxIztnMisPQAsVNYFcNKz+SrJEAa9XTuoEEJJ6sjjQDR74mmOY/TR3poxWh71Jk
Xbyx/j2t+9E2z3t6f1NQuLn8NOd8Z6tZ+MiT3j5jNjQ2xIbshqnyfioOuAiLNnmfkvgED66bkuLB
GRxEDtK5GuRIUOBMgdkb/0qWQGt38sJHpud07eiebbSixhIXOgW57hmjVPEmnCq6DI4pAOKL75rh
pa8uOnrC3sXBSFks5kPv7eLQIWzPnNJyDwRN4hlWTJDISvKZY1rZT6Eiz+tGKRngUhk/PJHnWyed
q+ciNuTBHjrjUHrSvqvJXG+TxdZeU/5PZfRTGgtlsao+umYq9wrSnVMX5u5z0gBrHkY9+umgRB4Z
6n5D8xMFZGTGxxhkxiviuvjv73CL+aGmSf4Y6fYzCxmyA/Bi/U064mP9RwzP/aWatXtOYxWJy+DM
Z9G6CgvU5WFm6PG+8IpjLkbCRZ0CeD7xKXsz78vnVsmr56QllcdtqifTzOc9lJn2pY679kUj91nF
C/m07qJVKM5qN/xanykdacp62qsU9ZCgFCbbJ5ue4luG9XOnpU6OoXjuuX/nkoVIHm25m1UUP471
JfRPcAoJyqXSenIr9SWMI+01bMbvs8LEvswi6257hnIh7YzSLTGr70XX3SJijB5k5tk+1mEUp3qp
0h3Usu/eUGzsOi8+BY7+Zeo/B4rueR+JNm7mNv1kktc/gDAjDtW95EVv7fqQUSQfEkVWh0ZzWCvC
stiEoZX8rFr1nEzOr27KlAuDUXgTiurnsWYdEkueO8vpXinrMdNT8u3r3n2hJVO/JmrVnSp37Dbr
U1Hr9Wto53twRaz3c+NWZHkIazW0wfQj8qF3772GIcFVzF2ZemnaD+i0IGeRQh1Sd/rO6NS4QSr/
JfGdAGtUQcDw0d4aMTNekxg8QJE/lm/Z6MyNzJz6oxv7X3kS0ZWM+geWGMbIhTUcc7xFU9XgLkDE
eIcJss1pqvt8O68DieL3eqlPxlRLN93ydN3nVFV1j+3qUXMGnlCLVPd1l1040YGvndv88o5/PzAC
0SFsNDyvP77uR4vPAQ2rcdtJpmOb9ZVIkMvZMGJZf54hqc3CrifUQg7qad2ohaWepmXz7+n6SCCK
ZC3//3vZEyHmQn3cr29u1jevv2b9iXXnujEL5/vcy/JcoDBV8yS+JOBUyJskB8Lv09DaKVBk7+uG
pL722LJK30DsVtodiU1KL/P7rDG2pT9lniJ1nE6mw423RKb27HCKDfpoPIE1Y1KThdpn05CWZamK
zukZlVszS13SXU1vGyl29zA8gkOsUebb2qoditwCjVmkq9mJAf8ycM6v62aMtP8erU/BgPdnuDk0
w9vkjG7+v03T87UsgZjJeczBtjpCq48Y279klcJvHYvqrTCAxTAwXp/AZ2aPiRuDPKbuMnzU4zwe
5rYyXvBhGU9AsBEruPrLunG7hg+A1fFutj08t445EXnBtVeGA2ppt23uzgKgzScczlMl5PdZ5BjT
ou4BqbE+jtLBHrjs1yBKtQRlwrHdN0i1j9nQmQ+nskDgzR45oeXB9ghjtJtMfQqjKkSXaSBUajT9
PWqnC40Q+6eX8U+7haG8uii8AxW01gGjhvfimQjW17csv6hLBu+jcZmYN1ykGX7SCZ6yvrkqQHgW
30T7MZG+xWok+u1E05PSDMlH5CAWii0jvZJZpJwd1dR2vQHgq3GN9/WtDb9aDl705TF49tEFjbfO
4XbL7WPa1yq3JWihRHdg37yVMkSywMm6K1zMPWniZLi7nfpuI6+6jxAIzxV9k8mjbYetlxcKULqO
RAKxvmN9b9QNB/BThJmYX3UWGxfc9/YVQW6DY215CN5G7KaRERC9AygtHriLEuBqEiHNrtI86ug7
sTOubLJ11od8/vLSB+tjC6+UX7qZsqUR6tvUR3469c2t9fJfDUXmj5hRCsW8/ssqxNGFhoKHB4e+
iBMTB1+5y2qV/no5fO/idibGbokNhWr9rZfFmV6jcqmc8r/NvDxd91G2BYNGSydKU69HFOP87/f9
/THdekQ4sQ7DVPTU+S5tuKyPkOZIRLnrJrLh+3L5ji7zZFiHyrCYLjDqq7L5I5qTNBilkVwUlc7l
8/rCMLiabxa9gsGN95GD/Ci50gf4dWhmLVF0aBSd6Vbiup8it+LiH4o4ELtK740n23kMXMvvWasp
d5HUyp00tCC1lPH6b39BrvDG40NSp1kGzZSecGO00L3j4tl9RaMy701LZWSmN8Z1rtE/Gk6l/UBX
Q0HSyC+HyL+d4g7WCeFV/ewOwP3Wdzi54DxL3EcxDWaQxuO9nEzLH3DWPnryFGkAyh9pT5z0NFTD
PYor40zT0Vk6g/IHpDeFmbOeV4hMK+znvUaGidF5sK+T5qC5aO4GpJrfuEMxMSq0xQxVd76Hq/zZ
bLDN1oq990SivaF2KfZhHau7avESjqbITgrfLJY1XjUSXKN6+0Vt/1pKUX2URBwGQ47gEL1O+YF7
DbdX7HU3aTf6kyY6fVPVY/IcU8fsaekxPRDqABuDw43ymzV1mzV7yWgwoDSJmTBqnT+iPX3t0Phs
43RsvoHzNzYYEC2KTjldism6GXqp/HGlxXQ7rX9FcQEiv5btJWtcRPRVku2SLh3uDosUsicqFMJK
odAQLuQ1GU1udwoDKybUBusY7p0ceafMxabR8r3dlkRs2huufFPGnuYmYKLv8Txdk5hEmA3acOQ+
SQTJs3kbREKSK3UXzktaJbHatFg0QPekonhTkmrJOuyGRbqofumZdm3bXnvThsTmM2Vstu7v0vGM
8REofagOJGMRvNjaxh0ihnxDHkgiW52XJ9Ue5JszS7HH2yF3JpUDTcJ+9LlReTuFhXLQ9eb87tKx
2wAg7ReOXw50bat4ufqut8K6VlHfomAI5wBTSReQDx6EekT4aE8jt+vV9u7pTBrzGoiAZmTKtS3o
p6Do2ZZqWv1QFXEuhnD+lvXSDGYpWbnCnP/G+uGyvmFMUdh0CJufrLxNrgy2Yv57avkjY7CFRq64
0OgcuHE6zV6bc3nMEwKk0B2w+tG7T6KXaKqDJz87/AlGND/LQpueSYK2b7Xq+f924f7hOLCrp/UN
6/40sghXVRPqQn5m3Tgt2G4XxcxWjsxrYr5WZFZKll2Q9D0NUx4/d8sG9ob1VGpf//aklR09l2ro
O0htbut+20nic6sXqU9QUrePZtG/ayhaSSm3+wsC9P69aZfukDTfGEQ797zlFFl2S1zYR8MF277+
EOD7AVmAKI/rDzE0/VZ0c3sfGls8jNYk46ByfTQ4AOcRuQh4Z1QrgGLwhRqhuY1SgRViqWqQK/62
HBajDUbWPbfV8Wvq7vVoW9+R3XMIZ7RrMc5ML4UV/Vn3DzERKO6sxs9JViSXGpkTAHp+oG6ULWpo
4wPrVxKEqdYcFK+vv3EQnSy3sb4rjo2vrjWMUxazqKEUtB4gkgqcWEl0lbFnPnoP4hHRTfXVgv/7
oLPwR2vITVtfFP2Cl6x2zYQxzulMfc/QPQnk8hQd1xsZrO2VZV2yhyUCIM2Lx53XEkZVQT+x1Q7/
+HRQlMnDiN18DQ60L0FcB3KDmMJdy3+SuMIfsgCYit0IZScu0h/FYHzFFakIsaRlrGMhXS67vtSm
H2TctJvGmFVYbOkutVQDHXB7nYu4PNPxJdApPxMQVR6xk9DTaxBrZbGz7UxJNiSBZDrzMHjA5uyr
uIhDjtHD7Fj9se/p7pu1h4lKOY/WHJ/WZ71RR75Klpgfol+/RRoblRvB1vCmdLcQ1E79XLovC4ZH
z1hT6Enn56ambHuhgZcpyk/utNTTaMpvoUfWYOxxaqbVxS3Gj2ICuShQ6MvQZKKUja/wWHdON/1g
KWzpExMmPbxh+xSbOkx1PzeGnWcZkHGUYm9V9Zdrp/O+p9mzTRTn0nCJfNey6DmKlZQUdrrkC9vi
y7J7zCOYxjQ3LE9lVpx6O7J9R0+VB+SKczLk+ncA6xMCHNM4WiF5JF2UMwwqXpwEXWJrxoGRJ2WQ
t/qbU44vEBu3powfdjpeTaU4Izu4JFP7psTKNs/DH7Ot/sHViY9fnc/hTChhStOvzcTVQ/6V23z0
rpa1h2WaTTJffiaFATZLUh0VFRYNgXCHoRNI83oEGoXKVy6Ju6TVnzLOHuhM8OeC3ygOdcWYc0gZ
LanwUTeta1RbdJj+hPgUO2mYbysFBWWl3ICIeLsJdweDvxJyQxH5kgqh6TJkIS22b92boGZgo90W
aXx2rdDdqAqtGNCTru8qXrw1RuJIC1aCsIeMQG3wmiAJmblZR3IzIZU6VbblYwm0Gb+KZtMVlh9r
VbJtO5luXTADPhz03403TFeK5Z9FCGdIWn0wwNER3P62SWyqu8Qa3lJog49sTt/Kl5A5wClUuGU4
KvCFUVZkKLRuH9Dee2eKp18jh6ZByh8DizAP0DzMQaPT7cz9KcJ446QGSLTMeKvQPG5STshtGM/W
RndVxnzGnB5rEByb+HtX2eFJm1j06Gqo7az651ASixSRIr6tphJ1S/GQoWujeOOsAO28a8zqNtml
QEOpE2zYE9hQ8ECt4onfPB69/2HuTJIbZ7ItvZc3xzOHox+8GrDvJVEkFRETmCJCgR5w9M2eahW1
sfrASKtMS6tBvVlZptHEkH6JDeh+/d5zvpMCo6B/CpThGuYGIqrAihnQcjbX+6k4yD6+Gh7OA+GP
+yEPmpUKmCOB5Vqx17RdyDxBiJMI++6E4hVGBuI/1DCHwWturiTB1grltKUB/p4A69oGRsuONQOV
Hc/+Q7GVL3K7+8rmp4xSfWWESbWicggHRoV26H2ry/iPaWk7EcYPXKckZFdM2og72TDttJHdle46
Td8d3WeMJvKbK8pwF5bYzqSZrpWj0FuobOOW8YdRJj/p6yA17mLaY+skCi7M/zit/oL1fKyRgeV6
AvZeEDeRTj35zkRAARs1wN3ijskxWoIsIE/mwV7XEHZg5yTi9Xuh/D004UUYatumib7E1KMY6fq7
6CdtQZdxXINmFRvPkdWh84djxul/OSXOkplztHEVyTF50lyY3KwGLXz39ADzaWmcPS1gytyI72zs
rGDydRx7F8oXcgw1R6xmilFj3BJzO/kXk7a52S3zQh7QL+Bz8AXOPrFqIvNnw1FlmWbNPSLpMRiS
AeVBGi5rmmws9IQZKbWQgS6XksACLVFv85Mc0+jT9s/ALjkFjeS49BXFtsx3RTv+IA9o3OJDPKk2
VizacYJxMMcgKAGnmlYkYYCdYsKg1qj3p56AKcKIF+CKiDGAy7/0NZsLPPb9RdiyWh2E239U/fTb
bydqWgVsGkue3Xt/XF2Q265DzQCn3S5qkw+pw9WdTPonCytKQGmGey0Y8m1X6keZptUqbWAORBj8
zw5RilY2LnZGweMYQ+9GFMbJxhCO9pC8gUtKxsyJPK+VdNNq7lz8Kg2aQYkNFa5jDebQN5cLe0BQ
OwO1LQapdQpzK6izT9dBTEyEELypPMU2EmafCgHVLTKai+XKD78Y32pHnae0ZQZUauFiyB1eYrSl
KPr5UJnJTukF4/8ufJg9Kwu9fVKyI+dqi/L3oHmnPhQIoNIP25O7rqkFWWw4OtBShz7eBJUnAF/I
CiZJbqGM7wZQQYCDwMOysUYGYSJ0MWyi1Ur7S5vKcKlFjI9wCi+T3j+WTTqsMJx91xBJyCbZh8kI
cqs92digh45fpXp3hXGFyLLslE7Zy8S4mOC6rdm0ryNdwSUolyXdlVVkJ2RVByQn5TBBQ4zbaXAa
nOIcJsObbTbdlc8ciXqeAJid/YZ0GW+5gALUJUtCXt9jhBqIa0XE4dzmn8I8WJm2cXCmiXUb3mup
+cNmyuG8qSjd1CUQVh0oQe35WBZrEs7T6jcqDPqhHrrLsVbbqG8vfWY9nJZzNopgPqQEBBiz7KHx
Pym3j669RQzJG3OFoLUMq/Ewp6HDqsD1O3RQltF7ttFA6mQzLmUe39rWRG5UcFYxtfJnT0DYmkd7
C6vu6MfQX7xkPwiOW8B2guS1nMdCqv9yMu1caeWnPl2D0nyxMEJYUb/LIrnVrOC1qj4nWZ9Bjn1Z
KnsRZKGkqHjTzgs3dTKH8nwhgvdwaxCuZJr+Q6NFhph5z0PrkfZWkHWLY6Wz9gKHCLZI86NiJUYA
OpqBHLkeOWvzPqAR6TC6EGbiAL1DyeEFCJ2Jxs4Wk4F+Pe2raDNlPi8fYRK0f5AgWUOOUZxORySG
CbdMu56qhP2mFQSgsAsuKmxbQpA8lUxfYCtAs9hiXKRebIIqAKirVd+7hNLe09QfZaYrp5uGpXBF
tfTEtihLhBf0ldYqowNCT20PnnWlqMl2tcM0KWWVN12NrN8ONZuXn5IsQCtN2yeNuxVhNukR4huF
fJeNSxPS0ostyN328tb78M3sEdZV/Sfpy4XVFu2Pv8bS1hlfGdWEeIrT5TiQSMVbuOO1IFRsGrI9
edOE1GVQzYzZQWZmmVrZWHxxvHLM7KAZBa7L/Gh2q+Q9h/LIRJGmma5zD+avcqmJw9PLkmnGD8Jl
trZtGn+mvNkRqzx8UmMtwrpg2EhMDY9AO2rxYH/vSTcl79gaeTfTLzn7lgiQz055xrWn9e7PPDIq
eH60zF3GEZbWn0clBSlscCtkQhTVfNMH3VLq179W6kBZ7Utj++NBjYT9VINT73QUK4/ABdgEP/mz
6DqIlHevDtJVOFrOz+EPEWHZL1/zGCOD5fuhTP/bqLvGKjaIdctmmlYXZNe/gCQZkZCQkdG3TbKu
4FnBS3u6Cf7ah2E35Cei+x7x1I8/Yss6/wX4Vt1YnSw977bmQLPYtKfhDF6SONmqIKWThsKrBir4
nM2sz0wMaxQu4zeXNXqR4kgAQ9rH3ioH8be1KwdsdU33WNdb+7cyOeR53cMtHYoZkFD/vKm6t4m4
UXZwpzjmthrO3fg9ZNo0z/aBgxKOxVs5Jj1zrRGLhIuUk7DbY6tJZodPGoRqwPqMtKwb39pEbT1+
zyk+3VSfPoMGeGvHZHJFOlTw1jDGxkTTamdAb5/efJh9htlje2LzAFCGLTR6yVSVnDhIyU2tvF9P
Y62Z/R7wLmo15z3Ao+OJkbB9G9rJZgmHyF/0tXVDkFRvnLwjnkhHWB87EWm8pC+8WRLllSWy1ejm
EVQkytxXwwJJA1y83lDXwdWpC+dcNcON1JLsXlnTtz7Ix9ehnHCJ1O0+Msb6gRMCSqZLY7aPpoPw
K3U0rF5bpHhWmsAGajlDENJnIiW9gcYFv9qkTD5Qpe3bOL8mPJnT84cq9KQLfFGrYmbOmJkrD0p0
G+GoyzMinXJCIIy36+04xkhQuU5Ly3Fe6zAWby0xrMh8DWSHz6yQoURH1Jke0whAAxPKmM0A/WEn
qmTELYJn0Cgqtm6BYA+Q/Q+SUalCuplcDXpo4RIGtXg+ji4aLGK2Q6h6fdWfwRY/alGIQ27V5Ju4
GK+fnFm/lz+w2Lavuqcq6LBgJ+wzKE5xAr/J9Clu+bMWp8xoNK9wmi0MDJVY9n4T/pxqfesw2LT8
65MrVoeR8Y6xj2KeDz6NJSYB9OMMSWhU3EU4fnmEHGZyFpVwvvT+FBP9nYqHbBba9DsQ1zE2H3nb
9D8Z5z+0zvyGN6+6gluwl1ALUsatJnzQPFEDpCNX7JpS9W+S9lVcd+06KTKkVs9rIAlM5JUakpuc
qOQXn+H/04zm+V+5odLbXz9l90X/Ah0AZ/dy9s21pOdiyAj3aWNrxJ/P6sSsJcMRH6Uu3Pj6vGEM
HO5b3flKYcKLXuvfx9qWgJVVQ1ssKi4Fkjmqk+ZAhp76PoWejdYyLTGiakBXn5QugkC1sxlYn4jl
CI93aT7bzR9ZjC4SCkshohDJuu21k1M65PE5PglaBDXyrux6YgJuf1+IoM9MnE659Z6lVBPMPKOt
lk3LscE3+uSjo8T/7qTN8GoSwLH+C8+qkFfDK8wYjowOwMW45zXFhhocFDwjBhvj+6QzHDU4HR9j
F76H0xkf5BZku2by1qIfRoA6kC/8ktGHtD8zRXCXmBN/ymqi3VZMEEQ7WGp+rN7Gpg9519tvpEoO
V+QQ4YLSZXwYBLDUaoZz2vm4wVCQ3YAEGQesexfoU+5tUFEPgddN9jYqqLUfBR6NVQHvaKZiPMm3
XYElpiXTlwMApp7W7rRdOBb66e/uMGJI9IvcJMXYaNZlM8DbruluEvNH3qN4fkkYZE8XvSQSZUZ/
QbCky/VDL7VuKz1nmQdDsMuDNj5q2g7Ai/eqiMFY4rXJNnn6a0pKl0NmbA/boOUamIBkwom2P1Xd
+kvPquSldtHr9BA312Qb2w+tta5dAas15AprSfK6urEi1DG9eJ03m+vQATxfSsh5Ld57tmChRylD
4qJ672dpm4vOXAtN99AWtb4bqUqXLSbzS1mS/2PO6OAgy5IrHtsYRSoMyzFNzBVPXCydOVaJKD17
J/Uc0hZZd0BUCeT1RdFsMmMncCIVy84dSa2FqfvXtOvCAzOGMnzT6tEGE+HScm8dDKYZ5AgB0ZF2
GLM0uGZSmM63SUe5R0p9Tz9y6bodFqt03DNUDx6dGJB8p0s1+doHyDUTNyoma7pKUGOhsNyUTjEY
Zh0K6zBh02d7CWi8wAI26a8/P/w2s69thX//groCif83nBT32NW3LnzMgzXYw0Yx19gBMmSCP7bt
De6ivtbiWJGNOCO9Y/I1+RIBUqUXXBfk1ZGhYhTrNhjwd7s1EVOabz06yWYC/QE7wHOTdQPzZuxd
rqPdk+j9zxtwNtZWxPZnGKNszw0DQl0O0BZ8ALROgoSyv5FyJLyR6PZ/CeSS+r/HP+kOI2FHGkQP
8z/93/NhiKkj+1I62tLyPXUYCRwWI16Lp31dYPs8MvD+zRaBJp/IWDwZ5YQVQadRF0rC5EVc7TxB
JybzCI5BwKJDjUdfA2sHrkDvV59uUm2FeWtLI2Rd5Maw6E9V0tb2cRVH7yNc3lM9jt//+ROi8IdF
R9jkoSemg+23OyWdJ0+Ow4ek9k31YyASd2FLdR3RF1w8019PWSIuWk7ARJNO0PatryffyU+kuat8
Na0B9ZXfdSd7VPqIDdUw8hdZkyo0zP/u+k6+msAVH0qtPhjxLEG+ZlGa0vQQ5YXlYuN2erexxSAZ
42Ddcny6T0rCX59vEnPQ8AK2myhpunkmtgqs6KiKDgQ/H+0Nihx16JNZOsr0a1nWWfDpad26QCvw
2x2m3xB+q7vlKeguVhsd7VjkFx2jz0pASvmeyGAPcs//nfXtBwGf/SOIoD4kk9NjyUo3fmrJV8Xo
q8WOcMC8E10CEWDxGcpL60Zg34l9NoPiC/P6jxYoYWPa3g44LVrnmWEWEtbSBhRiXZ1TWo929oX/
wzKtAkuKmHaOgwbdmPExHZFz9bytF6ZDbvfwgd6qEV326bNQr90A2DihpsYdlhVPws8+W9cnv7x9
z6MsBTolkqOJ8+jvzfPfbI8IXAdT5oWZ8vWvVN2oYlRIOn+ZeA1pp9Ej6xHbBqYdnTvPJ1yWJjwf
PdIvujClcmiD5vdg3BrSmXM0sr/7gdODZ7mPdhD2StUypV9dhxwmY31LIEH7NsH0WHL6p2+fY0Jt
AU933ch5uhvAoHiT9TE4GSprf/yZeDERBETovmlmADNncu0dobzFMSqGY9JqGtOC1NoNpuhuk3Qe
cWK3PweH03OpZfbbGJXiMLQaujzi/+YCtlph7OdyTiz9RIwk9VnYXJIJ8tFQGPrOGroIixN7FcQI
62oURrO0p8KE41xqdDgCohxah/5ZnbbvpqQTBbJixfG8e8E3JHeq/urh5h6x4oZHNd9okDN4ZeYv
hWnw5fP7sOTDo+H1f54hWv+tmMpbkfH/f0+e/Nfgyf/x/5Zkuf0qLp/ZV/3vv+r/yxBL+S9pY3Oc
5j/CL+cn8F//8f6//mf17xmW/Ad/MyxN+Z+Q1wXuGteQgqxKktb6r7r5r/8wrP90dIcjhOFZ5EgK
z/w/GZaG85+G7uko2xxD8j7PWVN10TYh/xW/TxcQcgxMJ8KkwvjvxFlK6fDI/jVvhZwr27Lt+UHo
nsk6+2/BaJkd17HIfEqt4UVxvtqXk3tsU3bByqjEsdHG8Jz37AOFqs9mmQbvRu68VbQBmJvb756N
6g4+ENDZzgQLVLmPWEfOkkUAmwrddB+jNQcHtiXMs8bdAv9yHrIwf3Womi6h1jsPL0HNXNb9LUl0
/2oP8TZHPq9NdQAnIjTOgjbsIpSh9YC60u7tpAVUON8VPexwVtwINGr7knq18YAfyEaSmdAOGX48
xkx8xRZZCs9vao03cxX6jYWeAa9oXN8c/rbKTP3BHLB7sYbimxtU+iMTpjqODJWWzxu3FMVRiyZv
C/cBjzdpzg+qGQJKGGpumyEWD+Y6WPIixz1IFLm2kNWNKPHf1uSNl8Fvx4eHBCLGFX7V5DTdgwZp
i+FdXGf6jPCPvpHbcjZV0z/QNNRnos2KxT/uosF3tHZiOgMTqbJltO4E6hDihLHU8D68GH74YMIV
rSes39vn8/Yq6S0aCd2tUIIFXhNUmNJ9B/mIXXgY5cPyPnXL5vTrKfMaW4ouQiofeJOXvjdFJ0aS
0aKVvXiosSxQxLM/P59npTU0LevWXNdJ07+oWv8YmmSWO6KODJAhPsqUcsgMpXl8Pu/RlA9M8dNL
3hr1LmBRWwUOFjx4l2hteiTGekh44rsyRPGwAvKi3FLfPe/hB49XKE8Czm3tRzMG+YOa0z2pGbYH
aDl/2J1jHERosJ7Pdx3L/SECbVr1TDNXQ1enjyGjgk0rqER6n2WPQme8ZuHCQelqpQ8/23pxMpGE
EUxb2qzTvYyTjNEW1iQ01SPF2n3y3XlygblRNDahdtZ4N4w22Iwz6fX5Ey5J7kvNtl89YVlrJbLh
bnoZ5CEEXzjLrP5uIt/bQqAx2B+4m6V2g/6UqjKfCYPKstp7jIAWAm4qljaapbvCNn9IKyP+e9f2
irtJ1b/pOKIvGsEQo6aUP42thmWumZq7NHt1kUnz/XnvmfZu1vpJEMeoR019p+Mi30pk44yt6jti
gp5gR8IpKuuXW+X5vVYPR9TeewZp1SZY4z3Pw+zuVcPBy8Lp9e+9uP5E2d2cLZ1xQJvcc63GfeIj
En/ehfnsLEEY2bAlnOT+dIz3nETwu1OB6E7EXC7hUoN7v8owCd0h5ul7OtsM7+fvykzWp8YZ3p3O
YirPhRGo1Hhxmhg7TMFlkgzDu2f8/vstHGJv1ciOmQKlHqL6ij1au8WVdzc4zV2e91SPuKdNhXbI
4jR6K0IPHgu8AByr2hYbmU8PiIKDdkeDpqf3bxh42z2k+GYpmzZ8C5igFontn4xZ8YhE2L35UwFI
g79LIqB7K2Xi3kxwij2fLDlxTnV9+4ac4x02jbygHrNvYzwfEKphODy/2QSsQ43HVdUA+PAjy8IJ
VdnbbEJKoPjekLjpLUljBvmye+/me89/wmMDDKiP3vSpTG4wjwivw7C5l5pMbmOUOuuI5xdjc8Fh
ibA65UFGCc/dYbF0J5tqo01wf2Xi3U/D9tY3NPH9zGUUVFfvWZmWRBdhCHRYXUGso4vXI2Vhgu0i
Mjm6t4ruf9T435iitsuog3hRxOZ9FD+U1Zdwtpj9trNSI+muhgstDoKwec+DI/1u99Yqs3zrw3Hv
ALNCu3Q3ZxWHXNpDNey6fnDXffwsomLtEDL4hIOT1/hZxCHEhX0356GOIhHmT3Qd8ry5DmgxFz2p
v2im40PvCXV63oSpIFKuJ/EEa2h2KOooh37BV44LvVZZyUEPZ0ww8ufj8yuddfrvV60K5F7odHLm
n3BLu9/LKUKAkCanlLhlqaXh7DQmY6GIzq3TT/u8Nb2z7Pxziz/+0Ld9eDLN76KvkNg42Rvzkvpo
Ds4dNQCyunQfR2P+lqU+2gAtIrteKP34vGlLeL10MJcKVAND1QDLUF2DhjCDeFvi8L7H/vgjcEDD
Z1ZaMbOpX+LRKT4SIf11m/Ayp80ICyFCEBCWtLAWTo2yx5pv4JQ0R3O0ZqL6fL+cn5qG6N2y5rAP
3YUm0hXNhypmhkvRD5ciIOO9lZg/6YLGffLBaMe7dClT1lTnqBJFtBwDiXQjifz2o1Wbgfb3Ek8i
A3+iZ3oZxy9dlp5Q7YtlE3BO1jhU94tiMDmxpCHIzX6MzlPlRucqadUuR2j8/Kc4NvHoynRcFQRP
HP5543Ygt3IFntOEQrqTcub0O7Z4Gewsx35BImGUis/IBoboka3DTKEZrwSsfMWdnD6NBnhB5lcj
RGnwKyWNYKa+NbACOH5nwyZxbdUrvT6J4SVxzYwExzVZfeZJ88nw3vY0oNceyomFnjvpuQTX7Emg
dq0qGPNKIyn2dinvRqN6Flx4blKQ/dd5qN99RMppzuI/9YH4Nss2n6gwd8QmgGRgOA6GY5+8JDxa
lcIbHJbePWmvyRx8pmNquvdT3C1NnWQ+Ow5uYc4Mb0zC/kctmkcMvQE8jfZ72kBXxSaARAzdeP3R
w5NlJbPDdT4KOlq8GN8x3gXAeJE50t9VS6aDgNDrGipwb067zox3UcFhmP1IvNo1G2mTjuVtaPpk
iUqr/9CbA4lDv8q6cj8tgBSuWa+FxyFxYqFY5kxuXhrZ2/soMWhmjlHxno9oUAURiL/4SLVJ8NkF
hr6cQstdIrslMCb/mZKQCtRkRyIHqDezWaZ9e7andu1Owa1iLgOKIxcLH4WPCQ1gQatsWmt4KWC4
q2hd2XGzkrFNrqfF+BGuBhZwIsb0RUskzYngWLVkzT4i+P2JzzTfyN5BVQEZD/oY2Lfat/ax2WSI
IUhU74Sz1tKa75WHVGtmXkv6jWn+NTVl+obTO3Yw+DUtXTMbmOGotD92iVbb6tKrKY0faR38oYl0
H+3u2LT2h82AneMczkcaby8jLuo8S19qQJJa1J4s+y0HkbqQcngfQ+dXGPODmhqDpdelZ3equ4Ob
08F1ct4tGGYffWeJFztd9qVORp7VWxscS1RqE+aY0J1ytL0ZU6xU7cwmOTrOHHdXMT1PrMR9lRjZ
KmtcZT6lQBeZ6EuwK7k9die86Aoea7SQtfzse+oACpBq32ZMf6cAfG8boidinB9TY4TJBbVa8ver
wWO4Ycekl3YxpUPsacnFqOGYuLBdLvR0+pVwOwPLYgW+j+GRH9TiEJsVlcjovzrV2B9ZQjbd4G80
Lai3jg2/C2naCiG1IPAx1t/Mvv9gJ9BXZctwfIaabsKCeFvVmDHQ7PkG7qhKjGwTB4yqkND94+Z5
N8gRy7AKB+Q+Y4IbMpzmCzN180MALFOHQWSUkMIGy9Bh6JGZR+LxxXSnXTZhH3ECOAxFr6+6MWUy
J35NzkR0bJd/g2KQLAo0wdequQwDke7MSdo1TrWJaeOqbbN+JyDr9okBHqsMySzNQPuZegCgACjh
irUC8aCmp6fKfqvaDcLF8TyEgL4QjZq7QJVigfsx3HSO4PfiQVnUfWWSwhfdjL71907WrFwF5BR5
C/DPutdZibDlB3oLK1M7yzDKMcqLl2KSJx8nM4J4Iz2Y/sGUdnnGIU5MJimyC7uxxNocqt1QNP5m
isxfYaaDhkGydPAJsQmtT6xS8CnJN8VMWF6dpD5aRAboeLcCxJ8LHMaEnscJmw3tjiBuSZrsPDho
YfWWsNfvh1FnpsyFurBHGpxBh6cFUFMz2+2dWteJTGLbNLHVrSQ9p01ccbCjO5QuiknLF2mDppsm
77QVbbM3J8wWzOYpQKojlM504ddV8JqyFEejZ+5Z1wlBEo3/sJoIkqSdQIgZDvxett8pv0Z5mJz1
GW0ZVrRCdSYwi1DQeRIEWkgrNxYoBJxNbRQITKbYXY8l2HFDYojoJkDCnZ6/lJg0N5aulWgJ5SGY
6Co5E9G4DglnUeD8ao1OP04ZtswuglSE04iDVlbd0X/oB9tv/MWYg6KpWt88sDfFR4KoHhYS7o0x
IdiyAPzBiFTF7I1L7gZVtaXfEkDLWzEF320reY+0yiLyWZIj3DcmgjUalkphw+CqSY9GNH/6R81Z
MObivDihYuoG69i6TDlm1a+MPTSdmg8FsgbDoYpqBdAHNAgEOqRYNIsRyH2jWxvtRlV4pzDC1BnY
IluDogB+gwo8QcS1dHPRr2NFp2oC+TykqBsiN+j2FFwiewH46B2fN/7QYduGn70h8Ne7hDRLlirh
WTYTXHSaDB1XEUkbKrXPfubhyRvVT3dKvrltl+y1gqGU2TLbEE1gvQgv/A79LIL4yTUpQzSnJF9C
ToAEE3lyxuAV4el5o5X9Dl6dv9UqczXZTXMICpxCJZqqpaeFzGyZLm7MxLo0rTRS2mk+JJ9o55ic
fpK0pqPgoinzAmxYVYvbMm+w8Ab53ub1P5sT8ahs9mBtVANvqawWIGzya6b5t4yNee0NwbD3cauS
r1wSqFbbszwt3LHMlxusX8hRRbCMlXJe2VwvRmmehr5FBmKYJChX7k/ERxfl+hxd8JiihEMsXA7J
1daAfttJdZjZNZSI06sq42MZacVJ9wzwUE1IS2U8uOQbndkXAS4KWP5Ft34aiqeudZcegruJAmaL
cGQ8zjyt2YSsCXGJyw7X6Fhs7D6gjBxkt9IzpH71jIPVvX6Bvbre4l9au3Kw9iVFEbJUDMTzmumq
Nwic3sny8JbZUbGhfC/PYTRRDcsARqkbv09ltewNtqWwRhNqTPRsCk6U9DGUbO4ZgMOFw8lt24Tp
ZeiDVQZBg4eADJSz+WLQg5hJBdFboqMjERH9gfiTKZPZWwxT3+IIW4ulzHfpSvuYCPcHDNAEH2ve
bWQYlsdJFGe0vfZrKkbvhMZoX6IqbTn4Bo1GITgkh1Eh7Bul2oVpBX4it3FlQNrspmRfQPJa5Iq9
wn33xwSRXkJlqPVhTmxpnoCsyeik47qeEpBu2shRjRc/3sd6vqoTPwY/psKjTqzkgrHTq8Or8hpT
8J+zEiBnbQSslAgGejhfzDox4vmKcEGrQ1FgbZCITeuoNgXpYAlsCis5yRDcYVQP/aKegbpxVGOi
houk9RyQ3GncNUmudjNZvm28ihkCGtLGdNsNHfDkWGcvmAq9gwO4GUJS9lalmvlat8MZDbQE19eS
7BTYRJjNxATD/j6G8rNJ6euRDBaxQ/Z/XPBPa3RlX7MTrJsM81jG1lJaZLUGNL2USV4zDowlbrBN
LVIUoGP3Ybm2vnNAOupxuzVIe9iKPPqeDeI1z8BVN1kMqzgo9AtJLmfkDtVlQpSnS+eNkv/WBNrP
bkb4klQVvLV9caUdtkPUpVaDyjTya7XPKqLQrPhEgbyLuPRD971qDMVce4Rklmn2MasSD7e346Cn
9oFj1hEiB+33EDFoL4b8HzdXm0AyWKB2shzdzL2aeOvfavN1ECw5dGLKNTG72aUB8rBEjRTjyDBf
c1yqIcF0izggfseuw7sm0z38iZNeYdNT39za/WTZgQaHsaeIndeqMJvPsZpBQ+mjNJD8RdpLnHvb
KtdHZDX2PS/8L10eOcak6D7AmVlOfc+aSS1agGCbRlEfOfVCJr59MAIXuIyLzHodN1L71uRrBlzR
1vXiWx2hcjYi8U5oe7UoXIXqVdRI0OWjy3iUSt/REfUWQeUFu7JzOUm0xS7xnW0UiJmApfvL0kjq
jaU4YVR6fOI66jVSY2zPIhoodxgr1+8Fil8UebVY08vinbKpmFyvvauZDdf1WCGZkuwQEiP2EDvD
wiRb2PLH5FtofxKwY6Psi0WDHFQikow7RDnB1B9DRHZd2SL3yDoiSsqWdKCyoKHR6KydxkkZpb3U
BgujRXhvEqY80mdr0ljM4YIlzZKNqEPuS14w8rO2Sr8cO3+v/YgA6G4U8+NcyMyRQL1M8PzRtvZI
bhqz/nsW1KjROxZUb4/69832MFXF45GWaLv3oOzI6D4NJS3gBLUwp5iZikcPCslVulCOufJ1kH7l
SIAoF5170By1TEjVmtGvGJ5b76RgEX9k2rWc/IcxdbhU0+ZbQFbIsjJt6IHdtJykjk9a0lgF3uUb
3XcjjH9NHL+WtRQvk2gWSPVPtIBRFusbjeCVJe22emHI9itw7Y1WdEdLs+TOcsR7CZFtExDc4Rrq
R62sa6zl+kEjdazMza9eY6nPmi5ZmujN5ByF5JLEBU0I7qEuv2KbzrjRn8IQXiqcgmijIyG1Kxc7
ZRsgJwf7OhXathc53Bau+2VH3qjwG7DeNmhGCzCCbmCcMh0WCZdMbFIyllmPFpKhqtwkwdSsQxVg
nyp/t40FZAL/yKKC7e2U8CFaUm0DmZroO/jQFRH5bxQEC4BE7WKsyvMoFLXpIAs2fgIMCbJ5F3b+
Fuq6OiQ6LSRMI4QK4+nv7FU1Y9qgAX5gf+lWNPx/JXh0RUvzOyl1krb7dtNkFU7j2IqXdC05KGBX
8XzO8WH62mSpc1IARCZHHepcensWI8FpGoVMUMmNxLS4Lz1tWTHGgEky7W1z56VkmncBpeOY0vZI
prXT4VOD1XyqBWE4RpV9bOOhWaHjOHopEFLNyY1z1YV7EZVkACG63lRe2QLNc5B30EKirgu2tC/f
RSa7vV0V9oUuQrdwJZklttanK6ghb0m4c8PwzFWOoAJhzTbLIP12aAgphRLCEg2S5Trr2pVIwhM9
xtdCqbmItQQgSVO821EvVziwJDoP4+Snnb6atC4g/jt9UUH1iT7R2M0nqRbQY5Sq+K3V3K8GZdvB
75xfVdR0ywbIP9m7xBwyMhosaaxGa5w2KQ7lxegqY9F0hE+NcPOcmp9EFUSiGsmy/KVrSgbbKktQ
YGmqmFZySjc4Mxiz06JcwFvcIqpl75L4c6RXf5pO9Rgk32+0Vi6LWVwUBoS2FVa8Qv9Rr/k0hlsv
M3eu5XwSOQAoylPWsTeqj9C3gXUxOXBonuPHR0aZzqLwuthjUUKXbWn0il5qstaoj8giz0fnUoy8
j0jzt04ufrtJ41FJ5ds2tDreQaDMwqu7LYBb/KFzwvT/Zu9MliNHsiz7L7VupCigmHRRG5uNpJHG
edhAnE465kkx4+vrIKo604sS7i6d696kRGYkaTQMqk/fu/fcuVkytVgja27adsxbc8eVPxtJXNKJ
srJzZNxFSn2WU8oaYQHHDafpihhGpIofSQNofCiMfOO6HfhfH0iUjZtzbc1ucbCnFNwEpLLa69Zp
OJVwHju5LnTrnHz2xjmiAYj/vKR74NSX9GNoMwuxiusu34tQ2fthxgKLO3ltpL6iibm8ay3G/soK
L/1Db/jjRZiRkjCKJtqleFM3RTnJw0jsAWIaCcGxQbiqS/aEdlKkShbzqtOBhDbrlleZ0RFs2bmo
r91g191Xg76n3yyYW6UY3Hz32KCf2uaBOHUkKpB8OJ5962xKDtl1WCuI1Q3e3i53dwHQQ9bzLj+4
I02cqajdA52FzzDS1Y5NZ0ca80wUUrObysEH0Gwii1E+TRe7GJF2HGBtbSMsDYCqQr2fI0E103LA
atOxvHTn9Lsde9PapzEkkaXt4O9hksm6O+pFfYzt5k3/BZM0jMfMaEDLWeq1blGLJ4ZnIXOQ6FC6
VWWI4b4oBxc2XUjcYuesGsOX9xlROrf0s9dYDJ6RZUfr2ZCELmvxOZCMQlXTwUekO+BjajLl1pno
GRd0EsgIRJw0gUQjGXUXAmVHMYgBzaIqbBZwpt1a4wpq6D2zl+f4W8JYcuUIXIW0cOle2hocaoJF
rFFXiBKiyxDvSeEEE5RBoGdO7NXrKYzCNXzMq2DU+1ZESLMY96xGjsVd9hou87I6Dm69uptOhUA7
HYCKIT+ZFMc+2iTxIAFBNJqjYX/w0k7uvCE8mbbaga3wV11v3dETmDYy8M0V2QbMHqYL6sxxK0Me
KplPH2iLaXJEMEcp6nw5nGqAwhsr1ck2aOK70E5hSHT1ndN4BfbUESF+0j5HpXlZ5w15nfD2CShh
VI3FFA+dV121cuK5djkIJROE9LTdO73VntI0b4gyzxoeYwbJAJSZLIlzOcBiNj6Kyn4t9XTF7J7+
hFuAzkHVRA2qebGJsAYm/oaY7Qd5WsSYlxZSpnkh/LSEXrEHjWQ13BVe0ByAutqrztQwFsJXABwU
r31GEx05LIzCjSXbdO01Aw2n/tHMyB3LYsx+nAoRQy5EQQ4PRXgQQGbY3hdXTMsbNQw1KEo3OBRO
eVX0LtQj/OCofg+67ZfitAyPosogVxVeQpSAlFi4m3LjVOZjHwQkHYDXNcr5Cs4JTD2FKSKBVlGw
5S0o9JXRTvO+d9CpYnbJMUNufeqOzH3VksZ2GA2IckJimib+INY0atvRxScdYJlTcIW7woP9sXgN
3AWsDEjJnVsoSS5I5rbDjmlQyqLtCvcSotkKMZhjx0fDh2ntcOdn3WRMcaRcebyjzI4ZQMx8K+QS
G2UpzehWd2sffjVZSmLlSsIpCTHYJ4AHexBQ55RVyXAYMi4at9A+pb7ML1TNaUhjkVxk14faqq9n
RQsV0eTKX0giW2F5LRsP6dydFncM6+DDZ8mrpqDEE0OpwSkiov0x+ytZB1iNjAalL9N2HL02Bxaz
xpSGs0DUB3tA7zPNWAajcRY86cDNGpInoWUFD6l5aavavcVhd03Qx91Q28PetblZfgbMkzWWWiwA
4l5s0jIjH9QobwVDwuu6CfWKJO+jn6olsy9B5hZC4YtIDqlCd61mpHYZ/xUwXvYAVRaBMHBu2yw3
ynGqN6VXg8JHpTgT0jc3CX+k8dTHFjlcY3gDrXFeWRypV44XXg+lJDSh48kgFGPaj9I49l3oHbza
AB3izg85FMMt/eybRaPV2fxpXoctACj6Yzdb8br0sOxpT27pth3LNgmv4gjiOf36aDPO1alqjZdo
sV3lM8VZnNLKt4Eg4OK31+CBHnOSuHaGjy0YXP8mqp1vHYXgOmiRtqU2r/vcXoJHdHeToQkZt2+K
DO+/hYmlMEmtc+n4h5o3X/ZUMK2qMWiMNyH9wSby5rt+Qjs+hekNjYtV6PfN0jC/pov1AAIZleKQ
PU8TdZ1Zh+LIxOhUt3wnF1IFxsSJPSVdfA/OuK2k3qlav/XgGXlLVLAlW+uUZCWCNyt/wvoC5r8M
ANLOEBhmDrsw2fGy1clDKup86U0tfFBeUmp3UDAnvDDn7rko1CluYZaMXfUWAZrfRuF4p1TRXExD
sIXpjvXcica7aIqWLS53L2zG1q51MWaocrMp5EzgPssWlLth9dPakcB3XF4jO7dAD2BIy53S3TgJ
wd21F9NKikjptRazeUirxqgNcyNG+LV0SGM/eUls+TCgROHwM0IiGSaTc5WyV4UTnS2jCs4d+y3d
JIln/x12JdiSuTAAxeUNiwin1WhwmKtW/hpLutgZWYUrjbBAUeKYMehYhe95OrlE34gb8JnRrgCq
t5K5O1wpXFjYchOMnmOEBslCZdcyvCPsxXh1ldfsFAucmF17Y7kkAXQ03wBvOlfM9A+WGizEAdQB
fTMU/DvjOGFl2LWg41adIt7Sb56g5eBvjYj9pe7cx4VFE4lZLyXR/MrAIbwYzexHii6dnnN1P3rE
ggQC3Qdu9+euxtpDY+7BNnRIK695Cbv0vvLCC28ariaHpqY3qTXbQ4DNueUNcZ1PRGE/JAfJISA4
YwxOJo3tqzbpwIODswgB6aK6l1ee7uSV1qFx4doEl2FMUqVZPmpzaSTl95kZPsxYXrZtZTOEqNN7
oYZnfNuMf+xixvqEXnKygM8xpd0ny6CoT1S0DNJYwWNDvRicBigpD7SnxY9usrfzDNNFwIwG8F9v
6GM+lQ0YYkA/K1Pe5Srk9LktcgHCBojyKsWYuXa0s2GhuITrIS55tBgKwuit6/SicvxvQcF9GdKR
ZJC52ARKffMcWik042+Vj/fc/oBv+2YofB0+v9r1qMmlPNSB/6NZYr0xDmM/Le4BaIJNcHeIbt9t
EtVXwgRzMz6qoNxJEH1bKzKqdaXrfaTFuC8DDp+N/4Mc5Hk3+yFZr/WmmvUxcEu6iPRd14sBAjcv
aUETR9J+XVV3Njb4oHTz15BMBzYtivze3fdsRvussF4rT0ygvkocuob1lluzv+/w6BVU03gixa1O
BsnZMiY3NqL53CWJua4JVzkOQ7GT2JyIIpsfnCy9DBbDfxm68y41onMVMfLEVJms6yi9z7H7Hdu6
iB+SClydcG9oPPd3dUxiyGz7YuM33sllFsNsmEfK665ZVqZ1j1sLtEfonzEH9Fu3SPcqaMVFBx7+
KrLv7VxHG89nBjaEJMhONVS2vARVTMTZBlrP9yFNRsaq9kXshbuo0w7TSAP7UNJsibl2joKOzeVf
/0FsqPvf/9SOsXuExMXJNT5Edqf3BE5tzD6VF45hHR1d2PeUauADESNEdXtS94io8hvTSWxIW4u9
f7hvFKzxppj19f/XshaYQaaHqUKT+r0koFlPd59hXBZoUf/6V8eP//wPS6rfaVkfvhXzt+KLmnX5
kf9Rs4p/2LZr28rylOc7KAT/r5rVUv9ApGArZXqIGx2pzH+qWQ3xD6WoIvgPfsSyEK96/9SzGqb5
D34C8Sn0Xpqilvf/JGhFM/uTmtWwTNuzPf46yf/+/RtjvLD5z/8w/09dE/GNzILjAfhRaHRJcZHQ
C13/dC3+xlTxvy0V//rti4b2p9+eMHseUs3Chpl0bxQVSpNQFkxhAsFm0D78/lN+9R24gj9/ip4E
LVYDqGI8V8knqPv2ofNN6/Hf++1fdL4SHxv9n5HjjmzyH23tZ692aZX3v//tPBl/d/3d5X//6QpB
sAMQYkAscfrkroiHbWurS1zLR1+P+0mPl5GdnicA5r//OBP19N9+HgLpnz/PM+KJQw7fxhr7T0b1
hPmNeCrsssQmEkb1VeS3FBYziloyO1D/GEMR79KumDeZFYW3gyLaEOmNd8YvZm9//1f94jFxecp/
/qMymr06Ilh6eUxIKicrHuWBuYGCu6ezfP73PmT58J+udKNEN/hQjVdFQ2+jaDznbIROfqYnUK6D
wS2Pv/+cXzyN7nLlf/qcLvMY1SytSJm3BVnuKd1Thph/uFTLJSmpMMtiWYz++Ua5y6f+9NupBON4
HBMqNuU8eEIOpC2NV6ZwbicXr2Iaiz88Kb/6oC8Lg4PYUbgkGKwGR6zJgrv3AuVtkKh/L9XAHGDs
/vAG/OqDvqwRNQQLWpfkBjquBkXcq9smm+/TOH5uWlds/ar8N7/Rl2VCSEk5GzCRQ6okT8ncvZoB
qZyOuMxi5AeopNP97x8B8397BP51l76sGbEjicrOQ+wuPc4lWcEFMpJVWtP6U4H3aorsjUk1Uan0
QMPauBBiCY20htfff/4vLqnzZVGZe8u1K8BjnFK6WyPPunVdmjeNP9/k0jvSlYj/cEmXVeNvnkbn
y2oSdSoebKaSDOqA3gx5/A4grAZuO711knzphJ6JO+R/uKy/WCac5ev+9Oz3DXakueZQjwVkwRYF
3RYqmn0q2jK/g+Zm/uEN/tW3+rJSzOloOTE21L/aKQDaU5qUHSnI5cFtTaa2CT7Xuq8vfn+zfrEi
O1/WC7LhlGEWOsd25xoMMPPPKB8uksSp/7BkLNXH396lL2tGUpm21WmoxH2pItgHTo3OCL/HVgDf
OLK7iYOG9bIgLzU69nSmeZRkyOi9uWDCYAQiOqeDpZksdbl8b9N0Tg/Y5tFQpRN/8EqNsX6npSDA
bHBc3rhhZn5SJ4fMN0Er0n6rDfL0BsawZZgaBudWbGOgIYPs2MRgi6KwbI6jD/6ksYn93KgAo9yK
ndG6njlnkr+ULzF4jfOoAY4HG2K0qMt/f/3/8nX+3UP8ZaWjFdMmCX2W1WDFhXGaAmJ4+aoELwbH
aBITbNbRD8rN4NhHuwERvmJsuuScYrWtDpnFEfNQZiL5VkaoVp9S0cj5kqHTQFRcVoN/DWzDSLFA
wlVdDZVFLEZhCKYutWNVxrEqOQzvReoMxsrx0d2QyDaW9nWXyYTjm1+O8TrpPHM6SYgx1mjcJ31D
1yOCL1FhtXROv78Ov3rqv6zD9LhSums8BWZq35V9c8kuxh9avCJR3JX2uO3g8v7+o371yH9ZiYfC
qqqwVIs2LZlfHfS6jKG9rOdbkbvw+8/41WLxdQkOSbcJixqJaOIGa8QQh2noBaPN8IOB+s3vP8RS
y6/7m4fH/rLU0n7LSw6nyCLbWX4abu+cYckGhPXZ9SrpxnQ5+F9n0PlX6eCQk+A2t6Iy3mvZ56RF
mjRQhyjIXoyQwBFROe8EBue7StJ3XtdBMHrrQEz0xxs6/JSFZ634B/au8RAlKdN5AYOcCVWymxtm
8KBaJ7jm4YS/gQ2nyxqX7rY5QI0Yw2IVJySfRWELric0EAZ3ZcyQpmz5FwB6LIwQa23G3pbDbbFS
YRlusYM2q14DfRzCPN8qEBtrAlXRzKLm2E2+BB7i0Ltr9CIsNzIghNoqXpRZ4YULk5tS9/0BjRnU
8TkRL25mIENOwv4iRXuG4YIZducO96LNn4PJ/AHkADKG399wPjn1fZ0C+jLISWGYu0Kuj3Yqdi7J
0iYc3hnJunH67lHJBu1glX3SlGQGbCvQy01HxI8f7p08vfenvEWyswydLcyw1hjAcK9tc2+W9ltc
+e9JRefcKwn1ZtTv7mxJ8G6WNg+w8asb08+fzJyQahhFwEzoivNGc9JmYOBZ1VmgtiO/1rDJMpQT
pun8Q0f1q5KetfE1mQ1J0rqnfKYIJBHLvI5YNHc2sL6NtdzIKoTZkPttuwf6hc8emi7DprGHOl+Y
G1WOZ2juLS4u614qUmrTWd744/g90sjqQmuIyUYI3W0yi4VQNfW7RjPTykJPH+0pExvTZhop64LP
BXEuxzTY5UEt3jKT/jYZIcM+79vuPe6HGv0Gg4GRcf2mpwlEWG4QUWQiELGqpP8O2Cs/IGh8tzWc
HknGwrfBQnXMDRI0Xdru29wg1GgYo68Y62M8tNPm1hihvAY8KpRbJL9pgEBrZSoUppX7YPdNdMxD
pujJwE9VGWOLpM7fJ4V1EWENI4Yx2noeYkeeC3NJZMM8RobAJkdIu5GOjT3SSJxjR3v7CkKozT9N
DtI8fMbNUBebmobftTl1/TqroIkKLX6Uqr6F7EiUnPaxITK8eRKtLG8zUTMfySYid5SNHtWYYe0W
SBJj0fX7Ock/zU5+d12RoA/jCUpwG27ifEJt08VvJhP+Hf3AHogfP0OOULcimK3cuJPUsG1Rq/pV
/doKIoFs3VlHMDTMoCLmhDMuLhJAmdsbM2MmY6SvXRpG8MK4q90bIos2daaYvdWs0GuLSpl+Fs0w
m5zK1eQSII/hH5QuiQpAdSlPrD7uD8wG/J2V9QjOAGHifuhOs0vTspch4HHSsi/c0vIR4iTvnoRu
2VohLPxhmolbD3y4UPA9EsdIF1IQKlfTAyuk8wuH/jOj1yyAs4PwwI0hWBVVU560z94Y6v6ChRbO
iwt/gv41PcFsQGjt0s/2a5WcHDsKnqN0fiF/5GFS3Cw36YnRS/lCoFDuw5xJSSDcNzslqm8CDM3y
0jGibkAEIPhAraBI8cl8npeUY/OG7+Pufr+WL9XQ363kX2pZ09GDLnLy9Wo5kE6YBsPWS6t/s8qz
v9Su9ZBMhA5yxDVrFV5rrEhk72Ae9uZY/mHH+8UGbn8tW51wiH27QzJDAbKHSXqmCLkrEhGtSmGQ
mIeSdS2z6g91q7nUR393wb4Url0ZZUbRhTXKycZfFaI/pxBgzhNm4ANZ4BkPfxEdLOQyfY5yhAhb
AnFJSbRapG1+Hz/8/r794rBjf6luZZCOMs/Y4jrUNOPsn/LRJ0rRm6/cGYsPiUN/OBb8omqxv9SJ
U4P/obBIWmTb866zFlj3oWZzJb55nNCw//7r/KJusb+UYZ1XdDim4IeJYejOsYpe4Ktaz02fXSAB
+kOt96tr9qUAY2FNs1bwVSqTvpzij0+0cYLZh0pf65dUNm+//zbmr+qjL2UYBiu8pwMLsoPpY03m
zLF0wP8ZmbdvKopN5kObWrkXTsfM1w7+dK9+ceT56yj001FRSayXmPdocwU5x+BEfywVbS0qKovx
Qmvj2h8RF3pp+IeS1rT/Kvn+5n2QXxaQrC5LYpzwxcEWzr1DSVXWoLAhm3XnxZPRvuQpldOqyPvU
uZRz3Bwdf2ynzayjWZLNYgw5w34hmnIxzXrOMxG+o3lVhChIHxDBIqK08nGwD8y1kwas2OyNmJu4
e8QT491LMBwVyrtHXTiykXSLKwmLee7jaiAyO7+10dXWx6TxON8xGuqf4AyZ5kUlE8c7YQYewm2X
dFhCwrwx1b7SiQTXk/cFvYmOM9BzomXajcBgWk+2jDnJ3T23idPn99Rg8YgyonJ/eE7rvkhLisWw
Y4l7q7TmZ6/3dyqHzm8kLK5kCzD3Vcn8kiL0v1igXlAyKUr2fW6KZk0oAPjHAdYlcVFBXuPjGoh3
5VBqGDboVosxGHu156wHiCEoDyuP/M3AZJ9hY+4LeY9ykLm2aEuqixnuMeEgNrXsVg9FS0SMGY3u
NsP+4h3sMAunyxaECt76GGo3yCc+ZtsbZt9tks4ZeCfynCLELcga3lOFGhnaeV9yYuza3q9ZXjVA
3wNgBkjgzeKG38mGFNQlxBlJ84rkG0SAdpk4pBBMbdpvE4tk6i7lxoXa33uRhCNatA/BFHzYNZKP
gUi8tUNUF8qEZO11zBcDzhlr3QYx4g/SUBo1bRtL6gsBF+1yGot8I8feP3kqCq/qcXAeAeosCNDx
Wy7zT1S0n2FYfMwptW40pDd5Tt76EH6z8+mTApgTgRkSn4GYCXit9RmEFTRGT7xn9CQKjv5HPRkH
h1S9votxYGTzjU/PkTnpoe2h+fUjGQU+cWc9OeRjcpWNXKTFlJWVSQkJsMiY3s0fkV0h9jeQhdUR
atVwtjkET0hCYInywn6QoYGWk5D7Nb1a5uA9xTz2FXtl2/aux7rLzUGXH4zRIdUOAsbWewmAF+5j
L0n3wjHOvuHcRiPkPiTPLzRUQDqOnIRy37mnin4IrekQBfkrI2GH1DWiHgcTi63DmWVEEXgZIdhC
R4DCMgvrJ8Wcshbis26AmJZlCugiLVEh9ub3ZByKg9SUQjs9CKxXGuFetcGSBk3LH4onx+4rSqKy
21KtHQcc4H4xES8u3ZvQqQ+qRb+bE5SrcEJSMNkF+lsR7mRqn/yBhFbLPlWz+WgZ6qFunNNC6OGQ
UgECVyNYif5DDGAem3YyVhV5Xmg5U9KQZTEsz2ZJp6bluV2yYXICwWbUoBz3rDcsn8naGibA9PBH
MO6Wc2VxgoSe7R9DNP+L1da4HXmff3gw6QluQ+SgsA9pA+V3LgZn1XsDFfKMmgLktIkyR+YkmjP3
chBpo3pEXEpN+NA2CwZc4GgklWtkr/Glzz1tysLYJJFqblobNUCiSObzG0QbbYJE19Mh7H3pMxiX
VwlCuPUUOT9GhaUjQba6lljvT22HPsybHAO/R40aFSFebJmPiatXvV04II1ShvowqXa44EyoySSb
lKn/5ExoqJwa+Q/v+bCuc0R3KYONyagwXA3uyYv6fW6X+6EZy7WFA6kJctiZDp2KCc8xzwSX3PBS
oAR+nG1NK7Q23oxKiDu0l677w/SW6+yY350SDx7babKDUY+1q5gv3JQDlS+62xoj3Dowo7tKYyCE
+jGvhcKTGAfe1imBa1fmOG11wXMB/9LY6goYs2dyBMCzlxxpahAABX26r8gNyHx1FjhtJfvn3iZi
F5n7YwnvfpdwhMJyrfq1mysOzLNBnjL6Z0sylC4+AxJJ4C2zHCjtlGs1VJ+R6V7pltNyZHuEZafA
5rrNUFen3PWeIA9INoaRfjUPIV6dTTVOyP+CKN4g77kWOA+dGU9f4pDoGo91y7Fdc3aX0V1eK3uj
WuccZxGxtvGQr8pm2o7YdFdZlr0X9LJ4Yr1LgGoHEiyeWl5n3HENGlRZvnMGPjuDBxfcu3Ekp1QS
mmmwOD/KpsQ6I78rhRMaxxRo+TK/hFJ5i2aAdUjeG9gA/NF+AZxxLiu6xnlbX0d4YesaEeA8or0Q
XHbIqLdFC861iCey2D0UB1XtjJu4BGCLRHSFfpr3vvbojgX1gzm6LzUpLbBZr3TcX/achuMeKDiQ
dbZ/ivutFEAdwrlMnycuwJC6J1UE0OobibMQl2Tg0E6tO1BhQXtQFfK0ob+0BrbaphiugAnKGxxQ
N20anY2xexZZsmioN3HQXJum+d03Tb2JF4uMnYaUF8MrkSl7XkRkcLAD0XS/9WXz0OUmLoIhPc4W
VuWZZsOiVzGj+UJH3f2g3HwTdhRIibdIxkJO/oTMF8Cbr1uTGWHDgUHHOWDzoMPxBExm53PttzA/
o9fOkxmpC55z0blZ+FA4RVespLlEVXmNG28sPTyz9hiAuaONMbCU4Eq8a41yRS37NrhqF/fJFUGt
q6pob7M82iV1/IGVkxR3UrqHLH0dE58IHlz/cWXv/b6G1uneNNVwRzt47YXeFly8DZcjfI1a56ZJ
m4sYGIIbvaU0OiJosJ0x3FhTsOuRzYWiw8CjT7rTt4krINdbahf0DlnBD74R3QSwIjOJrq9I2ZWA
ueGgoslbNOcyHG/kvNP2otsYX3M2/qZgMpaG7ToBKFQuyR3XBcBfPK7ZBdjSIxhgdFP2zm+TXZCC
OhLGRhCDojN9xPGwL6JpS+2ym4Zw56jLnidzTO4XYOaIe4caEdm8cUyb8Tga8jTQRbHKM1XO1peY
+av0nsCNSwg1pRjp1Hn5ZiQmAZnmtRQCPyX2BGV09PN/BHlzdHNjz+bGUwEh2wJLgQNnIicd1XNb
TheN29AzCemRAA3i9hS654lCqJQSWD5DXInSbcjjzwO8maL+hhTFrRWqsxvLEuVQ9dTmxbwLQ0jx
7WxcKrvnT4rby9G8QG916jnlB56xbUN9TemyEgXwauXsoqwHCqQPlTPyiMg1yjVYPu4WzsYqKREa
GTfKKimLTQwrCJ0gs08i20DCNhZNT+XtKze5pYFKZlEMrvh9dKOXmZbYkCynGMTiPRgUq9obs+RF
Zk+M4oxHPX5GhrYdiV/NrybrqpPGahmVVTUpLjUIiiy9Bxy3Mpt+DZSDz0tXo7rUSQpk6LpjxW5M
mjtehAjyNmOK4Yvs4Ho+AgoCmIhWwMiP87GwJPB5Il/Qfzpk9ACedqH8rBanF+hlMDMBi4EzPwTj
0ifJCJmaj8pObfFsNmM94Xv1j7ga7ivDp2SxArb0xJm3mcBsXRtFc8JxMZw7B2RiFAUwHMiZjfpr
EsvfI8v75vKa4oJf53a8C3OTp84Tj40LhlkP5U51RbSNyhQZokaUATF62LojUk+RBRHN8tpft4DF
AOrQN/AaIpIC2pbQ+c8eVPFMMnr2VYySXzboOERw7IZCrz2rCzdTSxvQdYntnQQu0LHZltpeRSOM
ZqAftje/RYZ4pi69zSJqLWLkD0buHJEHkq5ju/U3ONGsXRiG8AtFr8rKPm1pwVgaRLxGEBqSVNDL
H1FgEyonag+jfLFVlaXACBvvMHUXYXfAkzp5l56kOLczZ6/ByW/EnA7AMLACFFOHgayJa5KNWgRk
GOx5gAk4WhPS/dyHydPg11c5UKSuqs/m0D+2OP+DstvYKv5u+e5nKvrnAsPeejRpBiJWoJebZvAv
zUFjPaIN5xdjdt2EpHTkoEoQj9L7mdJWH9Bt4uiIqnfyIbYZOUrHzJPFGdewwHJQMVkzE2gkIb5n
LAvkIhguoQhxzOOZDdvSXOTs3azQjHpnGUVUouGlW4zkdSX3CqrtympZ4DTaNHxka4czh+7Gb0ar
L6MZ90yq8hM1B1bJcNhqQgdBLRbvfeLDkjPqq6S3b+je3esU2sE4biEWfbQdWsnCvJqL6KnKnSvb
Ke7Jt9/2XD1UMelboOwbfylolRm8h15or2rbuWmngTT4OuTdHfPPuIHf3wFii5bMJhf3cm595zdR
1U6MdLFpP8Q9RPTUrepd0IWPrRtGwLKScaUEO7OI8/hC4BhcQ/fjlxdVC2cHGbypa2ONCce8EF1T
vs94jtfYiV+t2rxPDPR2NCRdD+eRH90OMfdJpYchd6F+VBtCEDZzlBN+4mPGnTYTFavJ5j+V0UYO
2GHJ4ZKDfdMJyFcG9vOJiNnC2tYYLJE7rpYr1E7J88h+5HNxKV/Z0NOTCu0dYsztJIw9yKnjmPmH
HKtT6Ad4YTMqCZx4Zf4OS4cyibiHtekOTIKs4h0ljEnETHofJKmzyUrnRxAxS2HPWdZlWBKS0DGq
UxjTkQyBiMXy1Pbto4oC2up9t5uhURMjt+MYPqwret8KX8IUyGPLlhbB3Mw7frxsP8JAswTZ14uP
t8V1KnS3L/v4oo7HQ5h9wFZNE/MU19YmNsstSu+Loh6fW3kzFW8tmhk3vG9DFprggt2Nhpt17ZuK
9nNNTcdXd/VWENdio5PWUAcCALDzk1fpde1R/k54Z5coFbam3hIfHF05YJED5bgxYBXvOMM8luNw
0iXZDj7HcdT5BXrYRJFsjJqfVMM7tLU7E7qYpqIf/HmdGMF1rdFPC9damc6tI/E6Vh8mRIskpdKs
e4KRim2ckvxjdd5TK65LI9kW84+gGjjAEG08vETiI+vZrMcU5TVVg9kcWmxGrmQQYoTXY/iWzS5e
vTfJmW6T9hy6KGczIM/YYxf/7jTtqzB/xAboPOkEw00zkd0TFddNlvy1F5HRuomYgYxObu5ItUy3
bAQxh6TpbNjxQ12Pd62L4TW3JTcwmb6FsBTXmnH6Ad01VBRFQDI3wF9lAUS2yh8O2kVLrCkDcYHG
9/Ttr9KkekCItKEHetnXDHMT/zaNq3eY+PjTImjZEQEItrwI6MgqF4F/M70jUrnqQguOh3hPM+tY
FmIfC2ePaOxb5cy72g3Pbc/0r/f1wZm6J9BOnIrc5lD65hZQBP8PECJl96FFBVSBXhi4gR6B7FLx
t7SK5ey8GFkHZT9nrMDMdMdNH6G9WRGqmIE3nGCto90H8zXNqfnBJSfw0rELDb44ofD0cdT4ud3e
iNTKdzrI0gPM+G7jFFn26A+xuMViAR9mGg5TZqJjI48VEHLhUOunTwFn05aEqMwxL6IY/oM/Xi3T
ptlUu8GrDjSQ1iM/YJXuVikA3pG6QMN42eL9dkh424YQj9c5PH9wD+VZmnJHM/Pa1s5L7nCPPDcS
q34qjrEprA8LI9H0pumC4yzl2Um2Y2iU8kfTaDR0lsVkaQ2M15pueMvt9gA5mowTk4mIw7GZDIPN
qGeGNP5kh5AZe+ZSSIhKh06GpUHgZzVUoceqi0yAaAodiWERSinaCCQHBwiejCrCgw7ifcy3EnbV
wMcNts8hm2wXYhsh1TxoI+nYAeMEBNbFaEME17uq7cux2gU52Alzl816Dqa3XokWIUDgjU1foAsv
Gt+kO1gNBB02zYyb2KqBzBD+piMVUyR5bjxz3I7AN5z0PMhaP8Umm9mZG2abj64XdeT56cZ6z72s
YccMnUh39wmQup1hj/Iwt6CaUi/PjswRoIShRrSX/kQDNMVIx4fGtDyq6HmwACtHg6nwpPLN1k0X
6vHKr0XzmkD3wSIdJ2184ySTGT0IJUb3mHcukbsqVwyxeeB9UpbRneMnMqH6Y64VrQkKc8TbxiAx
SYaDMLQwD8QsloSa+2npcWrm5eOHvTq6Yxt1YI8asfL+i7ozS45c2bLrVDSAhxLcAUdjVqaPiED0
wb5J8gfGTGai73sMR1PRxLQQvFJV5pO9a/Wp+0Fjc5OMBnD3c87eaz+TY93JtzmzC7pOeNOQtFlE
bsBkGw1/XevBQBNUy6E/ZAJG9SooatI2HEA/0PhlYlWrstTd9FmvZ6320sKmBhgwXkw/50nQ14pc
VWA/6eZ+ek7RTQ5bYuSidjPCGCHkbgjXtunDxoHYfeMabmEyfcbXcbCU0TOtbLl7FGIBMujxkNg2
IWUcs2R8B+JhSoghLRxj/DE4tN7YcWwySvcsh258akp/cikO2i5wyW2ZkLQszVnelJUkhyJ70Btc
a4wtgqCfn3R8kImXYGUmy8cHFRqD7AzhR7MitcjdMySF1KT1WkiDdseqUaNP83bMK5OOLcQjmbw2
OLYckIRhaYQ7G4UBRwGdvBGeXjbldXkbG7zKR0q5yMW6PS8t1Z66lQJLSm9MwdOu9YyR2Kpsypy4
jLSIurU+pBE1I+hQYHmGG48PjtEO/SN5J6FxVyQa+XdB4PfRJacAJ75tGZnu9bRM1GOX0YV9ollF
0l2AHeeSaWCCT4X0ffuXC6uIP0V6DcDwAHD/nWnRvCIDzoECl+jURj9KPQcfmkxk/J1pKobTD3fW
jXaX4sSp120dgTuxKhv/NncMJ/e5EB3WDZU6eNqL8IB7me23wfDU9bG/Le2kRefQ5hziILUeerQi
u5Dm25aOAny+kRYpSzUKpKwxbupA5GsWDfVa9sI8iqIZvNBsEocK1dLvuk5YXpI0clcbVflzDiey
PPvRqP1dVXCaXiWTwiEnNBfDdqyRsA7YR+teu1yfbjl8hPQyIXSzuEeQ5XY1UPPZi7uu2cGfiQlk
TZyACtvOijdTNNO3cKIfs7bS0dL3QS3lN5Ds9GSA+9WerMmQoqAk6RXS3D6t55YThiWY0VfA206I
q0Zj7eN4vUvtvFI0RV1qOihh5BxWfUx+k6vhlgKRBXjJt8PPPqy6i0ZsE8Zzg9DFfHLOAGrHd/jO
i1sNXAWgFdOy4fYDkGAN1ORNjAUPiyh9MW3XuYn7HJd2YcC1dDm2VmNG57i1tBKsnYzs4XuMCGZ4
b5rIBtUZli1otMqyC+deVllHvGJXMvmHkBg+xtLq3XUa9v14zAqREU5GMCY0KlNHHVcIsjH2yHxx
zRmmCeYdSDynOlYQNu9cjpVGaV9Z6HLpQyAl8aEaIefAhbqq3NEMTwMi+HQP12LpDrC+Zet/mKlg
SrHcwg7JrW7PycH1o6Pvtic6RuH6H4R9i5oFtFix/DGoVd8sTf5giaQHIh5FKb7bfbv9BzkSIy1j
fnE+hwfonNTZzCUKxJKxV3BK+keKQEK1+gh+JE89AAifWkv/D7dLeVS0dXZ2he1s0OdfbR3vrnPG
/xJp/TXiIPPzM/r4/4KQzkj2v/+Pf/+Kp/gnQvrTR5T+r/+Z81x+s6JI/tGXrwRh979ZBnIiw8a9
4XIc+j++Etf+N8NUloRQzv9kXn9CYsKCQpeYUSxDuLpuO7ahDMWM+S9KOr9NoPp0LRsviq0sx/yv
UNKvI/H/GIXaDrmCPDpTchQwkDzx235T7OplVwKn1Np9qMEaxt4QbNm3dERDSXETmP0NHtKHUeTx
rWrT7mgLg9WO5C6ETr71MhN1HSQldKtSfx9bx5t1WnaRguAxoJBZ6aqJ9shzntsoEueuJYPBwTLB
2hmvZ+7U3dh3w67S3Oo9eRzQ5D9h2ofo6dQmIWtydPb0QjYj+9IlliWG9TE+grdobud0OsP0ix8T
SA+QgEkmj8TwN7oJ+ftsenlxUJzbRP2YwpbLyvL7i6OSMuzzNGz3xRBH586CGpWTRkcxdanCvoPX
I/qjSUjHXaTlu1ZCzuwoRx6SlnxPZdIhcenW7+oKkocZu9NjaJNLo4YW5c/1ecZxYG6cwQkudVOn
u78SnhYvfjDGm8EnXikPJGl0188ahEf/6Vq9+3qf/1veZXdFlLeLXWh5Bv/57bc5/eq2qYStQPg7
f0oz7KIHc9YV407NfLCtvjwbMdND/BA7ZsevwjEJcUrVqQBxtbbU3O8V271X+9W8oW1HTrGT1TuN
Yes6Hyx5itzg179+jP/0LthKGdLRHUNx5WOD+mNqn7juJPMKQrxwmRrNNkm5YNWa2yJI+zOTYONQ
te3tQj290P7v1j4REQ9ICj9qI3e3tUIwpBnCZo7D/+pOCJ0A4j73ybCG9Yogb0pTL05033OZN68T
RV4a+hdkEK473lkx4ymAZZ4zud02tlLz/l8/PeN33QX3t1ImgzeHZQBsNm/H7xdZCapHTXKp4eIC
DqgOAnRHCnuxqTlsPDYdPPXYDhhSC61+yPOR7J98VheF+wO6D+cfu4nnA4bCaNWO/ecUi+wEWZMD
Pq5wArW4Yu0WhTzo1+1YQNoRwGgOds82kphucJnY+k9auIQDkWyMLXQJGgwiAtP/9RMVv6ueeKJ0
NF0DrbpQri5s/Q9JS0DHiZI46Xf4vY8lTaeuIlnnmqfTFWLeBNMwbIfFzTl2e78iEhBq1Wc323SR
qux1JuDTq+keroXmG6fY76FpR2X8Nw9T/i7ruT5MJRV3vKsIkLD+vCWEmxN3UxKrRu9m8EpBc7wO
xt5LtYRqYlkDLE7jK9h95GSj4W3fQ+r+oeaWj8mIvgtG53sQRhGJq8tSlkPC3FWlR2DGyMlnSm8I
BW3uO4UlPhvmR0EIGsLeYGmqsA40o5B/I3iRi+zpt5ucrcTSOfMwlzdc3f5DdiYrN8J4Sx5j17T5
WUUcQbGU9+uOmvDHfBqnNZOSOWhugRkTnlz1BMAu2ZjOHD6Cbl20F2gkrUbP7ts0CPczhIsdcNlj
CSDWq8ZaPdplVP2NiMtYroc/H7ZrIUDR8V5CqvnjehkoNmUXMhPK8VzdAFgRq0CD0aJsd5NVXXfU
nK5+Dq3hKPV0vi+k9VKPOQEPih6dJqqlz++fww5FD6fj8r3Q8XhbyDwU4ZqFOYQnKGDb0OLdCG2r
3NLs4Sw2WC9yqrMfaa+ASAd7oXXiWVQzk5ZK/M219meQFbcEG7jFvSCJPDGcPzeYKSLCYZ6wD3+F
jVXrKoqNZ/q/CADEA/+q8aYkp/U8Nfmhb0hBbRmyxFPg3LNLV7sqd4ZLnorn0fi7neF3Dd1yG3D5
S0MR8ELQFhnfvy9LBI3N5mDo9e4a0zlkaXIIhrY5hhK+EhwyY0nZPBhEGu6DidoND9W3sabDOkLg
Qv8ZVR5afncs3/71MvKHCeT6wDhJWTi8+c917T/kdyhX4Xi1TPXGQdISFXFz34y0jxgXqmS8zH5Z
nKcZpdaqkGLaF5y4wOUC9Lft+0Ib8JIlEYoC050/bJFs+lS6m4nJL1B9ckv1ymEmIusl5q7Iva7P
sHwn8mZCAXQXuzI/UNuhOtJAQsEFtT9N85ZoyxXJwuMltFJ9+6+frsPF8Od94C7KDJs6gq3a+qdT
SDjgxTWcot/V0Du7YTPZ0zEqsCOVeuwelzFnr8bHsKRpjH/HXvn29EKoL0GZFU0FKCwrM7uz3Lrf
m/ogyC+hQ8Y0pvFaPfeKQqfTRfw8opTpRQrrW2jCJBSQLb1hCS2Ajb5OCF7f6Q1U+SqS/ToKlxqs
iB6zgWqtLoOfEKet1TA5FGiS4VIiYSzho7YXurO1acA/mJqML0WXPZCEg74Fp+cKgiriz756DaO7
yahAt4XabcDdslJIwZHBtuvBzD9VUb5j/kGt5952C9aYNL4zJLvQ82sdcE9JrZU7Qp0ppkcvlVNI
8p1AZnYlqbQMqiPGihtpdxs7TdXWjYK7sOdPq6z5dFvtFonFMeBiAtHxCUiD4OTxVZum4NxnGnlj
DBfUfCcYrwofKGTYgIXOW1wSVkyChhOKu1E7Bg9Grt0ONVPgCn9QN0WoRWR26lr+NJ0TCl1X9yJG
pB7t+FV6tAPAbgRFFmsSmZeLLdpB/4PZbLNfG7U85QQ8NwXVchMghojDmQYS7dl+Zjgb9SQP9JzV
ci1+jpr++4BtEiouxkkwg8CN3FVsRP0uj4diHdYffi02BAgs4gm73BJytMpi/cJhDlSY9qwr93sr
4m1X/ER/3G0CCdMH6OxGiu41pmG6LnqTYDxCbNOxJpYb+mLNtrXql0sOO9Q+tvNnx/bnNQO4AFmB
JgGk6L/QKL3oZc34EH5UCZCWuwQbA9GiNBFUTFQ4N044ESBM0ZyWJmCb4UkP7T27753l2PRHOkpu
M+4+wsFFnmN4szrnwHibBTYJ2UXAA2PSzSXsEChs5wxFCXXdQoXjoqdTowXdu2zQOUJLOpEHB1JX
EQDcuTCwwUdxvzb4aeitxvDOFnuP0J4asxs8BtCYCzXjzTdnxFcNYdtgHGBA3U+Tgv1h6OYKWtX7
RN+36KHNhA0NAfRnEtsCoZRWVV+kOb7SbzLH5gfob5RRqn6tWIz8rn6PzPZcVyqD7Zg/VyJ4L3r7
pZ5mxAStx/QAg1GR91Dg0aCX33Eoq0WK9golqWfi5uwtwBObvEJxqVLXA7wIFxJVw0ZPGMbjYHHQ
XXKpGzViJ7djfMHJuc3HUxbF4arz/ZuQR3Acx5OIZiiglv6UBl246X26KVrHGIoQ1BVBCmusL/0e
sl24RraI2Yfbcg+nRY/Km7iw4f9L1ofOwi8AYuzJyl5iZRkbGI+8eSl+JvdbrkWvylSohajgVqhg
V6qxfnAipaXSBRe3yO8AdVdePLjTA9C6fVUW5GFFCCvE3OyiImhpFQr7IyMuSw+/d1kOEK6Z7WPE
UflsEHxJwDbsyCGQty2StYOo9WafY3u5qxoJ4TrX1VPTYobqY33dBUx46+XMktTWk1gWItYN7dGM
4MmbkFE/9TBlYhJH3yuIdfQ0N9YwhscEQ8w3pT/kppxewUqLk2MSSugOhvWNvGGYV3FSnH3Rmy8o
UlcTW9hWtBF8wMDqFjmm5gVRKd5mCmGti8OnCorUGdpkBffJ1t/0quKGr2V1E89aemp8Z5mPGLeO
jdKGGKH7qXT6k6M1r/Bh0jPN529llYiHoDP1BzuswEcNkCFH/2RHDIhCOTSIPZEiYJV8pkzAnrW8
epOYPlCRx7dmZaIIzUdF8R69XAPNU8QCWEza4c1m6KZ6O/0x2DbqxSY6J1OisyCQ2KXgRWy6NpD3
jZN6Fe/dQp6bUCfU6GF88b0kkYZ8avU0qOxyLTGsThnbPphBktrIGv26PPZaV5+nwazPGlIshIXY
YsyHieX3ET+q4WWjwbwedlsBlShhxvBUGU18XyeErcI023YzvVBGJdqTZu6MUJfPdMcOnVWMB9qT
1sZodPe1HaIH9vn2pybs/QDL7hSZDLBtmdHboLJdzVysF/RvDJIEngjZQW+WPpf+kKZc1qZv3UG8
LfY9EY/gL202OfxhT4kjXhDnhd9VJCb6ofZ4B+Q1OeOY7PDuTPmaWOXi4oI5mrBeoNodsjXcbfuV
svmc2qymUWaX9/A+i6M7mcnWzU1w4Oxu+HOndSez/GNqJOZSjp9HYHvxE+Klh+v3nWbu12gkJPSa
AJ2L7je3Zlo2t+QJxLsiCtFyuDNvfqLSs625cDmN9k7KqsS3V1rb0K/bu2H5XsV54KhHxqszM8dM
4eB7cRU4N+ny4fpZiaTMwBz5f7/ByCPzWB+sdTRD7CvCUm7bwo9vKyBfXx8QcQ8eNwnJDcsPmBPg
BC/S0auAdZ+53qczUEa0soVL4EzUMo9fvkcE7l8//Y8vVUYLNB3Ki+Zug6YRd3bKdltPhrgrWxqZ
HJ3bQ4wixwe4XC8Qvw0xDc7meorOYpwTeYmMhtGnuklU9WhXeXtpCOIqUBHH6yyNSlo7Q7CGiFkg
QxiL2yGMYgQrMrp3C8R4VZaFu6QQCJBEfV9q7EnXMy3RIF99m2uqcNNql9Gvyjct0S9A+0wg1VyI
TNRjNGS+vuOFNyxiD4j5AB/XYzh4t7saLhdTqCfizVain7q9Rtt2nelO/gwdv5v6/E6Yz0yBmntT
qZmkCuIjIK1PNCQ2haPHl6+v8OblaBfi5zbrWCw0y+A6Bw1/0JiRRRix65VRqOAY9hZ5qGTVcNek
6dYm220VlXW9wTpNJtTy4frjr4ioumqOAVHjlLKrENE/Kn1ejwCb4o/Cr4lcp5cAjku9DgimTozg
bM409U+kNM5tVeScuy0FP75fkZyDQ24oeemkGxjP0gGuF0zBYzKZaJPmr5WoMKfxzh+CaZvbZnDh
lJx7FGTE3/SWfNZJGCSQLfUsN0TuZJD2pAWV8WMe+01JhYSHCj7tlHPEdatlgEyoYsJ1ljQPnZLx
g7SpAAqsFofArcnFrkYEgWPW3EOSfx4sjLeYemqSjCBv1uDIruUDjE+qXjj2j0ZBkI3NSBCtWxl4
1+XGL6KfnH/plTGV2RVx9VgQknp2ZrUjAYSSskJ24Su2CIz6sYc3hGYAkAloxzPVylBU/UFv2mez
bue7otV/mqL61XdGcjv1EXkTDNFunIFsnLFxw9suUZnXl4Z+LNwifQQX8I7Sudib0JH2Vm88tkMY
ftNKaCNmLR5mOsowVQnGZga2+frblcCLMBSL+Q9MNKflAd5ecluMfXA0UtyqUnfih4E0LIyeVA7X
L3t0El//3MhzBATLa4Z/ggiWwDWQLaEoDOt48tKwhOXbRJ90uxANLl/pDmK4aMyRG8CERaWXcU5v
U/doOKO2bWscthlx9w9wBB500VnntmpPjQDihfhbZIfUBDw4RkSnfyrdnyFspRYA4zi6C51+XBNq
3mhdeNcrYzXDIrnUZi/QBXT9k+AxrCYzQg1d+s4NzZu/OmhV5n5g5rc+TYQ1hPFw6OuQ8G9qdoub
e5he40PTwsNY9ofYIBD566nriNTPg2VAW7Za61ZMOvTa4sAbI1/xbML9VnFGbFlu3rQQ+m5wnP+4
bqhMaHMSySvjqR+d6EAUY7wrq6F8MdPxrsl0Y4sSMz4HyYFFHYkVn5g5jDDEF/sEt45v2sNzr8XN
peamXAmbG2YIUn9P9F370DCGd/rQPQ+c8u0WRen1gzLju692gk3eVcKj5KDOzadC/TaqARmYXZod
CH35iElv5Xk5ya6ny7YWnUCBptMivCRRD0GNruOhqVyGQ/Ux7L7V2JXeGhi+exXGw9qu6s+0mtTt
PMa+pwInOOT+9MiZPr2kJjpOTjXn6/ufSP2XHC6l3cqX2lUTEliiDfwJKcXSXuYUZ6xIvlldw6+x
6k97gg5MwP5ZSIs2H46KydRWjiExY7X0twGL/MbFVHLPuQP0fDOow/XL6+V5/Z6YNfNguNJcV3C4
D75B4Fc4Iz/utbF/BXDIazK638psi0ukPSIjzda8McZzwT399WVdtKRikV86DNBfFzbm0//rMzpa
zyrL7dN1DzbAWu0BrDSnkZddRsQsiuKiAvLngwRlpKrc8LG8JQhlBNihgpNZo0kk1CkjTodiL8gz
QVDG9IytwLgbXb/a0cWwsNbHJeo/23wegXStKe7M56FoSgJho78+u/708rU2p1VCpIpBurXBCP74
1T9OymT0ZD4vZE5AOkEWlwlyNcURZOk8Tj3IdfyvEYxdH0pkkmW6h08g45BBwgHvZRDiddOz1yHu
673RSqbrJUy+nvyIQ2GkmDMMYpyw2hTAJLsfJnsFLTtK4QsQ0bLTixtRMV+SZqSxQVbFzfV7squd
YyLzVTNVewQd1VvG8InbqQ2YDBUZrvJA31wbr7OgBMmNGGtxVM4rkVU51L+EkqGnCikpm9eNaYgz
fdjmQTnFOyXxQNRowwzDBc6bqOAGO9DoWNON3w1/fYj8gvbA0ifnPGFedIQc1z45ZL54N4KsRrXd
Po6sVZusSeKdHsXHZB6m9xyxwObrCqdmxJ6Ak5pOjQMipnSOVOJxZhWvRRppN0ml/dQhGZPT4OiX
ScFi6AsFSjNkejLq5FEGsSmIeAtJW68aJiqj6kAwk5Yy2HG51xhx3QD27dZDYbVM3xHzEQ5QNVvM
w/hYWnd+clPjvkruGcd/JtlkndSydSW92R+LHDFfUOvfh5HyEM2MfqxsJ7zkFnndPlL9fakra5U2
IYeTwQZbbqLC+5pHJAXRrO08u7fkw9Y75OVqVdFwvZkZliCKGfGOFeU+7jT7m9n/7DMAjrkT3s6i
krssqZMtI224923DNinYCrdfTUuNqI22N5fUHyf2V63W5mxMIW+ohJOpxFLLB2NBMKN+cmI3v01F
C0qWtvvqelYI7MLeDkZ8V6O9YB8kRgcZ8LDNKzm9pwA+myw9Jm2hnuN6CRA28g2aofbMSL+5lD91
DfQq7QNQLn17HkybfqHy+xi9NggYvw2/swnOMCfdm6KKcs9ZlhutBdkKLWRc8kpYsKy85+hWcEP2
y0NNxv7xa4Qnw01Ops7ad5L4bjZJbb8OnzJZyB0lKpooWrurpkQ1afbymbfzJ6Qz9ZgP6Y5jqDia
tU5Zb6CGIRIayI3TsN1dXy0dOdV50VwmSk6P11OnPjtZuJlxPmVJYR1FzYm2Jf75gRkyk3+Zztu4
F/HmekH4ef5+fQEH0tnPeQs4fBAwBWl3Nqirlu13jsgSSdzxobSnfAWRuPfmaxdaxukhqnrLPyVh
sYE5UCRc/80BsYR7Ye7xkhdtwhx0/K4bWvMgSGk9d9r0EIIuWmP4Ba6+VLJKaMURzdMv7J31/Uwb
cpWEIEIg3oZH1+edRzV16OtGuxn19NMX9OHmUIyo35a36Try+7p0fGJs2OSRr19/VS0NitEOCS84
+ul9Vq27Gd22WJty1N8QgmynINCPaR92t8qNjsKyk1fhM06A1PLoF8ZDTyzRTu98UP/YaF6nNj7B
UeHsgckv8+ejHFLSV7thOCH91F58M7+1Mj+97y0QqZiNLJR2RXIyUanT74jr1+QXKWAhGyKTtiKJ
v1ehHx/DoDExbGTOelw6r9faghbUtCeF1BuclFUUAoSxK+VrYVEsDsKqHtymjvdpho+HFWWrMSg7
TjYT56DmaTW5dYQNMR+un+Vkbx+G5XvXz7QiAazfzP7iTVDbKpnqh5HQ4DXGXTJNdVAstHUaFh72
H0q2jCHJQOjuc2Qsf5y5HMhfMsCtBkEkQ+/mOLTWdHa7IeCexbv34ga+OLRW39Hd/IgwSjwoP6oP
6WhGpK315qrIU524DmooCz0/jINE7cJqfL7OWA0V3V23oOuHIeEvkYh3mZvaYyppnIPZGndRQ4d2
yDtKcHrlN1UrFsm7RuLVUvuDCnSLOKWKoVxBzWVva9t2zqBwETThoPMR8N4ShFPT0cnfeRWNW61P
kDxJwJpBGFtvGhxyvM9ueJ5jrfCGdFjFyyJvcEVsbbVotfLwq+br+jDdd2P604kk61d61GgaQPMg
ZwpvVhDS6aGQeBmTxXYQPuRZaSyZudAjr58FQq2TEnhFaUvERbE2eyWb0btL5Vkwl/seJ/JNRZGz
jxzjFzpCfVuSekreNWUUvaibLI3be5rw2hqoG/EiBeXEoI4RHtGVuCpUp+y1NEOoQY7Tr/E4LqlG
KGsjUxwLEO9eUmN0cbfkOtUb+p0kWyuKO7OW8dkcnoKhPs1G98Ii92ETikKWGT4rIgH3qooeHJ+r
3CdACLO6STNXtGsFA5dEB2PQXSIjJkq+0dp3VoQcmi16IyDnABAL3hg6T6vWDdd9ZnxoeT164eTj
oaKhYQx0C40g/QHZ+SjMZONgzvcSpnewyfBYaM7sydRBe6mF/alGd1KEez3vxcptoCJzxCRBzwbL
06NEdBuUkXy18v30dtQmIB60RNm9A3jOQ8waXgbhmu0MVEwoaLhFk1eV/k+S3BCB6Sg0R4iompbu
EyA06zoNoxMaOmA7YchUYHwcjPK2TrX4KMgN8RHBjaUjN6ol/pk8bG0gWrpiNuU46KhTl9+5+Oqp
YlickoAikuYtbBWElk2657L9UDoHGwTIYtN+Yq+Xh05F27Zp7FMqVrXPRIFD4JIvUXnC73ZkmdGT
ShZ3Gv5c3J6epZN3XZjNwl+isxLb/joD9sJxo8MJaoWH8TOddHJXmI6MkcR/UL9OMmRuxRW/WkIU
Vbynw/KCUNmf9Wqtuo42bjI/oJ/lzCWdZ+oEZOVzk+FysXZjkeWgIAECQZF/tlFJ6O6o3Qzk2USh
76zNNDPQ7VfHCH/NZJL2KaPvFL3vxFnUu974yMDBInawyMZ0Gzx1FjI+/h1lV+/5y27FVO0VSj8v
JwGSWy0/1G6WvlQMFlZ67X6radLs2sn/rlpywVREkzufA5SNYtzPZnBGPvpjnBomfVG7cxNHEZbQ
CGBwJbpeWv15iNmt1NsdMXhbKSVBDj2kBQvtU0iy8RZ97EvTlLjm2pvGlOZhPuip85JFiqQAgI0r
tODaThOcmwLOcK5K91TdnxPW/2ksiGSYqrMqs1egcqdJTm804goR3hGLOQJ9itJdMCF3z7rvIgIz
pdnNR2yGz8bSOI9gJWwdTXpF1gGdz7J0G+niWInoLR79aWdMM5M6Xvqs8ZtdpvWXPg6/M9MiaPfn
cq90bIiOr2mrxEi+sWT6uOtiZ6X10a6kXTuL9leQ2oyGmuoQ9nCiUOu1wZCAqmiZyznoJbt2tNYy
0OAdwuQvnMEAJx4xwQO9JZG/bqxs2pFWs+n6yHzq0TqtRtl5qi7fdMs5tLOVsr5VAClqDEBJ/WBm
7sHBuPU45eXGVu5b5ePbK3T9Hj83SVP9L6vYgokI6Hky2x+VSpYTKKlgRfqmTxyJHExXfuKBbnIu
CGUfrZqzI2b4dZRiEfcpXEThY63oGFMEbFQELy+ZDUsvJsyeq5oYWaL83rXY2QVDjqI5hfwZh/7e
wHbpmvmHE1S4dQwmfUVAVjP1hL2xQv8gIUPtZJo9UL+T6IkBj0YO5flIJweDNjiOxFaBZ5oQ36kS
dhjBf3B7E0iRtFTo2PxpJAPnt+m622N6EMp8O8Bz+hiRlFAHI3HTKpwhhX7ImA85KE09US2tFQZU
a9v/iCMi2rUG0fGssh+9bIBYFPq3dkCjTtiDV6SwHGg7v+DSJlI6T/bmaJ8lXZxNE8VvaNaTY5jn
H41+CI0UdEOcNHTLPjtZJ4wN8Bey1DAow4LcRn7quS0EFomByGz6Zt/r9MMJtUFl3ZIPF6BXr6I9
J71n/djjx93JIDt0eVJ5DRMjdM4abiX0MAySYB20WnwblpaXBwYLU5T0W4Q0TOfoS65gsD/6jJU2
xNzt5jHbzFnzMCp20dKUuwTi4ppc3RhbewxsgVnO01RZALnGwln3P2AS+lydZoMeuLoN6oi4QvpI
AFoSVPxYfYdsqM9NPJqrLFTRrkek6Rkk+nBAmKzb2L0VtflLN+l3dZ3ilVkiYDpgdkQrkfOxpB6k
LO8Oz5py88aR90z9mn1iF5/Kid9zPcrfRriYS9FM9kgyHfNggvkR99paDdQbRE5hMmrI23PzDTlX
oGUHEA2S3nHl2ni0tWc2kmlDQBuhvC0VTN3sy6LU7gdMH56T6DqDNjgjSeq8RaPUiIQavUJjMmxX
1QaR7ju+42pjElQPMrfExByakOOWSEDYgayHm9EiclqnEYtVb1/MoCjU0IPUdZlJLpaVut6FEg+Y
3/M4ONndlBqghxmGxCBxzLoBEXMizn5YNCKbyqadMpsTZIeOhI7opc5SD2PQvOSzvdWxJJyDKFqX
KnKmJc4IG9M0eHG6b8ZPRdgdRB/MobmVEAMcrisNP4fflXcBas+16d5E6UAIaCrJt4zRSpb49ysb
8z0XzGHG8YV4uznpqnK8th2Jyq325aS7p1TLLlaZIrsf293MFkjbuMHbNBx49B0J677cNn3hxURd
bOdy/NmJxut752wkQ36gaAw3iUaaj0/YNvK1+7hzNxx1BQEIBBLyzI1jQ1pHwAiZvPCLy0PX+yTY
1wQakQ8ICWOkZZdNGbW6InipxaoaqnFv54m7ScPpSG79e8YC6SvqTcNOmYy4wHiDTB6jIC0xNfcj
x+x700ng39jWqei6kLzL+jwwVPRGRFckKJjrAuzpau5Gf6Mlw2csN8NiFpSEXELe6M4DwX0Msd+Z
iLa7urZmIIDA8uISU5ebTodMZ84UgMebq/hulC5AQhO9d1xb+8DtaWvo34vU6GnV052bU6asQNU7
2CFgaRv3pZl5IaI6/p5jj0KLSRNGyzeWVsjtVBFd1ADsmGH3Yb24i+cpOAGaZWisYcHLgoz3FytQ
N4jPQcpw6xL36sYph+cm+qn74i7RMGIaBfPqMObgZxLVrQ0CtUqlv44uxwFz4lLVTK+ZdRP1Ike+
mtGtMyK0mCs0OBE27o4LuAkTCygQ7nKznNhg8SRr1Sz2AzvgLsvYVWpLvJl5eGBX9/dVtORXcfQH
ceAC6iufUEufi9kl8oXTIHYWjjYdHnLs3aFjkM3ZasE6YVK30eRnUCYfjiS2rEXBRqoGHSLipNd9
XOCpmUEc2H22baj6V2Gmv5QkRa4jNzqT7GJg+rTrzdg3kEv0JN9ZEIzXrvs8l2J8yJ/o0L0QrnUR
2zZoOff76r4NjZ1lUU2bE1AT6DUr5BofjsP6oCfNKSbQOLQ7fefUdP2z8ZwJXRBSJp9rl1RhaQLs
kJKlFy1qCl6Uqwibea2OWpd9k1r2FIAnTQh0O6jwB/ohElVosGpemeMnXrRvJlate5Fj9F2T8fUq
+7zelSnQU3vAhGW2yMKy6G2yevI/Lcs9Ftp4jwcHr2fPluI34WaxlDpsObor9P/N0XktR4psUfSL
iIDEv1ZRvkre9gshqdV4yAQS9/WzmIc7MTO3R91SQeYxe68NbYB9VtwCFxymFekwfc2Wtc9C8Amw
lzpQKoo9ouYfa0IEe8TB2z7VdaTpNPJxDDdckUeKUspXs3sqy/hiJNVnKe/Nvv80mMNFel4Ie+om
wndcwYCFZtRey5qG8/bQWRhCSz87Jz0AlqTV1bbyewqMFlJej1sjHDtkSx7Ok4LnIE+6bMc+Tx1F
R3A3OYagTcrLDeMNuk9LprvKRz7I0nZdktln4SxbV+XJwfOxXOHz4/wkJNm2uxcGKt42yLvgZHju
p2Bjuy3YBgHTn1cn9YdpV/2uH6Z7OQP+mKrJ5adX0l54Dg/IEIAr4hrJ7CTSMn0RXLLrdcPE1H2q
eZSOauSBZCz64TVwMmzA+cfcbZ7a1BmZIXnz1muMM+mXMLSJ89JpdeQO3SeijhpzJpK32Bvu2Nwm
b7jinTfvXQhJLs3JFs8XE5xF1NtYQ1dg8MUGWPrDMSW8Y0uyltjWvdPTdAw3QCf7ZGjfrRmnv4GK
iUzoEB31Rs2jvVqI0C5Pb2PtcyGwMcI9BK4hBUfd9e+9Q0JTF3xnIvysEuQkPjyMGCH8Ni3JQaMY
PbptJrdhBvPLwstVD/Y3hvtLsfQkoeNNi3AznJPqg+maDZSZ1BwvYQXlhDalgHUgudW5ub26ueG9
0cby3Avnn6teCqrWY2s5EIVGD31fzBxIe9AchNudRgXEQlXnjCgan2BP6K7CYH4/7o18wgpdd+Rm
GclV1/qvMyDIyb6KBuMSR9C4RtC9CRJknamaebwABcUK67ORV6iZJ67DuuPGxUVdhiXw6ZM7F2MU
A27jHacoVXoxwG9VCK/CBZVX+jUlMWpkMWJgkvrbEGw1F8R9mbIRgJEase1N959hoQt1B9IC9QT4
bP1XSJmPofkr7WU4JSLpcbNOHg1jeeR+m66unXyzTwEn0wjSc346j5TzZP16sJo1n5mFpT4mUisl
qjet861JHgmtX7UqieyHKtAoEhCUsHsZPuOkTS9j78pdDybWZbp7CRFwMN3Lt0OnvM+p5Bd2JAUC
5J2zOdy50I1Ixo1tW2yVm2yb2Pg3sEHZkhzHGYoF7zyMxYc5sc9qKTu3S7/ck5P6N5OTtTc1w2aV
Qh7rbQzfYfU75dQvgZw5WeNx28/VK3qGfIsA6dtw/T/ZaL1BAix566Ce8Z7vyMEzIsAQDKRHMulJ
qcWoRaYYQuB0HT2ngnPemcIqMjVFb1ZSjeLFXin31cEecaMuo+B1rZ/mfG53ISQtOkROfdVdu17x
q7Ppx3KpNEcyJ6MQdTN13ydCUrBMTDPgqIIHKw1q/4n1PCcg6Vxajj3gMNPYZ4Jw80422Jc/9AAZ
QgApPCibWGCtuJAX40/TDYpoS9B2//+ljV2U9Wbe79CP8ZERyetmOH280eDRk/I4jCBcx9JykR6y
Q5CMtV1v+EUwTsagBZiFd5SHyUfTIrGU9yP5gGha1opqk2TelZqMw4rRhq9rm/WHF3msCWFkM3ha
pnem8cx1xKkzucwb0o74evNedB5BU9OhGIHd+lbV7usxZyxk9RAJSXZDVsL+gQG7sJ/1LNnKHbGJ
vqEgNHzPZKZ8B98QIhOySQqc/ryELV8C+NY+tm6tbUf1enjXuY2OIgawnSnCwVKCO5kMWTu3hIvf
rXLJ1uD6bWzXQkT9p9HkSzrkjkVNvuw7n/cO8PfVrORXbeEnxrZJLH2MwNZG4GUajGNPY2rdN4ET
HlSe7WpazK3kbTNHE9QdCH4gmk+mkAua4+WAjXYt2bhAHRO8nk7/2pZqwXipV10/LcyJ90zhMrK4
5Tl3y7dMN3ewU9MIreWra7rRUM3hE7oGGp4xP80OWs6iaQCpZJYAVmH2lDbUFAFur0fPng/QQ0qb
rthOhz0Q9H+5wpLJ6tlH4vlHOmpfxvyAVGvYPJ825VNFDYZJiyA9RN5oTvE01S95f1RsxZ+WMn4L
TTaqMeF7W+1DHwKOzNA331q2hgZU+/5m7QAjxypv1mK+sgsdDqLtUW0lZJaVRBLmPYtmErcz9ogU
gFPF3zUUFXCCKFh3EyuubaWTA9Zu0rkMDQEhDL5YSBezOOYWAK/UCB/Ckr8xljnHmVHgu6UqMHMJ
SUFTGbfHqaaKFbAhAdA9t1iLwdaIB6OV720CX2eYYJE1Tf6nitNXVHfBKV/Ko4zjny6/G9CWb6Y0
4DvDMoHf9JANPHZlqQkPJrkbI91rHQb/whHc8RQEwPsGFlmNRYxoeYSDc52rqr8O3FFBkoO/zGS4
kaH/hwyDbVokz0Y69leRMnfVmXhMBobBjjXfYAg5ewDOI8MvfeIJ7WDP++WRVtXfAY0DdghOiXNx
56bi2w7MTz12KKXNFEpDPV3xn+qDwEcHCn6X+zpG1biyNdRj2y1Pi4BarvDpCtujJ5lh/3Sp+ySh
ObLZpsAfbYfBYDOwkWjsgapxIoI3KLk7mRYTlHskBNi/mEg8l1IemlZ/zEzMdDISpO1dO3ISdoif
J+D9sTwSUvAMasc6pCZ0f9fvuudffzHbZxYrr6Fs42tSBUvkG9ZR+D1bxIwohZRsSwsmZotusqP8
BiF+DTtYiCCL1bmjcXSrMIOMpi55S7ygZm+0GnPkLnaEt7NGHR9ohSLECiDkYUVsKH8BrnERdwnL
4mbJfZabwa7IhNg3BZNzu7P/LRr+B4iz+iop9PNCTZtCJg8zEFoYB/yTH/YBnY7Yl47X7UzXLw6T
/zgmZKszAS7OGRcup4NBNrQC6ZJ+FujMjbB+FiHanzixy2Ong0cIwZHj0sjBC1V7SIoA4yQNUV//
tVSGziheiOVz0yPVIX0X1iLtG8eaP8shHeHaNIh8Tk7A/mIonuKsM5BHtNz3fe9dR+kdp4ALPu/9
iv2ihRSJyGbCLxCWM6pbfKRIEhFbA5/cnsvgjm3E3px57+0AsasvyuJaVhXZu6GNOq0bt02H84PW
/qtLKO4RR/T10JzqQB8dFe+oE2voC4QlIElhXpnL+aBCZuHaSCQz6TFKRx2C8+srnAYtR7l7dGZG
ZF4Z1IwZZvuCPvTZIJA6jwv7kbLhwgJZ74fWfW8qn0DjJXgtsVFvDW+hk2DEO2kNu1xbH6BeX0tv
zdzuuJO8INnmzZTszI4/TuMyHnKy4TdVkJWWarzH1OFeSkwFkZJqjgIXNWbA/m5vtljOljTXJ8kj
TziE+7WAs7y43InKN2aKa+sBGRXjUlI3jvAofk1bPIUhn1AxshHCMAJP4FKCZ6SIvi/98cdDho+U
076oQaOF5aOB+GIfFpxi4EgMCF52cJiX4iF23Kfer6ctyeLNju8KAZpKR4pImuSOANEMRMCuS0HP
otjexEm2AS+8vJYtnLUhCZkXEx7fQnfCiCro/71V60QIMbS4By37+DIt8T35u3sL0h9TgVpc0sZ7
XDRQTXA0B/qEbA+LaqtEWWNOmOGPoHNFu/FOBTU8hD6yAcnhWhDruMlCubz0MfESnCxv42CHB6dD
KqBtkwTT0d3J2DqaI1r60OgfkvynKGnJvOGYy/SUFkP+igj9Jl3m+CpvdlgixUGTUnDqoN0xo+LY
aVoeVDJig+el9/bEEtFyDfWZUbV4oDoJ2FAOTw7DXOydy/ieeeK6hAHVLYCLy1DdQEkm19ypDrDO
/FMWp0j4QeQg3YpyynduRvuNRynF55y8jTAlZGZPUZ3KAnaHCe+XrzH+JiU7vqRIw6MPrXlbhCNY
3VATmf5YyOWOF9W8VwEvpwtj51KGj52pnjFC0y21K0eouAvY6jIHSuZLbYTPM/CUO6QxJ4hbBNua
/yghblAVes48i9xWOtuNQ2gtTo+2Pw/SwwgyBqdQsEMLfWurg8I6TqnLKMdKvZcgiF/JwGruln76
KJgw73no2dD3ZmSYxKc042PcW2oruYnBwRowelENJSczGzuCwpGouMxM/AKQXZ0ijO1y/7OhxLQH
gLJzenYoCPZVYwGry3m3nW5BeEK6Ad1rhGRTbbFE/aMsCKPODV9aFPO0R+FbIOqEr6Uj21AfsQAp
kPb2vrDRRZAGddIdyb8TElgmv9PWm8orVHo2TDWldl8Ext5AEt8m2LCc5mmWqYeUQfoUbkZEk55d
sPlsncjTecAQmypxrlxKNIFB1QtJ9pXaJ7+zQySMUI5Q8uE78AZYFAbjUFuqdx7nP93wyUbA+Vr0
g90C6UmEKy5SfPlg4faYmNg9+e6VYWIL00n8+J6tYDzApEDngBaFBqFOzOfAkkeEMDRQvgeIjxty
mEJIfe6HJUgsaSt1mormryyc55oJ3sVwg33vl49O13QPnb45yLkidtaPVcvA8GecSVoHrhEFG1lN
7TaNu3Kb2XC1pyx9aCfP3/dD0px95zwO4QbWz7LxHJcvlT1NLE7Z47CkngCUrZURewQJAXvqvryu
sR/AedacXIL/tKRncvfahwnrS2vnpeX3rIpDnlX88OCc7SeSbKqWjr6L7QLgz3CPx5LHjuJ5Yb+d
zN07YoIHr4Jy67rITBTt45kwCfr9JUAKPmAGzEbjhH/0vZnvtGzih8qx9NaT/lcsAPyo7E8Te4+Y
djiAJrxDdNxE4Mgcdna9vLBKTc5ZWJFckZGa6wK2Mr4zzy0OZa15jNky7EPXxJwQlC+q+FrNUauK
3paHdeuU9OUPTvdT2a8VUaV3drvGPmedS4vAIzdK+1oq/9oNvX0CxrCJu0Ey+ujSPaa1u9yDBGQF
tdhCmSP0PHEPZd8/oFuKAknMLpXB3gZddaRm38/W9Jsg94jsNDMvG35AzItyoFpBVxzzuNcI0kP8
edix8Y5ffHBwO0+CwqmdT+n1akv6OMmDmmBjmx+M7RhWNAv/oDMisx2p0GJAsH6eiB0irGdfdsyG
0Vt+NxlrkbCX8xEXWceKJn1y7Go5WRkG8SzhLpy54LaDnd2DlYicjPX3YDybhZm/dMaXgfR4U9T4
bUY/3QeTD5RkKemFmjHemlp7CMv4DaoZ8nxQ6rtimVlssM7d1qaZnlwBdjye1JlTESdClOXDBBai
em6z5yVg4SIq1hcLmSYsyS8A8QkhGgkIsUzjiVFWurdN/WoXVPe4pW5OVxr33l+GpgReD1zuxXhk
YcKupz4ZDuu7lN2E6qAYTfCRPoz8yV4ED9FdG9zyTDMqO9mBfCYDWRwcwVOIoNC1weHaGdIVioNf
qAbbeJVR+BWNW5lxmVYQxTrvYxnga+XVsANqONCpUyVjB0uK4OYabOrMPEjg5q+e6Joo+sb/Msy5
OSexedGt/xwWcxM5sv+KoRmiPFt2gdH2uyF/EUHuohUiiBveP+A0Fb+0c3Yjl+YORlix7caKjxeZ
TN3XxrnSqOB5wP8BcO4uUHNeqyB1DzAx/ggEGpFhAdy3qgX8rclPVH35guVckzvIas0AfJrJrjsd
6w9quzW1e+h2uTSu6+JbAKRmT1ncS58Fhe8tZ7dj9G3PLPWc/I3FGC3QMoxXZux32vDemNCUexbo
1O3Wqz/+ShSlXlmdg7RNNpqu/qDN5C5Jju7c49OzzKhkvbPBGYa4oQTYXDnzJi1KviGEYgs9EQ0G
34K9T2cRoOVJ9QnTLh1JuLQ71+/fWCuSWCrp9ec28hLoAyVJ6WoNWRqNZzvZB15y7J3plZ4qmktS
pWLhcGK51r++8K9s0e7sdn51RWkerIalCRZBnvgS841D5GDMW7gN0WU7mC6cdGk2bU//7zq2eewY
HA8qYdrhSItW0HyGWvHlDfMdIC9Qc8LeeCzsZMCpk7kvdu6efZ18WciJzn7JaWjIHqJZeR8W8tDn
VC7mwIwYgdCLl5fIOBVzE7NRB3yI0O+9XO7CnWNdtNPIgxL6ajv2e1Zat7DgaJ6vUsmHRQ/zqW2d
o7Pk8HxTcvfm/EGWOtmVorxLtS53pUNBVPpXotgiJnYs6A3wwQjsrI0l0j8d+mYFWgVJPT0+m6Bb
tgwPenLqA4wPdLqtYHdM3IQ3wXulAuR7XxD2ZhPz4rB5AmzB8rR+RKn/2OfWn/wtN/nVZrI8+pn/
WnjTfJikgiJYVGTAgXAJ0VVHvpmfpQAQKcMDsfPAwmLcuCIJvpZegD5PrYJhHqhHETwLf3mcw/zf
ABti1zEizlIT5nmz8xC0pkbwIHJ/iXJY4JuYEKYaASP28pUn3L6tvmUFCmfDzIE3QDkvhUNWTdY5
MBWK+V1b07XH16NtN0F3LpBacIEPGfO2JmOgtxBHH2AOmoEnG1N+atxCs4npd75BY+lU3RGY3z8E
Ik5EmQ3VvcMjrcw3hSM5tduLUWPxRAxH8ZQnb55KmCh3GlHi8NPNj3aA+p91tmYPXJge45OaxK+0
YHADzKIgR4okHn8PynstW/HAvqYCDl/7ZosJgrJ1X/dCwONL5o1UWGXDVcwzoGpi7PT64018G+ai
+MbmlUiuXJZi81akfwGnYRjGGsx8jmdB0omaXfiZrrlqpHFhxu94/PXj6MRoUjQon/lMQnDUI/iK
AwKIZP+Rl4xnM118uFX7z0weAEHSD/TApoXcWyvf1EG7FBbeY9cNr6SdvLskv23GtqR9yy4KsYSR
xR+Bn/ySWunuefXOeDwv2keQ2IavTZyVx5Spi22666I+Dpm3oZoV96YYf+oM7zBjzEoZ783EdWjG
jL8ROuLPz1C9W1CAkgUXLT8aO8jTnQrHbZb5l4FLGb2utfbawP4Lu32fl580C6LcWQuGQPZsSlF8
cA0HJgN9v2/t89dCF0snFl9V6/9tYQ1EjjldxhVp2qb5Tx2Yvwyu/uRheWJbnBKzh7pBTrd4nzXO
vyZBec76nXVq/MTdK1H1SsK6QKclbX1wGvdW4TftXXHmQN4UHthu+nMWxBi/DCL/jFDQJxPoDMES
jv3WWZvnpcBl2zPad9rk0I2fRVaj0VySQ4DgfpvM/b5lPxytH4GtxGsihledd19OlfygQ9oPeXuf
NGm4ipGPXsjMQNr/IJEyBwTmFkzx8/qU5sp7GOZ/ABqQifXhbaEWnqHOgiXL9mro3ycD5zqQbYPx
Erceh2QJHgyiAoN5Ve5w+D56CXM2oEDFxgvVm5+nD3gHkNFgO66R+ryusWkbn+mz7+UTY1lc7zUl
FjKZGQ5diUdEZC8qQFzJtkJzgASbTgimCR7Tg6UUO4LMMAgzG96MBaGcBgoahuCI8az0NbNSjnGn
ehoysjemKptPIv1lmPK2eN7frubXCsZpmHS3MfJM9ijgEmZw9Pkvwto/tWCUM024yHTxd+Fm25pp
eN9kYOA8hS81GzyMUz2UuTS954vfB6N3EEZcbseSdsy2+A6SLCJSwlgNnANDEwXM0XW6X5Wn50Vn
ZNklj5lPDzCGyZ849l6dRyc04yez/fbxmR6WDGCP44SnvJy6yMuq6lqlmPnVmvzheIJQVmosaj/G
IFb8b2GJvAfG2UdkeVxJ7A3l+4BgM+pypAkxTAF2uIgJO8c7dTNn5WDc2rkAo7pYLLPFHRyChnWD
+05uTw4ceL0S0W1o7Fc8dM2lYAtxLB88F+N5LEeWXPUnqzXyTy2XZQHFlz0xRM9sDuPKYyoeN1Sz
ejj4c3Ms7dnasLiRaXEaxnhXy4TvqZ5OY0UgTAUhJhrRR09m8VcpGmKhGoPj19374gkhgXuxUn0H
MPzG/0FA3dC1SFASgmwK8z4OmRrl1UwhPZQRiEforh1AAZDAovqAoMNorPu2gtbZeFTie4ASkdL6
0ri0VyOvz2EKkOuwHTxmZh5VPfdzNZfuhsLbicrQ+5Wx+WwZ5VfDYc1+zHoesUltbK+pIBg0X0o6
H2F9lC2Ys0yPVZS7UAgNDFp9jzZkjtHcAIi6zdU6+yvIiLOWqr24iw9Pgj1SZn74/ngkAGhfJohi
6DyPBCXlj04+fOU19mI7Tn/jJX9uctth62qf2srsmYcPyLiQYm/M6iDGuHkw3B/fKn+CHki/DfK4
ok6yCoS/FmEC6EL98/hEv30bYV+SdDYT7GLExSFOqkMT0wVYPjcFWUPjXrKT8wd9roQpj3jFsh3a
91drhO7Q2d7JHvQ6iz7PDGVqW121Vs5diL63wO2984W1l+zMSK+6WDioOKbjswqvzDTDRmZHSL/3
rc0fvuq6gEa4++IBxE9R7oG1/bhuOzMro3ntIag2klm7ksexYAwbesNfRWoSi3U2KxztbAzO/mzd
GI6zf50zlqBtg30oXAgIxQ2cLOVLKfI98qLXaqDvKAbo1RrW5a7qw22K6Zmljp+cbJG9z+YpW7fr
bWq6m9Vzs5FZwvrGKE1iLOlegw5Fq4E8ErhcsrGs6eZw/KNGm74yQposJiSFHRDtishH0RJuUjuL
t54o/UhMzUWlZwj/yUFqXC6zLddPujYjz/Quc6drPqTZZ6uHqdfVZGjYk7nFG3XnBghzmRrIczHe
qrl5Nz3DPCOxvQO6Q/qYK5+9Lm9Oo4lKlVkUZqP5LfVZnCJAHXc6c0DDmwBakzaBXDYV6MbQVaNR
vYSJGx4ztzmlTRYD4k3jqNHZZ2aiYrYTY02ndB/nnrVM3EjwxOphketQna+76V3nCM+JbBCJgC8r
jItblCit1JtWX17t3mucfXvdSYePqTs7YBrQh2VXZyGLSRMntpv96p4Jk0GNQpiGYtwRSXThRw1A
gCaM9cDS7dLRmbYLZBN2pj8oBA5B0MoDjTFqwzWRpyalxulaXmQ8mvgv0k0olpyT13jFEseJlqTj
1sIdufPD77KHIoGI8mIrPJlunDDCrq1DlZDcVMV3dI+Ee/hE4iju/VKsBpUmPsAdu7Cb7kkpnz5F
DmYXklivVTTzXGK8g/BqW+m2yvqv0hp+zbpO9xx6tJfz/JK3xQ6FxlfAUItPiGveUY9EDJyX1ry1
PfVn2JDLo+aeOt3mD4U1hyhoL1q1tJNkoTF4kCYse7zZeCc4iru1zvByombJz3AKUPCG91kwQGAo
ZSJ1zy8O9hgEfuG9BGKEgkI9Gu6UHuzi2Z8IKXYYpe7QRzwIOUAU8dQfaKxPI/BC9ncTykOCxIfZ
5Pu1b15Ag2/rnEhEm/mA1d/sKSA9p4EX1JrHocqaV90u5S4bluXGTfo+BnrYD96YYaUpL+6IWWPm
xV7S9EBkE3QWQZWyZpmkleMclrHRxKnyxdOiAJuNwC4uOX4QCU4St0rgOvN5tuxkm8jX2QBB7PTh
NfNRSU7EzxqEGMxB+mmQ28WalG8HS1zDcIaqm1crqKo3jtVnWMNEq/JRTi6hG4s8pLQkbN8oF/nP
Cqh+S0hgRgNxNkYR6k/2nd0lu97PkC34JOPlS4VukAIorgJ0+DGPCEPWVvkJ/PpPuGb0r2FvU7vw
O5AM8WYG7NWgXBaRk7Dr6R4KH24bcVQiYni370jFYXrE2wNz8DxlSbx1Uzg7y6z8cwA3G+HTdVrh
mIPL7nJMvaeg7kE8loqqOG5e3FFLhOfJnmk0P4rQDjaDNZ5C7wd/EXZ26EwRKUtvDMVXv+iIIq3F
PaKc9AiZn4FD2T2KDKNHEC7f1ipRVoD2eZ66Yrtk4MzY+kNkcdJrk1gP6o2jvKTqyixOt0emvc39
5FtUd8yRLC6omNkCJ7IHXX7mxcuzVwswlBovAel4a34FFlRKydrxzrH+7oxwvM4WaVa994/Sh8W9
XcOOkt4pkPxgZolRSIvirU3FtQwMRr6rQ85sz3P6ArQuuUM/zXuDj3dKMSUgbkfzRHInUAr+se8W
XF4DL2iiBnEb4OonRoapCOcLnSPxfW0hTiCcSAjBSwrW4Y4jNjzJwM+YpJT4ZKiZNl7BIHfIGrJn
2Ekg7PVfuir1N21Qs5ksbsJb2AMYya4ORQ7RoAPewRHWxfpfJwGQx7n3GhgIK0pks/zmM8+eCw0H
mJJx8LrlmYDfbehYVJLlXYbgLaIKqBBy0AC7jflDhNGmn4yvwURVGYwt+T1s0yfL+oIdpTZeI24A
wstI1quZgv14WhpUwLEkjfGuK1xq8nzdIZVvXrlU9NW8GHJmDjQxzkAIx320XBPl5VvpNj5zk8tQ
d8hsmwUlfaK+jQpKTjBOP/BI/zKTRhRlO9uAXJvtAiDzPMP/AHb9ILHBZ2bzYVmKI51MAcf/W5AT
vUq3GiiFI9NwFACiqTqKq7OuiP8ls5rYIgTcQ/a3nGLykYb4O7BD/gWubUf3w4YB9I2zqbpnARz1
0gHcVNR36BroJ1hHJgHOuoUfWtdS3xiIifdxrLdyER4+0TrejhMcLNNKnmF2i6O9+nHaoDOwkzLS
if0YqQ6Y0I0CuWQVZrLFvs/iN6Yjh+PWYZ9ltrrsFoWAPtvZo+cd/a6/xXHh7jKTmrhQ/ZNnEGgO
6kZsRodQKcKjVPobBPm7DPfuNMKt2Pg+GKjib2s2z3nal4wKyt987Ij3i807z83x67tnHs9D2IgH
3XRfPSMO8jgKNlHTVOz6pr8bhuFlmp0DfoIrtcNDnYwfBdpQrU1mgd59MIjTLNaKVfm3hLCmUWXP
qxmnKWmWjRKHXDN4CDwlEWz6w7Mx7BBe8jlNFtMMP/gRhopQ0u3mLDknqG8MVe7TQkWVuaBnwTVn
tcY1Ff20HQPr2Rq+1cgrlqUHtrEfRWc8FigEBVNop3kd0uqEKJI60j/Vc2OfWUVHY5Y0UdZC5C6r
+txbiIBopI1qocOCypcKaKJlRaAIg1iaY4D+RmVgCgzvncA8u2b415qIEe2Wd2Ndfcyts5zc3r9j
HH6INUMCS1ED+CXDCCRPh97Q/HYhRCxTVeUR6x5lga4U4XPLr6X2k2YrwUqO3o31l5jqU+Un6jAn
sqSDxqRo5dRtrmUSlM2hCwc/qq2yPQb+zrfDeh1UWdFUON9E1T/6cweGlf0gL5aSTwn8KwfeScPk
jkecSslu0Bci6mKiRdap6vfLlOojFdkckX8ZtHpVEZ38oilPcczcZiGQITIdYk2Jmf+oF3EO/GDn
rcDlwIHlkg9XI3ZvthYT3NNnElzDa+OEz0pTb4VB8WxV3lUMlL+FxUc/WDVw0lZ8Tg3C4zX3KZmS
jmF9opCbTAU360xaOlMrP4RvGMBIcariUBHrHoWOu3FzlM6yWe58kqb92niNHXXrgwHZC3Yexo6b
WjfGgauD81wxYmk9PipbhI9FSlLk4CU7KzHWvvdXJ8M1Mdvxok0CEb2QqRq8fIUVO7ST3dDuXce7
egnkWSkR2JoTOyFrTj9qV+AwWAS+plntZbz8atDDLL/6OuJ/CDu68qVik85VV+m9cDNqg9Ta+3ZG
dg1DliiWzEVC7IrrOHsiGxFYxsSqZzj2rvplpPDVMs6/+X62Y3H4g5ToX6GgaVZNeHC737rRb503
F7u5a59g9WAMlvIQQyqq1Q3a1ANnE62OSy+ux6NW7SXrKZrJQ95iDnupOxQ+8zfV6UjWD2idmS0N
7gb2IGxJQWuCeV+sazrgCShd95f0DVQmVT6j+PNYqyG2Ic0jpb41X8hcIPMkS4ivE8yHAgO1OctS
BrTdD+WkGY3rAtpvAUoU5SeDTWCJ/It0TJnIUsEk7oru0901jgUZrX/iNTwRl7a8BeWUb0ofV6HZ
mOm+grUjPP54vfWhiRYjsWHZhAFhLLV5JhSo3iUc8h6mmBOCkTuYa0Afk/LUEw4LF7VO74xMXY1F
GftAIhwL8jESiA/wwQRbKZ13LwY1xG9um6+4/4aDV+8Z1LDhgwvA6vw7G3AzOsDtN5aLgHpEG1QX
3ZU0jmY/EhPY194eOfIOgpHJLmljE+lBNBo7j1IMp8rinK8XvVzHpDtrloO3gpzLhMp0a2bwW80e
2Io74w3GAdM0yU1TH9DbvHcTGRpFlwMKxyYOAjBj/bjkJzWLQ54yp27o67eJ4cxRF9lDQjlpJH9c
RDljxZ4PC0dU8EccOoTi2EVYEy5leXAkT0gdf2BPYgbIy3IYe3EoW1IX0qog6ENw6ZFztkkH61gx
5N5DF8NKiCLegOOgxu5JtvMp8Ig/J9fjQO7wE35e6H8jkrbJuxlp+B7Sr0FBrhF/985Lw1Z+KZBi
egaeLaIM8C+gzVlljn4H/SZfGPmQ2vBOg733+uyVTKYz8LjqUGCYibUSJ8HuFv8T/3mecczpyk3Z
pSMiQx2gwxaDWBlzyvIWDMuEsc31h0MmntOplkcnt17LQDAJ8sBBTbVHoIpsYMF59j4My6jwUFP2
g81rzQuQafCGVocCmkjUzmLAOZiszZlVIhzlJ4QsCx9dgQBiGdqtU+QrNWv4it35GPT9e66wrzMc
plqL42ujQ7xnDta5XBzitqLS8JnWhAWqgQn8Dxqm6iWvbaZRVk+hLI5hV3aHAdM7VOYPuxyHW+f+
VCPlMr5sEnUohsXjxEoT1az/XCtbHflh7Ige2ZcN7wJizWnfWgkcMD5/OrEn00JTVC31YY6nr5xw
a7qPTyvhoXWX8Q/Ci9uckrQgl+7Bd8SrQ8zKag36q0XMvABTWNMyMehDoGN18B9R57HkOJIFwS+C
GYDMhLhSiyqytLrASkKLhAa+fh09h72szcxWd7NJMMWLCA/IQX2FGppkW4ouNh5mih16xXMjpw83
ZLBR2e1DQ+UzC2+kVl5oYtLLs31gRtM66plqFIMMV0GcvCa8HpqcISOAj3jomWRiUOVNiNxL4Gh4
tyis57l1b7R9QwcoLCqaS9DGFkG3mDE4c9RrortuKK+5b9wqWy9Wf6aIFFDQG+pu+asuaE/rxhnr
elsJ+dtyO8czCsw+cj1WG/DpGz9iZBPo4UoVqb8O2hy5XB0wk5Atnq2EnqnE4yaAM7ECPbxxcVg2
1XxI489ybALWRJYxjx82cVVgSwofoWgh4koEUNN1f5M0dA8c1lZZwprjeD5GN987cW1aWdS/DDiO
9ny8wNJHxDfsTYtRKFvROpMcCMS6DKTrBzqhmUTk3HXjFHOK66m9lOOF7r4ADxMhpjwYdzrMHlkv
533SUPE9dIw5zMheDEgnZ8CkW+fcCoKUbrHIAuytzX5pPKeFoyHovkoq2LMqQDyI5u6qi7BCvu/m
rWkn6ZK2Bn/e4noj1JEvRWg+jAVcmVlJDtPmb+ttARS96TR4plrVxa8cYR0TxWGwJuxztcg3vdWc
0tK4dqPDnSnPNC0ilGEyNtpUoOxX1SFeoLe2g+nMsuC9VIxtCpdrT9tHyPwFwbfaASkShxsTEmfl
1Ax/3OqESrNPQ8fZY/JFu1P+bROKQ2w4j62vbcbx7L2qx00bCFRfL0offMd+YORNoCcBHyDikoUH
XyRm0zIJ7iIOgGTSdXMfVCy5VWn3qyjM9M3oTY/GEv7qxt7mXN0xtDbM/dTBjTVwzhDIOhoOVrWa
+jXPaYKNFfLTXP6qhQxS0KPmA3rOvU1jztS+SFQg4d9XCTXdZkHASSSI/pqRXHCdzLh84iLt5VzJ
dTrCU8MTJKegPDEVZGIHg33jTDlFtMWHYw4K9OcExKg+UT3kcHmosp0eY8jcc3cxe/WOqPVAwJsu
Rl9HZLt4T+zsI/HK9lgTgInT8KefCD+zYe4yi6Urj7xjP6XZOmmwaZcg9tZBctOE819aMJ1VTP5X
2jii4aNlFsGXqYFFdQkIF9N5EDQdrKu+v40CfMTUiNa7mO3cxeNaNjb3tdzBq5JiytJPQc3VzK0i
9gGKNFeOggqQPAV2e0RxvVoAmzGW0kzlEPZCC0muxeDCdo4mSBdTwLUM6aZVVsC5LfnCIRre4E2K
NGD6rHEQ5IjrQ1zad0lMUNz5sAj0biuZzMvI+sBR0181Tl1A5zJewnAyVyOq7ZEZ6KZaUuUmNoPV
4IKENodfoKHR1sPrMsTiMjrxraA5agA4uqIvsOZYmnhEGmwfnyglqaHi1jsm/rpW023egBhmpfyB
p/4inZlWwp6Mn1XPN0UFJDlStE+NrnwzsIxs3Sj981wsQsDd9FbrE9OBBiqpBRNChMfQoaxeljxA
gjFl6DBYlRVTM3O6HeLgTkCOo3sRFXHOqLtQ+Q3dboCfPXHyUyCD5qJb9DQ2sPy6CbNw1oom66vP
NpMbk3gTCfFtleaPoU2+JBuW4uX4126b3QSUnqn2qSkSnBs1xR5pkb7nEgGiFRdWyWGLnfhpbodv
O7Z2joeNWQpgBbMKLlXZi0OT89xEXvtWm+DTKmoxFiJBymKNUUZDAvEIKCMskj2slAGTDMeGMQXr
ySFzPQ5gfi3mDF7dAL7srlbPOLQuIPaptP1aSlkHWT225D9Wc25hL+YaB5QB05Rx5+PAXdc1TOQk
K04SSEXOis6RvcSmzH4rwj/We9zudVfcATzddCJ/Ijyzpq51PLl9CXsvWvBVqUWlJ0bP5SX1GgRp
77WMSKg9BA0KwZesZhHiIK8S96HyiD4U3b0cGGn4KaMUa8hsEvYpl+0EDciCztcjwtbGIfes1wor
eJdqKIbk8MBR+RFfjrzO0fxIcvqTc8lyfAPaAX977RyC6n6WBK8MqcCqgu+boFRkmLlSGqR6HGyr
pGYiwdjgWVIGIsIeDG9HCNVQUDyZhFt+DR+EX+TAmtxqw/jGj3tR0fw9aC6heFbtDeXDtPtibsD4
di589w9vFtuRLLqtJ18agi+bqFBfZRpgnVbmLqgJmzQsZHZv3uZp8JiO+ku5FVG1ZoWA+FyrC4hk
fOMVXx/C09c+hT3aWrG/66qTLMmjIkitowmeRJzrizvhnjD74NoXBp6aLDlbCXi/zLuL5wrXixfd
J/xlmYNOe2rkkDP2RFT+RMwmJJzF0HHQkZds+jJ8CqdywiL6ygi9DIZTV85MDzy2R5qT13FFWA+S
wHM+De2eFvPqWPdMxyRT440K0o+RXNBaJsytesKOrrsgU6OYrDOIiLXEM3GRLWGfzlwrdOorGaWU
QRqHA9KjXaF/xpYKtb5B2nBux5L9eAjij3ZskTf7o8FVs2vku9f/tUwNEf/8fMti7cZTtZZL1CsS
sH/6yrqmlvEFl3tFFSzNiWnzMZCcpJY8KNoZ4rZSh7Abzmxosh/0prFpaHSjiuTlhIuwLWkf4dKH
pTKezzPXy3Zu1i7To9HoT7aof8kVPCm8C92UfleuvfxiVqfIC1JQF/5t2tHX2Cux7nXw0QgCulxE
/rqQuiDDE3dakdMoLUxHFBLDSNFQVSuwEHP+6OZOe1QwxlbhW6D4Cc8vcGd75VMQE8HL62yHuEmj
4qYSYDOcCiKOaycv4CO4C14bMG4bGchNhE+DOSCsF1FCBAoPLv/PiqCcwgDAdKGTv4wGQYKFBDZ+
plTfdRyskSqsa55WBLmG9JRBnsxFfh5MErVNrTET6UuRc9ADg7Sr+haoP74bHfsmw5HppimjL4PZ
Wk5EFifwObWfKkmFfYjRqK8IPqBM0uwevOcThbnYuW/CivJ3XmiAocOoR8zelNck7P8RsdINPso1
PRj9JqeXBCd1cu8sBAiFOTYF8pJJFpUuS1mkR+sKr+EV1DlCU9h+FewC7Vxt+si8bYb6d+YCnzgD
6VlL+3wozq8/JT8UJLK2UBzEBIoxsgq+StFcJt/cYb089WBdqfZ8m5MxhkLMPmftbMejVrclqNxO
rliJZsLhSAXgaI93tVndllXBW1/XzHvzB7wBwGHozbMpCU95DrdjMtwR57nTEStkXdPBl+aKBD29
CURIXRMzM/Ms1ByeSwbeaq+ClmWzpeZ6QAJ09oZcQmh9/MZp6FpkTC3Z1p6CzntOqtHcVuYUbMlT
UNbknfrYPMr5xZq6Y+Z7ERcVziSmzQR2pnWbuUqUwRBycCiC2L/jCHOvqGSWnculZBqODYC9UddA
9d2zbdnXmABAPC3ofVE/5VN7WxnFF9Pje7s95372HOj6FGSUzWWMeiC54SV+HahOjg1xaPW4azXS
RWvv5prmB14GBs3bOnf+HJdjNRr8No6Hz7nqb/0Ou0srt5mYnwr4F3LCPGZaEB6U2tJVzhwo+qYS
+TUAMm9aBn+Y4qKG59suHkbWtim9J/hxZHo55OWmKheNpveemii+pYWQK0aAKwZVy5h2STOfukw9
844/J8x8R6NasKMFPOU8eXEwdUBpWZpXq/fRkERNghxa1Szh5bb0MTP1gBDK/TWZMVWSh9ReM24M
IouDf3SaZoNzd5OH4N8KvqbmiHt7JqaigK4isS8vzqwJrXb+rQ7cdTgz8pchI06PzFvieW/0wlPw
HXJqjYffIiu+rM4bN0kYX039PsI+oDxknTfeIW1ysVY2luhevbm9Q8AUipykJccq5Bn0ywa14dXv
601txwgfh8GZd1MwPFOqeRcn46EnaOO0qsT/Vb2RcsT9Kt7AS92WZvhNgnNZd9UeGZITLeoAtqSa
unnWlvGjmvk+ms2tifLDc8ZPDBGaiht+LtcpJDuaFJkIYYFcWROLlWV8+BoI7GBDeejKkrycptQX
6nuc1VsTNxVr4rHxwFxgAIoi4yFPYLvjKz8l+cwBJbVeDWN4//eG9wjV+LGwuKbQN2SCTmAvy0WN
g8dmDEVWEFH/uaZIqyAQ55qHuPubobGESfkodQZzb5UMpDbHCNaudBm7DSwBHRlqVuKNMcw3dbT0
hJMlFlFyTHpUv+WTHvL4Ix2j554L1qpqCSB1l6j9tqEmEb8ZNm1SvliyP5geGQSJRcREJN10gw3A
TFcnOy8eujLZgsE6hP2wFqNg79aPtLIn3Mg9e5eb5leAqQoXrnB29djuFCrmrRbjDY4lPMJaDQyg
8/uyhMVNmhQTgzS2QEiQ0snwVLi0tJ7ugi4n7pqFt1E77CYfCEzlG89GgmDqSolUhc81uU/7aTrO
dXWVgCc5xXU7R+Kc+DfhGNr83ZTBNorERQVYyZjr3aL1fHU+X4ChfGtQm/Kuc6EA+Qncegu4QTY9
IWklXvMSqh6Uvhu+eIsQVAs4mBTvYRi8c2NnTyBxXPVi2kZBR9bgH12ODntnPOrQuU8oxqUEcC2U
/xs2fGFKXcdrz5PfRg3jgBnBc8rVZd2gtabAGkV3G9kelRo17m8hkovT7OqarMzoBo8VOBlmyFyg
ouCHajVM4GduxfSs2Otajwfkp1udQ7mLaavP6mxjFONr8dQ4znFBQTUdRIuqMc8s2TCVyxz2H2US
yDLpp5EV94Xj6IObPLhlcT+YFCvMe5XIWzl6X4MHzm6UBPzlh0n53JZqAB5OgV+QB7YYiyeKO7uN
VQNrSakEMJcG6dZ61ipHhq0gT9CVc1IGymdUgPHFN4x/x3qqtEUhq4OoD0lx2oicQxtfb4wJZSxO
IhcdU9b+ve+qo4fTFyIs9TIoPf7Rhk9A7zJoE7DIK6vnYJWb8s9ueXsgdlo3GEJXhT+dabvGDR6T
tk+UOMArurHF8In9ivNmVP9W05M/JkzzGWZhrmj/nDQEk132SNCPLVOddWRGzRmbiKntH2WMRzza
aIJjQ+MqcDKNQXJxw14GglI4XaHX8zowyFsIJfnS78dM3vs3ao5usefrQzxbT3YzhrueVKZdX1mW
cdZHnBbrrwg1fdOwnW1bpt+USRsfzUzkijSnL0P/0HscTsmwBv3Yr2lwvnEEjITOY7ngXg49Itpn
Gexliq4SlkN8WVnwF0keCSyHq2lkphkO6GNByojaqU9pXSsgTMBjJtt4nNr60itt7NnM75Mp3kau
uhq67reWYXzMfXaG5vumOGiTrtQu13X3Fo7sUroFRa/aS2+4HYQijZQ352DobnwPx2RTN2QgiJKu
MuT0eTB3dBVwpsjsrykK2TgwPmHdyFYxJ4t1UXTj0S3Ebanp+0FZPfAJpCZXRWklpxZZHdcMnjsL
/KLXxvZmjg+u0+9ZMen3dWuCjMCZYjP4c6u8XdmIaXvL4O5UT9ZBmS7glsYgsC0ZYUntOhdzPvv0
8yKUxBshIEbwVPFn4GnihGQS5cQ3xvn3vUis30rY2TkXAz0zUbIWTPNXpUP0Gq3sNJnGvOfUR/mK
WRG5xtYj3RrzcyKZ/oFEwpaN4GDNNyN7BoVLHYnbdW3E+S02SAxFKF7AEBhpsM9Q2LJuvNa55Zh+
0h4tCr7T8oSr4TMy7ae2JRcl6mwxxS9syqsgi35ybQ78phqQZLxhJrPX3pnDODKWcZsNBPy/Zhp3
ZcjdUJTyiNB17V37kQffAiZskZDO80e4IF+lZe4hQzBYyt1x27GRrprEiw9EQ9EH2gs0Hg6jJow7
UlxXz7iaZgAfdLJuujn8Ek12aaohwTZGUSfC9npKkTZAl35LHBPSOHQNBUdkXBgtJ3dtx+M111Gz
jpV/jk0u/dWw1Hk58k+Y47MTo89zPcEyXR8NArorJyvNfeVF536i3d0HrG0bzWUM+l3NFJiDaN4w
pMKDlmHWKTidlo1mWlsEkqkAwWQ5lq9QRvt9Q+UUehbSYmhgMKgrbyOK+kpa4KnxDM4kA3JqIqNm
W0Z3xCnRBkx8/obo+dQroL080vjBVnR44UCS6q0z1cWdrz0JO3o8dLLpogfbXcBRTL85u/RbiUBI
J40FtwC+ter0NcjymQ1tPBIWKXEKGsZ6PqcGo4IgHdZJC/ygzdSExmt8YyqnuM75iEDYbOViEXQk
DvUc2SBWbXb0oP7RPoEkOsGCXBtZ9dBB9oIDQhNb0hT8PHs4ETMOOr3jviYC7EcxNnLXB9GV2cmj
0q5YT3tTe88xJrl1D6aS8lGNrZnYAmcDHD6DdjeUzMO/AXgfaIHFAQ9E7TfgywkkVONAnMvJoh0Q
QFo0FkirYbA0Aiv2cyvZmhYZ4Ky8ZM2A+9Z1P5io22RBU849si0YPiMRqdIDSwRRZ1A3oumiQ4Jv
bRVho40mInF0YKVE1fWDYwOoo9/SSghaVYV7U1UW6R2fmYGPkjGk+b3tkWorVf9Z4ppdskjnaZif
vda+72YNIyPYtY3X7OkM/Jv68DpMPQt294aMfm8NLeg21a6DSRR7z6bQF7oxBHy+u36YnHr8TwNh
2iCqH8rBf8VJC5Oxj+S6WqPZuQyGodLArsCUU/Y/ZAkYjKHeOz4deZikJM+BseZQl/Lb+f4OnZYu
MOLGkwO3k8yC9OB6uoj6/oPUWPIjVlqM4gqRdTb+bE9/CpcDdRzUmC/FwbKb5549atPL9tpHAUM0
hv9DMxDorS2SaeEviXGcRvFnK+C1sDfC+wnbJ475Pyhae6WT09gMd5q2Lihl6TcKHe+G/HWz/Jq3
rkYJmj/xFoY7g1s6YLPkXyE4vj8VoNzV4SHzxh9lhcNemtGrFfPuRsaLWWn43Mpfzz38sRri2Upo
o985fsFFkcTvanFwahV/N2Z7XxiCMmai763DqAfHlYtX1CVYUvrE4R37ozeCc93wdIVonljwxFtH
VC/M4GuKFNeMRjdcxYyLcNaOj/iCIOrufW7ayH/NzEfDhtcgs1eTz66DMR+95fTHne/FWCLU2nif
0/GBJYdKtACpZhLkNUdmODZ/eIYtxgkDTiae/nUc45OtE7Kp/V3Pati1luRbYUd77KZvBQOE3MKS
VRgdrAzWOK3gk6ruWbYz/BBkziB8t4LmqZdc2VxWBoLRWLvj7LfRGch63qg6BQzGjf+5hgQTePEH
TGmeaN/FaYc14b2OnQ4+Q7xt82XoMwKBCp38WMk7XfHlqkdvXwBKZUDUMhtNWA7IBCLHPJmxPiu/
dTedz7FB5+HOEXm4dr3gU1Y8MnRG/TkI93ws+YlzsfDhttoDNzoCL1xn2Nt5JO4gJ9TM6iX+WTBT
XcFNwkjHdS7mY+jhYO3zwd9loL6m5RakmcO5qvpw3IHKOzdghQiCfT8TO8bwyJmXzQX6M3ONecZi
H0WXInHzDTMW2IoWLYajTN8oZOKTmZCDq268tiY6vPLYH6nMfrYC5KaJfWRF/vXPklS7qJiQOPmA
dbSv3enRCcd91GEumGYPZeo+4hK6o+cNA4VMPm0TwWiu4vd5Yeox+eMhhUGQx+mNcjsm63xVCpyM
udcfEaoe64EiPdmXd4mrcX+WF19gokX8IjFt/gSsYYMF6mZ2Usy7HmVdNBHfpE3FcxsfOqA9p/yb
CMm76IjBJu4iEaAJgmCcgx1LoBNfKAc51jZDXIbxDFPL/m3huiP0r1gSnlxw1BweGNCFHCHSAJmj
r5zFNeHv8NVdufjtde7cZRlAg4CnbJgDUOmSsF6Pt+/fhdejxhyxl5GTwZTQ7r7yMTrqqoXSWfmH
2hnGLfzEBaTIIAcFhY+6L9ZUZX13mQ01iwkB6DD7Pe2FxPHxEafWvPMaUlS6fS/j+ttfdqBIzAJw
7HzW2UeGRkVHF3ujy2R4ixPqStB2FN0G5y6QD027jC1/QmHhzfCySxCeqZyhpGqeUeTtZp/Azrf4
XZBF1NFiyrkDqP4r4mOd4c+wU0bhpq3gkrTDyWofJh5OZm682GTl8p3muu7mTJpmbiZRc4dd/ezM
MLg72yLxwNkyJkLBhNv+Krl48aXpWuY3eXjTFJQlZ40i4ZHnwPIM7MNuPt5XArZIJiUAl5bjVkjy
V3Mogv0LtHURZLFPRqwla4AtCSExPjT8tyLhszPcAZtXfDP6kbMbxm9TEHg3kmX8KTgY+o6Brq5Y
iyaZPVdieK/nEYe0N629aMBGNVLDnuE1wQPI0ZFgIOy7mJaMUWFZatqbIo3D7WQXr0TGNw7WmnX3
iuf9tYAAAv9vjDZdWJ8nB7EG8hf4Q92B40Z05llHa9cuWQFomaRkMswLoD32swvXpl9uTlwLzQAS
tuczc+8S6L+pKw9lPW3xr2brabTzDasVf3SNMbckRtTK6lAztOFoykMFs2yo420+VA8KCo6VhndR
VH4mOuXcVlffELJm6autMpMXItTzDWGzTWZzA6FCGY4KdQ1TgqWlU61YmwbTdllS8VmFbzV9m9cR
f7ntGA9N3f+QE593aH3tppUXyrrzzTCFn8xEXpT/M/ewVocAc1xoyp7KE7IHY2DcuSbinMVBSoj2
2TTrh0FF3PeWLJkd9O/LoiFzKIFT5D5mSXJ1wvzbiMyfGfDiSqQIWshJrYumHnR2xyzu1eoZlGVg
goN4eLYJ4m9GPR10pn8yUGbbQpQPbp19dF6sGJqmMAvp2tqkqnhrRuEALGu+FENdHHQh+yMnLcX0
wCteLTdqNp5DhqnH6j1NzxSIjRyh0mM0flqsw3HR35P7e8MaeAqWmXxtl59Bzleils5Lr0a2J8Oj
IJMbSaLcU9i82osjfCpHFxwlc6ZFZkP6bNfASZKbFEu3ORevhQ+9kSPJV27rU1Ig6toBopXHZ2Sa
nr3mq0j3LI8pTb25mVxSWluYfDJs6cktqRKUPbfsYY4LrOIgXaSIH4TPGK6xss8xmi5jkycrOue4
u87uEtxKt0FLSlWk2Ji0w5pYhs1OJs4PRUXFPiISN+XtYfKgvE4NSRHm/GQ/nmIBfbEvv2UOF6y0
SGRofGBuZ26ogIB0UfSPCtYIOqT3EAztW8PkHgyOizFwrarY5dLBk4jhP17r1sy32NSDsfVXjEz/
Kko806KvqCPhm83Bul31KNpwygXvVvxdcCrEKl/yu9f1oXGBpyImmknxaTc0T/T0e8TGT5NB1WFC
srUcpLiy6okQllCEXOKWzTB8Kyh6//5liBQ+0Roo3Fgo5qb0AoSyupO4V4Ax4wONq5tScOVPJ3az
YO5fKWPcOr1FxlVrXL68tBTQ+p7zOGJ9tq8KvP2G8L6wdG2ShhGTcLmOMHAa4QUQUUIp5NqBBiXm
Lzor1/i0oHL49UsNJtlumt+5Rd1fXqisSKKFafWhOCJsZsk6axTB1i/Fbd2g3uPSNzyTkTYpZsuF
85gy28vw7UOIw52+vGBTeocSHD/xB4tfnVZ3KRJ9Zp+ioH2Zlj85tHS+tZXhbtx+A4Vg1dvzY0mk
B3oduigPxSkHrTUREd/q2HqIuEMQSD4qAd+MxKxP/kfshaLFJ6x+HW6OK2fgNSQuCSxVnbOJbKE7
bKyRXZlTOK4SP1ublXwZsMczIhyuXo1uUl/aMfwg4wkhTorvnn6UuQDfFOQKV8vYvQKC2cIUY8Nl
iGcEjdjbVEoG9UJVRJo2Q+6Vhq7wjkriq4EdnJlskUwdwEQWRoicgXjM3jUw0sXu2qzNJeIQeMWV
AhpmvfQ5ZCntkv1SvBOTBN1h7V+5M1dbzkUGm4+60WJtm7JCwMfJHYQlQmXClBYhUeyM0P7zxXRg
3gRBoIvkDs2SXDb8HB8hUQG9ZZxgQfIlj9DI+IW5UHyj+/1QWE+z6PE3teOjKp1NF2Ri79d+zu4L
t20ErBcWJEWdCnKKSk9mMWZrxYFWsqJvYoaZe3++OoaiN5wrO0hyQKPEB1YjjT4gUviU/ZjDsJTF
K9OI6QIqaFzV80ddDtWO6GTNzHaZIC+fVJ69+gPm/qBdFEqyOmTtRrkmJPUHe5ebcSK29Yi2U5bv
wiuPgUmJMPvJJmx5dSGFE8zM8A2EkFXgrjKOB22EE5LbJ1bOvW+daLiDx0EBEWz4RKxns96YEO1W
bUzC1WYZgErzLmTQr3vmzqrjvbfc9rX0MhOIN0eX2mYQYM9flNBep2TWG7MTEKKROw09sUiPf3iV
vqJCM/YeI+ogGFC1mlfqUz5G0RFVSGtJUG4cw6PW8iFN6KdllkkZF0kuXBqK1HdEd1VdzJ/gaNTO
GihHkcNvZQ7VIcRFVJoz3BmpjwyZCp51QqIFpiI8RfVXg461sma/2LGm9wa+OhG2t3iGIBKhtKE5
xxP9o9nQnvmHW6ZUuNAgX7P3XKpqW6ek/yPZSWAWbNqASLH55CEHtrP2GIjJkoRBoHMDeW0xG2UW
nzbT+xjD7spfBAnqiZ5E8dd2hUKtpp0oosoPLyBk8HFLzHLeubWP6gqeCkqSs+7GmUwF36Q1NVfD
NhZcVXx2MXYod6+D54HJqOhAhMTPovMahFj5aGP2En207QoMPUxlXzNdPHIvwQ3Lu0C31Di5C+ti
9y+3llB1MlUwDog14JPtrJs4wh+tRtbySnEedpi6c9bajXPIk+m7d7llbWnlZdxG7H5t2IxwTet5
zs1d4uTVIRcCmlWvVm1F5zo67bQK2zNVu3j94tcu5mYxB7+F3XB+aNeCvN8Nw5dXZ0H5W+RyVnNb
fjMh/Sr7xUFqg7umIjAnC7DDwN1leMDjJe/Wjwj2XMdJODWrKUPhQp/wBr6fIdcBrPa0cIMpIPeD
PmgtUas5NRhVJfE1S2Aq2ySU1y63B65rQwGDvbEe9GD/5JJvoJdPdODMsb4TTuYezJlAmFORILca
1Z49X+g7InIPRkJy1inRq4okQKGlwKHTEM/ziUVnYsVxJkRlot3PjNKHTZ/23r4LfcB0QfxJ/dVL
3XvdUzgjV7SefbWDsn9quzTl64WDFwfjkZtg/4qyd+5ao2XS5cSPCRZdO5t63ssB7tvsoSTUACO1
be9JJ48fVNhW26xhREIJ73uwVKcNbiePCmgADy00WGKO59RJmquaGoaN/RKwmAEpnEwn+bDmLvmp
E/Pi0x31Wkzzjz+iKG2V4jbm4m94Dp1+GXq1D743gkvMYpioVV/VW2G0alMEgFyp7RInYgnVw4yc
4LoovZYXfQVpz2ELbMMDf7HPpcPWt83giC6FJJVQYot0mtyUuH9voml6L/uZ5gPdesepSHznZIiz
t5Ql/vsfS4Zvzb9SNuK4WF2dNryNbWhlw8SBPJpDNBNfKiB1rsEk0+xmZLY3a/AakjBAD4KcsQ6O
dAY2Fr2cQYW2mcTlNlJ5vvf64bdnmnAwZhHeWgZYkVoSI840OOLlP6W2YexBXD5qyojP9Zin50Ix
oMYimvFNvA+8+hBYMzmOTu6lRW2UKstToKmomhy4W4aE1WibVBi62pD3LIDq3nZtfx3Gsb2jBy4F
EJ/XW+lM/SUr/P6SAN8E5BZwth+WIsFILCeOfx8NJ4xqz6Pk7jrc+0dpUXmrGycUzB5hAwdZGZwr
uC2E8Ljr/6tQLkIIeAW/bkdbY3UJJlDOM3mTdeq2y49kOLMddHSiofGGfqT4q3CQyiWc1P/e9NmW
0/mfR0a4bnrxKQJRUzQdqtY4/GsCrQtat1O7J2ftJlwz/eh2UA7o9+WfpJyBp6VtQapuAj9tQUWi
R+MljaJ2o4UZnq3BWTakDPCua1MH4MbkqmlGPVjZglhYCovF0uPJRyNuIj6AvYLJw8xeuezQ6Rsb
U3IcHWO+N+FCHmJp4BRiuBlaHhfUGkPuBA0RfScpniblh0/5g142tMamLouoVPc6K0JrLrX0Tvdq
haMW3CF31tKZGvKvZDJ4EkM7Ss9NgzlyKdgM4Zlt8jqRRxOQKhwNjOItB6+TaHOMKkYT6juZTi+t
LIJT+9+zmy/ZlOW3Skn0HSpfPoZOOt7KmAY6Z3lysa0kN5NKjEs21i9Yo6e7JG/iW9dLUSfEFH8N
KCyruMK3gwmwPPRxU58LKHYkDfh9px5kbE6sZOCYCihagNVg9MfBI4l2/333oaOAtLfwITEZTljW
TGTTsL/97yVCdQq2/2ojLTusVglmgV1YYgQC6f+TZ/b0OsGOMKuR/K2PH6YhL3L770GsVY05SFr5
gW9zj8tzTI7oUAyTnBmsi+yIRpbFj5G0rPJmJJ/+/09FmGJaWd41vhA0lYUL+MQu28PQ6B83Es42
p55pbfG39IkQ3LDXFrSR1no9E4A8RHXonZT1jYgx3k6iys85eCxRquYa2fbjv88IyM2SumbyQGtF
eTObpnpKHQxsUWW9927ZbjKTa2SMBVC2Z56IknCmGxyT56Sv5ZYGCT4vmVB4jolwZZuFehpbav4k
pFlM6wGjqBbcVJTba4dU9JWyBYYikFc9oU81tNNr3nH68Hx9T0jlgYO6c1c6bvusuYJGebWZrRq9
WaHQwVGtb5RnZjeUQ4EvmnZYkwF/jpN+dGgz1Ub1Ffv+9KZNx0RqGWi7cLtt3IQM+rMxPSuhGcDI
Jrl3fX2xe9/fWmZQ3jP/JBtALe0mbJZ3w5/JRZohOG9uu2vMUcMtOVKDzAM9xWSUo4d68O7rnq6u
qhkeIAM6R67smLPSoXrNx78gmrcSVslI9uIxDHz16EiPC4tKPoBfmevE4AoctvriWcTvpYT5JNsb
SK/GtWDNXEqn0PQTG+iNtIqboAow1ELUuMAKNe9CgtMc/GexApvVBzuqhy6MO7iRWNqtALR/D4WI
jmNNWKlyyCr2Id1NDnlu7qNw8Ew3nD5IlHC0jep96cGC62t3a091/j1kUG1BXlm3wipolBn1K1E/
AJAJjMFQYc//H2Nnlhu5km3ZqVzEdzEfOyONhXfzQ963crUR0g8RoVCw72k0ktOpodTEajEyKysz
H/BQwIVw1YTLRaebHTtn77VTWrJPID6IADCK9Cezg900xse2r72XBnXtqoe2ddOZeljUqZts0DWU
J+z6flWRqFnAr/n9ttB2lpzDaTbP2jBHxjXEBALr56YZ3OAxWRt4j0Cyy+xKr4p4yVYkZxHn5DZK
iIPtRCJh7ricPrR/qlxqaPz3xbGn2XJ0JsQ08bNJmwwksteu5kY3B1/47a6sId6K0q1YKFGXgZTe
MSsU+zmTciMigpkwkF2UxeEmjS2WecyDqUwhRQ8QFQt7JAiWhoAG9BeXw/2IshGEKlKZJC1pzrsB
uaws6ogXjauDsUc42Qpu9iUjkHufEwOCsKgComGeB9aLXd9rE57nfO+YleZtiG4zYVi6QcPMm0lD
AtDjDEIl8FdNSxBvRyLxZrTxb3m4zVKjvfkZSHmJBBcEMaSGXu1jdO1gFR9b8BLwVvRaA9E4o+EK
9hn7KBlzhJagVSf9MsHvwY6aQBPVZwmlFGB4nq0LRlhu3hKGYxf0RCCu0sKJSbKt/b1NAmk1thS1
heQoNIQvShYbGYbL7hT+MNpiXlBaNMtUt5kb8dg6QbSzvUDcBbW988vO3/e5+Vba7it1REHpWsvV
LBEIBjakXoe3Bs4UALJDti+4Gcs0si7JSKLLhFqfYZpE0GmeWNsqzmXIi0oj+V6wQ4kOXZS0KOuH
rth53JSbVPXWrsor9DHJG3Ow5I5FHY8ShkvI00+qMN6TZf2bOuc2sIjTWG3up8y7xBMDfTM257Uz
mK8O3aoV6vRF++VnkBbPKI/HV54OU0HUOhXJFxPsTtKV3JtfTtAWvCOnGiYwLg86QvxYzDF0ihAM
4upxt3gO1lHsZoecJbfEeeMXxq/KgFtoiQYIiM77TQUGYOxRgjpJTm7JEB3HIXmrKdQRR0M0wMzw
MtYV3PmZwMBs/jVahU9cJb+W3WkLzyJcI9q9mDZWsgXxQXxYfEhMjadw3la+5tjO2GlluiMjvMZf
OjIrN0zbU0Du82hjbJRm89g4zoWCt+Jd0/5sadf7uaCrhhKp9gys1PyYELEk2brwD7Mlkbc239wq
vO8t/TPUmEi7znsPOLhlUpx4Rftd6GZ7a3SQf/vTKyAsIkMzfW+UQ3NIesIrh2Va2RcW/VoUwS2N
4F6QtpEOuA/Alsec9rsXq6/kBm5zRfwrZZdn1WcpZbwbhEmcKuMRuDFoYR0GFJ2T0eWsizUHeqIl
lgftm/F1dAwOybnlcgnaitg5QsjJ3GxdZz+XNY6ZKt05ef+zB5G1iqLHwhv785i49ZoxztmtShIg
NAMjwzsNGbTuYb4vCiT+rTUda8auuyDrXifbPv5+ItkMZ4Z4hrsHChfzEpZWsXYFIY+kgbJM3CU5
5n5asuSAd8ODn3GVDdlCokQTUDTDA2b8fI09+0hM0asFDOLOGcCd4yIlRHEyn1Jneuu4idf94lvx
U4SMkoYYEsPsrVHURkuMishc1P7xw1SZ+s1LEbyUH6mgCzhkELf8GaOyZx4yY3glQezVm9gvk4sE
gA0IvIbLNZHTxkq87L7fmATQF14023MC6NssT32TfnQ+lLHJ2roau4ZrBK+KjLJ9zaKGeJ5RSINg
I1bxQzqrH25LU4s0v3yNS/itFD4mscK6eZP54hnIUDlI0fGp8nfEjt6GeEDRqkNJdXDXVDSEKpve
VQjCTQqBAFrSVIfnCLQtpXmbLtPhvRG2Hx1OkmgS30mch5jS/b5+Ulgos5NmGzg4zzr+1qxuaEj5
4L+Yu/x+k1Vt88AMBY7HXJAswfMJYvNQluiaRTEd6cWGjxG9o95LPmuXM0QwRM81rByiyzmDuJWJ
2I+g1y9//Mdf//M/Psb/GX1WtwpvTFV2f/1PPv+o6qkFsNf/26d/fa4K/vv9b/7xM//6L/56ST5a
0p9+9f/tT+0+q+v34rP79x9ans0/Hpnf/vdnt/7ef/+XTzZlT6zSg/psp8fPTuX972fB37H85P/v
N//4/P0oSA8+//zyUamyXx4tSqryy9+/dfj55xfbkb8v1N+u0/L4f//m8gf8+eVZtR9V8VkmXf+/
/1f1X/7h5/eu//OL5/3Fk64dCA9JbeDBeP/yh/5cviPsv7iuxRctR6IiEIH75Y8S3nn85xfX/osf
COH6rhSOICnH/vJHV6nlW474i+VacFCY5Jqe55rel/97Af7lhfx/L+wfpSpuVVL23Z9frODLH/Xf
Xu/lD6QH51rS8zmN81CcoByP7398f4Rlufz0/2g0+gWTQ9dmaj1v3U3sLrPNzkPHwrgP03JrheMF
nZvBxINoyXyso7PVIsnNGfRyaDFY6PBD+C2uBHNAlFzYcYN4MP5JV8TY/9Pl/fuz/+dna3P5/8uz
DXARuJ5PzR04XJZ/fra1nOEYpjrYQBqQO6N05Tro7J3XWiBZGhtoZRG9DYLoRWVDFxwpkM4Wi4QX
CpwRHXk7tvSoxQhn3EMpfgGqZ2+MpkjPlkpIcNDEvgTUlBjK8B3QbR/XiISL/VAFtxTTNeaCIrr8
93+U+1/+KHxzlkXHwbFsC7r9v70EmTQnqWrSBLTCEYoqiKK60vl7NIp8l05Oe06ZSjAgYfRU24mL
9WIM2QCj5OtowYRLnIH5d93Z+gAYAf0LaQ5umH1PnRnyGGmLV4A64aoumWRSIpd7adNnNuUU3LzE
+MopRh1TaNKo+caTwP8DAYqFBVYepvUBvbSlXXtvCmARYzWc0P8zjC0TTO7zGOxNNLgBaY1+Yonn
FtMSnZ1mZLTvI1akWUVm5tW2A6Ke3Opvy9K/rEr/fDsIYM//dkN4PvpR3igCpKxnWo7zbzcEx1SL
vm23xbTvYjiJYZoV1LgRR7fOzPz9EFfRtdCdtXGwiD6FZAKixynkN7t03nJdTZ+pwEw05EvKolBn
6Z068C5ni6hj5t5cMQsAmhsh0jAloCULc6GPmjXqZpIzN4NL1mXglMluVh2F7B1Np9fO7XNq9zQF
eoo7IUBPBAEw2YqJoLtMRUfTAiTnaLiyatw4BYnY/HnM1QnF4A6r3xKYvbkHdFgjf8jJI4X9Vmyi
sPYxP/A1oWoWQrQHaXfEqY6mo9Q3w6/q7VAKNmzm7McAaZ4nqdzLDF0JLIvXCQxQIqZxg9Vksath
wFT5fBpyG81446HUyX+RzJbhWF5S98Ro06CMOlzky33UK+Rt4tOL8X+WTUT5EJO5hGFUcOKLGuIK
mkezZjpkJXTOM6da9KzJChBOTLjhbG4Q0108T3SPKtbvjVOjkJFcQ8pgH+cCda6RVFtwLAyKJNie
gWlS1YlTGatfqCQfBOP3KqiozaW7s01o78T9tnL2DlHpP849wnuXJXjjMAddQwvpVnYGa8kVM/Tm
mVmAKm1zWwJOLkSoSRi1Vnj81DFsuyP3+nYeAGcbAPxx31SrcpCQxhqTsKPKX6jy1Q4q05OYmgad
aI5VLHsOUoQpeb/qajNdgeKnGW5bezZXjjdcnpaRRZeVzqZPmreIBjD0rXDjeHTQtbkcvgnLpIiC
dJC1/ghu2hCHWgRHZHp0K/3kwc4WE7s1kajUG8M143w/tWjSCTSDOQWFeDOY4klIiHER4rJpnByA
P1G9Ej7o4KnUe1ZlTEkuB7pw3Fuuh7ovGR7bCh0gXMwVK0h7Bj3f9Yi9AF5ipBGD3sW+JsnSFMYR
OPTRwdcC/uCcEI20yJcfuw54LFVvuSX28jCPFhOuwNkVzoJD7Cb3bg4MbzHHAYVBhwsUZOlZjIbc
BEq9h8Lk3ow68wiPP93nzKAiv/cvpRm9QRYe902fpNe5KtDg5TgufeDAIezuO3xLzRVcDLU95jTW
5ZYpxBgiN+H4uLUbdLMUbkkGFZmmirNFNLXzk1SxJch8W/D4zGpwoDIy3rS0oXFnh4dKRtUpReJ6
zGoGx4mrzk2Ne7s1232fRsx727zaRyg+CCpOYGmhVqDv3vjPNPO+1q0jrxrvAaI3nwn9LGlZFszo
+gRNViC5PSwCrg92VH3M8TyiXKbJpbR8UqhO9zieGSs688kuXxsf0FPeO/hkGyKzK6j6HMVxbEp2
Dc6DRrSfnEWGVCc3iEjkQxeIElCH451Cv5DHEfQC71JYqI0q5x00yYuRjPmmjeN8nzQ8xVTg9i6G
NFnVjvyWK7irWRNejOycYMbeqSGPdtGUobGxphMipmQdxo7Y9gaRlYWBrL4WWCjgkawKWliyb5HU
W7mPigfj9RzMmrd6QPfKo61VcaDb+Rnyp4g0ZCWHtfCtNw4TAPKqZI+L0t1yAnypRoSVTQ/bAVLw
FoDShwQ5cVcvg6PCSDEc+RMq6+S7PzEGGnEW7WVRkWnF8zHdtL+hcHOPZst4hNVdo26dztRb7daq
l4gJo/tlmxz94rrbT5x99iWoADhGy1iqQvrmlmlDPhb0TQfI4rX0CW4JkNcpn+i7cQhoL/IDdtJZ
rwZSpCpQVEgctC712P8CPMhKFRNBZiGc39VZVa/MhRiU9X1+5MUI7wxd1Iwhsk2ahC/eEOqD47rL
jAql+xi1iJjmed0ZxJGkw1RCTeJDFztnUNOobWetISe65hEDMuer6MOzrJBgMghvA6PVcNbtKZyV
giRueOvEt6GUt/NDlY/WDXYP8GUP5DlEnmPUQGE3ksjZpvQtviWCrA3pXvDPi9tI7vu9bUl11wXM
6Dl3VA9DiyRgEtl8P7JoX+kZoruIsulMo7Ved+gfAuNGEBJ9A3s8dxPh0Cpwv/WKjE2hecgK/cA/
PkyAGzGeedvY5ZUOLStfBcr9NQWG+2wtpkV0FfBU2tl9nn0ERXMLB4WgZ+/Qj9wD/RQNV52KB0+0
NUYgUDtsluGpYRDgLMHCguP+bipPSYHaA55GscmtILxkriB70+C+7KQ/7saMt8mIbvIqZTMdXQ8t
FuUhohEJP8H6iBw8TNEUvQq7LC+Nhcws7QEumARrtOQghG55Sg+mwTspI8R6hXTro6sMZF5N966a
XdJ5zkVO4oMQS9DMKm8WAF1z/P1/vz8MCThVlsEXISRujAK62MYGWjGYZrrPMLmCEEn2YyoDJjmC
FV7GCbVdk20cYClfZdQ/aFgkXwvLfgmYaLVzEB/zGoI1OR+vgRu+CV3QTKNAQa7qHX9/KOIcp3+M
yTCZCdRTOCZAceFwTPu4+jo03ac0+ui+TAeaG8ER6wyNjljBrhgK57Q0g2qKoiGkJKUIRdK4YJM0
7o0otkpabYXcxphWc+xOZZNeepdOXKcYVWG/a1btWMfnAbhkpcRLU5gXf9TZSdOrXSMaTWm3In4H
03IOvM08TPI0Lh+KYCSghzwJGFZRcem66UAREZ6GWTF7W96XHV/uiY69OYbxlap1OvfFfE676rvp
zvW21XXA29A7zR6QgMJCID9r1NNjlLzFCQKrNIknYgJSf+VSL6GkmQgcUbyqccuk2xfNbezxR1jk
AGwELG5jCM5oTDN8EvSzEwsKn7HMIAysdC6untoOEV6binBDbG14B1FHLLivAuHkpkoZQyBmqDc+
YruVTd4rqkTwHaOFiwLJhI0TZUPZ90xy0KFVUbH3LMnYpKH36udvgkY21b3+kYGlWWcVQR+ynEkf
wqZHRNsvetHpvnNIY5yG6eeI4pxpC3KaMPNACpjRUXGyvJQtVvSQqmY1uDF6fr86hVPSXX00SLsp
cfAQ5Lk8+ZpWvYsJtySx6M4HJrvSNMdsplW4441+5/vRtpiK5uaFxGjnYiiuJfaNnY7K8jzmdXEw
uqQ/soQZO8sLduVMS4IZcrSP+sq6s0eFMrC8cQkROzc9NcdsPnHS0ccCRp4jQaEKBMZFHmb3XfrZ
wiVd9S7JfBPnnlHYlzSTySW1uQNHB5VTql+qOOdcZ+HOIRO8vgYgDwfpfx/NyH2Yk/aNkOecLvjL
OxDtiIFN9erbwr3aPiLKqXfr01hGH9BqjA1aB6RSfkNIF++ndYw7KKSQOkw5Vl1CyNia0Jz/7OXD
jHAptlJxqX3C3Riftoyo63bubnET7S0z+6GKLNtqX/BebdqV7y9LdwKkvxWXwDdj2uI2js7RYwEY
NRNKR8TsSqQeELEI/iiRF1m7v7JII8UL1H3fNXT/EdTvysWLX3oPFobRh869FjWvzTjonIa3fmFl
HHwX62RAhgWCGGRmkGisQSa7fu+SFdyJ8aCdvt2bEUOoadi55PFd7Jheedr2l0kr81h0JG/S2ler
PLTvPUnST5MOxl0Y2D9NiFqEAWhKk2wYN3JAC405NScml2oEfi6aY3cqziojMKCeuKhBe9UjQtWM
KJ/1PMEyR0nCs3dZHzRMgOrQpB6YixoBQEczut7oACFMDdvgqOMFQcJ8sg7afFdG8U1Gknlk5wUr
lOzMrl37lPZabZnYLQys1rnXUb+bU/G1Eyp/mULnlmCOvmOnJHMn2WnT4Mjgk99AjcUyVxIunnIi
C4pDbED7F6p4R+v+LeCVEM2PqZIXUTXh2iZYbFV3twj+ysrm8q4RosmzwGqA/RFhvHYd9wIx0738
lhAokquh56HYIQWVzvacbPBuliezqL5GRhgBgjcm3t+6uf3+ENItbdmJ7pciqRitcwosZeYkzqTQ
aC7drE6AJGEMM1akBzGJ6ZODKoLcsb9HcmG9VE36os0CkQ0YVWxgvThlpnvfu0Z/GwtVvc70/0nJ
mshJeVY6sQildjjiuRUuWMP6MXLYcadhfut1LDd5bX6twFdspazk1eEgCY+xDHB8qI1fW/7PtC9+
MeiPXyxj4lw8OSym+XKIHRoLioMF4kQRLeImAvoS45FmJEKdJTRzWbxxipx8OdCj7QOkgmiq7rqB
AWgaFfGmj8AgumNjnnnnnBqfvucgAeTBKWaGWoM+7jPsscXMMGRIoIHUmmV4obu4+fdwjWMF11Pf
qnMKSqIggJ5KODiQE5qcLLCHhBPNcj0IO9r1MLWfHbNTu5Aec041Qz+9DPc5sI01Umfa+Y7tbEHW
emSki3SfRvlnL61vES2jr8iNkY7pxcg8qW5rMzrbg/HC1izkVz0MwVZr9hkCvndxFfZPLvT2O9yJ
A5mBtNTZudG4duF0P4JrHpVPYmAPCdV3KjA2AUcBN4zTNUjP8Jujw3teFQIsGnOmCedzvYQXkOpU
fZvmW1xV/TPe5uCKYe4oCRLepmJ88WtIT6Od7CVsJ/IH4c0mLq1qrZ/0MI+nIsaNFDMvgB6qEwCh
sczgp4DH2pP+Xm1m8Y6C3PuaD/DnGfdxfCzHGf6GDi5FGHyaXXvpiRN9RN9g3GpLvU7pldeGTBsU
Elt3InbSLxgHRESlHciwPAag754I4Ru2jEyRxLNGEGMjXhz0lIvBzti6AeDYqXLNr7FHSDS2xdMw
dIQLgPGjnbEN58aG1oZHrfdEdYgG70qGs31zjYjWgGl8R8fiPE66vgekRoIFEI9tQmFgLDY5JKdR
1yWvvquP8EZBY8+h/S7An5JUVn8U0iZqrq5neguYvXqBNWEsAK6mtP2e3YFxUJYDSg4A1ayRKGfY
kMDq4hRksm4Z2EjD1n5Ns/mFnDD/Hjbva6hR6MSd+YMNxVhHLqGj0rCil5luLZ36GmlmFpEgYAjU
TYlCzt0P8lBk3vxi4vodoVvNkaevVjhVj0VkHlS6KzsZvDDbN54M9uhCDXymDfE4BNHGJYldEa/y
0jcLBbbAzGzNc/pVkXC4DxOJOolnTxAXS3HjT83h93cd0/wZz9K4/v7m5J896OJkBsirAr4Fa1ac
TSMaXwdURxc9mbiC/Vm/YjjJjjWmY7p8fDo2HqAieISb/itHvOkr89lpxSwKPQjbBIWruW+IH3li
7hw/Wpa+/P4pB9v9sWHzWGuVzF/x0E/rrtP54fc/6pyKlERfsKQU+lnCJf39U4QJy1M2iCVVwN2r
cHZetRx/lM28j4e6fnV194qMieOzH6w0cCcMSPO+Jm0d12vvbEqc8Laop2Oe2ItNpXkZSWTeBcjL
KaOoamvFm9mlSZLY91SZNP1iA9r8kGIYNs1xbXqhvfFLEEFOSKkAYyiDGoRBc5JkrVZ0aVP/nuzy
cEzs22wyWe8nqDbCRstr5D3SsMjDGcsIU0AxdYkPw5stbm3JqIq0rIEZr73tBe5QGcCcVDOhylK5
xyWgeN35nclPAThWHqY+5krztuaetjPpYSoDk1BNLDWJb536GXd0m2XXWjaXwvdesclFu2EISRus
W2OjvHMPjGPV+YG97g2fOZOZOLeptfEyE+3KwDhZA2L0915DQWO32UXZlAKcf+pbPnXvMwPHFa7/
l7ikPCS3eWFeBNaami0/VLMzQ1PUEdCOM7y4t9iNwHp15rvyubVRgTjrvkXyPgJgQbc630+4Ie/o
xA5bhzbz0CpjG3UgelKkZ9nR0ouFrEXH7sWfRu/9NBs8Mq2aQxwKzve5DR8y5RUISKtDGkao9FSL
MzAyT05MgJuBj7AavHRfz0ClGdSv4EUkELW78KFFJrzeBgBJtzR9Huzx0GmLWN3ea+7IM4ylp6F6
G6iDVRadsFlxICK/2iQXdd3ZLcWD9b2ofZLHVH7qKWjWdtBBnUkZFsuYcKDUYbcNEZPUNZNDY56f
UxU7G9VGr/RBHkTckmSbh59+h85jpCMnudPZO42FcWJAsasKY6tMPCxJnl0z16IjMbcACqElcFq/
Eu393tfxW5frVc2rblBh0iz17ksmNCsq5hkvrOzOwFqu6G92Va/R3dIPKgVcRtVEYNO9pH9ObOMm
+zeQCs4pg27dD3iehjh1TvPMma0EM4LMt9j2offNZmKP7BRo4+wNROHZqLNqMfabUjb72hDfaXRq
XADWuqrtRQwHA3dssyWYMKs3EUPMKK8BgVN4xrR/NtO0Y2gBIW1mn6pK6+hklAyjQ5+YFYfMjnje
pv3UnvLOJmSla6NVOxUm/tiuP+QZhUDVgmI0+3XbeHglPOtsyDRFu8HpninYMZ9BXto45hJBtHnU
208DMCimt9hHMkxeQmSI/hc7S0Wn6W7sQDuAAGNGBDs1L+D4AlQhfry2nivJsJk+930f6/EuNXyW
FhzwtMSdk9uPn3Srrgb5W1srkLualmzi4eN2zHZVTx3T+1qSljOj+PDzH4Hvv0SWVe+iYH7vKczo
aIkiDbeW9ZLaFvDeEn9tFpTY5GjIga5I8ItATeU+CtG7gwqToFLMnh5tFRrBXpd+u+XksWK+5YTh
muYpGxqRJQus5KyrWt7lKBFWwNcQp2EebHiisKovecLjodlIjgbHvtQ5gLc4pm6P7ZZ3PcTdcYUw
7FswTGIzOiTiuf5I4WKNe2eWW6SpgGLmnrvayBddzbUO4QzpdjyC04Am56xbVtUTfNER8U9OSc32
MaxxUpB72Rb7evKYBvhkx7oTyE6EO/1ZldBQAs21ox9h+0N91K0e8B9kD9rK+iNJAvciCLJd4vYY
OdN5OtKhbJy8PPnGXB4EK2YOtGqLyeWFoIOFP2G85jQSzzM8B8yYqclpR746ZW5szCneG869oONw
qJZ8Y0BYyTNZGWh9wvsAXtA10MVjX0hx82vgRTzb95rlYaP9sToM7dOINualjtQNiXt3hxWs3RbC
3toqMzfx8iWRKvprbEVs5kHkh4+/ayCr5BUKQ/2kuFDcHcMDGnemFUwXjtVC70/q/HHsvWlVdsEJ
To7H0Y1jkKit75ZPMltp9cWOl+poWRWJbk6/RZXV4Q1iOmh6zg+LVi2ZUJYJxbQKD4SgrLx25sBs
e5gOM2kfnKy9IRw6ewNDm7FW9cFrPBrBDuaApIdKnFMeE8sqPwsqFz1ketMGVIT6RYbooOB82ReF
jgiGGH2gZkoTQKn+u+GE/tUY+MvNcvFIAAhFhHDvFQHJNj7VBMnHxsXQ8ddBuWdXBwhWLWBII2rM
ZoE5Yftu961bfKK+vkZO9dZnCRS6kr5y5YtjE0LJbVvnuyyxcmuwFw68T1CJa0c3H3Hb7LSLCwPL
MQ1OluEV+b6XoaucdVC2l9mbb45rFiuvL4JNgbbOKsvmxVfBRoXqQwjsEb6v8EZ1jCFUr5zjJJyL
ML0CjKnelU1O7ZqT80eU/dY0CBER8PpSPPhRNj8xQ2IzhF94mgr21NHTTyh55Ik2td4MgKAx8xyS
diLMio33hNmbIgDUjRRMcjirIep0GQMxk0KF7p/tYOFx5MXT6Fb+Zii+DbZl3usSek6JgXkMsUEq
F3FcNKGALFGxWp0F0dEEMIKAZ5fiHV/PoUHIpcNmH5XVtGnUkpRCotjT7NK1S1wE4nF/rn1F1FNK
D3aWV7tAMGbYAmV4wU4yd4x/U9CQAqPMNqzMp0B6xzYsUnCy7gqAAd65cb7vioEyzcyoQ0aEwy2T
q6oSR3pQNOi6TcnInciswi7loUto0NbjsM8s7xoFwAtJTYjWUZijNtPmjfgDDUrMZpnlkCiSitJI
xDACWwgdanY/i6b8OXjy2Rho+tpW9dEPwbW2NRWEBzJ9YlwZ6N5fDUgLM+yLu8I1nlsnhtqL5asb
6XMZUJyToqYhn3vOWkDqgkRlrMHa6J3nXr2WfBHpoQMIUMzdec9N2+VnKiBrWw/0ZwwNtRUh6HQC
nkHVBPggKaa3oOkQ38l1PjkKJG57DYHGrLRffrr+nB49iyMPFYNFz787GAbNWt7B7S615LPQmJ2D
oxO43lMDC3fygPT7Ai//PCLgA9yZ9IHHExt2I7My/HsIuobZeOT5k92UvBpZ+hbTLrqTHgIvorZ2
QpnE4YW0I3PGlYHI9iR+Pg5e2eIM8yNmgKI4eqNAVdEYe+18KBfq3zBPe00FT5KbcdcPbnUA77Gf
prrZM1gqT6UHo6DxaYxO9QPTih2K55VfAyDtJSMVN9AdFMLhe1Y5/hZ/f40KnlTsmvP83p3SVZ7M
/jqHpdE4rtwhV8LliKSqIE+lHfJyCzSFQiXXGErDltK9S/bk3j/hqESWmtfZXkk4Po1KX4ikCJ4b
n1xRj+jhVkNT0b7lrBSzwV0QkvAaAJVqUkq5tkffmzsv+HWdO/hl39GKRA/UsN80SY6PsRN5OP1q
sn9AXBiYNTck21viEht0c1x0jhu7sI4GWfJ3jgDTIdLuItBkc3yfxDqW8tYPxrLGlQ2xWuZW2Fm/
UtHswTOiqYtceRKFWivbUxtTQTPvmIygKY7bVTzTV0Zrm5/CxHvpDCAdOZfAzkF9SFREd50TpogO
6JtCa6Itz/TOmPHgZdarw0GDBfJQqcVZk2flvh1xGBgjLvqh9qNN5vYp/WWXKbvP6Vvo8X0kReRC
OsawqT6bpNgEy4DYq1FC04uGywPremd2IDm9uet28xxPh7Ty65vlUv6XI7pbn1PkIfZBYTZp+8tv
wAIiwtlTZpK52b03DTVjSxDZVmkArNaIrb+ynjuGkzsVlc/YTB5RWj1Qit0llO1r1aluHSpFb//D
GwmbHJ26ogYqfhjIftrR77aMG4DvIOol5JyNLnHj9chEpZLmOY07SMr5fA0W9P1Y0VikUvmOEnA8
TFp+qzJSDmU6kHPRAokR6j4e6/pQRNWN8IN2PwS3KMrHsx56mxDh+d51GdMIxzznulNrOXAYQm55
CWCHHGgvN6jeld4j0HuKoMuBaw3KtfZC85KX+yHz0wsterExvRZ4cxtNhyzwD2LoyaRfkjFQjqlb
sEQGCHe+TyN2QLrGBUYzUBwoNUjn6NdTGf5KMDVv7b6gl2m+UrVREMJM4Nepn0R2BjsC9Qh+DO0D
eyr64ZL9I8rJHKwM8iyGeKDGJ3U19ctH/8DEo7m43XzqpOMdseK1hXuCQosKyL2xaBCkkvQISkmu
7Sxiywtq9VOEQh6yBcVbYR4NN6T9juuyiVDjZ1UAFsq3T1aNr5yxOy+Ant5tsZP9aJ+qGUv4zIHD
MQg0nqp479j1DeQEuQCFTzZ2i0CpmDErKc/lPWvobQHR9i7BWnOZOwRSbTIc64klXNYjdUgR+hfV
sakXpCFSL4JvAaawJ49TeR/0aX84kSP42nJH2ZSQcWtd04T9nxyZguu3jfSMf9lfSvLCw3evU+RD
FuSI2kbHUfZrMBOPUBtjMK+YBPCMP2npvSovgkmAQo1Wi6u2bU2gkvBY7B1C85K0+UboO68heb0k
0wlGw4tWN/VWRcbcWk0+8ltwcdnSle5K0jMrvyPqKZnbK8rW9lp41S97jIddDD+R9TAl9p7CKqnm
5px3ofnoWfbezfQHmyH3Vhp+lyHW+8mkUxLnIx0sZvoeseZA9H7/Jm/ILoEB1WeMRjxChnFQZcDt
1IFeFEufsbPVtus4lOrgRghW5wZqNxrduSxBOY4t+RVq4hQ3fyVG+R1s3qc7kJZUOPHWGnFdpqCT
1g4Hk1NqTM/zDBYcCTnEQYT/hC7zm1jNVknqkVOO33HZaVfh7JL0MBSrDC60Usl933SHGRjmnm2M
lIwEhrs75lsvDfuDUtB3SbqfMnvn9mq4AwbNgLjd9JpJeOBlt9gDshVb9uMsSPOqJWSnJPB+Fm1t
rsCPfTPm3DiF8Nujlvzp0lraP6l51xjkAjUKlz/ynacMWiqSKq5WY8ybNHPOXRKfJvqq6xyzK0qA
HtZQOfV3/v8h6jx2G2e6LfpEBIpVjFPlLFmW5DAhHNrMOfPp79KHC/wTdbfbsC1ZLJ6w99pD+M8b
nzE6fhotq8zdEBk8UCYGFEkIkYwQdziHOWynhG2KBv5A5Na0Jd6XZUeZL8rY0hfEnhILMIFvlIh/
564sbiF5cuw+6SUJj0oIdVHMMSTxkgGJIbVg6cLFsO6arL0FxtnnthA20bDrmfHtaDdWJQPAvW2h
vYuET1Gic1FHrr20ZfkZ8NJAqTGvVs38yUiik22DGO2E16+FF16o5M5ZZSGVl2zhU9+/mGW3z+2k
O9qmX51rAjuR3ljrvkRBQVfRPcjz4cxtvfJkBPnKKJAZMrj/kGxeZi3zk/3434fAebi9f8+zkEtX
Wq96prR1zvrDJ6HcyQt1wR209WlwZlYz1ste/yUlMoN90WqzmuKVu3uFezra9o3cgqZSc0/p9qKa
WNjEnf7mm0X8SkH8ArwYf7Keb2sZobIIyHcht1njtpwQ8YSYn4bUWdfk6u20EcWEk/crs/zpRngn
ce0cB+be2EjwalKj3Ubpkj3WQRihhclPFgon1j0xTHhtWA5ZdI6hn811iXbHCElsgFz16xcdVj8c
tdzA1nledocSiRZ61HneHI1kcp7cTXyAE+omenGmG4kqlky49db9tYKx3jXSehSTbxygwaxJ+Drb
PrwF9g+HiCns3KqdYtlBzsavz3slzdL1YNV3ZTvZsp3EVXNTsU5ZXfncGOMCB2HmYBNxQpQRqNTM
Y0PLtYkqXAc2PuslffsP41dGffEZx1DyMChFZxk+ZTB4t6gpX6UXLv0+V5txOorQ17fh1L2jcjf2
T026PjCCrMJo26jmNrJMXEOiBfxHhJ0jotVoDOQHqG7jm4Y4m460dyzrv23dWyWFgySmxi7e9tlb
kxV7l0AIWm0MSVNMFzGFO0kCyjrEMsIBFa4VFIJxGpNl6qXdfASMy94vucehax9JFycMjpLXhvw9
1+GiAG6IjeXkA26HtkhYYz8O+3KAnZUrWH+uqaM8eD6A/MU1L8CVaG5EFkbBrwUQTLB3SRHbi8Q9
DATvrnNIHPu+L5rN4LfrBr4LnZFHZnApD2Wdslv02HYZbfHJj+o8L33ZtQ7RdsnCiXuDXDrur34u
3xruXHj2ldj3ifZnAw1YWQRsrdCZ/RUoZ/b95Bd7eJdIaPN0NT4VIkWY21sMpf+7wieJyoZxicbo
IvNg4UUAb/ey4K6itzGmU3S93pT+jqVgC1mFx1H/jUTOdnxwLx0CkP3/HsYhenGc1l/zKltbFytM
SYnKbzF/xHED6kQzwz1LhnDfWYGEIAjRIE+Mp7kz+ivUKJadR/TJqBSxSUa91Hp8HaRacOM0yp3w
UXV2EfHRuf1MQdYxZRAXsgiiuFrkFeeKzfKxcaW5bF2vW3qQJVrERVu99ncl761lVwYa61G7P3CI
XaC4lhsJhxSDGtgNR6eC8lXGvHL0Phoz/+11Bh+BHpKCLAS0DlCqWuyvwrZ5FVHLwMFg5JwSE1EO
eJIjFDlzVSMiLux474gM/SdFY27Vf3Xn/5St0pZAqa46TQ6ZccWuJFkCXAtamLb85OeHJkVa77aL
pjt20ac41GcSGWGHM6xyW8gUCV1YFwttBLJuN7I49SwFmUcA6M877ohRRg7tk8y6ylRXfJe5WES6
9mWntvkvchCy+6FYkNNkb/HE5VuyyCzSE83XqmqH69PVW6tXHWjtYfwP2xDADbVwYf60LKoyMC1i
GP5JqJh4uXBvnpm1Ml5WoGYNdhmryiXQSqXpG2uB6lhW+lUjG2OWebn1ZoRQn5MRUXAntMNY6c8X
Dotly7J8odt1ua6SrFilSbSbyumq4WA9Abo9A2vXL2TuYQ7dkXVIPFhJqGsVpD3zUKhJ6pkyjGvK
XDD+B4jmmySRjHp47GmGeD6EZoS5WlcZLUTChkR6waI2deuoN8/NWQb5aEQwBcqfKocIL05v9OW5
7n6ZjXUhPsraIhk4SCcONqyw176u4Eqkg4d7iH500hECW3rdr7LAgQ89EGjFpCmGK1+lR9+LXqre
SFfalOY7rWYn0Hr5MI/6itgFWJwLoctkk9QjhlRDC1kq0FAxGP4aZC/3xAVeCld5r0bAmxN1J6Nt
0vkaLdg6eoR4HtyKwaBvYty+Sac2YzIQnpwwiq7m6I7XwETTgJT+XMbue+lCe4pk5XNc4h8CbBav
BpaGSz08R2HSnwiS/XSC3LoHvRacukz8YBueqSFVD/ADxDRjjJRNE6/jjHxNz4LMaelDSm0Nvoyp
PVJZUzVLRpTumh/YBnLG/+JYEdw4WFoWUfYk17GGaC0+pfJNbdGNhrlpXChnjm6QzFlHAhm2Exwq
A2MZE8B0PRJePlmVR7wxQhM7fnesV3SsA739vRLjuXb0ftMxzK36Otw7tq3tjAVzDH+hCgIkzNo/
lB5JmS253cTB+QtNMCZQfo0saUBA5hJA4/WptzN60PaOO47kfw4Kwyg5LNRaXIAaw2H6eBZdpToW
RHETw1VqC7OJ35Snl2suEYAgQWwfjO61MhjKZ5s4QpBd45lcKL9yEGHU5RMrQcImbIBDCiyzllO9
S2ysf9HzYSQPL6hMFhGTItdHMV3lHXJw5XCfuHi2uYKiNzg50Z1dAsg6KC3CwPm5U8041HHe7gJe
Fdy/DxhkhBsY1ZsnI7nCvNDMu1QbLmXFcdyiGd9llKGIbXpux4x26bCMedba2UqLqMLzsQKC3xBh
o2VAClHlh2DBoO47i7hIwusEqOckkWGE0lbMJHqssom+1PRAO7muNu2CWF5J2pm7nRrO/z3Yz7/1
NjAHlyhhzmeuSQpV9IHuqs7RA/sDWFe7sR9pFfZnczQqoAdw09AyybIKPosYNXTQPV1uPXXxwFk5
k1rrf066u0VlSsJZ4pDR01mKlL5q2RHrCxl2Ut9u6y2UR8g7Oocdu/3nEZMnqyG3o5Xw/LPd9NUD
qEEXggZhxfOhUKwjzevhPWNJnbeVsiAHyAuekHCTGT2Vaejku5oVGbwf8hxFcIsL5wg6lzdIYX3Y
fZIxMg2ZofeBvxhYae+NgLg/HWG+njBBkpIOrNaAvY9EECpwxVHbjm8ZPyeEsESdvLQaLwXxtmzx
9yMhn/AYAX+zu4wvlDnurEox7HN+TEuMYncvq4JTz/gXkUX3yjwnBKSbW0gRDQzETXUXAYqAoMcq
aaLVPmHlWSP3Lo4ISVYNW792ekuqqD2FjpPemZE+88vr8EAwfHb3DeyzBGtRUBnmVib1wHjWu0Oz
ZjSAk4jlP4dtUKWrxK3zhV9Yxr4ecThydHZLU1XGyih93KGYPW8NH4ksdzewKiZg0XIWhkBoSdIg
4+kqeIAPerS6IV4rmwypZ95X2WbJOdDd95SeDbpVDyURiT1zbhOaBumlVvPBwVou1NQ0qGgiAO9t
8MDvwygWftEsrlp11TUIZfpoasTKOS9xBso59cgOqjstOvnVrgmo5kufLdo0sFZyuBWtuRURoTZ4
/dFKPHYobMMCnXtrBf8d0sf40fjoJNpxDzdkXCiBPwIsMNYq0+8/bAa89WSTcNrVRLY3oHU8BEZL
Hcr3okf0eTAaDy9u6MvNPOaec81xfl599I6rbITwpaQ2C9JJHMn0raAfwRXnbEMM0znBFucGOgXf
X+e2joung3WKjZtXQ5kTjSXrEoMsMU8gK65C01x1tZMeQxPyuQ603YernLoTV1avn0XQhbtUpdMq
I7uMVOM7Eha2TlP7k/mIpZJpuJn5EyuIXtTtCSPPJ6u4cT/dt7xoG+LynGLmR5htaQAXRcgzpTlp
Lv896EYJOWRCRKANNdlDUWstvapUe18V/GoGjXlyRAUuGiN8z9tYn/fIQfD6kHvf39soqY91VK47
3Wt3Pl5/KlIXCcVY+OfQqz/TsNF2E1KIo1vKHdV7ck2fDyiwFkLK+LOgCJ24V3K1dd+MxrxdD1JL
p1VBzT1ap6zRH5g6qZ/1cRt2LPNHUtWWYczUPpdE9zVDIc95QYhF12/qISxOOQNmsgsLYzu5YPsq
gOFVQkIJaaLYuMLhkcDO2daDk25C9JkvcAGxEJEnJZPB3ZOPIB9lfAZWBTuhQ/cCfPo0kZl0Joqg
fekJ/KKD0UkZGVAMNqUI19jaMV9Zw5vZ1698MaRS4WsgxFs4gn53UNJdNIyZ8CVNjq8s2+oMBmjT
tFPged1L207dS5G/5zQmGwu6Nr7pcdw1lv9HHUrMBcCMdZLie6oCe1zggovm4eA5hzQJtT2ozPAQ
pOEx80Y6X83xXzp98F98ECj0kk1/7l0iavX/IFblZIOcUS9mriikUS8LjnnEFsEILcWplxDmbkUe
mFwVRHlaateqtlj1EgatZAF3+e8hNmhjWvrVmTX2uzEx81vWRvGLBvJrLACjgi6AGlGWxML3vvPi
JVxSnlccDJOZlivIYPYovQmbFMaj9UhHKeD82zYQWx0gJvLZbu2b8XhBYMacERMkgSjQrIMnFyIS
1sYyQGLUz12g7WUvhVSQ2Lz/fO5CgonroY+aPJkKOeCq8eG3JV6R7wvGZGxUdfBZhi2PWb4i9P1k
PSvvmNOkoYv4Ij9iX4zpRH2pM/mYWDEi7ZynOLsewAVDmTt361kXUaWSZp/JYcmVK7eEyFqIOd0P
qCDGGZKAhcSVbayG2X3DnoIACFwZawEzem+XE8yHVjtGhMKT/LMNEToQaKHG0yidr3rU1U4yKN/G
IyKyHroIihAsqqGW9me20d05mwygFpOmr0XYpyRnik+FexHvX2xxuqj+GFUruyzMvYpH54IrYJ1D
TCcsAkZugjQD5b+Q25hOdt/pbOrqMJw2Vh2269bWTxyr2Wcp7KMUU3uu+9LeRpgyZ+0ISr60jHSR
Or5L5hluwaAp9lVBK91Z7cDkcvj18obsLQloQ5R4UxkBvoWkSzN28ZGILpxs1Pb4loHdefS4KqO1
yjGzTm0erI3Ef8O8yjPUQMQQ5bsQ6TRdYAcRz2so8RmO3ob5WveVJqaJAqtcFmgMudAtrgavLeaE
G+Yay0CyZAeF0Dsaaz7Ymm9WHm3cMV8MdX/rOnc8Sb2pL2Pr3NuRHOa+TEFXF5m5s2IDnA3dxtao
4CF6FUHVqO74TlaPoKA2jRWr2WATJkJg6KIxMEdRX4cnKoNR8A8ihFdFGTgbpiCn1YAjkTMJM1RL
5dY39UHGFSQK2NbEAbQrI5fsvbL0UhSnqI3/el+zd0NiHQ3ZLsowUvc+6cJl1X7VPuNlmZVExOjO
qfOiHOeaV6+Np7ZXx21lc/9hoQg9tjGIsGeSp8+EpE6COWqQmlI2nxC6mbzTM5+V1oqzBFM/o7t+
c5kTf/sYamelpRWvyqnh/bbQ3TA9PBTrYSDb03B2pFiag4lgNJmQxMjGOj+lJ0+OziuJyX9tJ4ND
0bQDmRXPvzaOFsC0yFlnUZcgL3jm9DbNLsTIcvSfD7VqX0wT2UdrVOCune6YO5M4BZD9ttP4lCt0
c5rH6SpjMzoiiMZdqZGLMFbOS6WY8AK46uaDyWda2ege/Ly5u0yogZxgXYrdQ5kzmgCpGYnGOtkd
+HMLSghhQhpG4VKAqdKJ/rBi9+W/B7/DMQdDNg3zd7N7xranhrfl1NBe9GAAyJJH2ncDdkUnZyjT
WEb3hdzSjjgvpHwJjLgGmXeW/NDTjii3vDU2aeDdOlDHB8Jtr6Uz3WJpeK9SkO49aANsZdxZS7tu
m5duQFXtcJ+FBXjp8LD7uBC2OG3QYiDoqdnTGYLn2KfwNrwovjPH1peWGVVPgGUNG0gYx4aGctY0
3iUm3GbLqKxdxPAs16jkVrFV1WdRVcaL0dyHgFhWIlO9TytwuYr9MLq3ITc2GQEPsR2AW5US8QEh
or6ITPmeuO1lNLTomnRVfPW15DOLTWPNSO6sCB2JrDd2kjWOGujJDjLWG9emWPAq6iuyOcDQGZ28
txyOGw4S82bRjjyP0ZWvwOGkT4RjXr+Q1kcpGnjH3BTtwlIMIUddBO8UdFukxO1rgHR+ZSdJfVKt
+VXZnnZMs244g77CMOZ21g4EBCMwO+dkEZX3qblnzB+vFvnu4L/Z3cq6O01RqT1QlKL4YxbNOAgi
9ZAVC3IdOJK5W4SeieU9mMJHRA+UBEBS0cIRt1oX6SkEDGakBchdoQ6+x2w7z2S6Jy3gMOGcvxiu
YuATXR1nVWOC+SARHXqu/s+dbOfAkzgw9UiOha6xy+VhpqQnTsK1zZNVmuhDjRIFOk2YbpHOVjCh
aUpITrKa/B2miOLQaSAIkUM0ZCBo7uW/B9GlEhX0FsuygSfxUAN74wUIiJBg3rAambIdkYbCe0KB
Qmubnora3XSjSo8m/t5VDwlnI8LxMaLNWddm4i9LulIKVc7zIoTHjafsgsd80xa2QYoaA+bJYFkW
SvoxPTXctV4z24n5TS27Ft4NoeoHag93bXIt7gjCZHObO6vI0+8tPdVW64i0Lxx7bRfdyOCWRXHR
5/auMhRSUJLuwQfXJ9Bz5G+0RDPhDVhXcoSn69U2KIK/qdPNrdJRoPSFeDJoJBlEAM2dWd3DW88V
baMobfZOVMtrz4dxPZVwC8bBGr7JNQhKtlWKZKydYytrkxo96hXgSihvGvKWSbJIc7aJpnP2q/4s
46DesgXKrySdrTlDYd2EqjiTHTSCii9xzUjkjQTDBrfOByeKXnPO6ihY4bKXB5UYzTznvUUni6HR
NJrXMYfu7KZwEtl3OicC/cprblmvZtYGl0gAMRyEdc7Kjk9wWKRkz9ElJE5i2sw8vdZR+jOiBOYe
YkSbqu2YQqM5QStSnbSyfMf3pjaFKuITU4OzA4mYqQVuF2H1za1pDALcQxEsAqmVe9CZ1b6KmACw
yFlrcaLtnLDVdtbzoXQLKrmnRRxJ+GGyEv3gMZwkNgucqffMpCEDlNGhdjKbzjvxf6B7jLkTDtM6
8Rx1muy43LhoTWs5NPv/HnT6wv0Uo1ARBRc3gVErfErEYytkRgWbiSPkZ+vYd8BzHYfJZ+k0FuX2
lG/MHAVGkrXNtYlqDNJ9mq/ryRMJy0twJVY8nUwWklhMm5usQ97xmiqenqnmlqKJRn80ssTX3aXf
GR5LapNMBVaD5Sonq4PhuKm2gxwvEJMA+QbcMfTcJgDOQtVOsNHrlGvJIdL7h+/pRCiDkF1nunkX
rGUPdlj9/4N8/rPS2s0EHmmTE4FFOurT9KgFzBedLDvXrP/BJczTenQ+Xadd58Wlc4CbRjyXWV4U
b8LUNx4JH13F0o+pjzvHmMdmUyOFm+zD38QkCaVlr2qnxBd5KbMhJiYMkYm9bOxbxrgdIhPPdTT0
eT2iItEhu4QV5GBDFmRLNOFbI+WGvmY+xN7fxFeeN3UWL2jOl/99ClMqxJll+i9+lJP3DvmvZIdT
tNxArrFy2qNWsgHEaNMTyWGSVfA0tA7FLerTx8hyk27KIQ9FK2Z5izoDp/nMyZDJjtLaeL6zKjXv
56lHM+L4kKXeh5P7Z+tp09EGsEgG/svcct9CnbRRzAS4j0aSqobpo23Lw4gkfBsyMWJcmyyTgMtt
YOk/63jTnEJGBRk3K7Qp87oJ3jEBnpUsP6ikKXR8Ksly2TTmRobWJxkn97ayjgz2dnVP5CjzW2rB
9VgxxRK2/hc4QAnb/CNjy8JE44l70G6eXVwHITdeV2h0rF67TshfYRdqLju2SchJ7zZHBGcrhnn1
MDwd8Ft/Y17LCNH+daCsbX2TzOki7en1ixCfJPLDpZFZ/I1glNo2Ptvuxe6tL9UxC6lKvyPvLoC8
3GNiC0co/cZBj1vGOeY11ZNtEz8Xb0xA3OGg+cF3N3FFTRkOwyrLNz1DgJlZSlQq7zUM/SROumVv
Yr/WvS1XqA+dMPyRIIKMoXgbSRNbm4ZBYRXYdz2g8hoc/6x87dz3k0NuBYFHqfyK7P4jYHZNS8Qp
wF1kNzrGW9ixeEeLwTd4TtsqZkar3Bt/ssFRW5sVzsIyAImRGkatP3SXniH1iqP7bCUt0vO4ELsu
JtsNoPI7UDZB9HtIfUjk06KNWCGZ7Fxx++nXOC7+uVbEViBzL7plByy0qWpiWpVIhPnrBGdvVi9H
PLYvNIwsqNi7fuhACRZqaL15NokHO1F/wwY3XsaTvwiTNnlO5nhLhSktdGm2MBGcQzJgV+8qEoHA
IIPs0j+LBnouFbTvF7w4TL/Z++iM4TNnZnYBG/CwfdP8diG4O0AipL2dQJa0tnFJM3/l6skvsx5M
xdb4p4L6C9MgtwM+Sn/NGit70ha6cxRQ/D0/QJoB0k4DaZTHhZX810Z3qF3gEfxLw/TdhImA62TP
u3AeCxehrKRUq1BA5eN9iJPXkdFAyTKGTHiiiaaLDP03OTIcqhIswwrUYbONy/wVoMYrcIW5jzi1
FwieUEW+cVNnf8FAYvwTrTrAj7gbxgCYFJ0h8tL/vkRQ0GuHWUI+NgJG/iw1NjCYrv8Cs9qNYKcc
YixRet9G1f1Bpl+zLaUDz9nQtNgz07hmNUQiTwFobV4LeIOhR19H1pckwXY2kYNUXtmxEABg1cEs
e9fL8TOcEA5LZX9IXdsnhrYKsn47lN5HUUpAJyR0R256kXiLZ9A9/gFDeJNNtE4dHeP++G1RZ1Ka
yq3RpevYYsGU6oOcTw3xaZr6jhL5pbX9bxEaV6phOtby5tDMM0wjyD0j30+Z7SdpZXtVxafaJIkq
MbWPvra3rvKduTRN/DV+eMORRJtVQNLJklXt6198vdb9R7/3D7jNlQw9xgv20i2fRzTRxrMmcO+Q
AS7clYGuixN5oRybzipxuFLBMTC4f4X+BPnDWNhevE80827p2q9XZJ+tzE8goxj76dCO4h1QT5Yg
5neWZzcVfGIo2CMgvXuF8esF3ZsRaKskbfB81iefETtD0C0N67ZSCX2sFLBC7OEj9qy/AFgBDW+1
mfpow3hbLIJgjNiyNXtzcB9G83Q402jmFTCMhL5uap1sHlCShYl75rL+DX1WsqPRr7veOTunCf7k
M+RIzQKu4Lkz0ekzHps5xDdAPGVJYCcXc6g27QSCkYqR9EW+bBDJrVAlWm2rQfKQ5b9T8dKluQ0Y
pvzLh/EnD7fE8hJo6mJ49uz62AJ4gSnmz0ffpn3Odobz2jxpg6Ipn7LVP6zGZ0qdqxcR1lFI8dFU
CxI0V0OagRb33qFuoEloCfMdGfgE7PWrdavbqyG0aTcFylnq72wbFQSB5xpe+4ZoA38/mQJliLpo
5i4rswMNF5wOBmLBe1V9aN60QMm7FPRkkWWdK8xrnpNsq9g5GEm3iNgbFpJd/3iXDSeIq/L3+qH1
7ckS7FkiCy+PnexZcAVEz3eM6ViTFLncEnyozWAxQ6R0kg/AtS9TynagBDXflgwMzCiAugi7f5J3
ppTfhIJV8+HZWxOs8BQ1MieocQMAEkHc5F4CtOqzOA0A91vBLXtmlRcgJKJmrbGbdcYENpW3K23Y
KwUGTafGN2+RydC36U430q8o5VhvkuUkxc2sjCODgVz3wLKWICXQ4V9DZEy8SpnQNgCIHviNxlnk
Ol9Tt9GrZ4yBkQWziqU4URnTV7Tk5kVEb69ef2PR7+wBzEk0fvhCnWDNNMQLgIHo2RIaAu/XgGOu
IDQKkWKhc5T/B3GY5yYm+0RsErP5VFl1D6voG7Lrk4kasf0LXyElU0zVf57tfokJ5X1FZmXS3Nkb
XNy0OFdR/maHJ8htiyiP+TN5V2iSHwi/zpWN/Te3T41oXgucI01FhK4ZfQYFwUp2sE9CUG56fI15
y7Qt3YvR1K8kKcQLs7ibQU8gnrXEU3gblI2XvDtLA2Or36grZc+3BK6SNiUX9vhaRItKBYjehk8M
lD7W4XWZZJ9TmlbzEA3e3M6qbQQyoEw6QOiT+0rNdGdOxv2F2E2A2/S8nnhtjBE/mX6rEdqQyfhj
BvElTqc1bJpPN9LvUocIxgTIqmmpXFhJMyUgh060SebwUUmT90bivfcvkWvcStf8VYi5ZmGnOF8h
W5fqxzLPBGVtlZ/9CB95Zl9X5J764w7xPiaZnBn5mFEnC5f0lbDxiYRjMSHlP8ccgJ8xX5u52fAl
gnkhug/GJAgEHeM3Lx+TX71wTt3MVD82Jheind3awX5MXvdgVPOpj2JX66DzmXLPDIuZJbmQHWG2
pkopqgIys52UguV5BVXqwyfnKmTKSEUyU9PwFUhz43aAZXLpvwQ+aBPBTxhrZ71tPkcNfITQyk9P
O3QKNZonwfvZYXFOWR9YjfaOf5qMQUz/swTG+mQTXEv4B24Taex1QWxSGv5gEKAmJJ11ki/NWjr1
5xC4uJPca8G7ReMGMwkfS0SF5hh1TmsnbzoDyZ4wIDhgiEt9Ukfdob5YwFCrodjawvmQqc3Myu1u
0NwXUo4HCwYUayv5qC1e+gq2QGER5sQZyplPgDLgHGY9XJK+mJbMh1laYOgHMRJhI5Esu+s7A5Av
zWy+qhLzvhLfEyKyqSz+Wo1SuydlcM7qY42gktOqioFEhMUsHNJnwNdPlJm/JD0cBYfJMPaninaa
N412KSNzrqAlQ5ovjhgg51VX7PGG7Iy2vPfl8O2b5aqN8Nc5E7KG5hlE1lDwm+xmU4NpC0qBa5J1
RwbG1zDBvGz5yYwYFBCvUP2mxufTUJr66V9VOlgEFaJKmosnkd1Ps3eBtvSZ8EjjGreHpEvWVaNT
+pIuJ7CszxmjAg/U5yUho/O0cihIVfFtmhn53kLNaED4jcfVtnehw5WIsVllFOSKFj8xzKYesNJs
ZO4LhoSWprG7H91et7WiSNPcvwR5zczLuTCEDV+o/ecWKddlpJ2jnqyxzOESBrEwE+1vIBCJdGH+
xbYPkguZPjXGLhjqmJmeyQHpM0UjwKFOuBbSoPZXf+rQmeOQnZ3F1zHjaWDkHvHBi9vodH+B5PNA
uPNmJDVsIIUJJnZQzAhSw06RWPsg+fZLNDTT85h4fufBbbHVaq99gF3Um8zfxvtzOs6mCYEHfnFs
XlVrsgPEougb/Q6BxI3EcLYYA57rIlW/Wp0whRyWGjq0maryd1L/clRmrK+iScwiiPV84eDFa8sr
gnpCQCu+VY82iWl73Ijx+dv+9lRxmjzny7Uf7BQ+mtzlGoDvxQi8BzKfBEg1BV70CM5leDKnpwpd
EEyD/1z6NtubjehYVhGAnCxMrWWOzz9QfngpGWU562jiusIlmiFH6nvI0d965l89MPazkk6hDMhG
DTkRsuAZoDD6LzlHQmD1V62oH9LhBjkMNpKON6W5iI2WVuS/euWAdjh1Dxp3Jpw/O5mPDxB1q56q
PovAPACkNMz2Xk58a33sHg3KD2H22Dx0UvoikX4Q77hqOjAPXfZeaBC26WXIndebDQ5urlRZ7NFv
fAcmLs609eChUU11DVmZgX207H9FNBxaN/0rB3XFJv7ett0tjsuLD2wYjeN60jadhnQIzu0D4Myl
CtPbCHcaZhrWvpE3xWg+MmZyXvOIiuAkqfB9a40ptfSti4WuFouPwdAkNf5lEyrWuLshK/knLIiB
TuicnBZGuon/EDtL4bJoZLOJo1WTqHwJBdC1aB9NIUktaAOLdxXw1szNCPdmAybJDWYS4dYMZ3lI
uTLocwiMyF5pj2owy17ywK88+jeNn76R7hUsFjkDiu2o7ywKtKLoqhftyHEwOg279ZZl3W8IvMWO
upWQXJAEC52KPD9nZgDhod0Z4xYWIEpw4Hl4NKmh7UftOB+DjF/xHKEeNNutLa2LE7H0QUcG9Kl3
v0OOnc5s0NzDEwDbl33ZRvPZwQzPguTQ2MNx6t1Ta48bXfQA0NQLL+Y+hj3DJK15j4PyZiXNxY+3
tbox7j1TIvxIl3Q2HLncRzzjECd/1kQ3EtSfpuPls4J3hluSgcyiltSBK9iHs9nmX4RkzSpkizNP
VWvd4DIxs4hMWuKF8Aabx9okItm2mMHLegvQkKjeZvAQC+LE7RRAQd8ON1V+x3DyVuVR9nQw7Q3J
b6FuYA+lEfkJJnAcs6mKRafCNYKaq8yso1tgQCj7dVIRJR7jhEEi04r2DQLlw9PNcwQdGwfZnkXF
YRgg0zte/A/pKNlcSzd3GGXYWwvMaYi2aAyKC5bYT+SDBxMrYw0nX7TitXTGtfG0I0UbMajD9EwA
0vM1zqBZ/OSm8C1Dh6a+mQ4CBhIUiIsk/CfO7wN2TSqUjT1k2wHXOETbA9P9j7jkhle3nFXONSQL
BOz53qGasVVmoIyLgaCSts2yp5wpNWmwA62dNYRYhRDceljx+9R8HarhG3HL3pSYEBpSicFMjTOn
CE8uJxS53IrplkIiEpC7hwQVrHpGcQfDrseLKZC7z6fnSQUzmFPPviV22MxHxVk4WPku750/gQiL
M5tbk4hQcY8CZkxtmvNSgzYPZMRSQJMqxbCfaS5LM+IM/eCDzbk2/++jec9d1vL2foWvBrDCuxqJ
5GwbtokFrlPtaa1FJIjj1Yrfpai3Lpqc8f/YO4/utpFuXf+Vs+4cZyGHqZhFUqKSFSZYtmwj54xf
f58qukVbX9/uc+Z3AqMCIFkkULX3foOdfq09FtKmyn7Ok/aF9BAyAN+GxL1JhvwaE4w7tBE2Q/oY
pnhoVaKQjGqI5uPPEz/xJwx5wMzHzuElnobGLnKVm3Z6GdT02cjce4B9B1MLviD7tI6D4ibO269Z
QGFH6bs3zYd96ONr59pkD3ZhOR00H9W+zoh/hLVyZ6bDW6T666IXBbHaqJZ+BEK4B2oSkQ6JDHYE
YeS+d8XWzlvwEs09Rkc3trcW0OVZ6UClt8+GwFsNivaSdPO20P1VnUWvamE+upnyzdLNH3Gunuyi
umtLoVpF/bTRNoE9uSvqdGtFd9ZscTezO7ZXLZFuGGLN40YNVPPmOpKpoXIRJua7wafqzsM3U3Pv
w1w7+bZ1gwfhqU6+F01wi/TTTB6PR3Q2zReghEMAfAEQ04CqwXBV9UGwHhFxW5TpZsowQsyqNbL9
LAcViXDoKRTT68fUt3lXoC2FXDHMHzW+7YbuqYZzRGDXnPK+W+Vs3af2doihx44VLnDpCrW2aIGd
2wxPCKGAsn22QU7DHEckZQQ4hrakQRrioI0JgneZsqE6FZILUU6t2nwHELKYiAWaPL32cndtO8FD
bE6PuOGkj0lXHKJAXWdG8BW90KvedXe++1p3Db5U1Dix0EoWiuN/idFpKlP1Zyl0MIyMyqjVVQ+e
toe88prbrPdZ/s2cPRaHIrweEJ8AooT+sw2SJiDQHk/FCfWVYzhrd0iOPNeNeuO15qlLXn0l2wdN
ux8LXCQTqs2RNt7FrEi2zZLZUuyeZnDkRMRPuOBt03x8TyijXPncFdiJQTYmu89iHKRVNfk5Yopo
O9U28dnaqv6z18bHvvH3GeV1JSY1QgJNN8x3L1ROE5QljBaOPLpso42nCDZCbCmHOY5/OsNAPvUb
RYsfaovSbyb+HGSweUVap1zhFdIl1ZcIL5CUJQ3pLCjq9fiz2LKuP6M78xyhkDp12qZvelLF06q3
yEXY9wBmrlP9RxOGOyur954W3xlUWEdUHU1/POUjvDCiJou8Kp6rCCEVBa++psBniC+S4WbvFXol
SF6xqUrDem3VTYtUCPxc9CQPRvzeKc5THBdfO9M4hkMvPoOvFaTQArGrAYSDZis+7zfeJKBXyYGm
xb7p+6UTIwkYqPVPy1GeZ8graTmuR2SHELp4INFwj2zyK0LVapUd2kR7jgKylopivHjhDbrDz0Nt
3+pt94RQU3GV2io6kf61o3f2prOFDpvLN98b6/SUR9/LBt4w4lDTIdLiGD5xuM6T1Eczo4LTrho/
c6uCFDaNG6926ifgcD86H+y6AqHrUPbtuqiK4i12ZmrsP1gPqPJVOKyrNk5Q+dwPe4Xq0JrNeoNW
QRmROEwS9u1W/Dj3EMDTAR00fJ2oHuAFl30Lu0DZxlhFvySOQxyEhFCRZI+j62PRaQSLsgB3qdZa
faORKV8ESGMS9uMSWm/qCJmjNOv0lW9sY5OvjacBC+ALey0PGT4z5zOt9dJV4QOcqrWhvmY1qK6H
gD1ny6+yUL16XgwZTzs7xtGBqgSUfKyWOIMqe10cwDb4+4a1cGFMib0AktbhwZf0e3lGfhOZOn2G
1TSmLDG4lV+bbyZiNfumFBm+QI+nNcSUr5rOa0j1lLWHkxacC6faB31Z7f00hUh/aVeoEy3dEHWg
RhtP9mSdwggh8LQ/uF1yO2j+s4rUDnDuq55yG8DjBmXnYnbwb94UDdyHOR6UK33mRWUDy1JjAFZ4
NS7QH/o+KMEhjsZXA98ghH+dZDF1uNooc3troWIOTwaUkAdWi5RVG976KP1YRpLsSTBCbrYBLaaj
sShwyF3jInhIRvU5CMKvcGXJxNbql073vjgtYlF4cYHBSoEOQdXV1fw5Q9KRojNESd0TWO9QO8bN
Nx+BiaVXRwlxnf2jNK/BSqpbkLhYq+hIpqJn5ib2N0vBersAlngVVz/h06irITPucnd+UFFJjTR0
njp0UHJtYbbmLtFi3ANjc4XE+rBwFGs9zW0F3YOH1pyV70DqvvHFadi6FGswI922DfE2rnqNlFEv
tu0l2m0OtcfcsG9mlhJ2dt/AwD+gMv8yGKguom71ZuNCnE7dI7xrANqDiupUzkKYegCkAN+aI6Fa
rAGfp/RI+ijaUQLEJaU7uS0lJGMYu8Wqtd29ChQhRHYVpZC7yiyov0DnjaH8omz+WjY8t0K7JsJ4
myeUtI9OKilX74E1ZzCJdroRfEOBO13aCinQGfwP/HJ/74/e0oakvZafq6Z2cG7d9KCV+UORzKQV
rtHMwCytRKOkDb+HniqkQZVtBU5/Nuq1rxCJoiEK4hUfWABZV+Y0HUp3id3YVY1fGVn0G7M6Kr7l
wJDXDhWLJ7wi9jbQPbGpFQVCB7MvP3gcm7G/0hz/WrXGLwgv4jHUkCSMvC95Yz+Ww/Cqpf4Tgi34
7yrFJmz5880de0BjROSbbC6JKsrTIRkRxe/e6uCHO6NqqHnxc9XkztIegdoO7Ayvos5GmwrpI0pO
O3irZOZC/TU1THYwqFUnJq5XaD8slbp+waMcjg6k4e41TSZkQON9WJTkCpoWj6ghXmq9um71ik1k
NpdQ6YJjWUAf0a8c9OxWg+cNbFSVJbnNdumUP2J0AIm0IZyUGX9LsvaRr61MEucEayyLVRVtO1Ij
CxV2BUTEAPIRDsikr48Y2Z3s/CkOkZ+bx7XfAzhL0hIiO3+FJQt8tlTRxwG/16/bdgBTmqIxVOK6
UwbJaqiCPWJI9nVS4RDmPcdDT/iLrC8goGQHjO9RA8i0GPDVjamtJlC20f7ZxilELxOeR2FTTFH9
bG3qcbx0ZmO6Qj6blCqo4F0RhgfXjPewnh+aDI10lBTQh1aJ35yUylzkUHwFM+QiaJl7xSvwTcHd
95ds0N5Lr313y44EY5Wj+DTuKQkqaDaR+nEdcxvrxW6Al4VMJ3V48uItFW1RBeDFDRcGKAMcKuMd
qv1IqQ/Rq1BpgLiM3rzuW3VNwgQbB8uDgdHkNbmAozLlaMAAqnwFfrGwDS16MrpXKN3NdhY7eGBQ
m3hE5zFMUdsiB7RCXDi51r353SliTIXHfF6YGaGSCSqjv2omI1i7zQnhHKrTcWouCrYaS0xZF2ya
M6RggE14WKcsADo16xEgL77Rlb4GnRDckNsDkuUE2CZ4BeDuAGVDo5s3ejTHO0cJn5q5MI9prML9
VI09ADXen5m9yeCZrHA9Rs9DaICMJNlWUyeTFy6ijGqy1ILpmxIm/etUbOsmR5mNsqwhHJsM/Be2
SjKNgrfyRUP5bBHnmKeifq/tizx/myjx7u3Oeo/jCkSsQkzXO6Cug+3sFM2i03WYpK4fbDyjq9A/
YFFl1TOWpWpSnIk6fLNyLRf+OPmxjPWMjGgGEFQ07SHWlnZr3/2f/2/FROVl+jcrJhN3JDyr/h9W
TKum/UoA9F9PbNuK5g8rJnHh2YpJwYvJc1TDQ+nNQ9Pe+bBi0hy8mDzT8fAV0j3ENrBJ+mXF5Gj/
DeoKoJdBdk7nCtSyhQ+T5v43/kOW5nkaIBHP0Z3/jQ+TofFb/WZtZNoudyedTLoc0S7DldZHvxkx
pVpc5xqiHT8qozhauWo8QVSGvRfOIOh6W4eoUOnLbK4BzolRFR3R86he58CBxWiaJr9G/+5aeSs5
+e+uhTkZBYAj5S5MHly5Fbu05U7NEdu1T31xMJdwScT2LUA1gih63AbmXB8uh1SQMS/NyMyAeydb
r/KM54DEwsGwIeopollNOTuaIXTAZlXms+6035McvkIgpGfDcFU4dYzXBjU7qwRk3Grecx+Ma8tD
2JPNtzOby9Sf/f00Vf5entlYfZAiCADQXNqJD6C+p7CTTCp8IIc8TFsbcbB0h1nbjyTfUe4zXW0v
26Hd3WIOo35DFifesp3KYVmFxSEVh9Bnq5yqpYk40h8DsikPmCwVBzxGFEwDxWm59YIhOcixdBwV
CH1jDCx86teoHbo3MaUhcL6+i3gsZzMi94T9VkGykm2t0Xzx1Iq4Oi2gdQIdA1vVw+4VB19JODgV
Qp7InQL5HYKOOD9DFbOsAm9jtC3xQzvfBKViPgAQb1Z6Dwi4HmuLLV05HIOyeaqyjEUrVK0eKA0u
Q8LxwBbePdQ57/l/9FuEM2H0iD55EM+KMDYOdrJpz3pw/08XyRshH8/2tmDdg/QOCCnqpv3gJr8f
ZF+ps1peBmRfb5ZPvz5zoIRTjMY0yty3oL9xefIVzJBNG10C0w4fRsgTwL+acRnrQ7upoIjuMeTq
rrEr6rcuSpc31hjb0F3n4l4HirSwlCREiRaDT9ZXLK9yilqFPkIVH5r4izxDBujXWTMo0bnvcuYY
AOjiNLRXWlpHC83JrY2HTDoa76I95L2FEaYXbHtt6hCdDgENN0P44IBv2OKAUW2DUXXvy6anDCMs
b0PQAJSLsrfWB0wUQjoGn6v7h8CA4u23E/mtjjpphjijRgEWpRC+9AV2tUA+wimEVuPUxQ0aaMVN
5SDePnp1uZYDtTuFMALEiBK2KIxU5bsDawNVvTc9zkQuCfSJENl7y3OiUyL4Wbk2uuKNx5P/0Eez
zs36rsEn15gz4A2tAX5CRH7whxOcSJKiXRnDXJ87z+Nxo32zS3TjncyCRR2iZ9JB7XM3lvLOrmE8
Jo5v3GQjCBCUvuYvfTqgZVhFbPCuXMQscCABDyBZQd5sjSd5yM0lV0TnxrknEBD6qp6FC+h0GkmP
jqY+bcDjRXeFT2iiU8B5jxDwHuMOwhZQWSevNol4j8gDbz1/b4n3iGxm8mVyafMB3vpzDvOohrTW
9hr0mxoqNcvN/BL46sFudPt7GM0PJgI1z7jYsn0QsqsouMLw88hMyKl9jo2FiUL8b2vh6Wzn91+/
u/xpwgftYvNn2p7q6Sa1GdOzbRYsVaw+v60ujpZFXWiH7o/EjtJd5CWwqnTw59ewWYvrNtFpy9PP
7c9Tf2v/x+nna5uJRIDSjubKNGb1CYnZ+wr/sdssglNQDAs/QznBLyaSPOJjlgfNnk3eYRm4T+xo
ZVemF+BD5akrrhiV2l/JeZfLPq649Fv6jGuTvOLff0aFEGSVDzloOAh1TV8Md5GO65VvI8Fu2W35
NUj664A0zJfMU4heXSIECOLl136PKVXyFc0T9MgiIgk7RVFdUbJdBg91mNuHMZjzk2K3gDHD7hhM
TvcyWVa4nW3bXGlO271gQptR72rC2wze+7YOHApYNYVmr57Ctx4PikWGUMOhz93pARDjyRH9KA6F
KwrbSHlGVv48d9SDRX/nxc56Qux142dJ+KaRxUVI/MWfcmp4HQq9shuU866Ny+gpAIG9b805WfpD
EL0Zerz8l2+f+6dLH98+xzF445kGjuXgob1Pto1zDHPIVu3oO6kXDJEpRoBjT+Y3SMT2Yph09gyl
b9x3s8tSXkxvKK7Y0OhhRc0EHfdYcT9PPLBrDZ7NEo3k5FALCkpW1r/OZJ/iZrBb5gBo1B/9cu5I
LIxBm7j2Mhzb1ak2av7if3M72ac28aYMuzsHTDXuN91wUNvMOiQ1SuoIyAYvrR3fOuLhtnzrBAtO
fZZT9dD8NbWf9d+moqbkfC8U4xSXmfaMikqx0kotXNZhG6CJqZgK3O2T2w07Hsn1QCoPXSLO1NQk
qRR04a+zP0c/z1NGolvQ8+drL6OF22jXet0Bws899aBM8+8Hr9R2sWHXu0/9l7mJX6oH2UR7/9CO
mb+NkmmiJPY3t5N9FlZQ+pCO5MG5VN5Y9n++DClYVHD1YTki+Iiu/PTI4knVwtXqF3uiFBW17vAt
KNvjnGDNDhsa5mOkUGfNwJG0hL33WgSwSbHyJy0e41s9VPWnjxYqEKTVo+pJB61zq4mWGJMtnZXq
MvN/dN0sfsLHXS4/L+AnyNbH2OXnibFL6+M3s3JEXZIyQh9ci0I8X1BPHS29WGaOGZCqpE+eXQ6J
HAgIv5Hx+DXv7yaHo+//i/+q4/y5jBA7GchvEp/YFIRF0PPnMkJtXtHD2lC+RzHAsBm2nYvU1bER
Mg/yiWZL8N7l0N7Y+kTH6qPfpb/56EfzDHmOSp/EFuId+wvvt/my3wic99T/GtXevdemgPZ5uKGX
fHzNzmeiT52bCoM1OFsePgtMFF9qOSwP8tsmz+REVkfzyiYD1lG34RE439ylhrio5lAlY82mGOwh
0ke9lyMWxaY4Q7R7E6pGtJRNEhnpXYsgs2wVYobhg7EBzAQ/zHqbW/Jt/mTt06ptbgd9KBdtlFAv
QRQj9u3xLWObTGrqrxm29d23rpvetXcOdvHYvdtssi7t0viX3YAlDGUL6fEsPH9N8SmKYFfXsbL0
XOPzp1h2U4EepOF+x8lSQ0vW0ip9JQPDAkZ5pyuPspEk28EqlUfI+MVDNH3tM2fvN3GAi2fNrvCj
WfoqvzAek+dREun1nRdMIJqVLe6bcJwg8G6bUtUPljgzRJ88k32X0aL0FRQ4/ponz4ZouNfyOToM
jkcMYupwt8Ej3wLJ/3WQA/gSjgSFf/XJKeT82Z2KgdJKSfPV4jpNdMrbyNlyopdgyfXPa579n0+K
Q3BoujoMflcnpv/zSQmsPlLA4hvfrRzAIkxq7dB9HOBU802VbQhX7A7LYGW0UXN96apyPpgUlORq
Rk76RppPJkgxxFACjubU4V8lDrI/imElIJ5kLj4NyFEBYmhrPVq1HXVjLBkiJ71RqYaDa8xeqjHS
dhaI4Ntm7OD/ijPRX5j2hG+qmJuQ0ruFULuXTM0ZsccTihb7eiiNJ8kkF2OV6upIUPwaa0TLNIfH
gu8lRGelwk2hjPfyLB6mX2eog/46u4xezgKMzfaJ3tSbf/5sNGlq/ecD4DqujR2sq3qkg0z1zw8n
RNs9jSe1/p60+dyYK6f01nU4KUdA9KcS4slOts5dKNVRcs/xxAsMlyrbuS1my/E4iSbUKerdJBKc
lFWsfjN5xW+3kQNybmTr5rKF7n2F9wagzWJWXvEbvCfRTrWFBAnapvwbGKcRRvfb4MPGSttcpbAz
w0MvFP9YlWq806O82gG4No4Ji+ZKG+L6wcjyGDPdMHgTd0TUCN2k+mAipXbvGpQIIVuB54HQ/o7m
16Yah+kF4Qx/NSvOcK2ltn+SM9LaHqD6U6Fu5ddVfD1Hs1MPjvzODhVVBAvIxLr7GLlMLHQyokYA
SSkn8X3njRRNqjF8MCsvfNCHTl9itoAbm+j7mNGOFTncERK0iB8B5OVrXdiPNqIp+6IUd9XKY+/n
yIgz+GjnRGp3cqLsQ70P0SkKXndy4HIvqMC8onIEVzXq09dmhQAt2JobHCuJh8WZo2fFTWnlaFxU
wepTv5whB8WVcurlIktcWYsrP24rZ8h+OU2HGCxvK7s+Xf7nbRuv+Jc12/2Pt72lYwaEhJ1twXS1
jE9rdmtHIOCTHELdlKMG79iQA+eKCF0lTLdRd0ZokGZlUUO16hiRi5mY8EoOf5oYuyFaAufpchJW
B79udJkubymb8pZuad2mupGtpZ4F6KZSv4Ky0N2U+4vCBdohdDsljhcB3KKrlEUdEcgPBQyytiBq
nDSBqxhNN+fhX3fRyCJd1XVmrYpgVdYuBcle6eqDFhcVzrLiVB4aJQV+EaxkQx3M+vDb5Mu0SYyE
quvt4XZHZcntZNf51O+EeAjmv2vU+Ipjk+fTumTPzu/eF0fZJw8WmQXKTmKOOziHUp3qnR228CQu
c+RZ6LW/7iCbyKF71//yujM/Bf+OanmAPWX8zxvKcD+97vAUiS2vbJVvSZOs0J4UZsY1AvVa0VG+
EbbGl7XE7b3xxn2THYAWmCrXlCkDN5XM86/5sk9eOUf4GvfvvEnEXS/3+vP+5x8axQ6WcdMNQjvN
XSYOvXMfqmZ1Ou8ZxMaBEPzSE7hZcirjg4l66sjncpdAL3/wFETiUPszN4FPZT3HlWZv418CBpjR
URutB3EB8jvN+QIyrlwwYJzWNPlG7m0UL+mWPDNAWET2PMiqbqmnWrFVRTP0/xqVmffLqMy8y1FV
TP50rZaoiBVkQ7abS3Ayk56dQjXMzwcl6CEjJdpOdsnBzk17NFTqn6iX56dU1efl6OnQUVF2ybt1
bOA/K3aOcd8ATdAn67aa1G7vNFa5wowkeGscUHuQZ1/m2V8GAUrq/tiF6JfW4UNfGeGDlowrLOiV
W9k1RiP1ZLXEaQtbol3dDfrKa7t8HUJVABxYQHQyPffWEWfIYQXIWcz4cH0MjIlnHtFGxqqWaZd+
eZOuRZTjMkCucL4yVIUNBBAkbObriuxGwm4uLouTqtjv7eSMLxNuDGtHsyaIaOX04ncFxm3ucI+N
27+8CB1qOH9sezXNUE1TNS3NoWxj2J9yYMjOuzXwgvHbWJPpB88wwqmzzdE6sk+7K9DkKxdOa/40
+tDbz3i+PZC2bbaJk+HsJprygE+rnc/VvWzoEd8bE3PPtWyGWm4dg9i6k63Oz3vshXysoqtur/dK
eUNu1TznuSbMBIphgJooUl/nXFXqAtUNEZdaXOYZMouFGt4K6sxSSa/lJgxREQWvrVRdyn1X8WfT
m7xs2TpYfDi6dYSs9yCT+/JQJtkp6OvyRrZ8PoJVajj26lwNiKE7f8wvNAzlwcKb12Y8Gkt5ltmj
+1hN9QHM0PQm+1HlNjH2893H1sVa6M9+Y1DZDlFoXwyaGvj/tpOz3P/4TG3HRCjX9lycNclv/rmT
cyu9QTDaLr41E/pOue/XuzbrbihroyU/5uF4BNs0HuVZkeTNDqmTG+K5BtadmCya2QA8AArdfaqm
ztErImyIPC+8bvHvPjrxjHp+no0PrCweigxR9tXJxn3Slbjk1ohwOH2if3cm6I65at3o5ASPJPFz
MlzuRF2JHQlcENfFpWLKT7kDhN6ZNx0ydldhryfRDz2P2mU+hdliFkvP5WCHUXOA6kkW7GOghyyk
ouMFIMgDDc32rgWNbe9wNt9m+mg8G3FYLKfStHZWqhjPQGoOvg57sUun4T5uwW5B5P9SOreOMycH
fpXkIM/kwZ3rqbmK+3ZfNKm2lX2111Mh0gN1cw6bKTw9pmXjby6BtozNL00ZWMu4+2Ou7JIzbKVE
Ua9vd+DBJgEK+3WY+3LaI6WyzTIMFwwjgBt9GT23nZCCle3POysezFvE15ZdnlVHQ7RkV8uqs1fb
8ShbvGN+9fdgx9dTrA6LS5+cQg3nTeumZgPfva2/xYaar+C62DsDLOkV9rXBa4auMHTSaNoXU5Y/
Qzo89xe+X+ymMI5XZObCV6NA+COzNe/WzIQ5r9k+2aIfsDrVSm/0N7ni4Gmmo4UPzrIatWnfj4P9
kBtF9NQWa5l4MhtAGjRk/sgM3fCjgQYuqdr+t2lBtK5iL1z9827BUClpf3pN8m6EmeC4OjsH2xaP
3G+lgtEY8tLLkeDERrLZOabqHuRBced4XU3Y0176zLBFUkMXSqmyM09T9cCTZ31cJbs/NeV8S53g
NGT8l7AKecBRZbqOEaM9ycNkqQvTZCdy6YKihr40ckDbSi/M8zToa8naVht3IftQWtWWFqIDwPFA
8pRjk+0wKPAeUa+Cn2iUVHRFs0SVEfsFNyTsoBlPKEdrRdleyWbnWtotGnRH2UrCuXgMrPOFsifD
LdVH3/0UeNE71Jt8j0hBsO1MtIVlCWwSAcinPrTF2Yz8Oe/Sp1hUrs+1tk/XdYY77a0B0NmsBK9d
kiVfQMkqK00PWVKmwD/aM5IKqZWor+oc7FSts7//OTVxWH1MMdWqANhG4zhsXCQDqbwgD+uKQ6WS
zlUBa4dRGt7YVgW6SI7KNsaaNwR75k6p9RTYkZjj9VZ4UyOwCxBtylGM+biuAuu+SV1wAFUYprfI
e77Njqd+gcYc782M5Jhs1uVgbhz05ley2ehphHz+4G/Ok1PkbXUEpfayGSjVi2PByrERL/sSwiV0
DQssLlw30zKsh8mqomNpay9yFZNd1Ob2xLfRrVN4uOMl5j0GIdQ5ZUCmZfDJSo1c0iVSu4RlclSv
yBt9itcUXy12oxa5197s8/Zpuym+riJzF47gOmMdMDrWfntDHIKsbCgYcjajYsPbzlteuuSZnCZn
yKY8qK3T7LFNbTZU3SMoNp27EQIaq6KIohcbyQbQUajwJ0Pgf/Gm29DpoxfVx/R79nMI9aKpexnM
f1vFz1o0izbfA4317+M6fvUb+2uiTc4ysP3x2kOR56kN032d9tOb7I9Ev26qf9vvkFO/jhQDKRlR
Dh1tL1nJpqyJymqoHLiUTS993dxuESLbKY1qHH0VtwgWP4wbRfNyQF3zV9NX0XS3KjPayNGA3Md0
nl1Xenyco51UdY69uEK928yxMTDc40gYfhUMQ/UqyJaLKITJ0pOZfCqRE9bGqHo1EwWbaT1t182s
lq+Vbh4jVvYH1wy98+WzmPbp8qxTlrKfrZKJ91h8iCpX+Q3+YBTwyHGxMa4l/IGdgIaSD7JTAiAx
oW63sGZ2iTAbk1une0Kn03EFKpLggGLjcowUxI9jCliyz7I1KhjOk9cBU/1tWm694DiBuk9YKt6d
Od3PJPcwhvOELyQsNZjyXfgAFtkXg5XAPvi9ffvPKwQKYJ9WCJ0QHoiUrWqGZVtUlf9cIZxMQXwq
78u30jf7Rcb+a6/2EQxtI9I4ns9t37IA0+G/ooe2ubDk0HmCHDofaqtEbhnOO8XPatNnOaBXEYGV
ool/QLqSIRdK9LiHQhBdyYDM7otfozHiDncej6rEL0g8gzzDPOqpdrpod+m/QCGGvwblfImJuEzz
1OEpnpv7AgbjDLflCRPGldNn8wvkep6pKFNIcdXTizfM45VHjvcGc5PzNEXoqGYjthxyw8PuQl37
QI7P9THZd9kJfapoXCZ/2k59al7uzDoVnasYl5vqY39ojdiF8t3eyLpkFg13mpIMz2ZtVQBw0/bg
KSggKsEUrrBQy14ao76JGhL8nUwQ50ELoZW19Eor2+oWd6rxYdBVnDj4TxuNlW0b3IFXsimn6UCZ
DqWGFg1SPkg2UgjBXuKv73IwZU99OarX5y+zYZfj1siIceUUeWjF5NAuntDxR+BHtOThMlfe8/zQ
KFZxvl+Mx/GiEV5pBKnJPZloDRlPC8C5Z8X38qBnEXoHAD5lyx809+QnL7IhrwkdjLKMFurjpe/T
fcYc185/foAsgRr8Y4ulAyb0yMoAMjJEWu5T1JKMaKwih1a+taGeXZOXC4+p6QXHEUOBRULwgeCg
lTdL2fl3w3KgLa3XpjExChGBZuvddnbQ38tGgkQVyktuuJFNZey0o+qP9+cgN0nUH1XhBIe+dq3t
pFnRAl9Xa1jGHoaLBrSE5VBP9raKu+eI0GdVRAiit/OM8IA5aPgtzMazm5vxtexDZdS7RRyFWpyP
qL5ozRMSLWDtwDYNfckbsCggb+e+Z9654YwsL79wppN5UBM7XMlo2S+68I5S9cIuguFBzqhNpESK
PC12slk5tosiK18d2dQM5EurJIJIas75oUS6qWW3dGOXE7q5VUtCUQvVAdS4gs+z2+X2Ug5B3nnz
Stfc4vkzLzB9wKMO8DNa9qN2HzpNv5xJ7twHCM4uR3EWi77Cd3VUzcS23Uk0jzUyopSehicr1Cmb
iEMj6kuyn6DvJFtzpKJAFnt7TCOd06z0r/LV0RQBoO1SyTZaPQT7DvPHXZj7dy0eNkcJWcPZC6lV
D/sEW7zS5UHJcLdOnOYoW5cZEvImr/q4h5wRBeN0ZfDEX13ei/Jlp2tNeGz975+6ZdNBoPVIqko2
Lq9M+X6UY373/fKylGeVCbPNre0bsViVbpwcDGp118SNgGFiaziqGiY2gZuO5PvCiD+qFX/pQhOK
d1sVX6usPXmp6f+02299Pgk6l1aucHDQvzet9pbbXv6Kxi2qShQ8rkuBytcVwzlOeuwcY6d1UEhv
il2uJXdukhvQR0SfHMjdBxsNbHbzigjAR4Qy8l4PNpfU3IjqUuH1R74Fdy5M+fePkzTAEUf0xH+d
iCHEJW6VsE/2tpq6qNU0He63NanFzlJqQhE6PQ0E57JCJn6dD050hwWcdV2qI6JvXQt3rjEtmFFq
4q3l5oC3T30XT7epgpI9aLXD5f3n8NdYs9/DEV7uF/rmvg1RL3Y0YJZDlKSPzH/RfLP71kVQXaDs
JPcWTO5rhPqMVVVTQ3Ky5krOKDoNI/e6TmAHdc6N7ZswQCpH3yluwaILlXlfErnua3GQzcuhrlAU
gea3u3TBeB42xlRH8xetRpmPhPeK5BvEf6qRp5FK9slVYpuQanY2vWNC9iuwW0RcE3KcHDbFxAi5
WSKPgEJmFW9c1KCujN7wNnFaz9dalueHNGm1dafVfHlM01wgpeU8V471Ps5W/qNMjCvHE7J6czBt
lQp6daKApdC7Bs9roYDg9kX9IJQhPV2379LGrR6KGF91tcPAUQ4aUevc4pm9loOyK9AgZrQkJHey
qajpsLcCiwB/SNDvwODgKY2N9AiDK1+WFnjcddVgrxVllEPClGqKCmWCbZo4lZ3ygGrOr2ai6haU
lZziy2WObPK6xR/EHJXrxEeE42pEafE6jOKXsRi9W7/KvNtenFV6pCzUpIQbIZpDUoxbvw6QHMzQ
uU/8iNeKO04vsNqJZJznstchdY/I0OekeKrMjOcvc66qfHHRg5OHQHnCyc0/KSSd71srH/faVL9d
xiGiuauhHPWl7IP8/dUtxpiNgjPAkcTDhkpJUH5trcxeerYOpXdQnRtNQ36Tb0r2/jczykDVkLkw
XwzCs/uA/KdBkPEkW7EV/NYSY+w0KDmLmYWmrC4tMYaOXPIjI4m7T4suPnVg5s7PW4X392YkE3re
rkvgcd70e98EsAc76WZqNeULyvCLup77R19p+ntVyzH1LJQvZm6NaPQilTCIWXE5OJu4CsuVHE1h
uy3DpgRdXAIhkLfWizQ9aW33W3DQD32xqbGzPffFgZFt2iCJ0Yt0jcM46/dd5szonU3/l7LzWo5b
WbbtFyEC3ry2945NUtQLQpQoeO/x9WegWlvU1jp3nbgvCFSh0KSoRqEqM+eYQbxs4aeT0bVRoU8H
8qWnPs+MZe1WZ0MUrqBZhrAe1ATvpxKWR2c8GPgCqqRSXQ/DyNGU2JupUXrJgQRSCit1IAO3ouez
+3OorxjJRVyIE6WfhsqW5KzbHG3EJshkFeQp0mKqS+OPiuIyJXM/rMQOyBDU9bMRO5TsK/hP9bmi
4LoO9WvOIhHn5KnIR4uDnWOO7bPsWeWu9ew/+vVeC4/ZmL3D4EHMqqJBjTXnLiItGegEJ+jym2iF
rvVFaV33EZdRCYLOW3RAO3ERe1RnQSIuXotmoGFjGAYWGv/p08yhHBAB42gPEaNatUoWEtJ0yBW7
pXGQdTIrpaWYs86t/XeevWuLhPNZ13iB5WqirSBGFsdhynCxm15XOAj8sGKsEpiCmycXPuq68Ydh
QxVSe8M/A530NCSMiLZQBfI1xjhkMbY+xWtq0v4fMXD9f1lMWrJlKbam88LQlL92Yxp1nZ7i5PFX
4PEzsy2ai6JJ1S2q1WiXVzBUqFOqb6IvB0rApB83a9EUF0bN+vsuXNY3Q+bU0pNhttCS5nbvYLQ7
sW/+c0JtRXLVZE9dEo2iJMDS6movDm4CkglK97dRkqp96lmTHs5Sq708HcQQ0dTTmvvE6efNf9wj
Pqcfyrd/X3xjOvP34hv4poz6hzpoKlP/8feqSrnyu0Tr3lT4+qvEgxSjTesJcMDWUZzlfsxrPZDr
G7pq8EvThWBaVHRAPycQuFOtLUnDe2LqbKLAPiaQJg9Ra7EFyjw2o6Zy/usMgyAcSaar/e+z//9x
nYq0z/DGtchTGhQEz3ydwJrYFoumh8ZyL/bQohnpffhHU1z9HPx5b521gPz+e/Bn06tKflCMvafc
K9bBziDh2EO0SaZKDnEgXq/NE0fT1gRg/ad4dNKzaWlzXZWL9zICnUiNcn1Fp6FucqyJN76tA57K
APOGfWv+AFdc8b/9w4yw/ERXHe4g8lVzE40+0Mc4/eINTPmS3ytr0Ux76y5lVnpNMWUiiaydNEdL
vgRxVm18qUFqIJrhOM7Mzh2OXdgOL1r6ESZj+gX2bLrXdHv6ZvPRKA2CBWiYaieuArOfO/4E/gvk
nu0Ev4H4MDkJvJX4DR5N3blndpteGyctblVrnBLPN5aGEQbbhsK6BRbVBimN3L0E4VQjGxXBOw/H
GzZU2pMmh9rWDBR/VSG6/mpb71Jt+e9/3eg2yuu/f/9V8+/vv2aZpmpRC2Kosqrbojjqj/j+qDFr
So6ZvECnScYXQCP6CuSjOay8GH+Gxt3DFXL3fluAtPP0tWiJfjJrUME+26hpiLxTBrbpOj3ZDmbI
Hs/XAchYaoMXmjtWW601etCEZn7JzGbulfFwE11p1rerVsJjWTTFBV11nsyyoWBwuslCnHOo/PFZ
tMShd5UccRdRlZaS32WooluCvmCts8Ydl31IqSSLTPyv5TrGKDLSX3vEtARQhmcq6bxtEYLI9VsA
TFM5FHRl3bIX4iF+PPLiUQ5qICl6ufcaWQWB4eEH5ozVWSfp9Tjkka7O9NiI/7gwOSqexR3WdIcY
nObmOwBoc47JPfq41mtITjlRsa9/n5XiimiT6LXBMNrW9z53KPieBkq9fKpl8/JXHEA0P/sCsG1U
sR1ET8br6PgZMqhVryDL5sIgw+RjhwJEevFC96vO3H8WraY+xzr+NYnqJlfZ8s+knaQXtfH7vSyD
9CmNRnpBpBSsTUKtcKx5xyHASW/M1eG14j/Ej2QDJiaHwoeT6+RhsRd9Se6sszoZ1m6Yt3vJBaUj
ZUOLq6pq57PPtjj7HGNPo0WTbd/JJ8istkq/eWzifIIXO3AQz6KMQhROiDPdR6DbZw6V5kPOZm8y
avocBxpKmVVSOLI8UPSzgrnW3CxZQWlTUxzk2jPOqZ5fp4re3VAagTWr28g9lvj5/jUsLOph9lDH
ySPQXND6/lkc0h7crz1cRINoIGFnIssvWaOO23TENWQmrljBlHzSFcK2060OX6a9DSGGGSe89ZU1
i7MuvogWnKWE/EUwzUbhTRxwKilWI/oqlhf/6dNzgNYNqvgkav1jWg4/KrfVniMTi7uplU+eMaE0
/tEi5/ZoVYmKFXLk/nGtRRS1IPSaTMZw487wQ3knzuquHx9nog8dpoYnJQhtxNDFDk/0fKdBcCXd
ZjX4Rj7O8YiM1gkUXAinrbq1i2HY9kkTY8/poseTBvfUdMmIF6Hj3bIEVApU1/oZ/IqFxyN5i74N
8EGVwu9GOpFEekBtIQgTvQ3YdFRlCWTRw6VmiJtDUkj2u+lDZzVr+wsifITjuZI847LF2thGjPTv
E+o/lLv4pNqYkk2TKpMpl/8qr4pM3Eq6orKe/RokhXj1dnkz8V3CeCfC172EUjWX5XgnXr3iKoaw
v67KSvzr6ue94iro1G2jZvn1f7tffJy4wVepMDbKUh32oIioa6lhg/+lCDAbSu7ZDMNreASx7NDp
DroaVFAQm+45L+H8eo7ZPeOxMGsodpUk9azrQf462sG4661sysjSJFIoL21Pg682NU3PopS+qIvj
WCvZq2Fk82Io4nVj1Dgp1L65QftTrI1WNZ+b0biJjeBQjzAPKHh+CjvD2FSeXKy9OrSepVa7BUil
MIv29Y0GeEqusvTNkCjND1jmHjEeUve+g1Gwg98T5lvmi4hy/x6aVOmvoVbrKo+httO/Zl0+OX+q
1lG30SHjO4l2KswaqIg+a7pm8OyjSgr2qNWd/a6CCzV5KN+BSX9Yfm++aXkymXK44yuqNSSRptk+
9xYijMRRm6c4TAfMIghSyBJeiXbh6+c0ldoVhcH+ycWFft03en0wO93aqFLv7BzbSnaalPVbCE/y
frJF2wwmYkBc2YJ10+fWKYcBtTTtYYRSTnQly7rmloZZvAgDu77jIMNeHujXCxMX9PakV74EFoSo
Ku+kr9YIua3uyu8sAI7WWFgfRgfSAjetHcY07QaWzIQ3x6NxyIbiCon+vQ815U3xdHkBhrzYRRVC
SCXuZqI/6WtrXVLbtuo9S37zPWPjx7Z/75pzz8O9HTGG3+RIpVFKYUhEUiv6rhfNzC+i5mMoMK9r
zCZ/DtzYW6mGpO3rIvWOtmcky1guPNh/5gvc8OZDAinbNLhp4cylbgb2NJh1R80tyVxtpTVyu7eo
ZmVC9PJVU/o5GI6Q6dLXkncDapOSl/Ue1xBYZ5h77kn8W4+DaJpk41iD4NssLigWCKSZOJUTvH2Z
RbjncepMp1o9ptig//ExYrAdQGOx5CzeqpJTLfpOLk+uHKi7xkzVlUfV4p2Cx5QXjp5+aP5bN/rj
d0wiPOgVqXyFLgWVItTtjS556kXybR69wireK6+ci3tS2/7ZqHL2nCd6tGr46u0NDWW2pMB3UXCc
IhyN6x1Y4mTHbPgUiNXHdNCmVYroh90H0Pk/XZ/9ZCWfRKuD8GQgMagen/H/7BMfIn5C38ZfEo0y
ATOwjQUyE+/etEV1wn3uokqhfxddplHvKpLJZ3nqsp0SMgg1yGtxMTTshHIykgGi6agD8ThzrVty
iKtz3y6R1520GAKTWUv1U+0Hew8eDbm3Nt4UiqFhEUtUC+l0OGtVpzoXmtY84Yv3x7BmoNIycV61
CIxmTpgucTqqeNXCLg89kPrHQTSTaOD/z8BRjvCRdgER6V3CADKPS7xSdEmd8VWTIQ4/+kbsxBaU
ARRLcZVVRr7/9/cJcYb/3qDaCEZsqjxJrfJwKor8VwFOoaXJCE9TfSb/STIGI6wh33WjvQZUAhRp
epGPjrNGtvmrNV37bE3XxMh6eq33/zXyn/eJkdX0mb9/wu/7gkgq110J1dVtJ8MZt+lIrzgHuWqp
mbTN4SR6xGGgWGothZMxwH9fqMyYXYAIFNt2IsO3SnEaNlAyTGk6HvDsZJTuRrTEQa8CY81EgXsq
vPOICkSwL60D0BMeItgty0YD2DhnawjcXaCF1wBE7ll0iTMpIF3TeCA4Py8Q3SpXaeINp9Cp8Oga
VRCqLFiHpMgXZiQVlJ2kxpOvhPKe9cNEFFbfS+K890CxP8Za9Z9Lpe1WQ+oqO8WNgD1Bl6Zi2Ku2
OX6+S6JRqLdq42aBO3qKcImJEjN7NbF3OBjYJcPIp9lTr8isZdSrElex12FUA4jMOxO03kmK4RpN
NDDq72HXLJTOyLC4XY5KRcloJUlblhL1sk0QwWKuPX4z1KybDVFbL4lM41eYqzeNZOv3pCWF0mdI
QigNMjFPJ5P+v4wgupktaldR1wh5lNWY1yQ11CQ5sgfOl0kuJy+8y34gFHE/VPWtqZvqEqMs1jeu
BYZU1XOD6E1sXLo4U3bwx60logvji5xjtdEbyXdFAn4tRvDby7tJdLa0TNJXVa4DA08iluBTyS8h
9WYOQt/AzoAiF2pOA8nu9o8SOddvvEMw9Ide9vC3wMl1VksVetAKoHo0dOpPT9FPhJmj9xJt76yl
FPbVBqw0Z1Ea3Yc2UBYu/5hLHGBxlVI6fjT8ZNj0NaUsQ9DCx+8NKGM2pq2EG+NViOHdlf8xoAwa
CeXBS8xqxRp8PGLFgTZCzbStJ0sDtg+8A/LeIWbulsce/QHYQvp1txoXmt8zbJq4ekh5n8PkqDCA
HjKDAWfi02pMpcSwKELiHTk/ebVHrzp/QiAK5ZsH7mAZm7Z/qMOiPMVK5M49BHrvCuQRTza/B7Kc
4UkSOVRGOequwuKOX1YtXnFbOyVmZH5P4vgjlbrybhVY3P/7VKUZfykLmKocRdNVhXCabOjI3f67
EqTuI8WKG4xkqNZxbqX+YmNe8qqBy9gZLeY/URwVb0kQ4gkr1UCVu0K79qoCWoP+aIyWLeBSHx3G
XMt7mMbTjCWaMGv/bIqrZlbviyC/OiPoNlcJupUP0B4vGyhiOJmob7ghXwNRl+vY29ywCrw78m/a
ENuvEhJPoGVKsiX587OuK3kvyRXJmyYfvvpWeqsgBj2VU79PMf7C07Xha3soQjc7Y1P+a+cPK05e
dWPmzcV+X8QFSHDhcKrmxtaMYTmvjQzSeWFo4dqKW1aWCMfJVdpp+SuYbsFup1q6PVhh6rFAkvsO
FSptd7KN93pshWq3D/++IIaYucktYmDtQEpP7P4ZU8+LqCQUtYeo3MFI0yUhGrj6uRWDmLA7gFWq
fLStulha8rQZkuUcBEjQ/6gDlKuqZ/y07OIWurb0BaCAMY/CUrmMiNWZ/xVicb9vD1xqxsTt/OUe
t5uGp//Equ42aoN3bnS321hBj5MZsgJMgsz0S1kG9cq2zGQtAej64lvmW+Pq3SUoxuAJpztAmXQP
TmpvgCeA+JluSgd2f7paugcdL5bXINvompsAhc/NPVnici6avTQ8ob85hxMQKC3dkxUaxd3r6hhv
aA2nlKnfS70zRXXFXaux53RGZSbH+Uqva5bgrOQPFI//efjsk626W+pZqQE/Y8jnBdGkUrRbolmy
FmlXDYteTeIrpG1nyXJD5kUZtOsgTIqDVwzZNmJZuIO8TuCRB3SjhU0DIyRR8Ldr0VKEY7IckrC/
xbED6M1Oq+eoztxZryjNF9nHAj4JB+2bCp0YPmP2UebVaohcjAxGY20b1KLOtMEFBusB6JczkjCu
VX9vvOBJa+Gn/2wpptiKjFlfkRdwm+gqT9k0jEVxPTWjq7hGRudxTZtE8b+viZzcP+9zotLHXztV
H+oBANCYl2eOvxEVmGhjtV2W+4izJo107VnSSu/inFJXvpHNkyN7W5bx3k+UilvfzYI3YiEKE0Uf
nWIn1nYyaJtVEqrWk12SxQ5As3yE5pyn3/pRwjOejWoq3WxlzNY1i4Fd74FL8grWm4UK9C4DBIip
eH2s5EhbW0TysLiSvJ+UnCaprv2U8votI7n8io9tvijsZjxrVj5sRk3Nt/i26asIt4A9pJQAo89K
2Wv4dx/luoiXFH1Fr1oXv8ABaD6oclk1ke5/w/0KG3lz8C8II5hpitTfeGWrXS0/8tkWq8a71X1l
yYzcQPgxB0KmYPZ5t5/yk92kVxAXqAj6daYrQw/fIBtn8mCYF1iIbyUWbF9aexhWVqoTa5zqsmpF
X8iN5NyHuCsO6Jrw/Kv14EuDMe1C4+uxEU1nLI9N5XW30q3ra5dFT+o0ysm0eJPUA1CaqUnwjsin
5H9PDRyFyCfwp8gRI30WSY3BYJFpDojl/y62Gpp2IYGcOosuK53o8LG/Jleg7fFWR3DhWc5azytm
BjmGFKk0zR17dHMml233tfbya8i3w5vl0jKKIpD2aZjvB6313utRQdjvBfqzPJ4eCwMp+s5E/eLW
uvaa18q4aZLUX4qm47TNXJJ40h5X+Wd1qWee/v3lZ/7j3WdqGgFilQp+xZH/ofBWuhGJtFlI985J
Ia27GNcMxdie5S6JdlVXuivkktndhak48RytHzl1gV7NQ/w5dkDXuB2iE8sChgd5es8LDFLyTDM/
hycyRCrx0TECV7iW09jpo41JTVK5tTp/CLVTrNhmcRzvayK+HziV7Pomi77WVavPgzpML3pUqpuM
fcfGy5Tw4qEanZtS5n1N0GF7LMrFTW1nRURBqdMYqZtQp5kgN5Lgbnm44EzZeR/g1X3C0wuZgrj2
uzVE49/XpvuocrH+D6wMJXN/b5RQnGgwDGTK6WTQKn+V0RG+wWM3JxGkkdpdRM0Q5a+xAQ/UH6M1
hWIVXOEObaY4LRvSkfV0eFyBA+nMRWcXV2Qix8EGqWxQSWqOR1HnIsphxNlfNTF/NbvOGKBH1Ka+
QSwFG6hpWxbgrf1kKSqLTrtt9opUWPCqTcyfQGs8gyrBCXL6gyf5ARiD8UPclEgBN1lhs5I19vzi
piryeCx9W3u24pylfnxW1dz/0XQdDiQVT0nhZXO4yOkH6r5vVm2OXxylruZoWYybPIDSzaIAi9RQ
lzboD+VtJEc+qHEjA//bSTvH1198l4BaTJHNgRCds6c+NARIPXZ3vDfRGyHT/3Apb651viDU41Hv
0YbPHf7Ry8Apf91EIDx43MS2tfh90yAqBcqJkhqrweOmcPpJ07bp8ZNcVeru8oSkbykAWre6kyxT
CjuDF/x5vimGrRw6LQp3Yx46LHaJMlYua9mq772NPsUgC03OZkYxOI8YJHip2bTffM5jY9HJ1G9K
kmJ+yduf1VTnXjd1vyqJp2xsI7Sm7kILs4unR18SK3HBo6HVrSr1FYyhexJd4iCaThKvCLyHh7/6
9UpV503Slct0uEWNNuz9CYBIBgQx8XT2eRB9kdfmmyg9MEPZLfs2+SmNpoLj2DUOylQAbWHkAkc2
NQ/qBH8UV4dGNg6l8+SVfbVVk0h7jUbsij3PfJJ7y7+WfvcUTyKwTK+cjZJEJnBWVVtKDTygDKOp
TUf8fSGeWsUe0o0z2M2jKa4mZr51lWFt5PVPY9qa9RTqrwjjmHTRlELlWFD/eXOzH/gUSIfKGayj
WOD6ygo+bnF8rHlV26xHovNqi41wzXImgu7WySH0tMqnupolGbtMbwGuwD/koZ88GWP4Z//Irq9P
jeRpGm80ifOmq4d4oMI/qdHYRo2/1MVvFCT5lqW/vei0Vt6Yo8F/QOKPs6Su7SNk3ewZHP1S7DOH
FJPlhPjwvIvU5mno/RzbKC1ciUQh4FYNf1DdOUT8yV7T8JLLyvBC9dn9UQRDrZe2GDVJXrE2tnaJ
20hHu63ZXoZ18cWoowseBc1HG+Y7M0mNty7C7l5jXXYu3MDdOlKFNann6NhR4RNvU6vyo1ZXelT9
TNE6vKXZjWAwzgO/TyTp754/L6VUL4SA7z/HpJj7vsmI+0TKgdqXKUdkEW6dvk5pRcpIDRTM9CZ4
aItMssiGdxtM8cBe3eW/c46UoD7FYNAPjZEFsNcq661JymWF9d937KjBbSvReI1ZJFEIaGI5GXTO
c1K3dzFiMsTwsK97rvO4WDd2GmyVuCluzRR8EyMswBO50Q7HnDltUU+8kXI6dDJiGtlPlAX+SAP7
ejOk0zK1edxY4XPSBydNjYuLePlktLghv4iv8XTts4UV0B+t3/e5Ll/Ef3/7O7L1z/f/VG5D5kch
UfdPFpJmYAPgyf1wH51dKSldsw0SapIcR28XbRaaeyGMEGceZOQaoHQcLMLKlagla91Vk4L9QZyC
Dp/YxB4zLXtyjbpHVuQsTaaq9aDX4cp0U6LCU2mxKDIOJ8ZNncEnKhCsBUCN9iYz64ulww+3I/Us
WrKHl3ga3qOAqI1ipu6OebtceKllvKG4/mFRKHfNnUo6RSN47ASF2WlwpIIYRH/167ZC/Nf8MCDV
vpVE1qhdaIfXUGtw+sA6IRq87pSFqNAD285OpWO5m1Dpqm3J7jRhDzkBmtunXpXHQxzg0DKq7dNQ
pLiC1K23Mh2yCjnvuh+OiTMYf7tNpITA1t36fSjhwCV6kvP38LRFpzjlN4WnPVVz61UfdHeNHDhd
m0XeXH0zP8aU8r7FibYQeSW5hks0dJl/scLi2kmYCvZ9YMLCR4siDrw+qVDMCnBrk05o0lW1PzsI
/CCe0P04X/zMBbSpyeXetvA/ISXGq7QJhqVmgI8vI1c/l8xO884t7JXdUVEwQ7UNtamJrBt2iWeM
58dvCgUzeHVnKRajec6GZ1hlsv3qG2n7bttBNiu6slqGYxOuzVJW5swA3atjmlju6H773UMOX3pF
588a7d6muvPTaKUrm+IN9uz2YrBQLAyYrNS1Us+6xLfXcMidfQZafmPa0s4ds3SpDKjY4woPQqqr
X8e06VctdXH4LTfswNP6rObU71UUHb43UXexSbZ+kHIiZoOXhOf69gpcUL2LKYsRaj8G/EcWmA5j
i2whPvSeH17FoShAaksRJXxTVyRJmEwmtrHMjUw5dtaA/qDLv/R2finMNL9TlXtXSic+A1GSnzNJ
eck8xTqpYV4dBzxXEAJQ0p+EIVu4j1Bu0oMceDcHXffWs5JAR4id6QeJALSzHH0zeetMosZ5I5cr
0ZQG82znbA9Nte1OjYl/nSel6ZsuhcGilBt/rzrNkTJNm/pnKGJCQeM7nBUwm6Lc99bJ0P3qFxcj
gpiEa6Yhog1t7KtkZemidfFRbuP0XMThM6uT6jT0IU/S2Cm7rqvaF9lmpqY0PMGmo/3Be7e7Jnar
HTGC2xixjt8ZQC0Cejol6NNFeXC7a9tb1i4fo3dyjIzAPnzYOgFcskcbT+B+NqCaxLIFcHtOZPmF
ZUyzpPSe19rUNDXTmcuO0mxT+MyrwMmHeVdXeDo3ppbuH6eW3rBNYsVlz7upN/J4QdmqNPe7U975
zi6thksxhMbZTuo1u88lbPcfWYdrgRzW751utJexTvK5mtnlqgzexpJC35CdztCE1c9Of+psq3uu
It85FO6Idhi30UUfNYhIQqZ0EH7uRu4w88l5nC+J1OSXdDqzdOWSMOnvRZe42GZVsu66yQllGkFx
U3KSlPI9IiWcVZZxLyO53XaVWc5F0wq8kchb9C2UUvMOW7i74dY+j6dWnqHYDDyMjnq5x2lnOlBN
9ussjrR23frmt8+uz2GfYx0UxaQ2+Om/77TMak8V78/Cze1dX1ThFl87B0lon2wCLKyOXRBUa7/U
ohOpxGGl5VpxHu0Sh+cEtEfXeReHN/Mmw+xyD4+43vk8/psmyCakPZRfdZDHc1/U2dKl+OPWjHiZ
xHon3/P4WpYGVQf2mFzhWoebVi8xeMUt8zwETUDcKy7fVDc9ygVPehRTW6Ck1dewbLQ5lXrJRSPt
uqGQSt60eRPNCyxGlgpR1K1i8mmdIU2vjK6Y25amfDPZWKhyaX7YefKksIaYV0QFL50m4R0f5j91
RGU+c+Gb1/Ibdn6UXYw0aDb4YpxsHqV1pNrdujeolZEtnNhwKlZfZaN6V80k/IlLHFWaABZ4mC8m
uec3y9fyedEq1Q3cS7Mq4jo72H25d0Jygi7Y8QsKo2aeVmQCiqzHqrGMP2SfbZaTsibBDzZdIS/M
9uOIt51KHcnCdzrli94NR2IgNolKR2HKXlWyWXwLfGNcdrZc7AhTWre06j7QVjBRkrVnR1yZ16Rq
wr0WeJD8knY4Jc60fTGM91DJPWQZNQZ+ft2sTY8lEsiia0OV7neHMrmZkibDbUj0jgrzUl6VuG29
Ep4gQcKIYFo420WWXNWuyqgDqDay5cVba3TMrTKG2YH/y2g9yLV5dvQCgy/8LpZNHzqbQQ2GQ5pT
jt8Hjns3dL26WGW/i1Cmdho2TQXpXq+v42MAgG9NBrleiuIuj7/lwuwCzL2n0q8GsDmVInYN1IrS
r6qxZw1M07sst+lNdjNCprWxN8oWGyi97XApxv9jtJX0DSHGB1mX/lI4SDsyzf8RTHOugTde3ko5
RubEYQdHNrdt0A7rvo3Sm6d2DvHKpvpuOiUwz0b5kEhZFHJgPReyPi4VJXqzBywEs1RzLsl0QGDf
zVQ8QTeuKakSloWVshhLK1/6bulcxEDHMfW1HerO7LMPshv6FoOJZfoUMSw2evNiPz778WGxiW8b
VQ1tN74Okucv7SxPj5JHABDNIOvnVosPeFh8tSLNOQYa+2u/eho1LZirowqw1kHlXuI55djKMUeg
Mh/ha1N6AhQfF1h1m7bxcM6nQ7BJhyRdsTkONrhjTz4bjfoK7vSbVvb9T/JzI5XKLFTYbZdSPBkr
OtmyI/Y9maB5406Kmah1ybj2zCMbeZDCRVyYCpaMnrVxIykF0pjyvCrxF2pm4sVoVyy4ZBzyRpfq
kUQzrFVoaj08IAzNbXmwDlnRNC0kpebJyCws6qa+z4NS2f8ZUtkqcTWL8i9WIxAJq+rVrrpqllp6
8NICdV+0CcbdkeOzRaUWgnrudaiNSAQQJFDfAwiyU4sOu5P62JUaW0AiVE8JeaYZoux+K/qURDMx
UK8RFUv2JdQC64NcFC4I89r17JunsUoOVPmbLEnDjsrTcadLKE1mLuzkYJhCE4XUsRCMvkhVEL/h
R0fBOuVAU+GyTQDc31GV3gJA0zAm6u1yaVJDb/gBCUkvCQ5yjglkME72oLmMpaM1qqT2HPc2WN3N
M70j2mjPBw4kEWCJmrWrlNmVeBqSZAnHTUnBEGc0WTUhqS2fzWwIjz1xDUIhdfkc5Zl9ciL9zvfH
vI8Dah7k4P9RiFsTLeZTClawi1sULQlgIRAXF8Kick91/l00TN+Xl5nVRQvLKsdLBBprpil1jzJB
Gy+PPmgf+MzZ1F5MQ8QFdgswUiQYMPTkXRjNZSNlATxR03rHKg5NE/86i7U8WoKNNMB8dRjIizGP
U2Yivlex3K5A5sNFNEBOSjLS7kRx3KM48DVwtg1KKw22yNEoTV4ASXitC+zqsVHEwFevrasy9sBR
+MtsjdKwrqKvtjNs2is8i0JbBTCFsquJTbLwPTQ4OYWpUgwnsk7aRR4G7KJdHy9ufuv1YA3xRmJr
WajeiBptmEIIZypYF60h67ymqdx0chUtTqi/tYj6jn77A9N7Eq3NkK8cbEdneRBZu8qtWItNZ0oE
PufRKdriUFsnsrzDqm2CeknYlBRFjhKyk+I3N/Kjr5gJTEQUqX5hvlfmdeh6+JOWwVIPS/dsynwp
gugbmysS8E1J8X5j8GqZmuLQOSpVtYZDdABdG5cwZjN3abeQuli9aNUt0CuEjbIJesXlDwwSAXKy
7JTxFttRbBlHRcJSdyQeoEeTbeooaVdxKHwkgay2MOPz5F99Zd1MjlZqse3jUn+M6xTlRELPPESZ
4azycKoTtxR9VwdEWhwY1nfFN6tbV3UzGQjuXcfj3olk6Tot1N2mUl41KlYPBAjcR9PIE5x48Jha
JWqOK2fa4oCRg/9fg2CKycVm3203zHAO6Lodz1rAjlnvrwYkjfngxOPacFx7H5XSi49F3q1DIak3
ZXX3hqG8Z1Qj5VqtnHJPKu+O1hnzFkY1MyxNXFjctdISmnFr92RkFFUh3XJPaWj+UMYxfPWSsNwG
sk9GyPGiVxO1zFLvqmAjrqKIgN3p6znVK1zFZgLKbSQ9ybYu33h/UMZCd2+16Bb9zJyZbDT3ljRS
MNga2sbQMJWGImKimIoqgE1Uj6EDN58TQgn4V9gyVnc0jUFW1nnG612KLIMQiw+/kzLRpbhXdVpv
nSt5s3zc21B0xtueON80mBVetcpGKuPF1agl9qcPY/FoUqbFC2vo5ZUYnHYx+c1eB2c4/VzZi9Jl
2RAYe9zb9+7CIqG9FoO1tsaM2bfdx9XYrBr4FkmxedwbYE9XtKSExD8hGn0J/7k6WmPGszEspz23
oO9XSTDmBzvaU30S3KVq3ipyd8eVvL0nZf+Ciso5Znrab4oW8aak9d25qUHQBe3/0HZey5Ebwbb9
IkTAm9e2ZNOTo+FoXhCjkQTvPb7+LGRTBKdljhTn3hcEKjOrADbboDJ37u3RO6RE9tnWat/Qwi7v
z6YesoJ7k2Kzr5bw3MbsmAGahyd3cIcHWSOvoxTOkzw6ujm64U4+8IgXOTvg0+lNEND4Tdfb95zk
1LeyREwNlIf1kPlWfBWN7qlt5+yxs5KfOjUJXulH1k/oWsB47Y3Ba5207YFc+3QQL+CBZkuN0DuJ
tzDrl6wp+scgco3P3bemyoIrPSzUXTlYNYwhdr1r6Fs9NjFFTjQtoEHyStRB9rHl/HGaLqemllX6
9kPAh1Mz08pDMpE+CCy0yIfgs82f9+KZwHhHL/hs8G578tPiJCPFGsyHOJieZRTPORSo+fBdRjV/
NO3bUUW5tQo/zzXcQe5IjU5WjdvZOPggU3axrRgPk6++HUzl2lGG4GE188BfnlI/+EmCVntqdto+
nKgUXziKAOmvyqdbYA2WEPIR7HXgMRveL+f3bBitWtN+oh/+EA3t9LM72/5ubgE1T1qu3qk66S6w
0zsXrhf63+twGy0qKHJAV+ntDJ1rl493zm+4g/6JeLX3s7TIvP3Y01By4ZBg8Q6dgurbsrJMo9kH
+RV7aMhKkHs9r9o0SCM2M8C9jqZiEizTnJ+gC3s7xDwqnNLlIGerY41bHRdx/yJkXX4GEJ9sZP11
ngzXmPVK/yLkYql17t/e5d9ebb2DNeRi+SZYgHkX7osrrcusN3OxzBry316Pv13mn68k0+QutX6q
Dl0YPa9/gtjX4d9e4m9DVsfFC/Hfl1r/jIul1hfsP13t4g7+09x/fl3+dql/vlPIHGqeDo1iC0EI
j3bR8jGUwz+MP7goRTErT923WedxZybFeZXz+Dzhw7S/vIIYZamPs/7+jtarrjEqded5v3o+rvR/
vT6bGbbegxnzdL5e8bzq+TrrdT9a/6/XPV/x418iV2/pgbCqoT+sV13v6sK2Di9v9G+niOPDra9L
iCdd/uUXNnH8C9u/CPnvS4Gp73YTCj8bM56a+24MnX0NIn4rw7BfKAPMvAG5gxeMlrVVK9ffKW5T
6Me0QV+5qT2eKBe3BI5TACYO8MotTer1SS/QbNqJO+j3ppl6d2B+6aATUz976U3l8RRY6qV+1CfD
2ZkUlbb0/W0pMwC9XOTazmJuousmym307EHpKafWOCfKdtVz0523iatplYLzfSOG5bhJv/lRo1yb
UD5v8yxLjtSkyEepWfEMKvPKrPL2HrKl/Fkh+3Jree2j+CSq4pN78GzESmkLz58lTE+QEgtJtpwk
RPdVHpFyHk1ZVQLSsgDDZcaABZeLiONfXl13+0fH0n2SqH9xZQ85V9g4fglygwxc7g53M0isaWPD
/XEnY8Qmw+2Yem/u1WG+h9hIcm+h/iCkGN6myVw5SJz3vopVJeGhMGne1Uo6Wow6pgogp3IgSwhJ
6Tr+EJS47h3oy+n4YQ7I0z/CP1ghV0zd7WioAzR9cPgj/Wbf91rk3MtZinZF3+fd3YWdB6Jox/Mp
76GLCWMb3vZJAFvDH2tIhBxKtrewQNn9cbXJWZg6/RVtkL9d2GWRsnFv6nK2T+IUk5MOhwxx3usK
vD2YSeqECDlZvETONrdr72wXp9jlbD0Ar7NvZDgLAZ6cuhRT/Dp+myvTGhPR8sioWzTPsvEABKDf
RvGsexv49ZrHTaWRJEHUSOFdC4SatJ09HtDJbR+HQG0fa610Tk7vfhLTaod+65OVtS57DULlgGbw
eLDNoN9Oy0yxna8hK61GuY7rBNP5OuJQy/lLVtTNUdp05QweqKe3ft2L1l1I+Lxyc/adz6VnV7p3
oYUF7dDuPHg5Q2q4J7U1jBRe8yprTkql2Jz7ilr/cN5qRq1uJdxv6368aTXd3gRNn+2a2HjrnU6U
znPJbtAdvR6MsoGsk2y+mD6EXHZeiz+IXdqxP4Qaij/IdGnEhr4AreouQjiNnLVp0CjdpK59Ey6g
CBQi1a9ZATvQoqSxRoS2pkEaPGRb/foC9JNkgM8PYnQWtVD6Xy0SILviHRsEp9FNbgdUjpYMIJ+U
54gqKsSVfxDhQcieoSuHBrPYSuGTXuJaqmHnOKAWwx7WkwbquLJ5WhgKDlFbx7sQqnekL5wkBw6C
qvTge/VTOUz1k9i0xdbR1I3kEDnag4zFfbHOqMYPTecH173dDLe9avW33kCFeCPjGBb6G1e/L7pi
zHdnB8kn8ACj0/0SIm5D4V5HPl0Jyt26QpfHb2td2MJlPV+/vzDbaqQcFX186t5VQj/8rrypiNb+
vCWHoH34hTn/7FACvDnHyPjDzPOPzOBH6jYA9IReOorzvkLFNEuj14G+sGO+iMrJIX0/m0RUbh2L
ux+S84wLuwzZQfdHkP9fmqFz5w2JT7qmPJqYMzNCHvv9gKD229AMkEUHJnIrTrGf5/Z042yDuZ73
6zSy6v6uLytte2a7NWk4pA1qgAzQNKIIELBW7RWn+dmYuiw4tbkz3OZxzsY0aqrreE6r68RIXfV5
sMgdqKObbyWmXgITaVWYPJDRHVU38pD3YnJDvdjyMDpAD9Joarb1dBu+4tGZr/iZ0x5oZtUf5CxD
B1Sfo+5utetIt91mugV3EaGeCqh2o42ldXS4bVr8MK4H0nr8JaC+d5ECifXZHZkeVJXvV5PoZrnk
WCiUZLjaegNhnTe3fWOer/bBnqcV6Bh08YZZv57TqDqSp1ZfvC6DqFLx7V915DzCLht+cdt82NY0
9T/677GR4cwXsYPzpeYyaQWfcqBRAugayNFSryGdlAdXBnxNw9ld2REZSZAOb7aCxqpirFDYWWac
J8s6Q7gk9arQ3TSLp4bHTNvJivYYXknI5ZRlbVprI1jfmSHewqp2qe44o/0AZj3fuw1Ew/zr7F/t
kD4RLam+hXYMr4fVpA9VnaD9i5jhwaLP5ZPECl3Lj7FqP1uUaYA+KHqtbByNnyTpGWhQPaAZJmG4
wIhVA1418Uq3gXgdF6CDeGVu0VGHVD3D9Oqtzzpbkzr5pl70pMjXk4GvwE+tQ/FWixKVeLMCVZna
BNDUaLD8et3G9NPmAaISOniWs9Wx2sLFC4JDO9ox3QoSJ4cBNuazg96NX2cqfPMwUERdJ8glLlaS
S0ywncAIzcISvF47XW4K9FVzVwFrMhyz3NsTcLzIHuOf6YNCDkb9OeAFoFgYQTU8dNrPlaUBsiqn
l6kY6M9TkpRKeKD97OSqQ/FT9e+CdFYRQOQNu0yXVfM2r69H8r3/blV/1OHGUBT0fXh4vLYG1zpq
fk9nNvisDfxh/W2kR8FrWM7XQUW2v3Xj+VNRFdtxIUajf6641ztko4IliqZFnp1tNGbE6yV6xZ/C
kuKVJenKG27FG5nqhyXzKadQzBpuW/xKSSGlwuAVIOid7lmFcPy6c0P7gNiV/VmZo3v5HV4jUoCf
12XkWIewsSBdNmGnGjb1bFVHeU6e48i4MZ18e/GsTFMlT+Czqho3VvzmfbOJJ2rqD55p5Odnc35U
p+BzZRTNS7JINRppCouO2ZxadVCG+/chRdHgTg5z7lzTHF3e2Qp6dixUXDWaGz3LwQPgUSZg8WQE
t4V+V5ntjdGbCMBkUzYes27o+ZJlwszn/9nJ0na76G8dC6joEIlp1VPZds6dhEy6P9zb7nxcJ+j2
nFzxDUpXvUygldnattCnn2PO152Th7IowvMiBvSOD+FE4VPuwgGGj2y7b20kVg6gptMd2KbhYC7L
z4pbbkdUEV6UdKfGCKcUXTO8TEGtb6MB4VuxjSBub0FF/eotfK9iqgoTqqBMvXMW0wA6/ZDUNk+R
y7Bk0/dsWF/EJ+FmTB+pl9Gy06q+eZoy/2e4Q4YbLwiGm8kfQaHLqRz4elcUdC3eAy6jqnePxMjQ
L9qg2sgYqrNor1tzf15zjcmKePK362xZ16qnt/s4LyHjMnM+qUMdHC9C7EblFzXwfgqtGiWVzjNP
bq9EYAdnlVM5rGPxS6S4Haiy3iJlbK+RZ5eEUpCYtloAz4gEyRpytl4SbQLF2P7l1SSSPWoI6yDI
RFVvxgcHgsFdPGrJXoa9F2LrjfGhd2dnM8BBcbhw+EP6a0i95frSXoynsMy0mzqvUxs5FRYZ3Rd9
Kof7QA9awEmZc/DYWT5Bal9v/HoermUoh6Rzn1Wzj29lVMWx9tRZ4y5HQOihWEaeGQRPNGauUypY
OO66zrryp2aOtl7XwjLgZd802r+jLRwvMx8RHbI/mb5ceDTD4dBEGTilqt4C7xmeakcNX2gEAFfp
v8jBiO0WBJHln9LF5jYAVedZQdxlGVKt7x7yQD9Vpvc2Qe+BMFgICYqJVrRs78w9tLFLPNjb/LYv
nN/XeFoDgXfZqNstAVVfTdugD6crGc5t2QFGs6OtDBU3NZ7z8nOWpG9XgxWpIn1pO9dG2iagbgqD
pI276JbBJRrzl8XBDop1FMsWW1RYgIjXsXlt0CgHVz8B/hIgUTKUgxHZMTiaIthdONYh2i3mIbRs
MIKfDc1FJ2cyAqRSXIpNIzz2FsDHXTs084EqPNT1bhQ+qZG7iacy+5NX5ppI8khsarjBi8ynuf9y
vkSEkNOeI9YrvF9fnOsagILh8gWE7kH1f7BCOLySGgm9jU3zzp2rtHs6MwKIBKzhe93GwSleMNYb
ie7syNlOoTE+yqGFNfWu9Bto7dvpMbdp8shiPzvKPUExjSSDVd+eRy5ltEaxxk0iL8e7V+4u+wtv
Skrsw9xumTssL12uJtYVteqADqeU1pukrE/ABePnEQDs8xhu02gp+C+WQo29kz3mv4vrHFT73T6t
3Gi/zgmGIt1MffC2jjggM/7/uM567fF/v5+un9WtYcFQVqWWcVs0+rGPdeu69Q2et9K+N26nimV4
9EqN29Q24tNICzCykMatmAbxnmMkvKIpZ6+1Hr0kyxSJlLVlqIyoR+yqAMKnNqmmvRjFfb6ihI80
Ie1pvqo3kRslb9/S5QTOZ1OaxnSFJsYe9bvI3JLUME9RlVlAt/nObwN+8pCYYOzJ97v4yeVM7r6s
2vbq7bnGH6NrsnzKPR+Q4MHtUvcwFq0B1/EfNnVxoH9HZ06tn+05zDuIJS8hKJh/6XWrvJb5YpIJ
Gm+fHe8UaFGW+eIY+sy9tfVJOcTZSD/HUN6ClahuZ80qb/9qKA4JmWC1tuuZ1tr/PVZWSqPgm2PD
iFbbL6ViKFs5MwGtnM/yxVamCuJ/795/jkMPVgEVTDLTTfcX3Fgy1IHxKnkEYPZHye067IMPMtwp
0ILUN6Bty4I7zQloPqO+bJoZGOfRNAAwxy/GYvazLjlN7KW3MrQqWu/hSFIAMM/Fq66RhCcLBOHo
EswT/XmNmWeax9gJXwKalV45JHxsTZ5jULiwM/TejkXpPDe+jXLZOqQ55LoPIDQ5Ko139gaQlT3F
tmndQhE+Ps7QpFiT0d1AgjY9+iaHJlJgwa4ifef0JV9eY2wnt7P7NkFmycE10vNUGcn80UrivQOU
Zle6VUqus5uOhRYZTyWNVvuuJE9mWhaSeovNV8x2WxZ2cw4Rx8QCG5jZ8lOpT791gaWdSA0bT5Ca
ntQ4VO+0rnWjbfE60Sv21C6uqWuVO80er1rD8SKEtLPplCj67+dIk2Yt0OlmsZVrrjeTBnB9x8Bi
SjDsN2JPW6/dVkh8HM9LrTcjbrnB2EnPN7IuV7xqXuJc57EeQJjAxs5Y9pNupPRXQP3p21LY0m9W
ozbN4G5lvyjhYL6JhLT+HLMusTpW27oMaj/xZuZzitb9+JkU2isNlcqntpisY9GZ5VWb1eknZYaz
DODj9x8DxgjBizogLbMQa4yTSp+MAZGXkAGqoW3s7Cr7ODSXoQSLV4LXoXgv5hY28PQWjPV26Czj
LkvAA42++wV8q+afAg26dJp4YPmqS2UiTRObd+R2jTuJbsZ2l9TGcFO0v6eFZZ5CKJ5u6CTlX1Up
6FTSGVrUkIhhRcd8vCElJN5pCZEzOdQNTVJnz+XYjlrjZPffkTSz6Yte4mQ5GZNE6miFrk7xFEDX
HiR9Rhs0B2PWQuVqrEjYz/yObHuryt3f09TMbkADl6Q+oyy7aUBEbRPH17YyqXFTbx91XcSzVe4o
5h1azXStDxMdgItC+jKENWp68EK/Q4Tce/Naal8/zUgD3NGA98qus/jSZfG80YrIf+064EhaX0yv
fhVZG69t8lffQXawKAIPFYVG2SgWPbudQUcTZQPvpKFOe+7TNuPYPw81oXqArebDcPVKX92/nZum
QbR1Brbk7dL9aXTAY4w60nhW8Jw7e2E7oXwGin2iZngzBNVebCOQy3l3di9Tsr7Q9vWygklD197T
9Hrv1kp5BX2Ku09o2/1ZT+LPDS0GT2pf6Q9DVqUbsedZb+4yFRi5t4B6aX/m0Uz74s9Ve+IFaFAq
yZKf6W5rNk3g+fdgAefnUmmfxB7oWXVIfdMiMcZFoqY9dCZwohaezdfoqxHG46/DHCBXwNfaU1+2
8xXqJ9WVambBM9tBMPR2bv8afdVb+E8kEnqz6cmOoYV5e7KGb5LOJzQdd1BYpPRAvcvPi5FWg3Q/
TU56BxrPecgrRdkqgcWv2ftZkJMqFVv0frZ6z2fxWNx1OeRYUWA/hTy9XvNeNO7lQBO7eW/FPqqN
KAduLhwynGL/qSwz91pi1wh43smEWWBO+zR4htwvf9HqNN77KrD/oqFxLFbKcmv1Tvq9HePtbE7j
1wB1sf1cJx8jmqVE8o8RwhOVxtE2i0LURAOFho8cqs0j7DYZnyJFDR/8ZcPRhJ6zs1Q4wc4iyqFs
TpxlGyJ+P6C/QYmsGw/O0G7nLQ7xeqnLhyat7yalrGkKWfY0H6Yta1MDHm+a+q5dpHb1noSvUXnl
8wQw8XpwFf0wzqXymQzWOcKg6WeTTRAP2TEtUTn1YW3hW0cF/BulZ+0GZt32GR7F6R7u8ysj57a3
ajEVB2vSh53EysFQ029Q2Gk3Mqq6aKansr+Cz715ZHO57eeasqSPmJsI5bYNebjCIDsyN+30k6Pn
O2mBhh6V7TByKjvpcnZ1R9u4tq3e0aC4TUOtV14if5r2sO4XNp0y0OLKIbRV9aRYywGseca3CKdg
a02dloLul4zvRioFi0fCl572vzvNA0Qga9ph6XutpvEpWr6vIfuyqOGkFtt6Ghfy32a/zQ+rpOcM
7hZ1vwqtwMm5Evul6qeE5LEx3qRTaG5mWDh2EiiOdSk5C5LmGL8vdRGWuA+Kp2VNdIRyRY93bWbt
2tbOH60yZaNpJvGx1tt01+gRO001pXG+U9EZNetfhjLzDnqvzkgRoE8t2tVia71+3o7K2DyJ429t
6jKXDj9aU9cYmZLWzbDtplHbSeFxJYg+ly0/1DFD1IsO/jD8JFXLs/vMHf3n83N50zSQpDtzTndF
Zx/6ovvJjXaQX24sfUzvhqnvw32i0Orp5H8aJkuXcT6QoUv79iij99B26UWul8O7XVaUkdgl4j1e
7OYikPQeL5eUUO+rXUHAVC6s1XIoSt/eN309b1abnC38mXd64UFjKzGWCy8h/fpv81p3oClIIoek
QkprSJx9USUfY9YVW4jXjlSjfkUvwT5VlXV/fj1kCOsVbdG8AOtfRJXtHCYmN3eoArxPPQ/Fc2Ej
4/vND+pqo+mDum9avtmEXaBsjF8B1PcPAdBiMKzaRjgImqDKbk0TnlCJkklO0MO+sFCZ/3lS2yR3
b6USLdJQ+jZz2t3KZEJDChnmTVLa452MA+RxDv1EKVFsyhLzMZCu6z3fVs55trjJCWtUFsm/gb02
IB6KfzOpvF0r+WQ8ymFue2fnDE2wX2017XWUENVgk+WqybYYqfZhEQ6TA9lq+FZrct756MPguEiF
hXZiIEb9VQI+mLteO0Bnm23Ftq5BTg7cU+M45zXEYeead6cHPGoul+rerwcKKD3MszlcOnjm+E7p
tb9eF688Pgal2fHm8/QrGJSghFlEWyE1rJ8MvaDP2jEfmhwVesQh66clQEwSIIfY+WiS0GUiYGXr
PPHHtdblf1xrKtovXhRrJ1cPN45tNc9yiLUCxXvN7950bdoCUiR99szrTk3b577PvMc+C5ccFVoy
Q4C+qq8SfR6TuKIWn2tv0Q7tOI8FW5nL6PV6MkNd1hfbZI7e48j6MupK7TXKwtcxiZynceBxr0qM
8FqG0rrjzc4NXWjNnfTwZLEXPMXajQwkKISZnl5G81O09P2InWj/mPSgpmqLZrBth3TeTmv45MgM
iaED+e1S61LLpRySuMhuczNaW4RPfk2f37KGSufV7cBlMm+pbKl+fgjUEJAFOP3HMOvv6zmdbsQk
hxJWpyOi2DpkjoSReYRLPiZOtQAPJIpTnarRjB2UhJHdvpKtRCI/cXIqBzgc/V2radpGtilik22J
nK22dcaFTRYwqfptVLfo9iENoECGjOHMDXYmDaNZ1Lmu1fTmTCdGu+sbYVgx1XvL0qHI7BEXPCj0
Tx7qpUA6J2V2oM0gOVRLNXX1ToH+fdRA0FDSi7b0KTn7C5i8DMVbUnI8e1eYvMDpqdKG57kXjvNS
izeZeSejbUh2iy4iNI0+zyVMXb4Go7/ba9Znv9O/IsiUP4iza/UNJHn6pyqrvedJD49iDjOE+IyB
PtxRj+zPY6E217laJjvxWkGj7AMvpo62XMBH+/h8gfOSo3NxAYqJHy4QuY17gMoU1CttLu2tFSZb
hqRdZJhZAPomTd+mSX+CwNO97fwp2jVWFP1S0cgx6/CfIgRnHga9sCG1KJKfRqV+kgAAlA5kF4Hx
sM5EHjD8pdLYBHu++SWdM+uAuAtvKwvW+nTM4IdZMCv9AnZZD2LLEV6B9zY/rnYvqodDBVCSPBfi
YBdTZagImHKZS58uelHvC0/PccSbyeqCutx0iz6FHOyiI1Elp3UMBKtdDqtbbNMchLt5IBEkjssl
zuuUNYVistA7Q6/hUXw/DF3fnPoS6NK7KQCNdGuMEO3t/jil5bCfmw8xRRuNx6T1fumDsbiHK1m/
q5WDDKCGRubZ5nH8bK+yo9jFImftMmdIGv2OZ5vVHCAoCacdRdYfFv2w3mr/YdEAQaw+byLX2ep0
Ti17CtmAWL5rH8cx+XreokjhZDlc7D9oFP6C6Bd42sUJvkw/RPFItvjHWGdZrQqjr+cdkHjP+5m+
GnYAmtyb2MgqUjp5/dKkNPCpykwzSlY58AhXzqfJpjMdwprfkbBzf9L4/iSHp/m3c1zXN7oBEBL9
IuOF13zYhEqr/qq0D6LztcyxKv1tjq8p/m0TREhzJ8W014ZpO2UFu2Iy2l9bvp83PSQuD3XTQ+eh
Buy+wmz+2jhwP8AXOW3TBi5HZ5iKHRWV+AHo8Xhtu5Ny1J2meHI1r2LnQx+W4UG3vJCHTdHwOPaN
/uViktbWCmyrZvHU1vAeuJPuXJuDN2WoTvAASX9Q7RwSKzc+J/V4n05u+j0xEjopeXp7hl+zpseU
iFBRjc/10N9L/uyvIt7X+NsImtjcbU4X8M7tkp/gpcgeBejQ7VWqW5+tqalpAAs/CaCiCFX7NMKx
dYY5ZKUB1BM1jIMxwl7Vwbd7LI283xaFidr2goSI8+i8qMxvd7LoBFpSFhUMBY2dznnRTpu6fYxo
CdBiHlNUZ3gM1Cq/RduAHQjiZOehiNQLb6yGidwJDCvL447YF1Mdq/mtLPG+jpgQ9Nw6saLxMkPf
bwN6pPEKko/gdrb15KFZhPS6MMy/dyGIqdbzvk6z6u9SNlrnCKtV+00ISMcDaXewm5gGqvd8KnQA
zUNRphoOZOQmyZ+uRgsebGQuFbYuMpuiTbXR4XxYfpADe1eMM+m1KcseshIuUdE176p4BFD1Z0dt
K+wlFkdARu08I+k93sWLI4hL81Y34CG+G0lVZUWjNi9v+Z3BcLLDSIFa9O52fj+p39rkFaXQ7DuZ
PnUbedN8r4FvuqWBHYqwt4C8j/Z1qoDnU2L3OLXdwVJb58aefMvZkS5JDjlEiqCM0JgXd6Tozk3E
3wP9EHqVKa1316lOE7v8ZcCs9wbo/9duhOljtcONszfTJHz9i3h7seuRV4BsbOAiK6D3SJOaT+mS
k5Sx6gb1hrKxhaAduQuv1MaNaWctkrGV8dpQealbkpAkB+7Duis3wrIJzwqUVgp8hzI0bfOfJ1Wa
CTgvn+5IUhXQ3y4HBZ5K4IXoZ7TzH7bFESNThiLMAOxJtfcT7Mal5la3cTNNT+FyyEdr35QF7O7L
SA4A/s2o4aFzsXhZpz501IplBKUjfBwg+5BEDm5WUzzW2c3Qqz+LSQ525xXXrqq355lNVIfXeW39
hkRPdwP3JzJG3Zj0iIMW3RYidIsa01CSb1+M4pFIOTuHy9gMst/yVFXByyTjLVsmbV/N/bARrKU2
0H3DczkeGUuMnMkBljR4C5Lb1Qx9LwDOsuveJtQNEtvVrD4kuoOUkdJ6Dt/Jis4r19X+fqoCdxcn
xvSp6UPyqJb3pKtgucKxhD3U1pQbcc6DqtJQidC6eF3on64Qrfa34nX5qbmzJ+cbncXTJwsu6Bfk
AIq6rrttUSsP1QC3mEQWFt3Z1ZSr17KOXvPRaaxh2otXb7rhpNHvChsmdwSOI36M9fIky0oESEgI
+5TqWUZRDhElW87qVlYjZ9VBYl9N0GjZ6I2a6OFZWs82bA71n3yaWSl4RNBEoUR6NfBGvjag0b2j
K5uv5jooP1WQY2zUAWW2ghfNJ+ETIBfU7NQgHq+6IAdwseRU2U5r2ygKK1jxGGZ6ERob0AzJHT9K
8LWUJs02iuns4jbWtqmf/RAYOogA+FV2UPMKFeClBKcsJTh/Kc2l5IC8fmzvxSROu4HARvXM4SAR
4rA7iJxkvtjWRTSrA6ObdfdiVxtlQJIGzSz69bXbuqvyqzL0n/xZMaH+EkqrINMhstLgSJ39+HvG
bznkKosnbDxO0YJJDjbawRsxwt1MuJyeQ6GuzPddR1kKeeqd572GRTs9rCmASTFpC/Aj5UoSB+KI
GnNECLupd3zBGo/iSPWGmnehvUKQkZ6cosj54vP0o5l13n3ZomuQWRGCCv48b9XaiV/bwS02zpz5
3yq3uh8GEvKbcf5asuHjVS1aOkj66rfEzD5bQ5J/7RT+tfQvTz+xH8h2YZ42T11fkBAwLe3ODcf5
agqc7lSp3oBIr/6nKxej+fHK1nJlJSzvy6kgz1KkXynaf7xy3yWf4zJTt3Fu9g9zlB8gMYONezaV
o1lMyjdj4H3udYkOGXbt7qH4927p+e9P1NG1ozHE6mMCodnWaaryi9V0rwtom/m/Q21EpXNOvima
or4GvZPsdD70j0HqK0f6t+NTlMTN3djG897y5uKTE/oQRoem9gtCGm+3oXEbih8Ev3QGScCL25hm
70+3EZlu8cNt1DzY3Bk8J2+7kc9zNSBfQREi+wQVbPFktHytLCPTUzmA5cudKb8XE09bzc5rjO4o
Q5kezmCVZNga43k6fd1Os12m0hhAjzlEx85sRrveCK0Xv9CyJ7ZaABNa6wU9AeulD5YkDCJIN2Kr
g2BB/S5cV5Acv4Awyp5s/206kmDUEyOLbILZqbdda74dmuUsAf5uKz3o0mVkR/1MbiU1SJwuHsh5
UO3R1GsVlsqdCDaYGtkFSiDzLWywaOqp38WMuihSMUuU6NRIVD5P021ZqU88t/jbqCzhw5wGs77t
F5YVOeht3/N8DBl0BP3j9epAGoFo9T16Gut90fpXyHV2W4P82bUU79IE7isYJlzIUMFZixfOa+9a
Cn+ZPiPH60Iva/v+/gwcmIcw3Pj+4B6LSKuNnei9a4sRTQX3KMLuIhYvZ+LVYXHbtIu3asHOdEOL
6jokYQ9zaHzShaV2GU22+kkobMW3jFbfEqm+R/44D4Hhc2Rp1AaNZMDC/MGa9kkLh5I8Ap6fBsU4
RiU6IcvDopTK5XCONluDLl9K8+vBm5RpP5U8/Q6hfRWbigFIIZq+AuzalamXvE5RXdLqh124aZPI
g8miSs92d1oYxlx/+rrY13hNN3/j8W3gO4zcy7gwtsuhTXS6RYYuIt2GbfUGS1zmtDNgB9kt5mkW
3gcaP1xtO9BpMTnjF8/zg91oZPpJqjtO8TjPU/N6ETU48VJbPKXs4J8U/mmdYVO4cCPH3Ll5SIFz
EWYdjGZ8qib+pVLW6HX2bFJeGw3FeUpN1XiBZWev8HuDZorV3Sop+zVRqtFTjcc5PaSJaBGuQfYl
B5oeNjfibVPrNEFb8RwEoSlriLlHWvQ2zFhDljTIg4FHSrJNFhYJClZd+FJOVQX9DkClyojClwLi
fsha3O08wj67rYweTUPfdw6Vab95E7bVMlVMfzV/iRCnQ4Pd3kKTht6B2mnL5U9pzgTmTmFWt/wp
zZmzXLXC+la881IZFy/VcYJD+M1Xr3yaZBg6+se5fxUsnzW+1ZLb4SaPnHGb257ySQmmP51No/5m
G97PLuKUGC33sanHY5Mnxk04upDuLG9acBDPUzlOL1bfGjdlN6WoGvLmrKH7Nti9fLDLm9n/I36I
4QKd+2Kw1X1pOySIIDG5mZtQv5n01t4hCW9sxLY6/mpILkGvNjJvdRv5bO/aEIXsC4e2rJ/yi7tr
XQOJL0ULH+SQFekn+lcdEI9/mOQMXjdvC6d8ui9EL1OMZdxAm2K7UKD9GB2FgN1T+5fVbExBtF4h
c4q3KzgW2K2FNc7b6kGY7mXGGmwr2UswZNeKAssm3UvxpsrG+NCi8omWnKtft7Na3atLpVcJM+9G
7YAYLJVefmmb54acEzILFbqtS4Q4ssa81ughO0+ivbjbNYibTdrs3yNH2m6U1Ct/bkvKkZaehTeZ
35ev6JGd7fWEShGCROa+Surq55JnVU0rimcj92EryiaQxou9X6bTARWs0yskV18Cu/uMyEWxQ3sv
eRlU0i1yJrZhsU2LTc7+38QpBemFXIVrehxDbesZM3T7yzeadZz7qf1i6uF0M6lglsWapJm2HQe+
UcrQQL9i382QYHuI8CgQ5B3qJtaOInQxO8a9pRXqc5KNyWPU6L+KWaLcyFWPuWlOX5Yo1XOORgYe
plDMF5418xvN4kvgf1j7rua4daXbX8QqJjC8Ts6jYEmWX1iOBHMAQZD89XehKWu0vX3Oqa/qvqCI
RgMcyzMk0L16LeTj2SPZKs5XA4oc7x3msMcUQs0rH6jrLXnQBHdEuFMLwD6STU/oPbC3znGAwI4T
gPiyNVi7+Qvg0u0+6lt7zXXoy4eddeyjvcKx6Iv2/5tdTTnUZ5towQcuL1mpgk1m99W6KnnxBBpD
ZwddynDJo654UrxF0bIf+wsjRDedIgQlatBjkrPlgM+nL9SFBrM6nR4ykJDF2Dop6GytiriyP9lS
JffK79Suz7zARBjO6w41Xpb5QllxtHedrcWE6H/QgFGB7upY2EN3mN0h2we9GYhQAT3VgIVlqoeL
m1TypVt5g6teTEN0EJwa8gV141pqhkkDMrB6FKqkNcQVUMpC3WKAglnM1CMy0+F9IL0zmfHXBUNR
DJB7nbVYMoAKWgEhmB2N+tb4JXLHbpPlON/dXreIjuTjIkGEBFoAH17D9La9vXyjYa2Lej840Bgn
BRYMTpB5md/VNNFGDDoBGdLJBbs7zpCW2vQ6y1bIoXtIpmjTSR5fySTNAHrHvP1BY2S6TbrZ/jmp
G6bmaEn1g/z/r5MSCbQY2B7w0aQIECf1h2uYxoB61EI5zbexjY9Git3mYxl11acyi35ZetfV+G2y
CLCZPINO0Jm73j+7NHpzRsRKnG9dlaHizMrjZhUa+8jVlcWDE0x36MVUZ9z/tef4ZblQudc8ABJi
L1nB7fvAtsYNZKXbE4jg+oMSEMsJ/UBcEV92VgYAE09TAyGNsWrab0HD98IC3nZRAc4NfgIIhRbO
Nyjv8M+e7dvLDOm2ecne0LSPfvm2pJoAWJKKvS2JkvJTjO9u0gn12ajsHtSMuBpRg7eAzoH6XArc
k66Utv3Vr3Im0MSGICxdDl3BN6T2HSGscvZ8UFw0IE5eU7eVLYTCochJSmGkGVYXtn9+t5O0mIcA
Bl7GWYq94DkoIRu8wIUb4f2zgFTHfPFx6L/4mAD8HPopcTaxdOSKT360T8Jw/OxDzlqqqn4WVpWe
czBELwboenwmtwRKj3twBENn0/UXtd2HuzSzoy1HseIKNcnuOlE1/q/rfJIrp8qh+0H9sXMlaEVc
dz1AVAi6oN60dkx/CyzTj4iN8Z546wG66q509W6/mcg+MWv2J4p7MjENGBlgx1s13pOdTDT4P+1/
rI/v+IfP88/16XOGhOh4X1vZbBOiqm1jGZ6LL+TvpgeR7WjLqywz8L43KkDqoky/tY4fZWtg2xH/
aSVIRvSE2ceZUgi9pD5UYVI8pf+91M3yvtw8PQWlrzcUUAjXaghuxfS3SNTL0AryDdlIO0GC+fSi
cnPh9DZ4sfEqddzY2iM1as64MRXk7oKJQJ59sMw/JY3z9gJO6ze3GUam3cKukmewhnhP2W+3qRv+
tdo/3Wh6FcX4L/bw7XcmHIyhwHTtagZNeqfx7xORuPdAeyrUD+OLXpmnvAOzBXkK1+l2nucE4Eq0
cSjR/u2UgOqQt+C6JZ/RYN6iFUDT2cixzD76DmBfZh/uYK5m91xF0wm0EXfkTcsOIZ5bzpwcMsVw
GHygVtzIKHY5dDCfzRopiciP4jN1QfW3bYsueTSgSPdYjM5q1DWuWe7YqHoS1YK602Q5O5Axm/No
PnAAYYay3NEoLckhuHGmrl5yzMHJR0uWoNfJZdydWRyBFsUIEazgS5viJroRbQGYOOTgThRLkXE9
QRMviTfUtTKujrYJzaK+4eWnGHmjRzefQynk0DagfL5NF6Ixl6Ev11bnQKUwTsP7oUGpmq3VQmvV
g3bC7wA0lj3YH/7toYLu2A541f/hAeQUwuI65fGXNXyc31dD4kAfHnuWwl4DiYOQiue4aCdNu9+n
xoaI9GfbPA5SfZDsNy1YYFlpWFvWuMhK2GA1RR6sOfnURcpk7hLChjA1XLHZdMPUvE8itA55vZuo
R67vE22UI5x4jFLq1K6uMs+OkB/0HwEN9h99235GGVd7BkmsD8nyJlgjvj2sabDzjfA8ImTV6UEy
lWV+qfzcBistZmcJS9coqW83ND0whYWTaPttnq0nQUpjC3h/ckcmM+ixqQLx85Y+wdAH8sihB7yg
UVrDRg6uNO3+nkyqNlBBpPxsRx8B6trNgdmeCQDI708E0h+ofhkPZOnMAqpP07coTfo9BeAECHK3
UyPrOYCnEqe74EV7T4P0JUM2FqLvKb+nLxjPOpR9/HO6KOp6xT0b9M1lFuwTvAeA3Q32XdgUn5id
lp8K7JOcIRuucePgO85sd8lsLnY0CIT0tHNAlLCkCe/T8bwqQOI6+uvAq9KL4zwSaMLGS2gFSO8E
9h3w3WcNksqtGpJvoMH96kno+4BoJNwXHGqMfp5bXzCRxmniWBvBiqUAzZQrw0ztPdMQfMtoxh3S
4paGXoh75IXZIqrbfBOAtUBBBumzzBIHbKc5Mhi5VpLSUi7aDmSt/cH+T3/kDM922HK5R+nyAAhr
BqSCjvz9EQOs/aReOgkSGreBD8HCliKBvgKrZpngGd73Fbg0VHQPFa/o3rOQZcH2ONz2kLG9B0cA
Yv4eSr9UEJ7Iw45S626QX6eRsXSZh9zT9OE/I1956ZJpduBWL0m+tAYtyZoWmn36Dk1vI3grod4d
9Sh60yc7PJc8yPjF3Z66rW2uOFhhnxKcPLBt+bcbvSp6BgXtsOj+6tbo1QjI/O6mzzHzamSnmxrS
Fbeb0mqyB6NynykAJyBMtu2mLDtCFyw/FpbhbkegEK5cVYCxV1bwKCOErhubVa92wl8TruqfTQq9
u8wf+MIZAIFuefVThs3raPDytWjKFNI4mf842vgx1wbPrxCoeLtLYw0f7+K5SbpGHqwF/fGXxjHf
WGOgNK2OwGwRR8wHM7QhZ1qZv9lokqbgCGILEhthsM4Re3uESEx1YEjZQJiHuY9ki8XnTrn9g7Lw
OggZZIfbCVxYN39IXwHSKEzsUlurvZ+bl76bIFpauXdsHLyDozerHrAbGysbU6SxJ3FFsn0A2vWf
xlk8noyO9kzX7mEQQfCjysyTCZaT24XvWbMl/H3xD58qDcfnpGu+0B6Zdsu0UR57iM2LyNyTXYXB
lTsBsA/59CpjyA7cwrsUBtZ214bYuevFG6o8GNVzHUOpAlIR1ipBnhGSc+l0cSJhLsmBhc9Z17hL
XqJYvRVxvhSTGW+mhLkXA4jbubFCm59C4a77IkJ4iwbIRUFuaVniR7YhW4/6v5XJkhjCdFJcewW6
kI5lw6YqBf5+TWUgACnGAzaN42ew5/qQqGTGQequbW+acPBfapDXHFkA9T6utaOtYvKXUoDCf/KN
EkxY9c96dIwv+iLI6rcLC/y4mYAgCLOQXSyt3Hpugq5bcSncq7KgLZC1SXFAwgCMDtEUrmsbqgip
FZXLvAb5Tqzl6Up9JQOgvQHkQd+0kPRLB9Na/2cfcqQmTcF2wrX3bTG64sXXsuxCHLecEx05+4pP
d7YxnUiGLEvt8U6P0QmTxlob3xZ9OH0f+2/zwIcClvvB/dJClmEB4iP+yJ0o2IwBMDYKNIZnOw2T
tWyE9VwZ8mtRDVAzT8CDh13dd9A9O4tBTzLs35MAvh3OKOhJwaxpmM/TMMyTIKs6T2orBLQANzGi
PjsmDTOW+aTSJWJO2TGOBpC000gXpePbJQ1NmYkACiumgzMggVbqssrKQCF4YkF4HVpgySmMwKBh
FKJ9MNy0Xla14F/GQl19hlqvRa++9iLofqJk6hcPWPDs5w54mIPBvWa+mUH3SfAD/rL1ORsdey3c
wH+0U/GSRPF20vkjalQ1hsDWcNSNUz93kC7O2HCwKAP1wed9mAd8PFCvM6E4343htCVIUDVAp7xv
EdGbEUIaPgRKlr/bhAcGChKlJmfyG97nEuqI1iO//7gea7FHD7LuBP4NlKeYvrG6RVh61/wElnRg
bnSQpnQBCqyYB6oyjY7WDU2KoO20vtmmNLxYxpcGx+5DEoQ1TsmmMeBvGK/m7qAK7zqqIkXlbhIi
XADipEQ3NAAmu2jhsJJvP3hjt7xqx7w/35yZr4m9s/rxgxuE3JP1wIoWXOAvIIgJz6KqmbPoEA/Y
h070Utt2dBkFzi0rwO83ngMGstkFNVfTIk0iA0+XsVgBTwRRg9vzabDzGmTWa3owdWR3R+leyrwr
Vko700iUIwO3MAUAgqmYnf94+NHqhe1YIFtEWbpmO/Q0PWJsl6jLpEuTiA9vQ2RUVuoC1Qdshp5C
Gngf/HhvVXxFjiyxUB7k1L6zt1012+YVnLHetZBpc/miqAvITViWe5dkU7NjSZfvS4eN1wlCkNCI
S5vXAXKPvhEbPwPV7LzK9r90fjEsaVLhpc1O5RaYR0I5Xh0sOU8qTO9MTwS37HaIEXnzpAi4trsw
Hdc2FPoWha5U8HSlAjX10CwRtArPjqss4Gr00R5cGxz0Vyg9ACHjmx9OTWAuEXUDvDlCPov3yWaV
qC300SBvjHTOFZjh4VpkqjnbHhTqhV14EN8BBYqZtOOhCs176nnaRFfgLcl30tPlCXoqLUIDpRFn
G7MG/M6P2vJtlTDPu5UtEUlNrCBK1qWLg+aQ2SAkvN0KuSV8GiBodrTaMKa7KE3FRYBUYR0EKlnT
L6rSPyszKR+h5GafqNdGYXcuGwneP4xREzamWntAXKzTKnyzoXL1PqqMYP4toqq2PNeTcyV/+imC
PF6sY66a9W0hFYk7B7LFZ1oHwWHQb4x+iiATKFVqzX9lZckvoVL/jvUQ7xYRWOvJLjzmL63Wso9t
XA5Pdsq33RhYr7myoGRdtuOW3DKk0HMLB/t26u3Df1p2so164SnQcNGyRaTKg0OwwNaQzg5Vg9G6
YFO3IRYy6qaIrX/oct0lyjKzbaL1bTRSCEqY5a8Yr4WnHppCB5HhX0ldlyNaXnkBChH0aMo0RySv
gUvUXTMF9lBomn7qImWQnLO6y+ZuPCrzHNfGz3klZDwuaVx+pV4sGLv0nfnsT9P01JWiuxrQEaMx
bjn8rs3DC40NQC7etaMDzgDcEYwazT02WLsIBCtPiTEZwBSNGxorett68EAYSPMkk+3j2CVLGqun
OPnkFb9qfPO2KgXWXUZl/6iKMgMtV94fPU3uBNiws0ttt4aWDviiZhdU0zQOY/fUS8vcBgYwsTbU
7S1guMssvFCPJpXYoC8QIOiP1KUl/UDe+1n6adS0J3nfZg+GjtqWNXe32GD0kLvh9X5A7f6FXJCU
4RdoUOxvE7pCmFsUAgBBoRehRhaJmBeJi6bfO4AuL8AwESKVXXuLtAmBZq5d11jYBuMQ2RLhypVT
dFfnVXSHasl8l0DeaGGST2OjzK6s5YVGqSHn8VCGsXc3O2UtHi4tvgPzulkIpiSTZfHuNul2r1Lf
xkpBYRtmJVuh4AoYkjA27SPDH+d9L1CoBGht6n94+w/JmK+ljyB43ZnbVOb9zkO10GPM2Q+eTsX3
0gyROfCrpwJ0aX9zyFr/KRyrenbAi7ff1SMOXXqFHIelBx88MovEg6Z9acX12c8N58UWmykqkpe6
GZrLkMTAaWuzLBXfZgCOb5CMcl5uk9662K2niGRNU3Wc34yDHeI3kvAK5X2QR/rQyAiAN96PUPnF
QKvfrXQFmXf/ggNP4gzhiiyhbWOfk1XVNspLqOExN4Ssay7WTNjpkyiwFUy6uPtRIVZl2K77SyCN
Vftj+so6BDVy4LNx0pY4HmL7fbDqFsV2enoEsZt5+hSY7RNSHv06zbHbbzUWwtP4CNG6eF368kI9
3wSbwtRlYmmNFvAdelQG6m00jlEu37AKiCk99X1+GAzlxgzBYJqAwhqxABTC97pGJXdAq4IfyCPy
9gG4onAW6H3b/CLVJxqPwO22sp1wOtLEXE/sqLhlGj41eTIefF1W0XRBeWH6irqxF+F3GvUna4LW
Nlg4wM/YVOpEbuQxGXG17STIYvcAH8llwIoGGc/RmGsDojytFollqjurD+oLsC8G0KxInXqqrvD9
rLU46e8ZTpyF9yAEBId57n73RSCO9HKSbRJeIIO27Tje9MvWjvsNmPTa1W2rpyd4Ku+OZFKg6duY
gQOQNMKjIvWGL1Fe70G8Y/y0mHWCcOn0KsAssPRR738Fb5axY9LsdygvBWpTT/IZ6hZTs9lPA6+u
U+SWi2ws+TnXValZAni0giTQ3Hu3M8FKsSpUcSgdcCkS+QyRzAAWCl0fQ/pgVzXLAw3k+Hqtq9xF
jt+OoOQqzfHcgCHtRf6qlSVfYnuIwZELVrSwCZ0XAf6vTWqpYUNOYG19m2N7jftifXfjfKeaMrmX
jcMf7cIBMD43QV/VpsljLqr2hCfOKw1OnNdnUFSfy8HLT86Y5Sso40JgUXdDiTfggi6piYwUjzA9
Mg4ZRnwId2qhHm9Nxp59AyQuv3dHv7nkwI8uuj40P/N2MFZVY5d76mbIWEAdUz1llj6CAWe74GCG
+RylzQBshRnsfR6kR1SdektshxYyE+J5KmJ+No0xBIEuYAAQku1WRhXEh0p3tZvQbmbc8DPildBE
i1skw4DCWoHKhh+o++5m6dUAFgM3GoEKpvYbKjvAsFVXX0MPMXUdMU/NVgFpJYPLEJbVCRVx3urd
AykJlACkSi097RF1oJQnD2gSVV/j5m0N8jCgOAcuInAk44FkPnRIpq2nBjUgQ9VYDyiltx5yEW5a
RCmv5FEkqQPEQTgsEJ0Cz66fetMCT5txT86ug5psMbbAXGEqzWj1mghHtmu3UlOxrD1jM/Ts1Yam
1j4DHdOi08wwbIrqI3UhUuM8MSneuvEwJpsEpcqroRHeri4hGEZndQ//6p2oVLKigzyNUpdO6zdn
t1PREUGddEFZrc7tQBWclv0maQMDIOVCHoTrBEcTqK05O5ZFoOQakGGlCWSn1Fk7Dsl2BAZoXuk2
4c81ESmCKuEq49j22DmAbrzos7swwxttmPz7JiphAobgONjBl5upTz1IIriFWsZdLtOlzwuxSo0u
28z9Op40Z3ni7Oe+FeHl21TlhZaoCi+7GweJ86GeDLzdvH6OEluQ1A2HPDkWscpO2O28NVOQAuzz
Z59XdX8s2iPZaUYXhQ5oVE2imnEuvgabT30EwWAftZROZNgLsjE9gP/+alkCFLW+0YDQFcLoSKMC
aceT4nFiI/s0CMBkxuQqhcE+kcUxpj3oI+Sd0KbeMZtFWkv/SB4lMhKrVkAJrTVaDzsqlEqKBhxS
NJVDSvaAYqxwQV2UxFqX/3En32nkXQKIS4ssfChzhkrpqSmOnW6SwUFfjrwAZmgqjnRFw5UrB5AT
OwN4G9/nxORO4+RZTzX4fP68pHGj7Zs1pLSSrZvH2Yp0w/eFrg6r8T1Z2a2pzhIA/DPL82yVm7Zz
HLzqp4gyebKUfGvi1JUnsnkB+PWYmx9pcNIeEmwNiKO9u9DIgAo6UDqDV60w7m9pqqn3+dEcm1fx
XlnuIs1AJkpTUWN0oKjUXtQjV5o48W6eOGe0fq91W/6fa5H9/Y63tezfd6SV7bJ0jqjFxuMTD6Mm
Q+UtIXiD9y6OO/ZT2uGxchvFduJjl0aREOe53Z5dZqjzYItoj1fbobNTIHbINl8GAKjsU8s6kI2a
0qtRz6wblBmApPSFdzhBgLdL+OOTAfh9kBovdddU30oneAnwRfgGKuj5AnjS+eIfQ2Y0+M+Qyjjo
4VLP/B9L/H/3gQQYqrzA371mkrFTM3jugogeCp7zTQud2pkdwvGh7FLXJrt0+Cc/28GnZLKdl79N
igK7ndkh/j1pSGvnJXbc5KRKFF/KwhjuqOkSP4dW5vJmmRCIu/MSvSHPuBZ9NTWbZVlbWyvBGdVT
1vhhai6XRtRU0bxkb4Grwxx0UELfQcf07pqIW9ssAhEs2VxkKBdt55egBi3rdY+a+n3ki/x5NKZt
2dgAtWq76WThza7i6s3ug7Ft3wBf98wqnCHf7Tf/f9qrBvVrlL2aE186ewXKS2gyj3OyrAFt7UmG
7adb/izv7Wbbs2BY3vJnCilMRGGTYHNLikk3fs1jdziSabbzZRWhooxybpMRZSfu1J9ut5Z44Gyb
ho/L2zJt1H9cmgZGK5+XpoVMUDnfSc9eThYqBIU3ITCYA5JyyWvPWxqtKFAHMESXeQRPqHGPupan
QtvIr7UjKCgCQbKlFea5tMD7KgrsPiho0ou+N9iezivdTLc1myTb4n3jH2kQOLCHlOXy1KOMfzUU
PnbceiMz7zzw4qtHF6lZbQrAM72r8hFUXbpL2xVWxsi1qSg7ks0LQHAAUPiVBmc3va6HVPjmZivt
X7dljTH4uCxNCg0Es1IlMpyjsA2iZXswWtMgNd37spHAUWGssasaOoPt6w47O9rPBDFwENSl/Qx1
vaBXKERCauLWpVHUsuH3kp2CGKeeHhXE22iYvoYdjkSxb/YnEIpjj0d9XxvpipokKiERm7VbmhqB
ZR2vDT2F+rcVogoE/07fPvxhn1f+cJMxD5OFH5RqgxBHvx/8+NF2e/OLDyHWMGLJ90Km/bId0uAC
wd/uBBoPlBOOVfjVas7kwKBKvKx8cMo3Q12fS+iIrGjA2zrQmPoGZedm5TUqOYc8Li58AvYAqa3k
u2d/6mtr+uqgKH0FHdtSb5ujLVLEiD0ICHfinTt+KUxXLJLMie/K0nMvNIAjAGor9ICBErt5oDbA
vxzZqKMYmoNvcVArMg2BGoR6IJvqGFB2Yz8+NIgMbpzYUNco5/bVas17oTe1KVJJ1FOdwTcGGPOh
CAyRx9j37QOiKnsqarkVulAX6s7sAPLzeZD8yU7NiNTSgSXe7k+7Xhbs0MahsrrdB39tpxtkk8GP
KMiZB/+Yjupd5I9NNX+8W70NuQESWR6nOt/elrWBqT+ngVo2hhjOnoeEzgBM/rWP8LpGoVnyILIQ
sN8Kig1DG5ZLy7XqF1+0KONTbf4lCIACUKr8HmYgTyo9+Uu65SrLCh/6oQ9IBqU4peRiWYdO9Aup
M8C48+zbkPxAjV7z5Eo5rjkejafGLKujhezqZgpcbCpBPrCIi6D77tjx0pjy4hc4uJ8lG92X0BgQ
3Efk/eIZprmvXJTu+ziT3adl0C9VZ1pfRrffK8/Kf5n+dJBj2HwBaBMCXWA/9KVYcNVPj6ZdptvI
bbJD44vs6gY8Xllhr74ASb8d6yz/aY78s8zT8blXw4jTp1WeQku6J/yyq7Xf+9WLLxEO1K5ON+0T
P+DHpk3Yso5TCQpsJo5JYE2PnbAewdPBvkCjGWpOkdudoB9WP4Cm7RvZ8Y9BVKZv1LkEbd19KziA
1EmwMkIU14EAM74YRZmcG4vjsO84/beWrb00Kb8DXAOZLO1gC2/cooaSr1M7K+9Q/FLeVREKvBBw
qBGvZ8WdBe21YFEX+MRTfiUTargMZKZV6PDFYFS72OjSjdKgD/xXG/d2kCcLhI3VwdHvvXkgQrXA
FFV31ONeVJ0Lm59vk/IKb/2RJyDxfF+oRMJ4hR9TujEIIoIN9dvC5ONzSyyKoP1OZG+T5uOsMzke
u2JRMk35NhO/zS35UPOhXw/xdBTAukorOEDCZsE8sHhUuXOZMQsTpDEQHEg3hHGIS1ucUaDxTINk
8rh1tp3+zV8A4Y40WcyORhuwJdFRuFX7uUpc68FG0Oz0F3vflB/tqd19Zrl4828AAFoSewW+N5/D
KLUfhhjVVHMkq4x68cbviiTIyffADUqYBCpVK8C/0LUduCci9w5/mOqphyTTrkMJ96YbHevzhAdv
LH3+Da8w0KeIzDiNkk1XqFQHIMpAQbKeiZxu9TTomaJCYCj26nkmObAIRWA00wGi4ipTiI77v2fS
PU0fEEWayXhgfhYAH5EDdnqovYjXRdy6D0CIpxv8Z4QnlSXgG4Z49c4RTo28AHegFi5N6FE7oFd1
7Ow7pIs2Y+1PMWoS+RocXdb31EVlIRCz6TObTLUKbWVfKxUb237qu4PXdOMJeXaIj/tV89DgMY/y
vL58xTbiU5QB3LvgD5NswRhW+7VWFXFfhWGWy799tkk6//pscW1++GyJYUBkV9d+UekWH0SxFA7v
DnNxlu4CNd8dqOxL2MYD6kjEvlZZphaIrIJCjsJ1Qes3aycBY8Bs9JC2XQcDNxZIY5c4tXb+ZoCY
2ZIPEf7qZBRVgnd0zE6TVvEadFNK09+IGGLnfj1sncEvDwYgIWflyeFMV9TItAJDWeR5q9tA00Tf
EmFGi6L1h42Txs4+8Gv+EIy6pG0E1S+QJyeUeNYv5DG6jo38pvOE6h+1hB57fBjwKHFuaf0PMf75
kpwmOFEKwE8TtlEDx7EfbHQjgrvMD1CDEuXrRsOKhSO6hdUBGdgDFvTJY4BIu9n0mdwiEzSnrK4R
getx1kiSrrt02q2PUcunp//NbcAvf1sCiggZK18+tUWxRSk38nr45W1sxqdtobsqr5cpdENesrIx
D5ntQXbcmMxXkw0/xzQM7pBoHq5g00bFuvZ3rNBbCukjc6WXLWS5Jf8x9d+WrRA33k0FKttBrQ2G
3U0AzNgS2cVkT0db6tZmmu7ng68eRcVG8qGLWGayTxsTmegG1aUBAVfjhPULy+rZOixD88QI7YqX
RO9tUJ5x93ZHqNMc4w5xmnyyuxOKTEAvUYCo+gSBzsjexDWKyit/UBsap8bwk6+pV9vbobQlaljQ
JGXcnyvRVCjlzxkYZAJvWJAxqcSbj+NJuayFQPZXe9OA9OMB/JdQWshqJG+htS7PUkUAE0JfatlV
kGhUGdD8SN3jEjuvbgPGt24RIDQ5LMjY6hG6CoCU2VeNf73Za8sG9cc8Kp2VVQNoOGBnwPAaPwr6
oeEnxM9d5uI3R5c8eKydPIXCGeLm1CBHlSuEdH/3O/ALleD1J8uHmdSfssSCZvmS1rrNgZAQQvG6
sQvfWbtD7uUX0IN1GxNc4JfaipyzKZ8sDfeihsx0NXHlLL10LNcJdio+ziBRcJriYkkuGdnGsGyh
38Pd9W2FNjGfcDrhoOkLZLkwoEp2CHVDV3HGuhJMCh6MOM+Fa7J2U+sCvqu9mO9C6VyMO/Ihk8uq
37NpyVuffKhbVQVzl7cRz/KrleVBULJVSBipMnlrUkQjW9TLo58PQQPCofjnbMtphNxZ61ebvjB+
UQTyQ5AySxKo/HCQp3dAs59wdvwYzfwjuEmTAxY/GYnxDBS0c7YN8AMqh49Qih/TczPmJbiXpHGP
IjR72XTcRownjxdgjCx/DHG2BkixBPYjgXANi/hPmTbfqtjrPrcj8vaGx80HbHgCcE8KE/+PVbbH
S6sHC06Lan4/W3t4ueL3wEr8LVI1nuZLw5HGwWqxpyqzBpVEeoQaTwGZNYIWb8BpsEtsFO2BDuMV
wMt7iHW2j8FUhycUC7ZLshsS5ItVy5trFjnTXcgG7F/0BA6uAGSMKnZ0UV/8Kaggp6vM8imupnYx
gJHvRM2ojOJk6uZmo65UUixZbm+qCYBwVYqz8OLqKQQK9kEE0dK0Ww5cy6r1yvyJDV31hMgr4I21
fCDHuMovQEkFV+q1aftjKJtxXgR6daBVzTl+h3rNSh9o8SBSe+rmE5tWwAK5W+p2QY30IALcG+qO
SSRwGmuDlaNvCq7QZI/shrOkUWTijUNTgd6CRgOvT85dhx0qjZqD3V4RMrinQWxdk0XNRnNXGIYz
gW05a1GQ0R46bA4QSiqy6IzvVnSmK0PVn8GXrXa2VbFpYTdRjwD8CCZ4q8DBsIAys76iJoYqwCFK
0Ny6f/O7TaMZ5ELTbt3/+1K3W/6x1B+f4HaPP/xowBdK7nvrMeIQWTagElIt6PLWgPiDrSqnHhYQ
SsiPtwE/ASV9UxW/p1D/NhzoFW9duvrzBnmHjKTlg+Xwvy/Dm/cPRnehTzIbb3clo9c2brXwXOt+
kgnObvpD3KZQd3ahS5pS1+kLlDebveEk1V0HaUiGVNCp1Iyd1NQjAwrEiOrlaDtvNkVXabYxIGp0
HvUvANhoKTatzFAr8T6XZlQp0HKDb59v9slE7faU40lEd70NjKDXUZ7KLmXAsTOXvPfWWZ2Ey/mO
7wsjSoXCbXB4K7p3LkuckhsrXc1L0WQuX3Nf8eu8VC6tes0To5ldQiO8OCAh2oJhQh48acrDfOXn
/dvVX2zkMgSun+OHjXnUlO9XN5unl7mtSgM3WwOW0GXq4hcPerfwoe59cFNxMKlTN2JZ+CBtSGir
zL5y7dFAXm3HO9YvabBxg/ChQrylaJR5nicpCaVAFPEg8gWIaClFeQ0c5wKalOZHPbGL4Zn1D1f6
F+7jooQliFJx8pMc3EyhGe39dngiQDrB0GONRUckYLbfTORB9qKZrqgyX5gjDgQ5S+9AoOfep0nq
X/BAWlOPGmMCm3PudD/6Mc6Q6euAyKvDRiwDLwKLgV/ExzZ39Xm+8V6796sstd5sdNXnrvfK+Zgv
zKrwX+fReGta4WMmZXbPGMvuwXvtnUQ3HckEcYjsvgMQ/xrhWQbVvCFeklvf33OQMd2RFzVdK3aZ
U6kz9YYkze7bsnqp/BJMGnplMg0CnBXe/yPsu5ojVbYu/8qN+zzEZEICycR881Deq0ol09ILoW51
4xLv+fWz2OjcUpt7TkcHUWmhEAXJ3stoure91TWpUcxlyKI1daEGVccgXaQg8VAdzennsBP1KhEt
bnv17NpYRx0UqG/zeYbStzbvgNfiEgccpoPcC6u60DD6SsBF5HAqzT7NznPI8IbTIdy+QoQ3yhbq
X6dbVeIW586x/cPtyGrbDWYcMongpOKEUd/SKtyZpln2p2+V6y5gpDrkqqgLbZwBGiAlL/n0rWhS
u3FguhfH9fy2W1YlcqPlwK3fvmlTNNqOyfbL7cQhQArd/1ptb0fXJaZzl3ovNNf0N3S6bIy69ndT
ccjEDgob7Uimabe2DpMELY27t7CsHnQVRw8hLBt3NmNA6I718LMztLQ6DViHA/wpy1UFKaOtjDPx
WEPojjoxS+fzymLFMTBMbaGZaTyrYcB3bTr+1FZ9cmzHkpU5wwpYESgn5w6/FlZXnCVEryoZ8StV
NRzSXl7sBXuq6xov28RByubTAFP3rh1fuXXNocQJiB7W1U24pcmhiRvtEBXhMyrSAAcXi2bx7kJV
zYBQouqaYk2Tg20SH0Ij+U6NdLhawPdI4Xp3094rowXaLLCWNJm0o/bERHai/rRxwvAtjWx+oFKH
5eHatfUGciL4QoPWeRcgVRbUSFUpLDJnonC7HRWjITM2doBgHXWhQ2jBjGPDlSo0Gx4vTj6wDR0A
ZD3Yzqs7vErinaoNnllgNJdB2PU5G9p3t3WcL7B275dwBOw3XoeiX2sLiG4Boxk6ziErYjjwgUH9
BTqFApK4cbXPmgDQNf0yVTdw4KvzHHohiNHMP964IaG2mXB6N2x+hNTHvkmy2SegnhGWMBPnxr2G
w84895ny1x5LvtZlnT5kSLJt6hIWP4jSOg9jB0ptYw34VZSvGoKcX0MTAMioFT8iQ91Vqtdf6rDq
4QeqJxfLCJq1zPVu5+ZWhDhFxKAaKLqHqIczbgKDzm/jcHiUih8BhtsxgsG4RN2VayhcGoqBkjDy
yAOpQdmCRyCfKb97gkcFtJxRf+vWjuxz5dhIIyKgNnWzwL2nbmBHfMzWj91uswXhN5eEDmB53EPm
G/QObRb377HtA13q6M+wHc4BSuTxpuyq6ClvxMHOuP8VfB41zwCPPtW2zo4p75FaM/rg639Gtgpm
FDQytTzAtg2DLbQwRILIS9QTfUo8K5o+tX+o+1M/j3GG+2amPuXZNMvo91AG23zK6k05NrO/auZg
bSm9NrXayJItTS0HzeQ/OTrqTLOovNxQfReqWTIgsXvKmixbW5AfeNbjbNKzspTky8iQxRYoJJjz
qnTSs8JaGvVhBQFt3dGexv4ScTKw1ABTMPsUOsp61urLETs/9y0HOti5H/2XcjsP65kb1O7eiWA7
AqhMlJ7iwUTChbcLakCeMD0F8BA0FuHQLYChcve3bm5v+qveU/a8E2BztgBq7Ou4aR78Vk+WUCnr
VlNxgBCbsAockm43D3XLBwi4qgM10qa1IRgGUteFSjRbF/GP2QRvP2bzDM1bNXVSIeIl9WhGmlmw
Hzq0khcnKpVMlZvQiYs5FWmDIC+EOb3yJHIHgM2xRwkBsbkYrUSo7g9zTD3GAT/P8ae9GDm8X7MG
2pN+L7KrFvE9aTO4cCfdROBaLbvxRwGPvmCMRbd3OUy7r6Id9gzmr0vcHO29X3r+vJKDOJRRajwx
yKVPsnV1ku6gQpktPKDmvlA3V+XiwJm3lnragFRvfaVfTFnCuCJHzOJSMVbtK6+RC+ZFwdc6Pqa5
4bw2EWRXh2oIdixWyXUcSO1FlMJDRwdcyAgiaxspzGOVuvXuIeDj+1X7FdnSdt4Ixz9HknOYuQ5Q
GTXSASbK0UdfE44sNewYkwVH8rSBQi+0PwRbdPTJwKtqm9QS4QJ8mlrHT4b/ZlYdXNwlaELjBqKY
tbcuAehdm5VAUrbGnajCMgL6/vawdnCfueQ2UuujXtr0x/CrflFaCLrS31L5TXiBs9zowXU2HWa+
KmjtwkyxfdWHjs3rKGzhpee1m8pqtA1DpvOuBSV8jrzc8JJ33YE0tJ0E6p1B2r6yXMEOEvwLrQ3j
hwTUe1C38ckrMtiG4pb8oIX1R92tlT4ljJXLNimgDCRwowRFI97RIbuWUgcrL96mIx6/ipVB7It6
xH69gWNB+OjE2SFNNechhODTDneU8VfY9q9jvWJ4Wui+L3aWDamUn+sHJDJmKS/zDW5/3REL/u44
mFYLf2iRriM9C2Y568J+Ri22HwyzKjf9ddr28DXT4IMgnTGoNRZvdXak+g2wbcWlGTclhPWRvUAd
FanhVpeWdrnKXb2ZE8qN8G54B77YwnK3hG+71Wt2OKwZsMMzRTKtN2crxyguyK2Vy6TG3cPTuH6X
RKa2DMZPntV/fKK6P7UCWAr5HGAl1yGunp1E6mBVDnb2WBTJu4Eo43uQlysE4tpXHrvRAvip/lRL
icgeT8tVomxrrieDNnNlzA+SFBEoUExlExE5rHO8HVXRxh6jyPQJaQp4uWYDjGgBXl2Fdg228ki4
IxAX1UEAAP43hnVEICc9OePtN6n1F32o2CYUJm7JmdZFW8E0PCXyCB7oTekJmOnw8N3Fr0LqlvmW
OX644KYZn5yIyb0/pOWyq5MaXG/wxeHm+S7K+EefNtWD9INq7bppvPViE05p42TUYzDguB6U5htC
++HCtYdkYTPZbyAhSBh12jhJki9d29SXVGxB3ru3PjoIw1xbcQy4eF9dh8QFtT8K4i1yGiAYwuHh
AmeQj7rcPmpuuE18a/knzwrXwKN2bBzGVLyd+GwByGKrXRFdw1loAy9bEPc/Qupqg1yvjkcYXJ4g
pFhcfARjpjoqUgPQ7dXGmGs2BBAa0eiPoIE3O6Fnoza1RPiwgDXErWhBQBHn1TiGhgeEtLSceTQq
jMOq9ckqC+9qm5U6NH3kzknR2/qrvk4NdUiN0Z4JEfgltHwVTAmzGX62/Cv0Nmpg/nV1tmurh9YL
/hDKDJorkwUEh8Zbbe9/9G18KBobeu3f+xzi1bWLRBbeDYdXweDM09X9M+xiPuoJiAGNzKme+g9J
6C49bQDHoKqijWgDf4UkB/J6csB9EblyqNuAFBIpteFRXH2hHn4ViHUIc74ZFlvxfJKerzTWrf9Y
JuF55MvAkjGls9EtSMP5Vgn3MzqldfG5SK2I+LdbOv950P7W+svYW+dmnCqXWr0evGHX9ki6wgo9
33eIAKySghvXBJAw2Bwnw3vq3mVd6343hvyHYUr5WCuON0uvcw9AgRfTmDrOtGXSg6lEvzfWi2Id
an6K2NO4BqrHBU87bpQzGHPG3m6c6RuvOoOYxDbOYe4jwLxurbiEQXFffzCxb/3gyYC1eRM/ClYy
XKdtAW2a2FgpE+DiIMqzI0jwyRKwp/ypsPk3ojZq1jfctqL32xgWDP5Cc82X2sIfk1hrQBjnq1vR
Kbt8BXtkf6VszzuYPahXZvdM6Pc0bWBN57v9SQrZHvQaLzJB7vK3Mpo6GN2VdXyGbEEOhAh+EilW
mAgLi+xANjTxWDTHIrUaDbid1Ip3Rf2RWv80NrJ8ZC7iBAKqWnLCMgHrShjQ6nkn93nNsNQc69vC
gmBAX73ktUyNH3Vky3v40S6gcOvFF98bCQx1cIBStym+JeAQLyCrIe60DK5/vWZHj55KiyWcpIYj
KF9qZ2WRtR6y1DgbYWbOG9PyXxo9uY9VKn6A2A98o1O/+/lfw22/BnyjiXQI+eNZAX0EB6EYJz6Y
VeMCPdA90c+f6nWRWGs7Kyb3IafX4zO43fskgTHSzZAozvxqbdY+xHAHGBLdGngmYPihnaFgAyWq
DKh9BFdmuRm0eypWffpRJOohng6fW/ufi9QaMtDD/uvYdABGJ0/iBaRtD2ZpJ1tnXGABjQhHNpnH
/pHKtBm7uOmQbMPIDg4ci0/SMwjr9rtrpv7Zajtxz4boRGIIRtIaa8BGwxX16uPhO1h63hlr26kX
Veu9gV6dQq9x5fqfuaBfMfVKysxa1bI0lohQAiDcFew5MKANh9+1e0n8EnrcuPkfwZFBDsptfARd
WuM4ACoOc8TSuK/SspqnPOm+hI7x1jh29F3PKwwf81CmyvGqxKJ3y4HRaueZDIZsHn7TXgltlLZH
mqThwdHl2pvSXDEtKJuIx4c09N9omUYvCBIs15k0mmhHizVH4BoEGT5bkpoX6XrVnauOWoFHxaj8
RfVVV4PaMdaLVs5vXakeNp0KDwYnn0Gwd1iDNBM/27AXT7j0v8YuaNA2tNhOofLbkwSBGlCDyv8a
whrAZNDe0O3AXf88MuLBcE5i4znByuYICabkiFVvcsQbSLgxO+1JGkGwN8Jg5elxflUqbM5WZAPQ
0sIZtEPMZV64jG2oVWvM6uB58nVqZb31XoL8scfiCG8tltBgeYkIGfWlDYTrVmabaHdUCnLHWvz7
X//7//3fb93/8b6nZ8BIvTT5V1LH5zRIqvJ//m2xf/8rm6q37//zb+FIQ5qmgIaF6UB9xLIk2r+9
3SMJjt78f/kV9MbgRqRfRZmW10pfwIAgfg8T1wM3zcsRunXExnBGVQUw6e+rqAcNt67td6TOkT5P
vjXaYnqP9Vo/2oOxso5ohdWaZrMB1MxUJ2vw47UkXTnYpYqZ3+fBenIZjILqpzJ4xCcfQJjbMiOM
zHCBbEwMgxAoE9HGi9zPddQ5j9WC4RrfwZ4Y6NlxYyZxdzTGTRdWxSrFTQ+KTH+1qqL+AjH9eGM2
DCt2M7YK4JFkM3WhsdSZJoCbApv9/akX+u+n3rKEhSvLNJGDtsTPpx7yeKnWlrZ1rdqg3yAJ7AE1
xYdlLLT8pYiQNBmXE+0AHnQuRXGmHhY4T6BqM8DE/tyrSFxtF/vy0zwtG2U2jK6GWbG2M83Sf1FB
oS9CI2qPNiwx93kGnYweuamnAaLPOL3W+9gV+tPAeI9dmQunEU/1B/qZ8aK/q/3Q2Amh454LSoP9
D9elY/x6cgRD1BdnRwAaYpmW+fPJaWWUS0Dnk+u0SLcyE7z8VDwhQ5Fe4CjbXEDVf6TbYVAm2opu
eVQcewGulVz6DF7Fuu+8IQZcLy0zTqCahhuTn5QwazDN6oteF0d7XCPioXifhCx9NrUMlkFZi659
Kvalffa1tDgDaL9Cwt68pqOafg5tW8gdRO6e6iAZFq2rDPqP1EoDiqBbmaMuP6JmcK0tAgHenhHP
EZwKt4OdQLXfTUB57FxoZhhtVMxLFyxCv7rCu968/tJX8HNp6VsJ545flvbkMKfXprMbG8l+bmg8
sJNaBD2w/GUHLoLvRevED9W4QaQwK8wQAmAoxIHVzBpQD3exkyUPes2LlcaHdEmtNLpt1TQ6hXjv
3RRvFJnOlrqook/i8k1lj3dlXq2oIdeZ/w9XhHB+uiJMxiTHfxOO2TZoyLYx/pw+3alwZ9F7SMl4
VxOPKNjHse7UcsgrE88wyJ+4U+pvtAgTWtMdPNPtTprvYImmFbCCDKMjucpOLrFkHjvZw9LHwsmy
bFaNbm8BQIDw3slDmMtE+Z4GUQMV/2vdNJnHInddlhIom96QamO3A98zIfmePokuMvJZEvRAWyFR
xDZChttb8299pgpR1Ot/uPf8fNsfTyYEoCzBLOnoEKJzrJ9PZuQXjKuYufd2V/ZIxcbOjIO/cNYD
zQHoO+bLRjnJS8rMJa11qUdR+GDptaKFwi2EZ5FGzCS4x022KZFnGO+zxXh3/bQByejY1PByQweq
hscHgk7cRzjNG5J5EXHIu+osvnAnCmYUbKEGFmsfDcjOBIgSQNZdE3UyD7MMWjauoy4WcC5/f1Yc
+7dLzBA2M22uQ3KXCeOXs4IVlfCSSln3DHa5R2M0zIC0SQQI2+hyS5qonhWGiy67BNagFp+kl1MY
GpBcMtVBPw/EWAkpeZJWdu0eOLjOqhZlEWrQ4o7LOUEBUxPyHLBC9vbmiBgMvbVdZ/bzrVdpAZ1m
M1g3tmNoKHNDiGIEmrehYj3WtRIMJb83fqujftkYapo6j/2ori8lltpCeylGee+Z7Q3iitswfEV0
L4RSl5VvqSXI4bHlFrDhotZPvR1RljDIFc7Br/XxEuhfcTllq1Avh01iAqgy1rO0s3CPQFARqil4
44dgvwQY35SzpnS6qz4SSDIQkZG6xZvSWBrb2h4OSqpCWA4WYb6XQN655e4W5t7Zqa4CyMwPlbuX
sf1FJXV1T1UpHl0LhRzGiorUwBUoVIy//f01opu//XQc+G04HOYCjinwFj62f7oP9Q7D46438nvf
52PUOXkOyyL4mrQAHbqdxc7I/ASA5wEADH09/2sGRQzk992XDGmlFXxToZJhW8HDzyOdomF4gekP
TqwF4LhCi8VqwwIxKcjVUlEGw9LP6uHa+DZURbxkFYyOeFmqpUfIxAJqOhbxhlFtpD2q3IzFuID4
aC7NbkNFEI0+pqQirJCXAaBmS2ngKidGUODq5TIYrOoT9RpscayMimIiDiFQNWyVANVtol6bMYQk
4ATGJ+o13ObSO9cwP1GvM68rl3Ub19MuaD89iDnAfeuR/aLrdn2xdMe7ixrwXzuQeF6MWodTOGPx
AQgF+4F7+db1M/4CVZFqhXuqu6ZuYQj98wy5rraSwDs1eIOgektUb7dpDW9ABHgcTtNmdeohFJ8d
yloMwI3CurHPG/8BmusC+BxE6wq73PYlMgKgFdhzqF8E71g+JbN4yN3HqBn0hat16i4BNnRTp42+
pZnMChnA20wti717J+tAToZPVuN2cx2mcQhOg5ssxw3Vm0XVL0vTqOfcGj7qqIH6dRhlMGZMc8hg
DROr8k56iKAkoo5fIQC/I2fIKqz2Zjc4LwAxWvPQ7n3wJ2CfalcF33QBAvZcNwwcgYxfZVDuSjd5
BJkhumO4HV56vBjB8wIG12baPCDP5cHOzksf0ngoYROQNWsqWrmqt2UD4DgVYcJsnMuSrcLaSC+I
sPNFypR9r+epumO5veZ9Z99TVRe41cLV3WFljHW6yEs4d0zd3VYlJz1LthSshWkQ1A2VtaWAkU8Z
srGu6mxgoxsGQjgWSxLSbS9awi9BYSKol5Zbwy3yH40evRnhIMF5Ld05XtPFOedGuRaq1IAHGiDX
ABbnKgvq9P5P86ho28VZvkbAolnmDSzxkiC7z0Y2CmCQcEkeiSiJlsK0sVQJflKoo40J4wDqaw24
S8kgR06+67/INF0Mfdo/hhEIGjK3OHIteGPH6laAoJHiQTqKG5oqW4BY1O3aoiqQgWubNjqWYZrP
S86cC/RJ/bUhswCOM2l/iHRE5wFJtK+WjkSBlfryKzhVSxV74odXO/umQkaGhgMO4FyE5wdrAJqG
1d/fCY1fn5ZYNQhmMDwYLM457ik/3wgRhsorvdMaGMZzhFhbF+klogxAburs+DXfQCoMERGqa+Ad
5VfNw1BZOQxvoJJv2Rm/hE2C9UCbx99SXJUAl4nnWw9g+D0kqt1gY48SK6SzUkNkFe8/jbMkUZV6
NLClT7BwhDHu3CvLeFpHGEAfz2vRR6far/QzNTBkQM5/fxr4r+vS8TSYDOuG8Z9l0Rv2p+eB3XXA
eUtWnz4w7bYzMknxk2dwPoaIF8IAhj5AL/P2o1eesRCdkf96M6ARmQLIn379fgY9O2TKwvnfH7Lg
v6xzbC65lPjLSdw8xG9vnmCachgNBuFpWtAPrl1ACd0LXhETVmNQHmo70Tp3XLb+q5qe8QUHlOr3
ag+6jVM1M+rgFVYbt95lWNkLM8gTaDQtKcwZ207wqJvQcknVsvdLCAcj5bFIIu7fa17+8QlGCGLR
1qB5JB4Xi378dOuXwCLvH17H6f3hFgkx8UzHa7DAi4VhOYKh/PPl3PZDFxSDGW16F1Qvc27AlKUZ
YLVtY6GJAJJ93w4tDHVHwklbR2eA3oqnWw9XEwPyQ3o3az0Xro06qAxB18HKyYfAtMIzByzQ1L+a
LM537dhKRdp4SAT3VucdfMHgVfWf8UlrRuAJc/6Vtfu/vwb0Mbrw89fFj1faUAkRum2Dk/Xz1wXV
Iu6RyfI2E4fLyOZTRAaxfeeoewkSl9BQKcZNNHgldMBR3/QJOG0QqJ5FFlQcvbqBMB+zEbb2dGPd
Q8vZx/sCqLufyrd24oTJ4h+uZvyRjDEa8OnLmEzHN3EcQ0eER0j5axSLwdU3tQO/XKs6ErsaduFz
IIWAYGtN70sQO5DAA/Bc2gWYkqILZlQPBJC9ghYjEtBB4n9xWKpgdmRaJ46cw2OMvCh1S1Iz2Xs+
wi5UTE3IUpdhyyDqGGC13FXZDhmzrwBbhT/i7IRFI55IiWcgI+XKl1FqeI7IYH0vXFWtYpbnh0o1
9g5J5HZdFWI4g5vtLXAr15/HeZrKDX4Mw8c8ugalRwvJxCw7cc/HAwQKks0JQPuj9KJ0p+PXzcfw
UA0FKq8+DtpjAd2NE/Wiair2dT5swH5+o3qqokba9E3uLjiW/fNpD1RZjlOWvGtmdZJ4a6r7tDNp
V+u6D8v9p7q4SeJDxfKF2ebwm6QhtCsT5K+1ror4cx310cwiHT3QGgQsfj9qWFHjnVAyZ42VVr71
GFQQFZhjcHHk4GdKlSzA9tPNQ5jpCNdH3IVMXq01eyqnMvXmlccDrG77pXJLC65qQ9TPIaCMJ4pV
xVe79u3jINw7S/gojVW1cvmsrJgJrxAzRv7GE3tNxD9uPVqT/YAIto1bu4iwXsRIJOLsbWXDZpnm
cMaJIJwO0YLaPFIPofJog9g4AtBjI9UZkVgidOWfpz3FTr+K+35YTHMEWPGGQ3hnF+ugjKAUN47T
S5ksucPt5TRD6uYXA/6Wt0ltPgQLED2zNc0qhsw9BcrbSZOZ6Rx0QDhSZG6/UWzaT+W54gDrlmfq
TvN0SOvPKghp7qjo+lKMrB3gOsdDoE3uQU9DWfqBRnnS0zZFhr8JHRXVGTroCMh1n6h/IAKIc7jc
X9C56Tv31UjL4CChDYd7TLPSfSHuIfQo7o0BUljwk3CWlWX6ybzTohkcW+ILdQHGwACFDW6kga6n
Sz0U1dppoCZcqjfVKrXqBhFshaZnT2pwsQCx1RsQkOXCqlJ9D9fR7l5rmq88d6M34KKwlEgqfpKe
E91hdWrNqCGxuh9NbmuXwE2jw1BWakE7QGR8L0c4Y9r0J0j1Qca+w5+CdqLchzRzDKivdmqtstZZ
l0LLvsB6e96zwl3pqgS11EEaR6v2bZgj91AjGDjH3SXc8shm4FjjlCHyyGZZF7B87uIm5nIvuVAr
t4JmYeHNf01FX3OAZ4Lx6jRVgWs4R4zmJJ2aXWGIEaxcHYE8KuZJwe5AadxMfasO/GxYBaQrtzS+
0Wx2ZmtrmOyac7yF86uudeI+NvbUNtUkYELEQLxNhyq1KtnhnQVWK+ORGwrvVxARAW2oxEMT8diP
Yx5joiGSdWs6jjpl4mCI5OOYW0veAU6cTMc8Xg4raBukS9qrMoFgH2wbmfRxB+OGjhvx5nY6rr87
ZhrUldpvx+xFBQT7kXe7q5Ju1WqRua4LZ5shNwcOWp0B2KE1WFrQx17VBWCryIlkgW1uHGqRWgq2
YqJg6zb1rEDqCE3pwbVtxIWMc7RAVK/cQD5Hhg8jaapjkBf1D/Rxqs0anc0AtXMTLVr4AR4ARnQN
yxx8jgIqb1iCqCt4l+qax3CkbJ0LdQBowFgyUKmWVMxYpN9jMHWkIXAAk4vWb5MV1ZUSyeI6mMMK
td+mjZp/DMO8pV8Bl1Pn0N3WG3Vlnlnd9dxa33rEeV/ja9bphuaqh8o54owkzTzPsj31o6GF18GO
jXXlluqSjrWHXoQvQz7UW2nkaoHIbrgWVWfuWJTER68rsFLvFm6SbWWUwt6KJfFM+Vn/3R9WKrHL
H70avuENWn+SKZILYeEmwIRD+G4oBV4s9cq7dC50ZJJGj191LpErxiAAZvGmU+lvoWlAiL8a4nva
c9en5i4MO2sLacB1Ji3IC+mDva9C/7vR6jnSpBrELS1pHgM8NVYi8zjYdLDM7qPcmTMXmAetXOYC
whwKKIs36bETJLTH9CeiNrLDSQ4BFPADPX3Xau9bDmfXL1bHorloe/daQp9yARsGBtrH8LFvsPiz
3S/7DWpPXsCHAG3O99snoIRBcOZAFPy0P1h0g8+XltnK6TMomEP9fFVAA2ThKljoJA3Hgrtv+BuI
eTO30csXpwTV3odq3IYhlvHkCGuXx+OshcPncoDRkdE1/C4JIuRyaCRika6f91fX4dnOhpn0kgbE
yXrQQ/kKaomCQU5bbgHTlw+DY52pfbBCxHR53p78DOF5sBvhdz7uKXY8CH0J+wE/u2rbMT9a5Xrh
vrrFahpoyGap10O64wwRLpj8fZkOBKjZmZbgxEV4ITjqyN/M03FCAJd2aVAnT4P0+40OKvgqrur6
Jcr6GXXQDPDz4N0X7yG+lN87EuZTtKvSBHm7xKrh7AEDcbCggLmgBs0sVw7ums+1NMRaQqp07Ued
9pwK/OXHfULiLl8MvlRI4QLxA4/kfDpdKYzVZ8C7ePeWBocadzQRphFFCMQPAkkv1WB5627Iig1c
SPqnIYXPyniioxi6ChDAjI/WoDmA4IX6bMAj6RHJqse8h4NHADzBJvUi2IZNiW9kv01oJyCeZSF1
OQrBUAP37KvWwZxzfJoWWmjeZ+NGKqztciPUlvT4DJwGDfKbb3Xl9EDN4mBYp9D9mdMg6tUAvdtj
OXmkktXVDlw3WjyG01RfY5nLd2BQzWygYh6V0LRL5GV77jbec2enODkge06xyKLggDmxuFtSqxV7
aqEhdbel4COQpD9UJtmJSuOMOlAUj8k4I+TpIKyO+KWZY79/kcWVD79JkEIOwJ7KQ202WJ02eadv
Wru+08cGcN1AIvvUrHXZBjd9aztkITzsgMuSB9fU//rY+xZcdobu3eOvrfAg9l03MYJgjhHNfduv
5hLPyHVuMBHNYce41htpnErwTe6HgvlHI2Z3H50TDQm/ro4XU1lHvBAMzbyC0804WZnAh5SFFxU4
6h6pcQT8fed7bSm06bWMl3pV4jKjHZUi/VZnFV8Cic6WwDsbUOKywmfladYy1pwUxjYo5i0k2V0/
yg5U7Ax9AwwaVlGpa16TIVumfRI9e36BTMZo6oWFdPQMtwS5Lpj70RqqLlpAsanfUmvD7DeR+sUd
DdW85WAwMBZUnp0RfHmk/cSJyHd0UPE4Pyjjfz4oao0RfaSD0qDwicVClK/dfmAHQnlOeM+xmCAB
PnPxJjOJBVCXSUbgEzLU01wE2MdONokJ3CaaOtGcwdjJjONhkVfeEq/0c8CSwitwIMOjAbR7VIEd
TCXWpliiQY2dSpIbW2Ng0VRSWX8wvLQ9U5tbOXfQ65J3VNI9ds0hLTmVgKp8rjubn6gt8eKv3DeD
STWcwWEeuRHRHqddsELN8NtwD6QNDoHVYpY4PQAh48G5dQrNAq7knloTPOdnPBbI01Ar/N/xm1JA
2tYee7RsR81jdqysItoiNZY+DJYdriON8QUVPcWqoyzcLzazAlzF8Cn1eqiNUSOrsKvUKJ1dUmrp
Qxc16SoJEaKn1tY14kPZ4442ja2gkyLVA3WNE0iVI1CPhfu4U79umyUcHxSy75jIgQLDDuh/VbTl
SRmwFlBRzBfIr5cnM4fPL0A5+Bj6wFj0cGxYTZW576ApL/k5jBuxReihhyXcOAcDECQ24i9F62+7
ARh1iCMmV+608SkP/BPTuJYCLDrghY0bsBMaW82grPZuD8SZG+fplepgdPVqxjqAWGNV4LQwjR9f
hHqaoOdgLehpibsvxncc0CnXh7kjFWmEnq38qGH3VMN9rPV6U0UravP7qD0jDDJ1px5tB8PrOkMk
iYoSYU8I9zf3g929QiqnOlB1pQHWiAu02VHRK3MBphHoAlSkTVvoD0al1JH25AygVwR4eoGyhAOl
DTMX8N5Y4EJR51Z0bGmwulniTpOvkiq1FzSwSbl2336fvm2ZO8OiB9kcsDzMMoSGfhepcK37fXKl
7maCxKzOBv3j8KUn8A5kPjsR/Kbm4IuCj+/N4ewEZW/bMM6RPSKzNbm7VdGnqLNXQPJ1RypNVTDc
QNqw69Yg1H4Mh86/Aeh438yhdLD1s85eKgGeQw8U7LkJZTxt3FKOhgvuzqlTyMzEJeTuui756Gc4
dbuqbRj7OX4WLNrI40fks6sjkIDxIuqU/83dUpj51s5E87ftNB6P5hgvfypdIctlL3KkiPZ1BW4+
uaPfiiSicyuCOgT5mbEzaIrojOX3462VxpaAZS4Kh3VbiQzWXWnwH5QStqQPibaisNaUEsaq7djD
iOC+wiqUermh/di30Cv24tZZTR5KOn9s6qC6OMLJL8pQT4SEyUJPruwsc1Y1Hp1Iyc56C7RKkIzT
9U1nS2lFfPDx2hJFgZ8BBfRXF9LYijo/X0AKp1v2bRr1M9tJztA9DLcEkJrqCCZl/X/Kzmu3biRa
009EgDnckjtHSZZkyTeE3e1mMef49POx5NMyPI2DmRuClbgjWVVr/WHq2s2HuRue3wBEqgkFdFt1
+dIQUhaLCWS3gDiD7p/xIluxGMPgGF+HLB2j3RQRp6uUETVNTS/Vq0i9rUZ27MFYDzPqFw9RXv2Y
9SY9yZKsd3v911BZJw+qrUybmU3b3TLQOo4Rpz7PTjs8W2nfbrtatLtxLZqK5hztJIoD2VqaiXev
G/MkG2VVNQwbz1C1R1nCLwd53jkvz3iw/341VdvFUWM/4pTdPSnptdeL8VFb7c/HnBS6F3aqL9tk
nR0p2FjFIwGhtb+s89Jr1/T6ZUjy2+dAe55UXxb/GGgUFmlxBsEHGwlTLL9eSQ5I8iI8lLrrZreC
dQKiCxohrMg5KEqhn4twtP+vM1b4O80JQX91RI+IpBGlWFkIwAPGerAustRPinXGGOO7LMkDkP85
SHA63xv5iFD34EZPA/HUdbC8TBh3ynp3x5uhTVHdXq/YCcu6jKMinmwBSCor8IBcXnX5kRJkrTem
sF0kUPn65CFpmnNmGMpVluYRHu00aq+y1DjjcGlKd9lnZM4ucSRwlFwP6b9nVuz1+y6t32WPTKt/
9ZDFOcsCy6wSbAnNDglaSEALlrW+h1r2bawz766uDfnaUJqAWRGEhaZfjt4dsvGvEbBd/1kqHbqO
lR2HFaJgaIv5aKJ+uejtU77CFBwe7Ye2IowiO8i6cRUDUsDCfgxqS8V8dLxd4VxtawrsVI8BSxfm
TR5Gb8KGDQ/d3YChEht6GoS7Ap3ntcWEvzgZhNRkP9kKuPB5wJXtIJW1Cs/GEsV2z1JYy9PQ2Pdl
gyyvrUoY/QXmE/69wEuo8Eb9y+dZpMxiU611SkSrmXq/t372m0rrgtnNDzGO9TvBWdIh/Pw38q76
U002UtY3eNATNmurgzrF9btgm5RPlf069Cx4kOBky73Wfw4vcKk5N0CzHzodxZoFH6evbCQQQF/P
mrVOnsk62Sr7jUMj/mx1vfHX2LIJm8Abhb5XFgOSXCcQSUKJ/wQAZSurPuvlWWl30bV3zXbvWeny
bGbhVcGk4+/1BMjkKE8whf+ocRqcfD+syEN+iT7pxUlptIcsZA8Ry19OnrbeglmPO48ESPhN7fUg
G4xFFyfvf0a4fNLbBxXIwbgFjIexbPRy6vajW2vP/JTKfsyiYiOLWQvS2CJs48tiO6Vs01gpRE2s
94Gh6LtxTBKwQwz1QDj6NXfeWekM7VleuElqAqtrUdhc2CuItYdEeNEJnt0HBMa2ldCnm7eSg9IJ
i1DVijYDrCdS2WFnGl9RDEPSMM2rQPMy86tiF0RrlaKG51YbX5uqfZ8tI3uIiH8+/8cgRZvVTVHq
9rXAVltRkpS10iaKQF1yx2xieTIuG2Ys+2AbtrXLFb3Yz2C8iY8z+cqi0ZrsrNbJVxY7/FSDJRf1
4zxn5knPPCVABmp+UxFNCobeyi+EXIavYNIKE88E2UtUpgLdzJvePBfRXgSf8osxKLKXHPxfvQwF
Lkih2YJoSDp8NZWrvELV9b9eVhb/eFl6tdlY7mpl1DbkD/Pb5yEx0IOr1OtnTa4xj/tgsoKmsaqL
bMBdpLhBfu8vKsK+b0XOvcw884JLmH3I59rapWQ+34am3WQrZilxMDGIqs69JCjB3qcBy/MPMBMj
wyZJX7K6+zVSC/OPkbJD9u/IWs+Nj5ES7YTF5ONcdocYr4rvbbGfEKz6p8GJ0q+rwX6xUOnYlsMY
X5taSc+NMuk7z7LLL0RayG05g/lXv/S+HJWW83svlvhrRzB+A6pM3IRJalWziN9Bgk2fkjYUQZRn
9Y94dFF5IHOWhsyoStW+LbFXo9nSijtykcPRbcp3Fv35pp5MYlEYL6H3NLvfWHCCqe3jf1ajkxTW
23uRa04Qllb8oHWhfnDd1D6UhkaSCPw9Nr3j9G7aJTY2zK2aEr73TAi9Znm3sNbK5wEKQVDhEXLQ
vLJ8VklVQff0lqAyRfU8zqN673BL5L4rn2UPa3IP0TJnD7LKbrw2SFxXHGX/JRqsfZ1r2Ua2EsTv
bsijPcqXklWumDZY7fSPstQJw4NvhI+JvHYcN8rOxlMZaVjejB0ZJSDY6pvsO5V5c8tjC8Z3rBiY
6cT5M6Gr25AV5TcjBiNtIulzalwXbO0CqaPVym9zOKPm2Zv8KfDyeKvUH7K7ooFNmlwW9rKILoNT
duN7afT1AWe9dier8THddGaSw6XI9WOpi3orLzoo1qnkZny2iw5KnmEewZClT2lp4ttjAu5unQF/
qnIImQpr5mqiyU9VB8pIzAMkr2JMAztq+gMqXgoJ0rX8/zj441Lrq/3nBbQIF9CkK1FfWRUbOpj9
6Fm8JBpiZL1WWb6sL7Rp2VTRaHx0a4rpt26dm/3ezWaxdFRZJ1/nWFqCk0T8O047z28dDb+EbjG/
qjjvFuhBv6qqJ+62XQt/WR+irA+GvQc3YyuLdm2RhydQcJHF0HgZIrt7FUZj3qY8SkljcrHBtiAT
90gcJoNvk/P/Czb7RtULghMAm86J5nnfTAM3OawT1SfEWobdlHbKOfTq/gy5290ZcaU8JjOCbwKO
9zdr6G+6HL+kyECNcfN3VWBRMTndiEIr3sNV6BU3p5r7IzLW8yEJ2+6ezwqqwliRvJIg+pkng/gn
Ug+WbvA+ak1/cTN3wo2Ge09ZSWZJUmt7mAH9qRMLbq1DYW1jtD+f1fVBwe59+qHYLVrWxMTwixwO
qaGGh1lpok3X6sZLEXfuoaoJQsjiDKTskCpp8lHE5NQ46F6bfhTHiLs0x/pso5aJ+ZKpE9lyoyiY
Xyl2VjJRtMuPzg7p6kONkeJHq91E3cEhIvQxVpQO67xMYDW4jq1ssiftrGH/uL4r6D05tnHK8NGa
WxBJe1dFhXJt9bwqPkSaMn+0Zl6o7KNBUz9alywJ96TYIWOsV24cEiFYghsfrZaG07OlIzguLyVi
1dirHTqqssjcpu2XvkW2YB1bTOOy160Q05T1dbVBn/bYt0HVmttj61bdIZyLF7yHpsmHZdle5YGf
99dZYtyddpkuf/aQ3QSUV59EXraXxbbCZLgQFqZJq31kburu1Vs6cEZVeGfyNRzEUex4V0eIn8pK
2U8eojL54cQgS2VJNtoK+pN9Pu6Sdfxn1yQjFpUl5MI+6+RZp6vPeoGl6ee1W5xZz66wTm0cMuPJ
bmEC57ZGK2cjL6zlPHz8GPZ4Dsv6/PliYYn9SK2UDykb8t9eHwpHi8hRkWxl388Xc/T0aLltdfms
7yMlP6Fd/Spf+fPacaG7AYEx7eMazpfQ0aCKrnYr8qDEOK0ID5fseWWV/U91lgmr82VZxyrj31OL
VBr6LUgOGEq+UQFYXD5OZdeuyhRfdPjxyZb/5XJdFu/1MCK1sL7kvF7Hjnp2RbJszoqLxIinb7XE
ZW2GDq43at6xjviXy6JtpQ77JlFeVcuLXhs83GS9NrnGsW5UlrGAr960FiqY3QJ3BuVsvuREA2R9
mnvTcRET5EB5cWx5yJGAKyQGwoJWIxUgD1WXeJdmPchi11n1Tg0hisu6sa5JUpPjr3xVV00iU4lz
TZzOuaZZu+k9YzkzCZvExtYGO3SGLYEv5pW0YJ0tO8oWLca2ce0t1rGf9fLMC7Vfw2TxY2wTWSez
RHP1R521+3nWlQuQhsw186s8zGaMYNV6kGeyLiZhtAEH3QR/NCA1DgFxHSs7J8qwn9WqPP1RL3vI
oaTJw13DcvnjFf/rxeRYrfF+EEBcI3OEfrMxnHfqao84rwdwXb8OlTRQzKCVHO1I3Tay+NlnNCI1
UD1l3Outk/iWZsUYSjfR0anybD+KKHuNw/RRUkqWNkz4W3S/9/AAo//vPUKl7jbz0iEP66Eg6vUd
wasuKi666mxNA6/dzyonSxBH+Cx/jmj0tD8YZX2FHpNfZP1HZ2dWnc2Q42hn9X33gNY8zBYTx46J
2IlHuq9xDthSlX49W93DR2VVtHsAfauQK3XlemibLN6yx1Y38jIfDZqDf0yKmvairjZOq7fTpMxq
kGVhH3zWJa5wnI9yKb2bPps0DTlVX46Ulb+1y3LbooXxx+X+s+O0vgPZIg/yirbm/qr7LHLXMbHL
Pm5R4wizSyGgbTwyLpNfRXN1nXBjJLNT1uq5hpuiGoKibOnDVu83UdfAreRX3slKu7FXU5DZSDZp
g/apMbZPdazyLNFj5+h6KeGSsUkfdfdNtskaEKfJwSHyGHzW2RY+HnEBm05LreZJgBV4Kp9kd3nI
DI9lu+o6H68h60yhJoiGiPagl+540HIVDEyeZ1eCcdm1JfZxEKhA1GGpjfx3XY6yRfYBy9mBxx7Q
cV57ywa4k9quHAwkw/JMP5VWOrTPYY7hr1Vjhee50Zfciqd3LQez3lh5Rx66xpQuiwBIFO18mmtI
9SwcoweENDFoVGBgpmyd/TE3578h2geQUMbIz/oRrJHhgVkyERTI4v5ZCUniDUaDdIeD9LaapclR
WdddcJfKrTHN03PVAiaPbZT1NTc9flwJo1OCKyGCjz23X5YXt3DJEVHtqrNh6eRxnTmryA79T1me
yUMbt+XBbA3EnqLoav97ILQG933isZbHrr5X3fZdNn7W/9F3mWqxYtv+8xqfQ0XqDic8+bby2p/1
8uyzbqnc+BIjm72+gz9e6bNOvpl0QXrZxYXw365uYcb72i4Q2oqs9oowLEb1TmTsJjdvt02ygN/P
Hz0HIqdSdu5zVegPFfZLd5VE6nPba4u/OF12Hsbce17Cvt0Qd3H4Dmg129HeGSz/t/pa9FYv3UUB
giOvlAyNhm+M+C4bLaSCnkJuF9bclya1KmzYIm51vNc5hqucLRkosAyyLE+RSR9PIFpX3sfkveQh
Pt/ZNN5kCSrnl7xQx/tHSZgEttzp4aNkO4d8KdVHWfJSIiQ2ugGF4XwFfw5teOyWuzzoAGG3RWio
QBSoK2rzV0MDohLLFdfddqrV2zD81xZEVfyIJ9Th8wo1OgH3JBL7Iosxo//3ypDjvW1hgL70MOGE
7pSbW7TH7IcO0M2DWTrJYTYdmGVDBbRkPRhERa451vN6yG6EVSl1vRHtjWaZWJ5Skn2T2NT9xo6h
q2Pv89BjmpQo00WN53GTE9n6gQpPrdk/GpT2Nmqa6xdDqZzbPJBWkw01bHN8O9X3YbTgcC7dTwhZ
7n5uu/KUY9aACODnaQI8+0Rat12CJNLLU6fZeHdNSnjE0oGYM4RK22qqZzEAA2eGb44E96rnnAXO
vsEKeyNbc8iF12bMXwlGZ13Qj4vv9nH7VK1JVVRmFt9ycHEcIg9TABhS2Ir0hXpqtXD5OKTF+Hvx
h7LYOUK/SnQmKgQvZT0Ll1L8VpQNf9Rla7/KLbCglUO0pdvybLEODXCgSQgyHnMuto5QG1ixcfKo
WQ1MmLqtf7SD/exNqvGc9pN5SB0z3GXVEH5VoBFMQGl+1AuSo8Uwd7dEzY3rRLYzqJupuE+xUNt9
FMFEK0B5oYcxhketTfGKbPXwQV8P7Jrq27gS2RLC/VswsCzS2xHXGBplN6bon4Svk5O8hjwIOwYE
Hu2gpYJLE+aCtzlShqYxfzOqCqVNEum4QvXJPh5AhIeDJW4JOg63shZovrahTSSC4meDWIu52QF9
MjBh+mxQbKu+KgA3nbpAObdonTcjCtFaFo1ztiEWfx37H/ZaHeIBdezX4CBZgtoHwRwdNLiuKGCN
Cu6otnKBPGxuxygn8bM2yDrZamlscxFrpw9w2DpAg9BX8sW5ex0Icdcx4x/qnD21da08V0C7Du1i
6rusLpS3wlIC2WHGYXvT16l5kSPDAqiOtF7BZuQp11Tyu7+sIDorY7ZLjXtiW/qdiOS4i3IFB5F/
6+RZk4g6WMMZu9mbBziE7IyGeXL5YzJWHqwm029e+SwLRskDws8B/R2n0vnbaeY+3bLuzrYmDL7N
56h6HR8Z1eC3c+jsZYN8KyHYByx8IkTmV1dsByq+0rfidcbz/T5UWuST0Cfg3Czz3qlbZyu7uSEp
Atv0mHfX1v/vUdYQ1y895kuKoQ8PiBMND7ARkPow8Ekmk3T5rO/jgkTxsrhsB+kmG9JMVS+EWI9y
kKzn8yL60I1riMsx7mS7ibCPrv1VtdQ3KaqTeHt0B5yfStQi36+51avTKvZm8MDXGZHoji2OUQeQ
Wcbdqtpfo/lG30AP/2NE/U8uF10/dP6kAqCzStMICxenOMTQ81MaUDZ0w3QvslTd6JkGGLh1r7OG
qppUpEoGfR+psXuVJVm/Vsle3iLC/UfiVy9KAH+mLb5Usx4+KvkTIGEoL+thwZJpk9RTvJNF4KKr
jXI97+tkQdjS7S+t1s13a8kRsiTrHkCpWo6yMXameYcLc7GVrfjdTue8wIdHtjY5il4zOC7ZKKtg
WgC1Nee7LFkhMYawvYRsbwp9s/pNZ6udxgCgdJMBSA9k8dOv+sPoRpantU9bK10gPa1Vx53gRmvz
F9dFtlNXMDJlybt8UWD1sJmYXua1JKtUXX9FJja7yv4tf9k9NvHMOmsPFxjR4yBMAvhczINMgcgG
SDEdGx09vmGPxRJw4ulTZY+zarN6NOMreSl1wxsaH5G101nY+jw3H6dmqABX6mkw5zN+e8qAS0D/
FnWW95CebB42jw7c7myeybZmubM3ia7vXMezd2aZvVVJpQDSt5VAkJ48kI49IgQcP3ohD3cNjuI3
l0C32aHQrOmmgcaFOd3kmWIBN6orBBx1m581UcYc+/ZqFT32AuJPzNKEYomcMSWPaojbcRuaG7fU
ieKmK5L84EyPs7euiDykfSNeHwmMuTwZerMEL3oMyxv5jBP3/+QDY/urRGLvqVKN6Bi5+bs3RN9F
Enn7MNa8QxoqxLbYDjNLxvyLlhcrnrO9vaIZ3HY6Jk3FZ0U/x42xKTYtf0ZO6qGCibgTyB6kIejz
WnvuDe2bp+mur4II25h9SLRTcfzGIEGkzgB/xqgPhpG7hyhBgedUh20XmiHqg+epyJ+TJ/T1RUAA
IhGxBfTsQDytpnZDpmM7jj3zspol5wnYoi/K7toTjo+I2P+dWgUSs7XRbaNSq3dVp+T+aAIw1bMh
QFcSoFP8rtn98r2r+z3+hcd2se5G1ahnrwXbyuQ0bL24KXwtnv8J++9Ngfoye9+fSGHzXbTvqAzu
E6/4OuSASfSqh4pbPumg1fyxwVxeV75GRRpYTc20UnfYjwnze1a8ofu1M/hmCg/TvMlpf6osEzaW
+QoboD4BOWZ3gtmLbyYDIQNFGQN9KTIAVtY3PdYXAN+sKb24FAEd3iGTbquCCXbOMZuqq/QW2yCr
l4i8nZXiUTCV/R606HdlLIrnPvynRkJ3DwntRSE6yjphuVUTAaQ8XgWnpozJY3E2qqbfwGPySZYa
VSbCC0Akx59ZEjU3bTYwQ8ue+2HQXgznNICgDJRQPGvwQjYlygabiWcAEU/ziL34zVymUylUnLjS
/DZ2eD5pUGS2S8qPQaJ32MfgSU9xdPTqbuvomCeGZYNFjjk+9lrcsPjs6n1sIzo4DP0D0I+N2cwj
KGTzpJWu4qtxnIO06784S0nCci6XTR8WzUkk47HpweYitURqFvi60quHcYRjVpoFwFdwXcjWk+2P
HSxUKtJEXY9b3IArQxzaN9cB5oxrjuhre9/1MdqZsRrYICAF0guHZYHHYGIB5GthoZ3YlrvB2Css
3cPmSAzbN+tuBsWhnhJPwA+v61jf1nPdnvoU4fS7PK3hvWX+b22LrlJRlPawb9X+WFYEukBHMkpe
RZPNHxeI8AhKQt3Pp2XcQ/YoYDubjY/V+4SOxtKehBfrO6tX76pe1SeA5At3WOxil8L+eNPOgEx6
ff7JXGVDk1m8x1asavKsDHxmv+hk64grFFEQVg4eVJn79xN+Tu+JywZudurYL/Qfuu18EWHv6+T0
jhFc1a2TDH9VLT+P8JaHyrQR8K3QbiYDXxarSPbg3ZssjdEPxnjVFs9FvNTbrAeI3PQ/cwfNEoC6
DrKpVbVdlNi9D014zBdX+RIi8BvO8Vkz+pfC6sodyiXvXZEpWyds+fEQdkT9Z7iqthhI4ZOo1try
SxsP36LG7FAyjO19apNQqcZ+Fw5NEfB+03OeT3sv5gvJKzRb9NwarnXJl6Vl4jkfyevrNVuXUOzT
JN8tBJQPtmgveV4i7ZOWL2OlBmL1hsGnEpsoPNPIaKa7rgwvTYWqRMrNqGrDQxVqb7HuEKppm7PK
fiPol2HYwly0ToquCGL2qXnMBCIXTVf/I7Sy9PGkNtTmH1R6En8yE6zJ2wzD1OixKwztgEJvE/XW
BgXk0mm/qJl4rU019j1jYuvr5rfYsaNdY4zoC0dgUxsvP+oai4TUTd+6xlv8PnXnwGkvVZf5rj3b
vvAKDN/zyt2VpHtuPZDFJmq7W2H1RHORI0FMDR5WJ1Q0Kdv+hZh+4ovBejPKCEYWIae7UL3DmKF5
4ranUpl/eg76V5b3bo059p/GeCzIPPmxIF3M5DwFswWcr9Q9NyAMPR3YeWVk11CzyfL6nIwdz2B3
MneYZ+h+vzp9Gpn2CqF7ArvaXMzZ9TZJNeCdkUJOFWNylodBWMmZ7Og5yxsb6rCdA+MdvrgpBAsi
S35uK37fNf8khvVqjfNfjd6RA4vNC2DscwUL0ZmJI5q2W2/QQfjaYja6dYrsGVlx6zYx3ftdkzWH
Kmrzh3wGh6fE/aPoF9/s82ybs6jb6BCzEMVKcPjSRrC0uR30Gs7KtS4MBIHc9NDkbnTBliZE7ceI
z4uXW8eQldpJxKl2SkYDhmZcLOcyScdDgQjyBWi4sdeEmK9DnEcsZqG1Ao+pd8OIMSK5Jm1bJanz
kHdRvI2aa91D6zGFTTIVA0i0M1gSFzU+hzHiv8GKggy6VCVvbgKJt4Swnm3Dwy5wEfVL2x4GxcZv
oEjcl46kfdA4Vo/afozGcA8MyJixZEIiX/261OyctHoo35SanKiXdtOxskxrA+W19Tsel2+TBdMn
htfyBq24A5wM9gGcKq5/vTDemMBwVoSq9TbZfY+Hr1Dx1rTwzyAu8hYhiOLzWB/fiKezYUvr4U3z
wsHPQUm9eRZSSNbiNm9RySMCHcP6DQrZhKg2Em+RYpwwHNRv6E96BCSccCOLiVj0W6HAIprit6VL
qwBekgmmO+p2tTkxyZrmKbbZE4eROdw6RFxvLZ/1PLnNDsAZe2UmoE3l5VAtM8e6stYmouQ9KEuj
PHcpX9loBoPNu0RiKEXKexrRSEYUpo+MNQqKmg/QKGC/EQ569mRqgQ1kfKeqSotxSvvdHTJSzGiD
wPEvv5DTmXcDeiIbkEJ2gBuW4Q+akd1ra3T8WaTGNiUE7BvWsNfL1MOTPBl3S3Ub0no+9G0S3hY+
i5LYFzCLL1kcigcCqb2PJhVTVqOod6TQUfQrlgfbnJmwy2YOCCSArkO5m8QUO1l1SPoAMkO3M1YT
1L5IAhjx6d0e+/LoLTitIu2IB0u1fCv7Ep+RctnXuPJt58p7BRy86ZsxgfjC/R8uIH7n2hV8FBts
CIbD3QJa27G3YRpHfpgRaG0bdHAEp7skgTIkQjS+tDF7sJX0pq+P7igjcGXnfbPp0Q5V0GFj4hYQ
HwgIoMUaWkHv5Y6v5iWJSKaHLgntp7HyCKpb+a7tjcofS4IapRe5mxQDOL8ls7xt48rezG4znBDq
sK+J0BL+dAu4hZZwmWbyQC1YQt+dMrkURg1I17jMSNNtB2tOznA76j0Lf4t3dkc3rT5oKGYIpQ3P
Hbcq4lDVX6az9BixCeswIEUTxwkh5NnRtl0XlvsyEllgJi+trdUP0TzpPhG1bzy9yTCPYj4Vlj/M
Q+XHbaTc7artb5M9KX5Buv7ailEEaDbzwVXvFGO9UZSEedKueSDaDbihB/hTNihQFhYG2o6moUyP
5qWPKK2raukNeuOOv8R061qyjdgoeqcodHFMzd0rQu77IVIyf3DVu0lAZ2vY8+xrnXLqvPJFCNu5
FJ3ys5n4oSZLM65mVRfbdk7/bg3wOw2i4jjnPJR9k1yyYZx8JZkdf8JloGPeRxWCaUW18xNG3uF2
DnEPEgNM6T4MMV1DukM4yk9zMsezGQLfmqo4iPvJClrB/6Sv9PykiAEKqEFgdJ7KozsPOIO4ZX1B
c+ymNmypDKAiBpaIOpYbgGVZkYncPjeTh6PLxOJJa4Z2D8l2G08KlLVaLIfcylqgldVz15aPigrg
DYHtdu+07bsmMj0wGs3kDsu4+TzzvvQTLLklOroRrkVrTLQf4nSLHDQr+EibNyq7j8qLxQmOkkr2
avnWtgZYOZYFG24KOBT4rAfLNOE+1HvvWViYfucMxDqQaZoytKFb+06qdLpNgAzRLGp3mRu9OojV
bCdPx81UZNtlimw2wwNf0DCInR2F6lY42SuGQNOmJmS2RXJV3WYxaMJSiRBa0atLMaGH1YZMUblt
Gr6DJNxOSQYn6PKkC0QY74nBZacU6V1b1e0za/wLZpcdMubJg6Fpyr7iRvLD+SEDwDHmiXhs2c9G
FolmwyVvIuCVdHXLjlVtdFb67OwqI5r2eWVrmwSAjS9c5GSTeyQmi+VNOwQ5CMmN5aSPsSfOtuU2
2w6JXPLWuboboOMdFkf1YPwicsIzHCrNkOa7HuH3pbdL5LwSvBjQU9+Fs7ptHbfxoStnu9CzeJKE
Itqi8vSuobuzrft2/KLlhIVy2De1rmP15Xl4lhoIf9VhMm0wf/zCT+USY3G/E/7MdkLB6WI2Nk4G
RiYiKAda32lwNGkQtNPDHJjPJF5j4jPwXAMFbCCg9q4JBpYUu9pCwbxGCQJ0eNk91RkULoNEoEfO
v5lA0GeTOfsqK2mzxxqM588PZBbGs0iyRyWsl2BQtfAqWuPdNsnDL0N1SvpUHIuZx7WpAOcqyWZU
ztlhlwn19Iz37kbDhS6oaw1FpDKEOheCU0rbU6cXgLymDE3HqPZDBFb3qsKeZait5uNgLaAgzDLH
Gsm2HkMvXXZwNDHDSCGk9ovCTn3KE4AAXn3E8rI/TaMYTvLs8xDZZn/KE6BTcGqYqR3C7eDb93OR
uXt+3OpkZGp1sol37bqlvM2I/Z6QRFpOSc6mzYOXFMiruR3JgD6b9jUJRmRozkQvXJ9Q/01oXnNK
6+K1cXMCKIU5Noclztkie7Ca3WxGlrifT6PRo2XutHjh2lqe+5aFOotemMdBWQ3xqv00L8WJWaRg
EzSFW6svX+0YVEA3RCXXJ9TS4rObm2WgxGXMXsoNT/LA8pV1aJzeLMLuu1BRm9PSN+hljda+4XF4
atQU7GLMstSvm/I5Sbu/2q7oP74reSa/pnix0D6fw8VF+aUX+3B1o5T7DHnmrsXVmo/fe9NUxcSb
5mBP4XiyoxdITRUPuq2G1D+7C7KynpO8GkVUaEGr1umx6xYS7stGG9NHTfES3Oz5YCTfLGQoUYJg
Bd+2YRjwkFrfQH0fyvaWKjwukNAN4nQOcz9Ww3C/ZPVhbGuEFQpcEZP4OHbwEhUWa8BgJ+Mk3wFi
HuSFneWFtF2FX4XhLoE8bbW4YvsbGn7cAaJEKgT693NZeGytRpN4DYZUJ4AO+knAMQ8qBx5b/cNd
sh/EXVy+2RANuUG3XHbHlPHAwgY1Fkf5W1X6VJ6a9SCL8mAi5sHffP0p/6s5xIj+t96j47W7eRQE
F4u9Vo0BZsvvbE76oDVRhdvaionASJEehjr3SOrQIarw/y7dBLH02W+8BnymcGogdxwGEH+7+W+B
pwQZwElTukuY9fExU3Lk3O89NoG7Ph4ei7C6pDwHTqhk45BW5d+Rk4sIlLfQtHo8Zhf93qINTzhc
cbdO2ig+wGjSCVGyPIV1XvDsXvKdNkaPDlmxMP+C7/pLo7rGfljDBKpl5acpQiayafTzrGFts4eI
4HzpG+5hb3DBS+blsydpkNgPFBFEymE8KqWdcuu4803MCLJZjtKyaiLO6CHeUA/ZKVQFutydwrIK
MtaZr+aIFoxi+QtZZ1+ZAGm5hu6nXmR+QfGoqKr05JXL3/zY+NMAWj2aY4G3pp50m5gUmT523m0U
i7EnqFzBGgsSthAbq2nLu5pDahzYRgUiqxK/z6LybiVknBGyQrS/2EO0XzZkYTx6IfhsTCjb4nGj
u0v6Buq/+T+MndeSpMgSpp8IM7S4TZ1ZWnXPzA3WatBa8/T74cw5tNXOWdubMCIIqCxEEOH+izs/
j809lsj5oVHm6j5BOMPQCuVLyTB7csbavab4Er3gnUlO2prbH2MSnp25xXu+Nd8cJyzOvAL5xSeO
/qXIfRQTYuVb55vlHnnaHsRomD4qKuuexuuPZRqF34Iy+iCStMeB2/yzD8IXBFGdX1lIPI3vgp4r
9lPqM33Jg7ja1Sq2bWZjfycy7xILYIxy1La7ECx5JTUIx6WrIFoRLTkUQZNcdRTnD05mzhdUTOfz
TOrgAErTOMxK2xyZPh6KcojParXEOzwiUjmR1jbs7EeA/tgVhv1rDp/EiIvoT18pbZjgJBP0t6RU
i4W8Eh1Vw55fm0H9s220P/KhrVAnhzBJtp88DF4tsRt76AAN+QHN5eQljJMMcmsyMUgd2ylL76qs
HO6sJXo3AfUdjLq6eH2tfGB9fQw9g5AqjL2D36XHMYiDD5CC30OMph7MWlfeDdVSsM9Qh6PbZSAb
rSI6pfXo/lkTv649F2x94093BD6DQ2oip9STQb6gyH9wUXL/1niDsXcSR3tiBWBc6zJqzg3cs7fI
bGG9kwn/VSMfbHnxzxpDYubTmvHiFWm5eI+YF8/owxej8gltKGH+Iy1/ISsQkSONyt1c294baGP/
FEQOhOFqxmNrTuYnQgw/J729zlPYvg1N6750CFtEOXhmjKbrM0rgDEeS/075sTfJeSfk0tLdVl93
S09plLoU0n07emv711PIbnv2ZZxHrEy5BkQ+YX8spsbrZjFgdyx12ZLvTR+pdJL6b5vb/q27tEnx
qU3OI22T1uYHQy3HHWu7FO23PC/5qC6bqsMUhnDqf1qN3mRCsOxPFSC7R/zY/qmvh65lOJEGVCzl
FCRhdZOiXD6zg1kgPiZ1s5n+U0e9mllkH98Xkx68WprK6+Bmxh4QUfAqbWVmM7rH5nCWNilUuOlq
NPj3a1NmJ88Bw9h2UItz49VEzX9tkx15M9fkdxat4+Xka1usNDtN69Xr1saKc4+YvfFUmKl2jNwy
OFslUuOFUlmPammqj37mRXz6xvZb7WpfMoDIb7qqjLfZD7OjjQHRSzHNLJ+CaYfEW/FnBOLiHGMA
eSExAmsZdiImewdN9/pDX6fEUvz8wS765t6M07PLN/YOJ0+mSHOSXmGOnROW/Hc5kq1nxF0+8jp1
HqEfqkeFZRfDSmA/DO0YM8NXH5KxvSGGkt3h3htiqQOQGxTVfDQ8zcb0JEM/rpi/hQ6yk1xo742A
/kPe1uqf6K3lh3Cw86M6a8+kmzuWmB0yjUUy7hvUDc9mXZDpURFk0nSIcky9D0nfqx+VMwAYbZOF
TUEkKcUfCguqwPgjLn8aTdewUgbQ2AXWl3kwy0MGd+41jRApKMfiO7H86U6a6kDvHr00u0pNCojC
wamB+n2Q/tLWdvqHZ/X1vdT6qJjJMI0PbTt54NTa8FBkyfCah34ODTYajkowDK/SFhVMdgFHPUrN
w5XzLqqyX8jQ/NNhHpGqJioJBmU5hxSZ/nc0WOGLnMYr5+iqYl242zr0HXYPplKnV2mreG/vW8V/
9Bpy+FNxQC8xeNbmTMXEM5lOjhss4QmGbWkLrOgly8mgSpNV9KBu0+KHjOvSFA3ztFdLTT9LNZ6a
4nUiKr6eIccCWweoJJhXAbkCB32Oy9i5xA3jK5It/wHdrl2amfm55n/d2j/3I8SfA4c09JOcb+vY
a9HbSDaOlU027FFwKh6QDDSvxrjo51TRuJM2KfpCLR7apQhiBTinPs2L5hPUnP/u2DpryexcSl19
3ppka0r94mFrc+Psl+rVzH7qyNu5dRM/FDop4xCz3nVra7OVFhBB7d2kh0KGae2WB1V6UXTAMK2O
6nhcmpihqFn7ERAIOvrMGU5S1cIiww2hg3ftWM1H6PsLyGeJFS6doyHMLnEYAqpeqkPYlTgGgzNB
qom1V2h/GF4Kvq0wiTAvVZOk+kVvQO63Q2d/jHk9XEKFGZvsTccmubR1OR0CE65839rOza+ZlNgJ
0TlV0UJE0lL73elzlmBe+EVqVqYlb0ueQGqR69vvhmmhktRmL9JUdAGziayc76UKYsrc4+H4Z4XO
w0EfK+/dinoFSbBIOVqe575rTI0uas6kTqoFUi/orzHJkc4Gw8UzDIY72emD6Hj/qvNY9/thMniv
yvJZXU6atEx3W8/L76UjtsTM6aYOZySMC3fSNvDlOYYNKlQe63svKntINHzyRvmwybfJ1R2fcOeS
xml76CJ7w9bni5M2p9DpU7CfQXTOUQt5D4aXsqyzk6dgDJ0Oi+7lYL8RJLBI/mrdsQCV9aEkPdGp
VP3aBQlf9ynPPixtnJjnM8phGpMyFzecuzmC7oyOaPrRKyPJFs//ghw0Fhwj4s9eZ56lVpVD/e4Y
V0bH6GjjZemACro5uu5B30qQos798KMZiWSlFSkpaDT6RcsDZx+SE1iifM6+B+lyjFKzOxHGWmJj
LtP57G3qjHxv6llw8fQD4qPus734wUihpxfDVJ6MvP7a6QpWPG41PfGjkeEoRuLVKWsXxYAWGZM8
3gd2CdVQR0MQ1aziW5v3z75fqe84GQriZlebnv+WEddKKubqqlJxfSYNdNFSyFa4zDHswnwI8iBd
m7TRj26K0b/GTfqjtF3j0mBj8Rha6MNNTHHvsir7g7l388M1w8d+zLRf2GycEq+xWCw9NdO8Y0Ke
k8NuW+ASVrLzEFf+Giz46zCvdwHeGB9m3FwjgLw/tAxhOOU5xcbkVbeLO5R581OhEafNlTg/ukNc
kvSOvjLpq869C5EhbL0QffqkfTb7oiYQYEc/6vCbGsz22Wu0BZ2fu4dJJUaYx2GBcbZL0FYFGWvP
+sscD/n70MULuzANb1JNK/RGAU3cw7y3n/1uIg/VDRVcDWN8jmpz4ZfFzQlUcHxpKjRCLCW/YPeE
iUNq1xeCfvXRXGjlrMyNV6b+/PmZHCQJigMgqGOskOgnqZXuYr2NCN7YO1N/wXXwNZgZgQyG2lPg
6wVu3zmoL0UrP3SnRbM2y18sVmsf/exqL22jn2Qf0qfeXYeH9m60f3YMzh9m6HhvWYk8PxYZH71l
TLhoY8K87BsRgiPWjKvpUlPRW3yteiL3S60nWfya48QrNfSAy9fGS06hX1ofbVFhtptnZ9nXeZb6
4vj1Za2VZvXSDvPVVBMVWQv9klTp/JgtRasOd3Pc6oRrqJVd0596V7HRMtLtx1HXHNa8U7YjooNm
gDQay57Y4hszTdldptf2ozpo7PWndj6aUdQjWLvUZZcUJDCxeeofpbKeKqsai6RqQRg1G8LL0GeE
JZsQwzTXqkMIQyiHSbVY/gBJAJujF9gzWQvgRFTHVqf37KrztQun97Uqe7S67G+RlTxmaf+HWcTF
NSPi9dj31T8FCpjOEV+5av9px6B644POT9n6toajGbtm1KodAHKkRZazRC3BoFGPEQww/eDJSNzx
FPaQKbVUDZ54kyAJ2P083S8eRtIm/VysgZ6k6lbmM4w7ogzL8Vv7XDXIF9W2gi5jUDOV87VDOPkh
jFOKPG5zAMZQLIe0JIm8tEUmoydCQAFwDrt9z6z8o/Sr8FFqnjf5C7QSR/Jl59DGylkZ7JiFdN69
q3auP9j4foAYaQG90KMClsri+E0qYU2OCb36+V6qWguUAzJeepZqOeXx1R88kMPLkch4Zk/zEK1/
WJpsa9pHdRq8Ss3KBkKsA5ooUo3wfj/a5hKIXg4Pbau8wcWwd1JNdcd6rqHgSk1+Xxvol9TO6mf5
7dmC8xqtWMFPc/ndC7Bo0rXyKNUSc3kezRy3G/ltdoYMUowQ1FKTs0V+/5yWhHhJLJNas7Rc3StV
U99skgUEkqeKsdosmotqkxkKMP/8cMZi2sVB4HwDQHxXs4UnHe9TY81/E7f4MhEJ/bPsoIuQlA/f
8PnmU8/UcIdHZ/kIgiO9lIXt31pjDu98X4ku5CHzS4GI55OexV9S5Nl+tpPzak74tTtu+TPPChvL
5WS8aSWmxm4M+obYT/TzSiK+IYLPwkAL3PgxHfMYJE4Q3JEiPcfj/G7PubFDjhP4RpnaD+3cFfMu
qzQeb97UPs2epFBsO30iGopEtv/NQeFx3ycw0N2hIp8WVD2AK6DncOhUNDY7WCxeO94Blp+vdVN9
xzZTuVpaNr1bXcVjNz5r+MF/wXftRz67exL0KHeX/im0w19VlyVPURyhW5s6ygmavvqltGKNSWt7
0lzd/gjtMymx9Ksxz8PJUKL46CrpXaB4P5iuqzezjn6ZUfG9G0OT9E7lXDQQo2TZXIyzEBob6zhF
gQnygxcayV8DSaJ0slygSBXJSocXO6lG76CHpJcqgACvRXEmIh+T8sP0vM1jzF9QJyZLoH2t5sC7
WB6ZT4Dv6bEKkcc0HcBKA1j4pun9e+svF9b345Brr4ba3CCiVzuyUMFJLYiIWchdEngZifeqzM1r
x3gax790HE+Ml6K13cuUdcgfjgCU6z1xRuWiKeTV4DRVJ7jzOvIgvnH7AdRDfUyJgB3QV7IPuZ0v
PrLzlc8jEpt28GeVufXbrPPRpkl/ckjcA+52QiKmFIo5hvejF/+YckwXxwHtXKwW/56hwZSt7uEG
GDR7qw/bF5K32tmqrPAWWDlR+ah0D0GuGl9Afn4frLj820QFk1zQr6jrKsjfIcH6okQcYmi7nYpI
3RXnvuFVLbTouQKlIjUpKqvVThDnCY4tPaTwSx2ky+jd+ZBVXpFR0YD9xRewEccYL4anXjPVt4nU
6tHTyXVL1UJI8TGL0YJfdvagC98GAzL2aPf30mTAPjg7kV0dGjfR3rzeaEF5AiBaatKkGRaCb22a
3OSA5etzNfgyM3eJLoXmL2qfZfc2+UBazah8kRqeVMExdX0sdJadIysb8tXtTWqernVvkZKCEHCQ
pJc2HY+Qa+/lNiwaDpCCScmJVwN70eWAwFWmY1IlKmgEejCrjp87nezDslNZinEg8KdAGrhKD0Ld
w80vUIHaThm46Q3x1WT9zVk0FPvIm96mmHDHZGn6W+NjjZbX4S3NQr50RRv/bbc2utLMnV6d0H5N
h58lnrjvxDT3k2GNWJPkxns5lj/CBKEJ2UeIVt0jTuldQIya77aGn6HSe8NR+uaGHtwqbGr2sndQ
yfRgv26dffOZ730JGKaespsXMoOAiha9SoE4SnGsEr84Jv9t06co2wWVh3i3rUevUzCC8vI9tL/N
cxpGxptbdMZbMisM+mBarlKNFa+7ajPwEOmiDbbxxgdscrJo7Z83pJFHVFov9nJ4FdQn4O4+guhw
2yqlc16lSOKG0a4ZxqsTxM5rizb64xgr0Mx1AGiFGcCOxpHmLJ2JCIYvaMmxpvHbfA/qtzlygcYj
wOZ/zld3fxeZ4h9h9gOMwjblFS6djsVd061VaWvN+lBrfM+kholpcZ4rAHZrVfc5as7OPsCNJ2ka
jZl0Xher2HpUwZu0TbN/03JeDKnVrdJfWqsu6MEflaK3p6cScMjD2gQLEkerwdsZTh49Oy6veYt2
lj3p5o7cLpliYwhepfDU8KwWxvwotdF3m8eods+FnkbJfm6WKHBdOTvZW0R85VNLJ3TWJPFpazO8
5Jenqnz0+rJ50SJYZb8cvEXHRn2VgucIBY+ebPXW5pvDRx2p4z2KPuprH/jxfa3Zf2wdEtYpKG80
zXlrc7Era8f1pE0/IFiBjNDeGu3pXo/i53b0ske+gdkjKfRbDwniJjWMMm11J5teGr5qrdlef2uT
w6ym+F63fnDQyioD5JM7L1K4NVFCB0IADHXaSlUBpEsuph4OCRzVtzr2yzc/KQmveXF0lrYsyolV
xkDMw7wo91Plqzueff8qnU0Dj9YClWLDBP5TqthhpQyzx6CL6rd6Ll9bAoUP6L3Wb0WCyK0ZKv5e
hQ6K18Nw53RmzwVgZwh86kAiFaSUZtdv6lTHT03sXmWnNOEzphG8b7yrNg3l42SOd3Yd9tzPwfho
zKG8eWPdgQqaguyhDspjXh4VdSgPTePUB80KZoBHfnMyFcN56BMoGnHvJ4v92BEft6+N4Rfw4ft7
v+wfrD5AsT0kJwUv4bvfxScrRPAgsVjpFMwAvFKrLmNk/5zdHARbfVX7AOaEEoLpVnv90DIH2TfM
PnIPfyE9282ghPdjpEAk9fmaS7YPfAzsehMMuqoMNxATH1rtROeADwIBbhVIOiDlvtfv1BmtuVZT
DJILsJNc5ZyO+hfWXQw2oBcOpaE+Zl16xYxaua+6EnpsP7jXrIcAZxgfcTPELP9c1smgPbM+dN/m
zNJuExlt4h0twUSj2GX51MKZ2qkjTrqoE5O+nXAD8Mo+2bUz30gWww9q/6KFjfe8iPBNkBjsqTLh
PQbGvdnE6knBGGVXRF/meX4nI3SIWq08FXbr3vUZbjAEAtjcimlAAd42qjtEy76CsBhxoWv7U+mE
+Ljquv/Y5z85TXhDbsXYofs87B3TIHNbKNp9xlw1s0b1xUg581Bl852F4GwQAhLJFCwXEx1O3pRc
Gm2ob3Xn10fsI4dD4zjBferW80Ft9a/BiH8AiKnuGMxQNNS5fLGAf7xUuvmhxFF1yVBrvEcmEVwJ
35Rj2jjtfVkUREn0Af7W7O+DaurvARJcuhpBxrZO9nldnr1s9K65MVWHlHkDSysz3Bm4ae3rvrtY
1YIIDDrtaA52cgIg/B2ppm+LmejFJEu+52r1e+Bw3R51NiJ4PDd2owDXS9r2TqNEJwG4FloSrNg7
g6+9YcO2Ub9XiT7BqzPruwGgwVVZAh5G8yIzam2ZVjNF4THqyIOkIcIseYJkRDS06oeefett5TFN
4fkijrJP4xfQy3/PrlHdyL+pfAmTGs019TYVlfZqwvAweexJ99r1kIC/caq9kYfRfZdXwS0YmWFk
Gu/vFOLLk3YlcnvD8vSWGSErp0eTwok+MOplgpkQQ7Wruj6H9vTdNVX3fnSTdk8osA0Jha5gB7zV
yC3ZzjXoQxwhAsg0Wo5pWVEvkZKvEAHy/RBHP5usxCU7Mi98y/sExAryVvWJC/p3nWIRMxKGJ/uA
KUdbWc8ERvRdDLrs4MfNm+c2cMzcBvc31SiuYc04GCvmfh76Zl92xATq/BlNU/W+jyLtvl0Kx8Sw
0oGEmea7UA/8o9mB1As1nRWK4nSMvVZzDJLE3QPKOkVF8FMh84ASQ4SiEKGMH701lF9aZM35aF+6
HBs7x4XTpAfkQNQReqrH9PghaADyzC+sSNo9ec+qNB+xNc92uAF8pLEa8ucda4FQHybIxU+jR4C9
1ruJrHDwirAKn8+2AqHkqx04fDO+H0Fe7rDNYlbBorBLVDg8Zkvwek6Dk+0t6rNV/zNw/QyBMgN4
o6ungBjMHOChfw5nrBp1CPO7ToPK1P4aIA1GwH6PjQecr7Ydos7OzsxbdY/QdHFUiw6EcqdgwKKp
CvKR6MUEgU9ioXTfpmp6HUO7uSfUmO3nbkIULWufYC+/EmludhZ68ldv0kGB6r51dWz3pvi9d1MS
371ZC06nirtvjevdlxHDrNkoDGNpVV1mFJawUP1rAIh6rrruL7wPDDjBdnBUymR6GPAquncIHhcL
gThI9bfUce/AP0zMskefKzj8NbJqJ7oRAF+K46NudP6uKSBRZHFFoKINTLJupXWp3KrYWYndnoGu
F4DiPAvQDR+DE2Tmm5OTlNILNLeQjn0rrc4lylNohySOz+XUmue+rrw/Uu8dLlOntv6P2a4PcN75
lnoLREb5ERn9Prey4KaPAf6IldocWKl7lx7g2dkCBwruhJSU4rN46yDcO1ZB0EM1D8wZH7zRGp7T
AY0ihxpiMsmxNYP3PFPsu62ohsJZqzYz/6tdQxHD5uvR8pk7eoMFjtHNAHpWnnfyA9/bhx7qaxpD
354l805XA15F3zTu5jombcrs42ea68c8SKabOiPfhFDUixYHv6zFIQqqzj26xfIwsjrjQ7wUi3iO
mY/avWrW7cvQt9NjGy8jNzWvDNqXOmKqW9XpuQwcNdynDrcRTNhVaVl/dH3KzMOKviSpjs6hWTxb
xmifxjxi/b0Uvvswex08tFaLj033kjpNcgtZHtxS34kORgEBADZ2dGfZ5oseGLA3vJEnCrvHAcQV
8b34OCj1y4xBJYE9FmfdInCmZRfBgNlLRhqqMLBE01q8rkBg/rdQOvJFPdqmhYddhhEiqeWXIDXG
zGsJs+DX4CB7viQClFk/6j62rhhuwZHADNSDYx30oLGmYJhYcfocS2jkHkHpKw9qcdeY07MaziPU
Dt8+jKjS7KelikzBtO9NbpaZugDNnDCFV9IhPTlroIs8s7gDkXEZJhgpwJUeO7N7UVr8n3IzTg46
JprzXjBz4ULgt8CfHZ1hyuEUzO7jmGoaU8Eue/JIzd3ipvoyAzf6wGsDtGHxLRyi9EPNcYnx2p9u
4fNwS5TAWUIF9ayz0kl5oBzP1R6kmPiEAbDylIMvvdEAx16tlFIB7OmDFJjq3LzJaXCtfI/qIL9m
ccmQPXbOAcNu4CGkFADBFfO+QDEtcgqb98Lemwx5D4MGpbcGKID/2nBKGv4ekiP+Q0yA9ZLM4ZcQ
KTjER08T1nIHxxkhuC94IwDah0Tj7qL/myr7tK//Zl3T3rVDdq7Hms8kqMDEwdJaTSAJtfA46/rq
hH8WeWl8RUIeRc7xVU8C65IOyutMEGCht6rnylyMB+K/1M64xN4Ykq0/ePHsXcPIeoxJpe1THVml
Vs0R/jNAjNt3rqlP91oav48qq9SwCpBRDKEMLyZNlY+uTdLw94ACfVkVIIKs7k42CW+wXKW9Ckek
09/d4GhvwHZdpLGViYWAyTitLbj6PO2bQ5Ha3jMsAOdJnd5nEHzPBmAEOw+aUxUnX0smBshXRkAr
S5KpUp1TPWPOV2YANBXlnHRuyPzJSIG/WIc86Ix9VRb9BXZE8d6ZdXMZYYvspaonTgPeuLbwC1Wa
B6bL/D9tZx/0Mvg52cp0LuJ0vkP447mfAXubrp08BUi5PAWNVpMZRgrT6Z30aNV2dS6hgRsB7Awl
QWIu4+ctTA13QCrYCUkyFsHOmcfsyCr6ySDOwSh+yLKnLgQs9i233zEta6/ZgpkpF1xdCMLiajpP
0YIbrY1JvQKMCBckqRSTHn1RFMM/xv9tknbpni2vXX0rA66r10Kn22VFSilAz0YHOa3VVXDwTxOO
kBcrfI8bkAL+29gE6SmAzmu3BtyiYXxDqBx1QzzvVl0NwQgJbigzWTC4sYOS9yK4ITs6P4UkOX6f
3Ca4gcuy5iOTVX6JbMobbVVwyS6ymcxEkGBh8e8NdQHa1211FIRK5TwtkELmstmt6IFbBw1eD/4u
UbQljkBrABbrSFblT0fJD4ka4JD70+wHUMzLhWuWM8rWhk+0tUSdjwJVlMZxzqbsIj0jp+XKIIsY
/HN8u5xEemmhOu1sJ0sP8isTtKZJwCJ8trj6nYNGPYvCiOPtIbkPVzCcP7rl/o1m5Fxy1KglByxF
ItdfNmOWyKS0ML6TapZV57BUdPxnlt+Ug/sM8M64yJ+Un4HzchhVA+IkfXX0yvKnHJeOARzz5Tau
d1gaBS+V+2RdrIU0urWNpd6dkVrBkwnQx4r9lacB2i0Z6nFKx6Oq198EDyzFAIy6q+HXEU9FciSr
BhszospJGePd5ihJ7xXnFarBXz3MxaPXhNxRGwnRU5s0b3Lv7cR9Goj7nObaYFi3hgi9PabupLeK
W+qw/GtDNNu2mwZ2WAdC3QQHuV1yN2SrxOMz2cmmPAVWqPvklbudV/T5DV9HD/SZbC4FRASeDeVc
4fXO2DIkM0AEYM5YDWME+tumHO3gSAES2TXy27o5pz1oKDu6yN8bm4YYdXOI2+TrPOo3uXLrVYJa
uiusdDrItZarkrQF6/9WQ3xlwQDIPZEjZEva1sdB6lIYKY4hTRcC0UT0cehe5cavj6Zcmu1pkD01
kc9dBYb9IJdCfqTe11yfNij0PRF0ZrlW9b1dbEOQu1yvr5k7/QzwyjhlzAZ46t60Km9h2oanfIbo
3OrTq74MHfLZzmLbOc/BDBIYO76dCp0TJdwGPSEryYv/6w//9htkE9sryO56qK8917uHmgwOpb2h
H2QIkO97h9z4xQaQNb6mcHnXi7vCKX57a34DVXy+ggZpvCKCNTk3JyPMtfkYu+FfSpepx+0KMwje
dMeF0r0NLmr/nGFieZLf0vvVU2rP6gmNxn7eN1l43w66AsxjGYeW11qOlK3/2eZ15YxwQJgc5Eno
4/TEFIaly/Ig6CPSTiYc6+3xWTrY1UwHU98PSLBd5AkeO2u4TLnFsqQ65s6A8ZG7gCv/59+1i/Tq
h2CFvdwArrAAUrZnb44fXH0BMBqFXS/yNgxvy7AsT5JUt7aC6M8yIln67Bx9pxrArKTPTqAwRkp/
Kba39bdHdN2U/XPlDRevMffyJKyHYCtwVr60DQkCGQtZsDdnFLqv2xu+PcvSJtVgeQrVvj81gPTO
oROdZJ8pD7v02I7//AhKXe6abK3HSH3d/LRfqp/a1se2rGz7n6EHWzkS/Kl5DeDK7VLgMUUKyK23
QTgvHw7dg2ga6CxUJ/2EDwV5euYFcscHW8cY1HnK5/bFYW7A+vBeJ2IxqwUe28lLDihlqLs7a8Gq
zmP5kg9udzLNmalEo6sHNSiI3fQIzOxI8J6EdzDli12kOQ/1IYjKJwfz4u3Gy1+V6vo6bXVp3B6T
T4cUQ9peeuwH5WGUol6Ga9nSE+hLZgznSa6+nKQAzziBWeGx631o9Xt5S2C10yqbv7UOrvFHbiGi
JOuWCdfgI6S6P23hUoRcsC5W0itxcKgh8YJvGBP9I+qBuyNjcpRrLIXc9niZniCUyxp5Sr/nk37z
YiM7qfN4l5glAmVed5FBRmPUbuHslqjnHsIiWL8ARvsTUn52lRPKnZctRvp2YcPY0fBzHrxnzOLc
FbPsJ/abj+fZKZcnYhsMVE11rhy3/T69HbVDP0G8365imTmMpMnymcnczDr4FnQhIZXAC/gDXLLB
TNxDflS6kFuDcmKgizJq1nHVMZPJFnjd6jy5znUCmEM+9ww9Eo3iyN5nOIats6t1FRVpQUHOTdfW
QRgu9WNtJMZJzi+/y7ej8drqT7ORtyfVNF7krm63VrbyrvsRG1O0G4sCpX8o5P8s0LaBQ5Fvv9TX
iR3L0xJHGpYPYPyPWmbnsPPbfHhAkN28AE2rbsLaGaKuuvEs/F2GWbbeX7kT2xiz3Rg+0L9S6Jnm
5NUHC4I0shiOgcNJwUvgMoIfUAg8llwyuTPyWAcqsUcLeLBf4Bvy38FcOmwj+nYn1wd6Ge+3i7Dt
lS3p8v8+FXO1EfbSwzbUy4+R6joX3+qytTbOEbYfTGgRZpCJrtLZFxWPRekif3adcskmDpu8ausm
ee1/YPXrh1J+52+zjPXYMnf3wALuSQhij8GHXuavJEcIXctrMhfIweyDyfwLrRXiyWGfXIomDNWj
dF83/eULGgEG6YJ0ncfJkyozuq3Y2qY5I+WgoRSpARNbJmHy72zFipKU+m9z2fXXl/MIE+dhLNB1
69lugKefbLJU8x693oIk1HdXfohZ33RXV68yLZNJnWxJsZ56mRZKlUQQmtcBBJCts3TZqrK1Fdtt
3Nq2v/Hp2Cj/6BDqYAxjzJSBswMIkF+kLm8eVzxhGb/sX3/8XGrFLlIG9bdppNzC9cmbvwUQ7a/y
uEYo6QKaXu5B2HVIbsiT8u+bcvQ6VAHKaS5umR4+U0ECmCLbEu4TJ0QIHrJ327GtAWWHFFs/qQ7+
j0Gr8+v665cneSV7bO/MOp9ZH2Zp9fS8I3/y3/dOttZesvm5LgetZ/2t1+c/8PkoRSOx0drv2ozU
rIwr2+xBjv23tq2L7F3n2bK5FXI/tqpsyXH/86y/LWekt3T89Kf+re3TWT/9pWAZ8DGaq7sQRt/y
iuPhTK6imte1qrzwUhBKgZwJjYjF+xJm24qtbc7wBIV+R5+qNdhcO8lwKyffuv62RzZ9MwAhRAp+
faLlZZH3ZHtZtpfqf7Zth8l7J/3+re3/91T+nC/k/iIG7TceXBzamNYuc2H5cG3FupLd6r/FKv6t
+6e2dT2xnHb9C3KeT33WvzAk3r2mDH+rnRfuZWiQNahsbd9oGUO2qmxtE7Kt86e2T1Xp5/cIBvQ/
tBpJhKSwIfLxcpJ7Z3orj/C6Ka1Snwlls6zOquyke8XbNrwDpoI2vtWVeaGRS11GfuZCARElK7Pc
NXTkB1Y772V4IPqPJGuDMvA/dLV10LBVYggyuhTlDAkT8bfDvw2326PgyKJ/67M9Blvbp8dFqrJ3
DJqUkIUL02tQZ/PQOXo672X9mwAwIFyUjO9BO0Sn9Y2Xi7IV67C61eVy/c+q7NheXakGBFL+Gb6l
/ukM0jZnCdgJLeE12gb7dWK97pf7sx3Z4FXC4i27WgRGjCVC8tvKcesmx0ohE4OtKluf+skgurX9
9o/Lnk+HDF6lHGfjAVTgcw2VAtcA6UGk3NBAciwfrhJHvPZNhi4/S7LsIlemTPo8u8yqs2syx7rI
y77d0fXd/y2Y+dtUYesqW3J7o6Inord2WoNcuYPoiRFHyKToaGUPs1eSjkHNRZse5RVd45TyBIyz
Hjd/yIv8T1SrVoMj1tmkThqSg3meXRMkgmGJQ1qTom7IVu62um8FCvpnobUrF91hZ7YwIGNA3iIf
lq4FZ1P374SzbZEAiFS0a+Sqyn2pM6hMelW8lzE8E+GT68sNnltEd9o1nvnp8stF/e0WrUvX9arL
mkU219c8Ijk5e+Z0lKssf3Yr5AdsVbmwn9rWVZ3s+Uzm3HrK7u1f0sNQ39tY6+3+D2PnteSqsmXR
LyICb14R8qak8lUvxLZ47/n6HmSdc7Xvju6IfiEgEyEVJUGycs4xiTEkKi7I/deuiMetBghwreKY
ZRPrGQDSYk/OJL2GytyZZoHpWXodB5mnmiRkN9XBU6RkW2U5hpzU2bkM6tYVe81dNu6kudQ9uc8Q
6Q1D4TYRP3WxcDJbX5kOAk8FTdEpTeyNHIVGvgYZROAyT/ZrqpKohidr36hB84Ani7lmoLEYzzOL
9KJYPqX++Lwo2h8DMLCP+G9qD2rcCJWDTdGWATzKEqYn6hEKRGxW6WPsWJAF9e48xbAQLGQLG5W5
/a1j+PM1rZof+B13va6Ur2Ouk6qV+p95yZC8Jgf+4AcySvGsee6d2fjmUK1nZtcPmHBQWug4w+AG
TV2/1TOaXh7JyxdVTs0VRB3kVRHYLrlYYgF0SslzblTwm2TZq0AEQ4Yq0XETxFhdxqWHUhJhAgOJ
AmGibJvCLC/zlFQXsSYWWVFYcM/yHLAwRXijiAOvrMAP+dPwoTN5tm3lBeWXyZVGHAkkDm8pALu2
z5NbXMRQr2UMn5pPkKgMwdBrswJNkNMOPA83hX1AqcH0mkOxvYX6NfVTdB2WBUaX6OrLySdYTWkv
msqMkG64i1C5CsBnmsFsjRVcG2jYV5mZ0GsqKcpqGseAJwg6YtNBWpWanMucSFEyZN1pGLqLknTO
w7ws6gzZnsl3C3c1e9w7QjVLV0ppkYo2MDujT4TNjaMKF8b/NSXRfPnaQs0B+dfiO3d/fRUZzgOU
mWhVha0L91RbW4qhe9PU5DDeENMXmqIfTAupM7JWxVNNNWldouDBYJAAXjpheaqw2p2aZXHf5Pu5
TQpqqANoIxNvWqke8llPtZWia8pBLIop+Lex6CtpNTm43J0wpdgM1OC59xGM2ubYfyRD/q4xlY4u
HLs/vy0dPzPKRNQKRQUlpp9/Md35FuaJ+jE1CWoFgDjPwZghu4aD9TArzCUbU2IcKzvvD2oft7s0
jYsL/wIFy38rPzajxJcrS/WzrPXPNdSgsx0lD4NZNVhfpfox7pk4soA9rsWm6GAq9AX8er6uR7cn
uMOdlt1jJSWUL0bLtbyOGWyaLAnbLdcM748XG/mnlc76URyqbnTlYjnhDnMYSZ0ZWLQNN5zKu3+C
Nkh+h+GcfB231ub2oenadS6DtVn5RCz3QfZEUOFM0b5oeFY29SNGi+YR73l/oXS8F1sE7baPhNZh
hspGYE3LHqLN0sq/X5TYz7INj4vUQITa2H6oWCyrEg66E/y0/lQPlJXLFNqJ6LAgWezBYCao2TgV
qi61W2CbykpsitOTpfJyq7LQhC3nxxxHhC7VMtCLt+b4++vPSZPc35pFjedsOX9Qp1HkZZNDPj3f
mXHQIaeIVbGoghmH+31bfNvGFoTkH42iW/R0mDu84QHhDAq8YHDRdRGpUFZclNT6va6DcNebQwDj
Paw+y3Ij+uMhrDepCrWpmiWLgrVkkxZOPXDfBFFw6pbFkMA9sTV/+0dH36fEybwGvhmvsTDEx3LM
yDBcFmJNtOk8ZRPZYEJUi5WoIW/w/9hRvORr7/uru5FwwP/PS1J7QF8hK9u/D9N2BZDb23gpZaqB
q78+ndhbvMlUlGpzStvFR8G0o260OGAhUp6jZZEDmDiLzcn3IRZG/oB5XY4pri/dpQy53L3vJNZI
0Dty4+uYR+bFsU1VJSwrh0yMSZIO1quBFB+ylOj966ViU7xxC3V0ZwEC/3qpeLc/XpGp+rorEWj8
3bF8qqmMMTve5sJ8T4knRbk02+mxnar0aI8RghMF8maXMc8oM1uxTopQeZLLcDjZav09DxX5aTAL
+UkN60vHBfbC3DROF6CD3P16Df6XVbfq0URa8mpnHIrJnPKcQjN4jSrpDT9y8CA69TI4+0VsXkUf
SuF1iqHuMV/2HOvXZFD0Z8WPihcl2YtduOdkT3LTYL+8hHU6nfpASc/jsgDupw6untSsms3scs1G
jbdsin0wmjKR49u/5GQgvdSmdolzKX3NnBqOtqK1K7Gp9c2w00hN9UrdgIjvmkbXPxJjBbrIGNV1
hKHytemJRZDx620Xf+UrUrDSMzNf341EZl5Lc3xGQtN9GOW32W7sN0Oy20NWRqCTTLX7aGaEFLJl
5FcgOrB0w/53YJntB5It1ZtjUsTNxn9WEJ/BsG0H9J6sxWG7nomGxS/8bxO2yH86/2pTDQtVbDaf
ysGp1+S1lRDmrOI5kwzz0KTdBHO7L55VHNOPRL+7olNCxvaMAuMNJ698Fk2m3zC/YA/lVmyO0CT2
ijMlK7FZx7Z+nZmlE1viiN0gn2VYbyqO6GMwzegSCiPUjjWsGGzRtQ+FzczPFN3jzkOLB9YTtOy6
8gfrIHr61nfWujIYfO9IO5l9rjwAY6LXXq76FR6f6CA2rUg2kSlE/VFsmgQRkQOp+iexOUvTN5t7
/kVsTX125XqdX7UYfY8/BrswGqRbmrXyOfKxEYc+cVVDXl0R+qzBTvS30mlfkriVj4gVhpuqtvxU
YqjyVWKfxA6iHS7ippTq7CKaxEKHchSZGBjqTiVwtSA9NjODm9g9xo52zfVb0xQbu7MrAgvrNRjz
8mhOVnGMOsxyCyy4PEoyi6arbDCz8uTFTg903Iyah1CxiAKfjGcIYemHbFTOGm5muRObeHSQ1KvF
a6mPICm1Hi3BspvST74L0w9VTT6Sriy3CMWr9AMVdbbFjm9tVOY+PkxDO+a2ZDzpYWady8RAYLHs
1k7yrwm15J5bm3JmWKeQRsSavSxmJfVXVPAa9Lv/tt13EWuG1P6qelXZ/m+vV1sEMJ0ZP9Tj3FxG
qUIuXdig71B16dyJfuWy/6KPg/naWCN8oFwtTlmomZCNqxRF3DC/9ZV9E7uOWnqqI815r5tc9uw6
Ns5p6RDAUtfQUuDCvmBH+iEBv1rHxcpGNnSSS35U9hh/6xQEYoZmNw+O3gUHybSSbZSG8hNUldoV
h7fmd7l0mh8d80bIiPQYDuOk7ajZllB3S+PmmDDH+blbgC2V3E2yuoCMC6PqVHJNPZll6PW+Gh9q
4OT/dHztI7rLeys+EsTPYPw9eQ7k2BP9IbrHkzhabNk0mhV2wsrS91+bolt1lGTc8NOOvvYMFPVm
6Imxlc0B7/b9EIalH03k5QcrNKR1qhQqsVSDtTPQ++7JumlOiqZbGzPJputEjovXt3Lzwq9RRvpj
W5+MnW+weaTfjfNsDwlD0rEwNrcnsy30H3gSgUXqXOf59vGjzRILk0owr+uqqi+x2tY7XauGQ2S3
Bum+fkksQWfBx0KsyoUPZ6ZagsXye/8jDsaXJNKlXxJKy683ynIFVFxh/JzS4VsoSda7YjYZtGNl
fgpN2OAMUYIHLNT2Nlug4rLkp8c+jY0t5YD0wcYKhMa5MaifcSEz/Tn84AL8iflQ+qkG5CCjTmKE
zSA8CWz9VwYZWe3654BojqZ97Ds0y3CKm2en5Zmw6yvlAd1GhzyHhCV8V5ZHcc33d6qqkUE1WgvS
QE5Ji1O67CjWLKtmChAEwrlLwLqQX/OoWIPznKfOuzLF0lnvHYdzAL63DtP6IDY7DfJcbsXdXo17
wFQK47J9VyJ1KxrbeQkwpLvVEMrnvir9l6ieP1QjUC9ia14U4JZqPIhdHcU6RorhX8VW2AfbNi3T
R71Q/Rd/Zi6xMJqnUrOsF387+pn1EXOr3Laj3G6tdgg+C3VbD7X5WaLIIjKnqndDMBTvxNyteiOy
H3mOPBHyUFxqXwKeH2De6PpQcb/alo6oYMaZZN3FyTJugR1N/IgAr2mR9kvEHRrA1EIr6F7uOzRa
rXmV2RmbgUjBS7cs+GJMXkM2sic2RQcTtsWlmUnbIrL6iNiJdw66CnUDgaMutbvioi0LExTv0Za0
c25V8yNVgPeujKbPKVqEHi1+DjhQIPdS9T2eh+lzrCNjNS7t0dL+3/vbIJfu+/u2z3GQp62awAb4
9u/x7+3/1/H/e3/xvmo14Nx29LWeG/Fq4IH9Vg5TfVMtXd2aSxu4jPomOnIefr/axC6AIptbubT9
9VrunOCsJGcbq9wTxcJY3JZO1cgbvhnZP20y8dFOrm/uu4nOMXYct67xGwTlg5S1BoZJPF+jUg/B
2uK37vVwbLxsVIoHsRh1/l9F/6q6SlOt1TCRT0GFEY+LlNiA0C6f2mUhNk1NwnT/tZ1VXs/jGqzH
f3tF+31TvEK0wbY75hGCtnvT15Hu2ykXvXm0H0pO17ee+A+IZM5Hgp+JL1WZ7x0fL6k6Wo+T2Tvf
NAB0VAud4cGwbQJHE3grRSpHzL7iJsZ4vG9KaaOpzvwGkWHYdhxVAE9fsWXtxXuEGXK+vmqNM0nY
zsXvFCa6lmMTXvGgctZe0I0YpA5o2kZt2vGg1iHM7iVwRyTqfIXrGGGBOZeHL9EhFj2s7rWNyAon
em/t9VQvgeu0/i2zEukGILrz1J1DjFgyzzBdNNgxQMgt3WUIgi8mHuutVGX9loc/sPja70pvP0GM
DG9RTBJ80rX9Q9T0yk6O22zvj6l+CQOVTAypnF/TMP2N6DD7zYtD4uAPkq5DxyL690aezFYbu+BS
FU1zK5aFJjM8DAtwicsOmrpYkRokG0ZbXpQUXzzIZHk9OEV3EfuL3Qh4WhMaORGABpwmWTLZkcyT
JdsntwBYB7lqTXoFOkRAhEEwmtbJ44YctPpiBF2yrbDWnJMMU4U26vPJslEW4443j1Y2RPsClPHR
0SNjT9mjODjTPByyahz3khyVx0wrCPbx++iUND6Ip8GyT0k5kfVaUySJusTfxG0rk8Ag1xvbKUaM
rkCXAUD1V+YnynUaW93Nh/YENxjtIFcc1EBV3z/NHVE/hDuPz5EBHrnT3b4LKUoFhfzSMAe9CkdZ
ex1tG5Y33NM3smd6t4qm8eyTQwWCOk+9agojSFjw47g3Yfjw0/l70thrnzyyd2avG7g20eK1n6Mn
tKS/I1Oev0uJ9p3CL/ZyI6BQHtjqJmu5OfuDvu2XI9gx+R3owEoiHkYeqMwJSCcSk+8FukS10785
aA14BMyGI2zU8VoTpL7Q+Gega/XZMaYOFDK/AJ6Myl3WKIBkgPeNlxhaC4PycZfrUvTsS451sRTc
tCIIPtR7LHeGP+z6dJjedZNnJ0UJnu2CX4oy5QXYAHl8jxAAroNy6HfiVWqc7GttUA65pQwetcTi
gCMo5lF1UQYbDoEcfut+NekTQESxi1j7o9FcekTj3z333cdM8Al5g/txRFtV2fjQmMBbZSQGXoyy
JcqxlbrXjgDLw+jLGfgKTkkGb5u65YDTY9mEaOesp7Yg53LZVPUJ05JuFHux6ae14uJOjF1CHjDJ
mRYPBctCzUPynkp9Ko+jk1QkWLAmFvd9xJpoI2mcvRsVidKQo8b6f7xuBhhVYlD/r2OLzT/e2iJH
YM9IyP2j7f4S8f5jVM6HLH1vpjB85prru0VsGXvVx1vR59qT7Fj+VhtCaTXn/Jstp4ivZlXsxJZ4
ka45T22XOWfDkHagi+aL0zVYCtu8fetHq3K1wQq+tYH0jKHI+akryia3uRzAAV8FSq5G7ACUt8vi
3xQzHqCDxN+rqI657TTt+xJ3v0qMrjxT5z7KQNzPGAWqc65U4Qac6ewmulyd7x2ilwHWP/vpRPIU
rbWSu1ckMiQ3L0cQLxE73jd7c7Rca6iZs/zPm/x1aGlM8Aup/muKRhVg5vIm9wOIzXSQd0x+xQfP
HiTr1I0BAUREh5L4IvUhFhLVuuqQHK+puVx9lQKFgR7aX204fYlUSu2dRangbMkEl8QyqP+vzaWN
pO7hHC0L0YYEU1mTi8YsyNJ77xD7ibaqlrONPpAKIDZbU8vXEVgYr4snyvtV/T3CuOAUcv2hBBP2
t76cXq2Sh/Z6avynfM57D6lYf1O7GBqmNWYPtgZUJQbidp6MftgVqGohOEZo9omt2hupAxNkuYoP
lhxd8lSuNhnPulcZ1i4VA6rXqVFLFNaL7IVPF66oedtviQkBxZh1/ZNM0Xe/Sc0fpeEfZAqZASQc
fE1JnTCUfinK1gTfR5GBCY3u9zg5Jz/Pix9aE3+TdKrUXC0R0KMaMoyeNCwd1IIB0jObs+HFr4cG
pjkPEKJ3tMLyGGZYAUVvToTnye/nxhW9cRpmZF7ClBO9U2uml1rSP5PlSMx45A9pXT2Jvli3qTkB
WmJMHj2UrSxdYpKEWA+MOXoQa2IhZ8HHrMrV/t4k1khDDb2YHJ+vV917ZSuztjETUa5os5oQ3KTd
4DsFDrq673d/H3nIzo1emAd/Vtl3jkmlwon0NCZOyRSRz+SJkipHx+6Uo4yPCs96pGzTGVSM6BCL
0YYatJKWfWpJmqrN/TWKL/0o5xKy3X8O88cuhhXjIRMHvx+tJ6Zj1VtT6X0dV3T7acxb/LHnbErS
ijgs3dNMByPYcnhpqLEI4mD944Wi4+stxQcMM9nfOLr++tWmiU9wf/PJSfgK+lYn75uw9f7Xv+m+
9z/HVX5mAdyGr8+wnAWx9seHXT7c12cSPV9v2pXZQwzYFav41mht+Vgsu4kdfL2mzCNWRY9YTOL0
i1Xd7kA3DN8dZoTOUjdsGG0QpzY25yaJqlVNgEUQYTULmvybUTQTDD00jb28N0N/3lpO9wtZ7uSl
gBXl6EevJkRH6iZ5FA58MGfo9mHa/qwz39kwZjraIEyjSo08xZwWlK3zw5SIyI47V6q5kAOa1cHh
2w41xoZ0K7tOXnnO3GHCe9Gb3nF7fnZwPabn2q8QF3cvSjByMGx+ELGTSy83JyvGf1mheqKgs06p
bhW6+i0shpPErOdUEIk4gWAolwm/QmLSIcHvu8NHzGOqkxwjSbnVbSJd5ZhH3pI8o2vlH3XGIsTL
LU3D2GOTSpPzV5tCiIs7F0O2v78qoJLnZTXIJXJTpavowIP2rZ1xXFVtj5VzfmqqpybVh+vAQKi1
aljoOY/kw4xkBHhZzAcJXqSSkBUScog9qDoLskM7uiNWU91Bb2ikl14ZSQBbFlPq3+oBH39WHK1g
MFD9syioFq/wmI0btYA1JtpyCAzbmZQ1Cqb/tnUzAwmQpuq2IkWvsA3/IVsW4Cic0qqurQmuKW3h
4oyMYa7zsohSrdzZkzW5YpMriHaNoVFgGGq+mu7tjam/RUarHUSTLVUqXLJxJi60KdaiTSw01VeZ
JoLZKHb5owNinjY1X28smg21YH53KvK9eGPR5oeDazqt5rVTzYz18iFFZ5TI+dEwARAuTQZl9Ytl
Sd4QhPGtKNcFhuBrqyjRjTnz32NU+ftB0c6AyNPTSFjVVSzsGdY/WCtjc29Lpz4nxA0yfyJLsYSl
0dfIvO4OiZEYV4r9xtdru8hcz4VP+lHYNqRo2Ty0+SkZQ7NR2tuvbRKSqk1dpPoKnS/9YWmox2Xw
HDf2w+wwOujnirmiqtOvjpNID0Z0DJYNLYr/WYxG/dFRtTxMero8FuL3If0PYcZ9vzGBcpTOXHrF
gSy5MMmuiK4E3nWXspi8r2/UXEYBWuPWhYrcPBR1Ftx0imQ3NS6eSj8Yj2I3sWBIprrEApU7sSn2
VaCse0aFcly8SrThqEixJCRnnuHGlSMHzjXNNecKl3s+aFr3Gfg1lJClXbWyniSp2PVjG+e/2A0C
5p6Z+/As9mDkd5UjRTtGM9+/YoranRQ45hWzqHUlQaxaK6FNlsE4W1fRobTAPeWSyRmxKToApuiX
KmXASPKGBDk2bJlK1rRVH3H9TXrjdN83pHZKmFljbVO1ijf2hGICnGV4K3FDeMSzJGvNgoy2strK
32iOBjkcfssN1HN009sGb6iWUD8YqYfaWkqo0JJlIhaMXWbSskjzVOeR0UYZEIcnERbiL6Q+H/Dw
P2vLJny9t7wly49sDQf93RKt4hMOfRBrxDVnzF8f2sUl1C0SRrEmFoMQSi4LHmoRTopG0LXd1lGZ
8R5jgC/F9Bx+Ca8WnbfMsLt+l9WZMkvLU+xifLgvGCNjdRDbmXA99Hr2pi/Go25x0tTLRyCbCOeR
KfxHRgXYDRokRQG4uwexUKt2nAk4qhf+xn9W1dT5ESUqDIwmB/souvt+xiEqVmOwMyD/k5hpDsD5
TNpB2fs6Y/ZEBEkCZyS2TaYQxVn86gb2clyqMlvYJ8Qd4DDDvqCvpUmTsNh1v6ZO/+lDi0iLajsS
/+UZylNAruOh6Pp3i9N6jIgD27SK/hlOurMeF1VtwmEK58gVJ1uLv/d+tsWa+A8whxWu9YBzJZGS
dpQ71auTQN+1BLUdTK0o9yYPCUkV164kd9tBN19S/mrDGHHoY+qQ+Q/zFVBqxuQ2QPpZMry4xsS8
mNLyRXFtLf8ssZYBbVhXYEG47/bKoYFsEVQmE11aCYkvScfTHycGizLnzXQaEIqWspKkzKfeT8Gt
Co0fehZKa804FUM9HprQHL4Wmh6NB19dzlw2fWaKWh2w/FYHJ6+AjovV3HZ6ZS1WRfSqWBOLxPIr
1E4ONIxFO18scSylVmHQYdDxv36xSsfK91EGCGDxiC5/pliIP/i+2WUaZBmF3Ex/8TDNi0ZRnI5C
eE7FajtT8Moza/Lu/xnxPb1vijVHGYi3wsDLxbuAE8hCW2R/94XR6eG2041jsmjvxfdALKJlc2CK
YzNHzUk0lb5BuENgMxoRsQa9SDQwpZ7/b18Uj6nS1KSPajkesMU19rVqdeqwT4B8YZLnnC58iEon
xkAsxGYcQSFWIul3zZByOBIM2bpzY/WkokjxeLTswtOI6WqLcXKDjGjdkHxqT7YrnmJU2d9S+/np
pOOzUi5gXcYj5MYWBM5hpZ+YOl+rWY9vNDlnRRW6MMqYKJ3L8GSihTkHfrdivr1xhym7ZAq3iNyp
DM+BsnqUq3bFJaNkCp3KYll1e3ADy6PtLN9w36u7eSBByLTJpLXe2rrNNzqTMKjYu54slibYRC1B
lHruSn3G/AgyQY8bLheN+EFXFXM1KZO09qWWWJhe3cD+B083v2h6us/LkvodkURRo39UQ0Vm4ZRu
wC9FawOjX9F2pzCoZZebI87ksCi8BkNG2J0Av6IniZnSlWSmXoOYogpeqhVQtmgzVEtGdKuhwqVE
weT0ai7VgXxju/FKEBWNTa2xH383FifG7h2iUnj93DunYEriVUTAlp/HMlxTIkojhXJ1LwO+1WLo
+IRmVv3v2MeRLaOkWo2zYW99WDdS2e5aNeQkwKGLdJMzrYd4xZtBRxczvDr2UrokCJLxWPPT4ta9
XFsUBXaMZe7zZKtJE0ZgCb1/N0hbRhTzivnHTwbP4dqe8O+XkpnAJkKmY8+MPXW8OTZ4NOSb/OFB
7ky7xL6NIJB2zHjKJ8S0pGfYJDDIOf/oEpcunvkuABhsB7ZM1lanw5zC9RRKv1ufbJl6PC/fIDU2
23Mazr8MOld5w42y4iFbsvxLoXY/qgw6kspPdKUMPWFN08B8Y2iRmCPHukdB9FQkDQm4Jj4xHNxe
SjlB0zGFz4mcrsx2QYrAWnZHtX3zuV94UF5dcpnJB82YwrF5L7NyIpgQc79ClTNB9DLOXSVtsqDx
bxPE9bmyv5cpqXqBHHybemnT2jwIDkrvLQPA3tTCI1q5jeGEPyU4rG4xkk2sjPO7U1GwoACpSL8s
IhLhGmnRXlOo5DmxfIO4YK+0KfX8sH+eFHtDEC7ykRAplqTLzLbyhCQlP5JK6TZzNXbeFKblRrJf
QynPXSPO/HWd5tRn+nxjmFJxmkMOOLRUBiNFeQjGuAVNOe07+RtP/uHKmax+3dVPTUJUa01eF/X8
temUH0rbg2cBkGRrhB63/SuKXA3YURyuSPHMXEaDymqGv+o6BKa67TRmbmyFO0OXZLcH2WXG+isg
sUpHJAnmK2V8VMleHpO+YkMMlZVup2iBQd/0Fjj9Nz+oaqBOxc94fp/VBPhaGv5AnJt5jfpChOJL
j16SWRdoqcPRAZm6zG20Y2d71NrGqbMomSECNn31N+UbECbmRzwYl2Jk0j51TrrKbpkynDWZ0T/X
9Hjdkzrcls3JnzsCZPNpSzyvSbpsHu6m7yRnU69+TvLuU+kIlJfb6arHjPy7ecH1FhQCiUZnok/n
Cp0DmezQDAM2DPhOrOqiAwgWf+s5SW5dEgosadK+HBlkhbpSrdot5172UouCP5ECR63c1Jnh38g2
bNdM7cSrsbJezDHztLzjQiCBoU3TdzLuU09xmPBu6jZymyZ7Qy+KybHlGXpMIvKSUG+aNUHCS04s
yuhx3UjpKzD/G+g0223eehMCXRUl+O6HvR2pPwsp+ZlF6o+m0ggLrCHzyzxDUeHe5kM3beyMyYJI
Qctup+iIwil4V6iCjhmwv2EqnuS4ulRLoSqflonYX1pjEb0w8IFDpLJNr7tw7+r1KJmL3bl86MPY
jQqTaski1K2CcV8o3BQyNEIm8D5YL1w1zWAVK/s6ix4shBhumRaXLCl+Z5q1ryrzWxPx4DXq19BO
M0+X0x1CFepBfktey+Djq7eHQ0uaWQCq2qtQoK87LYbIM/SJZ0qk0atSO7mSkY+er0k/bMhGod8j
RI+0tU6olNpa5nYa62di3piGzvQtVYCtMVPJDPOXfJQ3OqneGzs00Q+jWYkMvmZS8e7IRXzoV0Fo
Lwyxx14LoY2nr9Pcph78meewnn8Uo/mmFtOtN1dqZlYbMxjPM2jOxIQ815A/qZjmuQBjbRcNnMFC
ZUZNb/aJ7yPTNrdDJHl2RNb9xxSVn06QPptldxpNNI3y8Bq26a5Bg5OMfCfittmAZANN059CwIEI
2gCj1anhJSVP4FLtaTW/T6jyRrqrmmKgiDvBjIMPDTSA7IrA+Jza8ZNs6sy1UumlsQHZtJH60WTJ
jwGcnlaNH/jLfiHbRRerbec+2nd69jxhI1+lcvFYdsDLIzhMfYKimvPxpBMiti2YBkDzp1E7auYt
E5DA1Jp90HU3Mo3IELSpjw+t9avRG9AU3GHJ2CbqPddB/gJQdiV9IPJSzsE2pSe1zW8JaB5XmQdj
rTvOdjSd/UfWAOiDNrQvRqOFt58glp+QR4TkaJLGfiQUo7jgG0bCZ4FNV/lFlj6VHarCrfFDztpT
Ig/vHR+KR7+3CBEGpM/01amlI1e+J8Rlpdt1Fqc+uCgk0xeGum3jYTcW/qbZNUO+aTgtXCR48mfu
cHSZ24sY/w+ggK3yElGl2rXkqckNwWKjc0oKWJ+dljCfkm+GiF/vYPu/0pQI5QR9Wj7Wb2bXnlSn
vXZ2uiLP4Va2waeR8dyIhYzohiH9sPDUwyct+hVTM6Q86ER/znw3mBEAG58zbKiVgRHNuLY1GYFx
t9V5ztg7PC0X2YXo0ZpxQCRTq+Ln0r2ZLUXlObVHFw7PQxqPjVtZEAFlHcGRlgXPhZn+KtuxdrM2
HbzK6UiMxHRYh/K+l51HS2MQOYWQs/OgP2oNo+yy8z+7lt/d3KkbE5i31fRnjeod5JTEA3FnSimz
oZUPShTtFMjdNxiECJ0CSmgatcO61zjJFqeRyJOZC7qSeZ1qORj+bdvt4yHzsqcmgxHVJ5K8UTWY
DU0dPRIA3/qw7bnBMZK8OT/lsetOCiAynsaMne23z5I+gd10uk+9hTQ+SRG6l+6zbpxN0IMUbSIy
ip3E8VJKBDUTHCnCeC+XJX48DMIqPV5VARWBTpYzKtbJLpt7e0/I5JsVAe/hDt715U+lZWw8Dfw8
C/g6cXTSpYKEuQGGYszXpYoeFS4/Hu4kVE3k98xRdQqi4jcho6GrKx3TStqL39gEleTfFch19lzj
klBIBPMjm3zO/NwF1dFksBi0+aV3mDQkXwTU1RkD0Stj7VebSYuVESxZEer4YzJ4AkjsfrzYDrca
c/ISu1sSBrmbmwRIxQ0c1eotUSt+HcPKrGf5weizkcF4mri6zRjMTNFtBNHvnnp2ezSKhZBljPDe
xuHFKIa1ohojAytCMyILtoPZXaVhLPeRlFy1gAE5mbS5auRbjcpUVc0DA9qw32LS1hoz8ygIvZhh
8B2+FezUBM1eqFT8AvjSSL8p+n2LimTvm9pIMnDLbOUlK8GYgbjX3RS17W42gtprIGI6Q7yKZ+Nc
dw7a1O6XIR2IWj5FBLPmFKEBPqK9S8o1VsZr3Ov6Rs6rDyALhy6fIT4XC6L5s9IJrh4dBbN+Eb6U
usVICA2UTZHAreSAcWcRgZlEgp7bW0RLBtGQ1rCKTcw95oQrxPgWdyAg+2Eis91UN7o2Pauyeapi
foEhZzjRCZVgVvKXYfm9l7YQh7N1qJjbyBw/5/GAcuYlRZHqkgtSrTOF80SU+AUnBrKRmed1E69S
Oy0leONNgsy3aNtW0EPe1eYoKRuTwCPXMaQnvdA3PYDb5SJVuHBQsUJNCKi3C12O9I+EC5ukHUEH
fvSh9l01pWnjqz2wZCykEA15PE1T8HaMCA2Hb38h/Q9d57XkqLKt6yciAm9uhZBXqVxXVfcNUa7x
SeLN0+8Peq7Ve88T50YhUAqVSpCMHL9DO0BhQmxijH6FGr9NYjySMuO3YbdiY4+0+y1ck5g3aSFa
2Avq6kPiqjqucs42I+V0o3icJY6lv9Nw+SZDWZ77DNRaB7ifiCrKdO0Rw75iC1UGAaWhbdWstJY3
BAk94q2uA+y72d608KXVxvHgaL1LHZBKH6u5BveU9i3VKuyo27OScLaVtblpcvkjzQVyJPuEMeZ2
Lqmfh9Yj1ZcmxcbO4/1A4jiunfOdDYVdml+T5n3KYk63ENkkp2n34Ijhp9MMnziJHuZp8m1d+1WO
iYVb8oBFL+KLcKwt/EkG4YODqNJ86jPnoWtcZBlpce3dDgClUgGyvZ+p1ZJoXxjPYfvYmSpW3XiI
kiBG4o7qhNsxFtfcMi+mZnPpRi15TuAYtercJKuOvhTDNk7UewJHfug9qZheJ3ZRPD3GodXDBXQe
AFQIcElDPJvnN9d7dG0Fkoi+ePEV7ei3bUqBTYGJfV20TfVyO+FiS8z5pq878IZ4r0hxFfkPbPM8
wM7wwDnp1zI2gjHVWIn1GkP1RASKbhu+e2oiDDtp+sFdIBvc6+CcCCcYKvVNyXOglk7fhyOee2NI
GF6ODVrldH7Ut59xBfXeMo7UF43IKTAGZ2NRVbL6Gm5qdqSStnAdzkmpSjxfK3ubjyEPIfcUP4Sb
KypD8103/Zqc+C0Gp5ymrvCVHm/A1NOnozO9lmaSB6G+z00AaYEOFQ1qFNjkwJRm95aJaOlQs/IP
U341z659bghgJbVGp5W8OmWfIiKd7OzHOHL3tkj13smBkqO3W2DCBng4JiTaczw8lL9kSEZGFsu7
Nop3BkEiO28azzLTP3IFwW6c4vy++A1V7SeMpB8A4uVOgaOyqbjiA09xWBt6XErD0NyJaefhAjxN
tNvhc1XbMItwZyuRBVYoEXJQrbRB+5eH9EKS5KsM84vqKJiap5JkodACekqaQ4zBxgbSkrOpS/1r
MLCdyn9otiP2Uan9cjTl4Mwj/RMPNo8hv8oSq1P8ur/wm3mnoh52lR7fzVgO4+ybZT5psLgQzLc6
JsL1fuRuyqWI4FC8Q4mB+t3/Jt/yLvSIWE6YozSCzoveefG08TzVmJHgM0eWvFHf+tp8F/xYWKI8
JJmn75UlcjmW0yW3VFzfE9HtkoR1mkrtL+XwwjUKDQRS/TId2kEdTXveBwreRRjfxkdihX5kmq5s
ScDavyAkDTdDFcIe+vLG18o1XultPztFR7UJMdWaYZwRXY104pxnHstUpqjQoODl2oRkS6+3qqHX
/FRt/VelwaUq4EzQsH0s+edtxGA8KHlGy9A03npwSy0a+i3pP4ufihddYst8jmb7oOUU6GZEKB+z
ExUATnusYV0d79aqMyAa4yRMw+rei6MH+c3EG4L8DCgrx7h/yE1WanaNniYdiEUx1be4Jqhh0kvy
oIZnDEjzHRyu+9TpL8AKCP2U/M7Mo3bLIvAyLM6tk/GkvUfCfXe65qVROTEz64XsiyfdFlszIqeQ
CGBcwAmSnU5NzdWCrAuG+KEx1LeutT4Up6evDNOtMciuS1WaMSn3f2dODBQT/bHq7rIKH3AmAGhw
i3mz9jNcFq+uEl1mnAqx1L5kuj3TuGs+ZTXuKkd5yYkk3jixMfhDSeGtWrAZQs4WqphOlB5ScVPd
WGZ+KsP2Q5hIKOJuxpQS+lPdPTm5eTYKu/F1paOmEtDvVQyqx1RRtuaSz9t5WoAUnCj6tPyMi/iA
ccWpTuKdmllfsVvTp6pBAUlSJUox2euTvMtsAkXrKj/KnsjUTpUBrPD3TGugi+okdFtJkGYAz2kL
/y0UGAdbAX/CuYtvTiIgCQ8XoWj4O9lavEH0GA7GY9gioQjD37NQnnWihEa7jJ+V7BeeicKadV+J
VNhYg3434T22NVrt0+nao+4lT+UAso4C8KsNl392nP+atP41E+iqSVvA/arkOyfD3ZQN1zKFnhdG
75QQ7wSrxhun7HeWnH51ctHlqdzIlcKDETiXeI/rsO2ozZdO5bgHxYu3xkRrVk10AuB1ugnxL88i
kSJrxKXIiVMqrcfCHUwQdOXnHA0XtcJC2hNXnSncdNx9W5auXwyY3Ik2SIbkLclr0/9dWfLTMvKP
UEq4lnr5UODW2DoFk4tdk7ZktdjjnWcxBCH58bCc0Gpr8ozO6ElXesjpKH9RWRymAVvCmGzQNFVp
6nWi52yEcz6bxlYFU8WDK0ILIgZf9dt5TElKTLLdHDlnFJTvtln9yuf51uPzBaxmX7lCXu0Mtzal
23qihIPpRnu9Tn1n6CAcK6RFpfMd4qUTrrXzvrKMwMLegPuPRh5l7rs6V1c/q/2BTAdc9KGBj26H
yTpfShre4+jQvHHop2wMKjrOYnE18pfOzLYEqN7XcfsW90Dgyyk4T0RMQSxRd5HNiYJ+4m7Owz0d
8bfQae/o3N5CjPJZJaBDyystIIXonJvFUxvrP4vRNlnoxZS16KlcD5cns+XGKJKnlSoQqTRlaB7L
A6uxJ0K132SbfrL6fUYF2h6xzSdTeQ636F7eLHmpZfiT8gA+RkyJEtKovygAObVG2Eo3WVngFvoB
lhFtvXQyKBmqiHxI5VI6Urljrfk6FvR2587ZkZcttqVlD6zpR29XzFjRzGaeHUR9FaUCQMABAjdT
Pln3bia0EGYSuodxVtBNFlhWEpIVjW506pOBRSPOCWD7ii9Ti9jiydpPTaGdlBwEq0KJABLhsFBz
YxV5hrafJq86Io9LNvVEBtOoGcWjMjWYxjtZs183/+zDhj7lumzycOsg4cCIX+rcq1rCxp2iJMtg
SX8a31wzwYybAAvbGSe/8qZj6SBJR+T0y6aPrJnwTx2jUw58n92sUah2ZkinDxN7ljYvc143+54K
vR64h/U1DcikfSJf+L1r80XZxd1nVoajqfXe3gl/O2R2+lOuvcMj417TQHdLVTMi5zj/qXQYqpYG
pb09aN+hcLloqLCLMPwwUrPzaRG5W2wDTM/AxFkVfCebacmtTsmwlGyxco4dOHyh8xl7+mffQN+e
mITDLjzixIxBOh2r1tNfvQzTb2snJ+VaLR+XLAiMYUOfGnC+99wX/POwPRQkS8zC76f0Mqv2YyFv
MjX7TZoPTyICfc5d91hLk5amc8t01OSO+1WPFib+UXU/WflDukAHnlLQNhzrs6lGg9/UBleERwo8
qrIT+RhiW0XVCIbfbimuBy5r4yh6k0Adi9XbwYhiE7MJmB2qjSOB5kg8UTPDwaExqoPUkrc67d/G
YglaHNN+HxrF7yGZm2uL00ZEe1u1WCkbkccNdjLABwwj8GL1LZmcqxf91hsDTLYmD81lwSkTVzA9
pk/F8BIaCe5CLmu0ODKiDRLrzdji5TCWo+96KWtnxxo2YKr7NFG118xjtsY7ltUtLZaxIB9KS85m
R/fF7s071tjPtlq8NoWbB0ptJhAtojc8RpCwu/oeNZPqQ/RgGlxIhw6xQ3QOaVJ1/tL2DHodsbrO
b6wvaOusEAxpZdmeIFPepZ8NsLCd6trvM0r+YqBVGfaAK1ioIHEHcR/akTWcQu6SK3LXz2xbQ9HU
P2s5hoCqgeVLX0poVTSsLPmVpRXeL2I45BN9Zi23vKNuHtui7TZTBDDVzDSfHCd772jycbcplY2A
9NDkZXyM0n4poPWfFhKXDd3KCLuTsb5XiwJgRbc+ygV6Cn9VdFh8LVOoXdtLQ88Smmx9ipAGdhQj
D6HNWSlKmp2diu6kv+vR1/lwVGTgCQuX9AnYw14Sa7qKjl8ydwN4GScMzgjZvo5xqaC824x11j1U
ZKZvG+KNFkP+M335a2RVft7Rtxlx1NAG2prUUvKY9hWOH9wR4soM/apL1Gs7qLuCmnIzOSink5nE
clO9edI09qbaVTscIo9zlTobOxNBrBPYMkfcHKLIbM4D/fbMheCeZuOLLSCZqu0PUDN+fzFD/aEj
GyZNespL2uqsW/GpTW2iV/odXgy4SFQiubQO+GlV07SXxqggisUPMveKYG4NbsZD84ZFTyCspf4s
kcbN/dHKmEnzpHwR9mwcHL2EzWyW08lsFkyohk5D/AYcPierqWtz8sTRbgRmzGmhDCYC7IZGIBca
yyzbeinyuvAdTYQ+lisCLieqV5n6RLYJDKCWS/KWj3xENnEJG3lt+aZpLnkK1cUy09fW5n8baq19
SJMMAhOXPTKfl9rmG1cWH4meiE5MZDOtAcnYbv9qeRbE4qy4YPU5nqPyQaWFwhklNiG/ShBnDXbf
Tc1yj8/W5LQjaKQHdabKcsB6AtuVpZ9G/cFk4U68cEHEameKPWCxgUfMzuuvZUx4C1rZd9U228dC
D4M+nV6NAdVl7/Q/mhCtJzSgei8IomGKbm9jMjNI+W2SEkRbJ/qQht1tHbc7RWCoNA49HWOUaKJt
bssv/Jv5F03pfa92CuHTLgqY3iV2QyBMqCR8Wp0OnU7YSEfCpuBMtkLs1riQUP3Lqzm1TDej0I8Y
lZQzZYXFOWdK7WuMrHdV/92P8xfWM4RbYBRuVfdzY6s444T0ocN3zLd4t6nbOzVHQQFkiHtNg8iE
vocy9HcDGLNNik8a90ETKz+92nSDTqsJXEuy8gry5wT57JKOZ4LpAHv5qkalwzoHcS8VK+vaPcY+
po8nRrbltn1MjXA62aEKtsHSxxRQcpyoHHcKXvDwkJ9aJVd3tXuPxwWFoTq99KN2mBuVrvBY/2h7
EBF7aH09Eo0/Dp5GoZjP/PXRNW7an7kNRGb81vvk3mW1zyKYu2Lfj1CNWA50IwB07CnU7Ica3fgt
Io9EKQmzJtxpOzTKV132P42IXK88vGYd3Eqz+xpcGvoypQUPu/K5pSlA3puH76+waX4YP/qQ5WGK
e0OAQOddWdRrsTOdR4fogiJNHxRT4p5vTZxysyw3JVSUrdaz5nMWT/xGim/VGD7aXqVisYeDxtyz
X0y3hzL/gLtBeiXup+C9rIx1p37kG6WcVXFK+8XK9zEWuJANt5mSHgqVQOc6NO6rxktPZcO5bVTb
iH/yZpIe9EBAcK3yrCBuh+FOuoEBe3brjiZpG937NJU37rApVbCxMSXyuboU8EDkbkoXwW7LuoPQ
Ngjys/xKEVmxVEifdNUL/bii9RqXVsIzGid5VHY3YaPMVT7ptQ+/lOgA+qpi7WTe9Q0w2zyKT8dZ
vFlMlkZ1A7Gu51fR1HkfeXNzS5YHi+5bAZP2tO6y84ooIzoPMrP5ts0SQROOhwL6I5xcnbmUYHVX
8XDxr/tpKyvm4VBqz2mXpJwH6muDvcRW03XHj4yDa9vW1py91yiJTVRu9LTLphiCOmQhUwzoINJN
PZbVsRqb596R815PjSTo6/xuhDIGdgw6Z9R5tefiIdjY7TJ8hEewWpA4SjjmWFT62FTQHQ6Muunu
euk+5oJ/qJjzTSG1+q71WkmG987lpu9KPFla4A1cx251ONHkp83YxuPH0Gm4iDvA8mmnvRg2zELZ
/JIVTi4ouiiFisCrnVsBIraVs9n4FK1BiHSwB2LFM2cJ2hi+03rahnbfEl94yupu3GH8DXMxvPPm
6BrZrFVYlu0yXcb+oGT0Y7ThpJE/QJEzfjPlYh7luPeaUT9UXUYbxo5e8gn80+S+FOEgXSvT75H8
4DQ0tLvEMvptK4pop+QkI1Sa+9ux4GgW7cvY9uHGxAbZdybVd5qJ+dmYv8zRPdQGMdnpb8fmBJ2L
/LMa0daqTkvtpxBiJKboPBjyR51Bpmg5ufTmGR3H2ath+ERhHIRJjYtHp28cz/xcFCcU4riTNJ5u
+KHuXHSY1zn4S9BH9tGD8nNCqPhDW2LGI6mAtpf8Axzzq8kRW6IjKmm+7sbQxdQmzZ89G5xad8go
wgvkZJfTrTdADywz/Bnfw0BhVvHDYQ46Hep+X1+nLsv30DKOUx/eiAtB+kIvItNGqDoOx4ym6bUQ
1nc9j1fT7G5UqdgWx+csZARnpwIhqNllZsfZvVRn4Cg3O41NytmmoHNiHCqrPWojOejF+KRMs3bt
4ALp8IB3ZXIoakrc1jO+9czoNsJuXpWynelzZdwM+L/pKDMrSE+1G59bsDR6bu+62bYXjbDYNHan
ndK23raZS98zY86W5CHHmcGPmOvLeo+t0hHOJLfyTNXR98tfuU2cWDgaJE4r35HVvWdm9tHW8czZ
r++Hit/FTAgvJG99Z8/Nr8igCZmmi5w+BUEzyHjSSzfyTSzK6DCA2Fr8m/u630F8YoY9pW36g9//
0fmoZe1tI/oFtGlp+jeeulEGllVW9D0242OjO98yb1/dqXkChQh9PVXwyXcIzvJwlKpClgOmtrB3
wFEVUoNtE0o2kQfupivmiiW/CurshMYZo7QPLRxcvxLwxBY0S7TI81mp5Vtid479aGP+cJqMae9w
BYmo3BdM3KGtvBld8htzM0HnuRr3pQqtDfl7XH8Lp3klZ4putChvlbnTQu6czOm4K3uHwuxxPxYf
eubCTR+Dzk2g1KmmJJcB3alc4meUCYJdqH05+jeAphvEs3cdoaRthYY1AtTrpFLh9HrxabRmbZMm
8VWWCqmVRnGxUatloir27WSpAbQ5i+pi8Dth77VhjHAbkxURLNWjzoFxWOPyz8xTzaI0QtFJumOM
8NqrWmb4/STT77isFtOp9mgIhe9NKqdp08WhvGURtmSgTcOLNsfemc6GPzZkj7tWogWjI55jWd8b
HUEQ2FTzZyTboYDr6tItR+9tXe2MpVAFXO4nk0pwlZFd8NR7gP6N6d8oQaxGQIyRcCeYU/uqVWQw
yFs7q9pZFP1uEEq0rTKKMtkcSqFRt9ITTkTCrzeKwI3na1IwAYVxJQJVtqfIJbg9UoldgHGkeUoT
eLmCXLl/y8c6qPuGEqCN7hWNon8Q5VcEoFelhFF6kZJslUl/t9vqZqrtofDyKWg16t28zWz6QQZi
oRxHlnC4byPjQ5rnyGDWJCfQAQ777cFxKE0LmXvvfZOR8k7zy6zcFxCU/UgMHJqWs8GiNI4oI8ZI
vyFYucWDekuGDraHdpRRXuw02gN2Yd+PurdQeShHZUWQ4gTXVdb6azMmzzAsKUfxobLaHqGGsO/E
bDyFRvpoMqfsXKfbZ/W896R2CrmTIxb1uxKAjGjKIE3pRpLYmSb1Rq9GYwuNki03otiR8GKagq45
Wu6kjPdTr+2ctqUqodnokVmwkUp+Mcf6K0z7r6wBq0jnjVY95lXXcdEg+QvLNz22v5LR+u76Er9+
fWuoudxjfg9eNmGsULFqt+MPWrIA9lLUNM+Um1HOz7HlvKTOeFB141jFlKpKq1+w30HuYcLR6bgh
Wo3bbS6/NVMJKlVyw8AaovfMnVVxh1WHj1pgG5h9mIZJDlt2pKn7YDt04vK2fJ1Db1tPs7mPW+2H
Rw5rVXk/425hxCfxRRkgUkC0IwWiGC9WQe5pqdPgLtwfKi5uXVjeMDzqYV71T1VPL6aNEMOWjn1F
OEagXSgfC4QMG2+eLqLztslskaLEEBCTi4FPCjCru7Pc+tGwive6IatMUR289iGkqf2zZ9JeNjxk
BZb7NLQaBZu1ZcoFgcYjARqu+SMjoBO5CfZillG/C7XbKrBUK1JDx0S/2ZpDZii+gSk9906Gh+WW
By7wOovM2pixQJuO1CesrIfKaO6senR9sEaW3YTWbZTKuM87uwkEnJ7Bhfk4tme9Aw2OgFNq5RMn
B6Ie6a1uhhoHSXipusNPO4CX57nGutQ50oJnbkw0yX1t3nda91KotMBwRVoU6XsFYXfj2RQlFIoD
apUFBsRPKsF2Qo0mmgNUv2Hzq3K1XVebl85x8EORJENmzNkYWjglDc2uvQ7SbK9amXRXGhAzsN6g
HKCPDJtGkeOxaEz5mJpK9siyenm+7igb9I/4FHHbtEO8IMM40vzaUpv9Py8zUBn7gFjD6rbugg4A
DmGZP/8eJB2ilHncHQNrbuQjfZjqEbrYk1Qx71h3GcS73lWeevgzYBmVE2C646+Nt38PRCMdlf6g
K8d1HGTr8WGsiK9fjro+oC05xAgqga35y9Z9jd20Pgw7CxuX/+zLE9fXMPW5rSPw7ppgu6Q0tK1s
uJlj/88Da7sH1xTD6V/7TWoDrHQGAK3/jNcqGxcL8wJOqt/93Z0TrXYXwTBaD7ruz8uJ6KnYumct
spN6Fd6nZHo+VyHEqVIO7WndtL0yWzLg5iAZ0+7Zq6P8rFf0EkU0dNw5WveBDAQ/R37T+sIZr4PK
5Lu+daq9xo8g6x3XzTT30j3CBnP758BROFzIKqRptnxsneM6l2l/hq4f5XryFdTFvK6fNCRENs6h
G9GQYPjQVcWB5bTir5sJytPr4Ok/ikrh71DVm1FpzdN6HI130sqoq8t6IEtA6quEF+7WV9vU8ic4
vahq8vJhfbDyqt5lNZcWVllx7Hd2idfFUDT++jKM5vKBD0wONRnMzOLLmCKZY1hXgFp/j5M108h6
QOxpUui7tjWSGy32eFcOY34PBL8wB6R8wKLO2ZZR0j9mWGpuG1wVnqa6sv0Q9c0ztVftR4Odv7R0
37jurOE1nvGzc3LLeROjJTa50pW/zFp+EyqLXLIWr26fFp+jFMgGU+NLzBDZc7f83Y5UFAWYCghH
6feqZOKY1ftwpKLZ1Be6VVByC1xoTDuFfkA0MeVOz+i53MdgId8AEWejnauvvHYeHBj+H8mQ/nRF
XL+rrAmo3hrvpw52u8nSfNolMiIaxdOqB8Lk8dXMHaagJXB53RdlEknlrFD89FX1sL6gRZrDJBHK
YN1cX6gTmkNplCuUOxzqzzgZjYENxWy7brbLAUpHd4N+dHHU++9nkPVcQp8GR7OGqoz9uXbUnWJo
uBAvY9bje2CC+7Gy+j9/6vqCaMJuLxowrXXIevxRUeH59zF4f1nBZ0ORfpj7jLhIINAbaUHFoaus
lEhQGV+5zJSgVcb0CRODxK81q/1V5MqdbskhAiN+mN0w/l0V1jsEb+91sHWXCOQW2ezg5HRVvOqs
iNI4O/rg7li89lz/hQ4ubvRvQ9i/WSVWLrEVoB7gB5qz+UE40v452nrpR9EwP3paUu48u8Bup2j6
E+x+d09qc3gj1rTZGlWmvsAoTDFMiu8rNXsUs67fGbLAaMGwB6AJsMAui6s7ThyAoqjM7jKWTnsD
r4Vrlpn5vqtwSckFAFeRDdM1s4x2bwhYBcIE/O9Mrbhq3aTvcbaJrpqn23suFOeSZQgBSiZcrrKT
gHSyl0j7D4aVxg9UI5R0mmN/RvkJXwn7q2UdvmnaaHpchybWrNCV+c/QsW/+NdRA5vyokvG971uL
2bfLnmBPpReyz/ZDiLcpbsu0M9Z9NDz3fSWHOBiIC93KWgX1C4eHQm9IVk7DOdCTeXhYH4iXdXwD
O4nduqkt47QeJW5kSGsvmdoI7k7pZePqEx31pBr/vC9OaSq7elifAMG/ZtL8MKqi0w/X/76VHrY3
6JRYDbqHkhQVOJYDYmB0CQ8GrsJbSDtjsO4bSjd8oLqHo4/jJpgQ49Z9zmBshwl7pnVriMPiDouy
w7q1Hgh9mndISc+Dzswx1gfLtEKCm7mG/u6Dz1kD5dr6sfvvOPCPrY613W3dJT1XYOlWH8qaCPUx
z9utqg+wK2igtDslNfntiIOMA9SI6DGVOaOXpTc3h9sCRIBlJ73JzP+z3VQ1Bnz0cf+MXDcxzqfV
tDz8PcT6QmlF7c0GUsdz2sUGZmhuWjiph7VxL5ScP4IT8/+zM7Js9aBotPjXN64D14f1BXSowMHL
m+dZQh/PPPsYLQvQKq6Nu57+zy0qKmgtuAb+omvYAPJY5b0uMaqwZvQ4ZQfgaDjiW+il95BECG+8
in76ur9wvCfsPtQnbyl3qwpZjBJ3jBfluZS4QlkTadPhJKpg3d/FrIiGTr6C4jiYE43Eq6ZAl4VF
5KwWD8q5cTibNuvTdiK5VIw9VuaWcl531WnGq+v2n6fr3r+v9x7CtbxQfv9r/7r5r32W7mrHosqC
waWHSu7VdI716Z8HVW0eko7vOpvwxYvYsd60FPGBKjP5C9DuyzKl/a444qXVtPZo2oa5d7U0DrzC
wPUDD/gXs9SAz1B4CN1lPo00fJnqPHkl8ZJQYyZMWBlK0BjT2cVlK5xSYwsrnPlPjHdTVRXfk8TU
s2v0t8hqVBikpcuKfVBOw+tB13psRVWg+406GNEhLARL6xZpl6sX79LTfpJPrjximF2ehY7NYOLM
EBLGblcVMn/tVUC0Scm1nYKE65cd+hygCLrXvo7kSavqfKciEDuWXVS8uNN0pBkp3rXBKFE9heG5
iPv0MTSj3+vHzbrLL1iN5c0pi/4ujEAZxuUNy98BgxJMK4UbKOzI3GMn+ZFiSXpdHwwxdtfK7KDX
Wi4WBwqr9AqC5NXQE3PcrGPQci5PoWmjgTPP/2z+9xDr8ELK16LIy8PfQ+cGtGBT6dugq5AGjON8
xLfFu1u3RIYAzemxvV830xoWC/TU4+A2dw6AYHts6IDADlMTv6yU+nXqwVVTYVY/nRncOhnz5r3M
i1doHsMnEc3Xjnr0u+ltJFkiIsG+nDeli0xgo7CQX9rRXoS+pRhhyLiRucjtC3TiLTrlxVyudCoc
5nRNbhKipffr5t8XslwpyEGGZ9nT7r4lL0pPjLiBIfXFtePK2zUSiu8w2s0xNrrTurU+rEOsZdy6
WS3qInOI6Je1zkMyqspRuOi6ClTqrNJ7TBR0xFfbZHl5HVMroernOT3R2rIYw231kyW9cvrzFl3L
/VqPrNufwfxOdxrJElZtOQ8IhjjIfz/jz/uHsKg5s/iMBkrBeZTtsPNbeNiPUVaIx3BZciRqDVfn
v/vcpmu3GS0wqDtYwqFc0e9r1XUvlZ7WF7Qsr6yJrWcVWRV+Y/a9bBwsZVP45A4n4mV90cLVfgsP
RB5UCU+w7Q25Fw5817w1oh9JWDqB7DFH0NMRHRXyTsJzeqRuY2E/zzksG6+MlO8d+Fr4LXpKUqNu
reeCYwUQZLPLaBnxVqY5AiKYAk90M4ORY90blmE9zXVI49TRWWEismNtjqm7YbbpZn3VMUA6p9YJ
L8DzGIwmSX4nG7u+c2CsAaHXyUflFKdapNZLbUgHTUWEHchcJK9SoYGwDHD+7zvBUhua6m78AV/k
zzttZixfTo1+D7ZEx92p8uchR6GEgWfykIYhvlFaWwKR5M5+mGz9nHKPgA5TdCDaaXlhfmv3U6E6
dyb/n8DJMuOhzIm/S1TFeR4XyyL8eDdVZbr7pgvnaVMsGQydM2lXoM6cxiWuW8suAYP/KpeHP+Pa
2izJtlD+ecf6SjtNJCQPZkgEIeJ2MO4ARmL3aBtd/CRtPCsSjN6CdXN9YIDp2N0jlf2iAsJ46O+A
dR8DNJN2IB2Q4Rh6nUkybR+dbZHX1yEeiiAr8vZFT9LP9afWjN+JNcRfKecqzfSJoIvlPS5WRWdz
eU/u0FOoU7N5mY0FPhjCb1P8eY/wcm2ju8U/76lseClZLs5Iqryz1k7eGcgTfGvQASSqVES7jHtD
TRo2L4n1pX8/pQg2tkqX7PKxKjpCCkx0fKTqbhq+PS7P5KhPESYMG0t1eRTLjr8PbZ4QAAzr9XlG
SBt0I4nrTTIal1LoWZBYqfKKSP42cBZ+WUl/bzaD8YpuQQCLN//P0LDobmvpasbjvfSSf4b+66jm
rJKxXlYZbcR3vRbGDzWs5XPU/6+NpH/Xelv/84rm/a9X/v0e6clh39QhJJS56kkWb9SReyyKfwBR
1QzWp5mGIUCyPEgvxWHSvan4dp3rbFmvrU8FHrQKmar/d++6jTN8fZoNWtbepJyEFZ2RjJj7HKj4
BCqvnNb9CN9pnq47tWJ08UVeRgP6eWKzjupsrbMO64Bm3bs+XR8q1wIrc7p0I3HO+Gf8+sqkRb86
r47PE/P8fcSlcchHGnNaUYn7UGjifn1GFfrSAqae/u4fw0g7uAbA/frW/zsWtuk/Y1u8ezd4HHTY
DrvRdX2wMPrkPCrMwKkKvEvaDu33+vTvmGYC7vj3mPVlW7Uwa+kJlkmgGUbPCubvZyFalf708lRX
YHytz9aHJuLeBT0p3vzd1+vuVF3/bmf2nO3SAh+z9c1IHHFq+tdxaFcC0jT/w9iZLTeOZNn2V8ry
+aLaMQNtnfVAgJM4aB5fYJJCgXkeHb9zP+X+WC8wsjIys7rLrlmYTCAGkQzS4X7O3mu3FsOVQ4/s
D9dg4mR7hZwE+poKrxa4vsGNbwAZFDehiIqbOpM2HvFA912p5X/csesGAH4/H6103fbptOr+5cTL
D9DKxU27a5YjLw+0I/owiynHFp9GTtLM80y78UQYQr26bGJlKretDmnpsqkZWEYVvJrHy2ZsxT43
SO2hcjXtJs2Nh8vDYwy7tTPIkEtkIZ9blVYvSwh7f9mrmOKaJM35lqBs474t5h+XdjOjP4xJX8FT
4iQ6HnINV4j16PK01AyaYGkq+nkkV+lZC0gm+ddnayzPlmlYtKGTND3/fLaXS6Y827wF0Fzj0t9e
SOg5t4tNV4boohdY+g86+sJT/7lZtxFONBcJzWXvZcc8ZYzsl+1MFK+ZmhW7y5bM6wNDJRafTF27
CXNdbIFxfAPbbfJb6tnrqbUlUqYo9wJABeeSqRDRSYFJ+6EBn3U5+seJth6hna6dJdcjvjGVNr5B
bxaytBhvU/IvjgDkD70yOc9C489Ld8J15Lo39ZA+tsvDhYvPpklpp3d96jxPnZ54FOLj42VvZyVk
Ysj0KVRRT3cGETvTqDjPDaaxTdEk0+ZylqaNlCP7JDm7SuY+zcnx8icdZRBHSK90AJc/FSQJjdym
ULaXTZnK15ncWRhWbfXQhsH68ifdjt6YOpN83Q+Z9mTgGktj59RlOh0PITAXE2R1IinbPo21Se8l
Ua0AXahxL2VmgBv6ffekoGH4eco8z5JBFMS+ya1VN3GdRMN9GPXDPUFLlA4zxKFByCbIGwJkRvn+
8wi1Dx7HRM9Ol+NJPWm3+oDR8rLZLBdcurjLtS7njE1uejBF3K2rm9uul831VOC3ZwKA1L5R+LYK
IJm9boXfots+GspvZDjl6ATDJWvAwG07dw5G/zF5NK32w9WV4lsaaMhfrPpF18x63UEmPFKNtE7V
rNZkILn2W6LU/uXQ2qHPp43CuZszsuGkiLmTmM14N1fusLr8PQuTYjZY9XtQIVVU6onJmJKahxZT
5bqMLecZ4cDpcmiXaK+DI/AgapbKk6Kic3kNZTDWns066p+vIWUN9eM1lDlzqstraHANPcZF/YF8
d9gEdWpsMpHOO8QBua8B9ni8bA5NWvhaJLRHo2t/2zu7of6HTZFq9Y6mUb7B7UyfRFeSJ0FOui+k
aM6I4cd9rabtDmwyHFElznwbbt6LlMMzEmjju9Me2kyZv7qaYQIIeYKhnLNnN2jOLfXMsge4MOrF
+5jX0RZeVg7+LhurI5U5IqOW3/6y2QN5JmbY6DzWARxd16PEHUEMdNDl1jlT9XUwKfGRtpHjZdRd
15fHa0dDC4TRuTjqZrkuu5HIiLDnDN2NCX5xJ+fHBca9bhukaqlLvJ5ti6NhoAVdtuokRMVTNvLH
zqGJ1HXTDBAJlh2XQy573UErDzQQoOgnNKgggW2yJjRPBvXNk7X8uGxG2WgdZsIlL1uXxy9HqDn9
I5o+NmTqIsH6vpw7lmQcRWa+iUi98S4AdpyujxWg//s4RDDZqugsLiB0e24fLddJ72mnRz8erzLb
61WtfYO2gdt8+AZtnHsY8pfbsDKCXQg6aOtEWXGfjjQ5OkUM3/RReACg+3cBtckH46ieQaeSgNZn
8WaqlfapEepj2KQjSB2CsmThPpsJGSqJaqfHvqpHMkB0CbVfhjesMTBjF+EttvLxqGuddWsuPwwN
3aJZ3sokthaiWH9CgnnA/4fWsjHSZq/NTCt+Ht+3bbwRHUu2y2OX04YIFb6M+3x72bzsEHHzBbbe
vPp5mI2Sym7L/BrzpnWb1UF77QyK9/MAyDJMzRL5+fMyrW7X227G1Hc56bKj7+PJT7MowHLBhS6P
qV0xEXYd5/vL5lAG1qaIK9QQgmwcNzSfHZZ0h9FFBHDZbKWM1pBqxO6yaaflY0e76wYzVXCPQ33T
dr35XMkQA5t7p06JcaJ1AYI/FN+RYYlt0lQsaS6PXX7EcdEe8VxhW+ZYMZf6Jpibat8NxStaYKzn
bqD5qnCSu1EW5o2hffTUFjDOEFexB2OG5XXZWTZleieMWPiC7tD68tiPHUH1qktNPVy2QCmaN27x
cTn88khsqmLPpPWP10myUqCK6JR1Yw8DRtKufQ3xUP24BosL5Nr1/Ir5xfEal850QutfXQagGN7r
/c+tIPixdRmrJigXP/cNf9r6/bzLIPf7kZfz6DmN99pIr3oZAH8/8sffW/YtwJ3/4Tx3ClE/huM+
HGV6wtmYnsw0uOtzOezAsaSnn49ffvvxWD3RMBtRNnD4z4eLhpF+ddlu5+EzCxHmk89wCnKzPF1+
u/xoawlTRct6AsT+uSNQRTz9Yduw410pwvwqGcmh/HGZn1cYWkWu1WRh9y3Xv/y4XItJwbD65W//
8Y//+pz+M/wqb8pMhmXxN9yKNyU8rfbXXyz1l79VPx7ef/v1Fxt1o2u5hqPpQmAiNVWL/Z/vd3ER
crT6fwrRRUEyVe6nSDTTepuCCb/CsvQa/KbuxKOJrvtRYkDj98tijbqYO11rVopTHOnFa7BMmaNl
Gp0vE2psZg8upb+r9DLXLrRh4AaDvPZyyOWHk9eOVzTofeuVEo8uExVCArJNmKTGuZlN/cePfFbP
BkPrFb1h3mtoScYZVX61VdSwX/087rKDnhsBmmUMMrmKKYqaxa4unPFkFvl0uvym//7bcgTklIJp
HLrTiKXJKdDUfRf35W0VI6UNDPmHLbcQezNy5ebfv/Om+9d33jZ0yzIc19QdW9Md58/vfGxKdHxh
bH9riHE9WVpensdeZGfSLZbfcW+39DeWR+q1KUkmQ7YxgQ5Zfvz2cNK4YAPrNjgpNDf93BAmwJup
vXVjuwGhwGNTYJnIScUQ4er753bVN5911vSkz0RPNXL965hu+JPQnrK06x91TFN3KVruy6NO3yUn
NcBieNnMVJoqk64Az1/OMfEerMOsbTDv9+YTWovMm+0iO1z2FmX6h+tP1R+ur+hiP/YNRstAJfU0
CDpgHe1wovr8799oV/+XN9pSBZ9z23BULF+G8ec3uncKhwlrWHxRERnhxfD+Xd7hMHd5U01QFhj7
oOVd3uOfu8cSLGpbFFc/jovaHqcwHNGryJibI2Ud/LApH7jckj2hmcuDg7Pohy+/BoGx/Gprvx1V
mdbXUDPvqsPK3cOs0teD083vXbeSLfXwmYCYjci1ft/nhvNgBurNZX/OKoeKuVbh5AyscwPe2GsH
Z34P2vRhosb8wBjwlwtmyA/uhKsjNPSmDG7pbE43g21Hx36sTpctIIHy5rfHhxtyniHwDVURrAYd
8iMyF90PjJ+HcGpnFD9O1RSj8WfmJ7syQeURgQ4BYR9PdyKoH+SkqgS8DdSSnG55LaHyYttr2Zvi
VUD/3yEWsn5sWjI+F3hY73WHkKC4NHMCUzn7f7rqcnqjw0K4fDT+40/DX3sZDj/LSjZxGHV/2fzH
Q5nz77+Wc34/5s9n/OMUfzZli0jg3x61/SrP7/lX+9eD/nRl/vpvz85/797/tLEuuriTt/1XI+++
2j7r/jmML0f+/+7829flKg+y+vr1l8+ypy3K1eC0FL/8tmsZ9jXD/sN3aLn+bzuXF/DrL4/zxxdO
obb7f/+3/JfTvt7bjhuH/nfK9ZotHFVDoEQ77Je/jV/LHtP8u+talu5qpspu1+HrVsA/i379xTD/
TvVHdYXG3JuDBENii1WHXbr9d9UxdM11Hcu0Nc2yfvnny//tLvbj/+1/uauZ4i/3NUZWW7e5n2ma
4/KnHPPPX3orK2nOBUNOosm46M9HwKfOTWlM9lof0n414I334tAuvdqp9W1BAg71rDDbRIqQeyB2
uzKdQlgQfb/KKprP1ChQr4ZuskswMKyQL4XnjGzmAhFCGYfO7WS5CqTv+Dlr6GQq6XSV4Y/CLMF8
IFTrZ5z3xEDR6qMygW/QpSu+KtA8bjs8Y56mvdcDFGiZJIPHPH1NwwOLb16Cek0iqMMAL0dFYrOO
9VuaNxwzEzVkFTQLbJVOTEc/1g1yuc3DNLjOqZQ4qXlsJuihaQHx6VUT5BI6CbiKDFbatlCKCGn2
FPiFjrMrK4MvNx9DT1K4PFC9qXHxfsYww+/CGtfeqFvM78yoOiHDeXM6lQTVqOuBK/nhyGLIQPO8
08bhKsYZerAUyOlltJRLkuEAQ1/MQlwFgQOI9Uoz8yMQ5SU/pxJ3itla6F5pdw3hR6Ez26jqqOWV
IeQWAW6TJtajbZumzgrTYf2mNvpt1wWHxLD1Y4NC5slGtYWMmQTLIvqaVfvanIzkk3L6CzI/WoOd
ylIdqtBEwvQ0KCSzQMDfWVNXrVUQ4tukrKLtgJEnIenmxRkMIG7CCv2+GBGEMrnFTBaUh6rUnSMh
E2gVm1sL4cY9ae4ay1IjO+hJuWoyT8egSpiDlgDWBAWsEqfpWVKrMLF2d5R6AsBAAZ493cIrQlV3
fBvJxljjV+v8bpitdZsrDhr7OdyQ1LSIjqObgHYvUqgyO/SdMvqaGA6zVVcQ3am8FYrzVhKluCCf
6JNKrV63d1Xt8Pbg8WlcR9mlOAwR6svqrjIaUgh6JcNYGCpYU+S9o2ff9Wr6ILV7n4RtdMazH8La
9PTKETsWiMkWpdlNA4awpYXGghgbQhom933Py00w4E6jGG8JIum9MS1vZiQiGzoSmWfko3rX1XQM
pQkyMcRYGVWobtue5UpbImEETX6IXSA6pOs2GxJ2V+Qu3SVZrt615XDVlKG5Cc3EwQdgfRvNWa5b
yzFuSa/A8g8BP8hbsR3aBGQWd0ZaHXBMxuYVt6B6JbmTzTZ0+GoyrzStIQsIgEuIIHmlS5OPCgtb
T3Oi654u1uRW5jnsIizOkDwxzVZMazoMZmH4Ni9ZGVLKU5x+FuOkr7sp+hgml6i4MHhMkm6TDNqw
60HaqH0DSygV36QVbxqVEaRIY2wppFPrslCfNUtZJ12MpC0o461jZzgQMH3tFAJla13fuzKfD2Md
lyuk1NnWzMVT2YFoUjD2J9J8wOmGA9pCcoDMKn8PzYyK7xAdCiS9zBz8oAdzOuqx5WstMukoMLa2
bW1kpWtX7oDEH6oTLIPHHGtsrIfJAQ682PS2cWNgjqsdBFXFvO7S/NGwanffxk3r0X/SyC8Ln4vR
UnyXnK0rEZh7FppeipPwbSi7ekMd4662tU8qphNGLT4YlnOc6tB8mQM4evFjSdjtk2ithyAIWfeO
5nYsw8RrF9hQaEXvet/OG7VDHATXrVo1g1rvglq+GzZ1L6zuezucrxlB2rVZUr8HE/mqFxErr5LU
mlEyxGMtI2KXRCFdyG2AgW8lWNlsNb0BJLmge+ueIpilkbQB1gpUyyETsGYHopyuhAFlHegQxfkk
mwlzTzRIpqSKzk30QjOTaqwZ3Ccl7iDcsMViTaeeCWNEQT4NAWHyxkEHg5HfJqH91VgmbI2ye1ZM
FymYu6hkAJX1gXWITAvbTpyBhnTEmh6S8FGF6Qj5g8oLQeL4TK3u9Rbf5Lj4O2dlP2fqk5vh0mYV
5xVjplyhySi4Pq7MJL0l7QuaTd8Ej/lbZ0kDk6nu7OaI/Gx4gdMW0tRbGOfJbgzNu4o8Qi+tlMSf
Yw29UhraO9CpTU3vM1gM8DUjwbbFV4F0OYO4ICk4Cqx/GA3ph1uhtO5d5WCQXfkB/kekNla/OcGz
YvrmQDjVKLMHsxMHO1Ha48DbUzmFsR71aVHEM1QrwXVIGI2nzza1axvPBj5oblpZ+02kYAcU7iO4
gOc3/B83XeS8Eam5yibBXbiGwDFSmT0HWoap27oJOl19CHUGKzfKosW++Al5eXjhftbTxI+XJn41
34+zS3KytpVuaG37CYcRbTF4TdKc1lGu3EcN1C7R4H8fmzXpfUS0hQTLVMpIeRvHcVBbL3h+s1VF
RMPKUm7mvjuQ6PyQaA6r3zkfoD0NfOManYxzcA6dBfCYOB7+x0ubm3XTNWuUoUuFiZAQw5iuXM14
UlBxrRtFgRVYadR9e9ddwwjgzqQbFfdjS+M50G8xY+T/cYZsI+Wemq/VwBEeXT9K0hquaiMas6uJ
lADCNtAQGCqIRktepWlGzHALQhb9NufkYgkYXs2NntxHj05MHAA3ubuUWqyIed8b6Nf+PAQPI/F7
m0VFOiao85Mp+S7ThtSbTqi3AR1pNJRAr8q3VImTQxdo3yak6DCQASXHo/PgSkfsEyX/5N5RQ4HJ
CLlV+6OZGHD9qaZaFjSQQRDb3vNX8wRZ5IBkmfI6Kco2g3nQmQ7eCOtYWCDVRlCSvgkMBoeKurz0
2pNB9t0lMnNX2fI2MjUMZvSfvBHNkQ8IBwheMR1Zow37IVGv7IankeSEJ9UOy+RMT6+qJastBvJP
hOJnaYpy14CQLSim37VwfDVZhQdzCQ8Y0DIcrTfqEhjalGHLSq888myR2uYT/SYkuT2EdK1/rviP
xuQ4Ie7rCwQNSr8erbZaz0gjTHeFSUTeqBME7RaQFcYGuYeBv1hmuBfBCBHrQkS1Vzqt7rmpYVzl
SvWSR46NtchUrlQFU37exPaCc9t1lIvJh9DeWx2a2xQY+wIWj6fFPb3aqfTL71mWOWsn1gaKzfN+
0FCFBD1idbP5yJLmHPeDveF9/abnwXMzYrUo+ntoqqqPJ/g7cjHNz4b+UJhKBGwgdDEpxnvJSnJr
ui5CjQBZSKcYyEEZt+pyKulEwxSpItgQtUWdDV/Bp1MXiIpgFEMInr1I6cFqtqdUNbBCblSdLvhI
/NDKBqKDCBLvqVa36940EVX1+T6yFQv5sMR8wlzIbUnBkpnOmJ27D7F90xZafnJtBrDADGqop0kP
ctGA7LZcf5SB9F1wXUqBbMJyg/hGV3jvM32vgQN+wXGFrrmwqasm9toa0+UGlNIKMFS5noVW+dTY
Jl8fcw+emtxOfB/RsGa5l5cB98RMf8jfhxmYFgMdya6AqaPCRDyLzwMHM8QepxxvYQR6UifKQwxO
et0ubKFCBzuKf4OhCqXLEc5p6Rv2EHogJR8Tqh8rycoAd/4iC0v7eGVI9TAM0JCQWHJbI95Fy+bz
pH7MFZGI3CAYGcihwdAHaTxWEZG1Lcz8BJNZUCsvUcq0alSeekjOUxr4Y5Enh0Zolj8kfgGZXU8h
XjYu3v1qV9c6EJXG+Jx1sKRBPEG2JoJq1ZnRhDpkVLd9ar4MrYqSJ7FUrygBcIJ/6zcLT+dKMBsS
Ya35gT3F6zjPdszNodKI0vLGxKpOSdTvUN4MZzpS/mAodwiYtNXUgK7Rh+5OodkEzSKzKhz2yRbD
PFMO21a8KZWRD/AYt1GXoLKdO9ZXbn5uIJQc4snYlAhEb5FuohqvPYuAjKtRd+TZiFTnaFakPeIR
v7Xc4VoSuOLi4tzFY9SeXCK6MXHkqFjiPPBKI7J9WTFOgPpDyb7QWmvig50OkommdOVK0SR+tVS2
6xwyy7YvvmkyMc+XH92YYHsjIyoM7G1ZfsYDJPmEetPGLMYHoIq3ha7W16ArmuvLbw1ogm0Ud6AJ
aKqGi8Y4LL+V0LjPQ6dK+M/hU1nAXZKFRdOOKlLFTGQ1SxdZelBjhzPhJjsdQDnyssztpGlfvZ0l
xzxkQRgY5Mtog36Y8xJrnDZZa7UlOS4y601pkMggFAYHRqBXd8jy67oprkVd1FuWwvSBKljCpQKa
OO6jde/ZCTayzAnCvWPdtvpMOocx+q7IrLVVuRAmYGTU49qc9PqgouJypohkIJY0VzYLLwTA1TZ1
uoquPOj60gKQMBWzz1f5WXWouBJ6fgvC5VuWBiQlL9wXze7FAZ/suqgdCpZExhSZosA2qTQ+l+Vt
5GAtU+r6NTCWDMSq8ct+jrw2YsUxa2Hsm7NNRrOlXgsAwJjx/KQH9GdjJc9xhK2tdpkeN8NLmgf9
MbAgMNHZp5GLWyxN8U8XTrO1jaBb1/W7tALFp4D8LcGf6xUhpuugB7E3KPEZHi8xRWlG2DfJWNE4
76ICA0HaqpNXBaqfKyQETxN9QDC93VSmB0w1e0rmwz5gYsUcYkowxKl3Af76UE7Dqp1YArvooGqj
PecZAeQTRj21DzcIMCACQVM86qnxPc+0cGsJ7SpLtBRxdO0CWJa7Yga0k4iwYb3bHpjzWb4Zw2TX
Cr7wJP0QqhAy/QzsWdliuo7lZ2aFA9wnHT4qX+o1OkNz1xTB1YAQDNLN6DsDylcD22um1ptOHegP
53F8nVc6nfg2f0mq0Dzkkr6VvehpR8ESZooOiWVtZjdN1grZ8dxbHhLRjyh/zfEcqywAVKlDNFGf
kwzHNR//dAPKfBOcW4mHoE917dwyt8QMlpO8UCTcOA3bUwxa7Y14MeL6MegQq/RN7isAizyn1+8K
g9KgM/d3Tex2XkyJkcBowNmB6zxQ/SVSkuol8RVJR46PeA8zWPUq8/9KJZcPPcSB1F53HSdkmlkz
QlWzhgyrMOOjk6Fi/lflaY6shG9/51AzgS/SBOglqTXDm3pCZlauHGkpcB8aPgyieiPL69lxnkkK
X/Ehi15z6wXnm7pGv4w2FGlsuUAggSDS1iB4xh1u7Vl3Hgq6WKblnhsUFdeKs+37kaeFVWZb5fGj
wux+1/VZc0Q1fLCn/KkPGWuTEUN/wTAgldc2uy9tzLZG2DZ+AWjEczs7vOry2l0bCi6E1O3uRO1M
t0TU4N3zunpCC6I6O0XcdDplrhbABfFpgnklXb9eFx1gIOubObmtX0hH9RvwAr5m1+DgMf48vozI
OgARIDYrs5swFsfc6uODKwCjZ4q8wVtPw0hloqDWnwZjO3Wp6L2hcrIObZWXQ0sL9pMO7x/UYiWA
pUAj7mHFz8rgJ452L/Vthvt9DzEcDOeoQipq7O8krnv6GCqEBZQbG0EX5Z80X2d1Xq8M7XVMlIkS
Wk1xQGNiZy695xn2EtiEjybOZu4+auyrAK+rqHKPhqiOWp1fY2lJtkXKdIR7iB84rDY7d+5BOFS6
J8h2vXO4p3uAmrc0zeQeY9XetQKbxBB6g23Ikqvu13mCLJ5SiL7qM2YYeLeaewcvGzZIy0N7XtMu
b+yNnEeXWb3yEVOQuqJveOskoEhaHX6F4XimwyJPjwFOUx24Bkx9Hxcn+AHxjhpODY2CjokxGfve
RkTS6Pl1PxUH3CZpA0xAY1nDG3zE932vYGK/Tk2Q7OUg5mVY3EK32DlDcU4n/LKaxEs4UTTwZh1u
ZGwM6LpDhtGzHbqQ6C3lEMJoJuLWuUoQD19dfgsEC2lpFL5dI22fm+IjU76a5b+FrFugD0XwkXZ2
DfYA7940kZIadPOmnmxfdGUGlA6UeztZn5bFLCjtkFGFkiynUq8QZihbx1A17Fztk0YOA/I0SNpq
T3BFypfHagJIPdzIh1Y+DAgIIhU0gD1ofh7M1ypxOWgB8N/NbrYltWo1jqOGliEbT/YVkqP+JcPD
qlR4qrE7YbvVMMXJ5dM+m7if4ukwjRGMLRP4r1CirR3l+wywBKBK5qhKAfexmR7R1ZDFIkAqV5pB
tLopkHRFEcAVo6hYGYzP6awbG5uIKavD4jDWbbHWmeczdoKRVeU1kQKRL/UUg7kEP0Rr/5AOw2Nu
4HxiNNW8wcSlyEoPxANCcC1+LswEWCudThuHq0vIltcxXV0vgjhjnJfW1rTeCfvBdaOPdlAmL7PM
+iDC9Npo7ucUQFgacxcb2vIBqz9Wjao7gsRgVjd+yzFBbapU+K4BzqVCLbQ25lweNf26nDSQNQ2N
G/pb862a6uNxtqqXJeCKGcawka7i+OM0f9d0HH9M7J2dS500VV611gi3ugv813QwFwX44DMNO2sZ
xVixlfBaRKO+rUhmSCv+8xNiLFKCFiqj+IgU+54UTawnBKNs5iyBN6KbJ9Em86YzWbLy0rchfEOj
yw9TJ99CRaUeiQpwo09U88uy7I4BaWIuY2dB/tkmMucIpFKPwckc8fwr485wjKuolNbaTiAm29aA
01/E6baSKaNPTKkwDOv87IJvX9VD+J1+ruolVphuRlf0KwYgJp4kzVCiIBpvbMN2W5v6keIK9ZCk
/xo6s/UtCWapEG60MlvKz2lE1zwd5gNKzF3SF+YJyeenK8DiBr32VKVOfJwDe8+x1Sl+L0xA+Pag
P0dukB4CcFJTEhIpyyKBCXy0GWnWAh4a9pGlVpuejHZAMvGStQmKB18t3OVIgeZMvoNn6uDSK5zE
8cyMOnb7b5E2f9UmDhpLqfZjySKvID+rwEWxzqDgKm07gFQOvlcaoK84ohQVVjZLK3VE21MD3CEB
RpcRidESpZFBHXK5B/vJuDeHk8niC4umMq2sqrluIWxvzIYycmSY3zVT/4QIMrKW7E/MGcattlCT
QTfwhUmGJ1BOVaTMJ1ulixhL32hgLkRqMt8GugUqS87rzARYyFR2O0qMbEXLF6ywDI8gSso6Q3oq
UT2coVH5wCU/XPdxBISBmG1DZBT5ieFs+CV07tDK2r1eNs8xBPJIJ2EI9b+wqB6H2ajuzWYdxskH
4/777C7fNDALFWG3G7XVgfyNkFmJ6AoSnc+ha6xYrhHbZd4KJ34Bvk7Nh+AUU29eD5Y7jWsxDb7F
BxLycLuXTbC3BRP8LIvzpQab+TKNko2k8jQ2qVzVgq479KDQK0y7faBDTeacbTwGdZ4zRptH7JUW
hEBVWU0zLDuEkj4M/Yd5jB6htUjyBnHnEPYSTtbOmQVm3BmwtaURu5W8yal6nyuWcmRXTL5WGswJ
Wj6V9nQbyXLad/VIlFsQg9lpKAeEHTE/4nGq0mGHm+0AahVUsnVnikI7hyzoYyHrHZ11jZrt+Ia7
baOhRfAIdyFhxmozn4GIu43Lx8cFxc7X+iupVIokI7CjqtwIkgqG+NnCqOARjEdMUtGVOyehotIo
8A0SUWxrBL6sXoC6N7nq6Qou9Ew6ik88yUfMUNHM8qROGxPwDSM8N1GCKpFJIgNcOnyQe8FidG1K
AEZCPa9jZqlp1fe4gPhFJtYDEaIIqlUZbVVY0V7c5gt/kHSKtP5exNxFICghyynga0cu2oWCFU7Q
FEiGx+YNZedVPWg0o6jxkhjQzL6CUD0J0qvJiR5NMzc2sVofJYCBOBPPgSjvW/7fdkm4yXpxn6cR
LtGAir1CMhTAC6Eltm9b6r2uRQ6Te5yVHbqoFZTAVbv4siJFH0lcyveOi6mJ0Nt2J7rRc5kX7tUK
0SvmzsKjONGQFxD3Pqwj5DhO1sZe1zidH4avpbt08yPKDo0IXoFlLUk/L3zFfN29LUsVYVe3ww86
bRwWL36P6QtVc/KaCD8o4CxpyxpqIFRytZhOcEryFXPf4MOPaxxyKzL6Zq+tkmc6MqSudQFDO0Q0
ReADTDpThe9CmysPvuUDT6fILF+JActBgtinBlnLU6nc29EIRUnf9Wn9Nvc2qpT+wGIYb1WDOMjN
3vvZpg/njKVnUeTxplAnm1lO1yaqQaO9j2hCaMo8rijHhYND0VVW+GMGXWX2njOdjF1EGgqh6XYE
BYAIqclTZv4LScVxj+pSzMwI2gn6KLtZDHy6HPWNsCO5j93wCefU5OkNnB1hwsp1i11ljXcGzkDE
TW11zkKDdd3AAsUQ4FjtpgDXl7O+afpH1emA6QRk5sIblceopmXXfuH8oOQV3QnBfUUXhY7QUS+x
Ow2bSsZgZcLcH0R5rWYAdJpGZdLZJtaK29YV0qgSN1DPGOOoJ+QmUM4W9X/kgqZpGgg2Kf+zswD3
Ng/FXrOyl74eoG1GXbwOjexUE64KXCK2Du1sPQ5OtIxEvUYRMfkwUlJYnTfbdcg5MxtIOwYQVW7L
mIWucQhq1Fv2xkw3fSisB0uX15YYo03Yg70ICHsjxk2C5NRML9GoM8k8h2QV6V/wLRhBualuFcv6
nGJecKHX5466RgQVlZWpeVa0kLsgNHuLkmJixlCNeR4bNec/LE6at9nKB5QwWO1gUpCKnkGtDJfP
T6NUx0loN0Kp+sPwMqBh8xD6qwT8LOnbdZTvXFqCtKUeu94u16bDp0bMdDKM7sUUrCYmDS9olpuI
fXM6uIWdPzBw3DLq7tOOJFhzgPUZhNo7Zd9kmwv5hkoXA0SgPNG3AiZR0TYtGprW9s6qFktf7arY
hmGCwgM4BA42a9OqXu2qfnYmc2skEtCoEyhXQ9vqKytuqBFHhG3klnZV9Neaa+zAUnL3d7GtjxIg
fC2TJY08WYcqZei6/OZ2IDycZoSNa0VYiysXrLqJcIh3z/CdVus3quk+D4WhewoTmoy6Mk2B/s6x
Kb7HHpl07XVGzo43EXlWZLaGhRg2/MRoMlZntwXwbJH2Fqptco40GPsFbuTNQPxx2zv4u4tXJXTm
U8dc7WLb2wvEGPjsTIn/IH1GPfLfZJ3ZbuPKkkW/iEByTr5qlijZ8lhlvxBlu8wxOc9f34vy7T4H
t4GCIJVlSqYoMjJi772K00zH7KiU/CALlnawxP/pGHD8xLx13c4+Z1bwMepWuq1NuHT8ywTVqvSQ
7BXJ2myjpzbvlmxPIRl3E+1IuP9oKp8WnXFlruBp6I3Cub5ItydLwJJMKonkz6zfue1dysp4qQnF
bmsTFBhBDwOQTViY5Nw1J2uOHrO+fnGWMX/TcBVM6SKnNL+ssNzpyN34hOZ6U47ab1olBS3UIwvY
7IBZ66phSKTkiB6ShlAt+Eie2HYKyeNU0OyOXNb87KEiaZG+pRzeSSW2nkHzCTryParlXx3lpSzt
yxRJKHYV/AePs5GeYCf1mMB5ywUS92T+yFzjABRKbuGK0wEW3kFFqn1IXTqMkD/LDSBsqhmKhZT0
gE2VhWt63u0xcGEysPFD1sfPCM8/TTrcZG1XDNhRS9ZP02iy8oig7CCwyTepOR3Eq3CqYNWxzwAn
9SRgM7HvDcu6D9C7eiraAS5lCVRP1Lo13wTDqcyVWXonA872imhYZx3dB8OQbIOJr0ebAUMUtOs7
AS+xtstTmNQXR5OSkZoRb4ew7VgXJo/IFk0KmFBuotZERWBChI095g9tMMcHpyarpRt6oB9IRV3C
cXyUs/DjUmtvWsAd1DIbllrAMFRNa/oH3xyQdAT6rxFlBbU5AyAVzuKqTdojEYskUVgAIlhOboYY
WvkylGy651YPqErqdD2H3i4elH2HeLXIPWalnJaSXnd3rL9hmg6jvavogZMF11Jq6wadApSWZN+p
bWGiLDHGV+JxSZ+6T0Znl072i9PNTB5NgeEgIKavk5TSwnb9olcFveWK2UVwh3SAhVbVvKnW3bay
WGxXcKprb7iGpX7xAmYRauZTtgC/rmwDshKn4IvLBSPh0nzCm0zeFVBGJtyEDU+tTdBPem0qwJ02
zum1VjJqGWiJ+UFThmwGSU0kEiJIG1KNev1KkL/n46COyr9GX3+00UxubEcSXVeeSe7ByRySShv3
JZFILgcBLI11MClABPNCimpg62XhPU6FwyAWTg1rk3Xq9K8kEexTnf6SWVjaoXfz3zh0aTYhCHHA
VnrUA14hjLOWktKfdw1rRiX2btrvm6F8GZMS6NE4eqvUDt5ng2drAp6bqPAEj4FfLSy49C+FIJHb
9GNWBsnkoCF2WhegNpEnPZVvCHfAOms9gQNVui/4722FsHXTu5wLiAFhddSILd8CeDuIZrNqhZPu
jZboJcfvj2mty9el0V/NbLCOledsEhILaASaqwEUBHsbtgwpVidHc+7tWlw9d0nEbzJjZ3B2DxGw
nUq9ibkgrKMxT37phF9gUdgjhGLZ0xNaE1iX0QNTXtvHyBviTRZ7+Y6Ag4eRRI44M4DHdqSxo+Zi
p9sFtdbsTOygiBWBiH0zb3wi4ZlD95iihsmHaWpuOFz+puiktCJBGVa/eon2R8ZIdWID2kIjka9M
TvddNQi2x25+znuiCauB1l7B8UWD2EMbV4ZrWCzvTkigr1d+qJbF5uzQ3cElTVC7wMkZmL96WgTn
rLGZE0RcwdUKCVmMe0hHWha6p8Iinj1SRB3PXX2c9Pkt8+TBjomidVVCeVB3MQhNGu/jBYypsogA
RaxVukW8QweIjDsk5DJoKr/VOKpyLf49pe5Vj8M/WtDDxO5H5EqW4PJFZ7RhZsBkhuplCohsH+RL
TujU7Hgov/p2YRRb9HIsQttK2sxOAHsvUP3B1hxKftQj65nvMaifNOGy4NIrMhCIHUKHPVkRwIuy
6Yg3HbVfa8L0HZfiVMsJNDbeW08/1AP54fm9pZECpkSXHqZ+fI3GSflJJ341sfsmyoYEnrdIxc3W
zPW/HF7PhtWdNREjj6mY30nqllzAR8tjanlzvCKrWns2jGi+pKR8h+O3PqR/ROu92PB/ibJjqJew
MCaMhly+USPaQZjGYs5cTRo202TSt81gq5WdRnxolrrDz/lV99+hVBNTUbCjKVYhgwC+lauvxwiM
pN29xgXtnzCaDZY6fHgRo9xNqIynsA/i1xrpNSF5KsZyN3OhazwSN7C6jlmyY+k/b52leVRUHUYp
I74Ueh3tiTogAT3vDYqr9NrG3TWCVrMpDOtdOgaHdXOe85kmxgBkwtMG7F+GVqybWqpds4RxB0Fz
kpHBijjz9g7JnK0gvDYeinbPmGNvhnD2MJ8du37WN33QPOV5Co5yqze182RaBs8oGBqIOxuC4qok
uYAYstLnwnDQq1Du8gFY4zASTJx3vz2WS4teMIodB/loSgCQVzJ0kp13beU76Qlqq8og3SgWJOj3
LXHXtAMkRwf8W6KGyq9HGl9Z3W4NFB9X12yOrRx2QN8vQZuMd7aB8S//Fplm7LJwgvunuq3sgUCW
WryjMj7JKmCJRgmqTNQiJVqBe+RBfkfuyY6kFUZJARol7gi9J0faIJm6n6Gg0LRkjsxywJdMEhTz
pVVVdIzQo9Q8Mfa+DiaNWRTLlj8B1QvsYUW+jbGq0HEVhqezPtTndZhZD3DnEI0T3De1h+CN6Vty
gAwWSgxB9jJliUT3KeuUgd2Qvapa1KzKWJMwlBq3k6AMsoJvTwugVFTQCwnN2MZBo5N0TeA+UeTk
Tk36l2kQmAonVHJAwVcqi1OAiofunO4TKfENqUOr5tknxncjxKz8QcDyNjw6VIBVWJEnF7ODzYmw
ql3LPPgkzYhmDxFPwkQCdAFyfoTmRawH2S8BQY9yUIAQ8AfEIU5e5rmIQJkLRL3er0zRszRuPL5V
6PDK4Y5CFmUDDpxDNtTOnhXPl+VNLyBOOa0jj5IqeQuiWN9r8kXJfjlzxvVHJ/JVyxWeK3t8H7qR
xoRqx7IEkuKowzIKyZYgSk5rI4/JWyRoxtHoaEvIajo9GM1hLaYhxnATYmnNooOA5ZAHa7QV6hrH
yhD2jJ8xacwt51FIEy04vzi81GQ5OALBUuHJ5GA/zW7bPU+AtkLTO4SxEz0uqy/S6vu15QKXruPY
40uU3if6kgM4Zp9Gx6QFB+ex02qATIPr7QeXiHfRLZVmjnZtShuxClNWAKpp92mTIbJpCy44HcdU
303jKuvDL9mFLxQ7u9RZxKoBlxWTeNkTSk1RohAaSwAd6DVo+UcH8HL7uETs2ZVEJ2X15IPZ+6wr
mW4b6xQ79XAOMf6v2sIrNl0/dRs7Ce9nSbjqqIKnqbLGHaGczCQvZcj8YcqglwmxiJpV5welx6fP
f8TwvVNsdUSEYshrEVitejES708a0YHUmnIijLyT5auX9+mx3Ngdw8ykpcgRrso3dVKfdBG+zbEq
aDW6DbLepDl5gbVuUrUMnIavjmXqOkjq7L2fCdtuRLafYq1mlUVvYQpRhPa2DZsxDMKPUZg+W9hK
O7Xvpr7Ye4nlrIkh1jZN/lp1SoA+c381wNRRQgJtSV9MRV6yaUfE93GNEMSyqwgxgIRLmDBmjrXs
OYziGfUIZaJOMs2K2nqbDsUbGNYOTookdc57tcMypNqBFTol0xp5EyhRfAAnRybdtuyBaTCHKDhv
iL03Rd2ZxOl4HSBw26dMD1k70BbKWooRu/vSRpKYJV/Xo9WgKdJj6kEvecqdosNnZb4hNLzMtZOe
LBdDf3GPySZ8t/vgdw8Ul46+dlZVbx4de2bFY51DD9SfZXFFx8Ba8ZnN12Tu7Mcm5KxPWxxtIYpz
uu/GwfUgtDclUr2wRznnTScrC/xBas0vPf9bzvawHQQN6dIpfeLVOiiApAUPEI8G+2o8Zybderf+
m0B5XQjCSNeq+qUM7GmvEfDZtrrwJ74D2w71VhLoIJzD8SGwXbGf5ilZ5VIiANf1z0qTzbYcyH1G
pP4MOZzkwC6ON218ESFBXUMLtLVr7NeeizGbLN7pueZPEXHkIJ+aF8MXMUdCMUcsfr2HcoDAUjGo
nWc0H247vzm5QhqdzVT+xEhlwdQc+lL7QFnzJ5/nh3gOc78f/yZxZ64UC+0kXCbrMwQ6r8B676W/
gVm+TBbtvRgRaBqS/xZiQya2YUP/R5y8sJQvZNzuK9nXe8ZwkMkme5dU5SOp1ExI0blt67lbV+X0
FBIzoQmr2usT+NuQRsJaYIqme/hHZvrFYk1L/B6u7bqtvtOJ9BzUWc/pPEYrzmW0cYerETBggEa4
qG3bCzT7p8FGEjJ2HivGNNgLOTh0F83f6Zg129Eqn50RwYsmi5fEnPuTUXeHsk+qQ4UCAjwzqb6E
dUJrmWZUsmnDWsSdXgB1hLr6a5exA6Co/bA09MfDNP5h6thsi7lx9p7Q39sS/U3VEsyoe/Bb5uyM
3XDFiBX9dAp5sLfkNfBa+0EuNwAOtnExM62YUVpLGCcSi6OY6C4ZdiR2w2w/h8nc7No0JZFnqDfM
83X6YTRQMYn86kztEE5QXGzs4pHrQhjX2mAfENSxSs895cw+GFwQjbN7N8I1Xcskq18NWsM4B6FD
oMtAmpbq7toaNdycFcjIWSv+plJdUBggoiVBhtrSW1VafjVJLt3o8GLpu30w3Gy2PUHVa48hK9HK
hmLdElCHWepQNFBAtYQYZGn3rx7n6A1en+ksctvk3YMfEQTMGVGHCpw6gyRdnbMn15/c5WojRka8
QiNWnO54shpJpj5QtOWHJqg+EgaVfsYClaAyfIuApR07Hg/DWJOfSZTU2CG8kITZILKJnojSOVs9
DoYCJYrEEHKxEa+lfLP0XAm6XCr262gApdSV10TLCfVtMXH2OSIthgAozaMtzpdXZGVk9guSv5fi
Ypax9Wbq0zNEgYZiNYM7qiHRDaln6lj5bVrQ5M4RPGMtelRdAe2wDLCt6i3aEx7NUXtXI3zZ6MsV
rNYv0cS8mMV/TehlQ2mT6utGIEcyMvdrgAmbBMWLQsC0X8guYfTemY291+AjZLP3YXLkII8RSEtk
HZxC3f5uGv1VeH+BdG4M3Sm2CjUHOXZMnSah/nSA0aJAE8fQcK4GXtiDVdrPRcUMPl36mFNECPFM
YtWGxs49oKi1Y0Via8gh2FMzcO21JoQSaD0Txw12KnaJielRLTvlU6GGjWsa5UlDwrMJteQiSv5I
YhLpis6lBacufo5lTZRPzxW3ZmA2GEvmV/mkN4zjeXaxHaIkveMUCGHDIsQ/hhE0uN9Kpe/Yo3VK
LnAaSNCYF0RVyOmWaAdrkTpLukHz7Jon6QApAPGLePY3ukmUSDolPtnaVR+/9E77FSesVSyz+CYS
sDnZDlBjNWGOKN+GUjYoI4Z0q4LaPPYxK6bWmtd5s9MsI3pJCdYhGBcxtgrap0xZh2Aas7XGWFVK
lyVhCFAj6eac30fHEuZI0YiHpN1XPTjFbFOgbVrDc36hlHzJQGjSd0VoVVGU4QTTF7gyUxoDxTxz
NKQm7ftid8iycrzyqTLRqR/R/n2a1UQeV9tE90hQaXbGOKLkcOoq96Dc6a1zdWdFovhTCYzuStDc
m+SEHbTMk2XobK6hO+t+ht4Fddp4zDtg9p5I6ZV6drZq0ukZYAekXJwg61HQtO7aX3Mdc6IClzkQ
98KoqH0LNI+03ZEWeaahOU+75jFDlIsewiNKZ+pOM2BJtC7DK1Hqhl87stpOrfnbKJiM6nMaHy1S
3x3iY3as4a85izwmBFlPqrI6uzRKTTs17oWd/iJLlW9EQrDC4JQfJvOi/ejYtNDJPHHNPsBpJ7uN
GSuenTzq8MlXmYNIxAIvtzKY0rag2Q92W3Sbrtw4LWn/akYTmyR0nnSb+Y6JCJRp3C8zWaAYDJs7
GIN3BmNuZNyP6Fjqi9k0n4ytxWpO0q1JZEnj/c0hYm1nI8FqxCDnzYZSv4lpLza6JZ7GqiafDitT
mpEDacToQ0FcmNgnABs3pfNFvgbqzWwwIMBiFBm+WnT418I+p2gH6Jj/TYfoKEVwTGmJahHWQhfD
Sh21a71DW2IVhX0BMfaEImNTahSkNBaznanSadfGA+wNRZS9pUwERS01c2XNh0SgstQrfGVEL7f5
LpjMayzpeylUDWlrSaRwp46UxHUjQ6SSc+kT/PULRxgTa2F5i/qEg9yDAlsQXuWOuAuyWH+yM5N0
UYAhK9tN0Tp3UXqwyzFaMjuqkzcP13qQ8iLJUPTMo9Zn/cPQh9bzuFi2CsYYaINOdpvkTwgw1FE3
WacOaJWerHxiBRgYM8Wz8yeCQfU+MTTEDEJvhHlgzSJqk9nZdIGGkW+CUZZ/SnCwWj1lX3NP6meB
yp2FZ/DRtV59J+z+6mqWdaw14LOY7A7M5nr2TUilAW0H/G7HiKNbOpGzTe1CBNoqc/PvUeeqa7ja
CyJPeZ9ACt6bUX926hEm7Zgp4m7cTd8X3pFGhrPqXLt5cXrFoiOvt148MGqLcnTMXQkQSc9iBv4J
DSi9AqFl4vIg2BCl/Dxs1Eg7nNaH/ngkqjKI7b8xaAC8mhXN0+vgdc9xHdJft9LfbWGIuyH+ihtq
8XcmCVTRFLq2FxX3iJYb1d4lESY3FeV+HjkeIuXplxxbVCsFAZCqp5RU+0rvsLdREtXRsUnbO2+Y
zkERvrQ9MYN+qpkxczg++QJAE2uv+7KpYa5jD+3jBiEm4F8U9r9JiN1q2UzcHcML8o/o6A30G6Jv
fYwfa5xBW08oRpF0a8toxm3FwvsMEesRYZnUQ5CXjvORGtM3udevjHW2GE3+YBfGGFj0JmNs2roU
1+4iuc9UUW5aIul9dtMHs/N031t0rEQNdE+6lPpj/hV3Qe1nVfTtltkHq161F4k6laaN2cc48wX5
IwdkfWaawCc100dj8mg6DcceaYMkdRBYQ/8YF8Jbe0P6Ld2FxZM04qEEDh4NGJOk01+0l9zuK6I9
4l9EyrkPKBILWiAYaOYReUxiVDjZ29nHSTwgc3IpfYdYHnQstXgrCb9oJ+MUBTGqQS6PxmmO5gNJ
1XI/N1BiYwUldtbM/723/N/toWQv7PJcvhazh13WjjirtMiCOFGoXWGm6LIyMsqgyGxGuwX3QymK
Q2qB6TKbosoxabfMo/VLzLW+A8Xr+PjMXb90E9e369w5pHlzAIjIFEaeanL5N02Fvs4OIs5ieiAS
XwZ14tMysnZhHrzI0gt8XVdQHEXTHYvY3RrAKP3bjRmo9Ofe7aGc9edYY00QFlWOBl0xgqWUghnJ
YRrHLaeU290+AOkSZXgkiGqYjo6G1rbQyl07sBvHaLa2VHI0qjuj9tP6bOvkhhP8ffCWgEJdMeS0
khjTQYchh+Cdc+lWcbuqNRcSuUkj24uEdfImVgdBzndruclJ+d9hDyhZNhaEebiKJn0EXbitS5Rs
8RWNcHZoNKc6V4F7AgZDs3BWmxL/IvbvNpk4iaSCMXmQOrsaZZ3PWYsUBrBSXbrXlWMfhw5FQhDC
mzNy85DHyI8NFx0wWa54NZrA0zZo3TTfXPbmbb/e7vWAG5E1DRjllk/qdhON5oUo4Q6xVL8MgmoO
vXgkoFTo/B9M0tE1wgP+p/U4dJ5vhs17mWGHmLpjkkeBXyrZUmwMJOlq2rHKPyU+COyDlHyI7Ols
J+IksCmcvF0J4WiXGvqDEUj36HSfVoKkjK7Ap4X+dy9JgjJIscb8INR6mMcHr6Ehx5IhxIdkYh+Z
4XQEXO+8LiF1pCPykhjLYEb1iDcM9EkxQFdU1TbtOTQTeoiiCBnTMckcKkLDsgmKC4y2dR4AoB3b
GBaRfhqgwK0AGFW7qKyHLcwi68Fzx44vQqBtx5RWA46m5oDAvIJGgVWyg/g16lsrbdsDjOHhZDSh
tXGGgY+8aGjKBMAiZbm4J+TAxNsIWZJkHS6CRg/m5dv37WpuA+W2B3zJQrHQjeo0FKI4hoxq7LDz
GPtWl6gN6PZKUOw/95aHxpJ/o89He8HcmssNQdTVqTaWjEOjZAU1B+2pzOfmRDVAbp2PZPY1hiy8
MlWUbV1dT7eYhHpoR7il18QNb4aZuf7UtIgr0tRDAefo7HoqKSPmdO6KTn9oG5xRTuPdFV797CKJ
8N3QZs3gUfP0zE5leSYS03qGHxgu6kP3lLmXkIgumQXoLhu9YsxtC7rBJL7ngGiPhZfIpwDNWKVG
WoEQWegUQ1IIxwqbU/RaTtYzRXN70PrUfHJHiQyrqL4gZZibEqU4pz2aUFHnmNc5T3aIEn/N4Txe
vMLiYj4C7PNMjBzUcC7aQwuPmZsayRo7bbJB0cCRYsr6kGiu9nvyXm8GY2lVWBKdUe5JdAjoDhTJ
nXYXsV5/A5zWH2bUNbTAwpGYtik5kCO+E3E+vKaZTtj0aN3R0R83CHcrmDfzYx50KcZxSz31i/oc
JuW0jw0jfJnG+TdI+5Hg3io+aUlDP72myc07zxkXBQhDbE78pZYn901gkexicva33AuD2HqvFOAi
cmJ1vJs6F4SeuFKapauABXOfIwGf9YTzqH1vp632hmbY3mdCGrv0oaUfchRpLzeM8I7KJeylTGAp
cnpC9El3Ro7a/VJKzm7NeAUd3GMKWEQ35MlJqm3Zlp9koAdcopEaiDq3Ts08X3O3a/Z6UXxEbT7v
HT2udsHYC3rZBFSDywyPZqa5D3aNmDrkHaxbjhnTC+5i88vF48ZOz85N7vb7Op6KNV/CjTZU01aF
6HeFC0wIvAHUl9SgE1daRfoQN3bgh0mD0Bh4Q8whASnM2xNMD9aCeMDpYOb07j07cQ+zGLWVjCVt
bpyCqC53QQEJCq0bJtNpazgf9M2MBzKT1HkKxWMxE6PpAHY52YEwLzI0do7bf7LVLc5RkCKd8cdG
ze/qZem71B58saOOpspF80BMxAxPf26IKA1OZTR+Sxzn8N6JE2RStKnMblqZLcV5XYKWNgAN4mRb
9cFwl8WQjXs1WKefGxnZIBgYXMYofHdu8hsMgQGSAmNxOOQGRfB7wJBiTRg0Iyrj0CaWfmIZJSmn
hzY7cKifch27NyMIjeE3SrYW2yQFZmSvjLCIkd8bkU/LM/Ib6X5y8ecoCUrB6I/zsmFzPUXjzsWa
5YC1NXr7++fabUQ0aMt+NCBDRabvAHDwb/es/7sXhcFD5MzD3lPpGwNCa5c4Jm6r5aYVf7Qhc051
RB+jEJOGm1NzGRJv9DAyzxlLEQ5rIgCyEr+QPdTl2jNhq7n3ppPpft1149nUo+l8uzc2AbZ/jsa1
GJjko15j7qpTVaspg4s1CeTcWKzpnis92Cq9xzphMMwJwvFPMVOQlVGKdaF0nJ+b3hiNI0SCQ5xP
NioQIqasBDFQ3w9yo0eLSGAk96TVm0uiaO0h4sx37TT859etZUOqr0Ku/NmlYM3j24gBAnoyrFwq
eWAGy8wskud/buqgL85TdcynPLq0yJ1i5SZw2ruHFqTgrjSlWhRkwfmfmzazA/hyhMLozCsd4/ck
Wj+JJ+88Oqw+M3v68MoZPWxObknnzZxzgdKSXpl3J6AyZGTMqLLm6RN/0cozG409apDITFprBv/z
HC2bCrHqVvkoT33fB36MGYYg2/RsmY9lAEI15fSIei86RiMTL7n8hUxO48vtYXAAj+zto2j87ZAL
vMYNWuxjmvPIeBjweXq2XULEz7h2G5pOY/TKuq7cCLPSr5hYNWhCCJeF1XYnr6iKA9lD5p2u2mLb
p5nzFCh414JmouZm09vczq+eZSfv9Kp9i5lWFWE4w65qHYu6Tz7oVo6rsTDiFzGS8VHVmrl1Km1a
GyRI7tMg1n2LNibAn2iBNXv7RFFqRJZlbOi41+cSGdkKOzXnFGSAyND/qKRAcuqti1nvvpKq3SKP
dD8hQiJZ0EpxP1bNb6/W0XFVcfKgN7SdOfaXiH8QwsxpE5Lpu2bgmmYvcrPetg61Mab3spW0zOzy
gOJK+aZ8LF33Pe6MfoVAJWm0N6C7d5Wm2d8zqZF10otPbTlZN/Y4PQOcvujhqNZcZfloqgLAbJyK
Y9qEyDrrZtogDSDLgfrwWSOSDaqn6r5MKtV2WqwPUdFcqrB/J6jFZeJSoiURLMkbABL3pd6h6sSn
0dsKGfBsumvXQLqseeZrgSrplZdLuUixsnJj13pNTTr3Pftx6/a6/SrQGTK1z+Xh9lPkGLS0Azu8
3H5XBMUJUHz0mE6t/qKS6+1JhKzEV0i5z9WyfULh8AuROEmoLRvUFfAjAxrA9ue5mjFv7NoVh9sG
HVOx0Oh083z73Rlse4EC4SFOONCMEawoW4RS21yZTj3etuAQTYGjKdFA8/H+3cq19kWY8zEvLxfP
wuJkwND59lOEsPRw6I4DfmBL4Gou1hDU2IPr9pWJ1O1JyWCZV1vq1/+8B5bCFDfuzw9DAFeHutXi
n/efkLK0CWkDH24vN/cSNQ9iuvNtS4Mb3QOIizCwLq92e39eBTChkHe3R5CN1BlZPEu45RnWKNQh
GXRGuctzbbdKtqTfghpZHlKHuKs59iQpbPxptmsTu2oYPzudaI5MDs1rJMP2wU0Umi5+haiD/jwR
Kffz5sFSMqBcdsntpwzHiy24J+tnvxLur8EP6bENLr8b1EzLyqL52b6W49apwtdSJeaDzudye44x
TtYZNMPw8/6VSsieB7G46YoOAYTbmGfdyOxNieCGRVr6FdeIFJlHV48iYS/NY/d6e2QK91xCxCYR
ruMJUX9vN6O7K1raMDLLjRenCq+xaXv3YokPJeEFCNFX2sbu/e3HphM9qLq2fh45oXiAUyvuzSX7
mEn0o5nN08/PGv6sYZbdzyO3b55IZWl+nqlm98ngmvPzs2oYnzFKqJ9HyZS96L1Kft6ARgSVLcbw
52dO2bwSBOrdOQpdlDKhM0dhtPd6c7zHjBBuILZVGDh5aNGNJ+JlgVuPf7W0ba5J6j2gxT9lZonW
ZPYOc2tod7oGThfDjjjUC9uJqWvLumOxlgmJSklXhDiGdXXf4fj3nVA7CmvJUeE0tK4XctQsCkkO
jHY09FdaAfp9HHTZhoFXsIGaPKCkvnNzJuWtA6gvqjBFE5V2LpT3ooWM5aVIPWSgFZLx0k7KU+DN
j1YB71SyOOY0LY+YjUbo38I6mrn7ak+ddZdB4jzMKvm4PbrdJIOTAC9FLZwJc/StYqSy8FgrWYzq
w7IQJy20T7guxF3YuOLOTPr4ovJ7NSDyMDG5svTdeoRasSDwcO4M/PGxgQylLF26mI69DGkWSOTN
ah/bFgAZvKL6REg7LPGVFTrwBRm+zjh4GUVw1Y28llYgDZxV3Vnx/hYoOkeTszfxhcIIIkH0lhtq
yXumRsMlSgkeSgvSRXMMShQ42CkIYHPujNQiazHV9x7aTH8IKu+gRc67ubwVJ+7su9u9243NLlJ0
Q48tVSz9s4Ikph4HV4Hq57afaqcPThGFo1j+htt/hS0z30aADnNj3l1aI8dqFEPCbJxDxN2xtRbS
y3BQY2FfFRamgmLC0eIZ4A3iidikvotbDMtiWPd1M9ynrgp2jUjQsYePDd2ei1ze5e1YuN1LJa01
m6b85vbQCIdP5lbGYQQRecc8/FwMojvMFLUeOcb3ASbzewMkSxZ18ymx0+I4tAVz0ARXmkfyh2dh
ZkeES+FmBHfjGI1r5c77NgPm5+alTTVDwMFY1vI8UenrD1pawGd23TdI1CQ2zeiqorlGDnq7WcwX
FBbpTuCboprp9sxfSULrS4UkVf51PJIouo7FbhJhzII5Vx6GOjqrNoVfFWmHEr/E1GrR1tALIOr9
aF9Y27KUPudUsPvWQ/vhCrJnqPpYz0iPJLiMpCJybMIaUBY+46yt/vTKuoumJNt56pX0iZXqwF8z
cybnXpwSFZ7oimRwgivfnR+wbMRMlq27kH4LE7nxDvQOXOAwk5yEA3USuspPAoo5l5D/e0xmV376
52FodePMpDn30hUg+PHfTzWW3//5z9umGrIG0UMum0IbhgGubw0kwD/P+K/t3n7htgGuuZRV//Xj
f7/sz33YNWzrn6f9+xUgMWq1/+9X+2fzt3s68pza//dfcXvp289uNz/v8b/fz79fWdz20z+/cfsz
f17y9p//+uN/Xuf/7Yefrf33k3+2KIgTmXodMRBI5poUiCPxZeGeFIaHjm62/6+b0bvGoljG1H+H
Or6MlcCgP6svWtHdqda7FGsVZrey0n2qoYDFq3wlHdE9TZCMHbf0S2sq/a7cs67BrKQQWbmF2rVz
WPr9clOMZuGrMvymtdnvnHJZYmbad7wsxBoVuDstN34FrrJ8Nx0s38MWqPcdZdpkZicEV8wa3oeI
q0QJ75psDOPMutZbNxW2yCHs8CQuM3f00z6pRYhQM+8s4Y/6c5pGvleWTB+8BBGs0JNt4Wn2Stp6
dr7d5GZQYWqosnWGCsJPBpNRDzXQxlmWm4C0FjYqrpBSxq/p2JA4gRL/ImqkI2hOdkZTE6LXWEBL
Ia3LOdlPU5dgA+Rd0wg4VSWj4nyq0SlqAdfKyg/c8hcuY+TFYzoeNanR7NE/MltzTwPn9fs5GQ/4
a5tdaqe72YJK2nCRipMembzZPkPSORpjgT5LTViRY7SKWfu7scgWnsoLEgDzgIFxm7bVExbLFOGi
b6MCXdHiy16j9L6mVbq2Zvkp55geZQ2MrXP/h73zSLIcybLsXmrcqAZRqAKDnnxO7X/j7jaBOAtw
DijIknobvbE+8MwuSfdIiZCa9yREItwtDPYNqvr0vXvPxZUbcZm7+jHqqWR5Wm9KjW1ki7fCRatQ
9Obetu0noTzAxbJ9rQnI27sGQ1/DJ+Ch9SpCVgxc7bW6eCFIwYC6Y3SjfU276tLb8g3zWHuye/97
x3iN6mCZ6aQMv+slixNigjAcIq6dq17u856BNK0mYaPdewldkqGY6YTxRrpx7Gxtu4fjBTsNg0h2
I8Nr2k4eyny6YPjZmGow8evXiAnQ5+v+RZASs/NplC9EkWvToznz3W/moIedwlnqcQE6dRzg9QyH
O7Nxu41Vdz0nkRPdW42UQll+eYyRvwy1/zhIK31uFfLuAftMwM1ooxHl4OpzjhkmxMBvt2bomoe2
nTjx2qHAVPtjakS7hbqH3k/PR6pShxAWRXt5pq0WGHtQk89hWKh1CrftFRc3RlZjDXrHOqPLoYEd
dp/F8p+GvNphKX8Q+YbiqIxn/QZQkzgzo5Z7k/6oM0DdwcqhAVgPZ9K5wruNXVINUb+3qZw8L70j
sBn3RclXCIOLXDPy4UbuE/kz0QoH6gexLQy5kNsfYpMQ3/9a4UEu6Y/OCZ3gZDwZGHFDcaOX3b+o
kos1MyWsXsx9nGohMabuURRQNrMefbqc+MVWtG0D2bM123mynpPY42g3LJYaAtFsLI4zxJwjjg18
5iMrP219At6xbK2ZGDhJXrLSvHHVFv4hDRmLGBOJs94Y/8gLLDhBMC/dffx7U1r6m9SKz4YUF0nu
RdzijU4IHTy1Wftc9ThdJJ8YonoTFSaogkXyvcZ5v1ZGz+SnST8VTYW5wGe27XU9NnyAqZ0QT6Se
tPtApveoVu6KrNoWfBsdRXSG7pQCMu83uqeTlwSEdYox23mo1QcFdZ2XAj296I5W5MY3mNa0Rkjv
8eSrWVMJd5jCadDJC/Mg3IAdjvKhmTTroCAljhE/3aCXpinnc1ERWI/CmCrUiXaOhrtP1/6HbpKP
pLPeQW9lWemtE5ghawsanYnzft8Zj8Hg35sWLe/ihdMY1VcUHF+7gu/UgBw6DrA8vKV34PJhzdaE
bN/iohhJ+urpJY3Aao9m+YJ4EBmwHX71w4AiTU7fSPmGSlZbT6AC6svYimscVnym5EqvLZxh+0yW
f2DBaR7aeG4eCtWm+6ao2Eo7W6Ao5jt19Md5vRdxWSJBxcgzHXIXRNMAgcEKblFSf0oddPLKlWwq
VXPocgH2ULngSmgnbrUn3/w2fk4lZnph23QOffFUqKiDc2XThRwRIyYt5g2EklO+xGwXvnsBZGb3
OPjZVpy1FzUW1r4lb5HwlUYoWFXV/NUmyrfEatxVB6D05J6n4063OO8wZSuyCmis1aTFrdtYn0wM
BduExYDsDOPIqIxhN/ZSLPP2SwpQEn0CcHDLsrttYzX3hn7DgbHAFurkmtGm2vvdaJNkz5xomD4K
LzvYVYm0PFf2ueW1prMcRnR0jU3oBq9+BkZl6udLFBG2lFXGuQONuwpSg6twFnf72C2uUty1VCMH
rTiPcJE9B4ECo2E9RvXVO9KfLp5mgpcTHemtV4L+o2/F9E/MzJ1AlLeBfRxlEuEmGXwu7+N3c4nu
8ANl8Lm993PTbOIwpkyPaU0rm6RgnbALIg8cHpukXRs+rEJynG4Afvd2lOs7rIUcLcIc7bzWP6ZN
OB1nyanTONrd9qlKUIMctKQaD4g13hgQoPmlDs+l7IdDSstu5QVKHlvHuSqNwz4d2h4VlHkB6poc
JNucqC37MMw0aVUJkqlsDiRk3cOxqo65298gszDVN83NIGW0JcT1k2z6ESyl+cVPB7Qj40BOGPi5
NGrbQ+WZF4gr2zJE9dGOol2FEbdEUdFnG1XLhozTxM+/Ilos13GROOs+/4YnmfOrb/kT5HBhyq0m
bpnpxU86LF68dCz3nnZexiX7KkzdTa0ACVd1RgZw+1F0Q3mmyx9RCnTrqE6aP0JFsUWmBbElKBZN
gRwnLlV1n7juHd2ZuKm5tRiUGk6GVDRHqlZ56QNLlxcLTkDxo4sW2qcYR7pE40evFLKtmi5sQvwm
xZsKYaKWQOxGYmejjF9A0Vdym8Tm0U4hapip9YZl4QNEXrjPIlZRP5wah1RKBQwd4HiPVytDR9kY
cu3H8hWFd3YOZ7rn4Rw168bvWew9LbHOlmicXaIZPJLMF2d6F86Y6BPsg0lq72j61KBOuOeAH4J7
KtxNl0TkPXoE5TqLPtaoxQoM48lRQKxCY463pnvF7RqMk7FVQ+Hj6gZB7oRymfWFT+hDP5kmgT6E
230xS+wRqfNaYxKgqWpAtELo4wVpuO5jBIMCecG6HvDZOrKs9hWTjhEI30vVJ68dM+a1m1Upynjc
nJhnny23jWmbguvJ3WzY5nwCtc6KXbZUHYm7NQoAcBVe3H1KxZKSQA09JFmXIJgPCHrojmvMoknp
qJ2Y9ZdwcNrdCKkPF7Wfbx0cg24S74OpeoxrmB9K1PdOOiRoFiNSX3qBrWbCP9Iy1DlU9NmYD52o
2ATz71MzGQc7l/sZEgOYTS8E2Y0HJkkTZoP5gXYfHa6g2ore7E+yCqs9PJhHRmZyNc/Z53mpeaXz
hoboabZHZOJaQY5t2CE6Xz7ItP3QyipRzmIsk0wFJ8wDM7zw5/HSTeO0jS3vxbTKZh8YS0Lz3B6x
7VsHF1sRDHcKCayPP/ySnDPDah7SyemfdextAM/vUryrn1s46BZ0VnvSuB8GDJ7lIrac/NTaVU2b
XdwXz62xJsrUXmFcrjf0G4qwH/ajKI2NoGEeZ9LZxEZaoIpDxrsIVYXGKGR0xqs9+AjeUZUM9PGD
gT3cbW0Ae3G+9kVl7EDrPdhh/i3QMzo66b1kdfG9m8WPZNEtKTcyGF9zIsR5tC075rppbg+recBZ
i6prM1h9uDE8VMK0ax6GakT+C1s4swvvOA6msWGpdy3HBYNP22GEDoNtxJO19fomPZtTd3bM8Va2
FWPCbKkJjPjg1u4pSKbn5Q69M5OBWLcWv96SWR7YrkWFXZXrorihAFswzCQmgh+9REhlJjHgkwS3
RP0zp1sjL6et6UCJnALWCgzLemOY6HXADzPZtdplNlgsvrppj2og31ZkoO5TwrM1USe9bZlIrT4N
grTgKMufLZ+hiklRdCntcu0AJh0JBdkS9wIZaomlcYS+14ukP2rw+opeHPtqPlggRbaRFXnnQQ7P
I1yqFf1Gea5MJtHgL5/jjmmujara9PSTkYe7OsuCLYrscUHlQwWU+Ym6/aq7HrVs1ONd03W7lm5Y
Ms7EhdX7W7so6ld2ZUCuwE2EQNdhypkw0eYKT9TZIGS6+gkFQFMtfnqBAThuEJCr4lvd0UTCgI/f
c6hvHEVt43yRYRKvum5yud1huunUvENR9rlLzcVB8CNALnmowhDwd1KteHbUqANHYN+LSzBE7zp1
jStxEUwVc9/caFI84E29zQWZc4GWzNCdQD2UQn1U5HNt3QD+OaO9ha4021cVAP3Qr7U/omnSEAZ6
ORw5sH+MNVeNKSj0mu4q9t2F9uaneXWsUyva+WN+SXK04e5sH6uZ81suN6Uag0HThgHKWQLUTBNj
8Sydr4OlspU/Ey5v2N2OFUwSjuh4Qzu0Z0ozjKysL5hQfYBjPprp1j8PHc4ZKNTZUwH4I6vM5BSn
yYh5ydOPxICgByK0CqEK7yAnD5fE4Kkj0XhImGz2WKdyfnJaDSaMI3tHC6sBesN/KsP+jsAOa1nz
rNVYHplayi0WIOdDcl60uefeaWs/eUGfP4g2uNU4MENjil8KZAIroaLgGACTQ2VsQ9bEpuC90e8y
t1rSF0FnMV+olN4TE7ZD7IyvaVvIncCx5yRecZSIIc5Vuss9NdHtsBHgBmm2t4v8hqKvO0Vj/qgb
ehqW0tWpcOB4ut6TrTVckyDtLwP9lFWsHGcLcUudsLjkB6aRByMQGihFweW+UMNlU0N7PDto01zw
RyGmnTLArBU6xkPXGBnu4H6rdTgd7NnbddZ4cNRYHwkiRIJoC5c4heQTOVYj1xfN1EN0XI/tk5U4
cA+oyKL4lMYBLYh4yWr26h2UDwZqKdZopBW6rEDtxOiAEy6/Y4pg0A4ChEcUgzWzW9XsGN0vnfwR
OacqsA8raD38/2YKH9YbwL4ElACFTmFwVR/YEG0rOpC3J/Ik2I3A71bt2fDmD8O0KnIA1Guqy6/j
ojRrAqSZHjzKAUzbWnrdU6nmd7fA4enyoLiJHsrc/JFCijMgsW2MOMQwPoF+ItfxRiMTf9fgvKBz
AqG2dBTnLGVIGcMrpmW+ERFnBoVesIWVCIQHbiuXOnFlcfibchJgH0AtBEm6qSwHvCbaXZ8df4Vg
DyhVgeuirjkLu00BSmaXptWwDuy2O9YT8mlUVnQ8Whv1B6q3sx3NO5ZEd7VgK6/tlKZRUVCjzBAD
7RnyLxP70J/rbdx0VwMs/cZw4x91l1Zb0FclRg8MMEVlw1cKoVPDt9uVhvsl9+pD6Y7dNrEbQfNF
+/s8QOlpjbCb20B+SnJqRvQ4m2mWCU6HxDm3GlED/dKtWbPjqu4z7uA76RndS1cvWBU3SKh8Yo6U
wXoi9X4/pflDXnjtBRv8vMpbB3qsJ29zbwNdRiyVthpfDtrYNPwYXaDMSFMLDGwb1B7WimrxgbRj
SvpymZnnSzyfNphhDljThgFrSzvSh8yIBY+a8sCieMzj4BXiLumX8/xSVq5GxAhT3XEQDpqLql7V
JQTq0kEtL9ON02dntOftOjSsL43dHOfZHwnaIFsisMEfdGl45kQXoLGsYcOtH+oPS3Cw8j24w7hJ
HrGUxLs1IqNp4/Vt8IhQnZXZdwzP83pTaCwvQYS+JErzE7Q588whfIgDMmfVXB6TXuabqQkeDcf5
UvcADmaE3vgQ4IRGP7i6BGcTitI6OaXJbCFA7o990xs7G6F0aLh6B/i0RSo/34YxQDPfNAtPwXA2
nVLQZFvzI0S3vZuT9rNfXpoQuVExOzNS/SE7IsW2NpSwAA8QUOx1WL5SAaHGn9oPDsDq3tmsekgd
V5fcml3LCOtghPDJHZcuY8OZKjh47y2i3VUDR3HTdkm57uTFhwC97TWJBLEoKeqVJK2sujqJTB4q
fuumHK2zidUELna3hxohmcwMTAQgL3YAUNeRBO7WKIyPBbOdjerFqZvBXyk/DZAFL8iLwN5FEuWA
joyM3dq547Y2dtE4l+gSV4QUiB1BazgcbIh87cRNYzIDyF5jbN8xmTASRSMkFpzYoV0yR6RN1LUd
iGCjXZouqU0oZ4AMCE4Z6nddSiQBngJU39wCwd2n7EPIeDkkHAHRalDYysqqfk1jxkyWW02n3MTp
gC546yfU2vkEki3RNroKhS6cximS9reQivGNGuugvfErEBZKYikOiV7muX3tnZlNze8qJ3UgzYcX
1NHuvXEgTnp6fmdYRdJMhqLi59+qqjza2EEVn0iEmd5NC7kpVMynyjKy58wyDz+/aLSRu/mMtNc/
/1b7PpMGvB1qWXP+zsNbqXCi++x1J3v5V43AaNUDNbzORji+OYZLeJnTXXJG81SpydvIQNoP0/dw
9owH2zS/m7Tx3iuF3ifK2Ed+/iGjx2TbBU56+PmnMkfP19Zdf+3QM786U7XqCd9zB4NWYa/91yAe
GH16xjNYFv+VwzwLzSN8m/JpCuXAiIxXeyYTijDz17zT3jHAi8kFlXScELvltmnhyeLCAO0DxQvY
L24IgUgSCYL51R8Um0qSQBvrCOtL59cpaOy3xEI02SZ1QfOLOoPiKV17YQpvK+PccjT7Umxq4oPy
qtu1LhBzr+j5KxVLLyNUF7FtWn0TAUZ9TrAP2n0W+NLhZDAheTNNbAEGwY1t+SXOEG+6/QBMnlZ2
EkXOU24aXzjh/VVUg1syevnQSpe9gW4vxVJt7yvOr52rLr1uSV7Py3Mo62Y7lsJ8d3yuPGWh2BIa
4JA/ayCdUnuAZyerJdU7r2urZ6jMJyKvzKPMsaE6kx8dCg90WZvWxvtIzrfVv6HBNO4tXMOnueU8
D/wfJvUlc2YqQl6LGjc3Jl6XO8f75H5QlpXbohjUIfTSbKfj0t/TiERv1iL77bl9ziNXK4rvmHPK
HZHyqUrvw5hJeuFER0QH6JWWNnBlsDF2/oO/OFdlcDf9mrlDHDA6gEkY1YB2dUR7ltDSG4mrwScn
iGBR+DQapQNtquts/I29onABh9q0QMDKaiAJM7HHUyMX9K+VQrUtsaON8bTXQ4QcV2t/J6gF3oOi
31v2EB7EBHcrGlIcGmYybg1EHO+tZ32K6bMnOF0OwyTkS4sGb9eAfNumRjNu8LEhBnNRxvpFvrKR
9u+xPU0vvQtbPJCzR+5LhLG4UDHhXaN/ZJlWa1gczNf7Sx0TV+xvEE9/yYQObvBuGTWwMR5JMHqD
30DUB/d5mFZyfuw9/aVSTGeKujkj+DQvKJ9MWmTcEhs9i30OEBLnApIrJJ5khWI/SESYX1vWM68w
PCRLH5zY3RIannybU8tdFRpFmpPR7TRGRE+mMQ07SVPkNe7yP2Rlqe9VQ4noF/6H7UF2Vx4rv5Bw
adIKwMoQeaB89Px5QC1mZIb1FcnCzms4bbthURxFBDDa8W2Kyd/E5/nWCqO7J6Zg8+1g9JLtBRQg
j29FnbyGJLq9NvPY3RrUJ6M7/aAACa8kUnUv2bqZ+7NRGPV18jtaFk51dolvvsDTqIvKuvlQ3DCK
1fef/9ApqRcYZEOEFuW7zM3iPNh0c4YKCxKx98T0LP4lSMWbUTjiigkfWlcXFDshFSF3ae5BBvdh
S0kTavR4tx1KasvTlGRxcC277msBN3msPmHm+UBSBPPezYrj2J4sIOvrluN+E2bwJaNSHd14P/X0
6qKlLT0Gzr1xe8Z8ifuuQ1qpY+PczIbgy7gb+l2PamjoGaS7LdeglA4DtWx8ZyaYERMnXnSULQve
G07aF/iEq23oth6c2m1FQbMuqvJYj8OVTigKoYkgpwkphc1WrLE6UHPRDqloZnXsEaOY8osfcQOs
eSsPCNr5WfXsAfmH8hbMg0u3BkSW79vfq4RSwPWgq5AFf8P0Q4Q7M6gttgnztBSeVuS79F6K8WqM
mnC+8lEDQSeGwh2PDknOBxMpx14OQHernLuET2uSxCxnK5Bzy+F10EO2z8Ah0CBHeOJlj6KQlHMU
J67fsajoz+Q+giSycTdpqv5wmTJchcUnqgTqDyxdbPczwiLGnlzk0QN7ykT23bhXmyn1GicuEvO6
WWuuiV1OQWOa6dewDg9lM7f3Gr9gFHAAjgk+5ARknMPtwnssvbL9rjziRqDgBBu/nYpjGOsVB0rA
fDdfhj1YggNEM1t/8r/GjWZkbXKoGbkWD8im3oaESdwDSDPvlem1M5efMQQ6j3PlfhnpvHtTUUED
6hgdII/ZObLjfjOD1fWrNedQfFW9tq9Sn6IKC4iOVYg08gftCljUFULjoXSPyCbWwh14KcpnkxR6
5FPKB6vmZHdr7LdGCwkaGlZIzFTJfVz6+zkmyCCAfXoasio/0jsuLvmYW/vU1fmDG7DEsylnPRFP
z8SRMk3yuxFEtTq9oddNzg3J9CvuRC25ClKpsyS3FfE3mpSgEA0R8QUSclWD40HqrpDNrPIu6K4i
NY55aodrRa9v5ed9tR319J0WPVRqTRIWyvU/5iWvCXZdsK2LRVGe4GeEprqTpEutaoR33P6Sd+p4
+Ms4M1d5CgmGSy4HVco0v5o2jUVHmLvDlYVu740A/ENrtwd/iTCpwZou0TC7xAPT5M82yG0OndnV
W6Z3b1bp54AbaHQllRttqF7iQ0ylkxOBDlvY+A49tqowNLYmI1SEt7e6s0pqj7GniTlM2wCsDU2y
urw1YlFkI9EGjgCVxiPEYZ0lvreNEr0q6YufcnrcGa841zCChYfWtG+CfiajbRcdVEs4HnCktJM7
cwJODdD6hg2OSRKnB9DvLZEiHYOQHqaIqv7gyoyP1s1xAZpcGtAM3bu8OabFLFHUEHhE0DYm3lUM
lXYLN2XbdOmT51cDGQU7xwShmEKfY+5AtFKdA0p0Ukgr6XiLlrkFbnP7gKXkM7hSze8cCLPIsXeg
nTf2/5KS+m/CtK3fkoYdT/mOZVkISC3XFJZj/8cvYdpttHxoQcFtvyZ5a1S0TjtxgdmSbbhYeTt4
LcRna+8gBry93LF37KNLaw7Pf+Ppy988jlhCTv8l3Ht5HkR7wrZsV7iWLX+LmK6knfq5VXCggCYF
UrL8gtFwb6B/XHmnngLfdu+VmaYcOzcGilxLk4odYYEj9zDuZW+8gclPTsFovJnxSdQlx0Rh3TrY
vCu0YzQ4DPcQNOPXLKBHwAxt0ybtowqSK1TLjG0S06sOiHDzjfajoQ1cd3/wcnzpSiivmZu/qn64
5SO3C6svboXHis8TOHGB+RQ0w7hLDPJSg/4zYv4eZJxRnApTvGRuYZ6zsHl3OmcCtdmehUMH2apv
tLRr3hYazwrKwdrNQwCuCHuvqftsWNxJYzpvmyZ0P5v5mw5bC+sDVZdTTHe/SGgtNq6ztWw6QnYl
niTzuiFDXeAPOeS3vPhUG/0JoRsBC7g6tthUnqay2CqqnTqZTKoXmhZZds/nWWDam2lDLMT0FtiK
IgQHKI37kBYFLd8RhmCKZZTxjHkA9rouh/jNCeZyG+N+Q3FSSuqvduslPUuzoopxZX5wFzdHaEQf
ARJCMh7bbxCxbplSI3yhxtxpZ9gGbgZ5puZ4lZPziKb+KMKWS0iOiqdy/Y2T+3d7ku8aAeYuc8Jj
5KQuYxwr3XGneC5ScRRmByo4SD8UwyO4qrDrFrMuZhwaaC5EbSnrP+goaRw7xaYr3Ae3HBkJieHS
jBmBsORTpLmbHsflZIQov2KsE67/+vUW5u9vt4eU0xLSdy3TNrlb/bra0CiSHO5F7L0etk/GfzxF
Mz2BA9uPQVsd+9RVx5pNOMN8uG9I3QT60u8aFa2rvPmMf/dJm/7ZMHBbm5V+UGZ46VFGMVO0urUa
AgA0sG+ooPKVYKa7tui44oSEEChCRNkMp7Hn0VKb5ix+SF/G0LI2lXblpl+c39IQGE89RdUAKZWS
LEEfFHytMcz8I0r+n0HRv+Qf/1dE9f+PsSbGWpL6/D//X070n2Ksj//nf+c/fs29Xr7gHwHWrvhP
12FCTHS15yq2SLKo/xFgLWyirX3TRDzhoTp3FLvqPwOsLf8/TdN2+BLFZmpKSbZ1W/4MsLb4Kts3
0bz6liupo6z/ToC19fu7zejad23XswlvFktW9q/vtgeT2ikk4zk5UUsbJQRZNS+EbMOKr+TlIo5B
mTdWyKADLKO0DO3tv3xW/+4wW77Fvx4eyyNI2zYdE1a4S/Dyr48QtMM/H8FjpKtrQy5esH5ba4Xm
3mqYD9DUnPO5A2YP63+Oqwd6HPTZgq5kJlAY8G28o2/qDuq9Ovz10y1r+68ejl9E9e3LU1yE7f/6
D+t/1Oi1RjpTC4sfssjcIrL3FVFSpR8XG8p+ygvl9o+zP9z++hv/6Yx3sEVZDghpBiYWfCPem3/9
zqEdjKHwE38Va+JJ7TaIbzLGKi2x9axEN9xFSlOkHKcHWfv1Nfa+T3S234s8SFcwcIO/2QXt38/4
5Xkc+nokp5s2STW/PU/ARo+IZMCAmNY1cqiErR7jFLllETJClDWDl07nOQzPaQ0Lu87t5pQqJqW1
+YeLivU9g6fcmijJzdG1NxG/ZEqUfj/jg9xGLt2cRikHa6pB47mkxTAwwLmLTPxdtfJ7Yvvyg3iw
uR0+Xt+RvxcrlmI2lk0ZCViu+TJ4RbJFraGPzVznO0beJL1acCl0K3G548nawCJnTCZWf/P7XWq0
X98sHkOa1HHKZg9wf1t5Bh8A2HvfR9LTURyUzh0dPMBa6O2Z4z50ZPZx20LaSFW7a3POzJz2dGil
m//+g7DLYPWR0nEEv91fXzQQoUMuc8tfdZV8bv0KGVqQEEpTRTCLaClfyTi99Nn0PidA3USbMLkn
w5sZa+k///Wz2H/ejsgDshT7mqSSVL9vR8Bl0XJZy+hjQezV3PNKz02go471jZEY5d2g34u4cXZF
a/QQzhJzVzTWj9QZSFWcgWQMo8VwvQnzPZpRAuZS/mckfTpf5wq8S/I3q8L986oQUtrCZETCPmb7
v21eaHXINOo89HCJmlch2xwlonsb5ioB6TOMTLL0p8rpqrPAon/WdLZmLEEUS65fGY8hNeOuj8f8
jtOcFqFNtTUt/kYt9JMb2e1tiiLWc4nYK+umfYItAbrBYkKeM+9eh+2DJiBsnwoMzQwPqus4Q1Sn
LSWQXNeKvCJUrWY3ocyGix0MuYWXWxdkoAw/oGqqC0yQy2gw5UhEn+0jLnvJYOtT7dp30cD2ql15
9urhx4wQ4cSHmdwy2i40yDMkZj3M8mhRcf/1a/Cn+4RjLYeB4mXkWsFJ99va6DML27ak5+AzcvOZ
Kl1EVTGf5la6AmGxXLDR2iBPQRPGFOYy5cPFbGx10UnoXQo4W4Vvn0yBKtOTSq68lqo9ykkvtQOS
l6bpoe59Yx8nszpG3NJR4pyLvDT+6JyXwNLmBgwD3c7JeIP587nXhstGkZxNO3/PjWjcoTPYBZog
Jm6T7XG2kDJ+J3CohIHczLvQCLG/0Ik6If5g4te+/fXHYy2Hzi9bh4UjFwiZ7VE6KM/67fpn0Cob
8ogRqRjcW6S7FtgvH0UPMho/qee8TM38DYqDs5ElRFa/A/5gOaI7i1rhIxTAchAYHf/6qZw/HZXc
Q4XkBLekzYkufzsgKrvHjToQS4OBIbop7W9qnMbbviqCi+Vb9nbMY7T11Wfios0vje6KbUywSzhZ
4VU2YEFhQ520xQvtpg+Gh1YfFsi4Bmk5rWM1kOtBAQ1GD6uPEjQIGKich5ZA1GpSN3vQn0M8TyAp
PeeBPF4uKoUiqC0cvS0+OD6XZn6sh+Y1JyIM+iw5zs35rz8B608nC5/AcktQitQ4j1D2X3dSsy2a
uh8dl9eWMM/Yhx1MTOAawl6zT+JAHmAhilssC3tPnAbdi6FLSZb25r8pWv7NC8KexOLhlOasVvZv
VQsdoCQeXCJAdHQ2R0QOfjB9il2/x8jpuaizvOwYF3Dn+hrScmamBxk5tJUm94UIKfOoIvtvlrQt
xJ/qPA46j0pTSW5RNgKJXz8drovabGrYVpMvi0cPEUNctdORtsl8AvGi1pOcR0TRsCzIhQ/3tWqq
PbNiF7GVk+/HbvB2udKflrvptVS4453hnKmLWvygldGrJ2rAxeFS3jpjVo9CdMYlxv0v++pq+1n/
QG/okCe62qHkfZSRHkk16B9V7CbbqUyrp5hO/zR5/bntS3LMjTJ6nRPjMNV+cfkZls6Vu9tYwtjF
QfXdCUS59hYqe9GTFut5ib6Af20fPJeNGoQEYp9BfpoH8TSJPvkjscmA/IJrxftGPGy85pM2Tso1
rn0dFS+T3TJ5IBY1NdKrmCeJzIm1lCVhRBxo2Vx9L/fXnOJHw8cB8vPnpVPhAMjFvFcfIlL3AJpN
RMgwjl3XjdNeG/WJDNpwF9YEAqVBhk+v0ccaCfxGTn5+LwVyKZdWeGtY0a2uzR6XrU2gK/pHWEi3
usp+9BGDegL62Ess862k6xGF41Pn+foTcyw3E8RojhWYe5lmR0aLbxAY8beHZbpIoJ4XYwazb2Hn
zTUSKGd8mxyohtTuVUpM8InR0Wpqk+JFyjLZDtYLwcJ4wBXSYXQgzKV6S15UG5GpELf1ykHRjKMO
CJjTut+91msZuiB7a7T3tQpGcQ7KDeNI8gqBlt0ZW7ZbwnTGoyy7TcezB7TY1+DT0k05HjDIfSu9
sd0zBtuKjEwZ0uPLXTkV8WPmTzExmWaHR0PvSTEXB8+pyjfTBz1NaxKXJSA6nKH5nS2POI7RHI4l
HsnNPNsWwR09ymwkMFctwx9d0hhgvEZefTvUT3lc9U9J2/twnrJuXzIBw1qoHxhZNg8JxxcghZ//
UDMNWHRw3wHmMAmjxXOEOi+3cZfdG0uEP+oiuCpW4jorlyBXIO6DsknuEOqtp7njZHHwhngwvkRc
n9Ym8W2dpaLPmZG/xmWRvKAZ8Xl9jr4zYB1xZX9CtFNgPO+cXeW4xZlRz2cvd5avVdHX3go3Q3cx
fFcjswMjlGrxzR6j8gwSr7l4U7udq4p4FxuHqkHHd9M1RyfpxDExU/rNAxQ3wg+aNTI69eihtQoC
VH61bCEDYyk/BbPxMiURDpoSG4U0G2b7C2tG2fOjwbUBGeN4IgBT7trOtV5CE5qrGRL4UDf5FrlA
fY7nXO9gnhJsztT2pKn8YFUNL/CSy4cQLudeCsDF7BIg8wZ/yW6f4wXpRCusjgx+fkYmTKwulUOi
tQ+JjQ44T+akGQUpYE8QlLXN4HTA/lpH5C+bpHuGXvJAp+0QN96ElGkCkVMRMTb2nnuq/O82soBj
5kAEVqYFmnRevlHk7Xwd+me774edX9J37mbvYxCxcaC+Q4qoHGurRsF4dHkAsYT42iFaZ0aRZMQO
rgDQ4Q1XH0ZKUQ/xI6hE+ymqH+dYviedMV14Q+Jntbw1VnOAYC7+L3vnsR25kmXZf+k5cgFmkIOe
uNZ0pzuDYoIVwWBAa42vrw1EVsbL111Vq+c9waIruCAAM7v3nH0WxAzlj86VEy8kPbt9/aL6+fhp
GcW76WGBisZlR8LEtePiXNVK/8w8C1VRlBCAmXoS20XBhnWIOmWyqCAekWvZyrlkqnSOkTUeiii+
UtWbIoUJD6pj4Jxl5A+wl1pxmTeqRHmrhOQIQWpBh13lpOQyK+ZIB75KSJben/q8uUCdoKgecI0M
dNW/R1Z2kWXIHNkCmDhBVBJAPZHeBBdDfuUG9POI1ek6qcbkHWoOXjxp/xCKDhymivJTaOFeGVyx
E005RfcQIRaFVbfvIENQwoXHFtcbpI7OM9GI9BAbyaI0bX+QP7mznbtdFu2vkIJ6rCDXgy0In5pB
qdZ4X7P0rzE9+jtoBPNojPYpj8ofZZPJm6dt85FTo09zZ83asuZil59jB6jMKL6StnH3mXR6UNne
8NwW5Q/hp+GpUxn0Gk/9HiSa/q1yFXclJrxj5RPRUjN4nwiQRRucGuMxxDW8TO3hmtdRcLH0Mtp7
1EaRV6ChDATgcUmQwcKt4uxM56LaCVKW48QZj70gpMbx6fQPA43fhsrhs3CCNeMsJOhYVwB02OF5
cN1z10b9WVMibPicBimH3MKNlXqjoI1j/m4c7ZFedcLpuA81+RGrPo22ioISuvJ+Tf8f86Nr2osx
9Zsj6SabFALYpsq1a15luJKn0y8dImtK3fkcbO9jjCkDl92xsh5ZMsVy2Hf8pNqqn64jXattbC+7
2xhliKFRdnbjwhoNvsPxGPciJY82TO2bLcHpDemo3qPxCXqIsevzLNyYdkSosWrrG6jx0SLr4vDh
y3Jn05RugODtDY50NIuQEHvkGptEEHnYeE1BRFPYL9M2JQh4Qg2C2yWDXQLTqURQPduhjjt8U+IS
+BnDo0lCYiA5CJ4r2ZAVIezXsAqco6Zrn1yyvohfh0LrkgJkF+MrpT93Y6VY83BZYG8pQxZXsfuo
FfVBqkCJXejemIFzqqmGL4I+WGdmlW9l0CLULgC22gbuTCQvK3KAxJ5BjZDUMakB9+HMwwHkLplc
4enxjORXg79922rZySIiYmfUGO054vqFouXigRDeVQzco17yCEqWYC1RkWtic6IdY0y/VuH/LCo8
7E+RA5CaNpSF2ovExqwNi1fLdz5KUZeLcrTyi6ESppW44JEVMGhoTHKG8QEE4URGXMgRudpIbviy
w6mOjd/Y6bLFVCKLLVccQI0Z/esk/+IQN7ZVgJZYt8JyI3xyNbGtrQtfDm9lyQqn99PiXBrVJjZF
iWLI2XtdndxIgLRIfOL0ccyeKODQe4TRZNIbRbUlE09DY5qEO8+0BEjjVdBa3sNrcQUOcfAcRDsd
b8ZT1uKhTCNBvrbZe8ucks57WLjOoquLXc3cbTdfn5SO6UlFfjj1IrQu0dRZmjcWYpiOBsOyZsq6
1BSouotIJzfBQiGz1lIrPmPb1leaomMq5cAQFTafseGyXcqfgC3BGcZOfyfCtr/bvg/TAHdpiE8v
GgObSRWNfgscXoEcxqLXZ4lzh/W0cj1rW06LW83o7IMikjPIS3lQe0SQrshBIcXVGWt2dbOhh2RQ
MFfSYmwWVjM+Oz2QjzqGx1bnfUi+boOoDGfWJqEUcSBJEB5WnR6VViRPJrGfC7UPineckWCDuoqe
ljQ2utIEL3hhcN3kGv3qHiCwACRwGw7UkyeRtEcgem+xWrM/PLyL98Yf8DUAx9q2o/GOmyN4rt32
uRk9+Uba9i0wiXU3RsT2rICVexHTNR+SQewHM3uBAeMesAhgnlMhjpDxs6gxE271zDyHytjvY2Go
Z41O0dYkN0VTpHWW04aUpHabq9ZbhBhVeupRMbyj7sTi0I9McBYa05N1ZUzZgwigSeuj1aLmhQLa
0Pc3SqBqC9jSqyCHOBP9a0M3H6iZg5HBDQ+wgULywv+1IRt6C30PbrCKZr0nng6mZlmd01qrzj6Q
e8m/hQyvl1hr7KNGkOyRAKmPgSCv6/SHPTjOKs2jBn5XCks5dfO9o/gz/Ulhxkj/ekAcQeKOzxXS
0huafbi7ijLSIdcuKl+lYTfk6iqNInvdF4ZzozTwTWcEhXKCayfru4SvSwDisvSph+D7S9ZqLJiD
jC1DdRSYH4WLykXCE9Ka8K0FRHsqQmEgN9S2iQ15JitCLknBTyd0/W/uakCGgr8qKgYcerFJiau0
gxcPOgxzrurSSI0GNTnEz8WwoPoRPPPjA/SgN7flIMqvOomrDNTRZb7VqwZ6qxZhGs16gG0ZC4ra
9AHTIGUGZiqLdkdooWrL72GODNqXXojOgTyIHrglWD6g+3Vs3KtRcLWxg2JluvZwTCwmJ6rHz2No
3h2HYnSq+/SXbRj9IaiG4aY2ydpq8Ds15OPcYqUhTl7Pe2o+zjp1RnPS1zrt0qwRUaR2+1THXvKk
oL1YVgBB975pbVPYm09lrypIBlTzqnQKVbgU1AbBwE8uR3BjGs1ZMcL2nDuDOLbgIIjEQo/h1elu
tOnfl4V2xgyMiq8ttXOfr0rZIbiSKiGojKIWcaFT9DH0REaSIzHC7taojW+JmaHFDespsrRiFROq
5GvRMnYiCqptBdJB6YLveaNml1KfMAx1gWnUOxjAbIBQjdmtI8gyc5xPpnrqCwuqVWga7r7rJ6Bv
PCUJa3RuIYYYK3PUWVKU9IF14gt3PRV3cJI5/O7E805aa+A7hSgOZ4LpX2Ixc6vHNjlxkbARV4Xp
pFPINlKUxT0dDXjjjZH9QDS0EVpjbSQa9WOGAIZVgSQniBqpTo7N65B9ZS2pddh9vZPbKNmVqZqk
Mxpi39UtIunBj2w0dYiJDjLH+8TQA/aWb4fkl9ramKVkZ95EVg8Exvh4pQHO3WKXeAkQOU+9DcnG
LqgbFBOLUk14GjE25WLsmQWQTGtPX7u7R8CFrJY9F72x1noQP/OCx6d+SLBBvutN+aFZHpwaP6kY
OFn76YXcWFOoBwEV8phr4ZutqNkuyeKasYAkAb0smdSB2TzbbsIpYlYk7hR4cRDTqqsiIJy9LDL3
qvRfataYj2HaOPWR4CrnPt/whPdM/oF10UAZPiqDuqjIzeEw37Rq4awGdQi3882GEB3GF7dazTsz
MQccwwwb+7yn3DLtJ7hBJyr55mN+AZG/Jb2d3zdE7V6aPqN4PX8Si+ryCIju+PtjNOBLuUg32/nm
/Jfhhdpq3tnv502v8IqO6NYYurAuSgz6VDz3SP5P4C/FEiU+bsEW+udA9X2Ja/yJmhNxnAaxGNSH
JKJpG3spgZFarDwkor5HDZ008ovuNt/Vu8r3PGoJjpqeQB3FX2p5nOK24qalABxDzA9xdbrp2pW/
LUHereebAc4Zrh6SmPtpv41IozMn06/5QUzAyjUYJnw9j813OQiVhT7+vtEn5oGad3H9/eycdN7B
Gobfn9PyqW0LS0UaML1v0joluGZP28w7KzC2biv8xKv50Tx0GaLyDibV9FaV28fAw4bX+ctqjRI9
xwamcK3megQrntpHUd7nV7qpegUgBSJreheT9c/kExuP837ceirvy7TfzY9GtJ3wmNfKen4U0gkP
QILlZOa1ourVo4fe8fdnYBGUPsmi+f3lDFI97v5AVNC/fgoxdKsOt/jzfFegiFe1dqLLvC9fVfgq
lqkd5gerGPdeASjp9//AKlVto8iy/P05mjSu9vz/2t+fA33weNJAv/x+L88dy6votN//zaRw1QdB
oTjJiktoZtjCIiHOfzY4HOXZxQjIrLU+/e3++SaZMgT/xu6bPy2D5+f/7WmVQhiH7RqsUQoTy8ff
nuMqKTEbrbmf75/38mcHfR9oB7cS2z93Ya2iyPmvj1kNXjohGTAhznv/s4N5f6WgkJeXiAvnl/zl
ObEMy3OLoWHa1Z/PFHXkoRFbY/vbUUd28ued/jwHU1VBnDL1SbXCPmT2F6SuyUlJO4P1ZFMnJ3ve
xCGGwfkh34t4PDAhh9BLXP55zvzXvJmfMj/5z835r7L2L6ZvUMicdjLf9fe3M+d3kjIkfaExECn/
+0f4s+u/fMTQLDAiE4ay/H3n/+2t/3z2eZf64H8XAXLKv3y9P/uen/LnrZEbVcfRuc73/HnWXz7B
X75FV4B4cBMWCn/Z9V8e12zUqF4UIi2ssp9M1rqzi9X2pcqZYwZQJY5kVCYvSY/TTcmAvMyPQhAn
spiE5+18s1a6cuPFmb6enxyNrFCKaVLulGn6YkYS22nmZ8v5ybIzwlOReOVifhQEe3vJavXb/NKw
G8KbEtSohHnlkMXuvW1f5tfNm35kEhdl7X2+1UXEVnWtdv29p7F919ua0O7pE9dO3uK3CoFMzbuS
jFvSadV/fgEcIysB/HiLFCZ5kRIsXxnDc5r3yxCsEmJmwiWYXltoQ7tXXK5p86Nt4CA6mMr1gHfP
vdlVDzdDkVCNynCDb59i3qzsXVqZ6lX2MNmYfGGCZG1Oenb2ZQzK1+Rwe+k67LqKKIdjKuPyjP3K
hZPQmq9uLm/zU4mxPMCpIgKN2gN6xEG7cFLWBw3u1aZ1EwPUd0/GSthnX0FzyBoj+YkVwFoQhB09
O0zktyZ9hX1idNEVcfq4zJti+K4N5mrev0ZeRe7FHmHurb7GHuSdvCq0T6b0qU43ZfIaKM5j3j3F
yF06OtmH01GR9emnPeHS9A5mVKfbUnGTe8aEcDHv1v0Mp7namNc3mRMYMMnlSIdCErysyF5nlqKf
cch59wDH4Y6QeH9JSQOn2pga1yzSqfvkindvAy3YR9SCJjudd6ej4N9tN8V2PBTnBIT1c6meLYV/
s9nH6VuqKColCvrHSDCSSc14G3SmUrBT5c3KnNt894T3x4zeifV8s/Po3xVl5188WygvrdSp9/Nq
IRvrkONuosmQGsyFO+k+9OpjdHJ9bw3YCh1GuUWk6eknadhHC5fDa++GzcZ2MP03pavfFJ/JS6rm
6adeUKL1HPHa22axSU1ge7HXjzfMUf3vfQiobUJLnVc1N9INg0x0iAOjvkEbH2iWsQ8oE/vKU4tt
7+Q2qmDDxq9O/CMI7eqXpQE1vFcq5V6RxxrdG4MU6ESxsl1mpVdQmDVwsP/cMLDUR9FmVMDmOxWW
M//8k8ohxmtm0AK6wyEfyeCi8XtyW/IPptDKaWtWHRgarz+NWd3vmrq8zM+ZNyy2u9P81/w0Ac2d
yB1VfktGYurmV80P/N7Vn9vzS8IUrwpOQ1y5f3m/P7usqzTfyaT96asjnVlrwGXu5QRGAbpkafLa
2mpwJtobi6kV+q+G2nDMEvyzrovcew2DCk+QlPauEtYx0gZrVCgYjMuMBImbC2jRlnV3xt2U3zCr
R3s1BddR66ppLWgQYDsVzjVxGzxPjvhlaEUUbB2EmXjJjaNXCAgUU4Vg3qT4skylzZ/ruqXKHzvB
ptTz4jBYdUF2qQ+2OLK7Fq43+UStRbVxoFhMgMJoYLWkYRYWjUE8Inb7EigjQ3F3Ujodmc6I3lKL
TfU9LCUuxz5FNRMzEyZQ4pFPzvMAV9ZK46RaAr2ADQIXpHVf46joVk7Y4qfw4hPmBPMHiNNdlqQX
n0TaH5Q5di29zAOZKhNsvUB51rNGXSH9fVVN0tm9Rt3nSLyzGM9DjatKlJMstlrA6lXWUABIiXWh
YXvBxhz0ejEa+MZFC7MqbQKJwTKhglLR0FDveEEUmmkkxUcGxrHI/5bWcXaM/REwgEl9uu058axM
eeta1otOgpCXKxjqKdbnUyFr0XdEWbJGMfZWantL0VARwvYS9RjcbUutl00KPHjQMrK4W/rdkHsf
HTkfO5JOsq2BuKnVErK72R3eZMjIQ/5pD82bp0NVliya1lz44OhM02/DT67W5OquS1MhuVdtpky7
wCOZeVRxX1fte+xiopGD368ixPF7kddfJQG88LvaPY6C1oqjbdLjCxyLiQyPJWiJfLNcYtMp1+jw
SG8tMYCI+mfntxsfwNeb57iY9rWPJmi6O5y6ryFrr5XQvWcP7fmY6MPVHYMXx1C+pJMQDgbGN+F7
7koahGAoRLF6UYNeQeHLMoPa34s0kk2MGG5h2skL8Wlb2ZM6UVHP9vlF7aE+OGrq7C3yLvo8eCPa
ZS30s+Mr7tqvsaKlhKMYHZcjyNtPYcS1aaKT8G+PqMkqevagQqAuSwCQK6pVaEgklwp1G+oF5Jxm
iqrtDqqBhsaUPbaoxAYmG6s7KjWXroHuqonwIHwt3uhBc9bC2l7ngpWFR5FQdc0SPMyFGrcB0rAj
sSNFxV4BUNScYlxGGYeZX3ocb4kOLqReG8ilF51DMJ6DyH+Fkh/ZoOniChvJ5zatXzpJBYsyWuAX
5UjilAPO9RHr+m2oWGprZNsQG77CzFoRwlO/ixIXDKPEIJm3WHxPSfLL1s7cV+EV7xFHGjRFESwV
rXgf84okitb8anWN6vm/NvQPX/zcBCDpKRvEuxYSu/CtapLvYx2Dk8wNSn0iJi3XaJJlSN+JTry5
RkSFYaxBSRVwxYlypN5V5d51SYyG5zOlptJL9iooEgr6ghRgcghiGW0RSeHA0/EzGlTdcviqOJMo
V3kIqpaeAdSImDvtqVf0vQuUkum0D11R2+osY9kdMClF4Re1BO5vS0v4z+r0YTSc0AVuzC1ecGsp
cT/oQb7WkosE4Q96y16LiClfUF7alGZrggPZKLzn3rZ/oL6X2x4J3zq3zVOZ2psi6B6GogGsw6+7
DwNTpSugP5hA32ufxpUx5vYmUklvEcG2ckgYJ1h1Pfro4is0aIumYRnQFCMJcpkFhsLeGfiVltmA
zTw0bwWjLYiDIl+7eMcxKl2MznK3wGB9uDHEnlVD/lao+peTvLVGuVUT8xLrRGYqkyuo8t13jssK
tCJ5i8l4rCXzI86NTTCayaIgD2kFPWKByGnrZ4V3qsruvbPSoygF+ayW/uameYvrvP4Vt/G5p4BB
GJIKcSsJt0IxP0vJQdnaVPds8TNoSa9qMu+nGfA0S3HOGDcvuNlsjCYK0eSCw15gzWZeti17QMFR
3mS7sbTtVWV1yiZP1a+0H144E7u9Yqk5sN7U2tcddfoo4NwNCldfGe5obDk5io3n4h5o0+5XKw5W
E8uLEPypeucqHnE6Z+OuGa23VuXCpvakQgzVpW+j7yiPPxNPvAcxoe+uTCciY4ghjnj4xu6/hL0L
iuC7pyjPwZgeYjrSTE7Jsdbq/pE4AaHribNt6IkbSh9CM4seFemAaE6w16RGjAcjGeWpkeKnKY3u
KDD7vZQl0zIzNH+MnoovtiDgL7U4NNNOcOWk5+j+kKAwOlWcw2GI6GwSagGiqFnU0g8fCp0Ol4Tq
i9snFy0TJnXrqU/YGAODwi+wbjK+IPMLjoJ4aWWUHvNPrJZpiwzXTMTFjnwak0blMmII9zyFy42B
Tg07H895YlCTGcNuDaThaezkyWMacSH8B4eOMM95Dd6ijt0e1lNfrKCFA/LxJVC6yH4rdZqM8KZ/
2W6+LeJIrgPbEEfbB/6v19nT4DC8oqAlJiGr9gSg4enNpHE0knvBhPQVOg4LU7XIVmaplbfI6T/8
DI2zoQdyp4QQXwVBxkfaovecbFMljY1loVMyHIX12jkdHd+6vmRRXN/bJs0WwhyeWvgMV2UcWIvE
TNM1A88pUYzLjOLIKdOHnjw/LCE0KLHSxt/SAO6S6UTvpY6c2heasQzbLNgWiQZ1RyHZW4byBBnh
i5wgueFqnC/rhhxU/oAkHVhbBEsfjVfHLBFVIlvVOlvpbThcjbIPcRba+sEOM7CMdbN1C3uvOqyy
ai8Ty6YOsPPIFka7HxyDCi5MxDJOd/10pVsJSCMGkEPlELM6at3VtMv+mnY+1vEeqqxXMLdNYVsF
qE1L39woRuS9SF/8El34MAQkC4OQhUWv50+TV/JprCvKF5ja7plqtxs6E+syI6hERUm/LgqtWEl+
crJcMDXZNaGzXIq2uqoUWyVJPwEDMAW6ZIjqUbPXGmoIh3hy6t17P6BXLYpgOJc26cFhl68htAjw
HwDFZr0FOtP4XOqr2Bs2lnCGp142Lo3zyt3acfLLamG+W17+GiUsL8bKSZajnaJQGqwIIVMOlmrk
Iqr3I21rriVOg2hztJJTTv141fdCWdbIAgiyU9/z6Ksv437dRp+YKcdPXU+Ojmg3Sptq73YdHQB3
nDq70B4YNDvCq9G9yqMObuVe4pFWgPIcM70FcCTh93BGO2TyiWfYQdEz6h1fUGxwNx4hNU8YTQba
851/LNDdTASyml66tB8Z1mtY1kSX6dbPse3SkwcUBYnYNKWowk+YFPaly8YrZuN1aIM94XpAOkDb
0yKp3VNp0XSo2gFscCO91wj75iJH7sHTcK3Zo55Mfkt12xh9syv18khet0Nh8rMsSf0Dba3zK7dU
D1wVqkyBX9tyHHU/pmR5GYpX0F+OMxB4Ha2WQQUYrJw6XakunnXWqyp/zsyYPF7C0TzD8DaUERD1
Z+bVzwfmpHQw9pGnYYuOtWpbacAIOydweJ+o3miWIQ+D7u3ywSZUoE8e0bT80DHkd6hf13Ed9EzJ
sYVarWUty6wGbUxD6EhXH+GaAnWjQfWyKbuwvbaCarYsEB0Z1b1k5vJBg9JcEXCtryq7fYyt7+/r
MrthVh0uOFu4KKHh2/nknwMeMp9anP+21hA1AXEjKlqAMZryDZ6cPIx9Dzwek88iGEV5AgX1lPnq
IvUc55AJJ1zYYHdOrtZ1+144/dqCmkyuQ4g5mL4l7EfaQHZfrpWa7nuSc8ogp/ssejXYeW0zFebJ
xUQeF6wV0z109ngAmGbsKml8jgV0idpRq2dkhJgmWpDSExq8MvdjGSn3WvWcteEYZ0RO2nocUCSM
+NJOtTp+eky76YzSfCGOLFmVQdXck5xj16uXUao393ljmoTfRptcc8J1mBTVIa658BLmeNKq/NJm
utjlcusi3lpUTSdRsPvXuoJcHJnRE8ojCIUWYuBG14vrvDHxzi7qDhab5JFlM0wLa9kI85DIaJU0
OHzjoWzXQ66BOSeNdN00Gr+XlDfsqvQ1B5jAy36ZJZaxY90BKyDYBFG/bXvY9fW0GaJELoPI9tYl
0KdbYT71Aqtwjbkb4a/WvLhGka4lc6c10XGIkaT3oqs6WbNxpr6UVgajLVkPwah9axkJQVVU68Ac
/W2VCPEy3/SQBDIPiQiTVnTvnZnQMimLFxYdxrmWinmd8sNhg3cIdei8pFGbPRQFZFVr4NNv+m/E
wXs/g1UUJt2myEiNy6rqDUE9kX5OtWvV7Ng7PsvIUrvWmeE/hd4iNGilB5RHL91Q+QvN6rKtEspv
rVJ/VmMXbIHzbQNqnAcj+FF3Lj8fcLSwi5FOAHc/1ugBLFQzLC5N69z3UJupiikrKVq5TrOh31U9
+cp+RcsHh8QW2DiwZysQ2xFRy8LzHLQCzWBd+uoJogDCQRwKGw4QYt19uSPoSdkqKesormXeKo1d
bU8yzUYZgSg4BjMkCip3M7StZQsteg87JDkRFgdzz8O6XcXQwCSL7asTYO8vtFRZWj0zmBqj+Kbq
lX0fBYhE4ogoYwl2v4xjUn0gKv33KvLJKvhXdT8OYkGXQzV1hPSqbs121L9YzuAhobJ1SF02pGhO
qoi3MtLDXWhCsOqgRKa1+rNVyOOMlXhb1TIA7dW9BpZ/9PV9i3L4KMMO4EfAcUtEtYTdUuj9NRuE
f3bBmkwxLee6gDybmb5OYoQ/WcRrYgy1/OIn7pOLVfg0+tpqft2gpx9aotuHEF6WmQbXOoRdQnPl
KxGjtu3A5e5Dy8ccp1bfjAa2ImUm5+R4Y7SqoBkS/0oWTCqrY9vS7ApJlogaPQXrjqRqDL1nrPTt
IcZQQMIfM5oibmhHwXg8JgOM5zBVwTqOSDaNmCpaq7z99z/3331t08/tCBtKp4lWWmPd8u+y9IBJ
v67AWoTZNQkoMvE9wWpDcDIzlLaBkQ+HUyVtGaGDrtiEbJKyvawqjGGlZujHwCFhJiN3QDOE3DNp
x0oJBpSkQ1ZcOoHb9NRTzMlJZW2L3r0Ri+WthuhWZR5+8P/hu2D+/PuxY1osVoWlTn58zfyb8D/1
CpnWSGmWsz42SutviYFIM9Yd7ywSXUd0XRH3Mp0R9hAfB3AbR5Re2kXob8XUCEr62t04Y5MfhdMg
3y2y87yBZVxYY3DWaFSfhgCvfCLcp9ouJxw7Utxyiq5Bwg31tkVWyHrJIkOXgtLgU5HSGqd+bnEM
VSNjdT70P1pE3Ez5PBSCg9ymXQ7kLDXUG0K3TQf6o4Oo9cYCGCAx2kU/fMIKQnorVrRgRcm/u3ol
oE1VfjijcPdOw7IiCDR1E3uiWeZcFxdDT/QdF4d2Pwvn4mkoIAsAoquRRCuX8wbB7eggziCmQXfl
uZoyj5JfI9npnf6WAVJHXdMEW0NGr1SqrN//4a6Gl8WImF2aon+Ugx7u21YPNgJWwMaK6/7q5UxX
vUj9yLJW/04c9UmzcwGCK6zEW+5OgvVxodZlvRC2nr9X4C/6Ug+eqT2VG9IwCPYtKXgrRbDKpuCN
ELaVhTZw31C6IkWdyWRjhPUH9m8cl6xTq5+0JezlmCTHwmRGU9cdxK0Bxb6jAjB0zHHd1Y5A/lr/
yI0kPKRVtm0opp5iXTtGUoMJIMKdwImxsHvm6s0YGxtYYbh/OXERrXy0CdOA6QCfctoLrqyHNBNi
FaJmwKhP4CZ2FElJfLymuvODL5iv9KEAB4/QY13YQMZ7PSFfUMpvrA++qEeWhxxM36YgyH6dF+pn
GzAH0KtI3cBgR4OFwph1QfzG9b8nRltuISE9Bsvo3qqy3DO6hSgEfHe64BOyy2dS+KA51Nl4IHvk
npc1VYoMs30SFXevdUi6QwJaXeOGJlAZldv5EydYPk5QJ5clx9JUzXJvqtGGp0Ax7g5RQhcpDXJJ
2yLZmn7/c15yFTGcglpB1tO+9OxtM5/+Pisu6TTq0jDGnj1p75lKkLCcjCQZEL6gQkbsERGdcZXW
VSrdpf9axu3w0cI2AX0+7Mve1A+NKoI3USiTAvCk+GVzrQJXO4OSXNM/e6DE8+9WDwAw09G5dgqG
wa4EJ66G+Q1EkMTe46eWfGEo/yR0c4Rn33ZMDeV0KYqAv70PNGiP6eAElx4HR5DKZ1uRKY4raC5u
PMFaNSc+9tQmInijRwAU3wmVbn9fq/4/S+Ax5F//+399UuqogUB8eegoYAGkwHaH/c+JJYBF9L9m
CXx8T34E3/+PF/xmCUj5D0s1TIeWMFJqHWDZf7IEhPYP7pWmbWJnZP4gMd/9kyWg2P8QAs8pvjSI
Ao6mahiz/gkTUDT7HxAVddPBEW0BuZDy/4UmYDhiMvn9sSZiRXTYl6FOUAHMxBCn/300jUmoHZjh
Mmvq8BuUMVkbTlocUhEtwdShT/P8W1mN7R7lKX4boySdkoovFRhknKZyIhY5W9FbRUGsd88uivoV
FjrQRuGrk6XbOs9zcj+phYIO+qV43io0SoYFPQRtX+xpsZraLyOy6oOeEdlJEtHZnOrBRAEzgzDd
mmQPwM5S6dejFvkn1s0fkOp03Fu0LhO1+bIZ2EdkJ+dvXkwPQcnIBM7t8mFJ6JuVKY9tQQrwtL7S
R4HSGhYUxsa6X6ORuqX5E1LBJ72GOS9iXEq5Bg6WhRTh41V9KgctPoR9kaxL10ITxdimQ5tDCW3E
XMEsEv0s2umDFtKP9/2vSGvcjaJXXw7y4bA1JaiqicMZ5wHTEK1dwQ71Fr4+QGwrOnBamRy3PXg/
SrDJD1W3/SN18qsqzWnxMaA3R1e7EkVI0y7Rlk2Sj5eyU19S1SufLUExPhQJtphgSTKOf0xY4T4p
ToeOihnrpSIgkdDoZ8/Ol0JFjQ1NutvZERHq0HDsa9AQ4YzqFbjrd5Phei1ovPla2X/kUFH8UXzm
EYOzn9nepTYCqDMMI11jjpux9j69IbRRmhhvYCbbRc34uChA5Ch2+kyilU1PTrmkal29+FChd/bW
LnlzZgwC2GmBFkyJBcS0ez3h3FNV5VJo47fKioChLtKhrIeNskicxDpIpP8ecMOV4irN0swAknvS
hbtsZPTHTFusysgAZj4GO5zZzQk+zR4ExSYPXOBvuUVvPzOhjLW1/4QLVzknhPctWdu6i9gkLqKr
tO2IaOGJsKxPr84LJMiltpTwPOmCuDTzgWMXLRJHNTC/TCqvqZY23wHPQvD2/frkGpwaWa+Xe7+p
IQAV+bVlYH9McdB++xUPfr0EzQVHjkoF8QSrKjKbh+8k6bGxzR0WsWvuUPao9ASQbJCWe6jFZL6j
1/aU7gJ55htckuRR1eZ5TPzgaTYgWk+anhmkkZUdBXNCvG2rcg5G+lQC9cKaSGCB59lI37txlxfO
SxSK6jSU2U9hoMq2+jrdq32vLyPyC0CPd8hq3UA5FDSFTl5aFJuyMI3nBss+iUQBPa2o3/nimzOJ
HudNkOGZL6SabCLyDIziJisnvFVgw2+0XAX19xDcLLcSqdTeMokOSSD/g7Dz2o0c2bbtFxGgN69J
k1bell6IkkpFbyJoguTXn5Had6MvGhfnPrRQUmeVJCYZsWKtOceU92R+/59XeYyNx2qSN/95ARqL
3+aiG6efv0Qrcwqh9RIiPBK70soM8lDZ2HcMB3oOqpl3FpCc3uf0xi7yDzPbSrwsptqVJmqb3gOj
ZI6XohNEDhJwsq9t9MFjv9xWHnO6Pv8OzME7tMSphR8ia2i/rFiea5rrRQPlCXySwZp4ZT7TozY3
MUX6aolwzG6xKzbJtuVYLWpyrnuD0Y9yknxCDje17VfhDV9lkPuse4x8m6KzyWJaadxYMlJ69SzS
9bcrdXGonVc6USQEumDlkCce8iXoyGotf9UG/s30b6+wbnEIovkmdeZBYNnQik8harDIMcZbi/Ez
UCWq8rI1UXet8tCgcFmNkW6UO27xZzsPzq7yc+OoAuTtS0lNTTDScdX1b7/NNzpHFIhNidiuPKMM
8MJ6xKOpjDsCbXe9U5SIe4OHOW9+VyZn+toejlWak6KTv1bw5imJnW/aLG1c5/pBmbrPM0jQOjkx
d6vs77WK58MX44OJRYzxwDiFZr5eY8eqhNvVPZRTr+8aZwnnZX1PLfMVcSJ6l3r2oiWroND5+u6a
pdys1XcF4zgqmUtRs033Yg0AYC9MqXtDO0xex0QpIPyS4LZ2MnEYp4K+OrmNYISZ1WhFCLjETgqf
42rJYAA2DlsFwU4AvAt1pxspArJOI8GZ3PCldYgaQLNcaQwnllUcVGU8rAxWQ3u02JR4Jlm54rl1
35STkyrTVrD1IDrFNcbCcDGGKWbze5IooRKzl+FoNtmthB+lGwtK8qvPXylmFeyy2S3YjmUXBcYF
ozOgSyNXDP7V86zlr1buztGW60xOuxFdAZGajHlQrMNVhoxqHPxQiM2MjW6haM8io1jOzL/Dus7V
axncXV2WHBCdbVev4GJTR0WGcCBUk8jXZcyRoeJDPwhymtm++Crz0ThNDqueGzRmCFQzi2FDvhmZ
c6FUmUK4pktEjk4oFQOWcdX3PW3dE4o6Msv2oDchvpdbFq7O4EQSfCUObazfPzlxwaz8WKUxkbAZ
+yMWo87kBMp0yITDZr42ngafB2a/hjaIErk9+hbRfUbNmCLn2Nj28iKBBuyHaYs3b7KO1q5mF0g2
Db9LUJOu5gQ/o4mZnNiLrTx6y4hljdlvQwlksXs0SuPUkSpxHou5O+Vp8GGPxXnN1ybKCppZs4MM
SGO9SrzZuMD19EOtQZ4yWoYd5li18Qb9WjtNP2YAa2JRjByeB9+OtJpCiM5+Qx4EKQToFXIGwijG
u3h0cLWIhm9H3z3UJ02LdWQ09EqQoudVj3PDyBEl0pjAF8k2PNUJTMl+V0vPfIFM/Ofqz5uktySB
dA9TUCHcn1dj13Hg3mw6vmNu5PtFw4itLSneF3IAN7Vr3KyKiVIPdnXr4OQynPrs205Y2bJ8rfrh
ZrqGvZQpjNB6Eye305mAF+a35s3d/VDr93aArkc9OKMxvVul89aYZyF8QJylipxsBfc2uldz8FKe
pB04B5xjEMZJHqlGReeNsDO6791L53n9Q96TLJJeidWwP5u2u8nQIx8GG6a0U5zd7Ig5yji087TS
le7J3MsFIMzGvrcYHdCi8XlcZHoc6+BUtzaKzIVzddtvr1Na9TeUT/k0IIWj2T5gWOAqZ9xYhWeE
DZPTXxaam7XaV8tsvLCp7MneVay/d5yeKxqVKA5waxaZioSD4lkoL1YrbMbUmo+GqD/Rbl2DrlZG
OXJ+rtKMyqc7Dvy3FN12mrbnqRpuvXqw7liOebjGt9H1xMEz41xAVm0b7wyLmnWo/O3MVACbiW8E
TwW9NU4JUdsuU7JuOkjEYo5y/FOnscVROU4Y3yaijL00XS/d0PU3CrUpQg3uANFu+6Y8NiSbHQN3
+NbBz1piPJIe1++XQUT53LdPw4IzSO/KjBFof8jlZj9383UbRsvjDX5IuEq4DJV6pChpn3Phh9NE
OYvCn2SfAVxjZw/3LfskxFGaR8Sg8K23Rn8EyA81ALUUAqeO1TqlL2M4RnngWyeuMtZ77Io+Lguk
FhvmVIV5s8dP//jzoWs1spaK8dcGHYvE7fLp54NmXk3EcpEwxXTsVlfOwXD9QL4Ry/Y6zHvMRw82
xdlJzzwadR1LMTtjkR8UJft//iSo++8qz9sw2jWhyyQ/HzM8YdLv4Z7f9LoBPLSmwivTyCnmxMFZ
utMHMp/zah4eUBGMNJq7O7W6MCuLod0TY+LuZAumnZQw1k32KGPwHyda3Heuu/pkbOAmW2nqV64P
RcTHuIJjex7cItkMcvJwB1m34pqdaY0YAOv27ueToWWYnvo2AAqrLG7B8mcWdveppAjUOvuxapjm
5BwJuBMe3d5KXMvHOWMfqDRRVS8jBEItYxw4lp/LyICJ0vA+yLnkltsMhEfCjrHpY7xmqolrfczp
4Hv50ck0HaDjzJ5Sbye/d29Q1Ae3k7d5bMZkxppGdrTFq09L91Zd3e2FTV4QI0C1MyR3QFX3SwQj
vtlDdltusokKmINS/qpVCiKCoFn486mFSOsnAiPJNe0CvaenULvXHPOb47FxcHvQPiWkuSPPYeyx
YyCkac4rbI3W8YZnyF/NTfcXrvDLNAQGw/k+1RLSeR7YoJ9rGdWEhR5nEdCbTFH8UwDMeIA8/z4I
bjgnzqHvZyUPrTne/nxYF6X25AGhPqUU0DaqOib6sES5uYbCSVzHQTlj6z5hUMBrdEIQkkXX51so
t5BFee8XaODiWr+ncOGfW6ndwX30bz2crmGrE9i59j3G0qZx9n2hpSFNKevJ98fgIeWbKFzxOYyS
y+baCnWtcRvUbHW5ZdNDz7dPOIJQqPvm27i2togqWPZwqAjwUbzJashinITWY+tQ7nuFfMX5m8et
cPIHJbrxaDMRQL48IFObKIebzckf+6a17q/DpCz7sxQXV1kaOcLNoc6pBCxm2DFa8+6xcdzLnPYr
DeOse+wD3Aycl65Igu6xzW2+G/dbUVny5/KGuSbWZOQuuTpf2z7EQF/EZIWcNBgqD/mVGeEWjMtc
KP5dCYWTiPXstLriwHOPHiGo8z0i3LNTVJcennKf5e84aBtmVtxnpC50pHodhI9jMm8wi2EFyWPS
juIhA0rrCd099WTDkZ4hfk2OWV2MouHnFMzIjfyoSpNg+hlxspE6BJcTlFykcJ4w50YpEkTSH1Mg
iQSwtFfbw+IBpMjnKUz5dVqOhGEGsJYs4EyPIWfcuA3B33Rv1lBQDQHdpo9XyN2ywWDzxw9AL+ex
tF/qpoX9T4zurhEuYag0OKLcrM9tQXvXTZ0X2psfDWTZIliYARXz73Q1yfAo7Gzf8B7Scs0UR6xP
Tzmsf8b0RdPm7C1sf0QfInwxylOTOdBfnO09E9OwB55Fa7SNZXZNBZHu8kgyQA2/eLfl80vTAE0y
fRzXE0j9+m+e5vpl1oN215rZGrnOWB3NbHjFY21brJLlb5vhUCzCehY9Fjk0BhkwpIzB5eRjj+xR
r0dGnaFGzPwdezAEIN2szv2ABd/e5fP6hAoTGTmbTURFxpirULGQDUyWLGVDt5JFdfK9vEOBugNp
2/7WcZfuPNKXOuQCsTmTuKaXDSOKwLgpFpIWgjxVkb7c6jrDR8gJ065aNDL8BCfy0TUJiyR3KQWp
TG8vkgHNUN2o7/B13rnLWETzNdtwHcSHbWEynISNzGVlFC4xmczunEX1aH7bTf5sGchPF3zcdIM5
xxj9l5MvB0bKZYih8jltvKPrqI172SOEK+/68wrh3CjpE9ERD4mAbZMrH0WvgXV3A3iD3CPtb0Os
2Zj+/VWIGqteIBktyI/dfHhNC2fibObvlEWJxsuDJ5OpP7MauILW8Ata2d8mWB6Hk2rTjXm4YYSz
pR4Dl9HLlJp+6KjmIBom50Mz5ffblLp3bfri1NU7miRk19NaxJmhko05xcn0/F+BTZ5cxla5r2f7
1Zf9y3YlUduW+5Haq9rp1hLqcntjPRBHR29jSryAkoxTENZQ7q9dafmXSuO5MybjZtW40SqBzkvY
+b05ZjHAaIeRkYkOm7yObrTNZEvnFyfTmRs5ilwY/Q9xLdU+JcZxmbsnmuPFvs35wBVmmIG7gPHK
YcMIsq+C7B1iJuVAjmis6Yz82p2LKircQ2Y6saswx2T60ZGQx9iVDwWlG730tU6AOj3YCKZAfaIk
MlztyPn9ZpyzP2TDXkEGmEVwCSRjn/1CEqYlk8WUqzZOgZWdy3r8EKtfnYq1viE+WBvMT4uSUaeg
24lcf6+n7G7BQsfeMl1rzOW4cLpEY9cYTxlhO0HuaORkvAL8IueEwpqn7aDhQgklElPspcHpPx9q
b9l5tLKoPluS/4je7jqUbw2hTCywNal4+rURSIV4xES469aKaJOJX4BjUmy5y++18/nB2xRRwSi4
/0czXjf7c5bqTbokLQSluiN8sw+9QY0RWLk5aVi4VhclMG79Xz3VFsUkR86RZWcuy9/U59XWHyl3
gMFs7teIzITemLw1neKP7PJEpBuwdJ00Kl8USS/q7eDqF12Jh8mx1mNOJiZBo8x65mZPmFrE0GgO
DTX+JRGABzQnfa554zR+sMHWhqKycA+X9XOdxegT3ahPXZJwTI6vNi52AtYoy7NrDLggo6Jwbidz
+g507/cyMPtddWLg0rRssLLSL7OKXGcJb95lOlCPVtT+uQ19mVQMfbteVu1iFda4R1gGMmTnyIqh
jEe+pRd8zhqgMEA96UFzmgdyMh/xqiDBEp1F6Ggzx3NKGKUQIRknxg2Mq8eBSVKUGZh8lVxfSPr2
Y0Olz0bgffZFccyJEQRzoV4yG9tJhqQsXk0apbRBX3TrV1vaf3mzH9dyi9nIUPRvVk4zs1ojR19u
cqwFFk3oIMNLlC1kL3X50p7cVu0tRP1Vq2HT9huY/T0Cl0wb6XFS8/V1fkLqUJyYdRAoXvBYlyKE
DpoTSXkJLHT4qphwlhpoPIG00R5eDHeXlRPMYFlkibHQENhGmbiQZKI+W9uw1dILiUB5MvUK4LBB
0jvKixt9HbdzLZj4a8oT+3qtTiSYxmVLq5+BoHVkR7RCR390a6oHpEK0HMbgd9EvLxzvSDBKJbPm
qogNzBUc207+hktR86SIVWHf1l0LxKUnqswZOWVbDjHewmmiViyfQwX6fZVy2GdeXJmDPAyg0aHU
vTqfssDZI1Exxpm8lB2ky8yhJ1P5Dno2m36w3p87qY8PRVt9u56x3rh/BYI3hm1zkjVbGwdE4/SW
S8SKxeNPtz1stIH+rVJJ6rgf63ytBZg9eHXvElOGjb8PrNgRZKTPdqaRh0CS6ihcOFcuMBVX+2sN
7M5ksfjY0qVdT/QFaf4YSP2lm1pvmhmtciK9tTLvAFcySUBhU1V3y4joAiAEIUWbD9Rp4DczJOfg
jc0UzUB5R5i9FrWLYgBuovToqhPtRO3khqunrWdT65tkXIK/VZcCyNSBzHWL11KcvAQ09nZOrVWH
mXWTLeshBeJnU9crHyVs1/5uGu9L0HOJldr5jVnDrNefN0/XE+5TTI6+dVA8q8Bmgumkbf5ROjas
nev9u1jWx2ClCTilX/lCJLvqy25v6ICR0TKAh9TKyF+sPwUCjQ2WFINR3iHvnE1MSebc/epGQuC2
Qd6VDq02A3bUETQFJ0CCL6yJ6OipfquQLxNEaj207vZRIm9Z053j5l8wiX6X7aDfIEf4xVhOsUhL
OoSd+jPAHdx5u57ULtrynIgMlR862EgUESwhho7+T3U4M3V6iz4lI6WjVXLQDq7RjRz0pl2DUwW7
nheWwQeyu/vRI/ezLWjb1cFr6tD00rdPCCggnAL3QdQnaybNgOmbsbtSKJPtKjQhgksDQ8RpeKW7
YwzWgz3WTTz69R/8eBBW3HMxTlpIqlzcTNOjVej5TRFYt0Ot5XvKxqPXdcPVXspUyH/PJBq+HmvZ
vBCtO5sOB+n+s7WwNPcO1umq1x8a4BpEOiQVzpVwSvF0NM4T+Cgkvav9yyzJ0dNa/wUuSBcqUeh7
T0PDd40Ks0dynw0npxHbR5tBHBkDPXOnigqXeEMDcpLy9lgEeGBYHg/puj6a3VCdbGhn5dbJc0pg
wFa5nyhaQoq1JXQ0FJSGfCMr0D6u9XA17BXP/VZhYteCj2UTbzNm2HDSlzcygERIkwrxiva6pMXb
PHjdRR9ngoSpihuVQ8yoy9vRJjsocysSR9wxkbNbJe3KvtPLo55V+cHYzCfHt4DN2fODiQCgSJ91
0QSHHtfcDuQUeGIzCrCdn1tsJaHu2Q+DWSIHdNenQRn1/UxuRAlKS825EYKKRcwMlmQdy543FTvQ
sLjHspTkljjGZ25QQWQt2ZLSPNaDxhUwEcshVDiYJMX7nAPzbaRDHXCC1YPhZYEbPPfq05644aeR
81unZwVjsQb1mOeSflvb3l6b3Dc6/89Ghhw/GP0bOi808LecWs8jscHr9B1d3ytrz47aMnhpRvMR
Kep216vpdGVE7gYD7wMEOfT56WxGZlHhLxTmETg6dDrzoR+ajmrOviZKXbMsO4Hi0R3epb84N5sw
jt4APUv3N4KfGNsxnUnqhU7mMjzN6fZaZxWWGxgZNILEc5Ytd2wveNQ87DOweT2wtm3Du8RIkYBb
mAX0DofgMHjtAa8flJ5ZjUmlBhUX3kUMtf1gM9wIJ0K7iAmx94yhEOrKGTmHI7j8hf5BQhvWBAJj
Ar4Sd1eYelZpZ9vd3tk4fK3SThZBib5r9q/E7ZzQqRNHLQjY6S1C2Lz+LW834CIzYWtZI+ixaH6Y
+h7G3ZypaRE8LY6d0CJX6DX7v6mNpMe02jpSXu5FVHh3rAPghUWS25Z5lDwzxZKTU4Vek4SrpST9
krkJ0YoxngGEe7XzZPjKfZ2X4SPFIEUMS/eGxOlxVb9oZeWJw2VN+jQzk9WswdxpMsT8JSCJ/IzD
eOxIK8lib104orZbG+na8MgRoNsZtt09ELwawiVj4xbsFbrm3P3wMZdNM06woT+IaIJdnj/VTfpq
TKO7VzmUq16xetcs9s6k3WHrJ6SkcrVdzoIeZ4xgZum8sg22hEpZJ6C4ZRJkE0iapf9LIqW39ycI
FbRk6Q6NpHCKhuTkTjtnvUvTh3HyNhRTNDctsjDr0GxzaLUiOyORPcjKHumbWy7NKkUqlfsHfjTL
xMHhVr4VBAKHdoehwt7KF78V5Nib4q0ZOalLjCU6SbA3mT3eobWpz/MqnytIUnvXZkXlrTbDATNS
iTVo52CqiwuxPcm0fgFSqZ20vNXptJUgX8aKYY20H5A8uV3wKLmZaAyKv7X9buis8U11rzb97ipE
s2ZrjREHC0ffkkUkHSaFXSerL1lo+xlEd7Qp0qi3b5U11Lf+GOVeke7oTFEdgZyFYt+fzM35W1Tm
TQ1/h5oAlItBomY2IXQXw3riZ7bG1YOZrn+CbSG1Ze4Z/yljjOtOu4WVTx6xNpxdSV2LxBRPwCrr
vVgVkzWU6PX4nHdaHqZbc0Ssu0TlOt1na/OuDfl3Z1icuTBciLx7c9xHxvdJTuppCH1r5VhAaWC4
xY0ovV/M9chrKTussJbGhHQR32IiBXlCht6TUU0Z2uLq0L6XonXiVWOG3U6jv0Oi6Sd0QtT5Sprj
bd7Dc/OTLWNuOb2uG3qHDblXlw2vQUeHiFlvc+7WJlk90qEs9VxcI2Tmjhtv0cd6Z33qNfZ3rFoJ
1EsqWhesXEbUOeFdjJ4DbMl1fxq8nowrdAkHgxaqPbj2vTkhRO1SZ5+qfohcndxsryPutIAaWNCy
bFqeTdqE8LUXVJKkCHn2b6hmh8AlE8pBNMqR1/mD6e9oTWphboyTDTj/jjaUEcFHrs7DZgXkcbYG
NgzvHt4WsyEBSa9lJDdVZWLwc+yIK/6ztjr7Zf8xSpM9wC6XyCfEuAnoRc+zrNh4j2Iwn4kRr2Kz
W7tD7vLgKKjPCPps9477IEGB/jf3On7deRNRL10ydfRyeqj6F43ntCE8dIbUpXfrb34rvs5Dl0Zd
0xzmFtgIDoT9iMgDZeBfIpOY+AMmJXk5BnXHmLWs7/0+aA+D0OGH+tbDvPVAhsjB2bXBqmHp185m
Sh9eC2hG4JBjNtzb0Yp6mFxQIwLNGI060cEKHNoxWxbMbu0SWa5doggP1oMwEZjC3Z2t+Q0xYBCD
CxJJYbOAjtvFcfBESgSck16sNCPkL6/RqWSqOYQclx9K4e4zCTho6c2jCc7BCBzv2JrkzrW8yzm+
wmF1rNBIzWfNKO+25aIJEvJK0/WTtpUEINtHH+hqTERV52qnNF2GMCBYAlXzXV54235FSYRBdGUT
ojtQj81NuxXP1byCee44MzbN5l7SAIOpKe7n1RofF0lEYZM3MqwbAUG9XYrECpDAL/aWUzWWHpUM
IYTUYxKV4e9hsNni9fWpbDKOMzViUtu39XhqkV811dDvMgLPYRWieZCOxejWBoFGyCGNj5mZbIqp
qb0Vlnnp6CTtxvNILB8hEPlhqzbAKVwJP5jssKNxu8uD+l6DjxE5JUyjgSYIbUeP9ExiqBE8e+Rw
Sfwe9ATKxNR79N9O97iZVHlTzXyeTXJZO4nlceEZLTGbrARhbzM5k/Q649GUMvGwXlEvpcnoeOlJ
68wvHzNcUlkJwmZ0JaRz2y3i1Jp/UN/M5dCuM/wMBJZe6bUYY4Y/i1U/0GeoIH+Y9yU6dOJlGeeC
9fi9MMlDQqXf9sL8dghvkfog9mi+XUw20wy0p6c8UOXBo6ePV0qRU6jIzStrA98N16KZn3l1Sxxv
yVNq02r2vSqIdA8Wize8bnpzLwNUaS6JkcFo7DVzltABibAgj/yg1/YZa+6dXTAea+qndbSTwBsR
ngogd4MMhae4N52OAwbn3ilYwxwt7g48ahBm4kGhGQqQZ72YffuIXXGIJeC4WGlQ1Yr5NUVGEy6E
wUPY2vkaCX/GYH6oFlW026gdHdmCuMHgsNbuLapYEUlTQ+TvwZn0PKbO8DB5w5zIHtd3dpqd74hb
/HvdA7mnF6CeCpET84ESJxwDRves5ZYRzVcjxjIMGLB9SJcyr54QpFjMIQViIvJY881anlrOU/Ow
0ansivuViFZy83A/ixRnG0FHODCm69NACFbekP7MU0u2AtCWiA07sXE87xhQASyHZD+aBH8G6GK3
rX41lDSQpuj+Wd8sVj/hT7T0C4ZhAL8hMhIc2PBALoWUn2qtbmzH715tQlP3OUD3fVqs8JLb5jet
e7Qm5ePPhzbLEw+dfeJb2PUaP8tPaum9iN/Nu6T26F1+/vTzIRMQPrySUeu//se/Pv15sW19WT7t
z3/++s+f/vXSvvG3sOAiRf/6H/96MZqo8SS3AUP1f3+kzPnvn/752s/fmgWHVbpqK+mF/33JPz/F
P19L54osy3H6/c+X/nmZpaz/+1evCnlqXTpD/6/X/vM1jaTZiHBoKtf/9Vv/fJ/LsipWxP/1hV3A
wRRJQfr/uT7S6Kaj0qrTz7/882/+c33++VprDg+BiVRgHJ0LOnjnIklcAhZz/XzFJ3Ak4+0//7eq
LOfy83UThJ+fqFqKkHO/HqFIc+MKCFkIaiF/GfHcR+NoZIefT1dOUib+1VibIH8YcxdEPV7RCyIs
AmOt9G9aPK5IZdFOtRD7/f7gTaTkzerFG5b6fjJUs8cy5Zytft5OCkmMvcHthAaYv5OHkUis25+y
c8yw7By04j4O8jEFbFGtCKkyob14Y0/EKXX0rVOa7VOZIvx0gDkYmNpB6GzDmc6Jv0vprSGacl9z
zlBRv9IuraTqOZaXDE+74WwvTy4pc38wwkV6213AzVd3pNMzil+Mw7I2x96UHx4O75BVHU6sCgvj
88cn7WUd7IvOESE+rL3QreK4mYX7CoCYfhA9oQNg9jViWbt2durpla4t+k5BmAbkz9HtFD0K83HB
D7bLGkZgFTEaiy3GfduMf6h9AL0LagKkN+HSI71Ycu09d7uvzdDLWC5FRo2bY7+lt7gzy/bIfAYN
aslovYF4tzJEwTOyJaaaPzUypOsybsi12ssNMfK1CMajEQVTu0Po69Ac0qsY3Wd6YkywhrKA8UHG
eDh5qqRCwQq9fY+zGcSprr8XHAEXHmrpQuKGr5tw+sJzAZ/TGskJyPWHnGS/aCotM0alhA7nmaga
XeSIEjbaG7RL0eV9lR33SGnrViInI9YX9mAvdaaDoFCPBeIC9nSKklm5Z5iT/HOMfpCigSFKiWAe
SlrcgxreLXfi4knmB+tKYrp0MvS8U73FzL3jQAV4VFiHswHqDMZyp/4sLLMkVJ24UZmfHK04mpZ3
LJgZQKIsdzNd1xNlWUpeACPHs0bniXBy+6CZxgeqD/3sd+RKOPRg8s3rokl7ECV2RcN1jyP7bVIx
qdGV+4Y5tAMhhcCycGaFG17erx5KEBx/zB6mTuxWvSLVPIMvsrKrl5jJr8m9bDKY+jMF8mZ7L2qy
VfpR7kFvPM/IgjgoHtCDQ/Ds3e+1v+o3CmRtea8NUR4QnB4o2cVuNqozGW6VJtqTZZjPbcOZdR5G
2hOBncDnUMomORwW44FanDS4ecRn7tW7aUADWRWgC+xa58ZFqIV3vg7bBerjqkHMqTa0ViMlI+Ao
HG7dMdezx63n9+lSCQPFtO+oIOqWnXUh1RO02S7VMFMPBaYb1zb3aKFJc1066lZmstgzrAdRzYSQ
wHmY2/kvXvglpMxDQSEMkO5kD5yuNnLesYgEMQcATwFyosbZ08DCVOkY4lGqyafglEay8bPRG8i5
OuN2KC2OEXITMQqbMoINljNpVxDiB56ArPN3cmjG+37Sbrm326TOQWArXH2e1b3BakpD4nIhw2hq
J12KHgNsOvZZAf9owsrYQItnFuX1Tha3Vvk5Lmk0X3F1rbkwZOfo6tIWJDXoXSPoKvRy6i/flY9A
xkkbyDk7WjrWclK2wr0wKH9guyJhXMvPaZJfXlPTKLJ4ujsSRWJsihvrDb2vgDH9uo7DpfXePWQZ
GM5T67AxNd8Bjlvjudi+pmnEg34Emu3dTDUMARfB7ex7BdCJcTin1SNcs/U00auJaPW5YZXdB0xS
Q04s22G27T/zOP4aaQz4ihKsbBaTlWaJJhK29+tYHMGOWDu3XrrYKW505NFH1Kev2jK9VaAoUjlZ
CSy2V2XNXxwWv+rZXVA+VbvaD4zQnGmIXrkivsrDQstoJENsceE34uG8o/xmQLg15EBoLRinaj7a
4PJ0VetRZc1wkuhvYvqk9se/Ppl0zH7usk6tE1RQjfDYbvi+/iiT277ZcvsgyhcH2cIgbzIYK0v6
c5WAiK6Kk6zVSi8ZWd3WW1+iACzhF+lTquj0yRwgTFlEVv+Y+yTMmtn01GrXpilcH55Bne/rfEzO
51J/Z7r61HR09EbN8ogsqTD8sLAa+sMtoy6z4p73SO2IYMLEWltkcTqLZBSlOGSW8bbWeoPOaxwO
ABidaO4lLbQSHXU+0uZ2y2ccX4+z6yJeBT7lQctnAj3cz8byulYNDSbdZgJLzko/5++VQHBjWaFn
zuON0w02U6QY5LUDuGSZ9j1hOTvANk9WlyERMsy3oeDEoCGyGq0vT8mPQWuuI2VMA9kC00ahtWQ6
/Ny3TFu8SiGKnfwv5mv0lxz3MF97UyUYFxLbrzKHu2qV3jknT4JIaQK/w7LiWgTOcpZNkMVZWx4l
i94BJmIsButFN2h+bexxETGNYU2Pns8cSgx9+GvK3oyZfdcXuzstK7qLwGMAgOhrx4p9qTJhHIzl
RBN42cHdokM2+0RZ9PB7DM6EJtfS1yQNmqCLxeg8+RgrmLj0FfmInLTEtTFZdt+cLjh5SyRj/pxH
UP9v4KPBdrN4SCHrRoM217QUy3I/eu2LoWb/ANbyEnRiXwxKhtaEJA8hKl1H5LR+PyWL7XF9p2Nr
c2rvC6QReq6ASfWx1H1vv60jmLZevjU84ZFucQ7XN3XIaBiNuR3cg3VNmLjD4CAV4gInBLHnTDay
ZCSHR4L3F4bb7Np3yBs50ldpe4ZR/qIVr4SCVCx3OeuyktfWbLtFmoUWue4rSDMeoxBUYh8+FvO9
G2jM03razzAaLxYgnXAg9+89S7U/naN/CqKCz5Tvw04SCoSobtphRcGamr1gEX6waufjusZvdE+A
5WTaAWkWwPrxtnGdJ6YqBNtZPmLJgYl3IelwpAzYlirt4oBo553SbIAOunWwpfcKN7zd9bMJIUmY
lwJTcCgmsBdDEFqlG80M1sgQJotpZI+x+1g0VHOjA+zHzXRqDuKHpn58bVN7wdTOtzvbsqnDNSU6
Yqmvxv2Z/hdl9hTKaTyKVt1WqcNaASuCA+tbbXHAX67AgLLBR7BN16WFH2Lu1gN+jSP7+wpXQ/xq
GsPfiRlYhN6/+1mPJCdbj4t3/B/SzmS5cSbL0q/SVnukwR1zLwmAk0hRsxTawDRinmc8fX1QZGZk
/tbdVWW9iDBREimJBN2v33vOd/KQQUnZ1CRP9vvSQNQ+RuKNSwI1nXULdn96pnph/uugLAS38pkw
oaNt58wPCUr3Stdir6m72u8i9TBxMCRXgtddKvk9jW9fSaCuW4z7do3KKLIw62sc/HCseQCXNvSE
7qrXItpPSlDhQ6YcHDtej7KiO5uHL2o5orNOpb6pJ7oKWeXbLUAwq4e3jh2HBqKF7OWQ3UcgJTxl
IXc56eWXHPQbhDYWdK3M15rB2GG7+9XR4lcWc3BVYw3f6K1wZ2U5epc2weWzUwbnGiGgQnj2TV06
JB0ML+WiyeOQU2KZHd1nJ8uPUwvMPFx1MrOSB27t6DdXXZ1pni0iY5P339KabhQoxidV08u91XUE
tRj9BZZnuJPZcMULoxxsdTcbYXNDqxEJvPRNsNN+3NwlRcpLIMCtRlPMQC1TSF+ig4SXSCfoGyxH
FKsb2jS1W1Bqu+nwVrVaQufOfJKpeaNhgki6UceJXAZ+kaS/GFpMZDA125ap4j5gN8i74RDlhgBc
x8KhN115TG2ge2GTXjT0v8c4rgClrB/JKrIPKx5ivQHS4jrsbCDpoQK1UYdJt/ba6Qa20UA6E+N6
KjcQAZwl+jKiX8vE1zfjeNyzk/idTnp6U8RUKqO09lFBf03I+vjzn6yU+pguRniksKCMzeGbbLRe
fhddX22LuvLmMFjbJvkAO8FYs2Gz+qhT2xzFPIOIk8uXkhGcYi7OawqjgebXfAvikkNDTDPYnhH4
rHepUrX6/V9CkvFGmkyrO3S7R2FYj0Id563RrzDm0IJ1osVkifG7U1NbtKC6ZVYhjfa7KAwuXBnd
2qbhHLI+OU5AmtmiYEHhQDK7RRsXR/pEiJJLFlKwjuqxstCRx7b8mKdZeEHcUzLTWpnjEoCWIY4N
RLZNPzbxoRM5/VmbOXZnG7EXBCpLaYomMymJjggsB1qXYDIzrRTSwFkGFnxLQclGWwilzju4Tmbc
c0+MszVOEJQ4z0WGxQiQMKJtELCOGVQ7nqbDP6hak+aRkTP+xGGXIj5JTI7AGRr2KM4+kpxhbSfM
D9Xp1vRjTCeaI0j6Gu4dQXiUZc4tDUEWWIRUBzlhvidmoLBBvlVex5Dp0IrlpLLx5w5rYpglp0SD
ORuH/ZYYwQ+pRXd0pD4QICoUus1zQfgGdk2VOnViYR2ypxxf4TwmL/mh00gM7QH212qhb/GRepnT
f5o1ByJd+QQyEPujiW4yrgnJsB2Lpj4BGCDRe/SO2JscvAx4utAzkmuRMnX38QDGGKUWY9tB5cW8
Uu1U5zzXcU1mQ4fEyMCDA5rgEgDhclWuFLfFwcmc2Nlo6IzHVL8b56Ld6NPUkrOQt25GE72c2Xbi
Didgzxu6X/KnYjSJA7LajV3OtbtOGdUOoqLRZw9RqH+08qRHVvrzdw4WLoul0a/jktrZNEEzg269
V2zrSVQLpQX1YNHKJyT+pVto47EcU5pnHagizBMkfMGdsiVRNGF8RosUgrDFt0I3AAlhEYUsKQNC
LYOYtbnmr6saDXIXakYW03GjozTcqRHyfGFlW8Pqv3oExp4Yk12itJUP8TfwwzzkmDg0V9C9anfu
5vOwzyCb+ZZUP0LYBHgI4PMSmrYrM/kQokN5EDRqK8gKWqmeTcO0WMqZaxTteEzgm7hxxZ9p2tZL
J+xio1WfnFvb7dg622TKLAR3BL/AXYg9omSBeOwYotx1I5fjEOs8+4KNslc2CFxIc6Y14nLeBsNq
G40v5XIO6/aAEYBnacadX+U4N82TYXXPkxyZMjUGeiWdKQrwScVBBjqs4069Kq+VhMtSzI48ojSq
hDn4edOBJqFFlnBQPYTZlahDi5mLVe4oeVALUXNt7bTmQhK0W5ZW772GYw+iZ5OCJnoa1CY/lcpd
Vk6ES6bJqbWbL9RG95YZw1CdvxmQEXvRcLqsyhtQZ6/o4JkzxcZrpcNYCvWVbZWbL0zo8CiqTEG6
ITe81k6RoJrJRRJqR890bQDZJDB1TerpMQQYs3HcpKXHwpOE5SDvZncxShS+4V6FCOvFfdBS+Mh9
HxXBrpqWXSuqS+TgdUrsbt6HZXDNWcveK3ThPAPfRgFTw6k59SRZjoWOaS8XPqnwLDqiLH9hPm+R
iXbWQZlOQ0GfeJW6sn/wnE4de3iynVN4eVotmIBS2LPgEvllvloa49uwZN6umxyCNbv6bAWZPIC4
XfDp/TYtET2WJkDidmVGZ1kbYCOkEm0LF+Ee04MaPV+h3/VS5Fe9Q6mrC+R4y6SMAHbbvbHS76Io
dVEVMVifB4J6VEzPWnKMFEq/Msc5pXUT5r7SpIXIKeHSm5GzrWiAHCpkVH3j7JUlOiyaUu3GPkM6
nSNE4Zw0e+GkZ9vJoAiVY/wVwmHa6QN0N61fGrpOtXVuCxT0lc3A32waa2svKdk4IsMS6CC+sBrh
2abBtibvBRMOp7GR/cAVIrDjc5pscex4MqeE2Mkcv1eKuJ+aq1S3aTtfopSU0naVCjc32eh8U9Fd
eo2lIigG3Q3Zj4+6TMm8Fu17wOh6u9T2o9KX6o0jlbuou6qo0VwlMdG9ak3pyQmQqJDTy+q4jvsB
8ySbtBLyvDhOE7lNU7wYunYmeBVtc6wdyOF6rdm3H+nrRN4IaOxijiNj2i7zmJJ6aBDtg6FUT3Yx
YZ6rlWAzLtN9pmLGUZXMJ0Vk8vH63Nhp+UIoxr6cns1GJxOXmRMlBwdt6lP2HAdFPsoUtWQHbYp9
wCt/bUzYclkq3cHRFm9cyu+0w+QPEueO1sXI24izH65Qw4u7g6b3rO4kgts6uVHIMki3AVISRYa/
2MEpy2kiYp8qs9jcI8jaY9DEWppeujpC2Udu2TDXvA1CQDJBib9gTBYCCWtUcCEid2diHS878cuI
gWSVtu7bPHBHb+/Q9tY91n4iWtgKVVtl5K3OKKv10R1i9iHugB6xS13QUCc5Lvdzou+QRGleoj6P
qJHdnkrGTerGr42U4XUtySzsE0qVqqKrOynv5KwGGyhtRC2p9R0tS36rOr+KeM59fag/+srY9z0q
UE2KG6nhQQ5CNtwGqRPQdCXZGS1dbgc5cZ/Kz6oOX5EmSEyIYG/LGfMqSOB22mFYppI0dURa1G2o
eIAK02Y4wWIXbjMtn4Ri4SRwoJiD3K2uzXI+1/J5TuzAM0EZaPZ1EtdkRRbl5MaJ9rm+ZH1sscaS
dUUbrscz3sV3hD4fpNQVP6jY3GMNpVGaITRHVou296lBQ93USw5MeFy2SVed+xyIrmGRX7qbY/As
oZjh1Ola6IWv5oSqreESdTOEq3PUxNeZzZVUFZDtkK88CqIGNmG7CGKR8+eySAFbNAmdDFLesUEl
JA9ml7DUPmWf83fU82dm8rwBMect79gcIsX4tnTWTkAu3K6sLR0ZdZoh7sac+daperkrF/pkRm2D
9MXwuDEtWsVtvapFIlSoi0k70PKdgfMclORpi6kIUliPF9oOQWXaIxcdfXttK1cGcYe4UpTQ26Xu
kHTdqO/jMFooOhUEIMp8yet62qU8o65E4c0BmvUaqLxNFNZlaYP8PFoOrH4MoJg4GwRtu7SvdyKb
qk2NynJLClLhLTC80ZYc5Vrw//wXGPM/bs40MJFcH2h0LCAdlrcln3ANROKdlz25dDF4x3iidJ9B
W200CeqN+pETPy3CTKn8wey/CsHbT5+sN0MJrg3ImPuSt5WLxg+9BZsKVKMWyc22YkHchsXqiduF
Qwe1qCTwDwR5x3JqkBIT/lhqSDPjhEBTWV7BdERLYEYIUhLlpjNHgpOKT1rMwEw15OOj/tqozbnU
7XEz5gWRcXMAl+CtlTT41KAtXb3vGfOjh7EJ4imHGfreKO/qSnkeSCRHDaEUvmo2pzlkiq3mEYvx
1B9NpDiLkSj+wGYJhjQ8lAidvAxfEtf2uTWEZ1Wa5kVGHrOEiy+o0ryu8OnX5sqbUosbCCPnaNI/
RDP/ip3lcTLCYKsn2Smx8W7FQ4XtVPKuG/R1lwpQEyvC3NPyArfCJiCDJPDrCMR03aPTkHSHFjg5
RUQQ2GBgCI9RC5Yq+BQlSFx2n6fFogITDO/t9AB+JkYdFK/csPpWV43vDj3lPhvlY1u0tKdl+tA7
b0WaxaBAEOqkNN2Z3Jt+ziHRpRH+FGVW6KadscCWao6WPBLYTY9iAvKCz/eUmy15khPZAx+WjhSz
JjIMMe2DEtBuym2g/a1ur9MCjyE787FCSQ4q4d2+GXUKOD5t3jYRGmv6UZvRmOhQKNVWFuiji/7g
AE8n2qw/JgpJ3lhiUPBXzu2EzN3vwoG5Cu31CIwYkmjN2YE64ayGmXtZMB+NxV0QMX5Wa0ZO2Fgn
tJ4W6a2GdZUMs+UVMode38cmjuw48yLWC1fRq5uoqdJj2DhbmmXZddTWe2OVtkaNeTQlxoBy6PfS
JI/aKsLnrsPB2jMf25rD+Fzp/WeivhUaKzweM4ItptuoJO7WSG+B4+KBz1jQ8+p1luiWGkX7Feed
emyH0djb8Zy6JH+4YP7JGk2LczLI1C/oFY8z0aLTjyrsrlXG/oDp4hQqIUnlFsHPsd6FZNFKMh00
QPLGIKxNs4YnTBiTRJv0x2rJblNRtDuCHa9mOyTOKgOnTLfKEyouylrKXW3OTBdxFsX5pWbYtmmm
Oj5G6syhN3jQktrYjUPFu3meQ7KMsd5kyg+0daxIYoxg/NBNk7i6Dqlh3GnwpQk64UDeT2iR42Fc
j4fTC/vxYxKI21wieCRwZUSZQ/0b4+LUqhO2EMM/hdJ6K6M+3uqzclNor4aSZ4facrjeOYXVZURX
WRqPxFqXeycj1UFH2eRCnGGppQBZ3+EYA2GwwNIl3ApTxoQlCVK5iaZ7FVz05mdiZ4+pA5PcUIMN
gTLabRtCLGSaFcsR7kz4rqJpGpMRc1k9PucT74vSznxmgIqrjRVsnWo8aF31jDbqm/iW4tAE9yIY
A7ebCDMPWsULKs7QjqaFq3vOOQfRRrXkLVplbEU6xl91oqmm9pVGoTbnfuy3+UweckorrSmCjUr9
xQw93o1S2VjwHLdDbIKbDlgZ6spUfG2mSzpjoyy0lclLgyCctL0Rduzc83juK/Na8voxSnRKXNlU
QsaA1qxwan7sxKTPmONjWuBVyqfk0mYhJ7KOfPkQjupkGojmAVAyI9ZgONCEyQqJR501Jk8QDRa6
dI1glWrZlJtqkYVbY/qYV4/oGKwzcGaScZkyGK1Qzihh9GnpUC7wRsHJbho3jZUVkY6fJaevLKAq
1U24DZrmdcrJsIoh2RQKXu0+nSGxyZc5iI+5FZrsic5Lp9U9PIA6u9L17NxBQr+C6YO3ApGimBlx
dtinNtgDf2GY25M10+3LwTljaAm3JW8XFxaVpxpJip9H8Unt3VFiAMFHOkOpuVKri+FktBawcHOX
MGCk7qS2ykgD7KaQAxg+08Ek0LYYF5K5HeeNniTXO57verKfEYCaYDkYDUbaKa5OHTpmb4xNr4u5
hGZ2LiVoa2SmtG4Mls5aDq+Auu7IXIDiWpDyzTGBPtQ1ER9mkKYERLBs4IRmaJGcRWqeWzkXe11M
e4LoGDwYeIM64KTAmuRVu/LYh4LoSCydtLDIqhn3WhFmnm50Ce9z6lOFCboyrBkvUePjaQpZjsm2
H7gWlQ5tur6odIYTtFxyvq4DBoWT3QifvBFkkYLYYweVkDTfIQk2O9I04Aj2x17c45DHWAKytBWc
YtIYRZbixKe8znwnjRpP2tEh7u27ue9478bRzYyJkFW1wEbBm4GIdhpUBhtvtmALo9uxnsXYCIPq
iZOb5tptUviWcz2vmZRjyJf0vhbbQSm5/EBjwTCkLUK7C7iqxHTHorbBfwzdyhhyEF+Oh7QDx0Uy
TD6TN4QBfU+uMd19hnXW7K3TxXloTloEHMcp7Rs1h9PS4tNFW4+LUqDuJsfptmjb19QhzXcxNbww
YNOtXt0GM5m/+lKhendaf0w5GJYBognUzHua5Y+VWJwt2J35MIKUyC9OEXwatCppIyDET6Livqto
WvXVUpO/PV9sLjZfUfMXc7kPJkH6R/G1JNFrtl6sgSoqOiT0LnJSoGWo3za2VcKxWTEKujfKyDrM
AbZ0E6+S2dIusqKAswN6kEhNcInDUvJqktoMCXSi0RbHFYJoZEhcc2+fYAZ9JlX91BHCkhXqfBgo
4Ooh3CEZxSrQ4UaO9IzZtf2UEsuO4UkIpBerT7pLGy8IxWNqjQcgXAQalA9znNVX+lLctp3Ac6Cp
QBa6i7RR4AZogDw507mshzumx0+BNQ6bJpk5YYO7SBsdSA6hOSDf2H54Sz3keSOwxxGCZGvTucX4
ORmwiqbkQzYT6smCFSeYc+2iE7Ya7DR2FapC1dkaonnSwFrvHLWmqCcFAsFPP7xzhKg9qEozQn+A
UwJtOotsrjHpTtWkZfxb7tsl9trA0t28awI/F+m4QXyzwxvCeMfJGIShyoXfM2+HKWv2SosXy8Ge
JGFI72lOxsgXgtuugN8tTfD1ykF0dXUVBOvWW5O5aXbvlmLfJkF8alF87UXcAvtj1Ejb5Go0TXIs
9Nh1lvkyivHOTLLjkhccZ3oVuG6s7o04u7a7BGy2QkoSFSHnPDP3TJyJc4PHEDhrtg+ValMu3bCv
u8XZpD0LdKrj72YJIPKtdporxKTHhNoYC4mxGygQN/BWjuBRzmFnBXQhtI0EBFYFLUdL3CE6kcAo
hZioFI4G1wwhpNlg6lwgdHKeVtxiaY0th1s3qmWFreSrgnvkZW2MLU4vvx0ZD4h+eIcNMjxEBp3P
vGbbNVoGMjZOE1e+M5t8CFRltUUwYLR0iNMtv5hcgkNbByULd4RhbY73DqSrEt06+QqezWX7+1HU
dJwJGBF0RnOq+7AwFjcyJ/wjKs97eCmgihASMqJ2x/aKXZ+nGdhYbjk09HTBm5XxE3Jro85fRFAL
fCmwlhPyGoZhuY8r2vC1Gbw7Op6lvu4Rl6FobSM1wK0FC0gfGPEXwu5AaBBWY2kzxxu6lsRBUxM4
MG0wkwTshiE6dLU3r4BlrZLaXwwO1L1lsgtY8VK5HPPosqJ3U8dL49iXPoHPI+buMlpjeSPnhSud
PhbYs03O6r1UYEsIBtiU7NM+4dDE0hO4Ei0XgBRu3TKNwvj5bDNx5VbLut2hYHeU3VQZBobH6Jom
JP2uGmpeVVG/gS5g1EdxV4wBNIdY3xelwdzmk78jcaWCoTB1SL+b3sL6PNKmo2jVs1udXkhRFMNu
LEfa6wqO9E5U+KhKdORaXeFxWkwOr0wjGhUyDzD+U5I6NwqqkSLt3+c5+JW0rYkQVVE8M5tv8wjE
FuN7fK0tb74s2I4QdIgu7x7NrCHHVasIz6Ajw9YXuCJOn2cGSRUNlchoPXr6giq2BvYv00+OUFwD
NTxmB+XkpgnRUkykWeNLZZPPCjTmsw7Ngkq4Ghn7qHt1tWVKNDT7KWWW3SjlrutmfO4aDCSG1ruh
ZVMbid9x8Wcu7hxmmg+nghMuedk0x0dGJDXAMlcd5D62YxzjbX2NoZr+YMx5sjGuchIuruw8u9Rh
o67XQneV5v0+UlNSpcD+8IsZOcUo+boLnT/QpPqhIDtEJxm4Ey0KoY6VVVVZiXUVfyLRXnTHLf1o
kIDlJtHwWsUJ4wT6h1xPtE4ikrQCo8M3p9O9Xq3/aWSsfwAFeaOltEXa4KrhiiJH6Aaw9Qe0mK+i
dRwYHuoHh7arQl1OrQXTXKeiDJvgaDsmdwuViZN0eyG4jrwY3Zw2Y5YRL1WP0PzqJzWnFQU0b2Rt
7V7HRn6W4obFElFd76U2UOP8asGBaLREYFcI9KWFjLEMdm0hEUEoE35lR6ZeTdAR4VwzruQFfUx9
GGvO+v2gvSA7+xZBwRFxptGr5XQdW4YcaeA3ILXNigivmUFhEyGuWXBVeBN8ARQBE94BRiI18hu3
AwFEKJ+mUYejiUIYuqn6/NWy0+QQGAuaQuwNm9gaq6uSdijhZjBFm4WnL5yYMQs2FeYBIluZpuF1
pXXt0Umb74TXj6CvOdvUbbDmp4Vua7IdOOMDCH9keEU2bets+IVukdmnuJCAVu80GEnYC1uXJhDK
TUJ3WTc0mldTtDUlrbBFPCrda2zBXVAXlAOFiZ96WmZfkdP7kFu+WaYJvbUQ3/q3ElsDqYgpk15j
E5Wkq6VRxXRHuUrRW7l5aGtnaaynqkI/yZLdS8/YTY2qwB/d3AmFFuzQ8gSqJcMf2pRuV+T3ZDQc
amfraByHaqM5TmHZUB+Of/+oXT/6c/PPt/z5vr98y88X/hvf95e7/fyMn88pZYCE8f/7YX4e4Pdj
/V9/1J8/4s+PWy3rjKD/6+fi//gb/+VH/XkYg2ygbLYP2B3pQSrlwNja0Bkwx7ZWHMOMaeUa+ijq
LTih7bJ+XRV5cSTDfe2qr7fliFyJ2B8+O3T0jDY/H9KLnyH6rd/w+3v/+lksdGhr13tFIbZYdqh/
3P79UMaQNS9/PllhTwYWQyzSOlofDSQCPx81ocKP/Pnwr7cT+AfL71H8j6iUNu+afLDqSxUETX+/
18/t2VyHBH99gJ/b1frz/jz+z7f/3JSJ/Y+H//1wf770++H+3P75/p+bf37xP5/78+DFova+HY7v
wo6rI3C4RmWWbJbHhKSTYh9WfCjMGlHxz2c7WJl/v/0vX/r5LLPkJNtkY3ucRBPsTKUjTcTUfiFb
fgljBWPuaA3HgK5RB3Mxmgkn+/mPgBSghutNx7CPwESYmNspZwtnwBJfYmPKS/AS5ojxudJPSmC/
lSN1VdrP03nimNhAg0uqbzRLbIMMDFhicQrPBe30MmAwPaArUMz2c140Otwrn7jOewDqnVp4IWZ2
v8iKz6Vf7lEnXqExAqLXMGtnNEKyX1SOMKbwmmLkesfopG7qzh1DW+IWym5DKK/8ODQfmmSEB+8s
rnqMSpzavSINfd0CXRC3OP+y4BpHsUD8v7GjotvUNbkMprzkhfUKycEjQbS8EC5CfNh440zDvFU6
LUWbgpArSrYAW9RHWkOQfxJYXarXr215lahEN6/TYh1qrsFpiJTnQF4i9NyTIYxtM4V3iLk0Bm7x
r0QsjVcSFIS9sx28avBBPD4WemoyGhtRhMwxPt8W36xunNUFueG0kCfTBszBSyLfXU3MXyQZCTdN
MR+ZGo0QghQfxszaDXnb/Qrsjkojp24NR+sxWsta0mAaCmFyFyjBp8+2a8Ir5I6EU4vFrwkanbEY
4QXOv5EYl5u+HzF4U0UGfXWOZhxAiKiFOwYBbY8ApAiJM6ClzmioMQ1wwDpCr5rgDGJcJmgdediM
p9comTMjcC9+5Y5ypzaC0CrEldvCmjBENf24yYJUbhybxBcTAQWqFMVn1vILmm/+K6ofjSYQ94wq
+JfdTksK+4GB54ZW1nvaS8TSRqx5aPiJS7no2vs8RYGvjevBrVH8SCewZtDehbKSyApRe6rMUOnW
uuUFeRm+Bu3AxY0F3FQMNt0czaym6i9dju03sOIzbehHsPybyllAEerJeR4khIY2Z5M+cmoQV8Ko
XmK9cbF+b2i2zDeyI0OvrBbdNZsiPURK/stBZ2ZVuAxlFOSnMMqIVWGqHjEERqFDA2HkZD2a9JOh
nt2nQky+o5WIygrG9ZOzqp7yO0NXvpfBHj0F2IdLMUF0Wihv5yy4ITeubRAwcP56LwRNalDU06YB
9JzDtLtRiedrEvqYgzoiTsfB2NGdp/LLpxtEA2Cdnqw4g63YUm4kU6tgpFkhjd0WkWFj4gyt+++p
aE6ZUtw6WpQRWjQ86s2zlpIB5lCVq1lbbvWMcXFOAl9JAi9INPxaCiGLca23zGTzfRo2bwXOWLcU
U7brmIu4TOWZ4Qfd3s4h4eg6gxvC4PBcF5tUix/QS9Cx12iEB236Xgn44jnarpXckdbGiyJXH1Is
Bb2AEsNBKe64pgn9GhgBGnu1AxG26OZRbSpE6pJXWpkwAhfCI7vRPLRgBAzuCf2ywHyMust+jG17
lxrnQjiUdGJAfjLEXyOzH/jmnMOX3EFMgmuxnjjadcy8hMj5nYmz3FdDrl5ztFiusaHnV5jI9u3K
xw8TUGuTpZvS0yPQtCmu1+XnZstLSyKgtZwCAk27csEcpJsmCr/1w5//GtrOABH+5dM/d+pYE8tU
DKdMrLrj359b76QszR5JfnCs86ZcdkLvQWvW4+HnO0wOcy3l/WmusAtJ+AzBpLwA90H/IvurVtUw
7qfQYEV/Gpb81ob8vG+ldg5b/UDHhpUyjEgfIc6YhCJ0cMAqswkKLMY/yCQxrsDrdLCvtAI70lLS
oqRjyITZSQFeSMlPMw951YweLpxXNDu3yK/jnbJqJLWo0a6yHASrViOKEFhtezvDp+IcB5rdfhWn
N3LUCV7kMExRDY0nctB2RffEyPHCSov2K9fPRqNOR2FpWlxX00RlPIbHNIxfwZYFq9/9gwC6I4cv
RjpwHf2FNzgIJw3FVYhoS2xVgdJE0kpWLAgRM/MFjhd8ASzdJm3MHQ2EyQ+EuCE+gQgyRb+t0eN6
8B3QPoJz5l1zqE3zy1CWvWqWaE7qZWSk0bzUMkd3Z3Z7HrRHRmcgP3Q4qzzh/5ZemOZnnoPXfrAe
+H22oWZ8SZHcO1ZxJqJu9PsYjNG8vORztq8TfkGhO55TZRdjkW9dbLDlzCU8nMjyZ2c5QwzSjkP/
YNdQ2EyoRuY8oLciTXEuu0e1zRFAIDuOCIUTOqJe8oi0ZlGwwJ+dnt6G0UjaAQr00pimIPV+1+b4
pyLn2qLTv44oMQNpd2M9tL6qgxe0e55EPcpuA6Z+LhTv0LN6U+IIJ2MhmKdd0dED6LUSjKVNgyQe
gDWjEebk4Wig9tJv87hoCHhKTalxR6Hv7DikdBppEUoU3NUh+pzJzE+D8dBY9rsTUKZmRnSw6I7M
OoJ/VeNXIXoCtXB4En1/4J3zPZbQbUhY/VCl2K5QwE5tP0qzDyHn909J3twSe3mys+ANaSjcqgqV
nBrYJw5GLkdmJIhJGbj5kNDfI4l8CEviNtPBrx35hHSKrNEgf5lNLhFJqeg38wN55NiR2zNs/IeS
uqA3z3MQvaJgODa4ADeRRR54OAAjRYD52pEZNMVZzGVLYLjZTNddR7ThpFrPY5xxajRamxpp7UqR
7RB3b81YPGpzTDK18V3kyRtDS22XdWTetby4iTCvTAvoa/NiZjToFRViDETafOmfgA0Ox2Fh9y/U
9rNT9pkpqcYcSuGxgwQ/RCgc4hqGiyTSZ0h2VgpPcbBf5/Q+o5OyZrMR+wilebSrgyVAU9IJ1N16
ss72xDUtaFf4C+0RLygK3dWr5GuqQW0JPYTGG2FKw3aDBo0kOyvikAwAiNqr170lxqYV1M8sV/IQ
DfbgoaBzg8h+nCN73Pa9fq/ogjCeO/S04ErggDAdQ7peJQdGIsjlInviyE8Ha5Y2B5a8Xr0d1z1E
kO3Q62c9I/FJGkdAnMj97bnZrY4tTce5XZiHdFQWzwnZvcryG+v8poeNu636W3VORxI/qCrgcg56
j32+xRFUj+hutSH28tG64+QAn06c23COsJ4XPn8kdARoDK5p29+9wOIS8LITlyn35NF6SjTALndO
VUnfndw/etU5w5/JJK4PFO+NAn+QaFoAYUqItVpZSyQDUVGjQnVqjfE4Lx/LorkL+k+wH+Ai+4gU
bEfAB4niymsrikpqbUaNfkICxEYp+jtVktUxs7MM+BlsJIxRI3g2dMlaa+pe7jzrSvBlBEHIu7N6
WsqekXFffWtpc86XFZVM8blU2AjziZ50a92R38DoRRM7BxeBb7bfISQhlbkL04hh8JJJnBEywg+x
ql3E9J/qnuhZC+ZXxzlCi+MTmb6xX1rFRzuEPk956uMsuZ6NqvdJaYZVR4J9joSa3j8BCS0BLRLf
rhHilmyFXftJU54cnfxk52c6dopMyulQJ2tStVkF9PA8tSqyiu5NZ7uHIdntGC9T+wNKAn9aHweN
WSx0yB2LBvDBlgZ9ERUXRUPuXJFRrJf5Lbs3SVqi/mIEy9kWO1qBiMOkfKPmjr2xrb+HHqeNY6xg
UKqCHgiUC0gCBHmA0LvFLA+XDElQOT0sgvY5scrP44JIZu6f2lD/xXLquEPDkhMSt4pcjq5rYPMW
Kk1UY9rCvP+JP/+6SkD3THP0aeO2WQk62wKHnLKC1JVS+e4zu7o0WrTPVf1mGeSHxaDCnaKPWMrX
ZUCZxDiZBaKhEdyFzqHJkE8yEzyKurF2uVEpu8Jq78pFeQPhyJBx5RWwvLKFg9jmmc1j8zasIJ0t
IUNczBx+3KOPjM3Ui3VU7kXw1YxTutVqRkhqJwRDw7dqxO+rWBOtuyCn0VM4nJGKEy9Dtv2PNaXp
fxRn9Uzme/X1Gb/93O2jrFbGYdT9fpR/3mz/+ajeW/f2bzf8n5So2/6rme++2j7jrh/T/w6/yvU7
/7tf/HvW1H8ZQ0U04P8jhirO39/ex69/D6LiLv8MolIN6jWbQlHTmJcS8zR+tR3xVsbfcP+qmqqS
qkiqlGX8CaISxt8gMdiSdwX/CfVfg6ik/JsuLEsjycjmLa+a8n8SRKURa/Yf/+vfgqg0DemgxRZC
qput8qh8/V9SNEun1DVCkZhmYGjyTb3q8aql8bVKMg+63T2jfLa+AsBgROI61Rpi4Tnok70S0HQi
IwlvQ1r7NkI9wkZRo6egQi68e8rtlGj5JaA63RRp+4zNoN7bw4DeK97oo5Vsp2j+T5LOYzluZAui
X4QI2Cpg2943vURtELSwBe+//p2atxiFzJBSdwOoazJPPrdCR1KEimFymsOXmlxk5U6y9dKZ1q4j
W8YbMQMt9yHG/O8PFveqWvJrXjmPJtEN66DHGRQlIys+cCFr1YJqZ4vQ5b25dXx+Z/C+57FKX7sM
z+RU1GIVtC7hx0VMMSDj6p4t6uIyqTK6mK5VOMuxt3LKM7v6U+Rm+8z8/6t37FdsbtWxF70N/d/a
eR6La7D3Gs1F3Hol6c5pzNfTVJyXPs8ZN0zmFUvjpEI2CUYdrZdkmthxJK8y/PDVr6/Cj9qY038s
IESFyZb6dj3bqIazeV+17QDNj3GSNTVovfv+sPjqNcwM+tAic88ssn9HEZX/bIu6oxLsVdQcBudy
XPyVOcA4cIa5hxCtcwY2TTh7z17lN8wwrPTJ9XmMAzvkOZgN7m5iw7Kzp6Y+e4WJw4lVY48m+pqx
C4JpYP7EfBynxVI/UQl5j6oRbRQ+KyLvjfYArMras4R4rVH77uuOeK7eH6HlSqvAG1D9lPZoHulz
2AiPzHXCmitLNcawkdEcaYMKmHALMiJBvxeWkwRdi955GeWE2hVaziuZSWCgmk/id+s/c75Q7ZEJ
sYW/VQJAc7ZAMxnLgzJkihL/M935jyQbbkVRIzcpPSqUpxfCBP7GbYA1CEzwCojXH88EpVJYuNFa
DD4yeY9KA3pNRIJnFbVUsWTrbm3dgTojA5WA0ZXbnG0kVVvAFBQhtdyqMSI4EuArM0CXZYU69VEq
sQU2t8Scis1sJgB/4vSf4ExZo7jTIxQZUvrmRy+n2rZz1LyL5qSh1kWePJcXZRMUhpsSg+84VjvF
SVwlap1ArtxOuKRXreH9TPaMXV2U5RuCeqBNoftd4JY8TAhKVkUudz0Kg7hU/gNzXakVxrQHPANg
SSZQ/Lrav8PhuZUqfhRV3t64f+KXsOweYzSWU9KCH1BjyjoBRnpHRksjGJYRWNdibMleUkDx6DrM
Ey9B3Zr8Xgzhnzq0fOzgSG+7nJi5rOy6kwo9liluCKnQLi+zMOtDWRWHNKnMR4FQJE5i6BFGx6a+
YTsKSKSPWjTmLRvokAeDm7GLGgrvEpD0HgkN347zAC959zuaxAV1l8lS5iVdfO8KFGwtvADegdM8
IToZWBT5zX6s/XPC8nllmsHDbCQ+zCAM0lJ1H1OEHcLFXM6+GMVpiAVsolqqjfZUeEGqfYgFV308
g3aC9UlBdC6WOP3jCnVXDAWQOGEWt0jBhgWIaRRv98zFFK0SFMjvg1uf6xwYIWkZL6LLbyHPmGUU
WPkrFKaCmCiU4TeAy5+M9T8jVtD4wloirYFkqqS/jWFyT4X15faDuW6UWaMN5Y00/csShAmMu6re
mzNGTOngy4wo8MDKWsNq6B0XhoyNTpHph8jKPesus4M1JVnlTEX40mkKZk6qK3OtdNea84w2zcn2
UgLT7M98RTwHJ2VGL2VnqF0+S7X3quzeBjEDkNhPH6zUaw9+kV8zHuR4/DXqbjrF1DO1YLSaNj9h
kj2n8mHwCCoqqCcyoBSrSaPqyr7+nc2GXCgu8o2lLfK5bZGlZ+BA9xWKRaMud0ldvbLpeEyWQHDM
ZAiBFKCyLsi1Ap1JcEYah4WmqyPhQxfhz6Y0cXp7SJtitQ9wxsbWtE/xbRpLcQxmUDV49za2jQSV
1A2ESTILb1T2YLpLZn5MXjcZSzpZDRR4ef88RBaj8swQpz4IkSO45T3iEbVhp1ts2pufRm+L8G7R
oHldbgnuoKsfYAUwJoc1ZFoTSUpw7OPkvYbyulV9YDBXGfMVIiGskpV7bqvshoXBx4KXtYdmlu4e
v7jYSoIc8Vn3gMg4lrMPrKZU4KwBuXCn0RevVZ0+ku67U3ynbRiixKtt9t4NjBJe5Pgez9kHqQg4
LWOA/lGRbcrgPpomjarlDbxMrD8SFj/0MypFV1yIIrE3KprekLbgvEpAsnP7zzWYuaUafyw19ewT
mud4MCvK817hd4QG+9/PAqw+zPpIZoGthZQEhSX30npM/V/sRDci0upL1VUHVjEB5Xt3j2kbVwkL
LFqiKWRTLmomN+B7gxLBhcqr78GAhmimjrEKe/SmCSSORA3WSdBbUStYYJ8GsQvhDy8Vgn0DPNCI
IbQyiXKyDX+nyMBcKVAPu8hTSPr99DNFYlNYz05ADMasyh8P9nY9gAh0UmvrM1Bk9TH+Zmn1CmNl
z3tWvbsGO3cEMwI4/r5vln6LPv0ydMVZYvSWNWvn2EIb4NZM/Gtni5qITHVvQX7V4WUcyDcSQWWA
emUQ3jP1Ys3KQZUIdUjbvrlXddls+olBLVGl3WZmpr72Q8AfmRjOsLdMnP/IgNSAc7u0HxqWRLvu
cwmjbjXOCa3mJH+ktDXTxGP/q/EusnyuoJ8T0gBHzqiuNg+cgxTNXzi2w4BX1a+dYNO16ckch/SE
rO4cJ41/jAM0gEOJy7a9ecq3duF4okulUbfELghZWduo28L0e5jLequ6/G9J2D3F18wn6RTvdF2c
CO1oXPNv5H3vBpwcbiv7I6wsh4w08+7GQ83WIchvZiffC7l0h8SM9vFw88Yie5q7+CqDGMdQF0z7
FhcXvTs3eZt1D55Rf5MoXziNveLhM26k352BupAdEyV4/wuMtHJcEMsFbg7UAl1Z0U87P9WKgSDE
vbs3HcRigPX0G4DIMvFqdkJ446OEs2lwih8+nTJFTeoWPg+M5FUzjq8IfWBI4OyqNIFen8ZWYKyz
0MaLGSOipFbYWLETrPAy4ZhWqqXZEuQK+EV4NHnqsylcRXR4R4mD9VI85xUyMqWzhmUxfHEU472o
nskuqrd4iD6qjsf/2NsYVqvLiD5ilUyPInEfjUZ8L21X7MP6p8C4HmqJwbIwNh82EeGkzK6dS+k9
y84LkKLhOGB1D9Ew+EgXFv+BXW37pfpGEv4dvuJSouz2SM0J6h0ejsfY+6JbRJFox85Vfcw5b1sU
HwVuzWjEUFUu1oOiOSj6NjsDWswBOrY77v98S4hBBb4E28xcbiuKrY2cQOOElf1iI5nbWqG8l8S0
3q8FcQh+E9jbIE8wYqHGxV1IbCkhr0MX52t05XcjdTtOKv9LeSRpht5npYZyrUTCisMnAANVl8Sm
uiMndDkxqWL6Fa2DwfdIwEa67DWMZkZESlwQyc70N2SjoWvL53APnBD9nQfGg2jgbZhjV0Ieb9FT
7MMqJSZK99F2/8n6d1gJ13k3+YwZwlGBJhbpk0PCIHWAJA66a4WDmfdWCsZjVrCNrVuyMPHw2WAS
ayhOTh3Ez3Wi1M413Ghd6nAqH5+iWaR8sMlzMKB2c9g8bduMFBbPfJ1SLzy4rupXC0sMRFwPbpx1
W0iCX2hVcG5Ri9ejh10jsdi8dASEl85DJeprZ5lvjBXeYRaQL2FUjI7a7B2W09Gzwrvw/tBLLLtQ
qTuWQhgHFryFyBZ7CMDAofyRW9J3nnoN8RX2iFHbtC8hZlbgLt9tg1XCySSIFwCZMIdGvH0dTqbS
2AeeCUmUeajyjY4peLvtyZo3PdZLRfpGggtMSR6tfMs4wpGzMKir80jrp3+SgYBaSd6gZzzX2Dhx
ycalxkOio0vam4WfiyEFPHE7qqxDJJbvITKcQ9c3D96sfhyx8IKwrG6MqL9hk6DbaRZd6OQsIbVg
HILZnpEva2ztBrTr+JvlrdyMFlO9RZ8mSY0SKlcfRVGZDIIMbLKh5+GvH12CZYG84izYy5g4JpMP
r+OqPw5SvY09ttSgUZ9T5h3ToSce0uBq6NluGXCtYhUMuwKOM7lbqKQH/EIjzwcniKxnlP63NmYq
ZbF8BZRdaDfDX0zu8iiToD3WmQFqAsoTc+Tuceijj9x6bRq0pSH7Tja7iIxU8ORqKdokAaV0+Dlh
SAwtS8nlOfDGmemdNM9BwmMQnI63s02LCg6/M/GCPWAflRDUQjRHFBkudpHcOBq5t6lYuDw6TORe
+qH7U7MlH8uef70PIC3K6y3sAnWIdL5a6YzrfAT2GGZ+e2Bxc4Ax3v2NBxwgyu//mj6QUc5HDLbD
qagNLNfT2yTIM7G9utq6M0TgNJUfnUweJWHJKyQN92qotknuwiWCLL12puhdZ/hsWOuCVHfUpmyg
BzgYRcbe/XR999OZ/AOczGmHwm2kTB6XY0YAQhw8wd1FCWbQBE5BsYDpC9/ayQfkQVnn+eK5hHAx
1USlVKHHFD2S0SZMHQbUHKVXQlB9rMwdnaGoabycYg/7ldS9sKRLhe8EEICY+N45FQQ0s0AOH3BY
RRjVXZjg2JsA6K4TDwllbojhUowQM3yspKocGGTHLFMRwtcz+bgWI3z6Dn/tSptX0pRrOZnUr5H5
nOOXgErMDo99RR+Am3ED++i6eu8mCvccCvuL9CfrgOeenaxoOqJiopFtT38IY6zvEjcPLritW4zX
uYyGzeiT6KC617AP47O0Wv0JLKskbd+p/ixCII33ChPMKnddb2820fLqE07CFi9v91QPFINOf+3y
Ru1KK7/YYvqzDO0zELJ421Ky7GaKxDvb9LMf2SZli/R+m8n7YlvLQeg8d1EvH4GlrPM5pSOdezhN
mE5YAoS3AsaFRDJ7L1LTvFhA5msvnVC/VV8AH3JrRPTBB7k33yna20Pqm4SGDS35u617C2qC01F+
H5LcxBwpbPuUNnKt3PohCod5C7NPnDoB3oZl7w5rsXUKd3NnEtOMi5e+uSHslXf49P8fTCffVrL8
adg9GrKAvoVOd+sa3CxyJN0MMIffFYTHOrhyobiN63hi6254khTPSsZ3onHxZ+XNkZ2FexQg7Fdh
mz4bJoyysUAvO7s/4dgQcgAjhDuU2mM3EaN9UM2Ysgd8G1yClaw+WTnkG2vV6AMMqwcZKXZHs7ke
WlZxkIMOdp++xCCYQdi4D70YbotWaoxA1Ajv7FErZjj5c45JRhezyJ6s4HGMkVlWNIyr1gwuSQ2G
2CZ0YLDFYRkgonNRKRxKz7ikIOiTSqXCEp4xZu3RYqIfJvRuBo5/YBpee4prBayiK/4lRguzEUEP
DIE6vZiz/QW5BQuqml46hUZ1NjFwMb/KKxIxyApyQcIAIUT2Om/p2Ycr+olhlYxZve88dnG9ENg2
SpdEEMe8QWErTz1zd9T3JtcO28WiQ4xYZtgSVP7UgyulmrHYMxA4bQ6fwIgqVCytsTIRZK1Ma5dy
4B4DvPB07sM3+UE4Y+ljs24pDkn9SijXm56NHvsQI/tYcRwu9J9pmZFZPbF5D3sBqGhGADXGeBTi
lCx1C7VQaqAZsUcbv5eKh9U8Zs0W//BvoNTNxEl8VP3RMBpvR4F8dtzl149RJoXnYBCItBcLFwMp
uoVq5Srn/tlN9j0YQ0RJXfHZlkQQONM/Qjq+hYU01gsYskzWXxKlFqRJ6Q+t+Pw4l+W4zXOAkYqf
F+HObgktpq4jPEcSkkf6lmumHc8Y7N1h1YDjB6+F55lawGPTPrsCfv1MB4TSDUJNvSCVLSLqdFcj
ItG99gN822p8wwbbXBIcuYBA5k0R8xEJgKU1rRw7JpzkFqqRpHW+q6HuzkBB2OABXZjPrQ6WK0g4
4eosKlis/KBTLNthQuCSuf7KHqq3iEnbrkvi+vTfDw08CuST+tc2DuhTrr8+qivofdlPB8Nm24P8
wjHWc0M39cXw5nxPnmV36mlJdjWeHj4UufYq8c3YOSI9qL62bpi8ZSELUHPMz1WCpiAgwxq9LOF+
KG3wvIZQoMnvnQny9ZI+3hcNIpaKkF9Lp/0OOvc3bODRNSQBW0QC12TGVENvv4aojVfohPMdj4Z0
axIlTF4avQlTGbIrGg5aWyLJxqya6AxirAVc1qA6wKhtE51TPA6AMEPLhcFUvixJXpJtYbsbEZNT
E40TGUyhbR5H9Z7zVNh6+KTWqeKQS3VCMg6HSwODcLfAcNMoOsYKBpoBDrdzQsRyr7OWK0nqsp1a
p5kYZm/LLVYg3Cb30iOmuQewgmFVBKhFQp3jzCJT4ZQk25koc4nqsONibXX2M06DSzV35HGhxs8G
zzkXSh2XpseqkVbHkLkvW3TzzbUTG/WN7+0L1g1sxDnZS3frFbW/NYDfPdSU5USDsq2sq4ISRKdW
NxUYA0MnWYcPtc617gm4bnXStUnkNcG8E9oq5sFe5Vyq1v+Tp8Te1XyYzAndYusUGbSNovzChYxN
xWDgFYU2jvNKp9FYGBUl6r1aTnsvskHmhUlNUs19is3hbYzDtdcPZ0uup5nTGUABTQp8YusgQUms
nQ6PmNnrZFf0SYYzNqsFtf0mtY3XpehfUiJdkPwKcmXaCzgIRHySpcatBFSICTUkB97GAz34vA5E
uFc1MS5QpJOjL3u2bNVvvZlhbdKw9TAqAyWSJYADSOdPXFrbXNn1m+uyAK5QKZDw/Zj5dX3IgmFL
QhiWed9+SyagKWYswn9mH+ycvL979SzundOw150QyiR0HPjWBaLGjCK0hwXjsLO8dUP5TjUFvZLh
paE5oTrNvSbWnRUpV7BOekfe/+BMNhJCnQJf6Dh4YuFjnQ8/ExQPzJTSOh0B+3Tmm0zHv7bBzkUw
4h8GHO7CSXfhwlvYqIrWN6PzyurmsVmc9pJ0xUMytPd+wi9Quq1/iK35YBBBRjad89Mm+HlQxr2l
BN9nLt4d3VT0sfpQs3zMdeZ7yvnj1nck8mTCmVgxgT5waWAxc8yNLOJli9f3Z5R5cIx9sO2EXpCB
5Zl8q9JbvS56CCsqrn1lNycyTZvDMJqX0uIYtbErsFHubinhGRiKcR1a5Q5mQ7lyHAv/IlbGtfqe
FLiPOYvfsRJxngtm8D1uiwIvxyZu34SNsbwK5w+m0y+JQxRfMXebPCldjmgAoUbtSxZr7VdXFF8R
DcFqGr3dsjBbA1Zzp2jGgdQRKFbZ17bEMGhTGGySwCy0dmfvWQyNk2xQm2zM9mq2gNS1sOduiwMk
s2JhjpwgpJPzjyIyxltlhk9ZW0z7uk890lUu3ZIgJItNwFM5T+cwrNOjixOnAf8kluzvCP39HExI
hWIGkPemYDvTCG4hBnfFNosyPk5bpY/KRahQFcY/mjbu90ohSHDM4PDfHyb6/0At2DzYkuRT/T/8
9/tdnUBJzO3bf79q4jl9NEjSYewhyl4BVgLphxzce/zvh6B8o2A8WLUV/0UPSuYW4XZPBNnXSHkZ
jreRQNwVQs7Myil5zGTrros+L46hM87AgDEwTW17yWP5OvAsPpSj9x7MAB/xNRjbPLj5ITI2ynro
xB1e2inGwmRc7cBUL8SVxPfMdK9QKdULsOw3qtbx5oaMvDGj4IcCPTIG9F/CgdENM9AevIMlA3XO
rK5/iadMkwj2JvGsey8PAKBCkvV+uQDHF9UWD7kHd3xsxuaI+5m9y8DtQehaupGp133UWXL0K+cH
73SxirQRIPWK7TJRZ0YWR/xYJfXeL+XXUJM6VaaACY0R9o3J6lUNNvedNMJrAcjzPpJBux6WuUc6
joBgQYFLWNIRCF5/qUmzKFwTXFxDY5SxQmXO6HJJ1UF9laPs16jDXdIQnB2TTnRgWY0HzZhx/KAP
2XtxjwBl6fL9ZIDGU8NzPKMAalylwLWwoCUBbjwQslCa8oBnpn0VRXCrYkksu8ifGHZv44bhfGsx
qu+V85d+TF4NN/iMXHr+oresk4eEpuPb3jqb02BgxPfVeTurCcZ/do5u3IzQg/xlC9bBoCazjhfh
P2QhmZ5myV8O5y0+uEyiLLbHFs5uPx/krSlbxIRTkrDgWOKzYrBpVeR2oxzZNdKsn5xifrVRx90o
h6x1b0bfudFxcnlNsjddcGfZbNxNj69trPQzRz61E8ZASjyt+g0lm7WdDPgAfjZiXCfJfE13gHlj
ELxi/JEyqn9alzKOoNrvuY0oX/HgPQsDd3RD2CbD+4Y1WKOtH9zvbGoQ4OMyg7LcXJj4IV1ZYDf2
+HY1Kntct75zX0Jiz51HKy9QKXsh87TFtoEWsiDDFv9Bs+WcjWneBVbFEcZJgYJ12jygklFXwEfI
qpsfv+eTIJKAOWlX/jNKGbF6Grd1STnOIqvjNORcFM5Q6ghaiMC5vxJAxE8iWn7NXddUR5byW2Mu
uAJyVIp295uSJLSqcvjVMWuamdOrIvHeEHG/ad3xqZyZqBuEd28S+2J60BlkxTgzTAn0821uDaRO
A0YY46GpLXMntSWxMqqTwxHqOayFJq1ZKbR4RatYYq1ncbWypUbi4hYf/txZoGcydFJaBVOGP/wL
F9YP6GNSrppQK2ZqrZ2BfE6gl3hMtarGQ14jtc5m0YobF8ocApwSIU6hFTmslOReItJptVrH0Lqd
DAFPrZU8ZKshfEPcM8dfvtb6mIP9ZZv2A532YdBqINQ6vzSaPlE6/sbTiiGEIQ8zEiJSmKetadVY
NF8rrTEytNpo0LojWyuQGnTKjSkuGUrLdYdISSJWmhAtqUD9gS+PuBY5k611TToNBNaARROE5on0
Blq7rmPuphVRMKy20VL84lmlV9SqqTI6WlQKoVZTeciqIhJz+Lepx7ZEWIsn9iubbXWfiRvOKbTI
Og0YGWAcbltony2B1TJ0gtuo2v1IXNBOGf+6HolD5FwAd0ltMxnXGFQwpybi0iENQy61Hyx18V3g
N8TukYeXpsEm14oyDH9olQDeMZee+e6rRavPbGRoPRa/bTsYZC3lX55WqrlI1nq2P+Fo2fuSaQyp
WrPORNz7DSbAwl2uFSu+jekN3SpGDCfb31Br4yQiuWbg4nSQzdVaP9c25DgVxHm5EFZcTrRoqH5N
rbkrEN8xBIqOrvJ/7OGP1Oo8+jtgGJyDAcI9BMLkE7DTt5D0yXp8IiUXBKAW+yH6AwCwZh67CbUa
cNC6wGVgL1UUDhW4Fg0uPNZgHmotodKqQgx4GNG10rDUmsMonY6onx9mrUYcCg82m8krrbVWsQ0u
UYJ2MWHcScKmfcASB2sEgaNE6GhqxWOitY8tIshOqyFbZJE98sgCmSR/WUJ50RHejYJy1FrKBVFl
1GHO0CrLun/sGQbvapHwpz9TQMPiE3XIR2R4R8yHPnA0iEcNOmKE1I6H3BpNZ2PZV3uUamfV8tZr
3WcK4xGd87zPtCYUTgt4SBkf7dSGkwGUfek9+9TYj01iXlRlP4uWRG3QQq+Ijahn0Z7aWoVq1H9M
rUpl8EsgFkMOXytWB/KLVkEWDjwy0oOtda2zVrgiN/nhOe/ylhsmj29am0ArYlmkoYJEI+trteyE
bNbU+tklro6TiJgMuE9e4P3zEdpC2Ay17jbWClw1oMWd6Bmkj+xBCXS6vXEoke2OWr87aiUvw+C3
PAg3BCv0wVdXjsXO7Hh0kqACvFax/KscVO6V64Nc5CZDVQ5aaiDFkmXWzG6qu5Djam6sgbzRYM6v
Qx58kkIp91VFArYgMqOf5d9KsCdAC7/p3NnlJb9yzti7RGCfNrtkOFQcWCsV6JFvNF5KHwQCKBn7
qZfykk8oXB1NP+oin86MdbIMQGf5yctkFu0DgYNDDM+N0ae2FVj8q7wOwaMVfpFg4q5HA0NIMg3f
PMUPSZUtb4WXefCWon8FYsU1AwxvvWC9PYKtk0BBAba1CDE0WDpsWLrZGLtP6JA5MRpxVsPE0oyQ
JyRI76B/00Pno5MI5ZkQrzfLred03fOzcYpCRlOAPvIUIFJtZ3hyXZMx1sIzusGO/NcwDFBmNdar
JaC1qH3cjoS4IC9XerUetdPjomYE6oLTJSSXK9cDuQZgSOWRKlhzv1ko5EHVQvgBNjC57MXmuhs2
IbHIK+HdzYB1YlHHYi97AittncqUlF5+VA6hruECwNfO+wu6bNS0U8ZCEZGOBpULJF8rR83f3pTd
uLA33ZyaL31YfxQpuloULXsy3Rj9tlbDw5krZs6Wad/Fzp+JUMB13dArK5BlMddFGbasS9XnkhU+
3pDuue8Zi9GsFFwKa/QtYtebfrhyRYX1PG36ndMwKfNNhbnDPjsD5pzAs96snEdX54aXnuC/bZ9m
GAYykFpeBo1OtD1PKHRMFbMX0PDiDfRHe+LaH1d9RqiYWvgsxx6kkErgt9QsIKYOCOzQmuvKL3+t
iHmZxHPI9HEHKOezZXGw7z0LOZiYfgE6JIeuxbrjGx91pcZdQE4Eaa0pQkTesdDAPyWf6Y3QXMFE
vbXsqZfX+mFOJ9pPJvSoPcgYEIj+WOuyNkuKfO/azoY5nXeYVIlSDPbICC804nxeVfX4aNOLbVvZ
pFvXXrZN7mK46lS8sSeIy4wFbtEEfCXymBz2ZvZVgpNEj9pvqorEjlqoJ8PhgSr7sdi2wTBz0lOU
07G9KLksp6W2ngyeaYRoPIWTDUofKAGjSqbP5SOHDSddFb0oq4QJ4MKzm+fxPDVefLXykgBnW3RX
jPARHs0T8M0Fgzm3ZjNlR7Ip8JQDyQ0X4zz3z8SDkhoKF4R7GBei6UDIS6Yeb0iZXemjsyvTTaws
ZvwnYHa69YeHACzKvazrR6T09qZo/EdR/4na4p/sqFjGruGWSnEzu1hTZllOW8FACzH+nxH/447s
XnhAPUQEFl0MUJqWxfOU3C3cAqemwUeG/uTbCxwWVMlfitX6Oe/BiLAv2klmaMfBeMIScY/cTzbK
6Oxi8y+suhAzfbHpabroXocb2rTdbDGJChv7zeQpCj786k2mu0MOWCCO2pih+ueUOvbESh4IaH4M
uB3IYkP1Z8/5XfjxHh9+eBSiWS8AkKg7qDnCsLmhhDuO0ryYuXjEEMNuX+oEcJEKMAmO3BkzMUUi
81jVWMm0xyIiIUlHLCx7IY3dmBnfVqrNFV5SnyILdyyw/x4x7WZwLHRNuGBOPHkSJj/bCVbBRZQs
1kHj/+QdmyDV9WCX/xtZiKMxVH+DBEkf6MdlzBlcOvYLRgDYemCFyTaJP8dU6JQ71hBASIod/K+9
sNU58U3iC/IHZbXJziC+bMPnFZ4UR8dism2Y+p7xoPmTqgRFRA2ZOLPMBpld8sDsSkrCtAtx80VA
TkF+iabSOBjxT4oAPm4d0uQ88cSI6hF7yz5brJ1KYRguE5gsnwoU7gp7AnrY66zmt2o6y6BqUHWW
AhFCuUpbHEtxBqdiDuWtaI41aw4A9NBbGDZhrso+wfomsfnlSvDDZoP5Aeftlrhzb+3rsXppwLga
5IRzZPqZHYgaVaVxTvPCOxTFRB5NvEQ8XEaen+SszE1RMJF1W7QmCvrQfuh8tMgROGrNqJkQKoca
pyJwk1WAfJrMmRmbNMPOin4L23jvqubam52zafPqowv0Rq5jPthWSbe12vkjrrsjg10qN991Non5
VFaBfx295b20p+wgQZckoUNtLTgs5pkVXuiS8jFayLFSiOb0qPOAaMMqioPvluOrNpV1XZ7yGGTf
iA0bEnOznME581TC8ceNsZ7GaTzTTGEUY+xOYAF+xtDnj8LuHPn9bkxDf+X7GCM8zHc7d2weZyP0
DuhxtzaGWYKR4vdUMtaHMk5kjzN8xQ5ihim5Rj2EjCqDED2ok00S6N7HEZJWPV6OhDmvSJgR1dHe
iRw0UYJogPeZQwY7D8oAtRxnZGyIJwTwwQi2BavCg7DDL7vHe5MWxbe0F+SkAZxMuMmbFAr/nqCe
W2/ZPZzQhMS0XP2ti8jDFmaciXKHVslAue2HkVzkZtx+jynbRsNs3suou5rDPN+LfKl3DpsskjXR
C2FfP/pTfnbyuVyJxYxPqszevCLLtr0z/DRmzIpSldeqbb/YrD81LuGrLrM3POz0hjMbHfIYDZcs
cAXpMG2nFw736ugGLziOmYmVcbIfUovQmTjWPtBphwIX6XBbnXD0JnHGYiD8LJYIXYIzfrVh8ohW
9GphqVnlKfPymCyqEa31EE54f1J5sBwJL58JK7o+0C/F0Wmrm4EiZdMz+1gnDP5wyBF2ikG+Lx5H
Taa07QK0lELyaU/cXgqOcYzwBc7b9wzQCAEUULdIArzPFwByovyTE+aw4SL5U1Vdx/GOJ3shMJQU
J1ybefwREfwQiAG9y1Jj6Bz4Ksd5L31qkdwVco1t9yUr22YnHEQ8S/TV8Gj0xBLtiZ0zN2LMyUEt
cItPQ7JvKxMndUiSXBO9+TEVt2G6zbHIqk/LIFpGkhhf0Tm1yeBSa5+dQJ6ZeU0rt4LmpyYm+dSG
r4M5mVtrLt+LoEGUOiYe9zjp8DTNx9Ze3nOT/Vbg1yGx8MG+aVR5KNPxNWjgs9kTB9xAjQ5ZLEBA
L5ijwRVc1zP5ExE1lXCR39Wpw6U3T+yhHQQ3wLMe425yWKjQL0GYMzaQBK485re8T1zgRJyXqtky
NNq2uOCYpchnBsRQjOzisSfSYcfj4DAzTTioOnlJhgfCFuyDQYDtSU4t4omxfxpG6gBnNA4WDzMW
OCxXkzZ4stvs2aBR+O+/KnLu0I8Bqac9yUa3mJ5g4zJfOLh2fLITK4D4325aq37LDAfHr64tI3sL
QjZ4W8bswUjfYBiK3UzFxMVRPoXtI71hsYYl/LdyDFhj1AFBPB/KmnSbmm41t4vnNrJeCGajdkla
8zzF7ZE9/ottFXQsY/pL0f8XR9kz2Dk+va5+HUGOec38mnnc9QXeT0CTJUI9A8hRB7LAHNBlhWgN
epFDj+XupIR6kTjqRVrBiAzFU2oCvI2C09hTNRq9RGQzU0AVFpdWggbQiu2XUuIwZmnyu7gM4uva
5eRISkqReKl22YyBiZb2LKXGG2bsm0k0JXtG3JpBirNrH1Nhs3RKI7pCZF04rVBGRYhQsWvilkyX
DfUOa7pD47YufTmjXJdVDSjm/3F3Js1xI2e3/isd3qMD87DwpoACamJxEklRGwRFSpjnGb/+PlD7
3iaLZdW1d98XDvfCsjoLQCKR+b7nPOeHADGnr4kcZ3ttU6ys7DECfjZIRnaI9eixppttG5mJI0Yq
7toMTFmf5oiAJvwxJo62se0fgiK7UeN6M+mheMBk/V0dZZ5ZkN2UahcChXs2yAVdDAuPYTWSSYUG
EBdpu/FTgd69P13HZOchRzyCwq08krpAaPhoh5UQxKo6KMd+2RsvlWZoUbaYqBSVWg8H7DPa7qyj
OTGB/1UXT/AYQA+i5wVPf9Q8zc9/dNSKzIRiT+gLDYHt3E16fh5dQLfUhRt0a1T0prdOlqVtnxY3
OVuKlC7gNpZ617ctI+zva4XqlxK0e0MbHvsR1GIrkQFE6nJnN6o1XEEvoN87tuZSvUCIy9oEB18E
wwUTwaqQryRKAcxV677WAbzyvI9/pgFYg7mmNDBnr1K40CY4oyqlGxoDCO+2e4j14U6YNRzLIdi7
AfA29aVDTZ4y2gN1i/XmtbLQAo85reQkGVzkfQPyYIPib7JLhdA1IInRjcTLCN165Dm6BSA3XUbE
WOaWcZUXD7kc7jsgUmtSKkrXLP3c8TUiQoJlXzqXTxg2AurzXxCmNZ4fx7cQpxonQyMDN86LcOwC
eSDLAkLjNEsEqes8OqUrt2yywu0YJTuusd1AMUQBcKhLMjI1gb2OAvUBFWs7EzSuYxHUqHCJ+ktR
JJApwiDcTElDsF1eesYYlDuVMAUmYcOZOpiPRrKESVAgzrCbHXSDuoUswnhKSdS0KKwliFpavmHk
K4hrAqd+VPDmYEtWN5gm/SvrvlFT5Y4z8k5ANVOVYPGSqPVxKVDGYmqCL1H9jTVLLcuTRZ++i8io
ltMDuxpCmKPuRlEpufr4s9Z5L9Ksl8KRUsOt0mSdl7YVwfXGQpUMhQoBaE1u5CS6/dyC1ww5JqDp
8akTjWJ7b1UISAjgzuhD8F8TjycaQUPDgJsVM65qyFq1NF5JlcDhTv+GLQoFv2E8jGE8wSOEr5wx
32NI0yPIks3AtntVVFQOh4U8Y835GhkiWRXpBvXVQJO5Nxw1o3zcRE+myfuWmuzpdSSahEFBH7bn
vh0weCRvPezfehgsPjXVLlRbElwycrIs8UbGFuwECo0cswHDN1DeX/36R5Jx5pgNfhT4joc4kHu6
nQLIkDx7REBBfZMILHT27GgGq4wpnHBCpLeyw5/drVT2o04mkeGgoHXEq4T9HefWwYLbb6eWALvE
pLQo4dACz3hfL7HxfjvtY2rmDm55+s8p6A3ebQ4LJeFQkauX5FTHZKMW/fwSmSRs4u8jkaF/7hHE
soOm7Q5r8tgKxU43NYqOlX87iXLAOjS4bVdEe93aK8Bwd8XcfCVzzTGWtVsIhk0hU7pJUmo4wGiO
zNf7LOVla4jQFCNXLjg/SQIoGVAbGM+gfyPh54PcjwdzArFDCK1X9OTtkcUaAz8QSpxPUk5kFOce
4BRxZ/ibkikHJVWTtuE0kKUT1xxVudts2hErCTp3u3kGr7N4aCn8JmzIezw0QiOaxMVzxuqlNHNJ
Mkc9UGkIsNRmP6lEFlq4OzoOGKqazysx0W5FhaK1GXfXODHBQnPEswuQBnQy/KsaCKA6b01lIAEg
W0B2JJXZpk5AxmjQX6zTcU+794Bxq1835hDBuUm2ajA9ygbx86Y41JydatSxAVIpitMep3lO/cjR
UbEQ3Nek9TUhghJpkHeDgFa3i4U3xaL+jj7ezsr0yG6RthIBbI5opldztMBotJrQFa29FQx/76N2
MzEubwcrc4XAOiImSezqBUlrssVTsHA+4Dc2TJAsg0I0kh+QQpeHMNgKHMNVFGoE05idYftaScrz
UsGd+m3bSt9rP+mITxtY+5LbJqTs0ajBAhS56gN4fF1jbdHn3IRZXW4ICi8HBTcgiA/aLe4wVOzV
QXx1Mgx1iwKiPUW8bUmZ4n9CYJd20wtlUiJH2oaz2cABNLhJUiPaBWNJ891HRiXF3V023wHpPQQt
i4fRQ/3zu8IL0AIqcn9Nw9yTp0L0RB2iZZ2Z26TQX9jvtOwFOKh2lfEN1EdBMg3VE/IPcLw0qXzz
6x9+JN9NdUs8LMLElb7WDLwpaYuHB+FpjpwMN1WWbUw4+eBpNmjPCa4jMRClWOFWRd5dca7ks2uh
1VREBFShX6/UonHNUcHwkZTGxh+olbMhdrKYykBpGPQ0dGa9WTi/PMn/e03XMi7lf2+6/lJH+dvL
248/fvzxpfj+EhQf3NfL3/3LfS3o4p9IZA3LYI3S9OUP/jJfC7r8pyhpqqzrimaosmTies6Lug3/
+Q9J+lPRZYW+l64u8gn9H380RffrT8Q/RVU2JYskUFPUdVX6T6zXkvLReK2YkiTqkiVyqFb414nW
R+M10XAoyAzVssUd9QnDrTyoqJvO7deiMx4j11+/u0c3GF5RMv+Rd9lNEeVt889/8MPfG71Px5PE
j+Opqg4Tio3ZQtdeAZZ1Y+khLKyN5P/4/UDy2ZFkMkwkQ5IIcDM+jqTzaQ4irJh8BlbZPt+OB/El
fZuuwmeA14617nH+rdRX7dvglHeSrV7DoF8jKd7EQKu93/8YnvHnq373W07s7UYwZGo/8Vva/EtX
pY4VvSWILX8/iHRuFEuRDNliPsmidXLF5PpEpTwblq1/U171HZIJO3WJT1pPr50jPY4e3ZYLj1MG
HfDpyt6PeXJlCWadOZkYExkntfq1bMtrWCuP1ut8MFxCIGwums1QBQR51WzHK+Co8YW7y5vy+VdI
RD1Zis55Ch7B8ivf4QPGvozHmiqHXSbjDy3uD4rMGojfZZfUKTy65taEm98hkF3VptTs5Fk5kpP+
M2jb5JBIBL/iAvVUS58BjoCu0mv9NoVO7oSm/LWfmkdkQSRjR/fwANadjDuHjhVnIav/1s95gH8d
WRdxSRwsJ0NHzCk7ONNx7OTNA4q1ypEa/mVBSnCLpePpbTProaBvB99jdEQMGI6VTFdCY14psrAR
gbhak/asNjrnK3PbmWjJwvY7h2/dthRkJAneIjsj7pg8AKoJ/YxcUm3Nh6bjUiAS7S0586gsHSul
Wco0SmunlbrX9QQpMwk6dtyrd76YXKlF9xRQS+lnqANtY17HXfET1e5PUUOlqlvPbSLc8s14q3Rs
b1XuS6tALF4NjokNwoeus7ajqvw0Rf+VCPfNpAZPIQxzQ6e3kwW2qAvIb6jQVOZwXVUFPw4m18oA
8D0akZtNzV6ikxpKoNeLFp1X9twFmheG1bGvQg8P4COwP4x4GGZ0eHKy1ULhip/qdCnsVou1MTWJ
EU+Eg2ZOyIKl4St6TCJ8Jk8tKS1YGvR6CI2h06gqvMxlHxM2E+boDj1dM3ngfcYVjAyC7cvxKCTq
1k/ib2RFbCWZSC64nTucvccKiIACUXLEJo6ntCGYhjpfP+pwIOsfcZ1t0W+/AZ54m2ptTYzCUbR0
eiNW+pTgHM7ZUUhBvA9y+XbwceklYk36upyRh2yk35QUR01vluQi4zhUiVfK2Ezh1H5SSSGKTbLF
WvXO0jCiAj7TqQF2HKZkDbMKnTiHLZyB7mZaF4GK7XcxjyfjNgP92dXY5ArsiC0hc2wJvKBs6K5P
gMfTBt98sJYbUbYnI/ihGN3XpMfIKmqocvWMOEkDsxTFYEy8OmH0Tdp8H6Pui4SVEQTxWyR2j5JE
0yRvt2EbB2utgWJQJNnbhJucfjJVs0hX7sh+fWqIeqUzgUHK6sUvgZI0XqjQe61B4K0urIJnViQ+
abKMyA3miWierAWI06qcToZvw3jYdV7iBVtzpdh48DfdhbGWb/fp6idh+LFkSVJVS1GXP3+37ogV
RobRJM2AA2Nqf51IYX1Wb4MjXTBb+d7v63V8V68Rdj4YtkGFe0eU80bcx1fF5vdXDdvl0w/RETJL
Or5KkYbWxx8yVzUNCmnk3Ds8DP4rCrELl3p2iaXeryOL1kW2mSe3lXutzLBeYSw7uldv65t6S0gv
XsQNC8x1sjVfrZ3yCMEcXNaFi5PkM1f3fuzlz9/fZrIHTB8EjN2sOTtpbrSz7HGHIQbJtj3tjb82
qn/BeW4+71HkZRPy1/+8ffvnP8xlk6Jqii6yO5BwqMknmyJc17g/avr6vYuWBLGuRwwJxpYtJeur
0OUIxXq9QgG7ReenHUDmX/gF57Zlqmaw0dN0jTbp6bYsjWPwO5SI7Pig73Qbxov5XG7mXf8INdPt
9vhWfz+Bzt3j9yN+2phJFmoInRELdG5etgY0D6rfwXtpF9f5lXD4b8bDnsrOk9IY0+rjM+V7WCKJ
YTx02s7sNOzJ+g0s1G3v5Z7wF+/p3z7R8/fz79G0k20niBd6lj66JAD3juIm6+KBE5+dHSyv9Yan
i+Od2XzqOvRHS5VES/20IfEtjl10IJeri47YVv0d0UDO8JB5GMS2RW/3t/omci/OmzPrwIdxT96U
TjLHJRr215tii+vSpfm8bdeGR5i8He6MrXlp03nmAMGIJocYVgWu+GTTKbXpOGMNXUYckQettI2/
7W0+T571E3mZo9z85xPnw4AnO07UU3LZ/TUgneDCo/2wY8e2qht3PMpPlzaX0nIBJ4sBBzTT5Mgl
itKnNR5HMSEKhMbaDat7x1ZvM2GcC11tXT6RuPaCLpT0ifqIEP3iaUk++zx5L1FBq4b56WOmiIbR
BgNvonwLn4Z8tKC7G4uV8Kq9+rv6Xn0GPXVVYnps13rg0RlrDYcyA020debSpd1euPnnnrYhL3dB
Nii7nx6qNL66MR4/TNK3pr9uD2iUV5kX2eCqqLzb/x8z+szar78f8eRxQ5yUZ6RjvEl0LW+wJdqZ
F8AXX41r1LmX36Bzb+778U7WJTI6SfyMGY9ClAzj6atKWBpl3RsYYylyYulxfhC23ca6tCCeedSG
aGiyxntkqJ8eNTjm3KJxvnx0fI+uLKeDho9NuUm2k1PfRV9jBAtvF57nmQ2MAeTNYo0yZLTBJ/sG
I8upKPtIZ/KDaCOfW8dstJ/VLX64te4mgBlW2rPmXBh1uYcnr5QhcZXL+sh/fq3W777nTSwAw/HR
6QaPpGws4hRHtbW9tMcYaWOVQldxbXxbShBEejnxhSXr3DVTNNfAkViLJPbkCRfhgBxf9n1bSb/V
7V4Va9yUd7+/xLNjkA1ksZcwdV7fj1+3qLaSHFoUV9h9t/KtXn3xhf3vhzg3X6R3Qyx//u4mmokx
m0osMIR4XTc/Bzm9sCW4NMDJ5pY23WzO6IvpjcVuQGhPJ7/8/hLOvGuGZEqGvpQtFe7Wx0tQezIb
2jJAyzdZrmCRA9Nb0L+79ZRY/83FWHSaFNpO5qcNsmLKRp4KDEX/9Uqwgm+h2N3//mqkMycPU5Y5
dHBNMgOdbJF1QRw54/JE4i0NRXve+A56fU92ystb4mUCnbxCH8Zals13Tx/BYNjFy1ijq+4kZ9mS
mm8G313V5cT48N98dT+MdzKh1YCuI8Mt238+8w5fnB+RjaPYq73AyZ5+fyfPzIsPg51M7WnMoxwN
GJ/cEqrceBfIX1PKLZn++Ptxzm0LPwx0MsV12lV1DnjeJk++swk7DjbSBok6iH91HW5qr3q6tM6f
eas+DLlc+7sHB0SdRknEkDKH6whRsxb8+P1VnRthmYOWQt2Cg8zJjgwLZV2MHdFLguDfwKHGRx94
vx/i3AN6P8TJRzkWsdyTpki0ODJajTaQyWFpcRx204WF9PzFsHPXJFNlC3YyFdqi7Osxw7UTkdFK
ucHOpW+/v5Zzpz1TEf8e4mQSWLNeozmJWYVoRemBtQ9qrN45Tdneh3lU/Zxl7XuX+/twQnGtx646
9s+1RUmhtR7rPLKLprxKtRhWu7wti2wDefvC/ZbPve6KAqHV5HupaOLJM20TKi7mULB8OcPPYBM4
Hfkcq3rbedmVtsZ/Oq9prC7nUnu0IblcL6Xsi1vhcwucoioIKCxZkUzjZBEo1b4EooUjCXnlSmSJ
a65qtie6K24unfnlZQqdLnCKqlNs4CstyurJg89IG1bzgivW0+bKqFocd2N1a4XWCwvvEf3Wl1ge
XXEIvSaBboaCbx8nHRYTyEp6N2EfnMOv6kjoXalnQM9ameqe7tYoAkLabnR+O7z64gxyNlAfiO+4
npAzpcZ0K4Lt+P0UO3e4Nt9fzMkUq0EGkXBQIeQ5WK/yOtqZB+12cDQ7cS6XL86VasyF9Guqomio
nzYfal4hSwM9ZMseYsCfkoOvaq3dxU/SrWRrNvB/p3DoSt9l3y9c5zINTx+arsqUCHUaOUzWj4vb
LEq9VJkolvuvptcffEwye7QhrnRXOZpXbWWnv1qiH9yLU/PCyNbJAb+wglTvRkYeBShekUDxfNrq
YXmUhciLBgmHBdhKlFz3tQXpJs20fZPEa9AUKJbEVxrcN0mZb0N5zpwLN+VMNcl8d1MW+vL7FZ+G
V2eM1XJTXMkl1cDrN4o3HNrLm4Llo//p9msynUNNpyp5WgVUWHjw1XWCjYRsDdTdDm51R12Jbr4e
9tWF/efZN5QKmcxhUNKXrtPH62oyOaNWzmgExT1Q813EEDrExVm98S3oiKNvPqP12KBF2CRIX/1K
9cLY3+HA2vL7UfSKHVDQ4TEXzJ/A9702H/KDnwd3ozHcTkq+HaaMGvHcPlJ9fKmL/ocIAtK2EsG+
8IjOLTacMmnRqpKkUfL7eCm1EAZyZvR4Q1+sw3LzrK/yOtuhJjCfW07THKzrY2ub3wnavjA2TaTT
p6bSFuYgwhPjH3+xsd/tCGgCZIreUwkrUUCs4Xj4T1WCWzca0annOGnJrQGp6fkBqv6uyMjmhpn2
0indq9rXzdUgTeCqu9YgpYKwJ8EUgnVrldSY0LHu5wg4tJZI8DQK6BCSIBE9qCj981BhsiggaGGt
pWURhP06jaJpVxYAj/xkfpBwv6ABrH1YoyZMMrj3JN1K1b2p07vk/ybbqQ9tq0fQNAWxtVatsLND
AkTWyAlex07m0ygrMJ0sPYG7KUBt1Roc43Lq05sbPAyX6W0vxhzzarEiIAG7SIjOaG1WarpN6ZTj
K9K+1YvHd84N9doKxocsQdSTVJTa+Vy6UVyQH+5r25QOG7YefKiO2IuSk9M827S1eo1A/1mXidZp
Z7rNbdICvhcGyF4NDSMbNz2Pu61we/Qz8u+2fSwn9INCN7400BlnvxBt2C7kahgzCJRKKlXN1c3U
eFRw+NYWjGKriG9EfXpOTdSrYcEPaqLiBTTbdZ35h2hWSbHqlfRGkEJEqQpiFXKOcvK90S23cC07
ysstfCosEQRCFph+9YQEO322WrRXEwo82va2DwHkpoEcTAG89sMvVpYQLpGOcGb0pckTAM2hqcVT
TwAS+X1SbZpC/NETSZTFZNskjQErw2jdIjZJMp/JbkjQxanqW1HHr4E+3o0KsZbCXL1pkYhyMRXZ
n5r6BFWkC/EE0fREWiUR6Jk/qKG+7tuIsoEVbvmw2YqyiLfpP+DteqI5uYaIfdSq9N6SqwAGqCig
vy3vjV78moz5UY/zo7bEZ2cqkeJlJUPeIBkQ3D9sH41jFLbD4aYJ+q9Vph8DJXBInLgP0/474ih+
ltowY+n3FaV5mxXxcS6wsbVL0OvoxyqYDmU/yMMjsdQ3phm90AVcoh3iL1GbQm0daMAxjY6EeCN/
k3g/yjGm5lDL97GlPgGPehnN8UZWm25d1CRDiN0LW1DItgPMm47eGmXQJY8KW6wvfsHNtjVqXoI+
xmQ6TsZjWOjXMda9ekL5G7T6E7BnWrIFQpukRF+J09k2MZJgN1DhPIwW1nz0uuvA4IDV50p+g2mB
M+x0mzIjnU6Zv9UxI4ZCwpugcZn4Edu1pWQ+ZgcLAW82XIe9sgHVvp7j6Q7nUW6H8nAlAjkbWuuO
YHOCO4x202u1y3oO7zbXrptJfU7SgE5xDKxLU75YU0+XXumPhZBsyEFBzlTXb4VYIHFDlzzzyquz
cI0CEyq8dJT8GFQhaTjMvlU1Ur/BJ5sE0lrPiYQ3QS3nUuyVSXRTkBKESWBbjz3pY9JVOMc/BRVT
mN4yCVAmOmkmvMgWtlkZyCFUY4oyDV1mozVpvKTDfT0REK/n+H5kKLmx1Vi7Rb29EjL1VSgHWumC
ekhCwgObBPhAm9Q4Ua35CJtNuhLzylorUY7YaTqMk/UkjfJdpvjQlQlzifzroVTXcdp9SbCEAB8r
A4ADNZEilWcN8wtsu7daG29Fo3qO1SZ26qG9L4Niq0TTfhYALSCiKR1SS0A0AatYQTR/sFoSr8w2
8cQgdbusxu45xSjwrHstGo44qo61VR6qUN6AwTxgGaCjzW7uaowr6jmI9AvpPhrbe0OK91qVP0Xa
Eg9cR8VuzqfZkYTxyFungdHoJleHYQivYcn6awYBvDT59cLi4Axzpn4/pT9lCcd90nc48lUaZwUS
/Soy3Ujundya3TiUfhqViea8rV7qRZzWyO3k9L4Qb810Snd+oOa0j4FFGFUwrIlrf8EnE2/qVrwl
qRjXiuUpVrPzsSlMQDlto59xS+j4HKQlfNlScGD13YB4oa4fRpGPC670OLhKyHkkkKb4zsdoNVfy
k48ZuC51YkYA7QCN2eDdgmY0Ns8hCJWMbnbaGS72tTfBkK4Vvguqkf7iSdxUtY6zlvh5mtOwxfC0
+FMMmAOeW9CiMZjBSXdRhCVSMm76LGA31gDOVOMJmbx0VTTRN5TOcKCL8a6uJ4qfkfk8wu0JNHwA
QFseB7PdYZwFY1Z0IlqI9HYAD7nSKtirfoe5CL+toSH9iC2rxOEjvQTM7j0w1hz+WamVcLgUaABA
Sa/qKeivUgWNJUwy6X4a/NppDNTFU6/u8pHzSUOy80rxFxZNbNxXGHWXEDrPAJjzJDewOuIKhoxZ
j5EHO2gzAeiT1fxHZA5vZR3sBCl/TNNkp3Tjtgu6A/git7Pya7OZuTFGlqyKoUKDEHRNsTEwCTC/
YPq0ZuFFYvtN7zNlj5VdI+ZwYD2JArKK63G8j8KpvKpGUkNzUWgdK0dtIunNg9rWN6oYTk+F6VuI
d6mjWCpvvhwS2vP7LdtyYvqw1WXTRJVN0yxTVSX19CgKPyPR4gzLeJt8y/Qbedhn7f3vh1hEdh/H
oJ8l4vJjhWAW0RT4uCuMI6GADYFWzc+NjaBBPrEEECgVMXFEIxQ/s2pAtZsRZY+WjeyfTQ+OYzaj
PQHMgMNbna+oON+wn7iwZ1x21h8u/uSHnRT/5jAvAzHjhyFx8IA4otfTdkyL7e9vwKfayzKMxNXT
2jNBeJ2cWo10SGsc4JbNnFuVs7RGA3/hSj7XTE/GOCmHTSqZV/EyRrOWXAoKnr+NDoKXcmC5JMKT
Ll3PSRElSqVkpLiCIM3pnelIE9hmT2MXB8Ix6VRG95fUcRev7qROVgbSyNfh14OKNsY+dDiacQwm
a2Z36Th2/uoQosik8ogUaE6OY0EP+zbjjMHVSS7KKG0DYzHwNE92AYovqfQIGwGM/36O/NIFfJqL
WIkV2qOclBXl40tSDjN547mO6LCkfi/EWKDqrdY1q25u7BlEWS81xwHmptBcXxj67Pv5buiTElFk
yJnIqYRdPA2k8iZ1cGjt5hWnnxVrjhvv89200S71ny+NevJWFM1MsMbIBaueuZu3irlK3dBJbIqf
juCRnnmP7XfYXGqanX3n6ZHoBilNVHZOFqO2lwpOC1ys6gWbZGet27XqQujzLtzUsy/Ju3FO1hbF
TBTyGBgHbs0jnW4HpheBdJvOgSh/GznWttr8fsjPSt1lDXg35MkUUiW2nejO0QRfmQ+ta9YkRtqK
S87qWr5BsPhV8kp6KV21Mh38TVt4YtAPr8KdshVuLq5In2oBJ7/mZFbFE+ygUOHXtA5cqy1RUlcN
uo0Jh0RsY5l0pLW4yVAcsG+g1XNhQfxUx1pGN35Jwk1e49PmZCTHPORWIKKCQqs9ZJKLNWoDl+AF
18LzPJq3v7/5Zx/33+OdCmPyvJrmzMBLEudfwhKOgPn4+wE+fag/XpB2Mm/lEmwvVjvMKim2yerr
WN0MxaX66tl38t1VnExao8Ma1If0IJbulBKt4ufxS8xygG8fBxS1m2FLlstF9fP5HcK7cU9mrgIK
shcmnpa2sq6jfXqjuZ0XOyFFN/I+vpCvR9LGRY3C527AyT09maJRV2VDF3O5qtcidV7lb0u3EeyP
0z+SZmAnax2Vtas61SF4bspVdU9qjri61Mr6tbZ/WvvfXf7JUphOMnUbjWfbrE1PXzcov6udcQiO
vlffaFuaW7E92dSbHDhG2YN25EQ07jTQap7p1rfyW7paXqfuOnIu+Qw+Vyd/3SMqI4jLcFb8kvW8
q6phCQ+o+3OPaifeSuRObS0mwhb7S3TsD1CWso2ywYb4CsvEax/xPxs/pceMBsKL9LPZkhtgNxcq
pudfhb9/0sluIJHgrijLLB3N74ZxBfyASsalxXSZcp+fCdhExBwIssyTZzLlTThkCYMsG6oCyuxR
R5hvSE5xDO1gbTrqPekfNK+Qv+mrgMPGobwVN5e+I+fWFUkygJDK6JXl023BzBKaA1tCtoNspWoH
YGX/sWCGJ/x+iJO3AOKbP7YSV2pe4XgLNjraoNA1eQuGcL0oQy9LRz5bLE7GPLm7EEKqeOp44VtE
oRNRXRvAsg41x6/+V4LCNqRNXV36Pp7dRaIvXgRoChLfU9FVlsRygL0dvg37HE6RvOsACT16ON7F
sT41K5YLfDfWyRxNLcVXa52xxF20qZgwkbcogZC4XjhcfO6J/RqJU4WGwlbVTrXT5VCGPsicRS0R
3ix6U46ZO8leXjxCJS58Vs/ujpFq/7/Rli/Iu+XATEVOi5iPEYDih4O1uAhOBfu1RVV2VN3CLa8u
aibOfcsleiOWSE4mEZonXwetS+KWIEac6vemJ67VtbJJXWG9fBvKVfs4P9Z2uC72yYUt+a9z2ekS
8H7ckxcjnim4k/vn29MuOwYw89ejO6yDfbImX/0ITyfwGmdylcdwjcHDS71dcpOuhcva0HOLAOJX
1gCgftqnA2Q8N1McCxQpSSLzcCRPj4sen4LeIsgfv8G6TFaXGsdnX1HUbMgFkODQCDvZcKQtoAnC
oP6STjd3gxezJsxe5xRb0fH3iWM5F9+a8xf695gn+w+dkJoWpDsXCkixoDUuOZa7bEAiW2WdcAo3
XF/aqJ47EKgaTgfRoErx6bw3YiWNqdAsm4Bg03BfB/e/PhCofLRkU1eoBJyu5NBDLXNYhP+DPfCB
77fKPrpS+XALHgFULLKXPpOfVTmsDJqyfLiJpeXEenJOz7uyZy0sEOix3kGGEV6j/bwxABch+gwo
RK3/dVD/j6yp1+WP/L6tf/xor17K/wmZwAZr2L+3p94vdtE/7ru3l/yDMXX5W/+KBdb+tGh6Iv/E
aSqqaEv+rzNVVv/kASgcMzWLuhcijL+NqfKfOAt5KGwuCOu1+Dv/MqYquFzRalB8oCynIg/W/hNj
6l9qub9XMXYOFt5YnSofijpTZsSPKzbGPdGAcfeox9hqbxKjBN5Wd8mAujkhqnItQTP7HvZAmW4p
UjfAtYHtf6kMld6nkyj4+DwhtFpk0JEfVi9Cm9B7UmDEO6YYFdldpiu1dMgot1OWQduWO5beVijm
hyFNQO+oQuJockDLLjU6USDAI6OWClWQyBByMcJcU5xEJZfzBUL4BKOLdlExcEIFeNgRbkDuLMAF
zNtzA/vM7/t+/K6FmWo8Wni5geXVRU33J2sbPXuWUlXRnUHSyoG8F3WsDQz/mYBsADaINQtuRC+x
2YapiQMPyt0cA2mSOsMbayUPXkEhWvOu7EPSGYQpLQzXj6OoebWirJs2JTzR8mcpJBWZMSH6B1Ch
eUnncNayBg6sAShCc1t5VHD1JapY2V3Mp9LNoY0kbhLrDQFhYx1nBDikerMBH86/YkRrWd22KiVy
8sEbta5WjVC3P6QkTimF0p5jwZgWKsDYp4K4geOvzAdNDSD9A3mm+9Vpep17am1ApC8KK4w2dWck
812z+EX2VRVQkI6lOV+o1npePxDk3NxrSSWBSMLQ1h4MI2pKpxaqevxmSBmcFqT69UxOVm4ByNMU
KjFYo5LkWpQFIb/KWpDQmw4KJMn3gmHel434FmtW/WZZYZbsfJ3Gs6OT79ja6IOmL2mSyIUN6QsU
BnILFZQxBM9mpQ1aaK77sjNrt5srk2jagaxNl+YJJDTkzfkXHgt8uhwcaHlVaHkz36ShXNTXrQUZ
8kAYgdStokruXzWQGw0QKVmM13rfNve8sXXraHkNYKWhlEzXHVJZtO3ItlVBpIY64Zgg083rQaJ1
K+dJLqZQmYxaIXFMK+vvJuHy2ht9sMnayFxCRc9RJevt6ygSwgB8b4DW41TQIFLSL/tCm6ART0YY
OlmbwbBdJQrV/dvCxBBLeVlXU4MOML2g6tUPQ50mpK/lafIUl2UVe/DHF27s1DaN9WIBvEZ4oxvh
ZPI3YxOg168qMoA541fnL9B8/6h2iL6A+UltknTAwvSYHjMZnVqGZ3MqjQrm4JjJBqRXDbn2ZhbL
mRANAMHa7EHDmNNoHUhRmxm3rU/iKumqNegMuM+F0tPM6us0ojMmCYbgzCagJTdnkxJMThXIZMAE
gJUWxOg8lOMGgkNCMkoIXQ3IKv09Yd8EmjzlWzRFcb6EwEahKjqtkgJVS3Dl+0S1sPqAK8eqa0w7
YKKy9pWGSj0/NFUQ0WgLJLBxg64UnUf3qmkGNx+EquTdt2DVAjteuJxWmQak68yCBR+HmL8tkZvF
cJ02RaHCczD1ngqukbfaPtTDInfJAJsR32mjIr0ZUyWze6QLojtVazWo2OF2asDORFGIv7Dqy8Nz
E0Sa/5QO4jKt05y0TikkICiZxah6jogKEEgjNTPpFjLQbFzXsVpGa91odABDJOxo14ZBE3+DAECr
d21fj/UhgfSVwwwTF1T4HC1pSqoST7IngFshPsw0i2tdwuOuWwmpbbKPd4PUJj3Rj9BrptAxtJrZ
UuC+iwgBNEQgOllczgdT7I1ep/8IiPS7GATWmxDLQwvsj5cf5VaqKSDTVWQFU6wa9jBoixymVFkK
TSXsOM1aZpfsKuJX83u5TM30WbdICLCFNLGEm06Igd/qMDAhsUa6iOW7IL3sSy41VbeLxoiQPV8v
AG1GYCnNZ6vjbOsCHymjXZpTeH0boomMpiztxmpTkSFW0pg3mvBV4pfDJ9eF9FqmLaqv+QD0j3Em
NyBH2hiUTGZk41ZrumEPmu9msNT+BcstgGNzFuXhTpxSQXHHLk+0h5Aztbn/P9Sd2XIbSbrfX8Xh
6ylG7UuEfS4AkuAmiqIotaibCmqrfd/rdfwofrHzSwDsAaA+7WiWHZGeM3FupBGJROa3/pc60ma4
4j3amepLZ+KNcNGFXqKx6E8D9xxCHVqNums00RN+Oul1l6rJ9TCGvnPlph3SMmaSBZ99Jc+DGxaP
cMDZ3pr51TziRnhO0g2+K73fBTdjWinmvQofPrrAo1NF96nLgwppyhmpOSSkpumyG5rml962zYjA
F0/1QWvUDq+KJsHhbg4mVf1i8N3bP8c67L3brGqzbyGeeAwTHXUczjNL43+M9TLX6MKbI/b4qL7m
9npClQsdBgW3gAckFefhQeOn8/ulJk4/bagCz5hTEj/GmjbCVzEpyD5XhhhN+BKSL1721ozakYo8
kv7UO2pFqY/OsnOLaCAKXonmocTD61UMoW5XOhiU5LqaQ4tmSX/n2kU9bIrCQaQYj50UC7CiG81z
FfPHdBOyzNcuaiBb+lWSuur/iaonGunD8sa0KK9YmkDhot02TpeLTZS0Wu3O37RcGxIEwbcFAJIa
FAPRrjIocUruPuJ6RcnQe2pA/bAtCP9R1bv5Wdy/ZD+b/w8KXji3f1fwfkDoK+iipv3f/+tIimX7
P9tVvK56plNOqq5q6BA1EGN5rXht70ynTzeoeqlsqTupNvdSLKbBH6EvBZSeFTAPnXbkteT1zpDj
tWwPeLIg6Nn2Pyl5NagoR5dC0fkR3AX19DJ03LsmVi2MT+BooXmXaLeY2jdYZNojuBDTK7MnRB4R
rNeC8gnklVCETf3rthyN9+7sti8zgKknUwAvkCsbHIS7HKg0Wp/dVVWE5l1XjeaNP+ADihiQUl8V
BO5fmutHj6ljwe7Xh5KCZKiBrntzav/wna5ks51V8Ts0YwGY65ON5HqAJJIgmQfIEIXDPN8VhYau
VRB0hXPRZln05PJoaStI4C322Z+8kNpkbuLgssBT/eukle5laOvtD9824fqSjT6YiqcpK5yZEMgL
TPcTYgnGRRoqyI2qWtHjqlwluPVZOaLXmTN9DuZ6vsKgpn1PiE5QCC08D5cWnPH8Crc7lDfACuFx
6kUpcLbefmeHVvkV3iJu1HnNkA3vl6bPbkuvbBADzHId3T3NDL8AQbO+1V2PBF9aoU+90vOBIZua
zCAXm7z17k1VMW4nEuaz0hLF110eGzVu5gH4kznT9K9RlZU/ill1H+yoGqd1Bz34uzqj65xlWn5d
5lmFlBi+Qi+ZGWB6l6IBqnwcAigvfLe46GHrq83OBYAs7cWOR/zXXCUPr/FXy4S0Vdt9nExzeozL
Vv/InczOp3BEjtWMudcXPZcCjxM/7O91Fzrhak5EWZ5H6IJdlVYIo3FArQE5ohjwlFZ9j1pteHDA
YuYbd4799y2GQO/KrlbVc+glzrfBo5xG0DnS3JU542wgvBFnOP4JYpIomSX9Z+why3jt4sX8YubI
/OKIEFZXKd660UVKhmImS3L6PiiA4KGIuOb3IA4ZoGpFZMIcSuoxYM1lJ+kV7mkR0/k+Q+4WcEPz
FI0xQJvMQkF2pQ3lvEGW2fwxFklxQxk73pa55l3lvmph92uSVRTsjpGg06t0wpcKO95VQrrHqga0
OlI/lYWgIZZNT07j+0/CdPPKbRxzRPyvz8Z3ve1P4rqO5QqRvB6fAq1B0MVowbZeZGWU4L6R1haW
PnkK2K9qqxkwUVz2xeVkOiotDGQE9QZXbH84dx2/ZxOdxfyqMBA94I05lkZFUYW3ipe32mPpRl55
MVgDX1Clt9ZjP3Yo/xlVWV/GXmd9zTPPeKBvjN/rQdjBg4Idol+PdYnVE+JymkBAlsyyMC/8hJw4
WL1U9dWbRFNQlzdNW7ikIXaWVC1uEHTyJZ4eYXSLprv7tdSj4hm3CGACVa8jqI4Ugv84ZmrzyBMk
NZdho91R0QTf7NbBxsMJLNvGfd6YEU3ES6q/aNPZeqbmrir8z4rgXtem4BotMaVBToUSbxVPWgp0
C4OufFaC73Ojjg8MC/MvsYtTIb7ZzTXC2k2BCG00fETE32gu89GYbwJ0eG9b3F//cJRheGcos4vD
1DA0FH16bDyHUVTfDKAAi8u5zvonIEsWnAKsUfCUQj3SIkqBaKPPzT+1Op39RhkAVa5sdR4wqXRj
DSPhanAjFslxSoveJtGdS6cMkRvbwPoCiHVcnaeBsFnHw0OZKRij5LEzR/WjCZGRbNwrlxRhw7OK
Av4PO+v9Yo1wKFg3vlYVX2zdvq7rXr2Foqle9TZrlrlIsIDnR/GzO+1d1vfey4gH1ac4Zgx2aatx
gCKNZ9aoqmtp/VlDNPElqrsY3m+R5fdT1oS3+hwjuEI9ez9MbfRkRh6a85pZEzr1eiLm5p6JD+/g
+/OnwsI+YYXzHa+n0kywbhnThffIzZU/0tyt79Is715iBxVVBKIV5cYh2p7bCBCjmIPK/KaxB4ta
j/GIC+2bibljQL82U+9zkPMbE4K026pz8U1U0M5hIFPrxh9u0CLNM7VZadExO1iXxHbwCxF7WL6+
5YtwMCQaNmmqicJyPj0MjUcTWsdeeZvWjXsfDZX2QVEHtbvMmynf2OA+3bWnaPbLbINfXDf5DLCq
TMCFXWM/RBasnTF0LrWItNYWXM5LPe+MaV3P6ogiqO7i2NPmGnpQlR8lH9R4QByQxiw7L/V2eNG0
KlDPC9COl0grQW7kkj4rgGwfEHB1AGkzOEL3h1EKLhRW/avses9B7hD72Os4tmJWr6Aif3p2oSeX
YeD6WHokARLqGHv0jwYW3MGT6XZIfzYOV3k1YJKD2dEYIrMzkIYvx3mg5baaEOSfl+CWxdSnbBBb
Gsl9eG3690pu4/0T6aBlMeXxSmryFuw48cXQKZeHBBaeaYxNt2oYGnlX0dTiZoVAznQfQXiKQIw7
3b2PZRiyTJXONR3pUkNcKYrJ3GA+41xgS0/ANmEAZNgzd/g6zA5eQyjBDtGNBWQBI1CnTor1RKg+
h6iB0z1iql31Qa8bswPtGXnxOsGhyj63R2EaHudtZYO6d23cTXWlvBzNPAQMinoDdLUA/OjMWMVB
R9tpb5GmQ+syM4cB4exeV/xzBF+yB9UgYa48vXU3jjGMG81HgWLVoKpXP3Ojgj9Q9PKyzyWw32+l
VuJuhqPb+MPHmfaqbLlFa6vTaZ5ULIQuVHLZLb5F5qVWFkH9rmFecT6VlUuazFSUOTCh3zBuADg6
YlRmDRc0Irjbou4Qx36Jk0Hzoaor86JEx4t+TMveNyiDFpuwyfr37YDsqFqj/uokfXA34HZ/W9Ol
VBeQ28RvkExrH5TtrRGj3aWC5FjpGNzdOW7bvWNCM6DFhYI74tao90OAyRFgNP6grdKuBs3g2eAk
e+7mbvN+mJvHsLbwjAK7/pyDcF2pU5U8DrFnfNLoTt+jh19eqjEYJa2zC4qHObyps5njwco2vh00
ItB5jF/lpUc/maxoNwN3oygNMltVM2ZML3vLoIaa++ILjt79M85k5bSJugEdTjXIp1ttZjWLPUMy
xuMFBWn6pTMt5WYuDewu2YWFP6uhTz7R0Ogrq0tZwUcY0+Aa2ty3aV0LzdiZTZQwsVDX46DM2aVa
Z/pP1VOLl6GP0JzH0qSKmcZRAF1OVhZdo6ru/WIb4d+VLbZeFSKsF1meDy+lDuPvalK7+ScDEf3O
R9waDPBQGueVESCtCba1mlDa7pgoOshFf2hQLYmFMaNxNUSOo6N2a8UoesYxNIqW50fGttWwOE+a
qRmvXL/BuzRB7BnB0Mk24Wk4k9E+s34yog+NapOICztWHooSP7lVXjdjg0kEZMmVmnXpc1V2Tb6u
mUciLp+39UdGuDElVdEF2FLMJnBpVa07n/mdM9/kdAMuzuJwYpSJxH5eMQMFe1RN3Y8qY3S0avsh
uWdYhD9wOrYQB7wm+56MZv3o6TU2R7HfxujWWkOYr83Bru8GI+asYhvhEt+IjfWQ9E4NfLnCnjis
ouoj8sEDpJ55coB5dsn4vrca+5PJNBFfRAtJDMD/GOKtJ29y3HWnpJOPcZYZNZde70y3E1ZMoDsQ
9q4rCgiMs1wkLIxW1y9ivlJvFdmF8hGUtP3Spgphuegs/wHfKbt4h/+u97EY5vIi4NN/1xy1+lop
+nzvD0X51cqd1ABoD6YB2XF8m1eKOXLHyKzuLYY99jfSoVau9HEqn+MML0RubZ2vjdhCfzvEuvqT
Y80WInFIIz4O6IhjaxTo4ZOWGg5mZ3VSfVEdvt+rJBYTPYRgGKLRkTj2TRTOBtB418c+0BybmX0U
c7hNVqosLo25HQgRPXbTGImEmIxEaRBjx6PUOBx7FbP9Kq5oNlITSk+QNcoLU7wAzEllCbnjoKen
KZKvAL4pLSMrwibVtbL5l16k7XuzS9LvKgLBGdbV0VhSOltxsVFqOwmx7Y4DY4VjNIyszNVaro2i
/QwKrbjLsIm71ZUgvXMQZgP/VNeAhMNpts6RsnZwsXXbp4b4fI19QPkjoKDCLdEd7OHWdCMKLdfD
qd0PU+ccXlBP5oC46IT2eBdiCXnjRJn9YxxVxjANPic+LNTrqTf8T0phVDRTVoM6C8r/zAaDycN6
vUkc/GM9jDQgD6u/Qja3HbLbuvXA0C+7QtVLp5FMUzgsDcN0vW/ND1WbzO9qNjKwVc2GgjGI56+T
kRnvIjNuLrLCYAjq9joi0RUhYTWlmQ/+P2WZkKZUzmVqBdna8PHQ6Ma4vu8qN94ggB7daZ0wptZD
c/7h4+k7rphcq1e+SU+r6bW+sayq/6LXUXCX9O2jENi40XV4f9joIgu5nrR2+GgNEw6vees8z4m1
AQ2a4mxDW1A5l9GYx58QI3U++eA1n3UfDlBJKIDhoYTFiiZiOm8TFKfx92G+O6XdNcZW+bWOb92F
jj3DZxsF4/eai2T9AM/kI6Ln9qbIB9zfo6CF4wI48Fnvas2599MwZmgtSK0FKWSFqmMfn8dBYTx4
1iSsiObGftcaTvST42xebH2sQATk6fA8pMP8xUbf+zOuiB05s6mi9tw3Sp/0WPGAFKr0Qp9wy5lj
JMZrrXsuLR2bYVT1g/O0w31j1Xtuzg/hjQKLHyv7fpqC5CrkeV2Fpl09mJPb3lWOpV31RZnB5LNJ
moFP5+dXjrrJuyhZYzk8fsmdAmyp22Hr4qAkENaGGmzaCGFM0/XtH3NTW+uxNrsP2JPF+JWbGXS1
XM2+lU1g/JH07gvKd9l7Db1nAniJkZnou+ZwlXtDvYG+OGBbHRLoSy3ir/m98b0BZrnBKx7DgxxL
8rRp2oscJ8JrXMDrd2j7s2EZIrzuFRRzN7OHM8EUVzlCmwmWnSaJ8pru1SMwauGn1Mr6LwxaaLyt
PrnqTJLRqlSUaj5XYi0dL1y3i28GC8OXIDJwh63cnIq8wMb+IsxDzJ5at3yhxWvY9Y1m+T6J3OCH
GfrDqrTs5jKBHnSORbAZr4rGMDZNmmGK2GXIvrgR/ixpHngARAcd4W6hk2nGCRuqUPMHdPir0bkI
XINyLClDWE1JDnchDdL+axnZTnyZNWn6y4fW/+gjY4jhZjL+MZehjkh0nGt3atwxvLf0kYFylX3E
Eh1H3sGMrwMy6bMezdn93ETlBaLpjbKKptFmOZvXV4bTgxSY/PBWtOeNsMfJbywjajagaxGKNYL0
R0CkudTTtthgKIT7iteO9WVVJemDYwT+xxqL4OehMLFeMZTpGqMC7NXGJhk36WRY5wajqXVDuxZt
lJ6cs8LzOvraAsRx72zXU0WznjNAi5K5NddeHiOqT4P4ZTZ5Rn0UoA1QMmOnq86xVbSn8aLUHeXJ
NBz1PmGf8BJHLiDfMIgyuEdF4twDUh6+EZ/m97YSCceQwmnvdJ05TTs75cYvY+zwjKq/KppEOJBY
9biOAmxQUT7HLUGFl6jnafo16ev5ju2R+jkeG+RyWzX6YM/OwJgIp6Wh1y3cR6Piw5S2wZVhcgqN
l+j3VZSYIEudwv4exbNx4TV99c72tRo/ZDsNwrU95Pl96SqU645frq1+ajZzESk3alLOlxrDx7sq
0ZrHAN3YKy/SOihPnv3BT3NKicDWviPY2tNBDlZ/V9QYmG1SL8fLMshm9cH3YV9DdAzfRX1vXjkI
Sn9AKwFVcQerajxG1ai9n+mmab7jMqeqz+b5sfIpg/R5QnpBL6PvOv7DuC9MCYzB0Rvbd0aLWS98
GhzmI29umX56iBbPdXFpjfChsZaZnpQG8GBphvF1G3rGFyAqxX3WapWzEjC19wz0UG2x2HAy+7EA
jnfKXYw51VdPL/s7MDLCaZhhlLpuM9X5ALKduohycJ3Y4Uw8DZrLOFfKC68sGWP6Qb8qgzi50LW+
eS41q7ms4yS+hqZSr9gLh+zVIOkmaqfna72komUYNN51nscKSZlwtIPrLwzrwi9hqzQvSpoXm7QK
8WMJEQp+oRSznictxyJDDWjlLd1t/mC1Yn9z+l5hODMoGF8kpR3q58OcFS69lDKO7+dSDW5Y5sV4
BeO98WKNOuuhlOnGnY8yCJ/Gq7COmGz4COysH7rSdjaVnTWr3FHzR2Ri6ufAs+LPeptUnyCWJz/U
pNch+fl+fFOW1oCYCbQ4Jsf2tQa5ZDMjW3wxsNH5qseZ+U63K/9Lgkq9sxrLyrwqDb/nFyh8mhwl
xis4gviG7WwG/x/vujsaEP+jomVkLl8v+GKYLM4sFaPZu4z8abycAyW8q1o9RGw7D9SbccYlkhFw
+DNIHPdeM+rQwGW2pzSKIRljTBa2d5gQalh6B5VxFTiF+o6yor9ryFFfS0MIOXSAAla0Mv2F7mCA
sMZ8ILxiDzP7q7LW7c+i3Hwou9C9CVk8XieT2t9kvcZcxnPrLwa063dRoXiP2aRXGBMEKGU4Vvdg
DV1+r2BJdlVoFixHTRsuyELBNZTZG+r25HNV2XhOFGZ02WCSAgAMvcA7vykZnDl5cRGqbnNhBW5Y
nzPJbx/bOldZ7lnRPXu3BP/VyEMcesJaNPanL6md1t9z8Ac4AJbpRQ0RHIqd0V+nidvXq3yMvXdO
R/bP4PffcbjtrYIzjwrL3NO/se1GvWjOk43eRNa7ihfWr2Njbu7LOoofRwLGY+9NBv2shaFpNQ3K
9Wz0DUaGOK2lyDC/2B7uxSYs+Y1WDjhMzLn7M8Uj+koxQduqhd+vjKanZCKgrqxC7X+wuzav2aQl
z3pcAQEPokjIs/Qf3AxBan+KxvMoDplNl24w3YZGOnxWwTG0tBDOhFSuFyrpBgdIdgcB+7BnGMEQ
eR12Imsrcgh2rpNf9HWffRkdxf1ZmrX31KFc/zji2PSx8+vs1oMXzbSnxxDTtFN9jXZMBiMIXgBx
ycLbCfPlS9+tzY92PI0+Vke4jq0sp+pvUCoGhuL01NcOSKDrCQut9zpaGkhoOOP8y4Fwe9EY2FCv
CWDKo5YwoeT7c1q+/Sq7bTPFfU8X2WxGN1Lu6KL5mjwYhbe+ruA2afl1vy7Gqb9NqYWKVYgnymUw
t9YTnhLdOk905csII5cBiBvhi+LY5bWe2tZ13GfVrRcYzi8TJb27Go7heNnRI8TnTl0YuEYNzRcm
EvkH1obYDDtm+FB0OPNiUI0bcWDH4O2rvAXeXap2sZ7HOL9qZqEWriOW8rUHgXddYELLCKMJP1tq
Zmz6HFK333ntlTlWTCtaVYF3w6QiXs2d396UWFLcxIZO1Zpb1o8cy86HJM8CsC4oEz/y48bvFGTF
ZoL/vSmAOHxW7Mm8hgBt3vwLsBWNmTV6tCwcp+kJ1phbz0wfw368jVtANDbf5B8F1duLY3jVpW6Y
4xPs4WAz+5b2KfJVFXM6EGOXLJctLP1U9ZICvVmPYYq/YKB/wk8mTO6ssJqycx+9+C8Ipen6nRXD
uwZgAlx8roqHf1m1MkX5UAVX+eiVX6fas27JpOOHjNESra/dvde8wLzBpkX5ak5DfZtzQrd9VyIa
VI1u8TWvxqjCzhDpbVYqLTE9x4A1jg3cKqm81nY3CIZ6H+Z/GAoAvBWa8H2BxU9WlCsfm6GV4Q0e
xeA0htMXZFt505PXAZqYve/9kLWfWF9NGg+7DX9ggvQ5V3FqWlVzXV1QrkW//MZSZ/yAM/eWNsP6
IzW9Amfo2F47ZKPrUh8xpypV6px/0fmCjjHc6KqZwGSpadR9YNlYrZ2WQdCanU/yTR/15rGBt81D
QgmBn1HUD4nXsyQcVGdeDTbQ2nVBHeDt8Nn/aBX9VGT893QRjcbv96KE1x6E7X/8P9hW73/F85f2
5SJvo3b60P2sp8efDQa6zX/8j53EsPjTraPFU/G2v/T3/9B/+7n9yU9T+fN//vfvRccEiN8giIoj
6KZA0B/hPbe/0fbX/bt/IH3hU3U/+Jfpqs8crENU5HIcG4qI+BfTAiDa7s+RdRUYTtgysKptyLxA
p/mBByf0X53B33+83WH+/d/5u0+wOx0hzX2KeP2nJ2BqZ2iOeuyfmQ5BpdRY8x8cgK6esehSMVbR
XRXsMYB9uT4/0INFN8AEAOGBJCUT4C2D0yRA9oPPb5pnCJYCkQDCi5M4GuiyHYCgeS06Ae8M2Idq
Q0pARY/lm8o/eHAC+hkAEIQFPIx1UHtGf062E1h6AKZ+ZpmWDrqeD69DG+BOHRyAdobYNOhtZNkN
i1mnvbtyEsUAZ2kY1IwzxwDSY2O1wjnQMR6dgOK6Z3xsRvdCJJhoIF8Y5NUuegS6C76f4OcR6G3N
00wC/cEd0M+AO6GChmsYuhcuzGvZHoGgkC86AUVzzgCN4ygOg8ZF88E4jgOKTSjE/EHneGxdzIt2
t06id7D7Uk7qk39SDWgi2BEByISgGNmZHr8DTggXKddw2O4L+Q+hwMmZS3QCgjK46BYY9hkCMkw/
PJiBewO2g3dAoXSGeqYB2QWhHs/TpbsDgvy26AQ0IoFn7TxdaEAc/r2DA1Bs4wxJehVFSUtDWATF
HtnuAF4EC4/AJR9SC0EWRCtZ5TT4Bw/PACs+hBg0LgJ1IQri0gVDwRdedAkQ2iPYAUOjNXA8JH9O
IsE2GJIR//QvlCsM6NbyUGicCR4lPjvmLhLwLx7dAUc/AzJHRQw81ATtJN8lWFoTmIR711EdlZoX
MWxSwtERaFACTYh/yBiTF6mLpOsNhcLDomeg26IkgMJobgnp4FeOTsBSCRToKyHKwoQXlV3p8uHS
ZEB3CKsT0qeh2oin/tYdOvROVAK8gL2VqWzJAPz9siugYLtqYKxqe2yaCPnbEcBhIHA8fFn5Y/50
mywli4RCKWbRGzBtkh2ZnimQwXjktCBwzygCPDpoofflwniQrh6Ae7vwCAwaZAdjXeFxhGIEg5Lj
MGCe0ThDBSHt7P6CbK9AV5fmAp6Bx38EmRt/YWoj8T0fPAPdO/Og0Vh4L+meqsLUlu0MrKWxkM7A
wZSZxRKK4KQ89XhUyqSQqwFyzUUekspwX4NJ1Bztm5W394eIADgUxTQHBn5U5umQAHr0GeKYfHgT
wyobk2XpaqJ9t/L2I9CI9ljbocLGh2QqahzXRIqrneniEuw+v4wJYWk+0I0zMStW6YpIiSz+j5+B
xzwZFh3VIhMEkRSluwNCBnNRRrQMyj5omqwiqY1pjo6nJIzS4M7gtoHgBd2Do8uXEZdOjJmXahZR
nlkpjm0siY4TomJ5Z8K1ziDvkDOd7SuRrC4ydpObt0cChgQQdVkbkQy2pdHxO1DPKBrpHoHy73vo
3Q+UKR/sO7a3nwH3wETIzcPfhaiIEtDxsAihYBEMcF5GkpUeYr+ulOgI9hPMt5+AohMNXTIijTBs
OzI/0eWwLmKMwAmQEDzGRaYw5pHsIewKtbefAE0wizEoz5wDXzXs1aMDMM9sW2NOxM5A1x0HWrts
JyAo10vzgSY+GSxxh4/KZuDoBBQGqiaLE+YD+5nprhKV6BkIk9lFR8BmQGOBbtIi7pcjJ0fgnjno
hdEno79GYBTjRMnewamSwD8FEtAkskhHHB35B0QDEPk7PgLWR+g084fMFOUsjvfjq7eHAt05oykQ
ss0qXeBflYbMCLDPsf6ttSDXJVhcFGCVxLhI/IeROR2S6x1nRIXaEUl0/uMg/yglnmJfsL/9FgCc
O2NMxPaMTTlVsnUyKaB/YFrM7JwZAhpTYsEk2S3Y/UZvPwEAFTBDAf4CqmI/gBHaUSgAc0WEQKOR
RpIz8uQbmZHFlyYEZmICScD3y2fcFT4HZZHC8oDlIqgrASsS+1T5EsLiXTLbdAof1kfo+WynBUe3
gImamKHAi2CpzDEYlnTbA22PdXr7S1AoDtkgovcscDVMRtgZH52CwzpZ7BeB1+CJDbBGuvIQrcmF
b0ERbRJKqSAIX1clR2dA2qQyAH0HuBYfVXbr0kXEpSWyYrAkcViSgSxgggrb+/gEvDOAZcKfGBDS
Floi2wnoQoBpUYls0ymi1S00IXeDw+OHoNmEA1E10ECwbGPILtsR7PFObw8GwCa4ArQBYp24w9Ie
pASBQhRQA0bnDI6RmJUvIyyuC9iYAy1jXWzSLDJEPy4OaaLEFpXzYZRArJQvDggvkEWPQOEOiBaQ
L5kKcTsVOgoEKKuRB3d7VjAVEs7PzaVHQFVA5Wfx9RJT0I4TwJGDZ0B/dIZCKHK2BsgiAbKTLQ7s
e/e3xwE2CAxMmRoTBASsVCxlDk5AQZOPMRHjJIoFlu4SQmuE8vSid2CdgSfQiAE6gAJx0Y8H6OKO
iMEqwwKhB8nfk+0SOEvToWaJBgH4FHBz3dRA0RxdAgPENXwqVwANcZszxUxNri5RWw6yUxmaCZih
QN7z4oHe8tgPXgKbBRaq7FhESgCFJW6JXIeweIPABwRWwKbwdZt2dAAKIDsW6pgtoqTJVlG+UcHS
QEBVCKYAoKHBhmBbFx4fgGef2UxRVOLENlTKBzNcDLU0LEB2EGtUg/7o96rIYGImkCWM0ngs6haW
L9cj2Jfqb0+IIhYyDOEJIB7CJz3ZIYHIRh1dE1NFpiWodMsXBpbuD0APccl5Bwej4YNAqLhUzp71
SkHDTUK2QGju8tPb74Bi0B3ZfMmAqlXS/inIDONigTyhN6IqoIWQMBnsJ7lvPwPTo0EU7BP+/1+s
1MUzMRiYsXTfpUTZLgH77u2vtOAELIGp1uFboi1NRDjtEG327SIbeoyOxapRviHB0h4ZgBUTcc4A
phEzM9fgYR1GAocFi8oTMRiaSkrFWzwvpP8REYAtkaAdG9gtHxfHPARKZspj2HrC0koYMMmVEhfP
TPmIoCwZEDAdh4dxirxXbKKhbRksGsmYXBj5pkXCZYwv5e2xwIJ8wC6V8Tj5DgCBSPsHL0EAEUW9
YAi4HRMVV7oOaU8UfvsJQL+AaSbAlnu45dEBADneQnGFKa6g7Eo4MV3aHUC9BmKoCpYRaxSS/kl/
COTYhpLNTBmDYDaJ0hWG7EAXvgLKIpeBIP9V0RRmlcg/ePAKFJsdm2CmY+cKNptxgXTzMmfpxNCi
/icPMhIWLKsd+/zgCFgnQ8mlLOIJ7DC3smUDZ2lG5AAIA9wDluawb0EbHl0CAwkHCmaIHhjQiSsi
XVnkLC0MBTudO/BvptkJB4Xbj3UfkBuixBZWIt0RaItrAgYFYktIE/SXUiUCUkDdyBaRdMlFcOSL
BDsk+NsTIhgy9kM4bNEfbadhh2FAREJE7NgtgTgWcFvZwgC7zYXJAEaqTkEAs0RlVPB7JHRFPhTs
o1dqsmxHsN/mvP0GwMYjD9ACMhQEcbpdDx1egjMTSXrKASFkInR7pAsD7tI3ICAlgMrE8ggCEoQ7
S0geHJzBds0MBFGES7holoT8C2/pQ4B8IHbkLMwBXqs7c6qDIxArNMbmrNa4A2wVJGTh7NuVt78E
AaqBfw8jlQUZxeHpFlF0kCDOmZrjU2wgIi5dPNyvc95+BEAmcBJkh4xX3KsizcEtYJmOlI0YoXAD
tugq2cKht3RubGlMi5iKvxYEp1URwyKmqVAy/43GlWtQ4i7tj0TZxxXgYxLqsHg3Tpbp8BEF3JyE
ADUbGQf5UIb7rvXtz4BdMcNS5NvoEreIieMuGbgBWQKxIoSbOAEJ4bb7fuXtJwBegLWAKoSZGIqx
RjsZmjItg4JEcUy98KruJdc78Ja+A8I9yl2UxehUsFIGUHBUFCjwUlGyQMwEwupOtUa2YMiAZ2F5
DPlAqNGzRWIUtG8BDvKBICds9+zomZAUwOfLNy9SdwXr25+CybhI9AeEQ9D3xL7jayBmKSYgPErk
LUlfQu0mMdxYNDhmhSIkTVmPMBH7nX4gQBXiKbBJR7oGopJ8ZKylJwBmQDRHJlOj3TL1OCPYTNYZ
EyFwx5BAStkWlh5LLwEPAd6t2A0AnuKyn8xNXWbrYudOs7wbJciVD7Y00kWvgFkB/AVKf8FNFoCB
g0jICxGQsz/j4H48JxEjk5e58AIIuUpGAZQEf7lKVkCVwLeAlMGaGZyhfMrGrP8WHgFENEPMB3gG
fyVqulVuAnhDB/2nxp1kr2Ax64BIyKCMNnkrb/ubjh8tomPjUw1hdS8Avj1yiR4CYvwLb4ECMxcg
OTsi9snbhHdSHYtFKytmSAms2UCfC/1jye7BYiU7Q0XnHXyKUCgCWXy6TEbukXERDJz96Fg+GhZj
/4X3QIxD2JNjvKzDzvxdzpAeCmARAlc4rpMc5KsMWWssPIItNZe6yHx1pz+R9WTJJKbr1AWyChpS
2C48AyIiLSDfL5hj8sIpxEosmYBjw8Qj8lAjy0dPhkS38AhQbaQwhp0OC5nR8Fah6KA6Uiw0kHkp
oIv26Br5AuJyxQohXCiwQ7TLr03Q4RmwTyUlimhANy1gydL1ylQ1C+8BgzNUa8QlB0IB50iUwQdn
wFOAp8bsmIAg6chksaQdet+kfI1WmSZBwMxOWJkG81U5qQe824Vfv9AhgHCNbA/r1K1ex9HXz2wd
LqLN2TBL2YMuJCuLFov+gy6CcU2XtJMmOpXz43aI0zGBXYhmkQpye+QSlcfbef+yPpnpueMwN7cB
Gv6u32QTB1kbMGDfEdHki4OwAhY+BGScGZsyKhLuLhAstqi1w0AI9gYgnuAl/3lEcr0Ec+lCGalv
SmOyHEDKrczt8cCEfTLEA6HeJaanuzZSrhNAOGDhLaD4ZSxKzicT/JW6qWgfsD5BpgHqsmDkyRYL
hAo7k+2FxyB4+DAuAZiwVkSw6kTPDZlbAKcgD4SUE0h8+dbqbMIWHgHIYkG14poLq4+dgudBOBC6
+EK7iGUj23UZgcfaPkq/fY3CdBDUNeh7XgNSVazWjmoDvnoGRzRQOmMDMUPf3TqZEuNioj5jIbbl
1IR0g6Dqtsn/4BYghuxhimULjvK2Pt7dOqmOYOlDUHgJlmAa7dcop80yUrd0yQzXpFUzY9S1MBgA
LsYMiIywBZefngBKt2JewiIFnJmUamaAIhaeAKQzE/VK1CrYqUF7F3Sjg4egCCYKnRPYc/Zp1JIS
poR9sn57PESjCWA1CBqINiZI++NOmWgpMiH6PvylLRZre+RSxYKlwwKxT2MuqgIdELDT04dAoGDZ
hlADYl+UDqRP+Y5gKbbAEgRUOAaHGk0HD0EAjQQVaaeNL+VWdbH+vaDoCjPUHbDgNzcQNingjoWg
G3sGAcKRr2FerN2iCA8AFihCvZIR6W9KrwKijYYZ8ud7haPdGlOmYLBYwkdI2gl4NWlhJ0txImDD
PgldR/Zpr2wU+aLBYnYiyt6Iu1vYAiNfKBDIJyUyfBTsAYSmA7ahMu6TkPBfWBnwEW3qAdphCDcg
CYQq0EFAVGwAZ0cuahJeg6XVEQ0xQDqYCHhou6QGQUA8PIOtIjBtlGAtIXcKNE+6xGgvvQeKOAS2
SWJnxI2nADg6A0s0zHTKQiYfOVgJ1b+1xT5hIvmLfSIrdD4gM4jjIwB7yVxF0HL4PxEVZHQOXdoq
CTSJIeQ7hF30dn16dA2EOjibZS4B4+QtUlu2l0CLszAigqqjRET0+RVNctwrmTQKW/F3CZUNeZ4L
P7ywiqMmQrqTbvj3718MjZgpsk9iys5NkE/LinnO0iNAuc9lIoJgE1B7qDnHYYDSETwacCyh/7iF
Jsr2BLat7aKFkqAq0wwjbXfwzg8yImtlQDjmtnKWUdNNW0zWFmMxsCPwE1/Rl0dx0BWpgjeCcgsk
RZExpbsEztI4aKF9LtB0whDnL6gIkDWYKQscDqNVnoOEHE13KfpUIR3SH9IpAiNBpuNUtUBDykjI
u7w6JkoocekuLY4hJnG9AeHyIf9C7FZx0f4jUrx6KMuYFReLVxAOhbAd4Mr9JuW4JACKLkD48BFo
HVxc46TbK4IMWpgVxRbBYoOCdyYzIZ7CcTwUHE7ARwby6FtpO/k6pL1Fx9vnx+h8Mj0VMOv9iPy4
S0TARPgGib0qAgdC+k26lCC0hxbVBfSIpHtGhqxTGCBud4YHZYFAYbuIGnjYZby6aEkGMfCWVodi
sQzCmOIHvBUf9ISzbiN6LPRt5NW75atbeAsQbNrODUn6gI62eqZHwQDaIiUy7cGfUqDSvQR3aThU
GBaAswFUysdk9HDqIKrAUtxKIhM1d5Zy8o3Rl+t40CxSAqJhiEMOuXGrDnMQDxSH2oDxKhNmMWMU
SEXZboKxNB6wOgWJbaBqJCCIokA6aRcZoAJGY5YALMkmK0iXFgDJLAwIELeZHsNRZK1E+D9lplAv
UD7xSKAqgkyTUOgRUODCI6BZQsICJAkfFgHgrazrwUsQbEVkvdi00CtJ6QvCeHvhEQgJN4AmDEbI
CrjjCeGigyNQhMwFtkHCXB3EFSJPEr6Exc0SYwMNFAHfMWWgEPk6PgNoyzA1uSLSyuGjPrfwHphC
zBDEPb55W12jk72iAF0JXwjg+rteSbrEuO3yF9XJQqwD1U+xRdhJvR0/BU8IJANHRgxya78uH/SO
Gn/hLWC77KJnKhIeb10gq05egnDXZsG+8xuWkKNFv7/wCLjpmm5T9RAQRO1zvFymSEYSmFAA0ECI
Zcunesr8f+kJCDgN3GRiwZ9bw4OUYOEwaTBVYKHwp4WOXP0ixPuFRyB6IWo/2DkAUKkATspDOmp4
+5jocE47iOr250mENGHLt/AIFCAGbFQEzAKkMYJ2J0hkMFlcASyU4PJhM7qtoCW7BkKfcFFGQOsc
dyCYetQFYj5wPD4TazUkn4Qa+HarJp9L0Cs8/O3jM9Ek8AnhIOEli0ui2E8cxALmKsJu2pMXbsS8
a+ElwDkaaCHbY1yxkPr6zV8ceAFigJBzGDCh8wXUQLZgwCsFE7a0U1CwksdBFDL8foMq5gIHd4FU
yWWAogJW1UAKS8J5urn0DIARcBOEoJ9AGop26fgIaBhRciBx7JVNpLsKfDkLnwNYA4jwzAOER8jv
NH6QadwRUoIAYzBYlzAo7oFgbw+Kgp2BCi7ge2goQrfkxEqSh0C/bLBkldI7jS524R2AnisEboGd
/+VSBRofzSSoxFfMunwzg8W6LiayhsJBfOeR8hseG99lIQKMTLBYMpIg5Vut7SWq3/4MaJSERgN1
8qsM7FEwVMRiCequIKiQGXdHJFmF+H8BgAnwDPCpxobVA9e7tUA4SIrw3MGqcwY01Gh+MTuQrTgg
Si2NBoQ7QsGrloF2MjpC7AJYJttVhisof0hYFxDIlh4BnxEgAaRVWgUTFsZxmYyFHKECmhKjNY9B
q3xyBnBHFh6BMIRhJICvLMLnAmDFTT98CNQFUJoxzZHVRQ/N8oVHQLPEjJg1AuqnLNBM0QkcHAHX
gmuAZQzBEBzuVvVFsni4vDIgKVBfMBhhMADS9CQWgEehfkYs+T+5u4LlNo4j+itbuiQ5sBJSomhV
xa4CIJiiSNA0QSoV3wbYMTDGYhee3SUNnvIbOeeUQ275A/1JviSvZzEWegByIU7bpH1RFUnobaN3
uqen+3UPZntADyi/OZU/p8RJdPsyJpscoYqAt4+VTkdCfkzCUDxkFFB+RisfhryAlPH8VBCdPkN8
jEnAOB0corhG81uYIWBTRFWVZl5AQUc07ev5qSA6RMZSp+Qgkqg4LTU3ia/5gj2qJsAXoIUdsQHd
Mf0MdRDrD1/hZtWXmG6D1l14PaTRuD98/RIt3G7EAZpWm1Tds3IEsTsiWg7wihEAY4wTGFZhdXkP
ZUX6G6qKjmLwHKsp0XcpUv4QQRFxcDdKKWhOQs0VY/Ex4gdqeoZeIJp6Ry2raFNE+hj5Elwl7Xi2
a24AiQR8cxgHpn25DbMxuedkBivLfPwxEX148PGgkaBwiIEWQYsaXSiKWBGptObW2cMV0e05qSCa
lI++DOTKcJUoagW08wVlVcyIpVCAag2Yh4Xp4M9uFeCYHxkbYy/ALZqoG75xVOvQGRw1ddVP2YJn
tx3G8+5wfxYNAIYV0Mxn16rHwiK6P8vRUHHfJEqYbpXsej7YwVxKfydub2qytJ9XpjK6/LbWdnmp
yzqrWj9wP0CiCW55kn75AtMxkVliH71aLnQD3nyMfv5qXNR5RY+emCL/K8m/9ke6vXftR/bZcuPD
qy/vvtfqWeu/6q9/VSaY/4v/5TujrbLj6dL9Ybn6Vudqrr980VO5StWLtW9KR+ZPQn75gkm5Zi4P
oR5brfNM5amHIhUSqSsWeKB/MuPC4xCqa7WNhR0qk1fJBfRkdQKxk4H5sdbY0dafdECBXuyTrnNT
6TQZVqrSpYdzC4zImLHoPQBYlSWdubZmzF4rehGpT+LeJ0CYn4vKD73anrJmNNKKqQanIjRjfAFv
2oK/bQF/5Vb+RBf3WbBfx5//95U4pF+UdjA9hEE9woDX5f/FbLKrphYL0ivTrXLsnfeqdtc3t1zY
mq05St/Hoh6rO4XlbM3CYzl5//LQWttR4BMbrDLKP8bKe1JapTOP42Slqkk0rFU/ehQHSlctxIK+
L2waqIBG1MbCnta3ylQex0lLMw5jYc/0SOXcZbrx6rG438wDHdD5JRb0W1Up62GcCogMFYs6VHVq
ko5VI8OdL/H3osGXNkClGkcs6mpDIpmT/tzYjX2JiHexD/mbLqukq/KZhyKNYyS8/5Fc6eMijb/r
uWaeEieOeNTjAsFL8k6bybRiHpM6LwWc5lWdj5KTkiIkBo/Cqyssxn+DzqhOBnXJVuEKXWDR3Cf/
EQ4ARCgCm5Ya79Ct3WpU6ztqfxXS/joRAUgjb6IDgucX0Xe+n0xVbsqKe82XAmvqTtuRMj9wYAEj
7lgYMfdtreumydw8FKnC30wylepy6r+68zoCihgsVT7n2wdV2WK9ZHdahy9NwPd2bZ1r46UjFdCd
rrGy9tR8VKT8nVGNKRZ3aE1yho2COS4iO8YC4/CQc1CBhfuuyCfJKf0z7Fx6GV00QQ1FsSKf5GmR
65IrGaNRRZBDVAGzeK8W3DUgLxov6+nSTpZ3oTtzqbtYBZ8Xtpri/VnNVgaq3fFiD4t6O7bAwjjF
mWs23VSJgF2fqYJHJDTwOFbPAzVWxYaJHApoeQDbK7JgLdPgqXiRs9Tc8BQNWqxFgNUytGma7hYr
8bleKH6uJRpvLOqFsmqss63BKrEg4vFnG6EKOg8EgJEONouFgQP1YG77pwbjWKGHJp+oBdyGh3LI
1JcRi3w1VSbMmzoGTzSw+sFsatpRxOKhzS33+wcSEcZVbWcUFoZuzo1gj5X5+m6kt6iDBmjEQn8w
usrV3AO5pSHh6k6q2taLlSGuo2PSAVUfY+U+rXNVTo3d9gRUOgXig+EC2YVsuc2XYHyFRFwzMGma
6aSvysorhPTf5H7v1xA8xE657+HUzAqE6FtUhNETGOAskBoYqEwtVXJaW5P97x//LGf006VJJ8zZ
IJmP6QUCSbsrMy/s3hnyMxzf99bErqqhRiw/q7e9c2rOd624sc94W8zSIvlzcqVmOOyZOQvm0Pz9
CnNk/XJ4fKbpVNXGGpbBAvURcyaotB/7FS7UXmb2xlOj9sqy9ni0dlfPEHjVQ5yHtyALuI4ztaim
QfDRqKY1Qni69A8m4vwu0z85EtvjKqj+YUaqf/X3WcDTvQl0nGBQ6i6lOeQHc5jaRqmcZ+GKMcqT
LZ9hVe0nqr33a6uCkwBaqx54T7vuU53vw+ov7lQKcVe63HHr62xdVs6GAuf3mbihAtz1e9ydfh4i
tFos2GaGWfqvNqL+zwNtMgXbyuqOFxKngrqkoj0/xFK5fmPT+jyZmwzEFpkdNfOh5fB0rqB5Vbu4
gvo3RbPpZKiN8jfc6pDbM9wdJAitZeFO64a7AyqtRy4r9Xdxm1xT/44epKuzian5uWjDKh8BW5RQ
rCPtvNP2Tk+KmyDRS1RPAeFVQJ6ga0KjYetsAj4Ne4N0DXMs7ltN9QkWq0qURU+sDpMTdHNVrLT9
sioC46DB6bGwvTs9niaXelGPMjP2eBRT0wDaWPSvzQbBjQiu0bDKFnrbaYn6WqPBrcrHbGukdrZY
1GMzwvYV0CkkUnjHIHHmpV56EenVUdtRtMDaglLCYSX0ANIj1+4bAePo2UJV3EPs0xScWCW8q5HD
tEwJrlchFvcE2eKA+Il2kHh5TyqVcWlpLFistO+1DRbY/oFApus9ckQDteTMFEcOjxX4TFU3wWqQ
KLuemWpahxEK+uDjNTzMihs1C0UW0PGZgXuvdI7MVcCVfCXg3s/qnzQq3LXlKROJBPGgyFLoxKvW
JXkOBdwaamEq4EYfCpgIEpIVF1YiF3yuq6m25ClwqG2MwimCmlJibQSHtVvFfYXE1nxBpLDUi+ek
pVGtsdJeoAhdT4LsmQRX/rLALscNzw3UjBWYLDqk67gBPNHAzmtakzOCP8bXxyt5uAgI1ZiMKoB6
o3Cus2xNoBVMAPhWp3zzwJxWCVhTgcMVLmOMNojHvp4RZ50Fl2j4EcBtGiZOUXJNC3563Mxp1Z+S
AjueSj8guBpj3fXQ5+OFJdPG2Av/430J0/aTNDwyNig9sXxBSxxuhqDiBbZN4yFjTbDnegSS6/Pk
XNeuleQ7UJA8rlOMhCsF9VUnxfeIkRh3d/8QM0r9wx6v9iZZB9KJBn+KK2n/zWuJsPGyGM9UxtgW
KP5hPJyA9KdFWdywBYObb2nMTptini5rR1nr2JzduvT06tFZt/6rPnKfPzf2sWf5v/hfPkQJPdaF
nfAVIUFiuazLMI1NcwljjZEYEPz0iy7ENthtSntAlU2PpNdd754eyvv/vvqS5BmoxsA+uHqNvDjD
Ci+/gSJNJ5ugl055tdMXFYhHOkRbY6Ct5t2+3XSLqgQTh8HSHJbYddhFtMf8NA2WigYFmyVPjQci
vUpQDXtTxcIxiRDEpxBpx8KpJekR6XBdcBrAGasPB5r88e1l708ezK01gcUGrra2Be/MomvL40UG
d4TTRekK6GhYALgmVlfFzLdmcCVah3pqoZMP2qYsvmnvWGk3xLc/GKQOKra4Xwuc8PuT5aLyCqbV
IcEb7f9Yq6qAi8uS4xoRPHMfNL8n9n32rakChrVEqNqvpqZYcM98JGCIV7DwY3Q3cOQvBCK7YzXi
RkjDF2K1e4xmH/bK2gPF9gW8uRDQ4R0va+/jfyudpH84uSkMJ89i9m48/KnOl0wVW7gE9WefEM/M
KAwAMOYuXlpw7opqyvYRhPkCuGYUaOGVwHY9wJSIiSrHvOtpX2IbQaK8qDj9EFPp4xVBTMpb5oP3
DwX0C9gAVMCKB9hIx2HyVsAkBgo8UjBWuTPD1ZAC6i3uyEtiTobHoh3J3fcc69PODWJuhirh2B1q
oAiJSnDjLPe6pixVzaSmSZmxurhERM8HtBxI9JatyEEbRLEDmlcWKzNIvzrIaB9I1ACHNKBFJWc6
zEntC7iLIdLlIQlLIp8zrFOe5XLXV8Sq+KrgRxBMpxV4bx//VSRXxfzjvx2f5sJ+/E8+NpxMd/BS
QNfoHzdhxoSGtEZrReV3obNzM4Bjga8nG1YoUXbtIsMDtlLytSpZIIAb2+KVgQFPJohicctFPO7w
Vt1tNinRzPFYLX+3EXZjep4ArJmP1OiW7VO4ASkeuHGimwbeXsR8uixdMwcqNk+3Lv8vlq0FY9Dc
8bcm8NJ6BTrK0FHDx2NJGEY/S4Yqu1EgZfq1RSHRkYBnPsYZXWN/Yscb9C9Emxw62FOioXskF8O1
Nwu0HyHPoWCrJjWTeP/BEWQ7luwucODlPT777ayw9QXbX9USfp20+M+z0X4TNtex9Yi/Mr8yHl+P
Q++AwUJwMUVX2RECIg9Ky03APJBOr03GrUOiHZekhTlz6xA4TVOOCVPesIwZtMS4hHN1o3AQ2dKi
KDHVoKeWIJVs46dKMKN6wdqTOK6/LeYmD5y9RFDhcbfnpx9s49nRz2GIZjibU4Jv9DVgx9M97Cgp
JlzWPLqXOLG+w3A5niGRKIa+h7EErxGXXHs/8njntFLHQFn0lm1kMyTqGcQCKengWnlp3SYrUcK4
AEO6KiiY4ccHiemLwyo5NVVVOrd9rm8Md1USLed4xFk95ikZd9tv7EHiCiQyk6rUyX5VjFRwWJZo
CaHqfKOcHhZmUW5zigcSTSLQ0gcD3j4m1OIQ6iqQjWvYmG0hkejtIl9oyikeCabEVk+PUc9+IT/e
7K6HDz5BICbogg4bVBkOJELxHsJljLPxKnARjER6cqh44IW7VvwzHq/mZrBxHx1d4LnV3IIlcp8N
PsIk1MUzPV96iUkrhyIpvwokMQsW3TryS1zDI5B0h2E1bp9h0+2H/hf3Kf7pThNNX2jsUQLHt08u
ls8sf6Je6M62Jli61fOTnNsGhD7di2iaaH+HL8JOSOW8piwxm6WLOV1B64oE2bNrKRvp1wn5HYlM
OBHhWOZJojLbK7Ii5BVITAbqjxHL85zT61YX1p7BaSJjIoUEDIP29OYO4CqbEQ99W9R0JJDXOq4x
o5OlGTBIxa+S+9x6u9hDlFORfWJLA9eIxwPTnDXkSNgGuv/FoQCwtrVHcecOCdLJta1DYQ8kLOQD
Cod3uHiBvbiDdpLBI7eBbf+N3xxCnxhnWtmv/g8AAP//</cx:binary>
              </cx:geoCache>
            </cx:geography>
          </cx:layoutPr>
          <cx:valueColors>
            <cx:minColor>
              <a:srgbClr val="FF0000">
                <a:alpha val="50196"/>
              </a:srgbClr>
            </cx:minColor>
            <cx:midColor>
              <a:srgbClr val="FFFF00">
                <a:alpha val="50196"/>
              </a:srgbClr>
            </cx:midColor>
            <cx:maxColor>
              <a:srgbClr val="00B050">
                <a:alpha val="69804"/>
              </a:srgbClr>
            </cx:maxColor>
          </cx:valueColors>
          <cx:valueColorPositions count="3">
            <cx:minPosition>
              <cx:percent val="0"/>
            </cx:minPosition>
            <cx:midPosition>
              <cx:percent val="15"/>
            </cx:midPosition>
            <cx:maxPosition>
              <cx:percent val="25"/>
            </cx:maxPosition>
          </cx:valueColorPosition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endParaRPr lang="pt-BR" sz="2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>
        <a:lumMod val="75000"/>
      </a:schemeClr>
    </a:solidFill>
    <a:ln w="50800">
      <a:solidFill>
        <a:schemeClr val="bg1">
          <a:lumMod val="50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Gráfico17"/>
  <sheetViews>
    <sheetView zoomScale="114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hyperlink" Target="https://www.linkedin.com/in/plinio-monteiro/" TargetMode="Externa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10" Type="http://schemas.openxmlformats.org/officeDocument/2006/relationships/hyperlink" Target="https://www.linkedin.com/in/plinio-monteiro/" TargetMode="External"/><Relationship Id="rId4" Type="http://schemas.openxmlformats.org/officeDocument/2006/relationships/chart" Target="../charts/chart7.xml"/><Relationship Id="rId9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hyperlink" Target="https://www.linkedin.com/in/plinio-monteiro/" TargetMode="Externa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8513</xdr:rowOff>
    </xdr:from>
    <xdr:to>
      <xdr:col>4</xdr:col>
      <xdr:colOff>1291862</xdr:colOff>
      <xdr:row>80</xdr:row>
      <xdr:rowOff>1337943</xdr:rowOff>
    </xdr:to>
    <xdr:pic>
      <xdr:nvPicPr>
        <xdr:cNvPr id="1035" name="Picture 11" descr="Captionless Image">
          <a:extLst>
            <a:ext uri="{FF2B5EF4-FFF2-40B4-BE49-F238E27FC236}">
              <a16:creationId xmlns:a16="http://schemas.microsoft.com/office/drawing/2014/main" id="{00000000-0008-0000-0D00-00000B0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/>
        <a:srcRect r="833" b="5749"/>
        <a:stretch/>
      </xdr:blipFill>
      <xdr:spPr bwMode="auto">
        <a:xfrm>
          <a:off x="0" y="32741856"/>
          <a:ext cx="7772400" cy="17833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1628775</xdr:colOff>
      <xdr:row>0</xdr:row>
      <xdr:rowOff>190500</xdr:rowOff>
    </xdr:from>
    <xdr:to>
      <xdr:col>3</xdr:col>
      <xdr:colOff>1375409</xdr:colOff>
      <xdr:row>0</xdr:row>
      <xdr:rowOff>880110</xdr:rowOff>
    </xdr:to>
    <xdr:sp macro="" textlink="Language!C132">
      <xdr:nvSpPr>
        <xdr:cNvPr id="3" name="Retângul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628775" y="190500"/>
          <a:ext cx="4552949" cy="695325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r"/>
          <a:fld id="{20F72846-B355-4EA1-9463-1B8FEFA21C77}" type="TxLink">
            <a:rPr lang="en-US" sz="3600" b="0" i="0" u="none" strike="noStrike" cap="none" spc="0">
              <a:ln w="18415" cmpd="sng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Century Gothic" panose="020B0502020202020204" pitchFamily="34" charset="0"/>
              <a:cs typeface="Calibri"/>
            </a:rPr>
            <a:pPr algn="r"/>
            <a:t>Be Global: suporte a decisão</a:t>
          </a:fld>
          <a:endParaRPr lang="pt-BR" sz="3600" b="0" cap="none" spc="0">
            <a:ln w="18415" cmpd="sng">
              <a:solidFill>
                <a:schemeClr val="bg1"/>
              </a:solidFill>
              <a:prstDash val="solid"/>
            </a:ln>
            <a:solidFill>
              <a:schemeClr val="bg1"/>
            </a:solidFill>
            <a:effectLst/>
            <a:latin typeface="Century Gothic" pitchFamily="34" charset="0"/>
          </a:endParaRPr>
        </a:p>
      </xdr:txBody>
    </xdr:sp>
    <xdr:clientData/>
  </xdr:twoCellAnchor>
  <xdr:twoCellAnchor>
    <xdr:from>
      <xdr:col>3</xdr:col>
      <xdr:colOff>44824</xdr:colOff>
      <xdr:row>80</xdr:row>
      <xdr:rowOff>1005328</xdr:rowOff>
    </xdr:from>
    <xdr:to>
      <xdr:col>5</xdr:col>
      <xdr:colOff>26894</xdr:colOff>
      <xdr:row>84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29622</xdr:colOff>
      <xdr:row>0</xdr:row>
      <xdr:rowOff>13252</xdr:rowOff>
    </xdr:from>
    <xdr:to>
      <xdr:col>4</xdr:col>
      <xdr:colOff>1212958</xdr:colOff>
      <xdr:row>0</xdr:row>
      <xdr:rowOff>1179443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828" y="13252"/>
          <a:ext cx="1166191" cy="1166191"/>
        </a:xfrm>
        <a:prstGeom prst="rect">
          <a:avLst/>
        </a:prstGeom>
      </xdr:spPr>
    </xdr:pic>
    <xdr:clientData/>
  </xdr:twoCellAnchor>
  <xdr:twoCellAnchor editAs="oneCell">
    <xdr:from>
      <xdr:col>4</xdr:col>
      <xdr:colOff>781880</xdr:colOff>
      <xdr:row>126</xdr:row>
      <xdr:rowOff>26504</xdr:rowOff>
    </xdr:from>
    <xdr:to>
      <xdr:col>4</xdr:col>
      <xdr:colOff>1489877</xdr:colOff>
      <xdr:row>126</xdr:row>
      <xdr:rowOff>757361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037" y="56248852"/>
          <a:ext cx="715617" cy="715617"/>
        </a:xfrm>
        <a:prstGeom prst="rect">
          <a:avLst/>
        </a:prstGeom>
      </xdr:spPr>
    </xdr:pic>
    <xdr:clientData/>
  </xdr:twoCellAnchor>
  <xdr:twoCellAnchor>
    <xdr:from>
      <xdr:col>3</xdr:col>
      <xdr:colOff>1299882</xdr:colOff>
      <xdr:row>0</xdr:row>
      <xdr:rowOff>1143000</xdr:rowOff>
    </xdr:from>
    <xdr:to>
      <xdr:col>5</xdr:col>
      <xdr:colOff>24458</xdr:colOff>
      <xdr:row>1</xdr:row>
      <xdr:rowOff>11206</xdr:rowOff>
    </xdr:to>
    <xdr:sp macro="" textlink="Language!C133">
      <xdr:nvSpPr>
        <xdr:cNvPr id="2" name="CaixaDeText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5905500" y="1143000"/>
          <a:ext cx="172775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B981E4C-91D4-4282-A6B5-CBCD2AE1119C}" type="TxLink">
            <a:rPr lang="en-US" sz="800" b="0" i="0" u="none" strike="noStrike">
              <a:solidFill>
                <a:schemeClr val="bg1"/>
              </a:solidFill>
              <a:latin typeface="Century Gothic" panose="020B0502020202020204" pitchFamily="34" charset="0"/>
              <a:cs typeface="Calibri"/>
            </a:rPr>
            <a:pPr/>
            <a:t>Para lançar suas decisões use este link: bit.ly/be-global-game</a:t>
          </a:fld>
          <a:endParaRPr lang="pt-BR" sz="800" b="1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28575</xdr:rowOff>
    </xdr:from>
    <xdr:to>
      <xdr:col>1</xdr:col>
      <xdr:colOff>390525</xdr:colOff>
      <xdr:row>0</xdr:row>
      <xdr:rowOff>896085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pSpPr/>
      </xdr:nvGrpSpPr>
      <xdr:grpSpPr>
        <a:xfrm>
          <a:off x="0" y="28575"/>
          <a:ext cx="2146438" cy="867510"/>
          <a:chOff x="926467" y="91789"/>
          <a:chExt cx="1720668" cy="650953"/>
        </a:xfrm>
      </xdr:grpSpPr>
      <xdr:pic>
        <xdr:nvPicPr>
          <xdr:cNvPr id="5" name="Picture 5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18884" y="91789"/>
            <a:ext cx="1407890" cy="595063"/>
          </a:xfrm>
          <a:prstGeom prst="rect">
            <a:avLst/>
          </a:prstGeom>
        </xdr:spPr>
      </xdr:pic>
      <xdr:sp macro="" textlink="Language!C459">
        <xdr:nvSpPr>
          <xdr:cNvPr id="9" name="TextBox 10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926467" y="584544"/>
            <a:ext cx="1720668" cy="158198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BFCA4BD4-082F-49B7-9F88-DD21F51BB743}" type="TxLink">
              <a:rPr lang="en-US" sz="800" b="0" i="0" u="none" strike="noStrike">
                <a:solidFill>
                  <a:schemeClr val="bg1"/>
                </a:solidFill>
                <a:effectLst/>
                <a:latin typeface="Franklin Gothic Book" panose="020B0503020102020204" pitchFamily="34" charset="0"/>
                <a:cs typeface="Calibri"/>
              </a:rPr>
              <a:pPr algn="ctr"/>
              <a:t>Soluções &amp; Inteligência em Data Analytics</a:t>
            </a:fld>
            <a:endParaRPr lang="pt-BR" sz="400">
              <a:solidFill>
                <a:schemeClr val="bg1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1057275</xdr:rowOff>
    </xdr:from>
    <xdr:to>
      <xdr:col>3</xdr:col>
      <xdr:colOff>91587</xdr:colOff>
      <xdr:row>1</xdr:row>
      <xdr:rowOff>158565</xdr:rowOff>
    </xdr:to>
    <xdr:sp macro="" textlink="">
      <xdr:nvSpPr>
        <xdr:cNvPr id="10" name="CaixaDeText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0" y="1057275"/>
          <a:ext cx="4892187" cy="587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By Plínio</a:t>
          </a:r>
          <a:r>
            <a:rPr lang="pt-BR" sz="10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Rafael Reis Monteiro (15/12/2013). </a:t>
          </a:r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linkedin.com/in/plinio-monteiro</a:t>
          </a:r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</a:p>
        <a:p>
          <a:pPr algn="l"/>
          <a:r>
            <a:rPr lang="pt-BR" sz="10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All rights reserved by Instituto Analysis. E-mail: p.monteiro@ia-data.com.br</a:t>
          </a:r>
          <a:endParaRPr lang="pt-BR" sz="1000">
            <a:solidFill>
              <a:schemeClr val="bg1"/>
            </a:solidFill>
            <a:latin typeface="Century Gothic" panose="020B050202020202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12874</xdr:rowOff>
    </xdr:from>
    <xdr:to>
      <xdr:col>5</xdr:col>
      <xdr:colOff>1508234</xdr:colOff>
      <xdr:row>31</xdr:row>
      <xdr:rowOff>89338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15875</xdr:rowOff>
    </xdr:from>
    <xdr:to>
      <xdr:col>34</xdr:col>
      <xdr:colOff>0</xdr:colOff>
      <xdr:row>40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09F7E43-AD82-44F8-BF6C-591B311043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01675"/>
              <a:ext cx="20726400" cy="8156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65405</xdr:colOff>
      <xdr:row>14</xdr:row>
      <xdr:rowOff>111125</xdr:rowOff>
    </xdr:from>
    <xdr:to>
      <xdr:col>3</xdr:col>
      <xdr:colOff>34925</xdr:colOff>
      <xdr:row>29</xdr:row>
      <xdr:rowOff>147955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00000000-0008-0000-0F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00" y="3476625"/>
              <a:ext cx="1781175" cy="313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15875</xdr:colOff>
      <xdr:row>0</xdr:row>
      <xdr:rowOff>380998</xdr:rowOff>
    </xdr:from>
    <xdr:to>
      <xdr:col>5</xdr:col>
      <xdr:colOff>579439</xdr:colOff>
      <xdr:row>9</xdr:row>
      <xdr:rowOff>111124</xdr:rowOff>
    </xdr:to>
    <xdr:sp macro="" textlink="WorldMap!Q1">
      <xdr:nvSpPr>
        <xdr:cNvPr id="4" name="CaixaDeTexto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15875" y="380998"/>
          <a:ext cx="3579814" cy="2063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04515DA-26F3-496F-A483-BC53DA16BECE}" type="TxLink">
            <a:rPr lang="en-US" sz="28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  <a:cs typeface="Calibri"/>
            </a:rPr>
            <a:pPr/>
            <a:t>Penetração de mercado (categoria)</a:t>
          </a:fld>
          <a:endParaRPr lang="pt-BR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006974" cy="622467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14816</xdr:rowOff>
    </xdr:from>
    <xdr:to>
      <xdr:col>3</xdr:col>
      <xdr:colOff>873125</xdr:colOff>
      <xdr:row>26</xdr:row>
      <xdr:rowOff>138641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883710</xdr:colOff>
      <xdr:row>15</xdr:row>
      <xdr:rowOff>12609</xdr:rowOff>
    </xdr:from>
    <xdr:to>
      <xdr:col>7</xdr:col>
      <xdr:colOff>460</xdr:colOff>
      <xdr:row>26</xdr:row>
      <xdr:rowOff>139212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10583</xdr:rowOff>
    </xdr:from>
    <xdr:to>
      <xdr:col>2</xdr:col>
      <xdr:colOff>824753</xdr:colOff>
      <xdr:row>52</xdr:row>
      <xdr:rowOff>52705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833717</xdr:colOff>
      <xdr:row>40</xdr:row>
      <xdr:rowOff>1619</xdr:rowOff>
    </xdr:from>
    <xdr:to>
      <xdr:col>5</xdr:col>
      <xdr:colOff>878541</xdr:colOff>
      <xdr:row>52</xdr:row>
      <xdr:rowOff>45011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7939</xdr:colOff>
      <xdr:row>54</xdr:row>
      <xdr:rowOff>11907</xdr:rowOff>
    </xdr:from>
    <xdr:to>
      <xdr:col>6</xdr:col>
      <xdr:colOff>1103314</xdr:colOff>
      <xdr:row>64</xdr:row>
      <xdr:rowOff>309561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1059656</xdr:colOff>
      <xdr:row>54</xdr:row>
      <xdr:rowOff>0</xdr:rowOff>
    </xdr:from>
    <xdr:to>
      <xdr:col>9</xdr:col>
      <xdr:colOff>0</xdr:colOff>
      <xdr:row>64</xdr:row>
      <xdr:rowOff>297654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23813</xdr:colOff>
      <xdr:row>3</xdr:row>
      <xdr:rowOff>0</xdr:rowOff>
    </xdr:from>
    <xdr:to>
      <xdr:col>9</xdr:col>
      <xdr:colOff>0</xdr:colOff>
      <xdr:row>26</xdr:row>
      <xdr:rowOff>136071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877661</xdr:colOff>
      <xdr:row>40</xdr:row>
      <xdr:rowOff>6805</xdr:rowOff>
    </xdr:from>
    <xdr:to>
      <xdr:col>8</xdr:col>
      <xdr:colOff>1292678</xdr:colOff>
      <xdr:row>52</xdr:row>
      <xdr:rowOff>47626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2143125</xdr:colOff>
      <xdr:row>1</xdr:row>
      <xdr:rowOff>307216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pSpPr/>
      </xdr:nvGrpSpPr>
      <xdr:grpSpPr>
        <a:xfrm>
          <a:off x="0" y="0"/>
          <a:ext cx="2143125" cy="867510"/>
          <a:chOff x="926467" y="91789"/>
          <a:chExt cx="1720668" cy="650953"/>
        </a:xfrm>
      </xdr:grpSpPr>
      <xdr:pic>
        <xdr:nvPicPr>
          <xdr:cNvPr id="14" name="Picture 5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18884" y="91789"/>
            <a:ext cx="1407890" cy="595063"/>
          </a:xfrm>
          <a:prstGeom prst="rect">
            <a:avLst/>
          </a:prstGeom>
        </xdr:spPr>
      </xdr:pic>
      <xdr:sp macro="" textlink="Language!C459">
        <xdr:nvSpPr>
          <xdr:cNvPr id="15" name="TextBox 10">
            <a:extLst>
              <a:ext uri="{FF2B5EF4-FFF2-40B4-BE49-F238E27FC236}">
                <a16:creationId xmlns:a16="http://schemas.microsoft.com/office/drawing/2014/main" id="{00000000-0008-0000-1300-00000F000000}"/>
              </a:ext>
            </a:extLst>
          </xdr:cNvPr>
          <xdr:cNvSpPr txBox="1"/>
        </xdr:nvSpPr>
        <xdr:spPr>
          <a:xfrm>
            <a:off x="926467" y="584544"/>
            <a:ext cx="1720668" cy="158198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BFCA4BD4-082F-49B7-9F88-DD21F51BB743}" type="TxLink">
              <a:rPr lang="en-US" sz="800" b="0" i="0" u="none" strike="noStrike">
                <a:solidFill>
                  <a:schemeClr val="bg1"/>
                </a:solidFill>
                <a:effectLst/>
                <a:latin typeface="Franklin Gothic Book" panose="020B0503020102020204" pitchFamily="34" charset="0"/>
                <a:cs typeface="Calibri"/>
              </a:rPr>
              <a:pPr algn="ctr"/>
              <a:t>Soluções &amp; Inteligência em Data Analytics</a:t>
            </a:fld>
            <a:endParaRPr lang="pt-BR" sz="400">
              <a:solidFill>
                <a:schemeClr val="bg1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0</xdr:col>
      <xdr:colOff>2084295</xdr:colOff>
      <xdr:row>0</xdr:row>
      <xdr:rowOff>537881</xdr:rowOff>
    </xdr:from>
    <xdr:to>
      <xdr:col>4</xdr:col>
      <xdr:colOff>582705</xdr:colOff>
      <xdr:row>2</xdr:row>
      <xdr:rowOff>22410</xdr:rowOff>
    </xdr:to>
    <xdr:sp macro="" textlink="">
      <xdr:nvSpPr>
        <xdr:cNvPr id="16" name="CaixaDeTexto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 txBox="1"/>
      </xdr:nvSpPr>
      <xdr:spPr>
        <a:xfrm>
          <a:off x="2084295" y="537881"/>
          <a:ext cx="4863351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8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By Plínio</a:t>
          </a:r>
          <a:r>
            <a:rPr lang="pt-BR" sz="8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Rafael Reis Monteiro (15/12/2013). </a:t>
          </a:r>
          <a:r>
            <a:rPr lang="pt-BR" sz="8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linkedin.com/in/plinio-monteiro</a:t>
          </a:r>
          <a:r>
            <a:rPr lang="pt-BR" sz="8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</a:p>
        <a:p>
          <a:pPr algn="l"/>
          <a:r>
            <a:rPr lang="pt-BR" sz="8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All rights reserved by Instituto Analysis. E-mail: p.monteiro@ia-data.com.br</a:t>
          </a:r>
          <a:endParaRPr lang="pt-BR" sz="800">
            <a:solidFill>
              <a:schemeClr val="bg1"/>
            </a:solidFill>
            <a:latin typeface="Century Gothic" panose="020B050202020202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9525</xdr:rowOff>
    </xdr:from>
    <xdr:to>
      <xdr:col>19</xdr:col>
      <xdr:colOff>0</xdr:colOff>
      <xdr:row>30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252</xdr:row>
      <xdr:rowOff>22515</xdr:rowOff>
    </xdr:from>
    <xdr:to>
      <xdr:col>5</xdr:col>
      <xdr:colOff>9921</xdr:colOff>
      <xdr:row>266</xdr:row>
      <xdr:rowOff>165164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674648</xdr:colOff>
      <xdr:row>252</xdr:row>
      <xdr:rowOff>6020</xdr:rowOff>
    </xdr:from>
    <xdr:to>
      <xdr:col>11</xdr:col>
      <xdr:colOff>0</xdr:colOff>
      <xdr:row>266</xdr:row>
      <xdr:rowOff>167224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17318</xdr:colOff>
      <xdr:row>41</xdr:row>
      <xdr:rowOff>540550</xdr:rowOff>
    </xdr:from>
    <xdr:to>
      <xdr:col>11</xdr:col>
      <xdr:colOff>1514104</xdr:colOff>
      <xdr:row>53</xdr:row>
      <xdr:rowOff>391887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1493073</xdr:colOff>
      <xdr:row>41</xdr:row>
      <xdr:rowOff>547749</xdr:rowOff>
    </xdr:from>
    <xdr:to>
      <xdr:col>16</xdr:col>
      <xdr:colOff>1040175</xdr:colOff>
      <xdr:row>53</xdr:row>
      <xdr:rowOff>391887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</xdr:colOff>
      <xdr:row>15</xdr:row>
      <xdr:rowOff>15240</xdr:rowOff>
    </xdr:from>
    <xdr:to>
      <xdr:col>16</xdr:col>
      <xdr:colOff>1034143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774989</xdr:colOff>
      <xdr:row>0</xdr:row>
      <xdr:rowOff>867510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pSpPr/>
      </xdr:nvGrpSpPr>
      <xdr:grpSpPr>
        <a:xfrm>
          <a:off x="0" y="0"/>
          <a:ext cx="2142107" cy="867510"/>
          <a:chOff x="926467" y="91789"/>
          <a:chExt cx="1720668" cy="650953"/>
        </a:xfrm>
      </xdr:grpSpPr>
      <xdr:pic>
        <xdr:nvPicPr>
          <xdr:cNvPr id="7" name="Picture 5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18884" y="91789"/>
            <a:ext cx="1407890" cy="595063"/>
          </a:xfrm>
          <a:prstGeom prst="rect">
            <a:avLst/>
          </a:prstGeom>
        </xdr:spPr>
      </xdr:pic>
      <xdr:sp macro="" textlink="Language!C459">
        <xdr:nvSpPr>
          <xdr:cNvPr id="8" name="TextBox 10">
            <a:extLst>
              <a:ext uri="{FF2B5EF4-FFF2-40B4-BE49-F238E27FC236}">
                <a16:creationId xmlns:a16="http://schemas.microsoft.com/office/drawing/2014/main" id="{00000000-0008-0000-1600-000008000000}"/>
              </a:ext>
            </a:extLst>
          </xdr:cNvPr>
          <xdr:cNvSpPr txBox="1"/>
        </xdr:nvSpPr>
        <xdr:spPr>
          <a:xfrm>
            <a:off x="926467" y="584544"/>
            <a:ext cx="1720668" cy="158198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BFCA4BD4-082F-49B7-9F88-DD21F51BB743}" type="TxLink">
              <a:rPr lang="en-US" sz="800" b="0" i="0" u="none" strike="noStrike">
                <a:solidFill>
                  <a:schemeClr val="bg1"/>
                </a:solidFill>
                <a:effectLst/>
                <a:latin typeface="Franklin Gothic Book" panose="020B0503020102020204" pitchFamily="34" charset="0"/>
                <a:cs typeface="Calibri"/>
              </a:rPr>
              <a:pPr algn="ctr"/>
              <a:t>Soluções &amp; Inteligência em Data Analytics</a:t>
            </a:fld>
            <a:endParaRPr lang="pt-BR" sz="400">
              <a:solidFill>
                <a:schemeClr val="bg1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12</xdr:col>
      <xdr:colOff>571501</xdr:colOff>
      <xdr:row>0</xdr:row>
      <xdr:rowOff>242454</xdr:rowOff>
    </xdr:from>
    <xdr:to>
      <xdr:col>16</xdr:col>
      <xdr:colOff>880170</xdr:colOff>
      <xdr:row>0</xdr:row>
      <xdr:rowOff>679483</xdr:rowOff>
    </xdr:to>
    <xdr:sp macro="" textlink="">
      <xdr:nvSpPr>
        <xdr:cNvPr id="11" name="CaixaDe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 txBox="1"/>
      </xdr:nvSpPr>
      <xdr:spPr>
        <a:xfrm>
          <a:off x="16400319" y="242454"/>
          <a:ext cx="4863351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By Plínio</a:t>
          </a:r>
          <a:r>
            <a:rPr lang="pt-BR" sz="10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Rafael Reis Monteiro (15/12/2013). </a:t>
          </a:r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linkedin.com/in/plinio-monteiro</a:t>
          </a:r>
          <a:r>
            <a:rPr lang="pt-BR" sz="100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</a:p>
        <a:p>
          <a:pPr algn="l"/>
          <a:r>
            <a:rPr lang="pt-BR" sz="1000" baseline="0">
              <a:solidFill>
                <a:schemeClr val="bg1"/>
              </a:solidFill>
              <a:latin typeface="Century Gothic" panose="020B0502020202020204" pitchFamily="34" charset="0"/>
              <a:ea typeface="Tahoma" panose="020B0604030504040204" pitchFamily="34" charset="0"/>
              <a:cs typeface="Tahoma" panose="020B0604030504040204" pitchFamily="34" charset="0"/>
            </a:rPr>
            <a:t>All rights reserved by Instituto Analysis. E-mail: p.monteiro@ia-data.com.br</a:t>
          </a:r>
          <a:endParaRPr lang="pt-BR" sz="1000">
            <a:solidFill>
              <a:schemeClr val="bg1"/>
            </a:solidFill>
            <a:latin typeface="Century Gothic" panose="020B050202020202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ropbox/Disciplinas/Gradua&#231;&#227;o/Skema/International%20Marketing/Student%20resources/Simulation%20-%20Be%20global/Go%20global%2021022019%2022h45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"/>
      <sheetName val="GDP"/>
      <sheetName val="GDP per capita"/>
      <sheetName val="Income Tax Rate (%)"/>
      <sheetName val="Tariff Rate (%)"/>
      <sheetName val="Corporate Tax Rate (%)"/>
      <sheetName val="Average Tax Rate (%)"/>
      <sheetName val="Score-Starting a business"/>
      <sheetName val="Score-Registering property "/>
      <sheetName val="Score-Trading across borders"/>
      <sheetName val="Country Competitivness"/>
      <sheetName val="Country Evolution"/>
      <sheetName val="MSE_Global (Average)"/>
      <sheetName val="MSE_Global (Per country)"/>
      <sheetName val="MSE_Local"/>
      <sheetName val="MSE_Total"/>
      <sheetName val="Pricing"/>
      <sheetName val="Utlity"/>
      <sheetName val="Firms Estimates"/>
      <sheetName val="Active customers"/>
      <sheetName val="Fixed Costs"/>
      <sheetName val="Opening costs"/>
      <sheetName val="Pol. reg. Costs"/>
      <sheetName val="Results"/>
      <sheetName val="Equations"/>
      <sheetName val="Names"/>
      <sheetName val="Sett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" xr10:uid="{B0906BCF-FB76-4492-A241-9DC90F53BB34}" sourceName="Region">
  <extLst>
    <x:ext xmlns:x15="http://schemas.microsoft.com/office/spreadsheetml/2010/11/main" uri="{2F2917AC-EB37-4324-AD4E-5DD8C200BD13}">
      <x15:tableSlicerCache tableId="1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760AA9F7-EC09-48EE-A9C7-A10995C18A6F}" cache="SegmentaçãodeDados_Region" caption="Region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EA8886-8F50-4C99-8EDA-03ABFFAE8419}" name="Table3" displayName="Table3" ref="V1:W6" totalsRowShown="0" headerRowDxfId="115">
  <autoFilter ref="V1:W6" xr:uid="{7DEA8886-8F50-4C99-8EDA-03ABFFAE8419}"/>
  <tableColumns count="2">
    <tableColumn id="1" xr3:uid="{51D3BE70-2B85-4A23-B945-2B02FD05E597}" name="Category" dataDxfId="114">
      <calculatedColumnFormula>R2</calculatedColumnFormula>
    </tableColumn>
    <tableColumn id="2" xr3:uid="{F48596AB-B8A9-405E-BC39-594386C1EDC4}" name="Prioorities" dataDxfId="113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19639B-2F8B-418B-8EA8-8401E012D361}" name="Tabela4" displayName="Tabela4" ref="BC15:BC18" totalsRowShown="0" headerRowDxfId="112" dataDxfId="111">
  <autoFilter ref="BC15:BC18" xr:uid="{7819639B-2F8B-418B-8EA8-8401E012D361}"/>
  <tableColumns count="1">
    <tableColumn id="1" xr3:uid="{FAA40A22-7C85-4118-A70A-CEE2D7321860}" name="Ano" dataDxfId="11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06E28B8-CBE2-425C-A679-5B29ACEDC779}" name="Tabela5" displayName="Tabela5" ref="BD15:BD26" totalsRowShown="0" headerRowDxfId="109" dataDxfId="108">
  <autoFilter ref="BD15:BD26" xr:uid="{906E28B8-CBE2-425C-A679-5B29ACEDC779}"/>
  <tableColumns count="1">
    <tableColumn id="1" xr3:uid="{190354A3-B795-4381-BE40-2913271DABB5}" name="Rodada" dataDxfId="107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0129BD-614E-4FB5-BCBE-65B3CECEA90F}" name="Tabela1" displayName="Tabela1" ref="A1:E181" totalsRowShown="0" headerRowDxfId="106">
  <autoFilter ref="A1:E181" xr:uid="{15747B6C-EE81-4EAB-B5C4-D5D6AD6CA751}"/>
  <tableColumns count="5">
    <tableColumn id="1" xr3:uid="{4646C401-8F57-4528-B068-3E80C6A47C45}" name="Name" dataDxfId="105"/>
    <tableColumn id="2" xr3:uid="{F8DDEF1D-5EE4-4D45-B34F-385D6A01EEE6}" name="Region"/>
    <tableColumn id="3" xr3:uid="{B40CB131-9DD1-4BCA-A48A-D6B68471BB64}" name="data" dataDxfId="104">
      <calculatedColumnFormula>SUMIF('Base data map'!O:O,'map table'!E2,'Base data map'!E:E)</calculatedColumnFormula>
    </tableColumn>
    <tableColumn id="4" xr3:uid="{F9EB3FCF-A77D-4ABC-93F8-9F8B09F805C4}" name="ID"/>
    <tableColumn id="5" xr3:uid="{D73448A7-FF58-4D33-9986-F575114A8B1C}" name="COUNTRYC" dataDxfId="1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82C0E8-83EC-4F2E-9477-88835C5B0D51}" name="Tabela2" displayName="Tabela2" ref="A15:AF175" totalsRowShown="0" headerRowDxfId="102" dataDxfId="101" tableBorderDxfId="100">
  <autoFilter ref="A15:AF175" xr:uid="{4B82C0E8-83EC-4F2E-9477-88835C5B0D51}"/>
  <tableColumns count="32">
    <tableColumn id="1" xr3:uid="{5A42011B-6068-41AE-B752-9F513CA30BD1}" name="ID" dataDxfId="99">
      <calculatedColumnFormula>'Config!'!C2</calculatedColumnFormula>
    </tableColumn>
    <tableColumn id="2" xr3:uid="{5C7042E1-ADFF-4C4A-8F4B-0E529169FAE1}" name="Country/País" dataDxfId="98">
      <calculatedColumnFormula>'Config!'!A2</calculatedColumnFormula>
    </tableColumn>
    <tableColumn id="3" xr3:uid="{E34FBDC7-9A39-45CD-980F-3A24E0CE136E}" name="Region/Região" dataDxfId="97">
      <calculatedColumnFormula>'Config!'!B2</calculatedColumnFormula>
    </tableColumn>
    <tableColumn id="4" xr3:uid="{B4FA5D26-9685-41A4-B9E7-D5483ED12EEA}" name="Population size (millions)" dataDxfId="96">
      <calculatedColumnFormula array="1">IFERROR(INDEX(Population!$BD$3:$BN$177,'IMS Seg. Table'!$A16,'Config!'!$BA$15-2010+1),"")</calculatedColumnFormula>
    </tableColumn>
    <tableColumn id="5" xr3:uid="{29EE67FF-005D-4926-A4FC-CB6C59A73621}" name="Country Area (square KM/1.000)" dataDxfId="95">
      <calculatedColumnFormula array="1">IFERROR(INDEX(Population!$CH$3:$CH$178,'IMS Seg. Table'!$A16,1),"")</calculatedColumnFormula>
    </tableColumn>
    <tableColumn id="6" xr3:uid="{53D4F3BD-C07B-48F5-A624-F3CAB9FAE2AE}" name="Populational density (Pop/ square km)" dataDxfId="94">
      <calculatedColumnFormula>IFERROR('IMS Seg. Table'!$D16/'IMS Seg. Table'!$E16,"")</calculatedColumnFormula>
    </tableColumn>
    <tableColumn id="7" xr3:uid="{E5AE0807-B165-48B5-BA46-217C275CABDB}" name="Mobile telephone subscriptions/100 pop.*" dataDxfId="93">
      <calculatedColumnFormula array="1">IFERROR(INDEX('Country Competitivness'!$CL$4:$CX$178,Tabela2[[#This Row],[ID]],'Config!'!$AZ$17+1),".")</calculatedColumnFormula>
    </tableColumn>
    <tableColumn id="8" xr3:uid="{86FF0970-2C4E-426C-82D4-B73E732B2DE9}" name="Gross domestic product (GDP U$ Billion)" dataDxfId="92">
      <calculatedColumnFormula array="1">INDEX(GDP!$G$3:$S$177,'IMS Seg. Table'!$A16,'Config!'!$BA$15-2010+1)*1000000000</calculatedColumnFormula>
    </tableColumn>
    <tableColumn id="9" xr3:uid="{69C7A5D2-6C8D-4F94-9030-D7AA513FFE78}" name="GDP per capita (U$ Dollar)" dataDxfId="91">
      <calculatedColumnFormula>IFERROR((H16)/D16,".")</calculatedColumnFormula>
    </tableColumn>
    <tableColumn id="15" xr3:uid="{6CF192C8-CE70-42FA-BF26-151BF36C161D}" name="Income Tax Rate (%)" dataDxfId="90">
      <calculatedColumnFormula>IFERROR(INDEX('Income Tax Rate (%)'!$F$2:$P$176,Tabela2[[#This Row],[ID]],'Config!'!$BA$15-2010+1)/100,"")</calculatedColumnFormula>
    </tableColumn>
    <tableColumn id="16" xr3:uid="{BD5914E9-E717-4AE4-81EF-0C68B776A0E5}" name="Tariff Rate (%)" dataDxfId="89">
      <calculatedColumnFormula>IFERROR(INDEX('Tariff Rate (%)'!$F$2:$P$176,Tabela2[[#This Row],[ID]],'Config!'!$BA$15-2010+1)/100,"")</calculatedColumnFormula>
    </tableColumn>
    <tableColumn id="17" xr3:uid="{79C47DDD-00D7-412D-AEE5-681AF1FD2FC5}" name="Corporate Tax Rate (%)" dataDxfId="88">
      <calculatedColumnFormula>IFERROR(INDEX('Corporate Tax Rate (%)'!$F$2:$P$176,Tabela2[[#This Row],[ID]],'Config!'!$BA$15-2010+1)/100,"")</calculatedColumnFormula>
    </tableColumn>
    <tableColumn id="10" xr3:uid="{F5ECE440-76AC-444C-AA73-3CAB40A7BF87}" name="Score Doing business" dataDxfId="87">
      <calculatedColumnFormula array="1">INDEX('Score-Starting a business'!$F$2:$P$176,'IMS Seg. Table'!$A16,'Config!'!$BA$15-2010+1)</calculatedColumnFormula>
    </tableColumn>
    <tableColumn id="18" xr3:uid="{C4FB64B0-9633-4EED-BD01-9A8E1D115044}" name="Burden Of Government Regulation (7=best)" dataDxfId="86">
      <calculatedColumnFormula array="1">IFERROR(INDEX('Country Competitivness'!$AX$4:$BH$178,Tabela2[[#This Row],[ID]],'Config!'!$BA$15-2010+1),"")</calculatedColumnFormula>
    </tableColumn>
    <tableColumn id="19" xr3:uid="{CC9A23F6-A091-4017-8A22-CEE9A305C49F}" name="Quality Of Roads (7=best)" dataDxfId="85">
      <calculatedColumnFormula array="1">IFERROR(INDEX('Country Competitivness'!$EE$4:$EO$178,Tabela2[[#This Row],[ID]],'Config!'!$BA$15-2010+1),"")</calculatedColumnFormula>
    </tableColumn>
    <tableColumn id="20" xr3:uid="{CE62A5D2-5AD0-4A72-B25C-A5897DDCA79B}" name="Business sophistication (7=best)" dataDxfId="84">
      <calculatedColumnFormula array="1">IFERROR(INDEX('Country Competitivness'!$H$4:$R$178,Tabela2[[#This Row],[ID]],'Config!'!$BA$15-2010+1),"")</calculatedColumnFormula>
    </tableColumn>
    <tableColumn id="21" xr3:uid="{91B57631-7E58-44B0-A25E-43A245FD0BE5}" name="Technological adoption (7=best)" dataDxfId="83">
      <calculatedColumnFormula array="1">IFERROR(INDEX('Country Competitivness'!$AJ$4:$AT$178,Tabela2[[#This Row],[ID]],MAX(1,'Config!'!$BA$15-2010)),"")</calculatedColumnFormula>
    </tableColumn>
    <tableColumn id="22" xr3:uid="{5893B96B-8CDD-48CE-B286-95957118E97B}" name="Buyer sophistication (7=best)" dataDxfId="82">
      <calculatedColumnFormula array="1">IFERROR(INDEX('Country Competitivness'!$BM$4:$BW$178,Tabela2[[#This Row],[ID]],'Config!'!$BA$15-2010+1),"")</calculatedColumnFormula>
    </tableColumn>
    <tableColumn id="30" xr3:uid="{24A2A534-F040-4FB0-996D-BA8695656A31}" name="Date of the first competitor to enter in the market" dataDxfId="81">
      <calculatedColumnFormula array="1">IF('Config!'!$BA$15=2010,".",IF(COUNTIF('Result data'!$C$216:$L$225,INDEX('Result data'!$O$216:$O$390,Tabela2[[#This Row],[ID]]))=0,".",_xlfn.MINIFS('Result data'!$C$228:$L$237,'Result data'!$C$216:$L$225,INDEX('Result data'!$O$216:$O$390,Tabela2[[#This Row],[ID]]))))</calculatedColumnFormula>
    </tableColumn>
    <tableColumn id="11" xr3:uid="{9E09F879-D1E3-40C3-B918-CA68D1F87CD9}" name="Active users (thousands)" dataDxfId="80">
      <calculatedColumnFormula array="1">IF('Config!'!$BA$15=2010,".",IF(INDEX('Result data'!$R$216:$AA$390,'IMS Seg. Table'!$A16,'Config!'!$BA$15-2010)=".",".",INDEX('Result data'!$R$216:$AA$390,'IMS Seg. Table'!$A16,'Config!'!$BA$15-2010)))</calculatedColumnFormula>
    </tableColumn>
    <tableColumn id="12" xr3:uid="{A17ED242-4C0E-4832-904D-E749D25FCDB7}" name="Market Penetration (Category)" dataDxfId="79">
      <calculatedColumnFormula>IFERROR(T16/D16,".")</calculatedColumnFormula>
    </tableColumn>
    <tableColumn id="13" xr3:uid="{3FC659B2-468F-4DB2-86EC-410F680B5423}" name="Market Demand (U$ millions)" dataDxfId="78">
      <calculatedColumnFormula array="1">IF(Tabela2[[#This Row],[Market Penetration (Category)]]=".",".",INDEX('Result data'!$BS$216:$CB$390,'IMS Seg. Table'!$A16,'Config!'!$BA$15-2010))</calculatedColumnFormula>
    </tableColumn>
    <tableColumn id="32" xr3:uid="{4DC743A2-8750-4A49-962B-867B84AD28C1}" name="Average revenue per user_x000a_(ARPU)" dataDxfId="77">
      <calculatedColumnFormula>IF(Tabela2[[#This Row],[Market Demand (U$ millions)]]=".",".",Tabela2[[#This Row],[Market Demand (U$ millions)]]/Tabela2[[#This Row],[Active users (thousands)]])</calculatedColumnFormula>
    </tableColumn>
    <tableColumn id="14" xr3:uid="{66BFC5EF-36F7-49ED-A9FE-956B14F9BE68}" name="Number of competitors" dataDxfId="76">
      <calculatedColumnFormula array="1">IF('Config!'!$BA$15=2010,".",IF(INDEX('Result data'!$AE$216:$AN$390,'IMS Seg. Table'!$A16,'Config!'!$BA$15-2010)=".",0,INDEX('Result data'!$AE$216:$AN$390,'IMS Seg. Table'!$A16,'Config!'!$BA$15-2010)))</calculatedColumnFormula>
    </tableColumn>
    <tableColumn id="23" xr3:uid="{5C16C44A-37F4-4296-A9AC-9003D0378772}" name="Price per 5km Ride" dataDxfId="75">
      <calculatedColumnFormula>IF('Config!'!$BA$15=2010,".",IF(Tabela2[[#This Row],[Number of competitors]]=0,".",SUMIF('Result data'!$N$216:$N$390,Tabela2[[#This Row],[ID]],'Result data'!$CP$216:$CP$393)))</calculatedColumnFormula>
    </tableColumn>
    <tableColumn id="24" xr3:uid="{E32AF381-4D5D-48DF-8438-267E0BE3794E}" name="Unit cost per 5km Ride" dataDxfId="74">
      <calculatedColumnFormula>IF('Config!'!$BA$15=2010,".",IF(Tabela2[[#This Row],[Number of competitors]]=0,".",SUMIF('Result data'!$N$216:$N$390,Tabela2[[#This Row],[ID]],'Result data'!$DA$216:$DA$393)))</calculatedColumnFormula>
    </tableColumn>
    <tableColumn id="25" xr3:uid="{CAB87FE0-CA13-460A-B1C6-8C7A964A4A5F}" name="Global Marketing and Sales Expenses (millions)" dataDxfId="73">
      <calculatedColumnFormula array="1">IF('Config!'!$BA$15=2010,".",IF(COUNTIF('Result data'!$C$216:$L$225,INDEX('Result data'!$O$216:$O$390,Tabela2[[#This Row],[ID]]))=0,".",SUMIF('Result data'!$C$216:$L$225,INDEX('Result data'!$O$216:$O$390,Tabela2[[#This Row],[ID]]),'Result data'!$C$456:$L$465)))</calculatedColumnFormula>
    </tableColumn>
    <tableColumn id="26" xr3:uid="{BCA77F2B-EB85-45C3-A897-277099F13168}" name="Local Marketing and Sales Expenses (millions)" dataDxfId="72">
      <calculatedColumnFormula array="1">IF('Config!'!$BA$15=2010,".",IF(COUNTIF('Result data'!$C$216:$L$225,INDEX('Result data'!$O$216:$O$390,Tabela2[[#This Row],[ID]]))=0,".",SUMIF('Result data'!$C$216:$L$225,INDEX('Result data'!$O$216:$O$390,Tabela2[[#This Row],[ID]]),'Result data'!$C$468:$L$477)))</calculatedColumnFormula>
    </tableColumn>
    <tableColumn id="31" xr3:uid="{91A8DE0D-B098-4CB8-BB04-0EE880649B35}" name="Total Marketing and Sales Expenses (millions)" dataDxfId="71">
      <calculatedColumnFormula>IF('Config!'!$BA$15=2010,".",IF(Tabela2[[#This Row],[Local Marketing and Sales Expenses (millions)]]=".",".",SUM(Tabela2[[#This Row],[Global Marketing and Sales Expenses (millions)]:[Local Marketing and Sales Expenses (millions)]])))</calculatedColumnFormula>
    </tableColumn>
    <tableColumn id="27" xr3:uid="{37547CF2-2401-4A27-B798-A1165698E10D}" name="Administrative, operational costs (Fixed Costs) and opening costs (millions)" dataDxfId="70">
      <calculatedColumnFormula array="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calculatedColumnFormula>
    </tableColumn>
    <tableColumn id="28" xr3:uid="{C881DD8F-EEAE-40D0-81A6-6DF1398B6691}" name="Regulatory and political costs (millions)" dataDxfId="69">
      <calculatedColumnFormula array="1">IF('Config!'!$BA$15=2010,".",IF(COUNTIF('Result data'!$C$216:$L$225,INDEX('Result data'!$O$216:$O$390,Tabela2[[#This Row],[ID]]))=0,".",SUMIF('Result data'!$C$216:$L$225,INDEX('Result data'!$O$216:$O$390,Tabela2[[#This Row],[ID]]),'Result data'!$C$396:$L$405)))</calculatedColumnFormula>
    </tableColumn>
    <tableColumn id="29" xr3:uid="{27C605B3-D715-4C34-8F15-86F5609FB055}" name="Taxes (D) (millions)" dataDxfId="68">
      <calculatedColumnFormula array="1">IF('Config!'!$BA$15=2010,".",IF(COUNTIF('Result data'!$C$216:$L$225,INDEX('Result data'!$O$216:$O$390,Tabela2[[#This Row],[ID]]))=0,".",SUMIF('Result data'!$C$216:$L$225,INDEX('Result data'!$O$216:$O$390,Tabela2[[#This Row],[ID]]),'Result data'!$C$420:$L$429)))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bit.ly/be-global-game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6"/>
  </sheetPr>
  <dimension ref="A1:AF178"/>
  <sheetViews>
    <sheetView showGridLines="0" workbookViewId="0">
      <selection activeCell="I11" sqref="I11"/>
    </sheetView>
  </sheetViews>
  <sheetFormatPr defaultRowHeight="15" x14ac:dyDescent="0.25"/>
  <cols>
    <col min="3" max="3" width="21.7109375" customWidth="1"/>
    <col min="6" max="6" width="9.42578125" bestFit="1" customWidth="1"/>
    <col min="7" max="11" width="23.42578125" bestFit="1" customWidth="1"/>
    <col min="12" max="12" width="22.28515625" customWidth="1"/>
    <col min="13" max="13" width="25.28515625" customWidth="1"/>
    <col min="14" max="18" width="24.7109375" customWidth="1"/>
    <col min="19" max="23" width="26.28515625" customWidth="1"/>
    <col min="25" max="25" width="14.7109375" bestFit="1" customWidth="1"/>
  </cols>
  <sheetData>
    <row r="1" spans="1:32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 t="s">
        <v>5</v>
      </c>
      <c r="U1" s="15">
        <f>'Config!'!$BA$15</f>
        <v>2012</v>
      </c>
    </row>
    <row r="2" spans="1:32" x14ac:dyDescent="0.25">
      <c r="A2" s="2">
        <v>1</v>
      </c>
      <c r="B2" s="3" t="s">
        <v>6</v>
      </c>
      <c r="C2" t="s">
        <v>6</v>
      </c>
      <c r="D2" t="s">
        <v>7</v>
      </c>
      <c r="E2">
        <v>16</v>
      </c>
      <c r="F2" s="8">
        <v>87.29</v>
      </c>
      <c r="G2" s="8">
        <v>87.29</v>
      </c>
      <c r="H2" s="8">
        <v>87.600000000000009</v>
      </c>
      <c r="I2" s="8">
        <v>90.19</v>
      </c>
      <c r="J2" s="8">
        <v>90.34</v>
      </c>
      <c r="K2" s="8">
        <v>91.73</v>
      </c>
      <c r="L2" s="8">
        <v>91.69</v>
      </c>
      <c r="M2" s="8">
        <v>91.43</v>
      </c>
      <c r="N2" s="8">
        <v>91.49</v>
      </c>
      <c r="O2" s="8">
        <v>91.58</v>
      </c>
      <c r="P2" s="8">
        <v>93.934520720176351</v>
      </c>
      <c r="Q2" s="8">
        <v>93.577135341755366</v>
      </c>
      <c r="R2" s="8">
        <v>94.063187675677455</v>
      </c>
      <c r="S2" s="9">
        <f>COUNT(G2:R2)</f>
        <v>12</v>
      </c>
      <c r="T2" s="8">
        <f>COUNTIF(S:S,S2)</f>
        <v>161</v>
      </c>
      <c r="U2" s="16">
        <f>IF(SUMIF($F$1:$R$1,U$1,$F2:$R2)=0,".",SUMIF($F$1:$R$1,U$1,$F2:$R2))</f>
        <v>87.600000000000009</v>
      </c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 spans="1:32" x14ac:dyDescent="0.25">
      <c r="A3" s="2">
        <v>2</v>
      </c>
      <c r="B3" s="3" t="s">
        <v>8</v>
      </c>
      <c r="C3" t="s">
        <v>8</v>
      </c>
      <c r="D3" t="s">
        <v>9</v>
      </c>
      <c r="E3">
        <v>16</v>
      </c>
      <c r="F3" s="8">
        <v>73.180000000000007</v>
      </c>
      <c r="G3" s="8">
        <v>73.180000000000007</v>
      </c>
      <c r="H3" s="8">
        <v>73.53</v>
      </c>
      <c r="I3" s="8">
        <v>73.739999999999995</v>
      </c>
      <c r="J3" s="8">
        <v>73.61</v>
      </c>
      <c r="K3" s="8">
        <v>74.570000000000007</v>
      </c>
      <c r="L3" s="8">
        <v>76.59</v>
      </c>
      <c r="M3" s="8">
        <v>78.040000000000006</v>
      </c>
      <c r="N3" s="8">
        <v>77.86</v>
      </c>
      <c r="O3" s="8">
        <v>78.070000000000007</v>
      </c>
      <c r="P3" s="8">
        <v>78.723018311890428</v>
      </c>
      <c r="Q3" s="8">
        <v>78.528908975054946</v>
      </c>
      <c r="R3" s="8">
        <v>80.60834838160963</v>
      </c>
      <c r="S3" s="9">
        <f t="shared" ref="S3:S66" si="0">COUNT(G3:R3)</f>
        <v>12</v>
      </c>
      <c r="T3" s="8"/>
      <c r="U3" s="16">
        <f t="shared" ref="U3:U66" si="1">IF(SUMIF($F$1:$R$1,U$1,$F3:$R3)=0,".",SUMIF($F$1:$R$1,U$1,$F3:$R3))</f>
        <v>73.53</v>
      </c>
      <c r="V3" s="8"/>
      <c r="W3" s="8"/>
      <c r="X3" s="8"/>
      <c r="Y3" s="8"/>
      <c r="Z3" s="8"/>
      <c r="AA3" s="8"/>
      <c r="AB3" s="8"/>
      <c r="AC3" s="8"/>
      <c r="AD3" s="8"/>
      <c r="AE3" s="8"/>
      <c r="AF3" s="8"/>
    </row>
    <row r="4" spans="1:32" x14ac:dyDescent="0.25">
      <c r="A4" s="2">
        <v>3</v>
      </c>
      <c r="B4" s="3" t="s">
        <v>10</v>
      </c>
      <c r="C4" t="s">
        <v>11</v>
      </c>
      <c r="D4" t="s">
        <v>7</v>
      </c>
      <c r="E4">
        <v>0</v>
      </c>
      <c r="F4" s="8" t="s">
        <v>12</v>
      </c>
      <c r="G4" s="8" t="s">
        <v>12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 t="s">
        <v>12</v>
      </c>
      <c r="Q4" s="8" t="s">
        <v>12</v>
      </c>
      <c r="R4" s="8" t="s">
        <v>12</v>
      </c>
      <c r="S4" s="9">
        <f t="shared" si="0"/>
        <v>0</v>
      </c>
      <c r="T4" s="8"/>
      <c r="U4" s="16" t="str">
        <f t="shared" si="1"/>
        <v>.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</row>
    <row r="5" spans="1:32" x14ac:dyDescent="0.25">
      <c r="A5" s="2">
        <v>4</v>
      </c>
      <c r="B5" s="3" t="s">
        <v>13</v>
      </c>
      <c r="C5" t="s">
        <v>13</v>
      </c>
      <c r="D5" t="s">
        <v>14</v>
      </c>
      <c r="E5">
        <v>16</v>
      </c>
      <c r="F5" s="8">
        <v>45.46</v>
      </c>
      <c r="G5" s="8">
        <v>46.46</v>
      </c>
      <c r="H5" s="8">
        <v>51.28</v>
      </c>
      <c r="I5" s="8">
        <v>53.82</v>
      </c>
      <c r="J5" s="8">
        <v>55.63</v>
      </c>
      <c r="K5" s="8">
        <v>57.15</v>
      </c>
      <c r="L5" s="8">
        <v>77.48</v>
      </c>
      <c r="M5" s="8">
        <v>79.67</v>
      </c>
      <c r="N5" s="8">
        <v>80.09</v>
      </c>
      <c r="O5" s="8">
        <v>80.52</v>
      </c>
      <c r="P5" s="8">
        <v>81.763741194745307</v>
      </c>
      <c r="Q5" s="8">
        <v>97.473581034095233</v>
      </c>
      <c r="R5" s="8">
        <v>95.387270552701551</v>
      </c>
      <c r="S5" s="9">
        <f t="shared" si="0"/>
        <v>12</v>
      </c>
      <c r="T5" s="8"/>
      <c r="U5" s="16">
        <f t="shared" si="1"/>
        <v>51.28</v>
      </c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x14ac:dyDescent="0.25">
      <c r="A6" s="2">
        <v>5</v>
      </c>
      <c r="B6" s="3" t="s">
        <v>15</v>
      </c>
      <c r="C6" t="s">
        <v>11</v>
      </c>
      <c r="D6" t="s">
        <v>16</v>
      </c>
      <c r="E6">
        <v>0</v>
      </c>
      <c r="F6" s="8" t="s">
        <v>12</v>
      </c>
      <c r="G6" s="8" t="s">
        <v>12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 t="s">
        <v>12</v>
      </c>
      <c r="Q6" s="8" t="s">
        <v>12</v>
      </c>
      <c r="R6" s="8" t="s">
        <v>12</v>
      </c>
      <c r="S6" s="9">
        <f t="shared" si="0"/>
        <v>0</v>
      </c>
      <c r="T6" s="8"/>
      <c r="U6" s="16" t="str">
        <f t="shared" si="1"/>
        <v>.</v>
      </c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x14ac:dyDescent="0.25">
      <c r="A7" s="2">
        <v>6</v>
      </c>
      <c r="B7" s="3" t="s">
        <v>17</v>
      </c>
      <c r="C7" t="s">
        <v>17</v>
      </c>
      <c r="D7" t="s">
        <v>18</v>
      </c>
      <c r="E7">
        <v>16</v>
      </c>
      <c r="F7" s="8">
        <v>71.7</v>
      </c>
      <c r="G7" s="8">
        <v>71.7</v>
      </c>
      <c r="H7" s="8">
        <v>72.180000000000007</v>
      </c>
      <c r="I7" s="8">
        <v>72.58</v>
      </c>
      <c r="J7" s="8">
        <v>71.59</v>
      </c>
      <c r="K7" s="8">
        <v>72.39</v>
      </c>
      <c r="L7" s="8">
        <v>73.28</v>
      </c>
      <c r="M7" s="8">
        <v>73.510000000000005</v>
      </c>
      <c r="N7" s="8">
        <v>73.55</v>
      </c>
      <c r="O7" s="8">
        <v>81.99</v>
      </c>
      <c r="P7" s="8">
        <v>80.437706222947099</v>
      </c>
      <c r="Q7" s="8">
        <v>79.633714460980173</v>
      </c>
      <c r="R7" s="8">
        <v>79.828444095991017</v>
      </c>
      <c r="S7" s="9">
        <f t="shared" si="0"/>
        <v>12</v>
      </c>
      <c r="T7" s="8"/>
      <c r="U7" s="16">
        <f t="shared" si="1"/>
        <v>72.180000000000007</v>
      </c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x14ac:dyDescent="0.25">
      <c r="A8" s="2">
        <v>7</v>
      </c>
      <c r="B8" s="3" t="s">
        <v>19</v>
      </c>
      <c r="C8" t="s">
        <v>19</v>
      </c>
      <c r="D8" t="s">
        <v>7</v>
      </c>
      <c r="E8">
        <v>16</v>
      </c>
      <c r="F8" s="8">
        <v>88.87</v>
      </c>
      <c r="G8" s="8">
        <v>88.87</v>
      </c>
      <c r="H8" s="8">
        <v>93.350000000000009</v>
      </c>
      <c r="I8" s="8">
        <v>93.39</v>
      </c>
      <c r="J8" s="8">
        <v>94.45</v>
      </c>
      <c r="K8" s="8">
        <v>94.45</v>
      </c>
      <c r="L8" s="8">
        <v>94.460000000000008</v>
      </c>
      <c r="M8" s="8">
        <v>94.47</v>
      </c>
      <c r="N8" s="8">
        <v>94.47</v>
      </c>
      <c r="O8" s="8">
        <v>96.210000000000008</v>
      </c>
      <c r="P8" s="8">
        <v>96.162779273174465</v>
      </c>
      <c r="Q8" s="8">
        <v>97.309448848179045</v>
      </c>
      <c r="R8" s="8">
        <v>98.622721264910979</v>
      </c>
      <c r="S8" s="9">
        <f t="shared" si="0"/>
        <v>12</v>
      </c>
      <c r="T8" s="8"/>
      <c r="U8" s="16">
        <f t="shared" si="1"/>
        <v>93.350000000000009</v>
      </c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x14ac:dyDescent="0.25">
      <c r="A9" s="2">
        <v>8</v>
      </c>
      <c r="B9" s="3" t="s">
        <v>20</v>
      </c>
      <c r="C9" t="s">
        <v>20</v>
      </c>
      <c r="D9" t="s">
        <v>21</v>
      </c>
      <c r="E9">
        <v>16</v>
      </c>
      <c r="F9" s="8">
        <v>96.47</v>
      </c>
      <c r="G9" s="8">
        <v>96.47</v>
      </c>
      <c r="H9" s="8">
        <v>96.47</v>
      </c>
      <c r="I9" s="8">
        <v>96.47</v>
      </c>
      <c r="J9" s="8">
        <v>96.47</v>
      </c>
      <c r="K9" s="8">
        <v>96.47</v>
      </c>
      <c r="L9" s="8">
        <v>96.47</v>
      </c>
      <c r="M9" s="8">
        <v>96.47</v>
      </c>
      <c r="N9" s="8">
        <v>96.47</v>
      </c>
      <c r="O9" s="8">
        <v>96.47</v>
      </c>
      <c r="P9" s="8">
        <v>96.470000000000013</v>
      </c>
      <c r="Q9" s="8">
        <v>96.470000000000013</v>
      </c>
      <c r="R9" s="8">
        <v>96.470000000000013</v>
      </c>
      <c r="S9" s="9">
        <f t="shared" si="0"/>
        <v>12</v>
      </c>
      <c r="T9" s="8"/>
      <c r="U9" s="16">
        <f t="shared" si="1"/>
        <v>96.47</v>
      </c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x14ac:dyDescent="0.25">
      <c r="A10" s="2">
        <v>9</v>
      </c>
      <c r="B10" s="3" t="s">
        <v>22</v>
      </c>
      <c r="C10" t="s">
        <v>22</v>
      </c>
      <c r="D10" t="s">
        <v>23</v>
      </c>
      <c r="E10">
        <v>16</v>
      </c>
      <c r="F10" s="8">
        <v>79.59</v>
      </c>
      <c r="G10" s="8">
        <v>79.59</v>
      </c>
      <c r="H10" s="8">
        <v>79.650000000000006</v>
      </c>
      <c r="I10" s="8">
        <v>79.87</v>
      </c>
      <c r="J10" s="8">
        <v>79.97</v>
      </c>
      <c r="K10" s="8">
        <v>82.76</v>
      </c>
      <c r="L10" s="8">
        <v>82.820000000000007</v>
      </c>
      <c r="M10" s="8">
        <v>83.100000000000009</v>
      </c>
      <c r="N10" s="8">
        <v>83.13</v>
      </c>
      <c r="O10" s="8">
        <v>83.210000000000008</v>
      </c>
      <c r="P10" s="8">
        <v>84.499147521938994</v>
      </c>
      <c r="Q10" s="8">
        <v>84.98747647549294</v>
      </c>
      <c r="R10" s="8">
        <v>86.102328019640709</v>
      </c>
      <c r="S10" s="9">
        <f t="shared" si="0"/>
        <v>12</v>
      </c>
      <c r="T10" s="8"/>
      <c r="U10" s="16">
        <f t="shared" si="1"/>
        <v>79.650000000000006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x14ac:dyDescent="0.25">
      <c r="A11" s="2">
        <v>10</v>
      </c>
      <c r="B11" s="3" t="s">
        <v>24</v>
      </c>
      <c r="C11" t="s">
        <v>24</v>
      </c>
      <c r="D11" t="s">
        <v>25</v>
      </c>
      <c r="E11">
        <v>16</v>
      </c>
      <c r="F11" s="8">
        <v>90.38</v>
      </c>
      <c r="G11" s="8">
        <v>90.38</v>
      </c>
      <c r="H11" s="8">
        <v>90.43</v>
      </c>
      <c r="I11" s="8">
        <v>90.47</v>
      </c>
      <c r="J11" s="8">
        <v>95.3</v>
      </c>
      <c r="K11" s="8">
        <v>93.94</v>
      </c>
      <c r="L11" s="8">
        <v>96.09</v>
      </c>
      <c r="M11" s="8">
        <v>96.070000000000007</v>
      </c>
      <c r="N11" s="8">
        <v>96.11</v>
      </c>
      <c r="O11" s="8">
        <v>96.14</v>
      </c>
      <c r="P11" s="8">
        <v>98.085330666898017</v>
      </c>
      <c r="Q11" s="8">
        <v>98.72113925364738</v>
      </c>
      <c r="R11" s="8">
        <v>99.964019172692815</v>
      </c>
      <c r="S11" s="9">
        <f t="shared" si="0"/>
        <v>12</v>
      </c>
      <c r="T11" s="8"/>
      <c r="U11" s="16">
        <f t="shared" si="1"/>
        <v>90.43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2">
        <v>11</v>
      </c>
      <c r="B12" s="3" t="s">
        <v>26</v>
      </c>
      <c r="C12" t="s">
        <v>26</v>
      </c>
      <c r="D12" t="s">
        <v>16</v>
      </c>
      <c r="E12">
        <v>12</v>
      </c>
      <c r="F12" s="8">
        <v>84.06</v>
      </c>
      <c r="G12" s="8">
        <v>84.06</v>
      </c>
      <c r="H12" s="8">
        <v>84.070000000000007</v>
      </c>
      <c r="I12" s="8">
        <v>84.11</v>
      </c>
      <c r="J12" s="8">
        <v>84.100000000000009</v>
      </c>
      <c r="K12" s="8">
        <v>84.12</v>
      </c>
      <c r="L12" s="8">
        <v>81.320000000000007</v>
      </c>
      <c r="M12" s="8">
        <v>82.710000000000008</v>
      </c>
      <c r="N12" s="8">
        <v>84.18</v>
      </c>
      <c r="O12" s="8">
        <v>84.47</v>
      </c>
      <c r="P12" s="8">
        <v>83.382200217082001</v>
      </c>
      <c r="Q12" s="8">
        <v>83.410552660670191</v>
      </c>
      <c r="R12" s="8">
        <v>83.248492750585228</v>
      </c>
      <c r="S12" s="9">
        <f t="shared" si="0"/>
        <v>12</v>
      </c>
      <c r="T12" s="8"/>
      <c r="U12" s="16">
        <f t="shared" si="1"/>
        <v>84.070000000000007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2">
        <v>12</v>
      </c>
      <c r="B13" s="3" t="s">
        <v>27</v>
      </c>
      <c r="C13" t="s">
        <v>27</v>
      </c>
      <c r="D13" t="s">
        <v>9</v>
      </c>
      <c r="E13">
        <v>12</v>
      </c>
      <c r="F13" s="8">
        <v>74.17</v>
      </c>
      <c r="G13" s="8">
        <v>74.17</v>
      </c>
      <c r="H13" s="8">
        <v>71.83</v>
      </c>
      <c r="I13" s="8">
        <v>73.72</v>
      </c>
      <c r="J13" s="8">
        <v>73.900000000000006</v>
      </c>
      <c r="K13" s="8">
        <v>76.06</v>
      </c>
      <c r="L13" s="8">
        <v>76.23</v>
      </c>
      <c r="M13" s="8">
        <v>89.54</v>
      </c>
      <c r="N13" s="8">
        <v>89.59</v>
      </c>
      <c r="O13" s="8">
        <v>89.570000000000007</v>
      </c>
      <c r="P13" s="8">
        <v>86.948904314112042</v>
      </c>
      <c r="Q13" s="8">
        <v>92.605879098839068</v>
      </c>
      <c r="R13" s="8">
        <v>96.860391473446739</v>
      </c>
      <c r="S13" s="9">
        <f t="shared" si="0"/>
        <v>12</v>
      </c>
      <c r="T13" s="8"/>
      <c r="U13" s="16">
        <f t="shared" si="1"/>
        <v>71.83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2">
        <v>13</v>
      </c>
      <c r="B14" s="3" t="s">
        <v>28</v>
      </c>
      <c r="C14" t="s">
        <v>28</v>
      </c>
      <c r="D14" t="s">
        <v>25</v>
      </c>
      <c r="E14">
        <v>6</v>
      </c>
      <c r="F14" s="8">
        <v>78.793333333333294</v>
      </c>
      <c r="G14" s="8">
        <v>78.793333333333294</v>
      </c>
      <c r="H14" s="8">
        <v>79.393333333333302</v>
      </c>
      <c r="I14" s="8">
        <v>79.993333333333297</v>
      </c>
      <c r="J14" s="8">
        <v>80.510000000000005</v>
      </c>
      <c r="K14" s="8">
        <v>81.36</v>
      </c>
      <c r="L14" s="8">
        <v>81.710000000000008</v>
      </c>
      <c r="M14" s="8">
        <v>81.510000000000005</v>
      </c>
      <c r="N14" s="8">
        <v>80.600000000000009</v>
      </c>
      <c r="O14" s="8">
        <v>80.820000000000007</v>
      </c>
      <c r="P14" s="8">
        <v>80.960646547070098</v>
      </c>
      <c r="Q14" s="8">
        <v>80.969072486723206</v>
      </c>
      <c r="R14" s="8">
        <v>80.953620192911799</v>
      </c>
      <c r="S14" s="9">
        <f t="shared" si="0"/>
        <v>12</v>
      </c>
      <c r="T14" s="8"/>
      <c r="U14" s="16">
        <f t="shared" si="1"/>
        <v>79.393333333333302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2">
        <v>14</v>
      </c>
      <c r="B15" s="3" t="s">
        <v>29</v>
      </c>
      <c r="C15" t="s">
        <v>29</v>
      </c>
      <c r="D15" t="s">
        <v>16</v>
      </c>
      <c r="E15">
        <v>8</v>
      </c>
      <c r="F15" s="8">
        <v>84.08</v>
      </c>
      <c r="G15" s="8">
        <v>84.08</v>
      </c>
      <c r="H15" s="8">
        <v>84.15</v>
      </c>
      <c r="I15" s="8">
        <v>84.22</v>
      </c>
      <c r="J15" s="8">
        <v>84.29</v>
      </c>
      <c r="K15" s="8">
        <v>84.36</v>
      </c>
      <c r="L15" s="8">
        <v>84.43</v>
      </c>
      <c r="M15" s="8">
        <v>85.100000000000009</v>
      </c>
      <c r="N15" s="8">
        <v>85.11</v>
      </c>
      <c r="O15" s="8">
        <v>85.15</v>
      </c>
      <c r="P15" s="8">
        <v>85.247303096821781</v>
      </c>
      <c r="Q15" s="8">
        <v>85.445059282555462</v>
      </c>
      <c r="R15" s="8">
        <v>85.508149673459059</v>
      </c>
      <c r="S15" s="9">
        <f t="shared" si="0"/>
        <v>12</v>
      </c>
      <c r="T15" s="8"/>
      <c r="U15" s="16">
        <f t="shared" si="1"/>
        <v>84.15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2">
        <v>15</v>
      </c>
      <c r="B16" s="3" t="s">
        <v>30</v>
      </c>
      <c r="C16" t="s">
        <v>30</v>
      </c>
      <c r="D16" t="s">
        <v>7</v>
      </c>
      <c r="E16">
        <v>16</v>
      </c>
      <c r="F16" s="8">
        <v>87.79</v>
      </c>
      <c r="G16" s="8">
        <v>87.79</v>
      </c>
      <c r="H16" s="8">
        <v>87.83</v>
      </c>
      <c r="I16" s="8">
        <v>87.72</v>
      </c>
      <c r="J16" s="8">
        <v>89.64</v>
      </c>
      <c r="K16" s="8">
        <v>89.64</v>
      </c>
      <c r="L16" s="8">
        <v>91.87</v>
      </c>
      <c r="M16" s="8">
        <v>91.9</v>
      </c>
      <c r="N16" s="8">
        <v>91.91</v>
      </c>
      <c r="O16" s="8">
        <v>93.39</v>
      </c>
      <c r="P16" s="8">
        <v>94.303112340060579</v>
      </c>
      <c r="Q16" s="8">
        <v>94.683272877269928</v>
      </c>
      <c r="R16" s="8">
        <v>95.786629737728845</v>
      </c>
      <c r="S16" s="9">
        <f t="shared" si="0"/>
        <v>12</v>
      </c>
      <c r="T16" s="8"/>
      <c r="U16" s="16">
        <f t="shared" si="1"/>
        <v>87.83</v>
      </c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2">
        <v>16</v>
      </c>
      <c r="B17" s="3" t="s">
        <v>31</v>
      </c>
      <c r="C17" t="s">
        <v>31</v>
      </c>
      <c r="D17" t="s">
        <v>23</v>
      </c>
      <c r="E17">
        <v>16</v>
      </c>
      <c r="F17" s="8">
        <v>92.78</v>
      </c>
      <c r="G17" s="8">
        <v>92.78</v>
      </c>
      <c r="H17" s="8">
        <v>92.84</v>
      </c>
      <c r="I17" s="8">
        <v>92.91</v>
      </c>
      <c r="J17" s="8">
        <v>92.91</v>
      </c>
      <c r="K17" s="8">
        <v>92.92</v>
      </c>
      <c r="L17" s="8">
        <v>93.01</v>
      </c>
      <c r="M17" s="8">
        <v>93.02</v>
      </c>
      <c r="N17" s="8">
        <v>92.960000000000008</v>
      </c>
      <c r="O17" s="8">
        <v>93.03</v>
      </c>
      <c r="P17" s="8">
        <v>93.071580936363233</v>
      </c>
      <c r="Q17" s="8">
        <v>93.095489936654815</v>
      </c>
      <c r="R17" s="8">
        <v>93.124978907541873</v>
      </c>
      <c r="S17" s="9">
        <f t="shared" si="0"/>
        <v>12</v>
      </c>
      <c r="T17" s="8"/>
      <c r="U17" s="16">
        <f t="shared" si="1"/>
        <v>92.84</v>
      </c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2">
        <v>17</v>
      </c>
      <c r="B18" s="3" t="s">
        <v>32</v>
      </c>
      <c r="C18" t="s">
        <v>32</v>
      </c>
      <c r="D18" t="s">
        <v>33</v>
      </c>
      <c r="E18">
        <v>14</v>
      </c>
      <c r="F18" s="8">
        <v>73.08</v>
      </c>
      <c r="G18" s="8">
        <v>73.08</v>
      </c>
      <c r="H18" s="8">
        <v>72.989999999999995</v>
      </c>
      <c r="I18" s="8">
        <v>72.97</v>
      </c>
      <c r="J18" s="8">
        <v>73.12</v>
      </c>
      <c r="K18" s="8">
        <v>73.260000000000005</v>
      </c>
      <c r="L18" s="8">
        <v>73.28</v>
      </c>
      <c r="M18" s="8">
        <v>73.23</v>
      </c>
      <c r="N18" s="8">
        <v>73.239999999999995</v>
      </c>
      <c r="O18" s="8">
        <v>73.22</v>
      </c>
      <c r="P18" s="8">
        <v>73.317260071201034</v>
      </c>
      <c r="Q18" s="8">
        <v>73.349646033618669</v>
      </c>
      <c r="R18" s="8">
        <v>73.38534068681605</v>
      </c>
      <c r="S18" s="9">
        <f t="shared" si="0"/>
        <v>12</v>
      </c>
      <c r="T18" s="8"/>
      <c r="U18" s="16">
        <f t="shared" si="1"/>
        <v>72.989999999999995</v>
      </c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2">
        <v>18</v>
      </c>
      <c r="B19" s="3" t="s">
        <v>34</v>
      </c>
      <c r="C19" t="s">
        <v>34</v>
      </c>
      <c r="D19" t="s">
        <v>14</v>
      </c>
      <c r="E19">
        <v>16</v>
      </c>
      <c r="F19" s="8">
        <v>40.36</v>
      </c>
      <c r="G19" s="8">
        <v>40.36</v>
      </c>
      <c r="H19" s="8">
        <v>43.2</v>
      </c>
      <c r="I19" s="8">
        <v>49.300000000000004</v>
      </c>
      <c r="J19" s="8">
        <v>54.25</v>
      </c>
      <c r="K19" s="8">
        <v>80.05</v>
      </c>
      <c r="L19" s="8">
        <v>81.37</v>
      </c>
      <c r="M19" s="8">
        <v>90.56</v>
      </c>
      <c r="N19" s="8">
        <v>90.58</v>
      </c>
      <c r="O19" s="8">
        <v>90.600000000000009</v>
      </c>
      <c r="P19" s="8">
        <v>84.064325007797379</v>
      </c>
      <c r="Q19" s="8">
        <v>94.879703194709535</v>
      </c>
      <c r="R19" s="8">
        <v>81.961404414176883</v>
      </c>
      <c r="S19" s="9">
        <f t="shared" si="0"/>
        <v>12</v>
      </c>
      <c r="T19" s="8"/>
      <c r="U19" s="16">
        <f t="shared" si="1"/>
        <v>43.2</v>
      </c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2">
        <v>19</v>
      </c>
      <c r="B20" s="3" t="s">
        <v>35</v>
      </c>
      <c r="C20" t="s">
        <v>11</v>
      </c>
      <c r="D20" t="s">
        <v>36</v>
      </c>
      <c r="E20">
        <v>0</v>
      </c>
      <c r="F20" s="8" t="s">
        <v>12</v>
      </c>
      <c r="G20" s="8" t="s">
        <v>12</v>
      </c>
      <c r="H20" s="8" t="s">
        <v>12</v>
      </c>
      <c r="I20" s="8" t="s">
        <v>12</v>
      </c>
      <c r="J20" s="8" t="s">
        <v>12</v>
      </c>
      <c r="K20" s="8" t="s">
        <v>12</v>
      </c>
      <c r="L20" s="8" t="s">
        <v>12</v>
      </c>
      <c r="M20" s="8" t="s">
        <v>12</v>
      </c>
      <c r="N20" s="8" t="s">
        <v>12</v>
      </c>
      <c r="O20" s="8" t="s">
        <v>12</v>
      </c>
      <c r="P20" s="8" t="s">
        <v>12</v>
      </c>
      <c r="Q20" s="8" t="s">
        <v>12</v>
      </c>
      <c r="R20" s="8" t="s">
        <v>12</v>
      </c>
      <c r="S20" s="9">
        <f t="shared" si="0"/>
        <v>0</v>
      </c>
      <c r="T20" s="8"/>
      <c r="U20" s="16" t="str">
        <f t="shared" si="1"/>
        <v>.</v>
      </c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2">
        <v>20</v>
      </c>
      <c r="B21" s="3" t="s">
        <v>37</v>
      </c>
      <c r="C21" t="s">
        <v>37</v>
      </c>
      <c r="D21" t="s">
        <v>25</v>
      </c>
      <c r="E21">
        <v>16</v>
      </c>
      <c r="F21" s="8">
        <v>77.52</v>
      </c>
      <c r="G21" s="8">
        <v>77.52</v>
      </c>
      <c r="H21" s="8">
        <v>80.28</v>
      </c>
      <c r="I21" s="8">
        <v>80.28</v>
      </c>
      <c r="J21" s="8">
        <v>81.69</v>
      </c>
      <c r="K21" s="8">
        <v>85.54</v>
      </c>
      <c r="L21" s="8">
        <v>85.570000000000007</v>
      </c>
      <c r="M21" s="8">
        <v>85.59</v>
      </c>
      <c r="N21" s="8">
        <v>86.33</v>
      </c>
      <c r="O21" s="8">
        <v>86.38</v>
      </c>
      <c r="P21" s="8">
        <v>88.998395434311533</v>
      </c>
      <c r="Q21" s="8">
        <v>90.586855464639939</v>
      </c>
      <c r="R21" s="8">
        <v>92.837420496827235</v>
      </c>
      <c r="S21" s="9">
        <f t="shared" si="0"/>
        <v>12</v>
      </c>
      <c r="T21" s="8"/>
      <c r="U21" s="16">
        <f t="shared" si="1"/>
        <v>80.28</v>
      </c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x14ac:dyDescent="0.25">
      <c r="A22" s="2">
        <v>21</v>
      </c>
      <c r="B22" s="3" t="s">
        <v>38</v>
      </c>
      <c r="C22" t="s">
        <v>38</v>
      </c>
      <c r="D22" t="s">
        <v>18</v>
      </c>
      <c r="E22">
        <v>16</v>
      </c>
      <c r="F22" s="8">
        <v>56.800000000000004</v>
      </c>
      <c r="G22" s="8">
        <v>56.800000000000004</v>
      </c>
      <c r="H22" s="8">
        <v>58.02</v>
      </c>
      <c r="I22" s="8">
        <v>59.95</v>
      </c>
      <c r="J22" s="8">
        <v>60.25</v>
      </c>
      <c r="K22" s="8">
        <v>61.09</v>
      </c>
      <c r="L22" s="8">
        <v>61.83</v>
      </c>
      <c r="M22" s="8">
        <v>63.02</v>
      </c>
      <c r="N22" s="8">
        <v>62.95</v>
      </c>
      <c r="O22" s="8">
        <v>64.33</v>
      </c>
      <c r="P22" s="8">
        <v>65.075818696206397</v>
      </c>
      <c r="Q22" s="8">
        <v>65.591237873812588</v>
      </c>
      <c r="R22" s="8">
        <v>67.456898294179382</v>
      </c>
      <c r="S22" s="9">
        <f t="shared" si="0"/>
        <v>12</v>
      </c>
      <c r="T22" s="8"/>
      <c r="U22" s="16">
        <f t="shared" si="1"/>
        <v>58.02</v>
      </c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x14ac:dyDescent="0.25">
      <c r="A23" s="2">
        <v>22</v>
      </c>
      <c r="B23" s="3" t="s">
        <v>39</v>
      </c>
      <c r="C23" t="s">
        <v>39</v>
      </c>
      <c r="D23" t="s">
        <v>14</v>
      </c>
      <c r="E23">
        <v>16</v>
      </c>
      <c r="F23" s="8">
        <v>71.88</v>
      </c>
      <c r="G23" s="8">
        <v>71.88</v>
      </c>
      <c r="H23" s="8">
        <v>78.17</v>
      </c>
      <c r="I23" s="8">
        <v>78.210000000000008</v>
      </c>
      <c r="J23" s="8">
        <v>77.95</v>
      </c>
      <c r="K23" s="8">
        <v>76.2</v>
      </c>
      <c r="L23" s="8">
        <v>76.210000000000008</v>
      </c>
      <c r="M23" s="8">
        <v>76.210000000000008</v>
      </c>
      <c r="N23" s="8">
        <v>76.22</v>
      </c>
      <c r="O23" s="8">
        <v>76.22</v>
      </c>
      <c r="P23" s="8">
        <v>76.979757609901156</v>
      </c>
      <c r="Q23" s="8">
        <v>76.971914183188545</v>
      </c>
      <c r="R23" s="8">
        <v>77.073191558185925</v>
      </c>
      <c r="S23" s="9">
        <f t="shared" si="0"/>
        <v>12</v>
      </c>
      <c r="T23" s="8"/>
      <c r="U23" s="16">
        <f t="shared" si="1"/>
        <v>78.17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x14ac:dyDescent="0.25">
      <c r="A24" s="2">
        <v>23</v>
      </c>
      <c r="B24" s="3" t="s">
        <v>40</v>
      </c>
      <c r="C24" t="s">
        <v>40</v>
      </c>
      <c r="D24" t="s">
        <v>18</v>
      </c>
      <c r="E24">
        <v>6</v>
      </c>
      <c r="F24" s="8">
        <v>63.79</v>
      </c>
      <c r="G24" s="8">
        <v>63.79</v>
      </c>
      <c r="H24" s="8">
        <v>63.87</v>
      </c>
      <c r="I24" s="8">
        <v>63.95</v>
      </c>
      <c r="J24" s="8">
        <v>63.74</v>
      </c>
      <c r="K24" s="8">
        <v>64.69</v>
      </c>
      <c r="L24" s="8">
        <v>63.9</v>
      </c>
      <c r="M24" s="8">
        <v>64.75</v>
      </c>
      <c r="N24" s="8">
        <v>64.760000000000005</v>
      </c>
      <c r="O24" s="8">
        <v>80.23</v>
      </c>
      <c r="P24" s="8">
        <v>83.391934687928369</v>
      </c>
      <c r="Q24" s="8">
        <v>86.122262757606222</v>
      </c>
      <c r="R24" s="8">
        <v>74.202392333134412</v>
      </c>
      <c r="S24" s="9">
        <f t="shared" si="0"/>
        <v>12</v>
      </c>
      <c r="T24" s="8"/>
      <c r="U24" s="16">
        <f t="shared" si="1"/>
        <v>63.87</v>
      </c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x14ac:dyDescent="0.25">
      <c r="A25" s="2">
        <v>24</v>
      </c>
      <c r="B25" s="3" t="s">
        <v>41</v>
      </c>
      <c r="C25" t="s">
        <v>41</v>
      </c>
      <c r="D25" t="s">
        <v>23</v>
      </c>
      <c r="E25">
        <v>16</v>
      </c>
      <c r="F25" s="8">
        <v>84.7</v>
      </c>
      <c r="G25" s="8">
        <v>84.7</v>
      </c>
      <c r="H25" s="8">
        <v>84.73</v>
      </c>
      <c r="I25" s="8">
        <v>84.79</v>
      </c>
      <c r="J25" s="8">
        <v>84.8</v>
      </c>
      <c r="K25" s="8">
        <v>84.83</v>
      </c>
      <c r="L25" s="8">
        <v>84.84</v>
      </c>
      <c r="M25" s="8">
        <v>85.350000000000009</v>
      </c>
      <c r="N25" s="8">
        <v>85.37</v>
      </c>
      <c r="O25" s="8">
        <v>85.38</v>
      </c>
      <c r="P25" s="8">
        <v>85.478273388401888</v>
      </c>
      <c r="Q25" s="8">
        <v>85.572359193256531</v>
      </c>
      <c r="R25" s="8">
        <v>85.675931413833624</v>
      </c>
      <c r="S25" s="9">
        <f t="shared" si="0"/>
        <v>12</v>
      </c>
      <c r="T25" s="8"/>
      <c r="U25" s="16">
        <f t="shared" si="1"/>
        <v>84.73</v>
      </c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x14ac:dyDescent="0.25">
      <c r="A26" s="2">
        <v>25</v>
      </c>
      <c r="B26" s="3" t="s">
        <v>42</v>
      </c>
      <c r="C26" t="s">
        <v>43</v>
      </c>
      <c r="D26" t="s">
        <v>14</v>
      </c>
      <c r="E26">
        <v>16</v>
      </c>
      <c r="F26" s="8">
        <v>60.96</v>
      </c>
      <c r="G26" s="8">
        <v>60.96</v>
      </c>
      <c r="H26" s="8">
        <v>64.62</v>
      </c>
      <c r="I26" s="8">
        <v>65.95</v>
      </c>
      <c r="J26" s="8">
        <v>69.210000000000008</v>
      </c>
      <c r="K26" s="8">
        <v>69.06</v>
      </c>
      <c r="L26" s="8">
        <v>86.69</v>
      </c>
      <c r="M26" s="8">
        <v>88.06</v>
      </c>
      <c r="N26" s="8">
        <v>88.17</v>
      </c>
      <c r="O26" s="8">
        <v>88.19</v>
      </c>
      <c r="P26" s="8">
        <v>97.925084406045997</v>
      </c>
      <c r="Q26" s="8">
        <v>94.765445835878467</v>
      </c>
      <c r="R26" s="8">
        <v>95.489382739866699</v>
      </c>
      <c r="S26" s="9">
        <f t="shared" si="0"/>
        <v>12</v>
      </c>
      <c r="T26" s="8"/>
      <c r="U26" s="16">
        <f t="shared" si="1"/>
        <v>64.62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x14ac:dyDescent="0.25">
      <c r="A27" s="2">
        <v>26</v>
      </c>
      <c r="B27" s="3" t="s">
        <v>44</v>
      </c>
      <c r="C27" t="s">
        <v>44</v>
      </c>
      <c r="D27" t="s">
        <v>14</v>
      </c>
      <c r="E27">
        <v>16</v>
      </c>
      <c r="F27" s="8">
        <v>71.03</v>
      </c>
      <c r="G27" s="8">
        <v>71.03</v>
      </c>
      <c r="H27" s="8">
        <v>71.97</v>
      </c>
      <c r="I27" s="8">
        <v>91.66</v>
      </c>
      <c r="J27" s="8">
        <v>93.74</v>
      </c>
      <c r="K27" s="8">
        <v>94.25</v>
      </c>
      <c r="L27" s="8">
        <v>94.51</v>
      </c>
      <c r="M27" s="8">
        <v>94.45</v>
      </c>
      <c r="N27" s="8">
        <v>91.94</v>
      </c>
      <c r="O27" s="8">
        <v>94.84</v>
      </c>
      <c r="P27" s="8">
        <v>92.256046059167232</v>
      </c>
      <c r="Q27" s="8">
        <v>91.974950030995018</v>
      </c>
      <c r="R27" s="8">
        <v>99.237513673517597</v>
      </c>
      <c r="S27" s="9">
        <f t="shared" si="0"/>
        <v>12</v>
      </c>
      <c r="T27" s="8"/>
      <c r="U27" s="16">
        <f t="shared" si="1"/>
        <v>71.97</v>
      </c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x14ac:dyDescent="0.25">
      <c r="A28" s="2">
        <v>27</v>
      </c>
      <c r="B28" s="3" t="s">
        <v>45</v>
      </c>
      <c r="C28" t="s">
        <v>45</v>
      </c>
      <c r="D28" t="s">
        <v>25</v>
      </c>
      <c r="E28">
        <v>16</v>
      </c>
      <c r="F28" s="8">
        <v>35.11</v>
      </c>
      <c r="G28" s="8">
        <v>35.11</v>
      </c>
      <c r="H28" s="8">
        <v>38.83</v>
      </c>
      <c r="I28" s="8">
        <v>43.45</v>
      </c>
      <c r="J28" s="8">
        <v>35.71</v>
      </c>
      <c r="K28" s="8">
        <v>37.25</v>
      </c>
      <c r="L28" s="8">
        <v>54.5</v>
      </c>
      <c r="M28" s="8">
        <v>50.910000000000004</v>
      </c>
      <c r="N28" s="8">
        <v>51.910000000000004</v>
      </c>
      <c r="O28" s="8">
        <v>52.800000000000004</v>
      </c>
      <c r="P28" s="8">
        <v>58.756692702618238</v>
      </c>
      <c r="Q28" s="8">
        <v>52.375578025260438</v>
      </c>
      <c r="R28" s="8">
        <v>60.793522752209356</v>
      </c>
      <c r="S28" s="9">
        <f t="shared" si="0"/>
        <v>12</v>
      </c>
      <c r="T28" s="8"/>
      <c r="U28" s="16">
        <f t="shared" si="1"/>
        <v>38.83</v>
      </c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x14ac:dyDescent="0.25">
      <c r="A29" s="2">
        <v>28</v>
      </c>
      <c r="B29" s="3" t="s">
        <v>46</v>
      </c>
      <c r="C29" t="s">
        <v>46</v>
      </c>
      <c r="D29" t="s">
        <v>14</v>
      </c>
      <c r="E29">
        <v>16</v>
      </c>
      <c r="F29" s="8">
        <v>67.650000000000006</v>
      </c>
      <c r="G29" s="8">
        <v>67.650000000000006</v>
      </c>
      <c r="H29" s="8">
        <v>71.41</v>
      </c>
      <c r="I29" s="8">
        <v>72.87</v>
      </c>
      <c r="J29" s="8">
        <v>72.600000000000009</v>
      </c>
      <c r="K29" s="8">
        <v>73.8</v>
      </c>
      <c r="L29" s="8">
        <v>74.8</v>
      </c>
      <c r="M29" s="8">
        <v>75.27</v>
      </c>
      <c r="N29" s="8">
        <v>82.39</v>
      </c>
      <c r="O29" s="8">
        <v>86.26</v>
      </c>
      <c r="P29" s="8">
        <v>89.077014570953907</v>
      </c>
      <c r="Q29" s="8">
        <v>86.49962520498002</v>
      </c>
      <c r="R29" s="8">
        <v>84.016665451781591</v>
      </c>
      <c r="S29" s="9">
        <f t="shared" si="0"/>
        <v>12</v>
      </c>
      <c r="T29" s="8"/>
      <c r="U29" s="16">
        <f t="shared" si="1"/>
        <v>71.41</v>
      </c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x14ac:dyDescent="0.25">
      <c r="A30" s="2">
        <v>29</v>
      </c>
      <c r="B30" s="3" t="s">
        <v>47</v>
      </c>
      <c r="C30" t="s">
        <v>47</v>
      </c>
      <c r="D30" t="s">
        <v>36</v>
      </c>
      <c r="E30">
        <v>16</v>
      </c>
      <c r="F30" s="8">
        <v>97.22</v>
      </c>
      <c r="G30" s="8">
        <v>97.22</v>
      </c>
      <c r="H30" s="8">
        <v>97.22</v>
      </c>
      <c r="I30" s="8">
        <v>97.22</v>
      </c>
      <c r="J30" s="8">
        <v>97.23</v>
      </c>
      <c r="K30" s="8">
        <v>97.23</v>
      </c>
      <c r="L30" s="8">
        <v>98.23</v>
      </c>
      <c r="M30" s="8">
        <v>98.23</v>
      </c>
      <c r="N30" s="8">
        <v>98.23</v>
      </c>
      <c r="O30" s="8">
        <v>98.23</v>
      </c>
      <c r="P30" s="8">
        <v>98.507250710661282</v>
      </c>
      <c r="Q30" s="8">
        <v>98.734340189538244</v>
      </c>
      <c r="R30" s="8">
        <v>98.839465446019545</v>
      </c>
      <c r="S30" s="9">
        <f t="shared" si="0"/>
        <v>12</v>
      </c>
      <c r="T30" s="8"/>
      <c r="U30" s="16">
        <f t="shared" si="1"/>
        <v>97.22</v>
      </c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x14ac:dyDescent="0.25">
      <c r="A31" s="2">
        <v>30</v>
      </c>
      <c r="B31" s="3" t="s">
        <v>48</v>
      </c>
      <c r="C31" t="s">
        <v>11</v>
      </c>
      <c r="D31" t="s">
        <v>16</v>
      </c>
      <c r="E31">
        <v>0</v>
      </c>
      <c r="F31" s="8" t="s">
        <v>12</v>
      </c>
      <c r="G31" s="8" t="s">
        <v>12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 t="s">
        <v>12</v>
      </c>
      <c r="N31" s="8" t="s">
        <v>12</v>
      </c>
      <c r="O31" s="8" t="s">
        <v>12</v>
      </c>
      <c r="P31" s="8" t="s">
        <v>12</v>
      </c>
      <c r="Q31" s="8" t="s">
        <v>12</v>
      </c>
      <c r="R31" s="8" t="s">
        <v>12</v>
      </c>
      <c r="S31" s="9">
        <f t="shared" si="0"/>
        <v>0</v>
      </c>
      <c r="T31" s="8"/>
      <c r="U31" s="16" t="str">
        <f t="shared" si="1"/>
        <v>.</v>
      </c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x14ac:dyDescent="0.25">
      <c r="A32" s="2">
        <v>31</v>
      </c>
      <c r="B32" s="3" t="s">
        <v>49</v>
      </c>
      <c r="C32" t="s">
        <v>50</v>
      </c>
      <c r="D32" t="s">
        <v>14</v>
      </c>
      <c r="E32">
        <v>16</v>
      </c>
      <c r="F32" s="8">
        <v>32.33</v>
      </c>
      <c r="G32" s="8">
        <v>32.33</v>
      </c>
      <c r="H32" s="8">
        <v>39.74</v>
      </c>
      <c r="I32" s="8">
        <v>37.11</v>
      </c>
      <c r="J32" s="8">
        <v>38.28</v>
      </c>
      <c r="K32" s="8">
        <v>31.36</v>
      </c>
      <c r="L32" s="8">
        <v>33.700000000000003</v>
      </c>
      <c r="M32" s="8">
        <v>33.11</v>
      </c>
      <c r="N32" s="8">
        <v>37.020000000000003</v>
      </c>
      <c r="O32" s="8">
        <v>60.9</v>
      </c>
      <c r="P32" s="8">
        <v>44.116275777692863</v>
      </c>
      <c r="Q32" s="8">
        <v>56.640714032524556</v>
      </c>
      <c r="R32" s="8">
        <v>41.098765350197482</v>
      </c>
      <c r="S32" s="9">
        <f t="shared" si="0"/>
        <v>12</v>
      </c>
      <c r="T32" s="8"/>
      <c r="U32" s="16">
        <f t="shared" si="1"/>
        <v>39.74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x14ac:dyDescent="0.25">
      <c r="A33" s="2">
        <v>32</v>
      </c>
      <c r="B33" s="3" t="s">
        <v>51</v>
      </c>
      <c r="C33" t="s">
        <v>51</v>
      </c>
      <c r="D33" t="s">
        <v>14</v>
      </c>
      <c r="E33">
        <v>16</v>
      </c>
      <c r="F33" s="8">
        <v>17.73</v>
      </c>
      <c r="G33" s="8">
        <v>17.73</v>
      </c>
      <c r="H33" s="8">
        <v>25.54</v>
      </c>
      <c r="I33" s="8">
        <v>30.2</v>
      </c>
      <c r="J33" s="8">
        <v>34.28</v>
      </c>
      <c r="K33" s="8">
        <v>41.86</v>
      </c>
      <c r="L33" s="8">
        <v>41.92</v>
      </c>
      <c r="M33" s="8">
        <v>51.910000000000004</v>
      </c>
      <c r="N33" s="8">
        <v>50.26</v>
      </c>
      <c r="O33" s="8">
        <v>52.09</v>
      </c>
      <c r="P33" s="8">
        <v>57.880340227731722</v>
      </c>
      <c r="Q33" s="8">
        <v>59.754824562094655</v>
      </c>
      <c r="R33" s="8">
        <v>71.709580340580942</v>
      </c>
      <c r="S33" s="9">
        <f t="shared" si="0"/>
        <v>12</v>
      </c>
      <c r="T33" s="8"/>
      <c r="U33" s="16">
        <f t="shared" si="1"/>
        <v>25.54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x14ac:dyDescent="0.25">
      <c r="A34" s="2">
        <v>33</v>
      </c>
      <c r="B34" s="3" t="s">
        <v>52</v>
      </c>
      <c r="C34" t="s">
        <v>52</v>
      </c>
      <c r="D34" t="s">
        <v>18</v>
      </c>
      <c r="E34">
        <v>16</v>
      </c>
      <c r="F34" s="8">
        <v>78.02</v>
      </c>
      <c r="G34" s="8">
        <v>78.02</v>
      </c>
      <c r="H34" s="8">
        <v>86.49</v>
      </c>
      <c r="I34" s="8">
        <v>87.070000000000007</v>
      </c>
      <c r="J34" s="8">
        <v>87.210000000000008</v>
      </c>
      <c r="K34" s="8">
        <v>87.210000000000008</v>
      </c>
      <c r="L34" s="8">
        <v>87.210000000000008</v>
      </c>
      <c r="M34" s="8">
        <v>87.210000000000008</v>
      </c>
      <c r="N34" s="8">
        <v>87.210000000000008</v>
      </c>
      <c r="O34" s="8">
        <v>89.08</v>
      </c>
      <c r="P34" s="8">
        <v>89.818182305709115</v>
      </c>
      <c r="Q34" s="8">
        <v>90.583174190021509</v>
      </c>
      <c r="R34" s="8">
        <v>92.272842150671522</v>
      </c>
      <c r="S34" s="9">
        <f t="shared" si="0"/>
        <v>12</v>
      </c>
      <c r="T34" s="8"/>
      <c r="U34" s="16">
        <f t="shared" si="1"/>
        <v>86.49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x14ac:dyDescent="0.25">
      <c r="A35" s="2">
        <v>34</v>
      </c>
      <c r="B35" s="3" t="s">
        <v>53</v>
      </c>
      <c r="C35" t="s">
        <v>53</v>
      </c>
      <c r="D35" t="s">
        <v>25</v>
      </c>
      <c r="E35">
        <v>6</v>
      </c>
      <c r="F35" s="8">
        <v>60.496666666666698</v>
      </c>
      <c r="G35" s="8">
        <v>60.496666666666698</v>
      </c>
      <c r="H35" s="8">
        <v>64.866666666666703</v>
      </c>
      <c r="I35" s="8">
        <v>69.236666666666693</v>
      </c>
      <c r="J35" s="8">
        <v>72.16</v>
      </c>
      <c r="K35" s="8">
        <v>80.87</v>
      </c>
      <c r="L35" s="8">
        <v>80.900000000000006</v>
      </c>
      <c r="M35" s="8">
        <v>84.460000000000008</v>
      </c>
      <c r="N35" s="8">
        <v>85.47</v>
      </c>
      <c r="O35" s="8">
        <v>93.52</v>
      </c>
      <c r="P35" s="8">
        <v>95.708267843036992</v>
      </c>
      <c r="Q35" s="8">
        <v>94.219135070126782</v>
      </c>
      <c r="R35" s="8">
        <v>99.628438434156124</v>
      </c>
      <c r="S35" s="9">
        <f t="shared" si="0"/>
        <v>12</v>
      </c>
      <c r="T35" s="8"/>
      <c r="U35" s="16">
        <f t="shared" si="1"/>
        <v>64.866666666666703</v>
      </c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x14ac:dyDescent="0.25">
      <c r="A36" s="2">
        <v>35</v>
      </c>
      <c r="B36" s="3" t="s">
        <v>54</v>
      </c>
      <c r="C36" t="s">
        <v>54</v>
      </c>
      <c r="D36" t="s">
        <v>18</v>
      </c>
      <c r="E36">
        <v>16</v>
      </c>
      <c r="F36" s="8">
        <v>83.76</v>
      </c>
      <c r="G36" s="8">
        <v>83.76</v>
      </c>
      <c r="H36" s="8">
        <v>84.59</v>
      </c>
      <c r="I36" s="8">
        <v>84.4</v>
      </c>
      <c r="J36" s="8">
        <v>84.41</v>
      </c>
      <c r="K36" s="8">
        <v>84.41</v>
      </c>
      <c r="L36" s="8">
        <v>83.55</v>
      </c>
      <c r="M36" s="8">
        <v>85.31</v>
      </c>
      <c r="N36" s="8">
        <v>85.320000000000007</v>
      </c>
      <c r="O36" s="8">
        <v>85.31</v>
      </c>
      <c r="P36" s="8">
        <v>85.180585990878114</v>
      </c>
      <c r="Q36" s="8">
        <v>85.383777432018178</v>
      </c>
      <c r="R36" s="8">
        <v>85.60456674444589</v>
      </c>
      <c r="S36" s="9">
        <f t="shared" si="0"/>
        <v>12</v>
      </c>
      <c r="T36" s="8"/>
      <c r="U36" s="16">
        <f t="shared" si="1"/>
        <v>84.59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x14ac:dyDescent="0.25">
      <c r="A37" s="2">
        <v>36</v>
      </c>
      <c r="B37" s="3" t="s">
        <v>55</v>
      </c>
      <c r="C37" t="s">
        <v>55</v>
      </c>
      <c r="D37" t="s">
        <v>14</v>
      </c>
      <c r="E37">
        <v>14</v>
      </c>
      <c r="F37" s="8">
        <v>48.730000000000004</v>
      </c>
      <c r="G37" s="8">
        <v>48.730000000000004</v>
      </c>
      <c r="H37" s="8">
        <v>48.31</v>
      </c>
      <c r="I37" s="8">
        <v>52.61</v>
      </c>
      <c r="J37" s="8">
        <v>58.230000000000004</v>
      </c>
      <c r="K37" s="8">
        <v>59.31</v>
      </c>
      <c r="L37" s="8">
        <v>71.17</v>
      </c>
      <c r="M37" s="8">
        <v>69.87</v>
      </c>
      <c r="N37" s="8">
        <v>72.010000000000005</v>
      </c>
      <c r="O37" s="8">
        <v>72.25</v>
      </c>
      <c r="P37" s="8">
        <v>89.479254951800613</v>
      </c>
      <c r="Q37" s="8">
        <v>92.384707472853734</v>
      </c>
      <c r="R37" s="8">
        <v>86.438547694838235</v>
      </c>
      <c r="S37" s="9">
        <f t="shared" si="0"/>
        <v>12</v>
      </c>
      <c r="T37" s="8"/>
      <c r="U37" s="16">
        <f t="shared" si="1"/>
        <v>48.31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x14ac:dyDescent="0.25">
      <c r="A38" s="2">
        <v>37</v>
      </c>
      <c r="B38" s="3" t="s">
        <v>56</v>
      </c>
      <c r="C38" t="s">
        <v>57</v>
      </c>
      <c r="D38" t="s">
        <v>33</v>
      </c>
      <c r="E38">
        <v>16</v>
      </c>
      <c r="F38" s="8">
        <v>64.210000000000008</v>
      </c>
      <c r="G38" s="8">
        <v>64.210000000000008</v>
      </c>
      <c r="H38" s="8">
        <v>64.260000000000005</v>
      </c>
      <c r="I38" s="8">
        <v>67.53</v>
      </c>
      <c r="J38" s="8">
        <v>81.09</v>
      </c>
      <c r="K38" s="8">
        <v>81.150000000000006</v>
      </c>
      <c r="L38" s="8">
        <v>81.2</v>
      </c>
      <c r="M38" s="8">
        <v>81.570000000000007</v>
      </c>
      <c r="N38" s="8">
        <v>81.63</v>
      </c>
      <c r="O38" s="8">
        <v>79.92</v>
      </c>
      <c r="P38" s="8">
        <v>88.824713046667057</v>
      </c>
      <c r="Q38" s="8">
        <v>96.014739787604412</v>
      </c>
      <c r="R38" s="8">
        <v>90.874128385515178</v>
      </c>
      <c r="S38" s="9">
        <f t="shared" si="0"/>
        <v>12</v>
      </c>
      <c r="T38" s="8"/>
      <c r="U38" s="16">
        <f t="shared" si="1"/>
        <v>64.260000000000005</v>
      </c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x14ac:dyDescent="0.25">
      <c r="A39" s="2">
        <v>38</v>
      </c>
      <c r="B39" s="3" t="s">
        <v>58</v>
      </c>
      <c r="C39" t="s">
        <v>58</v>
      </c>
      <c r="D39" t="s">
        <v>7</v>
      </c>
      <c r="E39">
        <v>16</v>
      </c>
      <c r="F39" s="8">
        <v>82.77</v>
      </c>
      <c r="G39" s="8">
        <v>82.77</v>
      </c>
      <c r="H39" s="8">
        <v>82.89</v>
      </c>
      <c r="I39" s="8">
        <v>82.460000000000008</v>
      </c>
      <c r="J39" s="8">
        <v>82.2</v>
      </c>
      <c r="K39" s="8">
        <v>82.9</v>
      </c>
      <c r="L39" s="8">
        <v>82.92</v>
      </c>
      <c r="M39" s="8">
        <v>82.460000000000008</v>
      </c>
      <c r="N39" s="8">
        <v>82.49</v>
      </c>
      <c r="O39" s="8">
        <v>82.62</v>
      </c>
      <c r="P39" s="8">
        <v>82.555309589770076</v>
      </c>
      <c r="Q39" s="8">
        <v>82.528549083429226</v>
      </c>
      <c r="R39" s="8">
        <v>82.510351246229803</v>
      </c>
      <c r="S39" s="9">
        <f t="shared" si="0"/>
        <v>12</v>
      </c>
      <c r="T39" s="8"/>
      <c r="U39" s="16">
        <f t="shared" si="1"/>
        <v>82.89</v>
      </c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x14ac:dyDescent="0.25">
      <c r="A40" s="2">
        <v>39</v>
      </c>
      <c r="B40" s="3" t="s">
        <v>59</v>
      </c>
      <c r="C40" t="s">
        <v>59</v>
      </c>
      <c r="D40" t="s">
        <v>16</v>
      </c>
      <c r="E40">
        <v>0</v>
      </c>
      <c r="F40" s="8" t="s">
        <v>12</v>
      </c>
      <c r="G40" s="8" t="s">
        <v>12</v>
      </c>
      <c r="H40" s="8" t="s">
        <v>12</v>
      </c>
      <c r="I40" s="8" t="s">
        <v>12</v>
      </c>
      <c r="J40" s="8" t="s">
        <v>12</v>
      </c>
      <c r="K40" s="8" t="s">
        <v>12</v>
      </c>
      <c r="L40" s="8" t="s">
        <v>12</v>
      </c>
      <c r="M40" s="8" t="s">
        <v>12</v>
      </c>
      <c r="N40" s="8" t="s">
        <v>12</v>
      </c>
      <c r="O40" s="8" t="s">
        <v>12</v>
      </c>
      <c r="P40" s="8" t="s">
        <v>12</v>
      </c>
      <c r="Q40" s="8" t="s">
        <v>12</v>
      </c>
      <c r="R40" s="8" t="s">
        <v>12</v>
      </c>
      <c r="S40" s="9">
        <f t="shared" si="0"/>
        <v>0</v>
      </c>
      <c r="T40" s="8"/>
      <c r="U40" s="16" t="str">
        <f t="shared" si="1"/>
        <v>.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x14ac:dyDescent="0.25">
      <c r="A41" s="2">
        <v>40</v>
      </c>
      <c r="B41" s="3" t="s">
        <v>60</v>
      </c>
      <c r="C41" t="s">
        <v>60</v>
      </c>
      <c r="D41" t="s">
        <v>23</v>
      </c>
      <c r="E41">
        <v>11</v>
      </c>
      <c r="F41" s="8">
        <v>89.19</v>
      </c>
      <c r="G41" s="8">
        <v>89.19</v>
      </c>
      <c r="H41" s="8">
        <v>89.13</v>
      </c>
      <c r="I41" s="8">
        <v>89.22</v>
      </c>
      <c r="J41" s="8">
        <v>89.19</v>
      </c>
      <c r="K41" s="8">
        <v>89.14</v>
      </c>
      <c r="L41" s="8">
        <v>89.19</v>
      </c>
      <c r="M41" s="8">
        <v>91.210000000000008</v>
      </c>
      <c r="N41" s="8">
        <v>91.19</v>
      </c>
      <c r="O41" s="8">
        <v>91.24</v>
      </c>
      <c r="P41" s="8">
        <v>91.382652853542709</v>
      </c>
      <c r="Q41" s="8">
        <v>91.812607373895617</v>
      </c>
      <c r="R41" s="8">
        <v>92.189397281336142</v>
      </c>
      <c r="S41" s="9">
        <f t="shared" si="0"/>
        <v>12</v>
      </c>
      <c r="T41" s="8"/>
      <c r="U41" s="16">
        <f t="shared" si="1"/>
        <v>89.13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x14ac:dyDescent="0.25">
      <c r="A42" s="2">
        <v>41</v>
      </c>
      <c r="B42" s="3" t="s">
        <v>61</v>
      </c>
      <c r="C42" t="s">
        <v>62</v>
      </c>
      <c r="D42" t="s">
        <v>23</v>
      </c>
      <c r="E42">
        <v>16</v>
      </c>
      <c r="F42" s="8">
        <v>77.22</v>
      </c>
      <c r="G42" s="8">
        <v>77.22</v>
      </c>
      <c r="H42" s="8">
        <v>79.239999999999995</v>
      </c>
      <c r="I42" s="8">
        <v>79.3</v>
      </c>
      <c r="J42" s="8">
        <v>79.45</v>
      </c>
      <c r="K42" s="8">
        <v>81.31</v>
      </c>
      <c r="L42" s="8">
        <v>81.34</v>
      </c>
      <c r="M42" s="8">
        <v>82.960000000000008</v>
      </c>
      <c r="N42" s="8">
        <v>83.55</v>
      </c>
      <c r="O42" s="8">
        <v>83.56</v>
      </c>
      <c r="P42" s="8">
        <v>84.807872016703868</v>
      </c>
      <c r="Q42" s="8">
        <v>85.665389433098426</v>
      </c>
      <c r="R42" s="8">
        <v>85.470657964846623</v>
      </c>
      <c r="S42" s="9">
        <f t="shared" si="0"/>
        <v>12</v>
      </c>
      <c r="T42" s="8"/>
      <c r="U42" s="16">
        <f t="shared" si="1"/>
        <v>79.239999999999995</v>
      </c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x14ac:dyDescent="0.25">
      <c r="A43" s="2">
        <v>42</v>
      </c>
      <c r="B43" s="3" t="s">
        <v>63</v>
      </c>
      <c r="C43" t="s">
        <v>64</v>
      </c>
      <c r="D43" t="s">
        <v>14</v>
      </c>
      <c r="E43">
        <v>0</v>
      </c>
      <c r="F43" s="8" t="s">
        <v>12</v>
      </c>
      <c r="G43" s="8" t="s">
        <v>12</v>
      </c>
      <c r="H43" s="8" t="s">
        <v>12</v>
      </c>
      <c r="I43" s="8" t="s">
        <v>12</v>
      </c>
      <c r="J43" s="8" t="s">
        <v>12</v>
      </c>
      <c r="K43" s="8" t="s">
        <v>12</v>
      </c>
      <c r="L43" s="8" t="s">
        <v>12</v>
      </c>
      <c r="M43" s="8" t="s">
        <v>12</v>
      </c>
      <c r="N43" s="8" t="s">
        <v>12</v>
      </c>
      <c r="O43" s="8" t="s">
        <v>12</v>
      </c>
      <c r="P43" s="8" t="s">
        <v>12</v>
      </c>
      <c r="Q43" s="8" t="s">
        <v>12</v>
      </c>
      <c r="R43" s="8" t="s">
        <v>12</v>
      </c>
      <c r="S43" s="9">
        <f t="shared" si="0"/>
        <v>0</v>
      </c>
      <c r="T43" s="8"/>
      <c r="U43" s="16" t="str">
        <f t="shared" si="1"/>
        <v>.</v>
      </c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x14ac:dyDescent="0.25">
      <c r="A44" s="2">
        <v>43</v>
      </c>
      <c r="B44" s="3" t="s">
        <v>65</v>
      </c>
      <c r="C44" t="s">
        <v>65</v>
      </c>
      <c r="D44" t="s">
        <v>23</v>
      </c>
      <c r="E44">
        <v>16</v>
      </c>
      <c r="F44" s="8">
        <v>91.11</v>
      </c>
      <c r="G44" s="8">
        <v>91.11</v>
      </c>
      <c r="H44" s="8">
        <v>91.17</v>
      </c>
      <c r="I44" s="8">
        <v>91.2</v>
      </c>
      <c r="J44" s="8">
        <v>91.22</v>
      </c>
      <c r="K44" s="8">
        <v>91.8</v>
      </c>
      <c r="L44" s="8">
        <v>92.45</v>
      </c>
      <c r="M44" s="8">
        <v>92.47</v>
      </c>
      <c r="N44" s="8">
        <v>92.5</v>
      </c>
      <c r="O44" s="8">
        <v>92.52</v>
      </c>
      <c r="P44" s="8">
        <v>92.896174338581034</v>
      </c>
      <c r="Q44" s="8">
        <v>93.075630788966691</v>
      </c>
      <c r="R44" s="8">
        <v>93.605659127841079</v>
      </c>
      <c r="S44" s="9">
        <f t="shared" si="0"/>
        <v>12</v>
      </c>
      <c r="T44" s="8"/>
      <c r="U44" s="16">
        <f t="shared" si="1"/>
        <v>91.17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x14ac:dyDescent="0.25">
      <c r="A45" s="2">
        <v>44</v>
      </c>
      <c r="B45" s="3" t="s">
        <v>66</v>
      </c>
      <c r="C45" t="s">
        <v>66</v>
      </c>
      <c r="D45" t="s">
        <v>14</v>
      </c>
      <c r="E45">
        <v>14</v>
      </c>
      <c r="F45" s="8">
        <v>26.12</v>
      </c>
      <c r="G45" s="8">
        <v>26.12</v>
      </c>
      <c r="H45" s="8">
        <v>26.12</v>
      </c>
      <c r="I45" s="8">
        <v>27.69</v>
      </c>
      <c r="J45" s="8">
        <v>59.09</v>
      </c>
      <c r="K45" s="8">
        <v>62.78</v>
      </c>
      <c r="L45" s="8">
        <v>63.2</v>
      </c>
      <c r="M45" s="8">
        <v>68.290000000000006</v>
      </c>
      <c r="N45" s="8">
        <v>80.430000000000007</v>
      </c>
      <c r="O45" s="8">
        <v>85.73</v>
      </c>
      <c r="P45" s="8">
        <v>97.212682563598861</v>
      </c>
      <c r="Q45" s="8">
        <v>96.521605591461622</v>
      </c>
      <c r="R45" s="8">
        <v>98.043785832534923</v>
      </c>
      <c r="S45" s="9">
        <f t="shared" si="0"/>
        <v>12</v>
      </c>
      <c r="T45" s="8"/>
      <c r="U45" s="16">
        <f t="shared" si="1"/>
        <v>26.12</v>
      </c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</row>
    <row r="46" spans="1:32" x14ac:dyDescent="0.25">
      <c r="A46" s="2">
        <v>45</v>
      </c>
      <c r="B46" s="3" t="s">
        <v>67</v>
      </c>
      <c r="C46" t="s">
        <v>67</v>
      </c>
      <c r="D46" t="s">
        <v>16</v>
      </c>
      <c r="E46">
        <v>14</v>
      </c>
      <c r="F46" s="8">
        <v>88.23</v>
      </c>
      <c r="G46" s="8">
        <v>88.23</v>
      </c>
      <c r="H46" s="8">
        <v>88.5</v>
      </c>
      <c r="I46" s="8">
        <v>89.31</v>
      </c>
      <c r="J46" s="8">
        <v>89.15</v>
      </c>
      <c r="K46" s="8">
        <v>89.27</v>
      </c>
      <c r="L46" s="8">
        <v>89.350000000000009</v>
      </c>
      <c r="M46" s="8">
        <v>89.26</v>
      </c>
      <c r="N46" s="8">
        <v>89.29</v>
      </c>
      <c r="O46" s="8">
        <v>89.39</v>
      </c>
      <c r="P46" s="8">
        <v>89.700299816851441</v>
      </c>
      <c r="Q46" s="8">
        <v>89.934239097300832</v>
      </c>
      <c r="R46" s="8">
        <v>89.814281519360264</v>
      </c>
      <c r="S46" s="9">
        <f t="shared" si="0"/>
        <v>12</v>
      </c>
      <c r="T46" s="8"/>
      <c r="U46" s="16">
        <f t="shared" si="1"/>
        <v>88.5</v>
      </c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</row>
    <row r="47" spans="1:32" x14ac:dyDescent="0.25">
      <c r="A47" s="2">
        <v>46</v>
      </c>
      <c r="B47" s="3" t="s">
        <v>68</v>
      </c>
      <c r="C47" t="s">
        <v>69</v>
      </c>
      <c r="D47" t="s">
        <v>16</v>
      </c>
      <c r="E47">
        <v>16</v>
      </c>
      <c r="F47" s="8">
        <v>79.59</v>
      </c>
      <c r="G47" s="8">
        <v>79.59</v>
      </c>
      <c r="H47" s="8">
        <v>81.760000000000005</v>
      </c>
      <c r="I47" s="8">
        <v>82.29</v>
      </c>
      <c r="J47" s="8">
        <v>82.62</v>
      </c>
      <c r="K47" s="8">
        <v>82.86</v>
      </c>
      <c r="L47" s="8">
        <v>83.26</v>
      </c>
      <c r="M47" s="8">
        <v>82.52</v>
      </c>
      <c r="N47" s="8">
        <v>83.23</v>
      </c>
      <c r="O47" s="8">
        <v>83.44</v>
      </c>
      <c r="P47" s="8">
        <v>83.916402204952988</v>
      </c>
      <c r="Q47" s="8">
        <v>84.772096527236499</v>
      </c>
      <c r="R47" s="8">
        <v>85.291783817685882</v>
      </c>
      <c r="S47" s="9">
        <f t="shared" si="0"/>
        <v>12</v>
      </c>
      <c r="T47" s="8"/>
      <c r="U47" s="16">
        <f t="shared" si="1"/>
        <v>81.760000000000005</v>
      </c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</row>
    <row r="48" spans="1:32" x14ac:dyDescent="0.25">
      <c r="A48" s="2">
        <v>47</v>
      </c>
      <c r="B48" s="3" t="s">
        <v>70</v>
      </c>
      <c r="C48" t="s">
        <v>70</v>
      </c>
      <c r="D48" t="s">
        <v>18</v>
      </c>
      <c r="E48">
        <v>16</v>
      </c>
      <c r="F48" s="8">
        <v>64.02</v>
      </c>
      <c r="G48" s="8">
        <v>64.02</v>
      </c>
      <c r="H48" s="8">
        <v>64.650000000000006</v>
      </c>
      <c r="I48" s="8">
        <v>64.52</v>
      </c>
      <c r="J48" s="8">
        <v>65.14</v>
      </c>
      <c r="K48" s="8">
        <v>65.31</v>
      </c>
      <c r="L48" s="8">
        <v>68.510000000000005</v>
      </c>
      <c r="M48" s="8">
        <v>70.61</v>
      </c>
      <c r="N48" s="8">
        <v>70.5</v>
      </c>
      <c r="O48" s="8">
        <v>70.58</v>
      </c>
      <c r="P48" s="8">
        <v>71.503360949837997</v>
      </c>
      <c r="Q48" s="8">
        <v>74.095235449082111</v>
      </c>
      <c r="R48" s="8">
        <v>73.7594298469146</v>
      </c>
      <c r="S48" s="9">
        <f t="shared" si="0"/>
        <v>12</v>
      </c>
      <c r="T48" s="8"/>
      <c r="U48" s="16">
        <f t="shared" si="1"/>
        <v>64.650000000000006</v>
      </c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</row>
    <row r="49" spans="1:32" x14ac:dyDescent="0.25">
      <c r="A49" s="2">
        <v>48</v>
      </c>
      <c r="B49" s="3" t="s">
        <v>71</v>
      </c>
      <c r="C49" t="s">
        <v>71</v>
      </c>
      <c r="D49" t="s">
        <v>9</v>
      </c>
      <c r="E49">
        <v>16</v>
      </c>
      <c r="F49" s="8">
        <v>81.62</v>
      </c>
      <c r="G49" s="8">
        <v>81.62</v>
      </c>
      <c r="H49" s="8">
        <v>81.510000000000005</v>
      </c>
      <c r="I49" s="8">
        <v>81.53</v>
      </c>
      <c r="J49" s="8">
        <v>81.650000000000006</v>
      </c>
      <c r="K49" s="8">
        <v>81.710000000000008</v>
      </c>
      <c r="L49" s="8">
        <v>81.010000000000005</v>
      </c>
      <c r="M49" s="8">
        <v>81.040000000000006</v>
      </c>
      <c r="N49" s="8">
        <v>81.06</v>
      </c>
      <c r="O49" s="8">
        <v>84.11</v>
      </c>
      <c r="P49" s="8">
        <v>82.168087158643402</v>
      </c>
      <c r="Q49" s="8">
        <v>82.301776732321741</v>
      </c>
      <c r="R49" s="8">
        <v>82.719194457250069</v>
      </c>
      <c r="S49" s="9">
        <f t="shared" si="0"/>
        <v>12</v>
      </c>
      <c r="T49" s="8"/>
      <c r="U49" s="16">
        <f t="shared" si="1"/>
        <v>81.510000000000005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</row>
    <row r="50" spans="1:32" x14ac:dyDescent="0.25">
      <c r="A50" s="2">
        <v>49</v>
      </c>
      <c r="B50" s="3" t="s">
        <v>72</v>
      </c>
      <c r="C50" t="s">
        <v>73</v>
      </c>
      <c r="D50" t="s">
        <v>33</v>
      </c>
      <c r="E50">
        <v>16</v>
      </c>
      <c r="F50" s="8">
        <v>78.38</v>
      </c>
      <c r="G50" s="8">
        <v>78.38</v>
      </c>
      <c r="H50" s="8">
        <v>78.33</v>
      </c>
      <c r="I50" s="8">
        <v>78.33</v>
      </c>
      <c r="J50" s="8">
        <v>78.37</v>
      </c>
      <c r="K50" s="8">
        <v>78.460000000000008</v>
      </c>
      <c r="L50" s="8">
        <v>78.62</v>
      </c>
      <c r="M50" s="8">
        <v>78.88</v>
      </c>
      <c r="N50" s="8">
        <v>78.88</v>
      </c>
      <c r="O50" s="8">
        <v>78.41</v>
      </c>
      <c r="P50" s="8">
        <v>78.773214246132042</v>
      </c>
      <c r="Q50" s="8">
        <v>78.804972791764243</v>
      </c>
      <c r="R50" s="8">
        <v>78.839519519977102</v>
      </c>
      <c r="S50" s="9">
        <f t="shared" si="0"/>
        <v>12</v>
      </c>
      <c r="T50" s="8"/>
      <c r="U50" s="16">
        <f t="shared" si="1"/>
        <v>78.33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</row>
    <row r="51" spans="1:32" x14ac:dyDescent="0.25">
      <c r="A51" s="2">
        <v>50</v>
      </c>
      <c r="B51" s="3" t="s">
        <v>74</v>
      </c>
      <c r="C51" t="s">
        <v>75</v>
      </c>
      <c r="D51" t="s">
        <v>14</v>
      </c>
      <c r="E51">
        <v>14</v>
      </c>
      <c r="F51" s="8">
        <v>36.050000000000004</v>
      </c>
      <c r="G51" s="8">
        <v>36.050000000000004</v>
      </c>
      <c r="H51" s="8">
        <v>36.700000000000003</v>
      </c>
      <c r="I51" s="8">
        <v>36.99</v>
      </c>
      <c r="J51" s="8">
        <v>36.86</v>
      </c>
      <c r="K51" s="8">
        <v>36.74</v>
      </c>
      <c r="L51" s="8">
        <v>36.590000000000003</v>
      </c>
      <c r="M51" s="8">
        <v>36.9</v>
      </c>
      <c r="N51" s="8">
        <v>54.96</v>
      </c>
      <c r="O51" s="8">
        <v>55.74</v>
      </c>
      <c r="P51" s="8">
        <v>46.957558317107214</v>
      </c>
      <c r="Q51" s="8">
        <v>47.824372622141709</v>
      </c>
      <c r="R51" s="8">
        <v>66.184059040487227</v>
      </c>
      <c r="S51" s="9">
        <f t="shared" si="0"/>
        <v>12</v>
      </c>
      <c r="T51" s="8"/>
      <c r="U51" s="16">
        <f t="shared" si="1"/>
        <v>36.700000000000003</v>
      </c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</row>
    <row r="52" spans="1:32" x14ac:dyDescent="0.25">
      <c r="A52" s="2">
        <v>51</v>
      </c>
      <c r="B52" s="3" t="s">
        <v>76</v>
      </c>
      <c r="C52" t="s">
        <v>76</v>
      </c>
      <c r="D52" t="s">
        <v>14</v>
      </c>
      <c r="E52">
        <v>15</v>
      </c>
      <c r="F52" s="8">
        <v>35.950000000000003</v>
      </c>
      <c r="G52" s="8">
        <v>35.950000000000003</v>
      </c>
      <c r="H52" s="8">
        <v>38.36</v>
      </c>
      <c r="I52" s="8">
        <v>42.14</v>
      </c>
      <c r="J52" s="8">
        <v>42.800000000000004</v>
      </c>
      <c r="K52" s="8">
        <v>44.81</v>
      </c>
      <c r="L52" s="8">
        <v>46.160000000000004</v>
      </c>
      <c r="M52" s="8">
        <v>46.36</v>
      </c>
      <c r="N52" s="8">
        <v>50.6</v>
      </c>
      <c r="O52" s="8">
        <v>51.910000000000004</v>
      </c>
      <c r="P52" s="8">
        <v>55.560757620688037</v>
      </c>
      <c r="Q52" s="8">
        <v>57.253506781223678</v>
      </c>
      <c r="R52" s="8">
        <v>55.64598193129541</v>
      </c>
      <c r="S52" s="9">
        <f t="shared" si="0"/>
        <v>12</v>
      </c>
      <c r="T52" s="8"/>
      <c r="U52" s="16">
        <f t="shared" si="1"/>
        <v>38.36</v>
      </c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</row>
    <row r="53" spans="1:32" x14ac:dyDescent="0.25">
      <c r="A53" s="2">
        <v>52</v>
      </c>
      <c r="B53" s="3" t="s">
        <v>77</v>
      </c>
      <c r="C53" t="s">
        <v>77</v>
      </c>
      <c r="D53" t="s">
        <v>23</v>
      </c>
      <c r="E53">
        <v>16</v>
      </c>
      <c r="F53" s="8">
        <v>90.77</v>
      </c>
      <c r="G53" s="8">
        <v>90.77</v>
      </c>
      <c r="H53" s="8">
        <v>90.86</v>
      </c>
      <c r="I53" s="8">
        <v>91.02</v>
      </c>
      <c r="J53" s="8">
        <v>91.13</v>
      </c>
      <c r="K53" s="8">
        <v>93.25</v>
      </c>
      <c r="L53" s="8">
        <v>95.06</v>
      </c>
      <c r="M53" s="8">
        <v>95.13</v>
      </c>
      <c r="N53" s="8">
        <v>95.15</v>
      </c>
      <c r="O53" s="8">
        <v>95.25</v>
      </c>
      <c r="P53" s="8">
        <v>95.387842195608073</v>
      </c>
      <c r="Q53" s="8">
        <v>96.934827061387068</v>
      </c>
      <c r="R53" s="8">
        <v>97.74061478208364</v>
      </c>
      <c r="S53" s="9">
        <f t="shared" si="0"/>
        <v>12</v>
      </c>
      <c r="T53" s="8"/>
      <c r="U53" s="16">
        <f t="shared" si="1"/>
        <v>90.86</v>
      </c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</row>
    <row r="54" spans="1:32" x14ac:dyDescent="0.25">
      <c r="A54" s="2">
        <v>53</v>
      </c>
      <c r="B54" s="3" t="s">
        <v>78</v>
      </c>
      <c r="C54" t="s">
        <v>78</v>
      </c>
      <c r="D54" t="s">
        <v>14</v>
      </c>
      <c r="E54">
        <v>16</v>
      </c>
      <c r="F54" s="8">
        <v>32.410000000000004</v>
      </c>
      <c r="G54" s="8">
        <v>32.410000000000004</v>
      </c>
      <c r="H54" s="8">
        <v>27.95</v>
      </c>
      <c r="I54" s="8">
        <v>37.65</v>
      </c>
      <c r="J54" s="8">
        <v>46.57</v>
      </c>
      <c r="K54" s="8">
        <v>49.22</v>
      </c>
      <c r="L54" s="8">
        <v>53.64</v>
      </c>
      <c r="M54" s="8">
        <v>55.96</v>
      </c>
      <c r="N54" s="8">
        <v>68.430000000000007</v>
      </c>
      <c r="O54" s="8">
        <v>70.790000000000006</v>
      </c>
      <c r="P54" s="8">
        <v>67.278999279757045</v>
      </c>
      <c r="Q54" s="8">
        <v>72.878205295128282</v>
      </c>
      <c r="R54" s="8">
        <v>90.173355220900703</v>
      </c>
      <c r="S54" s="9">
        <f t="shared" si="0"/>
        <v>12</v>
      </c>
      <c r="T54" s="8"/>
      <c r="U54" s="16">
        <f t="shared" si="1"/>
        <v>27.95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</row>
    <row r="55" spans="1:32" x14ac:dyDescent="0.25">
      <c r="A55" s="2">
        <v>54</v>
      </c>
      <c r="B55" s="3" t="s">
        <v>79</v>
      </c>
      <c r="C55" t="s">
        <v>79</v>
      </c>
      <c r="D55" t="s">
        <v>21</v>
      </c>
      <c r="E55">
        <v>16</v>
      </c>
      <c r="F55" s="8">
        <v>75.8</v>
      </c>
      <c r="G55" s="8">
        <v>75.8</v>
      </c>
      <c r="H55" s="8">
        <v>74.17</v>
      </c>
      <c r="I55" s="8">
        <v>67.849999999999994</v>
      </c>
      <c r="J55" s="8">
        <v>67.960000000000008</v>
      </c>
      <c r="K55" s="8">
        <v>68.040000000000006</v>
      </c>
      <c r="L55" s="8">
        <v>68.180000000000007</v>
      </c>
      <c r="M55" s="8">
        <v>73.13</v>
      </c>
      <c r="N55" s="8">
        <v>73.260000000000005</v>
      </c>
      <c r="O55" s="8">
        <v>73.39</v>
      </c>
      <c r="P55" s="8">
        <v>71.186431879619732</v>
      </c>
      <c r="Q55" s="8">
        <v>71.103263167502917</v>
      </c>
      <c r="R55" s="8">
        <v>71.071021629231282</v>
      </c>
      <c r="S55" s="9">
        <f t="shared" si="0"/>
        <v>12</v>
      </c>
      <c r="T55" s="8"/>
      <c r="U55" s="16">
        <f t="shared" si="1"/>
        <v>74.17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</row>
    <row r="56" spans="1:32" x14ac:dyDescent="0.25">
      <c r="A56" s="2">
        <v>55</v>
      </c>
      <c r="B56" s="3" t="s">
        <v>80</v>
      </c>
      <c r="C56" t="s">
        <v>80</v>
      </c>
      <c r="D56" t="s">
        <v>23</v>
      </c>
      <c r="E56">
        <v>16</v>
      </c>
      <c r="F56" s="8">
        <v>92.29</v>
      </c>
      <c r="G56" s="8">
        <v>92.29</v>
      </c>
      <c r="H56" s="8">
        <v>92.33</v>
      </c>
      <c r="I56" s="8">
        <v>92.36</v>
      </c>
      <c r="J56" s="8">
        <v>92.36</v>
      </c>
      <c r="K56" s="8">
        <v>92.36</v>
      </c>
      <c r="L56" s="8">
        <v>92.37</v>
      </c>
      <c r="M56" s="8">
        <v>92.39</v>
      </c>
      <c r="N56" s="8">
        <v>92.41</v>
      </c>
      <c r="O56" s="8">
        <v>92.43</v>
      </c>
      <c r="P56" s="8">
        <v>92.437958501988604</v>
      </c>
      <c r="Q56" s="8">
        <v>92.454607423515142</v>
      </c>
      <c r="R56" s="8">
        <v>92.468704254679494</v>
      </c>
      <c r="S56" s="9">
        <f t="shared" si="0"/>
        <v>12</v>
      </c>
      <c r="T56" s="8"/>
      <c r="U56" s="16">
        <f t="shared" si="1"/>
        <v>92.33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</row>
    <row r="57" spans="1:32" x14ac:dyDescent="0.25">
      <c r="A57" s="2">
        <v>56</v>
      </c>
      <c r="B57" s="3" t="s">
        <v>81</v>
      </c>
      <c r="C57" t="s">
        <v>81</v>
      </c>
      <c r="D57" t="s">
        <v>23</v>
      </c>
      <c r="E57">
        <v>16</v>
      </c>
      <c r="F57" s="8">
        <v>92.5</v>
      </c>
      <c r="G57" s="8">
        <v>92.5</v>
      </c>
      <c r="H57" s="8">
        <v>92.5</v>
      </c>
      <c r="I57" s="8">
        <v>92.49</v>
      </c>
      <c r="J57" s="8">
        <v>92.49</v>
      </c>
      <c r="K57" s="8">
        <v>93</v>
      </c>
      <c r="L57" s="8">
        <v>93.14</v>
      </c>
      <c r="M57" s="8">
        <v>93.27</v>
      </c>
      <c r="N57" s="8">
        <v>93.28</v>
      </c>
      <c r="O57" s="8">
        <v>93.27</v>
      </c>
      <c r="P57" s="8">
        <v>93.480518481003628</v>
      </c>
      <c r="Q57" s="8">
        <v>93.713782060881272</v>
      </c>
      <c r="R57" s="8">
        <v>93.820183277930823</v>
      </c>
      <c r="S57" s="9">
        <f t="shared" si="0"/>
        <v>12</v>
      </c>
      <c r="T57" s="8"/>
      <c r="U57" s="16">
        <f t="shared" si="1"/>
        <v>92.5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</row>
    <row r="58" spans="1:32" x14ac:dyDescent="0.25">
      <c r="A58" s="2">
        <v>57</v>
      </c>
      <c r="B58" s="3" t="s">
        <v>82</v>
      </c>
      <c r="C58" t="s">
        <v>82</v>
      </c>
      <c r="D58" t="s">
        <v>14</v>
      </c>
      <c r="E58">
        <v>14</v>
      </c>
      <c r="F58" s="8">
        <v>68.540000000000006</v>
      </c>
      <c r="G58" s="8">
        <v>68.540000000000006</v>
      </c>
      <c r="H58" s="8">
        <v>69.510000000000005</v>
      </c>
      <c r="I58" s="8">
        <v>70.11</v>
      </c>
      <c r="J58" s="8">
        <v>73.78</v>
      </c>
      <c r="K58" s="8">
        <v>73.710000000000008</v>
      </c>
      <c r="L58" s="8">
        <v>73.95</v>
      </c>
      <c r="M58" s="8">
        <v>74.09</v>
      </c>
      <c r="N58" s="8">
        <v>80.48</v>
      </c>
      <c r="O58" s="8">
        <v>82.59</v>
      </c>
      <c r="P58" s="8">
        <v>81.680464164010118</v>
      </c>
      <c r="Q58" s="8">
        <v>85.305058053011635</v>
      </c>
      <c r="R58" s="8">
        <v>84.266859573002421</v>
      </c>
      <c r="S58" s="9">
        <f t="shared" si="0"/>
        <v>12</v>
      </c>
      <c r="T58" s="8"/>
      <c r="U58" s="16">
        <f t="shared" si="1"/>
        <v>69.510000000000005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</row>
    <row r="59" spans="1:32" x14ac:dyDescent="0.25">
      <c r="A59" s="2">
        <v>58</v>
      </c>
      <c r="B59" s="3" t="s">
        <v>83</v>
      </c>
      <c r="C59" t="s">
        <v>83</v>
      </c>
      <c r="D59" t="s">
        <v>14</v>
      </c>
      <c r="E59">
        <v>14</v>
      </c>
      <c r="F59" s="8">
        <v>58.09</v>
      </c>
      <c r="G59" s="8">
        <v>58.09</v>
      </c>
      <c r="H59" s="8">
        <v>58.050000000000004</v>
      </c>
      <c r="I59" s="8">
        <v>63.2</v>
      </c>
      <c r="J59" s="8">
        <v>61.26</v>
      </c>
      <c r="K59" s="8">
        <v>68.37</v>
      </c>
      <c r="L59" s="8">
        <v>67.320000000000007</v>
      </c>
      <c r="M59" s="8">
        <v>69.37</v>
      </c>
      <c r="N59" s="8">
        <v>69</v>
      </c>
      <c r="O59" s="8">
        <v>69.91</v>
      </c>
      <c r="P59" s="8">
        <v>70.622093965724616</v>
      </c>
      <c r="Q59" s="8">
        <v>73.018381203765784</v>
      </c>
      <c r="R59" s="8">
        <v>75.978626504841486</v>
      </c>
      <c r="S59" s="9">
        <f t="shared" si="0"/>
        <v>12</v>
      </c>
      <c r="T59" s="8"/>
      <c r="U59" s="16">
        <f t="shared" si="1"/>
        <v>58.050000000000004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</row>
    <row r="60" spans="1:32" x14ac:dyDescent="0.25">
      <c r="A60" s="2">
        <v>59</v>
      </c>
      <c r="B60" s="3" t="s">
        <v>84</v>
      </c>
      <c r="C60" t="s">
        <v>84</v>
      </c>
      <c r="D60" t="s">
        <v>7</v>
      </c>
      <c r="E60">
        <v>16</v>
      </c>
      <c r="F60" s="8">
        <v>95.81</v>
      </c>
      <c r="G60" s="8">
        <v>95.81</v>
      </c>
      <c r="H60" s="8">
        <v>97.570000000000007</v>
      </c>
      <c r="I60" s="8">
        <v>97.64</v>
      </c>
      <c r="J60" s="8">
        <v>97.68</v>
      </c>
      <c r="K60" s="8">
        <v>97.69</v>
      </c>
      <c r="L60" s="8">
        <v>97.73</v>
      </c>
      <c r="M60" s="8">
        <v>97.83</v>
      </c>
      <c r="N60" s="8">
        <v>97.84</v>
      </c>
      <c r="O60" s="8">
        <v>99.34</v>
      </c>
      <c r="P60" s="8">
        <v>98.903690725039723</v>
      </c>
      <c r="Q60" s="8">
        <v>99.432735014214813</v>
      </c>
      <c r="R60" s="8">
        <v>99.436622751389223</v>
      </c>
      <c r="S60" s="9">
        <f t="shared" si="0"/>
        <v>12</v>
      </c>
      <c r="T60" s="8"/>
      <c r="U60" s="16">
        <f t="shared" si="1"/>
        <v>97.570000000000007</v>
      </c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</row>
    <row r="61" spans="1:32" x14ac:dyDescent="0.25">
      <c r="A61" s="2">
        <v>60</v>
      </c>
      <c r="B61" s="3" t="s">
        <v>85</v>
      </c>
      <c r="C61" t="s">
        <v>85</v>
      </c>
      <c r="D61" t="s">
        <v>23</v>
      </c>
      <c r="E61">
        <v>16</v>
      </c>
      <c r="F61" s="8">
        <v>81.48</v>
      </c>
      <c r="G61" s="8">
        <v>81.48</v>
      </c>
      <c r="H61" s="8">
        <v>81.600000000000009</v>
      </c>
      <c r="I61" s="8">
        <v>81.650000000000006</v>
      </c>
      <c r="J61" s="8">
        <v>81.73</v>
      </c>
      <c r="K61" s="8">
        <v>81.36</v>
      </c>
      <c r="L61" s="8">
        <v>82.73</v>
      </c>
      <c r="M61" s="8">
        <v>83.44</v>
      </c>
      <c r="N61" s="8">
        <v>83.45</v>
      </c>
      <c r="O61" s="8">
        <v>83.58</v>
      </c>
      <c r="P61" s="8">
        <v>84.16449954150653</v>
      </c>
      <c r="Q61" s="8">
        <v>84.269019189720098</v>
      </c>
      <c r="R61" s="8">
        <v>84.519845037346499</v>
      </c>
      <c r="S61" s="9">
        <f t="shared" si="0"/>
        <v>12</v>
      </c>
      <c r="T61" s="8"/>
      <c r="U61" s="16">
        <f t="shared" si="1"/>
        <v>81.600000000000009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</row>
    <row r="62" spans="1:32" x14ac:dyDescent="0.25">
      <c r="A62" s="2">
        <v>61</v>
      </c>
      <c r="B62" s="3" t="s">
        <v>86</v>
      </c>
      <c r="C62" t="s">
        <v>86</v>
      </c>
      <c r="D62" t="s">
        <v>14</v>
      </c>
      <c r="E62">
        <v>16</v>
      </c>
      <c r="F62" s="8">
        <v>84.38</v>
      </c>
      <c r="G62" s="8">
        <v>84.38</v>
      </c>
      <c r="H62" s="8">
        <v>84.9</v>
      </c>
      <c r="I62" s="8">
        <v>84.93</v>
      </c>
      <c r="J62" s="8">
        <v>83.17</v>
      </c>
      <c r="K62" s="8">
        <v>83.73</v>
      </c>
      <c r="L62" s="8">
        <v>83.73</v>
      </c>
      <c r="M62" s="8">
        <v>83.73</v>
      </c>
      <c r="N62" s="8">
        <v>84.02</v>
      </c>
      <c r="O62" s="8">
        <v>84.29</v>
      </c>
      <c r="P62" s="8">
        <v>83.720105812215337</v>
      </c>
      <c r="Q62" s="8">
        <v>83.621691432262196</v>
      </c>
      <c r="R62" s="8">
        <v>83.60495597405108</v>
      </c>
      <c r="S62" s="9">
        <f t="shared" si="0"/>
        <v>12</v>
      </c>
      <c r="T62" s="8"/>
      <c r="U62" s="16">
        <f t="shared" si="1"/>
        <v>84.9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</row>
    <row r="63" spans="1:32" x14ac:dyDescent="0.25">
      <c r="A63" s="2">
        <v>62</v>
      </c>
      <c r="B63" s="3" t="s">
        <v>87</v>
      </c>
      <c r="C63" t="s">
        <v>87</v>
      </c>
      <c r="D63" t="s">
        <v>23</v>
      </c>
      <c r="E63">
        <v>16</v>
      </c>
      <c r="F63" s="8">
        <v>70.78</v>
      </c>
      <c r="G63" s="8">
        <v>70.78</v>
      </c>
      <c r="H63" s="8">
        <v>78.72</v>
      </c>
      <c r="I63" s="8">
        <v>78.570000000000007</v>
      </c>
      <c r="J63" s="8">
        <v>89.22</v>
      </c>
      <c r="K63" s="8">
        <v>90.710000000000008</v>
      </c>
      <c r="L63" s="8">
        <v>90.710000000000008</v>
      </c>
      <c r="M63" s="8">
        <v>90.710000000000008</v>
      </c>
      <c r="N63" s="8">
        <v>92.39</v>
      </c>
      <c r="O63" s="8">
        <v>92.39</v>
      </c>
      <c r="P63" s="8">
        <v>86.784012709057606</v>
      </c>
      <c r="Q63" s="8">
        <v>98.226103266742911</v>
      </c>
      <c r="R63" s="8">
        <v>92.622346467476746</v>
      </c>
      <c r="S63" s="9">
        <f t="shared" si="0"/>
        <v>12</v>
      </c>
      <c r="T63" s="8"/>
      <c r="U63" s="16">
        <f t="shared" si="1"/>
        <v>78.72</v>
      </c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</row>
    <row r="64" spans="1:32" x14ac:dyDescent="0.25">
      <c r="A64" s="2">
        <v>63</v>
      </c>
      <c r="B64" s="3" t="s">
        <v>88</v>
      </c>
      <c r="C64" t="s">
        <v>11</v>
      </c>
      <c r="D64" t="s">
        <v>16</v>
      </c>
      <c r="E64">
        <v>14</v>
      </c>
      <c r="F64" s="8">
        <v>86.11</v>
      </c>
      <c r="G64" s="8">
        <v>86.11</v>
      </c>
      <c r="H64" s="8">
        <v>86.12</v>
      </c>
      <c r="I64" s="8">
        <v>86.87</v>
      </c>
      <c r="J64" s="8">
        <v>86.55</v>
      </c>
      <c r="K64" s="8">
        <v>86.7</v>
      </c>
      <c r="L64" s="8">
        <v>86.84</v>
      </c>
      <c r="M64" s="8">
        <v>87.02</v>
      </c>
      <c r="N64" s="8">
        <v>87.09</v>
      </c>
      <c r="O64" s="8">
        <v>87.26</v>
      </c>
      <c r="P64" s="8">
        <v>87.312706584570265</v>
      </c>
      <c r="Q64" s="8">
        <v>87.471055315687636</v>
      </c>
      <c r="R64" s="8">
        <v>87.617554024674405</v>
      </c>
      <c r="S64" s="9">
        <f t="shared" si="0"/>
        <v>12</v>
      </c>
      <c r="T64" s="8"/>
      <c r="U64" s="16">
        <f t="shared" si="1"/>
        <v>86.12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</row>
    <row r="65" spans="1:32" x14ac:dyDescent="0.25">
      <c r="A65" s="2">
        <v>64</v>
      </c>
      <c r="B65" s="3" t="s">
        <v>89</v>
      </c>
      <c r="C65" t="s">
        <v>89</v>
      </c>
      <c r="D65" t="s">
        <v>33</v>
      </c>
      <c r="E65">
        <v>16</v>
      </c>
      <c r="F65" s="8">
        <v>64.31</v>
      </c>
      <c r="G65" s="8">
        <v>64.31</v>
      </c>
      <c r="H65" s="8">
        <v>64.010000000000005</v>
      </c>
      <c r="I65" s="8">
        <v>64.64</v>
      </c>
      <c r="J65" s="8">
        <v>74.680000000000007</v>
      </c>
      <c r="K65" s="8">
        <v>77.290000000000006</v>
      </c>
      <c r="L65" s="8">
        <v>77.430000000000007</v>
      </c>
      <c r="M65" s="8">
        <v>77.61</v>
      </c>
      <c r="N65" s="8">
        <v>77.83</v>
      </c>
      <c r="O65" s="8">
        <v>86.710000000000008</v>
      </c>
      <c r="P65" s="8">
        <v>80.072424435018547</v>
      </c>
      <c r="Q65" s="8">
        <v>93.795875415445153</v>
      </c>
      <c r="R65" s="8">
        <v>94.440698828037057</v>
      </c>
      <c r="S65" s="9">
        <f t="shared" si="0"/>
        <v>12</v>
      </c>
      <c r="T65" s="8"/>
      <c r="U65" s="16">
        <f t="shared" si="1"/>
        <v>64.010000000000005</v>
      </c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</row>
    <row r="66" spans="1:32" x14ac:dyDescent="0.25">
      <c r="A66" s="2">
        <v>65</v>
      </c>
      <c r="B66" s="3" t="s">
        <v>90</v>
      </c>
      <c r="C66" t="s">
        <v>90</v>
      </c>
      <c r="D66" t="s">
        <v>14</v>
      </c>
      <c r="E66">
        <v>16</v>
      </c>
      <c r="F66" s="8">
        <v>30.43</v>
      </c>
      <c r="G66" s="8">
        <v>30.43</v>
      </c>
      <c r="H66" s="8">
        <v>34.15</v>
      </c>
      <c r="I66" s="8">
        <v>48.29</v>
      </c>
      <c r="J66" s="8">
        <v>55.53</v>
      </c>
      <c r="K66" s="8">
        <v>52.82</v>
      </c>
      <c r="L66" s="8">
        <v>77.400000000000006</v>
      </c>
      <c r="M66" s="8">
        <v>77.58</v>
      </c>
      <c r="N66" s="8">
        <v>79.150000000000006</v>
      </c>
      <c r="O66" s="8">
        <v>83.9</v>
      </c>
      <c r="P66" s="8">
        <v>80.491752822059425</v>
      </c>
      <c r="Q66" s="8">
        <v>97.51696292675868</v>
      </c>
      <c r="R66" s="8">
        <v>96.958186553457736</v>
      </c>
      <c r="S66" s="9">
        <f t="shared" si="0"/>
        <v>12</v>
      </c>
      <c r="T66" s="8"/>
      <c r="U66" s="16">
        <f t="shared" si="1"/>
        <v>34.15</v>
      </c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</row>
    <row r="67" spans="1:32" x14ac:dyDescent="0.25">
      <c r="A67" s="2">
        <v>66</v>
      </c>
      <c r="B67" s="3" t="s">
        <v>91</v>
      </c>
      <c r="C67" t="s">
        <v>91</v>
      </c>
      <c r="D67" t="s">
        <v>18</v>
      </c>
      <c r="E67">
        <v>15</v>
      </c>
      <c r="F67" s="8">
        <v>81.93</v>
      </c>
      <c r="G67" s="8">
        <v>81.93</v>
      </c>
      <c r="H67" s="8">
        <v>83.4</v>
      </c>
      <c r="I67" s="8">
        <v>85.04</v>
      </c>
      <c r="J67" s="8">
        <v>85.23</v>
      </c>
      <c r="K67" s="8">
        <v>85.34</v>
      </c>
      <c r="L67" s="8">
        <v>85.42</v>
      </c>
      <c r="M67" s="8">
        <v>85.45</v>
      </c>
      <c r="N67" s="8">
        <v>85.55</v>
      </c>
      <c r="O67" s="8">
        <v>85.61</v>
      </c>
      <c r="P67" s="8">
        <v>86.266949365794858</v>
      </c>
      <c r="Q67" s="8">
        <v>87.592174895713242</v>
      </c>
      <c r="R67" s="8">
        <v>87.020841431180997</v>
      </c>
      <c r="S67" s="9">
        <f t="shared" ref="S67:S130" si="2">COUNT(G67:R67)</f>
        <v>12</v>
      </c>
      <c r="T67" s="8"/>
      <c r="U67" s="16">
        <f t="shared" ref="U67:U130" si="3">IF(SUMIF($F$1:$R$1,U$1,$F67:$R67)=0,".",SUMIF($F$1:$R$1,U$1,$F67:$R67))</f>
        <v>83.4</v>
      </c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</row>
    <row r="68" spans="1:32" x14ac:dyDescent="0.25">
      <c r="A68" s="2">
        <v>67</v>
      </c>
      <c r="B68" s="3" t="s">
        <v>92</v>
      </c>
      <c r="C68" t="s">
        <v>92</v>
      </c>
      <c r="D68" t="s">
        <v>16</v>
      </c>
      <c r="E68">
        <v>16</v>
      </c>
      <c r="F68" s="8">
        <v>32.53</v>
      </c>
      <c r="G68" s="8">
        <v>32.53</v>
      </c>
      <c r="H68" s="8">
        <v>32.369999999999997</v>
      </c>
      <c r="I68" s="8">
        <v>32.51</v>
      </c>
      <c r="J68" s="8">
        <v>33.39</v>
      </c>
      <c r="K68" s="8">
        <v>33.480000000000004</v>
      </c>
      <c r="L68" s="8">
        <v>33.53</v>
      </c>
      <c r="M68" s="8">
        <v>33.61</v>
      </c>
      <c r="N68" s="8">
        <v>33.700000000000003</v>
      </c>
      <c r="O68" s="8">
        <v>33.799999999999997</v>
      </c>
      <c r="P68" s="8">
        <v>33.974669534737188</v>
      </c>
      <c r="Q68" s="8">
        <v>34.174175044838591</v>
      </c>
      <c r="R68" s="8">
        <v>34.589285487165</v>
      </c>
      <c r="S68" s="9">
        <f t="shared" si="2"/>
        <v>12</v>
      </c>
      <c r="T68" s="8"/>
      <c r="U68" s="16">
        <f t="shared" si="3"/>
        <v>32.369999999999997</v>
      </c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</row>
    <row r="69" spans="1:32" x14ac:dyDescent="0.25">
      <c r="A69" s="2">
        <v>68</v>
      </c>
      <c r="B69" s="3" t="s">
        <v>93</v>
      </c>
      <c r="C69" t="s">
        <v>93</v>
      </c>
      <c r="D69" t="s">
        <v>33</v>
      </c>
      <c r="E69">
        <v>16</v>
      </c>
      <c r="F69" s="8">
        <v>73.850000000000009</v>
      </c>
      <c r="G69" s="8">
        <v>73.850000000000009</v>
      </c>
      <c r="H69" s="8">
        <v>73.92</v>
      </c>
      <c r="I69" s="8">
        <v>74.11</v>
      </c>
      <c r="J69" s="8">
        <v>74.180000000000007</v>
      </c>
      <c r="K69" s="8">
        <v>74.3</v>
      </c>
      <c r="L69" s="8">
        <v>76.900000000000006</v>
      </c>
      <c r="M69" s="8">
        <v>77.02</v>
      </c>
      <c r="N69" s="8">
        <v>76.98</v>
      </c>
      <c r="O69" s="8">
        <v>77.06</v>
      </c>
      <c r="P69" s="8">
        <v>78.248934681706942</v>
      </c>
      <c r="Q69" s="8">
        <v>78.326663037568778</v>
      </c>
      <c r="R69" s="8">
        <v>79.33698423252963</v>
      </c>
      <c r="S69" s="9">
        <f t="shared" si="2"/>
        <v>12</v>
      </c>
      <c r="T69" s="8"/>
      <c r="U69" s="16">
        <f t="shared" si="3"/>
        <v>73.92</v>
      </c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</row>
    <row r="70" spans="1:32" x14ac:dyDescent="0.25">
      <c r="A70" s="2">
        <v>69</v>
      </c>
      <c r="B70" s="3" t="s">
        <v>94</v>
      </c>
      <c r="C70" t="s">
        <v>94</v>
      </c>
      <c r="D70" t="s">
        <v>23</v>
      </c>
      <c r="E70">
        <v>16</v>
      </c>
      <c r="F70" s="8">
        <v>91.33</v>
      </c>
      <c r="G70" s="8">
        <v>91.33</v>
      </c>
      <c r="H70" s="8">
        <v>91.43</v>
      </c>
      <c r="I70" s="8">
        <v>89.31</v>
      </c>
      <c r="J70" s="8">
        <v>89.320000000000007</v>
      </c>
      <c r="K70" s="8">
        <v>86.58</v>
      </c>
      <c r="L70" s="8">
        <v>87.100000000000009</v>
      </c>
      <c r="M70" s="8">
        <v>87.28</v>
      </c>
      <c r="N70" s="8">
        <v>87.600000000000009</v>
      </c>
      <c r="O70" s="8">
        <v>87.89</v>
      </c>
      <c r="P70" s="8">
        <v>85.784440637260559</v>
      </c>
      <c r="Q70" s="8">
        <v>85.701853677619511</v>
      </c>
      <c r="R70" s="8">
        <v>85.456509060157259</v>
      </c>
      <c r="S70" s="9">
        <f t="shared" si="2"/>
        <v>12</v>
      </c>
      <c r="T70" s="8"/>
      <c r="U70" s="16">
        <f t="shared" si="3"/>
        <v>91.43</v>
      </c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</row>
    <row r="71" spans="1:32" x14ac:dyDescent="0.25">
      <c r="A71" s="2">
        <v>70</v>
      </c>
      <c r="B71" s="3" t="s">
        <v>95</v>
      </c>
      <c r="C71" t="s">
        <v>95</v>
      </c>
      <c r="D71" t="s">
        <v>7</v>
      </c>
      <c r="E71">
        <v>15</v>
      </c>
      <c r="F71" s="8">
        <v>91.960000000000008</v>
      </c>
      <c r="G71" s="8">
        <v>91.960000000000008</v>
      </c>
      <c r="H71" s="8">
        <v>91.92</v>
      </c>
      <c r="I71" s="8">
        <v>92.02</v>
      </c>
      <c r="J71" s="8">
        <v>92.12</v>
      </c>
      <c r="K71" s="8">
        <v>90.34</v>
      </c>
      <c r="L71" s="8">
        <v>90.43</v>
      </c>
      <c r="M71" s="8">
        <v>90.63</v>
      </c>
      <c r="N71" s="8">
        <v>90.710000000000008</v>
      </c>
      <c r="O71" s="8">
        <v>90.72</v>
      </c>
      <c r="P71" s="8">
        <v>90.28877458744256</v>
      </c>
      <c r="Q71" s="8">
        <v>89.600323981525491</v>
      </c>
      <c r="R71" s="8">
        <v>89.749172685136784</v>
      </c>
      <c r="S71" s="9">
        <f t="shared" si="2"/>
        <v>12</v>
      </c>
      <c r="T71" s="8"/>
      <c r="U71" s="16">
        <f t="shared" si="3"/>
        <v>91.92</v>
      </c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</row>
    <row r="72" spans="1:32" x14ac:dyDescent="0.25">
      <c r="A72" s="2">
        <v>71</v>
      </c>
      <c r="B72" s="3" t="s">
        <v>96</v>
      </c>
      <c r="C72" t="s">
        <v>96</v>
      </c>
      <c r="D72" t="s">
        <v>25</v>
      </c>
      <c r="E72">
        <v>6</v>
      </c>
      <c r="F72" s="8">
        <v>39.036666666666697</v>
      </c>
      <c r="G72" s="8">
        <v>39.036666666666697</v>
      </c>
      <c r="H72" s="8">
        <v>45.336666666666702</v>
      </c>
      <c r="I72" s="8">
        <v>51.636666666666699</v>
      </c>
      <c r="J72" s="8">
        <v>59.14</v>
      </c>
      <c r="K72" s="8">
        <v>61.83</v>
      </c>
      <c r="L72" s="8">
        <v>71.739999999999995</v>
      </c>
      <c r="M72" s="8">
        <v>72.19</v>
      </c>
      <c r="N72" s="8">
        <v>73.900000000000006</v>
      </c>
      <c r="O72" s="8">
        <v>80.960000000000008</v>
      </c>
      <c r="P72" s="8">
        <v>87.884449519360714</v>
      </c>
      <c r="Q72" s="8">
        <v>90.271124205013621</v>
      </c>
      <c r="R72" s="8">
        <v>86.919288812163359</v>
      </c>
      <c r="S72" s="9">
        <f t="shared" si="2"/>
        <v>12</v>
      </c>
      <c r="T72" s="8"/>
      <c r="U72" s="16">
        <f t="shared" si="3"/>
        <v>45.336666666666702</v>
      </c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</row>
    <row r="73" spans="1:32" x14ac:dyDescent="0.25">
      <c r="A73" s="2">
        <v>72</v>
      </c>
      <c r="B73" s="3" t="s">
        <v>97</v>
      </c>
      <c r="C73" t="s">
        <v>97</v>
      </c>
      <c r="D73" t="s">
        <v>25</v>
      </c>
      <c r="E73">
        <v>6</v>
      </c>
      <c r="F73" s="8">
        <v>51.713333333333303</v>
      </c>
      <c r="G73" s="8">
        <v>51.713333333333303</v>
      </c>
      <c r="H73" s="8">
        <v>54.983333333333299</v>
      </c>
      <c r="I73" s="8">
        <v>58.253333333333302</v>
      </c>
      <c r="J73" s="8">
        <v>60.97</v>
      </c>
      <c r="K73" s="8">
        <v>65.900000000000006</v>
      </c>
      <c r="L73" s="8">
        <v>67.510000000000005</v>
      </c>
      <c r="M73" s="8">
        <v>76.430000000000007</v>
      </c>
      <c r="N73" s="8">
        <v>77.930000000000007</v>
      </c>
      <c r="O73" s="8">
        <v>81.22</v>
      </c>
      <c r="P73" s="8">
        <v>81.406461164799111</v>
      </c>
      <c r="Q73" s="8">
        <v>98.214903919346398</v>
      </c>
      <c r="R73" s="8">
        <v>95.429846147630087</v>
      </c>
      <c r="S73" s="9">
        <f t="shared" si="2"/>
        <v>12</v>
      </c>
      <c r="T73" s="8"/>
      <c r="U73" s="16">
        <f t="shared" si="3"/>
        <v>54.983333333333299</v>
      </c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</row>
    <row r="74" spans="1:32" x14ac:dyDescent="0.25">
      <c r="A74" s="2">
        <v>73</v>
      </c>
      <c r="B74" s="3" t="s">
        <v>98</v>
      </c>
      <c r="C74" t="s">
        <v>98</v>
      </c>
      <c r="D74" t="s">
        <v>9</v>
      </c>
      <c r="E74">
        <v>16</v>
      </c>
      <c r="F74" s="8">
        <v>70.900000000000006</v>
      </c>
      <c r="G74" s="8">
        <v>70.900000000000006</v>
      </c>
      <c r="H74" s="8">
        <v>70.930000000000007</v>
      </c>
      <c r="I74" s="8">
        <v>67.260000000000005</v>
      </c>
      <c r="J74" s="8">
        <v>67.27</v>
      </c>
      <c r="K74" s="8">
        <v>67.53</v>
      </c>
      <c r="L74" s="8">
        <v>67.59</v>
      </c>
      <c r="M74" s="8">
        <v>67.790000000000006</v>
      </c>
      <c r="N74" s="8">
        <v>67.77</v>
      </c>
      <c r="O74" s="8">
        <v>67.790000000000006</v>
      </c>
      <c r="P74" s="8">
        <v>66.473631360102786</v>
      </c>
      <c r="Q74" s="8">
        <v>66.068084240450276</v>
      </c>
      <c r="R74" s="8">
        <v>65.850596456528706</v>
      </c>
      <c r="S74" s="9">
        <f t="shared" si="2"/>
        <v>12</v>
      </c>
      <c r="T74" s="8"/>
      <c r="U74" s="16">
        <f t="shared" si="3"/>
        <v>70.930000000000007</v>
      </c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</row>
    <row r="75" spans="1:32" x14ac:dyDescent="0.25">
      <c r="A75" s="2">
        <v>74</v>
      </c>
      <c r="B75" s="3" t="s">
        <v>99</v>
      </c>
      <c r="C75" t="s">
        <v>99</v>
      </c>
      <c r="D75" t="s">
        <v>9</v>
      </c>
      <c r="E75">
        <v>15</v>
      </c>
      <c r="F75" s="8">
        <v>62.74</v>
      </c>
      <c r="G75" s="8">
        <v>62.74</v>
      </c>
      <c r="H75" s="8">
        <v>62.02</v>
      </c>
      <c r="I75" s="8">
        <v>68.86</v>
      </c>
      <c r="J75" s="8">
        <v>73.84</v>
      </c>
      <c r="K75" s="8">
        <v>73.95</v>
      </c>
      <c r="L75" s="8">
        <v>73.45</v>
      </c>
      <c r="M75" s="8">
        <v>71.320000000000007</v>
      </c>
      <c r="N75" s="8">
        <v>75.87</v>
      </c>
      <c r="O75" s="8">
        <v>76.55</v>
      </c>
      <c r="P75" s="8">
        <v>76.179824865328555</v>
      </c>
      <c r="Q75" s="8">
        <v>81.378112945383236</v>
      </c>
      <c r="R75" s="8">
        <v>83.287378040597105</v>
      </c>
      <c r="S75" s="9">
        <f t="shared" si="2"/>
        <v>12</v>
      </c>
      <c r="T75" s="8"/>
      <c r="U75" s="16">
        <f t="shared" si="3"/>
        <v>62.02</v>
      </c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</row>
    <row r="76" spans="1:32" x14ac:dyDescent="0.25">
      <c r="A76" s="2">
        <v>75</v>
      </c>
      <c r="B76" s="3" t="s">
        <v>100</v>
      </c>
      <c r="C76" t="s">
        <v>100</v>
      </c>
      <c r="D76" t="s">
        <v>9</v>
      </c>
      <c r="E76">
        <v>16</v>
      </c>
      <c r="F76" s="8">
        <v>88.94</v>
      </c>
      <c r="G76" s="8">
        <v>88.94</v>
      </c>
      <c r="H76" s="8">
        <v>88.92</v>
      </c>
      <c r="I76" s="8">
        <v>88.710000000000008</v>
      </c>
      <c r="J76" s="8">
        <v>90.47</v>
      </c>
      <c r="K76" s="8">
        <v>90.54</v>
      </c>
      <c r="L76" s="8">
        <v>90.55</v>
      </c>
      <c r="M76" s="8">
        <v>92.28</v>
      </c>
      <c r="N76" s="8">
        <v>92.3</v>
      </c>
      <c r="O76" s="8">
        <v>92.350000000000009</v>
      </c>
      <c r="P76" s="8">
        <v>93.145177247919833</v>
      </c>
      <c r="Q76" s="8">
        <v>93.888138334708742</v>
      </c>
      <c r="R76" s="8">
        <v>94.147998256363849</v>
      </c>
      <c r="S76" s="9">
        <f t="shared" si="2"/>
        <v>12</v>
      </c>
      <c r="T76" s="8"/>
      <c r="U76" s="16">
        <f t="shared" si="3"/>
        <v>88.92</v>
      </c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</row>
    <row r="77" spans="1:32" x14ac:dyDescent="0.25">
      <c r="A77" s="2">
        <v>76</v>
      </c>
      <c r="B77" s="3" t="s">
        <v>101</v>
      </c>
      <c r="C77" t="s">
        <v>101</v>
      </c>
      <c r="D77" t="s">
        <v>23</v>
      </c>
      <c r="E77">
        <v>16</v>
      </c>
      <c r="F77" s="8">
        <v>86.7</v>
      </c>
      <c r="G77" s="8">
        <v>86.7</v>
      </c>
      <c r="H77" s="8">
        <v>86.75</v>
      </c>
      <c r="I77" s="8">
        <v>86.72</v>
      </c>
      <c r="J77" s="8">
        <v>86.97</v>
      </c>
      <c r="K77" s="8">
        <v>89.29</v>
      </c>
      <c r="L77" s="8">
        <v>89.460000000000008</v>
      </c>
      <c r="M77" s="8">
        <v>89.47</v>
      </c>
      <c r="N77" s="8">
        <v>89.5</v>
      </c>
      <c r="O77" s="8">
        <v>89.5</v>
      </c>
      <c r="P77" s="8">
        <v>91.117983430522031</v>
      </c>
      <c r="Q77" s="8">
        <v>91.125716274727665</v>
      </c>
      <c r="R77" s="8">
        <v>90.617595995702231</v>
      </c>
      <c r="S77" s="9">
        <f t="shared" si="2"/>
        <v>12</v>
      </c>
      <c r="T77" s="8"/>
      <c r="U77" s="16">
        <f t="shared" si="3"/>
        <v>86.75</v>
      </c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</row>
    <row r="78" spans="1:32" x14ac:dyDescent="0.25">
      <c r="A78" s="2">
        <v>77</v>
      </c>
      <c r="B78" s="3" t="s">
        <v>102</v>
      </c>
      <c r="C78" t="s">
        <v>11</v>
      </c>
      <c r="D78" t="s">
        <v>14</v>
      </c>
      <c r="E78">
        <v>0</v>
      </c>
      <c r="F78" s="8" t="s">
        <v>12</v>
      </c>
      <c r="G78" s="8" t="s">
        <v>12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9">
        <f t="shared" si="2"/>
        <v>0</v>
      </c>
      <c r="T78" s="8"/>
      <c r="U78" s="16" t="str">
        <f t="shared" si="3"/>
        <v>.</v>
      </c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</row>
    <row r="79" spans="1:32" x14ac:dyDescent="0.25">
      <c r="A79" s="2">
        <v>78</v>
      </c>
      <c r="B79" s="3" t="s">
        <v>103</v>
      </c>
      <c r="C79" t="s">
        <v>103</v>
      </c>
      <c r="D79" t="s">
        <v>16</v>
      </c>
      <c r="E79">
        <v>16</v>
      </c>
      <c r="F79" s="8">
        <v>90.12</v>
      </c>
      <c r="G79" s="8">
        <v>90.12</v>
      </c>
      <c r="H79" s="8">
        <v>90.11</v>
      </c>
      <c r="I79" s="8">
        <v>90.17</v>
      </c>
      <c r="J79" s="8">
        <v>91.93</v>
      </c>
      <c r="K79" s="8">
        <v>94.27</v>
      </c>
      <c r="L79" s="8">
        <v>97.28</v>
      </c>
      <c r="M79" s="8">
        <v>95.61</v>
      </c>
      <c r="N79" s="8">
        <v>97.3</v>
      </c>
      <c r="O79" s="8">
        <v>97.350000000000009</v>
      </c>
      <c r="P79" s="8">
        <v>98.820524748381104</v>
      </c>
      <c r="Q79" s="8">
        <v>91.05264846858968</v>
      </c>
      <c r="R79" s="8">
        <v>98.946918151823638</v>
      </c>
      <c r="S79" s="9">
        <f t="shared" si="2"/>
        <v>12</v>
      </c>
      <c r="T79" s="8"/>
      <c r="U79" s="16">
        <f t="shared" si="3"/>
        <v>90.11</v>
      </c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</row>
    <row r="80" spans="1:32" x14ac:dyDescent="0.25">
      <c r="A80" s="2">
        <v>79</v>
      </c>
      <c r="B80" s="3" t="s">
        <v>104</v>
      </c>
      <c r="C80" t="s">
        <v>104</v>
      </c>
      <c r="D80" t="s">
        <v>25</v>
      </c>
      <c r="E80">
        <v>6</v>
      </c>
      <c r="F80" s="8">
        <v>85.786666666666704</v>
      </c>
      <c r="G80" s="8">
        <v>85.786666666666704</v>
      </c>
      <c r="H80" s="8">
        <v>85.851666666666702</v>
      </c>
      <c r="I80" s="8">
        <v>85.9166666666667</v>
      </c>
      <c r="J80" s="8">
        <v>85.960000000000008</v>
      </c>
      <c r="K80" s="8">
        <v>86.09</v>
      </c>
      <c r="L80" s="8">
        <v>86.09</v>
      </c>
      <c r="M80" s="8">
        <v>86.09</v>
      </c>
      <c r="N80" s="8">
        <v>86.100000000000009</v>
      </c>
      <c r="O80" s="8">
        <v>86.100000000000009</v>
      </c>
      <c r="P80" s="8">
        <v>86.142318278533281</v>
      </c>
      <c r="Q80" s="8">
        <v>86.167517701285178</v>
      </c>
      <c r="R80" s="8">
        <v>86.186628195758175</v>
      </c>
      <c r="S80" s="9">
        <f t="shared" si="2"/>
        <v>12</v>
      </c>
      <c r="T80" s="8"/>
      <c r="U80" s="16">
        <f t="shared" si="3"/>
        <v>85.851666666666702</v>
      </c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</row>
    <row r="81" spans="1:32" x14ac:dyDescent="0.25">
      <c r="A81" s="2">
        <v>80</v>
      </c>
      <c r="B81" s="3" t="s">
        <v>105</v>
      </c>
      <c r="C81" t="s">
        <v>105</v>
      </c>
      <c r="D81" t="s">
        <v>9</v>
      </c>
      <c r="E81">
        <v>16</v>
      </c>
      <c r="F81" s="8">
        <v>83.13</v>
      </c>
      <c r="G81" s="8">
        <v>83.13</v>
      </c>
      <c r="H81" s="8">
        <v>84.710000000000008</v>
      </c>
      <c r="I81" s="8">
        <v>84.73</v>
      </c>
      <c r="J81" s="8">
        <v>84.86</v>
      </c>
      <c r="K81" s="8">
        <v>84.960000000000008</v>
      </c>
      <c r="L81" s="8">
        <v>85.04</v>
      </c>
      <c r="M81" s="8">
        <v>84.84</v>
      </c>
      <c r="N81" s="8">
        <v>84.4</v>
      </c>
      <c r="O81" s="8">
        <v>84.43</v>
      </c>
      <c r="P81" s="8">
        <v>85.003544326574854</v>
      </c>
      <c r="Q81" s="8">
        <v>85.038260472121323</v>
      </c>
      <c r="R81" s="8">
        <v>84.972363261349017</v>
      </c>
      <c r="S81" s="9">
        <f t="shared" si="2"/>
        <v>12</v>
      </c>
      <c r="T81" s="8"/>
      <c r="U81" s="16">
        <f t="shared" si="3"/>
        <v>84.710000000000008</v>
      </c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</row>
    <row r="82" spans="1:32" x14ac:dyDescent="0.25">
      <c r="A82" s="2">
        <v>81</v>
      </c>
      <c r="B82" s="3" t="s">
        <v>106</v>
      </c>
      <c r="C82" t="s">
        <v>106</v>
      </c>
      <c r="D82" t="s">
        <v>25</v>
      </c>
      <c r="E82">
        <v>16</v>
      </c>
      <c r="F82" s="8">
        <v>83.92</v>
      </c>
      <c r="G82" s="8">
        <v>83.92</v>
      </c>
      <c r="H82" s="8">
        <v>84.09</v>
      </c>
      <c r="I82" s="8">
        <v>84.94</v>
      </c>
      <c r="J82" s="8">
        <v>86.7</v>
      </c>
      <c r="K82" s="8">
        <v>87.22</v>
      </c>
      <c r="L82" s="8">
        <v>89.95</v>
      </c>
      <c r="M82" s="8">
        <v>91.94</v>
      </c>
      <c r="N82" s="8">
        <v>91.95</v>
      </c>
      <c r="O82" s="8">
        <v>92.960000000000008</v>
      </c>
      <c r="P82" s="8">
        <v>92.674273143332357</v>
      </c>
      <c r="Q82" s="8">
        <v>94.671742452625949</v>
      </c>
      <c r="R82" s="8">
        <v>98.212464006753635</v>
      </c>
      <c r="S82" s="9">
        <f t="shared" si="2"/>
        <v>12</v>
      </c>
      <c r="T82" s="8"/>
      <c r="U82" s="16">
        <f t="shared" si="3"/>
        <v>84.09</v>
      </c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</row>
    <row r="83" spans="1:32" x14ac:dyDescent="0.25">
      <c r="A83" s="2">
        <v>82</v>
      </c>
      <c r="B83" s="3" t="s">
        <v>107</v>
      </c>
      <c r="C83" t="s">
        <v>107</v>
      </c>
      <c r="D83" t="s">
        <v>14</v>
      </c>
      <c r="E83">
        <v>16</v>
      </c>
      <c r="F83" s="8">
        <v>65.820000000000007</v>
      </c>
      <c r="G83" s="8">
        <v>65.820000000000007</v>
      </c>
      <c r="H83" s="8">
        <v>65.53</v>
      </c>
      <c r="I83" s="8">
        <v>68</v>
      </c>
      <c r="J83" s="8">
        <v>68.38</v>
      </c>
      <c r="K83" s="8">
        <v>67.680000000000007</v>
      </c>
      <c r="L83" s="8">
        <v>70</v>
      </c>
      <c r="M83" s="8">
        <v>79.31</v>
      </c>
      <c r="N83" s="8">
        <v>82.23</v>
      </c>
      <c r="O83" s="8">
        <v>82.41</v>
      </c>
      <c r="P83" s="8">
        <v>82.182605605172284</v>
      </c>
      <c r="Q83" s="8">
        <v>87.095057138429183</v>
      </c>
      <c r="R83" s="8">
        <v>78.38172794312959</v>
      </c>
      <c r="S83" s="9">
        <f t="shared" si="2"/>
        <v>12</v>
      </c>
      <c r="T83" s="8"/>
      <c r="U83" s="16">
        <f t="shared" si="3"/>
        <v>65.53</v>
      </c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</row>
    <row r="84" spans="1:32" x14ac:dyDescent="0.25">
      <c r="A84" s="2">
        <v>83</v>
      </c>
      <c r="B84" s="3" t="s">
        <v>108</v>
      </c>
      <c r="C84" t="s">
        <v>108</v>
      </c>
      <c r="D84" t="s">
        <v>7</v>
      </c>
      <c r="E84">
        <v>10</v>
      </c>
      <c r="F84" s="8">
        <v>61.7</v>
      </c>
      <c r="G84" s="8">
        <v>61.7</v>
      </c>
      <c r="H84" s="8">
        <v>62.440000000000005</v>
      </c>
      <c r="I84" s="8">
        <v>74.150000000000006</v>
      </c>
      <c r="J84" s="8">
        <v>84.19</v>
      </c>
      <c r="K84" s="8">
        <v>93.05</v>
      </c>
      <c r="L84" s="8">
        <v>93.06</v>
      </c>
      <c r="M84" s="8">
        <v>95.54</v>
      </c>
      <c r="N84" s="8">
        <v>95.67</v>
      </c>
      <c r="O84" s="8">
        <v>95.68</v>
      </c>
      <c r="P84" s="8">
        <v>85.495981017385574</v>
      </c>
      <c r="Q84" s="8">
        <v>97.622647360977524</v>
      </c>
      <c r="R84" s="8">
        <v>97.97203211992516</v>
      </c>
      <c r="S84" s="9">
        <f t="shared" si="2"/>
        <v>12</v>
      </c>
      <c r="T84" s="8"/>
      <c r="U84" s="16">
        <f t="shared" si="3"/>
        <v>62.440000000000005</v>
      </c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</row>
    <row r="85" spans="1:32" x14ac:dyDescent="0.25">
      <c r="A85" s="2">
        <v>84</v>
      </c>
      <c r="B85" s="3" t="s">
        <v>109</v>
      </c>
      <c r="C85" t="s">
        <v>109</v>
      </c>
      <c r="D85" t="s">
        <v>9</v>
      </c>
      <c r="E85">
        <v>16</v>
      </c>
      <c r="F85" s="8">
        <v>67.489999999999995</v>
      </c>
      <c r="G85" s="8">
        <v>67.489999999999995</v>
      </c>
      <c r="H85" s="8">
        <v>70.42</v>
      </c>
      <c r="I85" s="8">
        <v>71.38</v>
      </c>
      <c r="J85" s="8">
        <v>70.02</v>
      </c>
      <c r="K85" s="8">
        <v>70.42</v>
      </c>
      <c r="L85" s="8">
        <v>74.510000000000005</v>
      </c>
      <c r="M85" s="8">
        <v>66.77</v>
      </c>
      <c r="N85" s="8">
        <v>77.210000000000008</v>
      </c>
      <c r="O85" s="8">
        <v>81.400000000000006</v>
      </c>
      <c r="P85" s="8">
        <v>83.285959900517355</v>
      </c>
      <c r="Q85" s="8">
        <v>82.514718401007485</v>
      </c>
      <c r="R85" s="8">
        <v>81.668253374660253</v>
      </c>
      <c r="S85" s="9">
        <f t="shared" si="2"/>
        <v>12</v>
      </c>
      <c r="T85" s="8"/>
      <c r="U85" s="16">
        <f t="shared" si="3"/>
        <v>70.42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</row>
    <row r="86" spans="1:32" x14ac:dyDescent="0.25">
      <c r="A86" s="2">
        <v>85</v>
      </c>
      <c r="B86" s="3" t="s">
        <v>110</v>
      </c>
      <c r="C86" t="s">
        <v>110</v>
      </c>
      <c r="D86" t="s">
        <v>25</v>
      </c>
      <c r="E86">
        <v>0</v>
      </c>
      <c r="F86" s="8" t="s">
        <v>12</v>
      </c>
      <c r="G86" s="8" t="s">
        <v>12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 t="s">
        <v>12</v>
      </c>
      <c r="Q86" s="8" t="s">
        <v>12</v>
      </c>
      <c r="R86" s="8" t="s">
        <v>12</v>
      </c>
      <c r="S86" s="9">
        <f t="shared" si="2"/>
        <v>0</v>
      </c>
      <c r="T86" s="8"/>
      <c r="U86" s="16" t="str">
        <f t="shared" si="3"/>
        <v>.</v>
      </c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</row>
    <row r="87" spans="1:32" x14ac:dyDescent="0.25">
      <c r="A87" s="2">
        <v>86</v>
      </c>
      <c r="B87" s="3" t="s">
        <v>111</v>
      </c>
      <c r="C87" t="s">
        <v>111</v>
      </c>
      <c r="D87" t="s">
        <v>23</v>
      </c>
      <c r="E87">
        <v>16</v>
      </c>
      <c r="F87" s="8">
        <v>89.16</v>
      </c>
      <c r="G87" s="8">
        <v>89.16</v>
      </c>
      <c r="H87" s="8">
        <v>91.5</v>
      </c>
      <c r="I87" s="8">
        <v>91.53</v>
      </c>
      <c r="J87" s="8">
        <v>92.33</v>
      </c>
      <c r="K87" s="8">
        <v>92.04</v>
      </c>
      <c r="L87" s="8">
        <v>94.11</v>
      </c>
      <c r="M87" s="8">
        <v>94.11</v>
      </c>
      <c r="N87" s="8">
        <v>94.11</v>
      </c>
      <c r="O87" s="8">
        <v>94.13</v>
      </c>
      <c r="P87" s="8">
        <v>96.064971781038139</v>
      </c>
      <c r="Q87" s="8">
        <v>95.092287752436505</v>
      </c>
      <c r="R87" s="8">
        <v>96.765111803168793</v>
      </c>
      <c r="S87" s="9">
        <f t="shared" si="2"/>
        <v>12</v>
      </c>
      <c r="T87" s="8"/>
      <c r="U87" s="16">
        <f t="shared" si="3"/>
        <v>91.5</v>
      </c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</row>
    <row r="88" spans="1:32" x14ac:dyDescent="0.25">
      <c r="A88" s="2">
        <v>87</v>
      </c>
      <c r="B88" s="3" t="s">
        <v>112</v>
      </c>
      <c r="C88" t="s">
        <v>112</v>
      </c>
      <c r="D88" t="s">
        <v>9</v>
      </c>
      <c r="E88">
        <v>16</v>
      </c>
      <c r="F88" s="8">
        <v>74.17</v>
      </c>
      <c r="G88" s="8">
        <v>74.17</v>
      </c>
      <c r="H88" s="8">
        <v>75.45</v>
      </c>
      <c r="I88" s="8">
        <v>79.430000000000007</v>
      </c>
      <c r="J88" s="8">
        <v>79.510000000000005</v>
      </c>
      <c r="K88" s="8">
        <v>79.8</v>
      </c>
      <c r="L88" s="8">
        <v>79.72</v>
      </c>
      <c r="M88" s="8">
        <v>78.45</v>
      </c>
      <c r="N88" s="8">
        <v>78.17</v>
      </c>
      <c r="O88" s="8">
        <v>78.63</v>
      </c>
      <c r="P88" s="8">
        <v>80.184831032282432</v>
      </c>
      <c r="Q88" s="8">
        <v>81.301325863001239</v>
      </c>
      <c r="R88" s="8">
        <v>80.195593433000795</v>
      </c>
      <c r="S88" s="9">
        <f t="shared" si="2"/>
        <v>12</v>
      </c>
      <c r="T88" s="8"/>
      <c r="U88" s="16">
        <f t="shared" si="3"/>
        <v>75.45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</row>
    <row r="89" spans="1:32" x14ac:dyDescent="0.25">
      <c r="A89" s="2">
        <v>88</v>
      </c>
      <c r="B89" s="3" t="s">
        <v>113</v>
      </c>
      <c r="C89" t="s">
        <v>113</v>
      </c>
      <c r="D89" t="s">
        <v>14</v>
      </c>
      <c r="E89">
        <v>16</v>
      </c>
      <c r="F89" s="8">
        <v>77.5</v>
      </c>
      <c r="G89" s="8">
        <v>77.5</v>
      </c>
      <c r="H89" s="8">
        <v>77.69</v>
      </c>
      <c r="I89" s="8">
        <v>82.39</v>
      </c>
      <c r="J89" s="8">
        <v>82.59</v>
      </c>
      <c r="K89" s="8">
        <v>82.84</v>
      </c>
      <c r="L89" s="8">
        <v>82.850000000000009</v>
      </c>
      <c r="M89" s="8">
        <v>83</v>
      </c>
      <c r="N89" s="8">
        <v>83.06</v>
      </c>
      <c r="O89" s="8">
        <v>83.13</v>
      </c>
      <c r="P89" s="8">
        <v>85.148617621627182</v>
      </c>
      <c r="Q89" s="8">
        <v>86.095671650252143</v>
      </c>
      <c r="R89" s="8">
        <v>88.284095332677452</v>
      </c>
      <c r="S89" s="9">
        <f t="shared" si="2"/>
        <v>12</v>
      </c>
      <c r="T89" s="8"/>
      <c r="U89" s="16">
        <f t="shared" si="3"/>
        <v>77.69</v>
      </c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</row>
    <row r="90" spans="1:32" x14ac:dyDescent="0.25">
      <c r="A90" s="2">
        <v>89</v>
      </c>
      <c r="B90" s="3" t="s">
        <v>114</v>
      </c>
      <c r="C90" t="s">
        <v>114</v>
      </c>
      <c r="D90" t="s">
        <v>14</v>
      </c>
      <c r="E90">
        <v>13</v>
      </c>
      <c r="F90" s="8">
        <v>76.460000000000008</v>
      </c>
      <c r="G90" s="8">
        <v>76.460000000000008</v>
      </c>
      <c r="H90" s="8">
        <v>83.93</v>
      </c>
      <c r="I90" s="8">
        <v>85.89</v>
      </c>
      <c r="J90" s="8">
        <v>90.350000000000009</v>
      </c>
      <c r="K90" s="8">
        <v>90.56</v>
      </c>
      <c r="L90" s="8">
        <v>90.64</v>
      </c>
      <c r="M90" s="8">
        <v>90.64</v>
      </c>
      <c r="N90" s="8">
        <v>90.77</v>
      </c>
      <c r="O90" s="8">
        <v>88.14</v>
      </c>
      <c r="P90" s="8">
        <v>94.025493749236375</v>
      </c>
      <c r="Q90" s="8">
        <v>94.097597196323932</v>
      </c>
      <c r="R90" s="8">
        <v>97.376185949065075</v>
      </c>
      <c r="S90" s="9">
        <f t="shared" si="2"/>
        <v>12</v>
      </c>
      <c r="T90" s="8"/>
      <c r="U90" s="16">
        <f t="shared" si="3"/>
        <v>83.93</v>
      </c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</row>
    <row r="91" spans="1:32" x14ac:dyDescent="0.25">
      <c r="A91" s="2">
        <v>90</v>
      </c>
      <c r="B91" s="3" t="s">
        <v>115</v>
      </c>
      <c r="C91" t="s">
        <v>115</v>
      </c>
      <c r="D91" t="s">
        <v>9</v>
      </c>
      <c r="E91">
        <v>7</v>
      </c>
      <c r="F91" s="8">
        <v>72</v>
      </c>
      <c r="G91" s="8">
        <v>72</v>
      </c>
      <c r="H91" s="8">
        <v>72.344999999999999</v>
      </c>
      <c r="I91" s="8">
        <v>71.36</v>
      </c>
      <c r="J91" s="8">
        <v>74.55</v>
      </c>
      <c r="K91" s="8">
        <v>74.34</v>
      </c>
      <c r="L91" s="8">
        <v>72.58</v>
      </c>
      <c r="M91" s="8">
        <v>71.48</v>
      </c>
      <c r="N91" s="8">
        <v>71.72</v>
      </c>
      <c r="O91" s="8">
        <v>73.56</v>
      </c>
      <c r="P91" s="8">
        <v>72.625532999739363</v>
      </c>
      <c r="Q91" s="8">
        <v>72.409037337912025</v>
      </c>
      <c r="R91" s="8">
        <v>72.613900285464155</v>
      </c>
      <c r="S91" s="9">
        <f t="shared" si="2"/>
        <v>12</v>
      </c>
      <c r="T91" s="8"/>
      <c r="U91" s="16">
        <f t="shared" si="3"/>
        <v>72.344999999999999</v>
      </c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</row>
    <row r="92" spans="1:32" x14ac:dyDescent="0.25">
      <c r="A92" s="2">
        <v>91</v>
      </c>
      <c r="B92" s="3" t="s">
        <v>116</v>
      </c>
      <c r="C92" t="s">
        <v>116</v>
      </c>
      <c r="D92" t="s">
        <v>7</v>
      </c>
      <c r="E92">
        <v>0</v>
      </c>
      <c r="F92" s="8" t="s">
        <v>12</v>
      </c>
      <c r="G92" s="8" t="s">
        <v>12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 t="s">
        <v>12</v>
      </c>
      <c r="Q92" s="8" t="s">
        <v>12</v>
      </c>
      <c r="R92" s="8" t="s">
        <v>12</v>
      </c>
      <c r="S92" s="9">
        <f t="shared" si="2"/>
        <v>0</v>
      </c>
      <c r="T92" s="8"/>
      <c r="U92" s="16" t="str">
        <f t="shared" si="3"/>
        <v>.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</row>
    <row r="93" spans="1:32" x14ac:dyDescent="0.25">
      <c r="A93" s="2">
        <v>92</v>
      </c>
      <c r="B93" s="3" t="s">
        <v>117</v>
      </c>
      <c r="C93" t="s">
        <v>117</v>
      </c>
      <c r="D93" t="s">
        <v>23</v>
      </c>
      <c r="E93">
        <v>16</v>
      </c>
      <c r="F93" s="8">
        <v>84.64</v>
      </c>
      <c r="G93" s="8">
        <v>84.64</v>
      </c>
      <c r="H93" s="8">
        <v>84.67</v>
      </c>
      <c r="I93" s="8">
        <v>84.320000000000007</v>
      </c>
      <c r="J93" s="8">
        <v>90.100000000000009</v>
      </c>
      <c r="K93" s="8">
        <v>92.44</v>
      </c>
      <c r="L93" s="8">
        <v>92.93</v>
      </c>
      <c r="M93" s="8">
        <v>92.98</v>
      </c>
      <c r="N93" s="8">
        <v>93.05</v>
      </c>
      <c r="O93" s="8">
        <v>93.18</v>
      </c>
      <c r="P93" s="8">
        <v>95.432718041030967</v>
      </c>
      <c r="Q93" s="8">
        <v>95.729577936873284</v>
      </c>
      <c r="R93" s="8">
        <v>98.008125360838847</v>
      </c>
      <c r="S93" s="9">
        <f t="shared" si="2"/>
        <v>12</v>
      </c>
      <c r="T93" s="8"/>
      <c r="U93" s="16">
        <f t="shared" si="3"/>
        <v>84.67</v>
      </c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</row>
    <row r="94" spans="1:32" x14ac:dyDescent="0.25">
      <c r="A94" s="2">
        <v>93</v>
      </c>
      <c r="B94" s="3" t="s">
        <v>118</v>
      </c>
      <c r="C94" t="s">
        <v>118</v>
      </c>
      <c r="D94" t="s">
        <v>23</v>
      </c>
      <c r="E94">
        <v>13</v>
      </c>
      <c r="F94" s="8">
        <v>88.34</v>
      </c>
      <c r="G94" s="8">
        <v>88.34</v>
      </c>
      <c r="H94" s="8">
        <v>88.54</v>
      </c>
      <c r="I94" s="8">
        <v>88.56</v>
      </c>
      <c r="J94" s="8">
        <v>88.570000000000007</v>
      </c>
      <c r="K94" s="8">
        <v>88.44</v>
      </c>
      <c r="L94" s="8">
        <v>88.43</v>
      </c>
      <c r="M94" s="8">
        <v>88.66</v>
      </c>
      <c r="N94" s="8">
        <v>88.76</v>
      </c>
      <c r="O94" s="8">
        <v>88.73</v>
      </c>
      <c r="P94" s="8">
        <v>88.747862565640773</v>
      </c>
      <c r="Q94" s="8">
        <v>88.786702651950407</v>
      </c>
      <c r="R94" s="8">
        <v>88.811043551089256</v>
      </c>
      <c r="S94" s="9">
        <f t="shared" si="2"/>
        <v>12</v>
      </c>
      <c r="T94" s="8"/>
      <c r="U94" s="16">
        <f t="shared" si="3"/>
        <v>88.54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</row>
    <row r="95" spans="1:32" x14ac:dyDescent="0.25">
      <c r="A95" s="2">
        <v>94</v>
      </c>
      <c r="B95" s="3" t="s">
        <v>119</v>
      </c>
      <c r="C95" t="s">
        <v>119</v>
      </c>
      <c r="D95" t="s">
        <v>14</v>
      </c>
      <c r="E95">
        <v>16</v>
      </c>
      <c r="F95" s="8">
        <v>63.050000000000004</v>
      </c>
      <c r="G95" s="8">
        <v>63.050000000000004</v>
      </c>
      <c r="H95" s="8">
        <v>79.17</v>
      </c>
      <c r="I95" s="8">
        <v>79.42</v>
      </c>
      <c r="J95" s="8">
        <v>79.48</v>
      </c>
      <c r="K95" s="8">
        <v>79.75</v>
      </c>
      <c r="L95" s="8">
        <v>78.16</v>
      </c>
      <c r="M95" s="8">
        <v>81.760000000000005</v>
      </c>
      <c r="N95" s="8">
        <v>87.78</v>
      </c>
      <c r="O95" s="8">
        <v>88.100000000000009</v>
      </c>
      <c r="P95" s="8">
        <v>87.181721939300587</v>
      </c>
      <c r="Q95" s="8">
        <v>92.710058977060726</v>
      </c>
      <c r="R95" s="8">
        <v>92.44881492236982</v>
      </c>
      <c r="S95" s="9">
        <f t="shared" si="2"/>
        <v>12</v>
      </c>
      <c r="T95" s="8"/>
      <c r="U95" s="16">
        <f t="shared" si="3"/>
        <v>79.17</v>
      </c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</row>
    <row r="96" spans="1:32" x14ac:dyDescent="0.25">
      <c r="A96" s="2">
        <v>95</v>
      </c>
      <c r="B96" s="3" t="s">
        <v>120</v>
      </c>
      <c r="C96" t="s">
        <v>120</v>
      </c>
      <c r="D96" t="s">
        <v>14</v>
      </c>
      <c r="E96">
        <v>16</v>
      </c>
      <c r="F96" s="8">
        <v>64.290000000000006</v>
      </c>
      <c r="G96" s="8">
        <v>64.290000000000006</v>
      </c>
      <c r="H96" s="8">
        <v>66.489999999999995</v>
      </c>
      <c r="I96" s="8">
        <v>60.03</v>
      </c>
      <c r="J96" s="8">
        <v>61.83</v>
      </c>
      <c r="K96" s="8">
        <v>66.960000000000008</v>
      </c>
      <c r="L96" s="8">
        <v>69.710000000000008</v>
      </c>
      <c r="M96" s="8">
        <v>76.73</v>
      </c>
      <c r="N96" s="8">
        <v>76.430000000000007</v>
      </c>
      <c r="O96" s="8">
        <v>77.180000000000007</v>
      </c>
      <c r="P96" s="8">
        <v>78.479651033205755</v>
      </c>
      <c r="Q96" s="8">
        <v>88.777656748458412</v>
      </c>
      <c r="R96" s="8">
        <v>91.36648541992281</v>
      </c>
      <c r="S96" s="9">
        <f t="shared" si="2"/>
        <v>12</v>
      </c>
      <c r="T96" s="8"/>
      <c r="U96" s="16">
        <f t="shared" si="3"/>
        <v>66.489999999999995</v>
      </c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</row>
    <row r="97" spans="1:32" x14ac:dyDescent="0.25">
      <c r="A97" s="2">
        <v>96</v>
      </c>
      <c r="B97" s="3" t="s">
        <v>121</v>
      </c>
      <c r="C97" t="s">
        <v>121</v>
      </c>
      <c r="D97" t="s">
        <v>25</v>
      </c>
      <c r="E97">
        <v>16</v>
      </c>
      <c r="F97" s="8">
        <v>81.05</v>
      </c>
      <c r="G97" s="8">
        <v>81.05</v>
      </c>
      <c r="H97" s="8">
        <v>87.850000000000009</v>
      </c>
      <c r="I97" s="8">
        <v>87.76</v>
      </c>
      <c r="J97" s="8">
        <v>88.7</v>
      </c>
      <c r="K97" s="8">
        <v>89.25</v>
      </c>
      <c r="L97" s="8">
        <v>89.31</v>
      </c>
      <c r="M97" s="8">
        <v>80</v>
      </c>
      <c r="N97" s="8">
        <v>80.14</v>
      </c>
      <c r="O97" s="8">
        <v>82.78</v>
      </c>
      <c r="P97" s="8">
        <v>81.829873088981685</v>
      </c>
      <c r="Q97" s="8">
        <v>81.211852119512287</v>
      </c>
      <c r="R97" s="8">
        <v>82.286574092624505</v>
      </c>
      <c r="S97" s="9">
        <f t="shared" si="2"/>
        <v>12</v>
      </c>
      <c r="T97" s="8"/>
      <c r="U97" s="16">
        <f t="shared" si="3"/>
        <v>87.850000000000009</v>
      </c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</row>
    <row r="98" spans="1:32" x14ac:dyDescent="0.25">
      <c r="A98" s="2">
        <v>97</v>
      </c>
      <c r="B98" s="3" t="s">
        <v>122</v>
      </c>
      <c r="C98" t="s">
        <v>122</v>
      </c>
      <c r="D98" t="s">
        <v>25</v>
      </c>
      <c r="E98">
        <v>16</v>
      </c>
      <c r="F98" s="8">
        <v>88.350000000000009</v>
      </c>
      <c r="G98" s="8">
        <v>88.350000000000009</v>
      </c>
      <c r="H98" s="8">
        <v>88.42</v>
      </c>
      <c r="I98" s="8">
        <v>88.87</v>
      </c>
      <c r="J98" s="8">
        <v>88.83</v>
      </c>
      <c r="K98" s="8">
        <v>88.84</v>
      </c>
      <c r="L98" s="8">
        <v>89.03</v>
      </c>
      <c r="M98" s="8">
        <v>88.98</v>
      </c>
      <c r="N98" s="8">
        <v>89.06</v>
      </c>
      <c r="O98" s="8">
        <v>89.17</v>
      </c>
      <c r="P98" s="8">
        <v>89.320093837553912</v>
      </c>
      <c r="Q98" s="8">
        <v>89.420968316184712</v>
      </c>
      <c r="R98" s="8">
        <v>89.521889505723891</v>
      </c>
      <c r="S98" s="9">
        <f t="shared" si="2"/>
        <v>12</v>
      </c>
      <c r="T98" s="8"/>
      <c r="U98" s="16">
        <f t="shared" si="3"/>
        <v>88.42</v>
      </c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</row>
    <row r="99" spans="1:32" x14ac:dyDescent="0.25">
      <c r="A99" s="2">
        <v>98</v>
      </c>
      <c r="B99" s="3" t="s">
        <v>123</v>
      </c>
      <c r="C99" t="s">
        <v>123</v>
      </c>
      <c r="D99" t="s">
        <v>14</v>
      </c>
      <c r="E99">
        <v>16</v>
      </c>
      <c r="F99" s="8">
        <v>61.63</v>
      </c>
      <c r="G99" s="8">
        <v>61.63</v>
      </c>
      <c r="H99" s="8">
        <v>60.620000000000005</v>
      </c>
      <c r="I99" s="8">
        <v>62.18</v>
      </c>
      <c r="J99" s="8">
        <v>63.45</v>
      </c>
      <c r="K99" s="8">
        <v>62.92</v>
      </c>
      <c r="L99" s="8">
        <v>66.05</v>
      </c>
      <c r="M99" s="8">
        <v>84.12</v>
      </c>
      <c r="N99" s="8">
        <v>83.83</v>
      </c>
      <c r="O99" s="8">
        <v>84.05</v>
      </c>
      <c r="P99" s="8">
        <v>73.280718395918484</v>
      </c>
      <c r="Q99" s="8">
        <v>98.228730400572204</v>
      </c>
      <c r="R99" s="8">
        <v>94.236640699629788</v>
      </c>
      <c r="S99" s="9">
        <f t="shared" si="2"/>
        <v>12</v>
      </c>
      <c r="T99" s="8"/>
      <c r="U99" s="16">
        <f t="shared" si="3"/>
        <v>60.620000000000005</v>
      </c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</row>
    <row r="100" spans="1:32" x14ac:dyDescent="0.25">
      <c r="A100" s="2">
        <v>99</v>
      </c>
      <c r="B100" s="3" t="s">
        <v>124</v>
      </c>
      <c r="C100" t="s">
        <v>124</v>
      </c>
      <c r="D100" t="s">
        <v>23</v>
      </c>
      <c r="E100">
        <v>8</v>
      </c>
      <c r="F100" s="8">
        <v>70.760000000000005</v>
      </c>
      <c r="G100" s="8">
        <v>70.760000000000005</v>
      </c>
      <c r="H100" s="8">
        <v>72.209999999999994</v>
      </c>
      <c r="I100" s="8">
        <v>73.66</v>
      </c>
      <c r="J100" s="8">
        <v>75.11</v>
      </c>
      <c r="K100" s="8">
        <v>76.56</v>
      </c>
      <c r="L100" s="8">
        <v>78.010000000000005</v>
      </c>
      <c r="M100" s="8">
        <v>80.210000000000008</v>
      </c>
      <c r="N100" s="8">
        <v>84.820000000000007</v>
      </c>
      <c r="O100" s="8">
        <v>84.86</v>
      </c>
      <c r="P100" s="8">
        <v>89.026078411585331</v>
      </c>
      <c r="Q100" s="8">
        <v>86.524727725772664</v>
      </c>
      <c r="R100" s="8">
        <v>86.501365411408187</v>
      </c>
      <c r="S100" s="9">
        <f t="shared" si="2"/>
        <v>12</v>
      </c>
      <c r="T100" s="8"/>
      <c r="U100" s="16">
        <f t="shared" si="3"/>
        <v>72.209999999999994</v>
      </c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</row>
    <row r="101" spans="1:32" x14ac:dyDescent="0.25">
      <c r="A101" s="2">
        <v>100</v>
      </c>
      <c r="B101" s="3" t="s">
        <v>125</v>
      </c>
      <c r="C101" t="s">
        <v>11</v>
      </c>
      <c r="D101" t="s">
        <v>16</v>
      </c>
      <c r="E101">
        <v>0</v>
      </c>
      <c r="F101" s="8" t="s">
        <v>12</v>
      </c>
      <c r="G101" s="8" t="s">
        <v>12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 t="s">
        <v>12</v>
      </c>
      <c r="Q101" s="8" t="s">
        <v>12</v>
      </c>
      <c r="R101" s="8" t="s">
        <v>12</v>
      </c>
      <c r="S101" s="9">
        <f t="shared" si="2"/>
        <v>0</v>
      </c>
      <c r="T101" s="8"/>
      <c r="U101" s="16" t="str">
        <f t="shared" si="3"/>
        <v>.</v>
      </c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</row>
    <row r="102" spans="1:32" x14ac:dyDescent="0.25">
      <c r="A102" s="2">
        <v>101</v>
      </c>
      <c r="B102" s="3" t="s">
        <v>126</v>
      </c>
      <c r="C102" t="s">
        <v>126</v>
      </c>
      <c r="D102" t="s">
        <v>14</v>
      </c>
      <c r="E102">
        <v>16</v>
      </c>
      <c r="F102" s="8">
        <v>51.59</v>
      </c>
      <c r="G102" s="8">
        <v>51.59</v>
      </c>
      <c r="H102" s="8">
        <v>56.620000000000005</v>
      </c>
      <c r="I102" s="8">
        <v>57.14</v>
      </c>
      <c r="J102" s="8">
        <v>58.17</v>
      </c>
      <c r="K102" s="8">
        <v>65.960000000000008</v>
      </c>
      <c r="L102" s="8">
        <v>86.87</v>
      </c>
      <c r="M102" s="8">
        <v>86.87</v>
      </c>
      <c r="N102" s="8">
        <v>91.8</v>
      </c>
      <c r="O102" s="8">
        <v>92.18</v>
      </c>
      <c r="P102" s="8">
        <v>99.242962312866439</v>
      </c>
      <c r="Q102" s="8">
        <v>82.238510975554163</v>
      </c>
      <c r="R102" s="8">
        <v>60.987442856667585</v>
      </c>
      <c r="S102" s="9">
        <f t="shared" si="2"/>
        <v>12</v>
      </c>
      <c r="T102" s="8"/>
      <c r="U102" s="16">
        <f t="shared" si="3"/>
        <v>56.620000000000005</v>
      </c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</row>
    <row r="103" spans="1:32" x14ac:dyDescent="0.25">
      <c r="A103" s="2">
        <v>102</v>
      </c>
      <c r="B103" s="3" t="s">
        <v>127</v>
      </c>
      <c r="C103" t="s">
        <v>127</v>
      </c>
      <c r="D103" t="s">
        <v>14</v>
      </c>
      <c r="E103">
        <v>15</v>
      </c>
      <c r="F103" s="8">
        <v>91.4</v>
      </c>
      <c r="G103" s="8">
        <v>91.4</v>
      </c>
      <c r="H103" s="8">
        <v>91.43</v>
      </c>
      <c r="I103" s="8">
        <v>91.460000000000008</v>
      </c>
      <c r="J103" s="8">
        <v>91.43</v>
      </c>
      <c r="K103" s="8">
        <v>91.61</v>
      </c>
      <c r="L103" s="8">
        <v>91.63</v>
      </c>
      <c r="M103" s="8">
        <v>91.65</v>
      </c>
      <c r="N103" s="8">
        <v>92</v>
      </c>
      <c r="O103" s="8">
        <v>94.34</v>
      </c>
      <c r="P103" s="8">
        <v>93.107876982540972</v>
      </c>
      <c r="Q103" s="8">
        <v>93.469564874157072</v>
      </c>
      <c r="R103" s="8">
        <v>93.56375479707242</v>
      </c>
      <c r="S103" s="9">
        <f t="shared" si="2"/>
        <v>12</v>
      </c>
      <c r="T103" s="8"/>
      <c r="U103" s="16">
        <f t="shared" si="3"/>
        <v>91.43</v>
      </c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</row>
    <row r="104" spans="1:32" x14ac:dyDescent="0.25">
      <c r="A104" s="2">
        <v>103</v>
      </c>
      <c r="B104" s="3" t="s">
        <v>128</v>
      </c>
      <c r="C104" t="s">
        <v>128</v>
      </c>
      <c r="D104" t="s">
        <v>33</v>
      </c>
      <c r="E104">
        <v>6</v>
      </c>
      <c r="F104" s="8">
        <v>86.75</v>
      </c>
      <c r="G104" s="8">
        <v>86.75</v>
      </c>
      <c r="H104" s="8">
        <v>86.78</v>
      </c>
      <c r="I104" s="8">
        <v>86.81</v>
      </c>
      <c r="J104" s="8">
        <v>86.86</v>
      </c>
      <c r="K104" s="8">
        <v>86.83</v>
      </c>
      <c r="L104" s="8">
        <v>86.92</v>
      </c>
      <c r="M104" s="8">
        <v>85.74</v>
      </c>
      <c r="N104" s="8">
        <v>85.84</v>
      </c>
      <c r="O104" s="8">
        <v>85.94</v>
      </c>
      <c r="P104" s="8">
        <v>85.655710214471583</v>
      </c>
      <c r="Q104" s="8">
        <v>84.982402750659503</v>
      </c>
      <c r="R104" s="8">
        <v>84.941282303361049</v>
      </c>
      <c r="S104" s="9">
        <f t="shared" si="2"/>
        <v>12</v>
      </c>
      <c r="T104" s="8"/>
      <c r="U104" s="16">
        <f t="shared" si="3"/>
        <v>86.78</v>
      </c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</row>
    <row r="105" spans="1:32" x14ac:dyDescent="0.25">
      <c r="A105" s="2">
        <v>104</v>
      </c>
      <c r="B105" s="3" t="s">
        <v>129</v>
      </c>
      <c r="C105" t="s">
        <v>129</v>
      </c>
      <c r="D105" t="s">
        <v>7</v>
      </c>
      <c r="E105">
        <v>16</v>
      </c>
      <c r="F105" s="8">
        <v>84.12</v>
      </c>
      <c r="G105" s="8">
        <v>84.12</v>
      </c>
      <c r="H105" s="8">
        <v>86.14</v>
      </c>
      <c r="I105" s="8">
        <v>86.31</v>
      </c>
      <c r="J105" s="8">
        <v>88.37</v>
      </c>
      <c r="K105" s="8">
        <v>90.44</v>
      </c>
      <c r="L105" s="8">
        <v>92.19</v>
      </c>
      <c r="M105" s="8">
        <v>91.960000000000008</v>
      </c>
      <c r="N105" s="8">
        <v>93.76</v>
      </c>
      <c r="O105" s="8">
        <v>95.55</v>
      </c>
      <c r="P105" s="8">
        <v>96.785201609713567</v>
      </c>
      <c r="Q105" s="8">
        <v>98.36285504018997</v>
      </c>
      <c r="R105" s="8">
        <v>97.544967069645693</v>
      </c>
      <c r="S105" s="9">
        <f t="shared" si="2"/>
        <v>12</v>
      </c>
      <c r="T105" s="8"/>
      <c r="U105" s="16">
        <f t="shared" si="3"/>
        <v>86.14</v>
      </c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</row>
    <row r="106" spans="1:32" x14ac:dyDescent="0.25">
      <c r="A106" s="2">
        <v>105</v>
      </c>
      <c r="B106" s="3" t="s">
        <v>130</v>
      </c>
      <c r="C106" t="s">
        <v>11</v>
      </c>
      <c r="D106" t="s">
        <v>7</v>
      </c>
      <c r="E106">
        <v>0</v>
      </c>
      <c r="F106" s="8" t="s">
        <v>12</v>
      </c>
      <c r="G106" s="8" t="s">
        <v>12</v>
      </c>
      <c r="H106" s="8" t="s">
        <v>12</v>
      </c>
      <c r="I106" s="8" t="s">
        <v>12</v>
      </c>
      <c r="J106" s="8" t="s">
        <v>12</v>
      </c>
      <c r="K106" s="8" t="s">
        <v>12</v>
      </c>
      <c r="L106" s="8" t="s">
        <v>12</v>
      </c>
      <c r="M106" s="8" t="s">
        <v>12</v>
      </c>
      <c r="N106" s="8" t="s">
        <v>12</v>
      </c>
      <c r="O106" s="8" t="s">
        <v>12</v>
      </c>
      <c r="P106" s="8" t="s">
        <v>12</v>
      </c>
      <c r="Q106" s="8" t="s">
        <v>12</v>
      </c>
      <c r="R106" s="8" t="s">
        <v>12</v>
      </c>
      <c r="S106" s="9">
        <f t="shared" si="2"/>
        <v>0</v>
      </c>
      <c r="T106" s="8"/>
      <c r="U106" s="16" t="str">
        <f t="shared" si="3"/>
        <v>.</v>
      </c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</row>
    <row r="107" spans="1:32" x14ac:dyDescent="0.25">
      <c r="A107" s="2">
        <v>106</v>
      </c>
      <c r="B107" s="3" t="s">
        <v>131</v>
      </c>
      <c r="C107" t="s">
        <v>131</v>
      </c>
      <c r="D107" t="s">
        <v>25</v>
      </c>
      <c r="E107">
        <v>16</v>
      </c>
      <c r="F107" s="8">
        <v>82.23</v>
      </c>
      <c r="G107" s="8">
        <v>82.23</v>
      </c>
      <c r="H107" s="8">
        <v>82.94</v>
      </c>
      <c r="I107" s="8">
        <v>85.51</v>
      </c>
      <c r="J107" s="8">
        <v>87.100000000000009</v>
      </c>
      <c r="K107" s="8">
        <v>87.13</v>
      </c>
      <c r="L107" s="8">
        <v>86.88</v>
      </c>
      <c r="M107" s="8">
        <v>86.88</v>
      </c>
      <c r="N107" s="8">
        <v>86.89</v>
      </c>
      <c r="O107" s="8">
        <v>86.9</v>
      </c>
      <c r="P107" s="8">
        <v>88.42899827867268</v>
      </c>
      <c r="Q107" s="8">
        <v>89.010100311676752</v>
      </c>
      <c r="R107" s="8">
        <v>89.185541755791746</v>
      </c>
      <c r="S107" s="9">
        <f t="shared" si="2"/>
        <v>12</v>
      </c>
      <c r="T107" s="8"/>
      <c r="U107" s="16">
        <f t="shared" si="3"/>
        <v>82.94</v>
      </c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</row>
    <row r="108" spans="1:32" x14ac:dyDescent="0.25">
      <c r="A108" s="2">
        <v>107</v>
      </c>
      <c r="B108" s="3" t="s">
        <v>132</v>
      </c>
      <c r="C108" t="s">
        <v>132</v>
      </c>
      <c r="D108" t="s">
        <v>7</v>
      </c>
      <c r="E108">
        <v>13</v>
      </c>
      <c r="F108" s="8">
        <v>85.08</v>
      </c>
      <c r="G108" s="8">
        <v>85.08</v>
      </c>
      <c r="H108" s="8">
        <v>86.570000000000007</v>
      </c>
      <c r="I108" s="8">
        <v>86.600000000000009</v>
      </c>
      <c r="J108" s="8">
        <v>86.600000000000009</v>
      </c>
      <c r="K108" s="8">
        <v>86.59</v>
      </c>
      <c r="L108" s="8">
        <v>86.61</v>
      </c>
      <c r="M108" s="8">
        <v>86.62</v>
      </c>
      <c r="N108" s="8">
        <v>86.63</v>
      </c>
      <c r="O108" s="8">
        <v>86.65</v>
      </c>
      <c r="P108" s="8">
        <v>86.930180681207389</v>
      </c>
      <c r="Q108" s="8">
        <v>87.114111967765837</v>
      </c>
      <c r="R108" s="8">
        <v>87.217674779075708</v>
      </c>
      <c r="S108" s="9">
        <f t="shared" si="2"/>
        <v>12</v>
      </c>
      <c r="T108" s="8"/>
      <c r="U108" s="16">
        <f t="shared" si="3"/>
        <v>86.570000000000007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</row>
    <row r="109" spans="1:32" x14ac:dyDescent="0.25">
      <c r="A109" s="2">
        <v>108</v>
      </c>
      <c r="B109" s="3" t="s">
        <v>133</v>
      </c>
      <c r="C109" t="s">
        <v>133</v>
      </c>
      <c r="D109" t="s">
        <v>9</v>
      </c>
      <c r="E109">
        <v>16</v>
      </c>
      <c r="F109" s="8">
        <v>86.3</v>
      </c>
      <c r="G109" s="8">
        <v>86.3</v>
      </c>
      <c r="H109" s="8">
        <v>86.37</v>
      </c>
      <c r="I109" s="8">
        <v>87.08</v>
      </c>
      <c r="J109" s="8">
        <v>88.69</v>
      </c>
      <c r="K109" s="8">
        <v>88.73</v>
      </c>
      <c r="L109" s="8">
        <v>90.47</v>
      </c>
      <c r="M109" s="8">
        <v>90.75</v>
      </c>
      <c r="N109" s="8">
        <v>92.460000000000008</v>
      </c>
      <c r="O109" s="8">
        <v>92.99</v>
      </c>
      <c r="P109" s="8">
        <v>93.554369241354379</v>
      </c>
      <c r="Q109" s="8">
        <v>94.29534938494794</v>
      </c>
      <c r="R109" s="8">
        <v>95.663242386802267</v>
      </c>
      <c r="S109" s="9">
        <f t="shared" si="2"/>
        <v>12</v>
      </c>
      <c r="T109" s="8"/>
      <c r="U109" s="16">
        <f t="shared" si="3"/>
        <v>86.37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</row>
    <row r="110" spans="1:32" x14ac:dyDescent="0.25">
      <c r="A110" s="2">
        <v>109</v>
      </c>
      <c r="B110" s="3" t="s">
        <v>134</v>
      </c>
      <c r="C110" t="s">
        <v>134</v>
      </c>
      <c r="D110" t="s">
        <v>14</v>
      </c>
      <c r="E110">
        <v>16</v>
      </c>
      <c r="F110" s="8">
        <v>74.5</v>
      </c>
      <c r="G110" s="8">
        <v>74.5</v>
      </c>
      <c r="H110" s="8">
        <v>75.58</v>
      </c>
      <c r="I110" s="8">
        <v>75.010000000000005</v>
      </c>
      <c r="J110" s="8">
        <v>75.350000000000009</v>
      </c>
      <c r="K110" s="8">
        <v>75.86</v>
      </c>
      <c r="L110" s="8">
        <v>74.39</v>
      </c>
      <c r="M110" s="8">
        <v>73.540000000000006</v>
      </c>
      <c r="N110" s="8">
        <v>71</v>
      </c>
      <c r="O110" s="8">
        <v>67.56</v>
      </c>
      <c r="P110" s="8">
        <v>69.236117836211406</v>
      </c>
      <c r="Q110" s="8">
        <v>68.539499742576709</v>
      </c>
      <c r="R110" s="8">
        <v>67.193286151410121</v>
      </c>
      <c r="S110" s="9">
        <f t="shared" si="2"/>
        <v>12</v>
      </c>
      <c r="T110" s="8"/>
      <c r="U110" s="16">
        <f t="shared" si="3"/>
        <v>75.58</v>
      </c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</row>
    <row r="111" spans="1:32" x14ac:dyDescent="0.25">
      <c r="A111" s="2">
        <v>110</v>
      </c>
      <c r="B111" s="3" t="s">
        <v>135</v>
      </c>
      <c r="C111" t="s">
        <v>135</v>
      </c>
      <c r="D111" t="s">
        <v>14</v>
      </c>
      <c r="E111">
        <v>16</v>
      </c>
      <c r="F111" s="8">
        <v>68</v>
      </c>
      <c r="G111" s="8">
        <v>68</v>
      </c>
      <c r="H111" s="8">
        <v>68.16</v>
      </c>
      <c r="I111" s="8">
        <v>67.989999999999995</v>
      </c>
      <c r="J111" s="8">
        <v>68.460000000000008</v>
      </c>
      <c r="K111" s="8">
        <v>68.67</v>
      </c>
      <c r="L111" s="8">
        <v>68.92</v>
      </c>
      <c r="M111" s="8">
        <v>68.87</v>
      </c>
      <c r="N111" s="8">
        <v>68.900000000000006</v>
      </c>
      <c r="O111" s="8">
        <v>69.06</v>
      </c>
      <c r="P111" s="8">
        <v>69.304296837864626</v>
      </c>
      <c r="Q111" s="8">
        <v>69.409013164869407</v>
      </c>
      <c r="R111" s="8">
        <v>69.531036594009493</v>
      </c>
      <c r="S111" s="9">
        <f t="shared" si="2"/>
        <v>12</v>
      </c>
      <c r="T111" s="8"/>
      <c r="U111" s="16">
        <f t="shared" si="3"/>
        <v>68.16</v>
      </c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</row>
    <row r="112" spans="1:32" x14ac:dyDescent="0.25">
      <c r="A112" s="2">
        <v>111</v>
      </c>
      <c r="B112" s="3" t="s">
        <v>136</v>
      </c>
      <c r="C112" t="s">
        <v>136</v>
      </c>
      <c r="D112" t="s">
        <v>25</v>
      </c>
      <c r="E112">
        <v>16</v>
      </c>
      <c r="F112" s="8">
        <v>77.69</v>
      </c>
      <c r="G112" s="8">
        <v>77.69</v>
      </c>
      <c r="H112" s="8">
        <v>79.34</v>
      </c>
      <c r="I112" s="8">
        <v>79.89</v>
      </c>
      <c r="J112" s="8">
        <v>82.710000000000008</v>
      </c>
      <c r="K112" s="8">
        <v>83.01</v>
      </c>
      <c r="L112" s="8">
        <v>83.48</v>
      </c>
      <c r="M112" s="8">
        <v>83.77</v>
      </c>
      <c r="N112" s="8">
        <v>84.04</v>
      </c>
      <c r="O112" s="8">
        <v>84.38</v>
      </c>
      <c r="P112" s="8">
        <v>85.386432147061214</v>
      </c>
      <c r="Q112" s="8">
        <v>87.988728639841611</v>
      </c>
      <c r="R112" s="8">
        <v>87.885099395771476</v>
      </c>
      <c r="S112" s="9">
        <f t="shared" si="2"/>
        <v>12</v>
      </c>
      <c r="T112" s="8"/>
      <c r="U112" s="16">
        <f t="shared" si="3"/>
        <v>79.34</v>
      </c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</row>
    <row r="113" spans="1:32" x14ac:dyDescent="0.25">
      <c r="A113" s="2">
        <v>112</v>
      </c>
      <c r="B113" s="3" t="s">
        <v>137</v>
      </c>
      <c r="C113" t="s">
        <v>137</v>
      </c>
      <c r="D113" t="s">
        <v>23</v>
      </c>
      <c r="E113">
        <v>16</v>
      </c>
      <c r="F113" s="8">
        <v>86.77</v>
      </c>
      <c r="G113" s="8">
        <v>86.77</v>
      </c>
      <c r="H113" s="8">
        <v>86.92</v>
      </c>
      <c r="I113" s="8">
        <v>89.26</v>
      </c>
      <c r="J113" s="8">
        <v>94.06</v>
      </c>
      <c r="K113" s="8">
        <v>94.2</v>
      </c>
      <c r="L113" s="8">
        <v>94.26</v>
      </c>
      <c r="M113" s="8">
        <v>94.27</v>
      </c>
      <c r="N113" s="8">
        <v>94.28</v>
      </c>
      <c r="O113" s="8">
        <v>94.31</v>
      </c>
      <c r="P113" s="8">
        <v>97.253386855102463</v>
      </c>
      <c r="Q113" s="8">
        <v>99.526036587602064</v>
      </c>
      <c r="R113" s="8">
        <v>93.09909999212698</v>
      </c>
      <c r="S113" s="9">
        <f t="shared" si="2"/>
        <v>12</v>
      </c>
      <c r="T113" s="8"/>
      <c r="U113" s="16">
        <f t="shared" si="3"/>
        <v>86.92</v>
      </c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</row>
    <row r="114" spans="1:32" x14ac:dyDescent="0.25">
      <c r="A114" s="2">
        <v>113</v>
      </c>
      <c r="B114" s="3" t="s">
        <v>138</v>
      </c>
      <c r="C114" t="s">
        <v>139</v>
      </c>
      <c r="D114" t="s">
        <v>21</v>
      </c>
      <c r="E114">
        <v>16</v>
      </c>
      <c r="F114" s="8">
        <v>99.95</v>
      </c>
      <c r="G114" s="8">
        <v>99.95</v>
      </c>
      <c r="H114" s="8">
        <v>99.95</v>
      </c>
      <c r="I114" s="8">
        <v>99.960000000000008</v>
      </c>
      <c r="J114" s="8">
        <v>99.960000000000008</v>
      </c>
      <c r="K114" s="8">
        <v>99.960000000000008</v>
      </c>
      <c r="L114" s="8">
        <v>99.960000000000008</v>
      </c>
      <c r="M114" s="8">
        <v>99.960000000000008</v>
      </c>
      <c r="N114" s="8">
        <v>99.960000000000008</v>
      </c>
      <c r="O114" s="8">
        <v>99.98</v>
      </c>
      <c r="P114" s="8">
        <v>99.973053154513735</v>
      </c>
      <c r="Q114" s="8">
        <v>99.975017843413866</v>
      </c>
      <c r="R114" s="8">
        <v>99.977420758472562</v>
      </c>
      <c r="S114" s="9">
        <f t="shared" si="2"/>
        <v>12</v>
      </c>
      <c r="T114" s="8"/>
      <c r="U114" s="16">
        <f t="shared" si="3"/>
        <v>99.95</v>
      </c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</row>
    <row r="115" spans="1:32" x14ac:dyDescent="0.25">
      <c r="A115" s="2">
        <v>114</v>
      </c>
      <c r="B115" s="3" t="s">
        <v>140</v>
      </c>
      <c r="C115" t="s">
        <v>140</v>
      </c>
      <c r="D115" t="s">
        <v>33</v>
      </c>
      <c r="E115">
        <v>16</v>
      </c>
      <c r="F115" s="8">
        <v>66.040000000000006</v>
      </c>
      <c r="G115" s="8">
        <v>66.040000000000006</v>
      </c>
      <c r="H115" s="8">
        <v>66.540000000000006</v>
      </c>
      <c r="I115" s="8">
        <v>67.45</v>
      </c>
      <c r="J115" s="8">
        <v>70.91</v>
      </c>
      <c r="K115" s="8">
        <v>78.55</v>
      </c>
      <c r="L115" s="8">
        <v>78.77</v>
      </c>
      <c r="M115" s="8">
        <v>79.28</v>
      </c>
      <c r="N115" s="8">
        <v>79.61</v>
      </c>
      <c r="O115" s="8">
        <v>79.84</v>
      </c>
      <c r="P115" s="8">
        <v>86.08699544501269</v>
      </c>
      <c r="Q115" s="8">
        <v>80.799244363851358</v>
      </c>
      <c r="R115" s="8">
        <v>89.282865809032955</v>
      </c>
      <c r="S115" s="9">
        <f t="shared" si="2"/>
        <v>12</v>
      </c>
      <c r="T115" s="8"/>
      <c r="U115" s="16">
        <f t="shared" si="3"/>
        <v>66.540000000000006</v>
      </c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</row>
    <row r="116" spans="1:32" x14ac:dyDescent="0.25">
      <c r="A116" s="2">
        <v>115</v>
      </c>
      <c r="B116" s="3" t="s">
        <v>141</v>
      </c>
      <c r="C116" t="s">
        <v>141</v>
      </c>
      <c r="D116" t="s">
        <v>14</v>
      </c>
      <c r="E116">
        <v>16</v>
      </c>
      <c r="F116" s="8">
        <v>44.27</v>
      </c>
      <c r="G116" s="8">
        <v>44.27</v>
      </c>
      <c r="H116" s="8">
        <v>44.79</v>
      </c>
      <c r="I116" s="8">
        <v>44.99</v>
      </c>
      <c r="J116" s="8">
        <v>53.480000000000004</v>
      </c>
      <c r="K116" s="8">
        <v>54.410000000000004</v>
      </c>
      <c r="L116" s="8">
        <v>77.62</v>
      </c>
      <c r="M116" s="8">
        <v>86.16</v>
      </c>
      <c r="N116" s="8">
        <v>93.65</v>
      </c>
      <c r="O116" s="8">
        <v>93.69</v>
      </c>
      <c r="P116" s="8">
        <v>96.973383124430256</v>
      </c>
      <c r="Q116" s="8">
        <v>76.988512844197032</v>
      </c>
      <c r="R116" s="8">
        <v>99.595103099734132</v>
      </c>
      <c r="S116" s="9">
        <f t="shared" si="2"/>
        <v>12</v>
      </c>
      <c r="T116" s="8"/>
      <c r="U116" s="16">
        <f t="shared" si="3"/>
        <v>44.79</v>
      </c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</row>
    <row r="117" spans="1:32" x14ac:dyDescent="0.25">
      <c r="A117" s="2">
        <v>116</v>
      </c>
      <c r="B117" s="3" t="s">
        <v>142</v>
      </c>
      <c r="C117" t="s">
        <v>142</v>
      </c>
      <c r="D117" t="s">
        <v>14</v>
      </c>
      <c r="E117">
        <v>6</v>
      </c>
      <c r="F117" s="8">
        <v>69.546666666666695</v>
      </c>
      <c r="G117" s="8">
        <v>69.546666666666695</v>
      </c>
      <c r="H117" s="8">
        <v>71.261666666666699</v>
      </c>
      <c r="I117" s="8">
        <v>72.976666666666702</v>
      </c>
      <c r="J117" s="8">
        <v>74.210000000000008</v>
      </c>
      <c r="K117" s="8">
        <v>77.37</v>
      </c>
      <c r="L117" s="8">
        <v>77.64</v>
      </c>
      <c r="M117" s="8">
        <v>78.989999999999995</v>
      </c>
      <c r="N117" s="8">
        <v>80.75</v>
      </c>
      <c r="O117" s="8">
        <v>82.97</v>
      </c>
      <c r="P117" s="8">
        <v>85.089123874952293</v>
      </c>
      <c r="Q117" s="8">
        <v>86.98584604380676</v>
      </c>
      <c r="R117" s="8">
        <v>87.618776649351275</v>
      </c>
      <c r="S117" s="9">
        <f t="shared" si="2"/>
        <v>12</v>
      </c>
      <c r="T117" s="8"/>
      <c r="U117" s="16">
        <f t="shared" si="3"/>
        <v>71.261666666666699</v>
      </c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</row>
    <row r="118" spans="1:32" x14ac:dyDescent="0.25">
      <c r="A118" s="2">
        <v>117</v>
      </c>
      <c r="B118" s="3" t="s">
        <v>143</v>
      </c>
      <c r="C118" t="s">
        <v>143</v>
      </c>
      <c r="D118" t="s">
        <v>7</v>
      </c>
      <c r="E118">
        <v>16</v>
      </c>
      <c r="F118" s="8">
        <v>91.26</v>
      </c>
      <c r="G118" s="8">
        <v>91.26</v>
      </c>
      <c r="H118" s="8">
        <v>91.3</v>
      </c>
      <c r="I118" s="8">
        <v>92.19</v>
      </c>
      <c r="J118" s="8">
        <v>92.210000000000008</v>
      </c>
      <c r="K118" s="8">
        <v>94.03</v>
      </c>
      <c r="L118" s="8">
        <v>94.29</v>
      </c>
      <c r="M118" s="8">
        <v>94.3</v>
      </c>
      <c r="N118" s="8">
        <v>94.3</v>
      </c>
      <c r="O118" s="8">
        <v>94.31</v>
      </c>
      <c r="P118" s="8">
        <v>95.474628710016191</v>
      </c>
      <c r="Q118" s="8">
        <v>95.982036025490174</v>
      </c>
      <c r="R118" s="8">
        <v>96.954331031251854</v>
      </c>
      <c r="S118" s="9">
        <f t="shared" si="2"/>
        <v>12</v>
      </c>
      <c r="T118" s="8"/>
      <c r="U118" s="16">
        <f t="shared" si="3"/>
        <v>91.3</v>
      </c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</row>
    <row r="119" spans="1:32" x14ac:dyDescent="0.25">
      <c r="A119" s="2">
        <v>118</v>
      </c>
      <c r="B119" s="3" t="s">
        <v>144</v>
      </c>
      <c r="C119" t="s">
        <v>144</v>
      </c>
      <c r="D119" t="s">
        <v>9</v>
      </c>
      <c r="E119">
        <v>16</v>
      </c>
      <c r="F119" s="8">
        <v>70.460000000000008</v>
      </c>
      <c r="G119" s="8">
        <v>70.460000000000008</v>
      </c>
      <c r="H119" s="8">
        <v>72.53</v>
      </c>
      <c r="I119" s="8">
        <v>75.63</v>
      </c>
      <c r="J119" s="8">
        <v>76.489999999999995</v>
      </c>
      <c r="K119" s="8">
        <v>76.710000000000008</v>
      </c>
      <c r="L119" s="8">
        <v>72.39</v>
      </c>
      <c r="M119" s="8">
        <v>92.850000000000009</v>
      </c>
      <c r="N119" s="8">
        <v>92.91</v>
      </c>
      <c r="O119" s="8">
        <v>92.89</v>
      </c>
      <c r="P119" s="8">
        <v>85.466230074985106</v>
      </c>
      <c r="Q119" s="8">
        <v>88.247258132704701</v>
      </c>
      <c r="R119" s="8">
        <v>99.962313267556056</v>
      </c>
      <c r="S119" s="9">
        <f t="shared" si="2"/>
        <v>12</v>
      </c>
      <c r="T119" s="8"/>
      <c r="U119" s="16">
        <f t="shared" si="3"/>
        <v>72.53</v>
      </c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</row>
    <row r="120" spans="1:32" x14ac:dyDescent="0.25">
      <c r="A120" s="2">
        <v>119</v>
      </c>
      <c r="B120" s="3" t="s">
        <v>145</v>
      </c>
      <c r="C120" t="s">
        <v>145</v>
      </c>
      <c r="D120" t="s">
        <v>25</v>
      </c>
      <c r="E120">
        <v>6</v>
      </c>
      <c r="F120" s="8">
        <v>75.06</v>
      </c>
      <c r="G120" s="8">
        <v>75.06</v>
      </c>
      <c r="H120" s="8">
        <v>75.185000000000002</v>
      </c>
      <c r="I120" s="8">
        <v>75.31</v>
      </c>
      <c r="J120" s="8">
        <v>75.42</v>
      </c>
      <c r="K120" s="8">
        <v>75.59</v>
      </c>
      <c r="L120" s="8">
        <v>75.67</v>
      </c>
      <c r="M120" s="8">
        <v>75.850000000000009</v>
      </c>
      <c r="N120" s="8">
        <v>76.600000000000009</v>
      </c>
      <c r="O120" s="8">
        <v>81.89</v>
      </c>
      <c r="P120" s="8">
        <v>81.246871393380161</v>
      </c>
      <c r="Q120" s="8">
        <v>84.042625345890201</v>
      </c>
      <c r="R120" s="8">
        <v>81.274982358407669</v>
      </c>
      <c r="S120" s="9">
        <f t="shared" si="2"/>
        <v>12</v>
      </c>
      <c r="T120" s="8"/>
      <c r="U120" s="16">
        <f t="shared" si="3"/>
        <v>75.185000000000002</v>
      </c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</row>
    <row r="121" spans="1:32" x14ac:dyDescent="0.25">
      <c r="A121" s="2">
        <v>120</v>
      </c>
      <c r="B121" s="3" t="s">
        <v>146</v>
      </c>
      <c r="C121" t="s">
        <v>146</v>
      </c>
      <c r="D121" t="s">
        <v>33</v>
      </c>
      <c r="E121">
        <v>16</v>
      </c>
      <c r="F121" s="8">
        <v>89.24</v>
      </c>
      <c r="G121" s="8">
        <v>89.24</v>
      </c>
      <c r="H121" s="8">
        <v>89.54</v>
      </c>
      <c r="I121" s="8">
        <v>89.92</v>
      </c>
      <c r="J121" s="8">
        <v>91.850000000000009</v>
      </c>
      <c r="K121" s="8">
        <v>91.93</v>
      </c>
      <c r="L121" s="8">
        <v>91.95</v>
      </c>
      <c r="M121" s="8">
        <v>92.01</v>
      </c>
      <c r="N121" s="8">
        <v>92.02</v>
      </c>
      <c r="O121" s="8">
        <v>92.070000000000007</v>
      </c>
      <c r="P121" s="8">
        <v>93.020547032167087</v>
      </c>
      <c r="Q121" s="8">
        <v>94.162680507682012</v>
      </c>
      <c r="R121" s="8">
        <v>93.455919882047397</v>
      </c>
      <c r="S121" s="9">
        <f t="shared" si="2"/>
        <v>12</v>
      </c>
      <c r="T121" s="8"/>
      <c r="U121" s="16">
        <f t="shared" si="3"/>
        <v>89.54</v>
      </c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</row>
    <row r="122" spans="1:32" x14ac:dyDescent="0.25">
      <c r="A122" s="2">
        <v>121</v>
      </c>
      <c r="B122" s="3" t="s">
        <v>147</v>
      </c>
      <c r="C122" t="s">
        <v>148</v>
      </c>
      <c r="D122" t="s">
        <v>21</v>
      </c>
      <c r="E122">
        <v>16</v>
      </c>
      <c r="F122" s="8">
        <v>76.33</v>
      </c>
      <c r="G122" s="8">
        <v>76.33</v>
      </c>
      <c r="H122" s="8">
        <v>76.73</v>
      </c>
      <c r="I122" s="8">
        <v>77.12</v>
      </c>
      <c r="J122" s="8">
        <v>76.97</v>
      </c>
      <c r="K122" s="8">
        <v>77.03</v>
      </c>
      <c r="L122" s="8">
        <v>77.290000000000006</v>
      </c>
      <c r="M122" s="8">
        <v>80.53</v>
      </c>
      <c r="N122" s="8">
        <v>79.930000000000007</v>
      </c>
      <c r="O122" s="8">
        <v>79.91</v>
      </c>
      <c r="P122" s="8">
        <v>79.522699680692995</v>
      </c>
      <c r="Q122" s="8">
        <v>81.674143325805517</v>
      </c>
      <c r="R122" s="8">
        <v>82.355502015916954</v>
      </c>
      <c r="S122" s="9">
        <f t="shared" si="2"/>
        <v>12</v>
      </c>
      <c r="T122" s="8"/>
      <c r="U122" s="16">
        <f t="shared" si="3"/>
        <v>76.73</v>
      </c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</row>
    <row r="123" spans="1:32" x14ac:dyDescent="0.25">
      <c r="A123" s="2">
        <v>122</v>
      </c>
      <c r="B123" s="3" t="s">
        <v>149</v>
      </c>
      <c r="C123" t="s">
        <v>149</v>
      </c>
      <c r="D123" t="s">
        <v>18</v>
      </c>
      <c r="E123">
        <v>16</v>
      </c>
      <c r="F123" s="8">
        <v>77.03</v>
      </c>
      <c r="G123" s="8">
        <v>77.03</v>
      </c>
      <c r="H123" s="8">
        <v>77.27</v>
      </c>
      <c r="I123" s="8">
        <v>77.3</v>
      </c>
      <c r="J123" s="8">
        <v>77.38</v>
      </c>
      <c r="K123" s="8">
        <v>77.5</v>
      </c>
      <c r="L123" s="8">
        <v>77.52</v>
      </c>
      <c r="M123" s="8">
        <v>77.53</v>
      </c>
      <c r="N123" s="8">
        <v>77.510000000000005</v>
      </c>
      <c r="O123" s="8">
        <v>77.47</v>
      </c>
      <c r="P123" s="8">
        <v>77.625883698855816</v>
      </c>
      <c r="Q123" s="8">
        <v>77.717131389674208</v>
      </c>
      <c r="R123" s="8">
        <v>77.752391375368759</v>
      </c>
      <c r="S123" s="9">
        <f t="shared" si="2"/>
        <v>12</v>
      </c>
      <c r="T123" s="8"/>
      <c r="U123" s="16">
        <f t="shared" si="3"/>
        <v>77.27</v>
      </c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</row>
    <row r="124" spans="1:32" x14ac:dyDescent="0.25">
      <c r="A124" s="2">
        <v>123</v>
      </c>
      <c r="B124" s="3" t="s">
        <v>150</v>
      </c>
      <c r="C124" t="s">
        <v>150</v>
      </c>
      <c r="D124" t="s">
        <v>18</v>
      </c>
      <c r="E124">
        <v>16</v>
      </c>
      <c r="F124" s="8">
        <v>76.100000000000009</v>
      </c>
      <c r="G124" s="8">
        <v>76.100000000000009</v>
      </c>
      <c r="H124" s="8">
        <v>78.02</v>
      </c>
      <c r="I124" s="8">
        <v>78.17</v>
      </c>
      <c r="J124" s="8">
        <v>78.22</v>
      </c>
      <c r="K124" s="8">
        <v>78.260000000000005</v>
      </c>
      <c r="L124" s="8">
        <v>78.180000000000007</v>
      </c>
      <c r="M124" s="8">
        <v>78.17</v>
      </c>
      <c r="N124" s="8">
        <v>78.150000000000006</v>
      </c>
      <c r="O124" s="8">
        <v>82.44</v>
      </c>
      <c r="P124" s="8">
        <v>80.871918444866651</v>
      </c>
      <c r="Q124" s="8">
        <v>81.50371533260261</v>
      </c>
      <c r="R124" s="8">
        <v>80.529089867027778</v>
      </c>
      <c r="S124" s="9">
        <f t="shared" si="2"/>
        <v>12</v>
      </c>
      <c r="T124" s="8"/>
      <c r="U124" s="16">
        <f t="shared" si="3"/>
        <v>78.02</v>
      </c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</row>
    <row r="125" spans="1:32" x14ac:dyDescent="0.25">
      <c r="A125" s="2">
        <v>124</v>
      </c>
      <c r="B125" s="3" t="s">
        <v>151</v>
      </c>
      <c r="C125" t="s">
        <v>151</v>
      </c>
      <c r="D125" t="s">
        <v>25</v>
      </c>
      <c r="E125">
        <v>16</v>
      </c>
      <c r="F125" s="8">
        <v>64.17</v>
      </c>
      <c r="G125" s="8">
        <v>64.17</v>
      </c>
      <c r="H125" s="8">
        <v>66.31</v>
      </c>
      <c r="I125" s="8">
        <v>66.320000000000007</v>
      </c>
      <c r="J125" s="8">
        <v>66.400000000000006</v>
      </c>
      <c r="K125" s="8">
        <v>67.23</v>
      </c>
      <c r="L125" s="8">
        <v>68.56</v>
      </c>
      <c r="M125" s="8">
        <v>68.86</v>
      </c>
      <c r="N125" s="8">
        <v>67.12</v>
      </c>
      <c r="O125" s="8">
        <v>71.97</v>
      </c>
      <c r="P125" s="8">
        <v>69.679333674869895</v>
      </c>
      <c r="Q125" s="8">
        <v>70.814207361057925</v>
      </c>
      <c r="R125" s="8">
        <v>72.793436323949209</v>
      </c>
      <c r="S125" s="9">
        <f t="shared" si="2"/>
        <v>12</v>
      </c>
      <c r="T125" s="8"/>
      <c r="U125" s="16">
        <f t="shared" si="3"/>
        <v>66.31</v>
      </c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</row>
    <row r="126" spans="1:32" x14ac:dyDescent="0.25">
      <c r="A126" s="2">
        <v>125</v>
      </c>
      <c r="B126" s="3" t="s">
        <v>152</v>
      </c>
      <c r="C126" t="s">
        <v>152</v>
      </c>
      <c r="D126" t="s">
        <v>23</v>
      </c>
      <c r="E126">
        <v>16</v>
      </c>
      <c r="F126" s="8">
        <v>78.540000000000006</v>
      </c>
      <c r="G126" s="8">
        <v>78.540000000000006</v>
      </c>
      <c r="H126" s="8">
        <v>78.62</v>
      </c>
      <c r="I126" s="8">
        <v>79.040000000000006</v>
      </c>
      <c r="J126" s="8">
        <v>82.52</v>
      </c>
      <c r="K126" s="8">
        <v>82.56</v>
      </c>
      <c r="L126" s="8">
        <v>82.710000000000008</v>
      </c>
      <c r="M126" s="8">
        <v>82.75</v>
      </c>
      <c r="N126" s="8">
        <v>82.78</v>
      </c>
      <c r="O126" s="8">
        <v>82.850000000000009</v>
      </c>
      <c r="P126" s="8">
        <v>84.529275576944656</v>
      </c>
      <c r="Q126" s="8">
        <v>85.00591104923501</v>
      </c>
      <c r="R126" s="8">
        <v>85.09181666584027</v>
      </c>
      <c r="S126" s="9">
        <f t="shared" si="2"/>
        <v>12</v>
      </c>
      <c r="T126" s="8"/>
      <c r="U126" s="16">
        <f t="shared" si="3"/>
        <v>78.62</v>
      </c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</row>
    <row r="127" spans="1:32" x14ac:dyDescent="0.25">
      <c r="A127" s="2">
        <v>126</v>
      </c>
      <c r="B127" s="3" t="s">
        <v>153</v>
      </c>
      <c r="C127" t="s">
        <v>153</v>
      </c>
      <c r="D127" t="s">
        <v>23</v>
      </c>
      <c r="E127">
        <v>16</v>
      </c>
      <c r="F127" s="8">
        <v>88.08</v>
      </c>
      <c r="G127" s="8">
        <v>88.08</v>
      </c>
      <c r="H127" s="8">
        <v>90.73</v>
      </c>
      <c r="I127" s="8">
        <v>90.72</v>
      </c>
      <c r="J127" s="8">
        <v>92.44</v>
      </c>
      <c r="K127" s="8">
        <v>90.98</v>
      </c>
      <c r="L127" s="8">
        <v>90.99</v>
      </c>
      <c r="M127" s="8">
        <v>91</v>
      </c>
      <c r="N127" s="8">
        <v>90.88</v>
      </c>
      <c r="O127" s="8">
        <v>90.89</v>
      </c>
      <c r="P127" s="8">
        <v>91.818167773135826</v>
      </c>
      <c r="Q127" s="8">
        <v>91.771236308259461</v>
      </c>
      <c r="R127" s="8">
        <v>92.112330483455082</v>
      </c>
      <c r="S127" s="9">
        <f t="shared" si="2"/>
        <v>12</v>
      </c>
      <c r="T127" s="8"/>
      <c r="U127" s="16">
        <f t="shared" si="3"/>
        <v>90.73</v>
      </c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</row>
    <row r="128" spans="1:32" x14ac:dyDescent="0.25">
      <c r="A128" s="2">
        <v>127</v>
      </c>
      <c r="B128" s="3" t="s">
        <v>154</v>
      </c>
      <c r="C128" t="s">
        <v>11</v>
      </c>
      <c r="D128" t="s">
        <v>16</v>
      </c>
      <c r="E128">
        <v>0</v>
      </c>
      <c r="F128" s="8" t="s">
        <v>12</v>
      </c>
      <c r="G128" s="8" t="s">
        <v>12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 t="s">
        <v>12</v>
      </c>
      <c r="S128" s="9">
        <f t="shared" si="2"/>
        <v>0</v>
      </c>
      <c r="T128" s="8"/>
      <c r="U128" s="16" t="str">
        <f t="shared" si="3"/>
        <v>.</v>
      </c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</row>
    <row r="129" spans="1:32" x14ac:dyDescent="0.25">
      <c r="A129" s="2">
        <v>128</v>
      </c>
      <c r="B129" s="3" t="s">
        <v>155</v>
      </c>
      <c r="C129" t="s">
        <v>155</v>
      </c>
      <c r="D129" t="s">
        <v>9</v>
      </c>
      <c r="E129">
        <v>12</v>
      </c>
      <c r="F129" s="8">
        <v>78.570000000000007</v>
      </c>
      <c r="G129" s="8">
        <v>78.570000000000007</v>
      </c>
      <c r="H129" s="8">
        <v>81.27</v>
      </c>
      <c r="I129" s="8">
        <v>82.44</v>
      </c>
      <c r="J129" s="8">
        <v>82.320000000000007</v>
      </c>
      <c r="K129" s="8">
        <v>82.28</v>
      </c>
      <c r="L129" s="8">
        <v>82.36</v>
      </c>
      <c r="M129" s="8">
        <v>86.06</v>
      </c>
      <c r="N129" s="8">
        <v>86</v>
      </c>
      <c r="O129" s="8">
        <v>87.67</v>
      </c>
      <c r="P129" s="8">
        <v>88.224744556852329</v>
      </c>
      <c r="Q129" s="8">
        <v>88.81436816933001</v>
      </c>
      <c r="R129" s="8">
        <v>89.5910721144744</v>
      </c>
      <c r="S129" s="9">
        <f t="shared" si="2"/>
        <v>12</v>
      </c>
      <c r="T129" s="8"/>
      <c r="U129" s="16">
        <f t="shared" si="3"/>
        <v>81.27</v>
      </c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</row>
    <row r="130" spans="1:32" x14ac:dyDescent="0.25">
      <c r="A130" s="2">
        <v>129</v>
      </c>
      <c r="B130" s="3" t="s">
        <v>156</v>
      </c>
      <c r="C130" t="s">
        <v>156</v>
      </c>
      <c r="D130" t="s">
        <v>23</v>
      </c>
      <c r="E130">
        <v>16</v>
      </c>
      <c r="F130" s="8">
        <v>90.36</v>
      </c>
      <c r="G130" s="8">
        <v>90.36</v>
      </c>
      <c r="H130" s="8">
        <v>87.84</v>
      </c>
      <c r="I130" s="8">
        <v>88.88</v>
      </c>
      <c r="J130" s="8">
        <v>90.4</v>
      </c>
      <c r="K130" s="8">
        <v>90.45</v>
      </c>
      <c r="L130" s="8">
        <v>90.460000000000008</v>
      </c>
      <c r="M130" s="8">
        <v>89.48</v>
      </c>
      <c r="N130" s="8">
        <v>89.67</v>
      </c>
      <c r="O130" s="8">
        <v>83.9</v>
      </c>
      <c r="P130" s="8">
        <v>88.102025810674036</v>
      </c>
      <c r="Q130" s="8">
        <v>86.390836101907894</v>
      </c>
      <c r="R130" s="8">
        <v>86.734884735995365</v>
      </c>
      <c r="S130" s="9">
        <f t="shared" si="2"/>
        <v>12</v>
      </c>
      <c r="T130" s="8"/>
      <c r="U130" s="16">
        <f t="shared" si="3"/>
        <v>87.84</v>
      </c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</row>
    <row r="131" spans="1:32" x14ac:dyDescent="0.25">
      <c r="A131" s="2">
        <v>130</v>
      </c>
      <c r="B131" s="3" t="s">
        <v>157</v>
      </c>
      <c r="C131" t="s">
        <v>158</v>
      </c>
      <c r="D131" t="s">
        <v>7</v>
      </c>
      <c r="E131">
        <v>6</v>
      </c>
      <c r="F131" s="8">
        <v>84.273333333333397</v>
      </c>
      <c r="G131" s="8">
        <v>84.273333333333397</v>
      </c>
      <c r="H131" s="8">
        <v>85.873333333333406</v>
      </c>
      <c r="I131" s="8">
        <v>87.4733333333334</v>
      </c>
      <c r="J131" s="8">
        <v>88.600000000000009</v>
      </c>
      <c r="K131" s="8">
        <v>91.62</v>
      </c>
      <c r="L131" s="8">
        <v>91.8</v>
      </c>
      <c r="M131" s="8">
        <v>93.02</v>
      </c>
      <c r="N131" s="8">
        <v>93.03</v>
      </c>
      <c r="O131" s="8">
        <v>93.04</v>
      </c>
      <c r="P131" s="8">
        <v>95.486981436231872</v>
      </c>
      <c r="Q131" s="8">
        <v>94.178298661041936</v>
      </c>
      <c r="R131" s="8">
        <v>96.009480157799089</v>
      </c>
      <c r="S131" s="9">
        <f t="shared" ref="S131:S170" si="4">COUNT(G131:R131)</f>
        <v>12</v>
      </c>
      <c r="T131" s="8"/>
      <c r="U131" s="16">
        <f t="shared" ref="U131:U176" si="5">IF(SUMIF($F$1:$R$1,U$1,$F131:$R131)=0,".",SUMIF($F$1:$R$1,U$1,$F131:$R131))</f>
        <v>85.873333333333406</v>
      </c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</row>
    <row r="132" spans="1:32" x14ac:dyDescent="0.25">
      <c r="A132" s="2">
        <v>131</v>
      </c>
      <c r="B132" s="3" t="s">
        <v>159</v>
      </c>
      <c r="C132" t="s">
        <v>159</v>
      </c>
      <c r="D132" t="s">
        <v>14</v>
      </c>
      <c r="E132">
        <v>16</v>
      </c>
      <c r="F132" s="8">
        <v>89.91</v>
      </c>
      <c r="G132" s="8">
        <v>89.91</v>
      </c>
      <c r="H132" s="8">
        <v>90.42</v>
      </c>
      <c r="I132" s="8">
        <v>85.52</v>
      </c>
      <c r="J132" s="8">
        <v>85.7</v>
      </c>
      <c r="K132" s="8">
        <v>80.600000000000009</v>
      </c>
      <c r="L132" s="8">
        <v>82.92</v>
      </c>
      <c r="M132" s="8">
        <v>87.17</v>
      </c>
      <c r="N132" s="8">
        <v>87.66</v>
      </c>
      <c r="O132" s="8">
        <v>91.39</v>
      </c>
      <c r="P132" s="8">
        <v>86.732839265850473</v>
      </c>
      <c r="Q132" s="8">
        <v>86.600533236218951</v>
      </c>
      <c r="R132" s="8">
        <v>86.470303484996833</v>
      </c>
      <c r="S132" s="9">
        <f t="shared" si="4"/>
        <v>12</v>
      </c>
      <c r="T132" s="8"/>
      <c r="U132" s="16">
        <f t="shared" si="5"/>
        <v>90.42</v>
      </c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</row>
    <row r="133" spans="1:32" x14ac:dyDescent="0.25">
      <c r="A133" s="2">
        <v>132</v>
      </c>
      <c r="B133" s="3" t="s">
        <v>160</v>
      </c>
      <c r="C133" t="s">
        <v>161</v>
      </c>
      <c r="D133" t="s">
        <v>16</v>
      </c>
      <c r="E133">
        <v>0</v>
      </c>
      <c r="F133" s="8" t="s">
        <v>12</v>
      </c>
      <c r="G133" s="8" t="s">
        <v>12</v>
      </c>
      <c r="H133" s="8" t="s">
        <v>12</v>
      </c>
      <c r="I133" s="8" t="s">
        <v>12</v>
      </c>
      <c r="J133" s="8" t="s">
        <v>12</v>
      </c>
      <c r="K133" s="8" t="s">
        <v>12</v>
      </c>
      <c r="L133" s="8" t="s">
        <v>12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 t="s">
        <v>12</v>
      </c>
      <c r="S133" s="9">
        <f t="shared" si="4"/>
        <v>0</v>
      </c>
      <c r="T133" s="8"/>
      <c r="U133" s="16" t="str">
        <f t="shared" si="5"/>
        <v>.</v>
      </c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</row>
    <row r="134" spans="1:32" x14ac:dyDescent="0.25">
      <c r="A134" s="2">
        <v>133</v>
      </c>
      <c r="B134" s="3" t="s">
        <v>162</v>
      </c>
      <c r="C134" t="s">
        <v>162</v>
      </c>
      <c r="D134" t="s">
        <v>21</v>
      </c>
      <c r="E134">
        <v>16</v>
      </c>
      <c r="F134" s="8">
        <v>92.23</v>
      </c>
      <c r="G134" s="8">
        <v>92.23</v>
      </c>
      <c r="H134" s="8">
        <v>92.24</v>
      </c>
      <c r="I134" s="8">
        <v>92.27</v>
      </c>
      <c r="J134" s="8">
        <v>92.25</v>
      </c>
      <c r="K134" s="8">
        <v>92.28</v>
      </c>
      <c r="L134" s="8">
        <v>92.460000000000008</v>
      </c>
      <c r="M134" s="8">
        <v>92.49</v>
      </c>
      <c r="N134" s="8">
        <v>92.54</v>
      </c>
      <c r="O134" s="8">
        <v>92.56</v>
      </c>
      <c r="P134" s="8">
        <v>92.606380807978695</v>
      </c>
      <c r="Q134" s="8">
        <v>92.671466775656711</v>
      </c>
      <c r="R134" s="8">
        <v>92.69024466037807</v>
      </c>
      <c r="S134" s="9">
        <f t="shared" si="4"/>
        <v>12</v>
      </c>
      <c r="T134" s="8"/>
      <c r="U134" s="16">
        <f t="shared" si="5"/>
        <v>92.24</v>
      </c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</row>
    <row r="135" spans="1:32" x14ac:dyDescent="0.25">
      <c r="A135" s="2">
        <v>134</v>
      </c>
      <c r="B135" s="3" t="s">
        <v>163</v>
      </c>
      <c r="C135" t="s">
        <v>164</v>
      </c>
      <c r="D135" t="s">
        <v>9</v>
      </c>
      <c r="E135">
        <v>16</v>
      </c>
      <c r="F135" s="8">
        <v>72.820000000000007</v>
      </c>
      <c r="G135" s="8">
        <v>72.820000000000007</v>
      </c>
      <c r="H135" s="8">
        <v>73</v>
      </c>
      <c r="I135" s="8">
        <v>73.98</v>
      </c>
      <c r="J135" s="8">
        <v>73.86</v>
      </c>
      <c r="K135" s="8">
        <v>74.03</v>
      </c>
      <c r="L135" s="8">
        <v>74.39</v>
      </c>
      <c r="M135" s="8">
        <v>75.36</v>
      </c>
      <c r="N135" s="8">
        <v>80.040000000000006</v>
      </c>
      <c r="O135" s="8">
        <v>80.070000000000007</v>
      </c>
      <c r="P135" s="8">
        <v>78.059676971119188</v>
      </c>
      <c r="Q135" s="8">
        <v>79.887984610886633</v>
      </c>
      <c r="R135" s="8">
        <v>80.869243992957308</v>
      </c>
      <c r="S135" s="9">
        <f t="shared" si="4"/>
        <v>12</v>
      </c>
      <c r="T135" s="8"/>
      <c r="U135" s="16">
        <f t="shared" si="5"/>
        <v>73</v>
      </c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</row>
    <row r="136" spans="1:32" x14ac:dyDescent="0.25">
      <c r="A136" s="2">
        <v>135</v>
      </c>
      <c r="B136" s="3" t="s">
        <v>165</v>
      </c>
      <c r="C136" t="s">
        <v>165</v>
      </c>
      <c r="D136" t="s">
        <v>14</v>
      </c>
      <c r="E136">
        <v>16</v>
      </c>
      <c r="F136" s="8">
        <v>71.28</v>
      </c>
      <c r="G136" s="8">
        <v>71.28</v>
      </c>
      <c r="H136" s="8">
        <v>73.02</v>
      </c>
      <c r="I136" s="8">
        <v>74.14</v>
      </c>
      <c r="J136" s="8">
        <v>74.16</v>
      </c>
      <c r="K136" s="8">
        <v>85.04</v>
      </c>
      <c r="L136" s="8">
        <v>85.99</v>
      </c>
      <c r="M136" s="8">
        <v>86.070000000000007</v>
      </c>
      <c r="N136" s="8">
        <v>89.7</v>
      </c>
      <c r="O136" s="8">
        <v>89.94</v>
      </c>
      <c r="P136" s="8">
        <v>89.355621121940203</v>
      </c>
      <c r="Q136" s="8">
        <v>96.415046758318567</v>
      </c>
      <c r="R136" s="8">
        <v>92.660514731362099</v>
      </c>
      <c r="S136" s="9">
        <f t="shared" si="4"/>
        <v>12</v>
      </c>
      <c r="T136" s="8"/>
      <c r="U136" s="16">
        <f t="shared" si="5"/>
        <v>73.02</v>
      </c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</row>
    <row r="137" spans="1:32" x14ac:dyDescent="0.25">
      <c r="A137" s="2">
        <v>136</v>
      </c>
      <c r="B137" s="3" t="s">
        <v>166</v>
      </c>
      <c r="C137" t="s">
        <v>166</v>
      </c>
      <c r="D137" t="s">
        <v>7</v>
      </c>
      <c r="E137">
        <v>16</v>
      </c>
      <c r="F137" s="8">
        <v>86.67</v>
      </c>
      <c r="G137" s="8">
        <v>86.67</v>
      </c>
      <c r="H137" s="8">
        <v>86.69</v>
      </c>
      <c r="I137" s="8">
        <v>88.8</v>
      </c>
      <c r="J137" s="8">
        <v>88.86</v>
      </c>
      <c r="K137" s="8">
        <v>89.03</v>
      </c>
      <c r="L137" s="8">
        <v>89.06</v>
      </c>
      <c r="M137" s="8">
        <v>91.8</v>
      </c>
      <c r="N137" s="8">
        <v>92.570000000000007</v>
      </c>
      <c r="O137" s="8">
        <v>92.59</v>
      </c>
      <c r="P137" s="8">
        <v>94.081247070598238</v>
      </c>
      <c r="Q137" s="8">
        <v>94.301292255321414</v>
      </c>
      <c r="R137" s="8">
        <v>95.862911090619718</v>
      </c>
      <c r="S137" s="9">
        <f t="shared" si="4"/>
        <v>12</v>
      </c>
      <c r="T137" s="8"/>
      <c r="U137" s="16">
        <f t="shared" si="5"/>
        <v>86.69</v>
      </c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</row>
    <row r="138" spans="1:32" x14ac:dyDescent="0.25">
      <c r="A138" s="2">
        <v>137</v>
      </c>
      <c r="B138" s="3" t="s">
        <v>167</v>
      </c>
      <c r="C138" t="s">
        <v>167</v>
      </c>
      <c r="D138" t="s">
        <v>14</v>
      </c>
      <c r="E138">
        <v>14</v>
      </c>
      <c r="F138" s="8">
        <v>76.5</v>
      </c>
      <c r="G138" s="8">
        <v>76.5</v>
      </c>
      <c r="H138" s="8">
        <v>76.680000000000007</v>
      </c>
      <c r="I138" s="8">
        <v>76.87</v>
      </c>
      <c r="J138" s="8">
        <v>78.320000000000007</v>
      </c>
      <c r="K138" s="8">
        <v>78.42</v>
      </c>
      <c r="L138" s="8">
        <v>78.55</v>
      </c>
      <c r="M138" s="8">
        <v>78.64</v>
      </c>
      <c r="N138" s="8">
        <v>78.680000000000007</v>
      </c>
      <c r="O138" s="8">
        <v>78.650000000000006</v>
      </c>
      <c r="P138" s="8">
        <v>79.413437677466504</v>
      </c>
      <c r="Q138" s="8">
        <v>79.690645076976693</v>
      </c>
      <c r="R138" s="8">
        <v>80.195478042707236</v>
      </c>
      <c r="S138" s="9">
        <f t="shared" si="4"/>
        <v>12</v>
      </c>
      <c r="T138" s="8"/>
      <c r="U138" s="16">
        <f t="shared" si="5"/>
        <v>76.680000000000007</v>
      </c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</row>
    <row r="139" spans="1:32" x14ac:dyDescent="0.25">
      <c r="A139" s="2">
        <v>138</v>
      </c>
      <c r="B139" s="3" t="s">
        <v>168</v>
      </c>
      <c r="C139" t="s">
        <v>169</v>
      </c>
      <c r="D139" t="s">
        <v>14</v>
      </c>
      <c r="E139">
        <v>16</v>
      </c>
      <c r="F139" s="8">
        <v>74.5</v>
      </c>
      <c r="G139" s="8">
        <v>74.5</v>
      </c>
      <c r="H139" s="8">
        <v>76.89</v>
      </c>
      <c r="I139" s="8">
        <v>78.67</v>
      </c>
      <c r="J139" s="8">
        <v>83.68</v>
      </c>
      <c r="K139" s="8">
        <v>84.53</v>
      </c>
      <c r="L139" s="8">
        <v>84.73</v>
      </c>
      <c r="M139" s="8">
        <v>91.15</v>
      </c>
      <c r="N139" s="8">
        <v>90.94</v>
      </c>
      <c r="O139" s="8">
        <v>91.18</v>
      </c>
      <c r="P139" s="8">
        <v>92.104715256350573</v>
      </c>
      <c r="Q139" s="8">
        <v>97.915099853268828</v>
      </c>
      <c r="R139" s="8">
        <v>89.001607874678513</v>
      </c>
      <c r="S139" s="9">
        <f t="shared" si="4"/>
        <v>12</v>
      </c>
      <c r="T139" s="8"/>
      <c r="U139" s="16">
        <f t="shared" si="5"/>
        <v>76.89</v>
      </c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</row>
    <row r="140" spans="1:32" x14ac:dyDescent="0.25">
      <c r="A140" s="2">
        <v>139</v>
      </c>
      <c r="B140" s="3" t="s">
        <v>170</v>
      </c>
      <c r="C140" t="s">
        <v>170</v>
      </c>
      <c r="D140" t="s">
        <v>25</v>
      </c>
      <c r="E140">
        <v>16</v>
      </c>
      <c r="F140" s="8">
        <v>96.460000000000008</v>
      </c>
      <c r="G140" s="8">
        <v>96.460000000000008</v>
      </c>
      <c r="H140" s="8">
        <v>96.47</v>
      </c>
      <c r="I140" s="8">
        <v>96.48</v>
      </c>
      <c r="J140" s="8">
        <v>96.48</v>
      </c>
      <c r="K140" s="8">
        <v>96.48</v>
      </c>
      <c r="L140" s="8">
        <v>96.490000000000009</v>
      </c>
      <c r="M140" s="8">
        <v>96.490000000000009</v>
      </c>
      <c r="N140" s="8">
        <v>96.490000000000009</v>
      </c>
      <c r="O140" s="8">
        <v>98.23</v>
      </c>
      <c r="P140" s="8">
        <v>97.341867306907972</v>
      </c>
      <c r="Q140" s="8">
        <v>97.357095861464046</v>
      </c>
      <c r="R140" s="8">
        <v>97.460410810894643</v>
      </c>
      <c r="S140" s="9">
        <f t="shared" si="4"/>
        <v>12</v>
      </c>
      <c r="T140" s="8"/>
      <c r="U140" s="16">
        <f t="shared" si="5"/>
        <v>96.47</v>
      </c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</row>
    <row r="141" spans="1:32" x14ac:dyDescent="0.25">
      <c r="A141" s="2">
        <v>140</v>
      </c>
      <c r="B141" s="3" t="s">
        <v>171</v>
      </c>
      <c r="C141" t="s">
        <v>171</v>
      </c>
      <c r="D141" t="s">
        <v>23</v>
      </c>
      <c r="E141">
        <v>16</v>
      </c>
      <c r="F141" s="8">
        <v>81.05</v>
      </c>
      <c r="G141" s="8">
        <v>81.05</v>
      </c>
      <c r="H141" s="8">
        <v>81.14</v>
      </c>
      <c r="I141" s="8">
        <v>81.12</v>
      </c>
      <c r="J141" s="8">
        <v>78.540000000000006</v>
      </c>
      <c r="K141" s="8">
        <v>80.31</v>
      </c>
      <c r="L141" s="8">
        <v>81.83</v>
      </c>
      <c r="M141" s="8">
        <v>81.92</v>
      </c>
      <c r="N141" s="8">
        <v>81.960000000000008</v>
      </c>
      <c r="O141" s="8">
        <v>82.02</v>
      </c>
      <c r="P141" s="8">
        <v>82.100548991120604</v>
      </c>
      <c r="Q141" s="8">
        <v>82.003287698340046</v>
      </c>
      <c r="R141" s="8">
        <v>82.620994461310545</v>
      </c>
      <c r="S141" s="9">
        <f t="shared" si="4"/>
        <v>12</v>
      </c>
      <c r="T141" s="8"/>
      <c r="U141" s="16">
        <f t="shared" si="5"/>
        <v>81.14</v>
      </c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</row>
    <row r="142" spans="1:32" x14ac:dyDescent="0.25">
      <c r="A142" s="2">
        <v>141</v>
      </c>
      <c r="B142" s="3" t="s">
        <v>172</v>
      </c>
      <c r="C142" t="s">
        <v>172</v>
      </c>
      <c r="D142" t="s">
        <v>23</v>
      </c>
      <c r="E142">
        <v>16</v>
      </c>
      <c r="F142" s="8">
        <v>94.33</v>
      </c>
      <c r="G142" s="8">
        <v>94.33</v>
      </c>
      <c r="H142" s="8">
        <v>94.42</v>
      </c>
      <c r="I142" s="8">
        <v>94.4</v>
      </c>
      <c r="J142" s="8">
        <v>94.39</v>
      </c>
      <c r="K142" s="8">
        <v>94.39</v>
      </c>
      <c r="L142" s="8">
        <v>94.53</v>
      </c>
      <c r="M142" s="8">
        <v>94.61</v>
      </c>
      <c r="N142" s="8">
        <v>94.67</v>
      </c>
      <c r="O142" s="8">
        <v>92.88</v>
      </c>
      <c r="P142" s="8">
        <v>93.890654303411992</v>
      </c>
      <c r="Q142" s="8">
        <v>93.840901313863384</v>
      </c>
      <c r="R142" s="8">
        <v>93.693471405389516</v>
      </c>
      <c r="S142" s="9">
        <f t="shared" si="4"/>
        <v>12</v>
      </c>
      <c r="T142" s="8"/>
      <c r="U142" s="16">
        <f t="shared" si="5"/>
        <v>94.42</v>
      </c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</row>
    <row r="143" spans="1:32" x14ac:dyDescent="0.25">
      <c r="A143" s="2">
        <v>142</v>
      </c>
      <c r="B143" s="3" t="s">
        <v>173</v>
      </c>
      <c r="C143" t="s">
        <v>174</v>
      </c>
      <c r="D143" t="s">
        <v>25</v>
      </c>
      <c r="E143">
        <v>16</v>
      </c>
      <c r="F143" s="8">
        <v>67.67</v>
      </c>
      <c r="G143" s="8">
        <v>67.67</v>
      </c>
      <c r="H143" s="8">
        <v>74.19</v>
      </c>
      <c r="I143" s="8">
        <v>83.55</v>
      </c>
      <c r="J143" s="8">
        <v>83.11</v>
      </c>
      <c r="K143" s="8">
        <v>84.600000000000009</v>
      </c>
      <c r="L143" s="8">
        <v>85.11</v>
      </c>
      <c r="M143" s="8">
        <v>85.48</v>
      </c>
      <c r="N143" s="8">
        <v>85.42</v>
      </c>
      <c r="O143" s="8">
        <v>85.52</v>
      </c>
      <c r="P143" s="8">
        <v>90.658290933336048</v>
      </c>
      <c r="Q143" s="8">
        <v>89.129867906724485</v>
      </c>
      <c r="R143" s="8">
        <v>90.601173623424984</v>
      </c>
      <c r="S143" s="9">
        <f t="shared" si="4"/>
        <v>12</v>
      </c>
      <c r="T143" s="8"/>
      <c r="U143" s="16">
        <f t="shared" si="5"/>
        <v>74.19</v>
      </c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</row>
    <row r="144" spans="1:32" x14ac:dyDescent="0.25">
      <c r="A144" s="2">
        <v>143</v>
      </c>
      <c r="B144" s="3" t="s">
        <v>175</v>
      </c>
      <c r="C144" t="s">
        <v>175</v>
      </c>
      <c r="D144" t="s">
        <v>14</v>
      </c>
      <c r="E144">
        <v>4</v>
      </c>
      <c r="F144" s="8">
        <v>55.0833333333333</v>
      </c>
      <c r="G144" s="8">
        <v>55.0833333333333</v>
      </c>
      <c r="H144" s="8">
        <v>53.8333333333333</v>
      </c>
      <c r="I144" s="8">
        <v>52.5833333333333</v>
      </c>
      <c r="J144" s="8">
        <v>51.3333333333333</v>
      </c>
      <c r="K144" s="8">
        <v>50.0833333333333</v>
      </c>
      <c r="L144" s="8">
        <v>48.27</v>
      </c>
      <c r="M144" s="8">
        <v>48.71</v>
      </c>
      <c r="N144" s="8">
        <v>45.77</v>
      </c>
      <c r="O144" s="8">
        <v>46.37</v>
      </c>
      <c r="P144" s="8">
        <v>44.846561688638531</v>
      </c>
      <c r="Q144" s="8">
        <v>43.62026877003882</v>
      </c>
      <c r="R144" s="8">
        <v>42.186123069838459</v>
      </c>
      <c r="S144" s="9">
        <f t="shared" si="4"/>
        <v>12</v>
      </c>
      <c r="T144" s="8"/>
      <c r="U144" s="16">
        <f t="shared" si="5"/>
        <v>53.8333333333333</v>
      </c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</row>
    <row r="145" spans="1:32" x14ac:dyDescent="0.25">
      <c r="A145" s="2">
        <v>144</v>
      </c>
      <c r="B145" s="3" t="s">
        <v>176</v>
      </c>
      <c r="C145" t="s">
        <v>177</v>
      </c>
      <c r="D145" t="s">
        <v>14</v>
      </c>
      <c r="E145">
        <v>16</v>
      </c>
      <c r="F145" s="8">
        <v>80.72</v>
      </c>
      <c r="G145" s="8">
        <v>80.72</v>
      </c>
      <c r="H145" s="8">
        <v>81.42</v>
      </c>
      <c r="I145" s="8">
        <v>81.430000000000007</v>
      </c>
      <c r="J145" s="8">
        <v>81.430000000000007</v>
      </c>
      <c r="K145" s="8">
        <v>79.710000000000008</v>
      </c>
      <c r="L145" s="8">
        <v>79.710000000000008</v>
      </c>
      <c r="M145" s="8">
        <v>79.960000000000008</v>
      </c>
      <c r="N145" s="8">
        <v>79.97</v>
      </c>
      <c r="O145" s="8">
        <v>81.22</v>
      </c>
      <c r="P145" s="8">
        <v>79.827770701366205</v>
      </c>
      <c r="Q145" s="8">
        <v>79.708855609130296</v>
      </c>
      <c r="R145" s="8">
        <v>79.782043819780171</v>
      </c>
      <c r="S145" s="9">
        <f t="shared" si="4"/>
        <v>12</v>
      </c>
      <c r="T145" s="8"/>
      <c r="U145" s="16">
        <f t="shared" si="5"/>
        <v>81.42</v>
      </c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</row>
    <row r="146" spans="1:32" x14ac:dyDescent="0.25">
      <c r="A146" s="2">
        <v>145</v>
      </c>
      <c r="B146" s="3" t="s">
        <v>178</v>
      </c>
      <c r="C146" t="s">
        <v>179</v>
      </c>
      <c r="D146" t="s">
        <v>25</v>
      </c>
      <c r="E146">
        <v>16</v>
      </c>
      <c r="F146" s="8">
        <v>84.48</v>
      </c>
      <c r="G146" s="8">
        <v>84.48</v>
      </c>
      <c r="H146" s="8">
        <v>90.66</v>
      </c>
      <c r="I146" s="8">
        <v>94.36</v>
      </c>
      <c r="J146" s="8">
        <v>94.36</v>
      </c>
      <c r="K146" s="8">
        <v>94.36</v>
      </c>
      <c r="L146" s="8">
        <v>94.36</v>
      </c>
      <c r="M146" s="8">
        <v>95.83</v>
      </c>
      <c r="N146" s="8">
        <v>95.83</v>
      </c>
      <c r="O146" s="8">
        <v>95.83</v>
      </c>
      <c r="P146" s="8">
        <v>95.399164609558738</v>
      </c>
      <c r="Q146" s="8">
        <v>99.316831131899562</v>
      </c>
      <c r="R146" s="8">
        <v>99.353860645823261</v>
      </c>
      <c r="S146" s="9">
        <f t="shared" si="4"/>
        <v>12</v>
      </c>
      <c r="T146" s="8"/>
      <c r="U146" s="16">
        <f t="shared" si="5"/>
        <v>90.66</v>
      </c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</row>
    <row r="147" spans="1:32" x14ac:dyDescent="0.25">
      <c r="A147" s="2">
        <v>146</v>
      </c>
      <c r="B147" s="3" t="s">
        <v>180</v>
      </c>
      <c r="C147" t="s">
        <v>180</v>
      </c>
      <c r="D147" t="s">
        <v>23</v>
      </c>
      <c r="E147">
        <v>16</v>
      </c>
      <c r="F147" s="8">
        <v>71.09</v>
      </c>
      <c r="G147" s="8">
        <v>71.09</v>
      </c>
      <c r="H147" s="8">
        <v>78.19</v>
      </c>
      <c r="I147" s="8">
        <v>76.430000000000007</v>
      </c>
      <c r="J147" s="8">
        <v>77.930000000000007</v>
      </c>
      <c r="K147" s="8">
        <v>86.36</v>
      </c>
      <c r="L147" s="8">
        <v>86.4</v>
      </c>
      <c r="M147" s="8">
        <v>86.7</v>
      </c>
      <c r="N147" s="8">
        <v>86.74</v>
      </c>
      <c r="O147" s="8">
        <v>86.91</v>
      </c>
      <c r="P147" s="8">
        <v>92.468761875026303</v>
      </c>
      <c r="Q147" s="8">
        <v>93.178205007234737</v>
      </c>
      <c r="R147" s="8">
        <v>99.381492763702227</v>
      </c>
      <c r="S147" s="9">
        <f t="shared" si="4"/>
        <v>12</v>
      </c>
      <c r="T147" s="8"/>
      <c r="U147" s="16">
        <f t="shared" si="5"/>
        <v>78.19</v>
      </c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</row>
    <row r="148" spans="1:32" x14ac:dyDescent="0.25">
      <c r="A148" s="2">
        <v>147</v>
      </c>
      <c r="B148" s="3" t="s">
        <v>181</v>
      </c>
      <c r="C148" t="s">
        <v>182</v>
      </c>
      <c r="D148" t="s">
        <v>25</v>
      </c>
      <c r="E148">
        <v>16</v>
      </c>
      <c r="F148" s="8">
        <v>74.58</v>
      </c>
      <c r="G148" s="8">
        <v>74.58</v>
      </c>
      <c r="H148" s="8">
        <v>75.81</v>
      </c>
      <c r="I148" s="8">
        <v>82.27</v>
      </c>
      <c r="J148" s="8">
        <v>82.34</v>
      </c>
      <c r="K148" s="8">
        <v>83.01</v>
      </c>
      <c r="L148" s="8">
        <v>84.98</v>
      </c>
      <c r="M148" s="8">
        <v>87.52</v>
      </c>
      <c r="N148" s="8">
        <v>87.74</v>
      </c>
      <c r="O148" s="8">
        <v>87.87</v>
      </c>
      <c r="P148" s="8">
        <v>89.078519176812279</v>
      </c>
      <c r="Q148" s="8">
        <v>95.231697471655025</v>
      </c>
      <c r="R148" s="8">
        <v>95.720557921536965</v>
      </c>
      <c r="S148" s="9">
        <f t="shared" si="4"/>
        <v>12</v>
      </c>
      <c r="T148" s="8"/>
      <c r="U148" s="16">
        <f t="shared" si="5"/>
        <v>75.81</v>
      </c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</row>
    <row r="149" spans="1:32" x14ac:dyDescent="0.25">
      <c r="A149" s="2">
        <v>148</v>
      </c>
      <c r="B149" s="3" t="s">
        <v>183</v>
      </c>
      <c r="C149" t="s">
        <v>183</v>
      </c>
      <c r="D149" t="s">
        <v>18</v>
      </c>
      <c r="E149">
        <v>14</v>
      </c>
      <c r="F149" s="8">
        <v>42.26</v>
      </c>
      <c r="G149" s="8">
        <v>42.26</v>
      </c>
      <c r="H149" s="8">
        <v>42.92</v>
      </c>
      <c r="I149" s="8">
        <v>43.47</v>
      </c>
      <c r="J149" s="8">
        <v>43.88</v>
      </c>
      <c r="K149" s="8">
        <v>47.96</v>
      </c>
      <c r="L149" s="8">
        <v>47.9</v>
      </c>
      <c r="M149" s="8">
        <v>60.33</v>
      </c>
      <c r="N149" s="8">
        <v>60.64</v>
      </c>
      <c r="O149" s="8">
        <v>60.71</v>
      </c>
      <c r="P149" s="8">
        <v>65.167809006440621</v>
      </c>
      <c r="Q149" s="8">
        <v>63.549704197348547</v>
      </c>
      <c r="R149" s="8">
        <v>67.012838491143157</v>
      </c>
      <c r="S149" s="9">
        <f t="shared" si="4"/>
        <v>12</v>
      </c>
      <c r="T149" s="8"/>
      <c r="U149" s="16">
        <f t="shared" si="5"/>
        <v>42.92</v>
      </c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</row>
    <row r="150" spans="1:32" x14ac:dyDescent="0.25">
      <c r="A150" s="2">
        <v>149</v>
      </c>
      <c r="B150" s="3" t="s">
        <v>184</v>
      </c>
      <c r="C150" t="s">
        <v>184</v>
      </c>
      <c r="D150" t="s">
        <v>14</v>
      </c>
      <c r="E150">
        <v>14</v>
      </c>
      <c r="F150" s="8">
        <v>65.72</v>
      </c>
      <c r="G150" s="8">
        <v>65.72</v>
      </c>
      <c r="H150" s="8">
        <v>66.2</v>
      </c>
      <c r="I150" s="8">
        <v>66.849999999999994</v>
      </c>
      <c r="J150" s="8">
        <v>70.91</v>
      </c>
      <c r="K150" s="8">
        <v>73.47</v>
      </c>
      <c r="L150" s="8">
        <v>73.460000000000008</v>
      </c>
      <c r="M150" s="8">
        <v>74.320000000000007</v>
      </c>
      <c r="N150" s="8">
        <v>74.350000000000009</v>
      </c>
      <c r="O150" s="8">
        <v>74.55</v>
      </c>
      <c r="P150" s="8">
        <v>77.0845828661827</v>
      </c>
      <c r="Q150" s="8">
        <v>77.835562226453931</v>
      </c>
      <c r="R150" s="8">
        <v>77.390619373481513</v>
      </c>
      <c r="S150" s="9">
        <f t="shared" si="4"/>
        <v>12</v>
      </c>
      <c r="T150" s="8"/>
      <c r="U150" s="16">
        <f t="shared" si="5"/>
        <v>66.2</v>
      </c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</row>
    <row r="151" spans="1:32" x14ac:dyDescent="0.25">
      <c r="A151" s="2">
        <v>150</v>
      </c>
      <c r="B151" s="3" t="s">
        <v>185</v>
      </c>
      <c r="C151" t="s">
        <v>185</v>
      </c>
      <c r="D151" t="s">
        <v>23</v>
      </c>
      <c r="E151">
        <v>16</v>
      </c>
      <c r="F151" s="8">
        <v>92.16</v>
      </c>
      <c r="G151" s="8">
        <v>92.16</v>
      </c>
      <c r="H151" s="8">
        <v>92.210000000000008</v>
      </c>
      <c r="I151" s="8">
        <v>92.26</v>
      </c>
      <c r="J151" s="8">
        <v>92.28</v>
      </c>
      <c r="K151" s="8">
        <v>92.29</v>
      </c>
      <c r="L151" s="8">
        <v>94.61</v>
      </c>
      <c r="M151" s="8">
        <v>94.64</v>
      </c>
      <c r="N151" s="8">
        <v>94.67</v>
      </c>
      <c r="O151" s="8">
        <v>94.69</v>
      </c>
      <c r="P151" s="8">
        <v>95.58958924097908</v>
      </c>
      <c r="Q151" s="8">
        <v>95.490476015360741</v>
      </c>
      <c r="R151" s="8">
        <v>95.766907117010192</v>
      </c>
      <c r="S151" s="9">
        <f t="shared" si="4"/>
        <v>12</v>
      </c>
      <c r="T151" s="8"/>
      <c r="U151" s="16">
        <f t="shared" si="5"/>
        <v>92.210000000000008</v>
      </c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</row>
    <row r="152" spans="1:32" x14ac:dyDescent="0.25">
      <c r="A152" s="2">
        <v>151</v>
      </c>
      <c r="B152" s="3" t="s">
        <v>186</v>
      </c>
      <c r="C152" t="s">
        <v>186</v>
      </c>
      <c r="D152" t="s">
        <v>7</v>
      </c>
      <c r="E152">
        <v>16</v>
      </c>
      <c r="F152" s="8">
        <v>86.26</v>
      </c>
      <c r="G152" s="8">
        <v>86.26</v>
      </c>
      <c r="H152" s="8">
        <v>86.27</v>
      </c>
      <c r="I152" s="8">
        <v>86.320000000000007</v>
      </c>
      <c r="J152" s="8">
        <v>86.36</v>
      </c>
      <c r="K152" s="8">
        <v>88.38</v>
      </c>
      <c r="L152" s="8">
        <v>88.44</v>
      </c>
      <c r="M152" s="8">
        <v>88.39</v>
      </c>
      <c r="N152" s="8">
        <v>88.38</v>
      </c>
      <c r="O152" s="8">
        <v>88.41</v>
      </c>
      <c r="P152" s="8">
        <v>89.842893085127344</v>
      </c>
      <c r="Q152" s="8">
        <v>89.645808418976458</v>
      </c>
      <c r="R152" s="8">
        <v>90.092667111525202</v>
      </c>
      <c r="S152" s="9">
        <f t="shared" si="4"/>
        <v>12</v>
      </c>
      <c r="T152" s="8"/>
      <c r="U152" s="16">
        <f t="shared" si="5"/>
        <v>86.27</v>
      </c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</row>
    <row r="153" spans="1:32" x14ac:dyDescent="0.25">
      <c r="A153" s="2">
        <v>152</v>
      </c>
      <c r="B153" s="3" t="s">
        <v>187</v>
      </c>
      <c r="C153" t="s">
        <v>187</v>
      </c>
      <c r="D153" t="s">
        <v>9</v>
      </c>
      <c r="E153">
        <v>16</v>
      </c>
      <c r="F153" s="8">
        <v>60.22</v>
      </c>
      <c r="G153" s="8">
        <v>60.22</v>
      </c>
      <c r="H153" s="8">
        <v>65.08</v>
      </c>
      <c r="I153" s="8">
        <v>66.06</v>
      </c>
      <c r="J153" s="8">
        <v>71.760000000000005</v>
      </c>
      <c r="K153" s="8">
        <v>68.37</v>
      </c>
      <c r="L153" s="8">
        <v>78.91</v>
      </c>
      <c r="M153" s="8">
        <v>78.930000000000007</v>
      </c>
      <c r="N153" s="8">
        <v>80.430000000000007</v>
      </c>
      <c r="O153" s="8">
        <v>80.989999999999995</v>
      </c>
      <c r="P153" s="8">
        <v>78.851478703955763</v>
      </c>
      <c r="Q153" s="8">
        <v>89.175171837626294</v>
      </c>
      <c r="R153" s="8">
        <v>84.370956071295041</v>
      </c>
      <c r="S153" s="9">
        <f t="shared" si="4"/>
        <v>12</v>
      </c>
      <c r="T153" s="8"/>
      <c r="U153" s="16">
        <f t="shared" si="5"/>
        <v>65.08</v>
      </c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</row>
    <row r="154" spans="1:32" x14ac:dyDescent="0.25">
      <c r="A154" s="2">
        <v>153</v>
      </c>
      <c r="B154" s="3" t="s">
        <v>188</v>
      </c>
      <c r="C154" t="s">
        <v>188</v>
      </c>
      <c r="D154" t="s">
        <v>25</v>
      </c>
      <c r="E154">
        <v>14</v>
      </c>
      <c r="F154" s="8">
        <v>80.66</v>
      </c>
      <c r="G154" s="8">
        <v>80.66</v>
      </c>
      <c r="H154" s="8">
        <v>86.81</v>
      </c>
      <c r="I154" s="8">
        <v>87.59</v>
      </c>
      <c r="J154" s="8">
        <v>85.51</v>
      </c>
      <c r="K154" s="8">
        <v>85.76</v>
      </c>
      <c r="L154" s="8">
        <v>90.26</v>
      </c>
      <c r="M154" s="8">
        <v>86.61</v>
      </c>
      <c r="N154" s="8">
        <v>90.54</v>
      </c>
      <c r="O154" s="8">
        <v>90.7</v>
      </c>
      <c r="P154" s="8">
        <v>89.539909359987632</v>
      </c>
      <c r="Q154" s="8">
        <v>95.342123426496528</v>
      </c>
      <c r="R154" s="8">
        <v>94.311120746865981</v>
      </c>
      <c r="S154" s="9">
        <f t="shared" si="4"/>
        <v>12</v>
      </c>
      <c r="T154" s="8"/>
      <c r="U154" s="16">
        <f t="shared" si="5"/>
        <v>86.81</v>
      </c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</row>
    <row r="155" spans="1:32" x14ac:dyDescent="0.25">
      <c r="A155" s="2">
        <v>154</v>
      </c>
      <c r="B155" s="3" t="s">
        <v>189</v>
      </c>
      <c r="C155" t="s">
        <v>189</v>
      </c>
      <c r="D155" t="s">
        <v>14</v>
      </c>
      <c r="E155">
        <v>16</v>
      </c>
      <c r="F155" s="8">
        <v>63.38</v>
      </c>
      <c r="G155" s="8">
        <v>63.38</v>
      </c>
      <c r="H155" s="8">
        <v>64.320000000000007</v>
      </c>
      <c r="I155" s="8">
        <v>67.320000000000007</v>
      </c>
      <c r="J155" s="8">
        <v>68.73</v>
      </c>
      <c r="K155" s="8">
        <v>68.91</v>
      </c>
      <c r="L155" s="8">
        <v>68.47</v>
      </c>
      <c r="M155" s="8">
        <v>69.16</v>
      </c>
      <c r="N155" s="8">
        <v>70.150000000000006</v>
      </c>
      <c r="O155" s="8">
        <v>72.650000000000006</v>
      </c>
      <c r="P155" s="8">
        <v>71.744195998106306</v>
      </c>
      <c r="Q155" s="8">
        <v>73.927460511840309</v>
      </c>
      <c r="R155" s="8">
        <v>74.899829050371409</v>
      </c>
      <c r="S155" s="9">
        <f t="shared" si="4"/>
        <v>12</v>
      </c>
      <c r="T155" s="8"/>
      <c r="U155" s="16">
        <f t="shared" si="5"/>
        <v>64.320000000000007</v>
      </c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</row>
    <row r="156" spans="1:32" x14ac:dyDescent="0.25">
      <c r="A156" s="2">
        <v>155</v>
      </c>
      <c r="B156" s="3" t="s">
        <v>190</v>
      </c>
      <c r="C156" t="s">
        <v>190</v>
      </c>
      <c r="D156" t="s">
        <v>25</v>
      </c>
      <c r="E156">
        <v>16</v>
      </c>
      <c r="F156" s="8">
        <v>78.850000000000009</v>
      </c>
      <c r="G156" s="8">
        <v>78.850000000000009</v>
      </c>
      <c r="H156" s="8">
        <v>80.92</v>
      </c>
      <c r="I156" s="8">
        <v>82.67</v>
      </c>
      <c r="J156" s="8">
        <v>83.05</v>
      </c>
      <c r="K156" s="8">
        <v>83.070000000000007</v>
      </c>
      <c r="L156" s="8">
        <v>83.05</v>
      </c>
      <c r="M156" s="8">
        <v>85.04</v>
      </c>
      <c r="N156" s="8">
        <v>92.34</v>
      </c>
      <c r="O156" s="8">
        <v>92.72</v>
      </c>
      <c r="P156" s="8">
        <v>87.41847626655408</v>
      </c>
      <c r="Q156" s="8">
        <v>95.251891238603093</v>
      </c>
      <c r="R156" s="8">
        <v>95.511303378187222</v>
      </c>
      <c r="S156" s="9">
        <f t="shared" si="4"/>
        <v>12</v>
      </c>
      <c r="T156" s="8"/>
      <c r="U156" s="16">
        <f t="shared" si="5"/>
        <v>80.92</v>
      </c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</row>
    <row r="157" spans="1:32" x14ac:dyDescent="0.25">
      <c r="A157" s="2">
        <v>156</v>
      </c>
      <c r="B157" s="3" t="s">
        <v>191</v>
      </c>
      <c r="C157" t="s">
        <v>191</v>
      </c>
      <c r="D157" t="s">
        <v>14</v>
      </c>
      <c r="E157">
        <v>16</v>
      </c>
      <c r="F157" s="8">
        <v>22.93</v>
      </c>
      <c r="G157" s="8">
        <v>22.93</v>
      </c>
      <c r="H157" s="8">
        <v>23.04</v>
      </c>
      <c r="I157" s="8">
        <v>40.44</v>
      </c>
      <c r="J157" s="8">
        <v>47.07</v>
      </c>
      <c r="K157" s="8">
        <v>76.06</v>
      </c>
      <c r="L157" s="8">
        <v>78.37</v>
      </c>
      <c r="M157" s="8">
        <v>81.710000000000008</v>
      </c>
      <c r="N157" s="8">
        <v>82.51</v>
      </c>
      <c r="O157" s="8">
        <v>88.7</v>
      </c>
      <c r="P157" s="8">
        <v>98.736754819866377</v>
      </c>
      <c r="Q157" s="8">
        <v>99.04214196081746</v>
      </c>
      <c r="R157" s="8">
        <v>41.926925390401024</v>
      </c>
      <c r="S157" s="9">
        <f t="shared" si="4"/>
        <v>12</v>
      </c>
      <c r="T157" s="8"/>
      <c r="U157" s="16">
        <f t="shared" si="5"/>
        <v>23.04</v>
      </c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</row>
    <row r="158" spans="1:32" x14ac:dyDescent="0.25">
      <c r="A158" s="2">
        <v>157</v>
      </c>
      <c r="B158" s="3" t="s">
        <v>192</v>
      </c>
      <c r="C158" t="s">
        <v>192</v>
      </c>
      <c r="D158" t="s">
        <v>9</v>
      </c>
      <c r="E158">
        <v>16</v>
      </c>
      <c r="F158" s="8">
        <v>83.25</v>
      </c>
      <c r="G158" s="8">
        <v>83.25</v>
      </c>
      <c r="H158" s="8">
        <v>83.350000000000009</v>
      </c>
      <c r="I158" s="8">
        <v>83.36</v>
      </c>
      <c r="J158" s="8">
        <v>83.29</v>
      </c>
      <c r="K158" s="8">
        <v>83.34</v>
      </c>
      <c r="L158" s="8">
        <v>83.39</v>
      </c>
      <c r="M158" s="8">
        <v>83.29</v>
      </c>
      <c r="N158" s="8">
        <v>83.3</v>
      </c>
      <c r="O158" s="8">
        <v>90.23</v>
      </c>
      <c r="P158" s="8">
        <v>87.03003243642604</v>
      </c>
      <c r="Q158" s="8">
        <v>86.390026250207825</v>
      </c>
      <c r="R158" s="8">
        <v>88.079883884616038</v>
      </c>
      <c r="S158" s="9">
        <f t="shared" si="4"/>
        <v>12</v>
      </c>
      <c r="T158" s="8"/>
      <c r="U158" s="16">
        <f t="shared" si="5"/>
        <v>83.350000000000009</v>
      </c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</row>
    <row r="159" spans="1:32" x14ac:dyDescent="0.25">
      <c r="A159" s="2">
        <v>158</v>
      </c>
      <c r="B159" s="3" t="s">
        <v>193</v>
      </c>
      <c r="C159" t="s">
        <v>193</v>
      </c>
      <c r="D159" t="s">
        <v>7</v>
      </c>
      <c r="E159">
        <v>16</v>
      </c>
      <c r="F159" s="8">
        <v>81.400000000000006</v>
      </c>
      <c r="G159" s="8">
        <v>81.400000000000006</v>
      </c>
      <c r="H159" s="8">
        <v>81.44</v>
      </c>
      <c r="I159" s="8">
        <v>81.600000000000009</v>
      </c>
      <c r="J159" s="8">
        <v>81.010000000000005</v>
      </c>
      <c r="K159" s="8">
        <v>79.08</v>
      </c>
      <c r="L159" s="8">
        <v>79.2</v>
      </c>
      <c r="M159" s="8">
        <v>81.02</v>
      </c>
      <c r="N159" s="8">
        <v>81.91</v>
      </c>
      <c r="O159" s="8">
        <v>88.210000000000008</v>
      </c>
      <c r="P159" s="8">
        <v>82.655408691554385</v>
      </c>
      <c r="Q159" s="8">
        <v>83.799300943047115</v>
      </c>
      <c r="R159" s="8">
        <v>86.907418807585486</v>
      </c>
      <c r="S159" s="9">
        <f t="shared" si="4"/>
        <v>12</v>
      </c>
      <c r="T159" s="8"/>
      <c r="U159" s="16">
        <f t="shared" si="5"/>
        <v>81.44</v>
      </c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</row>
    <row r="160" spans="1:32" x14ac:dyDescent="0.25">
      <c r="A160" s="2">
        <v>159</v>
      </c>
      <c r="B160" s="3" t="s">
        <v>194</v>
      </c>
      <c r="C160" t="s">
        <v>194</v>
      </c>
      <c r="D160" t="s">
        <v>25</v>
      </c>
      <c r="E160">
        <v>0</v>
      </c>
      <c r="F160" s="8" t="s">
        <v>12</v>
      </c>
      <c r="G160" s="8" t="s">
        <v>12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 t="s">
        <v>12</v>
      </c>
      <c r="S160" s="9">
        <f t="shared" si="4"/>
        <v>0</v>
      </c>
      <c r="T160" s="8"/>
      <c r="U160" s="16" t="str">
        <f t="shared" si="5"/>
        <v>.</v>
      </c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</row>
    <row r="161" spans="1:32" x14ac:dyDescent="0.25">
      <c r="A161" s="2">
        <v>160</v>
      </c>
      <c r="B161" s="3" t="s">
        <v>195</v>
      </c>
      <c r="C161" t="s">
        <v>195</v>
      </c>
      <c r="D161" t="s">
        <v>14</v>
      </c>
      <c r="E161">
        <v>16</v>
      </c>
      <c r="F161" s="8">
        <v>59.74</v>
      </c>
      <c r="G161" s="8">
        <v>59.74</v>
      </c>
      <c r="H161" s="8">
        <v>63.910000000000004</v>
      </c>
      <c r="I161" s="8">
        <v>64.14</v>
      </c>
      <c r="J161" s="8">
        <v>64.19</v>
      </c>
      <c r="K161" s="8">
        <v>65.92</v>
      </c>
      <c r="L161" s="8">
        <v>69.260000000000005</v>
      </c>
      <c r="M161" s="8">
        <v>71.3</v>
      </c>
      <c r="N161" s="8">
        <v>72.25</v>
      </c>
      <c r="O161" s="8">
        <v>72.25</v>
      </c>
      <c r="P161" s="8">
        <v>74.097314326586002</v>
      </c>
      <c r="Q161" s="8">
        <v>78.257799111624081</v>
      </c>
      <c r="R161" s="8">
        <v>78.150585109758595</v>
      </c>
      <c r="S161" s="9">
        <f t="shared" si="4"/>
        <v>12</v>
      </c>
      <c r="T161" s="8"/>
      <c r="U161" s="16">
        <f t="shared" si="5"/>
        <v>63.910000000000004</v>
      </c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</row>
    <row r="162" spans="1:32" x14ac:dyDescent="0.25">
      <c r="A162" s="2">
        <v>161</v>
      </c>
      <c r="B162" s="3" t="s">
        <v>196</v>
      </c>
      <c r="C162" t="s">
        <v>196</v>
      </c>
      <c r="D162" t="s">
        <v>7</v>
      </c>
      <c r="E162">
        <v>16</v>
      </c>
      <c r="F162" s="8">
        <v>77.350000000000009</v>
      </c>
      <c r="G162" s="8">
        <v>77.350000000000009</v>
      </c>
      <c r="H162" s="8">
        <v>79.84</v>
      </c>
      <c r="I162" s="8">
        <v>83.77</v>
      </c>
      <c r="J162" s="8">
        <v>85.53</v>
      </c>
      <c r="K162" s="8">
        <v>85.55</v>
      </c>
      <c r="L162" s="8">
        <v>92.09</v>
      </c>
      <c r="M162" s="8">
        <v>91.03</v>
      </c>
      <c r="N162" s="8">
        <v>91.05</v>
      </c>
      <c r="O162" s="8">
        <v>91.070000000000007</v>
      </c>
      <c r="P162" s="8">
        <v>94.292436469120275</v>
      </c>
      <c r="Q162" s="8">
        <v>98.186541003875391</v>
      </c>
      <c r="R162" s="8">
        <v>95.867588691204219</v>
      </c>
      <c r="S162" s="9">
        <f t="shared" si="4"/>
        <v>12</v>
      </c>
      <c r="T162" s="8"/>
      <c r="U162" s="16">
        <f t="shared" si="5"/>
        <v>79.84</v>
      </c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</row>
    <row r="163" spans="1:32" x14ac:dyDescent="0.25">
      <c r="A163" s="2">
        <v>162</v>
      </c>
      <c r="B163" s="3" t="s">
        <v>197</v>
      </c>
      <c r="C163" t="s">
        <v>198</v>
      </c>
      <c r="D163" t="s">
        <v>9</v>
      </c>
      <c r="E163">
        <v>16</v>
      </c>
      <c r="F163" s="8">
        <v>83.62</v>
      </c>
      <c r="G163" s="8">
        <v>83.62</v>
      </c>
      <c r="H163" s="8">
        <v>85.5</v>
      </c>
      <c r="I163" s="8">
        <v>88.53</v>
      </c>
      <c r="J163" s="8">
        <v>88.47</v>
      </c>
      <c r="K163" s="8">
        <v>88.49</v>
      </c>
      <c r="L163" s="8">
        <v>88.5</v>
      </c>
      <c r="M163" s="8">
        <v>91.210000000000008</v>
      </c>
      <c r="N163" s="8">
        <v>91.16</v>
      </c>
      <c r="O163" s="8">
        <v>94.06</v>
      </c>
      <c r="P163" s="8">
        <v>93.529799583120621</v>
      </c>
      <c r="Q163" s="8">
        <v>95.598620300699622</v>
      </c>
      <c r="R163" s="8">
        <v>97.22261201646279</v>
      </c>
      <c r="S163" s="9">
        <f t="shared" si="4"/>
        <v>12</v>
      </c>
      <c r="T163" s="8"/>
      <c r="U163" s="16">
        <f t="shared" si="5"/>
        <v>85.5</v>
      </c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</row>
    <row r="164" spans="1:32" x14ac:dyDescent="0.25">
      <c r="A164" s="2">
        <v>163</v>
      </c>
      <c r="B164" s="3" t="s">
        <v>199</v>
      </c>
      <c r="C164" t="s">
        <v>200</v>
      </c>
      <c r="D164" t="s">
        <v>36</v>
      </c>
      <c r="E164">
        <v>6</v>
      </c>
      <c r="F164" s="8">
        <v>90.846666666666707</v>
      </c>
      <c r="G164" s="8">
        <v>90.846666666666707</v>
      </c>
      <c r="H164" s="8">
        <v>90.926666666666705</v>
      </c>
      <c r="I164" s="8">
        <v>91.006666666666703</v>
      </c>
      <c r="J164" s="8">
        <v>91.06</v>
      </c>
      <c r="K164" s="8">
        <v>91.22</v>
      </c>
      <c r="L164" s="8">
        <v>91.22</v>
      </c>
      <c r="M164" s="8">
        <v>91.23</v>
      </c>
      <c r="N164" s="8">
        <v>91.23</v>
      </c>
      <c r="O164" s="8">
        <v>91.23</v>
      </c>
      <c r="P164" s="8">
        <v>91.283885495403027</v>
      </c>
      <c r="Q164" s="8">
        <v>91.31724745073285</v>
      </c>
      <c r="R164" s="8">
        <v>91.336349196654822</v>
      </c>
      <c r="S164" s="9">
        <f t="shared" si="4"/>
        <v>12</v>
      </c>
      <c r="T164" s="8"/>
      <c r="U164" s="16">
        <f t="shared" si="5"/>
        <v>90.926666666666705</v>
      </c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</row>
    <row r="165" spans="1:32" x14ac:dyDescent="0.25">
      <c r="A165" s="2">
        <v>164</v>
      </c>
      <c r="B165" s="3" t="s">
        <v>201</v>
      </c>
      <c r="C165" t="s">
        <v>201</v>
      </c>
      <c r="D165" t="s">
        <v>18</v>
      </c>
      <c r="E165">
        <v>16</v>
      </c>
      <c r="F165" s="8">
        <v>64.08</v>
      </c>
      <c r="G165" s="8">
        <v>64.08</v>
      </c>
      <c r="H165" s="8">
        <v>89.5</v>
      </c>
      <c r="I165" s="8">
        <v>89.61</v>
      </c>
      <c r="J165" s="8">
        <v>89.67</v>
      </c>
      <c r="K165" s="8">
        <v>89.76</v>
      </c>
      <c r="L165" s="8">
        <v>89.9</v>
      </c>
      <c r="M165" s="8">
        <v>89.79</v>
      </c>
      <c r="N165" s="8">
        <v>89.8</v>
      </c>
      <c r="O165" s="8">
        <v>89.78</v>
      </c>
      <c r="P165" s="8">
        <v>93.074346286342006</v>
      </c>
      <c r="Q165" s="8">
        <v>92.361794510258278</v>
      </c>
      <c r="R165" s="8">
        <v>99.738719303682501</v>
      </c>
      <c r="S165" s="9">
        <f t="shared" si="4"/>
        <v>12</v>
      </c>
      <c r="T165" s="8"/>
      <c r="U165" s="16">
        <f t="shared" si="5"/>
        <v>89.5</v>
      </c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</row>
    <row r="166" spans="1:32" x14ac:dyDescent="0.25">
      <c r="A166" s="2">
        <v>165</v>
      </c>
      <c r="B166" s="3" t="s">
        <v>202</v>
      </c>
      <c r="C166" t="s">
        <v>202</v>
      </c>
      <c r="D166" t="s">
        <v>25</v>
      </c>
      <c r="E166">
        <v>16</v>
      </c>
      <c r="F166" s="8">
        <v>81.460000000000008</v>
      </c>
      <c r="G166" s="8">
        <v>81.460000000000008</v>
      </c>
      <c r="H166" s="8">
        <v>84.210000000000008</v>
      </c>
      <c r="I166" s="8">
        <v>84.89</v>
      </c>
      <c r="J166" s="8">
        <v>90.45</v>
      </c>
      <c r="K166" s="8">
        <v>90.47</v>
      </c>
      <c r="L166" s="8">
        <v>93.91</v>
      </c>
      <c r="M166" s="8">
        <v>93.93</v>
      </c>
      <c r="N166" s="8">
        <v>95.54</v>
      </c>
      <c r="O166" s="8">
        <v>95.79</v>
      </c>
      <c r="P166" s="8">
        <v>99.063589563980258</v>
      </c>
      <c r="Q166" s="8">
        <v>96.553939014737011</v>
      </c>
      <c r="R166" s="8">
        <v>98.943016176183136</v>
      </c>
      <c r="S166" s="9">
        <f t="shared" si="4"/>
        <v>12</v>
      </c>
      <c r="T166" s="8"/>
      <c r="U166" s="16">
        <f t="shared" si="5"/>
        <v>84.210000000000008</v>
      </c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</row>
    <row r="167" spans="1:32" x14ac:dyDescent="0.25">
      <c r="A167" s="2">
        <v>166</v>
      </c>
      <c r="B167" s="3" t="s">
        <v>203</v>
      </c>
      <c r="C167" t="s">
        <v>203</v>
      </c>
      <c r="D167" t="s">
        <v>18</v>
      </c>
      <c r="E167">
        <v>16</v>
      </c>
      <c r="F167" s="8">
        <v>46.230000000000004</v>
      </c>
      <c r="G167" s="8">
        <v>46.230000000000004</v>
      </c>
      <c r="H167" s="8">
        <v>46.74</v>
      </c>
      <c r="I167" s="8">
        <v>46.53</v>
      </c>
      <c r="J167" s="8">
        <v>45.550000000000004</v>
      </c>
      <c r="K167" s="8">
        <v>43.76</v>
      </c>
      <c r="L167" s="8">
        <v>38.910000000000004</v>
      </c>
      <c r="M167" s="8">
        <v>32.94</v>
      </c>
      <c r="N167" s="8">
        <v>25</v>
      </c>
      <c r="O167" s="8">
        <v>25</v>
      </c>
      <c r="P167" s="8">
        <v>18.098594624203542</v>
      </c>
      <c r="Q167" s="8">
        <v>24.104200539847625</v>
      </c>
      <c r="R167" s="8">
        <v>12.579750357497687</v>
      </c>
      <c r="S167" s="9">
        <f t="shared" si="4"/>
        <v>12</v>
      </c>
      <c r="T167" s="8"/>
      <c r="U167" s="16">
        <f t="shared" si="5"/>
        <v>46.74</v>
      </c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</row>
    <row r="168" spans="1:32" x14ac:dyDescent="0.25">
      <c r="A168" s="2">
        <v>167</v>
      </c>
      <c r="B168" s="3" t="s">
        <v>204</v>
      </c>
      <c r="C168" t="s">
        <v>204</v>
      </c>
      <c r="D168" t="s">
        <v>25</v>
      </c>
      <c r="E168">
        <v>16</v>
      </c>
      <c r="F168" s="8">
        <v>77.8</v>
      </c>
      <c r="G168" s="8">
        <v>77.8</v>
      </c>
      <c r="H168" s="8">
        <v>77.97</v>
      </c>
      <c r="I168" s="8">
        <v>79.22</v>
      </c>
      <c r="J168" s="8">
        <v>78.86</v>
      </c>
      <c r="K168" s="8">
        <v>79.150000000000006</v>
      </c>
      <c r="L168" s="8">
        <v>82.72</v>
      </c>
      <c r="M168" s="8">
        <v>81.760000000000005</v>
      </c>
      <c r="N168" s="8">
        <v>82.02</v>
      </c>
      <c r="O168" s="8">
        <v>84.820000000000007</v>
      </c>
      <c r="P168" s="8">
        <v>85.40823564972402</v>
      </c>
      <c r="Q168" s="8">
        <v>84.044467285830478</v>
      </c>
      <c r="R168" s="8">
        <v>85.503749669716626</v>
      </c>
      <c r="S168" s="9">
        <f t="shared" si="4"/>
        <v>12</v>
      </c>
      <c r="T168" s="8"/>
      <c r="U168" s="16">
        <f t="shared" si="5"/>
        <v>77.97</v>
      </c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</row>
    <row r="169" spans="1:32" x14ac:dyDescent="0.25">
      <c r="A169" s="2">
        <v>168</v>
      </c>
      <c r="B169" s="3" t="s">
        <v>205</v>
      </c>
      <c r="C169" t="s">
        <v>205</v>
      </c>
      <c r="D169" t="s">
        <v>9</v>
      </c>
      <c r="E169">
        <v>16</v>
      </c>
      <c r="F169" s="8">
        <v>78.63</v>
      </c>
      <c r="G169" s="8">
        <v>78.63</v>
      </c>
      <c r="H169" s="8">
        <v>78.42</v>
      </c>
      <c r="I169" s="8">
        <v>72.87</v>
      </c>
      <c r="J169" s="8">
        <v>73.600000000000009</v>
      </c>
      <c r="K169" s="8">
        <v>73.570000000000007</v>
      </c>
      <c r="L169" s="8">
        <v>73.36</v>
      </c>
      <c r="M169" s="8">
        <v>71.59</v>
      </c>
      <c r="N169" s="8">
        <v>72.680000000000007</v>
      </c>
      <c r="O169" s="8">
        <v>67.010000000000005</v>
      </c>
      <c r="P169" s="8">
        <v>67.896177241461828</v>
      </c>
      <c r="Q169" s="8">
        <v>68.468936536688034</v>
      </c>
      <c r="R169" s="8">
        <v>63.810921168481855</v>
      </c>
      <c r="S169" s="9">
        <f t="shared" si="4"/>
        <v>12</v>
      </c>
      <c r="T169" s="8"/>
      <c r="U169" s="16">
        <f t="shared" si="5"/>
        <v>78.42</v>
      </c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</row>
    <row r="170" spans="1:32" x14ac:dyDescent="0.25">
      <c r="A170" s="2">
        <v>169</v>
      </c>
      <c r="B170" s="3" t="s">
        <v>206</v>
      </c>
      <c r="C170" t="s">
        <v>206</v>
      </c>
      <c r="D170" t="s">
        <v>14</v>
      </c>
      <c r="E170">
        <v>16</v>
      </c>
      <c r="F170" s="8">
        <v>83.04</v>
      </c>
      <c r="G170" s="8">
        <v>83.04</v>
      </c>
      <c r="H170" s="8">
        <v>83.17</v>
      </c>
      <c r="I170" s="8">
        <v>81.8</v>
      </c>
      <c r="J170" s="8">
        <v>85.09</v>
      </c>
      <c r="K170" s="8">
        <v>84.95</v>
      </c>
      <c r="L170" s="8">
        <v>84.88</v>
      </c>
      <c r="M170" s="8">
        <v>84.83</v>
      </c>
      <c r="N170" s="8">
        <v>84.89</v>
      </c>
      <c r="O170" s="8">
        <v>85.070000000000007</v>
      </c>
      <c r="P170" s="8">
        <v>85.471853854693109</v>
      </c>
      <c r="Q170" s="8">
        <v>85.865815149961804</v>
      </c>
      <c r="R170" s="8">
        <v>86.816285034997691</v>
      </c>
      <c r="S170" s="9">
        <f t="shared" si="4"/>
        <v>12</v>
      </c>
      <c r="T170" s="8"/>
      <c r="U170" s="16">
        <f t="shared" si="5"/>
        <v>83.17</v>
      </c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</row>
    <row r="171" spans="1:32" x14ac:dyDescent="0.25">
      <c r="A171" s="2">
        <v>170</v>
      </c>
      <c r="B171" s="3" t="s">
        <v>207</v>
      </c>
      <c r="C171" t="s">
        <v>207</v>
      </c>
      <c r="D171" t="s">
        <v>14</v>
      </c>
      <c r="E171">
        <v>16</v>
      </c>
      <c r="F171" s="8">
        <v>40.24</v>
      </c>
      <c r="G171" s="8">
        <v>40.24</v>
      </c>
      <c r="H171" s="8">
        <v>45.47</v>
      </c>
      <c r="I171" s="8">
        <v>49.17</v>
      </c>
      <c r="J171" s="8">
        <v>47.92</v>
      </c>
      <c r="K171" s="8">
        <v>49.03</v>
      </c>
      <c r="L171" s="8">
        <v>49.22</v>
      </c>
      <c r="M171" s="8">
        <v>48.84</v>
      </c>
      <c r="N171" s="8">
        <v>59.28</v>
      </c>
      <c r="O171" s="8">
        <v>66.48</v>
      </c>
      <c r="P171" s="8">
        <v>62.796387948414122</v>
      </c>
      <c r="Q171" s="8">
        <v>65.86879296250936</v>
      </c>
      <c r="R171" s="8">
        <v>69.857202974818392</v>
      </c>
      <c r="S171" s="9">
        <v>12</v>
      </c>
      <c r="T171" s="8"/>
      <c r="U171" s="16">
        <f t="shared" si="5"/>
        <v>45.47</v>
      </c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</row>
    <row r="172" spans="1:32" x14ac:dyDescent="0.25">
      <c r="A172" s="2">
        <v>171</v>
      </c>
      <c r="B172" s="3" t="s">
        <v>208</v>
      </c>
      <c r="C172">
        <v>0</v>
      </c>
      <c r="D172" t="s">
        <v>7</v>
      </c>
      <c r="E172">
        <v>16</v>
      </c>
      <c r="F172" s="8">
        <v>50.36</v>
      </c>
      <c r="G172" s="8">
        <v>50.36</v>
      </c>
      <c r="H172" s="8">
        <v>54.33</v>
      </c>
      <c r="I172" s="8">
        <v>56.6</v>
      </c>
      <c r="J172" s="8">
        <v>56.61</v>
      </c>
      <c r="K172" s="8">
        <v>56.69</v>
      </c>
      <c r="L172" s="8">
        <v>56.89</v>
      </c>
      <c r="M172" s="8">
        <v>58.43</v>
      </c>
      <c r="N172" s="8">
        <v>59.370000000000005</v>
      </c>
      <c r="O172" s="8">
        <v>59.57</v>
      </c>
      <c r="P172" s="8">
        <v>60.3646666666667</v>
      </c>
      <c r="Q172" s="8">
        <v>61.061238095238103</v>
      </c>
      <c r="R172" s="8">
        <v>61.757809523809499</v>
      </c>
      <c r="S172" s="9">
        <v>12</v>
      </c>
      <c r="U172" s="16">
        <f t="shared" si="5"/>
        <v>54.33</v>
      </c>
    </row>
    <row r="173" spans="1:32" x14ac:dyDescent="0.25">
      <c r="A173" s="2">
        <v>172</v>
      </c>
      <c r="B173" s="3" t="s">
        <v>209</v>
      </c>
      <c r="C173">
        <v>0</v>
      </c>
      <c r="D173" t="s">
        <v>23</v>
      </c>
      <c r="E173">
        <v>16</v>
      </c>
      <c r="F173" s="8">
        <v>92.4</v>
      </c>
      <c r="G173" s="8">
        <v>92.4</v>
      </c>
      <c r="H173" s="8">
        <v>92.4</v>
      </c>
      <c r="I173" s="8">
        <v>93.17</v>
      </c>
      <c r="J173" s="8">
        <v>93.17</v>
      </c>
      <c r="K173" s="8">
        <v>94.17</v>
      </c>
      <c r="L173" s="8">
        <v>94.18</v>
      </c>
      <c r="M173" s="8">
        <v>95.91</v>
      </c>
      <c r="N173" s="8">
        <v>95.91</v>
      </c>
      <c r="O173" s="8">
        <v>95.91</v>
      </c>
      <c r="P173" s="8">
        <v>96.94</v>
      </c>
      <c r="Q173" s="8">
        <v>97.53</v>
      </c>
      <c r="R173" s="8">
        <v>98.12</v>
      </c>
      <c r="S173" s="9">
        <v>12</v>
      </c>
      <c r="U173" s="16">
        <f t="shared" si="5"/>
        <v>92.4</v>
      </c>
    </row>
    <row r="174" spans="1:32" x14ac:dyDescent="0.25">
      <c r="A174" s="2">
        <v>173</v>
      </c>
      <c r="B174" s="3" t="s">
        <v>210</v>
      </c>
      <c r="C174">
        <v>0</v>
      </c>
      <c r="D174" t="s">
        <v>25</v>
      </c>
      <c r="E174">
        <v>15</v>
      </c>
      <c r="F174" s="8">
        <v>45.58</v>
      </c>
      <c r="G174" s="8">
        <v>45.58</v>
      </c>
      <c r="H174" s="8">
        <v>52.13</v>
      </c>
      <c r="I174" s="8">
        <v>57.94</v>
      </c>
      <c r="J174" s="8">
        <v>58.050000000000004</v>
      </c>
      <c r="K174" s="8">
        <v>81.010000000000005</v>
      </c>
      <c r="L174" s="8">
        <v>80.900000000000006</v>
      </c>
      <c r="M174" s="8">
        <v>74.41</v>
      </c>
      <c r="N174" s="8">
        <v>72.650000000000006</v>
      </c>
      <c r="O174" s="8">
        <v>89.41</v>
      </c>
      <c r="P174" s="8">
        <v>88.594666666666697</v>
      </c>
      <c r="Q174" s="8">
        <v>92.1726666666667</v>
      </c>
      <c r="R174" s="8">
        <v>95.750666666666703</v>
      </c>
      <c r="S174" s="9">
        <v>12</v>
      </c>
      <c r="U174" s="16">
        <f t="shared" si="5"/>
        <v>52.13</v>
      </c>
    </row>
    <row r="175" spans="1:32" x14ac:dyDescent="0.25">
      <c r="A175" s="2">
        <v>174</v>
      </c>
      <c r="B175" s="3" t="s">
        <v>211</v>
      </c>
      <c r="C175">
        <v>0</v>
      </c>
      <c r="D175" t="s">
        <v>16</v>
      </c>
      <c r="E175">
        <v>14</v>
      </c>
      <c r="F175" s="8">
        <v>79.680000000000007</v>
      </c>
      <c r="G175" s="8">
        <v>79.680000000000007</v>
      </c>
      <c r="H175" s="8">
        <v>79.680000000000007</v>
      </c>
      <c r="I175" s="8">
        <v>79.69</v>
      </c>
      <c r="J175" s="8">
        <v>82.29</v>
      </c>
      <c r="K175" s="8">
        <v>88.33</v>
      </c>
      <c r="L175" s="8">
        <v>88.33</v>
      </c>
      <c r="M175" s="8">
        <v>88.59</v>
      </c>
      <c r="N175" s="8">
        <v>88.570000000000007</v>
      </c>
      <c r="O175" s="8">
        <v>88.570000000000007</v>
      </c>
      <c r="P175" s="8">
        <v>90.684666666666701</v>
      </c>
      <c r="Q175" s="8">
        <v>91.609809523809503</v>
      </c>
      <c r="R175" s="8">
        <v>92.534952380952404</v>
      </c>
      <c r="S175" s="9">
        <v>12</v>
      </c>
      <c r="U175" s="16">
        <f t="shared" si="5"/>
        <v>79.680000000000007</v>
      </c>
    </row>
    <row r="176" spans="1:32" x14ac:dyDescent="0.25">
      <c r="A176" s="2">
        <v>175</v>
      </c>
      <c r="B176" s="3" t="s">
        <v>212</v>
      </c>
      <c r="C176">
        <v>0</v>
      </c>
      <c r="D176" t="s">
        <v>23</v>
      </c>
      <c r="E176">
        <v>16</v>
      </c>
      <c r="F176" s="8">
        <v>89.79</v>
      </c>
      <c r="G176" s="8">
        <v>89.79</v>
      </c>
      <c r="H176" s="8">
        <v>89.8</v>
      </c>
      <c r="I176" s="8">
        <v>89.8</v>
      </c>
      <c r="J176" s="8">
        <v>89.850000000000009</v>
      </c>
      <c r="K176" s="8">
        <v>91.23</v>
      </c>
      <c r="L176" s="8">
        <v>94.570000000000007</v>
      </c>
      <c r="M176" s="8">
        <v>94.58</v>
      </c>
      <c r="N176" s="8">
        <v>94.58</v>
      </c>
      <c r="O176" s="8">
        <v>94.58</v>
      </c>
      <c r="P176" s="8">
        <v>96.602666666666707</v>
      </c>
      <c r="Q176" s="8">
        <v>97.565809523809506</v>
      </c>
      <c r="R176" s="8">
        <v>98.528952380952404</v>
      </c>
      <c r="S176" s="9">
        <v>12</v>
      </c>
      <c r="U176" s="16">
        <f t="shared" si="5"/>
        <v>89.8</v>
      </c>
    </row>
    <row r="177" spans="7:18" x14ac:dyDescent="0.25"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 spans="7:18" x14ac:dyDescent="0.25">
      <c r="G178" s="8">
        <v>0</v>
      </c>
    </row>
  </sheetData>
  <autoFilter ref="A1:S171" xr:uid="{00000000-0009-0000-0000-000000000000}"/>
  <conditionalFormatting sqref="F1:I13 V2:AF171 F16:I23 F25:I34 F36:I71 F74:I79 F81:I99 F101:I103 F105:I116 F118:I119 F121:I130 F132:I143 F145:I163 F165:G176 H165:I1048576 J172:R177 G178:G1048576">
    <cfRule type="cellIs" dxfId="67" priority="1" operator="equal">
      <formula>"."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theme="6"/>
  </sheetPr>
  <dimension ref="A1:CH178"/>
  <sheetViews>
    <sheetView showGridLines="0" workbookViewId="0"/>
  </sheetViews>
  <sheetFormatPr defaultRowHeight="15" x14ac:dyDescent="0.25"/>
  <cols>
    <col min="4" max="4" width="25.7109375" customWidth="1"/>
    <col min="6" max="6" width="11" bestFit="1" customWidth="1"/>
    <col min="62" max="62" width="9" bestFit="1" customWidth="1"/>
    <col min="68" max="68" width="15.28515625" bestFit="1" customWidth="1"/>
  </cols>
  <sheetData>
    <row r="1" spans="1:86" x14ac:dyDescent="0.25">
      <c r="D1" t="s">
        <v>213</v>
      </c>
      <c r="F1">
        <f>SUM(F3:F177)</f>
        <v>2951909280</v>
      </c>
      <c r="G1">
        <f t="shared" ref="G1:BR1" si="0">SUM(G3:G177)</f>
        <v>2990960514</v>
      </c>
      <c r="H1">
        <f t="shared" si="0"/>
        <v>3041840617</v>
      </c>
      <c r="I1">
        <f t="shared" si="0"/>
        <v>3104643419</v>
      </c>
      <c r="J1">
        <f t="shared" si="0"/>
        <v>3167923608</v>
      </c>
      <c r="K1">
        <f t="shared" si="0"/>
        <v>3232387579</v>
      </c>
      <c r="L1">
        <f t="shared" si="0"/>
        <v>3299888909</v>
      </c>
      <c r="M1">
        <f t="shared" si="0"/>
        <v>3366854180</v>
      </c>
      <c r="N1">
        <f t="shared" si="0"/>
        <v>3434532566</v>
      </c>
      <c r="O1">
        <f t="shared" si="0"/>
        <v>3506360503</v>
      </c>
      <c r="P1">
        <f t="shared" si="0"/>
        <v>3578813611</v>
      </c>
      <c r="Q1">
        <f t="shared" si="0"/>
        <v>3653435623</v>
      </c>
      <c r="R1">
        <f t="shared" si="0"/>
        <v>3727473343</v>
      </c>
      <c r="S1">
        <f t="shared" si="0"/>
        <v>3800525241</v>
      </c>
      <c r="T1">
        <f t="shared" si="0"/>
        <v>3874203304</v>
      </c>
      <c r="U1">
        <f t="shared" si="0"/>
        <v>3946217720</v>
      </c>
      <c r="V1">
        <f t="shared" si="0"/>
        <v>4016284089</v>
      </c>
      <c r="W1">
        <f t="shared" si="0"/>
        <v>4086116245</v>
      </c>
      <c r="X1">
        <f t="shared" si="0"/>
        <v>4157254328</v>
      </c>
      <c r="Y1">
        <f t="shared" si="0"/>
        <v>4229954490</v>
      </c>
      <c r="Z1">
        <f t="shared" si="0"/>
        <v>4303491639</v>
      </c>
      <c r="AA1">
        <f t="shared" si="0"/>
        <v>4378844133</v>
      </c>
      <c r="AB1">
        <f t="shared" si="0"/>
        <v>4457187881</v>
      </c>
      <c r="AC1">
        <f t="shared" si="0"/>
        <v>4536284056</v>
      </c>
      <c r="AD1">
        <f t="shared" si="0"/>
        <v>4615184467</v>
      </c>
      <c r="AE1">
        <f t="shared" si="0"/>
        <v>4695848647</v>
      </c>
      <c r="AF1">
        <f t="shared" si="0"/>
        <v>4779261510</v>
      </c>
      <c r="AG1">
        <f t="shared" si="0"/>
        <v>4864890523</v>
      </c>
      <c r="AH1">
        <f t="shared" si="0"/>
        <v>4951305800</v>
      </c>
      <c r="AI1">
        <f t="shared" si="0"/>
        <v>5037464090</v>
      </c>
      <c r="AJ1">
        <f t="shared" si="0"/>
        <v>5129998438</v>
      </c>
      <c r="AK1">
        <f t="shared" si="0"/>
        <v>5213425168</v>
      </c>
      <c r="AL1">
        <f t="shared" si="0"/>
        <v>5293300229</v>
      </c>
      <c r="AM1">
        <f t="shared" si="0"/>
        <v>5373794931</v>
      </c>
      <c r="AN1">
        <f t="shared" si="0"/>
        <v>5453405212</v>
      </c>
      <c r="AO1">
        <f t="shared" si="0"/>
        <v>5534333415</v>
      </c>
      <c r="AP1">
        <f t="shared" si="0"/>
        <v>5613394796</v>
      </c>
      <c r="AQ1">
        <f t="shared" si="0"/>
        <v>5693013083</v>
      </c>
      <c r="AR1">
        <f t="shared" si="0"/>
        <v>5771893584</v>
      </c>
      <c r="AS1">
        <f t="shared" si="0"/>
        <v>5849919451</v>
      </c>
      <c r="AT1">
        <f t="shared" si="0"/>
        <v>5927153301</v>
      </c>
      <c r="AU1">
        <f t="shared" si="0"/>
        <v>6003907262</v>
      </c>
      <c r="AV1">
        <f t="shared" si="0"/>
        <v>6079613281</v>
      </c>
      <c r="AW1">
        <f t="shared" si="0"/>
        <v>6155426066</v>
      </c>
      <c r="AX1">
        <f t="shared" si="0"/>
        <v>6231734169</v>
      </c>
      <c r="AY1">
        <f t="shared" si="0"/>
        <v>6308580185</v>
      </c>
      <c r="AZ1">
        <f t="shared" si="0"/>
        <v>6386046688</v>
      </c>
      <c r="BA1">
        <f t="shared" si="0"/>
        <v>6463917279</v>
      </c>
      <c r="BB1">
        <f t="shared" si="0"/>
        <v>6543172597</v>
      </c>
      <c r="BC1">
        <f t="shared" si="0"/>
        <v>6622548217</v>
      </c>
      <c r="BD1">
        <f t="shared" si="0"/>
        <v>6701845725</v>
      </c>
      <c r="BE1">
        <f t="shared" si="0"/>
        <v>6781496172</v>
      </c>
      <c r="BF1">
        <f t="shared" si="0"/>
        <v>6855333104</v>
      </c>
      <c r="BG1">
        <f t="shared" si="0"/>
        <v>6937986178</v>
      </c>
      <c r="BH1">
        <f t="shared" si="0"/>
        <v>7018651532</v>
      </c>
      <c r="BI1">
        <f t="shared" si="0"/>
        <v>7100442823</v>
      </c>
      <c r="BJ1">
        <f t="shared" si="0"/>
        <v>7185162990.0470486</v>
      </c>
      <c r="BK1">
        <f t="shared" si="0"/>
        <v>7271499256.0940971</v>
      </c>
      <c r="BL1">
        <f t="shared" si="0"/>
        <v>7359490837.1411467</v>
      </c>
      <c r="BM1">
        <f t="shared" si="0"/>
        <v>7449178236.1881943</v>
      </c>
      <c r="BN1">
        <f t="shared" si="0"/>
        <v>7540603282.2352438</v>
      </c>
      <c r="BO1">
        <f t="shared" si="0"/>
        <v>7633809191.2822914</v>
      </c>
      <c r="BP1">
        <f t="shared" si="0"/>
        <v>7728840651.3293419</v>
      </c>
      <c r="BR1">
        <f t="shared" si="0"/>
        <v>6855333104</v>
      </c>
      <c r="BT1" s="719" t="s">
        <v>214</v>
      </c>
      <c r="BU1" s="719"/>
      <c r="BV1" s="719"/>
      <c r="BW1" s="719"/>
      <c r="BX1" s="719"/>
      <c r="BY1" s="719"/>
      <c r="BZ1" s="719"/>
      <c r="CA1" s="719"/>
      <c r="CB1" s="719"/>
      <c r="CC1" s="719"/>
      <c r="CD1" s="719"/>
      <c r="CE1" s="719"/>
      <c r="CF1" s="719"/>
    </row>
    <row r="2" spans="1:86" ht="3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1960</v>
      </c>
      <c r="G2" s="1">
        <v>1961</v>
      </c>
      <c r="H2" s="1">
        <v>1962</v>
      </c>
      <c r="I2" s="1">
        <v>1963</v>
      </c>
      <c r="J2" s="1">
        <v>1964</v>
      </c>
      <c r="K2" s="1">
        <v>1965</v>
      </c>
      <c r="L2" s="1">
        <v>1966</v>
      </c>
      <c r="M2" s="1">
        <v>1967</v>
      </c>
      <c r="N2" s="1">
        <v>1968</v>
      </c>
      <c r="O2" s="1">
        <v>1969</v>
      </c>
      <c r="P2" s="1">
        <v>1970</v>
      </c>
      <c r="Q2" s="1">
        <v>1971</v>
      </c>
      <c r="R2" s="1">
        <v>1972</v>
      </c>
      <c r="S2" s="1">
        <v>1973</v>
      </c>
      <c r="T2" s="1">
        <v>1974</v>
      </c>
      <c r="U2" s="1">
        <v>1975</v>
      </c>
      <c r="V2" s="1">
        <v>1976</v>
      </c>
      <c r="W2" s="1">
        <v>1977</v>
      </c>
      <c r="X2" s="1">
        <v>1978</v>
      </c>
      <c r="Y2" s="1">
        <v>1979</v>
      </c>
      <c r="Z2" s="1">
        <v>1980</v>
      </c>
      <c r="AA2" s="1">
        <v>1981</v>
      </c>
      <c r="AB2" s="1">
        <v>1982</v>
      </c>
      <c r="AC2" s="1">
        <v>1983</v>
      </c>
      <c r="AD2" s="1">
        <v>1984</v>
      </c>
      <c r="AE2" s="1">
        <v>1985</v>
      </c>
      <c r="AF2" s="1">
        <v>1986</v>
      </c>
      <c r="AG2" s="1">
        <v>1987</v>
      </c>
      <c r="AH2" s="1">
        <v>1988</v>
      </c>
      <c r="AI2" s="1">
        <v>1989</v>
      </c>
      <c r="AJ2" s="1">
        <v>1990</v>
      </c>
      <c r="AK2" s="1">
        <v>1991</v>
      </c>
      <c r="AL2" s="1">
        <v>1992</v>
      </c>
      <c r="AM2" s="1">
        <v>1993</v>
      </c>
      <c r="AN2" s="1">
        <v>1994</v>
      </c>
      <c r="AO2" s="1">
        <v>1995</v>
      </c>
      <c r="AP2" s="1">
        <v>1996</v>
      </c>
      <c r="AQ2" s="1">
        <v>1997</v>
      </c>
      <c r="AR2" s="1">
        <v>1998</v>
      </c>
      <c r="AS2" s="1">
        <v>1999</v>
      </c>
      <c r="AT2" s="1">
        <v>2000</v>
      </c>
      <c r="AU2" s="1">
        <v>2001</v>
      </c>
      <c r="AV2" s="1">
        <v>2002</v>
      </c>
      <c r="AW2" s="1">
        <v>2003</v>
      </c>
      <c r="AX2" s="1">
        <v>2004</v>
      </c>
      <c r="AY2" s="1">
        <v>2005</v>
      </c>
      <c r="AZ2" s="1">
        <v>2006</v>
      </c>
      <c r="BA2" s="1">
        <v>2007</v>
      </c>
      <c r="BB2" s="1">
        <v>2008</v>
      </c>
      <c r="BC2" s="1">
        <v>2009</v>
      </c>
      <c r="BD2" s="1">
        <v>2010</v>
      </c>
      <c r="BE2" s="1">
        <v>2011</v>
      </c>
      <c r="BF2" s="1">
        <v>2012</v>
      </c>
      <c r="BG2" s="1">
        <v>2013</v>
      </c>
      <c r="BH2" s="1">
        <v>2014</v>
      </c>
      <c r="BI2" s="1">
        <v>2015</v>
      </c>
      <c r="BJ2" s="1">
        <v>2016</v>
      </c>
      <c r="BK2" s="1">
        <v>2017</v>
      </c>
      <c r="BL2" s="1">
        <v>2018</v>
      </c>
      <c r="BM2" s="1">
        <v>2019</v>
      </c>
      <c r="BN2" s="1">
        <v>2020</v>
      </c>
      <c r="BO2" s="1">
        <v>2021</v>
      </c>
      <c r="BP2" s="1">
        <v>2022</v>
      </c>
      <c r="BQ2" t="s">
        <v>215</v>
      </c>
      <c r="BR2" s="6">
        <f>'Config!'!BA15</f>
        <v>2012</v>
      </c>
      <c r="BT2" s="1">
        <f>BD2</f>
        <v>2010</v>
      </c>
      <c r="BU2" s="1">
        <f t="shared" ref="BU2:CF2" si="1">BE2</f>
        <v>2011</v>
      </c>
      <c r="BV2" s="1">
        <f t="shared" si="1"/>
        <v>2012</v>
      </c>
      <c r="BW2" s="1">
        <f t="shared" si="1"/>
        <v>2013</v>
      </c>
      <c r="BX2" s="1">
        <f t="shared" si="1"/>
        <v>2014</v>
      </c>
      <c r="BY2" s="1">
        <f t="shared" si="1"/>
        <v>2015</v>
      </c>
      <c r="BZ2" s="1">
        <f t="shared" si="1"/>
        <v>2016</v>
      </c>
      <c r="CA2" s="1">
        <f t="shared" si="1"/>
        <v>2017</v>
      </c>
      <c r="CB2" s="1">
        <f t="shared" si="1"/>
        <v>2018</v>
      </c>
      <c r="CC2" s="1">
        <f t="shared" si="1"/>
        <v>2019</v>
      </c>
      <c r="CD2" s="1">
        <f t="shared" si="1"/>
        <v>2020</v>
      </c>
      <c r="CE2" s="1">
        <f t="shared" si="1"/>
        <v>2021</v>
      </c>
      <c r="CF2" s="1">
        <f t="shared" si="1"/>
        <v>2022</v>
      </c>
      <c r="CH2" t="s">
        <v>216</v>
      </c>
    </row>
    <row r="3" spans="1:86" x14ac:dyDescent="0.25">
      <c r="A3" s="2">
        <v>1</v>
      </c>
      <c r="B3" s="3" t="s">
        <v>6</v>
      </c>
      <c r="C3" t="s">
        <v>6</v>
      </c>
      <c r="D3" t="s">
        <v>7</v>
      </c>
      <c r="E3">
        <v>1</v>
      </c>
      <c r="F3">
        <v>1608800</v>
      </c>
      <c r="G3">
        <v>1659800</v>
      </c>
      <c r="H3">
        <v>1711319</v>
      </c>
      <c r="I3">
        <v>1762621</v>
      </c>
      <c r="J3">
        <v>1814135</v>
      </c>
      <c r="K3">
        <v>1864791</v>
      </c>
      <c r="L3">
        <v>1914573</v>
      </c>
      <c r="M3">
        <v>1965598</v>
      </c>
      <c r="N3">
        <v>2022272</v>
      </c>
      <c r="O3">
        <v>2081695</v>
      </c>
      <c r="P3">
        <v>2135479</v>
      </c>
      <c r="Q3">
        <v>2187853</v>
      </c>
      <c r="R3">
        <v>2243126</v>
      </c>
      <c r="S3">
        <v>2296752</v>
      </c>
      <c r="T3">
        <v>2350124</v>
      </c>
      <c r="U3">
        <v>2404831</v>
      </c>
      <c r="V3">
        <v>2458526</v>
      </c>
      <c r="W3">
        <v>2513546</v>
      </c>
      <c r="X3">
        <v>2566266</v>
      </c>
      <c r="Y3">
        <v>2617832</v>
      </c>
      <c r="Z3">
        <v>2671997</v>
      </c>
      <c r="AA3">
        <v>2726056</v>
      </c>
      <c r="AB3">
        <v>2784278</v>
      </c>
      <c r="AC3">
        <v>2843960</v>
      </c>
      <c r="AD3">
        <v>2904429</v>
      </c>
      <c r="AE3">
        <v>2964762</v>
      </c>
      <c r="AF3">
        <v>3022635</v>
      </c>
      <c r="AG3">
        <v>3083605</v>
      </c>
      <c r="AH3">
        <v>3142336</v>
      </c>
      <c r="AI3">
        <v>3227943</v>
      </c>
      <c r="AJ3">
        <v>3286542</v>
      </c>
      <c r="AK3">
        <v>3266790</v>
      </c>
      <c r="AL3">
        <v>3247039</v>
      </c>
      <c r="AM3">
        <v>3227287</v>
      </c>
      <c r="AN3">
        <v>3207536</v>
      </c>
      <c r="AO3">
        <v>3187784</v>
      </c>
      <c r="AP3">
        <v>3168033</v>
      </c>
      <c r="AQ3">
        <v>3148281</v>
      </c>
      <c r="AR3">
        <v>3128530</v>
      </c>
      <c r="AS3">
        <v>3108778</v>
      </c>
      <c r="AT3">
        <v>3089027</v>
      </c>
      <c r="AU3">
        <v>3060173</v>
      </c>
      <c r="AV3">
        <v>3051010</v>
      </c>
      <c r="AW3">
        <v>3039616</v>
      </c>
      <c r="AX3">
        <v>3026939</v>
      </c>
      <c r="AY3">
        <v>3011487</v>
      </c>
      <c r="AZ3">
        <v>2992547</v>
      </c>
      <c r="BA3">
        <v>2970017</v>
      </c>
      <c r="BB3">
        <v>2947314</v>
      </c>
      <c r="BC3">
        <v>2927519</v>
      </c>
      <c r="BD3">
        <v>2913021</v>
      </c>
      <c r="BE3">
        <v>2904780</v>
      </c>
      <c r="BF3">
        <v>2900247</v>
      </c>
      <c r="BG3">
        <v>2896652</v>
      </c>
      <c r="BH3">
        <v>2893654</v>
      </c>
      <c r="BI3">
        <v>2889167</v>
      </c>
      <c r="BJ3">
        <v>2884420</v>
      </c>
      <c r="BK3">
        <v>2879680</v>
      </c>
      <c r="BL3">
        <v>2874948</v>
      </c>
      <c r="BM3">
        <v>2870224</v>
      </c>
      <c r="BN3">
        <v>2865508</v>
      </c>
      <c r="BO3">
        <v>2860800</v>
      </c>
      <c r="BP3">
        <v>2856099</v>
      </c>
      <c r="BQ3">
        <v>-1.6431409097094063E-3</v>
      </c>
      <c r="BR3" s="6">
        <f>SUMIF($F$2:$BP$2,BR$2,F3:BP3)</f>
        <v>2900247</v>
      </c>
      <c r="BT3" s="4">
        <f>IFERROR((BD3/AZ3)^(1/(BD$2-AZ$2))-1,".")</f>
        <v>-6.710924799812279E-3</v>
      </c>
      <c r="BU3" s="4">
        <f t="shared" ref="BU3:CF24" si="2">IFERROR((BE3/BA3)^(1/(BE$2-BA$2))-1,".")</f>
        <v>-5.5371185257199196E-3</v>
      </c>
      <c r="BV3" s="4">
        <f t="shared" si="2"/>
        <v>-4.0164975434030525E-3</v>
      </c>
      <c r="BW3" s="4">
        <f t="shared" si="2"/>
        <v>-2.6464218709310039E-3</v>
      </c>
      <c r="BX3" s="4">
        <f t="shared" si="2"/>
        <v>-1.6662661490409736E-3</v>
      </c>
      <c r="BY3" s="4">
        <f t="shared" si="2"/>
        <v>-1.3464503852433918E-3</v>
      </c>
      <c r="BZ3" s="4">
        <f t="shared" si="2"/>
        <v>-1.3670811649610926E-3</v>
      </c>
      <c r="CA3" s="4">
        <f t="shared" si="2"/>
        <v>-1.4680240074641526E-3</v>
      </c>
      <c r="CB3" s="4">
        <f t="shared" si="2"/>
        <v>-1.6200553480093527E-3</v>
      </c>
      <c r="CC3" s="4">
        <f t="shared" si="2"/>
        <v>-1.6431859332883825E-3</v>
      </c>
      <c r="CD3" s="4">
        <f t="shared" si="2"/>
        <v>-1.6431967334545883E-3</v>
      </c>
      <c r="CE3" s="4">
        <f t="shared" si="2"/>
        <v>-1.6431163204390087E-3</v>
      </c>
      <c r="CF3" s="4">
        <f t="shared" si="2"/>
        <v>-1.6431184471203952E-3</v>
      </c>
      <c r="CH3">
        <v>27398</v>
      </c>
    </row>
    <row r="4" spans="1:86" x14ac:dyDescent="0.25">
      <c r="A4" s="2">
        <v>2</v>
      </c>
      <c r="B4" s="3" t="s">
        <v>8</v>
      </c>
      <c r="C4" t="s">
        <v>8</v>
      </c>
      <c r="D4" t="s">
        <v>9</v>
      </c>
      <c r="E4">
        <v>1</v>
      </c>
      <c r="F4">
        <v>11124892</v>
      </c>
      <c r="G4">
        <v>11404859</v>
      </c>
      <c r="H4">
        <v>11690152</v>
      </c>
      <c r="I4">
        <v>11985130</v>
      </c>
      <c r="J4">
        <v>12295973</v>
      </c>
      <c r="K4">
        <v>12626953</v>
      </c>
      <c r="L4">
        <v>12980269</v>
      </c>
      <c r="M4">
        <v>13354197</v>
      </c>
      <c r="N4">
        <v>13744383</v>
      </c>
      <c r="O4">
        <v>14144437</v>
      </c>
      <c r="P4">
        <v>14550033</v>
      </c>
      <c r="Q4">
        <v>14960111</v>
      </c>
      <c r="R4">
        <v>15377095</v>
      </c>
      <c r="S4">
        <v>15804428</v>
      </c>
      <c r="T4">
        <v>16247113</v>
      </c>
      <c r="U4">
        <v>16709098</v>
      </c>
      <c r="V4">
        <v>17190236</v>
      </c>
      <c r="W4">
        <v>17690184</v>
      </c>
      <c r="X4">
        <v>18212331</v>
      </c>
      <c r="Y4">
        <v>18760761</v>
      </c>
      <c r="Z4">
        <v>19337723</v>
      </c>
      <c r="AA4">
        <v>19943667</v>
      </c>
      <c r="AB4">
        <v>20575701</v>
      </c>
      <c r="AC4">
        <v>21228288</v>
      </c>
      <c r="AD4">
        <v>21893857</v>
      </c>
      <c r="AE4">
        <v>22565908</v>
      </c>
      <c r="AF4">
        <v>23241276</v>
      </c>
      <c r="AG4">
        <v>23917889</v>
      </c>
      <c r="AH4">
        <v>24591493</v>
      </c>
      <c r="AI4">
        <v>25257671</v>
      </c>
      <c r="AJ4">
        <v>25912364</v>
      </c>
      <c r="AK4">
        <v>26554277</v>
      </c>
      <c r="AL4">
        <v>27180921</v>
      </c>
      <c r="AM4">
        <v>27785977</v>
      </c>
      <c r="AN4">
        <v>28362015</v>
      </c>
      <c r="AO4">
        <v>28904300</v>
      </c>
      <c r="AP4">
        <v>29411839</v>
      </c>
      <c r="AQ4">
        <v>29887717</v>
      </c>
      <c r="AR4">
        <v>30336880</v>
      </c>
      <c r="AS4">
        <v>30766551</v>
      </c>
      <c r="AT4">
        <v>31183658</v>
      </c>
      <c r="AU4">
        <v>31590320</v>
      </c>
      <c r="AV4">
        <v>31990387</v>
      </c>
      <c r="AW4">
        <v>32394886</v>
      </c>
      <c r="AX4">
        <v>32817225</v>
      </c>
      <c r="AY4">
        <v>33267887</v>
      </c>
      <c r="AZ4">
        <v>33749328</v>
      </c>
      <c r="BA4">
        <v>34261971</v>
      </c>
      <c r="BB4">
        <v>34811059</v>
      </c>
      <c r="BC4">
        <v>35401790</v>
      </c>
      <c r="BD4">
        <v>36036159</v>
      </c>
      <c r="BE4">
        <v>36717132</v>
      </c>
      <c r="BF4">
        <v>37439427</v>
      </c>
      <c r="BG4">
        <v>38186135</v>
      </c>
      <c r="BH4">
        <v>38934334</v>
      </c>
      <c r="BI4">
        <v>39666519</v>
      </c>
      <c r="BJ4">
        <v>40435350</v>
      </c>
      <c r="BK4">
        <v>41219083</v>
      </c>
      <c r="BL4">
        <v>42018007</v>
      </c>
      <c r="BM4">
        <v>42832416</v>
      </c>
      <c r="BN4">
        <v>43662610</v>
      </c>
      <c r="BO4">
        <v>44508895</v>
      </c>
      <c r="BP4">
        <v>45371583</v>
      </c>
      <c r="BQ4">
        <v>1.9382371891371042E-2</v>
      </c>
      <c r="BR4" s="6">
        <f t="shared" ref="BR4:BR67" si="3">SUMIF($F$2:$BP$2,BR$2,F4:BP4)</f>
        <v>37439427</v>
      </c>
      <c r="BT4" s="4">
        <f t="shared" ref="BT4:BZ67" si="4">IFERROR((BD4/AZ4)^(1/(BD$2-AZ$2))-1,".")</f>
        <v>1.6525648824293748E-2</v>
      </c>
      <c r="BU4" s="4">
        <f t="shared" si="2"/>
        <v>1.7452403200769018E-2</v>
      </c>
      <c r="BV4" s="4">
        <f t="shared" si="2"/>
        <v>1.8363885708723382E-2</v>
      </c>
      <c r="BW4" s="4">
        <f t="shared" si="2"/>
        <v>1.9107788085957367E-2</v>
      </c>
      <c r="BX4" s="4">
        <f t="shared" si="2"/>
        <v>1.9526606311860872E-2</v>
      </c>
      <c r="BY4" s="4">
        <f t="shared" si="2"/>
        <v>1.9503766929757971E-2</v>
      </c>
      <c r="BZ4" s="4">
        <f t="shared" si="2"/>
        <v>1.9431392824165616E-2</v>
      </c>
      <c r="CA4" s="4">
        <f t="shared" si="2"/>
        <v>1.9290920205621953E-2</v>
      </c>
      <c r="CB4" s="4">
        <f t="shared" si="2"/>
        <v>1.923815897707648E-2</v>
      </c>
      <c r="CC4" s="4">
        <f t="shared" si="2"/>
        <v>1.9382375147576569E-2</v>
      </c>
      <c r="CD4" s="4">
        <f t="shared" si="2"/>
        <v>1.9382377626808722E-2</v>
      </c>
      <c r="CE4" s="4">
        <f t="shared" si="2"/>
        <v>1.9382377889001656E-2</v>
      </c>
      <c r="CF4" s="4">
        <f t="shared" si="2"/>
        <v>1.9382375687740261E-2</v>
      </c>
      <c r="CH4">
        <v>2381741</v>
      </c>
    </row>
    <row r="5" spans="1:86" x14ac:dyDescent="0.25">
      <c r="A5" s="2">
        <v>3</v>
      </c>
      <c r="B5" s="3" t="s">
        <v>10</v>
      </c>
      <c r="C5" t="s">
        <v>11</v>
      </c>
      <c r="D5" t="s">
        <v>7</v>
      </c>
      <c r="E5">
        <v>1</v>
      </c>
      <c r="F5">
        <v>13414</v>
      </c>
      <c r="G5">
        <v>14376</v>
      </c>
      <c r="H5">
        <v>15376</v>
      </c>
      <c r="I5">
        <v>16410</v>
      </c>
      <c r="J5">
        <v>17470</v>
      </c>
      <c r="K5">
        <v>18551</v>
      </c>
      <c r="L5">
        <v>19646</v>
      </c>
      <c r="M5">
        <v>20755</v>
      </c>
      <c r="N5">
        <v>21888</v>
      </c>
      <c r="O5">
        <v>23061</v>
      </c>
      <c r="P5">
        <v>24279</v>
      </c>
      <c r="Q5">
        <v>25560</v>
      </c>
      <c r="R5">
        <v>26892</v>
      </c>
      <c r="S5">
        <v>28231</v>
      </c>
      <c r="T5">
        <v>29514</v>
      </c>
      <c r="U5">
        <v>30706</v>
      </c>
      <c r="V5">
        <v>31781</v>
      </c>
      <c r="W5">
        <v>32769</v>
      </c>
      <c r="X5">
        <v>33746</v>
      </c>
      <c r="Y5">
        <v>34819</v>
      </c>
      <c r="Z5">
        <v>36063</v>
      </c>
      <c r="AA5">
        <v>37502</v>
      </c>
      <c r="AB5">
        <v>39112</v>
      </c>
      <c r="AC5">
        <v>40862</v>
      </c>
      <c r="AD5">
        <v>42704</v>
      </c>
      <c r="AE5">
        <v>44597</v>
      </c>
      <c r="AF5">
        <v>46515</v>
      </c>
      <c r="AG5">
        <v>48458</v>
      </c>
      <c r="AH5">
        <v>50431</v>
      </c>
      <c r="AI5">
        <v>52449</v>
      </c>
      <c r="AJ5">
        <v>54511</v>
      </c>
      <c r="AK5">
        <v>56674</v>
      </c>
      <c r="AL5">
        <v>58904</v>
      </c>
      <c r="AM5">
        <v>61003</v>
      </c>
      <c r="AN5">
        <v>62707</v>
      </c>
      <c r="AO5">
        <v>63854</v>
      </c>
      <c r="AP5">
        <v>64291</v>
      </c>
      <c r="AQ5">
        <v>64147</v>
      </c>
      <c r="AR5">
        <v>63888</v>
      </c>
      <c r="AS5">
        <v>64161</v>
      </c>
      <c r="AT5">
        <v>65399</v>
      </c>
      <c r="AU5">
        <v>67770</v>
      </c>
      <c r="AV5">
        <v>71046</v>
      </c>
      <c r="AW5">
        <v>74783</v>
      </c>
      <c r="AX5">
        <v>78337</v>
      </c>
      <c r="AY5">
        <v>81223</v>
      </c>
      <c r="AZ5">
        <v>83373</v>
      </c>
      <c r="BA5">
        <v>84878</v>
      </c>
      <c r="BB5">
        <v>85616</v>
      </c>
      <c r="BC5">
        <v>85474</v>
      </c>
      <c r="BD5">
        <v>84419</v>
      </c>
      <c r="BE5">
        <v>82326</v>
      </c>
      <c r="BF5">
        <v>79316</v>
      </c>
      <c r="BG5">
        <v>75902</v>
      </c>
      <c r="BH5">
        <v>72786</v>
      </c>
      <c r="BI5">
        <v>70473</v>
      </c>
      <c r="BJ5">
        <v>67973</v>
      </c>
      <c r="BK5">
        <v>65562</v>
      </c>
      <c r="BL5">
        <v>63237</v>
      </c>
      <c r="BM5">
        <v>60994</v>
      </c>
      <c r="BN5">
        <v>58831</v>
      </c>
      <c r="BO5">
        <v>56744</v>
      </c>
      <c r="BP5">
        <v>54731</v>
      </c>
      <c r="BQ5">
        <v>-3.54682874571699E-2</v>
      </c>
      <c r="BR5" s="6">
        <f t="shared" si="3"/>
        <v>79316</v>
      </c>
      <c r="BT5" s="4">
        <f t="shared" si="4"/>
        <v>3.1218575811677862E-3</v>
      </c>
      <c r="BU5" s="4">
        <f t="shared" si="2"/>
        <v>-7.6029393669333478E-3</v>
      </c>
      <c r="BV5" s="4">
        <f t="shared" si="2"/>
        <v>-1.8926674907823626E-2</v>
      </c>
      <c r="BW5" s="4">
        <f t="shared" si="2"/>
        <v>-2.9255814807276348E-2</v>
      </c>
      <c r="BX5" s="4">
        <f t="shared" si="2"/>
        <v>-3.6388637346683295E-2</v>
      </c>
      <c r="BY5" s="4">
        <f t="shared" si="2"/>
        <v>-3.8118800664718844E-2</v>
      </c>
      <c r="BZ5" s="4">
        <f t="shared" si="2"/>
        <v>-3.7847509223851494E-2</v>
      </c>
      <c r="CA5" s="4">
        <f t="shared" si="2"/>
        <v>-3.594959045025381E-2</v>
      </c>
      <c r="CB5" s="4">
        <f t="shared" si="2"/>
        <v>-3.454763362040536E-2</v>
      </c>
      <c r="CC5" s="4">
        <f t="shared" si="2"/>
        <v>-3.5469225331594356E-2</v>
      </c>
      <c r="CD5" s="4">
        <f t="shared" si="2"/>
        <v>-3.5466206726983196E-2</v>
      </c>
      <c r="CE5" s="4">
        <f t="shared" si="2"/>
        <v>-3.5467338914201951E-2</v>
      </c>
      <c r="CF5" s="4">
        <f t="shared" si="2"/>
        <v>-3.5470464107178579E-2</v>
      </c>
      <c r="CH5">
        <v>468</v>
      </c>
    </row>
    <row r="6" spans="1:86" x14ac:dyDescent="0.25">
      <c r="A6" s="2">
        <v>4</v>
      </c>
      <c r="B6" s="3" t="s">
        <v>13</v>
      </c>
      <c r="C6" t="s">
        <v>13</v>
      </c>
      <c r="D6" t="s">
        <v>14</v>
      </c>
      <c r="E6">
        <v>1</v>
      </c>
      <c r="F6">
        <v>5270844</v>
      </c>
      <c r="G6">
        <v>5367287</v>
      </c>
      <c r="H6">
        <v>5465905</v>
      </c>
      <c r="I6">
        <v>5565808</v>
      </c>
      <c r="J6">
        <v>5665701</v>
      </c>
      <c r="K6">
        <v>5765025</v>
      </c>
      <c r="L6">
        <v>5863568</v>
      </c>
      <c r="M6">
        <v>5962831</v>
      </c>
      <c r="N6">
        <v>6066094</v>
      </c>
      <c r="O6">
        <v>6177703</v>
      </c>
      <c r="P6">
        <v>6300969</v>
      </c>
      <c r="Q6">
        <v>6437645</v>
      </c>
      <c r="R6">
        <v>6587647</v>
      </c>
      <c r="S6">
        <v>6750215</v>
      </c>
      <c r="T6">
        <v>6923749</v>
      </c>
      <c r="U6">
        <v>7107334</v>
      </c>
      <c r="V6">
        <v>7299508</v>
      </c>
      <c r="W6">
        <v>7501320</v>
      </c>
      <c r="X6">
        <v>7717139</v>
      </c>
      <c r="Y6">
        <v>7952882</v>
      </c>
      <c r="Z6">
        <v>8211950</v>
      </c>
      <c r="AA6">
        <v>8497950</v>
      </c>
      <c r="AB6">
        <v>8807511</v>
      </c>
      <c r="AC6">
        <v>9128655</v>
      </c>
      <c r="AD6">
        <v>9444918</v>
      </c>
      <c r="AE6">
        <v>9745209</v>
      </c>
      <c r="AF6">
        <v>10023700</v>
      </c>
      <c r="AG6">
        <v>10285712</v>
      </c>
      <c r="AH6">
        <v>10544904</v>
      </c>
      <c r="AI6">
        <v>10820992</v>
      </c>
      <c r="AJ6">
        <v>11127870</v>
      </c>
      <c r="AK6">
        <v>11472173</v>
      </c>
      <c r="AL6">
        <v>11848971</v>
      </c>
      <c r="AM6">
        <v>12246786</v>
      </c>
      <c r="AN6">
        <v>12648483</v>
      </c>
      <c r="AO6">
        <v>13042666</v>
      </c>
      <c r="AP6">
        <v>13424813</v>
      </c>
      <c r="AQ6">
        <v>13801868</v>
      </c>
      <c r="AR6">
        <v>14187710</v>
      </c>
      <c r="AS6">
        <v>14601983</v>
      </c>
      <c r="AT6">
        <v>15058638</v>
      </c>
      <c r="AU6">
        <v>15562791</v>
      </c>
      <c r="AV6">
        <v>16109696</v>
      </c>
      <c r="AW6">
        <v>16691395</v>
      </c>
      <c r="AX6">
        <v>17295500</v>
      </c>
      <c r="AY6">
        <v>17912942</v>
      </c>
      <c r="AZ6">
        <v>18541467</v>
      </c>
      <c r="BA6">
        <v>19183907</v>
      </c>
      <c r="BB6">
        <v>19842251</v>
      </c>
      <c r="BC6">
        <v>20520103</v>
      </c>
      <c r="BD6">
        <v>21219954</v>
      </c>
      <c r="BE6">
        <v>21942296</v>
      </c>
      <c r="BF6">
        <v>22685632</v>
      </c>
      <c r="BG6">
        <v>23448202</v>
      </c>
      <c r="BH6">
        <v>24227524</v>
      </c>
      <c r="BI6">
        <v>25021974</v>
      </c>
      <c r="BJ6">
        <v>25860505</v>
      </c>
      <c r="BK6">
        <v>26727136</v>
      </c>
      <c r="BL6">
        <v>27622810</v>
      </c>
      <c r="BM6">
        <v>28548499</v>
      </c>
      <c r="BN6">
        <v>29505210</v>
      </c>
      <c r="BO6">
        <v>30493982</v>
      </c>
      <c r="BP6">
        <v>31515889</v>
      </c>
      <c r="BQ6">
        <v>3.3511768054725444E-2</v>
      </c>
      <c r="BR6" s="6">
        <f t="shared" si="3"/>
        <v>22685632</v>
      </c>
      <c r="BT6" s="4">
        <f t="shared" si="4"/>
        <v>3.4308482481579583E-2</v>
      </c>
      <c r="BU6" s="4">
        <f t="shared" si="2"/>
        <v>3.4156467304303773E-2</v>
      </c>
      <c r="BV6" s="4">
        <f t="shared" si="2"/>
        <v>3.4046302295187347E-2</v>
      </c>
      <c r="BW6" s="4">
        <f t="shared" si="2"/>
        <v>3.3909444707626468E-2</v>
      </c>
      <c r="BX6" s="4">
        <f t="shared" si="2"/>
        <v>3.3691984320586288E-2</v>
      </c>
      <c r="BY6" s="4">
        <f t="shared" si="2"/>
        <v>3.337957838625738E-2</v>
      </c>
      <c r="BZ6" s="4">
        <f t="shared" si="2"/>
        <v>3.3288342344720334E-2</v>
      </c>
      <c r="CA6" s="4">
        <f t="shared" si="2"/>
        <v>3.3262622017166343E-2</v>
      </c>
      <c r="CB6" s="4">
        <f t="shared" si="2"/>
        <v>3.3331588848406701E-2</v>
      </c>
      <c r="CC6" s="4">
        <f t="shared" si="2"/>
        <v>3.3511771870084139E-2</v>
      </c>
      <c r="CD6" s="4">
        <f t="shared" si="2"/>
        <v>3.3511770593571688E-2</v>
      </c>
      <c r="CE6" s="4">
        <f t="shared" si="2"/>
        <v>3.3511775050321324E-2</v>
      </c>
      <c r="CF6" s="4">
        <f t="shared" si="2"/>
        <v>3.3511769079427323E-2</v>
      </c>
      <c r="CH6">
        <v>1246700</v>
      </c>
    </row>
    <row r="7" spans="1:86" x14ac:dyDescent="0.25">
      <c r="A7" s="2">
        <v>5</v>
      </c>
      <c r="B7" s="3" t="s">
        <v>15</v>
      </c>
      <c r="C7" t="s">
        <v>11</v>
      </c>
      <c r="D7" t="s">
        <v>16</v>
      </c>
      <c r="E7">
        <v>0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  <c r="N7" t="s">
        <v>11</v>
      </c>
      <c r="O7" t="s">
        <v>11</v>
      </c>
      <c r="P7" t="s">
        <v>11</v>
      </c>
      <c r="Q7" t="s">
        <v>11</v>
      </c>
      <c r="R7" t="s">
        <v>11</v>
      </c>
      <c r="S7" t="s">
        <v>11</v>
      </c>
      <c r="T7" t="s">
        <v>11</v>
      </c>
      <c r="U7" t="s">
        <v>11</v>
      </c>
      <c r="V7" t="s">
        <v>11</v>
      </c>
      <c r="W7" t="s">
        <v>11</v>
      </c>
      <c r="X7" t="s">
        <v>11</v>
      </c>
      <c r="Y7" t="s">
        <v>11</v>
      </c>
      <c r="Z7" t="s">
        <v>11</v>
      </c>
      <c r="AA7" t="s">
        <v>11</v>
      </c>
      <c r="AB7" t="s">
        <v>11</v>
      </c>
      <c r="AC7" t="s">
        <v>11</v>
      </c>
      <c r="AD7" t="s">
        <v>11</v>
      </c>
      <c r="AE7" t="s">
        <v>11</v>
      </c>
      <c r="AF7" t="s">
        <v>11</v>
      </c>
      <c r="AG7" t="s">
        <v>11</v>
      </c>
      <c r="AH7" t="s">
        <v>11</v>
      </c>
      <c r="AI7" t="s">
        <v>11</v>
      </c>
      <c r="AJ7" t="s">
        <v>11</v>
      </c>
      <c r="AK7" t="s">
        <v>11</v>
      </c>
      <c r="AL7" t="s">
        <v>11</v>
      </c>
      <c r="AM7" t="s">
        <v>11</v>
      </c>
      <c r="AN7" t="s">
        <v>11</v>
      </c>
      <c r="AO7" t="s">
        <v>11</v>
      </c>
      <c r="AP7" t="s">
        <v>11</v>
      </c>
      <c r="AQ7" t="s">
        <v>11</v>
      </c>
      <c r="AR7" t="s">
        <v>11</v>
      </c>
      <c r="AS7" t="s">
        <v>11</v>
      </c>
      <c r="AT7" t="s">
        <v>11</v>
      </c>
      <c r="AU7" t="s">
        <v>11</v>
      </c>
      <c r="AV7" t="s">
        <v>11</v>
      </c>
      <c r="AW7" t="s">
        <v>11</v>
      </c>
      <c r="AX7" t="s">
        <v>11</v>
      </c>
      <c r="AY7" t="s">
        <v>11</v>
      </c>
      <c r="AZ7" t="s">
        <v>11</v>
      </c>
      <c r="BA7" t="s">
        <v>11</v>
      </c>
      <c r="BB7" t="s">
        <v>11</v>
      </c>
      <c r="BC7" t="s">
        <v>11</v>
      </c>
      <c r="BD7" t="s">
        <v>11</v>
      </c>
      <c r="BE7" t="s">
        <v>11</v>
      </c>
      <c r="BF7" t="s">
        <v>11</v>
      </c>
      <c r="BG7" t="s">
        <v>11</v>
      </c>
      <c r="BH7" t="s">
        <v>11</v>
      </c>
      <c r="BI7" t="s">
        <v>11</v>
      </c>
      <c r="BJ7" t="s">
        <v>11</v>
      </c>
      <c r="BK7" t="s">
        <v>11</v>
      </c>
      <c r="BL7" t="s">
        <v>11</v>
      </c>
      <c r="BM7" t="s">
        <v>11</v>
      </c>
      <c r="BN7" t="s">
        <v>11</v>
      </c>
      <c r="BO7" t="s">
        <v>11</v>
      </c>
      <c r="BP7" t="s">
        <v>11</v>
      </c>
      <c r="BQ7" t="s">
        <v>11</v>
      </c>
      <c r="BR7" s="6">
        <f t="shared" si="3"/>
        <v>0</v>
      </c>
      <c r="BT7" s="4" t="str">
        <f t="shared" si="4"/>
        <v>.</v>
      </c>
      <c r="BU7" s="4" t="str">
        <f t="shared" si="2"/>
        <v>.</v>
      </c>
      <c r="BV7" s="4" t="str">
        <f t="shared" si="2"/>
        <v>.</v>
      </c>
      <c r="BW7" s="4" t="str">
        <f t="shared" si="2"/>
        <v>.</v>
      </c>
      <c r="BX7" s="4" t="str">
        <f t="shared" si="2"/>
        <v>.</v>
      </c>
      <c r="BY7" s="4" t="str">
        <f t="shared" si="2"/>
        <v>.</v>
      </c>
      <c r="BZ7" s="4" t="str">
        <f t="shared" si="2"/>
        <v>.</v>
      </c>
      <c r="CA7" s="4" t="str">
        <f t="shared" si="2"/>
        <v>.</v>
      </c>
      <c r="CB7" s="4" t="str">
        <f t="shared" si="2"/>
        <v>.</v>
      </c>
      <c r="CC7" s="4" t="str">
        <f t="shared" si="2"/>
        <v>.</v>
      </c>
      <c r="CD7" s="4" t="str">
        <f t="shared" si="2"/>
        <v>.</v>
      </c>
      <c r="CE7" s="4" t="str">
        <f t="shared" si="2"/>
        <v>.</v>
      </c>
      <c r="CF7" s="4" t="str">
        <f t="shared" si="2"/>
        <v>.</v>
      </c>
      <c r="CH7">
        <v>91</v>
      </c>
    </row>
    <row r="8" spans="1:86" x14ac:dyDescent="0.25">
      <c r="A8" s="2">
        <v>6</v>
      </c>
      <c r="B8" s="3" t="s">
        <v>17</v>
      </c>
      <c r="C8" t="s">
        <v>17</v>
      </c>
      <c r="D8" t="s">
        <v>18</v>
      </c>
      <c r="E8">
        <v>1</v>
      </c>
      <c r="F8">
        <v>20619075</v>
      </c>
      <c r="G8">
        <v>20953079</v>
      </c>
      <c r="H8">
        <v>21287682</v>
      </c>
      <c r="I8">
        <v>21621845</v>
      </c>
      <c r="J8">
        <v>21953926</v>
      </c>
      <c r="K8">
        <v>22283389</v>
      </c>
      <c r="L8">
        <v>22608747</v>
      </c>
      <c r="M8">
        <v>22932201</v>
      </c>
      <c r="N8">
        <v>23261273</v>
      </c>
      <c r="O8">
        <v>23605992</v>
      </c>
      <c r="P8">
        <v>23973062</v>
      </c>
      <c r="Q8">
        <v>24366442</v>
      </c>
      <c r="R8">
        <v>24782950</v>
      </c>
      <c r="S8">
        <v>25213388</v>
      </c>
      <c r="T8">
        <v>25644505</v>
      </c>
      <c r="U8">
        <v>26066975</v>
      </c>
      <c r="V8">
        <v>26477153</v>
      </c>
      <c r="W8">
        <v>26878567</v>
      </c>
      <c r="X8">
        <v>27277742</v>
      </c>
      <c r="Y8">
        <v>27684530</v>
      </c>
      <c r="Z8">
        <v>28105889</v>
      </c>
      <c r="AA8">
        <v>28543366</v>
      </c>
      <c r="AB8">
        <v>28993989</v>
      </c>
      <c r="AC8">
        <v>29454739</v>
      </c>
      <c r="AD8">
        <v>29920907</v>
      </c>
      <c r="AE8">
        <v>30388781</v>
      </c>
      <c r="AF8">
        <v>30857242</v>
      </c>
      <c r="AG8">
        <v>31326473</v>
      </c>
      <c r="AH8">
        <v>31795515</v>
      </c>
      <c r="AI8">
        <v>32263559</v>
      </c>
      <c r="AJ8">
        <v>32729740</v>
      </c>
      <c r="AK8">
        <v>33193920</v>
      </c>
      <c r="AL8">
        <v>33655149</v>
      </c>
      <c r="AM8">
        <v>34110912</v>
      </c>
      <c r="AN8">
        <v>34558114</v>
      </c>
      <c r="AO8">
        <v>34994818</v>
      </c>
      <c r="AP8">
        <v>35419683</v>
      </c>
      <c r="AQ8">
        <v>35833965</v>
      </c>
      <c r="AR8">
        <v>36241578</v>
      </c>
      <c r="AS8">
        <v>36648054</v>
      </c>
      <c r="AT8">
        <v>37057453</v>
      </c>
      <c r="AU8">
        <v>37471535</v>
      </c>
      <c r="AV8">
        <v>37889443</v>
      </c>
      <c r="AW8">
        <v>38309475</v>
      </c>
      <c r="AX8">
        <v>38728778</v>
      </c>
      <c r="AY8">
        <v>39145491</v>
      </c>
      <c r="AZ8">
        <v>39558750</v>
      </c>
      <c r="BA8">
        <v>39969903</v>
      </c>
      <c r="BB8">
        <v>40381860</v>
      </c>
      <c r="BC8">
        <v>40798641</v>
      </c>
      <c r="BD8">
        <v>41222875</v>
      </c>
      <c r="BE8">
        <v>41655616</v>
      </c>
      <c r="BF8">
        <v>42095224</v>
      </c>
      <c r="BG8">
        <v>42538304</v>
      </c>
      <c r="BH8">
        <v>42980026</v>
      </c>
      <c r="BI8">
        <v>43416755</v>
      </c>
      <c r="BJ8">
        <v>43869348</v>
      </c>
      <c r="BK8">
        <v>44326659</v>
      </c>
      <c r="BL8">
        <v>44788737</v>
      </c>
      <c r="BM8">
        <v>45255632</v>
      </c>
      <c r="BN8">
        <v>45727394</v>
      </c>
      <c r="BO8">
        <v>46204074</v>
      </c>
      <c r="BP8">
        <v>46685723</v>
      </c>
      <c r="BQ8">
        <v>1.0424380340044559E-2</v>
      </c>
      <c r="BR8" s="6">
        <f t="shared" si="3"/>
        <v>42095224</v>
      </c>
      <c r="BT8" s="4">
        <f t="shared" si="4"/>
        <v>1.0354847199570028E-2</v>
      </c>
      <c r="BU8" s="4">
        <f t="shared" si="2"/>
        <v>1.0380874153071318E-2</v>
      </c>
      <c r="BV8" s="4">
        <f t="shared" si="2"/>
        <v>1.0442550766009306E-2</v>
      </c>
      <c r="BW8" s="4">
        <f t="shared" si="2"/>
        <v>1.0493719039549543E-2</v>
      </c>
      <c r="BX8" s="4">
        <f t="shared" si="2"/>
        <v>1.0490184044412265E-2</v>
      </c>
      <c r="BY8" s="4">
        <f t="shared" si="2"/>
        <v>1.0406077785820811E-2</v>
      </c>
      <c r="BZ8" s="4">
        <f t="shared" si="2"/>
        <v>1.0373829636614262E-2</v>
      </c>
      <c r="CA8" s="4">
        <f t="shared" si="2"/>
        <v>1.034851398342429E-2</v>
      </c>
      <c r="CB8" s="4">
        <f t="shared" si="2"/>
        <v>1.0358583845515135E-2</v>
      </c>
      <c r="CC8" s="4">
        <f t="shared" si="2"/>
        <v>1.0424384216933147E-2</v>
      </c>
      <c r="CD8" s="4">
        <f t="shared" si="2"/>
        <v>1.0424383315915664E-2</v>
      </c>
      <c r="CE8" s="4">
        <f t="shared" si="2"/>
        <v>1.0424383381606006E-2</v>
      </c>
      <c r="CF8" s="4">
        <f t="shared" si="2"/>
        <v>1.0424383976667784E-2</v>
      </c>
      <c r="CH8">
        <v>2736690</v>
      </c>
    </row>
    <row r="9" spans="1:86" x14ac:dyDescent="0.25">
      <c r="A9" s="2">
        <v>7</v>
      </c>
      <c r="B9" s="3" t="s">
        <v>19</v>
      </c>
      <c r="C9" t="s">
        <v>19</v>
      </c>
      <c r="D9" t="s">
        <v>7</v>
      </c>
      <c r="E9">
        <v>1</v>
      </c>
      <c r="F9">
        <v>1867396</v>
      </c>
      <c r="G9">
        <v>1934239</v>
      </c>
      <c r="H9">
        <v>2002170</v>
      </c>
      <c r="I9">
        <v>2070427</v>
      </c>
      <c r="J9">
        <v>2138133</v>
      </c>
      <c r="K9">
        <v>2204650</v>
      </c>
      <c r="L9">
        <v>2269475</v>
      </c>
      <c r="M9">
        <v>2332624</v>
      </c>
      <c r="N9">
        <v>2394635</v>
      </c>
      <c r="O9">
        <v>2456370</v>
      </c>
      <c r="P9">
        <v>2518408</v>
      </c>
      <c r="Q9">
        <v>2580894</v>
      </c>
      <c r="R9">
        <v>2643464</v>
      </c>
      <c r="S9">
        <v>2705584</v>
      </c>
      <c r="T9">
        <v>2766495</v>
      </c>
      <c r="U9">
        <v>2825650</v>
      </c>
      <c r="V9">
        <v>2882831</v>
      </c>
      <c r="W9">
        <v>2938181</v>
      </c>
      <c r="X9">
        <v>2991954</v>
      </c>
      <c r="Y9">
        <v>3044564</v>
      </c>
      <c r="Z9">
        <v>3096298</v>
      </c>
      <c r="AA9">
        <v>3145885</v>
      </c>
      <c r="AB9">
        <v>3192877</v>
      </c>
      <c r="AC9">
        <v>3239212</v>
      </c>
      <c r="AD9">
        <v>3287588</v>
      </c>
      <c r="AE9">
        <v>3339147</v>
      </c>
      <c r="AF9">
        <v>3396511</v>
      </c>
      <c r="AG9">
        <v>3457054</v>
      </c>
      <c r="AH9">
        <v>3510439</v>
      </c>
      <c r="AI9">
        <v>3542720</v>
      </c>
      <c r="AJ9">
        <v>3544695</v>
      </c>
      <c r="AK9">
        <v>3511912</v>
      </c>
      <c r="AL9">
        <v>3449497</v>
      </c>
      <c r="AM9">
        <v>3369673</v>
      </c>
      <c r="AN9">
        <v>3289943</v>
      </c>
      <c r="AO9">
        <v>3223173</v>
      </c>
      <c r="AP9">
        <v>3173425</v>
      </c>
      <c r="AQ9">
        <v>3137652</v>
      </c>
      <c r="AR9">
        <v>3112958</v>
      </c>
      <c r="AS9">
        <v>3093820</v>
      </c>
      <c r="AT9">
        <v>3076098</v>
      </c>
      <c r="AU9">
        <v>3060036</v>
      </c>
      <c r="AV9">
        <v>3047249</v>
      </c>
      <c r="AW9">
        <v>3036420</v>
      </c>
      <c r="AX9">
        <v>3025982</v>
      </c>
      <c r="AY9">
        <v>3014917</v>
      </c>
      <c r="AZ9">
        <v>3002161</v>
      </c>
      <c r="BA9">
        <v>2988117</v>
      </c>
      <c r="BB9">
        <v>2975029</v>
      </c>
      <c r="BC9">
        <v>2966108</v>
      </c>
      <c r="BD9">
        <v>2963496</v>
      </c>
      <c r="BE9">
        <v>2967984</v>
      </c>
      <c r="BF9">
        <v>2978339</v>
      </c>
      <c r="BG9">
        <v>2992192</v>
      </c>
      <c r="BH9">
        <v>3006154</v>
      </c>
      <c r="BI9">
        <v>3017712</v>
      </c>
      <c r="BJ9">
        <v>3028674</v>
      </c>
      <c r="BK9">
        <v>3039675</v>
      </c>
      <c r="BL9">
        <v>3050716</v>
      </c>
      <c r="BM9">
        <v>3061798</v>
      </c>
      <c r="BN9">
        <v>3072920</v>
      </c>
      <c r="BO9">
        <v>3084082</v>
      </c>
      <c r="BP9">
        <v>3095285</v>
      </c>
      <c r="BQ9">
        <v>3.6324365382827128E-3</v>
      </c>
      <c r="BR9" s="6">
        <f t="shared" si="3"/>
        <v>2978339</v>
      </c>
      <c r="BT9" s="4">
        <f t="shared" si="4"/>
        <v>-3.2354322212851949E-3</v>
      </c>
      <c r="BU9" s="4">
        <f t="shared" si="2"/>
        <v>-1.6886947166929733E-3</v>
      </c>
      <c r="BV9" s="4">
        <f t="shared" si="2"/>
        <v>2.7803257447756025E-4</v>
      </c>
      <c r="BW9" s="4">
        <f t="shared" si="2"/>
        <v>2.1912907375867263E-3</v>
      </c>
      <c r="BX9" s="4">
        <f t="shared" si="2"/>
        <v>3.5793577560407908E-3</v>
      </c>
      <c r="BY9" s="4">
        <f t="shared" si="2"/>
        <v>4.162638286217657E-3</v>
      </c>
      <c r="BZ9" s="4">
        <f t="shared" si="2"/>
        <v>4.1985737679439694E-3</v>
      </c>
      <c r="CA9" s="4">
        <f t="shared" si="2"/>
        <v>3.9438497462174205E-3</v>
      </c>
      <c r="CB9" s="4">
        <f t="shared" si="2"/>
        <v>3.6854737875402499E-3</v>
      </c>
      <c r="CC9" s="4">
        <f t="shared" si="2"/>
        <v>3.6324305301584925E-3</v>
      </c>
      <c r="CD9" s="4">
        <f t="shared" si="2"/>
        <v>3.6324187111729245E-3</v>
      </c>
      <c r="CE9" s="4">
        <f t="shared" si="2"/>
        <v>3.632441980752743E-3</v>
      </c>
      <c r="CF9" s="4">
        <f t="shared" si="2"/>
        <v>3.6324987741507275E-3</v>
      </c>
      <c r="CH9">
        <v>28203</v>
      </c>
    </row>
    <row r="10" spans="1:86" x14ac:dyDescent="0.25">
      <c r="A10" s="2">
        <v>8</v>
      </c>
      <c r="B10" s="3" t="s">
        <v>20</v>
      </c>
      <c r="C10" t="s">
        <v>20</v>
      </c>
      <c r="D10" t="s">
        <v>21</v>
      </c>
      <c r="E10">
        <v>1</v>
      </c>
      <c r="F10">
        <v>10276477</v>
      </c>
      <c r="G10">
        <v>10483000</v>
      </c>
      <c r="H10">
        <v>10742000</v>
      </c>
      <c r="I10">
        <v>10950000</v>
      </c>
      <c r="J10">
        <v>11167000</v>
      </c>
      <c r="K10">
        <v>11388000</v>
      </c>
      <c r="L10">
        <v>11651000</v>
      </c>
      <c r="M10">
        <v>11799000</v>
      </c>
      <c r="N10">
        <v>12009000</v>
      </c>
      <c r="O10">
        <v>12263000</v>
      </c>
      <c r="P10">
        <v>12507000</v>
      </c>
      <c r="Q10">
        <v>12937000</v>
      </c>
      <c r="R10">
        <v>13177000</v>
      </c>
      <c r="S10">
        <v>13380000</v>
      </c>
      <c r="T10">
        <v>13723000</v>
      </c>
      <c r="U10">
        <v>13893000</v>
      </c>
      <c r="V10">
        <v>14033000</v>
      </c>
      <c r="W10">
        <v>14192000</v>
      </c>
      <c r="X10">
        <v>14358000</v>
      </c>
      <c r="Y10">
        <v>14514000</v>
      </c>
      <c r="Z10">
        <v>14692000</v>
      </c>
      <c r="AA10">
        <v>14927000</v>
      </c>
      <c r="AB10">
        <v>15178000</v>
      </c>
      <c r="AC10">
        <v>15369000</v>
      </c>
      <c r="AD10">
        <v>15544000</v>
      </c>
      <c r="AE10">
        <v>15758000</v>
      </c>
      <c r="AF10">
        <v>16018400</v>
      </c>
      <c r="AG10">
        <v>16263900</v>
      </c>
      <c r="AH10">
        <v>16532200</v>
      </c>
      <c r="AI10">
        <v>16814400</v>
      </c>
      <c r="AJ10">
        <v>17065100</v>
      </c>
      <c r="AK10">
        <v>17284000</v>
      </c>
      <c r="AL10">
        <v>17495000</v>
      </c>
      <c r="AM10">
        <v>17667000</v>
      </c>
      <c r="AN10">
        <v>17855000</v>
      </c>
      <c r="AO10">
        <v>18072000</v>
      </c>
      <c r="AP10">
        <v>18311000</v>
      </c>
      <c r="AQ10">
        <v>18517000</v>
      </c>
      <c r="AR10">
        <v>18711000</v>
      </c>
      <c r="AS10">
        <v>18926000</v>
      </c>
      <c r="AT10">
        <v>19153000</v>
      </c>
      <c r="AU10">
        <v>19413000</v>
      </c>
      <c r="AV10">
        <v>19651400</v>
      </c>
      <c r="AW10">
        <v>19895400</v>
      </c>
      <c r="AX10">
        <v>20127400</v>
      </c>
      <c r="AY10">
        <v>20394800</v>
      </c>
      <c r="AZ10">
        <v>20697900</v>
      </c>
      <c r="BA10">
        <v>20827600</v>
      </c>
      <c r="BB10">
        <v>21249200</v>
      </c>
      <c r="BC10">
        <v>21691700</v>
      </c>
      <c r="BD10">
        <v>22031750</v>
      </c>
      <c r="BE10">
        <v>22340024</v>
      </c>
      <c r="BF10">
        <v>22728254</v>
      </c>
      <c r="BG10">
        <v>23117353</v>
      </c>
      <c r="BH10">
        <v>23464086</v>
      </c>
      <c r="BI10">
        <v>23781169</v>
      </c>
      <c r="BJ10">
        <v>24147381</v>
      </c>
      <c r="BK10">
        <v>24519233</v>
      </c>
      <c r="BL10">
        <v>24896811</v>
      </c>
      <c r="BM10">
        <v>25280203</v>
      </c>
      <c r="BN10">
        <v>25669499</v>
      </c>
      <c r="BO10">
        <v>26064790</v>
      </c>
      <c r="BP10">
        <v>26466168</v>
      </c>
      <c r="BQ10">
        <v>1.5399256029937636E-2</v>
      </c>
      <c r="BR10" s="6">
        <f t="shared" si="3"/>
        <v>22728254</v>
      </c>
      <c r="BT10" s="4">
        <f t="shared" si="4"/>
        <v>1.5735608295221359E-2</v>
      </c>
      <c r="BU10" s="4">
        <f t="shared" si="2"/>
        <v>1.7679676958805679E-2</v>
      </c>
      <c r="BV10" s="4">
        <f t="shared" si="2"/>
        <v>1.6964686372034521E-2</v>
      </c>
      <c r="BW10" s="4">
        <f t="shared" si="2"/>
        <v>1.604075565218932E-2</v>
      </c>
      <c r="BX10" s="4">
        <f t="shared" si="2"/>
        <v>1.5871231543059805E-2</v>
      </c>
      <c r="BY10" s="4">
        <f t="shared" si="2"/>
        <v>1.5751309689094661E-2</v>
      </c>
      <c r="BZ10" s="4">
        <f t="shared" si="2"/>
        <v>1.5256994219388087E-2</v>
      </c>
      <c r="CA10" s="4">
        <f t="shared" si="2"/>
        <v>1.4827422141127977E-2</v>
      </c>
      <c r="CB10" s="4">
        <f t="shared" si="2"/>
        <v>1.4927500161670215E-2</v>
      </c>
      <c r="CC10" s="4">
        <f t="shared" si="2"/>
        <v>1.5399252709942912E-2</v>
      </c>
      <c r="CD10" s="4">
        <f t="shared" si="2"/>
        <v>1.5399252820551546E-2</v>
      </c>
      <c r="CE10" s="4">
        <f t="shared" si="2"/>
        <v>1.5399247916439984E-2</v>
      </c>
      <c r="CF10" s="4">
        <f t="shared" si="2"/>
        <v>1.5399243779476546E-2</v>
      </c>
      <c r="CH10">
        <v>7682300</v>
      </c>
    </row>
    <row r="11" spans="1:86" x14ac:dyDescent="0.25">
      <c r="A11" s="2">
        <v>9</v>
      </c>
      <c r="B11" s="3" t="s">
        <v>22</v>
      </c>
      <c r="C11" t="s">
        <v>22</v>
      </c>
      <c r="D11" t="s">
        <v>23</v>
      </c>
      <c r="E11">
        <v>1</v>
      </c>
      <c r="F11">
        <v>7047539</v>
      </c>
      <c r="G11">
        <v>7086299</v>
      </c>
      <c r="H11">
        <v>7129864</v>
      </c>
      <c r="I11">
        <v>7175811</v>
      </c>
      <c r="J11">
        <v>7223801</v>
      </c>
      <c r="K11">
        <v>7270889</v>
      </c>
      <c r="L11">
        <v>7322066</v>
      </c>
      <c r="M11">
        <v>7376998</v>
      </c>
      <c r="N11">
        <v>7415403</v>
      </c>
      <c r="O11">
        <v>7441055</v>
      </c>
      <c r="P11">
        <v>7467086</v>
      </c>
      <c r="Q11">
        <v>7500482</v>
      </c>
      <c r="R11">
        <v>7544201</v>
      </c>
      <c r="S11">
        <v>7586115</v>
      </c>
      <c r="T11">
        <v>7599038</v>
      </c>
      <c r="U11">
        <v>7578903</v>
      </c>
      <c r="V11">
        <v>7565525</v>
      </c>
      <c r="W11">
        <v>7568430</v>
      </c>
      <c r="X11">
        <v>7562305</v>
      </c>
      <c r="Y11">
        <v>7549425</v>
      </c>
      <c r="Z11">
        <v>7549433</v>
      </c>
      <c r="AA11">
        <v>7568710</v>
      </c>
      <c r="AB11">
        <v>7574140</v>
      </c>
      <c r="AC11">
        <v>7561910</v>
      </c>
      <c r="AD11">
        <v>7561434</v>
      </c>
      <c r="AE11">
        <v>7564985</v>
      </c>
      <c r="AF11">
        <v>7569794</v>
      </c>
      <c r="AG11">
        <v>7574586</v>
      </c>
      <c r="AH11">
        <v>7585317</v>
      </c>
      <c r="AI11">
        <v>7619567</v>
      </c>
      <c r="AJ11">
        <v>7677850</v>
      </c>
      <c r="AK11">
        <v>7754891</v>
      </c>
      <c r="AL11">
        <v>7840709</v>
      </c>
      <c r="AM11">
        <v>7905633</v>
      </c>
      <c r="AN11">
        <v>7936118</v>
      </c>
      <c r="AO11">
        <v>7948278</v>
      </c>
      <c r="AP11">
        <v>7959017</v>
      </c>
      <c r="AQ11">
        <v>7968041</v>
      </c>
      <c r="AR11">
        <v>7976789</v>
      </c>
      <c r="AS11">
        <v>7992324</v>
      </c>
      <c r="AT11">
        <v>8011566</v>
      </c>
      <c r="AU11">
        <v>8042293</v>
      </c>
      <c r="AV11">
        <v>8081957</v>
      </c>
      <c r="AW11">
        <v>8121423</v>
      </c>
      <c r="AX11">
        <v>8171966</v>
      </c>
      <c r="AY11">
        <v>8227829</v>
      </c>
      <c r="AZ11">
        <v>8268641</v>
      </c>
      <c r="BA11">
        <v>8295487</v>
      </c>
      <c r="BB11">
        <v>8321496</v>
      </c>
      <c r="BC11">
        <v>8343323</v>
      </c>
      <c r="BD11">
        <v>8363404</v>
      </c>
      <c r="BE11">
        <v>8391643</v>
      </c>
      <c r="BF11">
        <v>8429991</v>
      </c>
      <c r="BG11">
        <v>8479375</v>
      </c>
      <c r="BH11">
        <v>8541575</v>
      </c>
      <c r="BI11">
        <v>8611088</v>
      </c>
      <c r="BJ11">
        <v>8661498</v>
      </c>
      <c r="BK11">
        <v>8712203</v>
      </c>
      <c r="BL11">
        <v>8763205</v>
      </c>
      <c r="BM11">
        <v>8814506</v>
      </c>
      <c r="BN11">
        <v>8866107</v>
      </c>
      <c r="BO11">
        <v>8918010</v>
      </c>
      <c r="BP11">
        <v>8970217</v>
      </c>
      <c r="BQ11">
        <v>5.8540994365849919E-3</v>
      </c>
      <c r="BR11" s="6">
        <f t="shared" si="3"/>
        <v>8429991</v>
      </c>
      <c r="BT11" s="4">
        <f t="shared" si="4"/>
        <v>2.8529004529476154E-3</v>
      </c>
      <c r="BU11" s="4">
        <f t="shared" si="2"/>
        <v>2.8853289943338023E-3</v>
      </c>
      <c r="BV11" s="4">
        <f t="shared" si="2"/>
        <v>3.2436638381316829E-3</v>
      </c>
      <c r="BW11" s="4">
        <f t="shared" si="2"/>
        <v>4.0519786559458648E-3</v>
      </c>
      <c r="BX11" s="4">
        <f t="shared" si="2"/>
        <v>5.2838846807334861E-3</v>
      </c>
      <c r="BY11" s="4">
        <f t="shared" si="2"/>
        <v>6.4744556267488651E-3</v>
      </c>
      <c r="BZ11" s="4">
        <f t="shared" si="2"/>
        <v>6.7959842141251947E-3</v>
      </c>
      <c r="CA11" s="4">
        <f t="shared" si="2"/>
        <v>6.7949673162372992E-3</v>
      </c>
      <c r="CB11" s="4">
        <f t="shared" si="2"/>
        <v>6.4246220616810401E-3</v>
      </c>
      <c r="CC11" s="4">
        <f t="shared" si="2"/>
        <v>5.8540931946342578E-3</v>
      </c>
      <c r="CD11" s="4">
        <f t="shared" si="2"/>
        <v>5.8540981497683386E-3</v>
      </c>
      <c r="CE11" s="4">
        <f t="shared" si="2"/>
        <v>5.8541039290753716E-3</v>
      </c>
      <c r="CF11" s="4">
        <f t="shared" si="2"/>
        <v>5.8541091932178269E-3</v>
      </c>
      <c r="CH11">
        <v>82445</v>
      </c>
    </row>
    <row r="12" spans="1:86" x14ac:dyDescent="0.25">
      <c r="A12" s="2">
        <v>10</v>
      </c>
      <c r="B12" s="3" t="s">
        <v>24</v>
      </c>
      <c r="C12" t="s">
        <v>24</v>
      </c>
      <c r="D12" t="s">
        <v>25</v>
      </c>
      <c r="E12">
        <v>1</v>
      </c>
      <c r="F12">
        <v>3897889</v>
      </c>
      <c r="G12">
        <v>4030130</v>
      </c>
      <c r="H12">
        <v>4167558</v>
      </c>
      <c r="I12">
        <v>4307315</v>
      </c>
      <c r="J12">
        <v>4445653</v>
      </c>
      <c r="K12">
        <v>4579759</v>
      </c>
      <c r="L12">
        <v>4708485</v>
      </c>
      <c r="M12">
        <v>4832098</v>
      </c>
      <c r="N12">
        <v>4950977</v>
      </c>
      <c r="O12">
        <v>5066080</v>
      </c>
      <c r="P12">
        <v>5178160</v>
      </c>
      <c r="Q12">
        <v>5287272</v>
      </c>
      <c r="R12">
        <v>5393176</v>
      </c>
      <c r="S12">
        <v>5496061</v>
      </c>
      <c r="T12">
        <v>5596160</v>
      </c>
      <c r="U12">
        <v>5693796</v>
      </c>
      <c r="V12">
        <v>5789050</v>
      </c>
      <c r="W12">
        <v>5882395</v>
      </c>
      <c r="X12">
        <v>5975045</v>
      </c>
      <c r="Y12">
        <v>6068531</v>
      </c>
      <c r="Z12">
        <v>6163990</v>
      </c>
      <c r="AA12">
        <v>6261942</v>
      </c>
      <c r="AB12">
        <v>6362289</v>
      </c>
      <c r="AC12">
        <v>6464775</v>
      </c>
      <c r="AD12">
        <v>6568857</v>
      </c>
      <c r="AE12">
        <v>6674107</v>
      </c>
      <c r="AF12">
        <v>6779970</v>
      </c>
      <c r="AG12">
        <v>6886428</v>
      </c>
      <c r="AH12">
        <v>6994139</v>
      </c>
      <c r="AI12">
        <v>7104058</v>
      </c>
      <c r="AJ12">
        <v>7159000</v>
      </c>
      <c r="AK12">
        <v>7271000</v>
      </c>
      <c r="AL12">
        <v>7382000</v>
      </c>
      <c r="AM12">
        <v>7495000</v>
      </c>
      <c r="AN12">
        <v>7597000</v>
      </c>
      <c r="AO12">
        <v>7685000</v>
      </c>
      <c r="AP12">
        <v>7763000</v>
      </c>
      <c r="AQ12">
        <v>7838250</v>
      </c>
      <c r="AR12">
        <v>7913000</v>
      </c>
      <c r="AS12">
        <v>7982750</v>
      </c>
      <c r="AT12">
        <v>8048600</v>
      </c>
      <c r="AU12">
        <v>8111200</v>
      </c>
      <c r="AV12">
        <v>8171950</v>
      </c>
      <c r="AW12">
        <v>8234100</v>
      </c>
      <c r="AX12">
        <v>8306500</v>
      </c>
      <c r="AY12">
        <v>8391850</v>
      </c>
      <c r="AZ12">
        <v>8484550</v>
      </c>
      <c r="BA12">
        <v>8581300</v>
      </c>
      <c r="BB12">
        <v>8763400</v>
      </c>
      <c r="BC12">
        <v>8947243</v>
      </c>
      <c r="BD12">
        <v>9054332</v>
      </c>
      <c r="BE12">
        <v>9173082</v>
      </c>
      <c r="BF12">
        <v>9295784</v>
      </c>
      <c r="BG12">
        <v>9416801</v>
      </c>
      <c r="BH12">
        <v>9535079</v>
      </c>
      <c r="BI12">
        <v>9651349</v>
      </c>
      <c r="BJ12">
        <v>9775396</v>
      </c>
      <c r="BK12">
        <v>9901037</v>
      </c>
      <c r="BL12">
        <v>10028293</v>
      </c>
      <c r="BM12">
        <v>10157184</v>
      </c>
      <c r="BN12">
        <v>10287732</v>
      </c>
      <c r="BO12">
        <v>10419958</v>
      </c>
      <c r="BP12">
        <v>10553883</v>
      </c>
      <c r="BQ12">
        <v>1.2852772117808886E-2</v>
      </c>
      <c r="BR12" s="6">
        <f t="shared" si="3"/>
        <v>9295784</v>
      </c>
      <c r="BT12" s="4">
        <f t="shared" si="4"/>
        <v>1.6381848490230277E-2</v>
      </c>
      <c r="BU12" s="4">
        <f t="shared" si="2"/>
        <v>1.6811730131573555E-2</v>
      </c>
      <c r="BV12" s="4">
        <f t="shared" si="2"/>
        <v>1.4853484303986919E-2</v>
      </c>
      <c r="BW12" s="4">
        <f t="shared" si="2"/>
        <v>1.286960822137706E-2</v>
      </c>
      <c r="BX12" s="4">
        <f t="shared" si="2"/>
        <v>1.3017551896447932E-2</v>
      </c>
      <c r="BY12" s="4">
        <f t="shared" si="2"/>
        <v>1.2787158519269815E-2</v>
      </c>
      <c r="BZ12" s="4">
        <f t="shared" si="2"/>
        <v>1.2656335113949924E-2</v>
      </c>
      <c r="CA12" s="4">
        <f t="shared" si="2"/>
        <v>1.2614921430559978E-2</v>
      </c>
      <c r="CB12" s="4">
        <f t="shared" si="2"/>
        <v>1.2688037134420682E-2</v>
      </c>
      <c r="CC12" s="4">
        <f t="shared" si="2"/>
        <v>1.2852781021756465E-2</v>
      </c>
      <c r="CD12" s="4">
        <f t="shared" si="2"/>
        <v>1.2852771090166915E-2</v>
      </c>
      <c r="CE12" s="4">
        <f t="shared" si="2"/>
        <v>1.2852772520272948E-2</v>
      </c>
      <c r="CF12" s="4">
        <f t="shared" si="2"/>
        <v>1.2852758477641002E-2</v>
      </c>
      <c r="CH12">
        <v>82629</v>
      </c>
    </row>
    <row r="13" spans="1:86" x14ac:dyDescent="0.25">
      <c r="A13" s="2">
        <v>11</v>
      </c>
      <c r="B13" s="3" t="s">
        <v>26</v>
      </c>
      <c r="C13" t="s">
        <v>26</v>
      </c>
      <c r="D13" t="s">
        <v>16</v>
      </c>
      <c r="E13">
        <v>1</v>
      </c>
      <c r="F13">
        <v>109526</v>
      </c>
      <c r="G13">
        <v>115108</v>
      </c>
      <c r="H13">
        <v>121083</v>
      </c>
      <c r="I13">
        <v>127331</v>
      </c>
      <c r="J13">
        <v>133697</v>
      </c>
      <c r="K13">
        <v>140049</v>
      </c>
      <c r="L13">
        <v>146364</v>
      </c>
      <c r="M13">
        <v>152607</v>
      </c>
      <c r="N13">
        <v>158629</v>
      </c>
      <c r="O13">
        <v>164250</v>
      </c>
      <c r="P13">
        <v>169356</v>
      </c>
      <c r="Q13">
        <v>173867</v>
      </c>
      <c r="R13">
        <v>177844</v>
      </c>
      <c r="S13">
        <v>181489</v>
      </c>
      <c r="T13">
        <v>185097</v>
      </c>
      <c r="U13">
        <v>188882</v>
      </c>
      <c r="V13">
        <v>192905</v>
      </c>
      <c r="W13">
        <v>197118</v>
      </c>
      <c r="X13">
        <v>201511</v>
      </c>
      <c r="Y13">
        <v>206038</v>
      </c>
      <c r="Z13">
        <v>210660</v>
      </c>
      <c r="AA13">
        <v>215404</v>
      </c>
      <c r="AB13">
        <v>220275</v>
      </c>
      <c r="AC13">
        <v>225185</v>
      </c>
      <c r="AD13">
        <v>230016</v>
      </c>
      <c r="AE13">
        <v>234684</v>
      </c>
      <c r="AF13">
        <v>239132</v>
      </c>
      <c r="AG13">
        <v>243391</v>
      </c>
      <c r="AH13">
        <v>247576</v>
      </c>
      <c r="AI13">
        <v>251855</v>
      </c>
      <c r="AJ13">
        <v>256338</v>
      </c>
      <c r="AK13">
        <v>261117</v>
      </c>
      <c r="AL13">
        <v>266133</v>
      </c>
      <c r="AM13">
        <v>271165</v>
      </c>
      <c r="AN13">
        <v>275903</v>
      </c>
      <c r="AO13">
        <v>280151</v>
      </c>
      <c r="AP13">
        <v>283792</v>
      </c>
      <c r="AQ13">
        <v>286968</v>
      </c>
      <c r="AR13">
        <v>290054</v>
      </c>
      <c r="AS13">
        <v>293572</v>
      </c>
      <c r="AT13">
        <v>297891</v>
      </c>
      <c r="AU13">
        <v>303138</v>
      </c>
      <c r="AV13">
        <v>309170</v>
      </c>
      <c r="AW13">
        <v>315757</v>
      </c>
      <c r="AX13">
        <v>322539</v>
      </c>
      <c r="AY13">
        <v>329243</v>
      </c>
      <c r="AZ13">
        <v>335801</v>
      </c>
      <c r="BA13">
        <v>342259</v>
      </c>
      <c r="BB13">
        <v>348587</v>
      </c>
      <c r="BC13">
        <v>354780</v>
      </c>
      <c r="BD13">
        <v>360830</v>
      </c>
      <c r="BE13">
        <v>366711</v>
      </c>
      <c r="BF13">
        <v>372388</v>
      </c>
      <c r="BG13">
        <v>377841</v>
      </c>
      <c r="BH13">
        <v>383054</v>
      </c>
      <c r="BI13">
        <v>388019</v>
      </c>
      <c r="BJ13">
        <v>393698</v>
      </c>
      <c r="BK13">
        <v>399460</v>
      </c>
      <c r="BL13">
        <v>405306</v>
      </c>
      <c r="BM13">
        <v>411238</v>
      </c>
      <c r="BN13">
        <v>417257</v>
      </c>
      <c r="BO13">
        <v>423364</v>
      </c>
      <c r="BP13">
        <v>429560</v>
      </c>
      <c r="BQ13">
        <v>1.4635540732084173E-2</v>
      </c>
      <c r="BR13" s="6">
        <f t="shared" si="3"/>
        <v>372388</v>
      </c>
      <c r="BT13" s="4">
        <f t="shared" si="4"/>
        <v>1.8134521852877672E-2</v>
      </c>
      <c r="BU13" s="4">
        <f t="shared" si="2"/>
        <v>1.7401245777707963E-2</v>
      </c>
      <c r="BV13" s="4">
        <f t="shared" si="2"/>
        <v>1.6649198779944641E-2</v>
      </c>
      <c r="BW13" s="4">
        <f t="shared" si="2"/>
        <v>1.586848642887051E-2</v>
      </c>
      <c r="BX13" s="4">
        <f t="shared" si="2"/>
        <v>1.5054453202078877E-2</v>
      </c>
      <c r="BY13" s="4">
        <f t="shared" si="2"/>
        <v>1.4220217791957923E-2</v>
      </c>
      <c r="BZ13" s="4">
        <f t="shared" si="2"/>
        <v>1.4009170602362842E-2</v>
      </c>
      <c r="CA13" s="4">
        <f t="shared" si="2"/>
        <v>1.4007235461800605E-2</v>
      </c>
      <c r="CB13" s="4">
        <f t="shared" si="2"/>
        <v>1.4216701082822469E-2</v>
      </c>
      <c r="CC13" s="4">
        <f t="shared" si="2"/>
        <v>1.4635519288098253E-2</v>
      </c>
      <c r="CD13" s="4">
        <f t="shared" si="2"/>
        <v>1.463562231455362E-2</v>
      </c>
      <c r="CE13" s="4">
        <f t="shared" si="2"/>
        <v>1.4635742315817879E-2</v>
      </c>
      <c r="CF13" s="4">
        <f t="shared" si="2"/>
        <v>1.4635843157339901E-2</v>
      </c>
      <c r="CH13">
        <v>10010</v>
      </c>
    </row>
    <row r="14" spans="1:86" x14ac:dyDescent="0.25">
      <c r="A14" s="2">
        <v>12</v>
      </c>
      <c r="B14" s="3" t="s">
        <v>27</v>
      </c>
      <c r="C14" t="s">
        <v>27</v>
      </c>
      <c r="D14" t="s">
        <v>9</v>
      </c>
      <c r="E14">
        <v>1</v>
      </c>
      <c r="F14">
        <v>162501</v>
      </c>
      <c r="G14">
        <v>167924</v>
      </c>
      <c r="H14">
        <v>173107</v>
      </c>
      <c r="I14">
        <v>178048</v>
      </c>
      <c r="J14">
        <v>182774</v>
      </c>
      <c r="K14">
        <v>187348</v>
      </c>
      <c r="L14">
        <v>191782</v>
      </c>
      <c r="M14">
        <v>196203</v>
      </c>
      <c r="N14">
        <v>200953</v>
      </c>
      <c r="O14">
        <v>206469</v>
      </c>
      <c r="P14">
        <v>213102</v>
      </c>
      <c r="Q14">
        <v>220808</v>
      </c>
      <c r="R14">
        <v>229588</v>
      </c>
      <c r="S14">
        <v>239860</v>
      </c>
      <c r="T14">
        <v>252139</v>
      </c>
      <c r="U14">
        <v>266686</v>
      </c>
      <c r="V14">
        <v>283843</v>
      </c>
      <c r="W14">
        <v>303236</v>
      </c>
      <c r="X14">
        <v>323511</v>
      </c>
      <c r="Y14">
        <v>342829</v>
      </c>
      <c r="Z14">
        <v>359902</v>
      </c>
      <c r="AA14">
        <v>374125</v>
      </c>
      <c r="AB14">
        <v>385950</v>
      </c>
      <c r="AC14">
        <v>396447</v>
      </c>
      <c r="AD14">
        <v>407223</v>
      </c>
      <c r="AE14">
        <v>419425</v>
      </c>
      <c r="AF14">
        <v>433487</v>
      </c>
      <c r="AG14">
        <v>448994</v>
      </c>
      <c r="AH14">
        <v>465235</v>
      </c>
      <c r="AI14">
        <v>481126</v>
      </c>
      <c r="AJ14">
        <v>495944</v>
      </c>
      <c r="AK14">
        <v>509654</v>
      </c>
      <c r="AL14">
        <v>522748</v>
      </c>
      <c r="AM14">
        <v>535692</v>
      </c>
      <c r="AN14">
        <v>549151</v>
      </c>
      <c r="AO14">
        <v>563730</v>
      </c>
      <c r="AP14">
        <v>579855</v>
      </c>
      <c r="AQ14">
        <v>597834</v>
      </c>
      <c r="AR14">
        <v>618054</v>
      </c>
      <c r="AS14">
        <v>640904</v>
      </c>
      <c r="AT14">
        <v>666855</v>
      </c>
      <c r="AU14">
        <v>694893</v>
      </c>
      <c r="AV14">
        <v>725365</v>
      </c>
      <c r="AW14">
        <v>761595</v>
      </c>
      <c r="AX14">
        <v>807989</v>
      </c>
      <c r="AY14">
        <v>867014</v>
      </c>
      <c r="AZ14">
        <v>940808</v>
      </c>
      <c r="BA14">
        <v>1026568</v>
      </c>
      <c r="BB14">
        <v>1115777</v>
      </c>
      <c r="BC14">
        <v>1196774</v>
      </c>
      <c r="BD14">
        <v>1261319</v>
      </c>
      <c r="BE14">
        <v>1306014</v>
      </c>
      <c r="BF14">
        <v>1333577</v>
      </c>
      <c r="BG14">
        <v>1349427</v>
      </c>
      <c r="BH14">
        <v>1361930</v>
      </c>
      <c r="BI14">
        <v>1377237</v>
      </c>
      <c r="BJ14">
        <v>1401669</v>
      </c>
      <c r="BK14">
        <v>1426534</v>
      </c>
      <c r="BL14">
        <v>1451840</v>
      </c>
      <c r="BM14">
        <v>1477595</v>
      </c>
      <c r="BN14">
        <v>1503807</v>
      </c>
      <c r="BO14">
        <v>1530484</v>
      </c>
      <c r="BP14">
        <v>1557634</v>
      </c>
      <c r="BQ14">
        <v>1.7739777241343013E-2</v>
      </c>
      <c r="BR14" s="6">
        <f t="shared" si="3"/>
        <v>1333577</v>
      </c>
      <c r="BT14" s="4">
        <f t="shared" si="4"/>
        <v>7.6046363238891024E-2</v>
      </c>
      <c r="BU14" s="4">
        <f t="shared" si="2"/>
        <v>6.20379298665521E-2</v>
      </c>
      <c r="BV14" s="4">
        <f t="shared" si="2"/>
        <v>4.5586995232152816E-2</v>
      </c>
      <c r="BW14" s="4">
        <f t="shared" si="2"/>
        <v>3.0467531802740533E-2</v>
      </c>
      <c r="BX14" s="4">
        <f t="shared" si="2"/>
        <v>1.9371441114786281E-2</v>
      </c>
      <c r="BY14" s="4">
        <f t="shared" si="2"/>
        <v>1.3363394483458357E-2</v>
      </c>
      <c r="BZ14" s="4">
        <f t="shared" si="2"/>
        <v>1.2527536246232707E-2</v>
      </c>
      <c r="CA14" s="4">
        <f t="shared" si="2"/>
        <v>1.3988858068919585E-2</v>
      </c>
      <c r="CB14" s="4">
        <f t="shared" si="2"/>
        <v>1.6110625427342651E-2</v>
      </c>
      <c r="CC14" s="4">
        <f t="shared" si="2"/>
        <v>1.7739622616211426E-2</v>
      </c>
      <c r="CD14" s="4">
        <f t="shared" si="2"/>
        <v>1.7739565515932476E-2</v>
      </c>
      <c r="CE14" s="4">
        <f t="shared" si="2"/>
        <v>1.7739584831680366E-2</v>
      </c>
      <c r="CF14" s="4">
        <f t="shared" si="2"/>
        <v>1.7739581396035264E-2</v>
      </c>
      <c r="CH14">
        <v>760</v>
      </c>
    </row>
    <row r="15" spans="1:86" x14ac:dyDescent="0.25">
      <c r="A15" s="2">
        <v>13</v>
      </c>
      <c r="B15" s="3" t="s">
        <v>28</v>
      </c>
      <c r="C15" t="s">
        <v>28</v>
      </c>
      <c r="D15" t="s">
        <v>25</v>
      </c>
      <c r="E15">
        <v>1</v>
      </c>
      <c r="F15">
        <v>48200702</v>
      </c>
      <c r="G15">
        <v>49593610</v>
      </c>
      <c r="H15">
        <v>51030604</v>
      </c>
      <c r="I15">
        <v>52532595</v>
      </c>
      <c r="J15">
        <v>54129390</v>
      </c>
      <c r="K15">
        <v>55835020</v>
      </c>
      <c r="L15">
        <v>57675529</v>
      </c>
      <c r="M15">
        <v>59625294</v>
      </c>
      <c r="N15">
        <v>61585520</v>
      </c>
      <c r="O15">
        <v>63422570</v>
      </c>
      <c r="P15">
        <v>65048701</v>
      </c>
      <c r="Q15">
        <v>66417450</v>
      </c>
      <c r="R15">
        <v>67578486</v>
      </c>
      <c r="S15">
        <v>68658472</v>
      </c>
      <c r="T15">
        <v>69837960</v>
      </c>
      <c r="U15">
        <v>71247153</v>
      </c>
      <c r="V15">
        <v>72930206</v>
      </c>
      <c r="W15">
        <v>74848466</v>
      </c>
      <c r="X15">
        <v>76948378</v>
      </c>
      <c r="Y15">
        <v>79141947</v>
      </c>
      <c r="Z15">
        <v>81364176</v>
      </c>
      <c r="AA15">
        <v>83599582</v>
      </c>
      <c r="AB15">
        <v>85868228</v>
      </c>
      <c r="AC15">
        <v>88181211</v>
      </c>
      <c r="AD15">
        <v>90559540</v>
      </c>
      <c r="AE15">
        <v>93015182</v>
      </c>
      <c r="AF15">
        <v>95550798</v>
      </c>
      <c r="AG15">
        <v>98149262</v>
      </c>
      <c r="AH15">
        <v>100779551</v>
      </c>
      <c r="AI15">
        <v>103400571</v>
      </c>
      <c r="AJ15">
        <v>105983136</v>
      </c>
      <c r="AK15">
        <v>108509679</v>
      </c>
      <c r="AL15">
        <v>110987459</v>
      </c>
      <c r="AM15">
        <v>113442354</v>
      </c>
      <c r="AN15">
        <v>115913710</v>
      </c>
      <c r="AO15">
        <v>118427768</v>
      </c>
      <c r="AP15">
        <v>120987124</v>
      </c>
      <c r="AQ15">
        <v>123574107</v>
      </c>
      <c r="AR15">
        <v>126169583</v>
      </c>
      <c r="AS15">
        <v>128746273</v>
      </c>
      <c r="AT15">
        <v>131280739</v>
      </c>
      <c r="AU15">
        <v>133776064</v>
      </c>
      <c r="AV15">
        <v>136228456</v>
      </c>
      <c r="AW15">
        <v>138600174</v>
      </c>
      <c r="AX15">
        <v>140843786</v>
      </c>
      <c r="AY15">
        <v>142929979</v>
      </c>
      <c r="AZ15">
        <v>144839238</v>
      </c>
      <c r="BA15">
        <v>146592687</v>
      </c>
      <c r="BB15">
        <v>148252473</v>
      </c>
      <c r="BC15">
        <v>149905836</v>
      </c>
      <c r="BD15">
        <v>151616777</v>
      </c>
      <c r="BE15">
        <v>153405612</v>
      </c>
      <c r="BF15">
        <v>155257387</v>
      </c>
      <c r="BG15">
        <v>157157394</v>
      </c>
      <c r="BH15">
        <v>159077513</v>
      </c>
      <c r="BI15">
        <v>160995642</v>
      </c>
      <c r="BJ15">
        <v>162939918</v>
      </c>
      <c r="BK15">
        <v>164907674</v>
      </c>
      <c r="BL15">
        <v>166899193</v>
      </c>
      <c r="BM15">
        <v>168914763</v>
      </c>
      <c r="BN15">
        <v>170954674</v>
      </c>
      <c r="BO15">
        <v>173019221</v>
      </c>
      <c r="BP15">
        <v>175108700</v>
      </c>
      <c r="BQ15">
        <v>1.2076572568871846E-2</v>
      </c>
      <c r="BR15" s="6">
        <f t="shared" si="3"/>
        <v>155257387</v>
      </c>
      <c r="BT15" s="4">
        <f t="shared" si="4"/>
        <v>1.1498533048787785E-2</v>
      </c>
      <c r="BU15" s="4">
        <f t="shared" si="2"/>
        <v>1.1421626373569804E-2</v>
      </c>
      <c r="BV15" s="4">
        <f t="shared" si="2"/>
        <v>1.160876017200585E-2</v>
      </c>
      <c r="BW15" s="4">
        <f t="shared" si="2"/>
        <v>1.1880133749160304E-2</v>
      </c>
      <c r="BX15" s="4">
        <f t="shared" si="2"/>
        <v>1.2081259221761398E-2</v>
      </c>
      <c r="BY15" s="4">
        <f t="shared" si="2"/>
        <v>1.2146128289596492E-2</v>
      </c>
      <c r="BZ15" s="4">
        <f t="shared" si="2"/>
        <v>1.2147496380677802E-2</v>
      </c>
      <c r="CA15" s="4">
        <f t="shared" si="2"/>
        <v>1.2107194083438966E-2</v>
      </c>
      <c r="CB15" s="4">
        <f t="shared" si="2"/>
        <v>1.2071886276854293E-2</v>
      </c>
      <c r="CC15" s="4">
        <f t="shared" si="2"/>
        <v>1.2076572584568179E-2</v>
      </c>
      <c r="CD15" s="4">
        <f t="shared" si="2"/>
        <v>1.2076571309691753E-2</v>
      </c>
      <c r="CE15" s="4">
        <f t="shared" si="2"/>
        <v>1.207657160941511E-2</v>
      </c>
      <c r="CF15" s="4">
        <f t="shared" si="2"/>
        <v>1.2076572098118854E-2</v>
      </c>
      <c r="CH15">
        <v>130170</v>
      </c>
    </row>
    <row r="16" spans="1:86" x14ac:dyDescent="0.25">
      <c r="A16" s="2">
        <v>14</v>
      </c>
      <c r="B16" s="3" t="s">
        <v>29</v>
      </c>
      <c r="C16" t="s">
        <v>29</v>
      </c>
      <c r="D16" t="s">
        <v>16</v>
      </c>
      <c r="E16">
        <v>1</v>
      </c>
      <c r="F16">
        <v>230934</v>
      </c>
      <c r="G16">
        <v>231674</v>
      </c>
      <c r="H16">
        <v>232584</v>
      </c>
      <c r="I16">
        <v>233587</v>
      </c>
      <c r="J16">
        <v>234547</v>
      </c>
      <c r="K16">
        <v>235373</v>
      </c>
      <c r="L16">
        <v>236043</v>
      </c>
      <c r="M16">
        <v>236620</v>
      </c>
      <c r="N16">
        <v>237199</v>
      </c>
      <c r="O16">
        <v>237911</v>
      </c>
      <c r="P16">
        <v>238847</v>
      </c>
      <c r="Q16">
        <v>240038</v>
      </c>
      <c r="R16">
        <v>241441</v>
      </c>
      <c r="S16">
        <v>242980</v>
      </c>
      <c r="T16">
        <v>244539</v>
      </c>
      <c r="U16">
        <v>246033</v>
      </c>
      <c r="V16">
        <v>247444</v>
      </c>
      <c r="W16">
        <v>248785</v>
      </c>
      <c r="X16">
        <v>250035</v>
      </c>
      <c r="Y16">
        <v>251176</v>
      </c>
      <c r="Z16">
        <v>252197</v>
      </c>
      <c r="AA16">
        <v>253080</v>
      </c>
      <c r="AB16">
        <v>253836</v>
      </c>
      <c r="AC16">
        <v>254515</v>
      </c>
      <c r="AD16">
        <v>255195</v>
      </c>
      <c r="AE16">
        <v>255929</v>
      </c>
      <c r="AF16">
        <v>256738</v>
      </c>
      <c r="AG16">
        <v>257609</v>
      </c>
      <c r="AH16">
        <v>258524</v>
      </c>
      <c r="AI16">
        <v>259454</v>
      </c>
      <c r="AJ16">
        <v>260374</v>
      </c>
      <c r="AK16">
        <v>261281</v>
      </c>
      <c r="AL16">
        <v>262184</v>
      </c>
      <c r="AM16">
        <v>263091</v>
      </c>
      <c r="AN16">
        <v>264015</v>
      </c>
      <c r="AO16">
        <v>264962</v>
      </c>
      <c r="AP16">
        <v>265940</v>
      </c>
      <c r="AQ16">
        <v>266944</v>
      </c>
      <c r="AR16">
        <v>267949</v>
      </c>
      <c r="AS16">
        <v>268920</v>
      </c>
      <c r="AT16">
        <v>269838</v>
      </c>
      <c r="AU16">
        <v>270686</v>
      </c>
      <c r="AV16">
        <v>271479</v>
      </c>
      <c r="AW16">
        <v>272261</v>
      </c>
      <c r="AX16">
        <v>273091</v>
      </c>
      <c r="AY16">
        <v>274013</v>
      </c>
      <c r="AZ16">
        <v>275040</v>
      </c>
      <c r="BA16">
        <v>276154</v>
      </c>
      <c r="BB16">
        <v>277315</v>
      </c>
      <c r="BC16">
        <v>278466</v>
      </c>
      <c r="BD16">
        <v>279566</v>
      </c>
      <c r="BE16">
        <v>280602</v>
      </c>
      <c r="BF16">
        <v>281580</v>
      </c>
      <c r="BG16">
        <v>282503</v>
      </c>
      <c r="BH16">
        <v>283380</v>
      </c>
      <c r="BI16">
        <v>284215</v>
      </c>
      <c r="BJ16">
        <v>285154</v>
      </c>
      <c r="BK16">
        <v>286096</v>
      </c>
      <c r="BL16">
        <v>287041</v>
      </c>
      <c r="BM16">
        <v>287989</v>
      </c>
      <c r="BN16">
        <v>288941</v>
      </c>
      <c r="BO16">
        <v>289896</v>
      </c>
      <c r="BP16">
        <v>290854</v>
      </c>
      <c r="BQ16">
        <v>3.3039647643198222E-3</v>
      </c>
      <c r="BR16" s="6">
        <f t="shared" si="3"/>
        <v>281580</v>
      </c>
      <c r="BT16" s="4">
        <f t="shared" si="4"/>
        <v>4.0888011918056577E-3</v>
      </c>
      <c r="BU16" s="4">
        <f t="shared" si="2"/>
        <v>4.0026427887185356E-3</v>
      </c>
      <c r="BV16" s="4">
        <f t="shared" si="2"/>
        <v>3.8229275258261364E-3</v>
      </c>
      <c r="BW16" s="4">
        <f t="shared" si="2"/>
        <v>3.6047818214681726E-3</v>
      </c>
      <c r="BX16" s="4">
        <f t="shared" si="2"/>
        <v>3.3933324761885597E-3</v>
      </c>
      <c r="BY16" s="4">
        <f t="shared" si="2"/>
        <v>3.2035451119150071E-3</v>
      </c>
      <c r="BZ16" s="4">
        <f t="shared" si="2"/>
        <v>3.158173097154382E-3</v>
      </c>
      <c r="CA16" s="4">
        <f t="shared" si="2"/>
        <v>3.1645588861544116E-3</v>
      </c>
      <c r="CB16" s="4">
        <f t="shared" si="2"/>
        <v>3.2142319920351881E-3</v>
      </c>
      <c r="CC16" s="4">
        <f t="shared" si="2"/>
        <v>3.3032665398191607E-3</v>
      </c>
      <c r="CD16" s="4">
        <f t="shared" si="2"/>
        <v>3.3037277717855584E-3</v>
      </c>
      <c r="CE16" s="4">
        <f t="shared" si="2"/>
        <v>3.304151498574992E-3</v>
      </c>
      <c r="CF16" s="4">
        <f t="shared" si="2"/>
        <v>3.3045380762863896E-3</v>
      </c>
      <c r="CH16">
        <v>430</v>
      </c>
    </row>
    <row r="17" spans="1:86" x14ac:dyDescent="0.25">
      <c r="A17" s="2">
        <v>15</v>
      </c>
      <c r="B17" s="3" t="s">
        <v>30</v>
      </c>
      <c r="C17" t="s">
        <v>30</v>
      </c>
      <c r="D17" t="s">
        <v>7</v>
      </c>
      <c r="E17">
        <v>1</v>
      </c>
      <c r="F17">
        <v>8198000</v>
      </c>
      <c r="G17">
        <v>8271216</v>
      </c>
      <c r="H17">
        <v>8351928</v>
      </c>
      <c r="I17">
        <v>8437232</v>
      </c>
      <c r="J17">
        <v>8524224</v>
      </c>
      <c r="K17">
        <v>8610000</v>
      </c>
      <c r="L17">
        <v>8696496</v>
      </c>
      <c r="M17">
        <v>8785648</v>
      </c>
      <c r="N17">
        <v>8874552</v>
      </c>
      <c r="O17">
        <v>8960304</v>
      </c>
      <c r="P17">
        <v>9040000</v>
      </c>
      <c r="Q17">
        <v>9115576</v>
      </c>
      <c r="R17">
        <v>9188968</v>
      </c>
      <c r="S17">
        <v>9257272</v>
      </c>
      <c r="T17">
        <v>9317584</v>
      </c>
      <c r="U17">
        <v>9367000</v>
      </c>
      <c r="V17">
        <v>9411000</v>
      </c>
      <c r="W17">
        <v>9463000</v>
      </c>
      <c r="X17">
        <v>9525000</v>
      </c>
      <c r="Y17">
        <v>9584000</v>
      </c>
      <c r="Z17">
        <v>9643000</v>
      </c>
      <c r="AA17">
        <v>9710000</v>
      </c>
      <c r="AB17">
        <v>9776000</v>
      </c>
      <c r="AC17">
        <v>9843000</v>
      </c>
      <c r="AD17">
        <v>9910000</v>
      </c>
      <c r="AE17">
        <v>9975000</v>
      </c>
      <c r="AF17">
        <v>10043000</v>
      </c>
      <c r="AG17">
        <v>10111000</v>
      </c>
      <c r="AH17">
        <v>10140000</v>
      </c>
      <c r="AI17">
        <v>10170000</v>
      </c>
      <c r="AJ17">
        <v>10189000</v>
      </c>
      <c r="AK17">
        <v>10194000</v>
      </c>
      <c r="AL17">
        <v>10216000</v>
      </c>
      <c r="AM17">
        <v>10239000</v>
      </c>
      <c r="AN17">
        <v>10227000</v>
      </c>
      <c r="AO17">
        <v>10194000</v>
      </c>
      <c r="AP17">
        <v>10160000</v>
      </c>
      <c r="AQ17">
        <v>10117000</v>
      </c>
      <c r="AR17">
        <v>10069000</v>
      </c>
      <c r="AS17">
        <v>10035000</v>
      </c>
      <c r="AT17">
        <v>10005000</v>
      </c>
      <c r="AU17">
        <v>9928000</v>
      </c>
      <c r="AV17">
        <v>9865000</v>
      </c>
      <c r="AW17">
        <v>9797000</v>
      </c>
      <c r="AX17">
        <v>9730000</v>
      </c>
      <c r="AY17">
        <v>9663000</v>
      </c>
      <c r="AZ17">
        <v>9604000</v>
      </c>
      <c r="BA17">
        <v>9560000</v>
      </c>
      <c r="BB17">
        <v>9528000</v>
      </c>
      <c r="BC17">
        <v>9507000</v>
      </c>
      <c r="BD17">
        <v>9490000</v>
      </c>
      <c r="BE17">
        <v>9473000</v>
      </c>
      <c r="BF17">
        <v>9464000</v>
      </c>
      <c r="BG17">
        <v>9466000</v>
      </c>
      <c r="BH17">
        <v>9483000</v>
      </c>
      <c r="BI17">
        <v>9513000</v>
      </c>
      <c r="BJ17">
        <v>9517607</v>
      </c>
      <c r="BK17">
        <v>9522216</v>
      </c>
      <c r="BL17">
        <v>9526827</v>
      </c>
      <c r="BM17">
        <v>9531440</v>
      </c>
      <c r="BN17">
        <v>9536056</v>
      </c>
      <c r="BO17">
        <v>9540674</v>
      </c>
      <c r="BP17">
        <v>9545294</v>
      </c>
      <c r="BQ17">
        <v>4.8425153243147889E-4</v>
      </c>
      <c r="BR17" s="6">
        <f t="shared" si="3"/>
        <v>9464000</v>
      </c>
      <c r="BT17" s="4">
        <f t="shared" si="4"/>
        <v>-2.9808149571675102E-3</v>
      </c>
      <c r="BU17" s="4">
        <f t="shared" si="2"/>
        <v>-2.2829102301838988E-3</v>
      </c>
      <c r="BV17" s="4">
        <f t="shared" si="2"/>
        <v>-1.6835076527443871E-3</v>
      </c>
      <c r="BW17" s="4">
        <f t="shared" si="2"/>
        <v>-1.0799009600387377E-3</v>
      </c>
      <c r="BX17" s="4">
        <f t="shared" si="2"/>
        <v>-1.8445566602287577E-4</v>
      </c>
      <c r="BY17" s="4">
        <f t="shared" si="2"/>
        <v>1.0539643632161422E-3</v>
      </c>
      <c r="BZ17" s="4">
        <f t="shared" si="2"/>
        <v>1.4130787020025792E-3</v>
      </c>
      <c r="CA17" s="4">
        <f t="shared" si="2"/>
        <v>1.4813870065470969E-3</v>
      </c>
      <c r="CB17" s="4">
        <f t="shared" si="2"/>
        <v>1.1534126046288673E-3</v>
      </c>
      <c r="CC17" s="4">
        <f t="shared" si="2"/>
        <v>4.8424816303072049E-4</v>
      </c>
      <c r="CD17" s="4">
        <f t="shared" si="2"/>
        <v>4.8424999357266074E-4</v>
      </c>
      <c r="CE17" s="4">
        <f t="shared" si="2"/>
        <v>4.842517207075403E-4</v>
      </c>
      <c r="CF17" s="4">
        <f t="shared" si="2"/>
        <v>4.8425334458390701E-4</v>
      </c>
      <c r="CH17">
        <v>202900</v>
      </c>
    </row>
    <row r="18" spans="1:86" x14ac:dyDescent="0.25">
      <c r="A18" s="2">
        <v>16</v>
      </c>
      <c r="B18" s="3" t="s">
        <v>31</v>
      </c>
      <c r="C18" t="s">
        <v>31</v>
      </c>
      <c r="D18" t="s">
        <v>23</v>
      </c>
      <c r="E18">
        <v>1</v>
      </c>
      <c r="F18">
        <v>9153489</v>
      </c>
      <c r="G18">
        <v>9183948</v>
      </c>
      <c r="H18">
        <v>9220578</v>
      </c>
      <c r="I18">
        <v>9289770</v>
      </c>
      <c r="J18">
        <v>9378113</v>
      </c>
      <c r="K18">
        <v>9463667</v>
      </c>
      <c r="L18">
        <v>9527807</v>
      </c>
      <c r="M18">
        <v>9580991</v>
      </c>
      <c r="N18">
        <v>9618756</v>
      </c>
      <c r="O18">
        <v>9646032</v>
      </c>
      <c r="P18">
        <v>9655549</v>
      </c>
      <c r="Q18">
        <v>9673162</v>
      </c>
      <c r="R18">
        <v>9711115</v>
      </c>
      <c r="S18">
        <v>9741720</v>
      </c>
      <c r="T18">
        <v>9772419</v>
      </c>
      <c r="U18">
        <v>9800700</v>
      </c>
      <c r="V18">
        <v>9818227</v>
      </c>
      <c r="W18">
        <v>9830358</v>
      </c>
      <c r="X18">
        <v>9839534</v>
      </c>
      <c r="Y18">
        <v>9848382</v>
      </c>
      <c r="Z18">
        <v>9859242</v>
      </c>
      <c r="AA18">
        <v>9858982</v>
      </c>
      <c r="AB18">
        <v>9856303</v>
      </c>
      <c r="AC18">
        <v>9855520</v>
      </c>
      <c r="AD18">
        <v>9855372</v>
      </c>
      <c r="AE18">
        <v>9858308</v>
      </c>
      <c r="AF18">
        <v>9861823</v>
      </c>
      <c r="AG18">
        <v>9870234</v>
      </c>
      <c r="AH18">
        <v>9901664</v>
      </c>
      <c r="AI18">
        <v>9937697</v>
      </c>
      <c r="AJ18">
        <v>9967379</v>
      </c>
      <c r="AK18">
        <v>10004486</v>
      </c>
      <c r="AL18">
        <v>10045158</v>
      </c>
      <c r="AM18">
        <v>10084475</v>
      </c>
      <c r="AN18">
        <v>10115603</v>
      </c>
      <c r="AO18">
        <v>10136811</v>
      </c>
      <c r="AP18">
        <v>10156637</v>
      </c>
      <c r="AQ18">
        <v>10181245</v>
      </c>
      <c r="AR18">
        <v>10203008</v>
      </c>
      <c r="AS18">
        <v>10226419</v>
      </c>
      <c r="AT18">
        <v>10251250</v>
      </c>
      <c r="AU18">
        <v>10286570</v>
      </c>
      <c r="AV18">
        <v>10332785</v>
      </c>
      <c r="AW18">
        <v>10376133</v>
      </c>
      <c r="AX18">
        <v>10421137</v>
      </c>
      <c r="AY18">
        <v>10478617</v>
      </c>
      <c r="AZ18">
        <v>10547958</v>
      </c>
      <c r="BA18">
        <v>10625700</v>
      </c>
      <c r="BB18">
        <v>10709973</v>
      </c>
      <c r="BC18">
        <v>10796493</v>
      </c>
      <c r="BD18">
        <v>10895586</v>
      </c>
      <c r="BE18">
        <v>11047744</v>
      </c>
      <c r="BF18">
        <v>11128246</v>
      </c>
      <c r="BG18">
        <v>11182817</v>
      </c>
      <c r="BH18">
        <v>11231213</v>
      </c>
      <c r="BI18">
        <v>11285721</v>
      </c>
      <c r="BJ18">
        <v>11365409</v>
      </c>
      <c r="BK18">
        <v>11445659</v>
      </c>
      <c r="BL18">
        <v>11526476</v>
      </c>
      <c r="BM18">
        <v>11607864</v>
      </c>
      <c r="BN18">
        <v>11689826</v>
      </c>
      <c r="BO18">
        <v>11772367</v>
      </c>
      <c r="BP18">
        <v>11855491</v>
      </c>
      <c r="BQ18">
        <v>7.0609206249976353E-3</v>
      </c>
      <c r="BR18" s="6">
        <f t="shared" si="3"/>
        <v>11128246</v>
      </c>
      <c r="BT18" s="4">
        <f t="shared" si="4"/>
        <v>8.1393121537194357E-3</v>
      </c>
      <c r="BU18" s="4">
        <f t="shared" si="2"/>
        <v>9.7852276074716915E-3</v>
      </c>
      <c r="BV18" s="4">
        <f t="shared" si="2"/>
        <v>9.6238132384309782E-3</v>
      </c>
      <c r="BW18" s="4">
        <f t="shared" si="2"/>
        <v>8.8280001217122539E-3</v>
      </c>
      <c r="BX18" s="4">
        <f t="shared" si="2"/>
        <v>7.6135931418879199E-3</v>
      </c>
      <c r="BY18" s="4">
        <f t="shared" si="2"/>
        <v>5.3422326371956874E-3</v>
      </c>
      <c r="BZ18" s="4">
        <f t="shared" si="2"/>
        <v>5.2858921828431438E-3</v>
      </c>
      <c r="CA18" s="4">
        <f t="shared" si="2"/>
        <v>5.8249312408180653E-3</v>
      </c>
      <c r="CB18" s="4">
        <f t="shared" si="2"/>
        <v>6.5085574355627784E-3</v>
      </c>
      <c r="CC18" s="4">
        <f t="shared" si="2"/>
        <v>7.0609369648140241E-3</v>
      </c>
      <c r="CD18" s="4">
        <f t="shared" si="2"/>
        <v>7.0609232211902295E-3</v>
      </c>
      <c r="CE18" s="4">
        <f t="shared" si="2"/>
        <v>7.0609301604096508E-3</v>
      </c>
      <c r="CF18" s="4">
        <f t="shared" si="2"/>
        <v>7.0609330824218386E-3</v>
      </c>
      <c r="CH18">
        <v>30278</v>
      </c>
    </row>
    <row r="19" spans="1:86" x14ac:dyDescent="0.25">
      <c r="A19" s="2">
        <v>17</v>
      </c>
      <c r="B19" s="3" t="s">
        <v>32</v>
      </c>
      <c r="C19" t="s">
        <v>32</v>
      </c>
      <c r="D19" t="s">
        <v>33</v>
      </c>
      <c r="E19">
        <v>1</v>
      </c>
      <c r="F19">
        <v>92068</v>
      </c>
      <c r="G19">
        <v>94701</v>
      </c>
      <c r="H19">
        <v>97389</v>
      </c>
      <c r="I19">
        <v>100166</v>
      </c>
      <c r="J19">
        <v>103070</v>
      </c>
      <c r="K19">
        <v>106121</v>
      </c>
      <c r="L19">
        <v>109344</v>
      </c>
      <c r="M19">
        <v>112699</v>
      </c>
      <c r="N19">
        <v>116061</v>
      </c>
      <c r="O19">
        <v>119260</v>
      </c>
      <c r="P19">
        <v>122179</v>
      </c>
      <c r="Q19">
        <v>124792</v>
      </c>
      <c r="R19">
        <v>127148</v>
      </c>
      <c r="S19">
        <v>129294</v>
      </c>
      <c r="T19">
        <v>131306</v>
      </c>
      <c r="U19">
        <v>133261</v>
      </c>
      <c r="V19">
        <v>135145</v>
      </c>
      <c r="W19">
        <v>136991</v>
      </c>
      <c r="X19">
        <v>138972</v>
      </c>
      <c r="Y19">
        <v>141308</v>
      </c>
      <c r="Z19">
        <v>144151</v>
      </c>
      <c r="AA19">
        <v>147566</v>
      </c>
      <c r="AB19">
        <v>151498</v>
      </c>
      <c r="AC19">
        <v>155820</v>
      </c>
      <c r="AD19">
        <v>160342</v>
      </c>
      <c r="AE19">
        <v>164916</v>
      </c>
      <c r="AF19">
        <v>169570</v>
      </c>
      <c r="AG19">
        <v>174326</v>
      </c>
      <c r="AH19">
        <v>179025</v>
      </c>
      <c r="AI19">
        <v>183470</v>
      </c>
      <c r="AJ19">
        <v>187552</v>
      </c>
      <c r="AK19">
        <v>191127</v>
      </c>
      <c r="AL19">
        <v>194321</v>
      </c>
      <c r="AM19">
        <v>197615</v>
      </c>
      <c r="AN19">
        <v>201678</v>
      </c>
      <c r="AO19">
        <v>206962</v>
      </c>
      <c r="AP19">
        <v>213674</v>
      </c>
      <c r="AQ19">
        <v>221608</v>
      </c>
      <c r="AR19">
        <v>230289</v>
      </c>
      <c r="AS19">
        <v>239024</v>
      </c>
      <c r="AT19">
        <v>247312</v>
      </c>
      <c r="AU19">
        <v>254989</v>
      </c>
      <c r="AV19">
        <v>262202</v>
      </c>
      <c r="AW19">
        <v>269132</v>
      </c>
      <c r="AX19">
        <v>276085</v>
      </c>
      <c r="AY19">
        <v>283279</v>
      </c>
      <c r="AZ19">
        <v>290751</v>
      </c>
      <c r="BA19">
        <v>298403</v>
      </c>
      <c r="BB19">
        <v>306165</v>
      </c>
      <c r="BC19">
        <v>313925</v>
      </c>
      <c r="BD19">
        <v>321609</v>
      </c>
      <c r="BE19">
        <v>329193</v>
      </c>
      <c r="BF19">
        <v>336707</v>
      </c>
      <c r="BG19">
        <v>344193</v>
      </c>
      <c r="BH19">
        <v>351706</v>
      </c>
      <c r="BI19">
        <v>359287</v>
      </c>
      <c r="BJ19">
        <v>367337</v>
      </c>
      <c r="BK19">
        <v>375567</v>
      </c>
      <c r="BL19">
        <v>383981</v>
      </c>
      <c r="BM19">
        <v>392584</v>
      </c>
      <c r="BN19">
        <v>401380</v>
      </c>
      <c r="BO19">
        <v>410373</v>
      </c>
      <c r="BP19">
        <v>419567</v>
      </c>
      <c r="BQ19">
        <v>2.2404287301770465E-2</v>
      </c>
      <c r="BR19" s="6">
        <f t="shared" si="3"/>
        <v>336707</v>
      </c>
      <c r="BT19" s="4">
        <f t="shared" si="4"/>
        <v>2.5537969095076996E-2</v>
      </c>
      <c r="BU19" s="4">
        <f t="shared" si="2"/>
        <v>2.4853648815042817E-2</v>
      </c>
      <c r="BV19" s="4">
        <f t="shared" si="2"/>
        <v>2.4057047909247009E-2</v>
      </c>
      <c r="BW19" s="4">
        <f t="shared" si="2"/>
        <v>2.3278932066215452E-2</v>
      </c>
      <c r="BX19" s="4">
        <f t="shared" si="2"/>
        <v>2.2616735672574606E-2</v>
      </c>
      <c r="BY19" s="4">
        <f t="shared" si="2"/>
        <v>2.2110213304030513E-2</v>
      </c>
      <c r="BZ19" s="4">
        <f t="shared" si="2"/>
        <v>2.2005263249256446E-2</v>
      </c>
      <c r="CA19" s="4">
        <f t="shared" si="2"/>
        <v>2.2048129761780944E-2</v>
      </c>
      <c r="CB19" s="4">
        <f t="shared" si="2"/>
        <v>2.2192027755298271E-2</v>
      </c>
      <c r="CC19" s="4">
        <f t="shared" si="2"/>
        <v>2.2404548795103452E-2</v>
      </c>
      <c r="CD19" s="4">
        <f t="shared" si="2"/>
        <v>2.2404526200351382E-2</v>
      </c>
      <c r="CE19" s="4">
        <f t="shared" si="2"/>
        <v>2.2404702949802902E-2</v>
      </c>
      <c r="CF19" s="4">
        <f t="shared" si="2"/>
        <v>2.2404840139464977E-2</v>
      </c>
      <c r="CH19">
        <v>22806</v>
      </c>
    </row>
    <row r="20" spans="1:86" x14ac:dyDescent="0.25">
      <c r="A20" s="2">
        <v>18</v>
      </c>
      <c r="B20" s="3" t="s">
        <v>34</v>
      </c>
      <c r="C20" t="s">
        <v>34</v>
      </c>
      <c r="D20" t="s">
        <v>14</v>
      </c>
      <c r="E20">
        <v>1</v>
      </c>
      <c r="F20">
        <v>2431620</v>
      </c>
      <c r="G20">
        <v>2466002</v>
      </c>
      <c r="H20">
        <v>2503232</v>
      </c>
      <c r="I20">
        <v>2543335</v>
      </c>
      <c r="J20">
        <v>2586362</v>
      </c>
      <c r="K20">
        <v>2632360</v>
      </c>
      <c r="L20">
        <v>2681382</v>
      </c>
      <c r="M20">
        <v>2733450</v>
      </c>
      <c r="N20">
        <v>2788551</v>
      </c>
      <c r="O20">
        <v>2846652</v>
      </c>
      <c r="P20">
        <v>2907769</v>
      </c>
      <c r="Q20">
        <v>2971941</v>
      </c>
      <c r="R20">
        <v>3039300</v>
      </c>
      <c r="S20">
        <v>3110074</v>
      </c>
      <c r="T20">
        <v>3184547</v>
      </c>
      <c r="U20">
        <v>3262959</v>
      </c>
      <c r="V20">
        <v>3345501</v>
      </c>
      <c r="W20">
        <v>3432262</v>
      </c>
      <c r="X20">
        <v>3523270</v>
      </c>
      <c r="Y20">
        <v>3618509</v>
      </c>
      <c r="Z20">
        <v>3718024</v>
      </c>
      <c r="AA20">
        <v>3822206</v>
      </c>
      <c r="AB20">
        <v>3931355</v>
      </c>
      <c r="AC20">
        <v>4045352</v>
      </c>
      <c r="AD20">
        <v>4163968</v>
      </c>
      <c r="AE20">
        <v>4287263</v>
      </c>
      <c r="AF20">
        <v>4414450</v>
      </c>
      <c r="AG20">
        <v>4546136</v>
      </c>
      <c r="AH20">
        <v>4685375</v>
      </c>
      <c r="AI20">
        <v>4836240</v>
      </c>
      <c r="AJ20">
        <v>5001271</v>
      </c>
      <c r="AK20">
        <v>5182525</v>
      </c>
      <c r="AL20">
        <v>5378226</v>
      </c>
      <c r="AM20">
        <v>5582420</v>
      </c>
      <c r="AN20">
        <v>5786794</v>
      </c>
      <c r="AO20">
        <v>5985658</v>
      </c>
      <c r="AP20">
        <v>6176318</v>
      </c>
      <c r="AQ20">
        <v>6361301</v>
      </c>
      <c r="AR20">
        <v>6546493</v>
      </c>
      <c r="AS20">
        <v>6740491</v>
      </c>
      <c r="AT20">
        <v>6949366</v>
      </c>
      <c r="AU20">
        <v>7174911</v>
      </c>
      <c r="AV20">
        <v>7414744</v>
      </c>
      <c r="AW20">
        <v>7665681</v>
      </c>
      <c r="AX20">
        <v>7922796</v>
      </c>
      <c r="AY20">
        <v>8182362</v>
      </c>
      <c r="AZ20">
        <v>8443717</v>
      </c>
      <c r="BA20">
        <v>8707637</v>
      </c>
      <c r="BB20">
        <v>8973525</v>
      </c>
      <c r="BC20">
        <v>9240982</v>
      </c>
      <c r="BD20">
        <v>9509798</v>
      </c>
      <c r="BE20">
        <v>9779391</v>
      </c>
      <c r="BF20">
        <v>10049792</v>
      </c>
      <c r="BG20">
        <v>10322232</v>
      </c>
      <c r="BH20">
        <v>10598482</v>
      </c>
      <c r="BI20">
        <v>10879829</v>
      </c>
      <c r="BJ20">
        <v>11176665</v>
      </c>
      <c r="BK20">
        <v>11481599</v>
      </c>
      <c r="BL20">
        <v>11794853</v>
      </c>
      <c r="BM20">
        <v>12116653</v>
      </c>
      <c r="BN20">
        <v>12447233</v>
      </c>
      <c r="BO20">
        <v>12786832</v>
      </c>
      <c r="BP20">
        <v>13135697</v>
      </c>
      <c r="BQ20">
        <v>2.7283128309780302E-2</v>
      </c>
      <c r="BR20" s="6">
        <f t="shared" si="3"/>
        <v>10049792</v>
      </c>
      <c r="BT20" s="4">
        <f t="shared" si="4"/>
        <v>3.0171203333283048E-2</v>
      </c>
      <c r="BU20" s="4">
        <f t="shared" si="2"/>
        <v>2.9444348157303235E-2</v>
      </c>
      <c r="BV20" s="4">
        <f t="shared" si="2"/>
        <v>2.8723116612017652E-2</v>
      </c>
      <c r="BW20" s="4">
        <f t="shared" si="2"/>
        <v>2.8049137143984826E-2</v>
      </c>
      <c r="BX20" s="4">
        <f t="shared" si="2"/>
        <v>2.7467500234353182E-2</v>
      </c>
      <c r="BY20" s="4">
        <f t="shared" si="2"/>
        <v>2.701683996942017E-2</v>
      </c>
      <c r="BZ20" s="4">
        <f t="shared" si="2"/>
        <v>2.6925150123032315E-2</v>
      </c>
      <c r="CA20" s="4">
        <f t="shared" si="2"/>
        <v>2.6968658333686113E-2</v>
      </c>
      <c r="CB20" s="4">
        <f t="shared" si="2"/>
        <v>2.7098787457760842E-2</v>
      </c>
      <c r="CC20" s="4">
        <f t="shared" si="2"/>
        <v>2.7283115958579796E-2</v>
      </c>
      <c r="CD20" s="4">
        <f t="shared" si="2"/>
        <v>2.7283106591978523E-2</v>
      </c>
      <c r="CE20" s="4">
        <f t="shared" si="2"/>
        <v>2.7283106070324692E-2</v>
      </c>
      <c r="CF20" s="4">
        <f t="shared" si="2"/>
        <v>2.7283109073811485E-2</v>
      </c>
      <c r="CH20">
        <v>110622</v>
      </c>
    </row>
    <row r="21" spans="1:86" x14ac:dyDescent="0.25">
      <c r="A21" s="2">
        <v>19</v>
      </c>
      <c r="B21" s="3" t="s">
        <v>35</v>
      </c>
      <c r="C21" t="s">
        <v>11</v>
      </c>
      <c r="D21" t="s">
        <v>36</v>
      </c>
      <c r="E21">
        <v>1</v>
      </c>
      <c r="F21">
        <v>44400</v>
      </c>
      <c r="G21">
        <v>45500</v>
      </c>
      <c r="H21">
        <v>46600</v>
      </c>
      <c r="I21">
        <v>47700</v>
      </c>
      <c r="J21">
        <v>48900</v>
      </c>
      <c r="K21">
        <v>50100</v>
      </c>
      <c r="L21">
        <v>51000</v>
      </c>
      <c r="M21">
        <v>52000</v>
      </c>
      <c r="N21">
        <v>53000</v>
      </c>
      <c r="O21">
        <v>54000</v>
      </c>
      <c r="P21">
        <v>55000</v>
      </c>
      <c r="Q21">
        <v>54600</v>
      </c>
      <c r="R21">
        <v>54200</v>
      </c>
      <c r="S21">
        <v>53800</v>
      </c>
      <c r="T21">
        <v>53400</v>
      </c>
      <c r="U21">
        <v>53000</v>
      </c>
      <c r="V21">
        <v>53200</v>
      </c>
      <c r="W21">
        <v>53400</v>
      </c>
      <c r="X21">
        <v>53600</v>
      </c>
      <c r="Y21">
        <v>53800</v>
      </c>
      <c r="Z21">
        <v>54670</v>
      </c>
      <c r="AA21">
        <v>55050</v>
      </c>
      <c r="AB21">
        <v>55449</v>
      </c>
      <c r="AC21">
        <v>55930</v>
      </c>
      <c r="AD21">
        <v>56423</v>
      </c>
      <c r="AE21">
        <v>56898</v>
      </c>
      <c r="AF21">
        <v>57382</v>
      </c>
      <c r="AG21">
        <v>57849</v>
      </c>
      <c r="AH21">
        <v>58347</v>
      </c>
      <c r="AI21">
        <v>58841</v>
      </c>
      <c r="AJ21">
        <v>59326</v>
      </c>
      <c r="AK21">
        <v>59021</v>
      </c>
      <c r="AL21">
        <v>58595</v>
      </c>
      <c r="AM21">
        <v>58910</v>
      </c>
      <c r="AN21">
        <v>59320</v>
      </c>
      <c r="AO21">
        <v>59746</v>
      </c>
      <c r="AP21">
        <v>60129</v>
      </c>
      <c r="AQ21">
        <v>60497</v>
      </c>
      <c r="AR21">
        <v>60943</v>
      </c>
      <c r="AS21">
        <v>61285</v>
      </c>
      <c r="AT21">
        <v>61833</v>
      </c>
      <c r="AU21">
        <v>62504</v>
      </c>
      <c r="AV21">
        <v>62912</v>
      </c>
      <c r="AW21">
        <v>63325</v>
      </c>
      <c r="AX21">
        <v>63740</v>
      </c>
      <c r="AY21">
        <v>64154</v>
      </c>
      <c r="AZ21">
        <v>64523</v>
      </c>
      <c r="BA21">
        <v>64888</v>
      </c>
      <c r="BB21">
        <v>65273</v>
      </c>
      <c r="BC21">
        <v>65636</v>
      </c>
      <c r="BD21">
        <v>65124</v>
      </c>
      <c r="BE21">
        <v>64564</v>
      </c>
      <c r="BF21">
        <v>64798</v>
      </c>
      <c r="BG21">
        <v>65001</v>
      </c>
      <c r="BH21">
        <v>65139</v>
      </c>
      <c r="BI21">
        <v>65235</v>
      </c>
      <c r="BJ21">
        <v>65257</v>
      </c>
      <c r="BK21">
        <v>65279</v>
      </c>
      <c r="BL21">
        <v>65301</v>
      </c>
      <c r="BM21">
        <v>65323</v>
      </c>
      <c r="BN21">
        <v>65345</v>
      </c>
      <c r="BO21">
        <v>65367</v>
      </c>
      <c r="BP21">
        <v>65389</v>
      </c>
      <c r="BQ21">
        <v>3.4065597976296047E-4</v>
      </c>
      <c r="BR21" s="6">
        <f t="shared" si="3"/>
        <v>64798</v>
      </c>
      <c r="BT21" s="4">
        <f t="shared" si="4"/>
        <v>2.3205371590715451E-3</v>
      </c>
      <c r="BU21" s="4">
        <f t="shared" si="2"/>
        <v>-1.2506490001233939E-3</v>
      </c>
      <c r="BV21" s="4">
        <f t="shared" si="2"/>
        <v>-1.8242679541788931E-3</v>
      </c>
      <c r="BW21" s="4">
        <f t="shared" si="2"/>
        <v>-2.4274668057855386E-3</v>
      </c>
      <c r="BX21" s="4">
        <f t="shared" si="2"/>
        <v>5.757748513879335E-5</v>
      </c>
      <c r="BY21" s="4">
        <f t="shared" si="2"/>
        <v>2.5881321480658581E-3</v>
      </c>
      <c r="BZ21" s="4">
        <f t="shared" si="2"/>
        <v>1.7662032673397832E-3</v>
      </c>
      <c r="CA21" s="4">
        <f t="shared" si="2"/>
        <v>1.0675037565603951E-3</v>
      </c>
      <c r="CB21" s="4">
        <f t="shared" si="2"/>
        <v>6.2116832545511258E-4</v>
      </c>
      <c r="CC21" s="4">
        <f t="shared" si="2"/>
        <v>3.3707181350672855E-4</v>
      </c>
      <c r="CD21" s="4">
        <f t="shared" si="2"/>
        <v>3.3695823436730166E-4</v>
      </c>
      <c r="CE21" s="4">
        <f t="shared" si="2"/>
        <v>3.3684473174511176E-4</v>
      </c>
      <c r="CF21" s="4">
        <f t="shared" si="2"/>
        <v>3.3673130556288733E-4</v>
      </c>
      <c r="CH21">
        <v>53.1</v>
      </c>
    </row>
    <row r="22" spans="1:86" x14ac:dyDescent="0.25">
      <c r="A22" s="2">
        <v>20</v>
      </c>
      <c r="B22" s="3" t="s">
        <v>37</v>
      </c>
      <c r="C22" t="s">
        <v>37</v>
      </c>
      <c r="D22" t="s">
        <v>25</v>
      </c>
      <c r="E22">
        <v>1</v>
      </c>
      <c r="F22">
        <v>224108</v>
      </c>
      <c r="G22">
        <v>229297</v>
      </c>
      <c r="H22">
        <v>234703</v>
      </c>
      <c r="I22">
        <v>240364</v>
      </c>
      <c r="J22">
        <v>246324</v>
      </c>
      <c r="K22">
        <v>252629</v>
      </c>
      <c r="L22">
        <v>259270</v>
      </c>
      <c r="M22">
        <v>266293</v>
      </c>
      <c r="N22">
        <v>273868</v>
      </c>
      <c r="O22">
        <v>282210</v>
      </c>
      <c r="P22">
        <v>291457</v>
      </c>
      <c r="Q22">
        <v>301653</v>
      </c>
      <c r="R22">
        <v>312712</v>
      </c>
      <c r="S22">
        <v>324465</v>
      </c>
      <c r="T22">
        <v>336677</v>
      </c>
      <c r="U22">
        <v>349146</v>
      </c>
      <c r="V22">
        <v>361862</v>
      </c>
      <c r="W22">
        <v>374801</v>
      </c>
      <c r="X22">
        <v>387731</v>
      </c>
      <c r="Y22">
        <v>400378</v>
      </c>
      <c r="Z22">
        <v>412561</v>
      </c>
      <c r="AA22">
        <v>423887</v>
      </c>
      <c r="AB22">
        <v>434385</v>
      </c>
      <c r="AC22">
        <v>444789</v>
      </c>
      <c r="AD22">
        <v>456135</v>
      </c>
      <c r="AE22">
        <v>469010</v>
      </c>
      <c r="AF22">
        <v>484151</v>
      </c>
      <c r="AG22">
        <v>500952</v>
      </c>
      <c r="AH22">
        <v>517068</v>
      </c>
      <c r="AI22">
        <v>529284</v>
      </c>
      <c r="AJ22">
        <v>535505</v>
      </c>
      <c r="AK22">
        <v>534678</v>
      </c>
      <c r="AL22">
        <v>528085</v>
      </c>
      <c r="AM22">
        <v>518847</v>
      </c>
      <c r="AN22">
        <v>511382</v>
      </c>
      <c r="AO22">
        <v>508897</v>
      </c>
      <c r="AP22">
        <v>512377</v>
      </c>
      <c r="AQ22">
        <v>520917</v>
      </c>
      <c r="AR22">
        <v>533506</v>
      </c>
      <c r="AS22">
        <v>548387</v>
      </c>
      <c r="AT22">
        <v>564187</v>
      </c>
      <c r="AU22">
        <v>580784</v>
      </c>
      <c r="AV22">
        <v>598421</v>
      </c>
      <c r="AW22">
        <v>616474</v>
      </c>
      <c r="AX22">
        <v>634235</v>
      </c>
      <c r="AY22">
        <v>651163</v>
      </c>
      <c r="AZ22">
        <v>666920</v>
      </c>
      <c r="BA22">
        <v>681471</v>
      </c>
      <c r="BB22">
        <v>694990</v>
      </c>
      <c r="BC22">
        <v>707830</v>
      </c>
      <c r="BD22">
        <v>720246</v>
      </c>
      <c r="BE22">
        <v>732246</v>
      </c>
      <c r="BF22">
        <v>743711</v>
      </c>
      <c r="BG22">
        <v>754637</v>
      </c>
      <c r="BH22">
        <v>765008</v>
      </c>
      <c r="BI22">
        <v>774830</v>
      </c>
      <c r="BJ22">
        <v>786233</v>
      </c>
      <c r="BK22">
        <v>797804</v>
      </c>
      <c r="BL22">
        <v>809546</v>
      </c>
      <c r="BM22">
        <v>821460</v>
      </c>
      <c r="BN22">
        <v>833550</v>
      </c>
      <c r="BO22">
        <v>845818</v>
      </c>
      <c r="BP22">
        <v>858266</v>
      </c>
      <c r="BQ22">
        <v>1.4717416179463205E-2</v>
      </c>
      <c r="BR22" s="6">
        <f t="shared" si="3"/>
        <v>743711</v>
      </c>
      <c r="BT22" s="4">
        <f t="shared" si="4"/>
        <v>1.9416780974534031E-2</v>
      </c>
      <c r="BU22" s="4">
        <f t="shared" si="2"/>
        <v>1.8128060626133369E-2</v>
      </c>
      <c r="BV22" s="4">
        <f t="shared" si="2"/>
        <v>1.7083039729494764E-2</v>
      </c>
      <c r="BW22" s="4">
        <f t="shared" si="2"/>
        <v>1.613703981184611E-2</v>
      </c>
      <c r="BX22" s="4">
        <f t="shared" si="2"/>
        <v>1.5187543900840872E-2</v>
      </c>
      <c r="BY22" s="4">
        <f t="shared" si="2"/>
        <v>1.4232107509227543E-2</v>
      </c>
      <c r="BZ22" s="4">
        <f t="shared" si="2"/>
        <v>1.399722341148979E-2</v>
      </c>
      <c r="CA22" s="4">
        <f t="shared" si="2"/>
        <v>1.4003674145026235E-2</v>
      </c>
      <c r="CB22" s="4">
        <f t="shared" si="2"/>
        <v>1.4247366249241722E-2</v>
      </c>
      <c r="CC22" s="4">
        <f t="shared" si="2"/>
        <v>1.4717144822804062E-2</v>
      </c>
      <c r="CD22" s="4">
        <f t="shared" si="2"/>
        <v>1.4717375116409359E-2</v>
      </c>
      <c r="CE22" s="4">
        <f t="shared" si="2"/>
        <v>1.4717565618803441E-2</v>
      </c>
      <c r="CF22" s="4">
        <f t="shared" si="2"/>
        <v>1.4717368980410095E-2</v>
      </c>
      <c r="CH22">
        <v>38394</v>
      </c>
    </row>
    <row r="23" spans="1:86" x14ac:dyDescent="0.25">
      <c r="A23" s="2">
        <v>21</v>
      </c>
      <c r="B23" s="3" t="s">
        <v>38</v>
      </c>
      <c r="C23" t="s">
        <v>38</v>
      </c>
      <c r="D23" t="s">
        <v>18</v>
      </c>
      <c r="E23">
        <v>1</v>
      </c>
      <c r="F23">
        <v>3693451</v>
      </c>
      <c r="G23">
        <v>3764815</v>
      </c>
      <c r="H23">
        <v>3838096</v>
      </c>
      <c r="I23">
        <v>3913397</v>
      </c>
      <c r="J23">
        <v>3990855</v>
      </c>
      <c r="K23">
        <v>4070590</v>
      </c>
      <c r="L23">
        <v>4152665</v>
      </c>
      <c r="M23">
        <v>4237126</v>
      </c>
      <c r="N23">
        <v>4324066</v>
      </c>
      <c r="O23">
        <v>4413584</v>
      </c>
      <c r="P23">
        <v>4505774</v>
      </c>
      <c r="Q23">
        <v>4600596</v>
      </c>
      <c r="R23">
        <v>4698090</v>
      </c>
      <c r="S23">
        <v>4798510</v>
      </c>
      <c r="T23">
        <v>4902173</v>
      </c>
      <c r="U23">
        <v>5009259</v>
      </c>
      <c r="V23">
        <v>5119833</v>
      </c>
      <c r="W23">
        <v>5233677</v>
      </c>
      <c r="X23">
        <v>5350320</v>
      </c>
      <c r="Y23">
        <v>5469123</v>
      </c>
      <c r="Z23">
        <v>5589572</v>
      </c>
      <c r="AA23">
        <v>5711598</v>
      </c>
      <c r="AB23">
        <v>5835186</v>
      </c>
      <c r="AC23">
        <v>5959962</v>
      </c>
      <c r="AD23">
        <v>6085499</v>
      </c>
      <c r="AE23">
        <v>6211549</v>
      </c>
      <c r="AF23">
        <v>6337893</v>
      </c>
      <c r="AG23">
        <v>6464736</v>
      </c>
      <c r="AH23">
        <v>6592787</v>
      </c>
      <c r="AI23">
        <v>6723046</v>
      </c>
      <c r="AJ23">
        <v>6856246</v>
      </c>
      <c r="AK23">
        <v>6992521</v>
      </c>
      <c r="AL23">
        <v>7131699</v>
      </c>
      <c r="AM23">
        <v>7273824</v>
      </c>
      <c r="AN23">
        <v>7418864</v>
      </c>
      <c r="AO23">
        <v>7566716</v>
      </c>
      <c r="AP23">
        <v>7717445</v>
      </c>
      <c r="AQ23">
        <v>7870860</v>
      </c>
      <c r="AR23">
        <v>8026257</v>
      </c>
      <c r="AS23">
        <v>8182710</v>
      </c>
      <c r="AT23">
        <v>8339512</v>
      </c>
      <c r="AU23">
        <v>8496378</v>
      </c>
      <c r="AV23">
        <v>8653343</v>
      </c>
      <c r="AW23">
        <v>8810420</v>
      </c>
      <c r="AX23">
        <v>8967740</v>
      </c>
      <c r="AY23">
        <v>9125405</v>
      </c>
      <c r="AZ23">
        <v>9283345</v>
      </c>
      <c r="BA23">
        <v>9441482</v>
      </c>
      <c r="BB23">
        <v>9599916</v>
      </c>
      <c r="BC23">
        <v>9758799</v>
      </c>
      <c r="BD23">
        <v>9918245</v>
      </c>
      <c r="BE23">
        <v>10078238</v>
      </c>
      <c r="BF23">
        <v>10238762</v>
      </c>
      <c r="BG23">
        <v>10399931</v>
      </c>
      <c r="BH23">
        <v>10561887</v>
      </c>
      <c r="BI23">
        <v>10724705</v>
      </c>
      <c r="BJ23">
        <v>10893701</v>
      </c>
      <c r="BK23">
        <v>11065360</v>
      </c>
      <c r="BL23">
        <v>11239724</v>
      </c>
      <c r="BM23">
        <v>11416836</v>
      </c>
      <c r="BN23">
        <v>11596739</v>
      </c>
      <c r="BO23">
        <v>11779476</v>
      </c>
      <c r="BP23">
        <v>11965093</v>
      </c>
      <c r="BQ23">
        <v>1.5757656520145602E-2</v>
      </c>
      <c r="BR23" s="6">
        <f t="shared" si="3"/>
        <v>10238762</v>
      </c>
      <c r="BT23" s="4">
        <f t="shared" si="4"/>
        <v>1.6676032263752916E-2</v>
      </c>
      <c r="BU23" s="4">
        <f t="shared" si="2"/>
        <v>1.6450210526039344E-2</v>
      </c>
      <c r="BV23" s="4">
        <f t="shared" si="2"/>
        <v>1.6237001714640487E-2</v>
      </c>
      <c r="BW23" s="4">
        <f t="shared" si="2"/>
        <v>1.603465515979452E-2</v>
      </c>
      <c r="BX23" s="4">
        <f t="shared" si="2"/>
        <v>1.5843184514408026E-2</v>
      </c>
      <c r="BY23" s="4">
        <f t="shared" si="2"/>
        <v>1.5664296989623239E-2</v>
      </c>
      <c r="BZ23" s="4">
        <f t="shared" si="2"/>
        <v>1.5621768356264498E-2</v>
      </c>
      <c r="CA23" s="4">
        <f t="shared" si="2"/>
        <v>1.5625911610251064E-2</v>
      </c>
      <c r="CB23" s="4">
        <f t="shared" si="2"/>
        <v>1.5672122884770712E-2</v>
      </c>
      <c r="CC23" s="4">
        <f t="shared" si="2"/>
        <v>1.5757650123483069E-2</v>
      </c>
      <c r="CD23" s="4">
        <f t="shared" si="2"/>
        <v>1.5757664389314252E-2</v>
      </c>
      <c r="CE23" s="4">
        <f t="shared" si="2"/>
        <v>1.5757659678759417E-2</v>
      </c>
      <c r="CF23" s="4">
        <f t="shared" si="2"/>
        <v>1.5757664231814017E-2</v>
      </c>
      <c r="CH23">
        <v>1083301</v>
      </c>
    </row>
    <row r="24" spans="1:86" x14ac:dyDescent="0.25">
      <c r="A24" s="2">
        <v>22</v>
      </c>
      <c r="B24" s="3" t="s">
        <v>39</v>
      </c>
      <c r="C24" t="s">
        <v>39</v>
      </c>
      <c r="D24" t="s">
        <v>14</v>
      </c>
      <c r="E24">
        <v>1</v>
      </c>
      <c r="F24">
        <v>524029</v>
      </c>
      <c r="G24">
        <v>536576</v>
      </c>
      <c r="H24">
        <v>549990</v>
      </c>
      <c r="I24">
        <v>564316</v>
      </c>
      <c r="J24">
        <v>579560</v>
      </c>
      <c r="K24">
        <v>595741</v>
      </c>
      <c r="L24">
        <v>612950</v>
      </c>
      <c r="M24">
        <v>631276</v>
      </c>
      <c r="N24">
        <v>650730</v>
      </c>
      <c r="O24">
        <v>671305</v>
      </c>
      <c r="P24">
        <v>693021</v>
      </c>
      <c r="Q24">
        <v>715811</v>
      </c>
      <c r="R24">
        <v>739754</v>
      </c>
      <c r="S24">
        <v>765177</v>
      </c>
      <c r="T24">
        <v>792513</v>
      </c>
      <c r="U24">
        <v>822029</v>
      </c>
      <c r="V24">
        <v>853860</v>
      </c>
      <c r="W24">
        <v>887793</v>
      </c>
      <c r="X24">
        <v>923305</v>
      </c>
      <c r="Y24">
        <v>959666</v>
      </c>
      <c r="Z24">
        <v>996331</v>
      </c>
      <c r="AA24">
        <v>1033073</v>
      </c>
      <c r="AB24">
        <v>1069962</v>
      </c>
      <c r="AC24">
        <v>1107103</v>
      </c>
      <c r="AD24">
        <v>1144716</v>
      </c>
      <c r="AE24">
        <v>1182942</v>
      </c>
      <c r="AF24">
        <v>1221668</v>
      </c>
      <c r="AG24">
        <v>1260720</v>
      </c>
      <c r="AH24">
        <v>1300097</v>
      </c>
      <c r="AI24">
        <v>1339813</v>
      </c>
      <c r="AJ24">
        <v>1379814</v>
      </c>
      <c r="AK24">
        <v>1420098</v>
      </c>
      <c r="AL24">
        <v>1460453</v>
      </c>
      <c r="AM24">
        <v>1500356</v>
      </c>
      <c r="AN24">
        <v>1539135</v>
      </c>
      <c r="AO24">
        <v>1576291</v>
      </c>
      <c r="AP24">
        <v>1611827</v>
      </c>
      <c r="AQ24">
        <v>1645846</v>
      </c>
      <c r="AR24">
        <v>1678111</v>
      </c>
      <c r="AS24">
        <v>1708368</v>
      </c>
      <c r="AT24">
        <v>1736579</v>
      </c>
      <c r="AU24">
        <v>1762531</v>
      </c>
      <c r="AV24">
        <v>1786672</v>
      </c>
      <c r="AW24">
        <v>1810438</v>
      </c>
      <c r="AX24">
        <v>1835750</v>
      </c>
      <c r="AY24">
        <v>1864003</v>
      </c>
      <c r="AZ24">
        <v>1895671</v>
      </c>
      <c r="BA24">
        <v>1930431</v>
      </c>
      <c r="BB24">
        <v>1967866</v>
      </c>
      <c r="BC24">
        <v>2007212</v>
      </c>
      <c r="BD24">
        <v>2047831</v>
      </c>
      <c r="BE24">
        <v>2089706</v>
      </c>
      <c r="BF24">
        <v>2132822</v>
      </c>
      <c r="BG24">
        <v>2176510</v>
      </c>
      <c r="BH24">
        <v>2219937</v>
      </c>
      <c r="BI24">
        <v>2262485</v>
      </c>
      <c r="BJ24">
        <v>2308044</v>
      </c>
      <c r="BK24">
        <v>2354520</v>
      </c>
      <c r="BL24">
        <v>2401932</v>
      </c>
      <c r="BM24">
        <v>2450299</v>
      </c>
      <c r="BN24">
        <v>2499640</v>
      </c>
      <c r="BO24">
        <v>2549974</v>
      </c>
      <c r="BP24">
        <v>2601322</v>
      </c>
      <c r="BQ24">
        <v>2.0136576129630823E-2</v>
      </c>
      <c r="BR24" s="6">
        <f t="shared" si="3"/>
        <v>2132822</v>
      </c>
      <c r="BT24" s="4">
        <f t="shared" si="4"/>
        <v>1.9489569177357779E-2</v>
      </c>
      <c r="BU24" s="4">
        <f t="shared" si="2"/>
        <v>2.0017743817537514E-2</v>
      </c>
      <c r="BV24" s="4">
        <f t="shared" si="2"/>
        <v>2.0327923899047029E-2</v>
      </c>
      <c r="BW24" s="4">
        <f t="shared" si="2"/>
        <v>2.0450294934152735E-2</v>
      </c>
      <c r="BX24" s="4">
        <f t="shared" ref="BX24:CF52" si="5">IFERROR((BH24/BD24)^(1/(BH$2-BD$2))-1,".")</f>
        <v>2.037928703919234E-2</v>
      </c>
      <c r="BY24" s="4">
        <f t="shared" si="5"/>
        <v>2.0058618872378364E-2</v>
      </c>
      <c r="BZ24" s="4">
        <f t="shared" si="5"/>
        <v>1.9934701164017188E-2</v>
      </c>
      <c r="CA24" s="4">
        <f t="shared" si="5"/>
        <v>1.984795466022593E-2</v>
      </c>
      <c r="CB24" s="4">
        <f t="shared" si="5"/>
        <v>1.9893947756624231E-2</v>
      </c>
      <c r="CC24" s="4">
        <f t="shared" si="5"/>
        <v>2.0136633562090944E-2</v>
      </c>
      <c r="CD24" s="4">
        <f t="shared" si="5"/>
        <v>2.0136638082664859E-2</v>
      </c>
      <c r="CE24" s="4">
        <f t="shared" si="5"/>
        <v>2.0136630198489991E-2</v>
      </c>
      <c r="CF24" s="4">
        <f t="shared" si="5"/>
        <v>2.0136652087026308E-2</v>
      </c>
      <c r="CH24">
        <v>566730</v>
      </c>
    </row>
    <row r="25" spans="1:86" x14ac:dyDescent="0.25">
      <c r="A25" s="2">
        <v>23</v>
      </c>
      <c r="B25" s="3" t="s">
        <v>40</v>
      </c>
      <c r="C25" t="s">
        <v>40</v>
      </c>
      <c r="D25" t="s">
        <v>18</v>
      </c>
      <c r="E25">
        <v>1</v>
      </c>
      <c r="F25">
        <v>72493585</v>
      </c>
      <c r="G25">
        <v>74706888</v>
      </c>
      <c r="H25">
        <v>77007549</v>
      </c>
      <c r="I25">
        <v>79368453</v>
      </c>
      <c r="J25">
        <v>81751802</v>
      </c>
      <c r="K25">
        <v>84130061</v>
      </c>
      <c r="L25">
        <v>86494987</v>
      </c>
      <c r="M25">
        <v>88853679</v>
      </c>
      <c r="N25">
        <v>91213009</v>
      </c>
      <c r="O25">
        <v>93585746</v>
      </c>
      <c r="P25">
        <v>95982453</v>
      </c>
      <c r="Q25">
        <v>98402200</v>
      </c>
      <c r="R25">
        <v>100844391</v>
      </c>
      <c r="S25">
        <v>103320787</v>
      </c>
      <c r="T25">
        <v>105846274</v>
      </c>
      <c r="U25">
        <v>108431284</v>
      </c>
      <c r="V25">
        <v>111076063</v>
      </c>
      <c r="W25">
        <v>113776467</v>
      </c>
      <c r="X25">
        <v>116532153</v>
      </c>
      <c r="Y25">
        <v>119341444</v>
      </c>
      <c r="Z25">
        <v>122199721</v>
      </c>
      <c r="AA25">
        <v>125107382</v>
      </c>
      <c r="AB25">
        <v>128054757</v>
      </c>
      <c r="AC25">
        <v>131014337</v>
      </c>
      <c r="AD25">
        <v>133950551</v>
      </c>
      <c r="AE25">
        <v>136836428</v>
      </c>
      <c r="AF25">
        <v>139664639</v>
      </c>
      <c r="AG25">
        <v>142437479</v>
      </c>
      <c r="AH25">
        <v>145150468</v>
      </c>
      <c r="AI25">
        <v>147801816</v>
      </c>
      <c r="AJ25">
        <v>150393143</v>
      </c>
      <c r="AK25">
        <v>152916852</v>
      </c>
      <c r="AL25">
        <v>155379009</v>
      </c>
      <c r="AM25">
        <v>157812220</v>
      </c>
      <c r="AN25">
        <v>160260508</v>
      </c>
      <c r="AO25">
        <v>162755054</v>
      </c>
      <c r="AP25">
        <v>165303155</v>
      </c>
      <c r="AQ25">
        <v>167893835</v>
      </c>
      <c r="AR25">
        <v>170516482</v>
      </c>
      <c r="AS25">
        <v>173153066</v>
      </c>
      <c r="AT25">
        <v>175786441</v>
      </c>
      <c r="AU25">
        <v>178419396</v>
      </c>
      <c r="AV25">
        <v>181045592</v>
      </c>
      <c r="AW25">
        <v>183627339</v>
      </c>
      <c r="AX25">
        <v>186116363</v>
      </c>
      <c r="AY25">
        <v>188479240</v>
      </c>
      <c r="AZ25">
        <v>190698241</v>
      </c>
      <c r="BA25">
        <v>192784521</v>
      </c>
      <c r="BB25">
        <v>194769696</v>
      </c>
      <c r="BC25">
        <v>196701298</v>
      </c>
      <c r="BD25">
        <v>198614208</v>
      </c>
      <c r="BE25">
        <v>200517584</v>
      </c>
      <c r="BF25">
        <v>202401584</v>
      </c>
      <c r="BG25">
        <v>204259377</v>
      </c>
      <c r="BH25">
        <v>206077898</v>
      </c>
      <c r="BI25">
        <v>207847528</v>
      </c>
      <c r="BJ25">
        <v>209745076</v>
      </c>
      <c r="BK25">
        <v>211659948</v>
      </c>
      <c r="BL25">
        <v>213592301</v>
      </c>
      <c r="BM25">
        <v>215542296</v>
      </c>
      <c r="BN25">
        <v>217510093</v>
      </c>
      <c r="BO25">
        <v>219495855</v>
      </c>
      <c r="BP25">
        <v>221499747</v>
      </c>
      <c r="BQ25">
        <v>9.1295186564896991E-3</v>
      </c>
      <c r="BR25" s="6">
        <f t="shared" si="3"/>
        <v>202401584</v>
      </c>
      <c r="BT25" s="4">
        <f t="shared" si="4"/>
        <v>1.0219870066324299E-2</v>
      </c>
      <c r="BU25" s="4">
        <f t="shared" si="4"/>
        <v>9.8807075000619804E-3</v>
      </c>
      <c r="BV25" s="4">
        <f t="shared" si="4"/>
        <v>9.6553018056113604E-3</v>
      </c>
      <c r="BW25" s="4">
        <f t="shared" si="4"/>
        <v>9.4706448667081222E-3</v>
      </c>
      <c r="BX25" s="4">
        <f t="shared" si="5"/>
        <v>9.2651464583384247E-3</v>
      </c>
      <c r="BY25" s="4">
        <f t="shared" si="5"/>
        <v>9.0161096461680579E-3</v>
      </c>
      <c r="BZ25" s="4">
        <f t="shared" si="5"/>
        <v>8.9495867132143303E-3</v>
      </c>
      <c r="CA25" s="4">
        <f t="shared" si="5"/>
        <v>8.9372826080547085E-3</v>
      </c>
      <c r="CB25" s="4">
        <f t="shared" si="5"/>
        <v>8.9939091902497825E-3</v>
      </c>
      <c r="CC25" s="4">
        <f t="shared" si="5"/>
        <v>9.129518886797694E-3</v>
      </c>
      <c r="CD25" s="4">
        <f t="shared" si="5"/>
        <v>9.1295182694173249E-3</v>
      </c>
      <c r="CE25" s="4">
        <f t="shared" si="5"/>
        <v>9.1295172545753367E-3</v>
      </c>
      <c r="CF25" s="4">
        <f t="shared" si="5"/>
        <v>9.1295183449078277E-3</v>
      </c>
      <c r="CH25">
        <v>8358140</v>
      </c>
    </row>
    <row r="26" spans="1:86" x14ac:dyDescent="0.25">
      <c r="A26" s="2">
        <v>24</v>
      </c>
      <c r="B26" s="3" t="s">
        <v>41</v>
      </c>
      <c r="C26" t="s">
        <v>41</v>
      </c>
      <c r="D26" t="s">
        <v>23</v>
      </c>
      <c r="E26">
        <v>1</v>
      </c>
      <c r="F26">
        <v>7867374</v>
      </c>
      <c r="G26">
        <v>7943118</v>
      </c>
      <c r="H26">
        <v>8012946</v>
      </c>
      <c r="I26">
        <v>8078145</v>
      </c>
      <c r="J26">
        <v>8144340</v>
      </c>
      <c r="K26">
        <v>8204168</v>
      </c>
      <c r="L26">
        <v>8258057</v>
      </c>
      <c r="M26">
        <v>8310226</v>
      </c>
      <c r="N26">
        <v>8369603</v>
      </c>
      <c r="O26">
        <v>8434172</v>
      </c>
      <c r="P26">
        <v>8489574</v>
      </c>
      <c r="Q26">
        <v>8536395</v>
      </c>
      <c r="R26">
        <v>8576200</v>
      </c>
      <c r="S26">
        <v>8620967</v>
      </c>
      <c r="T26">
        <v>8678745</v>
      </c>
      <c r="U26">
        <v>8720742</v>
      </c>
      <c r="V26">
        <v>8758599</v>
      </c>
      <c r="W26">
        <v>8804183</v>
      </c>
      <c r="X26">
        <v>8814032</v>
      </c>
      <c r="Y26">
        <v>8825940</v>
      </c>
      <c r="Z26">
        <v>8861535</v>
      </c>
      <c r="AA26">
        <v>8891117</v>
      </c>
      <c r="AB26">
        <v>8917457</v>
      </c>
      <c r="AC26">
        <v>8939738</v>
      </c>
      <c r="AD26">
        <v>8960679</v>
      </c>
      <c r="AE26">
        <v>8960547</v>
      </c>
      <c r="AF26">
        <v>8958171</v>
      </c>
      <c r="AG26">
        <v>8971359</v>
      </c>
      <c r="AH26">
        <v>8981446</v>
      </c>
      <c r="AI26">
        <v>8876972</v>
      </c>
      <c r="AJ26">
        <v>8718289</v>
      </c>
      <c r="AK26">
        <v>8632367</v>
      </c>
      <c r="AL26">
        <v>8540164</v>
      </c>
      <c r="AM26">
        <v>8472313</v>
      </c>
      <c r="AN26">
        <v>8443591</v>
      </c>
      <c r="AO26">
        <v>8406067</v>
      </c>
      <c r="AP26">
        <v>8362826</v>
      </c>
      <c r="AQ26">
        <v>8312068</v>
      </c>
      <c r="AR26">
        <v>8256786</v>
      </c>
      <c r="AS26">
        <v>8210624</v>
      </c>
      <c r="AT26">
        <v>8170172</v>
      </c>
      <c r="AU26">
        <v>8020282</v>
      </c>
      <c r="AV26">
        <v>7868468</v>
      </c>
      <c r="AW26">
        <v>7823557</v>
      </c>
      <c r="AX26">
        <v>7781161</v>
      </c>
      <c r="AY26">
        <v>7739900</v>
      </c>
      <c r="AZ26">
        <v>7699020</v>
      </c>
      <c r="BA26">
        <v>7545338</v>
      </c>
      <c r="BB26">
        <v>7492561</v>
      </c>
      <c r="BC26">
        <v>7444443</v>
      </c>
      <c r="BD26">
        <v>7395599</v>
      </c>
      <c r="BE26">
        <v>7348328</v>
      </c>
      <c r="BF26">
        <v>7305888</v>
      </c>
      <c r="BG26">
        <v>7265115</v>
      </c>
      <c r="BH26">
        <v>7223938</v>
      </c>
      <c r="BI26">
        <v>7177991</v>
      </c>
      <c r="BJ26">
        <v>7135244</v>
      </c>
      <c r="BK26">
        <v>7092751</v>
      </c>
      <c r="BL26">
        <v>7050511</v>
      </c>
      <c r="BM26">
        <v>7008523</v>
      </c>
      <c r="BN26">
        <v>6966785</v>
      </c>
      <c r="BO26">
        <v>6925296</v>
      </c>
      <c r="BP26">
        <v>6884054</v>
      </c>
      <c r="BQ26">
        <v>-5.9553073710862936E-3</v>
      </c>
      <c r="BR26" s="6">
        <f t="shared" si="3"/>
        <v>7305888</v>
      </c>
      <c r="BT26" s="4">
        <f t="shared" si="4"/>
        <v>-1.000163623599315E-2</v>
      </c>
      <c r="BU26" s="4">
        <f t="shared" si="4"/>
        <v>-6.5924450418085589E-3</v>
      </c>
      <c r="BV26" s="4">
        <f t="shared" si="4"/>
        <v>-6.2876651952381568E-3</v>
      </c>
      <c r="BW26" s="4">
        <f t="shared" si="4"/>
        <v>-6.0773879653118756E-3</v>
      </c>
      <c r="BX26" s="4">
        <f t="shared" si="5"/>
        <v>-5.8540130949120694E-3</v>
      </c>
      <c r="BY26" s="4">
        <f t="shared" si="5"/>
        <v>-5.8461606717031822E-3</v>
      </c>
      <c r="BZ26" s="4">
        <f t="shared" si="5"/>
        <v>-5.8911165266639642E-3</v>
      </c>
      <c r="CA26" s="4">
        <f t="shared" si="5"/>
        <v>-5.984732127914727E-3</v>
      </c>
      <c r="CB26" s="4">
        <f t="shared" si="5"/>
        <v>-6.0566185671903083E-3</v>
      </c>
      <c r="CC26" s="4">
        <f t="shared" si="5"/>
        <v>-5.9553360285315993E-3</v>
      </c>
      <c r="CD26" s="4">
        <f t="shared" si="5"/>
        <v>-5.9553442563783365E-3</v>
      </c>
      <c r="CE26" s="4">
        <f t="shared" si="5"/>
        <v>-5.9553168136070589E-3</v>
      </c>
      <c r="CF26" s="4">
        <f t="shared" si="5"/>
        <v>-5.9552900100524608E-3</v>
      </c>
      <c r="CH26">
        <v>108489</v>
      </c>
    </row>
    <row r="27" spans="1:86" x14ac:dyDescent="0.25">
      <c r="A27" s="2">
        <v>25</v>
      </c>
      <c r="B27" s="3" t="s">
        <v>42</v>
      </c>
      <c r="C27" t="s">
        <v>43</v>
      </c>
      <c r="D27" t="s">
        <v>14</v>
      </c>
      <c r="E27">
        <v>1</v>
      </c>
      <c r="F27">
        <v>4829291</v>
      </c>
      <c r="G27">
        <v>4894578</v>
      </c>
      <c r="H27">
        <v>4960325</v>
      </c>
      <c r="I27">
        <v>5027818</v>
      </c>
      <c r="J27">
        <v>5098892</v>
      </c>
      <c r="K27">
        <v>5174869</v>
      </c>
      <c r="L27">
        <v>5256363</v>
      </c>
      <c r="M27">
        <v>5343020</v>
      </c>
      <c r="N27">
        <v>5434040</v>
      </c>
      <c r="O27">
        <v>5528172</v>
      </c>
      <c r="P27">
        <v>5624597</v>
      </c>
      <c r="Q27">
        <v>5723379</v>
      </c>
      <c r="R27">
        <v>5825171</v>
      </c>
      <c r="S27">
        <v>5930487</v>
      </c>
      <c r="T27">
        <v>6040044</v>
      </c>
      <c r="U27">
        <v>6154548</v>
      </c>
      <c r="V27">
        <v>6274037</v>
      </c>
      <c r="W27">
        <v>6398937</v>
      </c>
      <c r="X27">
        <v>6530820</v>
      </c>
      <c r="Y27">
        <v>6671659</v>
      </c>
      <c r="Z27">
        <v>6822840</v>
      </c>
      <c r="AA27">
        <v>6985158</v>
      </c>
      <c r="AB27">
        <v>7158256</v>
      </c>
      <c r="AC27">
        <v>7340907</v>
      </c>
      <c r="AD27">
        <v>7531244</v>
      </c>
      <c r="AE27">
        <v>7727912</v>
      </c>
      <c r="AF27">
        <v>7930690</v>
      </c>
      <c r="AG27">
        <v>8140076</v>
      </c>
      <c r="AH27">
        <v>8356306</v>
      </c>
      <c r="AI27">
        <v>8579825</v>
      </c>
      <c r="AJ27">
        <v>8811033</v>
      </c>
      <c r="AK27">
        <v>9050090</v>
      </c>
      <c r="AL27">
        <v>9297116</v>
      </c>
      <c r="AM27">
        <v>9552473</v>
      </c>
      <c r="AN27">
        <v>9816586</v>
      </c>
      <c r="AO27">
        <v>10089876</v>
      </c>
      <c r="AP27">
        <v>10372809</v>
      </c>
      <c r="AQ27">
        <v>10665781</v>
      </c>
      <c r="AR27">
        <v>10969093</v>
      </c>
      <c r="AS27">
        <v>11283016</v>
      </c>
      <c r="AT27">
        <v>11607944</v>
      </c>
      <c r="AU27">
        <v>11943740</v>
      </c>
      <c r="AV27">
        <v>12290984</v>
      </c>
      <c r="AW27">
        <v>12651596</v>
      </c>
      <c r="AX27">
        <v>13028039</v>
      </c>
      <c r="AY27">
        <v>13421929</v>
      </c>
      <c r="AZ27">
        <v>13834195</v>
      </c>
      <c r="BA27">
        <v>14264002</v>
      </c>
      <c r="BB27">
        <v>14709011</v>
      </c>
      <c r="BC27">
        <v>15165856</v>
      </c>
      <c r="BD27">
        <v>15632066</v>
      </c>
      <c r="BE27">
        <v>16106851</v>
      </c>
      <c r="BF27">
        <v>16590813</v>
      </c>
      <c r="BG27">
        <v>17084554</v>
      </c>
      <c r="BH27">
        <v>17589198</v>
      </c>
      <c r="BI27">
        <v>18105570</v>
      </c>
      <c r="BJ27">
        <v>18645385</v>
      </c>
      <c r="BK27">
        <v>19201295</v>
      </c>
      <c r="BL27">
        <v>19773779</v>
      </c>
      <c r="BM27">
        <v>20363332</v>
      </c>
      <c r="BN27">
        <v>20970462</v>
      </c>
      <c r="BO27">
        <v>21595694</v>
      </c>
      <c r="BP27">
        <v>22239567</v>
      </c>
      <c r="BQ27">
        <v>2.9814883845727502E-2</v>
      </c>
      <c r="BR27" s="6">
        <f t="shared" si="3"/>
        <v>16590813</v>
      </c>
      <c r="BT27" s="4">
        <f t="shared" si="4"/>
        <v>3.1016514555057606E-2</v>
      </c>
      <c r="BU27" s="4">
        <f t="shared" si="4"/>
        <v>3.0842492892535711E-2</v>
      </c>
      <c r="BV27" s="4">
        <f t="shared" si="4"/>
        <v>3.0554701384853056E-2</v>
      </c>
      <c r="BW27" s="4">
        <f t="shared" si="4"/>
        <v>3.0229969610165552E-2</v>
      </c>
      <c r="BX27" s="4">
        <f t="shared" si="5"/>
        <v>2.9929302519883683E-2</v>
      </c>
      <c r="BY27" s="4">
        <f t="shared" si="5"/>
        <v>2.967552575986443E-2</v>
      </c>
      <c r="BZ27" s="4">
        <f t="shared" si="5"/>
        <v>2.9617514870055928E-2</v>
      </c>
      <c r="CA27" s="4">
        <f t="shared" si="5"/>
        <v>2.9631257848754533E-2</v>
      </c>
      <c r="CB27" s="4">
        <f t="shared" si="5"/>
        <v>2.9700466653874269E-2</v>
      </c>
      <c r="CC27" s="4">
        <f t="shared" si="5"/>
        <v>2.9814873575493728E-2</v>
      </c>
      <c r="CD27" s="4">
        <f t="shared" si="5"/>
        <v>2.9814875372750071E-2</v>
      </c>
      <c r="CE27" s="4">
        <f t="shared" si="5"/>
        <v>2.9814876538919677E-2</v>
      </c>
      <c r="CF27" s="4">
        <f t="shared" si="5"/>
        <v>2.9814880235659702E-2</v>
      </c>
      <c r="CH27">
        <v>273800</v>
      </c>
    </row>
    <row r="28" spans="1:86" x14ac:dyDescent="0.25">
      <c r="A28" s="2">
        <v>26</v>
      </c>
      <c r="B28" s="3" t="s">
        <v>44</v>
      </c>
      <c r="C28" t="s">
        <v>44</v>
      </c>
      <c r="D28" t="s">
        <v>14</v>
      </c>
      <c r="E28">
        <v>1</v>
      </c>
      <c r="F28">
        <v>2786740</v>
      </c>
      <c r="G28">
        <v>2840375</v>
      </c>
      <c r="H28">
        <v>2894510</v>
      </c>
      <c r="I28">
        <v>2950903</v>
      </c>
      <c r="J28">
        <v>3011957</v>
      </c>
      <c r="K28">
        <v>3079034</v>
      </c>
      <c r="L28">
        <v>3153879</v>
      </c>
      <c r="M28">
        <v>3235125</v>
      </c>
      <c r="N28">
        <v>3317315</v>
      </c>
      <c r="O28">
        <v>3392949</v>
      </c>
      <c r="P28">
        <v>3457113</v>
      </c>
      <c r="Q28">
        <v>3507593</v>
      </c>
      <c r="R28">
        <v>3547335</v>
      </c>
      <c r="S28">
        <v>3582952</v>
      </c>
      <c r="T28">
        <v>3623853</v>
      </c>
      <c r="U28">
        <v>3676991</v>
      </c>
      <c r="V28">
        <v>3744696</v>
      </c>
      <c r="W28">
        <v>3825484</v>
      </c>
      <c r="X28">
        <v>3917866</v>
      </c>
      <c r="Y28">
        <v>4018927</v>
      </c>
      <c r="Z28">
        <v>4126544</v>
      </c>
      <c r="AA28">
        <v>4239673</v>
      </c>
      <c r="AB28">
        <v>4359122</v>
      </c>
      <c r="AC28">
        <v>4486613</v>
      </c>
      <c r="AD28">
        <v>4624617</v>
      </c>
      <c r="AE28">
        <v>4774258</v>
      </c>
      <c r="AF28">
        <v>4936429</v>
      </c>
      <c r="AG28">
        <v>5108581</v>
      </c>
      <c r="AH28">
        <v>5284173</v>
      </c>
      <c r="AI28">
        <v>5454475</v>
      </c>
      <c r="AJ28">
        <v>5613141</v>
      </c>
      <c r="AK28">
        <v>5759429</v>
      </c>
      <c r="AL28">
        <v>5895131</v>
      </c>
      <c r="AM28">
        <v>6019901</v>
      </c>
      <c r="AN28">
        <v>6134041</v>
      </c>
      <c r="AO28">
        <v>6239030</v>
      </c>
      <c r="AP28">
        <v>6333415</v>
      </c>
      <c r="AQ28">
        <v>6420397</v>
      </c>
      <c r="AR28">
        <v>6511920</v>
      </c>
      <c r="AS28">
        <v>6623707</v>
      </c>
      <c r="AT28">
        <v>6767073</v>
      </c>
      <c r="AU28">
        <v>6946720</v>
      </c>
      <c r="AV28">
        <v>7159918</v>
      </c>
      <c r="AW28">
        <v>7401215</v>
      </c>
      <c r="AX28">
        <v>7661613</v>
      </c>
      <c r="AY28">
        <v>7934213</v>
      </c>
      <c r="AZ28">
        <v>8218070</v>
      </c>
      <c r="BA28">
        <v>8514578</v>
      </c>
      <c r="BB28">
        <v>8821795</v>
      </c>
      <c r="BC28">
        <v>9137786</v>
      </c>
      <c r="BD28">
        <v>9461117</v>
      </c>
      <c r="BE28">
        <v>9790151</v>
      </c>
      <c r="BF28">
        <v>10124572</v>
      </c>
      <c r="BG28">
        <v>10465959</v>
      </c>
      <c r="BH28">
        <v>10816860</v>
      </c>
      <c r="BI28">
        <v>11178921</v>
      </c>
      <c r="BJ28">
        <v>11558231</v>
      </c>
      <c r="BK28">
        <v>11950412</v>
      </c>
      <c r="BL28">
        <v>12355900</v>
      </c>
      <c r="BM28">
        <v>12775146</v>
      </c>
      <c r="BN28">
        <v>13208618</v>
      </c>
      <c r="BO28">
        <v>13656798</v>
      </c>
      <c r="BP28">
        <v>14120185</v>
      </c>
      <c r="BQ28">
        <v>3.3930852281488066E-2</v>
      </c>
      <c r="BR28" s="6">
        <f t="shared" si="3"/>
        <v>10124572</v>
      </c>
      <c r="BT28" s="4">
        <f t="shared" si="4"/>
        <v>3.5841112717486689E-2</v>
      </c>
      <c r="BU28" s="4">
        <f t="shared" si="4"/>
        <v>3.5515408257707382E-2</v>
      </c>
      <c r="BV28" s="4">
        <f t="shared" si="4"/>
        <v>3.5034742835188926E-2</v>
      </c>
      <c r="BW28" s="4">
        <f t="shared" si="4"/>
        <v>3.4509567489692472E-2</v>
      </c>
      <c r="BX28" s="4">
        <f t="shared" si="5"/>
        <v>3.4045618869863015E-2</v>
      </c>
      <c r="BY28" s="4">
        <f t="shared" si="5"/>
        <v>3.3719298518455343E-2</v>
      </c>
      <c r="BZ28" s="4">
        <f t="shared" si="5"/>
        <v>3.3662293634769469E-2</v>
      </c>
      <c r="CA28" s="4">
        <f t="shared" si="5"/>
        <v>3.3715342781838187E-2</v>
      </c>
      <c r="CB28" s="4">
        <f t="shared" si="5"/>
        <v>3.3816106392522416E-2</v>
      </c>
      <c r="CC28" s="4">
        <f t="shared" si="5"/>
        <v>3.3930855839198415E-2</v>
      </c>
      <c r="CD28" s="4">
        <f t="shared" si="5"/>
        <v>3.3930870919218092E-2</v>
      </c>
      <c r="CE28" s="4">
        <f t="shared" si="5"/>
        <v>3.3930869205898606E-2</v>
      </c>
      <c r="CF28" s="4">
        <f t="shared" si="5"/>
        <v>3.3930865924767017E-2</v>
      </c>
      <c r="CH28">
        <v>25680</v>
      </c>
    </row>
    <row r="29" spans="1:86" x14ac:dyDescent="0.25">
      <c r="A29" s="2">
        <v>27</v>
      </c>
      <c r="B29" s="3" t="s">
        <v>45</v>
      </c>
      <c r="C29" t="s">
        <v>45</v>
      </c>
      <c r="D29" t="s">
        <v>25</v>
      </c>
      <c r="E29">
        <v>1</v>
      </c>
      <c r="F29">
        <v>5722370</v>
      </c>
      <c r="G29">
        <v>5872247</v>
      </c>
      <c r="H29">
        <v>6026696</v>
      </c>
      <c r="I29">
        <v>6181137</v>
      </c>
      <c r="J29">
        <v>6329411</v>
      </c>
      <c r="K29">
        <v>6467196</v>
      </c>
      <c r="L29">
        <v>6588993</v>
      </c>
      <c r="M29">
        <v>6695460</v>
      </c>
      <c r="N29">
        <v>6795514</v>
      </c>
      <c r="O29">
        <v>6902025</v>
      </c>
      <c r="P29">
        <v>7022185</v>
      </c>
      <c r="Q29">
        <v>7167716</v>
      </c>
      <c r="R29">
        <v>7331162</v>
      </c>
      <c r="S29">
        <v>7478147</v>
      </c>
      <c r="T29">
        <v>7561583</v>
      </c>
      <c r="U29">
        <v>7551988</v>
      </c>
      <c r="V29">
        <v>7431505</v>
      </c>
      <c r="W29">
        <v>7222050</v>
      </c>
      <c r="X29">
        <v>6982522</v>
      </c>
      <c r="Y29">
        <v>6795102</v>
      </c>
      <c r="Z29">
        <v>6718241</v>
      </c>
      <c r="AA29">
        <v>6774509</v>
      </c>
      <c r="AB29">
        <v>6945053</v>
      </c>
      <c r="AC29">
        <v>7196139</v>
      </c>
      <c r="AD29">
        <v>7475011</v>
      </c>
      <c r="AE29">
        <v>7743065</v>
      </c>
      <c r="AF29">
        <v>7990133</v>
      </c>
      <c r="AG29">
        <v>8228268</v>
      </c>
      <c r="AH29">
        <v>8467109</v>
      </c>
      <c r="AI29">
        <v>8723550</v>
      </c>
      <c r="AJ29">
        <v>9008856</v>
      </c>
      <c r="AK29">
        <v>9323607</v>
      </c>
      <c r="AL29">
        <v>9659238</v>
      </c>
      <c r="AM29">
        <v>10007092</v>
      </c>
      <c r="AN29">
        <v>10355253</v>
      </c>
      <c r="AO29">
        <v>10694459</v>
      </c>
      <c r="AP29">
        <v>11022162</v>
      </c>
      <c r="AQ29">
        <v>11338733</v>
      </c>
      <c r="AR29">
        <v>11641509</v>
      </c>
      <c r="AS29">
        <v>11928306</v>
      </c>
      <c r="AT29">
        <v>12197905</v>
      </c>
      <c r="AU29">
        <v>12448881</v>
      </c>
      <c r="AV29">
        <v>12681984</v>
      </c>
      <c r="AW29">
        <v>12901217</v>
      </c>
      <c r="AX29">
        <v>13112334</v>
      </c>
      <c r="AY29">
        <v>13320058</v>
      </c>
      <c r="AZ29">
        <v>13525360</v>
      </c>
      <c r="BA29">
        <v>13728700</v>
      </c>
      <c r="BB29">
        <v>13933660</v>
      </c>
      <c r="BC29">
        <v>14144337</v>
      </c>
      <c r="BD29">
        <v>14363586</v>
      </c>
      <c r="BE29">
        <v>14593099</v>
      </c>
      <c r="BF29">
        <v>14832255</v>
      </c>
      <c r="BG29">
        <v>15078564</v>
      </c>
      <c r="BH29">
        <v>15328136</v>
      </c>
      <c r="BI29">
        <v>15577899</v>
      </c>
      <c r="BJ29">
        <v>15832813</v>
      </c>
      <c r="BK29">
        <v>16091898</v>
      </c>
      <c r="BL29">
        <v>16355223</v>
      </c>
      <c r="BM29">
        <v>16622857</v>
      </c>
      <c r="BN29">
        <v>16894871</v>
      </c>
      <c r="BO29">
        <v>17171336</v>
      </c>
      <c r="BP29">
        <v>17452325</v>
      </c>
      <c r="BQ29">
        <v>1.6363829561802712E-2</v>
      </c>
      <c r="BR29" s="6">
        <f t="shared" si="3"/>
        <v>14832255</v>
      </c>
      <c r="BT29" s="4">
        <f t="shared" si="4"/>
        <v>1.5146008650045895E-2</v>
      </c>
      <c r="BU29" s="4">
        <f t="shared" si="4"/>
        <v>1.5382159449498056E-2</v>
      </c>
      <c r="BV29" s="4">
        <f t="shared" si="4"/>
        <v>1.5746872034610782E-2</v>
      </c>
      <c r="BW29" s="4">
        <f t="shared" si="4"/>
        <v>1.6118473519709076E-2</v>
      </c>
      <c r="BX29" s="4">
        <f t="shared" si="5"/>
        <v>1.6381184092460144E-2</v>
      </c>
      <c r="BY29" s="4">
        <f t="shared" si="5"/>
        <v>1.6460107450530614E-2</v>
      </c>
      <c r="BZ29" s="4">
        <f t="shared" si="5"/>
        <v>1.6453989447657635E-2</v>
      </c>
      <c r="CA29" s="4">
        <f t="shared" si="5"/>
        <v>1.6393366252580144E-2</v>
      </c>
      <c r="CB29" s="4">
        <f t="shared" si="5"/>
        <v>1.6346465633666041E-2</v>
      </c>
      <c r="CC29" s="4">
        <f t="shared" si="5"/>
        <v>1.6363818620260373E-2</v>
      </c>
      <c r="CD29" s="4">
        <f t="shared" si="5"/>
        <v>1.6363826005191928E-2</v>
      </c>
      <c r="CE29" s="4">
        <f t="shared" si="5"/>
        <v>1.6363836279289057E-2</v>
      </c>
      <c r="CF29" s="4">
        <f t="shared" si="5"/>
        <v>1.6363840147025188E-2</v>
      </c>
      <c r="CH29">
        <v>176515</v>
      </c>
    </row>
    <row r="30" spans="1:86" x14ac:dyDescent="0.25">
      <c r="A30" s="2">
        <v>28</v>
      </c>
      <c r="B30" s="3" t="s">
        <v>46</v>
      </c>
      <c r="C30" t="s">
        <v>46</v>
      </c>
      <c r="D30" t="s">
        <v>14</v>
      </c>
      <c r="E30">
        <v>1</v>
      </c>
      <c r="F30">
        <v>5361367</v>
      </c>
      <c r="G30">
        <v>5474509</v>
      </c>
      <c r="H30">
        <v>5593768</v>
      </c>
      <c r="I30">
        <v>5719135</v>
      </c>
      <c r="J30">
        <v>5850454</v>
      </c>
      <c r="K30">
        <v>5987671</v>
      </c>
      <c r="L30">
        <v>6130990</v>
      </c>
      <c r="M30">
        <v>6280743</v>
      </c>
      <c r="N30">
        <v>6437157</v>
      </c>
      <c r="O30">
        <v>6600479</v>
      </c>
      <c r="P30">
        <v>6770967</v>
      </c>
      <c r="Q30">
        <v>6948847</v>
      </c>
      <c r="R30">
        <v>7134374</v>
      </c>
      <c r="S30">
        <v>7327874</v>
      </c>
      <c r="T30">
        <v>7529704</v>
      </c>
      <c r="U30">
        <v>7740196</v>
      </c>
      <c r="V30">
        <v>7959500</v>
      </c>
      <c r="W30">
        <v>8187840</v>
      </c>
      <c r="X30">
        <v>8425707</v>
      </c>
      <c r="Y30">
        <v>8673666</v>
      </c>
      <c r="Z30">
        <v>8932121</v>
      </c>
      <c r="AA30">
        <v>9201146</v>
      </c>
      <c r="AB30">
        <v>9480638</v>
      </c>
      <c r="AC30">
        <v>9770555</v>
      </c>
      <c r="AD30">
        <v>10070779</v>
      </c>
      <c r="AE30">
        <v>10381098</v>
      </c>
      <c r="AF30">
        <v>10701458</v>
      </c>
      <c r="AG30">
        <v>11031515</v>
      </c>
      <c r="AH30">
        <v>11370394</v>
      </c>
      <c r="AI30">
        <v>11716975</v>
      </c>
      <c r="AJ30">
        <v>12070359</v>
      </c>
      <c r="AK30">
        <v>12430311</v>
      </c>
      <c r="AL30">
        <v>12796739</v>
      </c>
      <c r="AM30">
        <v>13169100</v>
      </c>
      <c r="AN30">
        <v>13546823</v>
      </c>
      <c r="AO30">
        <v>13929575</v>
      </c>
      <c r="AP30">
        <v>14317191</v>
      </c>
      <c r="AQ30">
        <v>14709961</v>
      </c>
      <c r="AR30">
        <v>15108630</v>
      </c>
      <c r="AS30">
        <v>15514249</v>
      </c>
      <c r="AT30">
        <v>15927713</v>
      </c>
      <c r="AU30">
        <v>16349364</v>
      </c>
      <c r="AV30">
        <v>16779434</v>
      </c>
      <c r="AW30">
        <v>17218591</v>
      </c>
      <c r="AX30">
        <v>17667576</v>
      </c>
      <c r="AY30">
        <v>18126999</v>
      </c>
      <c r="AZ30">
        <v>18597109</v>
      </c>
      <c r="BA30">
        <v>19078100</v>
      </c>
      <c r="BB30">
        <v>19570418</v>
      </c>
      <c r="BC30">
        <v>20074522</v>
      </c>
      <c r="BD30">
        <v>20590666</v>
      </c>
      <c r="BE30">
        <v>21119065</v>
      </c>
      <c r="BF30">
        <v>21659488</v>
      </c>
      <c r="BG30">
        <v>22211166</v>
      </c>
      <c r="BH30">
        <v>22773014</v>
      </c>
      <c r="BI30">
        <v>23344179</v>
      </c>
      <c r="BJ30">
        <v>23937580</v>
      </c>
      <c r="BK30">
        <v>24546065</v>
      </c>
      <c r="BL30">
        <v>25170018</v>
      </c>
      <c r="BM30">
        <v>25809831</v>
      </c>
      <c r="BN30">
        <v>26465908</v>
      </c>
      <c r="BO30">
        <v>27138663</v>
      </c>
      <c r="BP30">
        <v>27828519</v>
      </c>
      <c r="BQ30">
        <v>2.5419665621791987E-2</v>
      </c>
      <c r="BR30" s="6">
        <f t="shared" si="3"/>
        <v>21659488</v>
      </c>
      <c r="BT30" s="4">
        <f t="shared" si="4"/>
        <v>2.5784752594492755E-2</v>
      </c>
      <c r="BU30" s="4">
        <f t="shared" si="4"/>
        <v>2.5734331099955599E-2</v>
      </c>
      <c r="BV30" s="4">
        <f t="shared" si="4"/>
        <v>2.5680316370679135E-2</v>
      </c>
      <c r="BW30" s="4">
        <f t="shared" si="4"/>
        <v>2.5608322220381563E-2</v>
      </c>
      <c r="BX30" s="4">
        <f t="shared" si="5"/>
        <v>2.5504404026626126E-2</v>
      </c>
      <c r="BY30" s="4">
        <f t="shared" si="5"/>
        <v>2.5359074841620144E-2</v>
      </c>
      <c r="BZ30" s="4">
        <f t="shared" si="5"/>
        <v>2.5316659964683019E-2</v>
      </c>
      <c r="CA30" s="4">
        <f t="shared" si="5"/>
        <v>2.5303949997076858E-2</v>
      </c>
      <c r="CB30" s="4">
        <f t="shared" si="5"/>
        <v>2.5334931295363461E-2</v>
      </c>
      <c r="CC30" s="4">
        <f t="shared" si="5"/>
        <v>2.5419658315201987E-2</v>
      </c>
      <c r="CD30" s="4">
        <f t="shared" si="5"/>
        <v>2.5419658066472062E-2</v>
      </c>
      <c r="CE30" s="4">
        <f t="shared" si="5"/>
        <v>2.5419665407689696E-2</v>
      </c>
      <c r="CF30" s="4">
        <f t="shared" si="5"/>
        <v>2.5419665415871373E-2</v>
      </c>
      <c r="CH30">
        <v>472710</v>
      </c>
    </row>
    <row r="31" spans="1:86" x14ac:dyDescent="0.25">
      <c r="A31" s="2">
        <v>29</v>
      </c>
      <c r="B31" s="3" t="s">
        <v>47</v>
      </c>
      <c r="C31" t="s">
        <v>47</v>
      </c>
      <c r="D31" t="s">
        <v>36</v>
      </c>
      <c r="E31">
        <v>1</v>
      </c>
      <c r="F31">
        <v>17909009</v>
      </c>
      <c r="G31">
        <v>18271000</v>
      </c>
      <c r="H31">
        <v>18614000</v>
      </c>
      <c r="I31">
        <v>18964000</v>
      </c>
      <c r="J31">
        <v>19325000</v>
      </c>
      <c r="K31">
        <v>19678000</v>
      </c>
      <c r="L31">
        <v>20048000</v>
      </c>
      <c r="M31">
        <v>20412000</v>
      </c>
      <c r="N31">
        <v>20744000</v>
      </c>
      <c r="O31">
        <v>21028000</v>
      </c>
      <c r="P31">
        <v>21324000</v>
      </c>
      <c r="Q31">
        <v>21645535</v>
      </c>
      <c r="R31">
        <v>21993631</v>
      </c>
      <c r="S31">
        <v>22369408</v>
      </c>
      <c r="T31">
        <v>22774087</v>
      </c>
      <c r="U31">
        <v>23209000</v>
      </c>
      <c r="V31">
        <v>23518000</v>
      </c>
      <c r="W31">
        <v>23796000</v>
      </c>
      <c r="X31">
        <v>24036000</v>
      </c>
      <c r="Y31">
        <v>24277000</v>
      </c>
      <c r="Z31">
        <v>24593000</v>
      </c>
      <c r="AA31">
        <v>24900000</v>
      </c>
      <c r="AB31">
        <v>25202000</v>
      </c>
      <c r="AC31">
        <v>25456000</v>
      </c>
      <c r="AD31">
        <v>25702000</v>
      </c>
      <c r="AE31">
        <v>25942000</v>
      </c>
      <c r="AF31">
        <v>26204000</v>
      </c>
      <c r="AG31">
        <v>26550000</v>
      </c>
      <c r="AH31">
        <v>26895000</v>
      </c>
      <c r="AI31">
        <v>27379000</v>
      </c>
      <c r="AJ31">
        <v>27791000</v>
      </c>
      <c r="AK31">
        <v>28171682</v>
      </c>
      <c r="AL31">
        <v>28519597</v>
      </c>
      <c r="AM31">
        <v>28833410</v>
      </c>
      <c r="AN31">
        <v>29111906</v>
      </c>
      <c r="AO31">
        <v>29354000</v>
      </c>
      <c r="AP31">
        <v>29671900</v>
      </c>
      <c r="AQ31">
        <v>29987200</v>
      </c>
      <c r="AR31">
        <v>30247900</v>
      </c>
      <c r="AS31">
        <v>30499200</v>
      </c>
      <c r="AT31">
        <v>30769700</v>
      </c>
      <c r="AU31">
        <v>31081900</v>
      </c>
      <c r="AV31">
        <v>31362000</v>
      </c>
      <c r="AW31">
        <v>31676000</v>
      </c>
      <c r="AX31">
        <v>31995000</v>
      </c>
      <c r="AY31">
        <v>32312000</v>
      </c>
      <c r="AZ31">
        <v>32570505</v>
      </c>
      <c r="BA31">
        <v>32887928</v>
      </c>
      <c r="BB31">
        <v>33245773</v>
      </c>
      <c r="BC31">
        <v>33628571</v>
      </c>
      <c r="BD31">
        <v>34005274</v>
      </c>
      <c r="BE31">
        <v>34342780</v>
      </c>
      <c r="BF31">
        <v>34751476</v>
      </c>
      <c r="BG31">
        <v>35155499</v>
      </c>
      <c r="BH31">
        <v>35543658</v>
      </c>
      <c r="BI31">
        <v>35851774</v>
      </c>
      <c r="BJ31">
        <v>36232936</v>
      </c>
      <c r="BK31">
        <v>36618150</v>
      </c>
      <c r="BL31">
        <v>37007460</v>
      </c>
      <c r="BM31">
        <v>37400909</v>
      </c>
      <c r="BN31">
        <v>37798541</v>
      </c>
      <c r="BO31">
        <v>38200400</v>
      </c>
      <c r="BP31">
        <v>38606531</v>
      </c>
      <c r="BQ31">
        <v>1.063160199049773E-2</v>
      </c>
      <c r="BR31" s="6">
        <f t="shared" si="3"/>
        <v>34751476</v>
      </c>
      <c r="BT31" s="4">
        <f t="shared" si="4"/>
        <v>1.0835408911878286E-2</v>
      </c>
      <c r="BU31" s="4">
        <f t="shared" si="4"/>
        <v>1.0880301362534262E-2</v>
      </c>
      <c r="BV31" s="4">
        <f t="shared" si="4"/>
        <v>1.1135142975402967E-2</v>
      </c>
      <c r="BW31" s="4">
        <f t="shared" si="4"/>
        <v>1.1163101773983719E-2</v>
      </c>
      <c r="BX31" s="4">
        <f t="shared" si="5"/>
        <v>1.1122933275899971E-2</v>
      </c>
      <c r="BY31" s="4">
        <f t="shared" si="5"/>
        <v>1.0808302823056115E-2</v>
      </c>
      <c r="BZ31" s="4">
        <f t="shared" si="5"/>
        <v>1.0491274891206492E-2</v>
      </c>
      <c r="CA31" s="4">
        <f t="shared" si="5"/>
        <v>1.0242844775511406E-2</v>
      </c>
      <c r="CB31" s="4">
        <f t="shared" si="5"/>
        <v>1.014051259531179E-2</v>
      </c>
      <c r="CC31" s="4">
        <f t="shared" si="5"/>
        <v>1.0631607932209297E-2</v>
      </c>
      <c r="CD31" s="4">
        <f t="shared" si="5"/>
        <v>1.0631609297518052E-2</v>
      </c>
      <c r="CE31" s="4">
        <f t="shared" si="5"/>
        <v>1.0631610074277598E-2</v>
      </c>
      <c r="CF31" s="4">
        <f t="shared" si="5"/>
        <v>1.0631604382664417E-2</v>
      </c>
      <c r="CH31">
        <v>9093507</v>
      </c>
    </row>
    <row r="32" spans="1:86" x14ac:dyDescent="0.25">
      <c r="A32" s="2">
        <v>30</v>
      </c>
      <c r="B32" s="3" t="s">
        <v>48</v>
      </c>
      <c r="C32" t="s">
        <v>11</v>
      </c>
      <c r="D32" t="s">
        <v>16</v>
      </c>
      <c r="E32">
        <v>1</v>
      </c>
      <c r="F32">
        <v>7867</v>
      </c>
      <c r="G32">
        <v>8026</v>
      </c>
      <c r="H32">
        <v>8142</v>
      </c>
      <c r="I32">
        <v>8228</v>
      </c>
      <c r="J32">
        <v>8299</v>
      </c>
      <c r="K32">
        <v>8371</v>
      </c>
      <c r="L32">
        <v>8442</v>
      </c>
      <c r="M32">
        <v>8518</v>
      </c>
      <c r="N32">
        <v>8632</v>
      </c>
      <c r="O32">
        <v>8831</v>
      </c>
      <c r="P32">
        <v>9144</v>
      </c>
      <c r="Q32">
        <v>9583</v>
      </c>
      <c r="R32">
        <v>10137</v>
      </c>
      <c r="S32">
        <v>10785</v>
      </c>
      <c r="T32">
        <v>11494</v>
      </c>
      <c r="U32">
        <v>12238</v>
      </c>
      <c r="V32">
        <v>13020</v>
      </c>
      <c r="W32">
        <v>13840</v>
      </c>
      <c r="X32">
        <v>14663</v>
      </c>
      <c r="Y32">
        <v>15447</v>
      </c>
      <c r="Z32">
        <v>16164</v>
      </c>
      <c r="AA32">
        <v>16795</v>
      </c>
      <c r="AB32">
        <v>17357</v>
      </c>
      <c r="AC32">
        <v>17911</v>
      </c>
      <c r="AD32">
        <v>18543</v>
      </c>
      <c r="AE32">
        <v>19315</v>
      </c>
      <c r="AF32">
        <v>20254</v>
      </c>
      <c r="AG32">
        <v>21343</v>
      </c>
      <c r="AH32">
        <v>22539</v>
      </c>
      <c r="AI32">
        <v>23776</v>
      </c>
      <c r="AJ32">
        <v>25009</v>
      </c>
      <c r="AK32">
        <v>26211</v>
      </c>
      <c r="AL32">
        <v>27402</v>
      </c>
      <c r="AM32">
        <v>28652</v>
      </c>
      <c r="AN32">
        <v>30055</v>
      </c>
      <c r="AO32">
        <v>31672</v>
      </c>
      <c r="AP32">
        <v>33535</v>
      </c>
      <c r="AQ32">
        <v>35596</v>
      </c>
      <c r="AR32">
        <v>37742</v>
      </c>
      <c r="AS32">
        <v>39810</v>
      </c>
      <c r="AT32">
        <v>41685</v>
      </c>
      <c r="AU32">
        <v>43317</v>
      </c>
      <c r="AV32">
        <v>44742</v>
      </c>
      <c r="AW32">
        <v>46032</v>
      </c>
      <c r="AX32">
        <v>47299</v>
      </c>
      <c r="AY32">
        <v>48623</v>
      </c>
      <c r="AZ32">
        <v>50028</v>
      </c>
      <c r="BA32">
        <v>51480</v>
      </c>
      <c r="BB32">
        <v>52925</v>
      </c>
      <c r="BC32">
        <v>54285</v>
      </c>
      <c r="BD32">
        <v>55509</v>
      </c>
      <c r="BE32">
        <v>56580</v>
      </c>
      <c r="BF32">
        <v>57522</v>
      </c>
      <c r="BG32">
        <v>58369</v>
      </c>
      <c r="BH32">
        <v>59172</v>
      </c>
      <c r="BI32">
        <v>59967</v>
      </c>
      <c r="BJ32">
        <v>60901</v>
      </c>
      <c r="BK32">
        <v>61849</v>
      </c>
      <c r="BL32">
        <v>62812</v>
      </c>
      <c r="BM32">
        <v>63790</v>
      </c>
      <c r="BN32">
        <v>64783</v>
      </c>
      <c r="BO32">
        <v>65792</v>
      </c>
      <c r="BP32">
        <v>66816</v>
      </c>
      <c r="BQ32">
        <v>1.5569814157152972E-2</v>
      </c>
      <c r="BR32" s="6">
        <f t="shared" si="3"/>
        <v>57522</v>
      </c>
      <c r="BT32" s="4">
        <f t="shared" si="4"/>
        <v>2.6331280664617651E-2</v>
      </c>
      <c r="BU32" s="4">
        <f t="shared" si="4"/>
        <v>2.389660084986911E-2</v>
      </c>
      <c r="BV32" s="4">
        <f t="shared" si="4"/>
        <v>2.1041226150516845E-2</v>
      </c>
      <c r="BW32" s="4">
        <f t="shared" si="4"/>
        <v>1.8299669183607925E-2</v>
      </c>
      <c r="BX32" s="4">
        <f t="shared" si="5"/>
        <v>1.6104117556343889E-2</v>
      </c>
      <c r="BY32" s="4">
        <f t="shared" si="5"/>
        <v>1.4640853803443932E-2</v>
      </c>
      <c r="BZ32" s="4">
        <f t="shared" si="5"/>
        <v>1.4372837981813991E-2</v>
      </c>
      <c r="CA32" s="4">
        <f t="shared" si="5"/>
        <v>1.4583061134837649E-2</v>
      </c>
      <c r="CB32" s="4">
        <f t="shared" si="5"/>
        <v>1.5036345521467043E-2</v>
      </c>
      <c r="CC32" s="4">
        <f t="shared" si="5"/>
        <v>1.5570483016248415E-2</v>
      </c>
      <c r="CD32" s="4">
        <f t="shared" si="5"/>
        <v>1.5568350569551193E-2</v>
      </c>
      <c r="CE32" s="4">
        <f t="shared" si="5"/>
        <v>1.5570557278917541E-2</v>
      </c>
      <c r="CF32" s="4">
        <f t="shared" si="5"/>
        <v>1.5569063112646164E-2</v>
      </c>
      <c r="CH32">
        <v>264</v>
      </c>
    </row>
    <row r="33" spans="1:86" x14ac:dyDescent="0.25">
      <c r="A33" s="2">
        <v>31</v>
      </c>
      <c r="B33" s="3" t="s">
        <v>49</v>
      </c>
      <c r="C33" t="s">
        <v>50</v>
      </c>
      <c r="D33" t="s">
        <v>14</v>
      </c>
      <c r="E33">
        <v>1</v>
      </c>
      <c r="F33">
        <v>1503501</v>
      </c>
      <c r="G33">
        <v>1529229</v>
      </c>
      <c r="H33">
        <v>1556656</v>
      </c>
      <c r="I33">
        <v>1585765</v>
      </c>
      <c r="J33">
        <v>1616515</v>
      </c>
      <c r="K33">
        <v>1648830</v>
      </c>
      <c r="L33">
        <v>1682874</v>
      </c>
      <c r="M33">
        <v>1718558</v>
      </c>
      <c r="N33">
        <v>1755260</v>
      </c>
      <c r="O33">
        <v>1792150</v>
      </c>
      <c r="P33">
        <v>1828710</v>
      </c>
      <c r="Q33">
        <v>1864757</v>
      </c>
      <c r="R33">
        <v>1900702</v>
      </c>
      <c r="S33">
        <v>1937383</v>
      </c>
      <c r="T33">
        <v>1975968</v>
      </c>
      <c r="U33">
        <v>2017379</v>
      </c>
      <c r="V33">
        <v>2061552</v>
      </c>
      <c r="W33">
        <v>2108417</v>
      </c>
      <c r="X33">
        <v>2158844</v>
      </c>
      <c r="Y33">
        <v>2213888</v>
      </c>
      <c r="Z33">
        <v>2274095</v>
      </c>
      <c r="AA33">
        <v>2340259</v>
      </c>
      <c r="AB33">
        <v>2411693</v>
      </c>
      <c r="AC33">
        <v>2485666</v>
      </c>
      <c r="AD33">
        <v>2558432</v>
      </c>
      <c r="AE33">
        <v>2627424</v>
      </c>
      <c r="AF33">
        <v>2691312</v>
      </c>
      <c r="AG33">
        <v>2751163</v>
      </c>
      <c r="AH33">
        <v>2809720</v>
      </c>
      <c r="AI33">
        <v>2871005</v>
      </c>
      <c r="AJ33">
        <v>2937832</v>
      </c>
      <c r="AK33">
        <v>3010950</v>
      </c>
      <c r="AL33">
        <v>3089141</v>
      </c>
      <c r="AM33">
        <v>3170848</v>
      </c>
      <c r="AN33">
        <v>3253698</v>
      </c>
      <c r="AO33">
        <v>3335840</v>
      </c>
      <c r="AP33">
        <v>3417163</v>
      </c>
      <c r="AQ33">
        <v>3497910</v>
      </c>
      <c r="AR33">
        <v>3577028</v>
      </c>
      <c r="AS33">
        <v>3653310</v>
      </c>
      <c r="AT33">
        <v>3726048</v>
      </c>
      <c r="AU33">
        <v>3794677</v>
      </c>
      <c r="AV33">
        <v>3859784</v>
      </c>
      <c r="AW33">
        <v>3923294</v>
      </c>
      <c r="AX33">
        <v>3987896</v>
      </c>
      <c r="AY33">
        <v>4055608</v>
      </c>
      <c r="AZ33">
        <v>4127112</v>
      </c>
      <c r="BA33">
        <v>4202104</v>
      </c>
      <c r="BB33">
        <v>4280405</v>
      </c>
      <c r="BC33">
        <v>4361492</v>
      </c>
      <c r="BD33">
        <v>4444973</v>
      </c>
      <c r="BE33">
        <v>4530903</v>
      </c>
      <c r="BF33">
        <v>4619500</v>
      </c>
      <c r="BG33">
        <v>4710678</v>
      </c>
      <c r="BH33">
        <v>4804316</v>
      </c>
      <c r="BI33">
        <v>4900274</v>
      </c>
      <c r="BJ33">
        <v>4996784</v>
      </c>
      <c r="BK33">
        <v>5095195</v>
      </c>
      <c r="BL33">
        <v>5195544</v>
      </c>
      <c r="BM33">
        <v>5297870</v>
      </c>
      <c r="BN33">
        <v>5402211</v>
      </c>
      <c r="BO33">
        <v>5508607</v>
      </c>
      <c r="BP33">
        <v>5617098</v>
      </c>
      <c r="BQ33">
        <v>1.9694900548857142E-2</v>
      </c>
      <c r="BR33" s="6">
        <f t="shared" si="3"/>
        <v>4619500</v>
      </c>
      <c r="BT33" s="4">
        <f t="shared" si="4"/>
        <v>1.8722077376202018E-2</v>
      </c>
      <c r="BU33" s="4">
        <f t="shared" si="4"/>
        <v>1.9012454340036511E-2</v>
      </c>
      <c r="BV33" s="4">
        <f t="shared" si="4"/>
        <v>1.9242506495074752E-2</v>
      </c>
      <c r="BW33" s="4">
        <f t="shared" si="4"/>
        <v>1.9440973149627006E-2</v>
      </c>
      <c r="BX33" s="4">
        <f t="shared" si="5"/>
        <v>1.9625314888593648E-2</v>
      </c>
      <c r="BY33" s="4">
        <f t="shared" si="5"/>
        <v>1.9785658140163642E-2</v>
      </c>
      <c r="BZ33" s="4">
        <f t="shared" si="5"/>
        <v>1.982088388420622E-2</v>
      </c>
      <c r="CA33" s="4">
        <f t="shared" si="5"/>
        <v>1.9810191292165769E-2</v>
      </c>
      <c r="CB33" s="4">
        <f t="shared" si="5"/>
        <v>1.9764444276613835E-2</v>
      </c>
      <c r="CC33" s="4">
        <f t="shared" si="5"/>
        <v>1.969486722926761E-2</v>
      </c>
      <c r="CD33" s="4">
        <f t="shared" si="5"/>
        <v>1.9694887025624608E-2</v>
      </c>
      <c r="CE33" s="4">
        <f t="shared" si="5"/>
        <v>1.969489483988851E-2</v>
      </c>
      <c r="CF33" s="4">
        <f t="shared" si="5"/>
        <v>1.9694891249445012E-2</v>
      </c>
      <c r="CH33">
        <v>622984</v>
      </c>
    </row>
    <row r="34" spans="1:86" x14ac:dyDescent="0.25">
      <c r="A34" s="2">
        <v>32</v>
      </c>
      <c r="B34" s="3" t="s">
        <v>51</v>
      </c>
      <c r="C34" t="s">
        <v>51</v>
      </c>
      <c r="D34" t="s">
        <v>14</v>
      </c>
      <c r="E34">
        <v>1</v>
      </c>
      <c r="F34">
        <v>3002596</v>
      </c>
      <c r="G34">
        <v>3061423</v>
      </c>
      <c r="H34">
        <v>3122357</v>
      </c>
      <c r="I34">
        <v>3184775</v>
      </c>
      <c r="J34">
        <v>3247798</v>
      </c>
      <c r="K34">
        <v>3310921</v>
      </c>
      <c r="L34">
        <v>3373563</v>
      </c>
      <c r="M34">
        <v>3436227</v>
      </c>
      <c r="N34">
        <v>3500778</v>
      </c>
      <c r="O34">
        <v>3569778</v>
      </c>
      <c r="P34">
        <v>3644911</v>
      </c>
      <c r="Q34">
        <v>3727382</v>
      </c>
      <c r="R34">
        <v>3816299</v>
      </c>
      <c r="S34">
        <v>3908729</v>
      </c>
      <c r="T34">
        <v>4000511</v>
      </c>
      <c r="U34">
        <v>4088858</v>
      </c>
      <c r="V34">
        <v>4173070</v>
      </c>
      <c r="W34">
        <v>4254770</v>
      </c>
      <c r="X34">
        <v>4336389</v>
      </c>
      <c r="Y34">
        <v>4421448</v>
      </c>
      <c r="Z34">
        <v>4512795</v>
      </c>
      <c r="AA34">
        <v>4610964</v>
      </c>
      <c r="AB34">
        <v>4716073</v>
      </c>
      <c r="AC34">
        <v>4830055</v>
      </c>
      <c r="AD34">
        <v>4955088</v>
      </c>
      <c r="AE34">
        <v>5092650</v>
      </c>
      <c r="AF34">
        <v>5244158</v>
      </c>
      <c r="AG34">
        <v>5409275</v>
      </c>
      <c r="AH34">
        <v>5585528</v>
      </c>
      <c r="AI34">
        <v>5769273</v>
      </c>
      <c r="AJ34">
        <v>5958022</v>
      </c>
      <c r="AK34">
        <v>6151213</v>
      </c>
      <c r="AL34">
        <v>6350174</v>
      </c>
      <c r="AM34">
        <v>6556628</v>
      </c>
      <c r="AN34">
        <v>6773104</v>
      </c>
      <c r="AO34">
        <v>7001634</v>
      </c>
      <c r="AP34">
        <v>7242018</v>
      </c>
      <c r="AQ34">
        <v>7494143</v>
      </c>
      <c r="AR34">
        <v>7760157</v>
      </c>
      <c r="AS34">
        <v>8042713</v>
      </c>
      <c r="AT34">
        <v>8343321</v>
      </c>
      <c r="AU34">
        <v>8663599</v>
      </c>
      <c r="AV34">
        <v>9002102</v>
      </c>
      <c r="AW34">
        <v>9353516</v>
      </c>
      <c r="AX34">
        <v>9710498</v>
      </c>
      <c r="AY34">
        <v>10067932</v>
      </c>
      <c r="AZ34">
        <v>10423616</v>
      </c>
      <c r="BA34">
        <v>10779504</v>
      </c>
      <c r="BB34">
        <v>11139740</v>
      </c>
      <c r="BC34">
        <v>11510535</v>
      </c>
      <c r="BD34">
        <v>11896380</v>
      </c>
      <c r="BE34">
        <v>12298512</v>
      </c>
      <c r="BF34">
        <v>12715465</v>
      </c>
      <c r="BG34">
        <v>13145788</v>
      </c>
      <c r="BH34">
        <v>13587053</v>
      </c>
      <c r="BI34">
        <v>14037472</v>
      </c>
      <c r="BJ34">
        <v>14509877</v>
      </c>
      <c r="BK34">
        <v>14998179</v>
      </c>
      <c r="BL34">
        <v>15502914</v>
      </c>
      <c r="BM34">
        <v>16024635</v>
      </c>
      <c r="BN34">
        <v>16563914</v>
      </c>
      <c r="BO34">
        <v>17121341</v>
      </c>
      <c r="BP34">
        <v>17697527</v>
      </c>
      <c r="BQ34">
        <v>3.3653108355889083E-2</v>
      </c>
      <c r="BR34" s="6">
        <f t="shared" si="3"/>
        <v>12715465</v>
      </c>
      <c r="BT34" s="4">
        <f t="shared" si="4"/>
        <v>3.3591921128516056E-2</v>
      </c>
      <c r="BU34" s="4">
        <f t="shared" si="4"/>
        <v>3.350706027631345E-2</v>
      </c>
      <c r="BV34" s="4">
        <f t="shared" si="4"/>
        <v>3.3628077632003261E-2</v>
      </c>
      <c r="BW34" s="4">
        <f t="shared" si="4"/>
        <v>3.3767271712544344E-2</v>
      </c>
      <c r="BX34" s="4">
        <f t="shared" si="5"/>
        <v>3.3778772878124252E-2</v>
      </c>
      <c r="BY34" s="4">
        <f t="shared" si="5"/>
        <v>3.3615666851334991E-2</v>
      </c>
      <c r="BZ34" s="4">
        <f t="shared" si="5"/>
        <v>3.3553283518819921E-2</v>
      </c>
      <c r="CA34" s="4">
        <f t="shared" si="5"/>
        <v>3.350594006890506E-2</v>
      </c>
      <c r="CB34" s="4">
        <f t="shared" si="5"/>
        <v>3.352745314103478E-2</v>
      </c>
      <c r="CC34" s="4">
        <f t="shared" si="5"/>
        <v>3.3653098441349005E-2</v>
      </c>
      <c r="CD34" s="4">
        <f t="shared" si="5"/>
        <v>3.3653094179773246E-2</v>
      </c>
      <c r="CE34" s="4">
        <f t="shared" si="5"/>
        <v>3.3653099248055485E-2</v>
      </c>
      <c r="CF34" s="4">
        <f t="shared" si="5"/>
        <v>3.3653099944794151E-2</v>
      </c>
      <c r="CH34">
        <v>1259200</v>
      </c>
    </row>
    <row r="35" spans="1:86" x14ac:dyDescent="0.25">
      <c r="A35" s="2">
        <v>33</v>
      </c>
      <c r="B35" s="3" t="s">
        <v>52</v>
      </c>
      <c r="C35" t="s">
        <v>52</v>
      </c>
      <c r="D35" t="s">
        <v>18</v>
      </c>
      <c r="E35">
        <v>1</v>
      </c>
      <c r="F35">
        <v>7695692</v>
      </c>
      <c r="G35">
        <v>7873504</v>
      </c>
      <c r="H35">
        <v>8054166</v>
      </c>
      <c r="I35">
        <v>8237555</v>
      </c>
      <c r="J35">
        <v>8423614</v>
      </c>
      <c r="K35">
        <v>8612074</v>
      </c>
      <c r="L35">
        <v>8802926</v>
      </c>
      <c r="M35">
        <v>8995410</v>
      </c>
      <c r="N35">
        <v>9187592</v>
      </c>
      <c r="O35">
        <v>9377005</v>
      </c>
      <c r="P35">
        <v>9561868</v>
      </c>
      <c r="Q35">
        <v>9741579</v>
      </c>
      <c r="R35">
        <v>9916558</v>
      </c>
      <c r="S35">
        <v>10087377</v>
      </c>
      <c r="T35">
        <v>10255074</v>
      </c>
      <c r="U35">
        <v>10420590</v>
      </c>
      <c r="V35">
        <v>10584237</v>
      </c>
      <c r="W35">
        <v>10746328</v>
      </c>
      <c r="X35">
        <v>10907901</v>
      </c>
      <c r="Y35">
        <v>11070198</v>
      </c>
      <c r="Z35">
        <v>11234340</v>
      </c>
      <c r="AA35">
        <v>11400489</v>
      </c>
      <c r="AB35">
        <v>11569135</v>
      </c>
      <c r="AC35">
        <v>11742057</v>
      </c>
      <c r="AD35">
        <v>11921407</v>
      </c>
      <c r="AE35">
        <v>12108576</v>
      </c>
      <c r="AF35">
        <v>12304203</v>
      </c>
      <c r="AG35">
        <v>12507488</v>
      </c>
      <c r="AH35">
        <v>12716508</v>
      </c>
      <c r="AI35">
        <v>12928491</v>
      </c>
      <c r="AJ35">
        <v>13141202</v>
      </c>
      <c r="AK35">
        <v>13354054</v>
      </c>
      <c r="AL35">
        <v>13566942</v>
      </c>
      <c r="AM35">
        <v>13778676</v>
      </c>
      <c r="AN35">
        <v>13987999</v>
      </c>
      <c r="AO35">
        <v>14193986</v>
      </c>
      <c r="AP35">
        <v>14396020</v>
      </c>
      <c r="AQ35">
        <v>14594070</v>
      </c>
      <c r="AR35">
        <v>14788609</v>
      </c>
      <c r="AS35">
        <v>14980484</v>
      </c>
      <c r="AT35">
        <v>15170387</v>
      </c>
      <c r="AU35">
        <v>15358418</v>
      </c>
      <c r="AV35">
        <v>15544554</v>
      </c>
      <c r="AW35">
        <v>15729268</v>
      </c>
      <c r="AX35">
        <v>15913119</v>
      </c>
      <c r="AY35">
        <v>16096571</v>
      </c>
      <c r="AZ35">
        <v>16279728</v>
      </c>
      <c r="BA35">
        <v>16462701</v>
      </c>
      <c r="BB35">
        <v>16645940</v>
      </c>
      <c r="BC35">
        <v>16829957</v>
      </c>
      <c r="BD35">
        <v>17015048</v>
      </c>
      <c r="BE35">
        <v>17201305</v>
      </c>
      <c r="BF35">
        <v>17388437</v>
      </c>
      <c r="BG35">
        <v>17575833</v>
      </c>
      <c r="BH35">
        <v>17762647</v>
      </c>
      <c r="BI35">
        <v>17948141</v>
      </c>
      <c r="BJ35">
        <v>18140812</v>
      </c>
      <c r="BK35">
        <v>18335552</v>
      </c>
      <c r="BL35">
        <v>18532382</v>
      </c>
      <c r="BM35">
        <v>18731325</v>
      </c>
      <c r="BN35">
        <v>18932404</v>
      </c>
      <c r="BO35">
        <v>19135641</v>
      </c>
      <c r="BP35">
        <v>19341060</v>
      </c>
      <c r="BQ35">
        <v>1.0734892923578876E-2</v>
      </c>
      <c r="BR35" s="6">
        <f t="shared" si="3"/>
        <v>17388437</v>
      </c>
      <c r="BT35" s="4">
        <f t="shared" si="4"/>
        <v>1.1105583236353356E-2</v>
      </c>
      <c r="BU35" s="4">
        <f t="shared" si="4"/>
        <v>1.1032407193988014E-2</v>
      </c>
      <c r="BV35" s="4">
        <f t="shared" si="4"/>
        <v>1.0969504171846722E-2</v>
      </c>
      <c r="BW35" s="4">
        <f t="shared" si="4"/>
        <v>1.0900072657054061E-2</v>
      </c>
      <c r="BX35" s="4">
        <f t="shared" si="5"/>
        <v>1.0807897950589451E-2</v>
      </c>
      <c r="BY35" s="4">
        <f t="shared" si="5"/>
        <v>1.0681971972163362E-2</v>
      </c>
      <c r="BZ35" s="4">
        <f t="shared" si="5"/>
        <v>1.0645959608920563E-2</v>
      </c>
      <c r="CA35" s="4">
        <f t="shared" si="5"/>
        <v>1.0635426819222582E-2</v>
      </c>
      <c r="CB35" s="4">
        <f t="shared" si="5"/>
        <v>1.0661889922800594E-2</v>
      </c>
      <c r="CC35" s="4">
        <f t="shared" si="5"/>
        <v>1.0734887836957974E-2</v>
      </c>
      <c r="CD35" s="4">
        <f t="shared" si="5"/>
        <v>1.073489610979661E-2</v>
      </c>
      <c r="CE35" s="4">
        <f t="shared" si="5"/>
        <v>1.0734887268229354E-2</v>
      </c>
      <c r="CF35" s="4">
        <f t="shared" si="5"/>
        <v>1.0734889076813747E-2</v>
      </c>
      <c r="CH35">
        <v>743812</v>
      </c>
    </row>
    <row r="36" spans="1:86" x14ac:dyDescent="0.25">
      <c r="A36" s="2">
        <v>34</v>
      </c>
      <c r="B36" s="3" t="s">
        <v>53</v>
      </c>
      <c r="C36" t="s">
        <v>53</v>
      </c>
      <c r="D36" t="s">
        <v>25</v>
      </c>
      <c r="E36">
        <v>1</v>
      </c>
      <c r="F36">
        <v>667070000</v>
      </c>
      <c r="G36">
        <v>660330000</v>
      </c>
      <c r="H36">
        <v>665770000</v>
      </c>
      <c r="I36">
        <v>682335000</v>
      </c>
      <c r="J36">
        <v>698355000</v>
      </c>
      <c r="K36">
        <v>715185000</v>
      </c>
      <c r="L36">
        <v>735400000</v>
      </c>
      <c r="M36">
        <v>754550000</v>
      </c>
      <c r="N36">
        <v>774510000</v>
      </c>
      <c r="O36">
        <v>796025000</v>
      </c>
      <c r="P36">
        <v>818315000</v>
      </c>
      <c r="Q36">
        <v>841105000</v>
      </c>
      <c r="R36">
        <v>862030000</v>
      </c>
      <c r="S36">
        <v>881940000</v>
      </c>
      <c r="T36">
        <v>900350000</v>
      </c>
      <c r="U36">
        <v>916395000</v>
      </c>
      <c r="V36">
        <v>930685000</v>
      </c>
      <c r="W36">
        <v>943455000</v>
      </c>
      <c r="X36">
        <v>956165000</v>
      </c>
      <c r="Y36">
        <v>969005000</v>
      </c>
      <c r="Z36">
        <v>981235000</v>
      </c>
      <c r="AA36">
        <v>993885000</v>
      </c>
      <c r="AB36">
        <v>1008630000</v>
      </c>
      <c r="AC36">
        <v>1023310000</v>
      </c>
      <c r="AD36">
        <v>1036825000</v>
      </c>
      <c r="AE36">
        <v>1051040000</v>
      </c>
      <c r="AF36">
        <v>1066790000</v>
      </c>
      <c r="AG36">
        <v>1084035000</v>
      </c>
      <c r="AH36">
        <v>1101630000</v>
      </c>
      <c r="AI36">
        <v>1118650000</v>
      </c>
      <c r="AJ36">
        <v>1135185000</v>
      </c>
      <c r="AK36">
        <v>1150780000</v>
      </c>
      <c r="AL36">
        <v>1164970000</v>
      </c>
      <c r="AM36">
        <v>1178440000</v>
      </c>
      <c r="AN36">
        <v>1191835000</v>
      </c>
      <c r="AO36">
        <v>1204855000</v>
      </c>
      <c r="AP36">
        <v>1217550000</v>
      </c>
      <c r="AQ36">
        <v>1230075000</v>
      </c>
      <c r="AR36">
        <v>1241935000</v>
      </c>
      <c r="AS36">
        <v>1252735000</v>
      </c>
      <c r="AT36">
        <v>1262645000</v>
      </c>
      <c r="AU36">
        <v>1271850000</v>
      </c>
      <c r="AV36">
        <v>1280400000</v>
      </c>
      <c r="AW36">
        <v>1288400000</v>
      </c>
      <c r="AX36">
        <v>1296075000</v>
      </c>
      <c r="AY36">
        <v>1303720000</v>
      </c>
      <c r="AZ36">
        <v>1311020000</v>
      </c>
      <c r="BA36">
        <v>1317885000</v>
      </c>
      <c r="BB36">
        <v>1324655000</v>
      </c>
      <c r="BC36">
        <v>1331260000</v>
      </c>
      <c r="BD36">
        <v>1337705000</v>
      </c>
      <c r="BE36">
        <v>1344130000</v>
      </c>
      <c r="BF36">
        <v>1350695000</v>
      </c>
      <c r="BG36">
        <v>1357380000</v>
      </c>
      <c r="BH36">
        <v>1364270000</v>
      </c>
      <c r="BI36">
        <v>1371220000</v>
      </c>
      <c r="BJ36">
        <v>1378023097</v>
      </c>
      <c r="BK36">
        <v>1384859946</v>
      </c>
      <c r="BL36">
        <v>1391730715</v>
      </c>
      <c r="BM36">
        <v>1398635573</v>
      </c>
      <c r="BN36">
        <v>1405574688</v>
      </c>
      <c r="BO36">
        <v>1412548230</v>
      </c>
      <c r="BP36">
        <v>1419556371</v>
      </c>
      <c r="BQ36">
        <v>4.9613460098301143E-3</v>
      </c>
      <c r="BR36" s="6">
        <f t="shared" si="3"/>
        <v>1350695000</v>
      </c>
      <c r="BT36" s="4">
        <f t="shared" si="4"/>
        <v>5.0502092531548026E-3</v>
      </c>
      <c r="BU36" s="4">
        <f t="shared" si="4"/>
        <v>4.9418671323488983E-3</v>
      </c>
      <c r="BV36" s="4">
        <f t="shared" si="4"/>
        <v>4.878668793739438E-3</v>
      </c>
      <c r="BW36" s="4">
        <f t="shared" si="4"/>
        <v>4.8694446342996134E-3</v>
      </c>
      <c r="BX36" s="4">
        <f t="shared" si="5"/>
        <v>4.928110381480888E-3</v>
      </c>
      <c r="BY36" s="4">
        <f t="shared" si="5"/>
        <v>5.0009358718592356E-3</v>
      </c>
      <c r="BZ36" s="4">
        <f t="shared" si="5"/>
        <v>5.0202240349521698E-3</v>
      </c>
      <c r="CA36" s="4">
        <f t="shared" si="5"/>
        <v>5.02323469567445E-3</v>
      </c>
      <c r="CB36" s="4">
        <f t="shared" si="5"/>
        <v>4.99458262231256E-3</v>
      </c>
      <c r="CC36" s="4">
        <f t="shared" si="5"/>
        <v>4.9613459613084832E-3</v>
      </c>
      <c r="CD36" s="4">
        <f t="shared" si="5"/>
        <v>4.9613459351762756E-3</v>
      </c>
      <c r="CE36" s="4">
        <f t="shared" si="5"/>
        <v>4.9613459408324179E-3</v>
      </c>
      <c r="CF36" s="4">
        <f t="shared" si="5"/>
        <v>4.9613460912698581E-3</v>
      </c>
      <c r="CH36">
        <v>9326410</v>
      </c>
    </row>
    <row r="37" spans="1:86" x14ac:dyDescent="0.25">
      <c r="A37" s="2">
        <v>35</v>
      </c>
      <c r="B37" s="3" t="s">
        <v>54</v>
      </c>
      <c r="C37" t="s">
        <v>54</v>
      </c>
      <c r="D37" t="s">
        <v>18</v>
      </c>
      <c r="E37">
        <v>1</v>
      </c>
      <c r="F37">
        <v>16480384</v>
      </c>
      <c r="G37">
        <v>16982313</v>
      </c>
      <c r="H37">
        <v>17500166</v>
      </c>
      <c r="I37">
        <v>18033548</v>
      </c>
      <c r="J37">
        <v>18581972</v>
      </c>
      <c r="K37">
        <v>19144220</v>
      </c>
      <c r="L37">
        <v>19721464</v>
      </c>
      <c r="M37">
        <v>20311369</v>
      </c>
      <c r="N37">
        <v>20905061</v>
      </c>
      <c r="O37">
        <v>21490948</v>
      </c>
      <c r="P37">
        <v>22061214</v>
      </c>
      <c r="Q37">
        <v>22611988</v>
      </c>
      <c r="R37">
        <v>23146803</v>
      </c>
      <c r="S37">
        <v>23674505</v>
      </c>
      <c r="T37">
        <v>24208022</v>
      </c>
      <c r="U37">
        <v>24756969</v>
      </c>
      <c r="V37">
        <v>25323412</v>
      </c>
      <c r="W37">
        <v>25905124</v>
      </c>
      <c r="X37">
        <v>26502172</v>
      </c>
      <c r="Y37">
        <v>27113510</v>
      </c>
      <c r="Z37">
        <v>27737905</v>
      </c>
      <c r="AA37">
        <v>28375995</v>
      </c>
      <c r="AB37">
        <v>29027158</v>
      </c>
      <c r="AC37">
        <v>29687096</v>
      </c>
      <c r="AD37">
        <v>30350082</v>
      </c>
      <c r="AE37">
        <v>31011686</v>
      </c>
      <c r="AF37">
        <v>31669780</v>
      </c>
      <c r="AG37">
        <v>32324326</v>
      </c>
      <c r="AH37">
        <v>32975533</v>
      </c>
      <c r="AI37">
        <v>33624442</v>
      </c>
      <c r="AJ37">
        <v>34271563</v>
      </c>
      <c r="AK37">
        <v>34916770</v>
      </c>
      <c r="AL37">
        <v>35558683</v>
      </c>
      <c r="AM37">
        <v>36195170</v>
      </c>
      <c r="AN37">
        <v>36823539</v>
      </c>
      <c r="AO37">
        <v>37441980</v>
      </c>
      <c r="AP37">
        <v>38049040</v>
      </c>
      <c r="AQ37">
        <v>38645409</v>
      </c>
      <c r="AR37">
        <v>39234059</v>
      </c>
      <c r="AS37">
        <v>39819279</v>
      </c>
      <c r="AT37">
        <v>40403959</v>
      </c>
      <c r="AU37">
        <v>40988909</v>
      </c>
      <c r="AV37">
        <v>41572493</v>
      </c>
      <c r="AW37">
        <v>42152147</v>
      </c>
      <c r="AX37">
        <v>42724157</v>
      </c>
      <c r="AY37">
        <v>43285636</v>
      </c>
      <c r="AZ37">
        <v>43835744</v>
      </c>
      <c r="BA37">
        <v>44374647</v>
      </c>
      <c r="BB37">
        <v>44901660</v>
      </c>
      <c r="BC37">
        <v>45416276</v>
      </c>
      <c r="BD37">
        <v>45918101</v>
      </c>
      <c r="BE37">
        <v>46406446</v>
      </c>
      <c r="BF37">
        <v>46881018</v>
      </c>
      <c r="BG37">
        <v>47342363</v>
      </c>
      <c r="BH37">
        <v>47791393</v>
      </c>
      <c r="BI37">
        <v>48228704</v>
      </c>
      <c r="BJ37">
        <v>48704594</v>
      </c>
      <c r="BK37">
        <v>49185180</v>
      </c>
      <c r="BL37">
        <v>49670508</v>
      </c>
      <c r="BM37">
        <v>50160625</v>
      </c>
      <c r="BN37">
        <v>50655578</v>
      </c>
      <c r="BO37">
        <v>51155415</v>
      </c>
      <c r="BP37">
        <v>51660184</v>
      </c>
      <c r="BQ37">
        <v>9.8673576509238359E-3</v>
      </c>
      <c r="BR37" s="6">
        <f t="shared" si="3"/>
        <v>46881018</v>
      </c>
      <c r="BT37" s="4">
        <f t="shared" si="4"/>
        <v>1.1670029355633993E-2</v>
      </c>
      <c r="BU37" s="4">
        <f t="shared" si="4"/>
        <v>1.125539038150758E-2</v>
      </c>
      <c r="BV37" s="4">
        <f t="shared" si="4"/>
        <v>1.0842886326276169E-2</v>
      </c>
      <c r="BW37" s="4">
        <f t="shared" si="4"/>
        <v>1.0437841988394592E-2</v>
      </c>
      <c r="BX37" s="4">
        <f t="shared" si="5"/>
        <v>1.0046673300443176E-2</v>
      </c>
      <c r="BY37" s="4">
        <f t="shared" si="5"/>
        <v>9.6755055728905415E-3</v>
      </c>
      <c r="BZ37" s="4">
        <f t="shared" si="5"/>
        <v>9.5857766078046858E-3</v>
      </c>
      <c r="CA37" s="4">
        <f t="shared" si="5"/>
        <v>9.5924252636645502E-3</v>
      </c>
      <c r="CB37" s="4">
        <f t="shared" si="5"/>
        <v>9.6880775159429167E-3</v>
      </c>
      <c r="CC37" s="4">
        <f t="shared" si="5"/>
        <v>9.8673630071870466E-3</v>
      </c>
      <c r="CD37" s="4">
        <f t="shared" si="5"/>
        <v>9.8673632034995684E-3</v>
      </c>
      <c r="CE37" s="4">
        <f t="shared" si="5"/>
        <v>9.867362853144046E-3</v>
      </c>
      <c r="CF37" s="4">
        <f t="shared" si="5"/>
        <v>9.8673627410952314E-3</v>
      </c>
      <c r="CH37">
        <v>1038700</v>
      </c>
    </row>
    <row r="38" spans="1:86" x14ac:dyDescent="0.25">
      <c r="A38" s="2">
        <v>36</v>
      </c>
      <c r="B38" s="3" t="s">
        <v>55</v>
      </c>
      <c r="C38" t="s">
        <v>55</v>
      </c>
      <c r="D38" t="s">
        <v>14</v>
      </c>
      <c r="E38">
        <v>1</v>
      </c>
      <c r="F38">
        <v>188732</v>
      </c>
      <c r="G38">
        <v>191828</v>
      </c>
      <c r="H38">
        <v>194960</v>
      </c>
      <c r="I38">
        <v>198205</v>
      </c>
      <c r="J38">
        <v>201665</v>
      </c>
      <c r="K38">
        <v>205412</v>
      </c>
      <c r="L38">
        <v>209536</v>
      </c>
      <c r="M38">
        <v>214038</v>
      </c>
      <c r="N38">
        <v>218794</v>
      </c>
      <c r="O38">
        <v>223629</v>
      </c>
      <c r="P38">
        <v>228443</v>
      </c>
      <c r="Q38">
        <v>233125</v>
      </c>
      <c r="R38">
        <v>237797</v>
      </c>
      <c r="S38">
        <v>242875</v>
      </c>
      <c r="T38">
        <v>248921</v>
      </c>
      <c r="U38">
        <v>256309</v>
      </c>
      <c r="V38">
        <v>265234</v>
      </c>
      <c r="W38">
        <v>275496</v>
      </c>
      <c r="X38">
        <v>286583</v>
      </c>
      <c r="Y38">
        <v>297765</v>
      </c>
      <c r="Z38">
        <v>308518</v>
      </c>
      <c r="AA38">
        <v>318659</v>
      </c>
      <c r="AB38">
        <v>328355</v>
      </c>
      <c r="AC38">
        <v>337853</v>
      </c>
      <c r="AD38">
        <v>347548</v>
      </c>
      <c r="AE38">
        <v>357729</v>
      </c>
      <c r="AF38">
        <v>368443</v>
      </c>
      <c r="AG38">
        <v>379589</v>
      </c>
      <c r="AH38">
        <v>391133</v>
      </c>
      <c r="AI38">
        <v>403003</v>
      </c>
      <c r="AJ38">
        <v>415144</v>
      </c>
      <c r="AK38">
        <v>427556</v>
      </c>
      <c r="AL38">
        <v>440252</v>
      </c>
      <c r="AM38">
        <v>453188</v>
      </c>
      <c r="AN38">
        <v>466309</v>
      </c>
      <c r="AO38">
        <v>479574</v>
      </c>
      <c r="AP38">
        <v>492979</v>
      </c>
      <c r="AQ38">
        <v>506525</v>
      </c>
      <c r="AR38">
        <v>520180</v>
      </c>
      <c r="AS38">
        <v>533909</v>
      </c>
      <c r="AT38">
        <v>547696</v>
      </c>
      <c r="AU38">
        <v>561525</v>
      </c>
      <c r="AV38">
        <v>575428</v>
      </c>
      <c r="AW38">
        <v>589500</v>
      </c>
      <c r="AX38">
        <v>603869</v>
      </c>
      <c r="AY38">
        <v>618632</v>
      </c>
      <c r="AZ38">
        <v>633814</v>
      </c>
      <c r="BA38">
        <v>649404</v>
      </c>
      <c r="BB38">
        <v>665414</v>
      </c>
      <c r="BC38">
        <v>681845</v>
      </c>
      <c r="BD38">
        <v>698695</v>
      </c>
      <c r="BE38">
        <v>715972</v>
      </c>
      <c r="BF38">
        <v>733661</v>
      </c>
      <c r="BG38">
        <v>751697</v>
      </c>
      <c r="BH38">
        <v>769991</v>
      </c>
      <c r="BI38">
        <v>788474</v>
      </c>
      <c r="BJ38">
        <v>807769</v>
      </c>
      <c r="BK38">
        <v>827536</v>
      </c>
      <c r="BL38">
        <v>847787</v>
      </c>
      <c r="BM38">
        <v>868534</v>
      </c>
      <c r="BN38">
        <v>889788</v>
      </c>
      <c r="BO38">
        <v>911563</v>
      </c>
      <c r="BP38">
        <v>933870</v>
      </c>
      <c r="BQ38">
        <v>2.4471658416751474E-2</v>
      </c>
      <c r="BR38" s="6">
        <f t="shared" si="3"/>
        <v>733661</v>
      </c>
      <c r="BT38" s="4">
        <f t="shared" si="4"/>
        <v>2.466393787859622E-2</v>
      </c>
      <c r="BU38" s="4">
        <f t="shared" si="4"/>
        <v>2.4696539997401068E-2</v>
      </c>
      <c r="BV38" s="4">
        <f t="shared" si="4"/>
        <v>2.4709765036220688E-2</v>
      </c>
      <c r="BW38" s="4">
        <f t="shared" si="4"/>
        <v>2.4682429271771111E-2</v>
      </c>
      <c r="BX38" s="4">
        <f t="shared" si="5"/>
        <v>2.4588562195382302E-2</v>
      </c>
      <c r="BY38" s="4">
        <f t="shared" si="5"/>
        <v>2.4407701067224563E-2</v>
      </c>
      <c r="BZ38" s="4">
        <f t="shared" si="5"/>
        <v>2.4348974912585808E-2</v>
      </c>
      <c r="CA38" s="4">
        <f t="shared" si="5"/>
        <v>2.4320866169859956E-2</v>
      </c>
      <c r="CB38" s="4">
        <f t="shared" si="5"/>
        <v>2.4354491312323256E-2</v>
      </c>
      <c r="CC38" s="4">
        <f t="shared" si="5"/>
        <v>2.4471454299751283E-2</v>
      </c>
      <c r="CD38" s="4">
        <f t="shared" si="5"/>
        <v>2.4471404237423444E-2</v>
      </c>
      <c r="CE38" s="4">
        <f t="shared" si="5"/>
        <v>2.4471658354255021E-2</v>
      </c>
      <c r="CF38" s="4">
        <f t="shared" si="5"/>
        <v>2.4471586517334609E-2</v>
      </c>
      <c r="CH38">
        <v>2235</v>
      </c>
    </row>
    <row r="39" spans="1:86" x14ac:dyDescent="0.25">
      <c r="A39" s="2">
        <v>37</v>
      </c>
      <c r="B39" s="3" t="s">
        <v>56</v>
      </c>
      <c r="C39" t="s">
        <v>57</v>
      </c>
      <c r="D39" t="s">
        <v>33</v>
      </c>
      <c r="E39">
        <v>1</v>
      </c>
      <c r="F39">
        <v>1333042</v>
      </c>
      <c r="G39">
        <v>1381920</v>
      </c>
      <c r="H39">
        <v>1432583</v>
      </c>
      <c r="I39">
        <v>1484512</v>
      </c>
      <c r="J39">
        <v>1537035</v>
      </c>
      <c r="K39">
        <v>1589625</v>
      </c>
      <c r="L39">
        <v>1642189</v>
      </c>
      <c r="M39">
        <v>1694711</v>
      </c>
      <c r="N39">
        <v>1746870</v>
      </c>
      <c r="O39">
        <v>1798315</v>
      </c>
      <c r="P39">
        <v>1848873</v>
      </c>
      <c r="Q39">
        <v>1898366</v>
      </c>
      <c r="R39">
        <v>1947048</v>
      </c>
      <c r="S39">
        <v>1995744</v>
      </c>
      <c r="T39">
        <v>2045580</v>
      </c>
      <c r="U39">
        <v>2097410</v>
      </c>
      <c r="V39">
        <v>2151492</v>
      </c>
      <c r="W39">
        <v>2207727</v>
      </c>
      <c r="X39">
        <v>2266153</v>
      </c>
      <c r="Y39">
        <v>2326708</v>
      </c>
      <c r="Z39">
        <v>2389309</v>
      </c>
      <c r="AA39">
        <v>2454127</v>
      </c>
      <c r="AB39">
        <v>2521163</v>
      </c>
      <c r="AC39">
        <v>2589932</v>
      </c>
      <c r="AD39">
        <v>2659772</v>
      </c>
      <c r="AE39">
        <v>2730231</v>
      </c>
      <c r="AF39">
        <v>2800986</v>
      </c>
      <c r="AG39">
        <v>2872214</v>
      </c>
      <c r="AH39">
        <v>2944560</v>
      </c>
      <c r="AI39">
        <v>3018953</v>
      </c>
      <c r="AJ39">
        <v>3095994</v>
      </c>
      <c r="AK39">
        <v>3175654</v>
      </c>
      <c r="AL39">
        <v>3257463</v>
      </c>
      <c r="AM39">
        <v>3341005</v>
      </c>
      <c r="AN39">
        <v>3425692</v>
      </c>
      <c r="AO39">
        <v>3510925</v>
      </c>
      <c r="AP39">
        <v>3596733</v>
      </c>
      <c r="AQ39">
        <v>3682725</v>
      </c>
      <c r="AR39">
        <v>3767369</v>
      </c>
      <c r="AS39">
        <v>3848725</v>
      </c>
      <c r="AT39">
        <v>3925450</v>
      </c>
      <c r="AU39">
        <v>3996800</v>
      </c>
      <c r="AV39">
        <v>4063208</v>
      </c>
      <c r="AW39">
        <v>4125970</v>
      </c>
      <c r="AX39">
        <v>4187039</v>
      </c>
      <c r="AY39">
        <v>4247843</v>
      </c>
      <c r="AZ39">
        <v>4308790</v>
      </c>
      <c r="BA39">
        <v>4369465</v>
      </c>
      <c r="BB39">
        <v>4429506</v>
      </c>
      <c r="BC39">
        <v>4488261</v>
      </c>
      <c r="BD39">
        <v>4545273</v>
      </c>
      <c r="BE39">
        <v>4600487</v>
      </c>
      <c r="BF39">
        <v>4654148</v>
      </c>
      <c r="BG39">
        <v>4706433</v>
      </c>
      <c r="BH39">
        <v>4757606</v>
      </c>
      <c r="BI39">
        <v>4807850</v>
      </c>
      <c r="BJ39">
        <v>4862158</v>
      </c>
      <c r="BK39">
        <v>4917080</v>
      </c>
      <c r="BL39">
        <v>4972622</v>
      </c>
      <c r="BM39">
        <v>5028792</v>
      </c>
      <c r="BN39">
        <v>5085596</v>
      </c>
      <c r="BO39">
        <v>5143042</v>
      </c>
      <c r="BP39">
        <v>5201137</v>
      </c>
      <c r="BQ39">
        <v>1.1295762111898089E-2</v>
      </c>
      <c r="BR39" s="6">
        <f t="shared" si="3"/>
        <v>4654148</v>
      </c>
      <c r="BT39" s="4">
        <f t="shared" si="4"/>
        <v>1.3447279595784734E-2</v>
      </c>
      <c r="BU39" s="4">
        <f t="shared" si="4"/>
        <v>1.2963707495637466E-2</v>
      </c>
      <c r="BV39" s="4">
        <f t="shared" si="4"/>
        <v>1.244449615953469E-2</v>
      </c>
      <c r="BW39" s="4">
        <f t="shared" si="4"/>
        <v>1.193692683957992E-2</v>
      </c>
      <c r="BX39" s="4">
        <f t="shared" si="5"/>
        <v>1.1479592741910016E-2</v>
      </c>
      <c r="BY39" s="4">
        <f t="shared" si="5"/>
        <v>1.1082923379438725E-2</v>
      </c>
      <c r="BZ39" s="4">
        <f t="shared" si="5"/>
        <v>1.0990837134020159E-2</v>
      </c>
      <c r="CA39" s="4">
        <f t="shared" si="5"/>
        <v>1.1006268713625422E-2</v>
      </c>
      <c r="CB39" s="4">
        <f t="shared" si="5"/>
        <v>1.1111950609546728E-2</v>
      </c>
      <c r="CC39" s="4">
        <f t="shared" si="5"/>
        <v>1.1295770190028476E-2</v>
      </c>
      <c r="CD39" s="4">
        <f t="shared" si="5"/>
        <v>1.1295785446498785E-2</v>
      </c>
      <c r="CE39" s="4">
        <f t="shared" si="5"/>
        <v>1.1295789742981066E-2</v>
      </c>
      <c r="CF39" s="4">
        <f t="shared" si="5"/>
        <v>1.1295818647495626E-2</v>
      </c>
      <c r="CH39">
        <v>51060</v>
      </c>
    </row>
    <row r="40" spans="1:86" x14ac:dyDescent="0.25">
      <c r="A40" s="2">
        <v>38</v>
      </c>
      <c r="B40" s="3" t="s">
        <v>58</v>
      </c>
      <c r="C40" t="s">
        <v>58</v>
      </c>
      <c r="D40" t="s">
        <v>7</v>
      </c>
      <c r="E40">
        <v>1</v>
      </c>
      <c r="F40">
        <v>4140000</v>
      </c>
      <c r="G40">
        <v>4171672</v>
      </c>
      <c r="H40">
        <v>4202104</v>
      </c>
      <c r="I40">
        <v>4231408</v>
      </c>
      <c r="J40">
        <v>4259680</v>
      </c>
      <c r="K40">
        <v>4287000</v>
      </c>
      <c r="L40">
        <v>4313000</v>
      </c>
      <c r="M40">
        <v>4339000</v>
      </c>
      <c r="N40">
        <v>4364000</v>
      </c>
      <c r="O40">
        <v>4387000</v>
      </c>
      <c r="P40">
        <v>4411000</v>
      </c>
      <c r="Q40">
        <v>4435000</v>
      </c>
      <c r="R40">
        <v>4457000</v>
      </c>
      <c r="S40">
        <v>4478000</v>
      </c>
      <c r="T40">
        <v>4497000</v>
      </c>
      <c r="U40">
        <v>4514000</v>
      </c>
      <c r="V40">
        <v>4530000</v>
      </c>
      <c r="W40">
        <v>4532000</v>
      </c>
      <c r="X40">
        <v>4556000</v>
      </c>
      <c r="Y40">
        <v>4571000</v>
      </c>
      <c r="Z40">
        <v>4588000</v>
      </c>
      <c r="AA40">
        <v>4608000</v>
      </c>
      <c r="AB40">
        <v>4635000</v>
      </c>
      <c r="AC40">
        <v>4659000</v>
      </c>
      <c r="AD40">
        <v>4680000</v>
      </c>
      <c r="AE40">
        <v>4701000</v>
      </c>
      <c r="AF40">
        <v>4722000</v>
      </c>
      <c r="AG40">
        <v>4740000</v>
      </c>
      <c r="AH40">
        <v>4757000</v>
      </c>
      <c r="AI40">
        <v>4767000</v>
      </c>
      <c r="AJ40">
        <v>4780000</v>
      </c>
      <c r="AK40">
        <v>4510000</v>
      </c>
      <c r="AL40">
        <v>4470000</v>
      </c>
      <c r="AM40">
        <v>4640000</v>
      </c>
      <c r="AN40">
        <v>4650000</v>
      </c>
      <c r="AO40">
        <v>4669000</v>
      </c>
      <c r="AP40">
        <v>4494000</v>
      </c>
      <c r="AQ40">
        <v>4572000</v>
      </c>
      <c r="AR40">
        <v>4501000</v>
      </c>
      <c r="AS40">
        <v>4554000</v>
      </c>
      <c r="AT40">
        <v>4426000</v>
      </c>
      <c r="AU40">
        <v>4440000</v>
      </c>
      <c r="AV40">
        <v>4440000</v>
      </c>
      <c r="AW40">
        <v>4440000</v>
      </c>
      <c r="AX40">
        <v>4439000</v>
      </c>
      <c r="AY40">
        <v>4442000</v>
      </c>
      <c r="AZ40">
        <v>4440000</v>
      </c>
      <c r="BA40">
        <v>4436000</v>
      </c>
      <c r="BB40">
        <v>4434508</v>
      </c>
      <c r="BC40">
        <v>4429078</v>
      </c>
      <c r="BD40">
        <v>4417781</v>
      </c>
      <c r="BE40">
        <v>4280622</v>
      </c>
      <c r="BF40">
        <v>4267558</v>
      </c>
      <c r="BG40">
        <v>4255689</v>
      </c>
      <c r="BH40">
        <v>4238389</v>
      </c>
      <c r="BI40">
        <v>4224404</v>
      </c>
      <c r="BJ40">
        <v>4186756</v>
      </c>
      <c r="BK40">
        <v>4149444</v>
      </c>
      <c r="BL40">
        <v>4112464</v>
      </c>
      <c r="BM40">
        <v>4075814</v>
      </c>
      <c r="BN40">
        <v>4039491</v>
      </c>
      <c r="BO40">
        <v>4003491</v>
      </c>
      <c r="BP40">
        <v>3967812</v>
      </c>
      <c r="BQ40">
        <v>-8.9119209209335137E-3</v>
      </c>
      <c r="BR40" s="6">
        <f t="shared" si="3"/>
        <v>4267558</v>
      </c>
      <c r="BT40" s="4">
        <f t="shared" si="4"/>
        <v>-1.2534244605331146E-3</v>
      </c>
      <c r="BU40" s="4">
        <f t="shared" si="4"/>
        <v>-8.8740767151621602E-3</v>
      </c>
      <c r="BV40" s="4">
        <f t="shared" si="4"/>
        <v>-9.5478538128388468E-3</v>
      </c>
      <c r="BW40" s="4">
        <f t="shared" si="4"/>
        <v>-9.9340183875008536E-3</v>
      </c>
      <c r="BX40" s="4">
        <f t="shared" si="5"/>
        <v>-1.0310055621792991E-2</v>
      </c>
      <c r="BY40" s="4">
        <f t="shared" si="5"/>
        <v>-3.2995794754562269E-3</v>
      </c>
      <c r="BZ40" s="4">
        <f t="shared" si="5"/>
        <v>-4.7674885183880411E-3</v>
      </c>
      <c r="CA40" s="4">
        <f t="shared" si="5"/>
        <v>-6.3006488159296214E-3</v>
      </c>
      <c r="CB40" s="4">
        <f t="shared" si="5"/>
        <v>-7.5118643426587139E-3</v>
      </c>
      <c r="CC40" s="4">
        <f t="shared" si="5"/>
        <v>-8.9119769117840253E-3</v>
      </c>
      <c r="CD40" s="4">
        <f t="shared" si="5"/>
        <v>-8.911930172885274E-3</v>
      </c>
      <c r="CE40" s="4">
        <f t="shared" si="5"/>
        <v>-8.9119557134914595E-3</v>
      </c>
      <c r="CF40" s="4">
        <f t="shared" si="5"/>
        <v>-8.9119393896446297E-3</v>
      </c>
      <c r="CH40">
        <v>55974</v>
      </c>
    </row>
    <row r="41" spans="1:86" x14ac:dyDescent="0.25">
      <c r="A41" s="2">
        <v>39</v>
      </c>
      <c r="B41" s="3" t="s">
        <v>59</v>
      </c>
      <c r="C41" t="s">
        <v>59</v>
      </c>
      <c r="D41" t="s">
        <v>16</v>
      </c>
      <c r="E41">
        <v>1</v>
      </c>
      <c r="F41">
        <v>7141129</v>
      </c>
      <c r="G41">
        <v>7289828</v>
      </c>
      <c r="H41">
        <v>7450404</v>
      </c>
      <c r="I41">
        <v>7618359</v>
      </c>
      <c r="J41">
        <v>7787149</v>
      </c>
      <c r="K41">
        <v>7951928</v>
      </c>
      <c r="L41">
        <v>8110428</v>
      </c>
      <c r="M41">
        <v>8263547</v>
      </c>
      <c r="N41">
        <v>8413329</v>
      </c>
      <c r="O41">
        <v>8563191</v>
      </c>
      <c r="P41">
        <v>8715123</v>
      </c>
      <c r="Q41">
        <v>8869961</v>
      </c>
      <c r="R41">
        <v>9025299</v>
      </c>
      <c r="S41">
        <v>9176051</v>
      </c>
      <c r="T41">
        <v>9315371</v>
      </c>
      <c r="U41">
        <v>9438445</v>
      </c>
      <c r="V41">
        <v>9544268</v>
      </c>
      <c r="W41">
        <v>9634677</v>
      </c>
      <c r="X41">
        <v>9711393</v>
      </c>
      <c r="Y41">
        <v>9777287</v>
      </c>
      <c r="Z41">
        <v>9835177</v>
      </c>
      <c r="AA41">
        <v>9884219</v>
      </c>
      <c r="AB41">
        <v>9925618</v>
      </c>
      <c r="AC41">
        <v>9966733</v>
      </c>
      <c r="AD41">
        <v>10017061</v>
      </c>
      <c r="AE41">
        <v>10082990</v>
      </c>
      <c r="AF41">
        <v>10167998</v>
      </c>
      <c r="AG41">
        <v>10269276</v>
      </c>
      <c r="AH41">
        <v>10379080</v>
      </c>
      <c r="AI41">
        <v>10486110</v>
      </c>
      <c r="AJ41">
        <v>10582082</v>
      </c>
      <c r="AK41">
        <v>10664577</v>
      </c>
      <c r="AL41">
        <v>10735775</v>
      </c>
      <c r="AM41">
        <v>10797556</v>
      </c>
      <c r="AN41">
        <v>10853435</v>
      </c>
      <c r="AO41">
        <v>10906048</v>
      </c>
      <c r="AP41">
        <v>10955372</v>
      </c>
      <c r="AQ41">
        <v>11000431</v>
      </c>
      <c r="AR41">
        <v>11041893</v>
      </c>
      <c r="AS41">
        <v>11080506</v>
      </c>
      <c r="AT41">
        <v>11116787</v>
      </c>
      <c r="AU41">
        <v>11151472</v>
      </c>
      <c r="AV41">
        <v>11184540</v>
      </c>
      <c r="AW41">
        <v>11214837</v>
      </c>
      <c r="AX41">
        <v>11240680</v>
      </c>
      <c r="AY41">
        <v>11261052</v>
      </c>
      <c r="AZ41">
        <v>11275199</v>
      </c>
      <c r="BA41">
        <v>11284043</v>
      </c>
      <c r="BB41">
        <v>11290239</v>
      </c>
      <c r="BC41">
        <v>11297442</v>
      </c>
      <c r="BD41">
        <v>11308133</v>
      </c>
      <c r="BE41">
        <v>11323570</v>
      </c>
      <c r="BF41">
        <v>11342631</v>
      </c>
      <c r="BG41">
        <v>11362505</v>
      </c>
      <c r="BH41">
        <v>11379111</v>
      </c>
      <c r="BI41">
        <v>11389562</v>
      </c>
      <c r="BJ41">
        <v>11405918</v>
      </c>
      <c r="BK41">
        <v>11422298</v>
      </c>
      <c r="BL41">
        <v>11438701</v>
      </c>
      <c r="BM41">
        <v>11455128</v>
      </c>
      <c r="BN41">
        <v>11471578</v>
      </c>
      <c r="BO41">
        <v>11488052</v>
      </c>
      <c r="BP41">
        <v>11504549</v>
      </c>
      <c r="BQ41">
        <v>1.4360542573870205E-3</v>
      </c>
      <c r="BR41" s="6">
        <f t="shared" si="3"/>
        <v>11342631</v>
      </c>
      <c r="BT41" s="4">
        <f t="shared" si="4"/>
        <v>7.2943251822521482E-4</v>
      </c>
      <c r="BU41" s="4">
        <f t="shared" si="4"/>
        <v>8.7457978277627468E-4</v>
      </c>
      <c r="BV41" s="4">
        <f t="shared" si="4"/>
        <v>1.1581037992915988E-3</v>
      </c>
      <c r="BW41" s="4">
        <f t="shared" si="4"/>
        <v>1.4366738125795031E-3</v>
      </c>
      <c r="BX41" s="4">
        <f t="shared" si="5"/>
        <v>1.5655003161880732E-3</v>
      </c>
      <c r="BY41" s="4">
        <f t="shared" si="5"/>
        <v>1.4537876897471325E-3</v>
      </c>
      <c r="BZ41" s="4">
        <f t="shared" si="5"/>
        <v>1.3919832952693501E-3</v>
      </c>
      <c r="CA41" s="4">
        <f t="shared" si="5"/>
        <v>1.3129888051837124E-3</v>
      </c>
      <c r="CB41" s="4">
        <f t="shared" si="5"/>
        <v>1.3066340070009286E-3</v>
      </c>
      <c r="CC41" s="4">
        <f t="shared" si="5"/>
        <v>1.4360721825124045E-3</v>
      </c>
      <c r="CD41" s="4">
        <f t="shared" si="5"/>
        <v>1.4360687742898115E-3</v>
      </c>
      <c r="CE41" s="4">
        <f t="shared" si="5"/>
        <v>1.4360623649185555E-3</v>
      </c>
      <c r="CF41" s="4">
        <f t="shared" si="5"/>
        <v>1.436053092605194E-3</v>
      </c>
      <c r="CH41">
        <v>109820</v>
      </c>
    </row>
    <row r="42" spans="1:86" x14ac:dyDescent="0.25">
      <c r="A42" s="2">
        <v>40</v>
      </c>
      <c r="B42" s="3" t="s">
        <v>60</v>
      </c>
      <c r="C42" t="s">
        <v>60</v>
      </c>
      <c r="D42" t="s">
        <v>23</v>
      </c>
      <c r="E42">
        <v>1</v>
      </c>
      <c r="F42">
        <v>572929</v>
      </c>
      <c r="G42">
        <v>576395</v>
      </c>
      <c r="H42">
        <v>577691</v>
      </c>
      <c r="I42">
        <v>577912</v>
      </c>
      <c r="J42">
        <v>578629</v>
      </c>
      <c r="K42">
        <v>580971</v>
      </c>
      <c r="L42">
        <v>585311</v>
      </c>
      <c r="M42">
        <v>591304</v>
      </c>
      <c r="N42">
        <v>598491</v>
      </c>
      <c r="O42">
        <v>606117</v>
      </c>
      <c r="P42">
        <v>613619</v>
      </c>
      <c r="Q42">
        <v>620860</v>
      </c>
      <c r="R42">
        <v>628000</v>
      </c>
      <c r="S42">
        <v>635109</v>
      </c>
      <c r="T42">
        <v>642335</v>
      </c>
      <c r="U42">
        <v>649755</v>
      </c>
      <c r="V42">
        <v>657526</v>
      </c>
      <c r="W42">
        <v>665528</v>
      </c>
      <c r="X42">
        <v>673252</v>
      </c>
      <c r="Y42">
        <v>680013</v>
      </c>
      <c r="Z42">
        <v>685406</v>
      </c>
      <c r="AA42">
        <v>689173</v>
      </c>
      <c r="AB42">
        <v>691711</v>
      </c>
      <c r="AC42">
        <v>694074</v>
      </c>
      <c r="AD42">
        <v>697717</v>
      </c>
      <c r="AE42">
        <v>703693</v>
      </c>
      <c r="AF42">
        <v>712340</v>
      </c>
      <c r="AG42">
        <v>723380</v>
      </c>
      <c r="AH42">
        <v>736477</v>
      </c>
      <c r="AI42">
        <v>751047</v>
      </c>
      <c r="AJ42">
        <v>766611</v>
      </c>
      <c r="AK42">
        <v>783138</v>
      </c>
      <c r="AL42">
        <v>800660</v>
      </c>
      <c r="AM42">
        <v>818814</v>
      </c>
      <c r="AN42">
        <v>837166</v>
      </c>
      <c r="AO42">
        <v>855389</v>
      </c>
      <c r="AP42">
        <v>873246</v>
      </c>
      <c r="AQ42">
        <v>890733</v>
      </c>
      <c r="AR42">
        <v>908040</v>
      </c>
      <c r="AS42">
        <v>925491</v>
      </c>
      <c r="AT42">
        <v>943287</v>
      </c>
      <c r="AU42">
        <v>961482</v>
      </c>
      <c r="AV42">
        <v>979883</v>
      </c>
      <c r="AW42">
        <v>998150</v>
      </c>
      <c r="AX42">
        <v>1015827</v>
      </c>
      <c r="AY42">
        <v>1032586</v>
      </c>
      <c r="AZ42">
        <v>1048293</v>
      </c>
      <c r="BA42">
        <v>1063040</v>
      </c>
      <c r="BB42">
        <v>1077010</v>
      </c>
      <c r="BC42">
        <v>1090486</v>
      </c>
      <c r="BD42">
        <v>1103685</v>
      </c>
      <c r="BE42">
        <v>1116644</v>
      </c>
      <c r="BF42">
        <v>1129303</v>
      </c>
      <c r="BG42">
        <v>1141652</v>
      </c>
      <c r="BH42">
        <v>1153658</v>
      </c>
      <c r="BI42">
        <v>1165300</v>
      </c>
      <c r="BJ42">
        <v>1178030</v>
      </c>
      <c r="BK42">
        <v>1190899</v>
      </c>
      <c r="BL42">
        <v>1203908</v>
      </c>
      <c r="BM42">
        <v>1217060</v>
      </c>
      <c r="BN42">
        <v>1230355</v>
      </c>
      <c r="BO42">
        <v>1243795</v>
      </c>
      <c r="BP42">
        <v>1257382</v>
      </c>
      <c r="BQ42">
        <v>1.092403294775468E-2</v>
      </c>
      <c r="BR42" s="6">
        <f t="shared" si="3"/>
        <v>1129303</v>
      </c>
      <c r="BT42" s="4">
        <f t="shared" si="4"/>
        <v>1.2956075502681852E-2</v>
      </c>
      <c r="BU42" s="4">
        <f t="shared" si="4"/>
        <v>1.2374698338763368E-2</v>
      </c>
      <c r="BV42" s="4">
        <f t="shared" si="4"/>
        <v>1.1923511278945309E-2</v>
      </c>
      <c r="BW42" s="4">
        <f t="shared" si="4"/>
        <v>1.1529171401943428E-2</v>
      </c>
      <c r="BX42" s="4">
        <f t="shared" si="5"/>
        <v>1.1132303685226663E-2</v>
      </c>
      <c r="BY42" s="4">
        <f t="shared" si="5"/>
        <v>1.071975072329745E-2</v>
      </c>
      <c r="BZ42" s="4">
        <f t="shared" si="5"/>
        <v>1.0616692227812585E-2</v>
      </c>
      <c r="CA42" s="4">
        <f t="shared" si="5"/>
        <v>1.0613969706121384E-2</v>
      </c>
      <c r="CB42" s="4">
        <f t="shared" si="5"/>
        <v>1.0715799369676482E-2</v>
      </c>
      <c r="CC42" s="4">
        <f t="shared" si="5"/>
        <v>1.0924124668985069E-2</v>
      </c>
      <c r="CD42" s="4">
        <f t="shared" si="5"/>
        <v>1.0924034715942721E-2</v>
      </c>
      <c r="CE42" s="4">
        <f t="shared" si="5"/>
        <v>1.092391133774262E-2</v>
      </c>
      <c r="CF42" s="4">
        <f t="shared" si="5"/>
        <v>1.0923947719233551E-2</v>
      </c>
      <c r="CH42">
        <v>9241</v>
      </c>
    </row>
    <row r="43" spans="1:86" x14ac:dyDescent="0.25">
      <c r="A43" s="2">
        <v>41</v>
      </c>
      <c r="B43" s="3" t="s">
        <v>61</v>
      </c>
      <c r="C43" t="s">
        <v>62</v>
      </c>
      <c r="D43" t="s">
        <v>23</v>
      </c>
      <c r="E43">
        <v>1</v>
      </c>
      <c r="F43">
        <v>9602006</v>
      </c>
      <c r="G43">
        <v>9586651</v>
      </c>
      <c r="H43">
        <v>9624660</v>
      </c>
      <c r="I43">
        <v>9670685</v>
      </c>
      <c r="J43">
        <v>9727804</v>
      </c>
      <c r="K43">
        <v>9779358</v>
      </c>
      <c r="L43">
        <v>9821040</v>
      </c>
      <c r="M43">
        <v>9852899</v>
      </c>
      <c r="N43">
        <v>9876346</v>
      </c>
      <c r="O43">
        <v>9896580</v>
      </c>
      <c r="P43">
        <v>9858071</v>
      </c>
      <c r="Q43">
        <v>9826815</v>
      </c>
      <c r="R43">
        <v>9867632</v>
      </c>
      <c r="S43">
        <v>9922266</v>
      </c>
      <c r="T43">
        <v>9988459</v>
      </c>
      <c r="U43">
        <v>10058620</v>
      </c>
      <c r="V43">
        <v>10125939</v>
      </c>
      <c r="W43">
        <v>10186755</v>
      </c>
      <c r="X43">
        <v>10242098</v>
      </c>
      <c r="Y43">
        <v>10292341</v>
      </c>
      <c r="Z43">
        <v>10304193</v>
      </c>
      <c r="AA43">
        <v>10300591</v>
      </c>
      <c r="AB43">
        <v>10314826</v>
      </c>
      <c r="AC43">
        <v>10323856</v>
      </c>
      <c r="AD43">
        <v>10330213</v>
      </c>
      <c r="AE43">
        <v>10337118</v>
      </c>
      <c r="AF43">
        <v>10342227</v>
      </c>
      <c r="AG43">
        <v>10347318</v>
      </c>
      <c r="AH43">
        <v>10355276</v>
      </c>
      <c r="AI43">
        <v>10361068</v>
      </c>
      <c r="AJ43">
        <v>10333355</v>
      </c>
      <c r="AK43">
        <v>10308578</v>
      </c>
      <c r="AL43">
        <v>10319123</v>
      </c>
      <c r="AM43">
        <v>10329855</v>
      </c>
      <c r="AN43">
        <v>10333587</v>
      </c>
      <c r="AO43">
        <v>10327253</v>
      </c>
      <c r="AP43">
        <v>10315241</v>
      </c>
      <c r="AQ43">
        <v>10304131</v>
      </c>
      <c r="AR43">
        <v>10294373</v>
      </c>
      <c r="AS43">
        <v>10283860</v>
      </c>
      <c r="AT43">
        <v>10255063</v>
      </c>
      <c r="AU43">
        <v>10216605</v>
      </c>
      <c r="AV43">
        <v>10196916</v>
      </c>
      <c r="AW43">
        <v>10193998</v>
      </c>
      <c r="AX43">
        <v>10197101</v>
      </c>
      <c r="AY43">
        <v>10211216</v>
      </c>
      <c r="AZ43">
        <v>10238905</v>
      </c>
      <c r="BA43">
        <v>10298828</v>
      </c>
      <c r="BB43">
        <v>10384603</v>
      </c>
      <c r="BC43">
        <v>10443936</v>
      </c>
      <c r="BD43">
        <v>10474410</v>
      </c>
      <c r="BE43">
        <v>10496088</v>
      </c>
      <c r="BF43">
        <v>10510785</v>
      </c>
      <c r="BG43">
        <v>10514272</v>
      </c>
      <c r="BH43">
        <v>10525347</v>
      </c>
      <c r="BI43">
        <v>10551219</v>
      </c>
      <c r="BJ43">
        <v>10566648</v>
      </c>
      <c r="BK43">
        <v>10582100</v>
      </c>
      <c r="BL43">
        <v>10597574</v>
      </c>
      <c r="BM43">
        <v>10613071</v>
      </c>
      <c r="BN43">
        <v>10628591</v>
      </c>
      <c r="BO43">
        <v>10644133</v>
      </c>
      <c r="BP43">
        <v>10659698</v>
      </c>
      <c r="BQ43">
        <v>1.4623198747956145E-3</v>
      </c>
      <c r="BR43" s="6">
        <f t="shared" si="3"/>
        <v>10510785</v>
      </c>
      <c r="BT43" s="4">
        <f t="shared" si="4"/>
        <v>5.7013057681813972E-3</v>
      </c>
      <c r="BU43" s="4">
        <f t="shared" si="4"/>
        <v>4.7543949294335253E-3</v>
      </c>
      <c r="BV43" s="4">
        <f t="shared" si="4"/>
        <v>3.0239741348296878E-3</v>
      </c>
      <c r="BW43" s="4">
        <f t="shared" si="4"/>
        <v>1.6794210088058037E-3</v>
      </c>
      <c r="BX43" s="4">
        <f t="shared" si="5"/>
        <v>1.2135378685411702E-3</v>
      </c>
      <c r="BY43" s="4">
        <f t="shared" si="5"/>
        <v>1.3105535151889391E-3</v>
      </c>
      <c r="BZ43" s="4">
        <f t="shared" si="5"/>
        <v>1.3260666452992176E-3</v>
      </c>
      <c r="CA43" s="4">
        <f t="shared" si="5"/>
        <v>1.6088733792474219E-3</v>
      </c>
      <c r="CB43" s="4">
        <f t="shared" si="5"/>
        <v>1.711152066008248E-3</v>
      </c>
      <c r="CC43" s="4">
        <f t="shared" si="5"/>
        <v>1.4623072287904826E-3</v>
      </c>
      <c r="CD43" s="4">
        <f t="shared" si="5"/>
        <v>1.4623202810706282E-3</v>
      </c>
      <c r="CE43" s="4">
        <f t="shared" si="5"/>
        <v>1.462306602427299E-3</v>
      </c>
      <c r="CF43" s="4">
        <f t="shared" si="5"/>
        <v>1.4623134217903733E-3</v>
      </c>
      <c r="CH43">
        <v>77247</v>
      </c>
    </row>
    <row r="44" spans="1:86" x14ac:dyDescent="0.25">
      <c r="A44" s="2">
        <v>42</v>
      </c>
      <c r="B44" s="3" t="s">
        <v>63</v>
      </c>
      <c r="C44" t="s">
        <v>64</v>
      </c>
      <c r="D44" t="s">
        <v>14</v>
      </c>
      <c r="E44">
        <v>1</v>
      </c>
      <c r="F44">
        <v>15248246</v>
      </c>
      <c r="G44">
        <v>15637715</v>
      </c>
      <c r="H44">
        <v>16041247</v>
      </c>
      <c r="I44">
        <v>16461914</v>
      </c>
      <c r="J44">
        <v>16903899</v>
      </c>
      <c r="K44">
        <v>17369859</v>
      </c>
      <c r="L44">
        <v>17861860</v>
      </c>
      <c r="M44">
        <v>18378189</v>
      </c>
      <c r="N44">
        <v>18913177</v>
      </c>
      <c r="O44">
        <v>19458874</v>
      </c>
      <c r="P44">
        <v>20009902</v>
      </c>
      <c r="Q44">
        <v>20563111</v>
      </c>
      <c r="R44">
        <v>21120996</v>
      </c>
      <c r="S44">
        <v>21690604</v>
      </c>
      <c r="T44">
        <v>22282079</v>
      </c>
      <c r="U44">
        <v>22902275</v>
      </c>
      <c r="V44">
        <v>23556784</v>
      </c>
      <c r="W44">
        <v>24242643</v>
      </c>
      <c r="X44">
        <v>24948113</v>
      </c>
      <c r="Y44">
        <v>25656486</v>
      </c>
      <c r="Z44">
        <v>26357407</v>
      </c>
      <c r="AA44">
        <v>27049145</v>
      </c>
      <c r="AB44">
        <v>27741104</v>
      </c>
      <c r="AC44">
        <v>28448122</v>
      </c>
      <c r="AD44">
        <v>29190679</v>
      </c>
      <c r="AE44">
        <v>29985665</v>
      </c>
      <c r="AF44">
        <v>30829103</v>
      </c>
      <c r="AG44">
        <v>31721541</v>
      </c>
      <c r="AH44">
        <v>32688708</v>
      </c>
      <c r="AI44">
        <v>33763056</v>
      </c>
      <c r="AJ44">
        <v>34962676</v>
      </c>
      <c r="AK44">
        <v>36309209</v>
      </c>
      <c r="AL44">
        <v>37783835</v>
      </c>
      <c r="AM44">
        <v>39314955</v>
      </c>
      <c r="AN44">
        <v>40804011</v>
      </c>
      <c r="AO44">
        <v>42183620</v>
      </c>
      <c r="AP44">
        <v>43424997</v>
      </c>
      <c r="AQ44">
        <v>44558347</v>
      </c>
      <c r="AR44">
        <v>45647949</v>
      </c>
      <c r="AS44">
        <v>46788238</v>
      </c>
      <c r="AT44">
        <v>48048664</v>
      </c>
      <c r="AU44">
        <v>49449015</v>
      </c>
      <c r="AV44">
        <v>50971407</v>
      </c>
      <c r="AW44">
        <v>52602208</v>
      </c>
      <c r="AX44">
        <v>54314855</v>
      </c>
      <c r="AY44">
        <v>56089536</v>
      </c>
      <c r="AZ44">
        <v>57926840</v>
      </c>
      <c r="BA44">
        <v>59834875</v>
      </c>
      <c r="BB44">
        <v>61809278</v>
      </c>
      <c r="BC44">
        <v>63845097</v>
      </c>
      <c r="BD44">
        <v>65938712</v>
      </c>
      <c r="BE44">
        <v>68087376</v>
      </c>
      <c r="BF44">
        <v>70291160</v>
      </c>
      <c r="BG44">
        <v>72552861</v>
      </c>
      <c r="BH44">
        <v>74877030</v>
      </c>
      <c r="BI44">
        <v>77266814</v>
      </c>
      <c r="BJ44">
        <v>79756027</v>
      </c>
      <c r="BK44">
        <v>82325432</v>
      </c>
      <c r="BL44">
        <v>84977613</v>
      </c>
      <c r="BM44">
        <v>87715236</v>
      </c>
      <c r="BN44">
        <v>90541054</v>
      </c>
      <c r="BO44">
        <v>93457908</v>
      </c>
      <c r="BP44">
        <v>96468731</v>
      </c>
      <c r="BQ44">
        <v>3.2215815664086156E-2</v>
      </c>
      <c r="BR44" s="6">
        <f t="shared" si="3"/>
        <v>70291160</v>
      </c>
      <c r="BT44" s="4">
        <f t="shared" si="4"/>
        <v>3.2916358526992484E-2</v>
      </c>
      <c r="BU44" s="4">
        <f t="shared" si="4"/>
        <v>3.2828116910597727E-2</v>
      </c>
      <c r="BV44" s="4">
        <f t="shared" si="4"/>
        <v>3.267047415671942E-2</v>
      </c>
      <c r="BW44" s="4">
        <f t="shared" si="4"/>
        <v>3.248023809599121E-2</v>
      </c>
      <c r="BX44" s="4">
        <f t="shared" si="5"/>
        <v>3.2290754096628849E-2</v>
      </c>
      <c r="BY44" s="4">
        <f t="shared" si="5"/>
        <v>3.2123346668144093E-2</v>
      </c>
      <c r="BZ44" s="4">
        <f t="shared" si="5"/>
        <v>3.2085556379608082E-2</v>
      </c>
      <c r="CA44" s="4">
        <f t="shared" si="5"/>
        <v>3.2095462887839821E-2</v>
      </c>
      <c r="CB44" s="4">
        <f t="shared" si="5"/>
        <v>3.2140879981219728E-2</v>
      </c>
      <c r="CC44" s="4">
        <f t="shared" si="5"/>
        <v>3.2215812632249818E-2</v>
      </c>
      <c r="CD44" s="4">
        <f t="shared" si="5"/>
        <v>3.2215814404833676E-2</v>
      </c>
      <c r="CE44" s="4">
        <f t="shared" si="5"/>
        <v>3.2215816119445684E-2</v>
      </c>
      <c r="CF44" s="4">
        <f t="shared" si="5"/>
        <v>3.2215816647560569E-2</v>
      </c>
      <c r="CH44">
        <v>0</v>
      </c>
    </row>
    <row r="45" spans="1:86" x14ac:dyDescent="0.25">
      <c r="A45" s="2">
        <v>43</v>
      </c>
      <c r="B45" s="3" t="s">
        <v>65</v>
      </c>
      <c r="C45" t="s">
        <v>65</v>
      </c>
      <c r="D45" t="s">
        <v>23</v>
      </c>
      <c r="E45">
        <v>1</v>
      </c>
      <c r="F45">
        <v>4579603</v>
      </c>
      <c r="G45">
        <v>4611687</v>
      </c>
      <c r="H45">
        <v>4647727</v>
      </c>
      <c r="I45">
        <v>4684483</v>
      </c>
      <c r="J45">
        <v>4722072</v>
      </c>
      <c r="K45">
        <v>4759012</v>
      </c>
      <c r="L45">
        <v>4797381</v>
      </c>
      <c r="M45">
        <v>4835354</v>
      </c>
      <c r="N45">
        <v>4864883</v>
      </c>
      <c r="O45">
        <v>4891860</v>
      </c>
      <c r="P45">
        <v>4928757</v>
      </c>
      <c r="Q45">
        <v>4963126</v>
      </c>
      <c r="R45">
        <v>4991596</v>
      </c>
      <c r="S45">
        <v>5021861</v>
      </c>
      <c r="T45">
        <v>5045297</v>
      </c>
      <c r="U45">
        <v>5059862</v>
      </c>
      <c r="V45">
        <v>5072596</v>
      </c>
      <c r="W45">
        <v>5088419</v>
      </c>
      <c r="X45">
        <v>5104248</v>
      </c>
      <c r="Y45">
        <v>5116801</v>
      </c>
      <c r="Z45">
        <v>5123027</v>
      </c>
      <c r="AA45">
        <v>5121572</v>
      </c>
      <c r="AB45">
        <v>5117810</v>
      </c>
      <c r="AC45">
        <v>5114297</v>
      </c>
      <c r="AD45">
        <v>5111619</v>
      </c>
      <c r="AE45">
        <v>5113691</v>
      </c>
      <c r="AF45">
        <v>5120534</v>
      </c>
      <c r="AG45">
        <v>5127024</v>
      </c>
      <c r="AH45">
        <v>5129516</v>
      </c>
      <c r="AI45">
        <v>5132594</v>
      </c>
      <c r="AJ45">
        <v>5140939</v>
      </c>
      <c r="AK45">
        <v>5154298</v>
      </c>
      <c r="AL45">
        <v>5171370</v>
      </c>
      <c r="AM45">
        <v>5188628</v>
      </c>
      <c r="AN45">
        <v>5206180</v>
      </c>
      <c r="AO45">
        <v>5233373</v>
      </c>
      <c r="AP45">
        <v>5263074</v>
      </c>
      <c r="AQ45">
        <v>5284991</v>
      </c>
      <c r="AR45">
        <v>5304219</v>
      </c>
      <c r="AS45">
        <v>5321799</v>
      </c>
      <c r="AT45">
        <v>5339616</v>
      </c>
      <c r="AU45">
        <v>5358783</v>
      </c>
      <c r="AV45">
        <v>5375931</v>
      </c>
      <c r="AW45">
        <v>5390574</v>
      </c>
      <c r="AX45">
        <v>5404523</v>
      </c>
      <c r="AY45">
        <v>5419432</v>
      </c>
      <c r="AZ45">
        <v>5437272</v>
      </c>
      <c r="BA45">
        <v>5461438</v>
      </c>
      <c r="BB45">
        <v>5493621</v>
      </c>
      <c r="BC45">
        <v>5523095</v>
      </c>
      <c r="BD45">
        <v>5547683</v>
      </c>
      <c r="BE45">
        <v>5570572</v>
      </c>
      <c r="BF45">
        <v>5591572</v>
      </c>
      <c r="BG45">
        <v>5614932</v>
      </c>
      <c r="BH45">
        <v>5643475</v>
      </c>
      <c r="BI45">
        <v>5676002</v>
      </c>
      <c r="BJ45">
        <v>5702020</v>
      </c>
      <c r="BK45">
        <v>5728157</v>
      </c>
      <c r="BL45">
        <v>5754414</v>
      </c>
      <c r="BM45">
        <v>5780791</v>
      </c>
      <c r="BN45">
        <v>5807289</v>
      </c>
      <c r="BO45">
        <v>5833909</v>
      </c>
      <c r="BP45">
        <v>5860651</v>
      </c>
      <c r="BQ45">
        <v>4.5838234334960593E-3</v>
      </c>
      <c r="BR45" s="6">
        <f t="shared" si="3"/>
        <v>5591572</v>
      </c>
      <c r="BT45" s="4">
        <f t="shared" si="4"/>
        <v>5.0383747902238429E-3</v>
      </c>
      <c r="BU45" s="4">
        <f t="shared" si="4"/>
        <v>4.9586578076485921E-3</v>
      </c>
      <c r="BV45" s="4">
        <f t="shared" si="4"/>
        <v>4.4279904916602053E-3</v>
      </c>
      <c r="BW45" s="4">
        <f t="shared" si="4"/>
        <v>4.131281846587731E-3</v>
      </c>
      <c r="BX45" s="4">
        <f t="shared" si="5"/>
        <v>4.28908375699244E-3</v>
      </c>
      <c r="BY45" s="4">
        <f t="shared" si="5"/>
        <v>4.6983452728186492E-3</v>
      </c>
      <c r="BZ45" s="4">
        <f t="shared" si="5"/>
        <v>4.9019840874235943E-3</v>
      </c>
      <c r="CA45" s="4">
        <f t="shared" si="5"/>
        <v>5.0035664392471535E-3</v>
      </c>
      <c r="CB45" s="4">
        <f t="shared" si="5"/>
        <v>4.8786625992769395E-3</v>
      </c>
      <c r="CC45" s="4">
        <f t="shared" si="5"/>
        <v>4.5838269588316383E-3</v>
      </c>
      <c r="CD45" s="4">
        <f t="shared" si="5"/>
        <v>4.5838123357151428E-3</v>
      </c>
      <c r="CE45" s="4">
        <f t="shared" si="5"/>
        <v>4.583832416835909E-3</v>
      </c>
      <c r="CF45" s="4">
        <f t="shared" si="5"/>
        <v>4.5838430839935107E-3</v>
      </c>
      <c r="CH45">
        <v>42434</v>
      </c>
    </row>
    <row r="46" spans="1:86" x14ac:dyDescent="0.25">
      <c r="A46" s="2">
        <v>44</v>
      </c>
      <c r="B46" s="3" t="s">
        <v>66</v>
      </c>
      <c r="C46" t="s">
        <v>66</v>
      </c>
      <c r="D46" t="s">
        <v>14</v>
      </c>
      <c r="E46">
        <v>1</v>
      </c>
      <c r="F46">
        <v>83636</v>
      </c>
      <c r="G46">
        <v>88499</v>
      </c>
      <c r="H46">
        <v>94200</v>
      </c>
      <c r="I46">
        <v>100622</v>
      </c>
      <c r="J46">
        <v>107584</v>
      </c>
      <c r="K46">
        <v>114963</v>
      </c>
      <c r="L46">
        <v>122868</v>
      </c>
      <c r="M46">
        <v>131403</v>
      </c>
      <c r="N46">
        <v>140461</v>
      </c>
      <c r="O46">
        <v>149891</v>
      </c>
      <c r="P46">
        <v>159667</v>
      </c>
      <c r="Q46">
        <v>169370</v>
      </c>
      <c r="R46">
        <v>179212</v>
      </c>
      <c r="S46">
        <v>190536</v>
      </c>
      <c r="T46">
        <v>205157</v>
      </c>
      <c r="U46">
        <v>224182</v>
      </c>
      <c r="V46">
        <v>248619</v>
      </c>
      <c r="W46">
        <v>277622</v>
      </c>
      <c r="X46">
        <v>308213</v>
      </c>
      <c r="Y46">
        <v>336254</v>
      </c>
      <c r="Z46">
        <v>358960</v>
      </c>
      <c r="AA46">
        <v>374683</v>
      </c>
      <c r="AB46">
        <v>384743</v>
      </c>
      <c r="AC46">
        <v>392908</v>
      </c>
      <c r="AD46">
        <v>404589</v>
      </c>
      <c r="AE46">
        <v>423470</v>
      </c>
      <c r="AF46">
        <v>451068</v>
      </c>
      <c r="AG46">
        <v>485565</v>
      </c>
      <c r="AH46">
        <v>523266</v>
      </c>
      <c r="AI46">
        <v>558810</v>
      </c>
      <c r="AJ46">
        <v>588356</v>
      </c>
      <c r="AK46">
        <v>610679</v>
      </c>
      <c r="AL46">
        <v>627063</v>
      </c>
      <c r="AM46">
        <v>639215</v>
      </c>
      <c r="AN46">
        <v>649878</v>
      </c>
      <c r="AO46">
        <v>661076</v>
      </c>
      <c r="AP46">
        <v>673202</v>
      </c>
      <c r="AQ46">
        <v>685644</v>
      </c>
      <c r="AR46">
        <v>698256</v>
      </c>
      <c r="AS46">
        <v>710652</v>
      </c>
      <c r="AT46">
        <v>722562</v>
      </c>
      <c r="AU46">
        <v>734088</v>
      </c>
      <c r="AV46">
        <v>745459</v>
      </c>
      <c r="AW46">
        <v>756656</v>
      </c>
      <c r="AX46">
        <v>767644</v>
      </c>
      <c r="AY46">
        <v>778406</v>
      </c>
      <c r="AZ46">
        <v>788941</v>
      </c>
      <c r="BA46">
        <v>799309</v>
      </c>
      <c r="BB46">
        <v>809639</v>
      </c>
      <c r="BC46">
        <v>820097</v>
      </c>
      <c r="BD46">
        <v>830802</v>
      </c>
      <c r="BE46">
        <v>841802</v>
      </c>
      <c r="BF46">
        <v>853069</v>
      </c>
      <c r="BG46">
        <v>864554</v>
      </c>
      <c r="BH46">
        <v>876174</v>
      </c>
      <c r="BI46">
        <v>887861</v>
      </c>
      <c r="BJ46">
        <v>899735</v>
      </c>
      <c r="BK46">
        <v>911767</v>
      </c>
      <c r="BL46">
        <v>923960</v>
      </c>
      <c r="BM46">
        <v>936316</v>
      </c>
      <c r="BN46">
        <v>948838</v>
      </c>
      <c r="BO46">
        <v>961527</v>
      </c>
      <c r="BP46">
        <v>974386</v>
      </c>
      <c r="BQ46">
        <v>1.3373374195620347E-2</v>
      </c>
      <c r="BR46" s="6">
        <f t="shared" si="3"/>
        <v>853069</v>
      </c>
      <c r="BT46" s="4">
        <f t="shared" si="4"/>
        <v>1.300887857909605E-2</v>
      </c>
      <c r="BU46" s="4">
        <f t="shared" si="4"/>
        <v>1.3033512293058491E-2</v>
      </c>
      <c r="BV46" s="4">
        <f t="shared" si="4"/>
        <v>1.3148685075687006E-2</v>
      </c>
      <c r="BW46" s="4">
        <f t="shared" si="4"/>
        <v>1.3285260440401903E-2</v>
      </c>
      <c r="BX46" s="4">
        <f t="shared" si="5"/>
        <v>1.3382049245649785E-2</v>
      </c>
      <c r="BY46" s="4">
        <f t="shared" si="5"/>
        <v>1.3406665856696476E-2</v>
      </c>
      <c r="BZ46" s="4">
        <f t="shared" si="5"/>
        <v>1.3403998907264514E-2</v>
      </c>
      <c r="CA46" s="4">
        <f t="shared" si="5"/>
        <v>1.3381417382067662E-2</v>
      </c>
      <c r="CB46" s="4">
        <f t="shared" si="5"/>
        <v>1.3364537466202364E-2</v>
      </c>
      <c r="CC46" s="4">
        <f t="shared" si="5"/>
        <v>1.3373087212815715E-2</v>
      </c>
      <c r="CD46" s="4">
        <f t="shared" si="5"/>
        <v>1.3373080975137563E-2</v>
      </c>
      <c r="CE46" s="4">
        <f t="shared" si="5"/>
        <v>1.3373174274307953E-2</v>
      </c>
      <c r="CF46" s="4">
        <f t="shared" si="5"/>
        <v>1.3373320603921934E-2</v>
      </c>
      <c r="CH46">
        <v>23180</v>
      </c>
    </row>
    <row r="47" spans="1:86" x14ac:dyDescent="0.25">
      <c r="A47" s="2">
        <v>45</v>
      </c>
      <c r="B47" s="3" t="s">
        <v>67</v>
      </c>
      <c r="C47" t="s">
        <v>67</v>
      </c>
      <c r="D47" t="s">
        <v>16</v>
      </c>
      <c r="E47">
        <v>1</v>
      </c>
      <c r="F47">
        <v>60016</v>
      </c>
      <c r="G47">
        <v>61035</v>
      </c>
      <c r="H47">
        <v>61984</v>
      </c>
      <c r="I47">
        <v>62920</v>
      </c>
      <c r="J47">
        <v>63921</v>
      </c>
      <c r="K47">
        <v>65038</v>
      </c>
      <c r="L47">
        <v>66305</v>
      </c>
      <c r="M47">
        <v>67682</v>
      </c>
      <c r="N47">
        <v>69042</v>
      </c>
      <c r="O47">
        <v>70212</v>
      </c>
      <c r="P47">
        <v>71076</v>
      </c>
      <c r="Q47">
        <v>71566</v>
      </c>
      <c r="R47">
        <v>71737</v>
      </c>
      <c r="S47">
        <v>71745</v>
      </c>
      <c r="T47">
        <v>71811</v>
      </c>
      <c r="U47">
        <v>72091</v>
      </c>
      <c r="V47">
        <v>72648</v>
      </c>
      <c r="W47">
        <v>73411</v>
      </c>
      <c r="X47">
        <v>74239</v>
      </c>
      <c r="Y47">
        <v>74923</v>
      </c>
      <c r="Z47">
        <v>75313</v>
      </c>
      <c r="AA47">
        <v>75376</v>
      </c>
      <c r="AB47">
        <v>75168</v>
      </c>
      <c r="AC47">
        <v>74750</v>
      </c>
      <c r="AD47">
        <v>74215</v>
      </c>
      <c r="AE47">
        <v>73640</v>
      </c>
      <c r="AF47">
        <v>73025</v>
      </c>
      <c r="AG47">
        <v>72368</v>
      </c>
      <c r="AH47">
        <v>71743</v>
      </c>
      <c r="AI47">
        <v>71242</v>
      </c>
      <c r="AJ47">
        <v>70928</v>
      </c>
      <c r="AK47">
        <v>70849</v>
      </c>
      <c r="AL47">
        <v>70978</v>
      </c>
      <c r="AM47">
        <v>71205</v>
      </c>
      <c r="AN47">
        <v>71372</v>
      </c>
      <c r="AO47">
        <v>71367</v>
      </c>
      <c r="AP47">
        <v>71146</v>
      </c>
      <c r="AQ47">
        <v>70756</v>
      </c>
      <c r="AR47">
        <v>70295</v>
      </c>
      <c r="AS47">
        <v>69902</v>
      </c>
      <c r="AT47">
        <v>69679</v>
      </c>
      <c r="AU47">
        <v>69660</v>
      </c>
      <c r="AV47">
        <v>69806</v>
      </c>
      <c r="AW47">
        <v>70058</v>
      </c>
      <c r="AX47">
        <v>70325</v>
      </c>
      <c r="AY47">
        <v>70542</v>
      </c>
      <c r="AZ47">
        <v>70690</v>
      </c>
      <c r="BA47">
        <v>70795</v>
      </c>
      <c r="BB47">
        <v>70881</v>
      </c>
      <c r="BC47">
        <v>70995</v>
      </c>
      <c r="BD47">
        <v>71167</v>
      </c>
      <c r="BE47">
        <v>71402</v>
      </c>
      <c r="BF47">
        <v>71685</v>
      </c>
      <c r="BG47">
        <v>72005</v>
      </c>
      <c r="BH47">
        <v>72341</v>
      </c>
      <c r="BI47">
        <v>72680</v>
      </c>
      <c r="BJ47">
        <v>72986</v>
      </c>
      <c r="BK47">
        <v>73294</v>
      </c>
      <c r="BL47">
        <v>73603</v>
      </c>
      <c r="BM47">
        <v>73913</v>
      </c>
      <c r="BN47">
        <v>74225</v>
      </c>
      <c r="BO47">
        <v>74538</v>
      </c>
      <c r="BP47">
        <v>74852</v>
      </c>
      <c r="BQ47">
        <v>4.2162666865923626E-3</v>
      </c>
      <c r="BR47" s="6">
        <f t="shared" si="3"/>
        <v>71685</v>
      </c>
      <c r="BT47" s="4">
        <f t="shared" si="4"/>
        <v>1.6826910503073833E-3</v>
      </c>
      <c r="BU47" s="4">
        <f t="shared" si="4"/>
        <v>2.1366552567518848E-3</v>
      </c>
      <c r="BV47" s="4">
        <f t="shared" si="4"/>
        <v>2.8237558464307977E-3</v>
      </c>
      <c r="BW47" s="4">
        <f t="shared" si="4"/>
        <v>3.5377704453032344E-3</v>
      </c>
      <c r="BX47" s="4">
        <f t="shared" si="5"/>
        <v>4.0988328839814958E-3</v>
      </c>
      <c r="BY47" s="4">
        <f t="shared" si="5"/>
        <v>4.444940413819376E-3</v>
      </c>
      <c r="BZ47" s="4">
        <f t="shared" si="5"/>
        <v>4.5066548708421195E-3</v>
      </c>
      <c r="CA47" s="4">
        <f t="shared" si="5"/>
        <v>4.4456499875884514E-3</v>
      </c>
      <c r="CB47" s="4">
        <f t="shared" si="5"/>
        <v>4.3330445409259788E-3</v>
      </c>
      <c r="CC47" s="4">
        <f t="shared" si="5"/>
        <v>4.2144766208807027E-3</v>
      </c>
      <c r="CD47" s="4">
        <f t="shared" si="5"/>
        <v>4.2172121962051889E-3</v>
      </c>
      <c r="CE47" s="4">
        <f t="shared" si="5"/>
        <v>4.2164423611990021E-3</v>
      </c>
      <c r="CF47" s="4">
        <f t="shared" si="5"/>
        <v>4.2156220511928577E-3</v>
      </c>
      <c r="CH47">
        <v>751</v>
      </c>
    </row>
    <row r="48" spans="1:86" x14ac:dyDescent="0.25">
      <c r="A48" s="2">
        <v>46</v>
      </c>
      <c r="B48" s="3" t="s">
        <v>68</v>
      </c>
      <c r="C48" t="s">
        <v>69</v>
      </c>
      <c r="D48" t="s">
        <v>16</v>
      </c>
      <c r="E48">
        <v>1</v>
      </c>
      <c r="F48">
        <v>3294039</v>
      </c>
      <c r="G48">
        <v>3406299</v>
      </c>
      <c r="H48">
        <v>3521276</v>
      </c>
      <c r="I48">
        <v>3638628</v>
      </c>
      <c r="J48">
        <v>3757962</v>
      </c>
      <c r="K48">
        <v>3878952</v>
      </c>
      <c r="L48">
        <v>4001377</v>
      </c>
      <c r="M48">
        <v>4125107</v>
      </c>
      <c r="N48">
        <v>4250026</v>
      </c>
      <c r="O48">
        <v>4376056</v>
      </c>
      <c r="P48">
        <v>4503114</v>
      </c>
      <c r="Q48">
        <v>4631114</v>
      </c>
      <c r="R48">
        <v>4759935</v>
      </c>
      <c r="S48">
        <v>4889437</v>
      </c>
      <c r="T48">
        <v>5019471</v>
      </c>
      <c r="U48">
        <v>5149934</v>
      </c>
      <c r="V48">
        <v>5280727</v>
      </c>
      <c r="W48">
        <v>5411867</v>
      </c>
      <c r="X48">
        <v>5543520</v>
      </c>
      <c r="Y48">
        <v>5675930</v>
      </c>
      <c r="Z48">
        <v>5809271</v>
      </c>
      <c r="AA48">
        <v>5943591</v>
      </c>
      <c r="AB48">
        <v>6078816</v>
      </c>
      <c r="AC48">
        <v>6214857</v>
      </c>
      <c r="AD48">
        <v>6351572</v>
      </c>
      <c r="AE48">
        <v>6488857</v>
      </c>
      <c r="AF48">
        <v>6626544</v>
      </c>
      <c r="AG48">
        <v>6764623</v>
      </c>
      <c r="AH48">
        <v>6903314</v>
      </c>
      <c r="AI48">
        <v>7042940</v>
      </c>
      <c r="AJ48">
        <v>7183646</v>
      </c>
      <c r="AK48">
        <v>7325622</v>
      </c>
      <c r="AL48">
        <v>7468551</v>
      </c>
      <c r="AM48">
        <v>7611463</v>
      </c>
      <c r="AN48">
        <v>7753052</v>
      </c>
      <c r="AO48">
        <v>7892420</v>
      </c>
      <c r="AP48">
        <v>8029114</v>
      </c>
      <c r="AQ48">
        <v>8163474</v>
      </c>
      <c r="AR48">
        <v>8296375</v>
      </c>
      <c r="AS48">
        <v>8429116</v>
      </c>
      <c r="AT48">
        <v>8562623</v>
      </c>
      <c r="AU48">
        <v>8697127</v>
      </c>
      <c r="AV48">
        <v>8832286</v>
      </c>
      <c r="AW48">
        <v>8967759</v>
      </c>
      <c r="AX48">
        <v>9102997</v>
      </c>
      <c r="AY48">
        <v>9237565</v>
      </c>
      <c r="AZ48">
        <v>9371333</v>
      </c>
      <c r="BA48">
        <v>9504336</v>
      </c>
      <c r="BB48">
        <v>9636491</v>
      </c>
      <c r="BC48">
        <v>9767737</v>
      </c>
      <c r="BD48">
        <v>9897983</v>
      </c>
      <c r="BE48">
        <v>10027140</v>
      </c>
      <c r="BF48">
        <v>10155036</v>
      </c>
      <c r="BG48">
        <v>10281408</v>
      </c>
      <c r="BH48">
        <v>10405943</v>
      </c>
      <c r="BI48">
        <v>10528391</v>
      </c>
      <c r="BJ48">
        <v>10659211</v>
      </c>
      <c r="BK48">
        <v>10791657</v>
      </c>
      <c r="BL48">
        <v>10925748</v>
      </c>
      <c r="BM48">
        <v>11061506</v>
      </c>
      <c r="BN48">
        <v>11198950</v>
      </c>
      <c r="BO48">
        <v>11338102</v>
      </c>
      <c r="BP48">
        <v>11478983</v>
      </c>
      <c r="BQ48">
        <v>1.2425465318175233E-2</v>
      </c>
      <c r="BR48" s="6">
        <f t="shared" si="3"/>
        <v>10155036</v>
      </c>
      <c r="BT48" s="4">
        <f t="shared" si="4"/>
        <v>1.3762759276574554E-2</v>
      </c>
      <c r="BU48" s="4">
        <f t="shared" si="4"/>
        <v>1.3476830027097764E-2</v>
      </c>
      <c r="BV48" s="4">
        <f t="shared" si="4"/>
        <v>1.3189398257105855E-2</v>
      </c>
      <c r="BW48" s="4">
        <f t="shared" si="4"/>
        <v>1.289554046238095E-2</v>
      </c>
      <c r="BX48" s="4">
        <f t="shared" si="5"/>
        <v>1.2590118089836899E-2</v>
      </c>
      <c r="BY48" s="4">
        <f t="shared" si="5"/>
        <v>1.2269686552025982E-2</v>
      </c>
      <c r="BZ48" s="4">
        <f t="shared" si="5"/>
        <v>1.2187332831494757E-2</v>
      </c>
      <c r="CA48" s="4">
        <f t="shared" si="5"/>
        <v>1.2182641115778603E-2</v>
      </c>
      <c r="CB48" s="4">
        <f t="shared" si="5"/>
        <v>1.2260835306639128E-2</v>
      </c>
      <c r="CC48" s="4">
        <f t="shared" si="5"/>
        <v>1.2425472679864935E-2</v>
      </c>
      <c r="CD48" s="4">
        <f t="shared" si="5"/>
        <v>1.2425468295701902E-2</v>
      </c>
      <c r="CE48" s="4">
        <f t="shared" si="5"/>
        <v>1.2425456562151993E-2</v>
      </c>
      <c r="CF48" s="4">
        <f t="shared" si="5"/>
        <v>1.2425460637391916E-2</v>
      </c>
      <c r="CH48">
        <v>48320</v>
      </c>
    </row>
    <row r="49" spans="1:86" x14ac:dyDescent="0.25">
      <c r="A49" s="2">
        <v>47</v>
      </c>
      <c r="B49" s="3" t="s">
        <v>70</v>
      </c>
      <c r="C49" t="s">
        <v>70</v>
      </c>
      <c r="D49" t="s">
        <v>18</v>
      </c>
      <c r="E49">
        <v>1</v>
      </c>
      <c r="F49">
        <v>4545548</v>
      </c>
      <c r="G49">
        <v>4676858</v>
      </c>
      <c r="H49">
        <v>4812892</v>
      </c>
      <c r="I49">
        <v>4953735</v>
      </c>
      <c r="J49">
        <v>5099470</v>
      </c>
      <c r="K49">
        <v>5250120</v>
      </c>
      <c r="L49">
        <v>5405692</v>
      </c>
      <c r="M49">
        <v>5566057</v>
      </c>
      <c r="N49">
        <v>5730908</v>
      </c>
      <c r="O49">
        <v>5899842</v>
      </c>
      <c r="P49">
        <v>6072520</v>
      </c>
      <c r="Q49">
        <v>6248831</v>
      </c>
      <c r="R49">
        <v>6428707</v>
      </c>
      <c r="S49">
        <v>6611916</v>
      </c>
      <c r="T49">
        <v>6798205</v>
      </c>
      <c r="U49">
        <v>6987393</v>
      </c>
      <c r="V49">
        <v>7179399</v>
      </c>
      <c r="W49">
        <v>7374235</v>
      </c>
      <c r="X49">
        <v>7571953</v>
      </c>
      <c r="Y49">
        <v>7772652</v>
      </c>
      <c r="Z49">
        <v>7976449</v>
      </c>
      <c r="AA49">
        <v>8183194</v>
      </c>
      <c r="AB49">
        <v>8392935</v>
      </c>
      <c r="AC49">
        <v>8606214</v>
      </c>
      <c r="AD49">
        <v>8823746</v>
      </c>
      <c r="AE49">
        <v>9045977</v>
      </c>
      <c r="AF49">
        <v>9272905</v>
      </c>
      <c r="AG49">
        <v>9504132</v>
      </c>
      <c r="AH49">
        <v>9739179</v>
      </c>
      <c r="AI49">
        <v>9977380</v>
      </c>
      <c r="AJ49">
        <v>10218085</v>
      </c>
      <c r="AK49">
        <v>10460988</v>
      </c>
      <c r="AL49">
        <v>10705670</v>
      </c>
      <c r="AM49">
        <v>10951200</v>
      </c>
      <c r="AN49">
        <v>11196476</v>
      </c>
      <c r="AO49">
        <v>11440576</v>
      </c>
      <c r="AP49">
        <v>11683480</v>
      </c>
      <c r="AQ49">
        <v>11924991</v>
      </c>
      <c r="AR49">
        <v>12163887</v>
      </c>
      <c r="AS49">
        <v>12398691</v>
      </c>
      <c r="AT49">
        <v>12628596</v>
      </c>
      <c r="AU49">
        <v>12852753</v>
      </c>
      <c r="AV49">
        <v>13072056</v>
      </c>
      <c r="AW49">
        <v>13289600</v>
      </c>
      <c r="AX49">
        <v>13509645</v>
      </c>
      <c r="AY49">
        <v>13735232</v>
      </c>
      <c r="AZ49">
        <v>13967490</v>
      </c>
      <c r="BA49">
        <v>14205479</v>
      </c>
      <c r="BB49">
        <v>14447600</v>
      </c>
      <c r="BC49">
        <v>14691310</v>
      </c>
      <c r="BD49">
        <v>14934692</v>
      </c>
      <c r="BE49">
        <v>15177280</v>
      </c>
      <c r="BF49">
        <v>15419493</v>
      </c>
      <c r="BG49">
        <v>15661312</v>
      </c>
      <c r="BH49">
        <v>15902916</v>
      </c>
      <c r="BI49">
        <v>16144363</v>
      </c>
      <c r="BJ49">
        <v>16397810</v>
      </c>
      <c r="BK49">
        <v>16655236</v>
      </c>
      <c r="BL49">
        <v>16916703</v>
      </c>
      <c r="BM49">
        <v>17182275</v>
      </c>
      <c r="BN49">
        <v>17452016</v>
      </c>
      <c r="BO49">
        <v>17725991</v>
      </c>
      <c r="BP49">
        <v>18004267</v>
      </c>
      <c r="BQ49">
        <v>1.569877505000461E-2</v>
      </c>
      <c r="BR49" s="6">
        <f t="shared" si="3"/>
        <v>15419493</v>
      </c>
      <c r="BT49" s="4">
        <f t="shared" si="4"/>
        <v>1.687946063091994E-2</v>
      </c>
      <c r="BU49" s="4">
        <f t="shared" si="4"/>
        <v>1.6680551813576416E-2</v>
      </c>
      <c r="BV49" s="4">
        <f t="shared" si="4"/>
        <v>1.6409220711620431E-2</v>
      </c>
      <c r="BW49" s="4">
        <f t="shared" si="4"/>
        <v>1.6112758949659023E-2</v>
      </c>
      <c r="BX49" s="4">
        <f t="shared" si="5"/>
        <v>1.5827869449669407E-2</v>
      </c>
      <c r="BY49" s="4">
        <f t="shared" si="5"/>
        <v>1.5562700825541009E-2</v>
      </c>
      <c r="BZ49" s="4">
        <f t="shared" si="5"/>
        <v>1.549768795223283E-2</v>
      </c>
      <c r="CA49" s="4">
        <f t="shared" si="5"/>
        <v>1.5501717700826534E-2</v>
      </c>
      <c r="CB49" s="4">
        <f t="shared" si="5"/>
        <v>1.556971145207986E-2</v>
      </c>
      <c r="CC49" s="4">
        <f t="shared" si="5"/>
        <v>1.5698796615575494E-2</v>
      </c>
      <c r="CD49" s="4">
        <f t="shared" si="5"/>
        <v>1.5698797127529751E-2</v>
      </c>
      <c r="CE49" s="4">
        <f t="shared" si="5"/>
        <v>1.5698786053822023E-2</v>
      </c>
      <c r="CF49" s="4">
        <f t="shared" si="5"/>
        <v>1.5698778233103061E-2</v>
      </c>
      <c r="CH49">
        <v>276841</v>
      </c>
    </row>
    <row r="50" spans="1:86" x14ac:dyDescent="0.25">
      <c r="A50" s="2">
        <v>48</v>
      </c>
      <c r="B50" s="3" t="s">
        <v>71</v>
      </c>
      <c r="C50" t="s">
        <v>71</v>
      </c>
      <c r="D50" t="s">
        <v>9</v>
      </c>
      <c r="E50">
        <v>1</v>
      </c>
      <c r="F50">
        <v>27072397</v>
      </c>
      <c r="G50">
        <v>27810001</v>
      </c>
      <c r="H50">
        <v>28560741</v>
      </c>
      <c r="I50">
        <v>29322709</v>
      </c>
      <c r="J50">
        <v>30094082</v>
      </c>
      <c r="K50">
        <v>30872982</v>
      </c>
      <c r="L50">
        <v>31660914</v>
      </c>
      <c r="M50">
        <v>32456565</v>
      </c>
      <c r="N50">
        <v>33252275</v>
      </c>
      <c r="O50">
        <v>34038147</v>
      </c>
      <c r="P50">
        <v>34808599</v>
      </c>
      <c r="Q50">
        <v>35561087</v>
      </c>
      <c r="R50">
        <v>36302154</v>
      </c>
      <c r="S50">
        <v>37046807</v>
      </c>
      <c r="T50">
        <v>37815578</v>
      </c>
      <c r="U50">
        <v>38624410</v>
      </c>
      <c r="V50">
        <v>39478585</v>
      </c>
      <c r="W50">
        <v>40377668</v>
      </c>
      <c r="X50">
        <v>41324806</v>
      </c>
      <c r="Y50">
        <v>42321740</v>
      </c>
      <c r="Z50">
        <v>43369552</v>
      </c>
      <c r="AA50">
        <v>44465918</v>
      </c>
      <c r="AB50">
        <v>45610430</v>
      </c>
      <c r="AC50">
        <v>46807221</v>
      </c>
      <c r="AD50">
        <v>48061546</v>
      </c>
      <c r="AE50">
        <v>49373806</v>
      </c>
      <c r="AF50">
        <v>50748187</v>
      </c>
      <c r="AG50">
        <v>52173840</v>
      </c>
      <c r="AH50">
        <v>53617678</v>
      </c>
      <c r="AI50">
        <v>55035937</v>
      </c>
      <c r="AJ50">
        <v>56397273</v>
      </c>
      <c r="AK50">
        <v>57689828</v>
      </c>
      <c r="AL50">
        <v>58922018</v>
      </c>
      <c r="AM50">
        <v>60108373</v>
      </c>
      <c r="AN50">
        <v>61272847</v>
      </c>
      <c r="AO50">
        <v>62434527</v>
      </c>
      <c r="AP50">
        <v>63595629</v>
      </c>
      <c r="AQ50">
        <v>64754566</v>
      </c>
      <c r="AR50">
        <v>65922626</v>
      </c>
      <c r="AS50">
        <v>67112877</v>
      </c>
      <c r="AT50">
        <v>68334905</v>
      </c>
      <c r="AU50">
        <v>69599945</v>
      </c>
      <c r="AV50">
        <v>70908710</v>
      </c>
      <c r="AW50">
        <v>72247626</v>
      </c>
      <c r="AX50">
        <v>73596068</v>
      </c>
      <c r="AY50">
        <v>74942115</v>
      </c>
      <c r="AZ50">
        <v>76274285</v>
      </c>
      <c r="BA50">
        <v>77605327</v>
      </c>
      <c r="BB50">
        <v>78976122</v>
      </c>
      <c r="BC50">
        <v>80442443</v>
      </c>
      <c r="BD50">
        <v>82040994</v>
      </c>
      <c r="BE50">
        <v>83787634</v>
      </c>
      <c r="BF50">
        <v>85660902</v>
      </c>
      <c r="BG50">
        <v>87613909</v>
      </c>
      <c r="BH50">
        <v>89579670</v>
      </c>
      <c r="BI50">
        <v>91508084</v>
      </c>
      <c r="BJ50">
        <v>93528759</v>
      </c>
      <c r="BK50">
        <v>95594054</v>
      </c>
      <c r="BL50">
        <v>97704955</v>
      </c>
      <c r="BM50">
        <v>99862469</v>
      </c>
      <c r="BN50">
        <v>102067625</v>
      </c>
      <c r="BO50">
        <v>104321475</v>
      </c>
      <c r="BP50">
        <v>106625094</v>
      </c>
      <c r="BQ50">
        <v>2.2081928853131538E-2</v>
      </c>
      <c r="BR50" s="6">
        <f t="shared" si="3"/>
        <v>85660902</v>
      </c>
      <c r="BT50" s="4">
        <f t="shared" si="4"/>
        <v>1.83878097089758E-2</v>
      </c>
      <c r="BU50" s="4">
        <f t="shared" si="4"/>
        <v>1.9347115799726922E-2</v>
      </c>
      <c r="BV50" s="4">
        <f t="shared" si="4"/>
        <v>2.0520444761040535E-2</v>
      </c>
      <c r="BW50" s="4">
        <f t="shared" si="4"/>
        <v>2.1578987443312103E-2</v>
      </c>
      <c r="BX50" s="4">
        <f t="shared" si="5"/>
        <v>2.2220617556294009E-2</v>
      </c>
      <c r="BY50" s="4">
        <f t="shared" si="5"/>
        <v>2.2280045925034297E-2</v>
      </c>
      <c r="BZ50" s="4">
        <f t="shared" si="5"/>
        <v>2.2211193239738192E-2</v>
      </c>
      <c r="CA50" s="4">
        <f t="shared" si="5"/>
        <v>2.203191001250171E-2</v>
      </c>
      <c r="CB50" s="4">
        <f t="shared" si="5"/>
        <v>2.194325763168492E-2</v>
      </c>
      <c r="CC50" s="4">
        <f t="shared" si="5"/>
        <v>2.2081927863885076E-2</v>
      </c>
      <c r="CD50" s="4">
        <f t="shared" si="5"/>
        <v>2.208192802623965E-2</v>
      </c>
      <c r="CE50" s="4">
        <f t="shared" si="5"/>
        <v>2.2081929018716862E-2</v>
      </c>
      <c r="CF50" s="4">
        <f t="shared" si="5"/>
        <v>2.2081928346430191E-2</v>
      </c>
      <c r="CH50">
        <v>995450</v>
      </c>
    </row>
    <row r="51" spans="1:86" x14ac:dyDescent="0.25">
      <c r="A51" s="2">
        <v>49</v>
      </c>
      <c r="B51" s="3" t="s">
        <v>72</v>
      </c>
      <c r="C51" t="s">
        <v>73</v>
      </c>
      <c r="D51" t="s">
        <v>33</v>
      </c>
      <c r="E51">
        <v>1</v>
      </c>
      <c r="F51">
        <v>2762897</v>
      </c>
      <c r="G51">
        <v>2843246</v>
      </c>
      <c r="H51">
        <v>2927861</v>
      </c>
      <c r="I51">
        <v>3015885</v>
      </c>
      <c r="J51">
        <v>3106186</v>
      </c>
      <c r="K51">
        <v>3197865</v>
      </c>
      <c r="L51">
        <v>3290397</v>
      </c>
      <c r="M51">
        <v>3383674</v>
      </c>
      <c r="N51">
        <v>3477702</v>
      </c>
      <c r="O51">
        <v>3572667</v>
      </c>
      <c r="P51">
        <v>3668592</v>
      </c>
      <c r="Q51">
        <v>3765252</v>
      </c>
      <c r="R51">
        <v>3862132</v>
      </c>
      <c r="S51">
        <v>3958616</v>
      </c>
      <c r="T51">
        <v>4053958</v>
      </c>
      <c r="U51">
        <v>4147525</v>
      </c>
      <c r="V51">
        <v>4239205</v>
      </c>
      <c r="W51">
        <v>4328817</v>
      </c>
      <c r="X51">
        <v>4415625</v>
      </c>
      <c r="Y51">
        <v>4498757</v>
      </c>
      <c r="Z51">
        <v>4577683</v>
      </c>
      <c r="AA51">
        <v>4652058</v>
      </c>
      <c r="AB51">
        <v>4722272</v>
      </c>
      <c r="AC51">
        <v>4789472</v>
      </c>
      <c r="AD51">
        <v>4855280</v>
      </c>
      <c r="AE51">
        <v>4920932</v>
      </c>
      <c r="AF51">
        <v>4986528</v>
      </c>
      <c r="AG51">
        <v>5051885</v>
      </c>
      <c r="AH51">
        <v>5117577</v>
      </c>
      <c r="AI51">
        <v>5184221</v>
      </c>
      <c r="AJ51">
        <v>5252082</v>
      </c>
      <c r="AK51">
        <v>5321576</v>
      </c>
      <c r="AL51">
        <v>5392142</v>
      </c>
      <c r="AM51">
        <v>5461834</v>
      </c>
      <c r="AN51">
        <v>5528012</v>
      </c>
      <c r="AO51">
        <v>5588743</v>
      </c>
      <c r="AP51">
        <v>5643363</v>
      </c>
      <c r="AQ51">
        <v>5692300</v>
      </c>
      <c r="AR51">
        <v>5736075</v>
      </c>
      <c r="AS51">
        <v>5775660</v>
      </c>
      <c r="AT51">
        <v>5811836</v>
      </c>
      <c r="AU51">
        <v>5844738</v>
      </c>
      <c r="AV51">
        <v>5874301</v>
      </c>
      <c r="AW51">
        <v>5900929</v>
      </c>
      <c r="AX51">
        <v>5925089</v>
      </c>
      <c r="AY51">
        <v>5947206</v>
      </c>
      <c r="AZ51">
        <v>5967556</v>
      </c>
      <c r="BA51">
        <v>5986414</v>
      </c>
      <c r="BB51">
        <v>6004199</v>
      </c>
      <c r="BC51">
        <v>6021368</v>
      </c>
      <c r="BD51">
        <v>6038306</v>
      </c>
      <c r="BE51">
        <v>6055208</v>
      </c>
      <c r="BF51">
        <v>6072233</v>
      </c>
      <c r="BG51">
        <v>6089644</v>
      </c>
      <c r="BH51">
        <v>6107706</v>
      </c>
      <c r="BI51">
        <v>6126583</v>
      </c>
      <c r="BJ51">
        <v>6144393</v>
      </c>
      <c r="BK51">
        <v>6162254</v>
      </c>
      <c r="BL51">
        <v>6180167</v>
      </c>
      <c r="BM51">
        <v>6198132</v>
      </c>
      <c r="BN51">
        <v>6216150</v>
      </c>
      <c r="BO51">
        <v>6234220</v>
      </c>
      <c r="BP51">
        <v>6252343</v>
      </c>
      <c r="BQ51">
        <v>2.9069496045388554E-3</v>
      </c>
      <c r="BR51" s="6">
        <f t="shared" si="3"/>
        <v>6072233</v>
      </c>
      <c r="BT51" s="4">
        <f t="shared" si="4"/>
        <v>2.9508566520508595E-3</v>
      </c>
      <c r="BU51" s="4">
        <f t="shared" si="4"/>
        <v>2.8606237415409463E-3</v>
      </c>
      <c r="BV51" s="4">
        <f t="shared" si="4"/>
        <v>2.8208096235378122E-3</v>
      </c>
      <c r="BW51" s="4">
        <f t="shared" si="4"/>
        <v>2.8227633894450932E-3</v>
      </c>
      <c r="BX51" s="4">
        <f t="shared" si="5"/>
        <v>2.8610208228838641E-3</v>
      </c>
      <c r="BY51" s="4">
        <f t="shared" si="5"/>
        <v>2.9339064608133736E-3</v>
      </c>
      <c r="BZ51" s="4">
        <f t="shared" si="5"/>
        <v>2.9577521497095027E-3</v>
      </c>
      <c r="CA51" s="4">
        <f t="shared" si="5"/>
        <v>2.9676438075088019E-3</v>
      </c>
      <c r="CB51" s="4">
        <f t="shared" si="5"/>
        <v>2.9528614207565695E-3</v>
      </c>
      <c r="CC51" s="4">
        <f t="shared" si="5"/>
        <v>2.9069129797067994E-3</v>
      </c>
      <c r="CD51" s="4">
        <f t="shared" si="5"/>
        <v>2.906913253411858E-3</v>
      </c>
      <c r="CE51" s="4">
        <f t="shared" si="5"/>
        <v>2.9069297895760737E-3</v>
      </c>
      <c r="CF51" s="4">
        <f t="shared" si="5"/>
        <v>2.9069619784614087E-3</v>
      </c>
      <c r="CH51">
        <v>20721</v>
      </c>
    </row>
    <row r="52" spans="1:86" x14ac:dyDescent="0.25">
      <c r="A52" s="2">
        <v>50</v>
      </c>
      <c r="B52" s="3" t="s">
        <v>74</v>
      </c>
      <c r="C52" t="s">
        <v>75</v>
      </c>
      <c r="D52" t="s">
        <v>14</v>
      </c>
      <c r="E52">
        <v>1</v>
      </c>
      <c r="F52">
        <v>252115</v>
      </c>
      <c r="G52">
        <v>255100</v>
      </c>
      <c r="H52">
        <v>257940</v>
      </c>
      <c r="I52">
        <v>260990</v>
      </c>
      <c r="J52">
        <v>264743</v>
      </c>
      <c r="K52">
        <v>269427</v>
      </c>
      <c r="L52">
        <v>275470</v>
      </c>
      <c r="M52">
        <v>282445</v>
      </c>
      <c r="N52">
        <v>288701</v>
      </c>
      <c r="O52">
        <v>292014</v>
      </c>
      <c r="P52">
        <v>290905</v>
      </c>
      <c r="Q52">
        <v>284915</v>
      </c>
      <c r="R52">
        <v>274906</v>
      </c>
      <c r="S52">
        <v>262399</v>
      </c>
      <c r="T52">
        <v>249587</v>
      </c>
      <c r="U52">
        <v>238240</v>
      </c>
      <c r="V52">
        <v>228491</v>
      </c>
      <c r="W52">
        <v>220352</v>
      </c>
      <c r="X52">
        <v>215284</v>
      </c>
      <c r="Y52">
        <v>215014</v>
      </c>
      <c r="Z52">
        <v>220605</v>
      </c>
      <c r="AA52">
        <v>232934</v>
      </c>
      <c r="AB52">
        <v>251301</v>
      </c>
      <c r="AC52">
        <v>273199</v>
      </c>
      <c r="AD52">
        <v>295090</v>
      </c>
      <c r="AE52">
        <v>314407</v>
      </c>
      <c r="AF52">
        <v>330247</v>
      </c>
      <c r="AG52">
        <v>343290</v>
      </c>
      <c r="AH52">
        <v>354488</v>
      </c>
      <c r="AI52">
        <v>365451</v>
      </c>
      <c r="AJ52">
        <v>377363</v>
      </c>
      <c r="AK52">
        <v>390381</v>
      </c>
      <c r="AL52">
        <v>404081</v>
      </c>
      <c r="AM52">
        <v>418409</v>
      </c>
      <c r="AN52">
        <v>433197</v>
      </c>
      <c r="AO52">
        <v>448332</v>
      </c>
      <c r="AP52">
        <v>463844</v>
      </c>
      <c r="AQ52">
        <v>479836</v>
      </c>
      <c r="AR52">
        <v>496330</v>
      </c>
      <c r="AS52">
        <v>513347</v>
      </c>
      <c r="AT52">
        <v>530896</v>
      </c>
      <c r="AU52">
        <v>549007</v>
      </c>
      <c r="AV52">
        <v>567664</v>
      </c>
      <c r="AW52">
        <v>586772</v>
      </c>
      <c r="AX52">
        <v>606201</v>
      </c>
      <c r="AY52">
        <v>625866</v>
      </c>
      <c r="AZ52">
        <v>645718</v>
      </c>
      <c r="BA52">
        <v>665798</v>
      </c>
      <c r="BB52">
        <v>686223</v>
      </c>
      <c r="BC52">
        <v>707155</v>
      </c>
      <c r="BD52">
        <v>728710</v>
      </c>
      <c r="BE52">
        <v>750918</v>
      </c>
      <c r="BF52">
        <v>773729</v>
      </c>
      <c r="BG52">
        <v>797082</v>
      </c>
      <c r="BH52">
        <v>820885</v>
      </c>
      <c r="BI52">
        <v>845060</v>
      </c>
      <c r="BJ52">
        <v>870471</v>
      </c>
      <c r="BK52">
        <v>896646</v>
      </c>
      <c r="BL52">
        <v>923608</v>
      </c>
      <c r="BM52">
        <v>951381</v>
      </c>
      <c r="BN52">
        <v>979989</v>
      </c>
      <c r="BO52">
        <v>1009457</v>
      </c>
      <c r="BP52">
        <v>1039811</v>
      </c>
      <c r="BQ52">
        <v>3.0069583360726737E-2</v>
      </c>
      <c r="BR52" s="6">
        <f t="shared" si="3"/>
        <v>773729</v>
      </c>
      <c r="BT52" s="4">
        <f t="shared" si="4"/>
        <v>3.0689754748957965E-2</v>
      </c>
      <c r="BU52" s="4">
        <f t="shared" si="4"/>
        <v>3.0534432524433441E-2</v>
      </c>
      <c r="BV52" s="4">
        <f t="shared" si="4"/>
        <v>3.0459437716380711E-2</v>
      </c>
      <c r="BW52" s="4">
        <f t="shared" si="4"/>
        <v>3.0379231407837715E-2</v>
      </c>
      <c r="BX52" s="4">
        <f t="shared" si="5"/>
        <v>3.0224556735257924E-2</v>
      </c>
      <c r="BY52" s="4">
        <f t="shared" si="5"/>
        <v>2.9968061156782744E-2</v>
      </c>
      <c r="BZ52" s="4">
        <f t="shared" si="5"/>
        <v>2.9891225491848639E-2</v>
      </c>
      <c r="CA52" s="4">
        <f t="shared" ref="CA52:CF94" si="6">IFERROR((BK52/BG52)^(1/(BK$2-BG$2))-1,".")</f>
        <v>2.9863113612029535E-2</v>
      </c>
      <c r="CB52" s="4">
        <f t="shared" si="6"/>
        <v>2.9914900712067594E-2</v>
      </c>
      <c r="CC52" s="4">
        <f t="shared" si="6"/>
        <v>3.0069984056112276E-2</v>
      </c>
      <c r="CD52" s="4">
        <f t="shared" si="6"/>
        <v>3.006996349854596E-2</v>
      </c>
      <c r="CE52" s="4">
        <f t="shared" si="6"/>
        <v>3.0069912901683926E-2</v>
      </c>
      <c r="CF52" s="4">
        <f t="shared" si="6"/>
        <v>3.0069861265195064E-2</v>
      </c>
      <c r="CH52">
        <v>28051</v>
      </c>
    </row>
    <row r="53" spans="1:86" x14ac:dyDescent="0.25">
      <c r="A53" s="2">
        <v>51</v>
      </c>
      <c r="B53" s="3" t="s">
        <v>76</v>
      </c>
      <c r="C53" t="s">
        <v>76</v>
      </c>
      <c r="D53" t="s">
        <v>14</v>
      </c>
      <c r="E53">
        <v>1</v>
      </c>
      <c r="F53">
        <v>1407631</v>
      </c>
      <c r="G53">
        <v>1441297</v>
      </c>
      <c r="H53">
        <v>1476321</v>
      </c>
      <c r="I53">
        <v>1512671</v>
      </c>
      <c r="J53">
        <v>1550297</v>
      </c>
      <c r="K53">
        <v>1589187</v>
      </c>
      <c r="L53">
        <v>1629333</v>
      </c>
      <c r="M53">
        <v>1670821</v>
      </c>
      <c r="N53">
        <v>1713846</v>
      </c>
      <c r="O53">
        <v>1758668</v>
      </c>
      <c r="P53">
        <v>1805480</v>
      </c>
      <c r="Q53">
        <v>1854395</v>
      </c>
      <c r="R53">
        <v>1905406</v>
      </c>
      <c r="S53">
        <v>1958444</v>
      </c>
      <c r="T53">
        <v>2013382</v>
      </c>
      <c r="U53">
        <v>2070145</v>
      </c>
      <c r="V53">
        <v>2128597</v>
      </c>
      <c r="W53">
        <v>2188806</v>
      </c>
      <c r="X53">
        <v>2251129</v>
      </c>
      <c r="Y53">
        <v>2316054</v>
      </c>
      <c r="Z53">
        <v>2383858</v>
      </c>
      <c r="AA53">
        <v>2453689</v>
      </c>
      <c r="AB53">
        <v>2525005</v>
      </c>
      <c r="AC53">
        <v>2598626</v>
      </c>
      <c r="AD53">
        <v>2675717</v>
      </c>
      <c r="AE53">
        <v>2756493</v>
      </c>
      <c r="AF53">
        <v>2843141</v>
      </c>
      <c r="AG53">
        <v>2933871</v>
      </c>
      <c r="AH53">
        <v>3020278</v>
      </c>
      <c r="AI53">
        <v>3091083</v>
      </c>
      <c r="AJ53">
        <v>3139083</v>
      </c>
      <c r="AK53">
        <v>3160644</v>
      </c>
      <c r="AL53">
        <v>3160617</v>
      </c>
      <c r="AM53">
        <v>3150811</v>
      </c>
      <c r="AN53">
        <v>3147871</v>
      </c>
      <c r="AO53">
        <v>3164095</v>
      </c>
      <c r="AP53">
        <v>3202598</v>
      </c>
      <c r="AQ53">
        <v>3260612</v>
      </c>
      <c r="AR53">
        <v>3337227</v>
      </c>
      <c r="AS53">
        <v>3429656</v>
      </c>
      <c r="AT53">
        <v>3535156</v>
      </c>
      <c r="AU53">
        <v>3655006</v>
      </c>
      <c r="AV53">
        <v>3788532</v>
      </c>
      <c r="AW53">
        <v>3928408</v>
      </c>
      <c r="AX53">
        <v>4064958</v>
      </c>
      <c r="AY53">
        <v>4191273</v>
      </c>
      <c r="AZ53">
        <v>4304440</v>
      </c>
      <c r="BA53">
        <v>4406299</v>
      </c>
      <c r="BB53">
        <v>4500638</v>
      </c>
      <c r="BC53">
        <v>4593549</v>
      </c>
      <c r="BD53">
        <v>4689664</v>
      </c>
      <c r="BE53">
        <v>4789568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-1</v>
      </c>
      <c r="BR53" s="6">
        <f t="shared" si="3"/>
        <v>0</v>
      </c>
      <c r="BT53" s="4">
        <f t="shared" si="4"/>
        <v>2.1659710954546885E-2</v>
      </c>
      <c r="BU53" s="4">
        <f t="shared" si="4"/>
        <v>2.1070184586610807E-2</v>
      </c>
      <c r="BV53" s="4">
        <f t="shared" si="4"/>
        <v>-1</v>
      </c>
      <c r="BW53" s="4">
        <f t="shared" si="4"/>
        <v>-1</v>
      </c>
      <c r="BX53" s="4">
        <f t="shared" si="4"/>
        <v>-1</v>
      </c>
      <c r="BY53" s="4">
        <f t="shared" si="4"/>
        <v>-1</v>
      </c>
      <c r="BZ53" s="4" t="str">
        <f t="shared" si="4"/>
        <v>.</v>
      </c>
      <c r="CA53" s="4" t="str">
        <f t="shared" si="6"/>
        <v>.</v>
      </c>
      <c r="CB53" s="4" t="str">
        <f t="shared" si="6"/>
        <v>.</v>
      </c>
      <c r="CC53" s="4" t="str">
        <f t="shared" si="6"/>
        <v>.</v>
      </c>
      <c r="CD53" s="4" t="str">
        <f t="shared" si="6"/>
        <v>.</v>
      </c>
      <c r="CE53" s="4" t="str">
        <f t="shared" si="6"/>
        <v>.</v>
      </c>
      <c r="CF53" s="4" t="str">
        <f t="shared" si="6"/>
        <v>.</v>
      </c>
      <c r="CH53">
        <v>101000</v>
      </c>
    </row>
    <row r="54" spans="1:86" x14ac:dyDescent="0.25">
      <c r="A54" s="2">
        <v>52</v>
      </c>
      <c r="B54" s="3" t="s">
        <v>77</v>
      </c>
      <c r="C54" t="s">
        <v>77</v>
      </c>
      <c r="D54" t="s">
        <v>23</v>
      </c>
      <c r="E54">
        <v>1</v>
      </c>
      <c r="F54">
        <v>1211537</v>
      </c>
      <c r="G54">
        <v>1225077</v>
      </c>
      <c r="H54">
        <v>1241623</v>
      </c>
      <c r="I54">
        <v>1258857</v>
      </c>
      <c r="J54">
        <v>1277086</v>
      </c>
      <c r="K54">
        <v>1294566</v>
      </c>
      <c r="L54">
        <v>1308597</v>
      </c>
      <c r="M54">
        <v>1318946</v>
      </c>
      <c r="N54">
        <v>1331214</v>
      </c>
      <c r="O54">
        <v>1345249</v>
      </c>
      <c r="P54">
        <v>1360076</v>
      </c>
      <c r="Q54">
        <v>1376955</v>
      </c>
      <c r="R54">
        <v>1392518</v>
      </c>
      <c r="S54">
        <v>1405951</v>
      </c>
      <c r="T54">
        <v>1418169</v>
      </c>
      <c r="U54">
        <v>1429352</v>
      </c>
      <c r="V54">
        <v>1439576</v>
      </c>
      <c r="W54">
        <v>1450211</v>
      </c>
      <c r="X54">
        <v>1460188</v>
      </c>
      <c r="Y54">
        <v>1468333</v>
      </c>
      <c r="Z54">
        <v>1477219</v>
      </c>
      <c r="AA54">
        <v>1487666</v>
      </c>
      <c r="AB54">
        <v>1498414</v>
      </c>
      <c r="AC54">
        <v>1508745</v>
      </c>
      <c r="AD54">
        <v>1518617</v>
      </c>
      <c r="AE54">
        <v>1528781</v>
      </c>
      <c r="AF54">
        <v>1540190</v>
      </c>
      <c r="AG54">
        <v>1552221</v>
      </c>
      <c r="AH54">
        <v>1561900</v>
      </c>
      <c r="AI54">
        <v>1568131</v>
      </c>
      <c r="AJ54">
        <v>1569174</v>
      </c>
      <c r="AK54">
        <v>1561314</v>
      </c>
      <c r="AL54">
        <v>1533091</v>
      </c>
      <c r="AM54">
        <v>1494128</v>
      </c>
      <c r="AN54">
        <v>1462514</v>
      </c>
      <c r="AO54">
        <v>1436634</v>
      </c>
      <c r="AP54">
        <v>1415594</v>
      </c>
      <c r="AQ54">
        <v>1399535</v>
      </c>
      <c r="AR54">
        <v>1386156</v>
      </c>
      <c r="AS54">
        <v>1380620</v>
      </c>
      <c r="AT54">
        <v>1396985</v>
      </c>
      <c r="AU54">
        <v>1388115</v>
      </c>
      <c r="AV54">
        <v>1379350</v>
      </c>
      <c r="AW54">
        <v>1370720</v>
      </c>
      <c r="AX54">
        <v>1362550</v>
      </c>
      <c r="AY54">
        <v>1354775</v>
      </c>
      <c r="AZ54">
        <v>1346810</v>
      </c>
      <c r="BA54">
        <v>1340680</v>
      </c>
      <c r="BB54">
        <v>1337090</v>
      </c>
      <c r="BC54">
        <v>1334515</v>
      </c>
      <c r="BD54">
        <v>1331475</v>
      </c>
      <c r="BE54">
        <v>1327439</v>
      </c>
      <c r="BF54">
        <v>1322696</v>
      </c>
      <c r="BG54">
        <v>1317997</v>
      </c>
      <c r="BH54">
        <v>1314545</v>
      </c>
      <c r="BI54">
        <v>1311998</v>
      </c>
      <c r="BJ54">
        <v>1308137</v>
      </c>
      <c r="BK54">
        <v>1304287</v>
      </c>
      <c r="BL54">
        <v>1300449</v>
      </c>
      <c r="BM54">
        <v>1296622</v>
      </c>
      <c r="BN54">
        <v>1292806</v>
      </c>
      <c r="BO54">
        <v>1289001</v>
      </c>
      <c r="BP54">
        <v>1285208</v>
      </c>
      <c r="BQ54">
        <v>-2.9428979907787367E-3</v>
      </c>
      <c r="BR54" s="6">
        <f t="shared" si="3"/>
        <v>1322696</v>
      </c>
      <c r="BT54" s="4">
        <f t="shared" si="4"/>
        <v>-2.8587766448802121E-3</v>
      </c>
      <c r="BU54" s="4">
        <f t="shared" si="4"/>
        <v>-2.4782804526244373E-3</v>
      </c>
      <c r="BV54" s="4">
        <f t="shared" si="4"/>
        <v>-2.7022256003988998E-3</v>
      </c>
      <c r="BW54" s="4">
        <f t="shared" si="4"/>
        <v>-3.1088500024020194E-3</v>
      </c>
      <c r="BX54" s="4">
        <f t="shared" si="4"/>
        <v>-3.1940760828110815E-3</v>
      </c>
      <c r="BY54" s="4">
        <f t="shared" si="4"/>
        <v>-2.9208150734103544E-3</v>
      </c>
      <c r="BZ54" s="4">
        <f t="shared" si="4"/>
        <v>-2.7631979006548235E-3</v>
      </c>
      <c r="CA54" s="4">
        <f t="shared" si="6"/>
        <v>-2.6107432140541897E-3</v>
      </c>
      <c r="CB54" s="4">
        <f t="shared" si="6"/>
        <v>-2.6916232437296239E-3</v>
      </c>
      <c r="CC54" s="4">
        <f t="shared" si="6"/>
        <v>-2.9428475754986749E-3</v>
      </c>
      <c r="CD54" s="4">
        <f t="shared" si="6"/>
        <v>-2.9428956052210964E-3</v>
      </c>
      <c r="CE54" s="4">
        <f t="shared" si="6"/>
        <v>-2.9429189892226093E-3</v>
      </c>
      <c r="CF54" s="4">
        <f t="shared" si="6"/>
        <v>-2.9429152349722543E-3</v>
      </c>
      <c r="CH54">
        <v>42388</v>
      </c>
    </row>
    <row r="55" spans="1:86" x14ac:dyDescent="0.25">
      <c r="A55" s="2">
        <v>53</v>
      </c>
      <c r="B55" s="3" t="s">
        <v>78</v>
      </c>
      <c r="C55" t="s">
        <v>78</v>
      </c>
      <c r="D55" t="s">
        <v>14</v>
      </c>
      <c r="E55">
        <v>1</v>
      </c>
      <c r="F55">
        <v>22151218</v>
      </c>
      <c r="G55">
        <v>22671131</v>
      </c>
      <c r="H55">
        <v>23221331</v>
      </c>
      <c r="I55">
        <v>23798378</v>
      </c>
      <c r="J55">
        <v>24396965</v>
      </c>
      <c r="K55">
        <v>25013551</v>
      </c>
      <c r="L55">
        <v>25641176</v>
      </c>
      <c r="M55">
        <v>26280771</v>
      </c>
      <c r="N55">
        <v>26945459</v>
      </c>
      <c r="O55">
        <v>27653622</v>
      </c>
      <c r="P55">
        <v>28414999</v>
      </c>
      <c r="Q55">
        <v>29246170</v>
      </c>
      <c r="R55">
        <v>30135007</v>
      </c>
      <c r="S55">
        <v>31028728</v>
      </c>
      <c r="T55">
        <v>31855294</v>
      </c>
      <c r="U55">
        <v>32568539</v>
      </c>
      <c r="V55">
        <v>33144537</v>
      </c>
      <c r="W55">
        <v>33614153</v>
      </c>
      <c r="X55">
        <v>34053431</v>
      </c>
      <c r="Y55">
        <v>34569428</v>
      </c>
      <c r="Z55">
        <v>35239974</v>
      </c>
      <c r="AA55">
        <v>36093319</v>
      </c>
      <c r="AB55">
        <v>37109517</v>
      </c>
      <c r="AC55">
        <v>38259376</v>
      </c>
      <c r="AD55">
        <v>39493503</v>
      </c>
      <c r="AE55">
        <v>40775997</v>
      </c>
      <c r="AF55">
        <v>42097111</v>
      </c>
      <c r="AG55">
        <v>43470219</v>
      </c>
      <c r="AH55">
        <v>44908705</v>
      </c>
      <c r="AI55">
        <v>46433604</v>
      </c>
      <c r="AJ55">
        <v>48057094</v>
      </c>
      <c r="AK55">
        <v>49784987</v>
      </c>
      <c r="AL55">
        <v>51602776</v>
      </c>
      <c r="AM55">
        <v>53477944</v>
      </c>
      <c r="AN55">
        <v>55366517</v>
      </c>
      <c r="AO55">
        <v>57237226</v>
      </c>
      <c r="AP55">
        <v>59076414</v>
      </c>
      <c r="AQ55">
        <v>60893264</v>
      </c>
      <c r="AR55">
        <v>62707547</v>
      </c>
      <c r="AS55">
        <v>64550161</v>
      </c>
      <c r="AT55">
        <v>66443603</v>
      </c>
      <c r="AU55">
        <v>68393128</v>
      </c>
      <c r="AV55">
        <v>70391170</v>
      </c>
      <c r="AW55">
        <v>72432290</v>
      </c>
      <c r="AX55">
        <v>74506974</v>
      </c>
      <c r="AY55">
        <v>76608431</v>
      </c>
      <c r="AZ55">
        <v>78735675</v>
      </c>
      <c r="BA55">
        <v>80891968</v>
      </c>
      <c r="BB55">
        <v>83079608</v>
      </c>
      <c r="BC55">
        <v>85302099</v>
      </c>
      <c r="BD55">
        <v>87561814</v>
      </c>
      <c r="BE55">
        <v>89858696</v>
      </c>
      <c r="BF55">
        <v>92191211</v>
      </c>
      <c r="BG55">
        <v>94558374</v>
      </c>
      <c r="BH55">
        <v>96958732</v>
      </c>
      <c r="BI55">
        <v>99390750</v>
      </c>
      <c r="BJ55">
        <v>101941780</v>
      </c>
      <c r="BK55">
        <v>104558286</v>
      </c>
      <c r="BL55">
        <v>107241949</v>
      </c>
      <c r="BM55">
        <v>109994493</v>
      </c>
      <c r="BN55">
        <v>112817686</v>
      </c>
      <c r="BO55">
        <v>115713340</v>
      </c>
      <c r="BP55">
        <v>118683316</v>
      </c>
      <c r="BQ55">
        <v>2.5666671376674888E-2</v>
      </c>
      <c r="BR55" s="6">
        <f t="shared" si="3"/>
        <v>92191211</v>
      </c>
      <c r="BT55" s="4">
        <f t="shared" si="4"/>
        <v>2.6918076776570654E-2</v>
      </c>
      <c r="BU55" s="4">
        <f t="shared" si="4"/>
        <v>2.6629353846685522E-2</v>
      </c>
      <c r="BV55" s="4">
        <f t="shared" si="4"/>
        <v>2.6357760072316383E-2</v>
      </c>
      <c r="BW55" s="4">
        <f t="shared" si="4"/>
        <v>2.6089088785357761E-2</v>
      </c>
      <c r="BX55" s="4">
        <f t="shared" si="4"/>
        <v>2.5812635657333605E-2</v>
      </c>
      <c r="BY55" s="4">
        <f t="shared" si="4"/>
        <v>2.5525500601712325E-2</v>
      </c>
      <c r="BZ55" s="4">
        <f t="shared" si="4"/>
        <v>2.5452795078401813E-2</v>
      </c>
      <c r="CA55" s="4">
        <f t="shared" si="6"/>
        <v>2.5450296368116909E-2</v>
      </c>
      <c r="CB55" s="4">
        <f t="shared" si="6"/>
        <v>2.5520727767356366E-2</v>
      </c>
      <c r="CC55" s="4">
        <f t="shared" si="6"/>
        <v>2.5666671598435054E-2</v>
      </c>
      <c r="CD55" s="4">
        <f t="shared" si="6"/>
        <v>2.5666672014329484E-2</v>
      </c>
      <c r="CE55" s="4">
        <f t="shared" si="6"/>
        <v>2.5666671377397643E-2</v>
      </c>
      <c r="CF55" s="4">
        <f t="shared" si="6"/>
        <v>2.5666671188467882E-2</v>
      </c>
      <c r="CH55">
        <v>1000000</v>
      </c>
    </row>
    <row r="56" spans="1:86" x14ac:dyDescent="0.25">
      <c r="A56" s="2">
        <v>54</v>
      </c>
      <c r="B56" s="3" t="s">
        <v>79</v>
      </c>
      <c r="C56" t="s">
        <v>79</v>
      </c>
      <c r="D56" t="s">
        <v>21</v>
      </c>
      <c r="E56">
        <v>1</v>
      </c>
      <c r="F56">
        <v>393383</v>
      </c>
      <c r="G56">
        <v>407152</v>
      </c>
      <c r="H56">
        <v>421576</v>
      </c>
      <c r="I56">
        <v>436208</v>
      </c>
      <c r="J56">
        <v>450452</v>
      </c>
      <c r="K56">
        <v>463884</v>
      </c>
      <c r="L56">
        <v>476329</v>
      </c>
      <c r="M56">
        <v>487911</v>
      </c>
      <c r="N56">
        <v>498887</v>
      </c>
      <c r="O56">
        <v>509659</v>
      </c>
      <c r="P56">
        <v>520529</v>
      </c>
      <c r="Q56">
        <v>531601</v>
      </c>
      <c r="R56">
        <v>542811</v>
      </c>
      <c r="S56">
        <v>554109</v>
      </c>
      <c r="T56">
        <v>565386</v>
      </c>
      <c r="U56">
        <v>576592</v>
      </c>
      <c r="V56">
        <v>587523</v>
      </c>
      <c r="W56">
        <v>598258</v>
      </c>
      <c r="X56">
        <v>609348</v>
      </c>
      <c r="Y56">
        <v>621541</v>
      </c>
      <c r="Z56">
        <v>635256</v>
      </c>
      <c r="AA56">
        <v>650957</v>
      </c>
      <c r="AB56">
        <v>668196</v>
      </c>
      <c r="AC56">
        <v>685389</v>
      </c>
      <c r="AD56">
        <v>700366</v>
      </c>
      <c r="AE56">
        <v>711663</v>
      </c>
      <c r="AF56">
        <v>718548</v>
      </c>
      <c r="AG56">
        <v>721725</v>
      </c>
      <c r="AH56">
        <v>722918</v>
      </c>
      <c r="AI56">
        <v>724624</v>
      </c>
      <c r="AJ56">
        <v>728626</v>
      </c>
      <c r="AK56">
        <v>735469</v>
      </c>
      <c r="AL56">
        <v>744534</v>
      </c>
      <c r="AM56">
        <v>755024</v>
      </c>
      <c r="AN56">
        <v>765666</v>
      </c>
      <c r="AO56">
        <v>775498</v>
      </c>
      <c r="AP56">
        <v>784479</v>
      </c>
      <c r="AQ56">
        <v>792859</v>
      </c>
      <c r="AR56">
        <v>800314</v>
      </c>
      <c r="AS56">
        <v>806494</v>
      </c>
      <c r="AT56">
        <v>811223</v>
      </c>
      <c r="AU56">
        <v>814215</v>
      </c>
      <c r="AV56">
        <v>815691</v>
      </c>
      <c r="AW56">
        <v>816626</v>
      </c>
      <c r="AX56">
        <v>818355</v>
      </c>
      <c r="AY56">
        <v>821820</v>
      </c>
      <c r="AZ56">
        <v>827390</v>
      </c>
      <c r="BA56">
        <v>834729</v>
      </c>
      <c r="BB56">
        <v>843206</v>
      </c>
      <c r="BC56">
        <v>851854</v>
      </c>
      <c r="BD56">
        <v>859952</v>
      </c>
      <c r="BE56">
        <v>867327</v>
      </c>
      <c r="BF56">
        <v>874158</v>
      </c>
      <c r="BG56">
        <v>880487</v>
      </c>
      <c r="BH56">
        <v>886450</v>
      </c>
      <c r="BI56">
        <v>892145</v>
      </c>
      <c r="BJ56">
        <v>898727</v>
      </c>
      <c r="BK56">
        <v>905357</v>
      </c>
      <c r="BL56">
        <v>912036</v>
      </c>
      <c r="BM56">
        <v>918765</v>
      </c>
      <c r="BN56">
        <v>925543</v>
      </c>
      <c r="BO56">
        <v>932371</v>
      </c>
      <c r="BP56">
        <v>939250</v>
      </c>
      <c r="BQ56">
        <v>7.3775009876144715E-3</v>
      </c>
      <c r="BR56" s="6">
        <f t="shared" si="3"/>
        <v>874158</v>
      </c>
      <c r="BT56" s="4">
        <f t="shared" si="4"/>
        <v>9.6968138265727255E-3</v>
      </c>
      <c r="BU56" s="4">
        <f t="shared" si="4"/>
        <v>9.6232452496620713E-3</v>
      </c>
      <c r="BV56" s="4">
        <f t="shared" si="4"/>
        <v>9.0531954665007408E-3</v>
      </c>
      <c r="BW56" s="4">
        <f t="shared" si="4"/>
        <v>8.2992526427168034E-3</v>
      </c>
      <c r="BX56" s="4">
        <f t="shared" si="4"/>
        <v>7.6158916455788539E-3</v>
      </c>
      <c r="BY56" s="4">
        <f t="shared" si="4"/>
        <v>7.0780838372417332E-3</v>
      </c>
      <c r="BZ56" s="4">
        <f t="shared" si="4"/>
        <v>6.9536099164120291E-3</v>
      </c>
      <c r="CA56" s="4">
        <f t="shared" si="6"/>
        <v>6.9878462425922994E-3</v>
      </c>
      <c r="CB56" s="4">
        <f t="shared" si="6"/>
        <v>7.139047521326658E-3</v>
      </c>
      <c r="CC56" s="4">
        <f t="shared" si="6"/>
        <v>7.377506062802075E-3</v>
      </c>
      <c r="CD56" s="4">
        <f t="shared" si="6"/>
        <v>7.3773985746385939E-3</v>
      </c>
      <c r="CE56" s="4">
        <f t="shared" si="6"/>
        <v>7.3774460211539772E-3</v>
      </c>
      <c r="CF56" s="4">
        <f t="shared" si="6"/>
        <v>7.3776370151461546E-3</v>
      </c>
      <c r="CH56">
        <v>18274</v>
      </c>
    </row>
    <row r="57" spans="1:86" x14ac:dyDescent="0.25">
      <c r="A57" s="2">
        <v>55</v>
      </c>
      <c r="B57" s="3" t="s">
        <v>80</v>
      </c>
      <c r="C57" t="s">
        <v>80</v>
      </c>
      <c r="D57" t="s">
        <v>23</v>
      </c>
      <c r="E57">
        <v>1</v>
      </c>
      <c r="F57">
        <v>4429634</v>
      </c>
      <c r="G57">
        <v>4461005</v>
      </c>
      <c r="H57">
        <v>4491443</v>
      </c>
      <c r="I57">
        <v>4523309</v>
      </c>
      <c r="J57">
        <v>4548543</v>
      </c>
      <c r="K57">
        <v>4563732</v>
      </c>
      <c r="L57">
        <v>4580869</v>
      </c>
      <c r="M57">
        <v>4605744</v>
      </c>
      <c r="N57">
        <v>4626469</v>
      </c>
      <c r="O57">
        <v>4623785</v>
      </c>
      <c r="P57">
        <v>4606307</v>
      </c>
      <c r="Q57">
        <v>4612124</v>
      </c>
      <c r="R57">
        <v>4639657</v>
      </c>
      <c r="S57">
        <v>4666081</v>
      </c>
      <c r="T57">
        <v>4690574</v>
      </c>
      <c r="U57">
        <v>4711440</v>
      </c>
      <c r="V57">
        <v>4725664</v>
      </c>
      <c r="W57">
        <v>4738902</v>
      </c>
      <c r="X57">
        <v>4752528</v>
      </c>
      <c r="Y57">
        <v>4764690</v>
      </c>
      <c r="Z57">
        <v>4779535</v>
      </c>
      <c r="AA57">
        <v>4799964</v>
      </c>
      <c r="AB57">
        <v>4826933</v>
      </c>
      <c r="AC57">
        <v>4855787</v>
      </c>
      <c r="AD57">
        <v>4881803</v>
      </c>
      <c r="AE57">
        <v>4902206</v>
      </c>
      <c r="AF57">
        <v>4918154</v>
      </c>
      <c r="AG57">
        <v>4932123</v>
      </c>
      <c r="AH57">
        <v>4946481</v>
      </c>
      <c r="AI57">
        <v>4964371</v>
      </c>
      <c r="AJ57">
        <v>4986431</v>
      </c>
      <c r="AK57">
        <v>5013740</v>
      </c>
      <c r="AL57">
        <v>5041992</v>
      </c>
      <c r="AM57">
        <v>5066447</v>
      </c>
      <c r="AN57">
        <v>5088333</v>
      </c>
      <c r="AO57">
        <v>5107790</v>
      </c>
      <c r="AP57">
        <v>5124573</v>
      </c>
      <c r="AQ57">
        <v>5139835</v>
      </c>
      <c r="AR57">
        <v>5153498</v>
      </c>
      <c r="AS57">
        <v>5165474</v>
      </c>
      <c r="AT57">
        <v>5176209</v>
      </c>
      <c r="AU57">
        <v>5188008</v>
      </c>
      <c r="AV57">
        <v>5200598</v>
      </c>
      <c r="AW57">
        <v>5213014</v>
      </c>
      <c r="AX57">
        <v>5228172</v>
      </c>
      <c r="AY57">
        <v>5246096</v>
      </c>
      <c r="AZ57">
        <v>5266268</v>
      </c>
      <c r="BA57">
        <v>5288720</v>
      </c>
      <c r="BB57">
        <v>5313399</v>
      </c>
      <c r="BC57">
        <v>5338871</v>
      </c>
      <c r="BD57">
        <v>5363352</v>
      </c>
      <c r="BE57">
        <v>5388272</v>
      </c>
      <c r="BF57">
        <v>5413971</v>
      </c>
      <c r="BG57">
        <v>5438972</v>
      </c>
      <c r="BH57">
        <v>5461512</v>
      </c>
      <c r="BI57">
        <v>5482013</v>
      </c>
      <c r="BJ57">
        <v>5506058</v>
      </c>
      <c r="BK57">
        <v>5530209</v>
      </c>
      <c r="BL57">
        <v>5554466</v>
      </c>
      <c r="BM57">
        <v>5578829</v>
      </c>
      <c r="BN57">
        <v>5603299</v>
      </c>
      <c r="BO57">
        <v>5627876</v>
      </c>
      <c r="BP57">
        <v>5652561</v>
      </c>
      <c r="BQ57">
        <v>4.3862347955141434E-3</v>
      </c>
      <c r="BR57" s="6">
        <f t="shared" si="3"/>
        <v>5413971</v>
      </c>
      <c r="BT57" s="4">
        <f t="shared" si="4"/>
        <v>4.5772438376134872E-3</v>
      </c>
      <c r="BU57" s="4">
        <f t="shared" si="4"/>
        <v>4.6730069031097887E-3</v>
      </c>
      <c r="BV57" s="4">
        <f t="shared" si="4"/>
        <v>4.6987776040519069E-3</v>
      </c>
      <c r="BW57" s="4">
        <f t="shared" si="4"/>
        <v>4.6547661790650174E-3</v>
      </c>
      <c r="BX57" s="4">
        <f t="shared" si="4"/>
        <v>4.5444251589483731E-3</v>
      </c>
      <c r="BY57" s="4">
        <f t="shared" si="4"/>
        <v>4.3212170103554826E-3</v>
      </c>
      <c r="BZ57" s="4">
        <f t="shared" si="4"/>
        <v>4.2254285386398305E-3</v>
      </c>
      <c r="CA57" s="4">
        <f t="shared" si="6"/>
        <v>4.1675442220352465E-3</v>
      </c>
      <c r="CB57" s="4">
        <f t="shared" si="6"/>
        <v>4.228066749495607E-3</v>
      </c>
      <c r="CC57" s="4">
        <f t="shared" si="6"/>
        <v>4.386223558054736E-3</v>
      </c>
      <c r="CD57" s="4">
        <f t="shared" si="6"/>
        <v>4.3862392104736525E-3</v>
      </c>
      <c r="CE57" s="4">
        <f t="shared" si="6"/>
        <v>4.3862158191645406E-3</v>
      </c>
      <c r="CF57" s="4">
        <f t="shared" si="6"/>
        <v>4.3861983164832363E-3</v>
      </c>
      <c r="CH57">
        <v>303815</v>
      </c>
    </row>
    <row r="58" spans="1:86" x14ac:dyDescent="0.25">
      <c r="A58" s="2">
        <v>56</v>
      </c>
      <c r="B58" s="3" t="s">
        <v>81</v>
      </c>
      <c r="C58" t="s">
        <v>81</v>
      </c>
      <c r="D58" t="s">
        <v>23</v>
      </c>
      <c r="E58">
        <v>1</v>
      </c>
      <c r="F58">
        <v>46814237</v>
      </c>
      <c r="G58">
        <v>47444751</v>
      </c>
      <c r="H58">
        <v>48119649</v>
      </c>
      <c r="I58">
        <v>48803680</v>
      </c>
      <c r="J58">
        <v>49449403</v>
      </c>
      <c r="K58">
        <v>50023774</v>
      </c>
      <c r="L58">
        <v>50508717</v>
      </c>
      <c r="M58">
        <v>50915456</v>
      </c>
      <c r="N58">
        <v>51276054</v>
      </c>
      <c r="O58">
        <v>51638260</v>
      </c>
      <c r="P58">
        <v>52035095</v>
      </c>
      <c r="Q58">
        <v>52480421</v>
      </c>
      <c r="R58">
        <v>52959228</v>
      </c>
      <c r="S58">
        <v>53441264</v>
      </c>
      <c r="T58">
        <v>53882416</v>
      </c>
      <c r="U58">
        <v>54252574</v>
      </c>
      <c r="V58">
        <v>54541493</v>
      </c>
      <c r="W58">
        <v>54764462</v>
      </c>
      <c r="X58">
        <v>54947975</v>
      </c>
      <c r="Y58">
        <v>55130594</v>
      </c>
      <c r="Z58">
        <v>55340782</v>
      </c>
      <c r="AA58">
        <v>55585824</v>
      </c>
      <c r="AB58">
        <v>55858727</v>
      </c>
      <c r="AC58">
        <v>56156284</v>
      </c>
      <c r="AD58">
        <v>56470769</v>
      </c>
      <c r="AE58">
        <v>56795686</v>
      </c>
      <c r="AF58">
        <v>57132691</v>
      </c>
      <c r="AG58">
        <v>57482591</v>
      </c>
      <c r="AH58">
        <v>57836486</v>
      </c>
      <c r="AI58">
        <v>58182702</v>
      </c>
      <c r="AJ58">
        <v>58512808</v>
      </c>
      <c r="AK58">
        <v>58559312</v>
      </c>
      <c r="AL58">
        <v>58851216</v>
      </c>
      <c r="AM58">
        <v>59106766</v>
      </c>
      <c r="AN58">
        <v>59327194</v>
      </c>
      <c r="AO58">
        <v>59541900</v>
      </c>
      <c r="AP58">
        <v>59753098</v>
      </c>
      <c r="AQ58">
        <v>59964845</v>
      </c>
      <c r="AR58">
        <v>60186291</v>
      </c>
      <c r="AS58">
        <v>60496715</v>
      </c>
      <c r="AT58">
        <v>60912498</v>
      </c>
      <c r="AU58">
        <v>61357431</v>
      </c>
      <c r="AV58">
        <v>61805267</v>
      </c>
      <c r="AW58">
        <v>62244884</v>
      </c>
      <c r="AX58">
        <v>62704897</v>
      </c>
      <c r="AY58">
        <v>63179356</v>
      </c>
      <c r="AZ58">
        <v>63621376</v>
      </c>
      <c r="BA58">
        <v>64016229</v>
      </c>
      <c r="BB58">
        <v>64374990</v>
      </c>
      <c r="BC58">
        <v>64707044</v>
      </c>
      <c r="BD58">
        <v>65027512</v>
      </c>
      <c r="BE58">
        <v>65342776</v>
      </c>
      <c r="BF58">
        <v>65659790</v>
      </c>
      <c r="BG58">
        <v>65972097</v>
      </c>
      <c r="BH58">
        <v>66495940</v>
      </c>
      <c r="BI58">
        <v>66808385</v>
      </c>
      <c r="BJ58">
        <v>67170370</v>
      </c>
      <c r="BK58">
        <v>67534316</v>
      </c>
      <c r="BL58">
        <v>67900234</v>
      </c>
      <c r="BM58">
        <v>68268135</v>
      </c>
      <c r="BN58">
        <v>68638029</v>
      </c>
      <c r="BO58">
        <v>69009927</v>
      </c>
      <c r="BP58">
        <v>69383841</v>
      </c>
      <c r="BQ58">
        <v>5.4182568928460295E-3</v>
      </c>
      <c r="BR58" s="6">
        <f t="shared" si="3"/>
        <v>65659790</v>
      </c>
      <c r="BT58" s="4">
        <f t="shared" si="4"/>
        <v>5.4801934679760134E-3</v>
      </c>
      <c r="BU58" s="4">
        <f t="shared" si="4"/>
        <v>5.1407338089437538E-3</v>
      </c>
      <c r="BV58" s="4">
        <f t="shared" si="4"/>
        <v>4.9526013193339491E-3</v>
      </c>
      <c r="BW58" s="4">
        <f t="shared" si="4"/>
        <v>4.8521870705136028E-3</v>
      </c>
      <c r="BX58" s="4">
        <f t="shared" si="4"/>
        <v>5.5982246415759995E-3</v>
      </c>
      <c r="BY58" s="4">
        <f t="shared" si="4"/>
        <v>5.560830810283246E-3</v>
      </c>
      <c r="BZ58" s="4">
        <f t="shared" si="4"/>
        <v>5.7025766136942213E-3</v>
      </c>
      <c r="CA58" s="4">
        <f t="shared" si="6"/>
        <v>5.8681439887944276E-3</v>
      </c>
      <c r="CB58" s="4">
        <f t="shared" si="6"/>
        <v>5.2383191774036941E-3</v>
      </c>
      <c r="CC58" s="4">
        <f t="shared" si="6"/>
        <v>5.4182550457302359E-3</v>
      </c>
      <c r="CD58" s="4">
        <f t="shared" si="6"/>
        <v>5.4182539446943068E-3</v>
      </c>
      <c r="CE58" s="4">
        <f t="shared" si="6"/>
        <v>5.4182534111135716E-3</v>
      </c>
      <c r="CF58" s="4">
        <f t="shared" si="6"/>
        <v>5.4182561878763913E-3</v>
      </c>
      <c r="CH58">
        <v>549970</v>
      </c>
    </row>
    <row r="59" spans="1:86" x14ac:dyDescent="0.25">
      <c r="A59" s="2">
        <v>57</v>
      </c>
      <c r="B59" s="3" t="s">
        <v>82</v>
      </c>
      <c r="C59" t="s">
        <v>82</v>
      </c>
      <c r="D59" t="s">
        <v>14</v>
      </c>
      <c r="E59">
        <v>1</v>
      </c>
      <c r="F59">
        <v>499189</v>
      </c>
      <c r="G59">
        <v>504174</v>
      </c>
      <c r="H59">
        <v>509806</v>
      </c>
      <c r="I59">
        <v>516270</v>
      </c>
      <c r="J59">
        <v>523793</v>
      </c>
      <c r="K59">
        <v>532512</v>
      </c>
      <c r="L59">
        <v>542562</v>
      </c>
      <c r="M59">
        <v>553829</v>
      </c>
      <c r="N59">
        <v>565878</v>
      </c>
      <c r="O59">
        <v>578114</v>
      </c>
      <c r="P59">
        <v>590119</v>
      </c>
      <c r="Q59">
        <v>601734</v>
      </c>
      <c r="R59">
        <v>613129</v>
      </c>
      <c r="S59">
        <v>624625</v>
      </c>
      <c r="T59">
        <v>636702</v>
      </c>
      <c r="U59">
        <v>649719</v>
      </c>
      <c r="V59">
        <v>663774</v>
      </c>
      <c r="W59">
        <v>678786</v>
      </c>
      <c r="X59">
        <v>694734</v>
      </c>
      <c r="Y59">
        <v>711544</v>
      </c>
      <c r="Z59">
        <v>729165</v>
      </c>
      <c r="AA59">
        <v>747593</v>
      </c>
      <c r="AB59">
        <v>766867</v>
      </c>
      <c r="AC59">
        <v>787017</v>
      </c>
      <c r="AD59">
        <v>808088</v>
      </c>
      <c r="AE59">
        <v>830091</v>
      </c>
      <c r="AF59">
        <v>853039</v>
      </c>
      <c r="AG59">
        <v>876877</v>
      </c>
      <c r="AH59">
        <v>901473</v>
      </c>
      <c r="AI59">
        <v>926648</v>
      </c>
      <c r="AJ59">
        <v>952269</v>
      </c>
      <c r="AK59">
        <v>978252</v>
      </c>
      <c r="AL59">
        <v>1004598</v>
      </c>
      <c r="AM59">
        <v>1031358</v>
      </c>
      <c r="AN59">
        <v>1058625</v>
      </c>
      <c r="AO59">
        <v>1086449</v>
      </c>
      <c r="AP59">
        <v>1114879</v>
      </c>
      <c r="AQ59">
        <v>1143838</v>
      </c>
      <c r="AR59">
        <v>1173114</v>
      </c>
      <c r="AS59">
        <v>1202412</v>
      </c>
      <c r="AT59">
        <v>1231548</v>
      </c>
      <c r="AU59">
        <v>1260435</v>
      </c>
      <c r="AV59">
        <v>1289192</v>
      </c>
      <c r="AW59">
        <v>1318093</v>
      </c>
      <c r="AX59">
        <v>1347524</v>
      </c>
      <c r="AY59">
        <v>1377777</v>
      </c>
      <c r="AZ59">
        <v>1408920</v>
      </c>
      <c r="BA59">
        <v>1440902</v>
      </c>
      <c r="BB59">
        <v>1473741</v>
      </c>
      <c r="BC59">
        <v>1507428</v>
      </c>
      <c r="BD59">
        <v>1541936</v>
      </c>
      <c r="BE59">
        <v>1577298</v>
      </c>
      <c r="BF59">
        <v>1613489</v>
      </c>
      <c r="BG59">
        <v>1650351</v>
      </c>
      <c r="BH59">
        <v>1687673</v>
      </c>
      <c r="BI59">
        <v>1725292</v>
      </c>
      <c r="BJ59">
        <v>1764501</v>
      </c>
      <c r="BK59">
        <v>1804601</v>
      </c>
      <c r="BL59">
        <v>1845612</v>
      </c>
      <c r="BM59">
        <v>1887555</v>
      </c>
      <c r="BN59">
        <v>1930451</v>
      </c>
      <c r="BO59">
        <v>1974322</v>
      </c>
      <c r="BP59">
        <v>2019190</v>
      </c>
      <c r="BQ59">
        <v>2.2725894607220631E-2</v>
      </c>
      <c r="BR59" s="6">
        <f t="shared" si="3"/>
        <v>1613489</v>
      </c>
      <c r="BT59" s="4">
        <f t="shared" si="4"/>
        <v>2.281008960168518E-2</v>
      </c>
      <c r="BU59" s="4">
        <f t="shared" si="4"/>
        <v>2.2868553525048796E-2</v>
      </c>
      <c r="BV59" s="4">
        <f t="shared" si="4"/>
        <v>2.2907141683918608E-2</v>
      </c>
      <c r="BW59" s="4">
        <f t="shared" si="4"/>
        <v>2.2904138496601334E-2</v>
      </c>
      <c r="BX59" s="4">
        <f t="shared" si="4"/>
        <v>2.2834783347014609E-2</v>
      </c>
      <c r="BY59" s="4">
        <f t="shared" si="4"/>
        <v>2.2673998101230275E-2</v>
      </c>
      <c r="BZ59" s="4">
        <f t="shared" si="4"/>
        <v>2.2619276498887286E-2</v>
      </c>
      <c r="CA59" s="4">
        <f t="shared" si="6"/>
        <v>2.258923910912336E-2</v>
      </c>
      <c r="CB59" s="4">
        <f t="shared" si="6"/>
        <v>2.2617041291240758E-2</v>
      </c>
      <c r="CC59" s="4">
        <f t="shared" si="6"/>
        <v>2.2725893544919495E-2</v>
      </c>
      <c r="CD59" s="4">
        <f t="shared" si="6"/>
        <v>2.2725815367667934E-2</v>
      </c>
      <c r="CE59" s="4">
        <f t="shared" si="6"/>
        <v>2.272576680087246E-2</v>
      </c>
      <c r="CF59" s="4">
        <f t="shared" si="6"/>
        <v>2.2725761055914839E-2</v>
      </c>
      <c r="CH59">
        <v>257667</v>
      </c>
    </row>
    <row r="60" spans="1:86" x14ac:dyDescent="0.25">
      <c r="A60" s="2">
        <v>58</v>
      </c>
      <c r="B60" s="3" t="s">
        <v>83</v>
      </c>
      <c r="C60" t="s">
        <v>83</v>
      </c>
      <c r="D60" t="s">
        <v>14</v>
      </c>
      <c r="E60">
        <v>1</v>
      </c>
      <c r="F60">
        <v>367929</v>
      </c>
      <c r="G60">
        <v>376736</v>
      </c>
      <c r="H60">
        <v>383525</v>
      </c>
      <c r="I60">
        <v>389070</v>
      </c>
      <c r="J60">
        <v>394552</v>
      </c>
      <c r="K60">
        <v>400865</v>
      </c>
      <c r="L60">
        <v>408182</v>
      </c>
      <c r="M60">
        <v>416342</v>
      </c>
      <c r="N60">
        <v>425509</v>
      </c>
      <c r="O60">
        <v>435800</v>
      </c>
      <c r="P60">
        <v>447283</v>
      </c>
      <c r="Q60">
        <v>460193</v>
      </c>
      <c r="R60">
        <v>474538</v>
      </c>
      <c r="S60">
        <v>489860</v>
      </c>
      <c r="T60">
        <v>505512</v>
      </c>
      <c r="U60">
        <v>521070</v>
      </c>
      <c r="V60">
        <v>536409</v>
      </c>
      <c r="W60">
        <v>551823</v>
      </c>
      <c r="X60">
        <v>567828</v>
      </c>
      <c r="Y60">
        <v>585155</v>
      </c>
      <c r="Z60">
        <v>604371</v>
      </c>
      <c r="AA60">
        <v>625413</v>
      </c>
      <c r="AB60">
        <v>648202</v>
      </c>
      <c r="AC60">
        <v>673230</v>
      </c>
      <c r="AD60">
        <v>701097</v>
      </c>
      <c r="AE60">
        <v>732092</v>
      </c>
      <c r="AF60">
        <v>766598</v>
      </c>
      <c r="AG60">
        <v>804134</v>
      </c>
      <c r="AH60">
        <v>843060</v>
      </c>
      <c r="AI60">
        <v>881146</v>
      </c>
      <c r="AJ60">
        <v>916811</v>
      </c>
      <c r="AK60">
        <v>949490</v>
      </c>
      <c r="AL60">
        <v>979701</v>
      </c>
      <c r="AM60">
        <v>1008296</v>
      </c>
      <c r="AN60">
        <v>1036627</v>
      </c>
      <c r="AO60">
        <v>1065746</v>
      </c>
      <c r="AP60">
        <v>1095839</v>
      </c>
      <c r="AQ60">
        <v>1126786</v>
      </c>
      <c r="AR60">
        <v>1159001</v>
      </c>
      <c r="AS60">
        <v>1192920</v>
      </c>
      <c r="AT60">
        <v>1228863</v>
      </c>
      <c r="AU60">
        <v>1267103</v>
      </c>
      <c r="AV60">
        <v>1307674</v>
      </c>
      <c r="AW60">
        <v>1350345</v>
      </c>
      <c r="AX60">
        <v>1394727</v>
      </c>
      <c r="AY60">
        <v>1440542</v>
      </c>
      <c r="AZ60">
        <v>1487731</v>
      </c>
      <c r="BA60">
        <v>1536424</v>
      </c>
      <c r="BB60">
        <v>1586749</v>
      </c>
      <c r="BC60">
        <v>1638899</v>
      </c>
      <c r="BD60">
        <v>1693002</v>
      </c>
      <c r="BE60">
        <v>1749099</v>
      </c>
      <c r="BF60">
        <v>1807108</v>
      </c>
      <c r="BG60">
        <v>1866878</v>
      </c>
      <c r="BH60">
        <v>1928201</v>
      </c>
      <c r="BI60">
        <v>1990924</v>
      </c>
      <c r="BJ60">
        <v>2056526</v>
      </c>
      <c r="BK60">
        <v>2124289</v>
      </c>
      <c r="BL60">
        <v>2194285</v>
      </c>
      <c r="BM60">
        <v>2266587</v>
      </c>
      <c r="BN60">
        <v>2341272</v>
      </c>
      <c r="BO60">
        <v>2418418</v>
      </c>
      <c r="BP60">
        <v>2498106</v>
      </c>
      <c r="BQ60">
        <v>3.2950338150246283E-2</v>
      </c>
      <c r="BR60" s="6">
        <f t="shared" si="3"/>
        <v>1807108</v>
      </c>
      <c r="BT60" s="4">
        <f t="shared" si="4"/>
        <v>3.2840512835607516E-2</v>
      </c>
      <c r="BU60" s="4">
        <f t="shared" si="4"/>
        <v>3.2941740277265152E-2</v>
      </c>
      <c r="BV60" s="4">
        <f t="shared" si="4"/>
        <v>3.3044354836912149E-2</v>
      </c>
      <c r="BW60" s="4">
        <f t="shared" si="4"/>
        <v>3.3096611059263203E-2</v>
      </c>
      <c r="BX60" s="4">
        <f t="shared" si="4"/>
        <v>3.3055628245924895E-2</v>
      </c>
      <c r="BY60" s="4">
        <f t="shared" si="4"/>
        <v>3.2904269565685595E-2</v>
      </c>
      <c r="BZ60" s="4">
        <f t="shared" si="4"/>
        <v>3.2850642485848569E-2</v>
      </c>
      <c r="CA60" s="4">
        <f t="shared" si="6"/>
        <v>3.2819468205882885E-2</v>
      </c>
      <c r="CB60" s="4">
        <f t="shared" si="6"/>
        <v>3.2845074202506597E-2</v>
      </c>
      <c r="CC60" s="4">
        <f t="shared" si="6"/>
        <v>3.2950304264488084E-2</v>
      </c>
      <c r="CD60" s="4">
        <f t="shared" si="6"/>
        <v>3.2950277592854738E-2</v>
      </c>
      <c r="CE60" s="4">
        <f t="shared" si="6"/>
        <v>3.2950336797775703E-2</v>
      </c>
      <c r="CF60" s="4">
        <f t="shared" si="6"/>
        <v>3.2950373562540713E-2</v>
      </c>
      <c r="CH60">
        <v>10120</v>
      </c>
    </row>
    <row r="61" spans="1:86" x14ac:dyDescent="0.25">
      <c r="A61" s="2">
        <v>59</v>
      </c>
      <c r="B61" s="3" t="s">
        <v>84</v>
      </c>
      <c r="C61" t="s">
        <v>84</v>
      </c>
      <c r="D61" t="s">
        <v>7</v>
      </c>
      <c r="E61">
        <v>1</v>
      </c>
      <c r="F61">
        <v>3645600</v>
      </c>
      <c r="G61">
        <v>3703600</v>
      </c>
      <c r="H61">
        <v>3760300</v>
      </c>
      <c r="I61">
        <v>3816100</v>
      </c>
      <c r="J61">
        <v>3870300</v>
      </c>
      <c r="K61">
        <v>3921600</v>
      </c>
      <c r="L61">
        <v>3966700</v>
      </c>
      <c r="M61">
        <v>4005800</v>
      </c>
      <c r="N61">
        <v>4042300</v>
      </c>
      <c r="O61">
        <v>4080300</v>
      </c>
      <c r="P61">
        <v>3967800</v>
      </c>
      <c r="Q61">
        <v>4009400</v>
      </c>
      <c r="R61">
        <v>4205300</v>
      </c>
      <c r="S61">
        <v>4242500</v>
      </c>
      <c r="T61">
        <v>4279500</v>
      </c>
      <c r="U61">
        <v>4311200</v>
      </c>
      <c r="V61">
        <v>4342400</v>
      </c>
      <c r="W61">
        <v>4372100</v>
      </c>
      <c r="X61">
        <v>4397700</v>
      </c>
      <c r="Y61">
        <v>4430200</v>
      </c>
      <c r="Z61">
        <v>4467700</v>
      </c>
      <c r="AA61">
        <v>4504500</v>
      </c>
      <c r="AB61">
        <v>4542800</v>
      </c>
      <c r="AC61">
        <v>4582900</v>
      </c>
      <c r="AD61">
        <v>4622200</v>
      </c>
      <c r="AE61">
        <v>4662900</v>
      </c>
      <c r="AF61">
        <v>4704500</v>
      </c>
      <c r="AG61">
        <v>4743500</v>
      </c>
      <c r="AH61">
        <v>4790700</v>
      </c>
      <c r="AI61">
        <v>4803300</v>
      </c>
      <c r="AJ61">
        <v>4802000</v>
      </c>
      <c r="AK61">
        <v>4835900</v>
      </c>
      <c r="AL61">
        <v>4873500</v>
      </c>
      <c r="AM61">
        <v>4911100</v>
      </c>
      <c r="AN61">
        <v>4861600</v>
      </c>
      <c r="AO61">
        <v>4734000</v>
      </c>
      <c r="AP61">
        <v>4616100</v>
      </c>
      <c r="AQ61">
        <v>4531600</v>
      </c>
      <c r="AR61">
        <v>4487300</v>
      </c>
      <c r="AS61">
        <v>4452500</v>
      </c>
      <c r="AT61">
        <v>4418300</v>
      </c>
      <c r="AU61">
        <v>4386400</v>
      </c>
      <c r="AV61">
        <v>4357000</v>
      </c>
      <c r="AW61">
        <v>4301000</v>
      </c>
      <c r="AX61">
        <v>4245000</v>
      </c>
      <c r="AY61">
        <v>4190000</v>
      </c>
      <c r="AZ61">
        <v>4136000</v>
      </c>
      <c r="BA61">
        <v>4082000</v>
      </c>
      <c r="BB61">
        <v>4030000</v>
      </c>
      <c r="BC61">
        <v>3978000</v>
      </c>
      <c r="BD61">
        <v>3926000</v>
      </c>
      <c r="BE61">
        <v>3875000</v>
      </c>
      <c r="BF61">
        <v>3825000</v>
      </c>
      <c r="BG61">
        <v>3776000</v>
      </c>
      <c r="BH61">
        <v>3727000</v>
      </c>
      <c r="BI61">
        <v>3679000</v>
      </c>
      <c r="BJ61">
        <v>3631497</v>
      </c>
      <c r="BK61">
        <v>3584607</v>
      </c>
      <c r="BL61">
        <v>3538323</v>
      </c>
      <c r="BM61">
        <v>3492636</v>
      </c>
      <c r="BN61">
        <v>3447539</v>
      </c>
      <c r="BO61">
        <v>3403025</v>
      </c>
      <c r="BP61">
        <v>3359085</v>
      </c>
      <c r="BQ61">
        <v>-1.2911940272408828E-2</v>
      </c>
      <c r="BR61" s="6">
        <f t="shared" si="3"/>
        <v>3825000</v>
      </c>
      <c r="BT61" s="4">
        <f t="shared" si="4"/>
        <v>-1.294252609573443E-2</v>
      </c>
      <c r="BU61" s="4">
        <f t="shared" si="4"/>
        <v>-1.292608163811293E-2</v>
      </c>
      <c r="BV61" s="4">
        <f t="shared" si="4"/>
        <v>-1.2967169486282404E-2</v>
      </c>
      <c r="BW61" s="4">
        <f t="shared" si="4"/>
        <v>-1.2943979733383459E-2</v>
      </c>
      <c r="BX61" s="4">
        <f t="shared" si="4"/>
        <v>-1.2920177382240938E-2</v>
      </c>
      <c r="BY61" s="4">
        <f t="shared" si="4"/>
        <v>-1.2892344133634936E-2</v>
      </c>
      <c r="BZ61" s="4">
        <f t="shared" si="4"/>
        <v>-1.289452086081222E-2</v>
      </c>
      <c r="CA61" s="4">
        <f t="shared" si="6"/>
        <v>-1.2919912922440102E-2</v>
      </c>
      <c r="CB61" s="4">
        <f t="shared" si="6"/>
        <v>-1.2903707584257851E-2</v>
      </c>
      <c r="CC61" s="4">
        <f t="shared" si="6"/>
        <v>-1.2911971947951795E-2</v>
      </c>
      <c r="CD61" s="4">
        <f t="shared" si="6"/>
        <v>-1.2911994810717364E-2</v>
      </c>
      <c r="CE61" s="4">
        <f t="shared" si="6"/>
        <v>-1.2911941969074414E-2</v>
      </c>
      <c r="CF61" s="4">
        <f t="shared" si="6"/>
        <v>-1.2911983418408268E-2</v>
      </c>
      <c r="CH61">
        <v>69700</v>
      </c>
    </row>
    <row r="62" spans="1:86" x14ac:dyDescent="0.25">
      <c r="A62" s="2">
        <v>60</v>
      </c>
      <c r="B62" s="3" t="s">
        <v>85</v>
      </c>
      <c r="C62" t="s">
        <v>85</v>
      </c>
      <c r="D62" t="s">
        <v>23</v>
      </c>
      <c r="E62">
        <v>1</v>
      </c>
      <c r="F62">
        <v>72814900</v>
      </c>
      <c r="G62">
        <v>73377632</v>
      </c>
      <c r="H62">
        <v>74025784</v>
      </c>
      <c r="I62">
        <v>74714353</v>
      </c>
      <c r="J62">
        <v>75318337</v>
      </c>
      <c r="K62">
        <v>75963695</v>
      </c>
      <c r="L62">
        <v>76600311</v>
      </c>
      <c r="M62">
        <v>76951336</v>
      </c>
      <c r="N62">
        <v>77294314</v>
      </c>
      <c r="O62">
        <v>77909682</v>
      </c>
      <c r="P62">
        <v>78169289</v>
      </c>
      <c r="Q62">
        <v>78312842</v>
      </c>
      <c r="R62">
        <v>78688452</v>
      </c>
      <c r="S62">
        <v>78936666</v>
      </c>
      <c r="T62">
        <v>78967433</v>
      </c>
      <c r="U62">
        <v>78673554</v>
      </c>
      <c r="V62">
        <v>78336950</v>
      </c>
      <c r="W62">
        <v>78159814</v>
      </c>
      <c r="X62">
        <v>78091820</v>
      </c>
      <c r="Y62">
        <v>78126350</v>
      </c>
      <c r="Z62">
        <v>78288576</v>
      </c>
      <c r="AA62">
        <v>78407907</v>
      </c>
      <c r="AB62">
        <v>78333366</v>
      </c>
      <c r="AC62">
        <v>78128282</v>
      </c>
      <c r="AD62">
        <v>77858685</v>
      </c>
      <c r="AE62">
        <v>77684873</v>
      </c>
      <c r="AF62">
        <v>77720436</v>
      </c>
      <c r="AG62">
        <v>77839920</v>
      </c>
      <c r="AH62">
        <v>78144619</v>
      </c>
      <c r="AI62">
        <v>78751283</v>
      </c>
      <c r="AJ62">
        <v>79433029</v>
      </c>
      <c r="AK62">
        <v>80013896</v>
      </c>
      <c r="AL62">
        <v>80624598</v>
      </c>
      <c r="AM62">
        <v>81156363</v>
      </c>
      <c r="AN62">
        <v>81438348</v>
      </c>
      <c r="AO62">
        <v>81678051</v>
      </c>
      <c r="AP62">
        <v>81914831</v>
      </c>
      <c r="AQ62">
        <v>82034771</v>
      </c>
      <c r="AR62">
        <v>82047195</v>
      </c>
      <c r="AS62">
        <v>82100243</v>
      </c>
      <c r="AT62">
        <v>82211508</v>
      </c>
      <c r="AU62">
        <v>82349925</v>
      </c>
      <c r="AV62">
        <v>82488495</v>
      </c>
      <c r="AW62">
        <v>82534176</v>
      </c>
      <c r="AX62">
        <v>82516260</v>
      </c>
      <c r="AY62">
        <v>82469422</v>
      </c>
      <c r="AZ62">
        <v>82376451</v>
      </c>
      <c r="BA62">
        <v>82266372</v>
      </c>
      <c r="BB62">
        <v>82110097</v>
      </c>
      <c r="BC62">
        <v>81902307</v>
      </c>
      <c r="BD62">
        <v>81776930</v>
      </c>
      <c r="BE62">
        <v>81797673</v>
      </c>
      <c r="BF62">
        <v>80425823</v>
      </c>
      <c r="BG62">
        <v>82132753</v>
      </c>
      <c r="BH62">
        <v>80982500</v>
      </c>
      <c r="BI62">
        <v>81413145</v>
      </c>
      <c r="BJ62">
        <v>81340582</v>
      </c>
      <c r="BK62">
        <v>81268084</v>
      </c>
      <c r="BL62">
        <v>81195651</v>
      </c>
      <c r="BM62">
        <v>81123282</v>
      </c>
      <c r="BN62">
        <v>81050978</v>
      </c>
      <c r="BO62">
        <v>80978738</v>
      </c>
      <c r="BP62">
        <v>80906563</v>
      </c>
      <c r="BQ62">
        <v>-8.9128817325723197E-4</v>
      </c>
      <c r="BR62" s="6">
        <f t="shared" si="3"/>
        <v>80425823</v>
      </c>
      <c r="BT62" s="4">
        <f t="shared" si="4"/>
        <v>-1.8244418648871719E-3</v>
      </c>
      <c r="BU62" s="4">
        <f t="shared" si="4"/>
        <v>-1.4273867475348423E-3</v>
      </c>
      <c r="BV62" s="4">
        <f t="shared" si="4"/>
        <v>-5.1680213021252364E-3</v>
      </c>
      <c r="BW62" s="4">
        <f t="shared" si="4"/>
        <v>7.0267632618881137E-4</v>
      </c>
      <c r="BX62" s="4">
        <f t="shared" si="4"/>
        <v>-2.4375474804729791E-3</v>
      </c>
      <c r="BY62" s="4">
        <f t="shared" si="4"/>
        <v>-1.1773187443191446E-3</v>
      </c>
      <c r="BZ62" s="4">
        <f t="shared" si="4"/>
        <v>2.8314383197995951E-3</v>
      </c>
      <c r="CA62" s="4">
        <f t="shared" si="6"/>
        <v>-2.6423798691357359E-3</v>
      </c>
      <c r="CB62" s="4">
        <f t="shared" si="6"/>
        <v>6.5736713920938605E-4</v>
      </c>
      <c r="CC62" s="4">
        <f t="shared" si="6"/>
        <v>-8.9128977837327206E-4</v>
      </c>
      <c r="CD62" s="4">
        <f t="shared" si="6"/>
        <v>-8.9128778444202972E-4</v>
      </c>
      <c r="CE62" s="4">
        <f t="shared" si="6"/>
        <v>-8.9128815760419755E-4</v>
      </c>
      <c r="CF62" s="4">
        <f t="shared" si="6"/>
        <v>-8.9128781696934389E-4</v>
      </c>
      <c r="CH62">
        <v>348672</v>
      </c>
    </row>
    <row r="63" spans="1:86" x14ac:dyDescent="0.25">
      <c r="A63" s="2">
        <v>61</v>
      </c>
      <c r="B63" s="3" t="s">
        <v>86</v>
      </c>
      <c r="C63" t="s">
        <v>86</v>
      </c>
      <c r="D63" t="s">
        <v>14</v>
      </c>
      <c r="E63">
        <v>1</v>
      </c>
      <c r="F63">
        <v>6652285</v>
      </c>
      <c r="G63">
        <v>6866545</v>
      </c>
      <c r="H63">
        <v>7085463</v>
      </c>
      <c r="I63">
        <v>7303432</v>
      </c>
      <c r="J63">
        <v>7513286</v>
      </c>
      <c r="K63">
        <v>7710547</v>
      </c>
      <c r="L63">
        <v>7890992</v>
      </c>
      <c r="M63">
        <v>8057442</v>
      </c>
      <c r="N63">
        <v>8221021</v>
      </c>
      <c r="O63">
        <v>8397346</v>
      </c>
      <c r="P63">
        <v>8596977</v>
      </c>
      <c r="Q63">
        <v>8827273</v>
      </c>
      <c r="R63">
        <v>9083575</v>
      </c>
      <c r="S63">
        <v>9350111</v>
      </c>
      <c r="T63">
        <v>9604280</v>
      </c>
      <c r="U63">
        <v>9831409</v>
      </c>
      <c r="V63">
        <v>10023471</v>
      </c>
      <c r="W63">
        <v>10189889</v>
      </c>
      <c r="X63">
        <v>10354490</v>
      </c>
      <c r="Y63">
        <v>10550770</v>
      </c>
      <c r="Z63">
        <v>10802025</v>
      </c>
      <c r="AA63">
        <v>11117608</v>
      </c>
      <c r="AB63">
        <v>11488112</v>
      </c>
      <c r="AC63">
        <v>11895130</v>
      </c>
      <c r="AD63">
        <v>12311166</v>
      </c>
      <c r="AE63">
        <v>12716238</v>
      </c>
      <c r="AF63">
        <v>13103975</v>
      </c>
      <c r="AG63">
        <v>13480381</v>
      </c>
      <c r="AH63">
        <v>13852597</v>
      </c>
      <c r="AI63">
        <v>14232493</v>
      </c>
      <c r="AJ63">
        <v>14628260</v>
      </c>
      <c r="AK63">
        <v>15042736</v>
      </c>
      <c r="AL63">
        <v>15471527</v>
      </c>
      <c r="AM63">
        <v>15907244</v>
      </c>
      <c r="AN63">
        <v>16339344</v>
      </c>
      <c r="AO63">
        <v>16760991</v>
      </c>
      <c r="AP63">
        <v>17169214</v>
      </c>
      <c r="AQ63">
        <v>17568583</v>
      </c>
      <c r="AR63">
        <v>17969006</v>
      </c>
      <c r="AS63">
        <v>18384426</v>
      </c>
      <c r="AT63">
        <v>18824994</v>
      </c>
      <c r="AU63">
        <v>19293804</v>
      </c>
      <c r="AV63">
        <v>19788181</v>
      </c>
      <c r="AW63">
        <v>20305396</v>
      </c>
      <c r="AX63">
        <v>20840493</v>
      </c>
      <c r="AY63">
        <v>21389514</v>
      </c>
      <c r="AZ63">
        <v>21951891</v>
      </c>
      <c r="BA63">
        <v>22528041</v>
      </c>
      <c r="BB63">
        <v>23115919</v>
      </c>
      <c r="BC63">
        <v>23713164</v>
      </c>
      <c r="BD63">
        <v>24317734</v>
      </c>
      <c r="BE63">
        <v>24928503</v>
      </c>
      <c r="BF63">
        <v>25544565</v>
      </c>
      <c r="BG63">
        <v>26164432</v>
      </c>
      <c r="BH63">
        <v>26786598</v>
      </c>
      <c r="BI63">
        <v>27409893</v>
      </c>
      <c r="BJ63">
        <v>28073993</v>
      </c>
      <c r="BK63">
        <v>28754183</v>
      </c>
      <c r="BL63">
        <v>29450853</v>
      </c>
      <c r="BM63">
        <v>30164402</v>
      </c>
      <c r="BN63">
        <v>30895240</v>
      </c>
      <c r="BO63">
        <v>31643785</v>
      </c>
      <c r="BP63">
        <v>32410466</v>
      </c>
      <c r="BQ63">
        <v>2.4228478886509919E-2</v>
      </c>
      <c r="BR63" s="6">
        <f t="shared" si="3"/>
        <v>25544565</v>
      </c>
      <c r="BT63" s="4">
        <f t="shared" si="4"/>
        <v>2.591833500160412E-2</v>
      </c>
      <c r="BU63" s="4">
        <f t="shared" si="4"/>
        <v>2.5635850200033783E-2</v>
      </c>
      <c r="BV63" s="4">
        <f t="shared" si="4"/>
        <v>2.5290272180825468E-2</v>
      </c>
      <c r="BW63" s="4">
        <f t="shared" si="4"/>
        <v>2.4897541985348548E-2</v>
      </c>
      <c r="BX63" s="4">
        <f t="shared" si="4"/>
        <v>2.4468511095607326E-2</v>
      </c>
      <c r="BY63" s="4">
        <f t="shared" si="4"/>
        <v>2.4006669475875597E-2</v>
      </c>
      <c r="BZ63" s="4">
        <f t="shared" si="4"/>
        <v>2.3885561962858848E-2</v>
      </c>
      <c r="CA63" s="4">
        <f t="shared" si="6"/>
        <v>2.3876158437935668E-2</v>
      </c>
      <c r="CB63" s="4">
        <f t="shared" si="6"/>
        <v>2.3988500479109609E-2</v>
      </c>
      <c r="CC63" s="4">
        <f t="shared" si="6"/>
        <v>2.4228473306591614E-2</v>
      </c>
      <c r="CD63" s="4">
        <f t="shared" si="6"/>
        <v>2.4228476938694232E-2</v>
      </c>
      <c r="CE63" s="4">
        <f t="shared" si="6"/>
        <v>2.4228480914753936E-2</v>
      </c>
      <c r="CF63" s="4">
        <f t="shared" si="6"/>
        <v>2.4228483684500812E-2</v>
      </c>
      <c r="CH63">
        <v>227533</v>
      </c>
    </row>
    <row r="64" spans="1:86" x14ac:dyDescent="0.25">
      <c r="A64" s="2">
        <v>62</v>
      </c>
      <c r="B64" s="3" t="s">
        <v>87</v>
      </c>
      <c r="C64" t="s">
        <v>87</v>
      </c>
      <c r="D64" t="s">
        <v>23</v>
      </c>
      <c r="E64">
        <v>1</v>
      </c>
      <c r="F64">
        <v>8331725</v>
      </c>
      <c r="G64">
        <v>8398050</v>
      </c>
      <c r="H64">
        <v>8448233</v>
      </c>
      <c r="I64">
        <v>8479625</v>
      </c>
      <c r="J64">
        <v>8510429</v>
      </c>
      <c r="K64">
        <v>8550333</v>
      </c>
      <c r="L64">
        <v>8613651</v>
      </c>
      <c r="M64">
        <v>8684088</v>
      </c>
      <c r="N64">
        <v>8740765</v>
      </c>
      <c r="O64">
        <v>8772764</v>
      </c>
      <c r="P64">
        <v>8792806</v>
      </c>
      <c r="Q64">
        <v>8831036</v>
      </c>
      <c r="R64">
        <v>8888628</v>
      </c>
      <c r="S64">
        <v>8929086</v>
      </c>
      <c r="T64">
        <v>8962022</v>
      </c>
      <c r="U64">
        <v>9046541</v>
      </c>
      <c r="V64">
        <v>9188150</v>
      </c>
      <c r="W64">
        <v>9308479</v>
      </c>
      <c r="X64">
        <v>9429959</v>
      </c>
      <c r="Y64">
        <v>9548258</v>
      </c>
      <c r="Z64">
        <v>9642505</v>
      </c>
      <c r="AA64">
        <v>9729350</v>
      </c>
      <c r="AB64">
        <v>9789513</v>
      </c>
      <c r="AC64">
        <v>9846627</v>
      </c>
      <c r="AD64">
        <v>9895801</v>
      </c>
      <c r="AE64">
        <v>9934300</v>
      </c>
      <c r="AF64">
        <v>9967213</v>
      </c>
      <c r="AG64">
        <v>10000595</v>
      </c>
      <c r="AH64">
        <v>10036983</v>
      </c>
      <c r="AI64">
        <v>10089498</v>
      </c>
      <c r="AJ64">
        <v>10196792</v>
      </c>
      <c r="AK64">
        <v>10319927</v>
      </c>
      <c r="AL64">
        <v>10399061</v>
      </c>
      <c r="AM64">
        <v>10460415</v>
      </c>
      <c r="AN64">
        <v>10512922</v>
      </c>
      <c r="AO64">
        <v>10562153</v>
      </c>
      <c r="AP64">
        <v>10608800</v>
      </c>
      <c r="AQ64">
        <v>10661259</v>
      </c>
      <c r="AR64">
        <v>10720509</v>
      </c>
      <c r="AS64">
        <v>10761698</v>
      </c>
      <c r="AT64">
        <v>10805808</v>
      </c>
      <c r="AU64">
        <v>10862132</v>
      </c>
      <c r="AV64">
        <v>10902022</v>
      </c>
      <c r="AW64">
        <v>10928070</v>
      </c>
      <c r="AX64">
        <v>10955141</v>
      </c>
      <c r="AY64">
        <v>10987314</v>
      </c>
      <c r="AZ64">
        <v>11020362</v>
      </c>
      <c r="BA64">
        <v>11048473</v>
      </c>
      <c r="BB64">
        <v>11077841</v>
      </c>
      <c r="BC64">
        <v>11107017</v>
      </c>
      <c r="BD64">
        <v>11121341</v>
      </c>
      <c r="BE64">
        <v>11104899</v>
      </c>
      <c r="BF64">
        <v>11045011</v>
      </c>
      <c r="BG64">
        <v>10965211</v>
      </c>
      <c r="BH64">
        <v>10892413</v>
      </c>
      <c r="BI64">
        <v>10823732</v>
      </c>
      <c r="BJ64">
        <v>10765173</v>
      </c>
      <c r="BK64">
        <v>10706931</v>
      </c>
      <c r="BL64">
        <v>10649004</v>
      </c>
      <c r="BM64">
        <v>10591390</v>
      </c>
      <c r="BN64">
        <v>10534088</v>
      </c>
      <c r="BO64">
        <v>10477096</v>
      </c>
      <c r="BP64">
        <v>10420412</v>
      </c>
      <c r="BQ64">
        <v>-5.4102603998917864E-3</v>
      </c>
      <c r="BR64" s="6">
        <f t="shared" si="3"/>
        <v>11045011</v>
      </c>
      <c r="BT64" s="4">
        <f t="shared" si="4"/>
        <v>2.2829075058932169E-3</v>
      </c>
      <c r="BU64" s="4">
        <f t="shared" si="4"/>
        <v>1.2743447714786971E-3</v>
      </c>
      <c r="BV64" s="4">
        <f t="shared" si="4"/>
        <v>-7.417182757334384E-4</v>
      </c>
      <c r="BW64" s="4">
        <f t="shared" si="4"/>
        <v>-3.2072073920558219E-3</v>
      </c>
      <c r="BX64" s="4">
        <f t="shared" si="4"/>
        <v>-5.1863500155097109E-3</v>
      </c>
      <c r="BY64" s="4">
        <f t="shared" si="4"/>
        <v>-6.3907993014314934E-3</v>
      </c>
      <c r="BZ64" s="4">
        <f t="shared" si="4"/>
        <v>-6.395121486367672E-3</v>
      </c>
      <c r="CA64" s="4">
        <f t="shared" si="6"/>
        <v>-5.941363864440441E-3</v>
      </c>
      <c r="CB64" s="4">
        <f t="shared" si="6"/>
        <v>-5.6340998854157442E-3</v>
      </c>
      <c r="CC64" s="4">
        <f t="shared" si="6"/>
        <v>-5.4102426019027039E-3</v>
      </c>
      <c r="CD64" s="4">
        <f t="shared" si="6"/>
        <v>-5.410243221359412E-3</v>
      </c>
      <c r="CE64" s="4">
        <f t="shared" si="6"/>
        <v>-5.4102484821464403E-3</v>
      </c>
      <c r="CF64" s="4">
        <f t="shared" si="6"/>
        <v>-5.410259484375235E-3</v>
      </c>
      <c r="CH64">
        <v>130647</v>
      </c>
    </row>
    <row r="65" spans="1:86" x14ac:dyDescent="0.25">
      <c r="A65" s="2">
        <v>63</v>
      </c>
      <c r="B65" s="3" t="s">
        <v>88</v>
      </c>
      <c r="C65" t="s">
        <v>11</v>
      </c>
      <c r="D65" t="s">
        <v>16</v>
      </c>
      <c r="E65">
        <v>1</v>
      </c>
      <c r="F65">
        <v>89861</v>
      </c>
      <c r="G65">
        <v>91260</v>
      </c>
      <c r="H65">
        <v>92424</v>
      </c>
      <c r="I65">
        <v>93354</v>
      </c>
      <c r="J65">
        <v>94066</v>
      </c>
      <c r="K65">
        <v>94579</v>
      </c>
      <c r="L65">
        <v>94878</v>
      </c>
      <c r="M65">
        <v>94962</v>
      </c>
      <c r="N65">
        <v>94875</v>
      </c>
      <c r="O65">
        <v>94682</v>
      </c>
      <c r="P65">
        <v>94430</v>
      </c>
      <c r="Q65">
        <v>94180</v>
      </c>
      <c r="R65">
        <v>93937</v>
      </c>
      <c r="S65">
        <v>93629</v>
      </c>
      <c r="T65">
        <v>93151</v>
      </c>
      <c r="U65">
        <v>92453</v>
      </c>
      <c r="V65">
        <v>91435</v>
      </c>
      <c r="W65">
        <v>90187</v>
      </c>
      <c r="X65">
        <v>89070</v>
      </c>
      <c r="Y65">
        <v>88571</v>
      </c>
      <c r="Z65">
        <v>89004</v>
      </c>
      <c r="AA65">
        <v>90575</v>
      </c>
      <c r="AB65">
        <v>93091</v>
      </c>
      <c r="AC65">
        <v>95981</v>
      </c>
      <c r="AD65">
        <v>98440</v>
      </c>
      <c r="AE65">
        <v>99907</v>
      </c>
      <c r="AF65">
        <v>100146</v>
      </c>
      <c r="AG65">
        <v>99381</v>
      </c>
      <c r="AH65">
        <v>98063</v>
      </c>
      <c r="AI65">
        <v>96871</v>
      </c>
      <c r="AJ65">
        <v>96286</v>
      </c>
      <c r="AK65">
        <v>96455</v>
      </c>
      <c r="AL65">
        <v>97201</v>
      </c>
      <c r="AM65">
        <v>98302</v>
      </c>
      <c r="AN65">
        <v>99403</v>
      </c>
      <c r="AO65">
        <v>100253</v>
      </c>
      <c r="AP65">
        <v>100796</v>
      </c>
      <c r="AQ65">
        <v>101125</v>
      </c>
      <c r="AR65">
        <v>101302</v>
      </c>
      <c r="AS65">
        <v>101441</v>
      </c>
      <c r="AT65">
        <v>101620</v>
      </c>
      <c r="AU65">
        <v>101849</v>
      </c>
      <c r="AV65">
        <v>102100</v>
      </c>
      <c r="AW65">
        <v>102371</v>
      </c>
      <c r="AX65">
        <v>102657</v>
      </c>
      <c r="AY65">
        <v>102951</v>
      </c>
      <c r="AZ65">
        <v>103259</v>
      </c>
      <c r="BA65">
        <v>103587</v>
      </c>
      <c r="BB65">
        <v>103934</v>
      </c>
      <c r="BC65">
        <v>104298</v>
      </c>
      <c r="BD65">
        <v>104677</v>
      </c>
      <c r="BE65">
        <v>105070</v>
      </c>
      <c r="BF65">
        <v>105476</v>
      </c>
      <c r="BG65">
        <v>105902</v>
      </c>
      <c r="BH65">
        <v>106349</v>
      </c>
      <c r="BI65">
        <v>106825</v>
      </c>
      <c r="BJ65">
        <v>107260</v>
      </c>
      <c r="BK65">
        <v>107697</v>
      </c>
      <c r="BL65">
        <v>108135</v>
      </c>
      <c r="BM65">
        <v>108575</v>
      </c>
      <c r="BN65">
        <v>109017</v>
      </c>
      <c r="BO65">
        <v>109461</v>
      </c>
      <c r="BP65">
        <v>109907</v>
      </c>
      <c r="BQ65">
        <v>4.0707758000138039E-3</v>
      </c>
      <c r="BR65" s="6">
        <f t="shared" si="3"/>
        <v>105476</v>
      </c>
      <c r="BT65" s="4">
        <f t="shared" si="4"/>
        <v>3.4155756725953168E-3</v>
      </c>
      <c r="BU65" s="4">
        <f t="shared" si="4"/>
        <v>3.5600608601946693E-3</v>
      </c>
      <c r="BV65" s="4">
        <f t="shared" si="4"/>
        <v>3.6886254413559527E-3</v>
      </c>
      <c r="BW65" s="4">
        <f t="shared" si="4"/>
        <v>3.8227761913096625E-3</v>
      </c>
      <c r="BX65" s="4">
        <f t="shared" si="4"/>
        <v>3.9695378790820524E-3</v>
      </c>
      <c r="BY65" s="4">
        <f t="shared" si="4"/>
        <v>4.1498837262661237E-3</v>
      </c>
      <c r="BZ65" s="4">
        <f t="shared" si="4"/>
        <v>4.2018919637376584E-3</v>
      </c>
      <c r="CA65" s="4">
        <f t="shared" si="6"/>
        <v>4.2107379622393637E-3</v>
      </c>
      <c r="CB65" s="4">
        <f t="shared" si="6"/>
        <v>4.1722566879860423E-3</v>
      </c>
      <c r="CC65" s="4">
        <f t="shared" si="6"/>
        <v>4.0705615444058818E-3</v>
      </c>
      <c r="CD65" s="4">
        <f t="shared" si="6"/>
        <v>4.0702710982889467E-3</v>
      </c>
      <c r="CE65" s="4">
        <f t="shared" si="6"/>
        <v>4.0699078744563799E-3</v>
      </c>
      <c r="CF65" s="4">
        <f t="shared" si="6"/>
        <v>4.0717941003263203E-3</v>
      </c>
      <c r="CH65">
        <v>344</v>
      </c>
    </row>
    <row r="66" spans="1:86" x14ac:dyDescent="0.25">
      <c r="A66" s="2">
        <v>64</v>
      </c>
      <c r="B66" s="3" t="s">
        <v>89</v>
      </c>
      <c r="C66" t="s">
        <v>89</v>
      </c>
      <c r="D66" t="s">
        <v>33</v>
      </c>
      <c r="E66">
        <v>1</v>
      </c>
      <c r="F66">
        <v>4127555</v>
      </c>
      <c r="G66">
        <v>4240084</v>
      </c>
      <c r="H66">
        <v>4356579</v>
      </c>
      <c r="I66">
        <v>4476923</v>
      </c>
      <c r="J66">
        <v>4600846</v>
      </c>
      <c r="K66">
        <v>4728203</v>
      </c>
      <c r="L66">
        <v>4858880</v>
      </c>
      <c r="M66">
        <v>4993104</v>
      </c>
      <c r="N66">
        <v>5131461</v>
      </c>
      <c r="O66">
        <v>5274726</v>
      </c>
      <c r="P66">
        <v>5423384</v>
      </c>
      <c r="Q66">
        <v>5577824</v>
      </c>
      <c r="R66">
        <v>5737720</v>
      </c>
      <c r="S66">
        <v>5901980</v>
      </c>
      <c r="T66">
        <v>6069077</v>
      </c>
      <c r="U66">
        <v>6237963</v>
      </c>
      <c r="V66">
        <v>6408029</v>
      </c>
      <c r="W66">
        <v>6579710</v>
      </c>
      <c r="X66">
        <v>6754258</v>
      </c>
      <c r="Y66">
        <v>6933492</v>
      </c>
      <c r="Z66">
        <v>7118628</v>
      </c>
      <c r="AA66">
        <v>7310397</v>
      </c>
      <c r="AB66">
        <v>7508161</v>
      </c>
      <c r="AC66">
        <v>7710142</v>
      </c>
      <c r="AD66">
        <v>7913814</v>
      </c>
      <c r="AE66">
        <v>8117499</v>
      </c>
      <c r="AF66">
        <v>8320498</v>
      </c>
      <c r="AG66">
        <v>8523785</v>
      </c>
      <c r="AH66">
        <v>8729406</v>
      </c>
      <c r="AI66">
        <v>8940285</v>
      </c>
      <c r="AJ66">
        <v>9158547</v>
      </c>
      <c r="AK66">
        <v>9385000</v>
      </c>
      <c r="AL66">
        <v>9619113</v>
      </c>
      <c r="AM66">
        <v>9860063</v>
      </c>
      <c r="AN66">
        <v>10106463</v>
      </c>
      <c r="AO66">
        <v>10357354</v>
      </c>
      <c r="AP66">
        <v>10612300</v>
      </c>
      <c r="AQ66">
        <v>10871786</v>
      </c>
      <c r="AR66">
        <v>11136814</v>
      </c>
      <c r="AS66">
        <v>11408815</v>
      </c>
      <c r="AT66">
        <v>11688660</v>
      </c>
      <c r="AU66">
        <v>11976725</v>
      </c>
      <c r="AV66">
        <v>12272208</v>
      </c>
      <c r="AW66">
        <v>12573346</v>
      </c>
      <c r="AX66">
        <v>12877711</v>
      </c>
      <c r="AY66">
        <v>13183505</v>
      </c>
      <c r="AZ66">
        <v>13490041</v>
      </c>
      <c r="BA66">
        <v>13797629</v>
      </c>
      <c r="BB66">
        <v>14106687</v>
      </c>
      <c r="BC66">
        <v>14418033</v>
      </c>
      <c r="BD66">
        <v>14732261</v>
      </c>
      <c r="BE66">
        <v>15049280</v>
      </c>
      <c r="BF66">
        <v>15368759</v>
      </c>
      <c r="BG66">
        <v>15690793</v>
      </c>
      <c r="BH66">
        <v>16015494</v>
      </c>
      <c r="BI66">
        <v>16342897</v>
      </c>
      <c r="BJ66">
        <v>16685567</v>
      </c>
      <c r="BK66">
        <v>17035422</v>
      </c>
      <c r="BL66">
        <v>17392613</v>
      </c>
      <c r="BM66">
        <v>17757293</v>
      </c>
      <c r="BN66">
        <v>18129619</v>
      </c>
      <c r="BO66">
        <v>18509752</v>
      </c>
      <c r="BP66">
        <v>18897856</v>
      </c>
      <c r="BQ66">
        <v>2.0967524104298141E-2</v>
      </c>
      <c r="BR66" s="6">
        <f t="shared" si="3"/>
        <v>15368759</v>
      </c>
      <c r="BT66" s="4">
        <f t="shared" si="4"/>
        <v>2.2266275475940178E-2</v>
      </c>
      <c r="BU66" s="4">
        <f t="shared" si="4"/>
        <v>2.1945686380809404E-2</v>
      </c>
      <c r="BV66" s="4">
        <f t="shared" si="4"/>
        <v>2.1653065673109984E-2</v>
      </c>
      <c r="BW66" s="4">
        <f t="shared" si="4"/>
        <v>2.1373814576960193E-2</v>
      </c>
      <c r="BX66" s="4">
        <f t="shared" si="4"/>
        <v>2.1098724490783871E-2</v>
      </c>
      <c r="BY66" s="4">
        <f t="shared" si="4"/>
        <v>2.0829778381542319E-2</v>
      </c>
      <c r="BZ66" s="4">
        <f t="shared" si="4"/>
        <v>2.0764463310500636E-2</v>
      </c>
      <c r="CA66" s="4">
        <f t="shared" si="6"/>
        <v>2.0767891671146455E-2</v>
      </c>
      <c r="CB66" s="4">
        <f t="shared" si="6"/>
        <v>2.0836344380053662E-2</v>
      </c>
      <c r="CC66" s="4">
        <f t="shared" si="6"/>
        <v>2.0967527444684331E-2</v>
      </c>
      <c r="CD66" s="4">
        <f t="shared" si="6"/>
        <v>2.0967522169210717E-2</v>
      </c>
      <c r="CE66" s="4">
        <f t="shared" si="6"/>
        <v>2.096751951234932E-2</v>
      </c>
      <c r="CF66" s="4">
        <f t="shared" si="6"/>
        <v>2.0967518397023932E-2</v>
      </c>
      <c r="CH66">
        <v>107159</v>
      </c>
    </row>
    <row r="67" spans="1:86" x14ac:dyDescent="0.25">
      <c r="A67" s="2">
        <v>65</v>
      </c>
      <c r="B67" s="3" t="s">
        <v>90</v>
      </c>
      <c r="C67" t="s">
        <v>90</v>
      </c>
      <c r="D67" t="s">
        <v>14</v>
      </c>
      <c r="E67">
        <v>1</v>
      </c>
      <c r="F67">
        <v>3577413</v>
      </c>
      <c r="G67">
        <v>3633778</v>
      </c>
      <c r="H67">
        <v>3690960</v>
      </c>
      <c r="I67">
        <v>3749920</v>
      </c>
      <c r="J67">
        <v>3812004</v>
      </c>
      <c r="K67">
        <v>3877804</v>
      </c>
      <c r="L67">
        <v>3948206</v>
      </c>
      <c r="M67">
        <v>4021880</v>
      </c>
      <c r="N67">
        <v>4094528</v>
      </c>
      <c r="O67">
        <v>4160375</v>
      </c>
      <c r="P67">
        <v>4215442</v>
      </c>
      <c r="Q67">
        <v>4259102</v>
      </c>
      <c r="R67">
        <v>4293208</v>
      </c>
      <c r="S67">
        <v>4319502</v>
      </c>
      <c r="T67">
        <v>4340748</v>
      </c>
      <c r="U67">
        <v>4359735</v>
      </c>
      <c r="V67">
        <v>4376768</v>
      </c>
      <c r="W67">
        <v>4393551</v>
      </c>
      <c r="X67">
        <v>4416074</v>
      </c>
      <c r="Y67">
        <v>4451872</v>
      </c>
      <c r="Z67">
        <v>4506559</v>
      </c>
      <c r="AA67">
        <v>4584305</v>
      </c>
      <c r="AB67">
        <v>4684992</v>
      </c>
      <c r="AC67">
        <v>4804740</v>
      </c>
      <c r="AD67">
        <v>4937230</v>
      </c>
      <c r="AE67">
        <v>5078689</v>
      </c>
      <c r="AF67">
        <v>5223553</v>
      </c>
      <c r="AG67">
        <v>5375058</v>
      </c>
      <c r="AH67">
        <v>5548270</v>
      </c>
      <c r="AI67">
        <v>5763843</v>
      </c>
      <c r="AJ67">
        <v>6034082</v>
      </c>
      <c r="AK67">
        <v>6367110</v>
      </c>
      <c r="AL67">
        <v>6751394</v>
      </c>
      <c r="AM67">
        <v>7155564</v>
      </c>
      <c r="AN67">
        <v>7536389</v>
      </c>
      <c r="AO67">
        <v>7863033</v>
      </c>
      <c r="AP67">
        <v>8124799</v>
      </c>
      <c r="AQ67">
        <v>8331366</v>
      </c>
      <c r="AR67">
        <v>8497582</v>
      </c>
      <c r="AS67">
        <v>8647336</v>
      </c>
      <c r="AT67">
        <v>8799165</v>
      </c>
      <c r="AU67">
        <v>8955756</v>
      </c>
      <c r="AV67">
        <v>9114287</v>
      </c>
      <c r="AW67">
        <v>9281572</v>
      </c>
      <c r="AX67">
        <v>9464771</v>
      </c>
      <c r="AY67">
        <v>9669023</v>
      </c>
      <c r="AZ67">
        <v>9898301</v>
      </c>
      <c r="BA67">
        <v>10152521</v>
      </c>
      <c r="BB67">
        <v>10427356</v>
      </c>
      <c r="BC67">
        <v>10715770</v>
      </c>
      <c r="BD67">
        <v>11012406</v>
      </c>
      <c r="BE67">
        <v>11316351</v>
      </c>
      <c r="BF67">
        <v>11628767</v>
      </c>
      <c r="BG67">
        <v>11948726</v>
      </c>
      <c r="BH67">
        <v>12275527</v>
      </c>
      <c r="BI67">
        <v>12608590</v>
      </c>
      <c r="BJ67">
        <v>12954581</v>
      </c>
      <c r="BK67">
        <v>13310067</v>
      </c>
      <c r="BL67">
        <v>13675308</v>
      </c>
      <c r="BM67">
        <v>14050571</v>
      </c>
      <c r="BN67">
        <v>14436132</v>
      </c>
      <c r="BO67">
        <v>14832273</v>
      </c>
      <c r="BP67">
        <v>15239284</v>
      </c>
      <c r="BQ67">
        <v>2.7440927700973505E-2</v>
      </c>
      <c r="BR67" s="6">
        <f t="shared" si="3"/>
        <v>11628767</v>
      </c>
      <c r="BT67" s="4">
        <f t="shared" si="4"/>
        <v>2.7023519964541665E-2</v>
      </c>
      <c r="BU67" s="4">
        <f t="shared" si="4"/>
        <v>2.7503070277494102E-2</v>
      </c>
      <c r="BV67" s="4">
        <f t="shared" si="4"/>
        <v>2.7637317874890321E-2</v>
      </c>
      <c r="BW67" s="4">
        <f t="shared" si="4"/>
        <v>2.7601086323206347E-2</v>
      </c>
      <c r="BX67" s="4">
        <f t="shared" si="4"/>
        <v>2.7518104844406865E-2</v>
      </c>
      <c r="BY67" s="4">
        <f t="shared" si="4"/>
        <v>2.7401104588116398E-2</v>
      </c>
      <c r="BZ67" s="4">
        <f t="shared" si="4"/>
        <v>2.7359462823965064E-2</v>
      </c>
      <c r="CA67" s="4">
        <f t="shared" si="6"/>
        <v>2.7341092674858514E-2</v>
      </c>
      <c r="CB67" s="4">
        <f t="shared" si="6"/>
        <v>2.7363761455063695E-2</v>
      </c>
      <c r="CC67" s="4">
        <f t="shared" si="6"/>
        <v>2.7440930277159881E-2</v>
      </c>
      <c r="CD67" s="4">
        <f t="shared" si="6"/>
        <v>2.7440943624193359E-2</v>
      </c>
      <c r="CE67" s="4">
        <f t="shared" si="6"/>
        <v>2.7440940752442522E-2</v>
      </c>
      <c r="CF67" s="4">
        <f t="shared" si="6"/>
        <v>2.7440927401295667E-2</v>
      </c>
      <c r="CH67">
        <v>245717</v>
      </c>
    </row>
    <row r="68" spans="1:86" x14ac:dyDescent="0.25">
      <c r="A68" s="2">
        <v>66</v>
      </c>
      <c r="B68" s="3" t="s">
        <v>91</v>
      </c>
      <c r="C68" t="s">
        <v>91</v>
      </c>
      <c r="D68" t="s">
        <v>18</v>
      </c>
      <c r="E68">
        <v>1</v>
      </c>
      <c r="F68">
        <v>564222</v>
      </c>
      <c r="G68">
        <v>582034</v>
      </c>
      <c r="H68">
        <v>600559</v>
      </c>
      <c r="I68">
        <v>618887</v>
      </c>
      <c r="J68">
        <v>635778</v>
      </c>
      <c r="K68">
        <v>650379</v>
      </c>
      <c r="L68">
        <v>662332</v>
      </c>
      <c r="M68">
        <v>671986</v>
      </c>
      <c r="N68">
        <v>680068</v>
      </c>
      <c r="O68">
        <v>687658</v>
      </c>
      <c r="P68">
        <v>695561</v>
      </c>
      <c r="Q68">
        <v>703811</v>
      </c>
      <c r="R68">
        <v>712188</v>
      </c>
      <c r="S68">
        <v>720919</v>
      </c>
      <c r="T68">
        <v>730227</v>
      </c>
      <c r="U68">
        <v>740167</v>
      </c>
      <c r="V68">
        <v>751008</v>
      </c>
      <c r="W68">
        <v>762445</v>
      </c>
      <c r="X68">
        <v>773227</v>
      </c>
      <c r="Y68">
        <v>781677</v>
      </c>
      <c r="Z68">
        <v>786614</v>
      </c>
      <c r="AA68">
        <v>787728</v>
      </c>
      <c r="AB68">
        <v>785466</v>
      </c>
      <c r="AC68">
        <v>780367</v>
      </c>
      <c r="AD68">
        <v>773302</v>
      </c>
      <c r="AE68">
        <v>765043</v>
      </c>
      <c r="AF68">
        <v>755598</v>
      </c>
      <c r="AG68">
        <v>745149</v>
      </c>
      <c r="AH68">
        <v>734872</v>
      </c>
      <c r="AI68">
        <v>726237</v>
      </c>
      <c r="AJ68">
        <v>720282</v>
      </c>
      <c r="AK68">
        <v>717502</v>
      </c>
      <c r="AL68">
        <v>717621</v>
      </c>
      <c r="AM68">
        <v>719910</v>
      </c>
      <c r="AN68">
        <v>723230</v>
      </c>
      <c r="AO68">
        <v>726695</v>
      </c>
      <c r="AP68">
        <v>730193</v>
      </c>
      <c r="AQ68">
        <v>733854</v>
      </c>
      <c r="AR68">
        <v>737316</v>
      </c>
      <c r="AS68">
        <v>740189</v>
      </c>
      <c r="AT68">
        <v>742218</v>
      </c>
      <c r="AU68">
        <v>743163</v>
      </c>
      <c r="AV68">
        <v>743107</v>
      </c>
      <c r="AW68">
        <v>742537</v>
      </c>
      <c r="AX68">
        <v>742162</v>
      </c>
      <c r="AY68">
        <v>742495</v>
      </c>
      <c r="AZ68">
        <v>743705</v>
      </c>
      <c r="BA68">
        <v>745638</v>
      </c>
      <c r="BB68">
        <v>748096</v>
      </c>
      <c r="BC68">
        <v>750749</v>
      </c>
      <c r="BD68">
        <v>753362</v>
      </c>
      <c r="BE68">
        <v>755883</v>
      </c>
      <c r="BF68">
        <v>758410</v>
      </c>
      <c r="BG68">
        <v>761033</v>
      </c>
      <c r="BH68">
        <v>763893</v>
      </c>
      <c r="BI68">
        <v>767085</v>
      </c>
      <c r="BJ68">
        <v>769859</v>
      </c>
      <c r="BK68">
        <v>772643</v>
      </c>
      <c r="BL68">
        <v>775438</v>
      </c>
      <c r="BM68">
        <v>778243</v>
      </c>
      <c r="BN68">
        <v>781058</v>
      </c>
      <c r="BO68">
        <v>783883</v>
      </c>
      <c r="BP68">
        <v>786718</v>
      </c>
      <c r="BQ68">
        <v>3.6168772990938791E-3</v>
      </c>
      <c r="BR68" s="6">
        <f t="shared" ref="BR68:BR131" si="7">SUMIF($F$2:$BP$2,BR$2,F68:BP68)</f>
        <v>758410</v>
      </c>
      <c r="BT68" s="4">
        <f t="shared" ref="BT68:CC101" si="8">IFERROR((BD68/AZ68)^(1/(BD$2-AZ$2))-1,".")</f>
        <v>3.2305583280991534E-3</v>
      </c>
      <c r="BU68" s="4">
        <f t="shared" si="8"/>
        <v>3.4174197491370073E-3</v>
      </c>
      <c r="BV68" s="4">
        <f t="shared" si="8"/>
        <v>3.4290719921941104E-3</v>
      </c>
      <c r="BW68" s="4">
        <f t="shared" si="8"/>
        <v>3.4071276227698455E-3</v>
      </c>
      <c r="BX68" s="4">
        <f t="shared" si="8"/>
        <v>3.4764968034188826E-3</v>
      </c>
      <c r="BY68" s="4">
        <f t="shared" si="8"/>
        <v>3.6845248119006246E-3</v>
      </c>
      <c r="BZ68" s="4">
        <f t="shared" si="8"/>
        <v>3.7528354907154782E-3</v>
      </c>
      <c r="CA68" s="4">
        <f t="shared" si="6"/>
        <v>3.7922685207956164E-3</v>
      </c>
      <c r="CB68" s="4">
        <f t="shared" si="6"/>
        <v>3.7571163323248946E-3</v>
      </c>
      <c r="CC68" s="4">
        <f t="shared" si="6"/>
        <v>3.6168245146781519E-3</v>
      </c>
      <c r="CD68" s="4">
        <f t="shared" si="6"/>
        <v>3.6170331457614502E-3</v>
      </c>
      <c r="CE68" s="4">
        <f t="shared" si="6"/>
        <v>3.6171937146538546E-3</v>
      </c>
      <c r="CF68" s="4">
        <f t="shared" si="6"/>
        <v>3.6169831680659126E-3</v>
      </c>
      <c r="CH68">
        <v>196849</v>
      </c>
    </row>
    <row r="69" spans="1:86" x14ac:dyDescent="0.25">
      <c r="A69" s="2">
        <v>67</v>
      </c>
      <c r="B69" s="3" t="s">
        <v>92</v>
      </c>
      <c r="C69" t="s">
        <v>92</v>
      </c>
      <c r="D69" t="s">
        <v>16</v>
      </c>
      <c r="E69">
        <v>1</v>
      </c>
      <c r="F69">
        <v>3866160</v>
      </c>
      <c r="G69">
        <v>3943363</v>
      </c>
      <c r="H69">
        <v>4022596</v>
      </c>
      <c r="I69">
        <v>4103732</v>
      </c>
      <c r="J69">
        <v>4186636</v>
      </c>
      <c r="K69">
        <v>4271133</v>
      </c>
      <c r="L69">
        <v>4357482</v>
      </c>
      <c r="M69">
        <v>4445531</v>
      </c>
      <c r="N69">
        <v>4534233</v>
      </c>
      <c r="O69">
        <v>4622209</v>
      </c>
      <c r="P69">
        <v>4708639</v>
      </c>
      <c r="Q69">
        <v>4793157</v>
      </c>
      <c r="R69">
        <v>4876558</v>
      </c>
      <c r="S69">
        <v>4960655</v>
      </c>
      <c r="T69">
        <v>5047948</v>
      </c>
      <c r="U69">
        <v>5140357</v>
      </c>
      <c r="V69">
        <v>5238242</v>
      </c>
      <c r="W69">
        <v>5341418</v>
      </c>
      <c r="X69">
        <v>5450550</v>
      </c>
      <c r="Y69">
        <v>5566265</v>
      </c>
      <c r="Z69">
        <v>5688832</v>
      </c>
      <c r="AA69">
        <v>5818673</v>
      </c>
      <c r="AB69">
        <v>5955265</v>
      </c>
      <c r="AC69">
        <v>6096690</v>
      </c>
      <c r="AD69">
        <v>6240330</v>
      </c>
      <c r="AE69">
        <v>6384196</v>
      </c>
      <c r="AF69">
        <v>6527545</v>
      </c>
      <c r="AG69">
        <v>6670566</v>
      </c>
      <c r="AH69">
        <v>6813344</v>
      </c>
      <c r="AI69">
        <v>6956301</v>
      </c>
      <c r="AJ69">
        <v>7099733</v>
      </c>
      <c r="AK69">
        <v>7243391</v>
      </c>
      <c r="AL69">
        <v>7386974</v>
      </c>
      <c r="AM69">
        <v>7530703</v>
      </c>
      <c r="AN69">
        <v>7674911</v>
      </c>
      <c r="AO69">
        <v>7819806</v>
      </c>
      <c r="AP69">
        <v>7965548</v>
      </c>
      <c r="AQ69">
        <v>8111954</v>
      </c>
      <c r="AR69">
        <v>8258484</v>
      </c>
      <c r="AS69">
        <v>8404396</v>
      </c>
      <c r="AT69">
        <v>8549202</v>
      </c>
      <c r="AU69">
        <v>8692564</v>
      </c>
      <c r="AV69">
        <v>8834739</v>
      </c>
      <c r="AW69">
        <v>8976555</v>
      </c>
      <c r="AX69">
        <v>9119182</v>
      </c>
      <c r="AY69">
        <v>9263409</v>
      </c>
      <c r="AZ69">
        <v>9409479</v>
      </c>
      <c r="BA69">
        <v>9556958</v>
      </c>
      <c r="BB69">
        <v>9705130</v>
      </c>
      <c r="BC69">
        <v>9852953</v>
      </c>
      <c r="BD69">
        <v>9999617</v>
      </c>
      <c r="BE69">
        <v>10144890</v>
      </c>
      <c r="BF69">
        <v>10288828</v>
      </c>
      <c r="BG69">
        <v>10431249</v>
      </c>
      <c r="BH69">
        <v>10572029</v>
      </c>
      <c r="BI69">
        <v>10711067</v>
      </c>
      <c r="BJ69">
        <v>10859319</v>
      </c>
      <c r="BK69">
        <v>11009623</v>
      </c>
      <c r="BL69">
        <v>11162008</v>
      </c>
      <c r="BM69">
        <v>11316502</v>
      </c>
      <c r="BN69">
        <v>11473134</v>
      </c>
      <c r="BO69">
        <v>11631934</v>
      </c>
      <c r="BP69">
        <v>11792932</v>
      </c>
      <c r="BQ69">
        <v>1.3841055366543342E-2</v>
      </c>
      <c r="BR69" s="6">
        <f t="shared" si="7"/>
        <v>10288828</v>
      </c>
      <c r="BT69" s="4">
        <f t="shared" si="8"/>
        <v>1.5323521099881221E-2</v>
      </c>
      <c r="BU69" s="4">
        <f t="shared" si="8"/>
        <v>1.5037100164912109E-2</v>
      </c>
      <c r="BV69" s="4">
        <f t="shared" si="8"/>
        <v>1.4708124094091835E-2</v>
      </c>
      <c r="BW69" s="4">
        <f t="shared" si="8"/>
        <v>1.4360841505095534E-2</v>
      </c>
      <c r="BX69" s="4">
        <f t="shared" si="8"/>
        <v>1.4013518458425578E-2</v>
      </c>
      <c r="BY69" s="4">
        <f t="shared" si="8"/>
        <v>1.3669427763296937E-2</v>
      </c>
      <c r="BZ69" s="4">
        <f t="shared" si="8"/>
        <v>1.3582657170155388E-2</v>
      </c>
      <c r="CA69" s="4">
        <f t="shared" si="6"/>
        <v>1.3582337132017841E-2</v>
      </c>
      <c r="CB69" s="4">
        <f t="shared" si="6"/>
        <v>1.366860508851242E-2</v>
      </c>
      <c r="CC69" s="4">
        <f t="shared" si="6"/>
        <v>1.3841039500694263E-2</v>
      </c>
      <c r="CD69" s="4">
        <f t="shared" si="6"/>
        <v>1.3841043196373803E-2</v>
      </c>
      <c r="CE69" s="4">
        <f t="shared" si="6"/>
        <v>1.3841047057954858E-2</v>
      </c>
      <c r="CF69" s="4">
        <f t="shared" si="6"/>
        <v>1.3841037338465423E-2</v>
      </c>
      <c r="CH69">
        <v>27560</v>
      </c>
    </row>
    <row r="70" spans="1:86" x14ac:dyDescent="0.25">
      <c r="A70" s="2">
        <v>68</v>
      </c>
      <c r="B70" s="3" t="s">
        <v>93</v>
      </c>
      <c r="C70" t="s">
        <v>93</v>
      </c>
      <c r="D70" t="s">
        <v>33</v>
      </c>
      <c r="E70">
        <v>1</v>
      </c>
      <c r="F70">
        <v>2002333</v>
      </c>
      <c r="G70">
        <v>2069085</v>
      </c>
      <c r="H70">
        <v>2139208</v>
      </c>
      <c r="I70">
        <v>2211144</v>
      </c>
      <c r="J70">
        <v>2282764</v>
      </c>
      <c r="K70">
        <v>2352637</v>
      </c>
      <c r="L70">
        <v>2420234</v>
      </c>
      <c r="M70">
        <v>2486288</v>
      </c>
      <c r="N70">
        <v>2552200</v>
      </c>
      <c r="O70">
        <v>2620014</v>
      </c>
      <c r="P70">
        <v>2691309</v>
      </c>
      <c r="Q70">
        <v>2766444</v>
      </c>
      <c r="R70">
        <v>2845260</v>
      </c>
      <c r="S70">
        <v>2928190</v>
      </c>
      <c r="T70">
        <v>3015606</v>
      </c>
      <c r="U70">
        <v>3107735</v>
      </c>
      <c r="V70">
        <v>3204883</v>
      </c>
      <c r="W70">
        <v>3306988</v>
      </c>
      <c r="X70">
        <v>3413426</v>
      </c>
      <c r="Y70">
        <v>3523283</v>
      </c>
      <c r="Z70">
        <v>3635862</v>
      </c>
      <c r="AA70">
        <v>3750843</v>
      </c>
      <c r="AB70">
        <v>3868296</v>
      </c>
      <c r="AC70">
        <v>3988371</v>
      </c>
      <c r="AD70">
        <v>4111369</v>
      </c>
      <c r="AE70">
        <v>4237436</v>
      </c>
      <c r="AF70">
        <v>4366401</v>
      </c>
      <c r="AG70">
        <v>4497875</v>
      </c>
      <c r="AH70">
        <v>4631491</v>
      </c>
      <c r="AI70">
        <v>4766802</v>
      </c>
      <c r="AJ70">
        <v>4903363</v>
      </c>
      <c r="AK70">
        <v>5041050</v>
      </c>
      <c r="AL70">
        <v>5179557</v>
      </c>
      <c r="AM70">
        <v>5318042</v>
      </c>
      <c r="AN70">
        <v>5455481</v>
      </c>
      <c r="AO70">
        <v>5591136</v>
      </c>
      <c r="AP70">
        <v>5724587</v>
      </c>
      <c r="AQ70">
        <v>5855946</v>
      </c>
      <c r="AR70">
        <v>5985675</v>
      </c>
      <c r="AS70">
        <v>6114534</v>
      </c>
      <c r="AT70">
        <v>6243080</v>
      </c>
      <c r="AU70">
        <v>6371304</v>
      </c>
      <c r="AV70">
        <v>6499001</v>
      </c>
      <c r="AW70">
        <v>6626304</v>
      </c>
      <c r="AX70">
        <v>6753352</v>
      </c>
      <c r="AY70">
        <v>6880181</v>
      </c>
      <c r="AZ70">
        <v>7007029</v>
      </c>
      <c r="BA70">
        <v>7133737</v>
      </c>
      <c r="BB70">
        <v>7259470</v>
      </c>
      <c r="BC70">
        <v>7383098</v>
      </c>
      <c r="BD70">
        <v>7503875</v>
      </c>
      <c r="BE70">
        <v>7621414</v>
      </c>
      <c r="BF70">
        <v>7736131</v>
      </c>
      <c r="BG70">
        <v>7849059</v>
      </c>
      <c r="BH70">
        <v>7961680</v>
      </c>
      <c r="BI70">
        <v>8075060</v>
      </c>
      <c r="BJ70">
        <v>8194412</v>
      </c>
      <c r="BK70">
        <v>8315528</v>
      </c>
      <c r="BL70">
        <v>8438434</v>
      </c>
      <c r="BM70">
        <v>8563157</v>
      </c>
      <c r="BN70">
        <v>8689723</v>
      </c>
      <c r="BO70">
        <v>8818160</v>
      </c>
      <c r="BP70">
        <v>8948495</v>
      </c>
      <c r="BQ70">
        <v>1.4780313461463246E-2</v>
      </c>
      <c r="BR70" s="6">
        <f t="shared" si="7"/>
        <v>7736131</v>
      </c>
      <c r="BT70" s="4">
        <f t="shared" si="8"/>
        <v>1.7273939756377032E-2</v>
      </c>
      <c r="BU70" s="4">
        <f t="shared" si="8"/>
        <v>1.6669078314589747E-2</v>
      </c>
      <c r="BV70" s="4">
        <f t="shared" si="8"/>
        <v>1.6025774159375006E-2</v>
      </c>
      <c r="BW70" s="4">
        <f t="shared" si="8"/>
        <v>1.5417725014427841E-2</v>
      </c>
      <c r="BX70" s="4">
        <f t="shared" si="8"/>
        <v>1.4915258423342737E-2</v>
      </c>
      <c r="BY70" s="4">
        <f t="shared" si="8"/>
        <v>1.4559568496371966E-2</v>
      </c>
      <c r="BZ70" s="4">
        <f t="shared" si="8"/>
        <v>1.4491692698137104E-2</v>
      </c>
      <c r="CA70" s="4">
        <f t="shared" si="6"/>
        <v>1.4537394447927676E-2</v>
      </c>
      <c r="CB70" s="4">
        <f t="shared" si="6"/>
        <v>1.4645386331382015E-2</v>
      </c>
      <c r="CC70" s="4">
        <f t="shared" si="6"/>
        <v>1.4780322249177136E-2</v>
      </c>
      <c r="CD70" s="4">
        <f t="shared" si="6"/>
        <v>1.4780315487217921E-2</v>
      </c>
      <c r="CE70" s="4">
        <f t="shared" si="6"/>
        <v>1.4780319711427348E-2</v>
      </c>
      <c r="CF70" s="4">
        <f t="shared" si="6"/>
        <v>1.4780318241722545E-2</v>
      </c>
      <c r="CH70">
        <v>111890</v>
      </c>
    </row>
    <row r="71" spans="1:86" x14ac:dyDescent="0.25">
      <c r="A71" s="2">
        <v>69</v>
      </c>
      <c r="B71" s="3" t="s">
        <v>94</v>
      </c>
      <c r="C71" t="s">
        <v>94</v>
      </c>
      <c r="D71" t="s">
        <v>23</v>
      </c>
      <c r="E71">
        <v>1</v>
      </c>
      <c r="F71">
        <v>9983967</v>
      </c>
      <c r="G71">
        <v>10029321</v>
      </c>
      <c r="H71">
        <v>10061734</v>
      </c>
      <c r="I71">
        <v>10087947</v>
      </c>
      <c r="J71">
        <v>10119835</v>
      </c>
      <c r="K71">
        <v>10147935</v>
      </c>
      <c r="L71">
        <v>10178653</v>
      </c>
      <c r="M71">
        <v>10216604</v>
      </c>
      <c r="N71">
        <v>10255815</v>
      </c>
      <c r="O71">
        <v>10298723</v>
      </c>
      <c r="P71">
        <v>10337910</v>
      </c>
      <c r="Q71">
        <v>10367537</v>
      </c>
      <c r="R71">
        <v>10398489</v>
      </c>
      <c r="S71">
        <v>10432055</v>
      </c>
      <c r="T71">
        <v>10478720</v>
      </c>
      <c r="U71">
        <v>10540525</v>
      </c>
      <c r="V71">
        <v>10598677</v>
      </c>
      <c r="W71">
        <v>10648031</v>
      </c>
      <c r="X71">
        <v>10684822</v>
      </c>
      <c r="Y71">
        <v>10704152</v>
      </c>
      <c r="Z71">
        <v>10711122</v>
      </c>
      <c r="AA71">
        <v>10711848</v>
      </c>
      <c r="AB71">
        <v>10705535</v>
      </c>
      <c r="AC71">
        <v>10689463</v>
      </c>
      <c r="AD71">
        <v>10668095</v>
      </c>
      <c r="AE71">
        <v>10648713</v>
      </c>
      <c r="AF71">
        <v>10630564</v>
      </c>
      <c r="AG71">
        <v>10612741</v>
      </c>
      <c r="AH71">
        <v>10596487</v>
      </c>
      <c r="AI71">
        <v>10481719</v>
      </c>
      <c r="AJ71">
        <v>10373988</v>
      </c>
      <c r="AK71">
        <v>10373400</v>
      </c>
      <c r="AL71">
        <v>10369341</v>
      </c>
      <c r="AM71">
        <v>10357523</v>
      </c>
      <c r="AN71">
        <v>10343355</v>
      </c>
      <c r="AO71">
        <v>10328965</v>
      </c>
      <c r="AP71">
        <v>10311238</v>
      </c>
      <c r="AQ71">
        <v>10290486</v>
      </c>
      <c r="AR71">
        <v>10266570</v>
      </c>
      <c r="AS71">
        <v>10237530</v>
      </c>
      <c r="AT71">
        <v>10210971</v>
      </c>
      <c r="AU71">
        <v>10187576</v>
      </c>
      <c r="AV71">
        <v>10158608</v>
      </c>
      <c r="AW71">
        <v>10129552</v>
      </c>
      <c r="AX71">
        <v>10107146</v>
      </c>
      <c r="AY71">
        <v>10087065</v>
      </c>
      <c r="AZ71">
        <v>10071370</v>
      </c>
      <c r="BA71">
        <v>10055780</v>
      </c>
      <c r="BB71">
        <v>10038188</v>
      </c>
      <c r="BC71">
        <v>10022650</v>
      </c>
      <c r="BD71">
        <v>10000023</v>
      </c>
      <c r="BE71">
        <v>9971727</v>
      </c>
      <c r="BF71">
        <v>9920362</v>
      </c>
      <c r="BG71">
        <v>9893082</v>
      </c>
      <c r="BH71">
        <v>9866468</v>
      </c>
      <c r="BI71">
        <v>9844686</v>
      </c>
      <c r="BJ71">
        <v>9813909</v>
      </c>
      <c r="BK71">
        <v>9783229</v>
      </c>
      <c r="BL71">
        <v>9752644</v>
      </c>
      <c r="BM71">
        <v>9722155</v>
      </c>
      <c r="BN71">
        <v>9691761</v>
      </c>
      <c r="BO71">
        <v>9661462</v>
      </c>
      <c r="BP71">
        <v>9631258</v>
      </c>
      <c r="BQ71">
        <v>-3.1262183254372466E-3</v>
      </c>
      <c r="BR71" s="6">
        <f t="shared" si="7"/>
        <v>9920362</v>
      </c>
      <c r="BT71" s="4">
        <f t="shared" si="8"/>
        <v>-1.7757595080221122E-3</v>
      </c>
      <c r="BU71" s="4">
        <f t="shared" si="8"/>
        <v>-2.0962510231473663E-3</v>
      </c>
      <c r="BV71" s="4">
        <f t="shared" si="8"/>
        <v>-2.9474495467282091E-3</v>
      </c>
      <c r="BW71" s="4">
        <f t="shared" si="8"/>
        <v>-3.2476665730994947E-3</v>
      </c>
      <c r="BX71" s="4">
        <f t="shared" si="8"/>
        <v>-3.3557208577080777E-3</v>
      </c>
      <c r="BY71" s="4">
        <f t="shared" si="8"/>
        <v>-3.2003607459180072E-3</v>
      </c>
      <c r="BZ71" s="4">
        <f t="shared" si="8"/>
        <v>-2.6935527120023339E-3</v>
      </c>
      <c r="CA71" s="4">
        <f t="shared" si="6"/>
        <v>-2.7876402553641544E-3</v>
      </c>
      <c r="CB71" s="4">
        <f t="shared" si="6"/>
        <v>-2.8966739181454093E-3</v>
      </c>
      <c r="CC71" s="4">
        <f t="shared" si="6"/>
        <v>-3.126232003753171E-3</v>
      </c>
      <c r="CD71" s="4">
        <f t="shared" si="6"/>
        <v>-3.1262336280318825E-3</v>
      </c>
      <c r="CE71" s="4">
        <f t="shared" si="6"/>
        <v>-3.126255710231729E-3</v>
      </c>
      <c r="CF71" s="4">
        <f t="shared" si="6"/>
        <v>-3.1262473349035202E-3</v>
      </c>
      <c r="CH71">
        <v>89608</v>
      </c>
    </row>
    <row r="72" spans="1:86" x14ac:dyDescent="0.25">
      <c r="A72" s="2">
        <v>70</v>
      </c>
      <c r="B72" s="3" t="s">
        <v>95</v>
      </c>
      <c r="C72" t="s">
        <v>95</v>
      </c>
      <c r="D72" t="s">
        <v>7</v>
      </c>
      <c r="E72">
        <v>1</v>
      </c>
      <c r="F72">
        <v>175574</v>
      </c>
      <c r="G72">
        <v>179029</v>
      </c>
      <c r="H72">
        <v>182378</v>
      </c>
      <c r="I72">
        <v>185653</v>
      </c>
      <c r="J72">
        <v>188983</v>
      </c>
      <c r="K72">
        <v>192286</v>
      </c>
      <c r="L72">
        <v>195570</v>
      </c>
      <c r="M72">
        <v>198751</v>
      </c>
      <c r="N72">
        <v>201488</v>
      </c>
      <c r="O72">
        <v>203369</v>
      </c>
      <c r="P72">
        <v>204438</v>
      </c>
      <c r="Q72">
        <v>206098</v>
      </c>
      <c r="R72">
        <v>209137</v>
      </c>
      <c r="S72">
        <v>212317</v>
      </c>
      <c r="T72">
        <v>215209</v>
      </c>
      <c r="U72">
        <v>217979</v>
      </c>
      <c r="V72">
        <v>220154</v>
      </c>
      <c r="W72">
        <v>221799</v>
      </c>
      <c r="X72">
        <v>223537</v>
      </c>
      <c r="Y72">
        <v>225735</v>
      </c>
      <c r="Z72">
        <v>228138</v>
      </c>
      <c r="AA72">
        <v>230755</v>
      </c>
      <c r="AB72">
        <v>233860</v>
      </c>
      <c r="AC72">
        <v>236977</v>
      </c>
      <c r="AD72">
        <v>239511</v>
      </c>
      <c r="AE72">
        <v>241405</v>
      </c>
      <c r="AF72">
        <v>243180</v>
      </c>
      <c r="AG72">
        <v>245859</v>
      </c>
      <c r="AH72">
        <v>249740</v>
      </c>
      <c r="AI72">
        <v>252852</v>
      </c>
      <c r="AJ72">
        <v>254826</v>
      </c>
      <c r="AK72">
        <v>257797</v>
      </c>
      <c r="AL72">
        <v>261057</v>
      </c>
      <c r="AM72">
        <v>263725</v>
      </c>
      <c r="AN72">
        <v>266021</v>
      </c>
      <c r="AO72">
        <v>267468</v>
      </c>
      <c r="AP72">
        <v>268916</v>
      </c>
      <c r="AQ72">
        <v>271128</v>
      </c>
      <c r="AR72">
        <v>274047</v>
      </c>
      <c r="AS72">
        <v>277381</v>
      </c>
      <c r="AT72">
        <v>281205</v>
      </c>
      <c r="AU72">
        <v>284968</v>
      </c>
      <c r="AV72">
        <v>287523</v>
      </c>
      <c r="AW72">
        <v>289521</v>
      </c>
      <c r="AX72">
        <v>292074</v>
      </c>
      <c r="AY72">
        <v>296734</v>
      </c>
      <c r="AZ72">
        <v>303782</v>
      </c>
      <c r="BA72">
        <v>311566</v>
      </c>
      <c r="BB72">
        <v>317414</v>
      </c>
      <c r="BC72">
        <v>318499</v>
      </c>
      <c r="BD72">
        <v>318041</v>
      </c>
      <c r="BE72">
        <v>319014</v>
      </c>
      <c r="BF72">
        <v>320716</v>
      </c>
      <c r="BG72">
        <v>323764</v>
      </c>
      <c r="BH72">
        <v>327386</v>
      </c>
      <c r="BI72">
        <v>330823</v>
      </c>
      <c r="BJ72">
        <v>333440</v>
      </c>
      <c r="BK72">
        <v>336078</v>
      </c>
      <c r="BL72">
        <v>338737</v>
      </c>
      <c r="BM72">
        <v>341417</v>
      </c>
      <c r="BN72">
        <v>344118</v>
      </c>
      <c r="BO72">
        <v>346841</v>
      </c>
      <c r="BP72">
        <v>349585</v>
      </c>
      <c r="BQ72">
        <v>7.9117707216629363E-3</v>
      </c>
      <c r="BR72" s="6">
        <f t="shared" si="7"/>
        <v>320716</v>
      </c>
      <c r="BT72" s="4">
        <f t="shared" si="8"/>
        <v>1.1533495336289112E-2</v>
      </c>
      <c r="BU72" s="4">
        <f t="shared" si="8"/>
        <v>5.9234232935576614E-3</v>
      </c>
      <c r="BV72" s="4">
        <f t="shared" si="8"/>
        <v>2.5906200764862497E-3</v>
      </c>
      <c r="BW72" s="4">
        <f t="shared" si="8"/>
        <v>4.10729190589465E-3</v>
      </c>
      <c r="BX72" s="4">
        <f t="shared" si="8"/>
        <v>7.2661708310615136E-3</v>
      </c>
      <c r="BY72" s="4">
        <f t="shared" si="8"/>
        <v>9.128538313091239E-3</v>
      </c>
      <c r="BZ72" s="4">
        <f t="shared" si="8"/>
        <v>9.7741941424576151E-3</v>
      </c>
      <c r="CA72" s="4">
        <f t="shared" si="6"/>
        <v>9.375785001790149E-3</v>
      </c>
      <c r="CB72" s="4">
        <f t="shared" si="6"/>
        <v>8.5574303023112641E-3</v>
      </c>
      <c r="CC72" s="4">
        <f t="shared" si="6"/>
        <v>7.911409850195561E-3</v>
      </c>
      <c r="CD72" s="4">
        <f t="shared" si="6"/>
        <v>7.9115529109372584E-3</v>
      </c>
      <c r="CE72" s="4">
        <f t="shared" si="6"/>
        <v>7.9119316624998159E-3</v>
      </c>
      <c r="CF72" s="4">
        <f t="shared" si="6"/>
        <v>7.911819736255099E-3</v>
      </c>
      <c r="CH72">
        <v>100250</v>
      </c>
    </row>
    <row r="73" spans="1:86" x14ac:dyDescent="0.25">
      <c r="A73" s="2">
        <v>71</v>
      </c>
      <c r="B73" s="3" t="s">
        <v>96</v>
      </c>
      <c r="C73" t="s">
        <v>96</v>
      </c>
      <c r="D73" t="s">
        <v>25</v>
      </c>
      <c r="E73">
        <v>1</v>
      </c>
      <c r="F73">
        <v>449661874</v>
      </c>
      <c r="G73">
        <v>458691457</v>
      </c>
      <c r="H73">
        <v>468054145</v>
      </c>
      <c r="I73">
        <v>477729958</v>
      </c>
      <c r="J73">
        <v>487690114</v>
      </c>
      <c r="K73">
        <v>497920270</v>
      </c>
      <c r="L73">
        <v>508402908</v>
      </c>
      <c r="M73">
        <v>519162069</v>
      </c>
      <c r="N73">
        <v>530274729</v>
      </c>
      <c r="O73">
        <v>541844848</v>
      </c>
      <c r="P73">
        <v>553943226</v>
      </c>
      <c r="Q73">
        <v>566605402</v>
      </c>
      <c r="R73">
        <v>579800632</v>
      </c>
      <c r="S73">
        <v>593451889</v>
      </c>
      <c r="T73">
        <v>607446519</v>
      </c>
      <c r="U73">
        <v>621703641</v>
      </c>
      <c r="V73">
        <v>636182810</v>
      </c>
      <c r="W73">
        <v>650907559</v>
      </c>
      <c r="X73">
        <v>665936435</v>
      </c>
      <c r="Y73">
        <v>681358553</v>
      </c>
      <c r="Z73">
        <v>697229745</v>
      </c>
      <c r="AA73">
        <v>713561406</v>
      </c>
      <c r="AB73">
        <v>730303461</v>
      </c>
      <c r="AC73">
        <v>747374856</v>
      </c>
      <c r="AD73">
        <v>764664278</v>
      </c>
      <c r="AE73">
        <v>782085127</v>
      </c>
      <c r="AF73">
        <v>799607235</v>
      </c>
      <c r="AG73">
        <v>817232241</v>
      </c>
      <c r="AH73">
        <v>834944397</v>
      </c>
      <c r="AI73">
        <v>852736160</v>
      </c>
      <c r="AJ73">
        <v>870601776</v>
      </c>
      <c r="AK73">
        <v>888513869</v>
      </c>
      <c r="AL73">
        <v>906461358</v>
      </c>
      <c r="AM73">
        <v>924475633</v>
      </c>
      <c r="AN73">
        <v>942604211</v>
      </c>
      <c r="AO73">
        <v>960874982</v>
      </c>
      <c r="AP73">
        <v>979290432</v>
      </c>
      <c r="AQ73">
        <v>997817250</v>
      </c>
      <c r="AR73">
        <v>1016402907</v>
      </c>
      <c r="AS73">
        <v>1034976626</v>
      </c>
      <c r="AT73">
        <v>1053481072</v>
      </c>
      <c r="AU73">
        <v>1071888190</v>
      </c>
      <c r="AV73">
        <v>1090189358</v>
      </c>
      <c r="AW73">
        <v>1108369577</v>
      </c>
      <c r="AX73">
        <v>1126419321</v>
      </c>
      <c r="AY73">
        <v>1144326293</v>
      </c>
      <c r="AZ73">
        <v>1162088305</v>
      </c>
      <c r="BA73">
        <v>1179685631</v>
      </c>
      <c r="BB73">
        <v>1197070109</v>
      </c>
      <c r="BC73">
        <v>1214182182</v>
      </c>
      <c r="BD73">
        <v>1230984504</v>
      </c>
      <c r="BE73">
        <v>1247446011</v>
      </c>
      <c r="BF73">
        <v>1263589639</v>
      </c>
      <c r="BG73">
        <v>1279498874</v>
      </c>
      <c r="BH73">
        <v>1295291543</v>
      </c>
      <c r="BI73">
        <v>1311050527</v>
      </c>
      <c r="BJ73">
        <v>1327678120</v>
      </c>
      <c r="BK73">
        <v>1344516595</v>
      </c>
      <c r="BL73">
        <v>1361568626</v>
      </c>
      <c r="BM73">
        <v>1378836922</v>
      </c>
      <c r="BN73">
        <v>1396324226</v>
      </c>
      <c r="BO73">
        <v>1414033315</v>
      </c>
      <c r="BP73">
        <v>1431967002</v>
      </c>
      <c r="BQ73">
        <v>1.2682648361236781E-2</v>
      </c>
      <c r="BR73" s="6">
        <f t="shared" si="7"/>
        <v>1263589639</v>
      </c>
      <c r="BT73" s="4">
        <f t="shared" si="8"/>
        <v>1.4503065907380819E-2</v>
      </c>
      <c r="BU73" s="4">
        <f t="shared" si="8"/>
        <v>1.4060502292214672E-2</v>
      </c>
      <c r="BV73" s="4">
        <f t="shared" si="8"/>
        <v>1.3611705822497377E-2</v>
      </c>
      <c r="BW73" s="4">
        <f t="shared" si="8"/>
        <v>1.3185610402979719E-2</v>
      </c>
      <c r="BX73" s="4">
        <f t="shared" si="8"/>
        <v>1.2811761443482617E-2</v>
      </c>
      <c r="BY73" s="4">
        <f t="shared" si="8"/>
        <v>1.2510225011118203E-2</v>
      </c>
      <c r="BZ73" s="4">
        <f t="shared" si="8"/>
        <v>1.2445572459838461E-2</v>
      </c>
      <c r="CA73" s="4">
        <f t="shared" si="6"/>
        <v>1.2468603608186024E-2</v>
      </c>
      <c r="CB73" s="4">
        <f t="shared" si="6"/>
        <v>1.2553551787980233E-2</v>
      </c>
      <c r="CC73" s="4">
        <f t="shared" si="6"/>
        <v>1.2682648391959095E-2</v>
      </c>
      <c r="CD73" s="4">
        <f t="shared" si="6"/>
        <v>1.268264838817279E-2</v>
      </c>
      <c r="CE73" s="4">
        <f t="shared" si="6"/>
        <v>1.2682648309828126E-2</v>
      </c>
      <c r="CF73" s="4">
        <f t="shared" si="6"/>
        <v>1.2682648291237442E-2</v>
      </c>
      <c r="CH73">
        <v>2973193</v>
      </c>
    </row>
    <row r="74" spans="1:86" x14ac:dyDescent="0.25">
      <c r="A74" s="2">
        <v>72</v>
      </c>
      <c r="B74" s="3" t="s">
        <v>97</v>
      </c>
      <c r="C74" t="s">
        <v>97</v>
      </c>
      <c r="D74" t="s">
        <v>25</v>
      </c>
      <c r="E74">
        <v>1</v>
      </c>
      <c r="F74">
        <v>87792512</v>
      </c>
      <c r="G74">
        <v>90138235</v>
      </c>
      <c r="H74">
        <v>92558006</v>
      </c>
      <c r="I74">
        <v>95055669</v>
      </c>
      <c r="J74">
        <v>97638027</v>
      </c>
      <c r="K74">
        <v>100308896</v>
      </c>
      <c r="L74">
        <v>103067352</v>
      </c>
      <c r="M74">
        <v>105907403</v>
      </c>
      <c r="N74">
        <v>108821565</v>
      </c>
      <c r="O74">
        <v>111800090</v>
      </c>
      <c r="P74">
        <v>114834781</v>
      </c>
      <c r="Q74">
        <v>117921994</v>
      </c>
      <c r="R74">
        <v>121059511</v>
      </c>
      <c r="S74">
        <v>124242299</v>
      </c>
      <c r="T74">
        <v>127465232</v>
      </c>
      <c r="U74">
        <v>130724118</v>
      </c>
      <c r="V74">
        <v>134010695</v>
      </c>
      <c r="W74">
        <v>137322122</v>
      </c>
      <c r="X74">
        <v>140665859</v>
      </c>
      <c r="Y74">
        <v>144053516</v>
      </c>
      <c r="Z74">
        <v>147490366</v>
      </c>
      <c r="AA74">
        <v>150978841</v>
      </c>
      <c r="AB74">
        <v>154506266</v>
      </c>
      <c r="AC74">
        <v>158044343</v>
      </c>
      <c r="AD74">
        <v>161555584</v>
      </c>
      <c r="AE74">
        <v>165012195</v>
      </c>
      <c r="AF74">
        <v>168402027</v>
      </c>
      <c r="AG74">
        <v>171728916</v>
      </c>
      <c r="AH74">
        <v>175000919</v>
      </c>
      <c r="AI74">
        <v>178233231</v>
      </c>
      <c r="AJ74">
        <v>181436821</v>
      </c>
      <c r="AK74">
        <v>184614740</v>
      </c>
      <c r="AL74">
        <v>187762097</v>
      </c>
      <c r="AM74">
        <v>190873248</v>
      </c>
      <c r="AN74">
        <v>193939912</v>
      </c>
      <c r="AO74">
        <v>196957845</v>
      </c>
      <c r="AP74">
        <v>199926615</v>
      </c>
      <c r="AQ74">
        <v>202853850</v>
      </c>
      <c r="AR74">
        <v>205753493</v>
      </c>
      <c r="AS74">
        <v>208644079</v>
      </c>
      <c r="AT74">
        <v>211540428</v>
      </c>
      <c r="AU74">
        <v>214448301</v>
      </c>
      <c r="AV74">
        <v>217369087</v>
      </c>
      <c r="AW74">
        <v>220307809</v>
      </c>
      <c r="AX74">
        <v>223268606</v>
      </c>
      <c r="AY74">
        <v>226254703</v>
      </c>
      <c r="AZ74">
        <v>229263980</v>
      </c>
      <c r="BA74">
        <v>232296830</v>
      </c>
      <c r="BB74">
        <v>235360765</v>
      </c>
      <c r="BC74">
        <v>238465165</v>
      </c>
      <c r="BD74">
        <v>241613126</v>
      </c>
      <c r="BE74">
        <v>244808254</v>
      </c>
      <c r="BF74">
        <v>248037853</v>
      </c>
      <c r="BG74">
        <v>251268276</v>
      </c>
      <c r="BH74">
        <v>254454778</v>
      </c>
      <c r="BI74">
        <v>257563815</v>
      </c>
      <c r="BJ74">
        <v>260878155</v>
      </c>
      <c r="BK74">
        <v>264235144</v>
      </c>
      <c r="BL74">
        <v>267635331</v>
      </c>
      <c r="BM74">
        <v>271079271</v>
      </c>
      <c r="BN74">
        <v>274567528</v>
      </c>
      <c r="BO74">
        <v>278100672</v>
      </c>
      <c r="BP74">
        <v>281679281</v>
      </c>
      <c r="BQ74">
        <v>1.2868033792626132E-2</v>
      </c>
      <c r="BR74" s="6">
        <f t="shared" si="7"/>
        <v>248037853</v>
      </c>
      <c r="BT74" s="4">
        <f t="shared" si="8"/>
        <v>1.3202316870616126E-2</v>
      </c>
      <c r="BU74" s="4">
        <f t="shared" si="8"/>
        <v>1.3201194885817058E-2</v>
      </c>
      <c r="BV74" s="4">
        <f t="shared" si="8"/>
        <v>1.3201850057515507E-2</v>
      </c>
      <c r="BW74" s="4">
        <f t="shared" si="8"/>
        <v>1.316033386582971E-2</v>
      </c>
      <c r="BX74" s="4">
        <f t="shared" si="8"/>
        <v>1.3030500747830853E-2</v>
      </c>
      <c r="BY74" s="4">
        <f t="shared" si="8"/>
        <v>1.2779024527045602E-2</v>
      </c>
      <c r="BZ74" s="4">
        <f t="shared" si="8"/>
        <v>1.2697966052899412E-2</v>
      </c>
      <c r="CA74" s="4">
        <f t="shared" si="6"/>
        <v>1.265900704512668E-2</v>
      </c>
      <c r="CB74" s="4">
        <f t="shared" si="6"/>
        <v>1.270559332162402E-2</v>
      </c>
      <c r="CC74" s="4">
        <f t="shared" si="6"/>
        <v>1.2868033769352971E-2</v>
      </c>
      <c r="CD74" s="4">
        <f t="shared" si="6"/>
        <v>1.2868033445572413E-2</v>
      </c>
      <c r="CE74" s="4">
        <f t="shared" si="6"/>
        <v>1.2868033155242209E-2</v>
      </c>
      <c r="CF74" s="4">
        <f t="shared" si="6"/>
        <v>1.2868033069540097E-2</v>
      </c>
      <c r="CH74">
        <v>1811569</v>
      </c>
    </row>
    <row r="75" spans="1:86" x14ac:dyDescent="0.25">
      <c r="A75" s="2">
        <v>73</v>
      </c>
      <c r="B75" s="3" t="s">
        <v>98</v>
      </c>
      <c r="C75" t="s">
        <v>98</v>
      </c>
      <c r="D75" t="s">
        <v>9</v>
      </c>
      <c r="E75">
        <v>1</v>
      </c>
      <c r="F75">
        <v>21906905</v>
      </c>
      <c r="G75">
        <v>22480420</v>
      </c>
      <c r="H75">
        <v>23071426</v>
      </c>
      <c r="I75">
        <v>23680433</v>
      </c>
      <c r="J75">
        <v>24308080</v>
      </c>
      <c r="K75">
        <v>24955116</v>
      </c>
      <c r="L75">
        <v>25624650</v>
      </c>
      <c r="M75">
        <v>26318116</v>
      </c>
      <c r="N75">
        <v>27032944</v>
      </c>
      <c r="O75">
        <v>27765239</v>
      </c>
      <c r="P75">
        <v>28514011</v>
      </c>
      <c r="Q75">
        <v>29281130</v>
      </c>
      <c r="R75">
        <v>30073845</v>
      </c>
      <c r="S75">
        <v>30903565</v>
      </c>
      <c r="T75">
        <v>31784896</v>
      </c>
      <c r="U75">
        <v>32730555</v>
      </c>
      <c r="V75">
        <v>33739231</v>
      </c>
      <c r="W75">
        <v>34814231</v>
      </c>
      <c r="X75">
        <v>35977589</v>
      </c>
      <c r="Y75">
        <v>37256771</v>
      </c>
      <c r="Z75">
        <v>38668222</v>
      </c>
      <c r="AA75">
        <v>40209077</v>
      </c>
      <c r="AB75">
        <v>41862373</v>
      </c>
      <c r="AC75">
        <v>43610506</v>
      </c>
      <c r="AD75">
        <v>45429019</v>
      </c>
      <c r="AE75">
        <v>47290793</v>
      </c>
      <c r="AF75">
        <v>49205577</v>
      </c>
      <c r="AG75">
        <v>51152122</v>
      </c>
      <c r="AH75">
        <v>53035939</v>
      </c>
      <c r="AI75">
        <v>54735239</v>
      </c>
      <c r="AJ75">
        <v>56169196</v>
      </c>
      <c r="AK75">
        <v>57288039</v>
      </c>
      <c r="AL75">
        <v>58130099</v>
      </c>
      <c r="AM75">
        <v>58811858</v>
      </c>
      <c r="AN75">
        <v>59501292</v>
      </c>
      <c r="AO75">
        <v>60318632</v>
      </c>
      <c r="AP75">
        <v>61306632</v>
      </c>
      <c r="AQ75">
        <v>62426086</v>
      </c>
      <c r="AR75">
        <v>63616065</v>
      </c>
      <c r="AS75">
        <v>64780362</v>
      </c>
      <c r="AT75">
        <v>65850062</v>
      </c>
      <c r="AU75">
        <v>66812736</v>
      </c>
      <c r="AV75">
        <v>67696677</v>
      </c>
      <c r="AW75">
        <v>68522074</v>
      </c>
      <c r="AX75">
        <v>69321953</v>
      </c>
      <c r="AY75">
        <v>70122115</v>
      </c>
      <c r="AZ75">
        <v>70923164</v>
      </c>
      <c r="BA75">
        <v>71720859</v>
      </c>
      <c r="BB75">
        <v>72530693</v>
      </c>
      <c r="BC75">
        <v>73370982</v>
      </c>
      <c r="BD75">
        <v>74253373</v>
      </c>
      <c r="BE75">
        <v>75184322</v>
      </c>
      <c r="BF75">
        <v>76156975</v>
      </c>
      <c r="BG75">
        <v>77152445</v>
      </c>
      <c r="BH75">
        <v>78143644</v>
      </c>
      <c r="BI75">
        <v>79109272</v>
      </c>
      <c r="BJ75">
        <v>80117913</v>
      </c>
      <c r="BK75">
        <v>81139414</v>
      </c>
      <c r="BL75">
        <v>82173939</v>
      </c>
      <c r="BM75">
        <v>83221655</v>
      </c>
      <c r="BN75">
        <v>84282729</v>
      </c>
      <c r="BO75">
        <v>85357332</v>
      </c>
      <c r="BP75">
        <v>86445636</v>
      </c>
      <c r="BQ75">
        <v>1.2749973030625084E-2</v>
      </c>
      <c r="BR75" s="6">
        <f t="shared" si="7"/>
        <v>76156975</v>
      </c>
      <c r="BT75" s="4">
        <f t="shared" si="8"/>
        <v>1.1537577897148488E-2</v>
      </c>
      <c r="BU75" s="4">
        <f t="shared" si="8"/>
        <v>1.1860054104412709E-2</v>
      </c>
      <c r="BV75" s="4">
        <f t="shared" si="8"/>
        <v>1.2271394880036146E-2</v>
      </c>
      <c r="BW75" s="4">
        <f t="shared" si="8"/>
        <v>1.2642942934669721E-2</v>
      </c>
      <c r="BX75" s="4">
        <f t="shared" si="8"/>
        <v>1.2848217743777424E-2</v>
      </c>
      <c r="BY75" s="4">
        <f t="shared" si="8"/>
        <v>1.2803107226046828E-2</v>
      </c>
      <c r="BZ75" s="4">
        <f t="shared" si="8"/>
        <v>1.2756375014621124E-2</v>
      </c>
      <c r="CA75" s="4">
        <f t="shared" si="6"/>
        <v>1.2676060162689184E-2</v>
      </c>
      <c r="CB75" s="4">
        <f t="shared" si="6"/>
        <v>1.2651735814292797E-2</v>
      </c>
      <c r="CC75" s="4">
        <f t="shared" si="6"/>
        <v>1.2749972500358364E-2</v>
      </c>
      <c r="CD75" s="4">
        <f t="shared" si="6"/>
        <v>1.27499731974412E-2</v>
      </c>
      <c r="CE75" s="4">
        <f t="shared" si="6"/>
        <v>1.2749975333939956E-2</v>
      </c>
      <c r="CF75" s="4">
        <f t="shared" si="6"/>
        <v>1.2749977316606431E-2</v>
      </c>
      <c r="CH75">
        <v>1531595</v>
      </c>
    </row>
    <row r="76" spans="1:86" x14ac:dyDescent="0.25">
      <c r="A76" s="2">
        <v>74</v>
      </c>
      <c r="B76" s="3" t="s">
        <v>99</v>
      </c>
      <c r="C76" t="s">
        <v>99</v>
      </c>
      <c r="D76" t="s">
        <v>9</v>
      </c>
      <c r="E76">
        <v>1</v>
      </c>
      <c r="F76">
        <v>7289759</v>
      </c>
      <c r="G76">
        <v>7475354</v>
      </c>
      <c r="H76">
        <v>7674220</v>
      </c>
      <c r="I76">
        <v>7888914</v>
      </c>
      <c r="J76">
        <v>8122200</v>
      </c>
      <c r="K76">
        <v>8375791</v>
      </c>
      <c r="L76">
        <v>8651167</v>
      </c>
      <c r="M76">
        <v>8947399</v>
      </c>
      <c r="N76">
        <v>9260685</v>
      </c>
      <c r="O76">
        <v>9585576</v>
      </c>
      <c r="P76">
        <v>9917982</v>
      </c>
      <c r="Q76">
        <v>10255904</v>
      </c>
      <c r="R76">
        <v>10599846</v>
      </c>
      <c r="S76">
        <v>10951169</v>
      </c>
      <c r="T76">
        <v>11312304</v>
      </c>
      <c r="U76">
        <v>11684585</v>
      </c>
      <c r="V76">
        <v>12068195</v>
      </c>
      <c r="W76">
        <v>12460997</v>
      </c>
      <c r="X76">
        <v>12859226</v>
      </c>
      <c r="Y76">
        <v>13257910</v>
      </c>
      <c r="Z76">
        <v>13653358</v>
      </c>
      <c r="AA76">
        <v>14046273</v>
      </c>
      <c r="AB76">
        <v>14437661</v>
      </c>
      <c r="AC76">
        <v>14824876</v>
      </c>
      <c r="AD76">
        <v>15204746</v>
      </c>
      <c r="AE76">
        <v>15576396</v>
      </c>
      <c r="AF76">
        <v>15937864</v>
      </c>
      <c r="AG76">
        <v>16293719</v>
      </c>
      <c r="AH76">
        <v>16657708</v>
      </c>
      <c r="AI76">
        <v>17048167</v>
      </c>
      <c r="AJ76">
        <v>17478455</v>
      </c>
      <c r="AK76">
        <v>17952909</v>
      </c>
      <c r="AL76">
        <v>18468521</v>
      </c>
      <c r="AM76">
        <v>19021967</v>
      </c>
      <c r="AN76">
        <v>19606895</v>
      </c>
      <c r="AO76">
        <v>20217759</v>
      </c>
      <c r="AP76">
        <v>20855408</v>
      </c>
      <c r="AQ76">
        <v>21519356</v>
      </c>
      <c r="AR76">
        <v>22200835</v>
      </c>
      <c r="AS76">
        <v>22888600</v>
      </c>
      <c r="AT76">
        <v>23574751</v>
      </c>
      <c r="AU76">
        <v>24258794</v>
      </c>
      <c r="AV76">
        <v>24943793</v>
      </c>
      <c r="AW76">
        <v>25630426</v>
      </c>
      <c r="AX76">
        <v>26320530</v>
      </c>
      <c r="AY76">
        <v>27017712</v>
      </c>
      <c r="AZ76">
        <v>27716983</v>
      </c>
      <c r="BA76">
        <v>28423538</v>
      </c>
      <c r="BB76">
        <v>29163327</v>
      </c>
      <c r="BC76">
        <v>29970634</v>
      </c>
      <c r="BD76">
        <v>30868156</v>
      </c>
      <c r="BE76">
        <v>31867758</v>
      </c>
      <c r="BF76">
        <v>32957622</v>
      </c>
      <c r="BG76">
        <v>34107366</v>
      </c>
      <c r="BH76">
        <v>35273293</v>
      </c>
      <c r="BI76">
        <v>36423395</v>
      </c>
      <c r="BJ76">
        <v>37649080</v>
      </c>
      <c r="BK76">
        <v>38916011</v>
      </c>
      <c r="BL76">
        <v>40225575</v>
      </c>
      <c r="BM76">
        <v>41579208</v>
      </c>
      <c r="BN76">
        <v>42978392</v>
      </c>
      <c r="BO76">
        <v>44424660</v>
      </c>
      <c r="BP76">
        <v>45919596</v>
      </c>
      <c r="BQ76">
        <v>3.3651043606872211E-2</v>
      </c>
      <c r="BR76" s="6">
        <f t="shared" si="7"/>
        <v>32957622</v>
      </c>
      <c r="BT76" s="4">
        <f t="shared" si="8"/>
        <v>2.7285558160191403E-2</v>
      </c>
      <c r="BU76" s="4">
        <f t="shared" si="8"/>
        <v>2.9007034664326303E-2</v>
      </c>
      <c r="BV76" s="4">
        <f t="shared" si="8"/>
        <v>3.1049937425913887E-2</v>
      </c>
      <c r="BW76" s="4">
        <f t="shared" si="8"/>
        <v>3.2851924008034716E-2</v>
      </c>
      <c r="BX76" s="4">
        <f t="shared" si="8"/>
        <v>3.3912604494946264E-2</v>
      </c>
      <c r="BY76" s="4">
        <f t="shared" si="8"/>
        <v>3.3968309925592521E-2</v>
      </c>
      <c r="BZ76" s="4">
        <f t="shared" si="8"/>
        <v>3.3831176998181833E-2</v>
      </c>
      <c r="CA76" s="4">
        <f t="shared" si="6"/>
        <v>3.3522733767649804E-2</v>
      </c>
      <c r="CB76" s="4">
        <f t="shared" si="6"/>
        <v>3.3389545798531151E-2</v>
      </c>
      <c r="CC76" s="4">
        <f t="shared" si="6"/>
        <v>3.3651043135722203E-2</v>
      </c>
      <c r="CD76" s="4">
        <f t="shared" si="6"/>
        <v>3.3651046429347353E-2</v>
      </c>
      <c r="CE76" s="4">
        <f t="shared" si="6"/>
        <v>3.3651046812279706E-2</v>
      </c>
      <c r="CF76" s="4">
        <f t="shared" si="6"/>
        <v>3.3651048312145715E-2</v>
      </c>
      <c r="CH76">
        <v>437367</v>
      </c>
    </row>
    <row r="77" spans="1:86" x14ac:dyDescent="0.25">
      <c r="A77" s="2">
        <v>75</v>
      </c>
      <c r="B77" s="3" t="s">
        <v>100</v>
      </c>
      <c r="C77" t="s">
        <v>100</v>
      </c>
      <c r="D77" t="s">
        <v>9</v>
      </c>
      <c r="E77">
        <v>1</v>
      </c>
      <c r="F77">
        <v>2114020</v>
      </c>
      <c r="G77">
        <v>2185000</v>
      </c>
      <c r="H77">
        <v>2293000</v>
      </c>
      <c r="I77">
        <v>2379000</v>
      </c>
      <c r="J77">
        <v>2475000</v>
      </c>
      <c r="K77">
        <v>2563000</v>
      </c>
      <c r="L77">
        <v>2629000</v>
      </c>
      <c r="M77">
        <v>2745000</v>
      </c>
      <c r="N77">
        <v>2803000</v>
      </c>
      <c r="O77">
        <v>2877000</v>
      </c>
      <c r="P77">
        <v>2974000</v>
      </c>
      <c r="Q77">
        <v>3069000</v>
      </c>
      <c r="R77">
        <v>3148000</v>
      </c>
      <c r="S77">
        <v>3278000</v>
      </c>
      <c r="T77">
        <v>3377000</v>
      </c>
      <c r="U77">
        <v>3455000</v>
      </c>
      <c r="V77">
        <v>3533000</v>
      </c>
      <c r="W77">
        <v>3613000</v>
      </c>
      <c r="X77">
        <v>3690000</v>
      </c>
      <c r="Y77">
        <v>3786000</v>
      </c>
      <c r="Z77">
        <v>3878000</v>
      </c>
      <c r="AA77">
        <v>3956000</v>
      </c>
      <c r="AB77">
        <v>4031000</v>
      </c>
      <c r="AC77">
        <v>4105000</v>
      </c>
      <c r="AD77">
        <v>4159000</v>
      </c>
      <c r="AE77">
        <v>4233000</v>
      </c>
      <c r="AF77">
        <v>4299000</v>
      </c>
      <c r="AG77">
        <v>4369000</v>
      </c>
      <c r="AH77">
        <v>4442000</v>
      </c>
      <c r="AI77">
        <v>4518000</v>
      </c>
      <c r="AJ77">
        <v>4660000</v>
      </c>
      <c r="AK77">
        <v>4949000</v>
      </c>
      <c r="AL77">
        <v>5123000</v>
      </c>
      <c r="AM77">
        <v>5261000</v>
      </c>
      <c r="AN77">
        <v>5399000</v>
      </c>
      <c r="AO77">
        <v>5545000</v>
      </c>
      <c r="AP77">
        <v>5692000</v>
      </c>
      <c r="AQ77">
        <v>5836000</v>
      </c>
      <c r="AR77">
        <v>5971000</v>
      </c>
      <c r="AS77">
        <v>6125000</v>
      </c>
      <c r="AT77">
        <v>6289000</v>
      </c>
      <c r="AU77">
        <v>6439000</v>
      </c>
      <c r="AV77">
        <v>6570000</v>
      </c>
      <c r="AW77">
        <v>6689700</v>
      </c>
      <c r="AX77">
        <v>6809000</v>
      </c>
      <c r="AY77">
        <v>6930100</v>
      </c>
      <c r="AZ77">
        <v>7053700</v>
      </c>
      <c r="BA77">
        <v>7180100</v>
      </c>
      <c r="BB77">
        <v>7308800</v>
      </c>
      <c r="BC77">
        <v>7485600</v>
      </c>
      <c r="BD77">
        <v>7623600</v>
      </c>
      <c r="BE77">
        <v>7765800</v>
      </c>
      <c r="BF77">
        <v>7910500</v>
      </c>
      <c r="BG77">
        <v>8059500</v>
      </c>
      <c r="BH77">
        <v>8215700</v>
      </c>
      <c r="BI77">
        <v>8380400</v>
      </c>
      <c r="BJ77">
        <v>8540547</v>
      </c>
      <c r="BK77">
        <v>8703754</v>
      </c>
      <c r="BL77">
        <v>8870080</v>
      </c>
      <c r="BM77">
        <v>9039584</v>
      </c>
      <c r="BN77">
        <v>9212328</v>
      </c>
      <c r="BO77">
        <v>9388373</v>
      </c>
      <c r="BP77">
        <v>9567782</v>
      </c>
      <c r="BQ77">
        <v>1.9109686124949343E-2</v>
      </c>
      <c r="BR77" s="6">
        <f t="shared" si="7"/>
        <v>7910500</v>
      </c>
      <c r="BT77" s="4">
        <f t="shared" si="8"/>
        <v>1.9613974516983212E-2</v>
      </c>
      <c r="BU77" s="4">
        <f t="shared" si="8"/>
        <v>1.9797462893443196E-2</v>
      </c>
      <c r="BV77" s="4">
        <f t="shared" si="8"/>
        <v>1.9974852241328556E-2</v>
      </c>
      <c r="BW77" s="4">
        <f t="shared" si="8"/>
        <v>1.8639166687401287E-2</v>
      </c>
      <c r="BX77" s="4">
        <f t="shared" si="8"/>
        <v>1.8875496455247998E-2</v>
      </c>
      <c r="BY77" s="4">
        <f t="shared" si="8"/>
        <v>1.9223988431957384E-2</v>
      </c>
      <c r="BZ77" s="4">
        <f t="shared" si="8"/>
        <v>1.9343218623517622E-2</v>
      </c>
      <c r="CA77" s="4">
        <f t="shared" si="6"/>
        <v>1.9411731143405664E-2</v>
      </c>
      <c r="CB77" s="4">
        <f t="shared" si="6"/>
        <v>1.9343929931963322E-2</v>
      </c>
      <c r="CC77" s="4">
        <f t="shared" si="6"/>
        <v>1.9109673899635027E-2</v>
      </c>
      <c r="CD77" s="4">
        <f t="shared" si="6"/>
        <v>1.9109679043669114E-2</v>
      </c>
      <c r="CE77" s="4">
        <f t="shared" si="6"/>
        <v>1.9109692327884176E-2</v>
      </c>
      <c r="CF77" s="4">
        <f t="shared" si="6"/>
        <v>1.9109696224972383E-2</v>
      </c>
      <c r="CH77">
        <v>20330</v>
      </c>
    </row>
    <row r="78" spans="1:86" x14ac:dyDescent="0.25">
      <c r="A78" s="2">
        <v>76</v>
      </c>
      <c r="B78" s="3" t="s">
        <v>101</v>
      </c>
      <c r="C78" t="s">
        <v>101</v>
      </c>
      <c r="D78" t="s">
        <v>23</v>
      </c>
      <c r="E78">
        <v>1</v>
      </c>
      <c r="F78">
        <v>50199700</v>
      </c>
      <c r="G78">
        <v>50536350</v>
      </c>
      <c r="H78">
        <v>50879450</v>
      </c>
      <c r="I78">
        <v>51252000</v>
      </c>
      <c r="J78">
        <v>51675350</v>
      </c>
      <c r="K78">
        <v>52112350</v>
      </c>
      <c r="L78">
        <v>52519000</v>
      </c>
      <c r="M78">
        <v>52900500</v>
      </c>
      <c r="N78">
        <v>53235750</v>
      </c>
      <c r="O78">
        <v>53537950</v>
      </c>
      <c r="P78">
        <v>53821850</v>
      </c>
      <c r="Q78">
        <v>54073490</v>
      </c>
      <c r="R78">
        <v>54381345</v>
      </c>
      <c r="S78">
        <v>54751406</v>
      </c>
      <c r="T78">
        <v>55110868</v>
      </c>
      <c r="U78">
        <v>55441001</v>
      </c>
      <c r="V78">
        <v>55718260</v>
      </c>
      <c r="W78">
        <v>55955411</v>
      </c>
      <c r="X78">
        <v>56155143</v>
      </c>
      <c r="Y78">
        <v>56317749</v>
      </c>
      <c r="Z78">
        <v>56433883</v>
      </c>
      <c r="AA78">
        <v>56501675</v>
      </c>
      <c r="AB78">
        <v>56543548</v>
      </c>
      <c r="AC78">
        <v>56564074</v>
      </c>
      <c r="AD78">
        <v>56576718</v>
      </c>
      <c r="AE78">
        <v>56593071</v>
      </c>
      <c r="AF78">
        <v>56596155</v>
      </c>
      <c r="AG78">
        <v>56601931</v>
      </c>
      <c r="AH78">
        <v>56629288</v>
      </c>
      <c r="AI78">
        <v>56671781</v>
      </c>
      <c r="AJ78">
        <v>56719240</v>
      </c>
      <c r="AK78">
        <v>56758521</v>
      </c>
      <c r="AL78">
        <v>56797087</v>
      </c>
      <c r="AM78">
        <v>56831821</v>
      </c>
      <c r="AN78">
        <v>56843400</v>
      </c>
      <c r="AO78">
        <v>56844303</v>
      </c>
      <c r="AP78">
        <v>56860281</v>
      </c>
      <c r="AQ78">
        <v>56890372</v>
      </c>
      <c r="AR78">
        <v>56906744</v>
      </c>
      <c r="AS78">
        <v>56916317</v>
      </c>
      <c r="AT78">
        <v>56942108</v>
      </c>
      <c r="AU78">
        <v>56974100</v>
      </c>
      <c r="AV78">
        <v>57059007</v>
      </c>
      <c r="AW78">
        <v>57313203</v>
      </c>
      <c r="AX78">
        <v>57685327</v>
      </c>
      <c r="AY78">
        <v>57969484</v>
      </c>
      <c r="AZ78">
        <v>58143979</v>
      </c>
      <c r="BA78">
        <v>58438310</v>
      </c>
      <c r="BB78">
        <v>58826731</v>
      </c>
      <c r="BC78">
        <v>59095365</v>
      </c>
      <c r="BD78">
        <v>59277417</v>
      </c>
      <c r="BE78">
        <v>59379449</v>
      </c>
      <c r="BF78">
        <v>59539717</v>
      </c>
      <c r="BG78">
        <v>60233948</v>
      </c>
      <c r="BH78">
        <v>60789140</v>
      </c>
      <c r="BI78">
        <v>60802085</v>
      </c>
      <c r="BJ78">
        <v>61111693</v>
      </c>
      <c r="BK78">
        <v>61422877</v>
      </c>
      <c r="BL78">
        <v>61735646</v>
      </c>
      <c r="BM78">
        <v>62050007</v>
      </c>
      <c r="BN78">
        <v>62365969</v>
      </c>
      <c r="BO78">
        <v>62683540</v>
      </c>
      <c r="BP78">
        <v>63002728</v>
      </c>
      <c r="BQ78">
        <v>5.0920554678126617E-3</v>
      </c>
      <c r="BR78" s="6">
        <f t="shared" si="7"/>
        <v>59539717</v>
      </c>
      <c r="BT78" s="4">
        <f t="shared" si="8"/>
        <v>4.8381854354444531E-3</v>
      </c>
      <c r="BU78" s="4">
        <f t="shared" si="8"/>
        <v>4.0021177094160532E-3</v>
      </c>
      <c r="BV78" s="4">
        <f t="shared" si="8"/>
        <v>3.0163505641380706E-3</v>
      </c>
      <c r="BW78" s="4">
        <f t="shared" si="8"/>
        <v>4.7823035603300479E-3</v>
      </c>
      <c r="BX78" s="4">
        <f t="shared" si="8"/>
        <v>6.3155463492345909E-3</v>
      </c>
      <c r="BY78" s="4">
        <f t="shared" si="8"/>
        <v>5.9365244999673994E-3</v>
      </c>
      <c r="BZ78" s="4">
        <f t="shared" si="8"/>
        <v>6.536173203972373E-3</v>
      </c>
      <c r="CA78" s="4">
        <f t="shared" si="6"/>
        <v>4.8985191319661503E-3</v>
      </c>
      <c r="CB78" s="4">
        <f t="shared" si="6"/>
        <v>3.8700545079377591E-3</v>
      </c>
      <c r="CC78" s="4">
        <f t="shared" si="6"/>
        <v>5.0920565053027556E-3</v>
      </c>
      <c r="CD78" s="4">
        <f t="shared" si="6"/>
        <v>5.0920545050159305E-3</v>
      </c>
      <c r="CE78" s="4">
        <f t="shared" si="6"/>
        <v>5.0920551452460217E-3</v>
      </c>
      <c r="CF78" s="4">
        <f t="shared" si="6"/>
        <v>5.092053661013729E-3</v>
      </c>
      <c r="CH78">
        <v>294140</v>
      </c>
    </row>
    <row r="79" spans="1:86" x14ac:dyDescent="0.25">
      <c r="A79" s="2">
        <v>77</v>
      </c>
      <c r="B79" s="3" t="s">
        <v>102</v>
      </c>
      <c r="C79" t="s">
        <v>11</v>
      </c>
      <c r="D79" t="s">
        <v>14</v>
      </c>
      <c r="E79">
        <v>0</v>
      </c>
      <c r="F79" t="s">
        <v>11</v>
      </c>
      <c r="G79" t="s">
        <v>11</v>
      </c>
      <c r="H79" t="s">
        <v>11</v>
      </c>
      <c r="I79" t="s">
        <v>11</v>
      </c>
      <c r="J79" t="s">
        <v>11</v>
      </c>
      <c r="K79" t="s">
        <v>11</v>
      </c>
      <c r="L79" t="s">
        <v>11</v>
      </c>
      <c r="M79" t="s">
        <v>11</v>
      </c>
      <c r="N79" t="s">
        <v>11</v>
      </c>
      <c r="O79" t="s">
        <v>11</v>
      </c>
      <c r="P79" t="s">
        <v>11</v>
      </c>
      <c r="Q79" t="s">
        <v>11</v>
      </c>
      <c r="R79" t="s">
        <v>11</v>
      </c>
      <c r="S79" t="s">
        <v>11</v>
      </c>
      <c r="T79" t="s">
        <v>11</v>
      </c>
      <c r="U79" t="s">
        <v>11</v>
      </c>
      <c r="V79" t="s">
        <v>11</v>
      </c>
      <c r="W79" t="s">
        <v>11</v>
      </c>
      <c r="X79" t="s">
        <v>11</v>
      </c>
      <c r="Y79" t="s">
        <v>11</v>
      </c>
      <c r="Z79" t="s">
        <v>11</v>
      </c>
      <c r="AA79" t="s">
        <v>11</v>
      </c>
      <c r="AB79" t="s">
        <v>11</v>
      </c>
      <c r="AC79" t="s">
        <v>11</v>
      </c>
      <c r="AD79" t="s">
        <v>11</v>
      </c>
      <c r="AE79" t="s">
        <v>11</v>
      </c>
      <c r="AF79" t="s">
        <v>11</v>
      </c>
      <c r="AG79" t="s">
        <v>11</v>
      </c>
      <c r="AH79" t="s">
        <v>11</v>
      </c>
      <c r="AI79" t="s">
        <v>11</v>
      </c>
      <c r="AJ79" t="s">
        <v>11</v>
      </c>
      <c r="AK79" t="s">
        <v>11</v>
      </c>
      <c r="AL79" t="s">
        <v>11</v>
      </c>
      <c r="AM79" t="s">
        <v>11</v>
      </c>
      <c r="AN79" t="s">
        <v>11</v>
      </c>
      <c r="AO79" t="s">
        <v>11</v>
      </c>
      <c r="AP79" t="s">
        <v>11</v>
      </c>
      <c r="AQ79" t="s">
        <v>11</v>
      </c>
      <c r="AR79" t="s">
        <v>11</v>
      </c>
      <c r="AS79" t="s">
        <v>11</v>
      </c>
      <c r="AT79" t="s">
        <v>11</v>
      </c>
      <c r="AU79" t="s">
        <v>11</v>
      </c>
      <c r="AV79" t="s">
        <v>11</v>
      </c>
      <c r="AW79" t="s">
        <v>11</v>
      </c>
      <c r="AX79" t="s">
        <v>11</v>
      </c>
      <c r="AY79" t="s">
        <v>11</v>
      </c>
      <c r="AZ79" t="s">
        <v>11</v>
      </c>
      <c r="BA79" t="s">
        <v>11</v>
      </c>
      <c r="BB79" t="s">
        <v>11</v>
      </c>
      <c r="BC79" t="s">
        <v>11</v>
      </c>
      <c r="BD79" t="s">
        <v>11</v>
      </c>
      <c r="BE79" t="s">
        <v>11</v>
      </c>
      <c r="BF79" t="s">
        <v>11</v>
      </c>
      <c r="BG79" t="s">
        <v>11</v>
      </c>
      <c r="BH79" t="s">
        <v>11</v>
      </c>
      <c r="BI79" t="s">
        <v>11</v>
      </c>
      <c r="BJ79" t="s">
        <v>11</v>
      </c>
      <c r="BK79" t="s">
        <v>11</v>
      </c>
      <c r="BL79" t="s">
        <v>11</v>
      </c>
      <c r="BM79" t="s">
        <v>11</v>
      </c>
      <c r="BN79" t="s">
        <v>11</v>
      </c>
      <c r="BO79" t="s">
        <v>11</v>
      </c>
      <c r="BP79" t="s">
        <v>11</v>
      </c>
      <c r="BQ79" t="s">
        <v>11</v>
      </c>
      <c r="BR79" s="6">
        <f t="shared" si="7"/>
        <v>0</v>
      </c>
      <c r="BT79" s="4" t="str">
        <f t="shared" si="8"/>
        <v>.</v>
      </c>
      <c r="BU79" s="4" t="str">
        <f t="shared" si="8"/>
        <v>.</v>
      </c>
      <c r="BV79" s="4" t="str">
        <f t="shared" si="8"/>
        <v>.</v>
      </c>
      <c r="BW79" s="4" t="str">
        <f t="shared" si="8"/>
        <v>.</v>
      </c>
      <c r="BX79" s="4" t="str">
        <f t="shared" si="8"/>
        <v>.</v>
      </c>
      <c r="BY79" s="4" t="str">
        <f t="shared" si="8"/>
        <v>.</v>
      </c>
      <c r="BZ79" s="4" t="str">
        <f t="shared" si="8"/>
        <v>.</v>
      </c>
      <c r="CA79" s="4" t="str">
        <f t="shared" si="6"/>
        <v>.</v>
      </c>
      <c r="CB79" s="4" t="str">
        <f t="shared" si="6"/>
        <v>.</v>
      </c>
      <c r="CC79" s="4" t="str">
        <f t="shared" si="6"/>
        <v>.</v>
      </c>
      <c r="CD79" s="4" t="str">
        <f t="shared" si="6"/>
        <v>.</v>
      </c>
      <c r="CE79" s="4" t="str">
        <f t="shared" si="6"/>
        <v>.</v>
      </c>
      <c r="CF79" s="4" t="str">
        <f t="shared" si="6"/>
        <v>.</v>
      </c>
      <c r="CH79">
        <v>0</v>
      </c>
    </row>
    <row r="80" spans="1:86" x14ac:dyDescent="0.25">
      <c r="A80" s="2">
        <v>78</v>
      </c>
      <c r="B80" s="3" t="s">
        <v>103</v>
      </c>
      <c r="C80" t="s">
        <v>103</v>
      </c>
      <c r="D80" t="s">
        <v>16</v>
      </c>
      <c r="E80">
        <v>1</v>
      </c>
      <c r="F80">
        <v>1629003</v>
      </c>
      <c r="G80">
        <v>1651915</v>
      </c>
      <c r="H80">
        <v>1678467</v>
      </c>
      <c r="I80">
        <v>1707019</v>
      </c>
      <c r="J80">
        <v>1734763</v>
      </c>
      <c r="K80">
        <v>1760000</v>
      </c>
      <c r="L80">
        <v>1783125</v>
      </c>
      <c r="M80">
        <v>1803891</v>
      </c>
      <c r="N80">
        <v>1823706</v>
      </c>
      <c r="O80">
        <v>1844936</v>
      </c>
      <c r="P80">
        <v>1869000</v>
      </c>
      <c r="Q80">
        <v>1895629</v>
      </c>
      <c r="R80">
        <v>1925162</v>
      </c>
      <c r="S80">
        <v>1956080</v>
      </c>
      <c r="T80">
        <v>1985852</v>
      </c>
      <c r="U80">
        <v>2013000</v>
      </c>
      <c r="V80">
        <v>2037716</v>
      </c>
      <c r="W80">
        <v>2059399</v>
      </c>
      <c r="X80">
        <v>2080307</v>
      </c>
      <c r="Y80">
        <v>2104141</v>
      </c>
      <c r="Z80">
        <v>2133000</v>
      </c>
      <c r="AA80">
        <v>2162300</v>
      </c>
      <c r="AB80">
        <v>2200100</v>
      </c>
      <c r="AC80">
        <v>2240800</v>
      </c>
      <c r="AD80">
        <v>2279900</v>
      </c>
      <c r="AE80">
        <v>2311100</v>
      </c>
      <c r="AF80">
        <v>2335800</v>
      </c>
      <c r="AG80">
        <v>2350600</v>
      </c>
      <c r="AH80">
        <v>2356400</v>
      </c>
      <c r="AI80">
        <v>2374900</v>
      </c>
      <c r="AJ80">
        <v>2390000</v>
      </c>
      <c r="AK80">
        <v>2406042</v>
      </c>
      <c r="AL80">
        <v>2423044</v>
      </c>
      <c r="AM80">
        <v>2441024</v>
      </c>
      <c r="AN80">
        <v>2460002</v>
      </c>
      <c r="AO80">
        <v>2480000</v>
      </c>
      <c r="AP80">
        <v>2509923</v>
      </c>
      <c r="AQ80">
        <v>2534069</v>
      </c>
      <c r="AR80">
        <v>2556780</v>
      </c>
      <c r="AS80">
        <v>2574289</v>
      </c>
      <c r="AT80">
        <v>2589389</v>
      </c>
      <c r="AU80">
        <v>2605556</v>
      </c>
      <c r="AV80">
        <v>2615253</v>
      </c>
      <c r="AW80">
        <v>2624695</v>
      </c>
      <c r="AX80">
        <v>2634145</v>
      </c>
      <c r="AY80">
        <v>2643601</v>
      </c>
      <c r="AZ80">
        <v>2653042</v>
      </c>
      <c r="BA80">
        <v>2662481</v>
      </c>
      <c r="BB80">
        <v>2671934</v>
      </c>
      <c r="BC80">
        <v>2681386</v>
      </c>
      <c r="BD80">
        <v>2690824</v>
      </c>
      <c r="BE80">
        <v>2699838</v>
      </c>
      <c r="BF80">
        <v>2707805</v>
      </c>
      <c r="BG80">
        <v>2714669</v>
      </c>
      <c r="BH80">
        <v>2720554</v>
      </c>
      <c r="BI80">
        <v>2725941</v>
      </c>
      <c r="BJ80">
        <v>2733019</v>
      </c>
      <c r="BK80">
        <v>2740116</v>
      </c>
      <c r="BL80">
        <v>2747231</v>
      </c>
      <c r="BM80">
        <v>2754364</v>
      </c>
      <c r="BN80">
        <v>2761516</v>
      </c>
      <c r="BO80">
        <v>2768687</v>
      </c>
      <c r="BP80">
        <v>2775876</v>
      </c>
      <c r="BQ80">
        <v>2.5966100066179276E-3</v>
      </c>
      <c r="BR80" s="6">
        <f t="shared" si="7"/>
        <v>2707805</v>
      </c>
      <c r="BT80" s="4">
        <f t="shared" si="8"/>
        <v>3.5413960386709853E-3</v>
      </c>
      <c r="BU80" s="4">
        <f t="shared" si="8"/>
        <v>3.4894179810469605E-3</v>
      </c>
      <c r="BV80" s="4">
        <f t="shared" si="8"/>
        <v>3.3395109894143182E-3</v>
      </c>
      <c r="BW80" s="4">
        <f t="shared" si="8"/>
        <v>3.0888119916587797E-3</v>
      </c>
      <c r="BX80" s="4">
        <f t="shared" si="8"/>
        <v>2.7507939168744944E-3</v>
      </c>
      <c r="BY80" s="4">
        <f t="shared" si="8"/>
        <v>2.4083750863399533E-3</v>
      </c>
      <c r="BZ80" s="4">
        <f t="shared" si="8"/>
        <v>2.3198154663430781E-3</v>
      </c>
      <c r="CA80" s="4">
        <f t="shared" si="6"/>
        <v>2.3352786760242328E-3</v>
      </c>
      <c r="CB80" s="4">
        <f t="shared" si="6"/>
        <v>2.4424677950780627E-3</v>
      </c>
      <c r="CC80" s="4">
        <f t="shared" si="6"/>
        <v>2.5965836373194051E-3</v>
      </c>
      <c r="CD80" s="4">
        <f t="shared" si="6"/>
        <v>2.5966016721872265E-3</v>
      </c>
      <c r="CE80" s="4">
        <f t="shared" si="6"/>
        <v>2.5966016787126733E-3</v>
      </c>
      <c r="CF80" s="4">
        <f t="shared" si="6"/>
        <v>2.5965847381137497E-3</v>
      </c>
      <c r="CH80">
        <v>10831</v>
      </c>
    </row>
    <row r="81" spans="1:86" x14ac:dyDescent="0.25">
      <c r="A81" s="2">
        <v>79</v>
      </c>
      <c r="B81" s="3" t="s">
        <v>104</v>
      </c>
      <c r="C81" t="s">
        <v>104</v>
      </c>
      <c r="D81" t="s">
        <v>25</v>
      </c>
      <c r="E81">
        <v>1</v>
      </c>
      <c r="F81">
        <v>92500572</v>
      </c>
      <c r="G81">
        <v>94943000</v>
      </c>
      <c r="H81">
        <v>95832000</v>
      </c>
      <c r="I81">
        <v>96812000</v>
      </c>
      <c r="J81">
        <v>97826000</v>
      </c>
      <c r="K81">
        <v>98883000</v>
      </c>
      <c r="L81">
        <v>99790000</v>
      </c>
      <c r="M81">
        <v>100725000</v>
      </c>
      <c r="N81">
        <v>101061000</v>
      </c>
      <c r="O81">
        <v>103172000</v>
      </c>
      <c r="P81">
        <v>104345000</v>
      </c>
      <c r="Q81">
        <v>105697000</v>
      </c>
      <c r="R81">
        <v>107188000</v>
      </c>
      <c r="S81">
        <v>108079000</v>
      </c>
      <c r="T81">
        <v>110162000</v>
      </c>
      <c r="U81">
        <v>111940000</v>
      </c>
      <c r="V81">
        <v>112771000</v>
      </c>
      <c r="W81">
        <v>113863000</v>
      </c>
      <c r="X81">
        <v>114898000</v>
      </c>
      <c r="Y81">
        <v>115870000</v>
      </c>
      <c r="Z81">
        <v>116782000</v>
      </c>
      <c r="AA81">
        <v>117648000</v>
      </c>
      <c r="AB81">
        <v>118449000</v>
      </c>
      <c r="AC81">
        <v>119259000</v>
      </c>
      <c r="AD81">
        <v>120018000</v>
      </c>
      <c r="AE81">
        <v>120754000</v>
      </c>
      <c r="AF81">
        <v>121492000</v>
      </c>
      <c r="AG81">
        <v>122091000</v>
      </c>
      <c r="AH81">
        <v>122613000</v>
      </c>
      <c r="AI81">
        <v>123116000</v>
      </c>
      <c r="AJ81">
        <v>123537000</v>
      </c>
      <c r="AK81">
        <v>123921000</v>
      </c>
      <c r="AL81">
        <v>124229000</v>
      </c>
      <c r="AM81">
        <v>124536000</v>
      </c>
      <c r="AN81">
        <v>124961000</v>
      </c>
      <c r="AO81">
        <v>125439000</v>
      </c>
      <c r="AP81">
        <v>125757000</v>
      </c>
      <c r="AQ81">
        <v>126057000</v>
      </c>
      <c r="AR81">
        <v>126400000</v>
      </c>
      <c r="AS81">
        <v>126631000</v>
      </c>
      <c r="AT81">
        <v>126843000</v>
      </c>
      <c r="AU81">
        <v>127149000</v>
      </c>
      <c r="AV81">
        <v>127445000</v>
      </c>
      <c r="AW81">
        <v>127718000</v>
      </c>
      <c r="AX81">
        <v>127761000</v>
      </c>
      <c r="AY81">
        <v>127773000</v>
      </c>
      <c r="AZ81">
        <v>127854000</v>
      </c>
      <c r="BA81">
        <v>128001000</v>
      </c>
      <c r="BB81">
        <v>128063000</v>
      </c>
      <c r="BC81">
        <v>128047000</v>
      </c>
      <c r="BD81">
        <v>128070000</v>
      </c>
      <c r="BE81">
        <v>127817277</v>
      </c>
      <c r="BF81">
        <v>127561489</v>
      </c>
      <c r="BG81">
        <v>127338621</v>
      </c>
      <c r="BH81">
        <v>127131800</v>
      </c>
      <c r="BI81">
        <v>126958472</v>
      </c>
      <c r="BJ81">
        <v>126737327</v>
      </c>
      <c r="BK81">
        <v>126516567</v>
      </c>
      <c r="BL81">
        <v>126296191</v>
      </c>
      <c r="BM81">
        <v>126076199</v>
      </c>
      <c r="BN81">
        <v>125856591</v>
      </c>
      <c r="BO81">
        <v>125637365</v>
      </c>
      <c r="BP81">
        <v>125418521</v>
      </c>
      <c r="BQ81">
        <v>-1.7418708947011252E-3</v>
      </c>
      <c r="BR81" s="6">
        <f t="shared" si="7"/>
        <v>127561489</v>
      </c>
      <c r="BT81" s="4">
        <f t="shared" si="8"/>
        <v>4.2208943622323858E-4</v>
      </c>
      <c r="BU81" s="4">
        <f t="shared" si="8"/>
        <v>-3.5902448260149988E-4</v>
      </c>
      <c r="BV81" s="4">
        <f t="shared" si="8"/>
        <v>-9.8047285285740582E-4</v>
      </c>
      <c r="BW81" s="4">
        <f t="shared" si="8"/>
        <v>-1.3859234119958375E-3</v>
      </c>
      <c r="BX81" s="4">
        <f t="shared" si="8"/>
        <v>-1.8364730761465387E-3</v>
      </c>
      <c r="BY81" s="4">
        <f t="shared" si="8"/>
        <v>-1.6840004126279506E-3</v>
      </c>
      <c r="BZ81" s="4">
        <f t="shared" si="8"/>
        <v>-1.6191531948714921E-3</v>
      </c>
      <c r="CA81" s="4">
        <f t="shared" si="6"/>
        <v>-1.617835200147244E-3</v>
      </c>
      <c r="CB81" s="4">
        <f t="shared" si="6"/>
        <v>-1.6472600375144753E-3</v>
      </c>
      <c r="CC81" s="4">
        <f t="shared" si="6"/>
        <v>-1.7418718595469951E-3</v>
      </c>
      <c r="CD81" s="4">
        <f t="shared" si="6"/>
        <v>-1.7418714705023097E-3</v>
      </c>
      <c r="CE81" s="4">
        <f t="shared" si="6"/>
        <v>-1.7418717247186244E-3</v>
      </c>
      <c r="CF81" s="4">
        <f t="shared" si="6"/>
        <v>-1.7418706495410108E-3</v>
      </c>
      <c r="CH81">
        <v>364485</v>
      </c>
    </row>
    <row r="82" spans="1:86" x14ac:dyDescent="0.25">
      <c r="A82" s="2">
        <v>80</v>
      </c>
      <c r="B82" s="3" t="s">
        <v>105</v>
      </c>
      <c r="C82" t="s">
        <v>105</v>
      </c>
      <c r="D82" t="s">
        <v>9</v>
      </c>
      <c r="E82">
        <v>1</v>
      </c>
      <c r="F82">
        <v>888632</v>
      </c>
      <c r="G82">
        <v>927850</v>
      </c>
      <c r="H82">
        <v>962783</v>
      </c>
      <c r="I82">
        <v>1000506</v>
      </c>
      <c r="J82">
        <v>1050725</v>
      </c>
      <c r="K82">
        <v>1119798</v>
      </c>
      <c r="L82">
        <v>1210948</v>
      </c>
      <c r="M82">
        <v>1320414</v>
      </c>
      <c r="N82">
        <v>1438986</v>
      </c>
      <c r="O82">
        <v>1553585</v>
      </c>
      <c r="P82">
        <v>1654769</v>
      </c>
      <c r="Q82">
        <v>1739903</v>
      </c>
      <c r="R82">
        <v>1811870</v>
      </c>
      <c r="S82">
        <v>1873548</v>
      </c>
      <c r="T82">
        <v>1929939</v>
      </c>
      <c r="U82">
        <v>1985121</v>
      </c>
      <c r="V82">
        <v>2039114</v>
      </c>
      <c r="W82">
        <v>2091716</v>
      </c>
      <c r="X82">
        <v>2146662</v>
      </c>
      <c r="Y82">
        <v>2208562</v>
      </c>
      <c r="Z82">
        <v>2280670</v>
      </c>
      <c r="AA82">
        <v>2365665</v>
      </c>
      <c r="AB82">
        <v>2462968</v>
      </c>
      <c r="AC82">
        <v>2568582</v>
      </c>
      <c r="AD82">
        <v>2676515</v>
      </c>
      <c r="AE82">
        <v>2782885</v>
      </c>
      <c r="AF82">
        <v>2884065</v>
      </c>
      <c r="AG82">
        <v>2982349</v>
      </c>
      <c r="AH82">
        <v>3086664</v>
      </c>
      <c r="AI82">
        <v>3209466</v>
      </c>
      <c r="AJ82">
        <v>3358453</v>
      </c>
      <c r="AK82">
        <v>3538663</v>
      </c>
      <c r="AL82">
        <v>3743944</v>
      </c>
      <c r="AM82">
        <v>3957221</v>
      </c>
      <c r="AN82">
        <v>4154813</v>
      </c>
      <c r="AO82">
        <v>4320158</v>
      </c>
      <c r="AP82">
        <v>4448113</v>
      </c>
      <c r="AQ82">
        <v>4545248</v>
      </c>
      <c r="AR82">
        <v>4621329</v>
      </c>
      <c r="AS82">
        <v>4691402</v>
      </c>
      <c r="AT82">
        <v>4767476</v>
      </c>
      <c r="AU82">
        <v>4850227</v>
      </c>
      <c r="AV82">
        <v>4938935</v>
      </c>
      <c r="AW82">
        <v>5042538</v>
      </c>
      <c r="AX82">
        <v>5171633</v>
      </c>
      <c r="AY82">
        <v>5332982</v>
      </c>
      <c r="AZ82">
        <v>5530218</v>
      </c>
      <c r="BA82">
        <v>5759424</v>
      </c>
      <c r="BB82">
        <v>6010035</v>
      </c>
      <c r="BC82">
        <v>6266865</v>
      </c>
      <c r="BD82">
        <v>6517912</v>
      </c>
      <c r="BE82">
        <v>6760371</v>
      </c>
      <c r="BF82">
        <v>6994451</v>
      </c>
      <c r="BG82">
        <v>7214832</v>
      </c>
      <c r="BH82">
        <v>7416083</v>
      </c>
      <c r="BI82">
        <v>7594547</v>
      </c>
      <c r="BJ82">
        <v>7830339</v>
      </c>
      <c r="BK82">
        <v>8073452</v>
      </c>
      <c r="BL82">
        <v>8324113</v>
      </c>
      <c r="BM82">
        <v>8582556</v>
      </c>
      <c r="BN82">
        <v>8849023</v>
      </c>
      <c r="BO82">
        <v>9123763</v>
      </c>
      <c r="BP82">
        <v>9407033</v>
      </c>
      <c r="BQ82">
        <v>3.1047506551905579E-2</v>
      </c>
      <c r="BR82" s="6">
        <f t="shared" si="7"/>
        <v>6994451</v>
      </c>
      <c r="BT82" s="4">
        <f t="shared" si="8"/>
        <v>4.1937239580891017E-2</v>
      </c>
      <c r="BU82" s="4">
        <f t="shared" si="8"/>
        <v>4.0873302907489917E-2</v>
      </c>
      <c r="BV82" s="4">
        <f t="shared" si="8"/>
        <v>3.8649838036517892E-2</v>
      </c>
      <c r="BW82" s="4">
        <f t="shared" si="8"/>
        <v>3.5843084349054033E-2</v>
      </c>
      <c r="BX82" s="4">
        <f t="shared" si="8"/>
        <v>3.2800696821802422E-2</v>
      </c>
      <c r="BY82" s="4">
        <f t="shared" si="8"/>
        <v>2.9515373025057912E-2</v>
      </c>
      <c r="BZ82" s="4">
        <f t="shared" si="8"/>
        <v>2.8624189419189427E-2</v>
      </c>
      <c r="CA82" s="4">
        <f t="shared" si="6"/>
        <v>2.8509390343019358E-2</v>
      </c>
      <c r="CB82" s="4">
        <f t="shared" si="6"/>
        <v>2.9297330314172365E-2</v>
      </c>
      <c r="CC82" s="4">
        <f t="shared" si="6"/>
        <v>3.1047546003710513E-2</v>
      </c>
      <c r="CD82" s="4">
        <f t="shared" si="6"/>
        <v>3.104753875883115E-2</v>
      </c>
      <c r="CE82" s="4">
        <f t="shared" si="6"/>
        <v>3.1047520027140729E-2</v>
      </c>
      <c r="CF82" s="4">
        <f t="shared" si="6"/>
        <v>3.104750370455811E-2</v>
      </c>
      <c r="CH82">
        <v>88802</v>
      </c>
    </row>
    <row r="83" spans="1:86" x14ac:dyDescent="0.25">
      <c r="A83" s="2">
        <v>81</v>
      </c>
      <c r="B83" s="3" t="s">
        <v>106</v>
      </c>
      <c r="C83" t="s">
        <v>106</v>
      </c>
      <c r="D83" t="s">
        <v>25</v>
      </c>
      <c r="E83">
        <v>1</v>
      </c>
      <c r="F83">
        <v>9714260</v>
      </c>
      <c r="G83">
        <v>10129861</v>
      </c>
      <c r="H83">
        <v>10532062</v>
      </c>
      <c r="I83">
        <v>10913552</v>
      </c>
      <c r="J83">
        <v>11267329</v>
      </c>
      <c r="K83">
        <v>11588870</v>
      </c>
      <c r="L83">
        <v>11872939</v>
      </c>
      <c r="M83">
        <v>12120504</v>
      </c>
      <c r="N83">
        <v>12341412</v>
      </c>
      <c r="O83">
        <v>12550121</v>
      </c>
      <c r="P83">
        <v>12757245</v>
      </c>
      <c r="Q83">
        <v>12966920</v>
      </c>
      <c r="R83">
        <v>13176584</v>
      </c>
      <c r="S83">
        <v>13382211</v>
      </c>
      <c r="T83">
        <v>13577049</v>
      </c>
      <c r="U83">
        <v>13756789</v>
      </c>
      <c r="V83">
        <v>13920105</v>
      </c>
      <c r="W83">
        <v>14070681</v>
      </c>
      <c r="X83">
        <v>14215111</v>
      </c>
      <c r="Y83">
        <v>14362417</v>
      </c>
      <c r="Z83">
        <v>14518924</v>
      </c>
      <c r="AA83">
        <v>14683789</v>
      </c>
      <c r="AB83">
        <v>14853993</v>
      </c>
      <c r="AC83">
        <v>15030495</v>
      </c>
      <c r="AD83">
        <v>15214051</v>
      </c>
      <c r="AE83">
        <v>15403006</v>
      </c>
      <c r="AF83">
        <v>15600928</v>
      </c>
      <c r="AG83">
        <v>15801753</v>
      </c>
      <c r="AH83">
        <v>15982510</v>
      </c>
      <c r="AI83">
        <v>16249500</v>
      </c>
      <c r="AJ83">
        <v>16348000</v>
      </c>
      <c r="AK83">
        <v>16450500</v>
      </c>
      <c r="AL83">
        <v>16439095</v>
      </c>
      <c r="AM83">
        <v>16330419</v>
      </c>
      <c r="AN83">
        <v>16095199</v>
      </c>
      <c r="AO83">
        <v>15815626</v>
      </c>
      <c r="AP83">
        <v>15577894</v>
      </c>
      <c r="AQ83">
        <v>15333703</v>
      </c>
      <c r="AR83">
        <v>15071300</v>
      </c>
      <c r="AS83">
        <v>14928426</v>
      </c>
      <c r="AT83">
        <v>14883626</v>
      </c>
      <c r="AU83">
        <v>14858335</v>
      </c>
      <c r="AV83">
        <v>14858948</v>
      </c>
      <c r="AW83">
        <v>14909018</v>
      </c>
      <c r="AX83">
        <v>15012985</v>
      </c>
      <c r="AY83">
        <v>15147029</v>
      </c>
      <c r="AZ83">
        <v>15308084</v>
      </c>
      <c r="BA83">
        <v>15484192</v>
      </c>
      <c r="BB83">
        <v>15674000</v>
      </c>
      <c r="BC83">
        <v>16092701</v>
      </c>
      <c r="BD83">
        <v>16321581</v>
      </c>
      <c r="BE83">
        <v>16556600</v>
      </c>
      <c r="BF83">
        <v>16791425</v>
      </c>
      <c r="BG83">
        <v>17035275</v>
      </c>
      <c r="BH83">
        <v>17289224</v>
      </c>
      <c r="BI83">
        <v>17544126</v>
      </c>
      <c r="BJ83">
        <v>17799411</v>
      </c>
      <c r="BK83">
        <v>18058411</v>
      </c>
      <c r="BL83">
        <v>18321180</v>
      </c>
      <c r="BM83">
        <v>18587772</v>
      </c>
      <c r="BN83">
        <v>18858244</v>
      </c>
      <c r="BO83">
        <v>19132651</v>
      </c>
      <c r="BP83">
        <v>19411051</v>
      </c>
      <c r="BQ83">
        <v>1.4551045196234291E-2</v>
      </c>
      <c r="BR83" s="6">
        <f t="shared" si="7"/>
        <v>16791425</v>
      </c>
      <c r="BT83" s="4">
        <f t="shared" si="8"/>
        <v>1.6155909120436185E-2</v>
      </c>
      <c r="BU83" s="4">
        <f t="shared" si="8"/>
        <v>1.6882216118322635E-2</v>
      </c>
      <c r="BV83" s="4">
        <f t="shared" si="8"/>
        <v>1.7365316707628864E-2</v>
      </c>
      <c r="BW83" s="4">
        <f t="shared" si="8"/>
        <v>1.4331824532161752E-2</v>
      </c>
      <c r="BX83" s="4">
        <f t="shared" si="8"/>
        <v>1.4502961399526448E-2</v>
      </c>
      <c r="BY83" s="4">
        <f t="shared" si="8"/>
        <v>1.4588990270611335E-2</v>
      </c>
      <c r="BZ83" s="4">
        <f t="shared" si="8"/>
        <v>1.4680979174144904E-2</v>
      </c>
      <c r="CA83" s="4">
        <f t="shared" si="6"/>
        <v>1.4688167701274013E-2</v>
      </c>
      <c r="CB83" s="4">
        <f t="shared" si="6"/>
        <v>1.45991289146854E-2</v>
      </c>
      <c r="CC83" s="4">
        <f t="shared" si="6"/>
        <v>1.4551038496733781E-2</v>
      </c>
      <c r="CD83" s="4">
        <f t="shared" si="6"/>
        <v>1.4551050358246442E-2</v>
      </c>
      <c r="CE83" s="4">
        <f t="shared" si="6"/>
        <v>1.4551048703532077E-2</v>
      </c>
      <c r="CF83" s="4">
        <f t="shared" si="6"/>
        <v>1.4551044399532032E-2</v>
      </c>
      <c r="CH83">
        <v>2699700</v>
      </c>
    </row>
    <row r="84" spans="1:86" x14ac:dyDescent="0.25">
      <c r="A84" s="2">
        <v>82</v>
      </c>
      <c r="B84" s="3" t="s">
        <v>107</v>
      </c>
      <c r="C84" t="s">
        <v>107</v>
      </c>
      <c r="D84" t="s">
        <v>14</v>
      </c>
      <c r="E84">
        <v>1</v>
      </c>
      <c r="F84">
        <v>8105440</v>
      </c>
      <c r="G84">
        <v>8361442</v>
      </c>
      <c r="H84">
        <v>8628973</v>
      </c>
      <c r="I84">
        <v>8908425</v>
      </c>
      <c r="J84">
        <v>9200158</v>
      </c>
      <c r="K84">
        <v>9504702</v>
      </c>
      <c r="L84">
        <v>9822505</v>
      </c>
      <c r="M84">
        <v>10154489</v>
      </c>
      <c r="N84">
        <v>10502250</v>
      </c>
      <c r="O84">
        <v>10867717</v>
      </c>
      <c r="P84">
        <v>11252466</v>
      </c>
      <c r="Q84">
        <v>11657479</v>
      </c>
      <c r="R84">
        <v>12083165</v>
      </c>
      <c r="S84">
        <v>12529810</v>
      </c>
      <c r="T84">
        <v>12997447</v>
      </c>
      <c r="U84">
        <v>13486241</v>
      </c>
      <c r="V84">
        <v>13995974</v>
      </c>
      <c r="W84">
        <v>14527187</v>
      </c>
      <c r="X84">
        <v>15081598</v>
      </c>
      <c r="Y84">
        <v>15661414</v>
      </c>
      <c r="Z84">
        <v>16267906</v>
      </c>
      <c r="AA84">
        <v>16901181</v>
      </c>
      <c r="AB84">
        <v>17559778</v>
      </c>
      <c r="AC84">
        <v>18241331</v>
      </c>
      <c r="AD84">
        <v>18942599</v>
      </c>
      <c r="AE84">
        <v>19660713</v>
      </c>
      <c r="AF84">
        <v>20393724</v>
      </c>
      <c r="AG84">
        <v>21140344</v>
      </c>
      <c r="AH84">
        <v>21899004</v>
      </c>
      <c r="AI84">
        <v>22668238</v>
      </c>
      <c r="AJ84">
        <v>23446229</v>
      </c>
      <c r="AK84">
        <v>24234087</v>
      </c>
      <c r="AL84">
        <v>25029754</v>
      </c>
      <c r="AM84">
        <v>25824736</v>
      </c>
      <c r="AN84">
        <v>26608089</v>
      </c>
      <c r="AO84">
        <v>27373035</v>
      </c>
      <c r="AP84">
        <v>28116027</v>
      </c>
      <c r="AQ84">
        <v>28842245</v>
      </c>
      <c r="AR84">
        <v>29564614</v>
      </c>
      <c r="AS84">
        <v>30301240</v>
      </c>
      <c r="AT84">
        <v>31065820</v>
      </c>
      <c r="AU84">
        <v>31863280</v>
      </c>
      <c r="AV84">
        <v>32691980</v>
      </c>
      <c r="AW84">
        <v>33551079</v>
      </c>
      <c r="AX84">
        <v>34437460</v>
      </c>
      <c r="AY84">
        <v>35349040</v>
      </c>
      <c r="AZ84">
        <v>36286015</v>
      </c>
      <c r="BA84">
        <v>37250540</v>
      </c>
      <c r="BB84">
        <v>38244442</v>
      </c>
      <c r="BC84">
        <v>39269988</v>
      </c>
      <c r="BD84">
        <v>40328313</v>
      </c>
      <c r="BE84">
        <v>41419954</v>
      </c>
      <c r="BF84">
        <v>42542978</v>
      </c>
      <c r="BG84">
        <v>43692881</v>
      </c>
      <c r="BH84">
        <v>44863583</v>
      </c>
      <c r="BI84">
        <v>46050302</v>
      </c>
      <c r="BJ84">
        <v>47288656</v>
      </c>
      <c r="BK84">
        <v>48560311</v>
      </c>
      <c r="BL84">
        <v>49866162</v>
      </c>
      <c r="BM84">
        <v>51207129</v>
      </c>
      <c r="BN84">
        <v>52584157</v>
      </c>
      <c r="BO84">
        <v>53998215</v>
      </c>
      <c r="BP84">
        <v>55450299</v>
      </c>
      <c r="BQ84">
        <v>2.6891326130918269E-2</v>
      </c>
      <c r="BR84" s="6">
        <f t="shared" si="7"/>
        <v>42542978</v>
      </c>
      <c r="BT84" s="4">
        <f t="shared" si="8"/>
        <v>2.6757053118685814E-2</v>
      </c>
      <c r="BU84" s="4">
        <f t="shared" si="8"/>
        <v>2.6878970109193823E-2</v>
      </c>
      <c r="BV84" s="4">
        <f t="shared" si="8"/>
        <v>2.6986866220732209E-2</v>
      </c>
      <c r="BW84" s="4">
        <f t="shared" si="8"/>
        <v>2.704028380045731E-2</v>
      </c>
      <c r="BX84" s="4">
        <f t="shared" si="8"/>
        <v>2.7001256719787481E-2</v>
      </c>
      <c r="BY84" s="4">
        <f t="shared" si="8"/>
        <v>2.6846950301299133E-2</v>
      </c>
      <c r="BZ84" s="4">
        <f t="shared" si="8"/>
        <v>2.6791514504500125E-2</v>
      </c>
      <c r="CA84" s="4">
        <f t="shared" si="6"/>
        <v>2.6757052027708061E-2</v>
      </c>
      <c r="CB84" s="4">
        <f t="shared" si="6"/>
        <v>2.6781409910486609E-2</v>
      </c>
      <c r="CC84" s="4">
        <f t="shared" si="6"/>
        <v>2.6891327603405513E-2</v>
      </c>
      <c r="CD84" s="4">
        <f t="shared" si="6"/>
        <v>2.6891327840544044E-2</v>
      </c>
      <c r="CE84" s="4">
        <f t="shared" si="6"/>
        <v>2.689132745409939E-2</v>
      </c>
      <c r="CF84" s="4">
        <f t="shared" si="6"/>
        <v>2.6891330083806508E-2</v>
      </c>
      <c r="CH84">
        <v>569140</v>
      </c>
    </row>
    <row r="85" spans="1:86" x14ac:dyDescent="0.25">
      <c r="A85" s="2">
        <v>83</v>
      </c>
      <c r="B85" s="3" t="s">
        <v>108</v>
      </c>
      <c r="C85" t="s">
        <v>108</v>
      </c>
      <c r="D85" t="s">
        <v>7</v>
      </c>
      <c r="E85">
        <v>1</v>
      </c>
      <c r="F85">
        <v>947000</v>
      </c>
      <c r="G85">
        <v>966000</v>
      </c>
      <c r="H85">
        <v>994000</v>
      </c>
      <c r="I85">
        <v>1022000</v>
      </c>
      <c r="J85">
        <v>1050000</v>
      </c>
      <c r="K85">
        <v>1078000</v>
      </c>
      <c r="L85">
        <v>1106000</v>
      </c>
      <c r="M85">
        <v>1135000</v>
      </c>
      <c r="N85">
        <v>1163000</v>
      </c>
      <c r="O85">
        <v>1191000</v>
      </c>
      <c r="P85">
        <v>1219000</v>
      </c>
      <c r="Q85">
        <v>1247000</v>
      </c>
      <c r="R85">
        <v>1278000</v>
      </c>
      <c r="S85">
        <v>1308000</v>
      </c>
      <c r="T85">
        <v>1339000</v>
      </c>
      <c r="U85">
        <v>1369000</v>
      </c>
      <c r="V85">
        <v>1400000</v>
      </c>
      <c r="W85">
        <v>1430000</v>
      </c>
      <c r="X85">
        <v>1460000</v>
      </c>
      <c r="Y85">
        <v>1491000</v>
      </c>
      <c r="Z85">
        <v>1521000</v>
      </c>
      <c r="AA85">
        <v>1552000</v>
      </c>
      <c r="AB85">
        <v>1582000</v>
      </c>
      <c r="AC85">
        <v>1614000</v>
      </c>
      <c r="AD85">
        <v>1647000</v>
      </c>
      <c r="AE85">
        <v>1682000</v>
      </c>
      <c r="AF85">
        <v>1717000</v>
      </c>
      <c r="AG85">
        <v>1753000</v>
      </c>
      <c r="AH85">
        <v>1791000</v>
      </c>
      <c r="AI85">
        <v>1827000</v>
      </c>
      <c r="AJ85">
        <v>1862000</v>
      </c>
      <c r="AK85">
        <v>1898000</v>
      </c>
      <c r="AL85">
        <v>1932000</v>
      </c>
      <c r="AM85">
        <v>1965000</v>
      </c>
      <c r="AN85">
        <v>1997000</v>
      </c>
      <c r="AO85">
        <v>2029000</v>
      </c>
      <c r="AP85">
        <v>2059000</v>
      </c>
      <c r="AQ85">
        <v>2086000</v>
      </c>
      <c r="AR85">
        <v>1966000</v>
      </c>
      <c r="AS85">
        <v>1762000</v>
      </c>
      <c r="AT85">
        <v>1700000</v>
      </c>
      <c r="AU85">
        <v>1701154</v>
      </c>
      <c r="AV85">
        <v>1702310</v>
      </c>
      <c r="AW85">
        <v>1703466</v>
      </c>
      <c r="AX85">
        <v>1704622</v>
      </c>
      <c r="AY85">
        <v>1705780</v>
      </c>
      <c r="AZ85">
        <v>1719536</v>
      </c>
      <c r="BA85">
        <v>1733404</v>
      </c>
      <c r="BB85">
        <v>1747383</v>
      </c>
      <c r="BC85">
        <v>1761474</v>
      </c>
      <c r="BD85">
        <v>1775680</v>
      </c>
      <c r="BE85">
        <v>1790957</v>
      </c>
      <c r="BF85">
        <v>1805200</v>
      </c>
      <c r="BG85">
        <v>1818117</v>
      </c>
      <c r="BH85">
        <v>1812771</v>
      </c>
      <c r="BI85">
        <v>1797151</v>
      </c>
      <c r="BJ85">
        <v>1801476</v>
      </c>
      <c r="BK85">
        <v>1805812</v>
      </c>
      <c r="BL85">
        <v>1810158</v>
      </c>
      <c r="BM85">
        <v>1814515</v>
      </c>
      <c r="BN85">
        <v>1818882</v>
      </c>
      <c r="BO85">
        <v>1823260</v>
      </c>
      <c r="BP85">
        <v>1827648</v>
      </c>
      <c r="BQ85">
        <v>2.4067285432283203E-3</v>
      </c>
      <c r="BR85" s="6">
        <f t="shared" si="7"/>
        <v>1805200</v>
      </c>
      <c r="BT85" s="4">
        <f t="shared" si="8"/>
        <v>8.0645852763689962E-3</v>
      </c>
      <c r="BU85" s="4">
        <f t="shared" si="8"/>
        <v>8.1991828220258078E-3</v>
      </c>
      <c r="BV85" s="4">
        <f t="shared" si="8"/>
        <v>8.1712410541254776E-3</v>
      </c>
      <c r="BW85" s="4">
        <f t="shared" si="8"/>
        <v>7.943985227599315E-3</v>
      </c>
      <c r="BX85" s="4">
        <f t="shared" si="8"/>
        <v>5.1816700704261365E-3</v>
      </c>
      <c r="BY85" s="4">
        <f t="shared" si="8"/>
        <v>8.6350244162947121E-4</v>
      </c>
      <c r="BZ85" s="4">
        <f t="shared" si="8"/>
        <v>-5.1613177937270827E-4</v>
      </c>
      <c r="CA85" s="4">
        <f t="shared" si="6"/>
        <v>-1.6963091377588668E-3</v>
      </c>
      <c r="CB85" s="4">
        <f t="shared" si="6"/>
        <v>-3.6055486593256081E-4</v>
      </c>
      <c r="CC85" s="4">
        <f t="shared" si="6"/>
        <v>2.4067869650818974E-3</v>
      </c>
      <c r="CD85" s="4">
        <f t="shared" si="6"/>
        <v>2.4068161775192554E-3</v>
      </c>
      <c r="CE85" s="4">
        <f t="shared" si="6"/>
        <v>2.4068306415823137E-3</v>
      </c>
      <c r="CF85" s="4">
        <f t="shared" si="6"/>
        <v>2.4068317878360723E-3</v>
      </c>
      <c r="CH85">
        <v>10887</v>
      </c>
    </row>
    <row r="86" spans="1:86" x14ac:dyDescent="0.25">
      <c r="A86" s="2">
        <v>84</v>
      </c>
      <c r="B86" s="3" t="s">
        <v>109</v>
      </c>
      <c r="C86" t="s">
        <v>109</v>
      </c>
      <c r="D86" t="s">
        <v>9</v>
      </c>
      <c r="E86">
        <v>1</v>
      </c>
      <c r="F86">
        <v>261962</v>
      </c>
      <c r="G86">
        <v>294639</v>
      </c>
      <c r="H86">
        <v>335161</v>
      </c>
      <c r="I86">
        <v>381665</v>
      </c>
      <c r="J86">
        <v>431366</v>
      </c>
      <c r="K86">
        <v>482173</v>
      </c>
      <c r="L86">
        <v>533521</v>
      </c>
      <c r="M86">
        <v>585831</v>
      </c>
      <c r="N86">
        <v>639170</v>
      </c>
      <c r="O86">
        <v>693876</v>
      </c>
      <c r="P86">
        <v>750184</v>
      </c>
      <c r="Q86">
        <v>807900</v>
      </c>
      <c r="R86">
        <v>866747</v>
      </c>
      <c r="S86">
        <v>926817</v>
      </c>
      <c r="T86">
        <v>988267</v>
      </c>
      <c r="U86">
        <v>1051187</v>
      </c>
      <c r="V86">
        <v>1115463</v>
      </c>
      <c r="W86">
        <v>1180939</v>
      </c>
      <c r="X86">
        <v>1247597</v>
      </c>
      <c r="Y86">
        <v>1315428</v>
      </c>
      <c r="Z86">
        <v>1384342</v>
      </c>
      <c r="AA86">
        <v>1452383</v>
      </c>
      <c r="AB86">
        <v>1518855</v>
      </c>
      <c r="AC86">
        <v>1586205</v>
      </c>
      <c r="AD86">
        <v>1657920</v>
      </c>
      <c r="AE86">
        <v>1735320</v>
      </c>
      <c r="AF86">
        <v>1823201</v>
      </c>
      <c r="AG86">
        <v>1917950</v>
      </c>
      <c r="AH86">
        <v>2002645</v>
      </c>
      <c r="AI86">
        <v>2054443</v>
      </c>
      <c r="AJ86">
        <v>2058832</v>
      </c>
      <c r="AK86">
        <v>2007110</v>
      </c>
      <c r="AL86">
        <v>0</v>
      </c>
      <c r="AM86">
        <v>0</v>
      </c>
      <c r="AN86">
        <v>0</v>
      </c>
      <c r="AO86">
        <v>1637031</v>
      </c>
      <c r="AP86">
        <v>1637906</v>
      </c>
      <c r="AQ86">
        <v>1686256</v>
      </c>
      <c r="AR86">
        <v>1766247</v>
      </c>
      <c r="AS86">
        <v>1853152</v>
      </c>
      <c r="AT86">
        <v>1929470</v>
      </c>
      <c r="AU86">
        <v>1990022</v>
      </c>
      <c r="AV86">
        <v>2042215</v>
      </c>
      <c r="AW86">
        <v>2095993</v>
      </c>
      <c r="AX86">
        <v>2166344</v>
      </c>
      <c r="AY86">
        <v>2263604</v>
      </c>
      <c r="AZ86">
        <v>2389498</v>
      </c>
      <c r="BA86">
        <v>2538591</v>
      </c>
      <c r="BB86">
        <v>2705290</v>
      </c>
      <c r="BC86">
        <v>2881243</v>
      </c>
      <c r="BD86">
        <v>3059473</v>
      </c>
      <c r="BE86">
        <v>3239181</v>
      </c>
      <c r="BF86">
        <v>3419581</v>
      </c>
      <c r="BG86">
        <v>3593689</v>
      </c>
      <c r="BH86">
        <v>3753121</v>
      </c>
      <c r="BI86">
        <v>3892115</v>
      </c>
      <c r="BJ86">
        <v>4084073</v>
      </c>
      <c r="BK86">
        <v>4285498</v>
      </c>
      <c r="BL86">
        <v>4496857</v>
      </c>
      <c r="BM86">
        <v>4718640</v>
      </c>
      <c r="BN86">
        <v>4951362</v>
      </c>
      <c r="BO86">
        <v>5195561</v>
      </c>
      <c r="BP86">
        <v>5451804</v>
      </c>
      <c r="BQ86">
        <v>4.9319655012472374E-2</v>
      </c>
      <c r="BR86" s="6">
        <f t="shared" si="7"/>
        <v>3419581</v>
      </c>
      <c r="BT86" s="4">
        <f t="shared" si="8"/>
        <v>6.3738770382358423E-2</v>
      </c>
      <c r="BU86" s="4">
        <f t="shared" si="8"/>
        <v>6.2822206841289807E-2</v>
      </c>
      <c r="BV86" s="4">
        <f t="shared" si="8"/>
        <v>6.0326869860330534E-2</v>
      </c>
      <c r="BW86" s="4">
        <f t="shared" si="8"/>
        <v>5.6793542005743491E-2</v>
      </c>
      <c r="BX86" s="4">
        <f t="shared" si="8"/>
        <v>5.2413681515461663E-2</v>
      </c>
      <c r="BY86" s="4">
        <f t="shared" si="8"/>
        <v>4.6978134693719253E-2</v>
      </c>
      <c r="BZ86" s="4">
        <f t="shared" si="8"/>
        <v>4.5394353976991431E-2</v>
      </c>
      <c r="CA86" s="4">
        <f t="shared" si="6"/>
        <v>4.4997380055875391E-2</v>
      </c>
      <c r="CB86" s="4">
        <f t="shared" si="6"/>
        <v>4.6234718718164647E-2</v>
      </c>
      <c r="CC86" s="4">
        <f t="shared" si="6"/>
        <v>4.9319624737941492E-2</v>
      </c>
      <c r="CD86" s="4">
        <f t="shared" si="6"/>
        <v>4.9319625961840252E-2</v>
      </c>
      <c r="CE86" s="4">
        <f t="shared" si="6"/>
        <v>4.9319606820012352E-2</v>
      </c>
      <c r="CF86" s="4">
        <f t="shared" si="6"/>
        <v>4.9319610038154327E-2</v>
      </c>
      <c r="CH86">
        <v>17818</v>
      </c>
    </row>
    <row r="87" spans="1:86" x14ac:dyDescent="0.25">
      <c r="A87" s="2">
        <v>85</v>
      </c>
      <c r="B87" s="3" t="s">
        <v>110</v>
      </c>
      <c r="C87" t="s">
        <v>110</v>
      </c>
      <c r="D87" t="s">
        <v>25</v>
      </c>
      <c r="E87">
        <v>1</v>
      </c>
      <c r="F87">
        <v>2119944</v>
      </c>
      <c r="G87">
        <v>2169287</v>
      </c>
      <c r="H87">
        <v>2219964</v>
      </c>
      <c r="I87">
        <v>2272078</v>
      </c>
      <c r="J87">
        <v>2325742</v>
      </c>
      <c r="K87">
        <v>2381063</v>
      </c>
      <c r="L87">
        <v>2437527</v>
      </c>
      <c r="M87">
        <v>2495093</v>
      </c>
      <c r="N87">
        <v>2554843</v>
      </c>
      <c r="O87">
        <v>2618246</v>
      </c>
      <c r="P87">
        <v>2686025</v>
      </c>
      <c r="Q87">
        <v>2759634</v>
      </c>
      <c r="R87">
        <v>2837967</v>
      </c>
      <c r="S87">
        <v>2916148</v>
      </c>
      <c r="T87">
        <v>2987544</v>
      </c>
      <c r="U87">
        <v>3047864</v>
      </c>
      <c r="V87">
        <v>3094940</v>
      </c>
      <c r="W87">
        <v>3131492</v>
      </c>
      <c r="X87">
        <v>3164146</v>
      </c>
      <c r="Y87">
        <v>3202270</v>
      </c>
      <c r="Z87">
        <v>3252701</v>
      </c>
      <c r="AA87">
        <v>3317570</v>
      </c>
      <c r="AB87">
        <v>3395113</v>
      </c>
      <c r="AC87">
        <v>3483492</v>
      </c>
      <c r="AD87">
        <v>3579370</v>
      </c>
      <c r="AE87">
        <v>3680145</v>
      </c>
      <c r="AF87">
        <v>3785230</v>
      </c>
      <c r="AG87">
        <v>3895066</v>
      </c>
      <c r="AH87">
        <v>4009121</v>
      </c>
      <c r="AI87">
        <v>4126935</v>
      </c>
      <c r="AJ87">
        <v>4247839</v>
      </c>
      <c r="AK87">
        <v>4371549</v>
      </c>
      <c r="AL87">
        <v>4496971</v>
      </c>
      <c r="AM87">
        <v>4621685</v>
      </c>
      <c r="AN87">
        <v>4742685</v>
      </c>
      <c r="AO87">
        <v>4857774</v>
      </c>
      <c r="AP87">
        <v>4966303</v>
      </c>
      <c r="AQ87">
        <v>5068658</v>
      </c>
      <c r="AR87">
        <v>5165072</v>
      </c>
      <c r="AS87">
        <v>5256207</v>
      </c>
      <c r="AT87">
        <v>5342879</v>
      </c>
      <c r="AU87">
        <v>5424701</v>
      </c>
      <c r="AV87">
        <v>5502340</v>
      </c>
      <c r="AW87">
        <v>5579003</v>
      </c>
      <c r="AX87">
        <v>5658894</v>
      </c>
      <c r="AY87">
        <v>5745012</v>
      </c>
      <c r="AZ87">
        <v>5838837</v>
      </c>
      <c r="BA87">
        <v>5939634</v>
      </c>
      <c r="BB87">
        <v>6045439</v>
      </c>
      <c r="BC87">
        <v>6153153</v>
      </c>
      <c r="BD87">
        <v>6260544</v>
      </c>
      <c r="BE87">
        <v>6366909</v>
      </c>
      <c r="BF87">
        <v>6473050</v>
      </c>
      <c r="BG87">
        <v>6579985</v>
      </c>
      <c r="BH87">
        <v>6689300</v>
      </c>
      <c r="BI87">
        <v>6802023</v>
      </c>
      <c r="BJ87">
        <v>6915814</v>
      </c>
      <c r="BK87">
        <v>7031509</v>
      </c>
      <c r="BL87">
        <v>7149139</v>
      </c>
      <c r="BM87">
        <v>7268737</v>
      </c>
      <c r="BN87">
        <v>7390336</v>
      </c>
      <c r="BO87">
        <v>7513969</v>
      </c>
      <c r="BP87">
        <v>7639670</v>
      </c>
      <c r="BQ87">
        <v>1.67289853402246E-2</v>
      </c>
      <c r="BR87" s="6">
        <f t="shared" si="7"/>
        <v>6473050</v>
      </c>
      <c r="BT87" s="4">
        <f t="shared" si="8"/>
        <v>1.7586719060170841E-2</v>
      </c>
      <c r="BU87" s="4">
        <f t="shared" si="8"/>
        <v>1.7518325297866788E-2</v>
      </c>
      <c r="BV87" s="4">
        <f t="shared" si="8"/>
        <v>1.7232622694786315E-2</v>
      </c>
      <c r="BW87" s="4">
        <f t="shared" si="8"/>
        <v>1.690831244692137E-2</v>
      </c>
      <c r="BX87" s="4">
        <f t="shared" si="8"/>
        <v>1.6698423961978071E-2</v>
      </c>
      <c r="BY87" s="4">
        <f t="shared" si="8"/>
        <v>1.6663807713927836E-2</v>
      </c>
      <c r="BZ87" s="4">
        <f t="shared" si="8"/>
        <v>1.6678374049502676E-2</v>
      </c>
      <c r="CA87" s="4">
        <f t="shared" si="6"/>
        <v>1.6730632459835526E-2</v>
      </c>
      <c r="CB87" s="4">
        <f t="shared" si="6"/>
        <v>1.6759565570485302E-2</v>
      </c>
      <c r="CC87" s="4">
        <f t="shared" si="6"/>
        <v>1.6729008814750257E-2</v>
      </c>
      <c r="CD87" s="4">
        <f t="shared" si="6"/>
        <v>1.6729020660976701E-2</v>
      </c>
      <c r="CE87" s="4">
        <f t="shared" si="6"/>
        <v>1.6729010431812963E-2</v>
      </c>
      <c r="CF87" s="4">
        <f t="shared" si="6"/>
        <v>1.6729008252078792E-2</v>
      </c>
      <c r="CH87">
        <v>230800</v>
      </c>
    </row>
    <row r="88" spans="1:86" x14ac:dyDescent="0.25">
      <c r="A88" s="2">
        <v>86</v>
      </c>
      <c r="B88" s="3" t="s">
        <v>111</v>
      </c>
      <c r="C88" t="s">
        <v>111</v>
      </c>
      <c r="D88" t="s">
        <v>23</v>
      </c>
      <c r="E88">
        <v>1</v>
      </c>
      <c r="F88">
        <v>2120979</v>
      </c>
      <c r="G88">
        <v>2152681</v>
      </c>
      <c r="H88">
        <v>2181586</v>
      </c>
      <c r="I88">
        <v>2210919</v>
      </c>
      <c r="J88">
        <v>2240623</v>
      </c>
      <c r="K88">
        <v>2265919</v>
      </c>
      <c r="L88">
        <v>2283217</v>
      </c>
      <c r="M88">
        <v>2301220</v>
      </c>
      <c r="N88">
        <v>2323619</v>
      </c>
      <c r="O88">
        <v>2343173</v>
      </c>
      <c r="P88">
        <v>2359164</v>
      </c>
      <c r="Q88">
        <v>2376389</v>
      </c>
      <c r="R88">
        <v>2395674</v>
      </c>
      <c r="S88">
        <v>2415819</v>
      </c>
      <c r="T88">
        <v>2437186</v>
      </c>
      <c r="U88">
        <v>2456130</v>
      </c>
      <c r="V88">
        <v>2470989</v>
      </c>
      <c r="W88">
        <v>2485073</v>
      </c>
      <c r="X88">
        <v>2497921</v>
      </c>
      <c r="Y88">
        <v>2505953</v>
      </c>
      <c r="Z88">
        <v>2511701</v>
      </c>
      <c r="AA88">
        <v>2519421</v>
      </c>
      <c r="AB88">
        <v>2531080</v>
      </c>
      <c r="AC88">
        <v>2546011</v>
      </c>
      <c r="AD88">
        <v>2562047</v>
      </c>
      <c r="AE88">
        <v>2578873</v>
      </c>
      <c r="AF88">
        <v>2599892</v>
      </c>
      <c r="AG88">
        <v>2626583</v>
      </c>
      <c r="AH88">
        <v>2653434</v>
      </c>
      <c r="AI88">
        <v>2666955</v>
      </c>
      <c r="AJ88">
        <v>2663151</v>
      </c>
      <c r="AK88">
        <v>2650581</v>
      </c>
      <c r="AL88">
        <v>2614338</v>
      </c>
      <c r="AM88">
        <v>2563290</v>
      </c>
      <c r="AN88">
        <v>2520742</v>
      </c>
      <c r="AO88">
        <v>2485056</v>
      </c>
      <c r="AP88">
        <v>2457222</v>
      </c>
      <c r="AQ88">
        <v>2432851</v>
      </c>
      <c r="AR88">
        <v>2410019</v>
      </c>
      <c r="AS88">
        <v>2390482</v>
      </c>
      <c r="AT88">
        <v>2367550</v>
      </c>
      <c r="AU88">
        <v>2337170</v>
      </c>
      <c r="AV88">
        <v>2310173</v>
      </c>
      <c r="AW88">
        <v>2287955</v>
      </c>
      <c r="AX88">
        <v>2263122</v>
      </c>
      <c r="AY88">
        <v>2238799</v>
      </c>
      <c r="AZ88">
        <v>2218357</v>
      </c>
      <c r="BA88">
        <v>2200325</v>
      </c>
      <c r="BB88">
        <v>2177322</v>
      </c>
      <c r="BC88">
        <v>2141669</v>
      </c>
      <c r="BD88">
        <v>2097555</v>
      </c>
      <c r="BE88">
        <v>2059709</v>
      </c>
      <c r="BF88">
        <v>2034319</v>
      </c>
      <c r="BG88">
        <v>2012647</v>
      </c>
      <c r="BH88">
        <v>1993782</v>
      </c>
      <c r="BI88">
        <v>1978440</v>
      </c>
      <c r="BJ88">
        <v>1955441</v>
      </c>
      <c r="BK88">
        <v>1932710</v>
      </c>
      <c r="BL88">
        <v>1910243</v>
      </c>
      <c r="BM88">
        <v>1888037</v>
      </c>
      <c r="BN88">
        <v>1866089</v>
      </c>
      <c r="BO88">
        <v>1844396</v>
      </c>
      <c r="BP88">
        <v>1822956</v>
      </c>
      <c r="BQ88">
        <v>-1.1624650584419749E-2</v>
      </c>
      <c r="BR88" s="6">
        <f t="shared" si="7"/>
        <v>2034319</v>
      </c>
      <c r="BT88" s="4">
        <f t="shared" si="8"/>
        <v>-1.3901087793151912E-2</v>
      </c>
      <c r="BU88" s="4">
        <f t="shared" si="8"/>
        <v>-1.6374546925328803E-2</v>
      </c>
      <c r="BV88" s="4">
        <f t="shared" si="8"/>
        <v>-1.6840231525991678E-2</v>
      </c>
      <c r="BW88" s="4">
        <f t="shared" si="8"/>
        <v>-1.5413640025508601E-2</v>
      </c>
      <c r="BX88" s="4">
        <f t="shared" si="8"/>
        <v>-1.2604648297855237E-2</v>
      </c>
      <c r="BY88" s="4">
        <f t="shared" si="8"/>
        <v>-1.0013541101200896E-2</v>
      </c>
      <c r="BZ88" s="4">
        <f t="shared" si="8"/>
        <v>-9.8376346797329761E-3</v>
      </c>
      <c r="CA88" s="4">
        <f t="shared" si="6"/>
        <v>-1.0080747195987727E-2</v>
      </c>
      <c r="CB88" s="4">
        <f t="shared" si="6"/>
        <v>-1.0643670590177012E-2</v>
      </c>
      <c r="CC88" s="4">
        <f t="shared" si="6"/>
        <v>-1.1624653086703574E-2</v>
      </c>
      <c r="CD88" s="4">
        <f t="shared" si="6"/>
        <v>-1.1624642254904116E-2</v>
      </c>
      <c r="CE88" s="4">
        <f t="shared" si="6"/>
        <v>-1.1624732179834507E-2</v>
      </c>
      <c r="CF88" s="4">
        <f t="shared" si="6"/>
        <v>-1.1624680104240781E-2</v>
      </c>
      <c r="CH88">
        <v>62249</v>
      </c>
    </row>
    <row r="89" spans="1:86" x14ac:dyDescent="0.25">
      <c r="A89" s="2">
        <v>87</v>
      </c>
      <c r="B89" s="3" t="s">
        <v>112</v>
      </c>
      <c r="C89" t="s">
        <v>112</v>
      </c>
      <c r="D89" t="s">
        <v>9</v>
      </c>
      <c r="E89">
        <v>1</v>
      </c>
      <c r="F89">
        <v>1804927</v>
      </c>
      <c r="G89">
        <v>1864605</v>
      </c>
      <c r="H89">
        <v>1925276</v>
      </c>
      <c r="I89">
        <v>1984982</v>
      </c>
      <c r="J89">
        <v>2041212</v>
      </c>
      <c r="K89">
        <v>2092354</v>
      </c>
      <c r="L89">
        <v>2136640</v>
      </c>
      <c r="M89">
        <v>2174850</v>
      </c>
      <c r="N89">
        <v>2210965</v>
      </c>
      <c r="O89">
        <v>2250609</v>
      </c>
      <c r="P89">
        <v>2297403</v>
      </c>
      <c r="Q89">
        <v>2353569</v>
      </c>
      <c r="R89">
        <v>2416743</v>
      </c>
      <c r="S89">
        <v>2480426</v>
      </c>
      <c r="T89">
        <v>2535503</v>
      </c>
      <c r="U89">
        <v>2575693</v>
      </c>
      <c r="V89">
        <v>2598362</v>
      </c>
      <c r="W89">
        <v>2606224</v>
      </c>
      <c r="X89">
        <v>2604875</v>
      </c>
      <c r="Y89">
        <v>2602573</v>
      </c>
      <c r="Z89">
        <v>2605294</v>
      </c>
      <c r="AA89">
        <v>2615753</v>
      </c>
      <c r="AB89">
        <v>2632281</v>
      </c>
      <c r="AC89">
        <v>2651295</v>
      </c>
      <c r="AD89">
        <v>2667229</v>
      </c>
      <c r="AE89">
        <v>2676593</v>
      </c>
      <c r="AF89">
        <v>2677290</v>
      </c>
      <c r="AG89">
        <v>2672182</v>
      </c>
      <c r="AH89">
        <v>2668593</v>
      </c>
      <c r="AI89">
        <v>2676615</v>
      </c>
      <c r="AJ89">
        <v>2703019</v>
      </c>
      <c r="AK89">
        <v>2752473</v>
      </c>
      <c r="AL89">
        <v>2821868</v>
      </c>
      <c r="AM89">
        <v>2900862</v>
      </c>
      <c r="AN89">
        <v>2974647</v>
      </c>
      <c r="AO89">
        <v>3033406</v>
      </c>
      <c r="AP89">
        <v>3070974</v>
      </c>
      <c r="AQ89">
        <v>3092684</v>
      </c>
      <c r="AR89">
        <v>3113960</v>
      </c>
      <c r="AS89">
        <v>3156661</v>
      </c>
      <c r="AT89">
        <v>3235380</v>
      </c>
      <c r="AU89">
        <v>3359875</v>
      </c>
      <c r="AV89">
        <v>3522842</v>
      </c>
      <c r="AW89">
        <v>3701464</v>
      </c>
      <c r="AX89">
        <v>3863271</v>
      </c>
      <c r="AY89">
        <v>3986865</v>
      </c>
      <c r="AZ89">
        <v>4057041</v>
      </c>
      <c r="BA89">
        <v>4085426</v>
      </c>
      <c r="BB89">
        <v>4109389</v>
      </c>
      <c r="BC89">
        <v>4181742</v>
      </c>
      <c r="BD89">
        <v>4337156</v>
      </c>
      <c r="BE89">
        <v>4591698</v>
      </c>
      <c r="BF89">
        <v>4924257</v>
      </c>
      <c r="BG89">
        <v>5286990</v>
      </c>
      <c r="BH89">
        <v>5612096</v>
      </c>
      <c r="BI89">
        <v>5850743</v>
      </c>
      <c r="BJ89">
        <v>6211725</v>
      </c>
      <c r="BK89">
        <v>6594979</v>
      </c>
      <c r="BL89">
        <v>7001879</v>
      </c>
      <c r="BM89">
        <v>7433884</v>
      </c>
      <c r="BN89">
        <v>7892543</v>
      </c>
      <c r="BO89">
        <v>8379501</v>
      </c>
      <c r="BP89">
        <v>8896503</v>
      </c>
      <c r="BQ89">
        <v>6.1698480234522179E-2</v>
      </c>
      <c r="BR89" s="6">
        <f t="shared" si="7"/>
        <v>4924257</v>
      </c>
      <c r="BT89" s="4">
        <f t="shared" si="8"/>
        <v>1.6831312847093605E-2</v>
      </c>
      <c r="BU89" s="4">
        <f t="shared" si="8"/>
        <v>2.9636647787867787E-2</v>
      </c>
      <c r="BV89" s="4">
        <f t="shared" si="8"/>
        <v>4.6262992767942546E-2</v>
      </c>
      <c r="BW89" s="4">
        <f t="shared" si="8"/>
        <v>6.0383139231996674E-2</v>
      </c>
      <c r="BX89" s="4">
        <f t="shared" si="8"/>
        <v>6.6547033369060982E-2</v>
      </c>
      <c r="BY89" s="4">
        <f t="shared" si="8"/>
        <v>6.2452264051336304E-2</v>
      </c>
      <c r="BZ89" s="4">
        <f t="shared" si="8"/>
        <v>5.9785266377322399E-2</v>
      </c>
      <c r="CA89" s="4">
        <f t="shared" si="6"/>
        <v>5.6820507194278447E-2</v>
      </c>
      <c r="CB89" s="4">
        <f t="shared" si="6"/>
        <v>5.6871964296985045E-2</v>
      </c>
      <c r="CC89" s="4">
        <f t="shared" si="6"/>
        <v>6.1698465286202486E-2</v>
      </c>
      <c r="CD89" s="4">
        <f t="shared" si="6"/>
        <v>6.1698451603482196E-2</v>
      </c>
      <c r="CE89" s="4">
        <f t="shared" si="6"/>
        <v>6.1698454192031127E-2</v>
      </c>
      <c r="CF89" s="4">
        <f t="shared" si="6"/>
        <v>6.1698446845557031E-2</v>
      </c>
      <c r="CH89">
        <v>10230</v>
      </c>
    </row>
    <row r="90" spans="1:86" x14ac:dyDescent="0.25">
      <c r="A90" s="2">
        <v>88</v>
      </c>
      <c r="B90" s="3" t="s">
        <v>113</v>
      </c>
      <c r="C90" t="s">
        <v>113</v>
      </c>
      <c r="D90" t="s">
        <v>14</v>
      </c>
      <c r="E90">
        <v>1</v>
      </c>
      <c r="F90">
        <v>851412</v>
      </c>
      <c r="G90">
        <v>866253</v>
      </c>
      <c r="H90">
        <v>881910</v>
      </c>
      <c r="I90">
        <v>898342</v>
      </c>
      <c r="J90">
        <v>915473</v>
      </c>
      <c r="K90">
        <v>933251</v>
      </c>
      <c r="L90">
        <v>951736</v>
      </c>
      <c r="M90">
        <v>970972</v>
      </c>
      <c r="N90">
        <v>990869</v>
      </c>
      <c r="O90">
        <v>1011308</v>
      </c>
      <c r="P90">
        <v>1032240</v>
      </c>
      <c r="Q90">
        <v>1053524</v>
      </c>
      <c r="R90">
        <v>1075281</v>
      </c>
      <c r="S90">
        <v>1098033</v>
      </c>
      <c r="T90">
        <v>1122484</v>
      </c>
      <c r="U90">
        <v>1149090</v>
      </c>
      <c r="V90">
        <v>1177975</v>
      </c>
      <c r="W90">
        <v>1208836</v>
      </c>
      <c r="X90">
        <v>1241159</v>
      </c>
      <c r="Y90">
        <v>1274216</v>
      </c>
      <c r="Z90">
        <v>1307403</v>
      </c>
      <c r="AA90">
        <v>1340694</v>
      </c>
      <c r="AB90">
        <v>1374044</v>
      </c>
      <c r="AC90">
        <v>1406818</v>
      </c>
      <c r="AD90">
        <v>1438248</v>
      </c>
      <c r="AE90">
        <v>1467856</v>
      </c>
      <c r="AF90">
        <v>1495101</v>
      </c>
      <c r="AG90">
        <v>1520244</v>
      </c>
      <c r="AH90">
        <v>1544580</v>
      </c>
      <c r="AI90">
        <v>1569936</v>
      </c>
      <c r="AJ90">
        <v>1597534</v>
      </c>
      <c r="AK90">
        <v>1627900</v>
      </c>
      <c r="AL90">
        <v>1660360</v>
      </c>
      <c r="AM90">
        <v>1693459</v>
      </c>
      <c r="AN90">
        <v>1725118</v>
      </c>
      <c r="AO90">
        <v>1753824</v>
      </c>
      <c r="AP90">
        <v>1779201</v>
      </c>
      <c r="AQ90">
        <v>1801695</v>
      </c>
      <c r="AR90">
        <v>1821632</v>
      </c>
      <c r="AS90">
        <v>1839631</v>
      </c>
      <c r="AT90">
        <v>1856225</v>
      </c>
      <c r="AU90">
        <v>1871489</v>
      </c>
      <c r="AV90">
        <v>1885488</v>
      </c>
      <c r="AW90">
        <v>1898778</v>
      </c>
      <c r="AX90">
        <v>1912042</v>
      </c>
      <c r="AY90">
        <v>1925844</v>
      </c>
      <c r="AZ90">
        <v>1940345</v>
      </c>
      <c r="BA90">
        <v>1955656</v>
      </c>
      <c r="BB90">
        <v>1972194</v>
      </c>
      <c r="BC90">
        <v>1990413</v>
      </c>
      <c r="BD90">
        <v>2010586</v>
      </c>
      <c r="BE90">
        <v>2032950</v>
      </c>
      <c r="BF90">
        <v>2057331</v>
      </c>
      <c r="BG90">
        <v>2083061</v>
      </c>
      <c r="BH90">
        <v>2109197</v>
      </c>
      <c r="BI90">
        <v>2135022</v>
      </c>
      <c r="BJ90">
        <v>2160819</v>
      </c>
      <c r="BK90">
        <v>2186927</v>
      </c>
      <c r="BL90">
        <v>2213351</v>
      </c>
      <c r="BM90">
        <v>2240094</v>
      </c>
      <c r="BN90">
        <v>2267160</v>
      </c>
      <c r="BO90">
        <v>2294553</v>
      </c>
      <c r="BP90">
        <v>2322277</v>
      </c>
      <c r="BQ90">
        <v>1.2082557243258352E-2</v>
      </c>
      <c r="BR90" s="6">
        <f t="shared" si="7"/>
        <v>2057331</v>
      </c>
      <c r="BT90" s="4">
        <f t="shared" si="8"/>
        <v>8.9297417572244964E-3</v>
      </c>
      <c r="BU90" s="4">
        <f t="shared" si="8"/>
        <v>9.7376688258519195E-3</v>
      </c>
      <c r="BV90" s="4">
        <f t="shared" si="8"/>
        <v>1.0621735094630047E-2</v>
      </c>
      <c r="BW90" s="4">
        <f t="shared" si="8"/>
        <v>1.1439003620250521E-2</v>
      </c>
      <c r="BX90" s="4">
        <f t="shared" si="8"/>
        <v>1.2042201533533747E-2</v>
      </c>
      <c r="BY90" s="4">
        <f t="shared" si="8"/>
        <v>1.2322557443291693E-2</v>
      </c>
      <c r="BZ90" s="4">
        <f t="shared" si="8"/>
        <v>1.2345029707208743E-2</v>
      </c>
      <c r="CA90" s="4">
        <f t="shared" si="6"/>
        <v>1.2239020139092727E-2</v>
      </c>
      <c r="CB90" s="4">
        <f t="shared" si="6"/>
        <v>1.2122982403337312E-2</v>
      </c>
      <c r="CC90" s="4">
        <f t="shared" si="6"/>
        <v>1.2082631841032754E-2</v>
      </c>
      <c r="CD90" s="4">
        <f t="shared" si="6"/>
        <v>1.2082569142218169E-2</v>
      </c>
      <c r="CE90" s="4">
        <f t="shared" si="6"/>
        <v>1.208258453269595E-2</v>
      </c>
      <c r="CF90" s="4">
        <f t="shared" si="6"/>
        <v>1.2082539478871723E-2</v>
      </c>
      <c r="CH90">
        <v>30355</v>
      </c>
    </row>
    <row r="91" spans="1:86" x14ac:dyDescent="0.25">
      <c r="A91" s="2">
        <v>89</v>
      </c>
      <c r="B91" s="3" t="s">
        <v>114</v>
      </c>
      <c r="C91" t="s">
        <v>114</v>
      </c>
      <c r="D91" t="s">
        <v>14</v>
      </c>
      <c r="E91">
        <v>1</v>
      </c>
      <c r="F91">
        <v>1120314</v>
      </c>
      <c r="G91">
        <v>1144896</v>
      </c>
      <c r="H91">
        <v>1170267</v>
      </c>
      <c r="I91">
        <v>1196588</v>
      </c>
      <c r="J91">
        <v>1224094</v>
      </c>
      <c r="K91">
        <v>1252968</v>
      </c>
      <c r="L91">
        <v>1283304</v>
      </c>
      <c r="M91">
        <v>1315119</v>
      </c>
      <c r="N91">
        <v>1348448</v>
      </c>
      <c r="O91">
        <v>1383305</v>
      </c>
      <c r="P91">
        <v>1419728</v>
      </c>
      <c r="Q91">
        <v>1457714</v>
      </c>
      <c r="R91">
        <v>1497356</v>
      </c>
      <c r="S91">
        <v>1538882</v>
      </c>
      <c r="T91">
        <v>1582584</v>
      </c>
      <c r="U91">
        <v>1628656</v>
      </c>
      <c r="V91">
        <v>1676016</v>
      </c>
      <c r="W91">
        <v>1724313</v>
      </c>
      <c r="X91">
        <v>1775200</v>
      </c>
      <c r="Y91">
        <v>1830963</v>
      </c>
      <c r="Z91">
        <v>1892529</v>
      </c>
      <c r="AA91">
        <v>1961795</v>
      </c>
      <c r="AB91">
        <v>2036325</v>
      </c>
      <c r="AC91">
        <v>2107523</v>
      </c>
      <c r="AD91">
        <v>2163835</v>
      </c>
      <c r="AE91">
        <v>2197442</v>
      </c>
      <c r="AF91">
        <v>2206867</v>
      </c>
      <c r="AG91">
        <v>2196204</v>
      </c>
      <c r="AH91">
        <v>2170426</v>
      </c>
      <c r="AI91">
        <v>2137018</v>
      </c>
      <c r="AJ91">
        <v>2102877</v>
      </c>
      <c r="AK91">
        <v>2066060</v>
      </c>
      <c r="AL91">
        <v>2028672</v>
      </c>
      <c r="AM91">
        <v>2006349</v>
      </c>
      <c r="AN91">
        <v>2019148</v>
      </c>
      <c r="AO91">
        <v>2079921</v>
      </c>
      <c r="AP91">
        <v>2197801</v>
      </c>
      <c r="AQ91">
        <v>2365290</v>
      </c>
      <c r="AR91">
        <v>2558085</v>
      </c>
      <c r="AS91">
        <v>2741755</v>
      </c>
      <c r="AT91">
        <v>2891968</v>
      </c>
      <c r="AU91">
        <v>2998770</v>
      </c>
      <c r="AV91">
        <v>3070673</v>
      </c>
      <c r="AW91">
        <v>3124222</v>
      </c>
      <c r="AX91">
        <v>3184643</v>
      </c>
      <c r="AY91">
        <v>3269786</v>
      </c>
      <c r="AZ91">
        <v>3384804</v>
      </c>
      <c r="BA91">
        <v>3522337</v>
      </c>
      <c r="BB91">
        <v>3672782</v>
      </c>
      <c r="BC91">
        <v>3821498</v>
      </c>
      <c r="BD91">
        <v>3957990</v>
      </c>
      <c r="BE91">
        <v>4079574</v>
      </c>
      <c r="BF91">
        <v>4190155</v>
      </c>
      <c r="BG91">
        <v>4293692</v>
      </c>
      <c r="BH91">
        <v>4396554</v>
      </c>
      <c r="BI91">
        <v>4503438</v>
      </c>
      <c r="BJ91">
        <v>4621235</v>
      </c>
      <c r="BK91">
        <v>4742114</v>
      </c>
      <c r="BL91">
        <v>4866154</v>
      </c>
      <c r="BM91">
        <v>4993439</v>
      </c>
      <c r="BN91">
        <v>5124053</v>
      </c>
      <c r="BO91">
        <v>5258084</v>
      </c>
      <c r="BP91">
        <v>5395621</v>
      </c>
      <c r="BQ91">
        <v>2.6157205643068338E-2</v>
      </c>
      <c r="BR91" s="6">
        <f t="shared" si="7"/>
        <v>4190155</v>
      </c>
      <c r="BT91" s="4">
        <f t="shared" si="8"/>
        <v>3.988494748772875E-2</v>
      </c>
      <c r="BU91" s="4">
        <f t="shared" si="8"/>
        <v>3.7399364512959554E-2</v>
      </c>
      <c r="BV91" s="4">
        <f t="shared" si="8"/>
        <v>3.3495843396248448E-2</v>
      </c>
      <c r="BW91" s="4">
        <f t="shared" si="8"/>
        <v>2.9554432803327257E-2</v>
      </c>
      <c r="BX91" s="4">
        <f t="shared" si="8"/>
        <v>2.6619312332934353E-2</v>
      </c>
      <c r="BY91" s="4">
        <f t="shared" si="8"/>
        <v>2.5020009096085927E-2</v>
      </c>
      <c r="BZ91" s="4">
        <f t="shared" si="8"/>
        <v>2.4783186474121699E-2</v>
      </c>
      <c r="CA91" s="4">
        <f t="shared" si="6"/>
        <v>2.5144947449024402E-2</v>
      </c>
      <c r="CB91" s="4">
        <f t="shared" si="6"/>
        <v>2.5695285495580089E-2</v>
      </c>
      <c r="CC91" s="4">
        <f t="shared" si="6"/>
        <v>2.6157184639270525E-2</v>
      </c>
      <c r="CD91" s="4">
        <f t="shared" si="6"/>
        <v>2.6157183717086196E-2</v>
      </c>
      <c r="CE91" s="4">
        <f t="shared" si="6"/>
        <v>2.615716625150255E-2</v>
      </c>
      <c r="CF91" s="4">
        <f t="shared" si="6"/>
        <v>2.6157200279325776E-2</v>
      </c>
      <c r="CH91">
        <v>96320</v>
      </c>
    </row>
    <row r="92" spans="1:86" x14ac:dyDescent="0.25">
      <c r="A92" s="2">
        <v>90</v>
      </c>
      <c r="B92" s="3" t="s">
        <v>115</v>
      </c>
      <c r="C92" t="s">
        <v>115</v>
      </c>
      <c r="D92" t="s">
        <v>9</v>
      </c>
      <c r="E92">
        <v>1</v>
      </c>
      <c r="F92">
        <v>1434576</v>
      </c>
      <c r="G92">
        <v>1483856</v>
      </c>
      <c r="H92">
        <v>1536196</v>
      </c>
      <c r="I92">
        <v>1592111</v>
      </c>
      <c r="J92">
        <v>1652294</v>
      </c>
      <c r="K92">
        <v>1717255</v>
      </c>
      <c r="L92">
        <v>1787080</v>
      </c>
      <c r="M92">
        <v>1861661</v>
      </c>
      <c r="N92">
        <v>1941056</v>
      </c>
      <c r="O92">
        <v>2025282</v>
      </c>
      <c r="P92">
        <v>2114264</v>
      </c>
      <c r="Q92">
        <v>2208125</v>
      </c>
      <c r="R92">
        <v>2306668</v>
      </c>
      <c r="S92">
        <v>2409101</v>
      </c>
      <c r="T92">
        <v>2514373</v>
      </c>
      <c r="U92">
        <v>2621730</v>
      </c>
      <c r="V92">
        <v>2730373</v>
      </c>
      <c r="W92">
        <v>2840378</v>
      </c>
      <c r="X92">
        <v>2952877</v>
      </c>
      <c r="Y92">
        <v>3069540</v>
      </c>
      <c r="Z92">
        <v>3191304</v>
      </c>
      <c r="AA92">
        <v>3318560</v>
      </c>
      <c r="AB92">
        <v>3450078</v>
      </c>
      <c r="AC92">
        <v>3583183</v>
      </c>
      <c r="AD92">
        <v>3714264</v>
      </c>
      <c r="AE92">
        <v>3840635</v>
      </c>
      <c r="AF92">
        <v>3961363</v>
      </c>
      <c r="AG92">
        <v>4076888</v>
      </c>
      <c r="AH92">
        <v>4187631</v>
      </c>
      <c r="AI92">
        <v>4294547</v>
      </c>
      <c r="AJ92">
        <v>4398419</v>
      </c>
      <c r="AK92">
        <v>4499210</v>
      </c>
      <c r="AL92">
        <v>4596811</v>
      </c>
      <c r="AM92">
        <v>4691934</v>
      </c>
      <c r="AN92">
        <v>4785488</v>
      </c>
      <c r="AO92">
        <v>4878202</v>
      </c>
      <c r="AP92">
        <v>4970391</v>
      </c>
      <c r="AQ92">
        <v>5062160</v>
      </c>
      <c r="AR92">
        <v>5153764</v>
      </c>
      <c r="AS92">
        <v>5245414</v>
      </c>
      <c r="AT92">
        <v>5337264</v>
      </c>
      <c r="AU92">
        <v>5428303</v>
      </c>
      <c r="AV92">
        <v>5518341</v>
      </c>
      <c r="AW92">
        <v>5609166</v>
      </c>
      <c r="AX92">
        <v>5703224</v>
      </c>
      <c r="AY92">
        <v>5801543</v>
      </c>
      <c r="AZ92">
        <v>5907149</v>
      </c>
      <c r="BA92">
        <v>6017794</v>
      </c>
      <c r="BB92">
        <v>6123022</v>
      </c>
      <c r="BC92">
        <v>6208680</v>
      </c>
      <c r="BD92">
        <v>6265697</v>
      </c>
      <c r="BE92">
        <v>6288652</v>
      </c>
      <c r="BF92">
        <v>6283403</v>
      </c>
      <c r="BG92">
        <v>6265987</v>
      </c>
      <c r="BH92">
        <v>6258984</v>
      </c>
      <c r="BI92">
        <v>6278438</v>
      </c>
      <c r="BJ92">
        <v>6280989</v>
      </c>
      <c r="BK92">
        <v>6283541</v>
      </c>
      <c r="BL92">
        <v>6286094</v>
      </c>
      <c r="BM92">
        <v>6288648</v>
      </c>
      <c r="BN92">
        <v>6291203</v>
      </c>
      <c r="BO92">
        <v>6293759</v>
      </c>
      <c r="BP92">
        <v>6296317</v>
      </c>
      <c r="BQ92">
        <v>4.0636019700324155E-4</v>
      </c>
      <c r="BR92" s="6">
        <f t="shared" si="7"/>
        <v>6283403</v>
      </c>
      <c r="BT92" s="4">
        <f t="shared" si="8"/>
        <v>1.4840675994182817E-2</v>
      </c>
      <c r="BU92" s="4">
        <f t="shared" si="8"/>
        <v>1.1067292424171038E-2</v>
      </c>
      <c r="BV92" s="4">
        <f t="shared" si="8"/>
        <v>6.484923449340263E-3</v>
      </c>
      <c r="BW92" s="4">
        <f t="shared" si="8"/>
        <v>2.2995912319652145E-3</v>
      </c>
      <c r="BX92" s="4">
        <f t="shared" si="8"/>
        <v>-2.6795497672527091E-4</v>
      </c>
      <c r="BY92" s="4">
        <f t="shared" si="8"/>
        <v>-4.0629641198841604E-4</v>
      </c>
      <c r="BZ92" s="4">
        <f t="shared" si="8"/>
        <v>-9.6060520986429587E-5</v>
      </c>
      <c r="CA92" s="4">
        <f t="shared" si="6"/>
        <v>6.9963393937655383E-4</v>
      </c>
      <c r="CB92" s="4">
        <f t="shared" si="6"/>
        <v>1.0810890831947084E-3</v>
      </c>
      <c r="CC92" s="4">
        <f t="shared" si="6"/>
        <v>4.0630247459749746E-4</v>
      </c>
      <c r="CD92" s="4">
        <f t="shared" si="6"/>
        <v>4.0629657357249549E-4</v>
      </c>
      <c r="CE92" s="4">
        <f t="shared" si="6"/>
        <v>4.0629061271868494E-4</v>
      </c>
      <c r="CF92" s="4">
        <f t="shared" si="6"/>
        <v>4.0632431399933999E-4</v>
      </c>
      <c r="CH92">
        <v>1759540</v>
      </c>
    </row>
    <row r="93" spans="1:86" x14ac:dyDescent="0.25">
      <c r="A93" s="2">
        <v>91</v>
      </c>
      <c r="B93" s="3" t="s">
        <v>116</v>
      </c>
      <c r="C93" t="s">
        <v>116</v>
      </c>
      <c r="D93" t="s">
        <v>7</v>
      </c>
      <c r="E93">
        <v>1</v>
      </c>
      <c r="F93">
        <v>16504</v>
      </c>
      <c r="G93">
        <v>16894</v>
      </c>
      <c r="H93">
        <v>17298</v>
      </c>
      <c r="I93">
        <v>17722</v>
      </c>
      <c r="J93">
        <v>18170</v>
      </c>
      <c r="K93">
        <v>18647</v>
      </c>
      <c r="L93">
        <v>19156</v>
      </c>
      <c r="M93">
        <v>19691</v>
      </c>
      <c r="N93">
        <v>20235</v>
      </c>
      <c r="O93">
        <v>20765</v>
      </c>
      <c r="P93">
        <v>21266</v>
      </c>
      <c r="Q93">
        <v>21726</v>
      </c>
      <c r="R93">
        <v>22153</v>
      </c>
      <c r="S93">
        <v>22562</v>
      </c>
      <c r="T93">
        <v>22984</v>
      </c>
      <c r="U93">
        <v>23435</v>
      </c>
      <c r="V93">
        <v>23926</v>
      </c>
      <c r="W93">
        <v>24444</v>
      </c>
      <c r="X93">
        <v>24963</v>
      </c>
      <c r="Y93">
        <v>25447</v>
      </c>
      <c r="Z93">
        <v>25869</v>
      </c>
      <c r="AA93">
        <v>26221</v>
      </c>
      <c r="AB93">
        <v>26514</v>
      </c>
      <c r="AC93">
        <v>26768</v>
      </c>
      <c r="AD93">
        <v>27009</v>
      </c>
      <c r="AE93">
        <v>27259</v>
      </c>
      <c r="AF93">
        <v>27523</v>
      </c>
      <c r="AG93">
        <v>27799</v>
      </c>
      <c r="AH93">
        <v>28091</v>
      </c>
      <c r="AI93">
        <v>28405</v>
      </c>
      <c r="AJ93">
        <v>28745</v>
      </c>
      <c r="AK93">
        <v>29111</v>
      </c>
      <c r="AL93">
        <v>29503</v>
      </c>
      <c r="AM93">
        <v>29921</v>
      </c>
      <c r="AN93">
        <v>30365</v>
      </c>
      <c r="AO93">
        <v>30833</v>
      </c>
      <c r="AP93">
        <v>31327</v>
      </c>
      <c r="AQ93">
        <v>31842</v>
      </c>
      <c r="AR93">
        <v>32357</v>
      </c>
      <c r="AS93">
        <v>32843</v>
      </c>
      <c r="AT93">
        <v>33282</v>
      </c>
      <c r="AU93">
        <v>33663</v>
      </c>
      <c r="AV93">
        <v>33995</v>
      </c>
      <c r="AW93">
        <v>34290</v>
      </c>
      <c r="AX93">
        <v>34569</v>
      </c>
      <c r="AY93">
        <v>34852</v>
      </c>
      <c r="AZ93">
        <v>35141</v>
      </c>
      <c r="BA93">
        <v>35431</v>
      </c>
      <c r="BB93">
        <v>35721</v>
      </c>
      <c r="BC93">
        <v>36004</v>
      </c>
      <c r="BD93">
        <v>36276</v>
      </c>
      <c r="BE93">
        <v>36537</v>
      </c>
      <c r="BF93">
        <v>36791</v>
      </c>
      <c r="BG93">
        <v>37040</v>
      </c>
      <c r="BH93">
        <v>37286</v>
      </c>
      <c r="BI93">
        <v>37531</v>
      </c>
      <c r="BJ93">
        <v>37787</v>
      </c>
      <c r="BK93">
        <v>38045</v>
      </c>
      <c r="BL93">
        <v>38305</v>
      </c>
      <c r="BM93">
        <v>38566</v>
      </c>
      <c r="BN93">
        <v>38829</v>
      </c>
      <c r="BO93">
        <v>39094</v>
      </c>
      <c r="BP93">
        <v>39361</v>
      </c>
      <c r="BQ93">
        <v>6.8253658726946664E-3</v>
      </c>
      <c r="BR93" s="6">
        <f t="shared" si="7"/>
        <v>36791</v>
      </c>
      <c r="BT93" s="4">
        <f t="shared" si="8"/>
        <v>7.9786172799702904E-3</v>
      </c>
      <c r="BU93" s="4">
        <f t="shared" si="8"/>
        <v>7.7141777859408567E-3</v>
      </c>
      <c r="BV93" s="4">
        <f t="shared" si="8"/>
        <v>7.4059138562390103E-3</v>
      </c>
      <c r="BW93" s="4">
        <f t="shared" si="8"/>
        <v>7.1173000356712368E-3</v>
      </c>
      <c r="BX93" s="4">
        <f t="shared" si="8"/>
        <v>6.8890096785698685E-3</v>
      </c>
      <c r="BY93" s="4">
        <f t="shared" si="8"/>
        <v>6.7330186294192185E-3</v>
      </c>
      <c r="BZ93" s="4">
        <f t="shared" si="8"/>
        <v>6.7003168764105947E-3</v>
      </c>
      <c r="CA93" s="4">
        <f t="shared" si="6"/>
        <v>6.7152618984755996E-3</v>
      </c>
      <c r="CB93" s="4">
        <f t="shared" si="6"/>
        <v>6.7633978924288574E-3</v>
      </c>
      <c r="CC93" s="4">
        <f t="shared" si="6"/>
        <v>6.8241292677522214E-3</v>
      </c>
      <c r="CD93" s="4">
        <f t="shared" si="6"/>
        <v>6.8237418530145977E-3</v>
      </c>
      <c r="CE93" s="4">
        <f t="shared" si="6"/>
        <v>6.8230045822130769E-3</v>
      </c>
      <c r="CF93" s="4">
        <f t="shared" si="6"/>
        <v>6.8219246378196097E-3</v>
      </c>
      <c r="CH93">
        <v>160</v>
      </c>
    </row>
    <row r="94" spans="1:86" x14ac:dyDescent="0.25">
      <c r="A94" s="2">
        <v>92</v>
      </c>
      <c r="B94" s="3" t="s">
        <v>117</v>
      </c>
      <c r="C94" t="s">
        <v>117</v>
      </c>
      <c r="D94" t="s">
        <v>23</v>
      </c>
      <c r="E94">
        <v>1</v>
      </c>
      <c r="F94">
        <v>2778550</v>
      </c>
      <c r="G94">
        <v>2823550</v>
      </c>
      <c r="H94">
        <v>2863350</v>
      </c>
      <c r="I94">
        <v>2898950</v>
      </c>
      <c r="J94">
        <v>2935200</v>
      </c>
      <c r="K94">
        <v>2971450</v>
      </c>
      <c r="L94">
        <v>3008050</v>
      </c>
      <c r="M94">
        <v>3044400</v>
      </c>
      <c r="N94">
        <v>3078850</v>
      </c>
      <c r="O94">
        <v>3107321</v>
      </c>
      <c r="P94">
        <v>3139689</v>
      </c>
      <c r="Q94">
        <v>3179041</v>
      </c>
      <c r="R94">
        <v>3213622</v>
      </c>
      <c r="S94">
        <v>3244438</v>
      </c>
      <c r="T94">
        <v>3273894</v>
      </c>
      <c r="U94">
        <v>3301652</v>
      </c>
      <c r="V94">
        <v>3328664</v>
      </c>
      <c r="W94">
        <v>3355036</v>
      </c>
      <c r="X94">
        <v>3379514</v>
      </c>
      <c r="Y94">
        <v>3397842</v>
      </c>
      <c r="Z94">
        <v>3413202</v>
      </c>
      <c r="AA94">
        <v>3432947</v>
      </c>
      <c r="AB94">
        <v>3457179</v>
      </c>
      <c r="AC94">
        <v>3485192</v>
      </c>
      <c r="AD94">
        <v>3514205</v>
      </c>
      <c r="AE94">
        <v>3544543</v>
      </c>
      <c r="AF94">
        <v>3578914</v>
      </c>
      <c r="AG94">
        <v>3616367</v>
      </c>
      <c r="AH94">
        <v>3655049</v>
      </c>
      <c r="AI94">
        <v>3684255</v>
      </c>
      <c r="AJ94">
        <v>3697838</v>
      </c>
      <c r="AK94">
        <v>3704134</v>
      </c>
      <c r="AL94">
        <v>3700114</v>
      </c>
      <c r="AM94">
        <v>3682613</v>
      </c>
      <c r="AN94">
        <v>3657144</v>
      </c>
      <c r="AO94">
        <v>3629102</v>
      </c>
      <c r="AP94">
        <v>3601613</v>
      </c>
      <c r="AQ94">
        <v>3575137</v>
      </c>
      <c r="AR94">
        <v>3549331</v>
      </c>
      <c r="AS94">
        <v>3524238</v>
      </c>
      <c r="AT94">
        <v>3499536</v>
      </c>
      <c r="AU94">
        <v>3470818</v>
      </c>
      <c r="AV94">
        <v>3443067</v>
      </c>
      <c r="AW94">
        <v>3415213</v>
      </c>
      <c r="AX94">
        <v>3377075</v>
      </c>
      <c r="AY94">
        <v>3322528</v>
      </c>
      <c r="AZ94">
        <v>3269909</v>
      </c>
      <c r="BA94">
        <v>3231294</v>
      </c>
      <c r="BB94">
        <v>3198231</v>
      </c>
      <c r="BC94">
        <v>3162916</v>
      </c>
      <c r="BD94">
        <v>3097282</v>
      </c>
      <c r="BE94">
        <v>3028115</v>
      </c>
      <c r="BF94">
        <v>2987773</v>
      </c>
      <c r="BG94">
        <v>2957689</v>
      </c>
      <c r="BH94">
        <v>2932367</v>
      </c>
      <c r="BI94">
        <v>2910199</v>
      </c>
      <c r="BJ94">
        <v>2874161</v>
      </c>
      <c r="BK94">
        <v>2838569</v>
      </c>
      <c r="BL94">
        <v>2803418</v>
      </c>
      <c r="BM94">
        <v>2768702</v>
      </c>
      <c r="BN94">
        <v>2734416</v>
      </c>
      <c r="BO94">
        <v>2700555</v>
      </c>
      <c r="BP94">
        <v>2667113</v>
      </c>
      <c r="BQ94">
        <v>-1.2383384759438232E-2</v>
      </c>
      <c r="BR94" s="6">
        <f t="shared" si="7"/>
        <v>2987773</v>
      </c>
      <c r="BT94" s="4">
        <f t="shared" si="8"/>
        <v>-1.3467787534155007E-2</v>
      </c>
      <c r="BU94" s="4">
        <f t="shared" si="8"/>
        <v>-1.6104503802651382E-2</v>
      </c>
      <c r="BV94" s="4">
        <f t="shared" si="8"/>
        <v>-1.6873409777886983E-2</v>
      </c>
      <c r="BW94" s="4">
        <f t="shared" si="8"/>
        <v>-1.6631682359488642E-2</v>
      </c>
      <c r="BX94" s="4">
        <f t="shared" si="8"/>
        <v>-1.3585622487608973E-2</v>
      </c>
      <c r="BY94" s="4">
        <f t="shared" si="8"/>
        <v>-9.8805756757578411E-3</v>
      </c>
      <c r="BZ94" s="4">
        <f t="shared" si="8"/>
        <v>-9.6450572368537157E-3</v>
      </c>
      <c r="CA94" s="4">
        <f t="shared" si="6"/>
        <v>-1.0224413697339507E-2</v>
      </c>
      <c r="CB94" s="4">
        <f t="shared" si="6"/>
        <v>-1.1179677629329587E-2</v>
      </c>
      <c r="CC94" s="4">
        <f t="shared" si="6"/>
        <v>-1.2383398147091107E-2</v>
      </c>
      <c r="CD94" s="4">
        <f t="shared" ref="CD94:CF157" si="9">IFERROR((BN94/BJ94)^(1/(BN$2-BJ$2))-1,".")</f>
        <v>-1.2383416770731737E-2</v>
      </c>
      <c r="CE94" s="4">
        <f t="shared" si="9"/>
        <v>-1.2383373233879058E-2</v>
      </c>
      <c r="CF94" s="4">
        <f t="shared" si="9"/>
        <v>-1.238338026822261E-2</v>
      </c>
      <c r="CH94">
        <v>62680</v>
      </c>
    </row>
    <row r="95" spans="1:86" x14ac:dyDescent="0.25">
      <c r="A95" s="2">
        <v>93</v>
      </c>
      <c r="B95" s="3" t="s">
        <v>118</v>
      </c>
      <c r="C95" t="s">
        <v>118</v>
      </c>
      <c r="D95" t="s">
        <v>23</v>
      </c>
      <c r="E95">
        <v>1</v>
      </c>
      <c r="F95">
        <v>313970</v>
      </c>
      <c r="G95">
        <v>316845</v>
      </c>
      <c r="H95">
        <v>320750</v>
      </c>
      <c r="I95">
        <v>324100</v>
      </c>
      <c r="J95">
        <v>327750</v>
      </c>
      <c r="K95">
        <v>331500</v>
      </c>
      <c r="L95">
        <v>333895</v>
      </c>
      <c r="M95">
        <v>334995</v>
      </c>
      <c r="N95">
        <v>335850</v>
      </c>
      <c r="O95">
        <v>337500</v>
      </c>
      <c r="P95">
        <v>339171</v>
      </c>
      <c r="Q95">
        <v>342421</v>
      </c>
      <c r="R95">
        <v>346600</v>
      </c>
      <c r="S95">
        <v>350450</v>
      </c>
      <c r="T95">
        <v>355050</v>
      </c>
      <c r="U95">
        <v>358950</v>
      </c>
      <c r="V95">
        <v>360731</v>
      </c>
      <c r="W95">
        <v>361358</v>
      </c>
      <c r="X95">
        <v>362007</v>
      </c>
      <c r="Y95">
        <v>362856</v>
      </c>
      <c r="Z95">
        <v>364150</v>
      </c>
      <c r="AA95">
        <v>365225</v>
      </c>
      <c r="AB95">
        <v>365525</v>
      </c>
      <c r="AC95">
        <v>365622</v>
      </c>
      <c r="AD95">
        <v>365998</v>
      </c>
      <c r="AE95">
        <v>366706</v>
      </c>
      <c r="AF95">
        <v>368355</v>
      </c>
      <c r="AG95">
        <v>370750</v>
      </c>
      <c r="AH95">
        <v>373450</v>
      </c>
      <c r="AI95">
        <v>377100</v>
      </c>
      <c r="AJ95">
        <v>381850</v>
      </c>
      <c r="AK95">
        <v>387000</v>
      </c>
      <c r="AL95">
        <v>392175</v>
      </c>
      <c r="AM95">
        <v>397475</v>
      </c>
      <c r="AN95">
        <v>402925</v>
      </c>
      <c r="AO95">
        <v>408625</v>
      </c>
      <c r="AP95">
        <v>414225</v>
      </c>
      <c r="AQ95">
        <v>419450</v>
      </c>
      <c r="AR95">
        <v>424700</v>
      </c>
      <c r="AS95">
        <v>430475</v>
      </c>
      <c r="AT95">
        <v>436300</v>
      </c>
      <c r="AU95">
        <v>441525</v>
      </c>
      <c r="AV95">
        <v>446175</v>
      </c>
      <c r="AW95">
        <v>451630</v>
      </c>
      <c r="AX95">
        <v>458095</v>
      </c>
      <c r="AY95">
        <v>465158</v>
      </c>
      <c r="AZ95">
        <v>472637</v>
      </c>
      <c r="BA95">
        <v>479993</v>
      </c>
      <c r="BB95">
        <v>488650</v>
      </c>
      <c r="BC95">
        <v>497783</v>
      </c>
      <c r="BD95">
        <v>506953</v>
      </c>
      <c r="BE95">
        <v>518347</v>
      </c>
      <c r="BF95">
        <v>530946</v>
      </c>
      <c r="BG95">
        <v>543360</v>
      </c>
      <c r="BH95">
        <v>556319</v>
      </c>
      <c r="BI95">
        <v>569676</v>
      </c>
      <c r="BJ95">
        <v>583123</v>
      </c>
      <c r="BK95">
        <v>596887</v>
      </c>
      <c r="BL95">
        <v>610976</v>
      </c>
      <c r="BM95">
        <v>625398</v>
      </c>
      <c r="BN95">
        <v>640160</v>
      </c>
      <c r="BO95">
        <v>655270</v>
      </c>
      <c r="BP95">
        <v>670737</v>
      </c>
      <c r="BQ95">
        <v>2.3604166986131769E-2</v>
      </c>
      <c r="BR95" s="6">
        <f t="shared" si="7"/>
        <v>530946</v>
      </c>
      <c r="BT95" s="4">
        <f t="shared" si="8"/>
        <v>1.7677083756643563E-2</v>
      </c>
      <c r="BU95" s="4">
        <f t="shared" si="8"/>
        <v>1.9404206562686488E-2</v>
      </c>
      <c r="BV95" s="4">
        <f t="shared" si="8"/>
        <v>2.0970309149439981E-2</v>
      </c>
      <c r="BW95" s="4">
        <f t="shared" si="8"/>
        <v>2.2143569776330807E-2</v>
      </c>
      <c r="BX95" s="4">
        <f t="shared" si="8"/>
        <v>2.3502832317572331E-2</v>
      </c>
      <c r="BY95" s="4">
        <f t="shared" si="8"/>
        <v>2.3886539287766517E-2</v>
      </c>
      <c r="BZ95" s="4">
        <f t="shared" si="8"/>
        <v>2.3711199561818219E-2</v>
      </c>
      <c r="CA95" s="4">
        <f t="shared" si="8"/>
        <v>2.3766970670741516E-2</v>
      </c>
      <c r="CB95" s="4">
        <f t="shared" si="8"/>
        <v>2.370556587852346E-2</v>
      </c>
      <c r="CC95" s="4">
        <f t="shared" si="8"/>
        <v>2.3604393220750808E-2</v>
      </c>
      <c r="CD95" s="4">
        <f t="shared" si="9"/>
        <v>2.3604274075178955E-2</v>
      </c>
      <c r="CE95" s="4">
        <f t="shared" si="9"/>
        <v>2.3604157738586373E-2</v>
      </c>
      <c r="CF95" s="4">
        <f t="shared" si="9"/>
        <v>2.3604127184829737E-2</v>
      </c>
      <c r="CH95">
        <v>2586</v>
      </c>
    </row>
    <row r="96" spans="1:86" x14ac:dyDescent="0.25">
      <c r="A96" s="2">
        <v>94</v>
      </c>
      <c r="B96" s="3" t="s">
        <v>119</v>
      </c>
      <c r="C96" t="s">
        <v>119</v>
      </c>
      <c r="D96" t="s">
        <v>14</v>
      </c>
      <c r="E96">
        <v>1</v>
      </c>
      <c r="F96">
        <v>5099371</v>
      </c>
      <c r="G96">
        <v>5223621</v>
      </c>
      <c r="H96">
        <v>5352674</v>
      </c>
      <c r="I96">
        <v>5486593</v>
      </c>
      <c r="J96">
        <v>5625401</v>
      </c>
      <c r="K96">
        <v>5769219</v>
      </c>
      <c r="L96">
        <v>5918060</v>
      </c>
      <c r="M96">
        <v>6072270</v>
      </c>
      <c r="N96">
        <v>6232704</v>
      </c>
      <c r="O96">
        <v>6400454</v>
      </c>
      <c r="P96">
        <v>6576301</v>
      </c>
      <c r="Q96">
        <v>6760352</v>
      </c>
      <c r="R96">
        <v>6952383</v>
      </c>
      <c r="S96">
        <v>7152391</v>
      </c>
      <c r="T96">
        <v>7360271</v>
      </c>
      <c r="U96">
        <v>7575757</v>
      </c>
      <c r="V96">
        <v>7799642</v>
      </c>
      <c r="W96">
        <v>8031589</v>
      </c>
      <c r="X96">
        <v>8268902</v>
      </c>
      <c r="Y96">
        <v>8507958</v>
      </c>
      <c r="Z96">
        <v>8746516</v>
      </c>
      <c r="AA96">
        <v>8983494</v>
      </c>
      <c r="AB96">
        <v>9220693</v>
      </c>
      <c r="AC96">
        <v>9462343</v>
      </c>
      <c r="AD96">
        <v>9714342</v>
      </c>
      <c r="AE96">
        <v>9981113</v>
      </c>
      <c r="AF96">
        <v>10264368</v>
      </c>
      <c r="AG96">
        <v>10563491</v>
      </c>
      <c r="AH96">
        <v>10877757</v>
      </c>
      <c r="AI96">
        <v>11205548</v>
      </c>
      <c r="AJ96">
        <v>11545782</v>
      </c>
      <c r="AK96">
        <v>11898267</v>
      </c>
      <c r="AL96">
        <v>12263899</v>
      </c>
      <c r="AM96">
        <v>12643864</v>
      </c>
      <c r="AN96">
        <v>13039754</v>
      </c>
      <c r="AO96">
        <v>13452526</v>
      </c>
      <c r="AP96">
        <v>13882646</v>
      </c>
      <c r="AQ96">
        <v>14329239</v>
      </c>
      <c r="AR96">
        <v>14790245</v>
      </c>
      <c r="AS96">
        <v>15262817</v>
      </c>
      <c r="AT96">
        <v>15744811</v>
      </c>
      <c r="AU96">
        <v>16235767</v>
      </c>
      <c r="AV96">
        <v>16736029</v>
      </c>
      <c r="AW96">
        <v>17245275</v>
      </c>
      <c r="AX96">
        <v>17763367</v>
      </c>
      <c r="AY96">
        <v>18290394</v>
      </c>
      <c r="AZ96">
        <v>18826129</v>
      </c>
      <c r="BA96">
        <v>19371031</v>
      </c>
      <c r="BB96">
        <v>19926798</v>
      </c>
      <c r="BC96">
        <v>20495706</v>
      </c>
      <c r="BD96">
        <v>21079532</v>
      </c>
      <c r="BE96">
        <v>21678867</v>
      </c>
      <c r="BF96">
        <v>22293720</v>
      </c>
      <c r="BG96">
        <v>22924557</v>
      </c>
      <c r="BH96">
        <v>23571713</v>
      </c>
      <c r="BI96">
        <v>24235390</v>
      </c>
      <c r="BJ96">
        <v>24921135</v>
      </c>
      <c r="BK96">
        <v>25626284</v>
      </c>
      <c r="BL96">
        <v>26351385</v>
      </c>
      <c r="BM96">
        <v>27097003</v>
      </c>
      <c r="BN96">
        <v>27863718</v>
      </c>
      <c r="BO96">
        <v>28652128</v>
      </c>
      <c r="BP96">
        <v>29462846</v>
      </c>
      <c r="BQ96">
        <v>2.8295202589200263E-2</v>
      </c>
      <c r="BR96" s="6">
        <f t="shared" si="7"/>
        <v>22293720</v>
      </c>
      <c r="BT96" s="4">
        <f t="shared" si="8"/>
        <v>2.8667416531394485E-2</v>
      </c>
      <c r="BU96" s="4">
        <f t="shared" si="8"/>
        <v>2.8539467380841232E-2</v>
      </c>
      <c r="BV96" s="4">
        <f t="shared" si="8"/>
        <v>2.8457278286280419E-2</v>
      </c>
      <c r="BW96" s="4">
        <f t="shared" si="8"/>
        <v>2.8393960133523466E-2</v>
      </c>
      <c r="BX96" s="4">
        <f t="shared" si="8"/>
        <v>2.8330092647223859E-2</v>
      </c>
      <c r="BY96" s="4">
        <f t="shared" si="8"/>
        <v>2.8260985373813829E-2</v>
      </c>
      <c r="BZ96" s="4">
        <f t="shared" si="8"/>
        <v>2.8244319360998027E-2</v>
      </c>
      <c r="CA96" s="4">
        <f t="shared" si="8"/>
        <v>2.8243968543063547E-2</v>
      </c>
      <c r="CB96" s="4">
        <f t="shared" si="8"/>
        <v>2.8260316310012357E-2</v>
      </c>
      <c r="CC96" s="4">
        <f t="shared" si="8"/>
        <v>2.8295207299213976E-2</v>
      </c>
      <c r="CD96" s="4">
        <f t="shared" si="9"/>
        <v>2.8295208335299193E-2</v>
      </c>
      <c r="CE96" s="4">
        <f t="shared" si="9"/>
        <v>2.8295208033370267E-2</v>
      </c>
      <c r="CF96" s="4">
        <f t="shared" si="9"/>
        <v>2.8295209070821503E-2</v>
      </c>
      <c r="CH96">
        <v>581540</v>
      </c>
    </row>
    <row r="97" spans="1:86" x14ac:dyDescent="0.25">
      <c r="A97" s="2">
        <v>95</v>
      </c>
      <c r="B97" s="3" t="s">
        <v>120</v>
      </c>
      <c r="C97" t="s">
        <v>120</v>
      </c>
      <c r="D97" t="s">
        <v>14</v>
      </c>
      <c r="E97">
        <v>1</v>
      </c>
      <c r="F97">
        <v>3618604</v>
      </c>
      <c r="G97">
        <v>3700032</v>
      </c>
      <c r="H97">
        <v>3784444</v>
      </c>
      <c r="I97">
        <v>3872124</v>
      </c>
      <c r="J97">
        <v>3963424</v>
      </c>
      <c r="K97">
        <v>4058680</v>
      </c>
      <c r="L97">
        <v>4158132</v>
      </c>
      <c r="M97">
        <v>4262013</v>
      </c>
      <c r="N97">
        <v>4370664</v>
      </c>
      <c r="O97">
        <v>4484456</v>
      </c>
      <c r="P97">
        <v>4603739</v>
      </c>
      <c r="Q97">
        <v>4728693</v>
      </c>
      <c r="R97">
        <v>4859569</v>
      </c>
      <c r="S97">
        <v>4996861</v>
      </c>
      <c r="T97">
        <v>5141138</v>
      </c>
      <c r="U97">
        <v>5292816</v>
      </c>
      <c r="V97">
        <v>5454839</v>
      </c>
      <c r="W97">
        <v>5627788</v>
      </c>
      <c r="X97">
        <v>5807170</v>
      </c>
      <c r="Y97">
        <v>5986639</v>
      </c>
      <c r="Z97">
        <v>6163225</v>
      </c>
      <c r="AA97">
        <v>6327344</v>
      </c>
      <c r="AB97">
        <v>6483571</v>
      </c>
      <c r="AC97">
        <v>6659453</v>
      </c>
      <c r="AD97">
        <v>6892527</v>
      </c>
      <c r="AE97">
        <v>7205635</v>
      </c>
      <c r="AF97">
        <v>7617137</v>
      </c>
      <c r="AG97">
        <v>8108484</v>
      </c>
      <c r="AH97">
        <v>8620942</v>
      </c>
      <c r="AI97">
        <v>9073088</v>
      </c>
      <c r="AJ97">
        <v>9408998</v>
      </c>
      <c r="AK97">
        <v>9604199</v>
      </c>
      <c r="AL97">
        <v>9682918</v>
      </c>
      <c r="AM97">
        <v>9697635</v>
      </c>
      <c r="AN97">
        <v>9725612</v>
      </c>
      <c r="AO97">
        <v>9822812</v>
      </c>
      <c r="AP97">
        <v>10006767</v>
      </c>
      <c r="AQ97">
        <v>10260421</v>
      </c>
      <c r="AR97">
        <v>10563554</v>
      </c>
      <c r="AS97">
        <v>10882543</v>
      </c>
      <c r="AT97">
        <v>11193230</v>
      </c>
      <c r="AU97">
        <v>11491824</v>
      </c>
      <c r="AV97">
        <v>11788731</v>
      </c>
      <c r="AW97">
        <v>12090476</v>
      </c>
      <c r="AX97">
        <v>12407618</v>
      </c>
      <c r="AY97">
        <v>12747846</v>
      </c>
      <c r="AZ97">
        <v>13112383</v>
      </c>
      <c r="BA97">
        <v>13498377</v>
      </c>
      <c r="BB97">
        <v>13904671</v>
      </c>
      <c r="BC97">
        <v>14329056</v>
      </c>
      <c r="BD97">
        <v>14769824</v>
      </c>
      <c r="BE97">
        <v>15226813</v>
      </c>
      <c r="BF97">
        <v>15700436</v>
      </c>
      <c r="BG97">
        <v>16190126</v>
      </c>
      <c r="BH97">
        <v>16695253</v>
      </c>
      <c r="BI97">
        <v>17215232</v>
      </c>
      <c r="BJ97">
        <v>17750901</v>
      </c>
      <c r="BK97">
        <v>18303237</v>
      </c>
      <c r="BL97">
        <v>18872760</v>
      </c>
      <c r="BM97">
        <v>19460004</v>
      </c>
      <c r="BN97">
        <v>20065521</v>
      </c>
      <c r="BO97">
        <v>20689879</v>
      </c>
      <c r="BP97">
        <v>21333665</v>
      </c>
      <c r="BQ97">
        <v>3.1115966745035806E-2</v>
      </c>
      <c r="BR97" s="6">
        <f t="shared" si="7"/>
        <v>15700436</v>
      </c>
      <c r="BT97" s="4">
        <f t="shared" si="8"/>
        <v>3.020445483391665E-2</v>
      </c>
      <c r="BU97" s="4">
        <f t="shared" si="8"/>
        <v>3.0580368113254375E-2</v>
      </c>
      <c r="BV97" s="4">
        <f t="shared" si="8"/>
        <v>3.0831660640473046E-2</v>
      </c>
      <c r="BW97" s="4">
        <f t="shared" si="8"/>
        <v>3.0998805643046135E-2</v>
      </c>
      <c r="BX97" s="4">
        <f t="shared" si="8"/>
        <v>3.1108628519420201E-2</v>
      </c>
      <c r="BY97" s="4">
        <f t="shared" si="8"/>
        <v>3.1159782896686083E-2</v>
      </c>
      <c r="BZ97" s="4">
        <f t="shared" si="8"/>
        <v>3.1162645960792767E-2</v>
      </c>
      <c r="CA97" s="4">
        <f t="shared" si="8"/>
        <v>3.1144236438795936E-2</v>
      </c>
      <c r="CB97" s="4">
        <f t="shared" si="8"/>
        <v>3.1123305935783607E-2</v>
      </c>
      <c r="CC97" s="4">
        <f t="shared" si="8"/>
        <v>3.1115965372273902E-2</v>
      </c>
      <c r="CD97" s="4">
        <f t="shared" si="9"/>
        <v>3.1115961456155139E-2</v>
      </c>
      <c r="CE97" s="4">
        <f t="shared" si="9"/>
        <v>3.1115966677868645E-2</v>
      </c>
      <c r="CF97" s="4">
        <f t="shared" si="9"/>
        <v>3.111597049202941E-2</v>
      </c>
      <c r="CH97">
        <v>94080</v>
      </c>
    </row>
    <row r="98" spans="1:86" x14ac:dyDescent="0.25">
      <c r="A98" s="2">
        <v>96</v>
      </c>
      <c r="B98" s="3" t="s">
        <v>121</v>
      </c>
      <c r="C98" t="s">
        <v>121</v>
      </c>
      <c r="D98" t="s">
        <v>25</v>
      </c>
      <c r="E98">
        <v>1</v>
      </c>
      <c r="F98">
        <v>8160975</v>
      </c>
      <c r="G98">
        <v>8429369</v>
      </c>
      <c r="H98">
        <v>8710678</v>
      </c>
      <c r="I98">
        <v>8999247</v>
      </c>
      <c r="J98">
        <v>9287442</v>
      </c>
      <c r="K98">
        <v>9569784</v>
      </c>
      <c r="L98">
        <v>9844116</v>
      </c>
      <c r="M98">
        <v>10111920</v>
      </c>
      <c r="N98">
        <v>10375877</v>
      </c>
      <c r="O98">
        <v>10640347</v>
      </c>
      <c r="P98">
        <v>10908634</v>
      </c>
      <c r="Q98">
        <v>11182078</v>
      </c>
      <c r="R98">
        <v>11460080</v>
      </c>
      <c r="S98">
        <v>11741849</v>
      </c>
      <c r="T98">
        <v>12025930</v>
      </c>
      <c r="U98">
        <v>12311782</v>
      </c>
      <c r="V98">
        <v>12599655</v>
      </c>
      <c r="W98">
        <v>12891715</v>
      </c>
      <c r="X98">
        <v>13191699</v>
      </c>
      <c r="Y98">
        <v>13504433</v>
      </c>
      <c r="Z98">
        <v>13833739</v>
      </c>
      <c r="AA98">
        <v>14180093</v>
      </c>
      <c r="AB98">
        <v>14543585</v>
      </c>
      <c r="AC98">
        <v>14926976</v>
      </c>
      <c r="AD98">
        <v>15333369</v>
      </c>
      <c r="AE98">
        <v>15764340</v>
      </c>
      <c r="AF98">
        <v>16221767</v>
      </c>
      <c r="AG98">
        <v>16703500</v>
      </c>
      <c r="AH98">
        <v>17202032</v>
      </c>
      <c r="AI98">
        <v>17707064</v>
      </c>
      <c r="AJ98">
        <v>18211097</v>
      </c>
      <c r="AK98">
        <v>18709835</v>
      </c>
      <c r="AL98">
        <v>19204700</v>
      </c>
      <c r="AM98">
        <v>19700762</v>
      </c>
      <c r="AN98">
        <v>20205992</v>
      </c>
      <c r="AO98">
        <v>20725374</v>
      </c>
      <c r="AP98">
        <v>21260881</v>
      </c>
      <c r="AQ98">
        <v>21808125</v>
      </c>
      <c r="AR98">
        <v>22358128</v>
      </c>
      <c r="AS98">
        <v>22898579</v>
      </c>
      <c r="AT98">
        <v>23420751</v>
      </c>
      <c r="AU98">
        <v>23920963</v>
      </c>
      <c r="AV98">
        <v>24401977</v>
      </c>
      <c r="AW98">
        <v>24869423</v>
      </c>
      <c r="AX98">
        <v>25332026</v>
      </c>
      <c r="AY98">
        <v>25796124</v>
      </c>
      <c r="AZ98">
        <v>26263048</v>
      </c>
      <c r="BA98">
        <v>26730607</v>
      </c>
      <c r="BB98">
        <v>27197419</v>
      </c>
      <c r="BC98">
        <v>27661017</v>
      </c>
      <c r="BD98">
        <v>28119500</v>
      </c>
      <c r="BE98">
        <v>28572970</v>
      </c>
      <c r="BF98">
        <v>29021940</v>
      </c>
      <c r="BG98">
        <v>29465372</v>
      </c>
      <c r="BH98">
        <v>29901997</v>
      </c>
      <c r="BI98">
        <v>30331007</v>
      </c>
      <c r="BJ98">
        <v>30793757</v>
      </c>
      <c r="BK98">
        <v>31263567</v>
      </c>
      <c r="BL98">
        <v>31740545</v>
      </c>
      <c r="BM98">
        <v>32224800</v>
      </c>
      <c r="BN98">
        <v>32716443</v>
      </c>
      <c r="BO98">
        <v>33215587</v>
      </c>
      <c r="BP98">
        <v>33722346</v>
      </c>
      <c r="BQ98">
        <v>1.525665982491331E-2</v>
      </c>
      <c r="BR98" s="6">
        <f t="shared" si="7"/>
        <v>29021940</v>
      </c>
      <c r="BT98" s="4">
        <f t="shared" si="8"/>
        <v>1.7221701017256175E-2</v>
      </c>
      <c r="BU98" s="4">
        <f t="shared" si="8"/>
        <v>1.6802583693328321E-2</v>
      </c>
      <c r="BV98" s="4">
        <f t="shared" si="8"/>
        <v>1.6364967003414499E-2</v>
      </c>
      <c r="BW98" s="4">
        <f t="shared" si="8"/>
        <v>1.5923359223140254E-2</v>
      </c>
      <c r="BX98" s="4">
        <f t="shared" si="8"/>
        <v>1.5484151587157546E-2</v>
      </c>
      <c r="BY98" s="4">
        <f t="shared" si="8"/>
        <v>1.5039308307729371E-2</v>
      </c>
      <c r="BZ98" s="4">
        <f t="shared" si="8"/>
        <v>1.4925255357012279E-2</v>
      </c>
      <c r="CA98" s="4">
        <f t="shared" si="8"/>
        <v>1.4919623463884868E-2</v>
      </c>
      <c r="CB98" s="4">
        <f t="shared" si="8"/>
        <v>1.5029224370315619E-2</v>
      </c>
      <c r="CC98" s="4">
        <f t="shared" si="8"/>
        <v>1.5256667551227787E-2</v>
      </c>
      <c r="CD98" s="4">
        <f t="shared" si="9"/>
        <v>1.5256667826061499E-2</v>
      </c>
      <c r="CE98" s="4">
        <f t="shared" si="9"/>
        <v>1.5256669552721203E-2</v>
      </c>
      <c r="CF98" s="4">
        <f t="shared" si="9"/>
        <v>1.5256667071413821E-2</v>
      </c>
      <c r="CH98">
        <v>328657</v>
      </c>
    </row>
    <row r="99" spans="1:86" x14ac:dyDescent="0.25">
      <c r="A99" s="2">
        <v>97</v>
      </c>
      <c r="B99" s="3" t="s">
        <v>122</v>
      </c>
      <c r="C99" t="s">
        <v>122</v>
      </c>
      <c r="D99" t="s">
        <v>25</v>
      </c>
      <c r="E99">
        <v>1</v>
      </c>
      <c r="F99">
        <v>89875</v>
      </c>
      <c r="G99">
        <v>92327</v>
      </c>
      <c r="H99">
        <v>94909</v>
      </c>
      <c r="I99">
        <v>97556</v>
      </c>
      <c r="J99">
        <v>100177</v>
      </c>
      <c r="K99">
        <v>102723</v>
      </c>
      <c r="L99">
        <v>105145</v>
      </c>
      <c r="M99">
        <v>107488</v>
      </c>
      <c r="N99">
        <v>109901</v>
      </c>
      <c r="O99">
        <v>112591</v>
      </c>
      <c r="P99">
        <v>115703</v>
      </c>
      <c r="Q99">
        <v>119315</v>
      </c>
      <c r="R99">
        <v>123372</v>
      </c>
      <c r="S99">
        <v>127717</v>
      </c>
      <c r="T99">
        <v>132122</v>
      </c>
      <c r="U99">
        <v>136434</v>
      </c>
      <c r="V99">
        <v>140582</v>
      </c>
      <c r="W99">
        <v>144645</v>
      </c>
      <c r="X99">
        <v>148797</v>
      </c>
      <c r="Y99">
        <v>153285</v>
      </c>
      <c r="Z99">
        <v>158282</v>
      </c>
      <c r="AA99">
        <v>163834</v>
      </c>
      <c r="AB99">
        <v>169861</v>
      </c>
      <c r="AC99">
        <v>176258</v>
      </c>
      <c r="AD99">
        <v>182864</v>
      </c>
      <c r="AE99">
        <v>189551</v>
      </c>
      <c r="AF99">
        <v>196283</v>
      </c>
      <c r="AG99">
        <v>203059</v>
      </c>
      <c r="AH99">
        <v>209832</v>
      </c>
      <c r="AI99">
        <v>216553</v>
      </c>
      <c r="AJ99">
        <v>218000</v>
      </c>
      <c r="AK99">
        <v>227000</v>
      </c>
      <c r="AL99">
        <v>234000</v>
      </c>
      <c r="AM99">
        <v>242000</v>
      </c>
      <c r="AN99">
        <v>245000</v>
      </c>
      <c r="AO99">
        <v>255000</v>
      </c>
      <c r="AP99">
        <v>262000</v>
      </c>
      <c r="AQ99">
        <v>264000</v>
      </c>
      <c r="AR99">
        <v>271000</v>
      </c>
      <c r="AS99">
        <v>280000</v>
      </c>
      <c r="AT99">
        <v>286000</v>
      </c>
      <c r="AU99">
        <v>292000</v>
      </c>
      <c r="AV99">
        <v>297000</v>
      </c>
      <c r="AW99">
        <v>304000</v>
      </c>
      <c r="AX99">
        <v>312000</v>
      </c>
      <c r="AY99">
        <v>321000</v>
      </c>
      <c r="AZ99">
        <v>333000</v>
      </c>
      <c r="BA99">
        <v>349000</v>
      </c>
      <c r="BB99">
        <v>362000</v>
      </c>
      <c r="BC99">
        <v>360000</v>
      </c>
      <c r="BD99">
        <v>367000</v>
      </c>
      <c r="BE99">
        <v>377000</v>
      </c>
      <c r="BF99">
        <v>385000</v>
      </c>
      <c r="BG99">
        <v>393000</v>
      </c>
      <c r="BH99">
        <v>401000</v>
      </c>
      <c r="BI99">
        <v>409163</v>
      </c>
      <c r="BJ99">
        <v>418160</v>
      </c>
      <c r="BK99">
        <v>427355</v>
      </c>
      <c r="BL99">
        <v>436752</v>
      </c>
      <c r="BM99">
        <v>446356</v>
      </c>
      <c r="BN99">
        <v>456171</v>
      </c>
      <c r="BO99">
        <v>466202</v>
      </c>
      <c r="BP99">
        <v>476453</v>
      </c>
      <c r="BQ99">
        <v>2.1988615534229261E-2</v>
      </c>
      <c r="BR99" s="6">
        <f t="shared" si="7"/>
        <v>385000</v>
      </c>
      <c r="BT99" s="4">
        <f t="shared" si="8"/>
        <v>2.4602609654980956E-2</v>
      </c>
      <c r="BU99" s="4">
        <f t="shared" si="8"/>
        <v>1.9480635065880492E-2</v>
      </c>
      <c r="BV99" s="4">
        <f t="shared" si="8"/>
        <v>1.5518968272297151E-2</v>
      </c>
      <c r="BW99" s="4">
        <f t="shared" si="8"/>
        <v>2.2168545092816405E-2</v>
      </c>
      <c r="BX99" s="4">
        <f t="shared" si="8"/>
        <v>2.2397024996044568E-2</v>
      </c>
      <c r="BY99" s="4">
        <f t="shared" si="8"/>
        <v>2.0677993052050647E-2</v>
      </c>
      <c r="BZ99" s="4">
        <f t="shared" si="8"/>
        <v>2.0869995002011477E-2</v>
      </c>
      <c r="CA99" s="4">
        <f t="shared" si="8"/>
        <v>2.1172380014203407E-2</v>
      </c>
      <c r="CB99" s="4">
        <f t="shared" si="8"/>
        <v>2.1580589281551488E-2</v>
      </c>
      <c r="CC99" s="4">
        <f t="shared" si="8"/>
        <v>2.1989080784949655E-2</v>
      </c>
      <c r="CD99" s="4">
        <f t="shared" si="9"/>
        <v>2.1989176486787443E-2</v>
      </c>
      <c r="CE99" s="4">
        <f t="shared" si="9"/>
        <v>2.1989269034725423E-2</v>
      </c>
      <c r="CF99" s="4">
        <f t="shared" si="9"/>
        <v>2.1989163519151589E-2</v>
      </c>
      <c r="CH99">
        <v>298</v>
      </c>
    </row>
    <row r="100" spans="1:86" x14ac:dyDescent="0.25">
      <c r="A100" s="2">
        <v>98</v>
      </c>
      <c r="B100" s="3" t="s">
        <v>123</v>
      </c>
      <c r="C100" t="s">
        <v>123</v>
      </c>
      <c r="D100" t="s">
        <v>14</v>
      </c>
      <c r="E100">
        <v>1</v>
      </c>
      <c r="F100">
        <v>5263730</v>
      </c>
      <c r="G100">
        <v>5322267</v>
      </c>
      <c r="H100">
        <v>5381369</v>
      </c>
      <c r="I100">
        <v>5441611</v>
      </c>
      <c r="J100">
        <v>5503748</v>
      </c>
      <c r="K100">
        <v>5568485</v>
      </c>
      <c r="L100">
        <v>5635859</v>
      </c>
      <c r="M100">
        <v>5706198</v>
      </c>
      <c r="N100">
        <v>5780834</v>
      </c>
      <c r="O100">
        <v>5861411</v>
      </c>
      <c r="P100">
        <v>5949043</v>
      </c>
      <c r="Q100">
        <v>6044532</v>
      </c>
      <c r="R100">
        <v>6147459</v>
      </c>
      <c r="S100">
        <v>6256192</v>
      </c>
      <c r="T100">
        <v>6368351</v>
      </c>
      <c r="U100">
        <v>6482276</v>
      </c>
      <c r="V100">
        <v>6596817</v>
      </c>
      <c r="W100">
        <v>6712545</v>
      </c>
      <c r="X100">
        <v>6831530</v>
      </c>
      <c r="Y100">
        <v>6956779</v>
      </c>
      <c r="Z100">
        <v>7090125</v>
      </c>
      <c r="AA100">
        <v>7233877</v>
      </c>
      <c r="AB100">
        <v>7386669</v>
      </c>
      <c r="AC100">
        <v>7542377</v>
      </c>
      <c r="AD100">
        <v>7692537</v>
      </c>
      <c r="AE100">
        <v>7831891</v>
      </c>
      <c r="AF100">
        <v>7957390</v>
      </c>
      <c r="AG100">
        <v>8073178</v>
      </c>
      <c r="AH100">
        <v>8189984</v>
      </c>
      <c r="AI100">
        <v>8322726</v>
      </c>
      <c r="AJ100">
        <v>8482075</v>
      </c>
      <c r="AK100">
        <v>8672581</v>
      </c>
      <c r="AL100">
        <v>8891141</v>
      </c>
      <c r="AM100">
        <v>9131449</v>
      </c>
      <c r="AN100">
        <v>9383608</v>
      </c>
      <c r="AO100">
        <v>9640643</v>
      </c>
      <c r="AP100">
        <v>9901045</v>
      </c>
      <c r="AQ100">
        <v>10168000</v>
      </c>
      <c r="AR100">
        <v>10444822</v>
      </c>
      <c r="AS100">
        <v>10736542</v>
      </c>
      <c r="AT100">
        <v>11046926</v>
      </c>
      <c r="AU100">
        <v>11376094</v>
      </c>
      <c r="AV100">
        <v>11723017</v>
      </c>
      <c r="AW100">
        <v>12088867</v>
      </c>
      <c r="AX100">
        <v>12474857</v>
      </c>
      <c r="AY100">
        <v>12881384</v>
      </c>
      <c r="AZ100">
        <v>13309942</v>
      </c>
      <c r="BA100">
        <v>13759226</v>
      </c>
      <c r="BB100">
        <v>14223403</v>
      </c>
      <c r="BC100">
        <v>14694565</v>
      </c>
      <c r="BD100">
        <v>15167286</v>
      </c>
      <c r="BE100">
        <v>15639115</v>
      </c>
      <c r="BF100">
        <v>16112333</v>
      </c>
      <c r="BG100">
        <v>16592097</v>
      </c>
      <c r="BH100">
        <v>17086022</v>
      </c>
      <c r="BI100">
        <v>17599694</v>
      </c>
      <c r="BJ100">
        <v>18131117</v>
      </c>
      <c r="BK100">
        <v>18678587</v>
      </c>
      <c r="BL100">
        <v>19242587</v>
      </c>
      <c r="BM100">
        <v>19823617</v>
      </c>
      <c r="BN100">
        <v>20422192</v>
      </c>
      <c r="BO100">
        <v>21038841</v>
      </c>
      <c r="BP100">
        <v>21674109</v>
      </c>
      <c r="BQ100">
        <v>3.0195024797653902E-2</v>
      </c>
      <c r="BR100" s="6">
        <f t="shared" si="7"/>
        <v>16112333</v>
      </c>
      <c r="BT100" s="4">
        <f t="shared" si="8"/>
        <v>3.3196504661905379E-2</v>
      </c>
      <c r="BU100" s="4">
        <f t="shared" si="8"/>
        <v>3.2534430190780617E-2</v>
      </c>
      <c r="BV100" s="4">
        <f t="shared" si="8"/>
        <v>3.1665074584268371E-2</v>
      </c>
      <c r="BW100" s="4">
        <f t="shared" si="8"/>
        <v>3.08278322203972E-2</v>
      </c>
      <c r="BX100" s="4">
        <f t="shared" si="8"/>
        <v>3.0227815290066795E-2</v>
      </c>
      <c r="BY100" s="4">
        <f t="shared" si="8"/>
        <v>2.9966823905935414E-2</v>
      </c>
      <c r="BZ100" s="4">
        <f t="shared" si="8"/>
        <v>2.9950927052095899E-2</v>
      </c>
      <c r="CA100" s="4">
        <f t="shared" si="8"/>
        <v>3.0055642338294719E-2</v>
      </c>
      <c r="CB100" s="4">
        <f t="shared" si="8"/>
        <v>3.0162233747825118E-2</v>
      </c>
      <c r="CC100" s="4">
        <f t="shared" si="8"/>
        <v>3.0195018108376992E-2</v>
      </c>
      <c r="CD100" s="4">
        <f t="shared" si="9"/>
        <v>3.019502586087186E-2</v>
      </c>
      <c r="CE100" s="4">
        <f t="shared" si="9"/>
        <v>3.0195024316550967E-2</v>
      </c>
      <c r="CF100" s="4">
        <f t="shared" si="9"/>
        <v>3.0195025768495087E-2</v>
      </c>
      <c r="CH100">
        <v>1220190</v>
      </c>
    </row>
    <row r="101" spans="1:86" x14ac:dyDescent="0.25">
      <c r="A101" s="2">
        <v>99</v>
      </c>
      <c r="B101" s="3" t="s">
        <v>124</v>
      </c>
      <c r="C101" t="s">
        <v>124</v>
      </c>
      <c r="D101" t="s">
        <v>23</v>
      </c>
      <c r="E101">
        <v>1</v>
      </c>
      <c r="F101">
        <v>326550</v>
      </c>
      <c r="G101">
        <v>325250</v>
      </c>
      <c r="H101">
        <v>323900</v>
      </c>
      <c r="I101">
        <v>322550</v>
      </c>
      <c r="J101">
        <v>321250</v>
      </c>
      <c r="K101">
        <v>318800</v>
      </c>
      <c r="L101">
        <v>315200</v>
      </c>
      <c r="M101">
        <v>311550</v>
      </c>
      <c r="N101">
        <v>307900</v>
      </c>
      <c r="O101">
        <v>304300</v>
      </c>
      <c r="P101">
        <v>302650</v>
      </c>
      <c r="Q101">
        <v>302700</v>
      </c>
      <c r="R101">
        <v>302450</v>
      </c>
      <c r="S101">
        <v>302200</v>
      </c>
      <c r="T101">
        <v>301996</v>
      </c>
      <c r="U101">
        <v>304222</v>
      </c>
      <c r="V101">
        <v>305774</v>
      </c>
      <c r="W101">
        <v>306970</v>
      </c>
      <c r="X101">
        <v>310182</v>
      </c>
      <c r="Y101">
        <v>313342</v>
      </c>
      <c r="Z101">
        <v>316645</v>
      </c>
      <c r="AA101">
        <v>318982</v>
      </c>
      <c r="AB101">
        <v>325898</v>
      </c>
      <c r="AC101">
        <v>330524</v>
      </c>
      <c r="AD101">
        <v>330593</v>
      </c>
      <c r="AE101">
        <v>336452</v>
      </c>
      <c r="AF101">
        <v>342121</v>
      </c>
      <c r="AG101">
        <v>344485</v>
      </c>
      <c r="AH101">
        <v>347325</v>
      </c>
      <c r="AI101">
        <v>350722</v>
      </c>
      <c r="AJ101">
        <v>354170</v>
      </c>
      <c r="AK101">
        <v>357727</v>
      </c>
      <c r="AL101">
        <v>361260</v>
      </c>
      <c r="AM101">
        <v>364704</v>
      </c>
      <c r="AN101">
        <v>367941</v>
      </c>
      <c r="AO101">
        <v>370433</v>
      </c>
      <c r="AP101">
        <v>372687</v>
      </c>
      <c r="AQ101">
        <v>375236</v>
      </c>
      <c r="AR101">
        <v>377516</v>
      </c>
      <c r="AS101">
        <v>379360</v>
      </c>
      <c r="AT101">
        <v>381363</v>
      </c>
      <c r="AU101">
        <v>393028</v>
      </c>
      <c r="AV101">
        <v>395969</v>
      </c>
      <c r="AW101">
        <v>398582</v>
      </c>
      <c r="AX101">
        <v>401268</v>
      </c>
      <c r="AY101">
        <v>403834</v>
      </c>
      <c r="AZ101">
        <v>405308</v>
      </c>
      <c r="BA101">
        <v>406724</v>
      </c>
      <c r="BB101">
        <v>409379</v>
      </c>
      <c r="BC101">
        <v>412477</v>
      </c>
      <c r="BD101">
        <v>414508</v>
      </c>
      <c r="BE101">
        <v>416268</v>
      </c>
      <c r="BF101">
        <v>419455</v>
      </c>
      <c r="BG101">
        <v>423374</v>
      </c>
      <c r="BH101">
        <v>427364</v>
      </c>
      <c r="BI101">
        <v>431333</v>
      </c>
      <c r="BJ101">
        <v>434779</v>
      </c>
      <c r="BK101">
        <v>438253</v>
      </c>
      <c r="BL101">
        <v>441754</v>
      </c>
      <c r="BM101">
        <v>445283</v>
      </c>
      <c r="BN101">
        <v>448841</v>
      </c>
      <c r="BO101">
        <v>452427</v>
      </c>
      <c r="BP101">
        <v>456042</v>
      </c>
      <c r="BQ101">
        <v>7.9893738405756309E-3</v>
      </c>
      <c r="BR101" s="6">
        <f t="shared" si="7"/>
        <v>419455</v>
      </c>
      <c r="BT101" s="4">
        <f t="shared" si="8"/>
        <v>5.6270232662731789E-3</v>
      </c>
      <c r="BU101" s="4">
        <f t="shared" si="8"/>
        <v>5.8154597303785582E-3</v>
      </c>
      <c r="BV101" s="4">
        <f t="shared" si="8"/>
        <v>6.0972309639670819E-3</v>
      </c>
      <c r="BW101" s="4">
        <f t="shared" si="8"/>
        <v>6.5401697454290364E-3</v>
      </c>
      <c r="BX101" s="4">
        <f t="shared" si="8"/>
        <v>7.6651868690376102E-3</v>
      </c>
      <c r="BY101" s="4">
        <f t="shared" si="8"/>
        <v>8.9273961089391118E-3</v>
      </c>
      <c r="BZ101" s="4">
        <f t="shared" ref="BZ101:CF161" si="10">IFERROR((BJ101/BF101)^(1/(BJ$2-BF$2))-1,".")</f>
        <v>9.010756232814332E-3</v>
      </c>
      <c r="CA101" s="4">
        <f t="shared" si="10"/>
        <v>8.6724950698395809E-3</v>
      </c>
      <c r="CB101" s="4">
        <f t="shared" si="10"/>
        <v>8.3136321261016999E-3</v>
      </c>
      <c r="CC101" s="4">
        <f t="shared" si="10"/>
        <v>7.9891496684620922E-3</v>
      </c>
      <c r="CD101" s="4">
        <f t="shared" si="9"/>
        <v>7.9894589329947419E-3</v>
      </c>
      <c r="CE101" s="4">
        <f t="shared" si="9"/>
        <v>7.9892589040311268E-3</v>
      </c>
      <c r="CF101" s="4">
        <f t="shared" si="9"/>
        <v>7.9896846558753509E-3</v>
      </c>
      <c r="CH101">
        <v>316</v>
      </c>
    </row>
    <row r="102" spans="1:86" x14ac:dyDescent="0.25">
      <c r="A102" s="2">
        <v>100</v>
      </c>
      <c r="B102" s="3" t="s">
        <v>125</v>
      </c>
      <c r="C102" t="s">
        <v>11</v>
      </c>
      <c r="D102" t="s">
        <v>16</v>
      </c>
      <c r="E102">
        <v>0</v>
      </c>
      <c r="F102" t="s">
        <v>11</v>
      </c>
      <c r="G102" t="s">
        <v>11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t="s">
        <v>11</v>
      </c>
      <c r="N102" t="s">
        <v>11</v>
      </c>
      <c r="O102" t="s">
        <v>11</v>
      </c>
      <c r="P102" t="s">
        <v>11</v>
      </c>
      <c r="Q102" t="s">
        <v>11</v>
      </c>
      <c r="R102" t="s">
        <v>11</v>
      </c>
      <c r="S102" t="s">
        <v>11</v>
      </c>
      <c r="T102" t="s">
        <v>11</v>
      </c>
      <c r="U102" t="s">
        <v>11</v>
      </c>
      <c r="V102" t="s">
        <v>11</v>
      </c>
      <c r="W102" t="s">
        <v>11</v>
      </c>
      <c r="X102" t="s">
        <v>11</v>
      </c>
      <c r="Y102" t="s">
        <v>11</v>
      </c>
      <c r="Z102" t="s">
        <v>11</v>
      </c>
      <c r="AA102" t="s">
        <v>11</v>
      </c>
      <c r="AB102" t="s">
        <v>11</v>
      </c>
      <c r="AC102" t="s">
        <v>11</v>
      </c>
      <c r="AD102" t="s">
        <v>11</v>
      </c>
      <c r="AE102" t="s">
        <v>11</v>
      </c>
      <c r="AF102" t="s">
        <v>11</v>
      </c>
      <c r="AG102" t="s">
        <v>11</v>
      </c>
      <c r="AH102" t="s">
        <v>11</v>
      </c>
      <c r="AI102" t="s">
        <v>11</v>
      </c>
      <c r="AJ102" t="s">
        <v>11</v>
      </c>
      <c r="AK102" t="s">
        <v>11</v>
      </c>
      <c r="AL102" t="s">
        <v>11</v>
      </c>
      <c r="AM102" t="s">
        <v>11</v>
      </c>
      <c r="AN102" t="s">
        <v>11</v>
      </c>
      <c r="AO102" t="s">
        <v>11</v>
      </c>
      <c r="AP102" t="s">
        <v>11</v>
      </c>
      <c r="AQ102" t="s">
        <v>11</v>
      </c>
      <c r="AR102" t="s">
        <v>11</v>
      </c>
      <c r="AS102" t="s">
        <v>11</v>
      </c>
      <c r="AT102" t="s">
        <v>11</v>
      </c>
      <c r="AU102" t="s">
        <v>11</v>
      </c>
      <c r="AV102" t="s">
        <v>11</v>
      </c>
      <c r="AW102" t="s">
        <v>11</v>
      </c>
      <c r="AX102" t="s">
        <v>11</v>
      </c>
      <c r="AY102" t="s">
        <v>11</v>
      </c>
      <c r="AZ102" t="s">
        <v>11</v>
      </c>
      <c r="BA102" t="s">
        <v>11</v>
      </c>
      <c r="BB102" t="s">
        <v>11</v>
      </c>
      <c r="BC102" t="s">
        <v>11</v>
      </c>
      <c r="BD102" t="s">
        <v>11</v>
      </c>
      <c r="BE102" t="s">
        <v>11</v>
      </c>
      <c r="BF102" t="s">
        <v>11</v>
      </c>
      <c r="BG102" t="s">
        <v>11</v>
      </c>
      <c r="BH102" t="s">
        <v>11</v>
      </c>
      <c r="BI102" t="s">
        <v>11</v>
      </c>
      <c r="BJ102" t="s">
        <v>11</v>
      </c>
      <c r="BK102" t="s">
        <v>11</v>
      </c>
      <c r="BL102" t="s">
        <v>11</v>
      </c>
      <c r="BM102" t="s">
        <v>11</v>
      </c>
      <c r="BN102" t="s">
        <v>11</v>
      </c>
      <c r="BO102" t="s">
        <v>11</v>
      </c>
      <c r="BP102" t="s">
        <v>11</v>
      </c>
      <c r="BQ102" t="s">
        <v>11</v>
      </c>
      <c r="BR102" s="6">
        <f t="shared" si="7"/>
        <v>0</v>
      </c>
      <c r="BT102" s="4" t="str">
        <f t="shared" ref="BT102:BY144" si="11">IFERROR((BD102/AZ102)^(1/(BD$2-AZ$2))-1,".")</f>
        <v>.</v>
      </c>
      <c r="BU102" s="4" t="str">
        <f t="shared" si="11"/>
        <v>.</v>
      </c>
      <c r="BV102" s="4" t="str">
        <f t="shared" si="11"/>
        <v>.</v>
      </c>
      <c r="BW102" s="4" t="str">
        <f t="shared" si="11"/>
        <v>.</v>
      </c>
      <c r="BX102" s="4" t="str">
        <f t="shared" si="11"/>
        <v>.</v>
      </c>
      <c r="BY102" s="4" t="str">
        <f t="shared" si="11"/>
        <v>.</v>
      </c>
      <c r="BZ102" s="4" t="str">
        <f t="shared" si="10"/>
        <v>.</v>
      </c>
      <c r="CA102" s="4" t="str">
        <f t="shared" si="10"/>
        <v>.</v>
      </c>
      <c r="CB102" s="4" t="str">
        <f t="shared" si="10"/>
        <v>.</v>
      </c>
      <c r="CC102" s="4" t="str">
        <f t="shared" si="10"/>
        <v>.</v>
      </c>
      <c r="CD102" s="4" t="str">
        <f t="shared" si="9"/>
        <v>.</v>
      </c>
      <c r="CE102" s="4" t="str">
        <f t="shared" si="9"/>
        <v>.</v>
      </c>
      <c r="CF102" s="4" t="str">
        <f t="shared" si="9"/>
        <v>.</v>
      </c>
      <c r="CH102">
        <v>1128</v>
      </c>
    </row>
    <row r="103" spans="1:86" x14ac:dyDescent="0.25">
      <c r="A103" s="2">
        <v>101</v>
      </c>
      <c r="B103" s="3" t="s">
        <v>126</v>
      </c>
      <c r="C103" t="s">
        <v>126</v>
      </c>
      <c r="D103" t="s">
        <v>14</v>
      </c>
      <c r="E103">
        <v>1</v>
      </c>
      <c r="F103">
        <v>858170</v>
      </c>
      <c r="G103">
        <v>883223</v>
      </c>
      <c r="H103">
        <v>909172</v>
      </c>
      <c r="I103">
        <v>936014</v>
      </c>
      <c r="J103">
        <v>963746</v>
      </c>
      <c r="K103">
        <v>992368</v>
      </c>
      <c r="L103">
        <v>1021880</v>
      </c>
      <c r="M103">
        <v>1052285</v>
      </c>
      <c r="N103">
        <v>1083586</v>
      </c>
      <c r="O103">
        <v>1115790</v>
      </c>
      <c r="P103">
        <v>1148908</v>
      </c>
      <c r="Q103">
        <v>1182945</v>
      </c>
      <c r="R103">
        <v>1217912</v>
      </c>
      <c r="S103">
        <v>1253839</v>
      </c>
      <c r="T103">
        <v>1290755</v>
      </c>
      <c r="U103">
        <v>1328687</v>
      </c>
      <c r="V103">
        <v>1367640</v>
      </c>
      <c r="W103">
        <v>1407621</v>
      </c>
      <c r="X103">
        <v>1448664</v>
      </c>
      <c r="Y103">
        <v>1490811</v>
      </c>
      <c r="Z103">
        <v>1534085</v>
      </c>
      <c r="AA103">
        <v>1578585</v>
      </c>
      <c r="AB103">
        <v>1624310</v>
      </c>
      <c r="AC103">
        <v>1671080</v>
      </c>
      <c r="AD103">
        <v>1718641</v>
      </c>
      <c r="AE103">
        <v>1766855</v>
      </c>
      <c r="AF103">
        <v>1815692</v>
      </c>
      <c r="AG103">
        <v>1865356</v>
      </c>
      <c r="AH103">
        <v>1916240</v>
      </c>
      <c r="AI103">
        <v>1968870</v>
      </c>
      <c r="AJ103">
        <v>2023665</v>
      </c>
      <c r="AK103">
        <v>2080782</v>
      </c>
      <c r="AL103">
        <v>2140250</v>
      </c>
      <c r="AM103">
        <v>2202201</v>
      </c>
      <c r="AN103">
        <v>2266745</v>
      </c>
      <c r="AO103">
        <v>2333966</v>
      </c>
      <c r="AP103">
        <v>2403779</v>
      </c>
      <c r="AQ103">
        <v>2476188</v>
      </c>
      <c r="AR103">
        <v>2551429</v>
      </c>
      <c r="AS103">
        <v>2629806</v>
      </c>
      <c r="AT103">
        <v>2711421</v>
      </c>
      <c r="AU103">
        <v>2796502</v>
      </c>
      <c r="AV103">
        <v>2884672</v>
      </c>
      <c r="AW103">
        <v>2974686</v>
      </c>
      <c r="AX103">
        <v>3064882</v>
      </c>
      <c r="AY103">
        <v>3154087</v>
      </c>
      <c r="AZ103">
        <v>3241762</v>
      </c>
      <c r="BA103">
        <v>3328285</v>
      </c>
      <c r="BB103">
        <v>3414552</v>
      </c>
      <c r="BC103">
        <v>3501927</v>
      </c>
      <c r="BD103">
        <v>3591400</v>
      </c>
      <c r="BE103">
        <v>3683221</v>
      </c>
      <c r="BF103">
        <v>3777067</v>
      </c>
      <c r="BG103">
        <v>3872684</v>
      </c>
      <c r="BH103">
        <v>3969625</v>
      </c>
      <c r="BI103">
        <v>4067564</v>
      </c>
      <c r="BJ103">
        <v>4170120</v>
      </c>
      <c r="BK103">
        <v>4275261</v>
      </c>
      <c r="BL103">
        <v>4383053</v>
      </c>
      <c r="BM103">
        <v>4493563</v>
      </c>
      <c r="BN103">
        <v>4606859</v>
      </c>
      <c r="BO103">
        <v>4723012</v>
      </c>
      <c r="BP103">
        <v>4842094</v>
      </c>
      <c r="BQ103">
        <v>2.521304437990568E-2</v>
      </c>
      <c r="BR103" s="6">
        <f t="shared" si="7"/>
        <v>3777067</v>
      </c>
      <c r="BT103" s="4">
        <f t="shared" si="11"/>
        <v>2.5936929226558103E-2</v>
      </c>
      <c r="BU103" s="4">
        <f t="shared" si="11"/>
        <v>2.5656218790559571E-2</v>
      </c>
      <c r="BV103" s="4">
        <f t="shared" si="11"/>
        <v>2.5546222871277058E-2</v>
      </c>
      <c r="BW103" s="4">
        <f t="shared" si="11"/>
        <v>2.5477753087721045E-2</v>
      </c>
      <c r="BX103" s="4">
        <f t="shared" si="11"/>
        <v>2.5348324142441037E-2</v>
      </c>
      <c r="BY103" s="4">
        <f t="shared" si="11"/>
        <v>2.5124597094464018E-2</v>
      </c>
      <c r="BZ103" s="4">
        <f t="shared" si="10"/>
        <v>2.5058062639887524E-2</v>
      </c>
      <c r="CA103" s="4">
        <f t="shared" si="10"/>
        <v>2.5032517638745366E-2</v>
      </c>
      <c r="CB103" s="4">
        <f t="shared" si="10"/>
        <v>2.5077757239581056E-2</v>
      </c>
      <c r="CC103" s="4">
        <f t="shared" si="10"/>
        <v>2.5213012887354003E-2</v>
      </c>
      <c r="CD103" s="4">
        <f t="shared" si="9"/>
        <v>2.5212970266326407E-2</v>
      </c>
      <c r="CE103" s="4">
        <f t="shared" si="9"/>
        <v>2.5212998716476642E-2</v>
      </c>
      <c r="CF103" s="4">
        <f t="shared" si="9"/>
        <v>2.5213044785189487E-2</v>
      </c>
      <c r="CH103">
        <v>1030700</v>
      </c>
    </row>
    <row r="104" spans="1:86" x14ac:dyDescent="0.25">
      <c r="A104" s="2">
        <v>102</v>
      </c>
      <c r="B104" s="3" t="s">
        <v>127</v>
      </c>
      <c r="C104" t="s">
        <v>127</v>
      </c>
      <c r="D104" t="s">
        <v>14</v>
      </c>
      <c r="E104">
        <v>1</v>
      </c>
      <c r="F104">
        <v>659351</v>
      </c>
      <c r="G104">
        <v>680757</v>
      </c>
      <c r="H104">
        <v>700349</v>
      </c>
      <c r="I104">
        <v>718861</v>
      </c>
      <c r="J104">
        <v>736381</v>
      </c>
      <c r="K104">
        <v>753000</v>
      </c>
      <c r="L104">
        <v>768813</v>
      </c>
      <c r="M104">
        <v>783917</v>
      </c>
      <c r="N104">
        <v>798413</v>
      </c>
      <c r="O104">
        <v>812405</v>
      </c>
      <c r="P104">
        <v>826000</v>
      </c>
      <c r="Q104">
        <v>839230</v>
      </c>
      <c r="R104">
        <v>852053</v>
      </c>
      <c r="S104">
        <v>864819</v>
      </c>
      <c r="T104">
        <v>878042</v>
      </c>
      <c r="U104">
        <v>892000</v>
      </c>
      <c r="V104">
        <v>906507</v>
      </c>
      <c r="W104">
        <v>921379</v>
      </c>
      <c r="X104">
        <v>933499</v>
      </c>
      <c r="Y104">
        <v>949888</v>
      </c>
      <c r="Z104">
        <v>966039</v>
      </c>
      <c r="AA104">
        <v>980462</v>
      </c>
      <c r="AB104">
        <v>992521</v>
      </c>
      <c r="AC104">
        <v>1001691</v>
      </c>
      <c r="AD104">
        <v>1012221</v>
      </c>
      <c r="AE104">
        <v>1020528</v>
      </c>
      <c r="AF104">
        <v>1028360</v>
      </c>
      <c r="AG104">
        <v>1036082</v>
      </c>
      <c r="AH104">
        <v>1043239</v>
      </c>
      <c r="AI104">
        <v>1051260</v>
      </c>
      <c r="AJ104">
        <v>1058775</v>
      </c>
      <c r="AK104">
        <v>1070266</v>
      </c>
      <c r="AL104">
        <v>1084441</v>
      </c>
      <c r="AM104">
        <v>1097374</v>
      </c>
      <c r="AN104">
        <v>1112846</v>
      </c>
      <c r="AO104">
        <v>1122457</v>
      </c>
      <c r="AP104">
        <v>1133996</v>
      </c>
      <c r="AQ104">
        <v>1148284</v>
      </c>
      <c r="AR104">
        <v>1160421</v>
      </c>
      <c r="AS104">
        <v>1175267</v>
      </c>
      <c r="AT104">
        <v>1186873</v>
      </c>
      <c r="AU104">
        <v>1196287</v>
      </c>
      <c r="AV104">
        <v>1204621</v>
      </c>
      <c r="AW104">
        <v>1213370</v>
      </c>
      <c r="AX104">
        <v>1221003</v>
      </c>
      <c r="AY104">
        <v>1228254</v>
      </c>
      <c r="AZ104">
        <v>1233996</v>
      </c>
      <c r="BA104">
        <v>1239630</v>
      </c>
      <c r="BB104">
        <v>1244121</v>
      </c>
      <c r="BC104">
        <v>1247429</v>
      </c>
      <c r="BD104">
        <v>1250400</v>
      </c>
      <c r="BE104">
        <v>1252404</v>
      </c>
      <c r="BF104">
        <v>1255882</v>
      </c>
      <c r="BG104">
        <v>1258653</v>
      </c>
      <c r="BH104">
        <v>1260934</v>
      </c>
      <c r="BI104">
        <v>1262605</v>
      </c>
      <c r="BJ104">
        <v>1265060</v>
      </c>
      <c r="BK104">
        <v>1267520</v>
      </c>
      <c r="BL104">
        <v>1269985</v>
      </c>
      <c r="BM104">
        <v>1272455</v>
      </c>
      <c r="BN104">
        <v>1274929</v>
      </c>
      <c r="BO104">
        <v>1277408</v>
      </c>
      <c r="BP104">
        <v>1279892</v>
      </c>
      <c r="BQ104">
        <v>1.9445976626220052E-3</v>
      </c>
      <c r="BR104" s="6">
        <f t="shared" si="7"/>
        <v>1255882</v>
      </c>
      <c r="BT104" s="4">
        <f t="shared" si="11"/>
        <v>3.3069098363134319E-3</v>
      </c>
      <c r="BU104" s="4">
        <f t="shared" si="11"/>
        <v>2.5662763490574836E-3</v>
      </c>
      <c r="BV104" s="4">
        <f t="shared" si="11"/>
        <v>2.3549831569817936E-3</v>
      </c>
      <c r="BW104" s="4">
        <f t="shared" si="11"/>
        <v>2.2418763324316693E-3</v>
      </c>
      <c r="BX104" s="4">
        <f t="shared" si="11"/>
        <v>2.0995048991263587E-3</v>
      </c>
      <c r="BY104" s="4">
        <f t="shared" si="11"/>
        <v>2.0300935285280097E-3</v>
      </c>
      <c r="BZ104" s="4">
        <f t="shared" si="10"/>
        <v>1.822017184044844E-3</v>
      </c>
      <c r="CA104" s="4">
        <f t="shared" si="10"/>
        <v>1.7565744591403476E-3</v>
      </c>
      <c r="CB104" s="4">
        <f t="shared" si="10"/>
        <v>1.7896928863949668E-3</v>
      </c>
      <c r="CC104" s="4">
        <f t="shared" si="10"/>
        <v>1.9446529732045637E-3</v>
      </c>
      <c r="CD104" s="4">
        <f t="shared" si="9"/>
        <v>1.9446230569069023E-3</v>
      </c>
      <c r="CE104" s="4">
        <f t="shared" si="9"/>
        <v>1.9445856079383095E-3</v>
      </c>
      <c r="CF104" s="4">
        <f t="shared" si="9"/>
        <v>1.9445406705116408E-3</v>
      </c>
      <c r="CH104">
        <v>2030</v>
      </c>
    </row>
    <row r="105" spans="1:86" x14ac:dyDescent="0.25">
      <c r="A105" s="2">
        <v>103</v>
      </c>
      <c r="B105" s="3" t="s">
        <v>128</v>
      </c>
      <c r="C105" t="s">
        <v>128</v>
      </c>
      <c r="D105" t="s">
        <v>33</v>
      </c>
      <c r="E105">
        <v>1</v>
      </c>
      <c r="F105">
        <v>38174114</v>
      </c>
      <c r="G105">
        <v>39394125</v>
      </c>
      <c r="H105">
        <v>40649590</v>
      </c>
      <c r="I105">
        <v>41939880</v>
      </c>
      <c r="J105">
        <v>43264267</v>
      </c>
      <c r="K105">
        <v>44623041</v>
      </c>
      <c r="L105">
        <v>46010959</v>
      </c>
      <c r="M105">
        <v>47429553</v>
      </c>
      <c r="N105">
        <v>48893607</v>
      </c>
      <c r="O105">
        <v>50423127</v>
      </c>
      <c r="P105">
        <v>52029859</v>
      </c>
      <c r="Q105">
        <v>53719547</v>
      </c>
      <c r="R105">
        <v>55480125</v>
      </c>
      <c r="S105">
        <v>57283361</v>
      </c>
      <c r="T105">
        <v>59090495</v>
      </c>
      <c r="U105">
        <v>60872399</v>
      </c>
      <c r="V105">
        <v>62620087</v>
      </c>
      <c r="W105">
        <v>64337694</v>
      </c>
      <c r="X105">
        <v>66025613</v>
      </c>
      <c r="Y105">
        <v>67688533</v>
      </c>
      <c r="Z105">
        <v>69330974</v>
      </c>
      <c r="AA105">
        <v>70950741</v>
      </c>
      <c r="AB105">
        <v>72547995</v>
      </c>
      <c r="AC105">
        <v>74133377</v>
      </c>
      <c r="AD105">
        <v>75721210</v>
      </c>
      <c r="AE105">
        <v>77322643</v>
      </c>
      <c r="AF105">
        <v>78939441</v>
      </c>
      <c r="AG105">
        <v>80571067</v>
      </c>
      <c r="AH105">
        <v>82223153</v>
      </c>
      <c r="AI105">
        <v>83901643</v>
      </c>
      <c r="AJ105">
        <v>85609404</v>
      </c>
      <c r="AK105">
        <v>87347208</v>
      </c>
      <c r="AL105">
        <v>89110043</v>
      </c>
      <c r="AM105">
        <v>90887097</v>
      </c>
      <c r="AN105">
        <v>92663664</v>
      </c>
      <c r="AO105">
        <v>94426946</v>
      </c>
      <c r="AP105">
        <v>96181710</v>
      </c>
      <c r="AQ105">
        <v>97925825</v>
      </c>
      <c r="AR105">
        <v>99632299</v>
      </c>
      <c r="AS105">
        <v>101266570</v>
      </c>
      <c r="AT105">
        <v>102808590</v>
      </c>
      <c r="AU105">
        <v>104239563</v>
      </c>
      <c r="AV105">
        <v>105578297</v>
      </c>
      <c r="AW105">
        <v>106888418</v>
      </c>
      <c r="AX105">
        <v>108257822</v>
      </c>
      <c r="AY105">
        <v>109747906</v>
      </c>
      <c r="AZ105">
        <v>111382857</v>
      </c>
      <c r="BA105">
        <v>113139374</v>
      </c>
      <c r="BB105">
        <v>114972821</v>
      </c>
      <c r="BC105">
        <v>116815612</v>
      </c>
      <c r="BD105">
        <v>118617542</v>
      </c>
      <c r="BE105">
        <v>120365271</v>
      </c>
      <c r="BF105">
        <v>122070963</v>
      </c>
      <c r="BG105">
        <v>123740109</v>
      </c>
      <c r="BH105">
        <v>125385833</v>
      </c>
      <c r="BI105">
        <v>127017224</v>
      </c>
      <c r="BJ105">
        <v>128767231</v>
      </c>
      <c r="BK105">
        <v>130541349</v>
      </c>
      <c r="BL105">
        <v>132339910</v>
      </c>
      <c r="BM105">
        <v>134163251</v>
      </c>
      <c r="BN105">
        <v>136011714</v>
      </c>
      <c r="BO105">
        <v>137885644</v>
      </c>
      <c r="BP105">
        <v>139785393</v>
      </c>
      <c r="BQ105">
        <v>1.3777712757439664E-2</v>
      </c>
      <c r="BR105" s="6">
        <f t="shared" si="7"/>
        <v>122070963</v>
      </c>
      <c r="BT105" s="4">
        <f t="shared" si="11"/>
        <v>1.5857150075368143E-2</v>
      </c>
      <c r="BU105" s="4">
        <f t="shared" si="11"/>
        <v>1.5598046012065048E-2</v>
      </c>
      <c r="BV105" s="4">
        <f t="shared" si="11"/>
        <v>1.5089407241488217E-2</v>
      </c>
      <c r="BW105" s="4">
        <f t="shared" si="11"/>
        <v>1.4500817687681522E-2</v>
      </c>
      <c r="BX105" s="4">
        <f t="shared" si="11"/>
        <v>1.3969489730184081E-2</v>
      </c>
      <c r="BY105" s="4">
        <f t="shared" si="11"/>
        <v>1.3538743614543547E-2</v>
      </c>
      <c r="BZ105" s="4">
        <f t="shared" si="10"/>
        <v>1.3440477978796661E-2</v>
      </c>
      <c r="CA105" s="4">
        <f t="shared" si="10"/>
        <v>1.3466506539616452E-2</v>
      </c>
      <c r="CB105" s="4">
        <f t="shared" si="10"/>
        <v>1.3585972147491576E-2</v>
      </c>
      <c r="CC105" s="4">
        <f t="shared" si="10"/>
        <v>1.3777712345434345E-2</v>
      </c>
      <c r="CD105" s="4">
        <f t="shared" si="9"/>
        <v>1.3777712499972505E-2</v>
      </c>
      <c r="CE105" s="4">
        <f t="shared" si="9"/>
        <v>1.3777711745849075E-2</v>
      </c>
      <c r="CF105" s="4">
        <f t="shared" si="9"/>
        <v>1.3777712516179541E-2</v>
      </c>
      <c r="CH105">
        <v>1943945</v>
      </c>
    </row>
    <row r="106" spans="1:86" x14ac:dyDescent="0.25">
      <c r="A106" s="2">
        <v>104</v>
      </c>
      <c r="B106" s="3" t="s">
        <v>129</v>
      </c>
      <c r="C106" t="s">
        <v>129</v>
      </c>
      <c r="D106" t="s">
        <v>7</v>
      </c>
      <c r="E106">
        <v>1</v>
      </c>
      <c r="F106">
        <v>2544000</v>
      </c>
      <c r="G106">
        <v>2605000</v>
      </c>
      <c r="H106">
        <v>2664000</v>
      </c>
      <c r="I106">
        <v>2721000</v>
      </c>
      <c r="J106">
        <v>2774000</v>
      </c>
      <c r="K106">
        <v>2825000</v>
      </c>
      <c r="L106">
        <v>2873000</v>
      </c>
      <c r="M106">
        <v>2918000</v>
      </c>
      <c r="N106">
        <v>2960000</v>
      </c>
      <c r="O106">
        <v>3002000</v>
      </c>
      <c r="P106">
        <v>3044000</v>
      </c>
      <c r="Q106">
        <v>3088000</v>
      </c>
      <c r="R106">
        <v>3131000</v>
      </c>
      <c r="S106">
        <v>3174000</v>
      </c>
      <c r="T106">
        <v>3215000</v>
      </c>
      <c r="U106">
        <v>3251000</v>
      </c>
      <c r="V106">
        <v>3284000</v>
      </c>
      <c r="W106">
        <v>3312000</v>
      </c>
      <c r="X106">
        <v>3339000</v>
      </c>
      <c r="Y106">
        <v>3366000</v>
      </c>
      <c r="Z106">
        <v>3396000</v>
      </c>
      <c r="AA106">
        <v>3429000</v>
      </c>
      <c r="AB106">
        <v>3464000</v>
      </c>
      <c r="AC106">
        <v>3500000</v>
      </c>
      <c r="AD106">
        <v>3536000</v>
      </c>
      <c r="AE106">
        <v>3570000</v>
      </c>
      <c r="AF106">
        <v>3602000</v>
      </c>
      <c r="AG106">
        <v>3633000</v>
      </c>
      <c r="AH106">
        <v>3660000</v>
      </c>
      <c r="AI106">
        <v>3681000</v>
      </c>
      <c r="AJ106">
        <v>3696000</v>
      </c>
      <c r="AK106">
        <v>3704000</v>
      </c>
      <c r="AL106">
        <v>3706000</v>
      </c>
      <c r="AM106">
        <v>3701000</v>
      </c>
      <c r="AN106">
        <v>3691000</v>
      </c>
      <c r="AO106">
        <v>3675099</v>
      </c>
      <c r="AP106">
        <v>3667748</v>
      </c>
      <c r="AQ106">
        <v>3654208</v>
      </c>
      <c r="AR106">
        <v>3652732</v>
      </c>
      <c r="AS106">
        <v>3647001</v>
      </c>
      <c r="AT106">
        <v>3639592</v>
      </c>
      <c r="AU106">
        <v>3631462</v>
      </c>
      <c r="AV106">
        <v>3623062</v>
      </c>
      <c r="AW106">
        <v>3612874</v>
      </c>
      <c r="AX106">
        <v>3603945</v>
      </c>
      <c r="AY106">
        <v>3595187</v>
      </c>
      <c r="AZ106">
        <v>3585209</v>
      </c>
      <c r="BA106">
        <v>3576910</v>
      </c>
      <c r="BB106">
        <v>3570108</v>
      </c>
      <c r="BC106">
        <v>3565604</v>
      </c>
      <c r="BD106">
        <v>3562045</v>
      </c>
      <c r="BE106">
        <v>3559986</v>
      </c>
      <c r="BF106">
        <v>3559519</v>
      </c>
      <c r="BG106">
        <v>3558566</v>
      </c>
      <c r="BH106">
        <v>3556397</v>
      </c>
      <c r="BI106">
        <v>3554150</v>
      </c>
      <c r="BJ106">
        <v>3552573</v>
      </c>
      <c r="BK106">
        <v>3550997</v>
      </c>
      <c r="BL106">
        <v>3549421</v>
      </c>
      <c r="BM106">
        <v>3547846</v>
      </c>
      <c r="BN106">
        <v>3546272</v>
      </c>
      <c r="BO106">
        <v>3544699</v>
      </c>
      <c r="BP106">
        <v>3543126</v>
      </c>
      <c r="BQ106">
        <v>-4.4367821225888004E-4</v>
      </c>
      <c r="BR106" s="6">
        <f t="shared" si="7"/>
        <v>3559519</v>
      </c>
      <c r="BT106" s="4">
        <f t="shared" si="11"/>
        <v>-1.619175887588864E-3</v>
      </c>
      <c r="BU106" s="4">
        <f t="shared" si="11"/>
        <v>-1.1849691037866261E-3</v>
      </c>
      <c r="BV106" s="4">
        <f t="shared" si="11"/>
        <v>-7.4233035112192258E-4</v>
      </c>
      <c r="BW106" s="4">
        <f t="shared" si="11"/>
        <v>-4.9383046421969112E-4</v>
      </c>
      <c r="BX106" s="4">
        <f t="shared" si="11"/>
        <v>-3.9663742479190134E-4</v>
      </c>
      <c r="BY106" s="4">
        <f t="shared" si="11"/>
        <v>-4.1008525829888676E-4</v>
      </c>
      <c r="BZ106" s="4">
        <f t="shared" si="10"/>
        <v>-4.8820421169282202E-4</v>
      </c>
      <c r="CA106" s="4">
        <f t="shared" si="10"/>
        <v>-5.3216974684489049E-4</v>
      </c>
      <c r="CB106" s="4">
        <f t="shared" si="10"/>
        <v>-4.9074507549562441E-4</v>
      </c>
      <c r="CC106" s="4">
        <f t="shared" si="10"/>
        <v>-4.4372053607821815E-4</v>
      </c>
      <c r="CD106" s="4">
        <f t="shared" si="9"/>
        <v>-4.437062405554526E-4</v>
      </c>
      <c r="CE106" s="4">
        <f t="shared" si="9"/>
        <v>-4.4369180730419178E-4</v>
      </c>
      <c r="CF106" s="4">
        <f t="shared" si="9"/>
        <v>-4.4367736123640533E-4</v>
      </c>
      <c r="CH106">
        <v>32891</v>
      </c>
    </row>
    <row r="107" spans="1:86" x14ac:dyDescent="0.25">
      <c r="A107" s="2">
        <v>105</v>
      </c>
      <c r="B107" s="3" t="s">
        <v>130</v>
      </c>
      <c r="C107" t="s">
        <v>11</v>
      </c>
      <c r="D107" t="s">
        <v>7</v>
      </c>
      <c r="E107">
        <v>1</v>
      </c>
      <c r="F107">
        <v>22454</v>
      </c>
      <c r="G107">
        <v>22812</v>
      </c>
      <c r="H107">
        <v>23042</v>
      </c>
      <c r="I107">
        <v>23169</v>
      </c>
      <c r="J107">
        <v>23237</v>
      </c>
      <c r="K107">
        <v>23283</v>
      </c>
      <c r="L107">
        <v>23304</v>
      </c>
      <c r="M107">
        <v>23297</v>
      </c>
      <c r="N107">
        <v>23296</v>
      </c>
      <c r="O107">
        <v>23348</v>
      </c>
      <c r="P107">
        <v>23484</v>
      </c>
      <c r="Q107">
        <v>23722</v>
      </c>
      <c r="R107">
        <v>24052</v>
      </c>
      <c r="S107">
        <v>24440</v>
      </c>
      <c r="T107">
        <v>24835</v>
      </c>
      <c r="U107">
        <v>25201</v>
      </c>
      <c r="V107">
        <v>25521</v>
      </c>
      <c r="W107">
        <v>25809</v>
      </c>
      <c r="X107">
        <v>26086</v>
      </c>
      <c r="Y107">
        <v>26391</v>
      </c>
      <c r="Z107">
        <v>26746</v>
      </c>
      <c r="AA107">
        <v>27165</v>
      </c>
      <c r="AB107">
        <v>27629</v>
      </c>
      <c r="AC107">
        <v>28098</v>
      </c>
      <c r="AD107">
        <v>28514</v>
      </c>
      <c r="AE107">
        <v>28836</v>
      </c>
      <c r="AF107">
        <v>29048</v>
      </c>
      <c r="AG107">
        <v>29169</v>
      </c>
      <c r="AH107">
        <v>29238</v>
      </c>
      <c r="AI107">
        <v>29313</v>
      </c>
      <c r="AJ107">
        <v>29438</v>
      </c>
      <c r="AK107">
        <v>29626</v>
      </c>
      <c r="AL107">
        <v>29864</v>
      </c>
      <c r="AM107">
        <v>30138</v>
      </c>
      <c r="AN107">
        <v>30423</v>
      </c>
      <c r="AO107">
        <v>30700</v>
      </c>
      <c r="AP107">
        <v>30971</v>
      </c>
      <c r="AQ107">
        <v>31242</v>
      </c>
      <c r="AR107">
        <v>31517</v>
      </c>
      <c r="AS107">
        <v>31795</v>
      </c>
      <c r="AT107">
        <v>32081</v>
      </c>
      <c r="AU107">
        <v>32364</v>
      </c>
      <c r="AV107">
        <v>32648</v>
      </c>
      <c r="AW107">
        <v>32960</v>
      </c>
      <c r="AX107">
        <v>33339</v>
      </c>
      <c r="AY107">
        <v>33808</v>
      </c>
      <c r="AZ107">
        <v>34384</v>
      </c>
      <c r="BA107">
        <v>35046</v>
      </c>
      <c r="BB107">
        <v>35731</v>
      </c>
      <c r="BC107">
        <v>36351</v>
      </c>
      <c r="BD107">
        <v>36845</v>
      </c>
      <c r="BE107">
        <v>37189</v>
      </c>
      <c r="BF107">
        <v>37404</v>
      </c>
      <c r="BG107">
        <v>37528</v>
      </c>
      <c r="BH107">
        <v>37623</v>
      </c>
      <c r="BI107">
        <v>37731</v>
      </c>
      <c r="BJ107">
        <v>37911</v>
      </c>
      <c r="BK107">
        <v>38092</v>
      </c>
      <c r="BL107">
        <v>38273</v>
      </c>
      <c r="BM107">
        <v>38455</v>
      </c>
      <c r="BN107">
        <v>38638</v>
      </c>
      <c r="BO107">
        <v>38822</v>
      </c>
      <c r="BP107">
        <v>39007</v>
      </c>
      <c r="BQ107">
        <v>4.7637333742052146E-3</v>
      </c>
      <c r="BR107" s="6">
        <f t="shared" si="7"/>
        <v>37404</v>
      </c>
      <c r="BT107" s="4">
        <f t="shared" si="11"/>
        <v>1.7432346379873787E-2</v>
      </c>
      <c r="BU107" s="4">
        <f t="shared" si="11"/>
        <v>1.494851146375864E-2</v>
      </c>
      <c r="BV107" s="4">
        <f t="shared" si="11"/>
        <v>1.1505431957081758E-2</v>
      </c>
      <c r="BW107" s="4">
        <f t="shared" si="11"/>
        <v>7.9982179865876191E-3</v>
      </c>
      <c r="BX107" s="4">
        <f t="shared" si="11"/>
        <v>5.2375787327798573E-3</v>
      </c>
      <c r="BY107" s="4">
        <f t="shared" si="11"/>
        <v>3.6238049381223103E-3</v>
      </c>
      <c r="BZ107" s="4">
        <f t="shared" si="10"/>
        <v>3.371585268095334E-3</v>
      </c>
      <c r="CA107" s="4">
        <f t="shared" si="10"/>
        <v>3.7362035988204312E-3</v>
      </c>
      <c r="CB107" s="4">
        <f t="shared" si="10"/>
        <v>4.2914623742058566E-3</v>
      </c>
      <c r="CC107" s="4">
        <f t="shared" si="10"/>
        <v>4.7629792904031465E-3</v>
      </c>
      <c r="CD107" s="4">
        <f t="shared" si="9"/>
        <v>4.760028293261831E-3</v>
      </c>
      <c r="CE107" s="4">
        <f t="shared" si="9"/>
        <v>4.7569811599819101E-3</v>
      </c>
      <c r="CF107" s="4">
        <f t="shared" si="9"/>
        <v>4.7604024981608983E-3</v>
      </c>
      <c r="CH107">
        <v>2</v>
      </c>
    </row>
    <row r="108" spans="1:86" x14ac:dyDescent="0.25">
      <c r="A108" s="2">
        <v>106</v>
      </c>
      <c r="B108" s="3" t="s">
        <v>131</v>
      </c>
      <c r="C108" t="s">
        <v>131</v>
      </c>
      <c r="D108" t="s">
        <v>25</v>
      </c>
      <c r="E108">
        <v>1</v>
      </c>
      <c r="F108">
        <v>955514</v>
      </c>
      <c r="G108">
        <v>982180</v>
      </c>
      <c r="H108">
        <v>1011328</v>
      </c>
      <c r="I108">
        <v>1042383</v>
      </c>
      <c r="J108">
        <v>1074517</v>
      </c>
      <c r="K108">
        <v>1107125</v>
      </c>
      <c r="L108">
        <v>1139960</v>
      </c>
      <c r="M108">
        <v>1173186</v>
      </c>
      <c r="N108">
        <v>1207108</v>
      </c>
      <c r="O108">
        <v>1242213</v>
      </c>
      <c r="P108">
        <v>1278825</v>
      </c>
      <c r="Q108">
        <v>1317049</v>
      </c>
      <c r="R108">
        <v>1356669</v>
      </c>
      <c r="S108">
        <v>1397305</v>
      </c>
      <c r="T108">
        <v>1438423</v>
      </c>
      <c r="U108">
        <v>1479650</v>
      </c>
      <c r="V108">
        <v>1520865</v>
      </c>
      <c r="W108">
        <v>1562212</v>
      </c>
      <c r="X108">
        <v>1603908</v>
      </c>
      <c r="Y108">
        <v>1646291</v>
      </c>
      <c r="Z108">
        <v>1689622</v>
      </c>
      <c r="AA108">
        <v>1733479</v>
      </c>
      <c r="AB108">
        <v>1777727</v>
      </c>
      <c r="AC108">
        <v>1823215</v>
      </c>
      <c r="AD108">
        <v>1871087</v>
      </c>
      <c r="AE108">
        <v>1921885</v>
      </c>
      <c r="AF108">
        <v>1976311</v>
      </c>
      <c r="AG108">
        <v>2033345</v>
      </c>
      <c r="AH108">
        <v>2089716</v>
      </c>
      <c r="AI108">
        <v>2141006</v>
      </c>
      <c r="AJ108">
        <v>2184145</v>
      </c>
      <c r="AK108">
        <v>2217920</v>
      </c>
      <c r="AL108">
        <v>2243506</v>
      </c>
      <c r="AM108">
        <v>2263204</v>
      </c>
      <c r="AN108">
        <v>2280495</v>
      </c>
      <c r="AO108">
        <v>2298038</v>
      </c>
      <c r="AP108">
        <v>2316571</v>
      </c>
      <c r="AQ108">
        <v>2335694</v>
      </c>
      <c r="AR108">
        <v>2355588</v>
      </c>
      <c r="AS108">
        <v>2376165</v>
      </c>
      <c r="AT108">
        <v>2397438</v>
      </c>
      <c r="AU108">
        <v>2419729</v>
      </c>
      <c r="AV108">
        <v>2443503</v>
      </c>
      <c r="AW108">
        <v>2469045</v>
      </c>
      <c r="AX108">
        <v>2496621</v>
      </c>
      <c r="AY108">
        <v>2526447</v>
      </c>
      <c r="AZ108">
        <v>2558484</v>
      </c>
      <c r="BA108">
        <v>2592776</v>
      </c>
      <c r="BB108">
        <v>2629666</v>
      </c>
      <c r="BC108">
        <v>2669572</v>
      </c>
      <c r="BD108">
        <v>2712657</v>
      </c>
      <c r="BE108">
        <v>2759074</v>
      </c>
      <c r="BF108">
        <v>2808339</v>
      </c>
      <c r="BG108">
        <v>2859174</v>
      </c>
      <c r="BH108">
        <v>2909871</v>
      </c>
      <c r="BI108">
        <v>2959134</v>
      </c>
      <c r="BJ108">
        <v>3011054</v>
      </c>
      <c r="BK108">
        <v>3063885</v>
      </c>
      <c r="BL108">
        <v>3117643</v>
      </c>
      <c r="BM108">
        <v>3172344</v>
      </c>
      <c r="BN108">
        <v>3228005</v>
      </c>
      <c r="BO108">
        <v>3284643</v>
      </c>
      <c r="BP108">
        <v>3342275</v>
      </c>
      <c r="BQ108">
        <v>1.7545761852866271E-2</v>
      </c>
      <c r="BR108" s="6">
        <f t="shared" si="7"/>
        <v>2808339</v>
      </c>
      <c r="BT108" s="4">
        <f t="shared" si="11"/>
        <v>1.4735944503159626E-2</v>
      </c>
      <c r="BU108" s="4">
        <f t="shared" si="11"/>
        <v>1.566289713999125E-2</v>
      </c>
      <c r="BV108" s="4">
        <f t="shared" si="11"/>
        <v>1.6569873333224905E-2</v>
      </c>
      <c r="BW108" s="4">
        <f t="shared" si="11"/>
        <v>1.7301621760955843E-2</v>
      </c>
      <c r="BX108" s="4">
        <f t="shared" si="11"/>
        <v>1.7699856520843493E-2</v>
      </c>
      <c r="BY108" s="4">
        <f t="shared" si="11"/>
        <v>1.7654414399125296E-2</v>
      </c>
      <c r="BZ108" s="4">
        <f t="shared" si="10"/>
        <v>1.757693223429535E-2</v>
      </c>
      <c r="CA108" s="4">
        <f t="shared" si="10"/>
        <v>1.7438034424847926E-2</v>
      </c>
      <c r="CB108" s="4">
        <f t="shared" si="10"/>
        <v>1.7391632854971695E-2</v>
      </c>
      <c r="CC108" s="4">
        <f t="shared" si="10"/>
        <v>1.7545670372811184E-2</v>
      </c>
      <c r="CD108" s="4">
        <f t="shared" si="9"/>
        <v>1.7545677219601652E-2</v>
      </c>
      <c r="CE108" s="4">
        <f t="shared" si="9"/>
        <v>1.7545711796216334E-2</v>
      </c>
      <c r="CF108" s="4">
        <f t="shared" si="9"/>
        <v>1.7545761030404838E-2</v>
      </c>
      <c r="CH108">
        <v>1553556</v>
      </c>
    </row>
    <row r="109" spans="1:86" x14ac:dyDescent="0.25">
      <c r="A109" s="2">
        <v>107</v>
      </c>
      <c r="B109" s="3" t="s">
        <v>132</v>
      </c>
      <c r="C109" t="s">
        <v>132</v>
      </c>
      <c r="D109" t="s">
        <v>7</v>
      </c>
      <c r="E109">
        <v>1</v>
      </c>
      <c r="F109">
        <v>480579</v>
      </c>
      <c r="G109">
        <v>491140</v>
      </c>
      <c r="H109">
        <v>502558</v>
      </c>
      <c r="I109">
        <v>513409</v>
      </c>
      <c r="J109">
        <v>521753</v>
      </c>
      <c r="K109">
        <v>526327</v>
      </c>
      <c r="L109">
        <v>526419</v>
      </c>
      <c r="M109">
        <v>522796</v>
      </c>
      <c r="N109">
        <v>517481</v>
      </c>
      <c r="O109">
        <v>513340</v>
      </c>
      <c r="P109">
        <v>512407</v>
      </c>
      <c r="Q109">
        <v>515449</v>
      </c>
      <c r="R109">
        <v>521785</v>
      </c>
      <c r="S109">
        <v>530220</v>
      </c>
      <c r="T109">
        <v>538902</v>
      </c>
      <c r="U109">
        <v>546487</v>
      </c>
      <c r="V109">
        <v>552562</v>
      </c>
      <c r="W109">
        <v>557576</v>
      </c>
      <c r="X109">
        <v>562065</v>
      </c>
      <c r="Y109">
        <v>566888</v>
      </c>
      <c r="Z109">
        <v>572608</v>
      </c>
      <c r="AA109">
        <v>579445</v>
      </c>
      <c r="AB109">
        <v>587001</v>
      </c>
      <c r="AC109">
        <v>594506</v>
      </c>
      <c r="AD109">
        <v>600884</v>
      </c>
      <c r="AE109">
        <v>605398</v>
      </c>
      <c r="AF109">
        <v>607711</v>
      </c>
      <c r="AG109">
        <v>608144</v>
      </c>
      <c r="AH109">
        <v>607413</v>
      </c>
      <c r="AI109">
        <v>606571</v>
      </c>
      <c r="AJ109">
        <v>606372</v>
      </c>
      <c r="AK109">
        <v>607105</v>
      </c>
      <c r="AL109">
        <v>608516</v>
      </c>
      <c r="AM109">
        <v>610170</v>
      </c>
      <c r="AN109">
        <v>611389</v>
      </c>
      <c r="AO109">
        <v>611712</v>
      </c>
      <c r="AP109">
        <v>611003</v>
      </c>
      <c r="AQ109">
        <v>609520</v>
      </c>
      <c r="AR109">
        <v>607662</v>
      </c>
      <c r="AS109">
        <v>606001</v>
      </c>
      <c r="AT109">
        <v>604950</v>
      </c>
      <c r="AU109">
        <v>607389</v>
      </c>
      <c r="AV109">
        <v>609828</v>
      </c>
      <c r="AW109">
        <v>612267</v>
      </c>
      <c r="AX109">
        <v>613353</v>
      </c>
      <c r="AY109">
        <v>614261</v>
      </c>
      <c r="AZ109">
        <v>615025</v>
      </c>
      <c r="BA109">
        <v>615875</v>
      </c>
      <c r="BB109">
        <v>616969</v>
      </c>
      <c r="BC109">
        <v>618294</v>
      </c>
      <c r="BD109">
        <v>619428</v>
      </c>
      <c r="BE109">
        <v>620079</v>
      </c>
      <c r="BF109">
        <v>620601</v>
      </c>
      <c r="BG109">
        <v>621207</v>
      </c>
      <c r="BH109">
        <v>621810</v>
      </c>
      <c r="BI109">
        <v>622388</v>
      </c>
      <c r="BJ109">
        <v>622982</v>
      </c>
      <c r="BK109">
        <v>623576</v>
      </c>
      <c r="BL109">
        <v>624171</v>
      </c>
      <c r="BM109">
        <v>624766</v>
      </c>
      <c r="BN109">
        <v>625362</v>
      </c>
      <c r="BO109">
        <v>625959</v>
      </c>
      <c r="BP109">
        <v>626556</v>
      </c>
      <c r="BQ109">
        <v>9.5389885602426006E-4</v>
      </c>
      <c r="BR109" s="6">
        <f t="shared" si="7"/>
        <v>620601</v>
      </c>
      <c r="BT109" s="4">
        <f t="shared" si="11"/>
        <v>1.7849797250297783E-3</v>
      </c>
      <c r="BU109" s="4">
        <f t="shared" si="11"/>
        <v>1.7021641427243939E-3</v>
      </c>
      <c r="BV109" s="4">
        <f t="shared" si="11"/>
        <v>1.468473108629853E-3</v>
      </c>
      <c r="BW109" s="4">
        <f t="shared" si="11"/>
        <v>1.1757624757118279E-3</v>
      </c>
      <c r="BX109" s="4">
        <f t="shared" si="11"/>
        <v>9.5998756397430718E-4</v>
      </c>
      <c r="BY109" s="4">
        <f t="shared" si="11"/>
        <v>9.2963263976786337E-4</v>
      </c>
      <c r="BZ109" s="4">
        <f t="shared" si="10"/>
        <v>9.5777401221330827E-4</v>
      </c>
      <c r="CA109" s="4">
        <f t="shared" si="10"/>
        <v>9.5202551644879563E-4</v>
      </c>
      <c r="CB109" s="4">
        <f t="shared" si="10"/>
        <v>9.4789633312419852E-4</v>
      </c>
      <c r="CC109" s="4">
        <f t="shared" si="10"/>
        <v>9.5382639298224881E-4</v>
      </c>
      <c r="CD109" s="4">
        <f t="shared" si="9"/>
        <v>9.5371853822667774E-4</v>
      </c>
      <c r="CE109" s="4">
        <f t="shared" si="9"/>
        <v>9.5401065735400969E-4</v>
      </c>
      <c r="CF109" s="4">
        <f t="shared" si="9"/>
        <v>9.5390130649475324E-4</v>
      </c>
      <c r="CH109">
        <v>13452</v>
      </c>
    </row>
    <row r="110" spans="1:86" x14ac:dyDescent="0.25">
      <c r="A110" s="2">
        <v>108</v>
      </c>
      <c r="B110" s="3" t="s">
        <v>133</v>
      </c>
      <c r="C110" t="s">
        <v>133</v>
      </c>
      <c r="D110" t="s">
        <v>9</v>
      </c>
      <c r="E110">
        <v>1</v>
      </c>
      <c r="F110">
        <v>12328534</v>
      </c>
      <c r="G110">
        <v>12713043</v>
      </c>
      <c r="H110">
        <v>13100843</v>
      </c>
      <c r="I110">
        <v>13488517</v>
      </c>
      <c r="J110">
        <v>13871988</v>
      </c>
      <c r="K110">
        <v>14248426</v>
      </c>
      <c r="L110">
        <v>14617077</v>
      </c>
      <c r="M110">
        <v>14978905</v>
      </c>
      <c r="N110">
        <v>15335173</v>
      </c>
      <c r="O110">
        <v>15687996</v>
      </c>
      <c r="P110">
        <v>16039600</v>
      </c>
      <c r="Q110">
        <v>16389949</v>
      </c>
      <c r="R110">
        <v>16740525</v>
      </c>
      <c r="S110">
        <v>17097003</v>
      </c>
      <c r="T110">
        <v>17466606</v>
      </c>
      <c r="U110">
        <v>17854614</v>
      </c>
      <c r="V110">
        <v>18262366</v>
      </c>
      <c r="W110">
        <v>18688782</v>
      </c>
      <c r="X110">
        <v>19133462</v>
      </c>
      <c r="Y110">
        <v>19595092</v>
      </c>
      <c r="Z110">
        <v>20071902</v>
      </c>
      <c r="AA110">
        <v>20564359</v>
      </c>
      <c r="AB110">
        <v>21070647</v>
      </c>
      <c r="AC110">
        <v>21583746</v>
      </c>
      <c r="AD110">
        <v>22094516</v>
      </c>
      <c r="AE110">
        <v>22596133</v>
      </c>
      <c r="AF110">
        <v>23084731</v>
      </c>
      <c r="AG110">
        <v>23560825</v>
      </c>
      <c r="AH110">
        <v>24027330</v>
      </c>
      <c r="AI110">
        <v>24489354</v>
      </c>
      <c r="AJ110">
        <v>24950128</v>
      </c>
      <c r="AK110">
        <v>25410178</v>
      </c>
      <c r="AL110">
        <v>25866445</v>
      </c>
      <c r="AM110">
        <v>26314339</v>
      </c>
      <c r="AN110">
        <v>26747660</v>
      </c>
      <c r="AO110">
        <v>27161889</v>
      </c>
      <c r="AP110">
        <v>27556892</v>
      </c>
      <c r="AQ110">
        <v>27934014</v>
      </c>
      <c r="AR110">
        <v>28292299</v>
      </c>
      <c r="AS110">
        <v>28630973</v>
      </c>
      <c r="AT110">
        <v>28950553</v>
      </c>
      <c r="AU110">
        <v>29250983</v>
      </c>
      <c r="AV110">
        <v>29535591</v>
      </c>
      <c r="AW110">
        <v>29812685</v>
      </c>
      <c r="AX110">
        <v>30093109</v>
      </c>
      <c r="AY110">
        <v>30385479</v>
      </c>
      <c r="AZ110">
        <v>30691434</v>
      </c>
      <c r="BA110">
        <v>31011322</v>
      </c>
      <c r="BB110">
        <v>31350544</v>
      </c>
      <c r="BC110">
        <v>31714958</v>
      </c>
      <c r="BD110">
        <v>32107739</v>
      </c>
      <c r="BE110">
        <v>32531964</v>
      </c>
      <c r="BF110">
        <v>32984190</v>
      </c>
      <c r="BG110">
        <v>33452686</v>
      </c>
      <c r="BH110">
        <v>33921203</v>
      </c>
      <c r="BI110">
        <v>34377511</v>
      </c>
      <c r="BJ110">
        <v>34850368</v>
      </c>
      <c r="BK110">
        <v>35329729</v>
      </c>
      <c r="BL110">
        <v>35815684</v>
      </c>
      <c r="BM110">
        <v>36308323</v>
      </c>
      <c r="BN110">
        <v>36807738</v>
      </c>
      <c r="BO110">
        <v>37314023</v>
      </c>
      <c r="BP110">
        <v>37827271</v>
      </c>
      <c r="BQ110">
        <v>1.3754841059758993E-2</v>
      </c>
      <c r="BR110" s="6">
        <f t="shared" si="7"/>
        <v>32984190</v>
      </c>
      <c r="BT110" s="4">
        <f t="shared" si="11"/>
        <v>1.1342215288598911E-2</v>
      </c>
      <c r="BU110" s="4">
        <f t="shared" si="11"/>
        <v>1.203958683092976E-2</v>
      </c>
      <c r="BV110" s="4">
        <f t="shared" si="11"/>
        <v>1.2780161145102387E-2</v>
      </c>
      <c r="BW110" s="4">
        <f t="shared" si="11"/>
        <v>1.3425232777036999E-2</v>
      </c>
      <c r="BX110" s="4">
        <f t="shared" si="11"/>
        <v>1.3830565631318237E-2</v>
      </c>
      <c r="BY110" s="4">
        <f t="shared" si="11"/>
        <v>1.3890460002470961E-2</v>
      </c>
      <c r="BZ110" s="4">
        <f t="shared" si="10"/>
        <v>1.3853923608525776E-2</v>
      </c>
      <c r="CA110" s="4">
        <f t="shared" si="10"/>
        <v>1.3741738658643143E-2</v>
      </c>
      <c r="CB110" s="4">
        <f t="shared" si="10"/>
        <v>1.3679120099920006E-2</v>
      </c>
      <c r="CC110" s="4">
        <f t="shared" si="10"/>
        <v>1.3754838730084984E-2</v>
      </c>
      <c r="CD110" s="4">
        <f t="shared" si="9"/>
        <v>1.3754838723526452E-2</v>
      </c>
      <c r="CE110" s="4">
        <f t="shared" si="9"/>
        <v>1.3754843492033375E-2</v>
      </c>
      <c r="CF110" s="4">
        <f t="shared" si="9"/>
        <v>1.3754839073981229E-2</v>
      </c>
      <c r="CH110">
        <v>446300</v>
      </c>
    </row>
    <row r="111" spans="1:86" x14ac:dyDescent="0.25">
      <c r="A111" s="2">
        <v>109</v>
      </c>
      <c r="B111" s="3" t="s">
        <v>134</v>
      </c>
      <c r="C111" t="s">
        <v>134</v>
      </c>
      <c r="D111" t="s">
        <v>14</v>
      </c>
      <c r="E111">
        <v>1</v>
      </c>
      <c r="F111">
        <v>7493278</v>
      </c>
      <c r="G111">
        <v>7643290</v>
      </c>
      <c r="H111">
        <v>7799396</v>
      </c>
      <c r="I111">
        <v>7961458</v>
      </c>
      <c r="J111">
        <v>8129268</v>
      </c>
      <c r="K111">
        <v>8302736</v>
      </c>
      <c r="L111">
        <v>8482373</v>
      </c>
      <c r="M111">
        <v>8668529</v>
      </c>
      <c r="N111">
        <v>8860823</v>
      </c>
      <c r="O111">
        <v>9058691</v>
      </c>
      <c r="P111">
        <v>9262078</v>
      </c>
      <c r="Q111">
        <v>9468836</v>
      </c>
      <c r="R111">
        <v>9679753</v>
      </c>
      <c r="S111">
        <v>9901052</v>
      </c>
      <c r="T111">
        <v>10141147</v>
      </c>
      <c r="U111">
        <v>10405000</v>
      </c>
      <c r="V111">
        <v>10693688</v>
      </c>
      <c r="W111">
        <v>11001909</v>
      </c>
      <c r="X111">
        <v>11320103</v>
      </c>
      <c r="Y111">
        <v>11635174</v>
      </c>
      <c r="Z111">
        <v>11936379</v>
      </c>
      <c r="AA111">
        <v>12228508</v>
      </c>
      <c r="AB111">
        <v>12511864</v>
      </c>
      <c r="AC111">
        <v>12766859</v>
      </c>
      <c r="AD111">
        <v>12968335</v>
      </c>
      <c r="AE111">
        <v>13102982</v>
      </c>
      <c r="AF111">
        <v>13155271</v>
      </c>
      <c r="AG111">
        <v>13142516</v>
      </c>
      <c r="AH111">
        <v>13124285</v>
      </c>
      <c r="AI111">
        <v>13181941</v>
      </c>
      <c r="AJ111">
        <v>13371971</v>
      </c>
      <c r="AK111">
        <v>13719853</v>
      </c>
      <c r="AL111">
        <v>14203987</v>
      </c>
      <c r="AM111">
        <v>14775877</v>
      </c>
      <c r="AN111">
        <v>15363065</v>
      </c>
      <c r="AO111">
        <v>15913101</v>
      </c>
      <c r="AP111">
        <v>16410777</v>
      </c>
      <c r="AQ111">
        <v>16872896</v>
      </c>
      <c r="AR111">
        <v>17317376</v>
      </c>
      <c r="AS111">
        <v>17774066</v>
      </c>
      <c r="AT111">
        <v>18264536</v>
      </c>
      <c r="AU111">
        <v>18792357</v>
      </c>
      <c r="AV111">
        <v>19348715</v>
      </c>
      <c r="AW111">
        <v>19928496</v>
      </c>
      <c r="AX111">
        <v>20523159</v>
      </c>
      <c r="AY111">
        <v>21126676</v>
      </c>
      <c r="AZ111">
        <v>21737860</v>
      </c>
      <c r="BA111">
        <v>22359637</v>
      </c>
      <c r="BB111">
        <v>22994867</v>
      </c>
      <c r="BC111">
        <v>23647815</v>
      </c>
      <c r="BD111">
        <v>24321457</v>
      </c>
      <c r="BE111">
        <v>25016921</v>
      </c>
      <c r="BF111">
        <v>25732928</v>
      </c>
      <c r="BG111">
        <v>26467180</v>
      </c>
      <c r="BH111">
        <v>27216276</v>
      </c>
      <c r="BI111">
        <v>27977863</v>
      </c>
      <c r="BJ111">
        <v>28772628</v>
      </c>
      <c r="BK111">
        <v>29589970</v>
      </c>
      <c r="BL111">
        <v>30430530</v>
      </c>
      <c r="BM111">
        <v>31294968</v>
      </c>
      <c r="BN111">
        <v>32183962</v>
      </c>
      <c r="BO111">
        <v>33098209</v>
      </c>
      <c r="BP111">
        <v>34038427</v>
      </c>
      <c r="BQ111">
        <v>2.8406919807413056E-2</v>
      </c>
      <c r="BR111" s="6">
        <f t="shared" si="7"/>
        <v>25732928</v>
      </c>
      <c r="BT111" s="4">
        <f t="shared" si="11"/>
        <v>2.8473723089946779E-2</v>
      </c>
      <c r="BU111" s="4">
        <f t="shared" si="11"/>
        <v>2.8471537084140852E-2</v>
      </c>
      <c r="BV111" s="4">
        <f t="shared" si="11"/>
        <v>2.8524344726432282E-2</v>
      </c>
      <c r="BW111" s="4">
        <f t="shared" si="11"/>
        <v>2.8558891733365233E-2</v>
      </c>
      <c r="BX111" s="4">
        <f t="shared" si="11"/>
        <v>2.8512982685510391E-2</v>
      </c>
      <c r="BY111" s="4">
        <f t="shared" si="11"/>
        <v>2.835998799275985E-2</v>
      </c>
      <c r="BZ111" s="4">
        <f t="shared" si="10"/>
        <v>2.8306501084227831E-2</v>
      </c>
      <c r="CA111" s="4">
        <f t="shared" si="10"/>
        <v>2.8274849292859061E-2</v>
      </c>
      <c r="CB111" s="4">
        <f t="shared" si="10"/>
        <v>2.8300871760278179E-2</v>
      </c>
      <c r="CC111" s="4">
        <f t="shared" si="10"/>
        <v>2.8406926778746122E-2</v>
      </c>
      <c r="CD111" s="4">
        <f t="shared" si="9"/>
        <v>2.8406928805235321E-2</v>
      </c>
      <c r="CE111" s="4">
        <f t="shared" si="9"/>
        <v>2.8406924745405515E-2</v>
      </c>
      <c r="CF111" s="4">
        <f t="shared" si="9"/>
        <v>2.8406922666635914E-2</v>
      </c>
      <c r="CH111">
        <v>786380</v>
      </c>
    </row>
    <row r="112" spans="1:86" x14ac:dyDescent="0.25">
      <c r="A112" s="2">
        <v>110</v>
      </c>
      <c r="B112" s="3" t="s">
        <v>135</v>
      </c>
      <c r="C112" t="s">
        <v>135</v>
      </c>
      <c r="D112" t="s">
        <v>14</v>
      </c>
      <c r="E112">
        <v>1</v>
      </c>
      <c r="F112">
        <v>602545</v>
      </c>
      <c r="G112">
        <v>617282</v>
      </c>
      <c r="H112">
        <v>632658</v>
      </c>
      <c r="I112">
        <v>648668</v>
      </c>
      <c r="J112">
        <v>665297</v>
      </c>
      <c r="K112">
        <v>682553</v>
      </c>
      <c r="L112">
        <v>700316</v>
      </c>
      <c r="M112">
        <v>718622</v>
      </c>
      <c r="N112">
        <v>737802</v>
      </c>
      <c r="O112">
        <v>758305</v>
      </c>
      <c r="P112">
        <v>780386</v>
      </c>
      <c r="Q112">
        <v>804309</v>
      </c>
      <c r="R112">
        <v>829806</v>
      </c>
      <c r="S112">
        <v>855965</v>
      </c>
      <c r="T112">
        <v>881530</v>
      </c>
      <c r="U112">
        <v>905647</v>
      </c>
      <c r="V112">
        <v>928228</v>
      </c>
      <c r="W112">
        <v>949734</v>
      </c>
      <c r="X112">
        <v>970569</v>
      </c>
      <c r="Y112">
        <v>991365</v>
      </c>
      <c r="Z112">
        <v>1012761</v>
      </c>
      <c r="AA112">
        <v>1034446</v>
      </c>
      <c r="AB112">
        <v>1056758</v>
      </c>
      <c r="AC112">
        <v>1081740</v>
      </c>
      <c r="AD112">
        <v>1112044</v>
      </c>
      <c r="AE112">
        <v>1149389</v>
      </c>
      <c r="AF112">
        <v>1194769</v>
      </c>
      <c r="AG112">
        <v>1247186</v>
      </c>
      <c r="AH112">
        <v>1303879</v>
      </c>
      <c r="AI112">
        <v>1360921</v>
      </c>
      <c r="AJ112">
        <v>1415447</v>
      </c>
      <c r="AK112">
        <v>1466152</v>
      </c>
      <c r="AL112">
        <v>1513689</v>
      </c>
      <c r="AM112">
        <v>1559480</v>
      </c>
      <c r="AN112">
        <v>1605828</v>
      </c>
      <c r="AO112">
        <v>1654214</v>
      </c>
      <c r="AP112">
        <v>1705349</v>
      </c>
      <c r="AQ112">
        <v>1758097</v>
      </c>
      <c r="AR112">
        <v>1809920</v>
      </c>
      <c r="AS112">
        <v>1857320</v>
      </c>
      <c r="AT112">
        <v>1897953</v>
      </c>
      <c r="AU112">
        <v>1931005</v>
      </c>
      <c r="AV112">
        <v>1957749</v>
      </c>
      <c r="AW112">
        <v>1980531</v>
      </c>
      <c r="AX112">
        <v>2002745</v>
      </c>
      <c r="AY112">
        <v>2027026</v>
      </c>
      <c r="AZ112">
        <v>2053915</v>
      </c>
      <c r="BA112">
        <v>2083174</v>
      </c>
      <c r="BB112">
        <v>2115703</v>
      </c>
      <c r="BC112">
        <v>2152357</v>
      </c>
      <c r="BD112">
        <v>2193643</v>
      </c>
      <c r="BE112">
        <v>2240161</v>
      </c>
      <c r="BF112">
        <v>2291645</v>
      </c>
      <c r="BG112">
        <v>2346592</v>
      </c>
      <c r="BH112">
        <v>2402858</v>
      </c>
      <c r="BI112">
        <v>2458830</v>
      </c>
      <c r="BJ112">
        <v>2515597</v>
      </c>
      <c r="BK112">
        <v>2573674</v>
      </c>
      <c r="BL112">
        <v>2633092</v>
      </c>
      <c r="BM112">
        <v>2693882</v>
      </c>
      <c r="BN112">
        <v>2756075</v>
      </c>
      <c r="BO112">
        <v>2819704</v>
      </c>
      <c r="BP112">
        <v>2884802</v>
      </c>
      <c r="BQ112">
        <v>2.3086868682214545E-2</v>
      </c>
      <c r="BR112" s="6">
        <f t="shared" si="7"/>
        <v>2291645</v>
      </c>
      <c r="BT112" s="4">
        <f t="shared" si="11"/>
        <v>1.6590088200595376E-2</v>
      </c>
      <c r="BU112" s="4">
        <f t="shared" si="11"/>
        <v>1.8329725971998778E-2</v>
      </c>
      <c r="BV112" s="4">
        <f t="shared" si="11"/>
        <v>2.0171437169537842E-2</v>
      </c>
      <c r="BW112" s="4">
        <f t="shared" si="11"/>
        <v>2.1835107204220883E-2</v>
      </c>
      <c r="BX112" s="4">
        <f t="shared" si="11"/>
        <v>2.3035110529227465E-2</v>
      </c>
      <c r="BY112" s="4">
        <f t="shared" si="11"/>
        <v>2.3557671829745219E-2</v>
      </c>
      <c r="BZ112" s="4">
        <f t="shared" si="10"/>
        <v>2.3583865534842596E-2</v>
      </c>
      <c r="CA112" s="4">
        <f t="shared" si="10"/>
        <v>2.336129514449925E-2</v>
      </c>
      <c r="CB112" s="4">
        <f t="shared" si="10"/>
        <v>2.3138628692523477E-2</v>
      </c>
      <c r="CC112" s="4">
        <f t="shared" si="10"/>
        <v>2.3086882235699102E-2</v>
      </c>
      <c r="CD112" s="4">
        <f t="shared" si="9"/>
        <v>2.3086822402051288E-2</v>
      </c>
      <c r="CE112" s="4">
        <f t="shared" si="9"/>
        <v>2.3086835157320795E-2</v>
      </c>
      <c r="CF112" s="4">
        <f t="shared" si="9"/>
        <v>2.3086830257912583E-2</v>
      </c>
      <c r="CH112">
        <v>823290</v>
      </c>
    </row>
    <row r="113" spans="1:86" x14ac:dyDescent="0.25">
      <c r="A113" s="2">
        <v>111</v>
      </c>
      <c r="B113" s="3" t="s">
        <v>136</v>
      </c>
      <c r="C113" t="s">
        <v>136</v>
      </c>
      <c r="D113" t="s">
        <v>25</v>
      </c>
      <c r="E113">
        <v>1</v>
      </c>
      <c r="F113">
        <v>10056945</v>
      </c>
      <c r="G113">
        <v>10215153</v>
      </c>
      <c r="H113">
        <v>10377061</v>
      </c>
      <c r="I113">
        <v>10544586</v>
      </c>
      <c r="J113">
        <v>10719988</v>
      </c>
      <c r="K113">
        <v>10905006</v>
      </c>
      <c r="L113">
        <v>11100672</v>
      </c>
      <c r="M113">
        <v>11307139</v>
      </c>
      <c r="N113">
        <v>11524132</v>
      </c>
      <c r="O113">
        <v>11750914</v>
      </c>
      <c r="P113">
        <v>11986974</v>
      </c>
      <c r="Q113">
        <v>12232454</v>
      </c>
      <c r="R113">
        <v>12487785</v>
      </c>
      <c r="S113">
        <v>12753028</v>
      </c>
      <c r="T113">
        <v>13028248</v>
      </c>
      <c r="U113">
        <v>13313487</v>
      </c>
      <c r="V113">
        <v>13608670</v>
      </c>
      <c r="W113">
        <v>13913775</v>
      </c>
      <c r="X113">
        <v>14228941</v>
      </c>
      <c r="Y113">
        <v>14554356</v>
      </c>
      <c r="Z113">
        <v>14890080</v>
      </c>
      <c r="AA113">
        <v>15237302</v>
      </c>
      <c r="AB113">
        <v>15596012</v>
      </c>
      <c r="AC113">
        <v>15963746</v>
      </c>
      <c r="AD113">
        <v>16337117</v>
      </c>
      <c r="AE113">
        <v>16714335</v>
      </c>
      <c r="AF113">
        <v>17091959</v>
      </c>
      <c r="AG113">
        <v>17472138</v>
      </c>
      <c r="AH113">
        <v>17865238</v>
      </c>
      <c r="AI113">
        <v>18285434</v>
      </c>
      <c r="AJ113">
        <v>18741688</v>
      </c>
      <c r="AK113">
        <v>19237322</v>
      </c>
      <c r="AL113">
        <v>19765570</v>
      </c>
      <c r="AM113">
        <v>20312687</v>
      </c>
      <c r="AN113">
        <v>20859421</v>
      </c>
      <c r="AO113">
        <v>21390905</v>
      </c>
      <c r="AP113">
        <v>21902534</v>
      </c>
      <c r="AQ113">
        <v>22395247</v>
      </c>
      <c r="AR113">
        <v>22866496</v>
      </c>
      <c r="AS113">
        <v>23315053</v>
      </c>
      <c r="AT113">
        <v>23740145</v>
      </c>
      <c r="AU113">
        <v>24140941</v>
      </c>
      <c r="AV113">
        <v>24516969</v>
      </c>
      <c r="AW113">
        <v>24868900</v>
      </c>
      <c r="AX113">
        <v>25198130</v>
      </c>
      <c r="AY113">
        <v>25506847</v>
      </c>
      <c r="AZ113">
        <v>25794344</v>
      </c>
      <c r="BA113">
        <v>26063619</v>
      </c>
      <c r="BB113">
        <v>26325183</v>
      </c>
      <c r="BC113">
        <v>26592666</v>
      </c>
      <c r="BD113">
        <v>26875910</v>
      </c>
      <c r="BE113">
        <v>27179237</v>
      </c>
      <c r="BF113">
        <v>27500515</v>
      </c>
      <c r="BG113">
        <v>27834981</v>
      </c>
      <c r="BH113">
        <v>28174724</v>
      </c>
      <c r="BI113">
        <v>28513700</v>
      </c>
      <c r="BJ113">
        <v>28853045</v>
      </c>
      <c r="BK113">
        <v>29196429</v>
      </c>
      <c r="BL113">
        <v>29543899</v>
      </c>
      <c r="BM113">
        <v>29895505</v>
      </c>
      <c r="BN113">
        <v>30251295</v>
      </c>
      <c r="BO113">
        <v>30611320</v>
      </c>
      <c r="BP113">
        <v>30975629</v>
      </c>
      <c r="BQ113">
        <v>1.1901126937738038E-2</v>
      </c>
      <c r="BR113" s="6">
        <f t="shared" si="7"/>
        <v>27500515</v>
      </c>
      <c r="BT113" s="4">
        <f t="shared" si="11"/>
        <v>1.0321680625395402E-2</v>
      </c>
      <c r="BU113" s="4">
        <f t="shared" si="11"/>
        <v>1.0533314430672069E-2</v>
      </c>
      <c r="BV113" s="4">
        <f t="shared" si="11"/>
        <v>1.0979517866560595E-2</v>
      </c>
      <c r="BW113" s="4">
        <f t="shared" si="11"/>
        <v>1.147991308721874E-2</v>
      </c>
      <c r="BX113" s="4">
        <f t="shared" si="11"/>
        <v>1.1868608972338768E-2</v>
      </c>
      <c r="BY113" s="4">
        <f t="shared" si="11"/>
        <v>1.2054916114182523E-2</v>
      </c>
      <c r="BZ113" s="4">
        <f t="shared" si="10"/>
        <v>1.207502185506093E-2</v>
      </c>
      <c r="CA113" s="4">
        <f t="shared" si="10"/>
        <v>1.2009761994557611E-2</v>
      </c>
      <c r="CB113" s="4">
        <f t="shared" si="10"/>
        <v>1.1933643183582143E-2</v>
      </c>
      <c r="CC113" s="4">
        <f t="shared" si="10"/>
        <v>1.1901126777561499E-2</v>
      </c>
      <c r="CD113" s="4">
        <f t="shared" si="9"/>
        <v>1.1901126536713713E-2</v>
      </c>
      <c r="CE113" s="4">
        <f t="shared" si="9"/>
        <v>1.1901128496932589E-2</v>
      </c>
      <c r="CF113" s="4">
        <f t="shared" si="9"/>
        <v>1.190113031293949E-2</v>
      </c>
      <c r="CH113">
        <v>143351</v>
      </c>
    </row>
    <row r="114" spans="1:86" x14ac:dyDescent="0.25">
      <c r="A114" s="2">
        <v>112</v>
      </c>
      <c r="B114" s="3" t="s">
        <v>137</v>
      </c>
      <c r="C114" t="s">
        <v>137</v>
      </c>
      <c r="D114" t="s">
        <v>23</v>
      </c>
      <c r="E114">
        <v>1</v>
      </c>
      <c r="F114">
        <v>11486631</v>
      </c>
      <c r="G114">
        <v>11638712</v>
      </c>
      <c r="H114">
        <v>11805689</v>
      </c>
      <c r="I114">
        <v>11965966</v>
      </c>
      <c r="J114">
        <v>12127120</v>
      </c>
      <c r="K114">
        <v>12294732</v>
      </c>
      <c r="L114">
        <v>12456251</v>
      </c>
      <c r="M114">
        <v>12598201</v>
      </c>
      <c r="N114">
        <v>12729721</v>
      </c>
      <c r="O114">
        <v>12877984</v>
      </c>
      <c r="P114">
        <v>13038526</v>
      </c>
      <c r="Q114">
        <v>13194497</v>
      </c>
      <c r="R114">
        <v>13328593</v>
      </c>
      <c r="S114">
        <v>13439322</v>
      </c>
      <c r="T114">
        <v>13545056</v>
      </c>
      <c r="U114">
        <v>13666335</v>
      </c>
      <c r="V114">
        <v>13774037</v>
      </c>
      <c r="W114">
        <v>13856185</v>
      </c>
      <c r="X114">
        <v>13941700</v>
      </c>
      <c r="Y114">
        <v>14038270</v>
      </c>
      <c r="Z114">
        <v>14149800</v>
      </c>
      <c r="AA114">
        <v>14247208</v>
      </c>
      <c r="AB114">
        <v>14312690</v>
      </c>
      <c r="AC114">
        <v>14367070</v>
      </c>
      <c r="AD114">
        <v>14424211</v>
      </c>
      <c r="AE114">
        <v>14491632</v>
      </c>
      <c r="AF114">
        <v>14572278</v>
      </c>
      <c r="AG114">
        <v>14665037</v>
      </c>
      <c r="AH114">
        <v>14760094</v>
      </c>
      <c r="AI114">
        <v>14848907</v>
      </c>
      <c r="AJ114">
        <v>14951510</v>
      </c>
      <c r="AK114">
        <v>15069798</v>
      </c>
      <c r="AL114">
        <v>15184166</v>
      </c>
      <c r="AM114">
        <v>15290368</v>
      </c>
      <c r="AN114">
        <v>15382838</v>
      </c>
      <c r="AO114">
        <v>15459006</v>
      </c>
      <c r="AP114">
        <v>15530498</v>
      </c>
      <c r="AQ114">
        <v>15610650</v>
      </c>
      <c r="AR114">
        <v>15707209</v>
      </c>
      <c r="AS114">
        <v>15812088</v>
      </c>
      <c r="AT114">
        <v>15925513</v>
      </c>
      <c r="AU114">
        <v>16046180</v>
      </c>
      <c r="AV114">
        <v>16148929</v>
      </c>
      <c r="AW114">
        <v>16225302</v>
      </c>
      <c r="AX114">
        <v>16281779</v>
      </c>
      <c r="AY114">
        <v>16319868</v>
      </c>
      <c r="AZ114">
        <v>16346101</v>
      </c>
      <c r="BA114">
        <v>16381696</v>
      </c>
      <c r="BB114">
        <v>16445593</v>
      </c>
      <c r="BC114">
        <v>16530388</v>
      </c>
      <c r="BD114">
        <v>16615394</v>
      </c>
      <c r="BE114">
        <v>16693074</v>
      </c>
      <c r="BF114">
        <v>16754962</v>
      </c>
      <c r="BG114">
        <v>16804432</v>
      </c>
      <c r="BH114">
        <v>16865008</v>
      </c>
      <c r="BI114">
        <v>16936520</v>
      </c>
      <c r="BJ114">
        <v>17001486</v>
      </c>
      <c r="BK114">
        <v>17066701</v>
      </c>
      <c r="BL114">
        <v>17132167</v>
      </c>
      <c r="BM114">
        <v>17197884</v>
      </c>
      <c r="BN114">
        <v>17263853</v>
      </c>
      <c r="BO114">
        <v>17330075</v>
      </c>
      <c r="BP114">
        <v>17396551</v>
      </c>
      <c r="BQ114">
        <v>3.8358625914631794E-3</v>
      </c>
      <c r="BR114" s="6">
        <f t="shared" si="7"/>
        <v>16754962</v>
      </c>
      <c r="BT114" s="4">
        <f t="shared" si="11"/>
        <v>4.0934094776676755E-3</v>
      </c>
      <c r="BU114" s="4">
        <f t="shared" si="11"/>
        <v>4.7184190692699524E-3</v>
      </c>
      <c r="BV114" s="4">
        <f t="shared" si="11"/>
        <v>4.6700997387778553E-3</v>
      </c>
      <c r="BW114" s="4">
        <f t="shared" si="11"/>
        <v>4.1190292551105401E-3</v>
      </c>
      <c r="BX114" s="4">
        <f t="shared" si="11"/>
        <v>3.734788965566338E-3</v>
      </c>
      <c r="BY114" s="4">
        <f t="shared" si="11"/>
        <v>3.6261421854260067E-3</v>
      </c>
      <c r="BZ114" s="4">
        <f t="shared" si="10"/>
        <v>3.6582498197530455E-3</v>
      </c>
      <c r="CA114" s="4">
        <f t="shared" si="10"/>
        <v>3.8791530009951725E-3</v>
      </c>
      <c r="CB114" s="4">
        <f t="shared" si="10"/>
        <v>3.9369456594591234E-3</v>
      </c>
      <c r="CC114" s="4">
        <f t="shared" si="10"/>
        <v>3.8358671308478254E-3</v>
      </c>
      <c r="CD114" s="4">
        <f t="shared" si="9"/>
        <v>3.8358736161330231E-3</v>
      </c>
      <c r="CE114" s="4">
        <f t="shared" si="9"/>
        <v>3.8358823317279356E-3</v>
      </c>
      <c r="CF114" s="4">
        <f t="shared" si="9"/>
        <v>3.8358783807539432E-3</v>
      </c>
      <c r="CH114">
        <v>33893</v>
      </c>
    </row>
    <row r="115" spans="1:86" x14ac:dyDescent="0.25">
      <c r="A115" s="2">
        <v>113</v>
      </c>
      <c r="B115" s="3" t="s">
        <v>138</v>
      </c>
      <c r="C115" t="s">
        <v>139</v>
      </c>
      <c r="D115" t="s">
        <v>21</v>
      </c>
      <c r="E115">
        <v>1</v>
      </c>
      <c r="F115">
        <v>2371800</v>
      </c>
      <c r="G115">
        <v>2419700</v>
      </c>
      <c r="H115">
        <v>2482000</v>
      </c>
      <c r="I115">
        <v>2531800</v>
      </c>
      <c r="J115">
        <v>2585400</v>
      </c>
      <c r="K115">
        <v>2628400</v>
      </c>
      <c r="L115">
        <v>2675900</v>
      </c>
      <c r="M115">
        <v>2724100</v>
      </c>
      <c r="N115">
        <v>2748100</v>
      </c>
      <c r="O115">
        <v>2772800</v>
      </c>
      <c r="P115">
        <v>2810700</v>
      </c>
      <c r="Q115">
        <v>2853000</v>
      </c>
      <c r="R115">
        <v>2903900</v>
      </c>
      <c r="S115">
        <v>2961300</v>
      </c>
      <c r="T115">
        <v>3023700</v>
      </c>
      <c r="U115">
        <v>3083100</v>
      </c>
      <c r="V115">
        <v>3110500</v>
      </c>
      <c r="W115">
        <v>3120200</v>
      </c>
      <c r="X115">
        <v>3121200</v>
      </c>
      <c r="Y115">
        <v>3109000</v>
      </c>
      <c r="Z115">
        <v>3112900</v>
      </c>
      <c r="AA115">
        <v>3124900</v>
      </c>
      <c r="AB115">
        <v>3156100</v>
      </c>
      <c r="AC115">
        <v>3199300</v>
      </c>
      <c r="AD115">
        <v>3227100</v>
      </c>
      <c r="AE115">
        <v>3247100</v>
      </c>
      <c r="AF115">
        <v>3246300</v>
      </c>
      <c r="AG115">
        <v>3274400</v>
      </c>
      <c r="AH115">
        <v>3283400</v>
      </c>
      <c r="AI115">
        <v>3299200</v>
      </c>
      <c r="AJ115">
        <v>3329800</v>
      </c>
      <c r="AK115">
        <v>3495100</v>
      </c>
      <c r="AL115">
        <v>3531700</v>
      </c>
      <c r="AM115">
        <v>3572200</v>
      </c>
      <c r="AN115">
        <v>3620000</v>
      </c>
      <c r="AO115">
        <v>3673400</v>
      </c>
      <c r="AP115">
        <v>3732000</v>
      </c>
      <c r="AQ115">
        <v>3781300</v>
      </c>
      <c r="AR115">
        <v>3815000</v>
      </c>
      <c r="AS115">
        <v>3835100</v>
      </c>
      <c r="AT115">
        <v>3857700</v>
      </c>
      <c r="AU115">
        <v>3880500</v>
      </c>
      <c r="AV115">
        <v>3948500</v>
      </c>
      <c r="AW115">
        <v>4027200</v>
      </c>
      <c r="AX115">
        <v>4087500</v>
      </c>
      <c r="AY115">
        <v>4133900</v>
      </c>
      <c r="AZ115">
        <v>4184600</v>
      </c>
      <c r="BA115">
        <v>4223800</v>
      </c>
      <c r="BB115">
        <v>4259800</v>
      </c>
      <c r="BC115">
        <v>4302600</v>
      </c>
      <c r="BD115">
        <v>4350700</v>
      </c>
      <c r="BE115">
        <v>4384000</v>
      </c>
      <c r="BF115">
        <v>4408100</v>
      </c>
      <c r="BG115">
        <v>4442100</v>
      </c>
      <c r="BH115">
        <v>4509700</v>
      </c>
      <c r="BI115">
        <v>4595700</v>
      </c>
      <c r="BJ115">
        <v>4646331</v>
      </c>
      <c r="BK115">
        <v>4697520</v>
      </c>
      <c r="BL115">
        <v>4749273</v>
      </c>
      <c r="BM115">
        <v>4801596</v>
      </c>
      <c r="BN115">
        <v>4854496</v>
      </c>
      <c r="BO115">
        <v>4907979</v>
      </c>
      <c r="BP115">
        <v>4962051</v>
      </c>
      <c r="BQ115">
        <v>1.1017112698485487E-2</v>
      </c>
      <c r="BR115" s="6">
        <f t="shared" si="7"/>
        <v>4408100</v>
      </c>
      <c r="BT115" s="4">
        <f t="shared" si="11"/>
        <v>9.7789120621318837E-3</v>
      </c>
      <c r="BU115" s="4">
        <f t="shared" si="11"/>
        <v>9.3500291617314435E-3</v>
      </c>
      <c r="BV115" s="4">
        <f t="shared" si="11"/>
        <v>8.5920886115560258E-3</v>
      </c>
      <c r="BW115" s="4">
        <f t="shared" si="11"/>
        <v>8.0088371418491899E-3</v>
      </c>
      <c r="BX115" s="4">
        <f t="shared" si="11"/>
        <v>9.013852473095163E-3</v>
      </c>
      <c r="BY115" s="4">
        <f t="shared" si="11"/>
        <v>1.1859658133292594E-2</v>
      </c>
      <c r="BZ115" s="4">
        <f t="shared" si="10"/>
        <v>1.3245483997265772E-2</v>
      </c>
      <c r="CA115" s="4">
        <f t="shared" si="10"/>
        <v>1.4075001155137379E-2</v>
      </c>
      <c r="CB115" s="4">
        <f t="shared" si="10"/>
        <v>1.3024317402436925E-2</v>
      </c>
      <c r="CC115" s="4">
        <f t="shared" si="10"/>
        <v>1.1017065518204916E-2</v>
      </c>
      <c r="CD115" s="4">
        <f t="shared" si="9"/>
        <v>1.1017098632860156E-2</v>
      </c>
      <c r="CE115" s="4">
        <f t="shared" si="9"/>
        <v>1.1017131054182672E-2</v>
      </c>
      <c r="CF115" s="4">
        <f t="shared" si="9"/>
        <v>1.1017149100476686E-2</v>
      </c>
      <c r="CH115">
        <v>264537</v>
      </c>
    </row>
    <row r="116" spans="1:86" x14ac:dyDescent="0.25">
      <c r="A116" s="2">
        <v>114</v>
      </c>
      <c r="B116" s="3" t="s">
        <v>140</v>
      </c>
      <c r="C116" t="s">
        <v>140</v>
      </c>
      <c r="D116" t="s">
        <v>33</v>
      </c>
      <c r="E116">
        <v>1</v>
      </c>
      <c r="F116">
        <v>1774696</v>
      </c>
      <c r="G116">
        <v>1830400</v>
      </c>
      <c r="H116">
        <v>1886560</v>
      </c>
      <c r="I116">
        <v>1943591</v>
      </c>
      <c r="J116">
        <v>2002119</v>
      </c>
      <c r="K116">
        <v>2062633</v>
      </c>
      <c r="L116">
        <v>2125233</v>
      </c>
      <c r="M116">
        <v>2189880</v>
      </c>
      <c r="N116">
        <v>2256779</v>
      </c>
      <c r="O116">
        <v>2326136</v>
      </c>
      <c r="P116">
        <v>2398095</v>
      </c>
      <c r="Q116">
        <v>2472656</v>
      </c>
      <c r="R116">
        <v>2549779</v>
      </c>
      <c r="S116">
        <v>2629503</v>
      </c>
      <c r="T116">
        <v>2711847</v>
      </c>
      <c r="U116">
        <v>2796748</v>
      </c>
      <c r="V116">
        <v>2884156</v>
      </c>
      <c r="W116">
        <v>2973805</v>
      </c>
      <c r="X116">
        <v>3065118</v>
      </c>
      <c r="Y116">
        <v>3157356</v>
      </c>
      <c r="Z116">
        <v>3249910</v>
      </c>
      <c r="AA116">
        <v>3342666</v>
      </c>
      <c r="AB116">
        <v>3435527</v>
      </c>
      <c r="AC116">
        <v>3527935</v>
      </c>
      <c r="AD116">
        <v>3619252</v>
      </c>
      <c r="AE116">
        <v>3709091</v>
      </c>
      <c r="AF116">
        <v>3796914</v>
      </c>
      <c r="AG116">
        <v>3882940</v>
      </c>
      <c r="AH116">
        <v>3968453</v>
      </c>
      <c r="AI116">
        <v>4055262</v>
      </c>
      <c r="AJ116">
        <v>4144564</v>
      </c>
      <c r="AK116">
        <v>4236805</v>
      </c>
      <c r="AL116">
        <v>4331273</v>
      </c>
      <c r="AM116">
        <v>4426577</v>
      </c>
      <c r="AN116">
        <v>4520727</v>
      </c>
      <c r="AO116">
        <v>4612229</v>
      </c>
      <c r="AP116">
        <v>4700777</v>
      </c>
      <c r="AQ116">
        <v>4786641</v>
      </c>
      <c r="AR116">
        <v>4869627</v>
      </c>
      <c r="AS116">
        <v>4949661</v>
      </c>
      <c r="AT116">
        <v>5026792</v>
      </c>
      <c r="AU116">
        <v>5100750</v>
      </c>
      <c r="AV116">
        <v>5171736</v>
      </c>
      <c r="AW116">
        <v>5240876</v>
      </c>
      <c r="AX116">
        <v>5309703</v>
      </c>
      <c r="AY116">
        <v>5379327</v>
      </c>
      <c r="AZ116">
        <v>5450217</v>
      </c>
      <c r="BA116">
        <v>5522119</v>
      </c>
      <c r="BB116">
        <v>5594524</v>
      </c>
      <c r="BC116">
        <v>5666595</v>
      </c>
      <c r="BD116">
        <v>5737722</v>
      </c>
      <c r="BE116">
        <v>5807787</v>
      </c>
      <c r="BF116">
        <v>5877034</v>
      </c>
      <c r="BG116">
        <v>5945646</v>
      </c>
      <c r="BH116">
        <v>6013913</v>
      </c>
      <c r="BI116">
        <v>6082032</v>
      </c>
      <c r="BJ116">
        <v>6153335</v>
      </c>
      <c r="BK116">
        <v>6225474</v>
      </c>
      <c r="BL116">
        <v>6298458</v>
      </c>
      <c r="BM116">
        <v>6372298</v>
      </c>
      <c r="BN116">
        <v>6447004</v>
      </c>
      <c r="BO116">
        <v>6522585</v>
      </c>
      <c r="BP116">
        <v>6599053</v>
      </c>
      <c r="BQ116">
        <v>1.1723504506555571E-2</v>
      </c>
      <c r="BR116" s="6">
        <f t="shared" si="7"/>
        <v>5877034</v>
      </c>
      <c r="BT116" s="4">
        <f t="shared" si="11"/>
        <v>1.2934648916056668E-2</v>
      </c>
      <c r="BU116" s="4">
        <f t="shared" si="11"/>
        <v>1.2689319725426973E-2</v>
      </c>
      <c r="BV116" s="4">
        <f t="shared" si="11"/>
        <v>1.2392141766258025E-2</v>
      </c>
      <c r="BW116" s="4">
        <f t="shared" si="11"/>
        <v>1.2090197322810914E-2</v>
      </c>
      <c r="BX116" s="4">
        <f t="shared" si="11"/>
        <v>1.1822679565235861E-2</v>
      </c>
      <c r="BY116" s="4">
        <f t="shared" si="11"/>
        <v>1.1601594312576458E-2</v>
      </c>
      <c r="BZ116" s="4">
        <f t="shared" si="10"/>
        <v>1.1551711194797587E-2</v>
      </c>
      <c r="CA116" s="4">
        <f t="shared" si="10"/>
        <v>1.1563950706934722E-2</v>
      </c>
      <c r="CB116" s="4">
        <f t="shared" si="10"/>
        <v>1.1624349520896304E-2</v>
      </c>
      <c r="CC116" s="4">
        <f t="shared" si="10"/>
        <v>1.1723514830160653E-2</v>
      </c>
      <c r="CD116" s="4">
        <f t="shared" si="9"/>
        <v>1.1723516883350493E-2</v>
      </c>
      <c r="CE116" s="4">
        <f t="shared" si="9"/>
        <v>1.1723484057250877E-2</v>
      </c>
      <c r="CF116" s="4">
        <f t="shared" si="9"/>
        <v>1.172351608557487E-2</v>
      </c>
      <c r="CH116">
        <v>119990</v>
      </c>
    </row>
    <row r="117" spans="1:86" x14ac:dyDescent="0.25">
      <c r="A117" s="2">
        <v>115</v>
      </c>
      <c r="B117" s="3" t="s">
        <v>141</v>
      </c>
      <c r="C117" t="s">
        <v>141</v>
      </c>
      <c r="D117" t="s">
        <v>14</v>
      </c>
      <c r="E117">
        <v>1</v>
      </c>
      <c r="F117">
        <v>3395212</v>
      </c>
      <c r="G117">
        <v>3493636</v>
      </c>
      <c r="H117">
        <v>3596613</v>
      </c>
      <c r="I117">
        <v>3703159</v>
      </c>
      <c r="J117">
        <v>3811813</v>
      </c>
      <c r="K117">
        <v>3921581</v>
      </c>
      <c r="L117">
        <v>4032210</v>
      </c>
      <c r="M117">
        <v>4144238</v>
      </c>
      <c r="N117">
        <v>4258415</v>
      </c>
      <c r="O117">
        <v>4375837</v>
      </c>
      <c r="P117">
        <v>4497355</v>
      </c>
      <c r="Q117">
        <v>4623121</v>
      </c>
      <c r="R117">
        <v>4753054</v>
      </c>
      <c r="S117">
        <v>4887484</v>
      </c>
      <c r="T117">
        <v>5026744</v>
      </c>
      <c r="U117">
        <v>5171029</v>
      </c>
      <c r="V117">
        <v>5320869</v>
      </c>
      <c r="W117">
        <v>5476206</v>
      </c>
      <c r="X117">
        <v>5635954</v>
      </c>
      <c r="Y117">
        <v>5798584</v>
      </c>
      <c r="Z117">
        <v>5963159</v>
      </c>
      <c r="AA117">
        <v>6129762</v>
      </c>
      <c r="AB117">
        <v>6299343</v>
      </c>
      <c r="AC117">
        <v>6472971</v>
      </c>
      <c r="AD117">
        <v>6652110</v>
      </c>
      <c r="AE117">
        <v>6838170</v>
      </c>
      <c r="AF117">
        <v>7031675</v>
      </c>
      <c r="AG117">
        <v>7233482</v>
      </c>
      <c r="AH117">
        <v>7445788</v>
      </c>
      <c r="AI117">
        <v>7671233</v>
      </c>
      <c r="AJ117">
        <v>7911884</v>
      </c>
      <c r="AK117">
        <v>8168834</v>
      </c>
      <c r="AL117">
        <v>8442330</v>
      </c>
      <c r="AM117">
        <v>8732500</v>
      </c>
      <c r="AN117">
        <v>9039088</v>
      </c>
      <c r="AO117">
        <v>9361912</v>
      </c>
      <c r="AP117">
        <v>9701730</v>
      </c>
      <c r="AQ117">
        <v>10058960</v>
      </c>
      <c r="AR117">
        <v>10432657</v>
      </c>
      <c r="AS117">
        <v>10821434</v>
      </c>
      <c r="AT117">
        <v>11224523</v>
      </c>
      <c r="AU117">
        <v>11642308</v>
      </c>
      <c r="AV117">
        <v>12075991</v>
      </c>
      <c r="AW117">
        <v>12526725</v>
      </c>
      <c r="AX117">
        <v>12996012</v>
      </c>
      <c r="AY117">
        <v>13485436</v>
      </c>
      <c r="AZ117">
        <v>13995530</v>
      </c>
      <c r="BA117">
        <v>14527631</v>
      </c>
      <c r="BB117">
        <v>15085130</v>
      </c>
      <c r="BC117">
        <v>15672194</v>
      </c>
      <c r="BD117">
        <v>16291990</v>
      </c>
      <c r="BE117">
        <v>16946485</v>
      </c>
      <c r="BF117">
        <v>17635782</v>
      </c>
      <c r="BG117">
        <v>18358863</v>
      </c>
      <c r="BH117">
        <v>19113728</v>
      </c>
      <c r="BI117">
        <v>19899120</v>
      </c>
      <c r="BJ117">
        <v>20711227</v>
      </c>
      <c r="BK117">
        <v>21556477</v>
      </c>
      <c r="BL117">
        <v>22436222</v>
      </c>
      <c r="BM117">
        <v>23351871</v>
      </c>
      <c r="BN117">
        <v>24304888</v>
      </c>
      <c r="BO117">
        <v>25296799</v>
      </c>
      <c r="BP117">
        <v>26329191</v>
      </c>
      <c r="BQ117">
        <v>4.0811176707161501E-2</v>
      </c>
      <c r="BR117" s="6">
        <f t="shared" si="7"/>
        <v>17635782</v>
      </c>
      <c r="BT117" s="4">
        <f t="shared" si="11"/>
        <v>3.8714505043746517E-2</v>
      </c>
      <c r="BU117" s="4">
        <f t="shared" si="11"/>
        <v>3.9252810858174225E-2</v>
      </c>
      <c r="BV117" s="4">
        <f t="shared" si="11"/>
        <v>3.9827780724238648E-2</v>
      </c>
      <c r="BW117" s="4">
        <f t="shared" si="11"/>
        <v>4.0348859736979437E-2</v>
      </c>
      <c r="BX117" s="4">
        <f t="shared" si="11"/>
        <v>4.0741365967600141E-2</v>
      </c>
      <c r="BY117" s="4">
        <f t="shared" si="11"/>
        <v>4.0970829877740478E-2</v>
      </c>
      <c r="BZ117" s="4">
        <f t="shared" si="10"/>
        <v>4.1004907161210413E-2</v>
      </c>
      <c r="CA117" s="4">
        <f t="shared" si="10"/>
        <v>4.095750582498936E-2</v>
      </c>
      <c r="CB117" s="4">
        <f t="shared" si="10"/>
        <v>4.0881001644773152E-2</v>
      </c>
      <c r="CC117" s="4">
        <f t="shared" si="10"/>
        <v>4.0811190448428958E-2</v>
      </c>
      <c r="CD117" s="4">
        <f t="shared" si="9"/>
        <v>4.0811180626029175E-2</v>
      </c>
      <c r="CE117" s="4">
        <f t="shared" si="9"/>
        <v>4.0811174320106725E-2</v>
      </c>
      <c r="CF117" s="4">
        <f t="shared" si="9"/>
        <v>4.0811175221763474E-2</v>
      </c>
      <c r="CH117">
        <v>1266700</v>
      </c>
    </row>
    <row r="118" spans="1:86" x14ac:dyDescent="0.25">
      <c r="A118" s="2">
        <v>116</v>
      </c>
      <c r="B118" s="3" t="s">
        <v>142</v>
      </c>
      <c r="C118" t="s">
        <v>142</v>
      </c>
      <c r="D118" t="s">
        <v>14</v>
      </c>
      <c r="E118">
        <v>1</v>
      </c>
      <c r="F118">
        <v>45211614</v>
      </c>
      <c r="G118">
        <v>46144154</v>
      </c>
      <c r="H118">
        <v>47117859</v>
      </c>
      <c r="I118">
        <v>48128460</v>
      </c>
      <c r="J118">
        <v>49169819</v>
      </c>
      <c r="K118">
        <v>50238569</v>
      </c>
      <c r="L118">
        <v>51336375</v>
      </c>
      <c r="M118">
        <v>52468593</v>
      </c>
      <c r="N118">
        <v>53640547</v>
      </c>
      <c r="O118">
        <v>54859201</v>
      </c>
      <c r="P118">
        <v>56131844</v>
      </c>
      <c r="Q118">
        <v>57453734</v>
      </c>
      <c r="R118">
        <v>58829319</v>
      </c>
      <c r="S118">
        <v>60285453</v>
      </c>
      <c r="T118">
        <v>61857023</v>
      </c>
      <c r="U118">
        <v>63565598</v>
      </c>
      <c r="V118">
        <v>65426976</v>
      </c>
      <c r="W118">
        <v>67425435</v>
      </c>
      <c r="X118">
        <v>69512233</v>
      </c>
      <c r="Y118">
        <v>71619216</v>
      </c>
      <c r="Z118">
        <v>73698096</v>
      </c>
      <c r="AA118">
        <v>75729572</v>
      </c>
      <c r="AB118">
        <v>77729802</v>
      </c>
      <c r="AC118">
        <v>79729311</v>
      </c>
      <c r="AD118">
        <v>81775215</v>
      </c>
      <c r="AE118">
        <v>83901570</v>
      </c>
      <c r="AF118">
        <v>86118043</v>
      </c>
      <c r="AG118">
        <v>88412917</v>
      </c>
      <c r="AH118">
        <v>90773613</v>
      </c>
      <c r="AI118">
        <v>93179755</v>
      </c>
      <c r="AJ118">
        <v>95617345</v>
      </c>
      <c r="AK118">
        <v>98085436</v>
      </c>
      <c r="AL118">
        <v>100592458</v>
      </c>
      <c r="AM118">
        <v>103145093</v>
      </c>
      <c r="AN118">
        <v>105753088</v>
      </c>
      <c r="AO118">
        <v>108424822</v>
      </c>
      <c r="AP118">
        <v>111164651</v>
      </c>
      <c r="AQ118">
        <v>113975055</v>
      </c>
      <c r="AR118">
        <v>116860691</v>
      </c>
      <c r="AS118">
        <v>119826231</v>
      </c>
      <c r="AT118">
        <v>122876723</v>
      </c>
      <c r="AU118">
        <v>126014935</v>
      </c>
      <c r="AV118">
        <v>129246283</v>
      </c>
      <c r="AW118">
        <v>132581484</v>
      </c>
      <c r="AX118">
        <v>136033321</v>
      </c>
      <c r="AY118">
        <v>139611303</v>
      </c>
      <c r="AZ118">
        <v>143318011</v>
      </c>
      <c r="BA118">
        <v>147152502</v>
      </c>
      <c r="BB118">
        <v>151115683</v>
      </c>
      <c r="BC118">
        <v>155207145</v>
      </c>
      <c r="BD118">
        <v>159424742</v>
      </c>
      <c r="BE118">
        <v>163770669</v>
      </c>
      <c r="BF118">
        <v>168240403</v>
      </c>
      <c r="BG118">
        <v>172816517</v>
      </c>
      <c r="BH118">
        <v>177475986</v>
      </c>
      <c r="BI118">
        <v>182201962</v>
      </c>
      <c r="BJ118">
        <v>187133920</v>
      </c>
      <c r="BK118">
        <v>192199379</v>
      </c>
      <c r="BL118">
        <v>197401953</v>
      </c>
      <c r="BM118">
        <v>202745354</v>
      </c>
      <c r="BN118">
        <v>208233393</v>
      </c>
      <c r="BO118">
        <v>213869986</v>
      </c>
      <c r="BP118">
        <v>219659154</v>
      </c>
      <c r="BQ118">
        <v>2.7068631473217142E-2</v>
      </c>
      <c r="BR118" s="6">
        <f t="shared" si="7"/>
        <v>168240403</v>
      </c>
      <c r="BT118" s="4">
        <f t="shared" si="11"/>
        <v>2.6984142162343572E-2</v>
      </c>
      <c r="BU118" s="4">
        <f t="shared" si="11"/>
        <v>2.7110379693734865E-2</v>
      </c>
      <c r="BV118" s="4">
        <f t="shared" si="11"/>
        <v>2.7200424973687687E-2</v>
      </c>
      <c r="BW118" s="4">
        <f t="shared" si="11"/>
        <v>2.7231632191178745E-2</v>
      </c>
      <c r="BX118" s="4">
        <f t="shared" si="11"/>
        <v>2.7178613899022874E-2</v>
      </c>
      <c r="BY118" s="4">
        <f t="shared" si="11"/>
        <v>2.7020781534176752E-2</v>
      </c>
      <c r="BZ118" s="4">
        <f t="shared" si="10"/>
        <v>2.6964789834022174E-2</v>
      </c>
      <c r="CA118" s="4">
        <f t="shared" si="10"/>
        <v>2.6931990574464937E-2</v>
      </c>
      <c r="CB118" s="4">
        <f t="shared" si="10"/>
        <v>2.6958660785273425E-2</v>
      </c>
      <c r="CC118" s="4">
        <f t="shared" si="10"/>
        <v>2.7068631792327214E-2</v>
      </c>
      <c r="CD118" s="4">
        <f t="shared" si="9"/>
        <v>2.7068631133901233E-2</v>
      </c>
      <c r="CE118" s="4">
        <f t="shared" si="9"/>
        <v>2.7068631319069336E-2</v>
      </c>
      <c r="CF118" s="4">
        <f t="shared" si="9"/>
        <v>2.7068631720368552E-2</v>
      </c>
      <c r="CH118">
        <v>910768</v>
      </c>
    </row>
    <row r="119" spans="1:86" x14ac:dyDescent="0.25">
      <c r="A119" s="2">
        <v>117</v>
      </c>
      <c r="B119" s="3" t="s">
        <v>143</v>
      </c>
      <c r="C119" t="s">
        <v>143</v>
      </c>
      <c r="D119" t="s">
        <v>7</v>
      </c>
      <c r="E119">
        <v>1</v>
      </c>
      <c r="F119">
        <v>3581239</v>
      </c>
      <c r="G119">
        <v>3609800</v>
      </c>
      <c r="H119">
        <v>3638918</v>
      </c>
      <c r="I119">
        <v>3666537</v>
      </c>
      <c r="J119">
        <v>3694339</v>
      </c>
      <c r="K119">
        <v>3723168</v>
      </c>
      <c r="L119">
        <v>3753012</v>
      </c>
      <c r="M119">
        <v>3784539</v>
      </c>
      <c r="N119">
        <v>3816486</v>
      </c>
      <c r="O119">
        <v>3847707</v>
      </c>
      <c r="P119">
        <v>3875763</v>
      </c>
      <c r="Q119">
        <v>3903039</v>
      </c>
      <c r="R119">
        <v>3933004</v>
      </c>
      <c r="S119">
        <v>3960612</v>
      </c>
      <c r="T119">
        <v>3985258</v>
      </c>
      <c r="U119">
        <v>4007313</v>
      </c>
      <c r="V119">
        <v>4026152</v>
      </c>
      <c r="W119">
        <v>4043205</v>
      </c>
      <c r="X119">
        <v>4058671</v>
      </c>
      <c r="Y119">
        <v>4072517</v>
      </c>
      <c r="Z119">
        <v>4085620</v>
      </c>
      <c r="AA119">
        <v>4099702</v>
      </c>
      <c r="AB119">
        <v>4114787</v>
      </c>
      <c r="AC119">
        <v>4128432</v>
      </c>
      <c r="AD119">
        <v>4140099</v>
      </c>
      <c r="AE119">
        <v>4152516</v>
      </c>
      <c r="AF119">
        <v>4167354</v>
      </c>
      <c r="AG119">
        <v>4186905</v>
      </c>
      <c r="AH119">
        <v>4209488</v>
      </c>
      <c r="AI119">
        <v>4226901</v>
      </c>
      <c r="AJ119">
        <v>4241473</v>
      </c>
      <c r="AK119">
        <v>4261732</v>
      </c>
      <c r="AL119">
        <v>4286401</v>
      </c>
      <c r="AM119">
        <v>4311991</v>
      </c>
      <c r="AN119">
        <v>4336613</v>
      </c>
      <c r="AO119">
        <v>4359184</v>
      </c>
      <c r="AP119">
        <v>4381336</v>
      </c>
      <c r="AQ119">
        <v>4405157</v>
      </c>
      <c r="AR119">
        <v>4431464</v>
      </c>
      <c r="AS119">
        <v>4461913</v>
      </c>
      <c r="AT119">
        <v>4490967</v>
      </c>
      <c r="AU119">
        <v>4513751</v>
      </c>
      <c r="AV119">
        <v>4538159</v>
      </c>
      <c r="AW119">
        <v>4564855</v>
      </c>
      <c r="AX119">
        <v>4591910</v>
      </c>
      <c r="AY119">
        <v>4623291</v>
      </c>
      <c r="AZ119">
        <v>4660677</v>
      </c>
      <c r="BA119">
        <v>4709153</v>
      </c>
      <c r="BB119">
        <v>4768212</v>
      </c>
      <c r="BC119">
        <v>4828726</v>
      </c>
      <c r="BD119">
        <v>4889252</v>
      </c>
      <c r="BE119">
        <v>4953088</v>
      </c>
      <c r="BF119">
        <v>5018573</v>
      </c>
      <c r="BG119">
        <v>5079623</v>
      </c>
      <c r="BH119">
        <v>5137232</v>
      </c>
      <c r="BI119">
        <v>5195921</v>
      </c>
      <c r="BJ119">
        <v>5259525</v>
      </c>
      <c r="BK119">
        <v>5323908</v>
      </c>
      <c r="BL119">
        <v>5389079</v>
      </c>
      <c r="BM119">
        <v>5455048</v>
      </c>
      <c r="BN119">
        <v>5521825</v>
      </c>
      <c r="BO119">
        <v>5589419</v>
      </c>
      <c r="BP119">
        <v>5657840</v>
      </c>
      <c r="BQ119">
        <v>1.2241231622330817E-2</v>
      </c>
      <c r="BR119" s="6">
        <f t="shared" si="7"/>
        <v>5018573</v>
      </c>
      <c r="BT119" s="4">
        <f t="shared" si="11"/>
        <v>1.2041575467240273E-2</v>
      </c>
      <c r="BU119" s="4">
        <f t="shared" si="11"/>
        <v>1.2705831478954543E-2</v>
      </c>
      <c r="BV119" s="4">
        <f t="shared" si="11"/>
        <v>1.2875747321786646E-2</v>
      </c>
      <c r="BW119" s="4">
        <f t="shared" si="11"/>
        <v>1.2744118238474433E-2</v>
      </c>
      <c r="BX119" s="4">
        <f t="shared" si="11"/>
        <v>1.2445581224206803E-2</v>
      </c>
      <c r="BY119" s="4">
        <f t="shared" si="11"/>
        <v>1.2037543561305375E-2</v>
      </c>
      <c r="BZ119" s="4">
        <f t="shared" si="10"/>
        <v>1.1792764806358047E-2</v>
      </c>
      <c r="CA119" s="4">
        <f t="shared" si="10"/>
        <v>1.181185897315129E-2</v>
      </c>
      <c r="CB119" s="4">
        <f t="shared" si="10"/>
        <v>1.2036888543587976E-2</v>
      </c>
      <c r="CC119" s="4">
        <f t="shared" si="10"/>
        <v>1.2241198550534849E-2</v>
      </c>
      <c r="CD119" s="4">
        <f t="shared" si="9"/>
        <v>1.224124391838366E-2</v>
      </c>
      <c r="CE119" s="4">
        <f t="shared" si="9"/>
        <v>1.2241249719214586E-2</v>
      </c>
      <c r="CF119" s="4">
        <f t="shared" si="9"/>
        <v>1.2241242020487819E-2</v>
      </c>
      <c r="CH119">
        <v>304282</v>
      </c>
    </row>
    <row r="120" spans="1:86" x14ac:dyDescent="0.25">
      <c r="A120" s="2">
        <v>118</v>
      </c>
      <c r="B120" s="3" t="s">
        <v>144</v>
      </c>
      <c r="C120" t="s">
        <v>144</v>
      </c>
      <c r="D120" t="s">
        <v>9</v>
      </c>
      <c r="E120">
        <v>1</v>
      </c>
      <c r="F120">
        <v>551737</v>
      </c>
      <c r="G120">
        <v>564895</v>
      </c>
      <c r="H120">
        <v>578825</v>
      </c>
      <c r="I120">
        <v>593504</v>
      </c>
      <c r="J120">
        <v>608889</v>
      </c>
      <c r="K120">
        <v>625007</v>
      </c>
      <c r="L120">
        <v>642005</v>
      </c>
      <c r="M120">
        <v>660117</v>
      </c>
      <c r="N120">
        <v>679593</v>
      </c>
      <c r="O120">
        <v>700729</v>
      </c>
      <c r="P120">
        <v>723850</v>
      </c>
      <c r="Q120">
        <v>748971</v>
      </c>
      <c r="R120">
        <v>776379</v>
      </c>
      <c r="S120">
        <v>806989</v>
      </c>
      <c r="T120">
        <v>841947</v>
      </c>
      <c r="U120">
        <v>882044</v>
      </c>
      <c r="V120">
        <v>927439</v>
      </c>
      <c r="W120">
        <v>977806</v>
      </c>
      <c r="X120">
        <v>1032799</v>
      </c>
      <c r="Y120">
        <v>1091855</v>
      </c>
      <c r="Z120">
        <v>1154375</v>
      </c>
      <c r="AA120">
        <v>1220548</v>
      </c>
      <c r="AB120">
        <v>1290007</v>
      </c>
      <c r="AC120">
        <v>1360921</v>
      </c>
      <c r="AD120">
        <v>1430926</v>
      </c>
      <c r="AE120">
        <v>1498416</v>
      </c>
      <c r="AF120">
        <v>1561493</v>
      </c>
      <c r="AG120">
        <v>1620573</v>
      </c>
      <c r="AH120">
        <v>1679089</v>
      </c>
      <c r="AI120">
        <v>1741965</v>
      </c>
      <c r="AJ120">
        <v>1812159</v>
      </c>
      <c r="AK120">
        <v>1892345</v>
      </c>
      <c r="AL120">
        <v>1979914</v>
      </c>
      <c r="AM120">
        <v>2066264</v>
      </c>
      <c r="AN120">
        <v>2139539</v>
      </c>
      <c r="AO120">
        <v>2191864</v>
      </c>
      <c r="AP120">
        <v>2219768</v>
      </c>
      <c r="AQ120">
        <v>2227596</v>
      </c>
      <c r="AR120">
        <v>2224922</v>
      </c>
      <c r="AS120">
        <v>2225481</v>
      </c>
      <c r="AT120">
        <v>2239403</v>
      </c>
      <c r="AU120">
        <v>2272547</v>
      </c>
      <c r="AV120">
        <v>2323203</v>
      </c>
      <c r="AW120">
        <v>2385075</v>
      </c>
      <c r="AX120">
        <v>2448194</v>
      </c>
      <c r="AY120">
        <v>2506891</v>
      </c>
      <c r="AZ120">
        <v>2553376</v>
      </c>
      <c r="BA120">
        <v>2593750</v>
      </c>
      <c r="BB120">
        <v>2652281</v>
      </c>
      <c r="BC120">
        <v>2762073</v>
      </c>
      <c r="BD120">
        <v>2943747</v>
      </c>
      <c r="BE120">
        <v>3210003</v>
      </c>
      <c r="BF120">
        <v>3545192</v>
      </c>
      <c r="BG120">
        <v>3906912</v>
      </c>
      <c r="BH120">
        <v>4236057</v>
      </c>
      <c r="BI120">
        <v>4490541</v>
      </c>
      <c r="BJ120">
        <v>4886279</v>
      </c>
      <c r="BK120">
        <v>5316893</v>
      </c>
      <c r="BL120">
        <v>5785455</v>
      </c>
      <c r="BM120">
        <v>6295311</v>
      </c>
      <c r="BN120">
        <v>6850099</v>
      </c>
      <c r="BO120">
        <v>7453779</v>
      </c>
      <c r="BP120">
        <v>8110659</v>
      </c>
      <c r="BQ120">
        <v>8.8127125566818343E-2</v>
      </c>
      <c r="BR120" s="6">
        <f t="shared" si="7"/>
        <v>3545192</v>
      </c>
      <c r="BT120" s="4">
        <f t="shared" si="11"/>
        <v>3.6206774944374853E-2</v>
      </c>
      <c r="BU120" s="4">
        <f t="shared" si="11"/>
        <v>5.4737363810710038E-2</v>
      </c>
      <c r="BV120" s="4">
        <f t="shared" si="11"/>
        <v>7.5239119627784623E-2</v>
      </c>
      <c r="BW120" s="4">
        <f t="shared" si="11"/>
        <v>9.0560137483655101E-2</v>
      </c>
      <c r="BX120" s="4">
        <f t="shared" si="11"/>
        <v>9.5255211545403951E-2</v>
      </c>
      <c r="BY120" s="4">
        <f t="shared" si="11"/>
        <v>8.7547681620881557E-2</v>
      </c>
      <c r="BZ120" s="4">
        <f t="shared" si="10"/>
        <v>8.3514244284330186E-2</v>
      </c>
      <c r="CA120" s="4">
        <f t="shared" si="10"/>
        <v>8.0080369435575172E-2</v>
      </c>
      <c r="CB120" s="4">
        <f t="shared" si="10"/>
        <v>8.1045395080900917E-2</v>
      </c>
      <c r="CC120" s="4">
        <f t="shared" si="10"/>
        <v>8.8127110945574572E-2</v>
      </c>
      <c r="CD120" s="4">
        <f t="shared" si="9"/>
        <v>8.8127150527222087E-2</v>
      </c>
      <c r="CE120" s="4">
        <f t="shared" si="9"/>
        <v>8.8127153335088915E-2</v>
      </c>
      <c r="CF120" s="4">
        <f t="shared" si="9"/>
        <v>8.8127172752000549E-2</v>
      </c>
      <c r="CH120">
        <v>309500</v>
      </c>
    </row>
    <row r="121" spans="1:86" x14ac:dyDescent="0.25">
      <c r="A121" s="2">
        <v>119</v>
      </c>
      <c r="B121" s="3" t="s">
        <v>145</v>
      </c>
      <c r="C121" t="s">
        <v>145</v>
      </c>
      <c r="D121" t="s">
        <v>25</v>
      </c>
      <c r="E121">
        <v>1</v>
      </c>
      <c r="F121">
        <v>44911810</v>
      </c>
      <c r="G121">
        <v>45988447</v>
      </c>
      <c r="H121">
        <v>47122931</v>
      </c>
      <c r="I121">
        <v>48312888</v>
      </c>
      <c r="J121">
        <v>49555472</v>
      </c>
      <c r="K121">
        <v>50848775</v>
      </c>
      <c r="L121">
        <v>52194629</v>
      </c>
      <c r="M121">
        <v>53594445</v>
      </c>
      <c r="N121">
        <v>55045897</v>
      </c>
      <c r="O121">
        <v>56545924</v>
      </c>
      <c r="P121">
        <v>58094239</v>
      </c>
      <c r="Q121">
        <v>59690467</v>
      </c>
      <c r="R121">
        <v>61341255</v>
      </c>
      <c r="S121">
        <v>63062204</v>
      </c>
      <c r="T121">
        <v>64873705</v>
      </c>
      <c r="U121">
        <v>66791496</v>
      </c>
      <c r="V121">
        <v>68818471</v>
      </c>
      <c r="W121">
        <v>70953777</v>
      </c>
      <c r="X121">
        <v>73204087</v>
      </c>
      <c r="Y121">
        <v>75575981</v>
      </c>
      <c r="Z121">
        <v>78071984</v>
      </c>
      <c r="AA121">
        <v>80691701</v>
      </c>
      <c r="AB121">
        <v>83427522</v>
      </c>
      <c r="AC121">
        <v>86264621</v>
      </c>
      <c r="AD121">
        <v>89183159</v>
      </c>
      <c r="AE121">
        <v>92165065</v>
      </c>
      <c r="AF121">
        <v>95207133</v>
      </c>
      <c r="AG121">
        <v>98301647</v>
      </c>
      <c r="AH121">
        <v>101420791</v>
      </c>
      <c r="AI121">
        <v>104530689</v>
      </c>
      <c r="AJ121">
        <v>107607639</v>
      </c>
      <c r="AK121">
        <v>110634399</v>
      </c>
      <c r="AL121">
        <v>113616165</v>
      </c>
      <c r="AM121">
        <v>116579605</v>
      </c>
      <c r="AN121">
        <v>119564925</v>
      </c>
      <c r="AO121">
        <v>122599749</v>
      </c>
      <c r="AP121">
        <v>125697651</v>
      </c>
      <c r="AQ121">
        <v>128845692</v>
      </c>
      <c r="AR121">
        <v>132013680</v>
      </c>
      <c r="AS121">
        <v>135158132</v>
      </c>
      <c r="AT121">
        <v>138250487</v>
      </c>
      <c r="AU121">
        <v>141282077</v>
      </c>
      <c r="AV121">
        <v>144271586</v>
      </c>
      <c r="AW121">
        <v>147251530</v>
      </c>
      <c r="AX121">
        <v>150267989</v>
      </c>
      <c r="AY121">
        <v>153356383</v>
      </c>
      <c r="AZ121">
        <v>156524189</v>
      </c>
      <c r="BA121">
        <v>159767672</v>
      </c>
      <c r="BB121">
        <v>163096985</v>
      </c>
      <c r="BC121">
        <v>166520983</v>
      </c>
      <c r="BD121">
        <v>170043918</v>
      </c>
      <c r="BE121">
        <v>173669648</v>
      </c>
      <c r="BF121">
        <v>177392252</v>
      </c>
      <c r="BG121">
        <v>181192646</v>
      </c>
      <c r="BH121">
        <v>185044286</v>
      </c>
      <c r="BI121">
        <v>188924874</v>
      </c>
      <c r="BJ121">
        <v>192945542</v>
      </c>
      <c r="BK121">
        <v>197051777</v>
      </c>
      <c r="BL121">
        <v>201245401</v>
      </c>
      <c r="BM121">
        <v>205528273</v>
      </c>
      <c r="BN121">
        <v>209902292</v>
      </c>
      <c r="BO121">
        <v>214369398</v>
      </c>
      <c r="BP121">
        <v>218931572</v>
      </c>
      <c r="BQ121">
        <v>2.1281835545087224E-2</v>
      </c>
      <c r="BR121" s="6">
        <f t="shared" si="7"/>
        <v>177392252</v>
      </c>
      <c r="BT121" s="4">
        <f t="shared" si="11"/>
        <v>2.0927518667610334E-2</v>
      </c>
      <c r="BU121" s="4">
        <f t="shared" si="11"/>
        <v>2.1077612530782552E-2</v>
      </c>
      <c r="BV121" s="4">
        <f t="shared" si="11"/>
        <v>2.1226741546029881E-2</v>
      </c>
      <c r="BW121" s="4">
        <f t="shared" si="11"/>
        <v>2.1334260053632148E-2</v>
      </c>
      <c r="BX121" s="4">
        <f t="shared" si="11"/>
        <v>2.1359526403687656E-2</v>
      </c>
      <c r="BY121" s="4">
        <f t="shared" si="11"/>
        <v>2.1271715907685396E-2</v>
      </c>
      <c r="BZ121" s="4">
        <f t="shared" si="10"/>
        <v>2.1233435690536595E-2</v>
      </c>
      <c r="CA121" s="4">
        <f t="shared" si="10"/>
        <v>2.1197980139624262E-2</v>
      </c>
      <c r="CB121" s="4">
        <f t="shared" si="10"/>
        <v>2.1204150703534319E-2</v>
      </c>
      <c r="CC121" s="4">
        <f t="shared" si="10"/>
        <v>2.1281836238492557E-2</v>
      </c>
      <c r="CD121" s="4">
        <f t="shared" si="9"/>
        <v>2.1281836483810768E-2</v>
      </c>
      <c r="CE121" s="4">
        <f t="shared" si="9"/>
        <v>2.128183679462059E-2</v>
      </c>
      <c r="CF121" s="4">
        <f t="shared" si="9"/>
        <v>2.1281835855770481E-2</v>
      </c>
      <c r="CH121">
        <v>770875</v>
      </c>
    </row>
    <row r="122" spans="1:86" x14ac:dyDescent="0.25">
      <c r="A122" s="2">
        <v>120</v>
      </c>
      <c r="B122" s="3" t="s">
        <v>146</v>
      </c>
      <c r="C122" t="s">
        <v>146</v>
      </c>
      <c r="D122" t="s">
        <v>33</v>
      </c>
      <c r="E122">
        <v>1</v>
      </c>
      <c r="F122">
        <v>1132924</v>
      </c>
      <c r="G122">
        <v>1167041</v>
      </c>
      <c r="H122">
        <v>1202372</v>
      </c>
      <c r="I122">
        <v>1238824</v>
      </c>
      <c r="J122">
        <v>1276274</v>
      </c>
      <c r="K122">
        <v>1314627</v>
      </c>
      <c r="L122">
        <v>1353805</v>
      </c>
      <c r="M122">
        <v>1393800</v>
      </c>
      <c r="N122">
        <v>1434660</v>
      </c>
      <c r="O122">
        <v>1476478</v>
      </c>
      <c r="P122">
        <v>1519293</v>
      </c>
      <c r="Q122">
        <v>1563113</v>
      </c>
      <c r="R122">
        <v>1607835</v>
      </c>
      <c r="S122">
        <v>1653257</v>
      </c>
      <c r="T122">
        <v>1699114</v>
      </c>
      <c r="U122">
        <v>1745207</v>
      </c>
      <c r="V122">
        <v>1791459</v>
      </c>
      <c r="W122">
        <v>1837887</v>
      </c>
      <c r="X122">
        <v>1884512</v>
      </c>
      <c r="Y122">
        <v>1931393</v>
      </c>
      <c r="Z122">
        <v>1978575</v>
      </c>
      <c r="AA122">
        <v>2026057</v>
      </c>
      <c r="AB122">
        <v>2073826</v>
      </c>
      <c r="AC122">
        <v>2121921</v>
      </c>
      <c r="AD122">
        <v>2170390</v>
      </c>
      <c r="AE122">
        <v>2219276</v>
      </c>
      <c r="AF122">
        <v>2268619</v>
      </c>
      <c r="AG122">
        <v>2318444</v>
      </c>
      <c r="AH122">
        <v>2368772</v>
      </c>
      <c r="AI122">
        <v>2419618</v>
      </c>
      <c r="AJ122">
        <v>2471010</v>
      </c>
      <c r="AK122">
        <v>2522901</v>
      </c>
      <c r="AL122">
        <v>2575330</v>
      </c>
      <c r="AM122">
        <v>2628511</v>
      </c>
      <c r="AN122">
        <v>2682720</v>
      </c>
      <c r="AO122">
        <v>2738125</v>
      </c>
      <c r="AP122">
        <v>2794845</v>
      </c>
      <c r="AQ122">
        <v>2852739</v>
      </c>
      <c r="AR122">
        <v>2911383</v>
      </c>
      <c r="AS122">
        <v>2970193</v>
      </c>
      <c r="AT122">
        <v>3028751</v>
      </c>
      <c r="AU122">
        <v>3086887</v>
      </c>
      <c r="AV122">
        <v>3144728</v>
      </c>
      <c r="AW122">
        <v>3202511</v>
      </c>
      <c r="AX122">
        <v>3260611</v>
      </c>
      <c r="AY122">
        <v>3319301</v>
      </c>
      <c r="AZ122">
        <v>3378600</v>
      </c>
      <c r="BA122">
        <v>3438398</v>
      </c>
      <c r="BB122">
        <v>3498679</v>
      </c>
      <c r="BC122">
        <v>3559401</v>
      </c>
      <c r="BD122">
        <v>3620506</v>
      </c>
      <c r="BE122">
        <v>3681979</v>
      </c>
      <c r="BF122">
        <v>3743761</v>
      </c>
      <c r="BG122">
        <v>3805683</v>
      </c>
      <c r="BH122">
        <v>3867535</v>
      </c>
      <c r="BI122">
        <v>3929141</v>
      </c>
      <c r="BJ122">
        <v>3993956</v>
      </c>
      <c r="BK122">
        <v>4059840</v>
      </c>
      <c r="BL122">
        <v>4126811</v>
      </c>
      <c r="BM122">
        <v>4194887</v>
      </c>
      <c r="BN122">
        <v>4264086</v>
      </c>
      <c r="BO122">
        <v>4334426</v>
      </c>
      <c r="BP122">
        <v>4405927</v>
      </c>
      <c r="BQ122">
        <v>1.6495987154646397E-2</v>
      </c>
      <c r="BR122" s="6">
        <f t="shared" si="7"/>
        <v>3743761</v>
      </c>
      <c r="BT122" s="4">
        <f t="shared" si="11"/>
        <v>1.743839713155082E-2</v>
      </c>
      <c r="BU122" s="4">
        <f t="shared" si="11"/>
        <v>1.7258413336686651E-2</v>
      </c>
      <c r="BV122" s="4">
        <f t="shared" si="11"/>
        <v>1.7070374808027422E-2</v>
      </c>
      <c r="BW122" s="4">
        <f t="shared" si="11"/>
        <v>1.6866460222438429E-2</v>
      </c>
      <c r="BX122" s="4">
        <f t="shared" si="11"/>
        <v>1.6637781116185968E-2</v>
      </c>
      <c r="BY122" s="4">
        <f t="shared" si="11"/>
        <v>1.6375240212768816E-2</v>
      </c>
      <c r="BZ122" s="4">
        <f t="shared" si="10"/>
        <v>1.6304363151463663E-2</v>
      </c>
      <c r="CA122" s="4">
        <f t="shared" si="10"/>
        <v>1.6293333973316226E-2</v>
      </c>
      <c r="CB122" s="4">
        <f t="shared" si="10"/>
        <v>1.6354189518904771E-2</v>
      </c>
      <c r="CC122" s="4">
        <f t="shared" si="10"/>
        <v>1.649597452952456E-2</v>
      </c>
      <c r="CD122" s="4">
        <f t="shared" si="9"/>
        <v>1.6495990109173908E-2</v>
      </c>
      <c r="CE122" s="4">
        <f t="shared" si="9"/>
        <v>1.649598751114012E-2</v>
      </c>
      <c r="CF122" s="4">
        <f t="shared" si="9"/>
        <v>1.6496012745360167E-2</v>
      </c>
      <c r="CH122">
        <v>74340</v>
      </c>
    </row>
    <row r="123" spans="1:86" x14ac:dyDescent="0.25">
      <c r="A123" s="2">
        <v>121</v>
      </c>
      <c r="B123" s="3" t="s">
        <v>147</v>
      </c>
      <c r="C123" t="s">
        <v>148</v>
      </c>
      <c r="D123" t="s">
        <v>21</v>
      </c>
      <c r="E123">
        <v>1</v>
      </c>
      <c r="F123">
        <v>1966957</v>
      </c>
      <c r="G123">
        <v>2001048</v>
      </c>
      <c r="H123">
        <v>2037165</v>
      </c>
      <c r="I123">
        <v>2075630</v>
      </c>
      <c r="J123">
        <v>2116832</v>
      </c>
      <c r="K123">
        <v>2161103</v>
      </c>
      <c r="L123">
        <v>2208422</v>
      </c>
      <c r="M123">
        <v>2258877</v>
      </c>
      <c r="N123">
        <v>2313017</v>
      </c>
      <c r="O123">
        <v>2371515</v>
      </c>
      <c r="P123">
        <v>2434755</v>
      </c>
      <c r="Q123">
        <v>2503074</v>
      </c>
      <c r="R123">
        <v>2576093</v>
      </c>
      <c r="S123">
        <v>2652586</v>
      </c>
      <c r="T123">
        <v>2730859</v>
      </c>
      <c r="U123">
        <v>2809692</v>
      </c>
      <c r="V123">
        <v>2888509</v>
      </c>
      <c r="W123">
        <v>2967620</v>
      </c>
      <c r="X123">
        <v>3047769</v>
      </c>
      <c r="Y123">
        <v>3130125</v>
      </c>
      <c r="Z123">
        <v>3215483</v>
      </c>
      <c r="AA123">
        <v>3304188</v>
      </c>
      <c r="AB123">
        <v>3395798</v>
      </c>
      <c r="AC123">
        <v>3489402</v>
      </c>
      <c r="AD123">
        <v>3583707</v>
      </c>
      <c r="AE123">
        <v>3677854</v>
      </c>
      <c r="AF123">
        <v>3771578</v>
      </c>
      <c r="AG123">
        <v>3865402</v>
      </c>
      <c r="AH123">
        <v>3960243</v>
      </c>
      <c r="AI123">
        <v>4057406</v>
      </c>
      <c r="AJ123">
        <v>4157903</v>
      </c>
      <c r="AK123">
        <v>4261933</v>
      </c>
      <c r="AL123">
        <v>4369407</v>
      </c>
      <c r="AM123">
        <v>4480689</v>
      </c>
      <c r="AN123">
        <v>4596131</v>
      </c>
      <c r="AO123">
        <v>4715929</v>
      </c>
      <c r="AP123">
        <v>4840311</v>
      </c>
      <c r="AQ123">
        <v>4969116</v>
      </c>
      <c r="AR123">
        <v>5101633</v>
      </c>
      <c r="AS123">
        <v>5236863</v>
      </c>
      <c r="AT123">
        <v>5374051</v>
      </c>
      <c r="AU123">
        <v>5512835</v>
      </c>
      <c r="AV123">
        <v>5653284</v>
      </c>
      <c r="AW123">
        <v>5795571</v>
      </c>
      <c r="AX123">
        <v>5940048</v>
      </c>
      <c r="AY123">
        <v>6086905</v>
      </c>
      <c r="AZ123">
        <v>6236158</v>
      </c>
      <c r="BA123">
        <v>6387470</v>
      </c>
      <c r="BB123">
        <v>6540267</v>
      </c>
      <c r="BC123">
        <v>6693799</v>
      </c>
      <c r="BD123">
        <v>6847517</v>
      </c>
      <c r="BE123">
        <v>7001172</v>
      </c>
      <c r="BF123">
        <v>7154870</v>
      </c>
      <c r="BG123">
        <v>7308864</v>
      </c>
      <c r="BH123">
        <v>7463577</v>
      </c>
      <c r="BI123">
        <v>7619321</v>
      </c>
      <c r="BJ123">
        <v>7783822</v>
      </c>
      <c r="BK123">
        <v>7951875</v>
      </c>
      <c r="BL123">
        <v>8123556</v>
      </c>
      <c r="BM123">
        <v>8298944</v>
      </c>
      <c r="BN123">
        <v>8478118</v>
      </c>
      <c r="BO123">
        <v>8661161</v>
      </c>
      <c r="BP123">
        <v>8848155</v>
      </c>
      <c r="BQ123">
        <v>2.1589993400552565E-2</v>
      </c>
      <c r="BR123" s="6">
        <f t="shared" si="7"/>
        <v>7154870</v>
      </c>
      <c r="BT123" s="4">
        <f t="shared" si="11"/>
        <v>2.3655919763372335E-2</v>
      </c>
      <c r="BU123" s="4">
        <f t="shared" si="11"/>
        <v>2.3199851543041827E-2</v>
      </c>
      <c r="BV123" s="4">
        <f t="shared" si="11"/>
        <v>2.2707797628296555E-2</v>
      </c>
      <c r="BW123" s="4">
        <f t="shared" si="11"/>
        <v>2.221983426403229E-2</v>
      </c>
      <c r="BX123" s="4">
        <f t="shared" si="11"/>
        <v>2.1770770154671881E-2</v>
      </c>
      <c r="BY123" s="4">
        <f t="shared" si="11"/>
        <v>2.1377721869338728E-2</v>
      </c>
      <c r="BZ123" s="4">
        <f t="shared" si="10"/>
        <v>2.1286960906994556E-2</v>
      </c>
      <c r="CA123" s="4">
        <f t="shared" si="10"/>
        <v>2.1303725039892196E-2</v>
      </c>
      <c r="CB123" s="4">
        <f t="shared" si="10"/>
        <v>2.1409258651274854E-2</v>
      </c>
      <c r="CC123" s="4">
        <f t="shared" si="10"/>
        <v>2.1590018181900428E-2</v>
      </c>
      <c r="CD123" s="4">
        <f t="shared" si="9"/>
        <v>2.1590016734499562E-2</v>
      </c>
      <c r="CE123" s="4">
        <f t="shared" si="9"/>
        <v>2.1590020394373521E-2</v>
      </c>
      <c r="CF123" s="4">
        <f t="shared" si="9"/>
        <v>2.1590006354325508E-2</v>
      </c>
      <c r="CH123">
        <v>452860</v>
      </c>
    </row>
    <row r="124" spans="1:86" x14ac:dyDescent="0.25">
      <c r="A124" s="2">
        <v>122</v>
      </c>
      <c r="B124" s="3" t="s">
        <v>149</v>
      </c>
      <c r="C124" t="s">
        <v>149</v>
      </c>
      <c r="D124" t="s">
        <v>18</v>
      </c>
      <c r="E124">
        <v>1</v>
      </c>
      <c r="F124">
        <v>1902871</v>
      </c>
      <c r="G124">
        <v>1953331</v>
      </c>
      <c r="H124">
        <v>2005337</v>
      </c>
      <c r="I124">
        <v>2058916</v>
      </c>
      <c r="J124">
        <v>2114095</v>
      </c>
      <c r="K124">
        <v>2170853</v>
      </c>
      <c r="L124">
        <v>2229373</v>
      </c>
      <c r="M124">
        <v>2289579</v>
      </c>
      <c r="N124">
        <v>2350900</v>
      </c>
      <c r="O124">
        <v>2412565</v>
      </c>
      <c r="P124">
        <v>2474102</v>
      </c>
      <c r="Q124">
        <v>2535355</v>
      </c>
      <c r="R124">
        <v>2596741</v>
      </c>
      <c r="S124">
        <v>2659084</v>
      </c>
      <c r="T124">
        <v>2723523</v>
      </c>
      <c r="U124">
        <v>2790964</v>
      </c>
      <c r="V124">
        <v>2861582</v>
      </c>
      <c r="W124">
        <v>2935375</v>
      </c>
      <c r="X124">
        <v>3012833</v>
      </c>
      <c r="Y124">
        <v>3094479</v>
      </c>
      <c r="Z124">
        <v>3180628</v>
      </c>
      <c r="AA124">
        <v>3271454</v>
      </c>
      <c r="AB124">
        <v>3366726</v>
      </c>
      <c r="AC124">
        <v>3465796</v>
      </c>
      <c r="AD124">
        <v>3567750</v>
      </c>
      <c r="AE124">
        <v>3671826</v>
      </c>
      <c r="AF124">
        <v>3777764</v>
      </c>
      <c r="AG124">
        <v>3885433</v>
      </c>
      <c r="AH124">
        <v>3994328</v>
      </c>
      <c r="AI124">
        <v>4103909</v>
      </c>
      <c r="AJ124">
        <v>4213740</v>
      </c>
      <c r="AK124">
        <v>4323402</v>
      </c>
      <c r="AL124">
        <v>4432738</v>
      </c>
      <c r="AM124">
        <v>4541902</v>
      </c>
      <c r="AN124">
        <v>4651222</v>
      </c>
      <c r="AO124">
        <v>4760853</v>
      </c>
      <c r="AP124">
        <v>4870695</v>
      </c>
      <c r="AQ124">
        <v>4980346</v>
      </c>
      <c r="AR124">
        <v>5089306</v>
      </c>
      <c r="AS124">
        <v>5196935</v>
      </c>
      <c r="AT124">
        <v>5302703</v>
      </c>
      <c r="AU124">
        <v>5406625</v>
      </c>
      <c r="AV124">
        <v>5508615</v>
      </c>
      <c r="AW124">
        <v>5607948</v>
      </c>
      <c r="AX124">
        <v>5703742</v>
      </c>
      <c r="AY124">
        <v>5795493</v>
      </c>
      <c r="AZ124">
        <v>5882797</v>
      </c>
      <c r="BA124">
        <v>5966160</v>
      </c>
      <c r="BB124">
        <v>6047131</v>
      </c>
      <c r="BC124">
        <v>6127847</v>
      </c>
      <c r="BD124">
        <v>6209877</v>
      </c>
      <c r="BE124">
        <v>6293763</v>
      </c>
      <c r="BF124">
        <v>6379162</v>
      </c>
      <c r="BG124">
        <v>6465669</v>
      </c>
      <c r="BH124">
        <v>6552518</v>
      </c>
      <c r="BI124">
        <v>6639123</v>
      </c>
      <c r="BJ124">
        <v>6728469</v>
      </c>
      <c r="BK124">
        <v>6819017</v>
      </c>
      <c r="BL124">
        <v>6910784</v>
      </c>
      <c r="BM124">
        <v>7003786</v>
      </c>
      <c r="BN124">
        <v>7098039</v>
      </c>
      <c r="BO124">
        <v>7193561</v>
      </c>
      <c r="BP124">
        <v>7290368</v>
      </c>
      <c r="BQ124">
        <v>1.345750542705626E-2</v>
      </c>
      <c r="BR124" s="6">
        <f t="shared" si="7"/>
        <v>6379162</v>
      </c>
      <c r="BT124" s="4">
        <f t="shared" si="11"/>
        <v>1.3619096354252624E-2</v>
      </c>
      <c r="BU124" s="4">
        <f t="shared" si="11"/>
        <v>1.3453605822134618E-2</v>
      </c>
      <c r="BV124" s="4">
        <f t="shared" si="11"/>
        <v>1.3452885617721622E-2</v>
      </c>
      <c r="BW124" s="4">
        <f t="shared" si="11"/>
        <v>1.3506150632223601E-2</v>
      </c>
      <c r="BX124" s="4">
        <f t="shared" si="11"/>
        <v>1.351762659793776E-2</v>
      </c>
      <c r="BY124" s="4">
        <f t="shared" si="11"/>
        <v>1.344476215450352E-2</v>
      </c>
      <c r="BZ124" s="4">
        <f t="shared" si="10"/>
        <v>1.3416932007151772E-2</v>
      </c>
      <c r="CA124" s="4">
        <f t="shared" si="10"/>
        <v>1.3391077858527112E-2</v>
      </c>
      <c r="CB124" s="4">
        <f t="shared" si="10"/>
        <v>1.3397372917332451E-2</v>
      </c>
      <c r="CC124" s="4">
        <f t="shared" si="10"/>
        <v>1.3457493661537701E-2</v>
      </c>
      <c r="CD124" s="4">
        <f t="shared" si="9"/>
        <v>1.3457477511527705E-2</v>
      </c>
      <c r="CE124" s="4">
        <f t="shared" si="9"/>
        <v>1.3457496253811208E-2</v>
      </c>
      <c r="CF124" s="4">
        <f t="shared" si="9"/>
        <v>1.3457481302803442E-2</v>
      </c>
      <c r="CH124">
        <v>397302</v>
      </c>
    </row>
    <row r="125" spans="1:86" x14ac:dyDescent="0.25">
      <c r="A125" s="2">
        <v>123</v>
      </c>
      <c r="B125" s="3" t="s">
        <v>150</v>
      </c>
      <c r="C125" t="s">
        <v>150</v>
      </c>
      <c r="D125" t="s">
        <v>18</v>
      </c>
      <c r="E125">
        <v>1</v>
      </c>
      <c r="F125">
        <v>10061519</v>
      </c>
      <c r="G125">
        <v>10350239</v>
      </c>
      <c r="H125">
        <v>10650672</v>
      </c>
      <c r="I125">
        <v>10961539</v>
      </c>
      <c r="J125">
        <v>11281015</v>
      </c>
      <c r="K125">
        <v>11607684</v>
      </c>
      <c r="L125">
        <v>11941327</v>
      </c>
      <c r="M125">
        <v>12282081</v>
      </c>
      <c r="N125">
        <v>12629333</v>
      </c>
      <c r="O125">
        <v>12982444</v>
      </c>
      <c r="P125">
        <v>13341071</v>
      </c>
      <c r="Q125">
        <v>13704333</v>
      </c>
      <c r="R125">
        <v>14072476</v>
      </c>
      <c r="S125">
        <v>14447649</v>
      </c>
      <c r="T125">
        <v>14832839</v>
      </c>
      <c r="U125">
        <v>15229951</v>
      </c>
      <c r="V125">
        <v>15639898</v>
      </c>
      <c r="W125">
        <v>16061327</v>
      </c>
      <c r="X125">
        <v>16491087</v>
      </c>
      <c r="Y125">
        <v>16924758</v>
      </c>
      <c r="Z125">
        <v>17359118</v>
      </c>
      <c r="AA125">
        <v>17792551</v>
      </c>
      <c r="AB125">
        <v>18225727</v>
      </c>
      <c r="AC125">
        <v>18660443</v>
      </c>
      <c r="AD125">
        <v>19099575</v>
      </c>
      <c r="AE125">
        <v>19544950</v>
      </c>
      <c r="AF125">
        <v>19996250</v>
      </c>
      <c r="AG125">
        <v>20451712</v>
      </c>
      <c r="AH125">
        <v>20909897</v>
      </c>
      <c r="AI125">
        <v>21368856</v>
      </c>
      <c r="AJ125">
        <v>21826658</v>
      </c>
      <c r="AK125">
        <v>22283130</v>
      </c>
      <c r="AL125">
        <v>22737056</v>
      </c>
      <c r="AM125">
        <v>23184222</v>
      </c>
      <c r="AN125">
        <v>23619358</v>
      </c>
      <c r="AO125">
        <v>24038761</v>
      </c>
      <c r="AP125">
        <v>24441076</v>
      </c>
      <c r="AQ125">
        <v>24827409</v>
      </c>
      <c r="AR125">
        <v>25199744</v>
      </c>
      <c r="AS125">
        <v>25561297</v>
      </c>
      <c r="AT125">
        <v>25914875</v>
      </c>
      <c r="AU125">
        <v>26261363</v>
      </c>
      <c r="AV125">
        <v>26601463</v>
      </c>
      <c r="AW125">
        <v>26937737</v>
      </c>
      <c r="AX125">
        <v>27273188</v>
      </c>
      <c r="AY125">
        <v>27610406</v>
      </c>
      <c r="AZ125">
        <v>27949958</v>
      </c>
      <c r="BA125">
        <v>28292768</v>
      </c>
      <c r="BB125">
        <v>28642048</v>
      </c>
      <c r="BC125">
        <v>29001563</v>
      </c>
      <c r="BD125">
        <v>29373644</v>
      </c>
      <c r="BE125">
        <v>29759891</v>
      </c>
      <c r="BF125">
        <v>30158768</v>
      </c>
      <c r="BG125">
        <v>30565461</v>
      </c>
      <c r="BH125">
        <v>30973148</v>
      </c>
      <c r="BI125">
        <v>31376670</v>
      </c>
      <c r="BJ125">
        <v>31793377</v>
      </c>
      <c r="BK125">
        <v>32215618</v>
      </c>
      <c r="BL125">
        <v>32643467</v>
      </c>
      <c r="BM125">
        <v>33076998</v>
      </c>
      <c r="BN125">
        <v>33516286</v>
      </c>
      <c r="BO125">
        <v>33961408</v>
      </c>
      <c r="BP125">
        <v>34412442</v>
      </c>
      <c r="BQ125">
        <v>1.3280779111381369E-2</v>
      </c>
      <c r="BR125" s="6">
        <f t="shared" si="7"/>
        <v>30158768</v>
      </c>
      <c r="BT125" s="4">
        <f t="shared" si="11"/>
        <v>1.2497983300930882E-2</v>
      </c>
      <c r="BU125" s="4">
        <f t="shared" si="11"/>
        <v>1.2719038334177979E-2</v>
      </c>
      <c r="BV125" s="4">
        <f t="shared" si="11"/>
        <v>1.2983524832940629E-2</v>
      </c>
      <c r="BW125" s="4">
        <f t="shared" si="11"/>
        <v>1.321681021927712E-2</v>
      </c>
      <c r="BX125" s="4">
        <f t="shared" si="11"/>
        <v>1.3343952837959971E-2</v>
      </c>
      <c r="BY125" s="4">
        <f t="shared" si="11"/>
        <v>1.3313616288639585E-2</v>
      </c>
      <c r="BZ125" s="4">
        <f t="shared" si="10"/>
        <v>1.328302186172281E-2</v>
      </c>
      <c r="CA125" s="4">
        <f t="shared" si="10"/>
        <v>1.3231957707746878E-2</v>
      </c>
      <c r="CB125" s="4">
        <f t="shared" si="10"/>
        <v>1.3217617589122321E-2</v>
      </c>
      <c r="CC125" s="4">
        <f t="shared" si="10"/>
        <v>1.3280789869491771E-2</v>
      </c>
      <c r="CD125" s="4">
        <f t="shared" si="9"/>
        <v>1.328078457134918E-2</v>
      </c>
      <c r="CE125" s="4">
        <f t="shared" si="9"/>
        <v>1.3280780216993859E-2</v>
      </c>
      <c r="CF125" s="4">
        <f t="shared" si="9"/>
        <v>1.3280776697536911E-2</v>
      </c>
      <c r="CH125">
        <v>1279996</v>
      </c>
    </row>
    <row r="126" spans="1:86" x14ac:dyDescent="0.25">
      <c r="A126" s="2">
        <v>124</v>
      </c>
      <c r="B126" s="3" t="s">
        <v>151</v>
      </c>
      <c r="C126" t="s">
        <v>151</v>
      </c>
      <c r="D126" t="s">
        <v>25</v>
      </c>
      <c r="E126">
        <v>1</v>
      </c>
      <c r="F126">
        <v>26273023</v>
      </c>
      <c r="G126">
        <v>27164618</v>
      </c>
      <c r="H126">
        <v>28081234</v>
      </c>
      <c r="I126">
        <v>29016770</v>
      </c>
      <c r="J126">
        <v>29962877</v>
      </c>
      <c r="K126">
        <v>30913931</v>
      </c>
      <c r="L126">
        <v>31867565</v>
      </c>
      <c r="M126">
        <v>32826602</v>
      </c>
      <c r="N126">
        <v>33797041</v>
      </c>
      <c r="O126">
        <v>34787588</v>
      </c>
      <c r="P126">
        <v>35804731</v>
      </c>
      <c r="Q126">
        <v>36851055</v>
      </c>
      <c r="R126">
        <v>37925400</v>
      </c>
      <c r="S126">
        <v>39026082</v>
      </c>
      <c r="T126">
        <v>40149959</v>
      </c>
      <c r="U126">
        <v>41295129</v>
      </c>
      <c r="V126">
        <v>42461189</v>
      </c>
      <c r="W126">
        <v>43650333</v>
      </c>
      <c r="X126">
        <v>44866279</v>
      </c>
      <c r="Y126">
        <v>46113992</v>
      </c>
      <c r="Z126">
        <v>47396966</v>
      </c>
      <c r="AA126">
        <v>48715592</v>
      </c>
      <c r="AB126">
        <v>50068493</v>
      </c>
      <c r="AC126">
        <v>51455037</v>
      </c>
      <c r="AD126">
        <v>52873979</v>
      </c>
      <c r="AE126">
        <v>54323651</v>
      </c>
      <c r="AF126">
        <v>55803915</v>
      </c>
      <c r="AG126">
        <v>57312794</v>
      </c>
      <c r="AH126">
        <v>58844392</v>
      </c>
      <c r="AI126">
        <v>60391168</v>
      </c>
      <c r="AJ126">
        <v>61947340</v>
      </c>
      <c r="AK126">
        <v>63509940</v>
      </c>
      <c r="AL126">
        <v>65078901</v>
      </c>
      <c r="AM126">
        <v>66654954</v>
      </c>
      <c r="AN126">
        <v>68240134</v>
      </c>
      <c r="AO126">
        <v>69835713</v>
      </c>
      <c r="AP126">
        <v>71437381</v>
      </c>
      <c r="AQ126">
        <v>73042605</v>
      </c>
      <c r="AR126">
        <v>74656228</v>
      </c>
      <c r="AS126">
        <v>76285225</v>
      </c>
      <c r="AT126">
        <v>77932247</v>
      </c>
      <c r="AU126">
        <v>79604541</v>
      </c>
      <c r="AV126">
        <v>81294378</v>
      </c>
      <c r="AW126">
        <v>82971734</v>
      </c>
      <c r="AX126">
        <v>84596249</v>
      </c>
      <c r="AY126">
        <v>86141373</v>
      </c>
      <c r="AZ126">
        <v>87592899</v>
      </c>
      <c r="BA126">
        <v>88965508</v>
      </c>
      <c r="BB126">
        <v>90297115</v>
      </c>
      <c r="BC126">
        <v>91641881</v>
      </c>
      <c r="BD126">
        <v>93038902</v>
      </c>
      <c r="BE126">
        <v>94501233</v>
      </c>
      <c r="BF126">
        <v>96017322</v>
      </c>
      <c r="BG126">
        <v>97571676</v>
      </c>
      <c r="BH126">
        <v>99138690</v>
      </c>
      <c r="BI126">
        <v>100699395</v>
      </c>
      <c r="BJ126">
        <v>102305579</v>
      </c>
      <c r="BK126">
        <v>103937382</v>
      </c>
      <c r="BL126">
        <v>105595213</v>
      </c>
      <c r="BM126">
        <v>107279487</v>
      </c>
      <c r="BN126">
        <v>108990626</v>
      </c>
      <c r="BO126">
        <v>110729058</v>
      </c>
      <c r="BP126">
        <v>112495218</v>
      </c>
      <c r="BQ126">
        <v>1.5950286144924775E-2</v>
      </c>
      <c r="BR126" s="6">
        <f t="shared" si="7"/>
        <v>96017322</v>
      </c>
      <c r="BT126" s="4">
        <f t="shared" si="11"/>
        <v>1.5193711890983064E-2</v>
      </c>
      <c r="BU126" s="4">
        <f t="shared" si="11"/>
        <v>1.5205479127418764E-2</v>
      </c>
      <c r="BV126" s="4">
        <f t="shared" si="11"/>
        <v>1.5474281184679972E-2</v>
      </c>
      <c r="BW126" s="4">
        <f t="shared" si="11"/>
        <v>1.5798208510684253E-2</v>
      </c>
      <c r="BX126" s="4">
        <f t="shared" si="11"/>
        <v>1.6002203573716844E-2</v>
      </c>
      <c r="BY126" s="4">
        <f t="shared" si="11"/>
        <v>1.6008512363895999E-2</v>
      </c>
      <c r="BZ126" s="4">
        <f t="shared" si="10"/>
        <v>1.5985318355872025E-2</v>
      </c>
      <c r="CA126" s="4">
        <f t="shared" si="10"/>
        <v>1.592582928361419E-2</v>
      </c>
      <c r="CB126" s="4">
        <f t="shared" si="10"/>
        <v>1.5898370364616943E-2</v>
      </c>
      <c r="CC126" s="4">
        <f t="shared" si="10"/>
        <v>1.5950285465017311E-2</v>
      </c>
      <c r="CD126" s="4">
        <f t="shared" si="9"/>
        <v>1.5950287004252273E-2</v>
      </c>
      <c r="CE126" s="4">
        <f t="shared" si="9"/>
        <v>1.595028839060908E-2</v>
      </c>
      <c r="CF126" s="4">
        <f t="shared" si="9"/>
        <v>1.5950287991785217E-2</v>
      </c>
      <c r="CH126">
        <v>298170</v>
      </c>
    </row>
    <row r="127" spans="1:86" x14ac:dyDescent="0.25">
      <c r="A127" s="2">
        <v>125</v>
      </c>
      <c r="B127" s="3" t="s">
        <v>152</v>
      </c>
      <c r="C127" t="s">
        <v>152</v>
      </c>
      <c r="D127" t="s">
        <v>23</v>
      </c>
      <c r="E127">
        <v>1</v>
      </c>
      <c r="F127">
        <v>29637450</v>
      </c>
      <c r="G127">
        <v>29964000</v>
      </c>
      <c r="H127">
        <v>30308500</v>
      </c>
      <c r="I127">
        <v>30712000</v>
      </c>
      <c r="J127">
        <v>31139450</v>
      </c>
      <c r="K127">
        <v>31444950</v>
      </c>
      <c r="L127">
        <v>31681000</v>
      </c>
      <c r="M127">
        <v>31987155</v>
      </c>
      <c r="N127">
        <v>32294655</v>
      </c>
      <c r="O127">
        <v>32548300</v>
      </c>
      <c r="P127">
        <v>32664300</v>
      </c>
      <c r="Q127">
        <v>32783500</v>
      </c>
      <c r="R127">
        <v>33055650</v>
      </c>
      <c r="S127">
        <v>33357200</v>
      </c>
      <c r="T127">
        <v>33678899</v>
      </c>
      <c r="U127">
        <v>34015199</v>
      </c>
      <c r="V127">
        <v>34356300</v>
      </c>
      <c r="W127">
        <v>34689050</v>
      </c>
      <c r="X127">
        <v>34965600</v>
      </c>
      <c r="Y127">
        <v>35247217</v>
      </c>
      <c r="Z127">
        <v>35574150</v>
      </c>
      <c r="AA127">
        <v>35898587</v>
      </c>
      <c r="AB127">
        <v>36230481</v>
      </c>
      <c r="AC127">
        <v>36571808</v>
      </c>
      <c r="AD127">
        <v>36904134</v>
      </c>
      <c r="AE127">
        <v>37201885</v>
      </c>
      <c r="AF127">
        <v>37456119</v>
      </c>
      <c r="AG127">
        <v>37668045</v>
      </c>
      <c r="AH127">
        <v>37824487</v>
      </c>
      <c r="AI127">
        <v>37961529</v>
      </c>
      <c r="AJ127">
        <v>38110782</v>
      </c>
      <c r="AK127">
        <v>38246193</v>
      </c>
      <c r="AL127">
        <v>38363667</v>
      </c>
      <c r="AM127">
        <v>38461408</v>
      </c>
      <c r="AN127">
        <v>38542652</v>
      </c>
      <c r="AO127">
        <v>38594998</v>
      </c>
      <c r="AP127">
        <v>38624370</v>
      </c>
      <c r="AQ127">
        <v>38649660</v>
      </c>
      <c r="AR127">
        <v>38663481</v>
      </c>
      <c r="AS127">
        <v>38660271</v>
      </c>
      <c r="AT127">
        <v>38258629</v>
      </c>
      <c r="AU127">
        <v>38248076</v>
      </c>
      <c r="AV127">
        <v>38230364</v>
      </c>
      <c r="AW127">
        <v>38204570</v>
      </c>
      <c r="AX127">
        <v>38182222</v>
      </c>
      <c r="AY127">
        <v>38165445</v>
      </c>
      <c r="AZ127">
        <v>38141267</v>
      </c>
      <c r="BA127">
        <v>38120560</v>
      </c>
      <c r="BB127">
        <v>38125759</v>
      </c>
      <c r="BC127">
        <v>38151603</v>
      </c>
      <c r="BD127">
        <v>38042794</v>
      </c>
      <c r="BE127">
        <v>38063255</v>
      </c>
      <c r="BF127">
        <v>38063164</v>
      </c>
      <c r="BG127">
        <v>38040196</v>
      </c>
      <c r="BH127">
        <v>38011735</v>
      </c>
      <c r="BI127">
        <v>37999494</v>
      </c>
      <c r="BJ127">
        <v>37990840</v>
      </c>
      <c r="BK127">
        <v>37982188</v>
      </c>
      <c r="BL127">
        <v>37973538</v>
      </c>
      <c r="BM127">
        <v>37964890</v>
      </c>
      <c r="BN127">
        <v>37956244</v>
      </c>
      <c r="BO127">
        <v>37947600</v>
      </c>
      <c r="BP127">
        <v>37938958</v>
      </c>
      <c r="BQ127">
        <v>-2.2774208938014517E-4</v>
      </c>
      <c r="BR127" s="6">
        <f t="shared" si="7"/>
        <v>38063164</v>
      </c>
      <c r="BT127" s="4">
        <f t="shared" si="11"/>
        <v>-6.4607504266966931E-4</v>
      </c>
      <c r="BU127" s="4">
        <f t="shared" si="11"/>
        <v>-3.7602629926525299E-4</v>
      </c>
      <c r="BV127" s="4">
        <f t="shared" si="11"/>
        <v>-4.1070379219521058E-4</v>
      </c>
      <c r="BW127" s="4">
        <f t="shared" si="11"/>
        <v>-7.3082907957844334E-4</v>
      </c>
      <c r="BX127" s="4">
        <f t="shared" si="11"/>
        <v>-2.0416818956714433E-4</v>
      </c>
      <c r="BY127" s="4">
        <f t="shared" si="11"/>
        <v>-4.190464808676575E-4</v>
      </c>
      <c r="BZ127" s="4">
        <f t="shared" si="10"/>
        <v>-4.7536504641521038E-4</v>
      </c>
      <c r="CA127" s="4">
        <f t="shared" si="10"/>
        <v>-3.8144651631522031E-4</v>
      </c>
      <c r="CB127" s="4">
        <f t="shared" si="10"/>
        <v>-2.5131319401139329E-4</v>
      </c>
      <c r="CC127" s="4">
        <f t="shared" si="10"/>
        <v>-2.277387117921581E-4</v>
      </c>
      <c r="CD127" s="4">
        <f t="shared" si="9"/>
        <v>-2.2773792626773481E-4</v>
      </c>
      <c r="CE127" s="4">
        <f t="shared" si="9"/>
        <v>-2.2773712838963789E-4</v>
      </c>
      <c r="CF127" s="4">
        <f t="shared" si="9"/>
        <v>-2.2773631814931861E-4</v>
      </c>
      <c r="CH127">
        <v>304255</v>
      </c>
    </row>
    <row r="128" spans="1:86" x14ac:dyDescent="0.25">
      <c r="A128" s="2">
        <v>126</v>
      </c>
      <c r="B128" s="3" t="s">
        <v>153</v>
      </c>
      <c r="C128" t="s">
        <v>153</v>
      </c>
      <c r="D128" t="s">
        <v>23</v>
      </c>
      <c r="E128">
        <v>1</v>
      </c>
      <c r="F128">
        <v>8857716</v>
      </c>
      <c r="G128">
        <v>8929316</v>
      </c>
      <c r="H128">
        <v>8993985</v>
      </c>
      <c r="I128">
        <v>9030355</v>
      </c>
      <c r="J128">
        <v>9035365</v>
      </c>
      <c r="K128">
        <v>8998595</v>
      </c>
      <c r="L128">
        <v>8930990</v>
      </c>
      <c r="M128">
        <v>8874520</v>
      </c>
      <c r="N128">
        <v>8836650</v>
      </c>
      <c r="O128">
        <v>8757705</v>
      </c>
      <c r="P128">
        <v>8680431</v>
      </c>
      <c r="Q128">
        <v>8643756</v>
      </c>
      <c r="R128">
        <v>8630430</v>
      </c>
      <c r="S128">
        <v>8633100</v>
      </c>
      <c r="T128">
        <v>8754365</v>
      </c>
      <c r="U128">
        <v>9093470</v>
      </c>
      <c r="V128">
        <v>9355810</v>
      </c>
      <c r="W128">
        <v>9455675</v>
      </c>
      <c r="X128">
        <v>9558250</v>
      </c>
      <c r="Y128">
        <v>9661265</v>
      </c>
      <c r="Z128">
        <v>9766312</v>
      </c>
      <c r="AA128">
        <v>9851362</v>
      </c>
      <c r="AB128">
        <v>9911771</v>
      </c>
      <c r="AC128">
        <v>9957865</v>
      </c>
      <c r="AD128">
        <v>9996232</v>
      </c>
      <c r="AE128">
        <v>10023613</v>
      </c>
      <c r="AF128">
        <v>10032734</v>
      </c>
      <c r="AG128">
        <v>10030031</v>
      </c>
      <c r="AH128">
        <v>10019610</v>
      </c>
      <c r="AI128">
        <v>10005000</v>
      </c>
      <c r="AJ128">
        <v>9983218</v>
      </c>
      <c r="AK128">
        <v>9960235</v>
      </c>
      <c r="AL128">
        <v>9952494</v>
      </c>
      <c r="AM128">
        <v>9964675</v>
      </c>
      <c r="AN128">
        <v>9991525</v>
      </c>
      <c r="AO128">
        <v>10026176</v>
      </c>
      <c r="AP128">
        <v>10063945</v>
      </c>
      <c r="AQ128">
        <v>10108977</v>
      </c>
      <c r="AR128">
        <v>10160196</v>
      </c>
      <c r="AS128">
        <v>10217828</v>
      </c>
      <c r="AT128">
        <v>10289898</v>
      </c>
      <c r="AU128">
        <v>10362722</v>
      </c>
      <c r="AV128">
        <v>10419631</v>
      </c>
      <c r="AW128">
        <v>10458821</v>
      </c>
      <c r="AX128">
        <v>10483861</v>
      </c>
      <c r="AY128">
        <v>10503330</v>
      </c>
      <c r="AZ128">
        <v>10522288</v>
      </c>
      <c r="BA128">
        <v>10542964</v>
      </c>
      <c r="BB128">
        <v>10558177</v>
      </c>
      <c r="BC128">
        <v>10568247</v>
      </c>
      <c r="BD128">
        <v>10573100</v>
      </c>
      <c r="BE128">
        <v>10557560</v>
      </c>
      <c r="BF128">
        <v>10514844</v>
      </c>
      <c r="BG128">
        <v>10457295</v>
      </c>
      <c r="BH128">
        <v>10401062</v>
      </c>
      <c r="BI128">
        <v>10348648</v>
      </c>
      <c r="BJ128">
        <v>10304333</v>
      </c>
      <c r="BK128">
        <v>10260207</v>
      </c>
      <c r="BL128">
        <v>10216270</v>
      </c>
      <c r="BM128">
        <v>10172522</v>
      </c>
      <c r="BN128">
        <v>10128961</v>
      </c>
      <c r="BO128">
        <v>10085586</v>
      </c>
      <c r="BP128">
        <v>10042397</v>
      </c>
      <c r="BQ128">
        <v>-4.2822362865450048E-3</v>
      </c>
      <c r="BR128" s="6">
        <f t="shared" si="7"/>
        <v>10514844</v>
      </c>
      <c r="BT128" s="4">
        <f t="shared" si="11"/>
        <v>1.2050669110703627E-3</v>
      </c>
      <c r="BU128" s="4">
        <f t="shared" si="11"/>
        <v>3.4592806240096863E-4</v>
      </c>
      <c r="BV128" s="4">
        <f t="shared" si="11"/>
        <v>-1.0276360459781086E-3</v>
      </c>
      <c r="BW128" s="4">
        <f t="shared" si="11"/>
        <v>-2.6350517416476871E-3</v>
      </c>
      <c r="BX128" s="4">
        <f t="shared" si="11"/>
        <v>-4.0928820936446675E-3</v>
      </c>
      <c r="BY128" s="4">
        <f t="shared" si="11"/>
        <v>-4.9841148274961666E-3</v>
      </c>
      <c r="BZ128" s="4">
        <f t="shared" si="10"/>
        <v>-5.0431122705514309E-3</v>
      </c>
      <c r="CA128" s="4">
        <f t="shared" si="10"/>
        <v>-4.7454063139719116E-3</v>
      </c>
      <c r="CB128" s="4">
        <f t="shared" si="10"/>
        <v>-4.4715648524461526E-3</v>
      </c>
      <c r="CC128" s="4">
        <f t="shared" si="10"/>
        <v>-4.282234866349599E-3</v>
      </c>
      <c r="CD128" s="4">
        <f t="shared" si="9"/>
        <v>-4.2822399557870261E-3</v>
      </c>
      <c r="CE128" s="4">
        <f t="shared" si="9"/>
        <v>-4.2822397421021785E-3</v>
      </c>
      <c r="CF128" s="4">
        <f t="shared" si="9"/>
        <v>-4.2822341565914579E-3</v>
      </c>
      <c r="CH128">
        <v>91470</v>
      </c>
    </row>
    <row r="129" spans="1:86" x14ac:dyDescent="0.25">
      <c r="A129" s="2">
        <v>127</v>
      </c>
      <c r="B129" s="3" t="s">
        <v>154</v>
      </c>
      <c r="C129" t="s">
        <v>11</v>
      </c>
      <c r="D129" t="s">
        <v>16</v>
      </c>
      <c r="E129">
        <v>1</v>
      </c>
      <c r="F129">
        <v>2358000</v>
      </c>
      <c r="G129">
        <v>2399722</v>
      </c>
      <c r="H129">
        <v>2450322</v>
      </c>
      <c r="I129">
        <v>2504530</v>
      </c>
      <c r="J129">
        <v>2554066</v>
      </c>
      <c r="K129">
        <v>2594000</v>
      </c>
      <c r="L129">
        <v>2624995</v>
      </c>
      <c r="M129">
        <v>2645674</v>
      </c>
      <c r="N129">
        <v>2662064</v>
      </c>
      <c r="O129">
        <v>2684150</v>
      </c>
      <c r="P129">
        <v>2718000</v>
      </c>
      <c r="Q129">
        <v>2762190</v>
      </c>
      <c r="R129">
        <v>2817256</v>
      </c>
      <c r="S129">
        <v>2878786</v>
      </c>
      <c r="T129">
        <v>2939299</v>
      </c>
      <c r="U129">
        <v>2994000</v>
      </c>
      <c r="V129">
        <v>3043854</v>
      </c>
      <c r="W129">
        <v>3088690</v>
      </c>
      <c r="X129">
        <v>3129421</v>
      </c>
      <c r="Y129">
        <v>3168088</v>
      </c>
      <c r="Z129">
        <v>3206000</v>
      </c>
      <c r="AA129">
        <v>3242552</v>
      </c>
      <c r="AB129">
        <v>3277453</v>
      </c>
      <c r="AC129">
        <v>3311138</v>
      </c>
      <c r="AD129">
        <v>3344190</v>
      </c>
      <c r="AE129">
        <v>3377000</v>
      </c>
      <c r="AF129">
        <v>3409554</v>
      </c>
      <c r="AG129">
        <v>3441850</v>
      </c>
      <c r="AH129">
        <v>3473898</v>
      </c>
      <c r="AI129">
        <v>3505650</v>
      </c>
      <c r="AJ129">
        <v>3537000</v>
      </c>
      <c r="AK129">
        <v>3562110</v>
      </c>
      <c r="AL129">
        <v>3585176</v>
      </c>
      <c r="AM129">
        <v>3615497</v>
      </c>
      <c r="AN129">
        <v>3649237</v>
      </c>
      <c r="AO129">
        <v>3683103</v>
      </c>
      <c r="AP129">
        <v>3724655</v>
      </c>
      <c r="AQ129">
        <v>3759430</v>
      </c>
      <c r="AR129">
        <v>3781101</v>
      </c>
      <c r="AS129">
        <v>3800081</v>
      </c>
      <c r="AT129">
        <v>3810605</v>
      </c>
      <c r="AU129">
        <v>3818774</v>
      </c>
      <c r="AV129">
        <v>3823701</v>
      </c>
      <c r="AW129">
        <v>3826095</v>
      </c>
      <c r="AX129">
        <v>3826878</v>
      </c>
      <c r="AY129">
        <v>3821362</v>
      </c>
      <c r="AZ129">
        <v>3805214</v>
      </c>
      <c r="BA129">
        <v>3782995</v>
      </c>
      <c r="BB129">
        <v>3760866</v>
      </c>
      <c r="BC129">
        <v>3740410</v>
      </c>
      <c r="BD129">
        <v>3721526</v>
      </c>
      <c r="BE129">
        <v>3678736</v>
      </c>
      <c r="BF129">
        <v>3634487</v>
      </c>
      <c r="BG129">
        <v>3593079</v>
      </c>
      <c r="BH129">
        <v>3534888</v>
      </c>
      <c r="BI129">
        <v>3474182</v>
      </c>
      <c r="BJ129">
        <v>3426722</v>
      </c>
      <c r="BK129">
        <v>3379910</v>
      </c>
      <c r="BL129">
        <v>3333738</v>
      </c>
      <c r="BM129">
        <v>3288197</v>
      </c>
      <c r="BN129">
        <v>3243278</v>
      </c>
      <c r="BO129">
        <v>3198972</v>
      </c>
      <c r="BP129">
        <v>3155272</v>
      </c>
      <c r="BQ129">
        <v>-1.366078166169693E-2</v>
      </c>
      <c r="BR129" s="6">
        <f t="shared" si="7"/>
        <v>3634487</v>
      </c>
      <c r="BT129" s="4">
        <f t="shared" si="11"/>
        <v>-5.5441820537228681E-3</v>
      </c>
      <c r="BU129" s="4">
        <f t="shared" si="11"/>
        <v>-6.9623519955944735E-3</v>
      </c>
      <c r="BV129" s="4">
        <f t="shared" si="11"/>
        <v>-8.5089117699616024E-3</v>
      </c>
      <c r="BW129" s="4">
        <f t="shared" si="11"/>
        <v>-9.9961371573589197E-3</v>
      </c>
      <c r="BX129" s="4">
        <f t="shared" si="11"/>
        <v>-1.2780670489375812E-2</v>
      </c>
      <c r="BY129" s="4">
        <f t="shared" si="11"/>
        <v>-1.4200744389861186E-2</v>
      </c>
      <c r="BZ129" s="4">
        <f t="shared" si="10"/>
        <v>-1.4608212911525031E-2</v>
      </c>
      <c r="CA129" s="4">
        <f t="shared" si="10"/>
        <v>-1.5173803163529676E-2</v>
      </c>
      <c r="CB129" s="4">
        <f t="shared" si="10"/>
        <v>-1.4540111291290847E-2</v>
      </c>
      <c r="CC129" s="4">
        <f t="shared" si="10"/>
        <v>-1.3660749729516586E-2</v>
      </c>
      <c r="CD129" s="4">
        <f t="shared" si="9"/>
        <v>-1.3660726787009358E-2</v>
      </c>
      <c r="CE129" s="4">
        <f t="shared" si="9"/>
        <v>-1.3660727128836259E-2</v>
      </c>
      <c r="CF129" s="4">
        <f t="shared" si="9"/>
        <v>-1.3660707054731103E-2</v>
      </c>
      <c r="CH129">
        <v>8870</v>
      </c>
    </row>
    <row r="130" spans="1:86" x14ac:dyDescent="0.25">
      <c r="A130" s="2">
        <v>128</v>
      </c>
      <c r="B130" s="3" t="s">
        <v>155</v>
      </c>
      <c r="C130" t="s">
        <v>155</v>
      </c>
      <c r="D130" t="s">
        <v>9</v>
      </c>
      <c r="E130">
        <v>1</v>
      </c>
      <c r="F130">
        <v>47309</v>
      </c>
      <c r="G130">
        <v>51355</v>
      </c>
      <c r="H130">
        <v>56187</v>
      </c>
      <c r="I130">
        <v>61647</v>
      </c>
      <c r="J130">
        <v>67487</v>
      </c>
      <c r="K130">
        <v>73543</v>
      </c>
      <c r="L130">
        <v>79735</v>
      </c>
      <c r="M130">
        <v>86161</v>
      </c>
      <c r="N130">
        <v>93043</v>
      </c>
      <c r="O130">
        <v>100697</v>
      </c>
      <c r="P130">
        <v>109329</v>
      </c>
      <c r="Q130">
        <v>119246</v>
      </c>
      <c r="R130">
        <v>130377</v>
      </c>
      <c r="S130">
        <v>142111</v>
      </c>
      <c r="T130">
        <v>153593</v>
      </c>
      <c r="U130">
        <v>164333</v>
      </c>
      <c r="V130">
        <v>173759</v>
      </c>
      <c r="W130">
        <v>182370</v>
      </c>
      <c r="X130">
        <v>192018</v>
      </c>
      <c r="Y130">
        <v>205244</v>
      </c>
      <c r="Z130">
        <v>223715</v>
      </c>
      <c r="AA130">
        <v>248053</v>
      </c>
      <c r="AB130">
        <v>277242</v>
      </c>
      <c r="AC130">
        <v>309276</v>
      </c>
      <c r="AD130">
        <v>341286</v>
      </c>
      <c r="AE130">
        <v>371071</v>
      </c>
      <c r="AF130">
        <v>398326</v>
      </c>
      <c r="AG130">
        <v>423327</v>
      </c>
      <c r="AH130">
        <v>445203</v>
      </c>
      <c r="AI130">
        <v>463062</v>
      </c>
      <c r="AJ130">
        <v>476478</v>
      </c>
      <c r="AK130">
        <v>485114</v>
      </c>
      <c r="AL130">
        <v>489668</v>
      </c>
      <c r="AM130">
        <v>492120</v>
      </c>
      <c r="AN130">
        <v>495179</v>
      </c>
      <c r="AO130">
        <v>501019</v>
      </c>
      <c r="AP130">
        <v>511864</v>
      </c>
      <c r="AQ130">
        <v>528213</v>
      </c>
      <c r="AR130">
        <v>548618</v>
      </c>
      <c r="AS130">
        <v>570643</v>
      </c>
      <c r="AT130">
        <v>593453</v>
      </c>
      <c r="AU130">
        <v>613720</v>
      </c>
      <c r="AV130">
        <v>634388</v>
      </c>
      <c r="AW130">
        <v>668165</v>
      </c>
      <c r="AX130">
        <v>732096</v>
      </c>
      <c r="AY130">
        <v>836924</v>
      </c>
      <c r="AZ130">
        <v>988448</v>
      </c>
      <c r="BA130">
        <v>1178955</v>
      </c>
      <c r="BB130">
        <v>1388962</v>
      </c>
      <c r="BC130">
        <v>1591151</v>
      </c>
      <c r="BD130">
        <v>1765513</v>
      </c>
      <c r="BE130">
        <v>1905437</v>
      </c>
      <c r="BF130">
        <v>2015624</v>
      </c>
      <c r="BG130">
        <v>2101288</v>
      </c>
      <c r="BH130">
        <v>2172065</v>
      </c>
      <c r="BI130">
        <v>2235355</v>
      </c>
      <c r="BJ130">
        <v>2343374</v>
      </c>
      <c r="BK130">
        <v>2456613</v>
      </c>
      <c r="BL130">
        <v>2575324</v>
      </c>
      <c r="BM130">
        <v>2699771</v>
      </c>
      <c r="BN130">
        <v>2830232</v>
      </c>
      <c r="BO130">
        <v>2966997</v>
      </c>
      <c r="BP130">
        <v>3110371</v>
      </c>
      <c r="BQ130">
        <v>4.8323006254112677E-2</v>
      </c>
      <c r="BR130" s="6">
        <f t="shared" si="7"/>
        <v>2015624</v>
      </c>
      <c r="BT130" s="4">
        <f t="shared" si="11"/>
        <v>0.15605706776004302</v>
      </c>
      <c r="BU130" s="4">
        <f t="shared" si="11"/>
        <v>0.12752022644060301</v>
      </c>
      <c r="BV130" s="4">
        <f t="shared" si="11"/>
        <v>9.7563836688021377E-2</v>
      </c>
      <c r="BW130" s="4">
        <f t="shared" si="11"/>
        <v>7.1996940983170665E-2</v>
      </c>
      <c r="BX130" s="4">
        <f t="shared" si="11"/>
        <v>5.3174837690282084E-2</v>
      </c>
      <c r="BY130" s="4">
        <f t="shared" si="11"/>
        <v>4.0729769362516377E-2</v>
      </c>
      <c r="BZ130" s="4">
        <f t="shared" si="10"/>
        <v>3.8384081048053131E-2</v>
      </c>
      <c r="CA130" s="4">
        <f t="shared" si="10"/>
        <v>3.9831073341899836E-2</v>
      </c>
      <c r="CB130" s="4">
        <f t="shared" si="10"/>
        <v>4.3493539018496064E-2</v>
      </c>
      <c r="CC130" s="4">
        <f t="shared" si="10"/>
        <v>4.832298018072767E-2</v>
      </c>
      <c r="CD130" s="4">
        <f t="shared" si="9"/>
        <v>4.832298370213417E-2</v>
      </c>
      <c r="CE130" s="4">
        <f t="shared" si="9"/>
        <v>4.8322942376376243E-2</v>
      </c>
      <c r="CF130" s="4">
        <f t="shared" si="9"/>
        <v>4.8322916699697016E-2</v>
      </c>
      <c r="CH130">
        <v>11586</v>
      </c>
    </row>
    <row r="131" spans="1:86" x14ac:dyDescent="0.25">
      <c r="A131" s="2">
        <v>129</v>
      </c>
      <c r="B131" s="3" t="s">
        <v>156</v>
      </c>
      <c r="C131" t="s">
        <v>156</v>
      </c>
      <c r="D131" t="s">
        <v>23</v>
      </c>
      <c r="E131">
        <v>1</v>
      </c>
      <c r="F131">
        <v>18406905</v>
      </c>
      <c r="G131">
        <v>18555250</v>
      </c>
      <c r="H131">
        <v>18676550</v>
      </c>
      <c r="I131">
        <v>18797850</v>
      </c>
      <c r="J131">
        <v>18919126</v>
      </c>
      <c r="K131">
        <v>19031576</v>
      </c>
      <c r="L131">
        <v>19215450</v>
      </c>
      <c r="M131">
        <v>19534242</v>
      </c>
      <c r="N131">
        <v>19799831</v>
      </c>
      <c r="O131">
        <v>20009141</v>
      </c>
      <c r="P131">
        <v>20250398</v>
      </c>
      <c r="Q131">
        <v>20461567</v>
      </c>
      <c r="R131">
        <v>20657957</v>
      </c>
      <c r="S131">
        <v>20835681</v>
      </c>
      <c r="T131">
        <v>21029429</v>
      </c>
      <c r="U131">
        <v>21293583</v>
      </c>
      <c r="V131">
        <v>21551634</v>
      </c>
      <c r="W131">
        <v>21756096</v>
      </c>
      <c r="X131">
        <v>21951464</v>
      </c>
      <c r="Y131">
        <v>22090488</v>
      </c>
      <c r="Z131">
        <v>22242653</v>
      </c>
      <c r="AA131">
        <v>22415169</v>
      </c>
      <c r="AB131">
        <v>22515389</v>
      </c>
      <c r="AC131">
        <v>22588790</v>
      </c>
      <c r="AD131">
        <v>22655940</v>
      </c>
      <c r="AE131">
        <v>22755427</v>
      </c>
      <c r="AF131">
        <v>22859269</v>
      </c>
      <c r="AG131">
        <v>22949430</v>
      </c>
      <c r="AH131">
        <v>23057662</v>
      </c>
      <c r="AI131">
        <v>23161458</v>
      </c>
      <c r="AJ131">
        <v>23201835</v>
      </c>
      <c r="AK131">
        <v>23001155</v>
      </c>
      <c r="AL131">
        <v>22794284</v>
      </c>
      <c r="AM131">
        <v>22763280</v>
      </c>
      <c r="AN131">
        <v>22730211</v>
      </c>
      <c r="AO131">
        <v>22684270</v>
      </c>
      <c r="AP131">
        <v>22619004</v>
      </c>
      <c r="AQ131">
        <v>22553978</v>
      </c>
      <c r="AR131">
        <v>22507344</v>
      </c>
      <c r="AS131">
        <v>22472040</v>
      </c>
      <c r="AT131">
        <v>22442971</v>
      </c>
      <c r="AU131">
        <v>22131970</v>
      </c>
      <c r="AV131">
        <v>21730496</v>
      </c>
      <c r="AW131">
        <v>21574326</v>
      </c>
      <c r="AX131">
        <v>21451748</v>
      </c>
      <c r="AY131">
        <v>21319685</v>
      </c>
      <c r="AZ131">
        <v>21193760</v>
      </c>
      <c r="BA131">
        <v>20882982</v>
      </c>
      <c r="BB131">
        <v>20537875</v>
      </c>
      <c r="BC131">
        <v>20367487</v>
      </c>
      <c r="BD131">
        <v>20246871</v>
      </c>
      <c r="BE131">
        <v>20147528</v>
      </c>
      <c r="BF131">
        <v>20058035</v>
      </c>
      <c r="BG131">
        <v>19983693</v>
      </c>
      <c r="BH131">
        <v>19908979</v>
      </c>
      <c r="BI131">
        <v>19832389</v>
      </c>
      <c r="BJ131">
        <v>19750516</v>
      </c>
      <c r="BK131">
        <v>19668981</v>
      </c>
      <c r="BL131">
        <v>19587783</v>
      </c>
      <c r="BM131">
        <v>19506920</v>
      </c>
      <c r="BN131">
        <v>19426391</v>
      </c>
      <c r="BO131">
        <v>19346194</v>
      </c>
      <c r="BP131">
        <v>19266329</v>
      </c>
      <c r="BQ131">
        <v>-4.1282261083819272E-3</v>
      </c>
      <c r="BR131" s="6">
        <f t="shared" si="7"/>
        <v>20058035</v>
      </c>
      <c r="BT131" s="4">
        <f t="shared" si="11"/>
        <v>-1.1361597877291185E-2</v>
      </c>
      <c r="BU131" s="4">
        <f t="shared" si="11"/>
        <v>-8.9231918812179289E-3</v>
      </c>
      <c r="BV131" s="4">
        <f t="shared" si="11"/>
        <v>-5.8927991653808798E-3</v>
      </c>
      <c r="BW131" s="4">
        <f t="shared" si="11"/>
        <v>-4.7445250023441243E-3</v>
      </c>
      <c r="BX131" s="4">
        <f t="shared" si="11"/>
        <v>-4.1985182487038752E-3</v>
      </c>
      <c r="BY131" s="4">
        <f t="shared" si="11"/>
        <v>-3.9335411946361809E-3</v>
      </c>
      <c r="BZ131" s="4">
        <f t="shared" si="10"/>
        <v>-3.8551009490430665E-3</v>
      </c>
      <c r="CA131" s="4">
        <f t="shared" si="10"/>
        <v>-3.9605773169785197E-3</v>
      </c>
      <c r="CB131" s="4">
        <f t="shared" si="10"/>
        <v>-4.0579393298840749E-3</v>
      </c>
      <c r="CC131" s="4">
        <f t="shared" si="10"/>
        <v>-4.1282390198222885E-3</v>
      </c>
      <c r="CD131" s="4">
        <f t="shared" si="9"/>
        <v>-4.1282341038285653E-3</v>
      </c>
      <c r="CE131" s="4">
        <f t="shared" si="9"/>
        <v>-4.1282349779050431E-3</v>
      </c>
      <c r="CF131" s="4">
        <f t="shared" si="9"/>
        <v>-4.1282290039426073E-3</v>
      </c>
      <c r="CH131">
        <v>229891</v>
      </c>
    </row>
    <row r="132" spans="1:86" x14ac:dyDescent="0.25">
      <c r="A132" s="2">
        <v>130</v>
      </c>
      <c r="B132" s="3" t="s">
        <v>157</v>
      </c>
      <c r="C132" t="s">
        <v>158</v>
      </c>
      <c r="D132" t="s">
        <v>7</v>
      </c>
      <c r="E132">
        <v>1</v>
      </c>
      <c r="F132">
        <v>119897000</v>
      </c>
      <c r="G132">
        <v>121236000</v>
      </c>
      <c r="H132">
        <v>122591000</v>
      </c>
      <c r="I132">
        <v>123960000</v>
      </c>
      <c r="J132">
        <v>125345000</v>
      </c>
      <c r="K132">
        <v>126745000</v>
      </c>
      <c r="L132">
        <v>127468000</v>
      </c>
      <c r="M132">
        <v>128196000</v>
      </c>
      <c r="N132">
        <v>128928000</v>
      </c>
      <c r="O132">
        <v>129664000</v>
      </c>
      <c r="P132">
        <v>130404000</v>
      </c>
      <c r="Q132">
        <v>131155000</v>
      </c>
      <c r="R132">
        <v>131909000</v>
      </c>
      <c r="S132">
        <v>132669000</v>
      </c>
      <c r="T132">
        <v>133432000</v>
      </c>
      <c r="U132">
        <v>134200000</v>
      </c>
      <c r="V132">
        <v>135147000</v>
      </c>
      <c r="W132">
        <v>136100000</v>
      </c>
      <c r="X132">
        <v>137060000</v>
      </c>
      <c r="Y132">
        <v>138027000</v>
      </c>
      <c r="Z132">
        <v>139010000</v>
      </c>
      <c r="AA132">
        <v>139941000</v>
      </c>
      <c r="AB132">
        <v>140823000</v>
      </c>
      <c r="AC132">
        <v>141668000</v>
      </c>
      <c r="AD132">
        <v>142745000</v>
      </c>
      <c r="AE132">
        <v>143858000</v>
      </c>
      <c r="AF132">
        <v>144894000</v>
      </c>
      <c r="AG132">
        <v>145908000</v>
      </c>
      <c r="AH132">
        <v>146857000</v>
      </c>
      <c r="AI132">
        <v>147721000</v>
      </c>
      <c r="AJ132">
        <v>148292000</v>
      </c>
      <c r="AK132">
        <v>148624000</v>
      </c>
      <c r="AL132">
        <v>148689000</v>
      </c>
      <c r="AM132">
        <v>148520000</v>
      </c>
      <c r="AN132">
        <v>148336000</v>
      </c>
      <c r="AO132">
        <v>148375726</v>
      </c>
      <c r="AP132">
        <v>148160042</v>
      </c>
      <c r="AQ132">
        <v>147915307</v>
      </c>
      <c r="AR132">
        <v>147670692</v>
      </c>
      <c r="AS132">
        <v>147214392</v>
      </c>
      <c r="AT132">
        <v>146596557</v>
      </c>
      <c r="AU132">
        <v>145976083</v>
      </c>
      <c r="AV132">
        <v>145306046</v>
      </c>
      <c r="AW132">
        <v>144648257</v>
      </c>
      <c r="AX132">
        <v>144067054</v>
      </c>
      <c r="AY132">
        <v>143518523</v>
      </c>
      <c r="AZ132">
        <v>143049528</v>
      </c>
      <c r="BA132">
        <v>142805088</v>
      </c>
      <c r="BB132">
        <v>142742350</v>
      </c>
      <c r="BC132">
        <v>142785342</v>
      </c>
      <c r="BD132">
        <v>142849449</v>
      </c>
      <c r="BE132">
        <v>142960868</v>
      </c>
      <c r="BF132">
        <v>143201676</v>
      </c>
      <c r="BG132">
        <v>143506911</v>
      </c>
      <c r="BH132">
        <v>143819569</v>
      </c>
      <c r="BI132">
        <v>144096812</v>
      </c>
      <c r="BJ132">
        <v>144347589</v>
      </c>
      <c r="BK132">
        <v>144598802</v>
      </c>
      <c r="BL132">
        <v>144850452</v>
      </c>
      <c r="BM132">
        <v>145102540</v>
      </c>
      <c r="BN132">
        <v>145355067</v>
      </c>
      <c r="BO132">
        <v>145608033</v>
      </c>
      <c r="BP132">
        <v>145861440</v>
      </c>
      <c r="BQ132">
        <v>1.7403341785837689E-3</v>
      </c>
      <c r="BR132" s="6">
        <f t="shared" ref="BR132:BR177" si="12">SUMIF($F$2:$BP$2,BR$2,F132:BP132)</f>
        <v>143201676</v>
      </c>
      <c r="BT132" s="4">
        <f t="shared" si="11"/>
        <v>-3.4985090503969474E-4</v>
      </c>
      <c r="BU132" s="4">
        <f t="shared" si="11"/>
        <v>2.7260288399633126E-4</v>
      </c>
      <c r="BV132" s="4">
        <f t="shared" si="11"/>
        <v>8.0349799700463187E-4</v>
      </c>
      <c r="BW132" s="4">
        <f t="shared" si="11"/>
        <v>1.2609935698177921E-3</v>
      </c>
      <c r="BX132" s="4">
        <f t="shared" si="11"/>
        <v>1.6934946932074535E-3</v>
      </c>
      <c r="BY132" s="4">
        <f t="shared" si="11"/>
        <v>1.9805679323794401E-3</v>
      </c>
      <c r="BZ132" s="4">
        <f t="shared" si="10"/>
        <v>1.994547754777809E-3</v>
      </c>
      <c r="CA132" s="4">
        <f t="shared" si="10"/>
        <v>1.8967541787180409E-3</v>
      </c>
      <c r="CB132" s="4">
        <f t="shared" si="10"/>
        <v>1.7871760518315405E-3</v>
      </c>
      <c r="CC132" s="4">
        <f t="shared" si="10"/>
        <v>1.7403340441530801E-3</v>
      </c>
      <c r="CD132" s="4">
        <f t="shared" si="9"/>
        <v>1.7403335177046397E-3</v>
      </c>
      <c r="CE132" s="4">
        <f t="shared" si="9"/>
        <v>1.7403329189993322E-3</v>
      </c>
      <c r="CF132" s="4">
        <f t="shared" si="9"/>
        <v>1.7403339533739182E-3</v>
      </c>
      <c r="CH132">
        <v>16377742</v>
      </c>
    </row>
    <row r="133" spans="1:86" x14ac:dyDescent="0.25">
      <c r="A133" s="2">
        <v>131</v>
      </c>
      <c r="B133" s="3" t="s">
        <v>159</v>
      </c>
      <c r="C133" t="s">
        <v>159</v>
      </c>
      <c r="D133" t="s">
        <v>14</v>
      </c>
      <c r="E133">
        <v>1</v>
      </c>
      <c r="F133">
        <v>2933424</v>
      </c>
      <c r="G133">
        <v>2996091</v>
      </c>
      <c r="H133">
        <v>3050596</v>
      </c>
      <c r="I133">
        <v>3102968</v>
      </c>
      <c r="J133">
        <v>3161719</v>
      </c>
      <c r="K133">
        <v>3232937</v>
      </c>
      <c r="L133">
        <v>3319077</v>
      </c>
      <c r="M133">
        <v>3418313</v>
      </c>
      <c r="N133">
        <v>3527260</v>
      </c>
      <c r="O133">
        <v>3640591</v>
      </c>
      <c r="P133">
        <v>3754546</v>
      </c>
      <c r="Q133">
        <v>3868345</v>
      </c>
      <c r="R133">
        <v>3983707</v>
      </c>
      <c r="S133">
        <v>4102336</v>
      </c>
      <c r="T133">
        <v>4226836</v>
      </c>
      <c r="U133">
        <v>4359166</v>
      </c>
      <c r="V133">
        <v>4499720</v>
      </c>
      <c r="W133">
        <v>4648070</v>
      </c>
      <c r="X133">
        <v>4804375</v>
      </c>
      <c r="Y133">
        <v>4968628</v>
      </c>
      <c r="Z133">
        <v>5140786</v>
      </c>
      <c r="AA133">
        <v>5313908</v>
      </c>
      <c r="AB133">
        <v>5486431</v>
      </c>
      <c r="AC133">
        <v>5669251</v>
      </c>
      <c r="AD133">
        <v>5877556</v>
      </c>
      <c r="AE133">
        <v>6117966</v>
      </c>
      <c r="AF133">
        <v>6410594</v>
      </c>
      <c r="AG133">
        <v>6742390</v>
      </c>
      <c r="AH133">
        <v>7048075</v>
      </c>
      <c r="AI133">
        <v>7239097</v>
      </c>
      <c r="AJ133">
        <v>7259740</v>
      </c>
      <c r="AK133">
        <v>7071393</v>
      </c>
      <c r="AL133">
        <v>6712924</v>
      </c>
      <c r="AM133">
        <v>6300358</v>
      </c>
      <c r="AN133">
        <v>5995987</v>
      </c>
      <c r="AO133">
        <v>5912755</v>
      </c>
      <c r="AP133">
        <v>6097688</v>
      </c>
      <c r="AQ133">
        <v>6506118</v>
      </c>
      <c r="AR133">
        <v>7047196</v>
      </c>
      <c r="AS133">
        <v>7585143</v>
      </c>
      <c r="AT133">
        <v>8021875</v>
      </c>
      <c r="AU133">
        <v>8329113</v>
      </c>
      <c r="AV133">
        <v>8539029</v>
      </c>
      <c r="AW133">
        <v>8686469</v>
      </c>
      <c r="AX133">
        <v>8828956</v>
      </c>
      <c r="AY133">
        <v>9008230</v>
      </c>
      <c r="AZ133">
        <v>9231041</v>
      </c>
      <c r="BA133">
        <v>9481083</v>
      </c>
      <c r="BB133">
        <v>9750314</v>
      </c>
      <c r="BC133">
        <v>10024594</v>
      </c>
      <c r="BD133">
        <v>10293669</v>
      </c>
      <c r="BE133">
        <v>10556429</v>
      </c>
      <c r="BF133">
        <v>10817350</v>
      </c>
      <c r="BG133">
        <v>11078095</v>
      </c>
      <c r="BH133">
        <v>11341544</v>
      </c>
      <c r="BI133">
        <v>11609666</v>
      </c>
      <c r="BJ133">
        <v>11892403</v>
      </c>
      <c r="BK133">
        <v>12182026</v>
      </c>
      <c r="BL133">
        <v>12478702</v>
      </c>
      <c r="BM133">
        <v>12782604</v>
      </c>
      <c r="BN133">
        <v>13093907</v>
      </c>
      <c r="BO133">
        <v>13412791</v>
      </c>
      <c r="BP133">
        <v>13739441</v>
      </c>
      <c r="BQ133">
        <v>2.4353617081920298E-2</v>
      </c>
      <c r="BR133" s="6">
        <f t="shared" si="12"/>
        <v>10817350</v>
      </c>
      <c r="BT133" s="4">
        <f t="shared" si="11"/>
        <v>2.761368630820038E-2</v>
      </c>
      <c r="BU133" s="4">
        <f t="shared" si="11"/>
        <v>2.7223084562692401E-2</v>
      </c>
      <c r="BV133" s="4">
        <f t="shared" si="11"/>
        <v>2.6302932734207474E-2</v>
      </c>
      <c r="BW133" s="4">
        <f t="shared" si="11"/>
        <v>2.5296732049662873E-2</v>
      </c>
      <c r="BX133" s="4">
        <f t="shared" si="11"/>
        <v>2.4531924784762627E-2</v>
      </c>
      <c r="BY133" s="4">
        <f t="shared" si="11"/>
        <v>2.4060638547781954E-2</v>
      </c>
      <c r="BZ133" s="4">
        <f t="shared" si="10"/>
        <v>2.3969884556787724E-2</v>
      </c>
      <c r="CA133" s="4">
        <f t="shared" si="10"/>
        <v>2.4032191254133028E-2</v>
      </c>
      <c r="CB133" s="4">
        <f t="shared" si="10"/>
        <v>2.4175323914461755E-2</v>
      </c>
      <c r="CC133" s="4">
        <f t="shared" si="10"/>
        <v>2.4353609994367975E-2</v>
      </c>
      <c r="CD133" s="4">
        <f t="shared" si="9"/>
        <v>2.435362473080005E-2</v>
      </c>
      <c r="CE133" s="4">
        <f t="shared" si="9"/>
        <v>2.4353625390953315E-2</v>
      </c>
      <c r="CF133" s="4">
        <f t="shared" si="9"/>
        <v>2.435363397473056E-2</v>
      </c>
      <c r="CH133">
        <v>24668</v>
      </c>
    </row>
    <row r="134" spans="1:86" x14ac:dyDescent="0.25">
      <c r="A134" s="2">
        <v>132</v>
      </c>
      <c r="B134" s="3" t="s">
        <v>160</v>
      </c>
      <c r="C134" t="s">
        <v>161</v>
      </c>
      <c r="D134" t="s">
        <v>16</v>
      </c>
      <c r="E134">
        <v>1</v>
      </c>
      <c r="F134">
        <v>89901</v>
      </c>
      <c r="G134">
        <v>90913</v>
      </c>
      <c r="H134">
        <v>92086</v>
      </c>
      <c r="I134">
        <v>93397</v>
      </c>
      <c r="J134">
        <v>94813</v>
      </c>
      <c r="K134">
        <v>96303</v>
      </c>
      <c r="L134">
        <v>97877</v>
      </c>
      <c r="M134">
        <v>99526</v>
      </c>
      <c r="N134">
        <v>101181</v>
      </c>
      <c r="O134">
        <v>102747</v>
      </c>
      <c r="P134">
        <v>104162</v>
      </c>
      <c r="Q134">
        <v>105389</v>
      </c>
      <c r="R134">
        <v>106458</v>
      </c>
      <c r="S134">
        <v>107461</v>
      </c>
      <c r="T134">
        <v>108534</v>
      </c>
      <c r="U134">
        <v>109770</v>
      </c>
      <c r="V134">
        <v>111211</v>
      </c>
      <c r="W134">
        <v>112826</v>
      </c>
      <c r="X134">
        <v>114551</v>
      </c>
      <c r="Y134">
        <v>116292</v>
      </c>
      <c r="Z134">
        <v>117984</v>
      </c>
      <c r="AA134">
        <v>119593</v>
      </c>
      <c r="AB134">
        <v>121150</v>
      </c>
      <c r="AC134">
        <v>122738</v>
      </c>
      <c r="AD134">
        <v>124468</v>
      </c>
      <c r="AE134">
        <v>126416</v>
      </c>
      <c r="AF134">
        <v>128620</v>
      </c>
      <c r="AG134">
        <v>131032</v>
      </c>
      <c r="AH134">
        <v>133532</v>
      </c>
      <c r="AI134">
        <v>135954</v>
      </c>
      <c r="AJ134">
        <v>138180</v>
      </c>
      <c r="AK134">
        <v>140159</v>
      </c>
      <c r="AL134">
        <v>141934</v>
      </c>
      <c r="AM134">
        <v>143592</v>
      </c>
      <c r="AN134">
        <v>145262</v>
      </c>
      <c r="AO134">
        <v>147040</v>
      </c>
      <c r="AP134">
        <v>148962</v>
      </c>
      <c r="AQ134">
        <v>150994</v>
      </c>
      <c r="AR134">
        <v>153066</v>
      </c>
      <c r="AS134">
        <v>155073</v>
      </c>
      <c r="AT134">
        <v>156949</v>
      </c>
      <c r="AU134">
        <v>158650</v>
      </c>
      <c r="AV134">
        <v>160218</v>
      </c>
      <c r="AW134">
        <v>161767</v>
      </c>
      <c r="AX134">
        <v>163462</v>
      </c>
      <c r="AY134">
        <v>165407</v>
      </c>
      <c r="AZ134">
        <v>167656</v>
      </c>
      <c r="BA134">
        <v>170146</v>
      </c>
      <c r="BB134">
        <v>172729</v>
      </c>
      <c r="BC134">
        <v>175196</v>
      </c>
      <c r="BD134">
        <v>177397</v>
      </c>
      <c r="BE134">
        <v>179278</v>
      </c>
      <c r="BF134">
        <v>180890</v>
      </c>
      <c r="BG134">
        <v>182305</v>
      </c>
      <c r="BH134">
        <v>183645</v>
      </c>
      <c r="BI134">
        <v>184999</v>
      </c>
      <c r="BJ134">
        <v>186558</v>
      </c>
      <c r="BK134">
        <v>188130</v>
      </c>
      <c r="BL134">
        <v>189715</v>
      </c>
      <c r="BM134">
        <v>191314</v>
      </c>
      <c r="BN134">
        <v>192926</v>
      </c>
      <c r="BO134">
        <v>194552</v>
      </c>
      <c r="BP134">
        <v>196192</v>
      </c>
      <c r="BQ134">
        <v>8.4273641530192567E-3</v>
      </c>
      <c r="BR134" s="6">
        <f t="shared" si="12"/>
        <v>180890</v>
      </c>
      <c r="BT134" s="4">
        <f t="shared" si="11"/>
        <v>1.4219117891763222E-2</v>
      </c>
      <c r="BU134" s="4">
        <f t="shared" si="11"/>
        <v>1.3155983777271008E-2</v>
      </c>
      <c r="BV134" s="4">
        <f t="shared" si="11"/>
        <v>1.1608162671947753E-2</v>
      </c>
      <c r="BW134" s="4">
        <f t="shared" si="11"/>
        <v>9.9935456211786011E-3</v>
      </c>
      <c r="BX134" s="4">
        <f t="shared" si="11"/>
        <v>8.691147456307835E-3</v>
      </c>
      <c r="BY134" s="4">
        <f t="shared" si="11"/>
        <v>7.8841036392238717E-3</v>
      </c>
      <c r="BZ134" s="4">
        <f t="shared" si="10"/>
        <v>7.7430916250607051E-3</v>
      </c>
      <c r="CA134" s="4">
        <f t="shared" si="10"/>
        <v>7.8940209236606496E-3</v>
      </c>
      <c r="CB134" s="4">
        <f t="shared" si="10"/>
        <v>8.1627348881860851E-3</v>
      </c>
      <c r="CC134" s="4">
        <f t="shared" si="10"/>
        <v>8.4267159619111354E-3</v>
      </c>
      <c r="CD134" s="4">
        <f t="shared" si="9"/>
        <v>8.4264324445655348E-3</v>
      </c>
      <c r="CE134" s="4">
        <f t="shared" si="9"/>
        <v>8.4268744605771051E-3</v>
      </c>
      <c r="CF134" s="4">
        <f t="shared" si="9"/>
        <v>8.4280238807388219E-3</v>
      </c>
      <c r="CH134">
        <v>606</v>
      </c>
    </row>
    <row r="135" spans="1:86" x14ac:dyDescent="0.25">
      <c r="A135" s="2">
        <v>133</v>
      </c>
      <c r="B135" s="3" t="s">
        <v>162</v>
      </c>
      <c r="C135" t="s">
        <v>162</v>
      </c>
      <c r="D135" t="s">
        <v>21</v>
      </c>
      <c r="E135">
        <v>1</v>
      </c>
      <c r="F135">
        <v>108645</v>
      </c>
      <c r="G135">
        <v>112121</v>
      </c>
      <c r="H135">
        <v>115786</v>
      </c>
      <c r="I135">
        <v>119564</v>
      </c>
      <c r="J135">
        <v>123354</v>
      </c>
      <c r="K135">
        <v>127068</v>
      </c>
      <c r="L135">
        <v>130687</v>
      </c>
      <c r="M135">
        <v>134194</v>
      </c>
      <c r="N135">
        <v>137503</v>
      </c>
      <c r="O135">
        <v>140520</v>
      </c>
      <c r="P135">
        <v>143175</v>
      </c>
      <c r="Q135">
        <v>145437</v>
      </c>
      <c r="R135">
        <v>147323</v>
      </c>
      <c r="S135">
        <v>148889</v>
      </c>
      <c r="T135">
        <v>150219</v>
      </c>
      <c r="U135">
        <v>151383</v>
      </c>
      <c r="V135">
        <v>152390</v>
      </c>
      <c r="W135">
        <v>153244</v>
      </c>
      <c r="X135">
        <v>154010</v>
      </c>
      <c r="Y135">
        <v>154763</v>
      </c>
      <c r="Z135">
        <v>155554</v>
      </c>
      <c r="AA135">
        <v>156435</v>
      </c>
      <c r="AB135">
        <v>157401</v>
      </c>
      <c r="AC135">
        <v>158383</v>
      </c>
      <c r="AD135">
        <v>159281</v>
      </c>
      <c r="AE135">
        <v>160030</v>
      </c>
      <c r="AF135">
        <v>160591</v>
      </c>
      <c r="AG135">
        <v>161014</v>
      </c>
      <c r="AH135">
        <v>161424</v>
      </c>
      <c r="AI135">
        <v>162001</v>
      </c>
      <c r="AJ135">
        <v>162865</v>
      </c>
      <c r="AK135">
        <v>164073</v>
      </c>
      <c r="AL135">
        <v>165568</v>
      </c>
      <c r="AM135">
        <v>167206</v>
      </c>
      <c r="AN135">
        <v>168786</v>
      </c>
      <c r="AO135">
        <v>170158</v>
      </c>
      <c r="AP135">
        <v>171276</v>
      </c>
      <c r="AQ135">
        <v>172191</v>
      </c>
      <c r="AR135">
        <v>172979</v>
      </c>
      <c r="AS135">
        <v>173758</v>
      </c>
      <c r="AT135">
        <v>174614</v>
      </c>
      <c r="AU135">
        <v>175567</v>
      </c>
      <c r="AV135">
        <v>176592</v>
      </c>
      <c r="AW135">
        <v>177677</v>
      </c>
      <c r="AX135">
        <v>178794</v>
      </c>
      <c r="AY135">
        <v>179928</v>
      </c>
      <c r="AZ135">
        <v>181072</v>
      </c>
      <c r="BA135">
        <v>182238</v>
      </c>
      <c r="BB135">
        <v>183440</v>
      </c>
      <c r="BC135">
        <v>184700</v>
      </c>
      <c r="BD135">
        <v>186029</v>
      </c>
      <c r="BE135">
        <v>187434</v>
      </c>
      <c r="BF135">
        <v>188901</v>
      </c>
      <c r="BG135">
        <v>190390</v>
      </c>
      <c r="BH135">
        <v>191845</v>
      </c>
      <c r="BI135">
        <v>193228</v>
      </c>
      <c r="BJ135">
        <v>194701</v>
      </c>
      <c r="BK135">
        <v>196185</v>
      </c>
      <c r="BL135">
        <v>197680</v>
      </c>
      <c r="BM135">
        <v>199187</v>
      </c>
      <c r="BN135">
        <v>200705</v>
      </c>
      <c r="BO135">
        <v>202235</v>
      </c>
      <c r="BP135">
        <v>203777</v>
      </c>
      <c r="BQ135">
        <v>7.6225575536459367E-3</v>
      </c>
      <c r="BR135" s="6">
        <f t="shared" si="12"/>
        <v>188901</v>
      </c>
      <c r="BT135" s="4">
        <f t="shared" si="11"/>
        <v>6.7748041884871935E-3</v>
      </c>
      <c r="BU135" s="4">
        <f t="shared" si="11"/>
        <v>7.0530711540430779E-3</v>
      </c>
      <c r="BV135" s="4">
        <f t="shared" si="11"/>
        <v>7.3608160331715133E-3</v>
      </c>
      <c r="BW135" s="4">
        <f t="shared" si="11"/>
        <v>7.6142704323136634E-3</v>
      </c>
      <c r="BX135" s="4">
        <f t="shared" si="11"/>
        <v>7.725987298322412E-3</v>
      </c>
      <c r="BY135" s="4">
        <f t="shared" si="11"/>
        <v>7.6400512295284884E-3</v>
      </c>
      <c r="BZ135" s="4">
        <f t="shared" si="10"/>
        <v>7.5891477497029847E-3</v>
      </c>
      <c r="CA135" s="4">
        <f t="shared" si="10"/>
        <v>7.5240372934837207E-3</v>
      </c>
      <c r="CB135" s="4">
        <f t="shared" si="10"/>
        <v>7.5185754486959411E-3</v>
      </c>
      <c r="CC135" s="4">
        <f t="shared" si="10"/>
        <v>7.6222130835301716E-3</v>
      </c>
      <c r="CD135" s="4">
        <f t="shared" si="9"/>
        <v>7.6216782031146568E-3</v>
      </c>
      <c r="CE135" s="4">
        <f t="shared" si="9"/>
        <v>7.6219744734096206E-3</v>
      </c>
      <c r="CF135" s="4">
        <f t="shared" si="9"/>
        <v>7.6230831242738439E-3</v>
      </c>
      <c r="CH135">
        <v>2821</v>
      </c>
    </row>
    <row r="136" spans="1:86" x14ac:dyDescent="0.25">
      <c r="A136" s="2">
        <v>134</v>
      </c>
      <c r="B136" s="3" t="s">
        <v>163</v>
      </c>
      <c r="C136" t="s">
        <v>164</v>
      </c>
      <c r="D136" t="s">
        <v>9</v>
      </c>
      <c r="E136">
        <v>1</v>
      </c>
      <c r="F136">
        <v>4086539</v>
      </c>
      <c r="G136">
        <v>4218879</v>
      </c>
      <c r="H136">
        <v>4362863</v>
      </c>
      <c r="I136">
        <v>4516663</v>
      </c>
      <c r="J136">
        <v>4677409</v>
      </c>
      <c r="K136">
        <v>4843635</v>
      </c>
      <c r="L136">
        <v>5015672</v>
      </c>
      <c r="M136">
        <v>5196349</v>
      </c>
      <c r="N136">
        <v>5389848</v>
      </c>
      <c r="O136">
        <v>5601649</v>
      </c>
      <c r="P136">
        <v>5836394</v>
      </c>
      <c r="Q136">
        <v>6096106</v>
      </c>
      <c r="R136">
        <v>6382106</v>
      </c>
      <c r="S136">
        <v>6697486</v>
      </c>
      <c r="T136">
        <v>7045477</v>
      </c>
      <c r="U136">
        <v>7428705</v>
      </c>
      <c r="V136">
        <v>7845300</v>
      </c>
      <c r="W136">
        <v>8295384</v>
      </c>
      <c r="X136">
        <v>8785326</v>
      </c>
      <c r="Y136">
        <v>9323290</v>
      </c>
      <c r="Z136">
        <v>9912917</v>
      </c>
      <c r="AA136">
        <v>10556936</v>
      </c>
      <c r="AB136">
        <v>11247085</v>
      </c>
      <c r="AC136">
        <v>11962244</v>
      </c>
      <c r="AD136">
        <v>12674089</v>
      </c>
      <c r="AE136">
        <v>13361284</v>
      </c>
      <c r="AF136">
        <v>14016569</v>
      </c>
      <c r="AG136">
        <v>14642354</v>
      </c>
      <c r="AH136">
        <v>15239174</v>
      </c>
      <c r="AI136">
        <v>15810980</v>
      </c>
      <c r="AJ136">
        <v>16361453</v>
      </c>
      <c r="AK136">
        <v>16890555</v>
      </c>
      <c r="AL136">
        <v>17398523</v>
      </c>
      <c r="AM136">
        <v>17890529</v>
      </c>
      <c r="AN136">
        <v>18373412</v>
      </c>
      <c r="AO136">
        <v>18853670</v>
      </c>
      <c r="AP136">
        <v>19331311</v>
      </c>
      <c r="AQ136">
        <v>19809633</v>
      </c>
      <c r="AR136">
        <v>20302193</v>
      </c>
      <c r="AS136">
        <v>20825955</v>
      </c>
      <c r="AT136">
        <v>21392273</v>
      </c>
      <c r="AU136">
        <v>22007937</v>
      </c>
      <c r="AV136">
        <v>22668102</v>
      </c>
      <c r="AW136">
        <v>23357887</v>
      </c>
      <c r="AX136">
        <v>24055573</v>
      </c>
      <c r="AY136">
        <v>24745230</v>
      </c>
      <c r="AZ136">
        <v>25419994</v>
      </c>
      <c r="BA136">
        <v>26083522</v>
      </c>
      <c r="BB136">
        <v>26742842</v>
      </c>
      <c r="BC136">
        <v>27409491</v>
      </c>
      <c r="BD136">
        <v>28090647</v>
      </c>
      <c r="BE136">
        <v>28788438</v>
      </c>
      <c r="BF136">
        <v>29496047</v>
      </c>
      <c r="BG136">
        <v>30201051</v>
      </c>
      <c r="BH136">
        <v>30886545</v>
      </c>
      <c r="BI136">
        <v>31540372</v>
      </c>
      <c r="BJ136">
        <v>32279576</v>
      </c>
      <c r="BK136">
        <v>33036105</v>
      </c>
      <c r="BL136">
        <v>33810364</v>
      </c>
      <c r="BM136">
        <v>34602770</v>
      </c>
      <c r="BN136">
        <v>35413747</v>
      </c>
      <c r="BO136">
        <v>36243731</v>
      </c>
      <c r="BP136">
        <v>37093167</v>
      </c>
      <c r="BQ136">
        <v>2.3436764280829969E-2</v>
      </c>
      <c r="BR136" s="6">
        <f t="shared" si="12"/>
        <v>29496047</v>
      </c>
      <c r="BT136" s="4">
        <f t="shared" si="11"/>
        <v>2.5289653097937403E-2</v>
      </c>
      <c r="BU136" s="4">
        <f t="shared" si="11"/>
        <v>2.4974278944095429E-2</v>
      </c>
      <c r="BV136" s="4">
        <f t="shared" si="11"/>
        <v>2.4799876823331291E-2</v>
      </c>
      <c r="BW136" s="4">
        <f t="shared" si="11"/>
        <v>2.4543191278189269E-2</v>
      </c>
      <c r="BX136" s="4">
        <f t="shared" si="11"/>
        <v>2.4004575178808718E-2</v>
      </c>
      <c r="BY136" s="4">
        <f t="shared" si="11"/>
        <v>2.3086083939168223E-2</v>
      </c>
      <c r="BZ136" s="4">
        <f t="shared" si="10"/>
        <v>2.2800663833412615E-2</v>
      </c>
      <c r="CA136" s="4">
        <f t="shared" si="10"/>
        <v>2.2684550667238623E-2</v>
      </c>
      <c r="CB136" s="4">
        <f t="shared" si="10"/>
        <v>2.2869264516968579E-2</v>
      </c>
      <c r="CC136" s="4">
        <f t="shared" si="10"/>
        <v>2.3436764027069179E-2</v>
      </c>
      <c r="CD136" s="4">
        <f t="shared" si="9"/>
        <v>2.3436766379211438E-2</v>
      </c>
      <c r="CE136" s="4">
        <f t="shared" si="9"/>
        <v>2.3436767473263176E-2</v>
      </c>
      <c r="CF136" s="4">
        <f t="shared" si="9"/>
        <v>2.343677205972905E-2</v>
      </c>
      <c r="CH136">
        <v>2149690</v>
      </c>
    </row>
    <row r="137" spans="1:86" x14ac:dyDescent="0.25">
      <c r="A137" s="2">
        <v>135</v>
      </c>
      <c r="B137" s="3" t="s">
        <v>165</v>
      </c>
      <c r="C137" t="s">
        <v>165</v>
      </c>
      <c r="D137" t="s">
        <v>14</v>
      </c>
      <c r="E137">
        <v>1</v>
      </c>
      <c r="F137">
        <v>3177560</v>
      </c>
      <c r="G137">
        <v>3265558</v>
      </c>
      <c r="H137">
        <v>3356421</v>
      </c>
      <c r="I137">
        <v>3450418</v>
      </c>
      <c r="J137">
        <v>3547939</v>
      </c>
      <c r="K137">
        <v>3649308</v>
      </c>
      <c r="L137">
        <v>3754268</v>
      </c>
      <c r="M137">
        <v>3862783</v>
      </c>
      <c r="N137">
        <v>3975614</v>
      </c>
      <c r="O137">
        <v>4093763</v>
      </c>
      <c r="P137">
        <v>4217754</v>
      </c>
      <c r="Q137">
        <v>4348499</v>
      </c>
      <c r="R137">
        <v>4485342</v>
      </c>
      <c r="S137">
        <v>4625377</v>
      </c>
      <c r="T137">
        <v>4764623</v>
      </c>
      <c r="U137">
        <v>4900491</v>
      </c>
      <c r="V137">
        <v>5031849</v>
      </c>
      <c r="W137">
        <v>5160313</v>
      </c>
      <c r="X137">
        <v>5289445</v>
      </c>
      <c r="Y137">
        <v>5424299</v>
      </c>
      <c r="Z137">
        <v>5568651</v>
      </c>
      <c r="AA137">
        <v>5723541</v>
      </c>
      <c r="AB137">
        <v>5888261</v>
      </c>
      <c r="AC137">
        <v>6062682</v>
      </c>
      <c r="AD137">
        <v>6246140</v>
      </c>
      <c r="AE137">
        <v>6438024</v>
      </c>
      <c r="AF137">
        <v>6638186</v>
      </c>
      <c r="AG137">
        <v>6846556</v>
      </c>
      <c r="AH137">
        <v>7062540</v>
      </c>
      <c r="AI137">
        <v>7285378</v>
      </c>
      <c r="AJ137">
        <v>7514201</v>
      </c>
      <c r="AK137">
        <v>7749559</v>
      </c>
      <c r="AL137">
        <v>7990736</v>
      </c>
      <c r="AM137">
        <v>8234147</v>
      </c>
      <c r="AN137">
        <v>8475136</v>
      </c>
      <c r="AO137">
        <v>8710746</v>
      </c>
      <c r="AP137">
        <v>8939438</v>
      </c>
      <c r="AQ137">
        <v>9163184</v>
      </c>
      <c r="AR137">
        <v>9386923</v>
      </c>
      <c r="AS137">
        <v>9617641</v>
      </c>
      <c r="AT137">
        <v>9860578</v>
      </c>
      <c r="AU137">
        <v>10118078</v>
      </c>
      <c r="AV137">
        <v>10389457</v>
      </c>
      <c r="AW137">
        <v>10673320</v>
      </c>
      <c r="AX137">
        <v>10967016</v>
      </c>
      <c r="AY137">
        <v>11268994</v>
      </c>
      <c r="AZ137">
        <v>11578430</v>
      </c>
      <c r="BA137">
        <v>11897230</v>
      </c>
      <c r="BB137">
        <v>12229703</v>
      </c>
      <c r="BC137">
        <v>12581624</v>
      </c>
      <c r="BD137">
        <v>12956791</v>
      </c>
      <c r="BE137">
        <v>13357003</v>
      </c>
      <c r="BF137">
        <v>13780108</v>
      </c>
      <c r="BG137">
        <v>14221041</v>
      </c>
      <c r="BH137">
        <v>14672557</v>
      </c>
      <c r="BI137">
        <v>15129273</v>
      </c>
      <c r="BJ137">
        <v>15605661</v>
      </c>
      <c r="BK137">
        <v>16097050</v>
      </c>
      <c r="BL137">
        <v>16603912</v>
      </c>
      <c r="BM137">
        <v>17126734</v>
      </c>
      <c r="BN137">
        <v>17666018</v>
      </c>
      <c r="BO137">
        <v>18222283</v>
      </c>
      <c r="BP137">
        <v>18796064</v>
      </c>
      <c r="BQ137">
        <v>3.1487860663391709E-2</v>
      </c>
      <c r="BR137" s="6">
        <f t="shared" si="12"/>
        <v>13780108</v>
      </c>
      <c r="BT137" s="4">
        <f t="shared" si="11"/>
        <v>2.8518113954056901E-2</v>
      </c>
      <c r="BU137" s="4">
        <f t="shared" si="11"/>
        <v>2.9356453116042847E-2</v>
      </c>
      <c r="BV137" s="4">
        <f t="shared" si="11"/>
        <v>3.028927212582877E-2</v>
      </c>
      <c r="BW137" s="4">
        <f t="shared" si="11"/>
        <v>3.1094977920983702E-2</v>
      </c>
      <c r="BX137" s="4">
        <f t="shared" si="11"/>
        <v>3.1578038996946445E-2</v>
      </c>
      <c r="BY137" s="4">
        <f t="shared" si="11"/>
        <v>3.1637829392868744E-2</v>
      </c>
      <c r="BZ137" s="4">
        <f t="shared" si="10"/>
        <v>3.159062536304913E-2</v>
      </c>
      <c r="CA137" s="4">
        <f t="shared" si="10"/>
        <v>3.1463171678407509E-2</v>
      </c>
      <c r="CB137" s="4">
        <f t="shared" si="10"/>
        <v>3.1397690040156911E-2</v>
      </c>
      <c r="CC137" s="4">
        <f t="shared" si="10"/>
        <v>3.1487865496501177E-2</v>
      </c>
      <c r="CD137" s="4">
        <f t="shared" si="9"/>
        <v>3.1487869648846312E-2</v>
      </c>
      <c r="CE137" s="4">
        <f t="shared" si="9"/>
        <v>3.1487866109691121E-2</v>
      </c>
      <c r="CF137" s="4">
        <f t="shared" si="9"/>
        <v>3.148786495065603E-2</v>
      </c>
      <c r="CH137">
        <v>192530</v>
      </c>
    </row>
    <row r="138" spans="1:86" x14ac:dyDescent="0.25">
      <c r="A138" s="2">
        <v>136</v>
      </c>
      <c r="B138" s="3" t="s">
        <v>166</v>
      </c>
      <c r="C138" t="s">
        <v>166</v>
      </c>
      <c r="D138" t="s">
        <v>7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7586000</v>
      </c>
      <c r="AK138">
        <v>7595636</v>
      </c>
      <c r="AL138">
        <v>7646424</v>
      </c>
      <c r="AM138">
        <v>7699307</v>
      </c>
      <c r="AN138">
        <v>7734639</v>
      </c>
      <c r="AO138">
        <v>7625357</v>
      </c>
      <c r="AP138">
        <v>7617794</v>
      </c>
      <c r="AQ138">
        <v>7596501</v>
      </c>
      <c r="AR138">
        <v>7567745</v>
      </c>
      <c r="AS138">
        <v>7540401</v>
      </c>
      <c r="AT138">
        <v>7516346</v>
      </c>
      <c r="AU138">
        <v>7503433</v>
      </c>
      <c r="AV138">
        <v>7496522</v>
      </c>
      <c r="AW138">
        <v>7480591</v>
      </c>
      <c r="AX138">
        <v>7463157</v>
      </c>
      <c r="AY138">
        <v>7440769</v>
      </c>
      <c r="AZ138">
        <v>7411569</v>
      </c>
      <c r="BA138">
        <v>7381579</v>
      </c>
      <c r="BB138">
        <v>7350222</v>
      </c>
      <c r="BC138">
        <v>7320807</v>
      </c>
      <c r="BD138">
        <v>7291436</v>
      </c>
      <c r="BE138">
        <v>7234099</v>
      </c>
      <c r="BF138">
        <v>7199077</v>
      </c>
      <c r="BG138">
        <v>7164132</v>
      </c>
      <c r="BH138">
        <v>7130576</v>
      </c>
      <c r="BI138">
        <v>7098247</v>
      </c>
      <c r="BJ138">
        <v>7060228</v>
      </c>
      <c r="BK138">
        <v>7022412</v>
      </c>
      <c r="BL138">
        <v>6984799</v>
      </c>
      <c r="BM138">
        <v>6947387</v>
      </c>
      <c r="BN138">
        <v>6910176</v>
      </c>
      <c r="BO138">
        <v>6873164</v>
      </c>
      <c r="BP138">
        <v>6836350</v>
      </c>
      <c r="BQ138">
        <v>-5.3561358058602515E-3</v>
      </c>
      <c r="BR138" s="6">
        <f t="shared" si="12"/>
        <v>7199077</v>
      </c>
      <c r="BT138" s="4">
        <f t="shared" si="11"/>
        <v>-4.0770783052561654E-3</v>
      </c>
      <c r="BU138" s="4">
        <f t="shared" si="11"/>
        <v>-5.0327315441501819E-3</v>
      </c>
      <c r="BV138" s="4">
        <f t="shared" si="11"/>
        <v>-5.1809556845338056E-3</v>
      </c>
      <c r="BW138" s="4">
        <f t="shared" si="11"/>
        <v>-5.3938154343619038E-3</v>
      </c>
      <c r="BX138" s="4">
        <f t="shared" si="11"/>
        <v>-5.5615997741687018E-3</v>
      </c>
      <c r="BY138" s="4">
        <f t="shared" si="11"/>
        <v>-4.7282779963804256E-3</v>
      </c>
      <c r="BZ138" s="4">
        <f t="shared" si="10"/>
        <v>-4.8570357082858839E-3</v>
      </c>
      <c r="CA138" s="4">
        <f t="shared" si="10"/>
        <v>-4.9825857126537532E-3</v>
      </c>
      <c r="CB138" s="4">
        <f t="shared" si="10"/>
        <v>-5.1506397885839883E-3</v>
      </c>
      <c r="CC138" s="4">
        <f t="shared" si="10"/>
        <v>-5.3561629562070001E-3</v>
      </c>
      <c r="CD138" s="4">
        <f t="shared" si="9"/>
        <v>-5.3561637813432927E-3</v>
      </c>
      <c r="CE138" s="4">
        <f t="shared" si="9"/>
        <v>-5.3561532413305413E-3</v>
      </c>
      <c r="CF138" s="4">
        <f t="shared" si="9"/>
        <v>-5.3561675258434471E-3</v>
      </c>
      <c r="CH138">
        <v>77474</v>
      </c>
    </row>
    <row r="139" spans="1:86" x14ac:dyDescent="0.25">
      <c r="A139" s="2">
        <v>137</v>
      </c>
      <c r="B139" s="3" t="s">
        <v>167</v>
      </c>
      <c r="C139" t="s">
        <v>167</v>
      </c>
      <c r="D139" t="s">
        <v>14</v>
      </c>
      <c r="E139">
        <v>1</v>
      </c>
      <c r="F139">
        <v>41700</v>
      </c>
      <c r="G139">
        <v>42889</v>
      </c>
      <c r="H139">
        <v>44042</v>
      </c>
      <c r="I139">
        <v>45176</v>
      </c>
      <c r="J139">
        <v>46322</v>
      </c>
      <c r="K139">
        <v>47500</v>
      </c>
      <c r="L139">
        <v>48699</v>
      </c>
      <c r="M139">
        <v>49911</v>
      </c>
      <c r="N139">
        <v>51134</v>
      </c>
      <c r="O139">
        <v>52365</v>
      </c>
      <c r="P139">
        <v>53600</v>
      </c>
      <c r="Q139">
        <v>54835</v>
      </c>
      <c r="R139">
        <v>56068</v>
      </c>
      <c r="S139">
        <v>57284</v>
      </c>
      <c r="T139">
        <v>58466</v>
      </c>
      <c r="U139">
        <v>59600</v>
      </c>
      <c r="V139">
        <v>60704</v>
      </c>
      <c r="W139">
        <v>61742</v>
      </c>
      <c r="X139">
        <v>62707</v>
      </c>
      <c r="Y139">
        <v>63594</v>
      </c>
      <c r="Z139">
        <v>64400</v>
      </c>
      <c r="AA139">
        <v>65128</v>
      </c>
      <c r="AB139">
        <v>65780</v>
      </c>
      <c r="AC139">
        <v>66367</v>
      </c>
      <c r="AD139">
        <v>66902</v>
      </c>
      <c r="AE139">
        <v>67400</v>
      </c>
      <c r="AF139">
        <v>67877</v>
      </c>
      <c r="AG139">
        <v>68352</v>
      </c>
      <c r="AH139">
        <v>68848</v>
      </c>
      <c r="AI139">
        <v>69388</v>
      </c>
      <c r="AJ139">
        <v>70000</v>
      </c>
      <c r="AK139">
        <v>70755</v>
      </c>
      <c r="AL139">
        <v>71657</v>
      </c>
      <c r="AM139">
        <v>72711</v>
      </c>
      <c r="AN139">
        <v>73925</v>
      </c>
      <c r="AO139">
        <v>75304</v>
      </c>
      <c r="AP139">
        <v>76417</v>
      </c>
      <c r="AQ139">
        <v>77319</v>
      </c>
      <c r="AR139">
        <v>78846</v>
      </c>
      <c r="AS139">
        <v>80410</v>
      </c>
      <c r="AT139">
        <v>81131</v>
      </c>
      <c r="AU139">
        <v>81202</v>
      </c>
      <c r="AV139">
        <v>83700</v>
      </c>
      <c r="AW139">
        <v>82800</v>
      </c>
      <c r="AX139">
        <v>82500</v>
      </c>
      <c r="AY139">
        <v>82900</v>
      </c>
      <c r="AZ139">
        <v>84600</v>
      </c>
      <c r="BA139">
        <v>85033</v>
      </c>
      <c r="BB139">
        <v>86956</v>
      </c>
      <c r="BC139">
        <v>87298</v>
      </c>
      <c r="BD139">
        <v>89770</v>
      </c>
      <c r="BE139">
        <v>87441</v>
      </c>
      <c r="BF139">
        <v>88303</v>
      </c>
      <c r="BG139">
        <v>89900</v>
      </c>
      <c r="BH139">
        <v>91400</v>
      </c>
      <c r="BI139">
        <v>92900</v>
      </c>
      <c r="BJ139">
        <v>93539</v>
      </c>
      <c r="BK139">
        <v>94182</v>
      </c>
      <c r="BL139">
        <v>94830</v>
      </c>
      <c r="BM139">
        <v>95482</v>
      </c>
      <c r="BN139">
        <v>96139</v>
      </c>
      <c r="BO139">
        <v>96800</v>
      </c>
      <c r="BP139">
        <v>97466</v>
      </c>
      <c r="BQ139">
        <v>6.8781066784755485E-3</v>
      </c>
      <c r="BR139" s="6">
        <f t="shared" si="12"/>
        <v>88303</v>
      </c>
      <c r="BT139" s="4">
        <f t="shared" si="11"/>
        <v>1.4939641567006223E-2</v>
      </c>
      <c r="BU139" s="4">
        <f t="shared" si="11"/>
        <v>7.005641438783794E-3</v>
      </c>
      <c r="BV139" s="4">
        <f t="shared" si="11"/>
        <v>3.8503532681726238E-3</v>
      </c>
      <c r="BW139" s="4">
        <f t="shared" si="11"/>
        <v>7.3696200656550026E-3</v>
      </c>
      <c r="BX139" s="4">
        <f t="shared" si="11"/>
        <v>4.508792828808339E-3</v>
      </c>
      <c r="BY139" s="4">
        <f t="shared" si="11"/>
        <v>1.5255029374730888E-2</v>
      </c>
      <c r="BZ139" s="4">
        <f t="shared" si="10"/>
        <v>1.4505290218978173E-2</v>
      </c>
      <c r="CA139" s="4">
        <f t="shared" si="10"/>
        <v>1.1700708727643061E-2</v>
      </c>
      <c r="CB139" s="4">
        <f t="shared" si="10"/>
        <v>9.2526274424511445E-3</v>
      </c>
      <c r="CC139" s="4">
        <f t="shared" si="10"/>
        <v>6.8770647075910851E-3</v>
      </c>
      <c r="CD139" s="4">
        <f t="shared" si="9"/>
        <v>6.8776932659868617E-3</v>
      </c>
      <c r="CE139" s="4">
        <f t="shared" si="9"/>
        <v>6.8780241447936596E-3</v>
      </c>
      <c r="CF139" s="4">
        <f t="shared" si="9"/>
        <v>6.877991567708408E-3</v>
      </c>
      <c r="CH139">
        <v>455</v>
      </c>
    </row>
    <row r="140" spans="1:86" x14ac:dyDescent="0.25">
      <c r="A140" s="2">
        <v>138</v>
      </c>
      <c r="B140" s="3" t="s">
        <v>168</v>
      </c>
      <c r="C140" t="s">
        <v>169</v>
      </c>
      <c r="D140" t="s">
        <v>14</v>
      </c>
      <c r="E140">
        <v>1</v>
      </c>
      <c r="F140">
        <v>2181701</v>
      </c>
      <c r="G140">
        <v>2210169</v>
      </c>
      <c r="H140">
        <v>2239581</v>
      </c>
      <c r="I140">
        <v>2269890</v>
      </c>
      <c r="J140">
        <v>2301023</v>
      </c>
      <c r="K140">
        <v>2332999</v>
      </c>
      <c r="L140">
        <v>2365801</v>
      </c>
      <c r="M140">
        <v>2399667</v>
      </c>
      <c r="N140">
        <v>2435197</v>
      </c>
      <c r="O140">
        <v>2473165</v>
      </c>
      <c r="P140">
        <v>2514151</v>
      </c>
      <c r="Q140">
        <v>2558395</v>
      </c>
      <c r="R140">
        <v>2605837</v>
      </c>
      <c r="S140">
        <v>2656380</v>
      </c>
      <c r="T140">
        <v>2709797</v>
      </c>
      <c r="U140">
        <v>2765914</v>
      </c>
      <c r="V140">
        <v>2824827</v>
      </c>
      <c r="W140">
        <v>2886607</v>
      </c>
      <c r="X140">
        <v>2951001</v>
      </c>
      <c r="Y140">
        <v>3017670</v>
      </c>
      <c r="Z140">
        <v>3086406</v>
      </c>
      <c r="AA140">
        <v>3155368</v>
      </c>
      <c r="AB140">
        <v>3224346</v>
      </c>
      <c r="AC140">
        <v>3296530</v>
      </c>
      <c r="AD140">
        <v>3376371</v>
      </c>
      <c r="AE140">
        <v>3466044</v>
      </c>
      <c r="AF140">
        <v>3569102</v>
      </c>
      <c r="AG140">
        <v>3681945</v>
      </c>
      <c r="AH140">
        <v>3791078</v>
      </c>
      <c r="AI140">
        <v>3878211</v>
      </c>
      <c r="AJ140">
        <v>3931208</v>
      </c>
      <c r="AK140">
        <v>3945899</v>
      </c>
      <c r="AL140">
        <v>3929182</v>
      </c>
      <c r="AM140">
        <v>3893891</v>
      </c>
      <c r="AN140">
        <v>3858559</v>
      </c>
      <c r="AO140">
        <v>3837807</v>
      </c>
      <c r="AP140">
        <v>3833053</v>
      </c>
      <c r="AQ140">
        <v>3843472</v>
      </c>
      <c r="AR140">
        <v>3878475</v>
      </c>
      <c r="AS140">
        <v>3948800</v>
      </c>
      <c r="AT140">
        <v>4060709</v>
      </c>
      <c r="AU140">
        <v>4220198</v>
      </c>
      <c r="AV140">
        <v>4422154</v>
      </c>
      <c r="AW140">
        <v>4647701</v>
      </c>
      <c r="AX140">
        <v>4870467</v>
      </c>
      <c r="AY140">
        <v>5071271</v>
      </c>
      <c r="AZ140">
        <v>5243214</v>
      </c>
      <c r="BA140">
        <v>5391108</v>
      </c>
      <c r="BB140">
        <v>5521838</v>
      </c>
      <c r="BC140">
        <v>5647194</v>
      </c>
      <c r="BD140">
        <v>5775902</v>
      </c>
      <c r="BE140">
        <v>5908908</v>
      </c>
      <c r="BF140">
        <v>6043157</v>
      </c>
      <c r="BG140">
        <v>6178859</v>
      </c>
      <c r="BH140">
        <v>6315627</v>
      </c>
      <c r="BI140">
        <v>6453184</v>
      </c>
      <c r="BJ140">
        <v>6597887</v>
      </c>
      <c r="BK140">
        <v>6745835</v>
      </c>
      <c r="BL140">
        <v>6897101</v>
      </c>
      <c r="BM140">
        <v>7051759</v>
      </c>
      <c r="BN140">
        <v>7209885</v>
      </c>
      <c r="BO140">
        <v>7371556</v>
      </c>
      <c r="BP140">
        <v>7536852</v>
      </c>
      <c r="BQ140">
        <v>2.242355524749895E-2</v>
      </c>
      <c r="BR140" s="6">
        <f t="shared" si="12"/>
        <v>6043157</v>
      </c>
      <c r="BT140" s="4">
        <f t="shared" si="11"/>
        <v>2.4484891506743267E-2</v>
      </c>
      <c r="BU140" s="4">
        <f t="shared" si="11"/>
        <v>2.3192384346700345E-2</v>
      </c>
      <c r="BV140" s="4">
        <f t="shared" si="11"/>
        <v>2.2810208590815728E-2</v>
      </c>
      <c r="BW140" s="4">
        <f t="shared" si="11"/>
        <v>2.2748601558435722E-2</v>
      </c>
      <c r="BX140" s="4">
        <f t="shared" si="11"/>
        <v>2.258440264199435E-2</v>
      </c>
      <c r="BY140" s="4">
        <f t="shared" si="11"/>
        <v>2.2272563502871101E-2</v>
      </c>
      <c r="BZ140" s="4">
        <f t="shared" si="10"/>
        <v>2.2198522751976757E-2</v>
      </c>
      <c r="CA140" s="4">
        <f t="shared" si="10"/>
        <v>2.2190539940919685E-2</v>
      </c>
      <c r="CB140" s="4">
        <f t="shared" si="10"/>
        <v>2.2262731961503857E-2</v>
      </c>
      <c r="CC140" s="4">
        <f t="shared" si="10"/>
        <v>2.242357126106409E-2</v>
      </c>
      <c r="CD140" s="4">
        <f t="shared" si="9"/>
        <v>2.2423601425059392E-2</v>
      </c>
      <c r="CE140" s="4">
        <f t="shared" si="9"/>
        <v>2.242359576601527E-2</v>
      </c>
      <c r="CF140" s="4">
        <f t="shared" si="9"/>
        <v>2.2423564356024661E-2</v>
      </c>
      <c r="CH140">
        <v>71620</v>
      </c>
    </row>
    <row r="141" spans="1:86" x14ac:dyDescent="0.25">
      <c r="A141" s="2">
        <v>139</v>
      </c>
      <c r="B141" s="3" t="s">
        <v>170</v>
      </c>
      <c r="C141" t="s">
        <v>170</v>
      </c>
      <c r="D141" t="s">
        <v>25</v>
      </c>
      <c r="E141">
        <v>1</v>
      </c>
      <c r="F141">
        <v>1646400</v>
      </c>
      <c r="G141">
        <v>1702400</v>
      </c>
      <c r="H141">
        <v>1750200</v>
      </c>
      <c r="I141">
        <v>1795000</v>
      </c>
      <c r="J141">
        <v>1841600</v>
      </c>
      <c r="K141">
        <v>1886900</v>
      </c>
      <c r="L141">
        <v>1934400</v>
      </c>
      <c r="M141">
        <v>1977600</v>
      </c>
      <c r="N141">
        <v>2012000</v>
      </c>
      <c r="O141">
        <v>2042500</v>
      </c>
      <c r="P141">
        <v>2074500</v>
      </c>
      <c r="Q141">
        <v>2112900</v>
      </c>
      <c r="R141">
        <v>2152400</v>
      </c>
      <c r="S141">
        <v>2193000</v>
      </c>
      <c r="T141">
        <v>2229800</v>
      </c>
      <c r="U141">
        <v>2262600</v>
      </c>
      <c r="V141">
        <v>2293300</v>
      </c>
      <c r="W141">
        <v>2325300</v>
      </c>
      <c r="X141">
        <v>2353600</v>
      </c>
      <c r="Y141">
        <v>2383500</v>
      </c>
      <c r="Z141">
        <v>2413945</v>
      </c>
      <c r="AA141">
        <v>2532835</v>
      </c>
      <c r="AB141">
        <v>2646466</v>
      </c>
      <c r="AC141">
        <v>2681061</v>
      </c>
      <c r="AD141">
        <v>2732221</v>
      </c>
      <c r="AE141">
        <v>2735957</v>
      </c>
      <c r="AF141">
        <v>2733373</v>
      </c>
      <c r="AG141">
        <v>2774789</v>
      </c>
      <c r="AH141">
        <v>2846108</v>
      </c>
      <c r="AI141">
        <v>2930901</v>
      </c>
      <c r="AJ141">
        <v>3047132</v>
      </c>
      <c r="AK141">
        <v>3135083</v>
      </c>
      <c r="AL141">
        <v>3230698</v>
      </c>
      <c r="AM141">
        <v>3313471</v>
      </c>
      <c r="AN141">
        <v>3419048</v>
      </c>
      <c r="AO141">
        <v>3524506</v>
      </c>
      <c r="AP141">
        <v>3670704</v>
      </c>
      <c r="AQ141">
        <v>3796038</v>
      </c>
      <c r="AR141">
        <v>3927213</v>
      </c>
      <c r="AS141">
        <v>3958723</v>
      </c>
      <c r="AT141">
        <v>4027887</v>
      </c>
      <c r="AU141">
        <v>4138012</v>
      </c>
      <c r="AV141">
        <v>4175950</v>
      </c>
      <c r="AW141">
        <v>4114826</v>
      </c>
      <c r="AX141">
        <v>4166664</v>
      </c>
      <c r="AY141">
        <v>4265762</v>
      </c>
      <c r="AZ141">
        <v>4401365</v>
      </c>
      <c r="BA141">
        <v>4588599</v>
      </c>
      <c r="BB141">
        <v>4839396</v>
      </c>
      <c r="BC141">
        <v>4987573</v>
      </c>
      <c r="BD141">
        <v>5076732</v>
      </c>
      <c r="BE141">
        <v>5183688</v>
      </c>
      <c r="BF141">
        <v>5312437</v>
      </c>
      <c r="BG141">
        <v>5399162</v>
      </c>
      <c r="BH141">
        <v>5469724</v>
      </c>
      <c r="BI141">
        <v>5535002</v>
      </c>
      <c r="BJ141">
        <v>5631505</v>
      </c>
      <c r="BK141">
        <v>5729691</v>
      </c>
      <c r="BL141">
        <v>5829589</v>
      </c>
      <c r="BM141">
        <v>5931228</v>
      </c>
      <c r="BN141">
        <v>6034639</v>
      </c>
      <c r="BO141">
        <v>6139853</v>
      </c>
      <c r="BP141">
        <v>6246902</v>
      </c>
      <c r="BQ141">
        <v>1.7435083196389867E-2</v>
      </c>
      <c r="BR141" s="6">
        <f t="shared" si="12"/>
        <v>5312437</v>
      </c>
      <c r="BT141" s="4">
        <f t="shared" si="11"/>
        <v>3.6332726501414836E-2</v>
      </c>
      <c r="BU141" s="4">
        <f t="shared" si="11"/>
        <v>3.0954947107078912E-2</v>
      </c>
      <c r="BV141" s="4">
        <f t="shared" si="11"/>
        <v>2.3589112687464997E-2</v>
      </c>
      <c r="BW141" s="4">
        <f t="shared" si="11"/>
        <v>2.0021376480659381E-2</v>
      </c>
      <c r="BX141" s="4">
        <f t="shared" si="11"/>
        <v>1.881491384781464E-2</v>
      </c>
      <c r="BY141" s="4">
        <f t="shared" si="11"/>
        <v>1.6528904359434549E-2</v>
      </c>
      <c r="BZ141" s="4">
        <f t="shared" si="10"/>
        <v>1.468834111320616E-2</v>
      </c>
      <c r="CA141" s="4">
        <f t="shared" si="10"/>
        <v>1.4965337391184219E-2</v>
      </c>
      <c r="CB141" s="4">
        <f t="shared" si="10"/>
        <v>1.6057137815053357E-2</v>
      </c>
      <c r="CC141" s="4">
        <f t="shared" si="10"/>
        <v>1.7435083883311053E-2</v>
      </c>
      <c r="CD141" s="4">
        <f t="shared" si="9"/>
        <v>1.7435074715738796E-2</v>
      </c>
      <c r="CE141" s="4">
        <f t="shared" si="9"/>
        <v>1.743504604215329E-2</v>
      </c>
      <c r="CF141" s="4">
        <f t="shared" si="9"/>
        <v>1.7435036497273515E-2</v>
      </c>
      <c r="CH141">
        <v>687</v>
      </c>
    </row>
    <row r="142" spans="1:86" x14ac:dyDescent="0.25">
      <c r="A142" s="2">
        <v>140</v>
      </c>
      <c r="B142" s="3" t="s">
        <v>171</v>
      </c>
      <c r="C142" t="s">
        <v>171</v>
      </c>
      <c r="D142" t="s">
        <v>23</v>
      </c>
      <c r="E142">
        <v>1</v>
      </c>
      <c r="F142">
        <v>4068095</v>
      </c>
      <c r="G142">
        <v>4191667</v>
      </c>
      <c r="H142">
        <v>4238188</v>
      </c>
      <c r="I142">
        <v>4282017</v>
      </c>
      <c r="J142">
        <v>4327341</v>
      </c>
      <c r="K142">
        <v>4370983</v>
      </c>
      <c r="L142">
        <v>4411666</v>
      </c>
      <c r="M142">
        <v>4449367</v>
      </c>
      <c r="N142">
        <v>4483915</v>
      </c>
      <c r="O142">
        <v>4518607</v>
      </c>
      <c r="P142">
        <v>4538223</v>
      </c>
      <c r="Q142">
        <v>4557449</v>
      </c>
      <c r="R142">
        <v>4596622</v>
      </c>
      <c r="S142">
        <v>4641445</v>
      </c>
      <c r="T142">
        <v>4689623</v>
      </c>
      <c r="U142">
        <v>4739105</v>
      </c>
      <c r="V142">
        <v>4789507</v>
      </c>
      <c r="W142">
        <v>4840501</v>
      </c>
      <c r="X142">
        <v>4890125</v>
      </c>
      <c r="Y142">
        <v>4938973</v>
      </c>
      <c r="Z142">
        <v>4979815</v>
      </c>
      <c r="AA142">
        <v>5016105</v>
      </c>
      <c r="AB142">
        <v>5055099</v>
      </c>
      <c r="AC142">
        <v>5091971</v>
      </c>
      <c r="AD142">
        <v>5127097</v>
      </c>
      <c r="AE142">
        <v>5161768</v>
      </c>
      <c r="AF142">
        <v>5193838</v>
      </c>
      <c r="AG142">
        <v>5222840</v>
      </c>
      <c r="AH142">
        <v>5250596</v>
      </c>
      <c r="AI142">
        <v>5275942</v>
      </c>
      <c r="AJ142">
        <v>5299187</v>
      </c>
      <c r="AK142">
        <v>5303294</v>
      </c>
      <c r="AL142">
        <v>5305016</v>
      </c>
      <c r="AM142">
        <v>5325305</v>
      </c>
      <c r="AN142">
        <v>5346331</v>
      </c>
      <c r="AO142">
        <v>5361999</v>
      </c>
      <c r="AP142">
        <v>5373361</v>
      </c>
      <c r="AQ142">
        <v>5383291</v>
      </c>
      <c r="AR142">
        <v>5390516</v>
      </c>
      <c r="AS142">
        <v>5396020</v>
      </c>
      <c r="AT142">
        <v>5388720</v>
      </c>
      <c r="AU142">
        <v>5378867</v>
      </c>
      <c r="AV142">
        <v>5376912</v>
      </c>
      <c r="AW142">
        <v>5373374</v>
      </c>
      <c r="AX142">
        <v>5372280</v>
      </c>
      <c r="AY142">
        <v>5372807</v>
      </c>
      <c r="AZ142">
        <v>5373054</v>
      </c>
      <c r="BA142">
        <v>5374622</v>
      </c>
      <c r="BB142">
        <v>5379233</v>
      </c>
      <c r="BC142">
        <v>5386406</v>
      </c>
      <c r="BD142">
        <v>5391428</v>
      </c>
      <c r="BE142">
        <v>5398384</v>
      </c>
      <c r="BF142">
        <v>5407579</v>
      </c>
      <c r="BG142">
        <v>5413393</v>
      </c>
      <c r="BH142">
        <v>5418649</v>
      </c>
      <c r="BI142">
        <v>5424050</v>
      </c>
      <c r="BJ142">
        <v>5430598</v>
      </c>
      <c r="BK142">
        <v>5437154</v>
      </c>
      <c r="BL142">
        <v>5443718</v>
      </c>
      <c r="BM142">
        <v>5450290</v>
      </c>
      <c r="BN142">
        <v>5456870</v>
      </c>
      <c r="BO142">
        <v>5463458</v>
      </c>
      <c r="BP142">
        <v>5470054</v>
      </c>
      <c r="BQ142">
        <v>1.2072249076422459E-3</v>
      </c>
      <c r="BR142" s="6">
        <f t="shared" si="12"/>
        <v>5407579</v>
      </c>
      <c r="BT142" s="4">
        <f t="shared" si="11"/>
        <v>8.5382003430423126E-4</v>
      </c>
      <c r="BU142" s="4">
        <f t="shared" si="11"/>
        <v>1.1034592548209154E-3</v>
      </c>
      <c r="BV142" s="4">
        <f t="shared" si="11"/>
        <v>1.314785854730216E-3</v>
      </c>
      <c r="BW142" s="4">
        <f t="shared" si="11"/>
        <v>1.2502048571711999E-3</v>
      </c>
      <c r="BX142" s="4">
        <f t="shared" si="11"/>
        <v>1.2598523208211532E-3</v>
      </c>
      <c r="BY142" s="4">
        <f t="shared" si="11"/>
        <v>1.1864831550569832E-3</v>
      </c>
      <c r="BZ142" s="4">
        <f t="shared" si="10"/>
        <v>1.0625062398206264E-3</v>
      </c>
      <c r="CA142" s="4">
        <f t="shared" si="10"/>
        <v>1.0955231561096124E-3</v>
      </c>
      <c r="CB142" s="4">
        <f t="shared" si="10"/>
        <v>1.1546062733409634E-3</v>
      </c>
      <c r="CC142" s="4">
        <f t="shared" si="10"/>
        <v>1.2072404748180166E-3</v>
      </c>
      <c r="CD142" s="4">
        <f t="shared" si="9"/>
        <v>1.2072552745763243E-3</v>
      </c>
      <c r="CE142" s="4">
        <f t="shared" si="9"/>
        <v>1.2072682655706046E-3</v>
      </c>
      <c r="CF142" s="4">
        <f t="shared" si="9"/>
        <v>1.2072794542792309E-3</v>
      </c>
      <c r="CH142">
        <v>48105</v>
      </c>
    </row>
    <row r="143" spans="1:86" x14ac:dyDescent="0.25">
      <c r="A143" s="2">
        <v>141</v>
      </c>
      <c r="B143" s="3" t="s">
        <v>172</v>
      </c>
      <c r="C143" t="s">
        <v>172</v>
      </c>
      <c r="D143" t="s">
        <v>23</v>
      </c>
      <c r="E143">
        <v>1</v>
      </c>
      <c r="F143">
        <v>1584720</v>
      </c>
      <c r="G143">
        <v>1594131</v>
      </c>
      <c r="H143">
        <v>1603649</v>
      </c>
      <c r="I143">
        <v>1616971</v>
      </c>
      <c r="J143">
        <v>1632114</v>
      </c>
      <c r="K143">
        <v>1649160</v>
      </c>
      <c r="L143">
        <v>1669905</v>
      </c>
      <c r="M143">
        <v>1689528</v>
      </c>
      <c r="N143">
        <v>1704546</v>
      </c>
      <c r="O143">
        <v>1713874</v>
      </c>
      <c r="P143">
        <v>1724891</v>
      </c>
      <c r="Q143">
        <v>1738335</v>
      </c>
      <c r="R143">
        <v>1752233</v>
      </c>
      <c r="S143">
        <v>1766697</v>
      </c>
      <c r="T143">
        <v>1776132</v>
      </c>
      <c r="U143">
        <v>1793581</v>
      </c>
      <c r="V143">
        <v>1820249</v>
      </c>
      <c r="W143">
        <v>1842377</v>
      </c>
      <c r="X143">
        <v>1862548</v>
      </c>
      <c r="Y143">
        <v>1882599</v>
      </c>
      <c r="Z143">
        <v>1901315</v>
      </c>
      <c r="AA143">
        <v>1906531</v>
      </c>
      <c r="AB143">
        <v>1910334</v>
      </c>
      <c r="AC143">
        <v>1922321</v>
      </c>
      <c r="AD143">
        <v>1932154</v>
      </c>
      <c r="AE143">
        <v>1941641</v>
      </c>
      <c r="AF143">
        <v>1965964</v>
      </c>
      <c r="AG143">
        <v>1989776</v>
      </c>
      <c r="AH143">
        <v>1995196</v>
      </c>
      <c r="AI143">
        <v>1996351</v>
      </c>
      <c r="AJ143">
        <v>1998161</v>
      </c>
      <c r="AK143">
        <v>1999429</v>
      </c>
      <c r="AL143">
        <v>1996498</v>
      </c>
      <c r="AM143">
        <v>1991746</v>
      </c>
      <c r="AN143">
        <v>1989443</v>
      </c>
      <c r="AO143">
        <v>1989872</v>
      </c>
      <c r="AP143">
        <v>1988628</v>
      </c>
      <c r="AQ143">
        <v>1985956</v>
      </c>
      <c r="AR143">
        <v>1981629</v>
      </c>
      <c r="AS143">
        <v>1983045</v>
      </c>
      <c r="AT143">
        <v>1988925</v>
      </c>
      <c r="AU143">
        <v>1992060</v>
      </c>
      <c r="AV143">
        <v>1994530</v>
      </c>
      <c r="AW143">
        <v>1995733</v>
      </c>
      <c r="AX143">
        <v>1997012</v>
      </c>
      <c r="AY143">
        <v>2000474</v>
      </c>
      <c r="AZ143">
        <v>2006868</v>
      </c>
      <c r="BA143">
        <v>2018122</v>
      </c>
      <c r="BB143">
        <v>2021316</v>
      </c>
      <c r="BC143">
        <v>2039669</v>
      </c>
      <c r="BD143">
        <v>2048583</v>
      </c>
      <c r="BE143">
        <v>2052843</v>
      </c>
      <c r="BF143">
        <v>2057159</v>
      </c>
      <c r="BG143">
        <v>2059953</v>
      </c>
      <c r="BH143">
        <v>2061980</v>
      </c>
      <c r="BI143">
        <v>2063768</v>
      </c>
      <c r="BJ143">
        <v>2066818</v>
      </c>
      <c r="BK143">
        <v>2069873</v>
      </c>
      <c r="BL143">
        <v>2072933</v>
      </c>
      <c r="BM143">
        <v>2075997</v>
      </c>
      <c r="BN143">
        <v>2079066</v>
      </c>
      <c r="BO143">
        <v>2082139</v>
      </c>
      <c r="BP143">
        <v>2085217</v>
      </c>
      <c r="BQ143">
        <v>1.4781120453473129E-3</v>
      </c>
      <c r="BR143" s="6">
        <f t="shared" si="12"/>
        <v>2057159</v>
      </c>
      <c r="BT143" s="4">
        <f t="shared" si="11"/>
        <v>5.1565084601898903E-3</v>
      </c>
      <c r="BU143" s="4">
        <f t="shared" si="11"/>
        <v>4.2736776393157427E-3</v>
      </c>
      <c r="BV143" s="4">
        <f t="shared" si="11"/>
        <v>4.4039490764462563E-3</v>
      </c>
      <c r="BW143" s="4">
        <f t="shared" si="11"/>
        <v>2.4769694369279893E-3</v>
      </c>
      <c r="BX143" s="4">
        <f t="shared" si="11"/>
        <v>1.6309163976231389E-3</v>
      </c>
      <c r="BY143" s="4">
        <f t="shared" si="11"/>
        <v>1.3278249153503285E-3</v>
      </c>
      <c r="BZ143" s="4">
        <f t="shared" si="10"/>
        <v>1.1717664300701092E-3</v>
      </c>
      <c r="CA143" s="4">
        <f t="shared" si="10"/>
        <v>1.2017429477864106E-3</v>
      </c>
      <c r="CB143" s="4">
        <f t="shared" si="10"/>
        <v>1.3253340789725065E-3</v>
      </c>
      <c r="CC143" s="4">
        <f t="shared" si="10"/>
        <v>1.4781118357880541E-3</v>
      </c>
      <c r="CD143" s="4">
        <f t="shared" si="9"/>
        <v>1.4782234706005593E-3</v>
      </c>
      <c r="CE143" s="4">
        <f t="shared" si="9"/>
        <v>1.4782109669078114E-3</v>
      </c>
      <c r="CF143" s="4">
        <f t="shared" si="9"/>
        <v>1.4781949424795826E-3</v>
      </c>
      <c r="CH143">
        <v>20151</v>
      </c>
    </row>
    <row r="144" spans="1:86" x14ac:dyDescent="0.25">
      <c r="A144" s="2">
        <v>142</v>
      </c>
      <c r="B144" s="3" t="s">
        <v>173</v>
      </c>
      <c r="C144" t="s">
        <v>174</v>
      </c>
      <c r="D144" t="s">
        <v>25</v>
      </c>
      <c r="E144">
        <v>1</v>
      </c>
      <c r="F144">
        <v>117869</v>
      </c>
      <c r="G144">
        <v>121403</v>
      </c>
      <c r="H144">
        <v>125068</v>
      </c>
      <c r="I144">
        <v>128863</v>
      </c>
      <c r="J144">
        <v>132787</v>
      </c>
      <c r="K144">
        <v>136847</v>
      </c>
      <c r="L144">
        <v>141027</v>
      </c>
      <c r="M144">
        <v>145354</v>
      </c>
      <c r="N144">
        <v>149926</v>
      </c>
      <c r="O144">
        <v>154876</v>
      </c>
      <c r="P144">
        <v>160292</v>
      </c>
      <c r="Q144">
        <v>166214</v>
      </c>
      <c r="R144">
        <v>172599</v>
      </c>
      <c r="S144">
        <v>179354</v>
      </c>
      <c r="T144">
        <v>186338</v>
      </c>
      <c r="U144">
        <v>193447</v>
      </c>
      <c r="V144">
        <v>200642</v>
      </c>
      <c r="W144">
        <v>207942</v>
      </c>
      <c r="X144">
        <v>215353</v>
      </c>
      <c r="Y144">
        <v>222905</v>
      </c>
      <c r="Z144">
        <v>230614</v>
      </c>
      <c r="AA144">
        <v>238488</v>
      </c>
      <c r="AB144">
        <v>246502</v>
      </c>
      <c r="AC144">
        <v>254602</v>
      </c>
      <c r="AD144">
        <v>262719</v>
      </c>
      <c r="AE144">
        <v>270809</v>
      </c>
      <c r="AF144">
        <v>278846</v>
      </c>
      <c r="AG144">
        <v>286868</v>
      </c>
      <c r="AH144">
        <v>294962</v>
      </c>
      <c r="AI144">
        <v>303258</v>
      </c>
      <c r="AJ144">
        <v>311849</v>
      </c>
      <c r="AK144">
        <v>320764</v>
      </c>
      <c r="AL144">
        <v>329984</v>
      </c>
      <c r="AM144">
        <v>339490</v>
      </c>
      <c r="AN144">
        <v>349250</v>
      </c>
      <c r="AO144">
        <v>359236</v>
      </c>
      <c r="AP144">
        <v>369438</v>
      </c>
      <c r="AQ144">
        <v>379859</v>
      </c>
      <c r="AR144">
        <v>390489</v>
      </c>
      <c r="AS144">
        <v>401319</v>
      </c>
      <c r="AT144">
        <v>412336</v>
      </c>
      <c r="AU144">
        <v>423535</v>
      </c>
      <c r="AV144">
        <v>434893</v>
      </c>
      <c r="AW144">
        <v>446352</v>
      </c>
      <c r="AX144">
        <v>457841</v>
      </c>
      <c r="AY144">
        <v>469306</v>
      </c>
      <c r="AZ144">
        <v>480716</v>
      </c>
      <c r="BA144">
        <v>492075</v>
      </c>
      <c r="BB144">
        <v>503410</v>
      </c>
      <c r="BC144">
        <v>514767</v>
      </c>
      <c r="BD144">
        <v>526177</v>
      </c>
      <c r="BE144">
        <v>537648</v>
      </c>
      <c r="BF144">
        <v>549162</v>
      </c>
      <c r="BG144">
        <v>560685</v>
      </c>
      <c r="BH144">
        <v>572171</v>
      </c>
      <c r="BI144">
        <v>583591</v>
      </c>
      <c r="BJ144">
        <v>595805</v>
      </c>
      <c r="BK144">
        <v>608274</v>
      </c>
      <c r="BL144">
        <v>621004</v>
      </c>
      <c r="BM144">
        <v>634001</v>
      </c>
      <c r="BN144">
        <v>647270</v>
      </c>
      <c r="BO144">
        <v>660816</v>
      </c>
      <c r="BP144">
        <v>674646</v>
      </c>
      <c r="BQ144">
        <v>2.0928540885400082E-2</v>
      </c>
      <c r="BR144" s="6">
        <f t="shared" si="12"/>
        <v>549162</v>
      </c>
      <c r="BT144" s="4">
        <f t="shared" si="11"/>
        <v>2.2847341689245626E-2</v>
      </c>
      <c r="BU144" s="4">
        <f t="shared" si="11"/>
        <v>2.2390212732777526E-2</v>
      </c>
      <c r="BV144" s="4">
        <f t="shared" si="11"/>
        <v>2.1985325565080371E-2</v>
      </c>
      <c r="BW144" s="4">
        <f t="shared" ref="BW144:CE177" si="13">IFERROR((BG144/BC144)^(1/(BG$2-BC$2))-1,".")</f>
        <v>2.1591003944901654E-2</v>
      </c>
      <c r="BX144" s="4">
        <f t="shared" si="13"/>
        <v>2.1171053009467755E-2</v>
      </c>
      <c r="BY144" s="4">
        <f t="shared" si="13"/>
        <v>2.0710630227717575E-2</v>
      </c>
      <c r="BZ144" s="4">
        <f t="shared" si="10"/>
        <v>2.0589078051991949E-2</v>
      </c>
      <c r="CA144" s="4">
        <f t="shared" si="10"/>
        <v>2.057536027219653E-2</v>
      </c>
      <c r="CB144" s="4">
        <f t="shared" si="10"/>
        <v>2.068595518182903E-2</v>
      </c>
      <c r="CC144" s="4">
        <f t="shared" si="10"/>
        <v>2.092852739287121E-2</v>
      </c>
      <c r="CD144" s="4">
        <f t="shared" si="9"/>
        <v>2.0928514396160169E-2</v>
      </c>
      <c r="CE144" s="4">
        <f t="shared" si="9"/>
        <v>2.0928491642160818E-2</v>
      </c>
      <c r="CF144" s="4">
        <f t="shared" si="9"/>
        <v>2.0928641994021557E-2</v>
      </c>
      <c r="CH144">
        <v>27986</v>
      </c>
    </row>
    <row r="145" spans="1:86" x14ac:dyDescent="0.25">
      <c r="A145" s="2">
        <v>143</v>
      </c>
      <c r="B145" s="3" t="s">
        <v>175</v>
      </c>
      <c r="C145" t="s">
        <v>175</v>
      </c>
      <c r="D145" t="s">
        <v>14</v>
      </c>
      <c r="E145">
        <v>1</v>
      </c>
      <c r="F145">
        <v>2756380</v>
      </c>
      <c r="G145">
        <v>2814683</v>
      </c>
      <c r="H145">
        <v>2874944</v>
      </c>
      <c r="I145">
        <v>2937360</v>
      </c>
      <c r="J145">
        <v>3002173</v>
      </c>
      <c r="K145">
        <v>3069558</v>
      </c>
      <c r="L145">
        <v>3144244</v>
      </c>
      <c r="M145">
        <v>3227245</v>
      </c>
      <c r="N145">
        <v>3311111</v>
      </c>
      <c r="O145">
        <v>3385414</v>
      </c>
      <c r="P145">
        <v>3445420</v>
      </c>
      <c r="Q145">
        <v>3477568</v>
      </c>
      <c r="R145">
        <v>3490295</v>
      </c>
      <c r="S145">
        <v>3526527</v>
      </c>
      <c r="T145">
        <v>3644572</v>
      </c>
      <c r="U145">
        <v>3880955</v>
      </c>
      <c r="V145">
        <v>4259636</v>
      </c>
      <c r="W145">
        <v>4754149</v>
      </c>
      <c r="X145">
        <v>5289049</v>
      </c>
      <c r="Y145">
        <v>5758961</v>
      </c>
      <c r="Z145">
        <v>6089707</v>
      </c>
      <c r="AA145">
        <v>6251730</v>
      </c>
      <c r="AB145">
        <v>6271538</v>
      </c>
      <c r="AC145">
        <v>6199671</v>
      </c>
      <c r="AD145">
        <v>6113252</v>
      </c>
      <c r="AE145">
        <v>6068425</v>
      </c>
      <c r="AF145">
        <v>6082723</v>
      </c>
      <c r="AG145">
        <v>6138907</v>
      </c>
      <c r="AH145">
        <v>6217331</v>
      </c>
      <c r="AI145">
        <v>6285456</v>
      </c>
      <c r="AJ145">
        <v>6321615</v>
      </c>
      <c r="AK145">
        <v>6319531</v>
      </c>
      <c r="AL145">
        <v>6294017</v>
      </c>
      <c r="AM145">
        <v>6269244</v>
      </c>
      <c r="AN145">
        <v>6278911</v>
      </c>
      <c r="AO145">
        <v>6346440</v>
      </c>
      <c r="AP145">
        <v>6480888</v>
      </c>
      <c r="AQ145">
        <v>6672781</v>
      </c>
      <c r="AR145">
        <v>6904231</v>
      </c>
      <c r="AS145">
        <v>7148406</v>
      </c>
      <c r="AT145">
        <v>7385416</v>
      </c>
      <c r="AU145">
        <v>7610053</v>
      </c>
      <c r="AV145">
        <v>7827203</v>
      </c>
      <c r="AW145">
        <v>8039104</v>
      </c>
      <c r="AX145">
        <v>8251054</v>
      </c>
      <c r="AY145">
        <v>8466938</v>
      </c>
      <c r="AZ145">
        <v>8686939</v>
      </c>
      <c r="BA145">
        <v>8909015</v>
      </c>
      <c r="BB145">
        <v>9132589</v>
      </c>
      <c r="BC145">
        <v>9356827</v>
      </c>
      <c r="BD145">
        <v>9581714</v>
      </c>
      <c r="BE145">
        <v>9806670</v>
      </c>
      <c r="BF145">
        <v>10033630</v>
      </c>
      <c r="BG145">
        <v>10268157</v>
      </c>
      <c r="BH145">
        <v>10517569</v>
      </c>
      <c r="BI145">
        <v>10787104</v>
      </c>
      <c r="BJ145">
        <v>11045801</v>
      </c>
      <c r="BK145">
        <v>11310702</v>
      </c>
      <c r="BL145">
        <v>11581956</v>
      </c>
      <c r="BM145">
        <v>11859715</v>
      </c>
      <c r="BN145">
        <v>12144135</v>
      </c>
      <c r="BO145">
        <v>12435376</v>
      </c>
      <c r="BP145">
        <v>12733601</v>
      </c>
      <c r="BQ145">
        <v>2.3982023450833445E-2</v>
      </c>
      <c r="BR145" s="6">
        <f t="shared" si="12"/>
        <v>10033630</v>
      </c>
      <c r="BT145" s="4">
        <f t="shared" ref="BT145:BV177" si="14">IFERROR((BD145/AZ145)^(1/(BD$2-AZ$2))-1,".")</f>
        <v>2.4811777765298526E-2</v>
      </c>
      <c r="BU145" s="4">
        <f t="shared" si="14"/>
        <v>2.4290082555392889E-2</v>
      </c>
      <c r="BV145" s="4">
        <f t="shared" si="14"/>
        <v>2.3802161637215935E-2</v>
      </c>
      <c r="BW145" s="4">
        <f t="shared" si="13"/>
        <v>2.3507372129773163E-2</v>
      </c>
      <c r="BX145" s="4">
        <f t="shared" si="13"/>
        <v>2.3571161847081079E-2</v>
      </c>
      <c r="BY145" s="4">
        <f t="shared" si="13"/>
        <v>2.4108158979509575E-2</v>
      </c>
      <c r="BZ145" s="4">
        <f t="shared" si="10"/>
        <v>2.4317949772336922E-2</v>
      </c>
      <c r="CA145" s="4">
        <f t="shared" si="10"/>
        <v>2.4470046431150472E-2</v>
      </c>
      <c r="CB145" s="4">
        <f t="shared" si="10"/>
        <v>2.4393078016743397E-2</v>
      </c>
      <c r="CC145" s="4">
        <f t="shared" si="10"/>
        <v>2.3982057085411679E-2</v>
      </c>
      <c r="CD145" s="4">
        <f t="shared" si="9"/>
        <v>2.3982048151611313E-2</v>
      </c>
      <c r="CE145" s="4">
        <f t="shared" si="9"/>
        <v>2.3982041858650049E-2</v>
      </c>
      <c r="CF145" s="4">
        <f t="shared" si="9"/>
        <v>2.3982021635889694E-2</v>
      </c>
      <c r="CH145">
        <v>627337</v>
      </c>
    </row>
    <row r="146" spans="1:86" x14ac:dyDescent="0.25">
      <c r="A146" s="2">
        <v>144</v>
      </c>
      <c r="B146" s="3" t="s">
        <v>176</v>
      </c>
      <c r="C146" t="s">
        <v>177</v>
      </c>
      <c r="D146" t="s">
        <v>14</v>
      </c>
      <c r="E146">
        <v>1</v>
      </c>
      <c r="F146">
        <v>17396000</v>
      </c>
      <c r="G146">
        <v>17949962</v>
      </c>
      <c r="H146">
        <v>18459442</v>
      </c>
      <c r="I146">
        <v>18936138</v>
      </c>
      <c r="J146">
        <v>19390554</v>
      </c>
      <c r="K146">
        <v>19832000</v>
      </c>
      <c r="L146">
        <v>20268594</v>
      </c>
      <c r="M146">
        <v>20707258</v>
      </c>
      <c r="N146">
        <v>21153722</v>
      </c>
      <c r="O146">
        <v>21612522</v>
      </c>
      <c r="P146">
        <v>22087000</v>
      </c>
      <c r="Q146">
        <v>22602373</v>
      </c>
      <c r="R146">
        <v>23126276</v>
      </c>
      <c r="S146">
        <v>23655908</v>
      </c>
      <c r="T146">
        <v>24189837</v>
      </c>
      <c r="U146">
        <v>24728000</v>
      </c>
      <c r="V146">
        <v>25268094</v>
      </c>
      <c r="W146">
        <v>25805575</v>
      </c>
      <c r="X146">
        <v>26355319</v>
      </c>
      <c r="Y146">
        <v>26940793</v>
      </c>
      <c r="Z146">
        <v>27576000</v>
      </c>
      <c r="AA146">
        <v>28254655</v>
      </c>
      <c r="AB146">
        <v>28971839</v>
      </c>
      <c r="AC146">
        <v>29724004</v>
      </c>
      <c r="AD146">
        <v>30505361</v>
      </c>
      <c r="AE146">
        <v>31307880</v>
      </c>
      <c r="AF146">
        <v>32121290</v>
      </c>
      <c r="AG146">
        <v>32933081</v>
      </c>
      <c r="AH146">
        <v>33728498</v>
      </c>
      <c r="AI146">
        <v>34490549</v>
      </c>
      <c r="AJ146">
        <v>35200000</v>
      </c>
      <c r="AK146">
        <v>35933108</v>
      </c>
      <c r="AL146">
        <v>36690739</v>
      </c>
      <c r="AM146">
        <v>37473796</v>
      </c>
      <c r="AN146">
        <v>38283223</v>
      </c>
      <c r="AO146">
        <v>39120000</v>
      </c>
      <c r="AP146">
        <v>40000247</v>
      </c>
      <c r="AQ146">
        <v>40926063</v>
      </c>
      <c r="AR146">
        <v>41899683</v>
      </c>
      <c r="AS146">
        <v>42923485</v>
      </c>
      <c r="AT146">
        <v>44000000</v>
      </c>
      <c r="AU146">
        <v>44909738</v>
      </c>
      <c r="AV146">
        <v>45448096</v>
      </c>
      <c r="AW146">
        <v>46034026</v>
      </c>
      <c r="AX146">
        <v>46641103</v>
      </c>
      <c r="AY146">
        <v>47270063</v>
      </c>
      <c r="AZ146">
        <v>47921682</v>
      </c>
      <c r="BA146">
        <v>48596781</v>
      </c>
      <c r="BB146">
        <v>49296223</v>
      </c>
      <c r="BC146">
        <v>50020918</v>
      </c>
      <c r="BD146">
        <v>50771826</v>
      </c>
      <c r="BE146">
        <v>51549958</v>
      </c>
      <c r="BF146">
        <v>52356381</v>
      </c>
      <c r="BG146">
        <v>53192216</v>
      </c>
      <c r="BH146">
        <v>54058647</v>
      </c>
      <c r="BI146">
        <v>54956920</v>
      </c>
      <c r="BJ146">
        <v>55834458</v>
      </c>
      <c r="BK146">
        <v>56726008</v>
      </c>
      <c r="BL146">
        <v>57631794</v>
      </c>
      <c r="BM146">
        <v>58552044</v>
      </c>
      <c r="BN146">
        <v>59486988</v>
      </c>
      <c r="BO146">
        <v>60436861</v>
      </c>
      <c r="BP146">
        <v>61401901</v>
      </c>
      <c r="BQ146">
        <v>1.5967745635403707E-2</v>
      </c>
      <c r="BR146" s="6">
        <f t="shared" si="12"/>
        <v>52356381</v>
      </c>
      <c r="BT146" s="4">
        <f t="shared" si="14"/>
        <v>1.4548194952325844E-2</v>
      </c>
      <c r="BU146" s="4">
        <f t="shared" si="14"/>
        <v>1.4857821552346051E-2</v>
      </c>
      <c r="BV146" s="4">
        <f t="shared" si="14"/>
        <v>1.5170510339357124E-2</v>
      </c>
      <c r="BW146" s="4">
        <f t="shared" si="13"/>
        <v>1.5486388268224127E-2</v>
      </c>
      <c r="BX146" s="4">
        <f t="shared" si="13"/>
        <v>1.5805587122045273E-2</v>
      </c>
      <c r="BY146" s="4">
        <f t="shared" si="13"/>
        <v>1.612823065486646E-2</v>
      </c>
      <c r="BZ146" s="4">
        <f t="shared" si="10"/>
        <v>1.6209314522192875E-2</v>
      </c>
      <c r="CA146" s="4">
        <f t="shared" si="10"/>
        <v>1.6210164562836971E-2</v>
      </c>
      <c r="CB146" s="4">
        <f t="shared" si="10"/>
        <v>1.6129925540062429E-2</v>
      </c>
      <c r="CC146" s="4">
        <f t="shared" si="10"/>
        <v>1.5967741891188103E-2</v>
      </c>
      <c r="CD146" s="4">
        <f t="shared" si="9"/>
        <v>1.5967741815423597E-2</v>
      </c>
      <c r="CE146" s="4">
        <f t="shared" si="9"/>
        <v>1.5967743318727079E-2</v>
      </c>
      <c r="CF146" s="4">
        <f t="shared" si="9"/>
        <v>1.5967743623726882E-2</v>
      </c>
      <c r="CH146">
        <v>1214470</v>
      </c>
    </row>
    <row r="147" spans="1:86" x14ac:dyDescent="0.25">
      <c r="A147" s="2">
        <v>145</v>
      </c>
      <c r="B147" s="3" t="s">
        <v>178</v>
      </c>
      <c r="C147" t="s">
        <v>179</v>
      </c>
      <c r="D147" t="s">
        <v>25</v>
      </c>
      <c r="E147">
        <v>1</v>
      </c>
      <c r="F147">
        <v>25012374</v>
      </c>
      <c r="G147">
        <v>25765673</v>
      </c>
      <c r="H147">
        <v>26513030</v>
      </c>
      <c r="I147">
        <v>27261747</v>
      </c>
      <c r="J147">
        <v>27984155</v>
      </c>
      <c r="K147">
        <v>28704674</v>
      </c>
      <c r="L147">
        <v>29435571</v>
      </c>
      <c r="M147">
        <v>30130983</v>
      </c>
      <c r="N147">
        <v>30838302</v>
      </c>
      <c r="O147">
        <v>31544266</v>
      </c>
      <c r="P147">
        <v>32240827</v>
      </c>
      <c r="Q147">
        <v>32882704</v>
      </c>
      <c r="R147">
        <v>33505406</v>
      </c>
      <c r="S147">
        <v>34103149</v>
      </c>
      <c r="T147">
        <v>34692266</v>
      </c>
      <c r="U147">
        <v>35280725</v>
      </c>
      <c r="V147">
        <v>35848523</v>
      </c>
      <c r="W147">
        <v>36411795</v>
      </c>
      <c r="X147">
        <v>36969185</v>
      </c>
      <c r="Y147">
        <v>37534236</v>
      </c>
      <c r="Z147">
        <v>38123775</v>
      </c>
      <c r="AA147">
        <v>38723248</v>
      </c>
      <c r="AB147">
        <v>39326352</v>
      </c>
      <c r="AC147">
        <v>39910403</v>
      </c>
      <c r="AD147">
        <v>40405956</v>
      </c>
      <c r="AE147">
        <v>40805744</v>
      </c>
      <c r="AF147">
        <v>41213674</v>
      </c>
      <c r="AG147">
        <v>41621690</v>
      </c>
      <c r="AH147">
        <v>42031247</v>
      </c>
      <c r="AI147">
        <v>42449038</v>
      </c>
      <c r="AJ147">
        <v>42869283</v>
      </c>
      <c r="AK147">
        <v>43295704</v>
      </c>
      <c r="AL147">
        <v>43747962</v>
      </c>
      <c r="AM147">
        <v>44194628</v>
      </c>
      <c r="AN147">
        <v>44641540</v>
      </c>
      <c r="AO147">
        <v>45092991</v>
      </c>
      <c r="AP147">
        <v>45524681</v>
      </c>
      <c r="AQ147">
        <v>45953580</v>
      </c>
      <c r="AR147">
        <v>46286503</v>
      </c>
      <c r="AS147">
        <v>46616677</v>
      </c>
      <c r="AT147">
        <v>47008111</v>
      </c>
      <c r="AU147">
        <v>47357362</v>
      </c>
      <c r="AV147">
        <v>47622179</v>
      </c>
      <c r="AW147">
        <v>47859311</v>
      </c>
      <c r="AX147">
        <v>48039415</v>
      </c>
      <c r="AY147">
        <v>48138077</v>
      </c>
      <c r="AZ147">
        <v>48371946</v>
      </c>
      <c r="BA147">
        <v>48597652</v>
      </c>
      <c r="BB147">
        <v>48948698</v>
      </c>
      <c r="BC147">
        <v>49182038</v>
      </c>
      <c r="BD147">
        <v>49410366</v>
      </c>
      <c r="BE147">
        <v>49779440</v>
      </c>
      <c r="BF147">
        <v>50004441</v>
      </c>
      <c r="BG147">
        <v>50219669</v>
      </c>
      <c r="BH147">
        <v>50423955</v>
      </c>
      <c r="BI147">
        <v>50617045</v>
      </c>
      <c r="BJ147">
        <v>50861894</v>
      </c>
      <c r="BK147">
        <v>51107928</v>
      </c>
      <c r="BL147">
        <v>51355152</v>
      </c>
      <c r="BM147">
        <v>51603572</v>
      </c>
      <c r="BN147">
        <v>51853193</v>
      </c>
      <c r="BO147">
        <v>52104022</v>
      </c>
      <c r="BP147">
        <v>52356064</v>
      </c>
      <c r="BQ147">
        <v>4.8372894992589899E-3</v>
      </c>
      <c r="BR147" s="6">
        <f t="shared" si="12"/>
        <v>50004441</v>
      </c>
      <c r="BT147" s="4">
        <f t="shared" si="14"/>
        <v>5.324178998964646E-3</v>
      </c>
      <c r="BU147" s="4">
        <f t="shared" si="14"/>
        <v>6.0247840423273136E-3</v>
      </c>
      <c r="BV147" s="4">
        <f t="shared" si="14"/>
        <v>5.3490180432158585E-3</v>
      </c>
      <c r="BW147" s="4">
        <f t="shared" si="13"/>
        <v>5.2332174883478189E-3</v>
      </c>
      <c r="BX147" s="4">
        <f t="shared" si="13"/>
        <v>5.0894372953633749E-3</v>
      </c>
      <c r="BY147" s="4">
        <f t="shared" si="13"/>
        <v>4.1802956365322164E-3</v>
      </c>
      <c r="BZ147" s="4">
        <f t="shared" si="10"/>
        <v>4.259590700738336E-3</v>
      </c>
      <c r="CA147" s="4">
        <f t="shared" si="10"/>
        <v>4.3928376575221861E-3</v>
      </c>
      <c r="CB147" s="4">
        <f t="shared" si="10"/>
        <v>4.5852056886244164E-3</v>
      </c>
      <c r="CC147" s="4">
        <f t="shared" si="10"/>
        <v>4.8372915061949406E-3</v>
      </c>
      <c r="CD147" s="4">
        <f t="shared" si="9"/>
        <v>4.8372909691889454E-3</v>
      </c>
      <c r="CE147" s="4">
        <f t="shared" si="9"/>
        <v>4.8372899761059962E-3</v>
      </c>
      <c r="CF147" s="4">
        <f t="shared" si="9"/>
        <v>4.837288065995482E-3</v>
      </c>
      <c r="CH147">
        <v>96920</v>
      </c>
    </row>
    <row r="148" spans="1:86" x14ac:dyDescent="0.25">
      <c r="A148" s="2">
        <v>146</v>
      </c>
      <c r="B148" s="3" t="s">
        <v>180</v>
      </c>
      <c r="C148" t="s">
        <v>180</v>
      </c>
      <c r="D148" t="s">
        <v>23</v>
      </c>
      <c r="E148">
        <v>1</v>
      </c>
      <c r="F148">
        <v>30455000</v>
      </c>
      <c r="G148">
        <v>30739250</v>
      </c>
      <c r="H148">
        <v>31023366</v>
      </c>
      <c r="I148">
        <v>31296651</v>
      </c>
      <c r="J148">
        <v>31609195</v>
      </c>
      <c r="K148">
        <v>31954292</v>
      </c>
      <c r="L148">
        <v>32283194</v>
      </c>
      <c r="M148">
        <v>32682947</v>
      </c>
      <c r="N148">
        <v>33113134</v>
      </c>
      <c r="O148">
        <v>33441054</v>
      </c>
      <c r="P148">
        <v>33814531</v>
      </c>
      <c r="Q148">
        <v>34191678</v>
      </c>
      <c r="R148">
        <v>34502705</v>
      </c>
      <c r="S148">
        <v>34817071</v>
      </c>
      <c r="T148">
        <v>35154338</v>
      </c>
      <c r="U148">
        <v>35530725</v>
      </c>
      <c r="V148">
        <v>35939437</v>
      </c>
      <c r="W148">
        <v>36370050</v>
      </c>
      <c r="X148">
        <v>36872506</v>
      </c>
      <c r="Y148">
        <v>37201123</v>
      </c>
      <c r="Z148">
        <v>37439035</v>
      </c>
      <c r="AA148">
        <v>37740556</v>
      </c>
      <c r="AB148">
        <v>37942805</v>
      </c>
      <c r="AC148">
        <v>38122429</v>
      </c>
      <c r="AD148">
        <v>38278575</v>
      </c>
      <c r="AE148">
        <v>38418817</v>
      </c>
      <c r="AF148">
        <v>38535617</v>
      </c>
      <c r="AG148">
        <v>38630820</v>
      </c>
      <c r="AH148">
        <v>38715849</v>
      </c>
      <c r="AI148">
        <v>38791473</v>
      </c>
      <c r="AJ148">
        <v>38850435</v>
      </c>
      <c r="AK148">
        <v>38939049</v>
      </c>
      <c r="AL148">
        <v>39067745</v>
      </c>
      <c r="AM148">
        <v>39189400</v>
      </c>
      <c r="AN148">
        <v>39294967</v>
      </c>
      <c r="AO148">
        <v>39387017</v>
      </c>
      <c r="AP148">
        <v>39478186</v>
      </c>
      <c r="AQ148">
        <v>39582413</v>
      </c>
      <c r="AR148">
        <v>39721108</v>
      </c>
      <c r="AS148">
        <v>39926268</v>
      </c>
      <c r="AT148">
        <v>40263216</v>
      </c>
      <c r="AU148">
        <v>40756001</v>
      </c>
      <c r="AV148">
        <v>41431558</v>
      </c>
      <c r="AW148">
        <v>42187645</v>
      </c>
      <c r="AX148">
        <v>42921895</v>
      </c>
      <c r="AY148">
        <v>43653155</v>
      </c>
      <c r="AZ148">
        <v>44397319</v>
      </c>
      <c r="BA148">
        <v>45226803</v>
      </c>
      <c r="BB148">
        <v>45954106</v>
      </c>
      <c r="BC148">
        <v>46362946</v>
      </c>
      <c r="BD148">
        <v>46576897</v>
      </c>
      <c r="BE148">
        <v>46742697</v>
      </c>
      <c r="BF148">
        <v>46773055</v>
      </c>
      <c r="BG148">
        <v>46620045</v>
      </c>
      <c r="BH148">
        <v>46480882</v>
      </c>
      <c r="BI148">
        <v>46418269</v>
      </c>
      <c r="BJ148">
        <v>46386608</v>
      </c>
      <c r="BK148">
        <v>46354969</v>
      </c>
      <c r="BL148">
        <v>46323351</v>
      </c>
      <c r="BM148">
        <v>46291755</v>
      </c>
      <c r="BN148">
        <v>46260181</v>
      </c>
      <c r="BO148">
        <v>46228628</v>
      </c>
      <c r="BP148">
        <v>46197097</v>
      </c>
      <c r="BQ148">
        <v>-6.8207437620493305E-4</v>
      </c>
      <c r="BR148" s="6">
        <f t="shared" si="12"/>
        <v>46773055</v>
      </c>
      <c r="BT148" s="4">
        <f t="shared" si="14"/>
        <v>1.2053454611693937E-2</v>
      </c>
      <c r="BU148" s="4">
        <f t="shared" si="14"/>
        <v>8.2760920141617955E-3</v>
      </c>
      <c r="BV148" s="4">
        <f t="shared" si="14"/>
        <v>4.425786603928783E-3</v>
      </c>
      <c r="BW148" s="4">
        <f t="shared" si="13"/>
        <v>1.3834651674720089E-3</v>
      </c>
      <c r="BX148" s="4">
        <f t="shared" si="13"/>
        <v>-5.157563010564914E-4</v>
      </c>
      <c r="BY148" s="4">
        <f t="shared" si="13"/>
        <v>-1.7397147983997385E-3</v>
      </c>
      <c r="BZ148" s="4">
        <f t="shared" si="10"/>
        <v>-2.071973585649256E-3</v>
      </c>
      <c r="CA148" s="4">
        <f t="shared" si="10"/>
        <v>-1.4245110573913866E-3</v>
      </c>
      <c r="CB148" s="4">
        <f t="shared" si="10"/>
        <v>-8.4836819695155441E-4</v>
      </c>
      <c r="CC148" s="4">
        <f t="shared" si="10"/>
        <v>-6.8207795627639456E-4</v>
      </c>
      <c r="CD148" s="4">
        <f t="shared" si="9"/>
        <v>-6.8207413671350636E-4</v>
      </c>
      <c r="CE148" s="4">
        <f t="shared" si="9"/>
        <v>-6.8207539210773938E-4</v>
      </c>
      <c r="CF148" s="4">
        <f t="shared" si="9"/>
        <v>-6.8207093178640488E-4</v>
      </c>
      <c r="CH148">
        <v>498980</v>
      </c>
    </row>
    <row r="149" spans="1:86" x14ac:dyDescent="0.25">
      <c r="A149" s="2">
        <v>147</v>
      </c>
      <c r="B149" s="3" t="s">
        <v>181</v>
      </c>
      <c r="C149" t="s">
        <v>182</v>
      </c>
      <c r="D149" t="s">
        <v>25</v>
      </c>
      <c r="E149">
        <v>1</v>
      </c>
      <c r="F149">
        <v>9896000</v>
      </c>
      <c r="G149">
        <v>10168000</v>
      </c>
      <c r="H149">
        <v>10443000</v>
      </c>
      <c r="I149">
        <v>10582000</v>
      </c>
      <c r="J149">
        <v>10903000</v>
      </c>
      <c r="K149">
        <v>11164000</v>
      </c>
      <c r="L149">
        <v>11439000</v>
      </c>
      <c r="M149">
        <v>11703000</v>
      </c>
      <c r="N149">
        <v>11992000</v>
      </c>
      <c r="O149">
        <v>12252000</v>
      </c>
      <c r="P149">
        <v>12514000</v>
      </c>
      <c r="Q149">
        <v>12690000</v>
      </c>
      <c r="R149">
        <v>12861000</v>
      </c>
      <c r="S149">
        <v>13091000</v>
      </c>
      <c r="T149">
        <v>13284000</v>
      </c>
      <c r="U149">
        <v>13496000</v>
      </c>
      <c r="V149">
        <v>13717000</v>
      </c>
      <c r="W149">
        <v>13942000</v>
      </c>
      <c r="X149">
        <v>14190000</v>
      </c>
      <c r="Y149">
        <v>14472000</v>
      </c>
      <c r="Z149">
        <v>14747000</v>
      </c>
      <c r="AA149">
        <v>14847000</v>
      </c>
      <c r="AB149">
        <v>15096000</v>
      </c>
      <c r="AC149">
        <v>15339000</v>
      </c>
      <c r="AD149">
        <v>15583000</v>
      </c>
      <c r="AE149">
        <v>15831000</v>
      </c>
      <c r="AF149">
        <v>16083000</v>
      </c>
      <c r="AG149">
        <v>16339000</v>
      </c>
      <c r="AH149">
        <v>16593000</v>
      </c>
      <c r="AI149">
        <v>16841000</v>
      </c>
      <c r="AJ149">
        <v>17078000</v>
      </c>
      <c r="AK149">
        <v>17306000</v>
      </c>
      <c r="AL149">
        <v>17524000</v>
      </c>
      <c r="AM149">
        <v>17728000</v>
      </c>
      <c r="AN149">
        <v>17912000</v>
      </c>
      <c r="AO149">
        <v>18074000</v>
      </c>
      <c r="AP149">
        <v>18210000</v>
      </c>
      <c r="AQ149">
        <v>18323000</v>
      </c>
      <c r="AR149">
        <v>18425000</v>
      </c>
      <c r="AS149">
        <v>18532000</v>
      </c>
      <c r="AT149">
        <v>18655000</v>
      </c>
      <c r="AU149">
        <v>18797000</v>
      </c>
      <c r="AV149">
        <v>18939000</v>
      </c>
      <c r="AW149">
        <v>19083000</v>
      </c>
      <c r="AX149">
        <v>19227000</v>
      </c>
      <c r="AY149">
        <v>19373000</v>
      </c>
      <c r="AZ149">
        <v>19520000</v>
      </c>
      <c r="BA149">
        <v>19668000</v>
      </c>
      <c r="BB149">
        <v>19817000</v>
      </c>
      <c r="BC149">
        <v>19967000</v>
      </c>
      <c r="BD149">
        <v>20118000</v>
      </c>
      <c r="BE149">
        <v>20270000</v>
      </c>
      <c r="BF149">
        <v>20424000</v>
      </c>
      <c r="BG149">
        <v>20579000</v>
      </c>
      <c r="BH149">
        <v>20771000</v>
      </c>
      <c r="BI149">
        <v>20966000</v>
      </c>
      <c r="BJ149">
        <v>21139842</v>
      </c>
      <c r="BK149">
        <v>21315125</v>
      </c>
      <c r="BL149">
        <v>21491862</v>
      </c>
      <c r="BM149">
        <v>21670064</v>
      </c>
      <c r="BN149">
        <v>21849744</v>
      </c>
      <c r="BO149">
        <v>22030914</v>
      </c>
      <c r="BP149">
        <v>22213586</v>
      </c>
      <c r="BQ149">
        <v>8.291614857407259E-3</v>
      </c>
      <c r="BR149" s="6">
        <f t="shared" si="12"/>
        <v>20424000</v>
      </c>
      <c r="BT149" s="4">
        <f t="shared" si="14"/>
        <v>7.5723653725547901E-3</v>
      </c>
      <c r="BU149" s="4">
        <f t="shared" si="14"/>
        <v>7.5657293180244611E-3</v>
      </c>
      <c r="BV149" s="4">
        <f t="shared" si="14"/>
        <v>7.5711484845428778E-3</v>
      </c>
      <c r="BW149" s="4">
        <f t="shared" si="13"/>
        <v>7.5761114903611926E-3</v>
      </c>
      <c r="BX149" s="4">
        <f t="shared" si="13"/>
        <v>8.0176824369413424E-3</v>
      </c>
      <c r="BY149" s="4">
        <f t="shared" si="13"/>
        <v>8.47574685444763E-3</v>
      </c>
      <c r="BZ149" s="4">
        <f t="shared" si="10"/>
        <v>8.649398365448091E-3</v>
      </c>
      <c r="CA149" s="4">
        <f t="shared" si="10"/>
        <v>8.8251581665785839E-3</v>
      </c>
      <c r="CB149" s="4">
        <f t="shared" si="10"/>
        <v>8.5656189541964967E-3</v>
      </c>
      <c r="CC149" s="4">
        <f t="shared" si="10"/>
        <v>8.2916092741749381E-3</v>
      </c>
      <c r="CD149" s="4">
        <f t="shared" si="9"/>
        <v>8.2916112628592664E-3</v>
      </c>
      <c r="CE149" s="4">
        <f t="shared" si="9"/>
        <v>8.2916201920555377E-3</v>
      </c>
      <c r="CF149" s="4">
        <f t="shared" si="9"/>
        <v>8.2916195885429644E-3</v>
      </c>
      <c r="CH149">
        <v>64630</v>
      </c>
    </row>
    <row r="150" spans="1:86" x14ac:dyDescent="0.25">
      <c r="A150" s="2">
        <v>148</v>
      </c>
      <c r="B150" s="3" t="s">
        <v>183</v>
      </c>
      <c r="C150" t="s">
        <v>183</v>
      </c>
      <c r="D150" t="s">
        <v>18</v>
      </c>
      <c r="E150">
        <v>1</v>
      </c>
      <c r="F150">
        <v>289972</v>
      </c>
      <c r="G150">
        <v>298190</v>
      </c>
      <c r="H150">
        <v>306330</v>
      </c>
      <c r="I150">
        <v>314530</v>
      </c>
      <c r="J150">
        <v>322995</v>
      </c>
      <c r="K150">
        <v>331799</v>
      </c>
      <c r="L150">
        <v>341137</v>
      </c>
      <c r="M150">
        <v>350755</v>
      </c>
      <c r="N150">
        <v>359735</v>
      </c>
      <c r="O150">
        <v>366845</v>
      </c>
      <c r="P150">
        <v>371268</v>
      </c>
      <c r="Q150">
        <v>372619</v>
      </c>
      <c r="R150">
        <v>371318</v>
      </c>
      <c r="S150">
        <v>368342</v>
      </c>
      <c r="T150">
        <v>365104</v>
      </c>
      <c r="U150">
        <v>362651</v>
      </c>
      <c r="V150">
        <v>361368</v>
      </c>
      <c r="W150">
        <v>361053</v>
      </c>
      <c r="X150">
        <v>361463</v>
      </c>
      <c r="Y150">
        <v>362137</v>
      </c>
      <c r="Z150">
        <v>362777</v>
      </c>
      <c r="AA150">
        <v>363309</v>
      </c>
      <c r="AB150">
        <v>363993</v>
      </c>
      <c r="AC150">
        <v>365242</v>
      </c>
      <c r="AD150">
        <v>367611</v>
      </c>
      <c r="AE150">
        <v>371469</v>
      </c>
      <c r="AF150">
        <v>376973</v>
      </c>
      <c r="AG150">
        <v>383916</v>
      </c>
      <c r="AH150">
        <v>391851</v>
      </c>
      <c r="AI150">
        <v>400133</v>
      </c>
      <c r="AJ150">
        <v>408276</v>
      </c>
      <c r="AK150">
        <v>416068</v>
      </c>
      <c r="AL150">
        <v>423572</v>
      </c>
      <c r="AM150">
        <v>430901</v>
      </c>
      <c r="AN150">
        <v>438280</v>
      </c>
      <c r="AO150">
        <v>445830</v>
      </c>
      <c r="AP150">
        <v>453653</v>
      </c>
      <c r="AQ150">
        <v>461569</v>
      </c>
      <c r="AR150">
        <v>469108</v>
      </c>
      <c r="AS150">
        <v>475637</v>
      </c>
      <c r="AT150">
        <v>480751</v>
      </c>
      <c r="AU150">
        <v>484210</v>
      </c>
      <c r="AV150">
        <v>486271</v>
      </c>
      <c r="AW150">
        <v>487641</v>
      </c>
      <c r="AX150">
        <v>489312</v>
      </c>
      <c r="AY150">
        <v>491999</v>
      </c>
      <c r="AZ150">
        <v>495953</v>
      </c>
      <c r="BA150">
        <v>500953</v>
      </c>
      <c r="BB150">
        <v>506657</v>
      </c>
      <c r="BC150">
        <v>512522</v>
      </c>
      <c r="BD150">
        <v>518141</v>
      </c>
      <c r="BE150">
        <v>523439</v>
      </c>
      <c r="BF150">
        <v>528535</v>
      </c>
      <c r="BG150">
        <v>533450</v>
      </c>
      <c r="BH150">
        <v>538248</v>
      </c>
      <c r="BI150">
        <v>542975</v>
      </c>
      <c r="BJ150">
        <v>548083</v>
      </c>
      <c r="BK150">
        <v>553239</v>
      </c>
      <c r="BL150">
        <v>558443</v>
      </c>
      <c r="BM150">
        <v>563696</v>
      </c>
      <c r="BN150">
        <v>568999</v>
      </c>
      <c r="BO150">
        <v>574352</v>
      </c>
      <c r="BP150">
        <v>579755</v>
      </c>
      <c r="BQ150">
        <v>9.4071461223559361E-3</v>
      </c>
      <c r="BR150" s="6">
        <f t="shared" si="12"/>
        <v>528535</v>
      </c>
      <c r="BT150" s="4">
        <f t="shared" si="14"/>
        <v>1.1001638242877698E-2</v>
      </c>
      <c r="BU150" s="4">
        <f t="shared" si="14"/>
        <v>1.1037522864048688E-2</v>
      </c>
      <c r="BV150" s="4">
        <f t="shared" si="14"/>
        <v>1.0624741493095557E-2</v>
      </c>
      <c r="BW150" s="4">
        <f t="shared" si="13"/>
        <v>1.0055648822343555E-2</v>
      </c>
      <c r="BX150" s="4">
        <f t="shared" si="13"/>
        <v>9.5634438739811145E-3</v>
      </c>
      <c r="BY150" s="4">
        <f t="shared" si="13"/>
        <v>9.2027821407361099E-3</v>
      </c>
      <c r="BZ150" s="4">
        <f t="shared" si="10"/>
        <v>9.1207697866126924E-3</v>
      </c>
      <c r="CA150" s="4">
        <f t="shared" si="10"/>
        <v>9.1477751111916916E-3</v>
      </c>
      <c r="CB150" s="4">
        <f t="shared" si="10"/>
        <v>9.2508101046817615E-3</v>
      </c>
      <c r="CC150" s="4">
        <f t="shared" si="10"/>
        <v>9.4069247688930435E-3</v>
      </c>
      <c r="CD150" s="4">
        <f t="shared" si="9"/>
        <v>9.4069552003583912E-3</v>
      </c>
      <c r="CE150" s="4">
        <f t="shared" si="9"/>
        <v>9.4070589772772273E-3</v>
      </c>
      <c r="CF150" s="4">
        <f t="shared" si="9"/>
        <v>9.4072340412687527E-3</v>
      </c>
      <c r="CH150">
        <v>156000</v>
      </c>
    </row>
    <row r="151" spans="1:86" x14ac:dyDescent="0.25">
      <c r="A151" s="2">
        <v>149</v>
      </c>
      <c r="B151" s="3" t="s">
        <v>184</v>
      </c>
      <c r="C151" t="s">
        <v>184</v>
      </c>
      <c r="D151" t="s">
        <v>14</v>
      </c>
      <c r="E151">
        <v>1</v>
      </c>
      <c r="F151">
        <v>349233</v>
      </c>
      <c r="G151">
        <v>357522</v>
      </c>
      <c r="H151">
        <v>365719</v>
      </c>
      <c r="I151">
        <v>373991</v>
      </c>
      <c r="J151">
        <v>382575</v>
      </c>
      <c r="K151">
        <v>391659</v>
      </c>
      <c r="L151">
        <v>401295</v>
      </c>
      <c r="M151">
        <v>411478</v>
      </c>
      <c r="N151">
        <v>422266</v>
      </c>
      <c r="O151">
        <v>433709</v>
      </c>
      <c r="P151">
        <v>445844</v>
      </c>
      <c r="Q151">
        <v>458717</v>
      </c>
      <c r="R151">
        <v>472337</v>
      </c>
      <c r="S151">
        <v>486656</v>
      </c>
      <c r="T151">
        <v>501596</v>
      </c>
      <c r="U151">
        <v>517100</v>
      </c>
      <c r="V151">
        <v>533264</v>
      </c>
      <c r="W151">
        <v>550135</v>
      </c>
      <c r="X151">
        <v>567560</v>
      </c>
      <c r="Y151">
        <v>585335</v>
      </c>
      <c r="Z151">
        <v>603373</v>
      </c>
      <c r="AA151">
        <v>621314</v>
      </c>
      <c r="AB151">
        <v>639333</v>
      </c>
      <c r="AC151">
        <v>658496</v>
      </c>
      <c r="AD151">
        <v>680253</v>
      </c>
      <c r="AE151">
        <v>705492</v>
      </c>
      <c r="AF151">
        <v>734790</v>
      </c>
      <c r="AG151">
        <v>767417</v>
      </c>
      <c r="AH151">
        <v>801350</v>
      </c>
      <c r="AI151">
        <v>833787</v>
      </c>
      <c r="AJ151">
        <v>862728</v>
      </c>
      <c r="AK151">
        <v>887248</v>
      </c>
      <c r="AL151">
        <v>907947</v>
      </c>
      <c r="AM151">
        <v>926224</v>
      </c>
      <c r="AN151">
        <v>944223</v>
      </c>
      <c r="AO151">
        <v>963428</v>
      </c>
      <c r="AP151">
        <v>984506</v>
      </c>
      <c r="AQ151">
        <v>1006760</v>
      </c>
      <c r="AR151">
        <v>1028694</v>
      </c>
      <c r="AS151">
        <v>1048151</v>
      </c>
      <c r="AT151">
        <v>1063715</v>
      </c>
      <c r="AU151">
        <v>1074765</v>
      </c>
      <c r="AV151">
        <v>1082195</v>
      </c>
      <c r="AW151">
        <v>1087949</v>
      </c>
      <c r="AX151">
        <v>1094775</v>
      </c>
      <c r="AY151">
        <v>1104642</v>
      </c>
      <c r="AZ151">
        <v>1118204</v>
      </c>
      <c r="BA151">
        <v>1134853</v>
      </c>
      <c r="BB151">
        <v>1153750</v>
      </c>
      <c r="BC151">
        <v>1173529</v>
      </c>
      <c r="BD151">
        <v>1193148</v>
      </c>
      <c r="BE151">
        <v>1212458</v>
      </c>
      <c r="BF151">
        <v>1231694</v>
      </c>
      <c r="BG151">
        <v>1250641</v>
      </c>
      <c r="BH151">
        <v>1269112</v>
      </c>
      <c r="BI151">
        <v>1286970</v>
      </c>
      <c r="BJ151">
        <v>1306602</v>
      </c>
      <c r="BK151">
        <v>1326533</v>
      </c>
      <c r="BL151">
        <v>1346768</v>
      </c>
      <c r="BM151">
        <v>1367312</v>
      </c>
      <c r="BN151">
        <v>1388169</v>
      </c>
      <c r="BO151">
        <v>1409344</v>
      </c>
      <c r="BP151">
        <v>1430843</v>
      </c>
      <c r="BQ151">
        <v>1.5254261617702269E-2</v>
      </c>
      <c r="BR151" s="6">
        <f t="shared" si="12"/>
        <v>1231694</v>
      </c>
      <c r="BT151" s="4">
        <f t="shared" si="14"/>
        <v>1.6350064423266586E-2</v>
      </c>
      <c r="BU151" s="4">
        <f t="shared" si="14"/>
        <v>1.6674131346022358E-2</v>
      </c>
      <c r="BV151" s="4">
        <f t="shared" si="14"/>
        <v>1.6477518942584313E-2</v>
      </c>
      <c r="BW151" s="4">
        <f t="shared" si="13"/>
        <v>1.6037433901411102E-2</v>
      </c>
      <c r="BX151" s="4">
        <f t="shared" si="13"/>
        <v>1.5550228566563629E-2</v>
      </c>
      <c r="BY151" s="4">
        <f t="shared" si="13"/>
        <v>1.5021940550645096E-2</v>
      </c>
      <c r="BZ151" s="4">
        <f t="shared" si="10"/>
        <v>1.4869318663046416E-2</v>
      </c>
      <c r="CA151" s="4">
        <f t="shared" si="10"/>
        <v>1.4837131433510287E-2</v>
      </c>
      <c r="CB151" s="4">
        <f t="shared" si="10"/>
        <v>1.4958323614532087E-2</v>
      </c>
      <c r="CC151" s="4">
        <f t="shared" si="10"/>
        <v>1.5254213311215681E-2</v>
      </c>
      <c r="CD151" s="4">
        <f t="shared" si="9"/>
        <v>1.5254108762381424E-2</v>
      </c>
      <c r="CE151" s="4">
        <f t="shared" si="9"/>
        <v>1.5254067551718542E-2</v>
      </c>
      <c r="CF151" s="4">
        <f t="shared" si="9"/>
        <v>1.525420891350393E-2</v>
      </c>
      <c r="CH151">
        <v>17204</v>
      </c>
    </row>
    <row r="152" spans="1:86" x14ac:dyDescent="0.25">
      <c r="A152" s="2">
        <v>150</v>
      </c>
      <c r="B152" s="3" t="s">
        <v>185</v>
      </c>
      <c r="C152" t="s">
        <v>185</v>
      </c>
      <c r="D152" t="s">
        <v>23</v>
      </c>
      <c r="E152">
        <v>1</v>
      </c>
      <c r="F152">
        <v>7484656</v>
      </c>
      <c r="G152">
        <v>7519998</v>
      </c>
      <c r="H152">
        <v>7561588</v>
      </c>
      <c r="I152">
        <v>7604328</v>
      </c>
      <c r="J152">
        <v>7661354</v>
      </c>
      <c r="K152">
        <v>7733853</v>
      </c>
      <c r="L152">
        <v>7807797</v>
      </c>
      <c r="M152">
        <v>7867931</v>
      </c>
      <c r="N152">
        <v>7912273</v>
      </c>
      <c r="O152">
        <v>7968072</v>
      </c>
      <c r="P152">
        <v>8042801</v>
      </c>
      <c r="Q152">
        <v>8098334</v>
      </c>
      <c r="R152">
        <v>8122300</v>
      </c>
      <c r="S152">
        <v>8136312</v>
      </c>
      <c r="T152">
        <v>8159955</v>
      </c>
      <c r="U152">
        <v>8192437</v>
      </c>
      <c r="V152">
        <v>8222286</v>
      </c>
      <c r="W152">
        <v>8251540</v>
      </c>
      <c r="X152">
        <v>8275599</v>
      </c>
      <c r="Y152">
        <v>8293678</v>
      </c>
      <c r="Z152">
        <v>8310531</v>
      </c>
      <c r="AA152">
        <v>8320503</v>
      </c>
      <c r="AB152">
        <v>8325263</v>
      </c>
      <c r="AC152">
        <v>8329033</v>
      </c>
      <c r="AD152">
        <v>8336605</v>
      </c>
      <c r="AE152">
        <v>8350386</v>
      </c>
      <c r="AF152">
        <v>8369829</v>
      </c>
      <c r="AG152">
        <v>8397804</v>
      </c>
      <c r="AH152">
        <v>8436489</v>
      </c>
      <c r="AI152">
        <v>8492964</v>
      </c>
      <c r="AJ152">
        <v>8558835</v>
      </c>
      <c r="AK152">
        <v>8617375</v>
      </c>
      <c r="AL152">
        <v>8668067</v>
      </c>
      <c r="AM152">
        <v>8718561</v>
      </c>
      <c r="AN152">
        <v>8780745</v>
      </c>
      <c r="AO152">
        <v>8826939</v>
      </c>
      <c r="AP152">
        <v>8840998</v>
      </c>
      <c r="AQ152">
        <v>8846062</v>
      </c>
      <c r="AR152">
        <v>8850974</v>
      </c>
      <c r="AS152">
        <v>8857874</v>
      </c>
      <c r="AT152">
        <v>8872109</v>
      </c>
      <c r="AU152">
        <v>8895960</v>
      </c>
      <c r="AV152">
        <v>8924958</v>
      </c>
      <c r="AW152">
        <v>8958229</v>
      </c>
      <c r="AX152">
        <v>8993531</v>
      </c>
      <c r="AY152">
        <v>9029572</v>
      </c>
      <c r="AZ152">
        <v>9080505</v>
      </c>
      <c r="BA152">
        <v>9148092</v>
      </c>
      <c r="BB152">
        <v>9219637</v>
      </c>
      <c r="BC152">
        <v>9298515</v>
      </c>
      <c r="BD152">
        <v>9378126</v>
      </c>
      <c r="BE152">
        <v>9449213</v>
      </c>
      <c r="BF152">
        <v>9519374</v>
      </c>
      <c r="BG152">
        <v>9600379</v>
      </c>
      <c r="BH152">
        <v>9696110</v>
      </c>
      <c r="BI152">
        <v>9798871</v>
      </c>
      <c r="BJ152">
        <v>9885259</v>
      </c>
      <c r="BK152">
        <v>9972408</v>
      </c>
      <c r="BL152">
        <v>10060326</v>
      </c>
      <c r="BM152">
        <v>10149019</v>
      </c>
      <c r="BN152">
        <v>10238494</v>
      </c>
      <c r="BO152">
        <v>10328757</v>
      </c>
      <c r="BP152">
        <v>10419816</v>
      </c>
      <c r="BQ152">
        <v>8.8160784506874368E-3</v>
      </c>
      <c r="BR152" s="6">
        <f t="shared" si="12"/>
        <v>9519374</v>
      </c>
      <c r="BT152" s="4">
        <f t="shared" si="14"/>
        <v>8.0951268966871215E-3</v>
      </c>
      <c r="BU152" s="4">
        <f t="shared" si="14"/>
        <v>8.1293967128972522E-3</v>
      </c>
      <c r="BV152" s="4">
        <f t="shared" si="14"/>
        <v>8.0304284213519317E-3</v>
      </c>
      <c r="BW152" s="4">
        <f t="shared" si="13"/>
        <v>8.0189476232304102E-3</v>
      </c>
      <c r="BX152" s="4">
        <f t="shared" si="13"/>
        <v>8.3710473717018008E-3</v>
      </c>
      <c r="BY152" s="4">
        <f t="shared" si="13"/>
        <v>9.1253134372655254E-3</v>
      </c>
      <c r="BZ152" s="4">
        <f t="shared" si="10"/>
        <v>9.4734838553416356E-3</v>
      </c>
      <c r="CA152" s="4">
        <f t="shared" si="10"/>
        <v>9.5501904180437247E-3</v>
      </c>
      <c r="CB152" s="4">
        <f t="shared" si="10"/>
        <v>9.2613219719055451E-3</v>
      </c>
      <c r="CC152" s="4">
        <f t="shared" si="10"/>
        <v>8.8161038394651836E-3</v>
      </c>
      <c r="CD152" s="4">
        <f t="shared" si="9"/>
        <v>8.8161051701809434E-3</v>
      </c>
      <c r="CE152" s="4">
        <f t="shared" si="9"/>
        <v>8.8161017602244041E-3</v>
      </c>
      <c r="CF152" s="4">
        <f t="shared" si="9"/>
        <v>8.8160868143509763E-3</v>
      </c>
      <c r="CH152">
        <v>410335</v>
      </c>
    </row>
    <row r="153" spans="1:86" x14ac:dyDescent="0.25">
      <c r="A153" s="2">
        <v>151</v>
      </c>
      <c r="B153" s="3" t="s">
        <v>186</v>
      </c>
      <c r="C153" t="s">
        <v>186</v>
      </c>
      <c r="D153" t="s">
        <v>7</v>
      </c>
      <c r="E153">
        <v>1</v>
      </c>
      <c r="F153">
        <v>5327827</v>
      </c>
      <c r="G153">
        <v>5434294</v>
      </c>
      <c r="H153">
        <v>5573815</v>
      </c>
      <c r="I153">
        <v>5694247</v>
      </c>
      <c r="J153">
        <v>5789228</v>
      </c>
      <c r="K153">
        <v>5856472</v>
      </c>
      <c r="L153">
        <v>5918002</v>
      </c>
      <c r="M153">
        <v>5991785</v>
      </c>
      <c r="N153">
        <v>6067714</v>
      </c>
      <c r="O153">
        <v>6136387</v>
      </c>
      <c r="P153">
        <v>6180877</v>
      </c>
      <c r="Q153">
        <v>6213399</v>
      </c>
      <c r="R153">
        <v>6260956</v>
      </c>
      <c r="S153">
        <v>6307347</v>
      </c>
      <c r="T153">
        <v>6341405</v>
      </c>
      <c r="U153">
        <v>6338632</v>
      </c>
      <c r="V153">
        <v>6302504</v>
      </c>
      <c r="W153">
        <v>6281174</v>
      </c>
      <c r="X153">
        <v>6281738</v>
      </c>
      <c r="Y153">
        <v>6294365</v>
      </c>
      <c r="Z153">
        <v>6319408</v>
      </c>
      <c r="AA153">
        <v>6354074</v>
      </c>
      <c r="AB153">
        <v>6391309</v>
      </c>
      <c r="AC153">
        <v>6418773</v>
      </c>
      <c r="AD153">
        <v>6441865</v>
      </c>
      <c r="AE153">
        <v>6470365</v>
      </c>
      <c r="AF153">
        <v>6504124</v>
      </c>
      <c r="AG153">
        <v>6545106</v>
      </c>
      <c r="AH153">
        <v>6593386</v>
      </c>
      <c r="AI153">
        <v>6646912</v>
      </c>
      <c r="AJ153">
        <v>6715519</v>
      </c>
      <c r="AK153">
        <v>6799978</v>
      </c>
      <c r="AL153">
        <v>6875364</v>
      </c>
      <c r="AM153">
        <v>6938265</v>
      </c>
      <c r="AN153">
        <v>6993795</v>
      </c>
      <c r="AO153">
        <v>7040687</v>
      </c>
      <c r="AP153">
        <v>7071850</v>
      </c>
      <c r="AQ153">
        <v>7088906</v>
      </c>
      <c r="AR153">
        <v>7110001</v>
      </c>
      <c r="AS153">
        <v>7143991</v>
      </c>
      <c r="AT153">
        <v>7184250</v>
      </c>
      <c r="AU153">
        <v>7229854</v>
      </c>
      <c r="AV153">
        <v>7284753</v>
      </c>
      <c r="AW153">
        <v>7339001</v>
      </c>
      <c r="AX153">
        <v>7389625</v>
      </c>
      <c r="AY153">
        <v>7437115</v>
      </c>
      <c r="AZ153">
        <v>7483934</v>
      </c>
      <c r="BA153">
        <v>7551117</v>
      </c>
      <c r="BB153">
        <v>7647675</v>
      </c>
      <c r="BC153">
        <v>7743831</v>
      </c>
      <c r="BD153">
        <v>7824909</v>
      </c>
      <c r="BE153">
        <v>7912398</v>
      </c>
      <c r="BF153">
        <v>7996861</v>
      </c>
      <c r="BG153">
        <v>8089346</v>
      </c>
      <c r="BH153">
        <v>8188649</v>
      </c>
      <c r="BI153">
        <v>8286976</v>
      </c>
      <c r="BJ153">
        <v>8382613</v>
      </c>
      <c r="BK153">
        <v>8479354</v>
      </c>
      <c r="BL153">
        <v>8577212</v>
      </c>
      <c r="BM153">
        <v>8676199</v>
      </c>
      <c r="BN153">
        <v>8776328</v>
      </c>
      <c r="BO153">
        <v>8877613</v>
      </c>
      <c r="BP153">
        <v>8980067</v>
      </c>
      <c r="BQ153">
        <v>1.1540689552207661E-2</v>
      </c>
      <c r="BR153" s="6">
        <f t="shared" si="12"/>
        <v>7996861</v>
      </c>
      <c r="BT153" s="4">
        <f t="shared" si="14"/>
        <v>1.1200642052621834E-2</v>
      </c>
      <c r="BU153" s="4">
        <f t="shared" si="14"/>
        <v>1.1752372040253034E-2</v>
      </c>
      <c r="BV153" s="4">
        <f t="shared" si="14"/>
        <v>1.1224378293975157E-2</v>
      </c>
      <c r="BW153" s="4">
        <f t="shared" si="13"/>
        <v>1.0972602452299363E-2</v>
      </c>
      <c r="BX153" s="4">
        <f t="shared" si="13"/>
        <v>1.142396575396587E-2</v>
      </c>
      <c r="BY153" s="4">
        <f t="shared" si="13"/>
        <v>1.1630673723201257E-2</v>
      </c>
      <c r="BZ153" s="4">
        <f t="shared" si="10"/>
        <v>1.1847277092519759E-2</v>
      </c>
      <c r="CA153" s="4">
        <f t="shared" si="10"/>
        <v>1.1841152992927428E-2</v>
      </c>
      <c r="CB153" s="4">
        <f t="shared" si="10"/>
        <v>1.1657422251525107E-2</v>
      </c>
      <c r="CC153" s="4">
        <f t="shared" si="10"/>
        <v>1.1540686705389547E-2</v>
      </c>
      <c r="CD153" s="4">
        <f t="shared" si="9"/>
        <v>1.1540690099508089E-2</v>
      </c>
      <c r="CE153" s="4">
        <f t="shared" si="9"/>
        <v>1.1540697611742035E-2</v>
      </c>
      <c r="CF153" s="4">
        <f t="shared" si="9"/>
        <v>1.1540691905314038E-2</v>
      </c>
      <c r="CH153">
        <v>39997</v>
      </c>
    </row>
    <row r="154" spans="1:86" x14ac:dyDescent="0.25">
      <c r="A154" s="2">
        <v>152</v>
      </c>
      <c r="B154" s="3" t="s">
        <v>187</v>
      </c>
      <c r="C154" t="s">
        <v>187</v>
      </c>
      <c r="D154" t="s">
        <v>9</v>
      </c>
      <c r="E154">
        <v>1</v>
      </c>
      <c r="F154">
        <v>4592777</v>
      </c>
      <c r="G154">
        <v>4742596</v>
      </c>
      <c r="H154">
        <v>4897428</v>
      </c>
      <c r="I154">
        <v>5057825</v>
      </c>
      <c r="J154">
        <v>5224579</v>
      </c>
      <c r="K154">
        <v>5398333</v>
      </c>
      <c r="L154">
        <v>5579283</v>
      </c>
      <c r="M154">
        <v>5767478</v>
      </c>
      <c r="N154">
        <v>5963248</v>
      </c>
      <c r="O154">
        <v>6166933</v>
      </c>
      <c r="P154">
        <v>6378802</v>
      </c>
      <c r="Q154">
        <v>6599366</v>
      </c>
      <c r="R154">
        <v>6828765</v>
      </c>
      <c r="S154">
        <v>7066474</v>
      </c>
      <c r="T154">
        <v>7311685</v>
      </c>
      <c r="U154">
        <v>7564000</v>
      </c>
      <c r="V154">
        <v>7822610</v>
      </c>
      <c r="W154">
        <v>8088148</v>
      </c>
      <c r="X154">
        <v>8363346</v>
      </c>
      <c r="Y154">
        <v>8651904</v>
      </c>
      <c r="Z154">
        <v>8956156</v>
      </c>
      <c r="AA154">
        <v>9277263</v>
      </c>
      <c r="AB154">
        <v>9613517</v>
      </c>
      <c r="AC154">
        <v>9960833</v>
      </c>
      <c r="AD154">
        <v>10313485</v>
      </c>
      <c r="AE154">
        <v>10667245</v>
      </c>
      <c r="AF154">
        <v>11020718</v>
      </c>
      <c r="AG154">
        <v>11374772</v>
      </c>
      <c r="AH154">
        <v>11730217</v>
      </c>
      <c r="AI154">
        <v>12088714</v>
      </c>
      <c r="AJ154">
        <v>12451539</v>
      </c>
      <c r="AK154">
        <v>12817578</v>
      </c>
      <c r="AL154">
        <v>13186187</v>
      </c>
      <c r="AM154">
        <v>13559642</v>
      </c>
      <c r="AN154">
        <v>13941025</v>
      </c>
      <c r="AO154">
        <v>14331962</v>
      </c>
      <c r="AP154">
        <v>14736209</v>
      </c>
      <c r="AQ154">
        <v>15151962</v>
      </c>
      <c r="AR154">
        <v>15568797</v>
      </c>
      <c r="AS154">
        <v>15972430</v>
      </c>
      <c r="AT154">
        <v>16354050</v>
      </c>
      <c r="AU154">
        <v>16694414</v>
      </c>
      <c r="AV154">
        <v>16997521</v>
      </c>
      <c r="AW154">
        <v>17304339</v>
      </c>
      <c r="AX154">
        <v>17671913</v>
      </c>
      <c r="AY154">
        <v>18132842</v>
      </c>
      <c r="AZ154">
        <v>18728200</v>
      </c>
      <c r="BA154">
        <v>19425597</v>
      </c>
      <c r="BB154">
        <v>20097057</v>
      </c>
      <c r="BC154">
        <v>20566871</v>
      </c>
      <c r="BD154">
        <v>20720602</v>
      </c>
      <c r="BE154">
        <v>20501167</v>
      </c>
      <c r="BF154">
        <v>19978756</v>
      </c>
      <c r="BG154">
        <v>19322593</v>
      </c>
      <c r="BH154">
        <v>18772481</v>
      </c>
      <c r="BI154">
        <v>18502413</v>
      </c>
      <c r="BJ154">
        <v>18088126</v>
      </c>
      <c r="BK154">
        <v>17683115</v>
      </c>
      <c r="BL154">
        <v>17287173</v>
      </c>
      <c r="BM154">
        <v>16900096</v>
      </c>
      <c r="BN154">
        <v>16521686</v>
      </c>
      <c r="BO154">
        <v>16151749</v>
      </c>
      <c r="BP154">
        <v>15790096</v>
      </c>
      <c r="BQ154">
        <v>-2.2390979093397489E-2</v>
      </c>
      <c r="BR154" s="6">
        <f t="shared" si="12"/>
        <v>19978756</v>
      </c>
      <c r="BT154" s="4">
        <f t="shared" si="14"/>
        <v>2.5596623975908228E-2</v>
      </c>
      <c r="BU154" s="4">
        <f t="shared" si="14"/>
        <v>1.3563709178594063E-2</v>
      </c>
      <c r="BV154" s="4">
        <f t="shared" si="14"/>
        <v>-1.4748806465980646E-3</v>
      </c>
      <c r="BW154" s="4">
        <f t="shared" si="13"/>
        <v>-1.5480561033572315E-2</v>
      </c>
      <c r="BX154" s="4">
        <f t="shared" si="13"/>
        <v>-2.4381951132850799E-2</v>
      </c>
      <c r="BY154" s="4">
        <f t="shared" si="13"/>
        <v>-2.5319119719279803E-2</v>
      </c>
      <c r="BZ154" s="4">
        <f t="shared" si="10"/>
        <v>-2.4547147811396886E-2</v>
      </c>
      <c r="CA154" s="4">
        <f t="shared" si="10"/>
        <v>-2.1922335835433349E-2</v>
      </c>
      <c r="CB154" s="4">
        <f t="shared" si="10"/>
        <v>-2.0395940491333198E-2</v>
      </c>
      <c r="CC154" s="4">
        <f t="shared" si="10"/>
        <v>-2.2390979488148055E-2</v>
      </c>
      <c r="CD154" s="4">
        <f t="shared" si="9"/>
        <v>-2.2390985909613748E-2</v>
      </c>
      <c r="CE154" s="4">
        <f t="shared" si="9"/>
        <v>-2.2390988000584588E-2</v>
      </c>
      <c r="CF154" s="4">
        <f t="shared" si="9"/>
        <v>-2.2390984312500195E-2</v>
      </c>
      <c r="CH154">
        <v>183630</v>
      </c>
    </row>
    <row r="155" spans="1:86" x14ac:dyDescent="0.25">
      <c r="A155" s="2">
        <v>153</v>
      </c>
      <c r="B155" s="3" t="s">
        <v>188</v>
      </c>
      <c r="C155" t="s">
        <v>188</v>
      </c>
      <c r="D155" t="s">
        <v>25</v>
      </c>
      <c r="E155">
        <v>1</v>
      </c>
      <c r="F155">
        <v>2064035</v>
      </c>
      <c r="G155">
        <v>2140413</v>
      </c>
      <c r="H155">
        <v>2223956</v>
      </c>
      <c r="I155">
        <v>2312193</v>
      </c>
      <c r="J155">
        <v>2401598</v>
      </c>
      <c r="K155">
        <v>2489648</v>
      </c>
      <c r="L155">
        <v>2575335</v>
      </c>
      <c r="M155">
        <v>2659452</v>
      </c>
      <c r="N155">
        <v>2743461</v>
      </c>
      <c r="O155">
        <v>2829641</v>
      </c>
      <c r="P155">
        <v>2919586</v>
      </c>
      <c r="Q155">
        <v>3013956</v>
      </c>
      <c r="R155">
        <v>3112041</v>
      </c>
      <c r="S155">
        <v>3212446</v>
      </c>
      <c r="T155">
        <v>3313144</v>
      </c>
      <c r="U155">
        <v>3412819</v>
      </c>
      <c r="V155">
        <v>3511050</v>
      </c>
      <c r="W155">
        <v>3608761</v>
      </c>
      <c r="X155">
        <v>3707624</v>
      </c>
      <c r="Y155">
        <v>3809991</v>
      </c>
      <c r="Z155">
        <v>3917642</v>
      </c>
      <c r="AA155">
        <v>4030104</v>
      </c>
      <c r="AB155">
        <v>4146923</v>
      </c>
      <c r="AC155">
        <v>4269775</v>
      </c>
      <c r="AD155">
        <v>4400743</v>
      </c>
      <c r="AE155">
        <v>4540688</v>
      </c>
      <c r="AF155">
        <v>4690913</v>
      </c>
      <c r="AG155">
        <v>4849253</v>
      </c>
      <c r="AH155">
        <v>5008827</v>
      </c>
      <c r="AI155">
        <v>5160375</v>
      </c>
      <c r="AJ155">
        <v>5297286</v>
      </c>
      <c r="AK155">
        <v>5417554</v>
      </c>
      <c r="AL155">
        <v>5523207</v>
      </c>
      <c r="AM155">
        <v>5616797</v>
      </c>
      <c r="AN155">
        <v>5702611</v>
      </c>
      <c r="AO155">
        <v>5784330</v>
      </c>
      <c r="AP155">
        <v>5862224</v>
      </c>
      <c r="AQ155">
        <v>5936780</v>
      </c>
      <c r="AR155">
        <v>6012308</v>
      </c>
      <c r="AS155">
        <v>6094126</v>
      </c>
      <c r="AT155">
        <v>6186152</v>
      </c>
      <c r="AU155">
        <v>6290413</v>
      </c>
      <c r="AV155">
        <v>6406518</v>
      </c>
      <c r="AW155">
        <v>6532871</v>
      </c>
      <c r="AX155">
        <v>6666628</v>
      </c>
      <c r="AY155">
        <v>6805655</v>
      </c>
      <c r="AZ155">
        <v>6949566</v>
      </c>
      <c r="BA155">
        <v>7099021</v>
      </c>
      <c r="BB155">
        <v>7254072</v>
      </c>
      <c r="BC155">
        <v>7414960</v>
      </c>
      <c r="BD155">
        <v>7581696</v>
      </c>
      <c r="BE155">
        <v>7753925</v>
      </c>
      <c r="BF155">
        <v>7930929</v>
      </c>
      <c r="BG155">
        <v>8111894</v>
      </c>
      <c r="BH155">
        <v>8295840</v>
      </c>
      <c r="BI155">
        <v>8481855</v>
      </c>
      <c r="BJ155">
        <v>8674326</v>
      </c>
      <c r="BK155">
        <v>8871165</v>
      </c>
      <c r="BL155">
        <v>9072470</v>
      </c>
      <c r="BM155">
        <v>9278343</v>
      </c>
      <c r="BN155">
        <v>9488888</v>
      </c>
      <c r="BO155">
        <v>9704211</v>
      </c>
      <c r="BP155">
        <v>9924420</v>
      </c>
      <c r="BQ155">
        <v>2.2692086460610827E-2</v>
      </c>
      <c r="BR155" s="6">
        <f t="shared" si="12"/>
        <v>7930929</v>
      </c>
      <c r="BT155" s="4">
        <f t="shared" si="14"/>
        <v>2.2003000243511428E-2</v>
      </c>
      <c r="BU155" s="4">
        <f t="shared" si="14"/>
        <v>2.2305703538914257E-2</v>
      </c>
      <c r="BV155" s="4">
        <f t="shared" si="14"/>
        <v>2.2552347393895555E-2</v>
      </c>
      <c r="BW155" s="4">
        <f t="shared" si="13"/>
        <v>2.2712027860910755E-2</v>
      </c>
      <c r="BX155" s="4">
        <f t="shared" si="13"/>
        <v>2.2759448131461024E-2</v>
      </c>
      <c r="BY155" s="4">
        <f t="shared" si="13"/>
        <v>2.2686002857873477E-2</v>
      </c>
      <c r="BZ155" s="4">
        <f t="shared" si="10"/>
        <v>2.2652111690987686E-2</v>
      </c>
      <c r="CA155" s="4">
        <f t="shared" si="10"/>
        <v>2.2620742357899459E-2</v>
      </c>
      <c r="CB155" s="4">
        <f t="shared" si="10"/>
        <v>2.2624735564166443E-2</v>
      </c>
      <c r="CC155" s="4">
        <f t="shared" si="10"/>
        <v>2.269208525810873E-2</v>
      </c>
      <c r="CD155" s="4">
        <f t="shared" si="9"/>
        <v>2.2692085910676729E-2</v>
      </c>
      <c r="CE155" s="4">
        <f t="shared" si="9"/>
        <v>2.2692081877938808E-2</v>
      </c>
      <c r="CF155" s="4">
        <f t="shared" si="9"/>
        <v>2.2692094011298458E-2</v>
      </c>
      <c r="CH155">
        <v>141510</v>
      </c>
    </row>
    <row r="156" spans="1:86" x14ac:dyDescent="0.25">
      <c r="A156" s="2">
        <v>154</v>
      </c>
      <c r="B156" s="3" t="s">
        <v>189</v>
      </c>
      <c r="C156" t="s">
        <v>189</v>
      </c>
      <c r="D156" t="s">
        <v>14</v>
      </c>
      <c r="E156">
        <v>1</v>
      </c>
      <c r="F156">
        <v>10074490</v>
      </c>
      <c r="G156">
        <v>10373380</v>
      </c>
      <c r="H156">
        <v>10683888</v>
      </c>
      <c r="I156">
        <v>11005882</v>
      </c>
      <c r="J156">
        <v>11339076</v>
      </c>
      <c r="K156">
        <v>11683511</v>
      </c>
      <c r="L156">
        <v>12038886</v>
      </c>
      <c r="M156">
        <v>12406040</v>
      </c>
      <c r="N156">
        <v>12787494</v>
      </c>
      <c r="O156">
        <v>13186560</v>
      </c>
      <c r="P156">
        <v>13605504</v>
      </c>
      <c r="Q156">
        <v>14045757</v>
      </c>
      <c r="R156">
        <v>14506496</v>
      </c>
      <c r="S156">
        <v>14984973</v>
      </c>
      <c r="T156">
        <v>15477155</v>
      </c>
      <c r="U156">
        <v>15980265</v>
      </c>
      <c r="V156">
        <v>16493435</v>
      </c>
      <c r="W156">
        <v>17018013</v>
      </c>
      <c r="X156">
        <v>17556148</v>
      </c>
      <c r="Y156">
        <v>18110990</v>
      </c>
      <c r="Z156">
        <v>18684893</v>
      </c>
      <c r="AA156">
        <v>19279543</v>
      </c>
      <c r="AB156">
        <v>19894677</v>
      </c>
      <c r="AC156">
        <v>20528465</v>
      </c>
      <c r="AD156">
        <v>21178079</v>
      </c>
      <c r="AE156">
        <v>21842087</v>
      </c>
      <c r="AF156">
        <v>22516809</v>
      </c>
      <c r="AG156">
        <v>23204186</v>
      </c>
      <c r="AH156">
        <v>23914852</v>
      </c>
      <c r="AI156">
        <v>24663284</v>
      </c>
      <c r="AJ156">
        <v>25458208</v>
      </c>
      <c r="AK156">
        <v>26307482</v>
      </c>
      <c r="AL156">
        <v>27203865</v>
      </c>
      <c r="AM156">
        <v>28122799</v>
      </c>
      <c r="AN156">
        <v>29030288</v>
      </c>
      <c r="AO156">
        <v>29903329</v>
      </c>
      <c r="AP156">
        <v>30733937</v>
      </c>
      <c r="AQ156">
        <v>31533781</v>
      </c>
      <c r="AR156">
        <v>32323953</v>
      </c>
      <c r="AS156">
        <v>33135281</v>
      </c>
      <c r="AT156">
        <v>33991590</v>
      </c>
      <c r="AU156">
        <v>34899062</v>
      </c>
      <c r="AV156">
        <v>35855480</v>
      </c>
      <c r="AW156">
        <v>36866228</v>
      </c>
      <c r="AX156">
        <v>37935334</v>
      </c>
      <c r="AY156">
        <v>39065600</v>
      </c>
      <c r="AZ156">
        <v>40260847</v>
      </c>
      <c r="BA156">
        <v>41522004</v>
      </c>
      <c r="BB156">
        <v>42844744</v>
      </c>
      <c r="BC156">
        <v>44222113</v>
      </c>
      <c r="BD156">
        <v>45648525</v>
      </c>
      <c r="BE156">
        <v>47122998</v>
      </c>
      <c r="BF156">
        <v>48645709</v>
      </c>
      <c r="BG156">
        <v>50213457</v>
      </c>
      <c r="BH156">
        <v>51822621</v>
      </c>
      <c r="BI156">
        <v>53470420</v>
      </c>
      <c r="BJ156">
        <v>55188802</v>
      </c>
      <c r="BK156">
        <v>56962407</v>
      </c>
      <c r="BL156">
        <v>58793011</v>
      </c>
      <c r="BM156">
        <v>60682445</v>
      </c>
      <c r="BN156">
        <v>62632600</v>
      </c>
      <c r="BO156">
        <v>64645427</v>
      </c>
      <c r="BP156">
        <v>66722941</v>
      </c>
      <c r="BQ156">
        <v>3.2137053136925386E-2</v>
      </c>
      <c r="BR156" s="6">
        <f t="shared" si="12"/>
        <v>48645709</v>
      </c>
      <c r="BT156" s="4">
        <f t="shared" si="14"/>
        <v>3.1896074829276255E-2</v>
      </c>
      <c r="BU156" s="4">
        <f t="shared" si="14"/>
        <v>3.2140101001423282E-2</v>
      </c>
      <c r="BV156" s="4">
        <f t="shared" si="14"/>
        <v>3.2254408514317934E-2</v>
      </c>
      <c r="BW156" s="4">
        <f t="shared" si="13"/>
        <v>3.2274401974133449E-2</v>
      </c>
      <c r="BX156" s="4">
        <f t="shared" si="13"/>
        <v>3.2222107482291484E-2</v>
      </c>
      <c r="BY156" s="4">
        <f t="shared" si="13"/>
        <v>3.2096180033522659E-2</v>
      </c>
      <c r="BZ156" s="4">
        <f t="shared" si="10"/>
        <v>3.2052065415133058E-2</v>
      </c>
      <c r="CA156" s="4">
        <f t="shared" si="10"/>
        <v>3.2029360093968284E-2</v>
      </c>
      <c r="CB156" s="4">
        <f t="shared" si="10"/>
        <v>3.2052005409632045E-2</v>
      </c>
      <c r="CC156" s="4">
        <f t="shared" si="10"/>
        <v>3.2137052242294351E-2</v>
      </c>
      <c r="CD156" s="4">
        <f t="shared" si="9"/>
        <v>3.2137051141359008E-2</v>
      </c>
      <c r="CE156" s="4">
        <f t="shared" si="9"/>
        <v>3.2137052460585958E-2</v>
      </c>
      <c r="CF156" s="4">
        <f t="shared" si="9"/>
        <v>3.2137053870571197E-2</v>
      </c>
      <c r="CH156">
        <v>885800</v>
      </c>
    </row>
    <row r="157" spans="1:86" x14ac:dyDescent="0.25">
      <c r="A157" s="2">
        <v>155</v>
      </c>
      <c r="B157" s="3" t="s">
        <v>190</v>
      </c>
      <c r="C157" t="s">
        <v>190</v>
      </c>
      <c r="D157" t="s">
        <v>25</v>
      </c>
      <c r="E157">
        <v>1</v>
      </c>
      <c r="F157">
        <v>27397178</v>
      </c>
      <c r="G157">
        <v>28224208</v>
      </c>
      <c r="H157">
        <v>29081037</v>
      </c>
      <c r="I157">
        <v>29967043</v>
      </c>
      <c r="J157">
        <v>30881332</v>
      </c>
      <c r="K157">
        <v>31822798</v>
      </c>
      <c r="L157">
        <v>32789097</v>
      </c>
      <c r="M157">
        <v>33778500</v>
      </c>
      <c r="N157">
        <v>34790945</v>
      </c>
      <c r="O157">
        <v>35826803</v>
      </c>
      <c r="P157">
        <v>36884914</v>
      </c>
      <c r="Q157">
        <v>37964925</v>
      </c>
      <c r="R157">
        <v>39061999</v>
      </c>
      <c r="S157">
        <v>40164969</v>
      </c>
      <c r="T157">
        <v>41259539</v>
      </c>
      <c r="U157">
        <v>42334954</v>
      </c>
      <c r="V157">
        <v>43386846</v>
      </c>
      <c r="W157">
        <v>44416007</v>
      </c>
      <c r="X157">
        <v>45423442</v>
      </c>
      <c r="Y157">
        <v>46412310</v>
      </c>
      <c r="Z157">
        <v>47385325</v>
      </c>
      <c r="AA157">
        <v>48336894</v>
      </c>
      <c r="AB157">
        <v>49265597</v>
      </c>
      <c r="AC157">
        <v>50183106</v>
      </c>
      <c r="AD157">
        <v>51105438</v>
      </c>
      <c r="AE157">
        <v>52041468</v>
      </c>
      <c r="AF157">
        <v>53002775</v>
      </c>
      <c r="AG157">
        <v>53979503</v>
      </c>
      <c r="AH157">
        <v>54933561</v>
      </c>
      <c r="AI157">
        <v>55812794</v>
      </c>
      <c r="AJ157">
        <v>56582824</v>
      </c>
      <c r="AK157">
        <v>57225972</v>
      </c>
      <c r="AL157">
        <v>57761574</v>
      </c>
      <c r="AM157">
        <v>58237672</v>
      </c>
      <c r="AN157">
        <v>58722767</v>
      </c>
      <c r="AO157">
        <v>59266089</v>
      </c>
      <c r="AP157">
        <v>59878955</v>
      </c>
      <c r="AQ157">
        <v>60544937</v>
      </c>
      <c r="AR157">
        <v>61250974</v>
      </c>
      <c r="AS157">
        <v>61973957</v>
      </c>
      <c r="AT157">
        <v>62693322</v>
      </c>
      <c r="AU157">
        <v>63415174</v>
      </c>
      <c r="AV157">
        <v>64136669</v>
      </c>
      <c r="AW157">
        <v>64817254</v>
      </c>
      <c r="AX157">
        <v>65404522</v>
      </c>
      <c r="AY157">
        <v>65863973</v>
      </c>
      <c r="AZ157">
        <v>66174486</v>
      </c>
      <c r="BA157">
        <v>66353572</v>
      </c>
      <c r="BB157">
        <v>66453255</v>
      </c>
      <c r="BC157">
        <v>66548197</v>
      </c>
      <c r="BD157">
        <v>66692024</v>
      </c>
      <c r="BE157">
        <v>66902958</v>
      </c>
      <c r="BF157">
        <v>67164130</v>
      </c>
      <c r="BG157">
        <v>67451422</v>
      </c>
      <c r="BH157">
        <v>67725979</v>
      </c>
      <c r="BI157">
        <v>67959359</v>
      </c>
      <c r="BJ157">
        <v>68215701</v>
      </c>
      <c r="BK157">
        <v>68473010</v>
      </c>
      <c r="BL157">
        <v>68731290</v>
      </c>
      <c r="BM157">
        <v>68990544</v>
      </c>
      <c r="BN157">
        <v>69250776</v>
      </c>
      <c r="BO157">
        <v>69511990</v>
      </c>
      <c r="BP157">
        <v>69774189</v>
      </c>
      <c r="BQ157">
        <v>3.7719959738113928E-3</v>
      </c>
      <c r="BR157" s="6">
        <f t="shared" si="12"/>
        <v>67164130</v>
      </c>
      <c r="BT157" s="4">
        <f t="shared" si="14"/>
        <v>1.9494939878377249E-3</v>
      </c>
      <c r="BU157" s="4">
        <f t="shared" si="14"/>
        <v>2.0635227272749468E-3</v>
      </c>
      <c r="BV157" s="4">
        <f t="shared" si="14"/>
        <v>2.6636805843727185E-3</v>
      </c>
      <c r="BW157" s="4">
        <f t="shared" si="13"/>
        <v>3.3759890206779275E-3</v>
      </c>
      <c r="BX157" s="4">
        <f t="shared" si="13"/>
        <v>3.8535252649130047E-3</v>
      </c>
      <c r="BY157" s="4">
        <f t="shared" si="13"/>
        <v>3.9243510131143911E-3</v>
      </c>
      <c r="BZ157" s="4">
        <f t="shared" si="10"/>
        <v>3.8914102107663329E-3</v>
      </c>
      <c r="CA157" s="4">
        <f t="shared" si="10"/>
        <v>3.7650672024420739E-3</v>
      </c>
      <c r="CB157" s="4">
        <f t="shared" si="10"/>
        <v>3.6904707463181197E-3</v>
      </c>
      <c r="CC157" s="4">
        <f t="shared" si="10"/>
        <v>3.7719928731738683E-3</v>
      </c>
      <c r="CD157" s="4">
        <f t="shared" si="9"/>
        <v>3.7719942531966311E-3</v>
      </c>
      <c r="CE157" s="4">
        <f t="shared" si="9"/>
        <v>3.7719968039655605E-3</v>
      </c>
      <c r="CF157" s="4">
        <f t="shared" si="9"/>
        <v>3.7719966974349983E-3</v>
      </c>
      <c r="CH157">
        <v>510890</v>
      </c>
    </row>
    <row r="158" spans="1:86" x14ac:dyDescent="0.25">
      <c r="A158" s="2">
        <v>156</v>
      </c>
      <c r="B158" s="3" t="s">
        <v>191</v>
      </c>
      <c r="C158" t="s">
        <v>191</v>
      </c>
      <c r="D158" t="s">
        <v>14</v>
      </c>
      <c r="E158">
        <v>1</v>
      </c>
      <c r="F158">
        <v>1580513</v>
      </c>
      <c r="G158">
        <v>1597528</v>
      </c>
      <c r="H158">
        <v>1612758</v>
      </c>
      <c r="I158">
        <v>1631763</v>
      </c>
      <c r="J158">
        <v>1662072</v>
      </c>
      <c r="K158">
        <v>1708632</v>
      </c>
      <c r="L158">
        <v>1774029</v>
      </c>
      <c r="M158">
        <v>1855445</v>
      </c>
      <c r="N158">
        <v>1945781</v>
      </c>
      <c r="O158">
        <v>2034909</v>
      </c>
      <c r="P158">
        <v>2115521</v>
      </c>
      <c r="Q158">
        <v>2185661</v>
      </c>
      <c r="R158">
        <v>2247575</v>
      </c>
      <c r="S158">
        <v>2303345</v>
      </c>
      <c r="T158">
        <v>2356623</v>
      </c>
      <c r="U158">
        <v>2410446</v>
      </c>
      <c r="V158">
        <v>2464457</v>
      </c>
      <c r="W158">
        <v>2518566</v>
      </c>
      <c r="X158">
        <v>2576468</v>
      </c>
      <c r="Y158">
        <v>2642845</v>
      </c>
      <c r="Z158">
        <v>2720838</v>
      </c>
      <c r="AA158">
        <v>2812071</v>
      </c>
      <c r="AB158">
        <v>2915148</v>
      </c>
      <c r="AC158">
        <v>3026378</v>
      </c>
      <c r="AD158">
        <v>3140355</v>
      </c>
      <c r="AE158">
        <v>3252995</v>
      </c>
      <c r="AF158">
        <v>3363448</v>
      </c>
      <c r="AG158">
        <v>3472459</v>
      </c>
      <c r="AH158">
        <v>3579489</v>
      </c>
      <c r="AI158">
        <v>3684309</v>
      </c>
      <c r="AJ158">
        <v>3786942</v>
      </c>
      <c r="AK158">
        <v>3886858</v>
      </c>
      <c r="AL158">
        <v>3984356</v>
      </c>
      <c r="AM158">
        <v>4081398</v>
      </c>
      <c r="AN158">
        <v>4180689</v>
      </c>
      <c r="AO158">
        <v>4284286</v>
      </c>
      <c r="AP158">
        <v>4392941</v>
      </c>
      <c r="AQ158">
        <v>4506465</v>
      </c>
      <c r="AR158">
        <v>4624826</v>
      </c>
      <c r="AS158">
        <v>4747665</v>
      </c>
      <c r="AT158">
        <v>4874735</v>
      </c>
      <c r="AU158">
        <v>5006223</v>
      </c>
      <c r="AV158">
        <v>5142419</v>
      </c>
      <c r="AW158">
        <v>5283246</v>
      </c>
      <c r="AX158">
        <v>5428552</v>
      </c>
      <c r="AY158">
        <v>5578219</v>
      </c>
      <c r="AZ158">
        <v>5732175</v>
      </c>
      <c r="BA158">
        <v>5890414</v>
      </c>
      <c r="BB158">
        <v>6052937</v>
      </c>
      <c r="BC158">
        <v>6219761</v>
      </c>
      <c r="BD158">
        <v>6390851</v>
      </c>
      <c r="BE158">
        <v>6566179</v>
      </c>
      <c r="BF158">
        <v>6745581</v>
      </c>
      <c r="BG158">
        <v>6928719</v>
      </c>
      <c r="BH158">
        <v>7115163</v>
      </c>
      <c r="BI158">
        <v>7304578</v>
      </c>
      <c r="BJ158">
        <v>7502438</v>
      </c>
      <c r="BK158">
        <v>7705658</v>
      </c>
      <c r="BL158">
        <v>7914382</v>
      </c>
      <c r="BM158">
        <v>8128760</v>
      </c>
      <c r="BN158">
        <v>8348945</v>
      </c>
      <c r="BO158">
        <v>8575094</v>
      </c>
      <c r="BP158">
        <v>8807369</v>
      </c>
      <c r="BQ158">
        <v>2.7087131046221513E-2</v>
      </c>
      <c r="BR158" s="6">
        <f t="shared" si="12"/>
        <v>6745581</v>
      </c>
      <c r="BT158" s="4">
        <f t="shared" si="14"/>
        <v>2.7566205743702943E-2</v>
      </c>
      <c r="BU158" s="4">
        <f t="shared" si="14"/>
        <v>2.752340851157542E-2</v>
      </c>
      <c r="BV158" s="4">
        <f t="shared" si="14"/>
        <v>2.7456164056231636E-2</v>
      </c>
      <c r="BW158" s="4">
        <f t="shared" si="13"/>
        <v>2.7353282577341043E-2</v>
      </c>
      <c r="BX158" s="4">
        <f t="shared" si="13"/>
        <v>2.7203617920487311E-2</v>
      </c>
      <c r="BY158" s="4">
        <f t="shared" si="13"/>
        <v>2.7000377612040438E-2</v>
      </c>
      <c r="BZ158" s="4">
        <f t="shared" si="10"/>
        <v>2.6941638986632821E-2</v>
      </c>
      <c r="CA158" s="4">
        <f t="shared" si="10"/>
        <v>2.6926108160071127E-2</v>
      </c>
      <c r="CB158" s="4">
        <f t="shared" si="10"/>
        <v>2.697066577565832E-2</v>
      </c>
      <c r="CC158" s="4">
        <f t="shared" si="10"/>
        <v>2.7087142524544472E-2</v>
      </c>
      <c r="CD158" s="4">
        <f t="shared" si="10"/>
        <v>2.7087151169829848E-2</v>
      </c>
      <c r="CE158" s="4">
        <f t="shared" si="10"/>
        <v>2.7087136196206174E-2</v>
      </c>
      <c r="CF158" s="4">
        <f t="shared" si="10"/>
        <v>2.7087150542759675E-2</v>
      </c>
      <c r="CH158">
        <v>54385</v>
      </c>
    </row>
    <row r="159" spans="1:86" x14ac:dyDescent="0.25">
      <c r="A159" s="2">
        <v>157</v>
      </c>
      <c r="B159" s="3" t="s">
        <v>192</v>
      </c>
      <c r="C159" t="s">
        <v>192</v>
      </c>
      <c r="D159" t="s">
        <v>9</v>
      </c>
      <c r="E159">
        <v>1</v>
      </c>
      <c r="F159">
        <v>4220701</v>
      </c>
      <c r="G159">
        <v>4277371</v>
      </c>
      <c r="H159">
        <v>4350811</v>
      </c>
      <c r="I159">
        <v>4436643</v>
      </c>
      <c r="J159">
        <v>4530835</v>
      </c>
      <c r="K159">
        <v>4630000</v>
      </c>
      <c r="L159">
        <v>4731395</v>
      </c>
      <c r="M159">
        <v>4832923</v>
      </c>
      <c r="N159">
        <v>4933131</v>
      </c>
      <c r="O159">
        <v>5031211</v>
      </c>
      <c r="P159">
        <v>5127000</v>
      </c>
      <c r="Q159">
        <v>5208154</v>
      </c>
      <c r="R159">
        <v>5294325</v>
      </c>
      <c r="S159">
        <v>5388709</v>
      </c>
      <c r="T159">
        <v>5493722</v>
      </c>
      <c r="U159">
        <v>5611000</v>
      </c>
      <c r="V159">
        <v>5742339</v>
      </c>
      <c r="W159">
        <v>5889693</v>
      </c>
      <c r="X159">
        <v>6049539</v>
      </c>
      <c r="Y159">
        <v>6215690</v>
      </c>
      <c r="Z159">
        <v>6384000</v>
      </c>
      <c r="AA159">
        <v>6555185</v>
      </c>
      <c r="AB159">
        <v>6729178</v>
      </c>
      <c r="AC159">
        <v>6905136</v>
      </c>
      <c r="AD159">
        <v>7042550</v>
      </c>
      <c r="AE159">
        <v>7260361</v>
      </c>
      <c r="AF159">
        <v>7492633</v>
      </c>
      <c r="AG159">
        <v>7684751</v>
      </c>
      <c r="AH159">
        <v>7857619</v>
      </c>
      <c r="AI159">
        <v>7958694</v>
      </c>
      <c r="AJ159">
        <v>8154400</v>
      </c>
      <c r="AK159">
        <v>8318200</v>
      </c>
      <c r="AL159">
        <v>8489900</v>
      </c>
      <c r="AM159">
        <v>8572200</v>
      </c>
      <c r="AN159">
        <v>8785700</v>
      </c>
      <c r="AO159">
        <v>8957500</v>
      </c>
      <c r="AP159">
        <v>9089300</v>
      </c>
      <c r="AQ159">
        <v>9214900</v>
      </c>
      <c r="AR159">
        <v>9333300</v>
      </c>
      <c r="AS159">
        <v>9455900</v>
      </c>
      <c r="AT159">
        <v>9552500</v>
      </c>
      <c r="AU159">
        <v>9650600</v>
      </c>
      <c r="AV159">
        <v>9748900</v>
      </c>
      <c r="AW159">
        <v>9839800</v>
      </c>
      <c r="AX159">
        <v>9932400</v>
      </c>
      <c r="AY159">
        <v>10029000</v>
      </c>
      <c r="AZ159">
        <v>10127900</v>
      </c>
      <c r="BA159">
        <v>10225100</v>
      </c>
      <c r="BB159">
        <v>10328900</v>
      </c>
      <c r="BC159">
        <v>10439600</v>
      </c>
      <c r="BD159">
        <v>10547100</v>
      </c>
      <c r="BE159">
        <v>10673800</v>
      </c>
      <c r="BF159">
        <v>10777500</v>
      </c>
      <c r="BG159">
        <v>10886500</v>
      </c>
      <c r="BH159">
        <v>10996600</v>
      </c>
      <c r="BI159">
        <v>11107800</v>
      </c>
      <c r="BJ159">
        <v>11223467</v>
      </c>
      <c r="BK159">
        <v>11340339</v>
      </c>
      <c r="BL159">
        <v>11458428</v>
      </c>
      <c r="BM159">
        <v>11577747</v>
      </c>
      <c r="BN159">
        <v>11698308</v>
      </c>
      <c r="BO159">
        <v>11820124</v>
      </c>
      <c r="BP159">
        <v>11943209</v>
      </c>
      <c r="BQ159">
        <v>1.0413168295918096E-2</v>
      </c>
      <c r="BR159" s="6">
        <f t="shared" si="12"/>
        <v>10777500</v>
      </c>
      <c r="BT159" s="4">
        <f t="shared" si="14"/>
        <v>1.0190813453693215E-2</v>
      </c>
      <c r="BU159" s="4">
        <f t="shared" si="14"/>
        <v>1.0794509515646311E-2</v>
      </c>
      <c r="BV159" s="4">
        <f t="shared" si="14"/>
        <v>1.068539441588956E-2</v>
      </c>
      <c r="BW159" s="4">
        <f t="shared" si="13"/>
        <v>1.053440571578812E-2</v>
      </c>
      <c r="BX159" s="4">
        <f t="shared" si="13"/>
        <v>1.0488420253231379E-2</v>
      </c>
      <c r="BY159" s="4">
        <f t="shared" si="13"/>
        <v>1.0013660395503665E-2</v>
      </c>
      <c r="BZ159" s="4">
        <f t="shared" si="10"/>
        <v>1.0188105545751336E-2</v>
      </c>
      <c r="CA159" s="4">
        <f t="shared" si="10"/>
        <v>1.0262982456785918E-2</v>
      </c>
      <c r="CB159" s="4">
        <f t="shared" si="10"/>
        <v>1.0337919590663658E-2</v>
      </c>
      <c r="CC159" s="4">
        <f t="shared" si="10"/>
        <v>1.0413175998097879E-2</v>
      </c>
      <c r="CD159" s="4">
        <f t="shared" si="10"/>
        <v>1.0413184189083546E-2</v>
      </c>
      <c r="CE159" s="4">
        <f t="shared" si="10"/>
        <v>1.0413171247855013E-2</v>
      </c>
      <c r="CF159" s="4">
        <f t="shared" si="10"/>
        <v>1.0413169387981647E-2</v>
      </c>
      <c r="CH159">
        <v>155360</v>
      </c>
    </row>
    <row r="160" spans="1:86" x14ac:dyDescent="0.25">
      <c r="A160" s="2">
        <v>158</v>
      </c>
      <c r="B160" s="3" t="s">
        <v>193</v>
      </c>
      <c r="C160" t="s">
        <v>193</v>
      </c>
      <c r="D160" t="s">
        <v>7</v>
      </c>
      <c r="E160">
        <v>1</v>
      </c>
      <c r="F160">
        <v>27553280</v>
      </c>
      <c r="G160">
        <v>28229291</v>
      </c>
      <c r="H160">
        <v>28909985</v>
      </c>
      <c r="I160">
        <v>29597047</v>
      </c>
      <c r="J160">
        <v>30292969</v>
      </c>
      <c r="K160">
        <v>31000167</v>
      </c>
      <c r="L160">
        <v>31718266</v>
      </c>
      <c r="M160">
        <v>32448404</v>
      </c>
      <c r="N160">
        <v>33196289</v>
      </c>
      <c r="O160">
        <v>33969201</v>
      </c>
      <c r="P160">
        <v>34772031</v>
      </c>
      <c r="Q160">
        <v>35608079</v>
      </c>
      <c r="R160">
        <v>36475356</v>
      </c>
      <c r="S160">
        <v>37366922</v>
      </c>
      <c r="T160">
        <v>38272701</v>
      </c>
      <c r="U160">
        <v>39185637</v>
      </c>
      <c r="V160">
        <v>40100696</v>
      </c>
      <c r="W160">
        <v>41020211</v>
      </c>
      <c r="X160">
        <v>41953105</v>
      </c>
      <c r="Y160">
        <v>42912350</v>
      </c>
      <c r="Z160">
        <v>43905790</v>
      </c>
      <c r="AA160">
        <v>44936836</v>
      </c>
      <c r="AB160">
        <v>45997940</v>
      </c>
      <c r="AC160">
        <v>47072603</v>
      </c>
      <c r="AD160">
        <v>48138191</v>
      </c>
      <c r="AE160">
        <v>49178079</v>
      </c>
      <c r="AF160">
        <v>50187091</v>
      </c>
      <c r="AG160">
        <v>51168841</v>
      </c>
      <c r="AH160">
        <v>52126497</v>
      </c>
      <c r="AI160">
        <v>53066569</v>
      </c>
      <c r="AJ160">
        <v>53994605</v>
      </c>
      <c r="AK160">
        <v>54909508</v>
      </c>
      <c r="AL160">
        <v>55811134</v>
      </c>
      <c r="AM160">
        <v>56707454</v>
      </c>
      <c r="AN160">
        <v>57608769</v>
      </c>
      <c r="AO160">
        <v>58522320</v>
      </c>
      <c r="AP160">
        <v>59451488</v>
      </c>
      <c r="AQ160">
        <v>60394104</v>
      </c>
      <c r="AR160">
        <v>61344874</v>
      </c>
      <c r="AS160">
        <v>62295617</v>
      </c>
      <c r="AT160">
        <v>63240157</v>
      </c>
      <c r="AU160">
        <v>64182694</v>
      </c>
      <c r="AV160">
        <v>65125766</v>
      </c>
      <c r="AW160">
        <v>66060121</v>
      </c>
      <c r="AX160">
        <v>66973561</v>
      </c>
      <c r="AY160">
        <v>67860617</v>
      </c>
      <c r="AZ160">
        <v>68704721</v>
      </c>
      <c r="BA160">
        <v>69515492</v>
      </c>
      <c r="BB160">
        <v>70344357</v>
      </c>
      <c r="BC160">
        <v>71261307</v>
      </c>
      <c r="BD160">
        <v>72310416</v>
      </c>
      <c r="BE160">
        <v>73517002</v>
      </c>
      <c r="BF160">
        <v>74849187</v>
      </c>
      <c r="BG160">
        <v>76223639</v>
      </c>
      <c r="BH160">
        <v>77523788</v>
      </c>
      <c r="BI160">
        <v>78665830</v>
      </c>
      <c r="BJ160">
        <v>80002431</v>
      </c>
      <c r="BK160">
        <v>81361742</v>
      </c>
      <c r="BL160">
        <v>82744149</v>
      </c>
      <c r="BM160">
        <v>84150044</v>
      </c>
      <c r="BN160">
        <v>85579826</v>
      </c>
      <c r="BO160">
        <v>87033902</v>
      </c>
      <c r="BP160">
        <v>88512684</v>
      </c>
      <c r="BQ160">
        <v>1.6990869455140611E-2</v>
      </c>
      <c r="BR160" s="6">
        <f t="shared" si="12"/>
        <v>74849187</v>
      </c>
      <c r="BT160" s="4">
        <f t="shared" si="14"/>
        <v>1.2869677874326912E-2</v>
      </c>
      <c r="BU160" s="4">
        <f t="shared" si="14"/>
        <v>1.4090109137346207E-2</v>
      </c>
      <c r="BV160" s="4">
        <f t="shared" si="14"/>
        <v>1.5639202552536924E-2</v>
      </c>
      <c r="BW160" s="4">
        <f t="shared" si="13"/>
        <v>1.6971948506348422E-2</v>
      </c>
      <c r="BX160" s="4">
        <f t="shared" si="13"/>
        <v>1.7556496394169674E-2</v>
      </c>
      <c r="BY160" s="4">
        <f t="shared" si="13"/>
        <v>1.7067051302966929E-2</v>
      </c>
      <c r="BZ160" s="4">
        <f t="shared" si="10"/>
        <v>1.6784750416532601E-2</v>
      </c>
      <c r="CA160" s="4">
        <f t="shared" si="10"/>
        <v>1.6442088721842385E-2</v>
      </c>
      <c r="CB160" s="4">
        <f t="shared" si="10"/>
        <v>1.6425558653605066E-2</v>
      </c>
      <c r="CC160" s="4">
        <f t="shared" si="10"/>
        <v>1.6990871077533942E-2</v>
      </c>
      <c r="CD160" s="4">
        <f t="shared" si="10"/>
        <v>1.6990869370086426E-2</v>
      </c>
      <c r="CE160" s="4">
        <f t="shared" si="10"/>
        <v>1.6990869954277343E-2</v>
      </c>
      <c r="CF160" s="4">
        <f t="shared" si="10"/>
        <v>1.6990870102419953E-2</v>
      </c>
      <c r="CH160">
        <v>769632</v>
      </c>
    </row>
    <row r="161" spans="1:86" x14ac:dyDescent="0.25">
      <c r="A161" s="2">
        <v>159</v>
      </c>
      <c r="B161" s="3" t="s">
        <v>194</v>
      </c>
      <c r="C161" t="s">
        <v>194</v>
      </c>
      <c r="D161" t="s">
        <v>25</v>
      </c>
      <c r="E161">
        <v>1</v>
      </c>
      <c r="F161">
        <v>1593501</v>
      </c>
      <c r="G161">
        <v>1649914</v>
      </c>
      <c r="H161">
        <v>1708711</v>
      </c>
      <c r="I161">
        <v>1769008</v>
      </c>
      <c r="J161">
        <v>1829697</v>
      </c>
      <c r="K161">
        <v>1890000</v>
      </c>
      <c r="L161">
        <v>1949425</v>
      </c>
      <c r="M161">
        <v>2008148</v>
      </c>
      <c r="N161">
        <v>2066889</v>
      </c>
      <c r="O161">
        <v>2126749</v>
      </c>
      <c r="P161">
        <v>2188499</v>
      </c>
      <c r="Q161">
        <v>2252386</v>
      </c>
      <c r="R161">
        <v>2318070</v>
      </c>
      <c r="S161">
        <v>2385039</v>
      </c>
      <c r="T161">
        <v>2452528</v>
      </c>
      <c r="U161">
        <v>2520002</v>
      </c>
      <c r="V161">
        <v>2587417</v>
      </c>
      <c r="W161">
        <v>2655036</v>
      </c>
      <c r="X161">
        <v>2723006</v>
      </c>
      <c r="Y161">
        <v>2791575</v>
      </c>
      <c r="Z161">
        <v>2861000</v>
      </c>
      <c r="AA161">
        <v>2931343</v>
      </c>
      <c r="AB161">
        <v>3002785</v>
      </c>
      <c r="AC161">
        <v>3075867</v>
      </c>
      <c r="AD161">
        <v>3151262</v>
      </c>
      <c r="AE161">
        <v>3229499</v>
      </c>
      <c r="AF161">
        <v>3310059</v>
      </c>
      <c r="AG161">
        <v>3392823</v>
      </c>
      <c r="AH161">
        <v>3479088</v>
      </c>
      <c r="AI161">
        <v>3570558</v>
      </c>
      <c r="AJ161">
        <v>3668000</v>
      </c>
      <c r="AK161">
        <v>3772350</v>
      </c>
      <c r="AL161">
        <v>3881973</v>
      </c>
      <c r="AM161">
        <v>3991917</v>
      </c>
      <c r="AN161">
        <v>4095512</v>
      </c>
      <c r="AO161">
        <v>4188010</v>
      </c>
      <c r="AP161">
        <v>4267690</v>
      </c>
      <c r="AQ161">
        <v>4335991</v>
      </c>
      <c r="AR161">
        <v>4395293</v>
      </c>
      <c r="AS161">
        <v>4449427</v>
      </c>
      <c r="AT161">
        <v>4501419</v>
      </c>
      <c r="AU161">
        <v>4551762</v>
      </c>
      <c r="AV161">
        <v>4600172</v>
      </c>
      <c r="AW161">
        <v>4648036</v>
      </c>
      <c r="AX161">
        <v>4696876</v>
      </c>
      <c r="AY161">
        <v>4747839</v>
      </c>
      <c r="AZ161">
        <v>4801594</v>
      </c>
      <c r="BA161">
        <v>4858235</v>
      </c>
      <c r="BB161">
        <v>4917541</v>
      </c>
      <c r="BC161">
        <v>4978960</v>
      </c>
      <c r="BD161">
        <v>5041995</v>
      </c>
      <c r="BE161">
        <v>5106672</v>
      </c>
      <c r="BF161">
        <v>5172941</v>
      </c>
      <c r="BG161">
        <v>5240088</v>
      </c>
      <c r="BH161">
        <v>5307188</v>
      </c>
      <c r="BI161">
        <v>5373502</v>
      </c>
      <c r="BJ161">
        <v>5442374</v>
      </c>
      <c r="BK161">
        <v>5512129</v>
      </c>
      <c r="BL161">
        <v>5582778</v>
      </c>
      <c r="BM161">
        <v>5654333</v>
      </c>
      <c r="BN161">
        <v>5726805</v>
      </c>
      <c r="BO161">
        <v>5800206</v>
      </c>
      <c r="BP161">
        <v>5874547</v>
      </c>
      <c r="BQ161">
        <v>1.2817043209955692E-2</v>
      </c>
      <c r="BR161" s="6">
        <f t="shared" si="12"/>
        <v>5172941</v>
      </c>
      <c r="BT161" s="4">
        <f t="shared" si="14"/>
        <v>1.2288361776612966E-2</v>
      </c>
      <c r="BU161" s="4">
        <f t="shared" si="14"/>
        <v>1.2546230997855679E-2</v>
      </c>
      <c r="BV161" s="4">
        <f t="shared" si="14"/>
        <v>1.273864824087978E-2</v>
      </c>
      <c r="BW161" s="4">
        <f t="shared" si="13"/>
        <v>1.2861318937565036E-2</v>
      </c>
      <c r="BX161" s="4">
        <f t="shared" si="13"/>
        <v>1.2897537691480165E-2</v>
      </c>
      <c r="BY161" s="4">
        <f t="shared" si="13"/>
        <v>1.2814388909927255E-2</v>
      </c>
      <c r="BZ161" s="4">
        <f t="shared" si="10"/>
        <v>1.2774398643590423E-2</v>
      </c>
      <c r="CA161" s="4">
        <f t="shared" si="10"/>
        <v>1.2733551157734224E-2</v>
      </c>
      <c r="CB161" s="4">
        <f t="shared" si="10"/>
        <v>1.2736520751336355E-2</v>
      </c>
      <c r="CC161" s="4">
        <f t="shared" si="10"/>
        <v>1.2817021960355612E-2</v>
      </c>
      <c r="CD161" s="4">
        <f t="shared" si="10"/>
        <v>1.2817048410243448E-2</v>
      </c>
      <c r="CE161" s="4">
        <f t="shared" si="10"/>
        <v>1.2817067750947819E-2</v>
      </c>
      <c r="CF161" s="4">
        <f t="shared" ref="CF161:CF177" si="15">IFERROR((BP161/BL161)^(1/(BP$2-BL$2))-1,".")</f>
        <v>1.2817055461049609E-2</v>
      </c>
      <c r="CH161">
        <v>469930</v>
      </c>
    </row>
    <row r="162" spans="1:86" x14ac:dyDescent="0.25">
      <c r="A162" s="2">
        <v>160</v>
      </c>
      <c r="B162" s="3" t="s">
        <v>195</v>
      </c>
      <c r="C162" t="s">
        <v>195</v>
      </c>
      <c r="D162" t="s">
        <v>14</v>
      </c>
      <c r="E162">
        <v>1</v>
      </c>
      <c r="F162">
        <v>6788211</v>
      </c>
      <c r="G162">
        <v>7006629</v>
      </c>
      <c r="H162">
        <v>7240155</v>
      </c>
      <c r="I162">
        <v>7487411</v>
      </c>
      <c r="J162">
        <v>7746181</v>
      </c>
      <c r="K162">
        <v>8014376</v>
      </c>
      <c r="L162">
        <v>8292747</v>
      </c>
      <c r="M162">
        <v>8580632</v>
      </c>
      <c r="N162">
        <v>8872866</v>
      </c>
      <c r="O162">
        <v>9162773</v>
      </c>
      <c r="P162">
        <v>9446024</v>
      </c>
      <c r="Q162">
        <v>9720365</v>
      </c>
      <c r="R162">
        <v>9988321</v>
      </c>
      <c r="S162">
        <v>10256342</v>
      </c>
      <c r="T162">
        <v>10533627</v>
      </c>
      <c r="U162">
        <v>10827071</v>
      </c>
      <c r="V162">
        <v>11139772</v>
      </c>
      <c r="W162">
        <v>11470741</v>
      </c>
      <c r="X162">
        <v>11817951</v>
      </c>
      <c r="Y162">
        <v>12177677</v>
      </c>
      <c r="Z162">
        <v>12547754</v>
      </c>
      <c r="AA162">
        <v>12927007</v>
      </c>
      <c r="AB162">
        <v>13318149</v>
      </c>
      <c r="AC162">
        <v>13727427</v>
      </c>
      <c r="AD162">
        <v>14163214</v>
      </c>
      <c r="AE162">
        <v>14631089</v>
      </c>
      <c r="AF162">
        <v>15133740</v>
      </c>
      <c r="AG162">
        <v>15668278</v>
      </c>
      <c r="AH162">
        <v>16227778</v>
      </c>
      <c r="AI162">
        <v>16802258</v>
      </c>
      <c r="AJ162">
        <v>17384369</v>
      </c>
      <c r="AK162">
        <v>17973428</v>
      </c>
      <c r="AL162">
        <v>18571527</v>
      </c>
      <c r="AM162">
        <v>19177660</v>
      </c>
      <c r="AN162">
        <v>19791266</v>
      </c>
      <c r="AO162">
        <v>20412967</v>
      </c>
      <c r="AP162">
        <v>21041468</v>
      </c>
      <c r="AQ162">
        <v>21679497</v>
      </c>
      <c r="AR162">
        <v>22336812</v>
      </c>
      <c r="AS162">
        <v>23026357</v>
      </c>
      <c r="AT162">
        <v>23757636</v>
      </c>
      <c r="AU162">
        <v>24534668</v>
      </c>
      <c r="AV162">
        <v>25355794</v>
      </c>
      <c r="AW162">
        <v>26217760</v>
      </c>
      <c r="AX162">
        <v>27114742</v>
      </c>
      <c r="AY162">
        <v>28042413</v>
      </c>
      <c r="AZ162">
        <v>29000925</v>
      </c>
      <c r="BA162">
        <v>29991958</v>
      </c>
      <c r="BB162">
        <v>31014427</v>
      </c>
      <c r="BC162">
        <v>32067125</v>
      </c>
      <c r="BD162">
        <v>33149417</v>
      </c>
      <c r="BE162">
        <v>34260342</v>
      </c>
      <c r="BF162">
        <v>35400620</v>
      </c>
      <c r="BG162">
        <v>36573387</v>
      </c>
      <c r="BH162">
        <v>37782971</v>
      </c>
      <c r="BI162">
        <v>39032383</v>
      </c>
      <c r="BJ162">
        <v>40328763</v>
      </c>
      <c r="BK162">
        <v>41668200</v>
      </c>
      <c r="BL162">
        <v>43052123</v>
      </c>
      <c r="BM162">
        <v>44482010</v>
      </c>
      <c r="BN162">
        <v>45959388</v>
      </c>
      <c r="BO162">
        <v>47485834</v>
      </c>
      <c r="BP162">
        <v>49062978</v>
      </c>
      <c r="BQ162">
        <v>3.321293450078211E-2</v>
      </c>
      <c r="BR162" s="6">
        <f t="shared" si="12"/>
        <v>35400620</v>
      </c>
      <c r="BT162" s="4">
        <f t="shared" si="14"/>
        <v>3.3989220444823554E-2</v>
      </c>
      <c r="BU162" s="4">
        <f t="shared" si="14"/>
        <v>3.3824258700026366E-2</v>
      </c>
      <c r="BV162" s="4">
        <f t="shared" si="14"/>
        <v>3.3622076537155765E-2</v>
      </c>
      <c r="BW162" s="4">
        <f t="shared" si="13"/>
        <v>3.3418636309160643E-2</v>
      </c>
      <c r="BX162" s="4">
        <f t="shared" si="13"/>
        <v>3.3249140099793184E-2</v>
      </c>
      <c r="BY162" s="4">
        <f t="shared" si="13"/>
        <v>3.3138017772463835E-2</v>
      </c>
      <c r="BZ162" s="4">
        <f t="shared" si="13"/>
        <v>3.3120568929988714E-2</v>
      </c>
      <c r="CA162" s="4">
        <f t="shared" si="13"/>
        <v>3.3141696677968291E-2</v>
      </c>
      <c r="CB162" s="4">
        <f t="shared" si="13"/>
        <v>3.3176731817083027E-2</v>
      </c>
      <c r="CC162" s="4">
        <f t="shared" si="13"/>
        <v>3.3212934165480323E-2</v>
      </c>
      <c r="CD162" s="4">
        <f t="shared" si="13"/>
        <v>3.3212933561873159E-2</v>
      </c>
      <c r="CE162" s="4">
        <f t="shared" si="13"/>
        <v>3.3212930079479897E-2</v>
      </c>
      <c r="CF162" s="4">
        <f t="shared" si="15"/>
        <v>3.3212931819810887E-2</v>
      </c>
      <c r="CH162">
        <v>197100</v>
      </c>
    </row>
    <row r="163" spans="1:86" x14ac:dyDescent="0.25">
      <c r="A163" s="2">
        <v>161</v>
      </c>
      <c r="B163" s="3" t="s">
        <v>196</v>
      </c>
      <c r="C163" t="s">
        <v>196</v>
      </c>
      <c r="D163" t="s">
        <v>7</v>
      </c>
      <c r="E163">
        <v>1</v>
      </c>
      <c r="F163">
        <v>42662150</v>
      </c>
      <c r="G163">
        <v>43203635</v>
      </c>
      <c r="H163">
        <v>43749469</v>
      </c>
      <c r="I163">
        <v>44285897</v>
      </c>
      <c r="J163">
        <v>44794325</v>
      </c>
      <c r="K163">
        <v>45261939</v>
      </c>
      <c r="L163">
        <v>45682314</v>
      </c>
      <c r="M163">
        <v>46060456</v>
      </c>
      <c r="N163">
        <v>46409007</v>
      </c>
      <c r="O163">
        <v>46746668</v>
      </c>
      <c r="P163">
        <v>47086758</v>
      </c>
      <c r="Q163">
        <v>47433807</v>
      </c>
      <c r="R163">
        <v>47783013</v>
      </c>
      <c r="S163">
        <v>48127170</v>
      </c>
      <c r="T163">
        <v>48455120</v>
      </c>
      <c r="U163">
        <v>48758986</v>
      </c>
      <c r="V163">
        <v>49036202</v>
      </c>
      <c r="W163">
        <v>49290087</v>
      </c>
      <c r="X163">
        <v>49525597</v>
      </c>
      <c r="Y163">
        <v>49750150</v>
      </c>
      <c r="Z163">
        <v>49968811</v>
      </c>
      <c r="AA163">
        <v>50221000</v>
      </c>
      <c r="AB163">
        <v>50384000</v>
      </c>
      <c r="AC163">
        <v>50564000</v>
      </c>
      <c r="AD163">
        <v>50754000</v>
      </c>
      <c r="AE163">
        <v>50917000</v>
      </c>
      <c r="AF163">
        <v>51097000</v>
      </c>
      <c r="AG163">
        <v>51293000</v>
      </c>
      <c r="AH163">
        <v>51521000</v>
      </c>
      <c r="AI163">
        <v>51773000</v>
      </c>
      <c r="AJ163">
        <v>51892000</v>
      </c>
      <c r="AK163">
        <v>52000470</v>
      </c>
      <c r="AL163">
        <v>52150266</v>
      </c>
      <c r="AM163">
        <v>52179210</v>
      </c>
      <c r="AN163">
        <v>51921041</v>
      </c>
      <c r="AO163">
        <v>51512299</v>
      </c>
      <c r="AP163">
        <v>51057189</v>
      </c>
      <c r="AQ163">
        <v>50594105</v>
      </c>
      <c r="AR163">
        <v>50143939</v>
      </c>
      <c r="AS163">
        <v>49673350</v>
      </c>
      <c r="AT163">
        <v>49175848</v>
      </c>
      <c r="AU163">
        <v>48683865</v>
      </c>
      <c r="AV163">
        <v>48202500</v>
      </c>
      <c r="AW163">
        <v>47812950</v>
      </c>
      <c r="AX163">
        <v>47451600</v>
      </c>
      <c r="AY163">
        <v>47105150</v>
      </c>
      <c r="AZ163">
        <v>46787750</v>
      </c>
      <c r="BA163">
        <v>46509350</v>
      </c>
      <c r="BB163">
        <v>46258200</v>
      </c>
      <c r="BC163">
        <v>46053300</v>
      </c>
      <c r="BD163">
        <v>45870700</v>
      </c>
      <c r="BE163">
        <v>45706100</v>
      </c>
      <c r="BF163">
        <v>45593300</v>
      </c>
      <c r="BG163">
        <v>45489600</v>
      </c>
      <c r="BH163">
        <v>45362900</v>
      </c>
      <c r="BI163">
        <v>45198200</v>
      </c>
      <c r="BJ163">
        <v>45064888</v>
      </c>
      <c r="BK163">
        <v>44931969</v>
      </c>
      <c r="BL163">
        <v>44799442</v>
      </c>
      <c r="BM163">
        <v>44667306</v>
      </c>
      <c r="BN163">
        <v>44535560</v>
      </c>
      <c r="BO163">
        <v>44404202</v>
      </c>
      <c r="BP163">
        <v>44273232</v>
      </c>
      <c r="BQ163">
        <v>-2.9495028394259659E-3</v>
      </c>
      <c r="BR163" s="6">
        <f t="shared" si="12"/>
        <v>45593300</v>
      </c>
      <c r="BT163" s="4">
        <f t="shared" si="14"/>
        <v>-4.9364871772650254E-3</v>
      </c>
      <c r="BU163" s="4">
        <f t="shared" si="14"/>
        <v>-4.3459288620975034E-3</v>
      </c>
      <c r="BV163" s="4">
        <f t="shared" si="14"/>
        <v>-3.6129499431690748E-3</v>
      </c>
      <c r="BW163" s="4">
        <f t="shared" si="13"/>
        <v>-3.0741882190848946E-3</v>
      </c>
      <c r="BX163" s="4">
        <f t="shared" si="13"/>
        <v>-2.7791257240193934E-3</v>
      </c>
      <c r="BY163" s="4">
        <f t="shared" si="13"/>
        <v>-2.7897277493912354E-3</v>
      </c>
      <c r="BZ163" s="4">
        <f t="shared" si="13"/>
        <v>-2.9100997254865035E-3</v>
      </c>
      <c r="CA163" s="4">
        <f t="shared" si="13"/>
        <v>-3.078796394472727E-3</v>
      </c>
      <c r="CB163" s="4">
        <f t="shared" si="13"/>
        <v>-3.1198497153798188E-3</v>
      </c>
      <c r="CC163" s="4">
        <f t="shared" si="13"/>
        <v>-2.9495012548840238E-3</v>
      </c>
      <c r="CD163" s="4">
        <f t="shared" si="13"/>
        <v>-2.9495005316777512E-3</v>
      </c>
      <c r="CE163" s="4">
        <f t="shared" si="13"/>
        <v>-2.949501958972367E-3</v>
      </c>
      <c r="CF163" s="4">
        <f t="shared" si="15"/>
        <v>-2.9494999919046361E-3</v>
      </c>
      <c r="CH163">
        <v>579330</v>
      </c>
    </row>
    <row r="164" spans="1:86" x14ac:dyDescent="0.25">
      <c r="A164" s="2">
        <v>162</v>
      </c>
      <c r="B164" s="3" t="s">
        <v>197</v>
      </c>
      <c r="C164" t="s">
        <v>198</v>
      </c>
      <c r="D164" t="s">
        <v>9</v>
      </c>
      <c r="E164">
        <v>1</v>
      </c>
      <c r="F164">
        <v>92612</v>
      </c>
      <c r="G164">
        <v>100985</v>
      </c>
      <c r="H164">
        <v>112240</v>
      </c>
      <c r="I164">
        <v>125216</v>
      </c>
      <c r="J164">
        <v>138220</v>
      </c>
      <c r="K164">
        <v>150318</v>
      </c>
      <c r="L164">
        <v>161077</v>
      </c>
      <c r="M164">
        <v>171781</v>
      </c>
      <c r="N164">
        <v>185312</v>
      </c>
      <c r="O164">
        <v>205570</v>
      </c>
      <c r="P164">
        <v>235434</v>
      </c>
      <c r="Q164">
        <v>275160</v>
      </c>
      <c r="R164">
        <v>324069</v>
      </c>
      <c r="S164">
        <v>382823</v>
      </c>
      <c r="T164">
        <v>451948</v>
      </c>
      <c r="U164">
        <v>531265</v>
      </c>
      <c r="V164">
        <v>622051</v>
      </c>
      <c r="W164">
        <v>722849</v>
      </c>
      <c r="X164">
        <v>827394</v>
      </c>
      <c r="Y164">
        <v>927303</v>
      </c>
      <c r="Z164">
        <v>1016789</v>
      </c>
      <c r="AA164">
        <v>1093108</v>
      </c>
      <c r="AB164">
        <v>1158477</v>
      </c>
      <c r="AC164">
        <v>1218223</v>
      </c>
      <c r="AD164">
        <v>1280278</v>
      </c>
      <c r="AE164">
        <v>1350433</v>
      </c>
      <c r="AF164">
        <v>1430548</v>
      </c>
      <c r="AG164">
        <v>1518991</v>
      </c>
      <c r="AH164">
        <v>1613904</v>
      </c>
      <c r="AI164">
        <v>1712117</v>
      </c>
      <c r="AJ164">
        <v>1811458</v>
      </c>
      <c r="AK164">
        <v>1913190</v>
      </c>
      <c r="AL164">
        <v>2019014</v>
      </c>
      <c r="AM164">
        <v>2127863</v>
      </c>
      <c r="AN164">
        <v>2238281</v>
      </c>
      <c r="AO164">
        <v>2350192</v>
      </c>
      <c r="AP164">
        <v>2467726</v>
      </c>
      <c r="AQ164">
        <v>2595220</v>
      </c>
      <c r="AR164">
        <v>2733770</v>
      </c>
      <c r="AS164">
        <v>2884188</v>
      </c>
      <c r="AT164">
        <v>3050128</v>
      </c>
      <c r="AU164">
        <v>3217865</v>
      </c>
      <c r="AV164">
        <v>3394060</v>
      </c>
      <c r="AW164">
        <v>3625798</v>
      </c>
      <c r="AX164">
        <v>3975945</v>
      </c>
      <c r="AY164">
        <v>4481976</v>
      </c>
      <c r="AZ164">
        <v>5171255</v>
      </c>
      <c r="BA164">
        <v>6010100</v>
      </c>
      <c r="BB164">
        <v>6900142</v>
      </c>
      <c r="BC164">
        <v>7705423</v>
      </c>
      <c r="BD164">
        <v>8329453</v>
      </c>
      <c r="BE164">
        <v>8734722</v>
      </c>
      <c r="BF164">
        <v>8952542</v>
      </c>
      <c r="BG164">
        <v>9039978</v>
      </c>
      <c r="BH164">
        <v>9086139</v>
      </c>
      <c r="BI164">
        <v>9156963</v>
      </c>
      <c r="BJ164">
        <v>9332080</v>
      </c>
      <c r="BK164">
        <v>9510546</v>
      </c>
      <c r="BL164">
        <v>9692425</v>
      </c>
      <c r="BM164">
        <v>9877782</v>
      </c>
      <c r="BN164">
        <v>10066684</v>
      </c>
      <c r="BO164">
        <v>10259198</v>
      </c>
      <c r="BP164">
        <v>10455394</v>
      </c>
      <c r="BQ164">
        <v>1.9123920896388702E-2</v>
      </c>
      <c r="BR164" s="6">
        <f t="shared" si="12"/>
        <v>8952542</v>
      </c>
      <c r="BT164" s="4">
        <f t="shared" si="14"/>
        <v>0.12656208834117177</v>
      </c>
      <c r="BU164" s="4">
        <f t="shared" si="14"/>
        <v>9.7973471926494859E-2</v>
      </c>
      <c r="BV164" s="4">
        <f t="shared" si="14"/>
        <v>6.7264551140736595E-2</v>
      </c>
      <c r="BW164" s="4">
        <f t="shared" si="13"/>
        <v>4.0741139539710813E-2</v>
      </c>
      <c r="BX164" s="4">
        <f t="shared" si="13"/>
        <v>2.1976062638401572E-2</v>
      </c>
      <c r="BY164" s="4">
        <f t="shared" si="13"/>
        <v>1.1872033844962715E-2</v>
      </c>
      <c r="BZ164" s="4">
        <f t="shared" si="13"/>
        <v>1.0434163275770958E-2</v>
      </c>
      <c r="CA164" s="4">
        <f t="shared" si="13"/>
        <v>1.2766947242797366E-2</v>
      </c>
      <c r="CB164" s="4">
        <f t="shared" si="13"/>
        <v>1.62797408873947E-2</v>
      </c>
      <c r="CC164" s="4">
        <f t="shared" si="13"/>
        <v>1.9123918488204605E-2</v>
      </c>
      <c r="CD164" s="4">
        <f t="shared" si="13"/>
        <v>1.9123921457044446E-2</v>
      </c>
      <c r="CE164" s="4">
        <f t="shared" si="13"/>
        <v>1.9123908742901374E-2</v>
      </c>
      <c r="CF164" s="4">
        <f t="shared" si="15"/>
        <v>1.9123904668860714E-2</v>
      </c>
      <c r="CH164">
        <v>83600</v>
      </c>
    </row>
    <row r="165" spans="1:86" x14ac:dyDescent="0.25">
      <c r="A165" s="2">
        <v>163</v>
      </c>
      <c r="B165" s="3" t="s">
        <v>199</v>
      </c>
      <c r="C165" t="s">
        <v>200</v>
      </c>
      <c r="D165" t="s">
        <v>36</v>
      </c>
      <c r="E165">
        <v>1</v>
      </c>
      <c r="F165">
        <v>180671000</v>
      </c>
      <c r="G165">
        <v>183691000</v>
      </c>
      <c r="H165">
        <v>186538000</v>
      </c>
      <c r="I165">
        <v>189242000</v>
      </c>
      <c r="J165">
        <v>191889000</v>
      </c>
      <c r="K165">
        <v>194303000</v>
      </c>
      <c r="L165">
        <v>196560000</v>
      </c>
      <c r="M165">
        <v>198712000</v>
      </c>
      <c r="N165">
        <v>200706000</v>
      </c>
      <c r="O165">
        <v>202677000</v>
      </c>
      <c r="P165">
        <v>205052000</v>
      </c>
      <c r="Q165">
        <v>207661000</v>
      </c>
      <c r="R165">
        <v>209896000</v>
      </c>
      <c r="S165">
        <v>211909000</v>
      </c>
      <c r="T165">
        <v>213854000</v>
      </c>
      <c r="U165">
        <v>215973000</v>
      </c>
      <c r="V165">
        <v>218035000</v>
      </c>
      <c r="W165">
        <v>220239000</v>
      </c>
      <c r="X165">
        <v>222585000</v>
      </c>
      <c r="Y165">
        <v>225055000</v>
      </c>
      <c r="Z165">
        <v>227225000</v>
      </c>
      <c r="AA165">
        <v>229466000</v>
      </c>
      <c r="AB165">
        <v>231664000</v>
      </c>
      <c r="AC165">
        <v>233792000</v>
      </c>
      <c r="AD165">
        <v>235825000</v>
      </c>
      <c r="AE165">
        <v>237924000</v>
      </c>
      <c r="AF165">
        <v>240133000</v>
      </c>
      <c r="AG165">
        <v>242289000</v>
      </c>
      <c r="AH165">
        <v>244499000</v>
      </c>
      <c r="AI165">
        <v>246819000</v>
      </c>
      <c r="AJ165">
        <v>249623000</v>
      </c>
      <c r="AK165">
        <v>252981000</v>
      </c>
      <c r="AL165">
        <v>256514000</v>
      </c>
      <c r="AM165">
        <v>259919000</v>
      </c>
      <c r="AN165">
        <v>263126000</v>
      </c>
      <c r="AO165">
        <v>266278000</v>
      </c>
      <c r="AP165">
        <v>269394000</v>
      </c>
      <c r="AQ165">
        <v>272657000</v>
      </c>
      <c r="AR165">
        <v>275854000</v>
      </c>
      <c r="AS165">
        <v>279040000</v>
      </c>
      <c r="AT165">
        <v>282162411</v>
      </c>
      <c r="AU165">
        <v>284968955</v>
      </c>
      <c r="AV165">
        <v>287625193</v>
      </c>
      <c r="AW165">
        <v>290107933</v>
      </c>
      <c r="AX165">
        <v>292805298</v>
      </c>
      <c r="AY165">
        <v>295516599</v>
      </c>
      <c r="AZ165">
        <v>298379912</v>
      </c>
      <c r="BA165">
        <v>301231207</v>
      </c>
      <c r="BB165">
        <v>304093966</v>
      </c>
      <c r="BC165">
        <v>306771529</v>
      </c>
      <c r="BD165">
        <v>309346863</v>
      </c>
      <c r="BE165">
        <v>311718857</v>
      </c>
      <c r="BF165">
        <v>314102623</v>
      </c>
      <c r="BG165">
        <v>316427395</v>
      </c>
      <c r="BH165">
        <v>318907401</v>
      </c>
      <c r="BI165">
        <v>321418820</v>
      </c>
      <c r="BJ165">
        <v>323889165</v>
      </c>
      <c r="BK165">
        <v>326378496</v>
      </c>
      <c r="BL165">
        <v>328886960</v>
      </c>
      <c r="BM165">
        <v>331414703</v>
      </c>
      <c r="BN165">
        <v>333961874</v>
      </c>
      <c r="BO165">
        <v>336528622</v>
      </c>
      <c r="BP165">
        <v>339115097</v>
      </c>
      <c r="BQ165">
        <v>7.6857502303537828E-3</v>
      </c>
      <c r="BR165" s="6">
        <f t="shared" si="12"/>
        <v>314102623</v>
      </c>
      <c r="BT165" s="4">
        <f t="shared" si="14"/>
        <v>9.0647467804592097E-3</v>
      </c>
      <c r="BU165" s="4">
        <f t="shared" si="14"/>
        <v>8.5926019758917338E-3</v>
      </c>
      <c r="BV165" s="4">
        <f t="shared" si="14"/>
        <v>8.1286104637028345E-3</v>
      </c>
      <c r="BW165" s="4">
        <f t="shared" si="13"/>
        <v>7.7777281707860357E-3</v>
      </c>
      <c r="BX165" s="4">
        <f t="shared" si="13"/>
        <v>7.6384251443957218E-3</v>
      </c>
      <c r="BY165" s="4">
        <f t="shared" si="13"/>
        <v>7.6902506685383454E-3</v>
      </c>
      <c r="BZ165" s="4">
        <f t="shared" si="13"/>
        <v>7.699897054596061E-3</v>
      </c>
      <c r="CA165" s="4">
        <f t="shared" si="13"/>
        <v>7.7710195971378848E-3</v>
      </c>
      <c r="CB165" s="4">
        <f t="shared" si="13"/>
        <v>7.7330778504975939E-3</v>
      </c>
      <c r="CC165" s="4">
        <f t="shared" si="13"/>
        <v>7.6857505201139986E-3</v>
      </c>
      <c r="CD165" s="4">
        <f t="shared" si="13"/>
        <v>7.6857506202701042E-3</v>
      </c>
      <c r="CE165" s="4">
        <f t="shared" si="13"/>
        <v>7.6857511304069259E-3</v>
      </c>
      <c r="CF165" s="4">
        <f t="shared" si="15"/>
        <v>7.685750873625663E-3</v>
      </c>
      <c r="CH165">
        <v>9147593</v>
      </c>
    </row>
    <row r="166" spans="1:86" x14ac:dyDescent="0.25">
      <c r="A166" s="2">
        <v>164</v>
      </c>
      <c r="B166" s="3" t="s">
        <v>201</v>
      </c>
      <c r="C166" t="s">
        <v>201</v>
      </c>
      <c r="D166" t="s">
        <v>18</v>
      </c>
      <c r="E166">
        <v>1</v>
      </c>
      <c r="F166">
        <v>2538651</v>
      </c>
      <c r="G166">
        <v>2571691</v>
      </c>
      <c r="H166">
        <v>2603887</v>
      </c>
      <c r="I166">
        <v>2635128</v>
      </c>
      <c r="J166">
        <v>2665387</v>
      </c>
      <c r="K166">
        <v>2694535</v>
      </c>
      <c r="L166">
        <v>2722874</v>
      </c>
      <c r="M166">
        <v>2750093</v>
      </c>
      <c r="N166">
        <v>2774771</v>
      </c>
      <c r="O166">
        <v>2795044</v>
      </c>
      <c r="P166">
        <v>2809799</v>
      </c>
      <c r="Q166">
        <v>2818269</v>
      </c>
      <c r="R166">
        <v>2821437</v>
      </c>
      <c r="S166">
        <v>2822084</v>
      </c>
      <c r="T166">
        <v>2824069</v>
      </c>
      <c r="U166">
        <v>2830172</v>
      </c>
      <c r="V166">
        <v>2841436</v>
      </c>
      <c r="W166">
        <v>2857107</v>
      </c>
      <c r="X166">
        <v>2875970</v>
      </c>
      <c r="Y166">
        <v>2896021</v>
      </c>
      <c r="Z166">
        <v>2915775</v>
      </c>
      <c r="AA166">
        <v>2935036</v>
      </c>
      <c r="AB166">
        <v>2954281</v>
      </c>
      <c r="AC166">
        <v>2973461</v>
      </c>
      <c r="AD166">
        <v>2992648</v>
      </c>
      <c r="AE166">
        <v>3011907</v>
      </c>
      <c r="AF166">
        <v>3031032</v>
      </c>
      <c r="AG166">
        <v>3049962</v>
      </c>
      <c r="AH166">
        <v>3069094</v>
      </c>
      <c r="AI166">
        <v>3088985</v>
      </c>
      <c r="AJ166">
        <v>3109987</v>
      </c>
      <c r="AK166">
        <v>3132048</v>
      </c>
      <c r="AL166">
        <v>3154853</v>
      </c>
      <c r="AM166">
        <v>3178156</v>
      </c>
      <c r="AN166">
        <v>3201604</v>
      </c>
      <c r="AO166">
        <v>3224807</v>
      </c>
      <c r="AP166">
        <v>3248039</v>
      </c>
      <c r="AQ166">
        <v>3271014</v>
      </c>
      <c r="AR166">
        <v>3292134</v>
      </c>
      <c r="AS166">
        <v>3309318</v>
      </c>
      <c r="AT166">
        <v>3321242</v>
      </c>
      <c r="AU166">
        <v>3327105</v>
      </c>
      <c r="AV166">
        <v>3327770</v>
      </c>
      <c r="AW166">
        <v>3325637</v>
      </c>
      <c r="AX166">
        <v>3324096</v>
      </c>
      <c r="AY166">
        <v>3325608</v>
      </c>
      <c r="AZ166">
        <v>3331041</v>
      </c>
      <c r="BA166">
        <v>3339750</v>
      </c>
      <c r="BB166">
        <v>3350832</v>
      </c>
      <c r="BC166">
        <v>3362761</v>
      </c>
      <c r="BD166">
        <v>3374414</v>
      </c>
      <c r="BE166">
        <v>3385610</v>
      </c>
      <c r="BF166">
        <v>3396753</v>
      </c>
      <c r="BG166">
        <v>3407969</v>
      </c>
      <c r="BH166">
        <v>3419516</v>
      </c>
      <c r="BI166">
        <v>3431555</v>
      </c>
      <c r="BJ166">
        <v>3443099</v>
      </c>
      <c r="BK166">
        <v>3454682</v>
      </c>
      <c r="BL166">
        <v>3466304</v>
      </c>
      <c r="BM166">
        <v>3477965</v>
      </c>
      <c r="BN166">
        <v>3489665</v>
      </c>
      <c r="BO166">
        <v>3501404</v>
      </c>
      <c r="BP166">
        <v>3513183</v>
      </c>
      <c r="BQ166">
        <v>3.3640119493716369E-3</v>
      </c>
      <c r="BR166" s="6">
        <f t="shared" si="12"/>
        <v>3396753</v>
      </c>
      <c r="BT166" s="4">
        <f t="shared" si="14"/>
        <v>3.2394386442260448E-3</v>
      </c>
      <c r="BU166" s="4">
        <f t="shared" si="14"/>
        <v>3.4153548375790432E-3</v>
      </c>
      <c r="BV166" s="4">
        <f t="shared" si="14"/>
        <v>3.4086217106226169E-3</v>
      </c>
      <c r="BW166" s="4">
        <f t="shared" si="13"/>
        <v>3.34411661027878E-3</v>
      </c>
      <c r="BX166" s="4">
        <f t="shared" si="13"/>
        <v>3.3248503367420135E-3</v>
      </c>
      <c r="BY166" s="4">
        <f t="shared" si="13"/>
        <v>3.3755379125337548E-3</v>
      </c>
      <c r="BZ166" s="4">
        <f t="shared" si="13"/>
        <v>3.3937363817104771E-3</v>
      </c>
      <c r="CA166" s="4">
        <f t="shared" si="13"/>
        <v>3.4092733424919697E-3</v>
      </c>
      <c r="CB166" s="4">
        <f t="shared" si="13"/>
        <v>3.4032469470124393E-3</v>
      </c>
      <c r="CC166" s="4">
        <f t="shared" si="13"/>
        <v>3.3641062998908122E-3</v>
      </c>
      <c r="CD166" s="4">
        <f t="shared" si="13"/>
        <v>3.3640971992148216E-3</v>
      </c>
      <c r="CE166" s="4">
        <f t="shared" si="13"/>
        <v>3.3640503726435345E-3</v>
      </c>
      <c r="CF166" s="4">
        <f t="shared" si="15"/>
        <v>3.3640375998709171E-3</v>
      </c>
      <c r="CH166">
        <v>175015</v>
      </c>
    </row>
    <row r="167" spans="1:86" x14ac:dyDescent="0.25">
      <c r="A167" s="2">
        <v>165</v>
      </c>
      <c r="B167" s="3" t="s">
        <v>202</v>
      </c>
      <c r="C167" t="s">
        <v>202</v>
      </c>
      <c r="D167" t="s">
        <v>25</v>
      </c>
      <c r="E167">
        <v>1</v>
      </c>
      <c r="F167">
        <v>8789492</v>
      </c>
      <c r="G167">
        <v>9044671</v>
      </c>
      <c r="H167">
        <v>9319510</v>
      </c>
      <c r="I167">
        <v>9611601</v>
      </c>
      <c r="J167">
        <v>9917202</v>
      </c>
      <c r="K167">
        <v>10233502</v>
      </c>
      <c r="L167">
        <v>10559050</v>
      </c>
      <c r="M167">
        <v>10894306</v>
      </c>
      <c r="N167">
        <v>11240523</v>
      </c>
      <c r="O167">
        <v>11599763</v>
      </c>
      <c r="P167">
        <v>11972994</v>
      </c>
      <c r="Q167">
        <v>12361237</v>
      </c>
      <c r="R167">
        <v>12762439</v>
      </c>
      <c r="S167">
        <v>13170848</v>
      </c>
      <c r="T167">
        <v>13578783</v>
      </c>
      <c r="U167">
        <v>13980997</v>
      </c>
      <c r="V167">
        <v>14374729</v>
      </c>
      <c r="W167">
        <v>14762133</v>
      </c>
      <c r="X167">
        <v>15148932</v>
      </c>
      <c r="Y167">
        <v>15543520</v>
      </c>
      <c r="Z167">
        <v>15951899</v>
      </c>
      <c r="AA167">
        <v>16375135</v>
      </c>
      <c r="AB167">
        <v>16810937</v>
      </c>
      <c r="AC167">
        <v>17257774</v>
      </c>
      <c r="AD167">
        <v>17712992</v>
      </c>
      <c r="AE167">
        <v>18174143</v>
      </c>
      <c r="AF167">
        <v>18640558</v>
      </c>
      <c r="AG167">
        <v>19111312</v>
      </c>
      <c r="AH167">
        <v>19583186</v>
      </c>
      <c r="AI167">
        <v>20052259</v>
      </c>
      <c r="AJ167">
        <v>20510000</v>
      </c>
      <c r="AK167">
        <v>20952000</v>
      </c>
      <c r="AL167">
        <v>21449000</v>
      </c>
      <c r="AM167">
        <v>21942000</v>
      </c>
      <c r="AN167">
        <v>22377000</v>
      </c>
      <c r="AO167">
        <v>22785000</v>
      </c>
      <c r="AP167">
        <v>23225000</v>
      </c>
      <c r="AQ167">
        <v>23667000</v>
      </c>
      <c r="AR167">
        <v>24051000</v>
      </c>
      <c r="AS167">
        <v>24311650</v>
      </c>
      <c r="AT167">
        <v>24650400</v>
      </c>
      <c r="AU167">
        <v>24964450</v>
      </c>
      <c r="AV167">
        <v>25271850</v>
      </c>
      <c r="AW167">
        <v>25567650</v>
      </c>
      <c r="AX167">
        <v>25864350</v>
      </c>
      <c r="AY167">
        <v>26167000</v>
      </c>
      <c r="AZ167">
        <v>26488250</v>
      </c>
      <c r="BA167">
        <v>26868000</v>
      </c>
      <c r="BB167">
        <v>27302800</v>
      </c>
      <c r="BC167">
        <v>27767400</v>
      </c>
      <c r="BD167">
        <v>28562400</v>
      </c>
      <c r="BE167">
        <v>29339400</v>
      </c>
      <c r="BF167">
        <v>29774500</v>
      </c>
      <c r="BG167">
        <v>30243200</v>
      </c>
      <c r="BH167">
        <v>30757700</v>
      </c>
      <c r="BI167">
        <v>31299500</v>
      </c>
      <c r="BJ167">
        <v>31877624</v>
      </c>
      <c r="BK167">
        <v>32466426</v>
      </c>
      <c r="BL167">
        <v>33066104</v>
      </c>
      <c r="BM167">
        <v>33676858</v>
      </c>
      <c r="BN167">
        <v>34298893</v>
      </c>
      <c r="BO167">
        <v>34932418</v>
      </c>
      <c r="BP167">
        <v>35577644</v>
      </c>
      <c r="BQ167">
        <v>1.8470702657739091E-2</v>
      </c>
      <c r="BR167" s="6">
        <f t="shared" si="12"/>
        <v>29774500</v>
      </c>
      <c r="BT167" s="4">
        <f t="shared" si="14"/>
        <v>1.9026217208810703E-2</v>
      </c>
      <c r="BU167" s="4">
        <f t="shared" si="14"/>
        <v>2.2242592331291888E-2</v>
      </c>
      <c r="BV167" s="4">
        <f t="shared" si="14"/>
        <v>2.1902172283463361E-2</v>
      </c>
      <c r="BW167" s="4">
        <f t="shared" si="13"/>
        <v>2.1581762598834375E-2</v>
      </c>
      <c r="BX167" s="4">
        <f t="shared" si="13"/>
        <v>1.8684715387158102E-2</v>
      </c>
      <c r="BY167" s="4">
        <f t="shared" si="13"/>
        <v>1.6299104569792444E-2</v>
      </c>
      <c r="BZ167" s="4">
        <f t="shared" si="13"/>
        <v>1.7209404288009988E-2</v>
      </c>
      <c r="CA167" s="4">
        <f t="shared" si="13"/>
        <v>1.7891963074702533E-2</v>
      </c>
      <c r="CB167" s="4">
        <f t="shared" si="13"/>
        <v>1.8256738228857428E-2</v>
      </c>
      <c r="CC167" s="4">
        <f t="shared" si="13"/>
        <v>1.8470704674256488E-2</v>
      </c>
      <c r="CD167" s="4">
        <f t="shared" si="13"/>
        <v>1.8470701028410197E-2</v>
      </c>
      <c r="CE167" s="4">
        <f t="shared" si="13"/>
        <v>1.8470704446386765E-2</v>
      </c>
      <c r="CF167" s="4">
        <f t="shared" si="15"/>
        <v>1.8470699954151737E-2</v>
      </c>
      <c r="CH167">
        <v>425400</v>
      </c>
    </row>
    <row r="168" spans="1:86" x14ac:dyDescent="0.25">
      <c r="A168" s="2">
        <v>166</v>
      </c>
      <c r="B168" s="3" t="s">
        <v>203</v>
      </c>
      <c r="C168" t="s">
        <v>203</v>
      </c>
      <c r="D168" t="s">
        <v>18</v>
      </c>
      <c r="E168">
        <v>1</v>
      </c>
      <c r="F168">
        <v>8146845</v>
      </c>
      <c r="G168">
        <v>8461684</v>
      </c>
      <c r="H168">
        <v>8790590</v>
      </c>
      <c r="I168">
        <v>9130346</v>
      </c>
      <c r="J168">
        <v>9476255</v>
      </c>
      <c r="K168">
        <v>9824694</v>
      </c>
      <c r="L168">
        <v>10175143</v>
      </c>
      <c r="M168">
        <v>10528054</v>
      </c>
      <c r="N168">
        <v>10881995</v>
      </c>
      <c r="O168">
        <v>11235492</v>
      </c>
      <c r="P168">
        <v>11587758</v>
      </c>
      <c r="Q168">
        <v>11937803</v>
      </c>
      <c r="R168">
        <v>12286434</v>
      </c>
      <c r="S168">
        <v>12636971</v>
      </c>
      <c r="T168">
        <v>12994025</v>
      </c>
      <c r="U168">
        <v>13360988</v>
      </c>
      <c r="V168">
        <v>13739142</v>
      </c>
      <c r="W168">
        <v>14127790</v>
      </c>
      <c r="X168">
        <v>14525929</v>
      </c>
      <c r="Y168">
        <v>14931741</v>
      </c>
      <c r="Z168">
        <v>15343917</v>
      </c>
      <c r="AA168">
        <v>15761800</v>
      </c>
      <c r="AB168">
        <v>16185895</v>
      </c>
      <c r="AC168">
        <v>16617343</v>
      </c>
      <c r="AD168">
        <v>17057786</v>
      </c>
      <c r="AE168">
        <v>17508059</v>
      </c>
      <c r="AF168">
        <v>17968530</v>
      </c>
      <c r="AG168">
        <v>18437737</v>
      </c>
      <c r="AH168">
        <v>18912431</v>
      </c>
      <c r="AI168">
        <v>19388262</v>
      </c>
      <c r="AJ168">
        <v>19861959</v>
      </c>
      <c r="AK168">
        <v>20332247</v>
      </c>
      <c r="AL168">
        <v>20799471</v>
      </c>
      <c r="AM168">
        <v>21263994</v>
      </c>
      <c r="AN168">
        <v>21726808</v>
      </c>
      <c r="AO168">
        <v>22188671</v>
      </c>
      <c r="AP168">
        <v>22649212</v>
      </c>
      <c r="AQ168">
        <v>23108003</v>
      </c>
      <c r="AR168">
        <v>23565734</v>
      </c>
      <c r="AS168">
        <v>24023355</v>
      </c>
      <c r="AT168">
        <v>24481477</v>
      </c>
      <c r="AU168">
        <v>24940223</v>
      </c>
      <c r="AV168">
        <v>25399143</v>
      </c>
      <c r="AW168">
        <v>25857553</v>
      </c>
      <c r="AX168">
        <v>26314483</v>
      </c>
      <c r="AY168">
        <v>26769115</v>
      </c>
      <c r="AZ168">
        <v>27221228</v>
      </c>
      <c r="BA168">
        <v>27670659</v>
      </c>
      <c r="BB168">
        <v>28116716</v>
      </c>
      <c r="BC168">
        <v>28558607</v>
      </c>
      <c r="BD168">
        <v>28995745</v>
      </c>
      <c r="BE168">
        <v>29427631</v>
      </c>
      <c r="BF168">
        <v>29854238</v>
      </c>
      <c r="BG168">
        <v>30276045</v>
      </c>
      <c r="BH168">
        <v>30693827</v>
      </c>
      <c r="BI168">
        <v>31108083</v>
      </c>
      <c r="BJ168">
        <v>31548669</v>
      </c>
      <c r="BK168">
        <v>31995495</v>
      </c>
      <c r="BL168">
        <v>32448650</v>
      </c>
      <c r="BM168">
        <v>32908223</v>
      </c>
      <c r="BN168">
        <v>33374305</v>
      </c>
      <c r="BO168">
        <v>33846988</v>
      </c>
      <c r="BP168">
        <v>34326366</v>
      </c>
      <c r="BQ168">
        <v>1.4163078107633176E-2</v>
      </c>
      <c r="BR168" s="6">
        <f t="shared" si="12"/>
        <v>29854238</v>
      </c>
      <c r="BT168" s="4">
        <f t="shared" si="14"/>
        <v>1.5913285145642275E-2</v>
      </c>
      <c r="BU168" s="4">
        <f t="shared" si="14"/>
        <v>1.5509404801511417E-2</v>
      </c>
      <c r="BV168" s="4">
        <f t="shared" si="14"/>
        <v>1.5103555942394431E-2</v>
      </c>
      <c r="BW168" s="4">
        <f t="shared" si="13"/>
        <v>1.4706705866992742E-2</v>
      </c>
      <c r="BX168" s="4">
        <f t="shared" si="13"/>
        <v>1.4329817504370679E-2</v>
      </c>
      <c r="BY168" s="4">
        <f t="shared" si="13"/>
        <v>1.3980228552571639E-2</v>
      </c>
      <c r="BZ168" s="4">
        <f t="shared" si="13"/>
        <v>1.3896824185438916E-2</v>
      </c>
      <c r="CA168" s="4">
        <f t="shared" si="13"/>
        <v>1.390536911201079E-2</v>
      </c>
      <c r="CB168" s="4">
        <f t="shared" si="13"/>
        <v>1.399636473719168E-2</v>
      </c>
      <c r="CC168" s="4">
        <f t="shared" si="13"/>
        <v>1.4163078539333851E-2</v>
      </c>
      <c r="CD168" s="4">
        <f t="shared" si="13"/>
        <v>1.4163082251836157E-2</v>
      </c>
      <c r="CE168" s="4">
        <f t="shared" si="13"/>
        <v>1.416308517301168E-2</v>
      </c>
      <c r="CF168" s="4">
        <f t="shared" si="15"/>
        <v>1.4163086224529442E-2</v>
      </c>
      <c r="CH168">
        <v>882050</v>
      </c>
    </row>
    <row r="169" spans="1:86" x14ac:dyDescent="0.25">
      <c r="A169" s="2">
        <v>167</v>
      </c>
      <c r="B169" s="3" t="s">
        <v>204</v>
      </c>
      <c r="C169" t="s">
        <v>204</v>
      </c>
      <c r="D169" t="s">
        <v>25</v>
      </c>
      <c r="E169">
        <v>1</v>
      </c>
      <c r="F169">
        <v>34743000</v>
      </c>
      <c r="G169">
        <v>35428000</v>
      </c>
      <c r="H169">
        <v>36123000</v>
      </c>
      <c r="I169">
        <v>36836000</v>
      </c>
      <c r="J169">
        <v>37574000</v>
      </c>
      <c r="K169">
        <v>38341000</v>
      </c>
      <c r="L169">
        <v>39142000</v>
      </c>
      <c r="M169">
        <v>39980000</v>
      </c>
      <c r="N169">
        <v>40856000</v>
      </c>
      <c r="O169">
        <v>41773000</v>
      </c>
      <c r="P169">
        <v>42729000</v>
      </c>
      <c r="Q169">
        <v>43725000</v>
      </c>
      <c r="R169">
        <v>44758000</v>
      </c>
      <c r="S169">
        <v>45825000</v>
      </c>
      <c r="T169">
        <v>46918000</v>
      </c>
      <c r="U169">
        <v>48030000</v>
      </c>
      <c r="V169">
        <v>49158000</v>
      </c>
      <c r="W169">
        <v>50295000</v>
      </c>
      <c r="X169">
        <v>51436000</v>
      </c>
      <c r="Y169">
        <v>52574000</v>
      </c>
      <c r="Z169">
        <v>53700000</v>
      </c>
      <c r="AA169">
        <v>54722000</v>
      </c>
      <c r="AB169">
        <v>55687000</v>
      </c>
      <c r="AC169">
        <v>56655000</v>
      </c>
      <c r="AD169">
        <v>57692000</v>
      </c>
      <c r="AE169">
        <v>58868000</v>
      </c>
      <c r="AF169">
        <v>60249000</v>
      </c>
      <c r="AG169">
        <v>61750000</v>
      </c>
      <c r="AH169">
        <v>63263000</v>
      </c>
      <c r="AI169">
        <v>64774000</v>
      </c>
      <c r="AJ169">
        <v>66016700</v>
      </c>
      <c r="AK169">
        <v>67242400</v>
      </c>
      <c r="AL169">
        <v>68450100</v>
      </c>
      <c r="AM169">
        <v>69644500</v>
      </c>
      <c r="AN169">
        <v>70824500</v>
      </c>
      <c r="AO169">
        <v>71995500</v>
      </c>
      <c r="AP169">
        <v>73156700</v>
      </c>
      <c r="AQ169">
        <v>74306900</v>
      </c>
      <c r="AR169">
        <v>75456300</v>
      </c>
      <c r="AS169">
        <v>76596700</v>
      </c>
      <c r="AT169">
        <v>77630900</v>
      </c>
      <c r="AU169">
        <v>78620500</v>
      </c>
      <c r="AV169">
        <v>79537700</v>
      </c>
      <c r="AW169">
        <v>80467400</v>
      </c>
      <c r="AX169">
        <v>81436400</v>
      </c>
      <c r="AY169">
        <v>82392100</v>
      </c>
      <c r="AZ169">
        <v>83311200</v>
      </c>
      <c r="BA169">
        <v>84218500</v>
      </c>
      <c r="BB169">
        <v>85118700</v>
      </c>
      <c r="BC169">
        <v>86025000</v>
      </c>
      <c r="BD169">
        <v>86932500</v>
      </c>
      <c r="BE169">
        <v>87860300</v>
      </c>
      <c r="BF169">
        <v>88809200</v>
      </c>
      <c r="BG169">
        <v>89759500</v>
      </c>
      <c r="BH169">
        <v>90728900</v>
      </c>
      <c r="BI169">
        <v>91703800</v>
      </c>
      <c r="BJ169">
        <v>92689036</v>
      </c>
      <c r="BK169">
        <v>93684857</v>
      </c>
      <c r="BL169">
        <v>94691377</v>
      </c>
      <c r="BM169">
        <v>95708710</v>
      </c>
      <c r="BN169">
        <v>96736973</v>
      </c>
      <c r="BO169">
        <v>97776284</v>
      </c>
      <c r="BP169">
        <v>98826761</v>
      </c>
      <c r="BQ169">
        <v>1.0743675704030675E-2</v>
      </c>
      <c r="BR169" s="6">
        <f t="shared" si="12"/>
        <v>88809200</v>
      </c>
      <c r="BT169" s="4">
        <f t="shared" si="14"/>
        <v>1.06940169614409E-2</v>
      </c>
      <c r="BU169" s="4">
        <f t="shared" si="14"/>
        <v>1.0639562096724786E-2</v>
      </c>
      <c r="BV169" s="4">
        <f t="shared" si="14"/>
        <v>1.0667368793938925E-2</v>
      </c>
      <c r="BW169" s="4">
        <f t="shared" si="13"/>
        <v>1.0680614775814279E-2</v>
      </c>
      <c r="BX169" s="4">
        <f t="shared" si="13"/>
        <v>1.0743295116129259E-2</v>
      </c>
      <c r="BY169" s="4">
        <f t="shared" si="13"/>
        <v>1.0761433330189973E-2</v>
      </c>
      <c r="BZ169" s="4">
        <f t="shared" si="13"/>
        <v>1.074732787984356E-2</v>
      </c>
      <c r="CA169" s="4">
        <f t="shared" si="13"/>
        <v>1.0758130291879331E-2</v>
      </c>
      <c r="CB169" s="4">
        <f t="shared" si="13"/>
        <v>1.0744057489981307E-2</v>
      </c>
      <c r="CC169" s="4">
        <f t="shared" si="13"/>
        <v>1.0743675723222434E-2</v>
      </c>
      <c r="CD169" s="4">
        <f t="shared" si="13"/>
        <v>1.0743674523870039E-2</v>
      </c>
      <c r="CE169" s="4">
        <f t="shared" si="13"/>
        <v>1.074367523497477E-2</v>
      </c>
      <c r="CF169" s="4">
        <f t="shared" si="15"/>
        <v>1.0743675293792387E-2</v>
      </c>
      <c r="CH169">
        <v>310070</v>
      </c>
    </row>
    <row r="170" spans="1:86" x14ac:dyDescent="0.25">
      <c r="A170" s="2">
        <v>168</v>
      </c>
      <c r="B170" s="3" t="s">
        <v>205</v>
      </c>
      <c r="C170" t="s">
        <v>205</v>
      </c>
      <c r="D170" t="s">
        <v>9</v>
      </c>
      <c r="E170">
        <v>1</v>
      </c>
      <c r="F170">
        <v>5166311</v>
      </c>
      <c r="G170">
        <v>5251663</v>
      </c>
      <c r="H170">
        <v>5339285</v>
      </c>
      <c r="I170">
        <v>5429501</v>
      </c>
      <c r="J170">
        <v>5522690</v>
      </c>
      <c r="K170">
        <v>5619170</v>
      </c>
      <c r="L170">
        <v>5720538</v>
      </c>
      <c r="M170">
        <v>5827223</v>
      </c>
      <c r="N170">
        <v>5937125</v>
      </c>
      <c r="O170">
        <v>6047230</v>
      </c>
      <c r="P170">
        <v>6156234</v>
      </c>
      <c r="Q170">
        <v>6262934</v>
      </c>
      <c r="R170">
        <v>6370599</v>
      </c>
      <c r="S170">
        <v>6487853</v>
      </c>
      <c r="T170">
        <v>6626208</v>
      </c>
      <c r="U170">
        <v>6793979</v>
      </c>
      <c r="V170">
        <v>6994840</v>
      </c>
      <c r="W170">
        <v>7226885</v>
      </c>
      <c r="X170">
        <v>7485921</v>
      </c>
      <c r="Y170">
        <v>7765087</v>
      </c>
      <c r="Z170">
        <v>8059381</v>
      </c>
      <c r="AA170">
        <v>8369708</v>
      </c>
      <c r="AB170">
        <v>8698304</v>
      </c>
      <c r="AC170">
        <v>9043210</v>
      </c>
      <c r="AD170">
        <v>9402070</v>
      </c>
      <c r="AE170">
        <v>9774242</v>
      </c>
      <c r="AF170">
        <v>10153613</v>
      </c>
      <c r="AG170">
        <v>10542601</v>
      </c>
      <c r="AH170">
        <v>10958983</v>
      </c>
      <c r="AI170">
        <v>11426912</v>
      </c>
      <c r="AJ170">
        <v>11961099</v>
      </c>
      <c r="AK170">
        <v>12571240</v>
      </c>
      <c r="AL170">
        <v>13245003</v>
      </c>
      <c r="AM170">
        <v>13948118</v>
      </c>
      <c r="AN170">
        <v>14633091</v>
      </c>
      <c r="AO170">
        <v>15266147</v>
      </c>
      <c r="AP170">
        <v>15834747</v>
      </c>
      <c r="AQ170">
        <v>16349809</v>
      </c>
      <c r="AR170">
        <v>16829935</v>
      </c>
      <c r="AS170">
        <v>17304422</v>
      </c>
      <c r="AT170">
        <v>17795219</v>
      </c>
      <c r="AU170">
        <v>18306287</v>
      </c>
      <c r="AV170">
        <v>18832097</v>
      </c>
      <c r="AW170">
        <v>19374012</v>
      </c>
      <c r="AX170">
        <v>19931617</v>
      </c>
      <c r="AY170">
        <v>20504385</v>
      </c>
      <c r="AZ170">
        <v>21093973</v>
      </c>
      <c r="BA170">
        <v>21701105</v>
      </c>
      <c r="BB170">
        <v>22322699</v>
      </c>
      <c r="BC170">
        <v>22954226</v>
      </c>
      <c r="BD170">
        <v>23591972</v>
      </c>
      <c r="BE170">
        <v>24234940</v>
      </c>
      <c r="BF170">
        <v>24882792</v>
      </c>
      <c r="BG170">
        <v>25533217</v>
      </c>
      <c r="BH170">
        <v>26183676</v>
      </c>
      <c r="BI170">
        <v>26832215</v>
      </c>
      <c r="BJ170">
        <v>27531824</v>
      </c>
      <c r="BK170">
        <v>28249674</v>
      </c>
      <c r="BL170">
        <v>28986241</v>
      </c>
      <c r="BM170">
        <v>29742013</v>
      </c>
      <c r="BN170">
        <v>30517490</v>
      </c>
      <c r="BO170">
        <v>31313187</v>
      </c>
      <c r="BP170">
        <v>32129630</v>
      </c>
      <c r="BQ170">
        <v>2.6073464118577139E-2</v>
      </c>
      <c r="BR170" s="6">
        <f t="shared" si="12"/>
        <v>24882792</v>
      </c>
      <c r="BT170" s="4">
        <f t="shared" si="14"/>
        <v>2.8374891705091887E-2</v>
      </c>
      <c r="BU170" s="4">
        <f t="shared" si="14"/>
        <v>2.7992686961289648E-2</v>
      </c>
      <c r="BV170" s="4">
        <f t="shared" si="14"/>
        <v>2.751483657259679E-2</v>
      </c>
      <c r="BW170" s="4">
        <f t="shared" si="13"/>
        <v>2.6977008078706399E-2</v>
      </c>
      <c r="BX170" s="4">
        <f t="shared" si="13"/>
        <v>2.6399882273736797E-2</v>
      </c>
      <c r="BY170" s="4">
        <f t="shared" si="13"/>
        <v>2.5778622663862771E-2</v>
      </c>
      <c r="BZ170" s="4">
        <f t="shared" si="13"/>
        <v>2.5614066967816207E-2</v>
      </c>
      <c r="CA170" s="4">
        <f t="shared" si="13"/>
        <v>2.5597553186307076E-2</v>
      </c>
      <c r="CB170" s="4">
        <f t="shared" si="13"/>
        <v>2.5747152678454954E-2</v>
      </c>
      <c r="CC170" s="4">
        <f t="shared" si="13"/>
        <v>2.6073469487370327E-2</v>
      </c>
      <c r="CD170" s="4">
        <f t="shared" si="13"/>
        <v>2.6073464982179884E-2</v>
      </c>
      <c r="CE170" s="4">
        <f t="shared" si="13"/>
        <v>2.6073467828169994E-2</v>
      </c>
      <c r="CF170" s="4">
        <f t="shared" si="15"/>
        <v>2.6073464544309033E-2</v>
      </c>
      <c r="CH170">
        <v>527968</v>
      </c>
    </row>
    <row r="171" spans="1:86" x14ac:dyDescent="0.25">
      <c r="A171" s="2">
        <v>169</v>
      </c>
      <c r="B171" s="3" t="s">
        <v>206</v>
      </c>
      <c r="C171" t="s">
        <v>206</v>
      </c>
      <c r="D171" t="s">
        <v>14</v>
      </c>
      <c r="E171">
        <v>1</v>
      </c>
      <c r="F171">
        <v>3049586</v>
      </c>
      <c r="G171">
        <v>3142848</v>
      </c>
      <c r="H171">
        <v>3240664</v>
      </c>
      <c r="I171">
        <v>3342894</v>
      </c>
      <c r="J171">
        <v>3449266</v>
      </c>
      <c r="K171">
        <v>3559687</v>
      </c>
      <c r="L171">
        <v>3674088</v>
      </c>
      <c r="M171">
        <v>3792864</v>
      </c>
      <c r="N171">
        <v>3916928</v>
      </c>
      <c r="O171">
        <v>4047479</v>
      </c>
      <c r="P171">
        <v>4185378</v>
      </c>
      <c r="Q171">
        <v>4331002</v>
      </c>
      <c r="R171">
        <v>4484141</v>
      </c>
      <c r="S171">
        <v>4644329</v>
      </c>
      <c r="T171">
        <v>4810810</v>
      </c>
      <c r="U171">
        <v>4983017</v>
      </c>
      <c r="V171">
        <v>5160570</v>
      </c>
      <c r="W171">
        <v>5343550</v>
      </c>
      <c r="X171">
        <v>5532350</v>
      </c>
      <c r="Y171">
        <v>5727577</v>
      </c>
      <c r="Z171">
        <v>5929497</v>
      </c>
      <c r="AA171">
        <v>6138069</v>
      </c>
      <c r="AB171">
        <v>6352561</v>
      </c>
      <c r="AC171">
        <v>6571673</v>
      </c>
      <c r="AD171">
        <v>6793708</v>
      </c>
      <c r="AE171">
        <v>7017292</v>
      </c>
      <c r="AF171">
        <v>7242496</v>
      </c>
      <c r="AG171">
        <v>7469270</v>
      </c>
      <c r="AH171">
        <v>7696070</v>
      </c>
      <c r="AI171">
        <v>7921028</v>
      </c>
      <c r="AJ171">
        <v>8143142</v>
      </c>
      <c r="AK171">
        <v>8361381</v>
      </c>
      <c r="AL171">
        <v>8576987</v>
      </c>
      <c r="AM171">
        <v>8794061</v>
      </c>
      <c r="AN171">
        <v>9018229</v>
      </c>
      <c r="AO171">
        <v>9253527</v>
      </c>
      <c r="AP171">
        <v>9502346</v>
      </c>
      <c r="AQ171">
        <v>9763742</v>
      </c>
      <c r="AR171">
        <v>10034412</v>
      </c>
      <c r="AS171">
        <v>10309310</v>
      </c>
      <c r="AT171">
        <v>10585220</v>
      </c>
      <c r="AU171">
        <v>10861238</v>
      </c>
      <c r="AV171">
        <v>11139978</v>
      </c>
      <c r="AW171">
        <v>11426006</v>
      </c>
      <c r="AX171">
        <v>11725635</v>
      </c>
      <c r="AY171">
        <v>12043591</v>
      </c>
      <c r="AZ171">
        <v>12381509</v>
      </c>
      <c r="BA171">
        <v>12738676</v>
      </c>
      <c r="BB171">
        <v>13114579</v>
      </c>
      <c r="BC171">
        <v>13507849</v>
      </c>
      <c r="BD171">
        <v>13917439</v>
      </c>
      <c r="BE171">
        <v>14343526</v>
      </c>
      <c r="BF171">
        <v>14786581</v>
      </c>
      <c r="BG171">
        <v>15246086</v>
      </c>
      <c r="BH171">
        <v>15721343</v>
      </c>
      <c r="BI171">
        <v>16211767</v>
      </c>
      <c r="BJ171">
        <v>16714160</v>
      </c>
      <c r="BK171">
        <v>17232122</v>
      </c>
      <c r="BL171">
        <v>17766135</v>
      </c>
      <c r="BM171">
        <v>18316697</v>
      </c>
      <c r="BN171">
        <v>18884321</v>
      </c>
      <c r="BO171">
        <v>19469535</v>
      </c>
      <c r="BP171">
        <v>20072884</v>
      </c>
      <c r="BQ171">
        <v>3.0989412369722524E-2</v>
      </c>
      <c r="BR171" s="6">
        <f t="shared" si="12"/>
        <v>14786581</v>
      </c>
      <c r="BT171" s="4">
        <f t="shared" si="14"/>
        <v>2.9666153647645022E-2</v>
      </c>
      <c r="BU171" s="4">
        <f t="shared" si="14"/>
        <v>3.010835178963811E-2</v>
      </c>
      <c r="BV171" s="4">
        <f t="shared" si="14"/>
        <v>3.0453392245077371E-2</v>
      </c>
      <c r="BW171" s="4">
        <f t="shared" si="13"/>
        <v>3.0725550914015853E-2</v>
      </c>
      <c r="BX171" s="4">
        <f t="shared" si="13"/>
        <v>3.0938074248838765E-2</v>
      </c>
      <c r="BY171" s="4">
        <f t="shared" si="13"/>
        <v>3.1082953955625436E-2</v>
      </c>
      <c r="BZ171" s="4">
        <f t="shared" si="13"/>
        <v>3.1108096716179867E-2</v>
      </c>
      <c r="CA171" s="4">
        <f t="shared" si="13"/>
        <v>3.1086495694239158E-2</v>
      </c>
      <c r="CB171" s="4">
        <f t="shared" si="13"/>
        <v>3.104074619363284E-2</v>
      </c>
      <c r="CC171" s="4">
        <f t="shared" si="13"/>
        <v>3.0989404338340076E-2</v>
      </c>
      <c r="CD171" s="4">
        <f t="shared" si="13"/>
        <v>3.0989410800530415E-2</v>
      </c>
      <c r="CE171" s="4">
        <f t="shared" si="13"/>
        <v>3.0989410607616508E-2</v>
      </c>
      <c r="CF171" s="4">
        <f t="shared" si="15"/>
        <v>3.0989409700483916E-2</v>
      </c>
      <c r="CH171">
        <v>743398</v>
      </c>
    </row>
    <row r="172" spans="1:86" x14ac:dyDescent="0.25">
      <c r="A172" s="2">
        <v>170</v>
      </c>
      <c r="B172" s="3" t="s">
        <v>207</v>
      </c>
      <c r="C172" t="s">
        <v>207</v>
      </c>
      <c r="D172" t="s">
        <v>14</v>
      </c>
      <c r="E172">
        <v>1</v>
      </c>
      <c r="F172">
        <v>3752390</v>
      </c>
      <c r="G172">
        <v>3876638</v>
      </c>
      <c r="H172">
        <v>4006262</v>
      </c>
      <c r="I172">
        <v>4140804</v>
      </c>
      <c r="J172">
        <v>4279561</v>
      </c>
      <c r="K172">
        <v>4422132</v>
      </c>
      <c r="L172">
        <v>4568320</v>
      </c>
      <c r="M172">
        <v>4718612</v>
      </c>
      <c r="N172">
        <v>4874113</v>
      </c>
      <c r="O172">
        <v>5036321</v>
      </c>
      <c r="P172">
        <v>5206311</v>
      </c>
      <c r="Q172">
        <v>5385342</v>
      </c>
      <c r="R172">
        <v>5573312</v>
      </c>
      <c r="S172">
        <v>5768382</v>
      </c>
      <c r="T172">
        <v>5967861</v>
      </c>
      <c r="U172">
        <v>6170284</v>
      </c>
      <c r="V172">
        <v>6373956</v>
      </c>
      <c r="W172">
        <v>6580739</v>
      </c>
      <c r="X172">
        <v>6796946</v>
      </c>
      <c r="Y172">
        <v>7031159</v>
      </c>
      <c r="Z172">
        <v>7289083</v>
      </c>
      <c r="AA172">
        <v>7571965</v>
      </c>
      <c r="AB172">
        <v>7876414</v>
      </c>
      <c r="AC172">
        <v>8197564</v>
      </c>
      <c r="AD172">
        <v>8528328</v>
      </c>
      <c r="AE172">
        <v>8862601</v>
      </c>
      <c r="AF172">
        <v>9198874</v>
      </c>
      <c r="AG172">
        <v>9535657</v>
      </c>
      <c r="AH172">
        <v>9866776</v>
      </c>
      <c r="AI172">
        <v>10184966</v>
      </c>
      <c r="AJ172">
        <v>10484771</v>
      </c>
      <c r="AK172">
        <v>10763036</v>
      </c>
      <c r="AL172">
        <v>11019717</v>
      </c>
      <c r="AM172">
        <v>11256512</v>
      </c>
      <c r="AN172">
        <v>11476807</v>
      </c>
      <c r="AO172">
        <v>11683136</v>
      </c>
      <c r="AP172">
        <v>11877664</v>
      </c>
      <c r="AQ172">
        <v>12059858</v>
      </c>
      <c r="AR172">
        <v>12226742</v>
      </c>
      <c r="AS172">
        <v>12374019</v>
      </c>
      <c r="AT172">
        <v>12499981</v>
      </c>
      <c r="AU172">
        <v>12603988</v>
      </c>
      <c r="AV172">
        <v>12691431</v>
      </c>
      <c r="AW172">
        <v>12774162</v>
      </c>
      <c r="AX172">
        <v>12867828</v>
      </c>
      <c r="AY172">
        <v>12984418</v>
      </c>
      <c r="AZ172">
        <v>13127942</v>
      </c>
      <c r="BA172">
        <v>13297798</v>
      </c>
      <c r="BB172">
        <v>13495462</v>
      </c>
      <c r="BC172">
        <v>13720997</v>
      </c>
      <c r="BD172">
        <v>13973897</v>
      </c>
      <c r="BE172">
        <v>14255592</v>
      </c>
      <c r="BF172">
        <v>14565482</v>
      </c>
      <c r="BG172">
        <v>14898092</v>
      </c>
      <c r="BH172">
        <v>15245855</v>
      </c>
      <c r="BI172">
        <v>15602751</v>
      </c>
      <c r="BJ172">
        <v>15950632</v>
      </c>
      <c r="BK172">
        <v>16306270</v>
      </c>
      <c r="BL172">
        <v>16669837</v>
      </c>
      <c r="BM172">
        <v>17041510</v>
      </c>
      <c r="BN172">
        <v>17421470</v>
      </c>
      <c r="BO172">
        <v>17809902</v>
      </c>
      <c r="BP172">
        <v>18206994</v>
      </c>
      <c r="BQ172">
        <v>2.2296156504042042E-2</v>
      </c>
      <c r="BR172" s="6">
        <f t="shared" si="12"/>
        <v>14565482</v>
      </c>
      <c r="BT172" s="4">
        <f t="shared" si="14"/>
        <v>1.5734542939065177E-2</v>
      </c>
      <c r="BU172" s="4">
        <f t="shared" si="14"/>
        <v>1.7539744285784753E-2</v>
      </c>
      <c r="BV172" s="4">
        <f t="shared" si="14"/>
        <v>1.925834545960714E-2</v>
      </c>
      <c r="BW172" s="4">
        <f t="shared" si="13"/>
        <v>2.0789620898024941E-2</v>
      </c>
      <c r="BX172" s="4">
        <f t="shared" si="13"/>
        <v>2.201804010257491E-2</v>
      </c>
      <c r="BY172" s="4">
        <f t="shared" si="13"/>
        <v>2.2831230736972019E-2</v>
      </c>
      <c r="BZ172" s="4">
        <f t="shared" si="13"/>
        <v>2.2970850413231769E-2</v>
      </c>
      <c r="CA172" s="4">
        <f t="shared" si="13"/>
        <v>2.2835974458502051E-2</v>
      </c>
      <c r="CB172" s="4">
        <f t="shared" si="13"/>
        <v>2.2574343591040824E-2</v>
      </c>
      <c r="CC172" s="4">
        <f t="shared" si="13"/>
        <v>2.2296147089685192E-2</v>
      </c>
      <c r="CD172" s="4">
        <f t="shared" si="13"/>
        <v>2.229615059638701E-2</v>
      </c>
      <c r="CE172" s="4">
        <f t="shared" si="13"/>
        <v>2.2296149823728406E-2</v>
      </c>
      <c r="CF172" s="4">
        <f t="shared" si="15"/>
        <v>2.2296147005678613E-2</v>
      </c>
      <c r="CH172">
        <v>386847</v>
      </c>
    </row>
    <row r="173" spans="1:86" x14ac:dyDescent="0.25">
      <c r="A173" s="2">
        <v>171</v>
      </c>
      <c r="B173" t="s">
        <v>208</v>
      </c>
      <c r="C173" t="s">
        <v>217</v>
      </c>
      <c r="D173" s="5" t="s">
        <v>7</v>
      </c>
      <c r="E173" s="3">
        <v>1</v>
      </c>
      <c r="F173">
        <v>3214520</v>
      </c>
      <c r="G173">
        <v>3277096</v>
      </c>
      <c r="H173">
        <v>3341809</v>
      </c>
      <c r="I173">
        <v>3406466</v>
      </c>
      <c r="J173">
        <v>3468083</v>
      </c>
      <c r="K173">
        <v>3524596</v>
      </c>
      <c r="L173">
        <v>3574972</v>
      </c>
      <c r="M173">
        <v>3619997</v>
      </c>
      <c r="N173">
        <v>3661642</v>
      </c>
      <c r="O173">
        <v>3702834</v>
      </c>
      <c r="P173">
        <v>3745637</v>
      </c>
      <c r="Q173">
        <v>3790948</v>
      </c>
      <c r="R173">
        <v>3838002</v>
      </c>
      <c r="S173">
        <v>3885229</v>
      </c>
      <c r="T173">
        <v>3930283</v>
      </c>
      <c r="U173">
        <v>3971608</v>
      </c>
      <c r="V173">
        <v>4008411</v>
      </c>
      <c r="W173">
        <v>4041623</v>
      </c>
      <c r="X173">
        <v>4073480</v>
      </c>
      <c r="Y173">
        <v>4107135</v>
      </c>
      <c r="Z173">
        <v>4144726</v>
      </c>
      <c r="AA173">
        <v>4185074</v>
      </c>
      <c r="AB173">
        <v>4226663</v>
      </c>
      <c r="AC173">
        <v>4270598</v>
      </c>
      <c r="AD173">
        <v>4318301</v>
      </c>
      <c r="AE173">
        <v>4369527</v>
      </c>
      <c r="AF173">
        <v>4428460</v>
      </c>
      <c r="AG173">
        <v>4491745</v>
      </c>
      <c r="AH173">
        <v>4542757</v>
      </c>
      <c r="AI173">
        <v>4559256</v>
      </c>
      <c r="AJ173">
        <v>4526996</v>
      </c>
      <c r="AK173">
        <v>4437898</v>
      </c>
      <c r="AL173">
        <v>4301169</v>
      </c>
      <c r="AM173">
        <v>4141167</v>
      </c>
      <c r="AN173">
        <v>3992256</v>
      </c>
      <c r="AO173">
        <v>3879278</v>
      </c>
      <c r="AP173">
        <v>3810649</v>
      </c>
      <c r="AQ173">
        <v>3779354</v>
      </c>
      <c r="AR173">
        <v>3775898</v>
      </c>
      <c r="AS173">
        <v>3784389</v>
      </c>
      <c r="AT173">
        <v>3792878</v>
      </c>
      <c r="AU173">
        <v>3799747</v>
      </c>
      <c r="AV173">
        <v>3808347</v>
      </c>
      <c r="AW173">
        <v>3817313</v>
      </c>
      <c r="AX173">
        <v>3825872</v>
      </c>
      <c r="AY173">
        <v>3833377</v>
      </c>
      <c r="AZ173">
        <v>3838504</v>
      </c>
      <c r="BA173">
        <v>3840418</v>
      </c>
      <c r="BB173">
        <v>3839749</v>
      </c>
      <c r="BC173">
        <v>3837732</v>
      </c>
      <c r="BD173">
        <v>3835258</v>
      </c>
      <c r="BE173">
        <v>3832310</v>
      </c>
      <c r="BF173">
        <v>3828419</v>
      </c>
      <c r="BG173">
        <v>3823533</v>
      </c>
      <c r="BH173">
        <v>3817554</v>
      </c>
      <c r="BI173">
        <v>3810416</v>
      </c>
      <c r="BJ173">
        <v>3810415.9993994036</v>
      </c>
      <c r="BK173">
        <v>3810415.9987988072</v>
      </c>
      <c r="BL173">
        <v>3810415.9981982107</v>
      </c>
      <c r="BM173">
        <v>3810415.9975976143</v>
      </c>
      <c r="BN173">
        <v>3810415.9969970179</v>
      </c>
      <c r="BO173">
        <v>3810415.9963964215</v>
      </c>
      <c r="BP173">
        <v>3810415.995795825</v>
      </c>
      <c r="BQ173">
        <v>-6.005964107924644E-4</v>
      </c>
      <c r="BR173" s="6">
        <f t="shared" si="12"/>
        <v>3828419</v>
      </c>
      <c r="BT173" s="4">
        <f t="shared" si="14"/>
        <v>-2.1147756168349297E-4</v>
      </c>
      <c r="BU173" s="4">
        <f t="shared" si="14"/>
        <v>-5.282255152534443E-4</v>
      </c>
      <c r="BV173" s="4">
        <f t="shared" si="14"/>
        <v>-7.3849608840115266E-4</v>
      </c>
      <c r="BW173" s="4">
        <f t="shared" si="13"/>
        <v>-9.2624647153294326E-4</v>
      </c>
      <c r="BX173" s="4">
        <f t="shared" si="13"/>
        <v>-1.1560323442909581E-3</v>
      </c>
      <c r="BY173" s="4">
        <f t="shared" si="13"/>
        <v>-1.4313209342519118E-3</v>
      </c>
      <c r="BZ173" s="4">
        <f t="shared" si="13"/>
        <v>-1.1776946886016271E-3</v>
      </c>
      <c r="CA173" s="4">
        <f t="shared" si="13"/>
        <v>-8.5875483029529409E-4</v>
      </c>
      <c r="CB173" s="4">
        <f t="shared" si="13"/>
        <v>-4.6777414370713366E-4</v>
      </c>
      <c r="CC173" s="4">
        <f t="shared" si="13"/>
        <v>-1.5761969507366302E-10</v>
      </c>
      <c r="CD173" s="4">
        <f t="shared" si="13"/>
        <v>-1.5761969507366302E-10</v>
      </c>
      <c r="CE173" s="4">
        <f t="shared" si="13"/>
        <v>-1.5761969507366302E-10</v>
      </c>
      <c r="CF173" s="4">
        <f t="shared" si="15"/>
        <v>-1.5761969507366302E-10</v>
      </c>
      <c r="CH173">
        <v>51187</v>
      </c>
    </row>
    <row r="174" spans="1:86" x14ac:dyDescent="0.25">
      <c r="A174" s="2">
        <v>172</v>
      </c>
      <c r="B174" t="s">
        <v>209</v>
      </c>
      <c r="C174" t="s">
        <v>218</v>
      </c>
      <c r="D174" s="5" t="s">
        <v>23</v>
      </c>
      <c r="E174" s="3">
        <v>1</v>
      </c>
      <c r="F174">
        <v>2828600</v>
      </c>
      <c r="G174">
        <v>2824400</v>
      </c>
      <c r="H174">
        <v>2836050</v>
      </c>
      <c r="I174">
        <v>2852650</v>
      </c>
      <c r="J174">
        <v>2866550</v>
      </c>
      <c r="K174">
        <v>2877300</v>
      </c>
      <c r="L174">
        <v>2888800</v>
      </c>
      <c r="M174">
        <v>2902450</v>
      </c>
      <c r="N174">
        <v>2915550</v>
      </c>
      <c r="O174">
        <v>2932650</v>
      </c>
      <c r="P174">
        <v>2957250</v>
      </c>
      <c r="Q174">
        <v>2992050</v>
      </c>
      <c r="R174">
        <v>3036850</v>
      </c>
      <c r="S174">
        <v>3085950</v>
      </c>
      <c r="T174">
        <v>3137500</v>
      </c>
      <c r="U174">
        <v>3189550</v>
      </c>
      <c r="V174">
        <v>3238050</v>
      </c>
      <c r="W174">
        <v>3282200</v>
      </c>
      <c r="X174">
        <v>3329100</v>
      </c>
      <c r="Y174">
        <v>3373750</v>
      </c>
      <c r="Z174">
        <v>3412800</v>
      </c>
      <c r="AA174">
        <v>3453000</v>
      </c>
      <c r="AB174">
        <v>3485800</v>
      </c>
      <c r="AC174">
        <v>3510600</v>
      </c>
      <c r="AD174">
        <v>3532423</v>
      </c>
      <c r="AE174">
        <v>3538082</v>
      </c>
      <c r="AF174">
        <v>3539690</v>
      </c>
      <c r="AG174">
        <v>3540057</v>
      </c>
      <c r="AH174">
        <v>3524949</v>
      </c>
      <c r="AI174">
        <v>3511009</v>
      </c>
      <c r="AJ174">
        <v>3513974</v>
      </c>
      <c r="AK174">
        <v>3534235</v>
      </c>
      <c r="AL174">
        <v>3558430</v>
      </c>
      <c r="AM174">
        <v>3576261</v>
      </c>
      <c r="AN174">
        <v>3590386</v>
      </c>
      <c r="AO174">
        <v>3608841</v>
      </c>
      <c r="AP174">
        <v>3637510</v>
      </c>
      <c r="AQ174">
        <v>3674171</v>
      </c>
      <c r="AR174">
        <v>3712696</v>
      </c>
      <c r="AS174">
        <v>3754786</v>
      </c>
      <c r="AT174">
        <v>3805174</v>
      </c>
      <c r="AU174">
        <v>3866243</v>
      </c>
      <c r="AV174">
        <v>3931947</v>
      </c>
      <c r="AW174">
        <v>3996521</v>
      </c>
      <c r="AX174">
        <v>4070262</v>
      </c>
      <c r="AY174">
        <v>4159914</v>
      </c>
      <c r="AZ174">
        <v>4273591</v>
      </c>
      <c r="BA174">
        <v>4398942</v>
      </c>
      <c r="BB174">
        <v>4489544</v>
      </c>
      <c r="BC174">
        <v>4535375</v>
      </c>
      <c r="BD174">
        <v>4560155</v>
      </c>
      <c r="BE174">
        <v>4576794</v>
      </c>
      <c r="BF174">
        <v>4586897</v>
      </c>
      <c r="BG174">
        <v>4598294</v>
      </c>
      <c r="BH174">
        <v>4617225</v>
      </c>
      <c r="BI174">
        <v>4640703</v>
      </c>
      <c r="BJ174">
        <v>4640703.0109971752</v>
      </c>
      <c r="BK174">
        <v>4640703.0219943505</v>
      </c>
      <c r="BL174">
        <v>4640703.0329915257</v>
      </c>
      <c r="BM174">
        <v>4640703.043988701</v>
      </c>
      <c r="BN174">
        <v>4640703.0549858762</v>
      </c>
      <c r="BO174">
        <v>4640703.0659830514</v>
      </c>
      <c r="BP174">
        <v>4640703.0769802267</v>
      </c>
      <c r="BQ174">
        <v>1.0997175473831833E-2</v>
      </c>
      <c r="BR174" s="6">
        <f t="shared" si="12"/>
        <v>4586897</v>
      </c>
      <c r="BT174" s="4">
        <f t="shared" si="14"/>
        <v>1.635788809239247E-2</v>
      </c>
      <c r="BU174" s="4">
        <f t="shared" si="14"/>
        <v>9.9579273401750878E-3</v>
      </c>
      <c r="BV174" s="4">
        <f t="shared" si="14"/>
        <v>5.3775632205093071E-3</v>
      </c>
      <c r="BW174" s="4">
        <f t="shared" si="13"/>
        <v>3.4503374589371916E-3</v>
      </c>
      <c r="BX174" s="4">
        <f t="shared" si="13"/>
        <v>3.1141542107595566E-3</v>
      </c>
      <c r="BY174" s="4">
        <f t="shared" si="13"/>
        <v>3.4727938164533789E-3</v>
      </c>
      <c r="BZ174" s="4">
        <f t="shared" si="13"/>
        <v>2.9197805684630929E-3</v>
      </c>
      <c r="CA174" s="4">
        <f t="shared" si="13"/>
        <v>2.2977615625481285E-3</v>
      </c>
      <c r="CB174" s="4">
        <f t="shared" si="13"/>
        <v>1.2688030530845218E-3</v>
      </c>
      <c r="CC174" s="4">
        <f t="shared" si="13"/>
        <v>2.3697217521601033E-9</v>
      </c>
      <c r="CD174" s="4">
        <f t="shared" si="13"/>
        <v>2.3697217521601033E-9</v>
      </c>
      <c r="CE174" s="4">
        <f t="shared" si="13"/>
        <v>2.3697217521601033E-9</v>
      </c>
      <c r="CF174" s="4">
        <f t="shared" si="15"/>
        <v>2.3697217521601033E-9</v>
      </c>
      <c r="CH174">
        <v>68883</v>
      </c>
    </row>
    <row r="175" spans="1:86" x14ac:dyDescent="0.25">
      <c r="A175" s="2">
        <v>173</v>
      </c>
      <c r="B175" t="s">
        <v>210</v>
      </c>
      <c r="C175" t="s">
        <v>219</v>
      </c>
      <c r="D175" s="5" t="s">
        <v>25</v>
      </c>
      <c r="E175" s="3">
        <v>1</v>
      </c>
      <c r="F175">
        <v>499525</v>
      </c>
      <c r="G175">
        <v>508311</v>
      </c>
      <c r="H175">
        <v>517446</v>
      </c>
      <c r="I175">
        <v>526936</v>
      </c>
      <c r="J175">
        <v>536798</v>
      </c>
      <c r="K175">
        <v>547035</v>
      </c>
      <c r="L175">
        <v>557252</v>
      </c>
      <c r="M175">
        <v>567330</v>
      </c>
      <c r="N175">
        <v>577824</v>
      </c>
      <c r="O175">
        <v>589519</v>
      </c>
      <c r="P175">
        <v>602737</v>
      </c>
      <c r="Q175">
        <v>618508</v>
      </c>
      <c r="R175">
        <v>636100</v>
      </c>
      <c r="S175">
        <v>652017</v>
      </c>
      <c r="T175">
        <v>661528</v>
      </c>
      <c r="U175">
        <v>661634</v>
      </c>
      <c r="V175">
        <v>650490</v>
      </c>
      <c r="W175">
        <v>630151</v>
      </c>
      <c r="X175">
        <v>606295</v>
      </c>
      <c r="Y175">
        <v>586886</v>
      </c>
      <c r="Z175">
        <v>577580</v>
      </c>
      <c r="AA175">
        <v>580556</v>
      </c>
      <c r="AB175">
        <v>593937</v>
      </c>
      <c r="AC175">
        <v>614379</v>
      </c>
      <c r="AD175">
        <v>636670</v>
      </c>
      <c r="AE175">
        <v>657018</v>
      </c>
      <c r="AF175">
        <v>674128</v>
      </c>
      <c r="AG175">
        <v>689170</v>
      </c>
      <c r="AH175">
        <v>703696</v>
      </c>
      <c r="AI175">
        <v>720198</v>
      </c>
      <c r="AJ175">
        <v>740231</v>
      </c>
      <c r="AK175">
        <v>764884</v>
      </c>
      <c r="AL175">
        <v>792846</v>
      </c>
      <c r="AM175">
        <v>820471</v>
      </c>
      <c r="AN175">
        <v>842752</v>
      </c>
      <c r="AO175">
        <v>856439</v>
      </c>
      <c r="AP175">
        <v>859496</v>
      </c>
      <c r="AQ175">
        <v>853867</v>
      </c>
      <c r="AR175">
        <v>845106</v>
      </c>
      <c r="AS175">
        <v>841063</v>
      </c>
      <c r="AT175">
        <v>847185</v>
      </c>
      <c r="AU175">
        <v>865848</v>
      </c>
      <c r="AV175">
        <v>894837</v>
      </c>
      <c r="AW175">
        <v>929431</v>
      </c>
      <c r="AX175">
        <v>962634</v>
      </c>
      <c r="AY175">
        <v>979201</v>
      </c>
      <c r="AZ175">
        <v>996052</v>
      </c>
      <c r="BA175">
        <v>1013194</v>
      </c>
      <c r="BB175">
        <v>1030630</v>
      </c>
      <c r="BC175">
        <v>1048367</v>
      </c>
      <c r="BD175">
        <v>1066409</v>
      </c>
      <c r="BE175">
        <v>1120392</v>
      </c>
      <c r="BF175">
        <v>1148958</v>
      </c>
      <c r="BG175">
        <v>1180069</v>
      </c>
      <c r="BH175">
        <v>1212107</v>
      </c>
      <c r="BI175">
        <v>1245015</v>
      </c>
      <c r="BJ175">
        <v>1245015.0243073134</v>
      </c>
      <c r="BK175">
        <v>1245015.0486146268</v>
      </c>
      <c r="BL175">
        <v>1245015.0729219401</v>
      </c>
      <c r="BM175">
        <v>1245015.0972292535</v>
      </c>
      <c r="BN175">
        <v>1245015.1215365669</v>
      </c>
      <c r="BO175">
        <v>1245015.1458438803</v>
      </c>
      <c r="BP175">
        <v>1245015.1701511936</v>
      </c>
      <c r="BQ175">
        <v>2.4307313468301173E-2</v>
      </c>
      <c r="BR175" s="6">
        <f t="shared" si="12"/>
        <v>1148958</v>
      </c>
      <c r="BT175" s="4">
        <f t="shared" si="14"/>
        <v>1.7209593542841795E-2</v>
      </c>
      <c r="BU175" s="4">
        <f t="shared" si="14"/>
        <v>2.5461470805497877E-2</v>
      </c>
      <c r="BV175" s="4">
        <f t="shared" si="14"/>
        <v>2.7543800529411744E-2</v>
      </c>
      <c r="BW175" s="4">
        <f t="shared" si="13"/>
        <v>3.0026776985633719E-2</v>
      </c>
      <c r="BX175" s="4">
        <f t="shared" si="13"/>
        <v>3.2533829051162533E-2</v>
      </c>
      <c r="BY175" s="4">
        <f t="shared" si="13"/>
        <v>2.671792959176611E-2</v>
      </c>
      <c r="BZ175" s="4">
        <f t="shared" si="13"/>
        <v>2.0275856439661677E-2</v>
      </c>
      <c r="CA175" s="4">
        <f t="shared" si="13"/>
        <v>1.3483773513571107E-2</v>
      </c>
      <c r="CB175" s="4">
        <f t="shared" si="13"/>
        <v>6.7193414136539342E-3</v>
      </c>
      <c r="CC175" s="4">
        <f t="shared" si="13"/>
        <v>1.952371064817271E-8</v>
      </c>
      <c r="CD175" s="4">
        <f t="shared" si="13"/>
        <v>1.95237102040835E-8</v>
      </c>
      <c r="CE175" s="4">
        <f t="shared" si="13"/>
        <v>1.9523709982038895E-8</v>
      </c>
      <c r="CF175" s="4">
        <f t="shared" si="15"/>
        <v>1.9523709537949685E-8</v>
      </c>
      <c r="CH175">
        <v>14874</v>
      </c>
    </row>
    <row r="176" spans="1:86" x14ac:dyDescent="0.25">
      <c r="A176" s="2">
        <v>174</v>
      </c>
      <c r="B176" t="s">
        <v>211</v>
      </c>
      <c r="C176" t="s">
        <v>220</v>
      </c>
      <c r="D176" s="5" t="s">
        <v>16</v>
      </c>
      <c r="E176" s="3">
        <v>1</v>
      </c>
      <c r="F176">
        <v>848481</v>
      </c>
      <c r="G176">
        <v>865356</v>
      </c>
      <c r="H176">
        <v>880019</v>
      </c>
      <c r="I176">
        <v>892571</v>
      </c>
      <c r="J176">
        <v>903272</v>
      </c>
      <c r="K176">
        <v>912419</v>
      </c>
      <c r="L176">
        <v>919902</v>
      </c>
      <c r="M176">
        <v>925918</v>
      </c>
      <c r="N176">
        <v>931466</v>
      </c>
      <c r="O176">
        <v>937846</v>
      </c>
      <c r="P176">
        <v>945996</v>
      </c>
      <c r="Q176">
        <v>956364</v>
      </c>
      <c r="R176">
        <v>968742</v>
      </c>
      <c r="S176">
        <v>982594</v>
      </c>
      <c r="T176">
        <v>997052</v>
      </c>
      <c r="U176">
        <v>1011487</v>
      </c>
      <c r="V176">
        <v>1025655</v>
      </c>
      <c r="W176">
        <v>1039757</v>
      </c>
      <c r="X176">
        <v>1054109</v>
      </c>
      <c r="Y176">
        <v>1069199</v>
      </c>
      <c r="Z176">
        <v>1085308</v>
      </c>
      <c r="AA176">
        <v>1102562</v>
      </c>
      <c r="AB176">
        <v>1120610</v>
      </c>
      <c r="AC176">
        <v>1138673</v>
      </c>
      <c r="AD176">
        <v>1155701</v>
      </c>
      <c r="AE176">
        <v>1170935</v>
      </c>
      <c r="AF176">
        <v>1184053</v>
      </c>
      <c r="AG176">
        <v>1195243</v>
      </c>
      <c r="AH176">
        <v>1204890</v>
      </c>
      <c r="AI176">
        <v>1213625</v>
      </c>
      <c r="AJ176">
        <v>1221904</v>
      </c>
      <c r="AK176">
        <v>1229906</v>
      </c>
      <c r="AL176">
        <v>1237486</v>
      </c>
      <c r="AM176">
        <v>1244410</v>
      </c>
      <c r="AN176">
        <v>1250316</v>
      </c>
      <c r="AO176">
        <v>1255001</v>
      </c>
      <c r="AP176">
        <v>1258365</v>
      </c>
      <c r="AQ176">
        <v>1260677</v>
      </c>
      <c r="AR176">
        <v>1262544</v>
      </c>
      <c r="AS176">
        <v>1264781</v>
      </c>
      <c r="AT176">
        <v>1267980</v>
      </c>
      <c r="AU176">
        <v>1272383</v>
      </c>
      <c r="AV176">
        <v>1277840</v>
      </c>
      <c r="AW176">
        <v>1284052</v>
      </c>
      <c r="AX176">
        <v>1290535</v>
      </c>
      <c r="AY176">
        <v>1296933</v>
      </c>
      <c r="AZ176">
        <v>1303141</v>
      </c>
      <c r="BA176">
        <v>1309260</v>
      </c>
      <c r="BB176">
        <v>1315372</v>
      </c>
      <c r="BC176">
        <v>1321624</v>
      </c>
      <c r="BD176">
        <v>1328095</v>
      </c>
      <c r="BE176">
        <v>1334790</v>
      </c>
      <c r="BF176">
        <v>1341579</v>
      </c>
      <c r="BG176">
        <v>1348240</v>
      </c>
      <c r="BH176">
        <v>1354483</v>
      </c>
      <c r="BI176">
        <v>1360088</v>
      </c>
      <c r="BJ176">
        <v>1360088.0047660372</v>
      </c>
      <c r="BK176">
        <v>1360088.0095320744</v>
      </c>
      <c r="BL176">
        <v>1360088.0142981117</v>
      </c>
      <c r="BM176">
        <v>1360088.0190641489</v>
      </c>
      <c r="BN176">
        <v>1360088.0238301861</v>
      </c>
      <c r="BO176">
        <v>1360088.0285962233</v>
      </c>
      <c r="BP176">
        <v>1360088.0333622606</v>
      </c>
      <c r="BQ176">
        <v>4.7660373181923621E-3</v>
      </c>
      <c r="BR176" s="6">
        <f t="shared" si="12"/>
        <v>1341579</v>
      </c>
      <c r="BT176" s="4">
        <f t="shared" si="14"/>
        <v>4.7532813039490307E-3</v>
      </c>
      <c r="BU176" s="4">
        <f t="shared" si="14"/>
        <v>4.8396444305043307E-3</v>
      </c>
      <c r="BV176" s="4">
        <f t="shared" si="14"/>
        <v>4.944122812405638E-3</v>
      </c>
      <c r="BW176" s="4">
        <f t="shared" si="13"/>
        <v>4.9971329188556179E-3</v>
      </c>
      <c r="BX176" s="4">
        <f t="shared" si="13"/>
        <v>4.9306777480033759E-3</v>
      </c>
      <c r="BY176" s="4">
        <f t="shared" si="13"/>
        <v>4.7048902596702469E-3</v>
      </c>
      <c r="BZ176" s="4">
        <f t="shared" si="13"/>
        <v>3.4314059874742675E-3</v>
      </c>
      <c r="CA176" s="4">
        <f t="shared" si="13"/>
        <v>2.1897370700074692E-3</v>
      </c>
      <c r="CB176" s="4">
        <f t="shared" si="13"/>
        <v>1.0329286892898359E-3</v>
      </c>
      <c r="CC176" s="4">
        <f t="shared" si="13"/>
        <v>3.5042122537021214E-9</v>
      </c>
      <c r="CD176" s="4">
        <f t="shared" si="13"/>
        <v>3.5042122537021214E-9</v>
      </c>
      <c r="CE176" s="4">
        <f t="shared" si="13"/>
        <v>3.5042122537021214E-9</v>
      </c>
      <c r="CF176" s="4">
        <f t="shared" si="15"/>
        <v>3.5042122537021214E-9</v>
      </c>
      <c r="CH176">
        <v>5128</v>
      </c>
    </row>
    <row r="177" spans="1:86" x14ac:dyDescent="0.25">
      <c r="A177" s="2">
        <v>175</v>
      </c>
      <c r="B177" t="s">
        <v>212</v>
      </c>
      <c r="C177" t="s">
        <v>221</v>
      </c>
      <c r="D177" s="5" t="s">
        <v>23</v>
      </c>
      <c r="E177" s="3">
        <v>1</v>
      </c>
      <c r="F177">
        <v>52400000</v>
      </c>
      <c r="G177">
        <v>52800000</v>
      </c>
      <c r="H177">
        <v>53250000</v>
      </c>
      <c r="I177">
        <v>53650000</v>
      </c>
      <c r="J177">
        <v>54000000</v>
      </c>
      <c r="K177">
        <v>54348050</v>
      </c>
      <c r="L177">
        <v>54648500</v>
      </c>
      <c r="M177">
        <v>54943600</v>
      </c>
      <c r="N177">
        <v>55211700</v>
      </c>
      <c r="O177">
        <v>55441750</v>
      </c>
      <c r="P177">
        <v>55663250</v>
      </c>
      <c r="Q177">
        <v>55896223</v>
      </c>
      <c r="R177">
        <v>56086065</v>
      </c>
      <c r="S177">
        <v>56194527</v>
      </c>
      <c r="T177">
        <v>56229974</v>
      </c>
      <c r="U177">
        <v>56225800</v>
      </c>
      <c r="V177">
        <v>56211968</v>
      </c>
      <c r="W177">
        <v>56193492</v>
      </c>
      <c r="X177">
        <v>56196504</v>
      </c>
      <c r="Y177">
        <v>56246951</v>
      </c>
      <c r="Z177">
        <v>56314216</v>
      </c>
      <c r="AA177">
        <v>56333829</v>
      </c>
      <c r="AB177">
        <v>56313641</v>
      </c>
      <c r="AC177">
        <v>56332848</v>
      </c>
      <c r="AD177">
        <v>56422072</v>
      </c>
      <c r="AE177">
        <v>56550268</v>
      </c>
      <c r="AF177">
        <v>56681396</v>
      </c>
      <c r="AG177">
        <v>56802050</v>
      </c>
      <c r="AH177">
        <v>56928327</v>
      </c>
      <c r="AI177">
        <v>57076711</v>
      </c>
      <c r="AJ177">
        <v>57247586</v>
      </c>
      <c r="AK177">
        <v>57424897</v>
      </c>
      <c r="AL177">
        <v>57580402</v>
      </c>
      <c r="AM177">
        <v>57718614</v>
      </c>
      <c r="AN177">
        <v>57865745</v>
      </c>
      <c r="AO177">
        <v>58019030</v>
      </c>
      <c r="AP177">
        <v>58166950</v>
      </c>
      <c r="AQ177">
        <v>58316954</v>
      </c>
      <c r="AR177">
        <v>58487141</v>
      </c>
      <c r="AS177">
        <v>58682466</v>
      </c>
      <c r="AT177">
        <v>58892514</v>
      </c>
      <c r="AU177">
        <v>59119673</v>
      </c>
      <c r="AV177">
        <v>59370479</v>
      </c>
      <c r="AW177">
        <v>59647577</v>
      </c>
      <c r="AX177">
        <v>59987905</v>
      </c>
      <c r="AY177">
        <v>60401206</v>
      </c>
      <c r="AZ177">
        <v>60846820</v>
      </c>
      <c r="BA177">
        <v>61322463</v>
      </c>
      <c r="BB177">
        <v>61806995</v>
      </c>
      <c r="BC177">
        <v>62276270</v>
      </c>
      <c r="BD177">
        <v>62766365</v>
      </c>
      <c r="BE177">
        <v>63258918</v>
      </c>
      <c r="BF177">
        <v>63700300</v>
      </c>
      <c r="BG177">
        <v>64128226</v>
      </c>
      <c r="BH177">
        <v>64613160</v>
      </c>
      <c r="BI177">
        <v>65138232</v>
      </c>
      <c r="BJ177">
        <v>65138232.007578835</v>
      </c>
      <c r="BK177">
        <v>65138232.01515767</v>
      </c>
      <c r="BL177">
        <v>65138232.022736505</v>
      </c>
      <c r="BM177">
        <v>65138232.03031534</v>
      </c>
      <c r="BN177">
        <v>65138232.037894174</v>
      </c>
      <c r="BO177">
        <v>65138232.045473009</v>
      </c>
      <c r="BP177">
        <v>65138232.053051844</v>
      </c>
      <c r="BQ177">
        <v>7.5788337047850707E-3</v>
      </c>
      <c r="BR177" s="6">
        <f t="shared" si="12"/>
        <v>63700300</v>
      </c>
      <c r="BT177" s="4">
        <f t="shared" si="14"/>
        <v>7.7951709747465792E-3</v>
      </c>
      <c r="BU177" s="4">
        <f t="shared" si="14"/>
        <v>7.8027576270423005E-3</v>
      </c>
      <c r="BV177" s="4">
        <f t="shared" si="14"/>
        <v>7.5717030590076728E-3</v>
      </c>
      <c r="BW177" s="4">
        <f t="shared" si="13"/>
        <v>7.3529400413954171E-3</v>
      </c>
      <c r="BX177" s="4">
        <f t="shared" si="13"/>
        <v>7.2760337278328091E-3</v>
      </c>
      <c r="BY177" s="4">
        <f t="shared" si="13"/>
        <v>7.3457345625669301E-3</v>
      </c>
      <c r="BZ177" s="4">
        <f t="shared" si="13"/>
        <v>5.5961970130302685E-3</v>
      </c>
      <c r="CA177" s="4">
        <f t="shared" si="13"/>
        <v>3.9144033307003667E-3</v>
      </c>
      <c r="CB177" s="4">
        <f t="shared" si="13"/>
        <v>2.0254367003478269E-3</v>
      </c>
      <c r="CC177" s="4">
        <f t="shared" si="13"/>
        <v>1.1635004071308686E-10</v>
      </c>
      <c r="CD177" s="4">
        <f t="shared" si="13"/>
        <v>1.1635004071308686E-10</v>
      </c>
      <c r="CE177" s="4">
        <f t="shared" si="13"/>
        <v>1.1635004071308686E-10</v>
      </c>
      <c r="CF177" s="4">
        <f t="shared" si="15"/>
        <v>1.1635004071308686E-10</v>
      </c>
      <c r="CH177">
        <v>241930</v>
      </c>
    </row>
    <row r="178" spans="1:86" x14ac:dyDescent="0.25">
      <c r="CH178">
        <v>148940000</v>
      </c>
    </row>
  </sheetData>
  <autoFilter ref="A2:F177" xr:uid="{00000000-0009-0000-0000-000001000000}"/>
  <mergeCells count="1">
    <mergeCell ref="BT1:CF1"/>
  </mergeCells>
  <conditionalFormatting sqref="E173:E177">
    <cfRule type="cellIs" dxfId="66" priority="1" operator="equal">
      <formula>1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>
    <tabColor theme="6"/>
  </sheetPr>
  <dimension ref="A1:AI177"/>
  <sheetViews>
    <sheetView showGridLines="0" workbookViewId="0"/>
  </sheetViews>
  <sheetFormatPr defaultRowHeight="15" x14ac:dyDescent="0.25"/>
  <cols>
    <col min="2" max="2" width="29.28515625" bestFit="1" customWidth="1"/>
    <col min="3" max="3" width="21.7109375" customWidth="1"/>
    <col min="6" max="7" width="22.28515625" customWidth="1"/>
    <col min="8" max="19" width="10.140625" bestFit="1" customWidth="1"/>
    <col min="20" max="20" width="8.5703125" customWidth="1"/>
    <col min="21" max="25" width="8.5703125" style="2" customWidth="1"/>
    <col min="26" max="26" width="14.7109375" style="2" bestFit="1" customWidth="1"/>
    <col min="27" max="33" width="8.85546875" style="2"/>
  </cols>
  <sheetData>
    <row r="1" spans="1:35" x14ac:dyDescent="0.25">
      <c r="U1" s="719" t="s">
        <v>214</v>
      </c>
      <c r="V1" s="719"/>
      <c r="W1" s="719"/>
      <c r="X1" s="719"/>
      <c r="Y1" s="719"/>
      <c r="Z1" s="719"/>
      <c r="AA1" s="719"/>
      <c r="AB1" s="719"/>
      <c r="AC1" s="719"/>
      <c r="AD1" s="719"/>
      <c r="AE1" s="719"/>
      <c r="AF1" s="719"/>
      <c r="AG1" s="719"/>
      <c r="AI1" s="11"/>
    </row>
    <row r="2" spans="1:3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222</v>
      </c>
      <c r="G2" s="1">
        <v>2010</v>
      </c>
      <c r="H2" s="1">
        <v>2011</v>
      </c>
      <c r="I2" s="1">
        <v>2012</v>
      </c>
      <c r="J2" s="1">
        <v>2013</v>
      </c>
      <c r="K2" s="1">
        <v>2014</v>
      </c>
      <c r="L2" s="1">
        <v>2015</v>
      </c>
      <c r="M2" s="1">
        <v>2016</v>
      </c>
      <c r="N2" s="1">
        <v>2017</v>
      </c>
      <c r="O2" s="1">
        <v>2018</v>
      </c>
      <c r="P2" s="1">
        <v>2019</v>
      </c>
      <c r="Q2" s="1">
        <v>2020</v>
      </c>
      <c r="R2" s="1">
        <v>2021</v>
      </c>
      <c r="S2" s="1">
        <v>2022</v>
      </c>
      <c r="T2" s="1"/>
      <c r="U2" s="1">
        <v>2010</v>
      </c>
      <c r="V2" s="1">
        <f>H2</f>
        <v>2011</v>
      </c>
      <c r="W2" s="1">
        <f t="shared" ref="W2:AB2" si="0">I2</f>
        <v>2012</v>
      </c>
      <c r="X2" s="1">
        <f t="shared" si="0"/>
        <v>2013</v>
      </c>
      <c r="Y2" s="1">
        <f t="shared" si="0"/>
        <v>2014</v>
      </c>
      <c r="Z2" s="1">
        <f t="shared" si="0"/>
        <v>2015</v>
      </c>
      <c r="AA2" s="1">
        <f t="shared" si="0"/>
        <v>2016</v>
      </c>
      <c r="AB2" s="1">
        <f t="shared" si="0"/>
        <v>2017</v>
      </c>
      <c r="AC2" s="1">
        <f>O2</f>
        <v>2018</v>
      </c>
      <c r="AD2" s="1">
        <f t="shared" ref="AD2:AG2" si="1">P2</f>
        <v>2019</v>
      </c>
      <c r="AE2" s="1">
        <f t="shared" si="1"/>
        <v>2020</v>
      </c>
      <c r="AF2" s="1">
        <f t="shared" si="1"/>
        <v>2021</v>
      </c>
      <c r="AG2" s="1">
        <f t="shared" si="1"/>
        <v>2022</v>
      </c>
      <c r="AI2" s="15">
        <f>'Config!'!$BA$15</f>
        <v>2012</v>
      </c>
    </row>
    <row r="3" spans="1:35" x14ac:dyDescent="0.25">
      <c r="A3" s="2">
        <v>1</v>
      </c>
      <c r="B3" s="3" t="s">
        <v>6</v>
      </c>
      <c r="C3" t="s">
        <v>6</v>
      </c>
      <c r="D3" t="s">
        <v>7</v>
      </c>
      <c r="E3">
        <v>1</v>
      </c>
      <c r="F3" s="24"/>
      <c r="G3" s="24">
        <v>11.926953213696068</v>
      </c>
      <c r="H3" s="25">
        <v>12.890866742653253</v>
      </c>
      <c r="I3" s="25">
        <v>12.319784886203763</v>
      </c>
      <c r="J3" s="25">
        <v>12.776280961155006</v>
      </c>
      <c r="K3" s="25">
        <v>13.228247844124718</v>
      </c>
      <c r="L3" s="25">
        <v>11.386931489796826</v>
      </c>
      <c r="M3" s="26">
        <v>11.861352704870031</v>
      </c>
      <c r="N3" s="26">
        <v>13.025062195790586</v>
      </c>
      <c r="O3" s="26">
        <v>15.147020535386874</v>
      </c>
      <c r="P3" s="26">
        <v>15.279183289937171</v>
      </c>
      <c r="Q3" s="26">
        <v>14.034000000000001</v>
      </c>
      <c r="R3" s="26">
        <v>38.887695390719657</v>
      </c>
      <c r="S3" s="26">
        <v>39.489648125722425</v>
      </c>
      <c r="T3" s="27"/>
      <c r="U3" s="4">
        <v>4.6462180846650325E-2</v>
      </c>
      <c r="V3" s="4">
        <f>IFERROR((H3/G3)^(1/(V$2-$U$2))-1,".")</f>
        <v>8.0818085867084166E-2</v>
      </c>
      <c r="W3" s="4">
        <f t="shared" ref="W3:AG18" si="2">IFERROR((I3/H3)^(1/(W$2-$U$2))-1,".")</f>
        <v>-2.2401553220150916E-2</v>
      </c>
      <c r="X3" s="4">
        <f t="shared" si="2"/>
        <v>1.2201810214640618E-2</v>
      </c>
      <c r="Y3" s="4">
        <f t="shared" si="2"/>
        <v>8.7289089898607841E-3</v>
      </c>
      <c r="Z3" s="4">
        <f t="shared" si="2"/>
        <v>-2.9532765879851097E-2</v>
      </c>
      <c r="AA3" s="4">
        <f t="shared" si="2"/>
        <v>6.8263785339051086E-3</v>
      </c>
      <c r="AB3" s="4">
        <f t="shared" si="2"/>
        <v>1.3459766476251689E-2</v>
      </c>
      <c r="AC3" s="4">
        <f t="shared" si="2"/>
        <v>1.904514927555967E-2</v>
      </c>
      <c r="AD3" s="4">
        <f t="shared" si="2"/>
        <v>9.6574207496358255E-4</v>
      </c>
      <c r="AE3" s="4">
        <f t="shared" si="2"/>
        <v>-8.464807634205096E-3</v>
      </c>
      <c r="AF3" s="4">
        <f t="shared" si="2"/>
        <v>9.7082171934630646E-2</v>
      </c>
      <c r="AG3" s="4">
        <f t="shared" si="2"/>
        <v>1.2808761278555458E-3</v>
      </c>
      <c r="AI3" s="16">
        <f>IF(SUMIF($G$2:$S$2,AI$2,$G3:$S3)=0,".",SUMIF($G$2:$S$2,AI$2,$G3:$S3))</f>
        <v>12.319784886203763</v>
      </c>
    </row>
    <row r="4" spans="1:35" x14ac:dyDescent="0.25">
      <c r="A4" s="2">
        <v>2</v>
      </c>
      <c r="B4" s="3" t="s">
        <v>8</v>
      </c>
      <c r="C4" t="s">
        <v>8</v>
      </c>
      <c r="D4" t="s">
        <v>9</v>
      </c>
      <c r="E4">
        <v>1</v>
      </c>
      <c r="F4" s="24"/>
      <c r="G4" s="24">
        <v>161.20726865539214</v>
      </c>
      <c r="H4" s="25">
        <v>200.01905730765489</v>
      </c>
      <c r="I4" s="25">
        <v>209.05899195212547</v>
      </c>
      <c r="J4" s="25">
        <v>209.755003250664</v>
      </c>
      <c r="K4" s="25">
        <v>213.81002246242824</v>
      </c>
      <c r="L4" s="25">
        <v>165.97927727690748</v>
      </c>
      <c r="M4" s="26">
        <v>160.12986656993451</v>
      </c>
      <c r="N4" s="26">
        <v>167.55528011318069</v>
      </c>
      <c r="O4" s="26">
        <v>175.40566037735849</v>
      </c>
      <c r="P4" s="26">
        <v>171.09128978224453</v>
      </c>
      <c r="Q4" s="26">
        <v>147.32300000000001</v>
      </c>
      <c r="R4" s="26">
        <v>692.64036568830704</v>
      </c>
      <c r="S4" s="26">
        <v>701.20453552020456</v>
      </c>
      <c r="T4" s="27"/>
      <c r="U4" s="4">
        <v>2.2493777971147599E-2</v>
      </c>
      <c r="V4" s="4">
        <f t="shared" ref="V4:AG38" si="3">IFERROR((H4/G4)^(1/(V$2-$U$2))-1,".")</f>
        <v>0.2407570637229115</v>
      </c>
      <c r="W4" s="4">
        <f t="shared" si="2"/>
        <v>2.234796752979995E-2</v>
      </c>
      <c r="X4" s="4">
        <f t="shared" si="2"/>
        <v>1.1085233520875537E-3</v>
      </c>
      <c r="Y4" s="4">
        <f t="shared" si="2"/>
        <v>4.7983947955252404E-3</v>
      </c>
      <c r="Z4" s="4">
        <f t="shared" si="2"/>
        <v>-4.9383907412287709E-2</v>
      </c>
      <c r="AA4" s="4">
        <f t="shared" si="2"/>
        <v>-5.9617897160948452E-3</v>
      </c>
      <c r="AB4" s="4">
        <f t="shared" si="2"/>
        <v>6.4964646873764131E-3</v>
      </c>
      <c r="AC4" s="4">
        <f t="shared" si="2"/>
        <v>5.739913452022849E-3</v>
      </c>
      <c r="AD4" s="4">
        <f t="shared" si="2"/>
        <v>-2.7632948574273231E-3</v>
      </c>
      <c r="AE4" s="4">
        <f t="shared" si="2"/>
        <v>-1.4845681666461719E-2</v>
      </c>
      <c r="AF4" s="4">
        <f t="shared" si="2"/>
        <v>0.1510984700976068</v>
      </c>
      <c r="AG4" s="4">
        <f t="shared" si="2"/>
        <v>1.0245836605708991E-3</v>
      </c>
      <c r="AI4" s="16">
        <f t="shared" ref="AI4:AI19" si="4">IF(SUMIF($G$2:$S$2,AI$2,$G4:$S4)=0,".",SUMIF($G$2:$S$2,AI$2,$G4:$S4))</f>
        <v>209.05899195212547</v>
      </c>
    </row>
    <row r="5" spans="1:35" x14ac:dyDescent="0.25">
      <c r="A5" s="2">
        <v>3</v>
      </c>
      <c r="B5" s="3" t="s">
        <v>10</v>
      </c>
      <c r="C5" t="s">
        <v>11</v>
      </c>
      <c r="D5" t="s">
        <v>7</v>
      </c>
      <c r="E5">
        <v>0</v>
      </c>
      <c r="F5" s="24"/>
      <c r="G5" s="24">
        <v>3.3556953642384104</v>
      </c>
      <c r="H5" s="25">
        <v>3.4420628301362237</v>
      </c>
      <c r="I5" s="25">
        <v>3.1646151869459076</v>
      </c>
      <c r="J5" s="25">
        <v>3.2815852363250131</v>
      </c>
      <c r="K5" s="25">
        <v>3.3507363672548758</v>
      </c>
      <c r="L5" s="25">
        <v>2.8114894088943103</v>
      </c>
      <c r="M5" s="26">
        <v>2.8773119469026547</v>
      </c>
      <c r="N5" s="25">
        <v>3.0133874239350913</v>
      </c>
      <c r="O5" s="26" t="s">
        <v>12</v>
      </c>
      <c r="P5" s="26" t="s">
        <v>12</v>
      </c>
      <c r="Q5" s="26" t="s">
        <v>12</v>
      </c>
      <c r="R5" s="26" t="s">
        <v>12</v>
      </c>
      <c r="S5" s="26" t="s">
        <v>12</v>
      </c>
      <c r="T5" s="27"/>
      <c r="U5" s="4" t="s">
        <v>12</v>
      </c>
      <c r="V5" s="4">
        <f t="shared" si="3"/>
        <v>2.5737576425509223E-2</v>
      </c>
      <c r="W5" s="4">
        <f t="shared" si="2"/>
        <v>-4.1149150822103464E-2</v>
      </c>
      <c r="X5" s="4">
        <f t="shared" si="2"/>
        <v>1.21718631561607E-2</v>
      </c>
      <c r="Y5" s="4">
        <f t="shared" si="2"/>
        <v>5.2269941675195941E-3</v>
      </c>
      <c r="Z5" s="4">
        <f t="shared" si="2"/>
        <v>-3.4484525915232767E-2</v>
      </c>
      <c r="AA5" s="4">
        <f t="shared" si="2"/>
        <v>3.8644686866906586E-3</v>
      </c>
      <c r="AB5" s="4">
        <f t="shared" si="2"/>
        <v>6.6230257984654095E-3</v>
      </c>
      <c r="AC5" s="4" t="str">
        <f t="shared" si="2"/>
        <v>.</v>
      </c>
      <c r="AD5" s="4" t="str">
        <f t="shared" si="2"/>
        <v>.</v>
      </c>
      <c r="AE5" s="4" t="str">
        <f t="shared" si="2"/>
        <v>.</v>
      </c>
      <c r="AF5" s="4" t="str">
        <f t="shared" si="2"/>
        <v>.</v>
      </c>
      <c r="AG5" s="4" t="str">
        <f t="shared" si="2"/>
        <v>.</v>
      </c>
      <c r="AI5" s="16">
        <f t="shared" si="4"/>
        <v>3.1646151869459076</v>
      </c>
    </row>
    <row r="6" spans="1:35" x14ac:dyDescent="0.25">
      <c r="A6" s="2">
        <v>4</v>
      </c>
      <c r="B6" s="3" t="s">
        <v>13</v>
      </c>
      <c r="C6" t="s">
        <v>13</v>
      </c>
      <c r="D6" t="s">
        <v>14</v>
      </c>
      <c r="E6">
        <v>1</v>
      </c>
      <c r="F6" s="24"/>
      <c r="G6" s="24">
        <v>83.799496611200397</v>
      </c>
      <c r="H6" s="25">
        <v>111.7896864644413</v>
      </c>
      <c r="I6" s="25">
        <v>128.05285364310555</v>
      </c>
      <c r="J6" s="25">
        <v>136.70986283119367</v>
      </c>
      <c r="K6" s="25">
        <v>145.71220031250508</v>
      </c>
      <c r="L6" s="25">
        <v>116.19364912415136</v>
      </c>
      <c r="M6" s="26">
        <v>101.12385109045537</v>
      </c>
      <c r="N6" s="25">
        <v>122.1238223335905</v>
      </c>
      <c r="O6" s="26">
        <v>101.35323078459373</v>
      </c>
      <c r="P6" s="26">
        <v>88.815697793302988</v>
      </c>
      <c r="Q6" s="26">
        <v>62.723999999999997</v>
      </c>
      <c r="R6" s="26">
        <v>202.7189994968474</v>
      </c>
      <c r="S6" s="26">
        <v>205.66458894357675</v>
      </c>
      <c r="T6" s="27"/>
      <c r="U6" s="4" t="s">
        <v>12</v>
      </c>
      <c r="V6" s="4">
        <f t="shared" si="3"/>
        <v>0.33401381852095535</v>
      </c>
      <c r="W6" s="4">
        <f t="shared" si="2"/>
        <v>7.0271008731027651E-2</v>
      </c>
      <c r="X6" s="4">
        <f t="shared" si="2"/>
        <v>2.2045417825243829E-2</v>
      </c>
      <c r="Y6" s="4">
        <f t="shared" si="2"/>
        <v>1.6070908689434393E-2</v>
      </c>
      <c r="Z6" s="4">
        <f t="shared" si="2"/>
        <v>-4.4265430513659165E-2</v>
      </c>
      <c r="AA6" s="4">
        <f t="shared" si="2"/>
        <v>-2.2886077203327027E-2</v>
      </c>
      <c r="AB6" s="4">
        <f t="shared" si="2"/>
        <v>2.7322225799567557E-2</v>
      </c>
      <c r="AC6" s="4">
        <f t="shared" si="2"/>
        <v>-2.3033547379994079E-2</v>
      </c>
      <c r="AD6" s="4">
        <f t="shared" si="2"/>
        <v>-1.4564927754028845E-2</v>
      </c>
      <c r="AE6" s="4">
        <f t="shared" si="2"/>
        <v>-3.4183987519518677E-2</v>
      </c>
      <c r="AF6" s="4">
        <f t="shared" si="2"/>
        <v>0.11253737516711393</v>
      </c>
      <c r="AG6" s="4">
        <f t="shared" si="2"/>
        <v>1.2028771803491711E-3</v>
      </c>
      <c r="AI6" s="16">
        <f t="shared" si="4"/>
        <v>128.05285364310555</v>
      </c>
    </row>
    <row r="7" spans="1:35" x14ac:dyDescent="0.25">
      <c r="A7" s="2">
        <v>5</v>
      </c>
      <c r="B7" s="3" t="s">
        <v>15</v>
      </c>
      <c r="C7" t="s">
        <v>11</v>
      </c>
      <c r="D7" t="s">
        <v>16</v>
      </c>
      <c r="E7">
        <v>0</v>
      </c>
      <c r="F7" s="24"/>
      <c r="G7" s="24" t="s">
        <v>12</v>
      </c>
      <c r="H7" s="25" t="s">
        <v>12</v>
      </c>
      <c r="I7" s="25" t="s">
        <v>12</v>
      </c>
      <c r="J7" s="25" t="s">
        <v>12</v>
      </c>
      <c r="K7" s="25" t="s">
        <v>12</v>
      </c>
      <c r="L7" s="25" t="s">
        <v>12</v>
      </c>
      <c r="M7" s="26" t="s">
        <v>12</v>
      </c>
      <c r="N7" s="25" t="s">
        <v>12</v>
      </c>
      <c r="O7" s="26" t="s">
        <v>12</v>
      </c>
      <c r="P7" s="26" t="s">
        <v>12</v>
      </c>
      <c r="Q7" s="26" t="s">
        <v>12</v>
      </c>
      <c r="R7" s="26" t="s">
        <v>12</v>
      </c>
      <c r="S7" s="26" t="s">
        <v>12</v>
      </c>
      <c r="T7" s="27"/>
      <c r="U7" s="4" t="s">
        <v>12</v>
      </c>
      <c r="V7" s="4" t="str">
        <f t="shared" si="3"/>
        <v>.</v>
      </c>
      <c r="W7" s="4" t="str">
        <f t="shared" si="2"/>
        <v>.</v>
      </c>
      <c r="X7" s="4" t="str">
        <f t="shared" si="2"/>
        <v>.</v>
      </c>
      <c r="Y7" s="4" t="str">
        <f t="shared" si="2"/>
        <v>.</v>
      </c>
      <c r="Z7" s="4" t="str">
        <f t="shared" si="2"/>
        <v>.</v>
      </c>
      <c r="AA7" s="4" t="str">
        <f t="shared" si="2"/>
        <v>.</v>
      </c>
      <c r="AB7" s="4" t="str">
        <f t="shared" si="2"/>
        <v>.</v>
      </c>
      <c r="AC7" s="4" t="str">
        <f t="shared" si="2"/>
        <v>.</v>
      </c>
      <c r="AD7" s="4" t="str">
        <f t="shared" si="2"/>
        <v>.</v>
      </c>
      <c r="AE7" s="4" t="str">
        <f t="shared" si="2"/>
        <v>.</v>
      </c>
      <c r="AF7" s="4" t="str">
        <f t="shared" si="2"/>
        <v>.</v>
      </c>
      <c r="AG7" s="4" t="str">
        <f t="shared" si="2"/>
        <v>.</v>
      </c>
      <c r="AI7" s="16" t="str">
        <f t="shared" si="4"/>
        <v>.</v>
      </c>
    </row>
    <row r="8" spans="1:35" x14ac:dyDescent="0.25">
      <c r="A8" s="2">
        <v>6</v>
      </c>
      <c r="B8" s="3" t="s">
        <v>17</v>
      </c>
      <c r="C8" t="s">
        <v>17</v>
      </c>
      <c r="D8" t="s">
        <v>18</v>
      </c>
      <c r="E8">
        <v>1</v>
      </c>
      <c r="F8" s="24"/>
      <c r="G8" s="24">
        <v>423.62742209248961</v>
      </c>
      <c r="H8" s="25">
        <v>530.1632815746575</v>
      </c>
      <c r="I8" s="25">
        <v>545.98237570112803</v>
      </c>
      <c r="J8" s="25">
        <v>552.02514025224639</v>
      </c>
      <c r="K8" s="25">
        <v>526.31967373163832</v>
      </c>
      <c r="L8" s="25">
        <v>594.74928541321242</v>
      </c>
      <c r="M8" s="26">
        <v>557.53137621796691</v>
      </c>
      <c r="N8" s="25">
        <v>642.69586475635015</v>
      </c>
      <c r="O8" s="26">
        <v>517.62670041271758</v>
      </c>
      <c r="P8" s="26">
        <v>445.44517745942602</v>
      </c>
      <c r="Q8" s="26">
        <v>382.76</v>
      </c>
      <c r="R8" s="26">
        <v>1005.5122600586476</v>
      </c>
      <c r="S8" s="26">
        <v>1049.9001827478846</v>
      </c>
      <c r="T8" s="27"/>
      <c r="U8" s="4">
        <v>3.7201451338599423E-2</v>
      </c>
      <c r="V8" s="4">
        <f t="shared" si="3"/>
        <v>0.25148480463313394</v>
      </c>
      <c r="W8" s="4">
        <f t="shared" si="2"/>
        <v>1.480941802691893E-2</v>
      </c>
      <c r="X8" s="4">
        <f t="shared" si="2"/>
        <v>3.6757031842162835E-3</v>
      </c>
      <c r="Y8" s="4">
        <f t="shared" si="2"/>
        <v>-1.1850428046683237E-2</v>
      </c>
      <c r="Z8" s="4">
        <f t="shared" si="2"/>
        <v>2.4747494039889073E-2</v>
      </c>
      <c r="AA8" s="4">
        <f t="shared" si="2"/>
        <v>-1.0712403404774307E-2</v>
      </c>
      <c r="AB8" s="4">
        <f t="shared" si="2"/>
        <v>2.0515149193808924E-2</v>
      </c>
      <c r="AC8" s="4">
        <f t="shared" si="2"/>
        <v>-2.6689529048017913E-2</v>
      </c>
      <c r="AD8" s="4">
        <f t="shared" si="2"/>
        <v>-1.6548231364806099E-2</v>
      </c>
      <c r="AE8" s="4">
        <f t="shared" si="2"/>
        <v>-1.5052168343103078E-2</v>
      </c>
      <c r="AF8" s="4">
        <f t="shared" si="2"/>
        <v>9.1774137271875666E-2</v>
      </c>
      <c r="AG8" s="4">
        <f t="shared" si="2"/>
        <v>3.6063182109495884E-3</v>
      </c>
      <c r="AI8" s="16">
        <f t="shared" si="4"/>
        <v>545.98237570112803</v>
      </c>
    </row>
    <row r="9" spans="1:35" x14ac:dyDescent="0.25">
      <c r="A9" s="2">
        <v>7</v>
      </c>
      <c r="B9" s="3" t="s">
        <v>19</v>
      </c>
      <c r="C9" t="s">
        <v>19</v>
      </c>
      <c r="D9" t="s">
        <v>7</v>
      </c>
      <c r="E9">
        <v>1</v>
      </c>
      <c r="F9" s="24"/>
      <c r="G9" s="24">
        <v>9.2602849377978149</v>
      </c>
      <c r="H9" s="25">
        <v>10.142111334496105</v>
      </c>
      <c r="I9" s="25">
        <v>10.619320048585736</v>
      </c>
      <c r="J9" s="25">
        <v>11.121465767406683</v>
      </c>
      <c r="K9" s="25">
        <v>11.60951293975425</v>
      </c>
      <c r="L9" s="25">
        <v>10.553337672987201</v>
      </c>
      <c r="M9" s="26">
        <v>10.546135160030987</v>
      </c>
      <c r="N9" s="25">
        <v>11.527458565733419</v>
      </c>
      <c r="O9" s="26">
        <v>12.457941907033282</v>
      </c>
      <c r="P9" s="26">
        <v>13.672802157832392</v>
      </c>
      <c r="Q9" s="26">
        <v>12.813000000000001</v>
      </c>
      <c r="R9" s="26">
        <v>31.719029950905238</v>
      </c>
      <c r="S9" s="26">
        <v>31.795405431008739</v>
      </c>
      <c r="T9" s="27"/>
      <c r="U9" s="4">
        <v>-1.8391485743157077E-2</v>
      </c>
      <c r="V9" s="4">
        <f t="shared" si="3"/>
        <v>9.5226702269055385E-2</v>
      </c>
      <c r="W9" s="4">
        <f t="shared" si="2"/>
        <v>2.3255689565012894E-2</v>
      </c>
      <c r="X9" s="4">
        <f t="shared" si="2"/>
        <v>1.5519903801912038E-2</v>
      </c>
      <c r="Y9" s="4">
        <f t="shared" si="2"/>
        <v>1.0794785084947467E-2</v>
      </c>
      <c r="Z9" s="4">
        <f t="shared" si="2"/>
        <v>-1.8895727689225095E-2</v>
      </c>
      <c r="AA9" s="4">
        <f t="shared" si="2"/>
        <v>-1.1378014881679999E-4</v>
      </c>
      <c r="AB9" s="4">
        <f t="shared" si="2"/>
        <v>1.2791467426090275E-2</v>
      </c>
      <c r="AC9" s="4">
        <f t="shared" si="2"/>
        <v>9.7505338192209745E-3</v>
      </c>
      <c r="AD9" s="4">
        <f t="shared" si="2"/>
        <v>1.0392552646175002E-2</v>
      </c>
      <c r="AE9" s="4">
        <f t="shared" si="2"/>
        <v>-6.4737876709485276E-3</v>
      </c>
      <c r="AF9" s="4">
        <f t="shared" si="2"/>
        <v>8.5895659913195255E-2</v>
      </c>
      <c r="AG9" s="4">
        <f t="shared" si="2"/>
        <v>2.004351986337749E-4</v>
      </c>
      <c r="AI9" s="16">
        <f t="shared" si="4"/>
        <v>10.619320048585736</v>
      </c>
    </row>
    <row r="10" spans="1:35" x14ac:dyDescent="0.25">
      <c r="A10" s="2">
        <v>8</v>
      </c>
      <c r="B10" s="3" t="s">
        <v>20</v>
      </c>
      <c r="C10" t="s">
        <v>20</v>
      </c>
      <c r="D10" t="s">
        <v>21</v>
      </c>
      <c r="E10">
        <v>1</v>
      </c>
      <c r="F10" s="24"/>
      <c r="G10" s="24">
        <v>1146.1384656038051</v>
      </c>
      <c r="H10" s="25">
        <v>1396.6499063393474</v>
      </c>
      <c r="I10" s="25">
        <v>1546.151783872964</v>
      </c>
      <c r="J10" s="25">
        <v>1576.1844670154919</v>
      </c>
      <c r="K10" s="25">
        <v>1467.4837051317361</v>
      </c>
      <c r="L10" s="25">
        <v>1351.5200931857894</v>
      </c>
      <c r="M10" s="26">
        <v>1210.0283884117048</v>
      </c>
      <c r="N10" s="25">
        <v>1330.8032279960778</v>
      </c>
      <c r="O10" s="26">
        <v>1432.8811720021704</v>
      </c>
      <c r="P10" s="26">
        <v>1396.5670147332282</v>
      </c>
      <c r="Q10" s="26">
        <v>1334.6880000000001</v>
      </c>
      <c r="R10" s="26">
        <v>1960.4465239388917</v>
      </c>
      <c r="S10" s="26">
        <v>2438.6639129103714</v>
      </c>
      <c r="T10" s="27"/>
      <c r="U10" s="4">
        <v>3.8117036044803987E-2</v>
      </c>
      <c r="V10" s="4">
        <f t="shared" si="3"/>
        <v>0.21856996187940392</v>
      </c>
      <c r="W10" s="4">
        <f t="shared" si="2"/>
        <v>5.2161205154426016E-2</v>
      </c>
      <c r="X10" s="4">
        <f t="shared" si="2"/>
        <v>6.4332411035006309E-3</v>
      </c>
      <c r="Y10" s="4">
        <f t="shared" si="2"/>
        <v>-1.7705842248603276E-2</v>
      </c>
      <c r="Z10" s="4">
        <f t="shared" si="2"/>
        <v>-1.6329054639134588E-2</v>
      </c>
      <c r="AA10" s="4">
        <f t="shared" si="2"/>
        <v>-1.826220961684899E-2</v>
      </c>
      <c r="AB10" s="4">
        <f t="shared" si="2"/>
        <v>1.3684048265820259E-2</v>
      </c>
      <c r="AC10" s="4">
        <f t="shared" si="2"/>
        <v>9.2808691524881581E-3</v>
      </c>
      <c r="AD10" s="4">
        <f t="shared" si="2"/>
        <v>-2.8481729021661017E-3</v>
      </c>
      <c r="AE10" s="4">
        <f t="shared" si="2"/>
        <v>-4.5216998153893018E-3</v>
      </c>
      <c r="AF10" s="4">
        <f t="shared" si="2"/>
        <v>3.5570255275419793E-2</v>
      </c>
      <c r="AG10" s="4">
        <f t="shared" si="2"/>
        <v>1.8356279998702485E-2</v>
      </c>
      <c r="AI10" s="16">
        <f t="shared" si="4"/>
        <v>1546.151783872964</v>
      </c>
    </row>
    <row r="11" spans="1:35" x14ac:dyDescent="0.25">
      <c r="A11" s="2">
        <v>9</v>
      </c>
      <c r="B11" s="3" t="s">
        <v>22</v>
      </c>
      <c r="C11" t="s">
        <v>22</v>
      </c>
      <c r="D11" t="s">
        <v>23</v>
      </c>
      <c r="E11">
        <v>1</v>
      </c>
      <c r="F11" s="24"/>
      <c r="G11" s="24">
        <v>391.89274654468994</v>
      </c>
      <c r="H11" s="25">
        <v>431.12031008881968</v>
      </c>
      <c r="I11" s="25">
        <v>409.42523415526318</v>
      </c>
      <c r="J11" s="25">
        <v>430.06871297186728</v>
      </c>
      <c r="K11" s="25">
        <v>441.99613173650795</v>
      </c>
      <c r="L11" s="25">
        <v>381.80567669770704</v>
      </c>
      <c r="M11" s="26">
        <v>394.052818287788</v>
      </c>
      <c r="N11" s="25">
        <v>416.83597586219355</v>
      </c>
      <c r="O11" s="26">
        <v>455.09486190206246</v>
      </c>
      <c r="P11" s="26">
        <v>445.07539168815612</v>
      </c>
      <c r="Q11" s="26">
        <v>432.89400000000001</v>
      </c>
      <c r="R11" s="26">
        <v>513.71733297247567</v>
      </c>
      <c r="S11" s="26">
        <v>519.6940009771406</v>
      </c>
      <c r="T11" s="27"/>
      <c r="U11" s="4">
        <v>4.9044745629756026E-3</v>
      </c>
      <c r="V11" s="4">
        <f t="shared" si="3"/>
        <v>0.10009770247088867</v>
      </c>
      <c r="W11" s="4">
        <f t="shared" si="2"/>
        <v>-2.5486047287364477E-2</v>
      </c>
      <c r="X11" s="4">
        <f t="shared" si="2"/>
        <v>1.653206194002288E-2</v>
      </c>
      <c r="Y11" s="4">
        <f t="shared" si="2"/>
        <v>6.8624737940645719E-3</v>
      </c>
      <c r="Z11" s="4">
        <f t="shared" si="2"/>
        <v>-2.8853425698648349E-2</v>
      </c>
      <c r="AA11" s="4">
        <f t="shared" si="2"/>
        <v>5.2760659140174138E-3</v>
      </c>
      <c r="AB11" s="4">
        <f t="shared" si="2"/>
        <v>8.0620164778868464E-3</v>
      </c>
      <c r="AC11" s="4">
        <f t="shared" si="2"/>
        <v>1.1037099761389335E-2</v>
      </c>
      <c r="AD11" s="4">
        <f t="shared" si="2"/>
        <v>-2.4705207366094717E-3</v>
      </c>
      <c r="AE11" s="4">
        <f t="shared" si="2"/>
        <v>-2.7712323270430161E-3</v>
      </c>
      <c r="AF11" s="4">
        <f t="shared" si="2"/>
        <v>1.5683560049713163E-2</v>
      </c>
      <c r="AG11" s="4">
        <f t="shared" si="2"/>
        <v>9.6438141467247718E-4</v>
      </c>
      <c r="AI11" s="16">
        <f t="shared" si="4"/>
        <v>409.42523415526318</v>
      </c>
    </row>
    <row r="12" spans="1:35" x14ac:dyDescent="0.25">
      <c r="A12" s="2">
        <v>10</v>
      </c>
      <c r="B12" s="3" t="s">
        <v>24</v>
      </c>
      <c r="C12" t="s">
        <v>24</v>
      </c>
      <c r="D12" t="s">
        <v>25</v>
      </c>
      <c r="E12">
        <v>1</v>
      </c>
      <c r="F12" s="24"/>
      <c r="G12" s="24">
        <v>52.902703376105642</v>
      </c>
      <c r="H12" s="25">
        <v>65.951627200202608</v>
      </c>
      <c r="I12" s="25">
        <v>69.683935845213838</v>
      </c>
      <c r="J12" s="25">
        <v>74.164435946462717</v>
      </c>
      <c r="K12" s="25">
        <v>75.244294275149812</v>
      </c>
      <c r="L12" s="25">
        <v>53.074468085106382</v>
      </c>
      <c r="M12" s="26">
        <v>37.867518957197468</v>
      </c>
      <c r="N12" s="25">
        <v>40.865558912386703</v>
      </c>
      <c r="O12" s="26">
        <v>47.112941176470592</v>
      </c>
      <c r="P12" s="26">
        <v>48.047647058823529</v>
      </c>
      <c r="Q12" s="26">
        <v>41.665999999999997</v>
      </c>
      <c r="R12" s="26">
        <v>179.88610432640647</v>
      </c>
      <c r="S12" s="26">
        <v>186.88473621330499</v>
      </c>
      <c r="T12" s="27"/>
      <c r="U12" s="4">
        <v>9.420803834901359E-2</v>
      </c>
      <c r="V12" s="4">
        <f t="shared" si="3"/>
        <v>0.24665892272701373</v>
      </c>
      <c r="W12" s="4">
        <f t="shared" si="2"/>
        <v>2.7906419950232797E-2</v>
      </c>
      <c r="X12" s="4">
        <f t="shared" si="2"/>
        <v>2.098887193914778E-2</v>
      </c>
      <c r="Y12" s="4">
        <f t="shared" si="2"/>
        <v>3.6203732286153034E-3</v>
      </c>
      <c r="Z12" s="4">
        <f t="shared" si="2"/>
        <v>-6.7427906432092843E-2</v>
      </c>
      <c r="AA12" s="4">
        <f t="shared" si="2"/>
        <v>-5.4713330408150296E-2</v>
      </c>
      <c r="AB12" s="4">
        <f t="shared" si="2"/>
        <v>1.0944298700271471E-2</v>
      </c>
      <c r="AC12" s="4">
        <f t="shared" si="2"/>
        <v>1.7941562105121989E-2</v>
      </c>
      <c r="AD12" s="4">
        <f t="shared" si="2"/>
        <v>2.1852110734157382E-3</v>
      </c>
      <c r="AE12" s="4">
        <f t="shared" si="2"/>
        <v>-1.4149710102249302E-2</v>
      </c>
      <c r="AF12" s="4">
        <f t="shared" si="2"/>
        <v>0.14221245509786651</v>
      </c>
      <c r="AG12" s="4">
        <f t="shared" si="2"/>
        <v>3.1857425637882297E-3</v>
      </c>
      <c r="AI12" s="16">
        <f t="shared" si="4"/>
        <v>69.683935845213838</v>
      </c>
    </row>
    <row r="13" spans="1:35" x14ac:dyDescent="0.25">
      <c r="A13" s="2">
        <v>11</v>
      </c>
      <c r="B13" s="3" t="s">
        <v>26</v>
      </c>
      <c r="C13" t="s">
        <v>26</v>
      </c>
      <c r="D13" t="s">
        <v>16</v>
      </c>
      <c r="E13">
        <v>1</v>
      </c>
      <c r="F13" s="24"/>
      <c r="G13" s="24">
        <v>10.09576</v>
      </c>
      <c r="H13" s="25">
        <v>10.070449999999999</v>
      </c>
      <c r="I13" s="25">
        <v>10.720499999999999</v>
      </c>
      <c r="J13" s="25">
        <v>10.627599999999999</v>
      </c>
      <c r="K13" s="25">
        <v>10.9573</v>
      </c>
      <c r="L13" s="25">
        <v>11.792299999999999</v>
      </c>
      <c r="M13" s="26">
        <v>11.838800000000001</v>
      </c>
      <c r="N13" s="26">
        <v>12.162100000000001</v>
      </c>
      <c r="O13" s="26">
        <v>12.4857666666667</v>
      </c>
      <c r="P13" s="26">
        <v>12.670666666666699</v>
      </c>
      <c r="Q13" s="26">
        <v>11.56</v>
      </c>
      <c r="R13" s="26">
        <v>5.9373896130155117</v>
      </c>
      <c r="S13" s="26">
        <v>5.0060016393347269</v>
      </c>
      <c r="T13" s="27"/>
      <c r="U13" s="4" t="s">
        <v>12</v>
      </c>
      <c r="V13" s="4">
        <f t="shared" si="3"/>
        <v>-2.5069930346998115E-3</v>
      </c>
      <c r="W13" s="4">
        <f t="shared" si="2"/>
        <v>3.177044129704587E-2</v>
      </c>
      <c r="X13" s="4">
        <f t="shared" si="2"/>
        <v>-2.8969309702031598E-3</v>
      </c>
      <c r="Y13" s="4">
        <f t="shared" si="2"/>
        <v>7.6671205026026534E-3</v>
      </c>
      <c r="Z13" s="4">
        <f t="shared" si="2"/>
        <v>1.4796576391186811E-2</v>
      </c>
      <c r="AA13" s="4">
        <f t="shared" si="2"/>
        <v>6.5613130467001568E-4</v>
      </c>
      <c r="AB13" s="4">
        <f t="shared" si="2"/>
        <v>3.8563145239922658E-3</v>
      </c>
      <c r="AC13" s="4">
        <f t="shared" si="2"/>
        <v>3.2884914972393098E-3</v>
      </c>
      <c r="AD13" s="4">
        <f t="shared" si="2"/>
        <v>1.6346993124662923E-3</v>
      </c>
      <c r="AE13" s="4">
        <f t="shared" si="2"/>
        <v>-9.1319231390356581E-3</v>
      </c>
      <c r="AF13" s="4">
        <f t="shared" si="2"/>
        <v>-5.877308489998001E-2</v>
      </c>
      <c r="AG13" s="4">
        <f t="shared" si="2"/>
        <v>-1.4118720781473471E-2</v>
      </c>
      <c r="AI13" s="16">
        <f t="shared" si="4"/>
        <v>10.720499999999999</v>
      </c>
    </row>
    <row r="14" spans="1:35" x14ac:dyDescent="0.25">
      <c r="A14" s="2">
        <v>12</v>
      </c>
      <c r="B14" s="3" t="s">
        <v>27</v>
      </c>
      <c r="C14" t="s">
        <v>27</v>
      </c>
      <c r="D14" t="s">
        <v>9</v>
      </c>
      <c r="E14">
        <v>1</v>
      </c>
      <c r="F14" s="24"/>
      <c r="G14" s="24">
        <v>25.713271276595748</v>
      </c>
      <c r="H14" s="25">
        <v>28.776595744680851</v>
      </c>
      <c r="I14" s="25">
        <v>30.749308510638297</v>
      </c>
      <c r="J14" s="25">
        <v>32.539547872340428</v>
      </c>
      <c r="K14" s="25">
        <v>33.387712765957453</v>
      </c>
      <c r="L14" s="25">
        <v>31.125851063829789</v>
      </c>
      <c r="M14" s="26">
        <v>32.250132978723407</v>
      </c>
      <c r="N14" s="25">
        <v>35.432686170212769</v>
      </c>
      <c r="O14" s="26">
        <v>37.652500000000003</v>
      </c>
      <c r="P14" s="26">
        <v>38.574069148936175</v>
      </c>
      <c r="Q14" s="26">
        <v>34.624000000000002</v>
      </c>
      <c r="R14" s="26">
        <v>79.427112046559785</v>
      </c>
      <c r="S14" s="26">
        <v>80.448975637278977</v>
      </c>
      <c r="T14" s="27"/>
      <c r="U14" s="4">
        <v>4.7071271115584734E-2</v>
      </c>
      <c r="V14" s="4">
        <f t="shared" si="3"/>
        <v>0.1191339847479207</v>
      </c>
      <c r="W14" s="4">
        <f t="shared" si="2"/>
        <v>3.3708218126281331E-2</v>
      </c>
      <c r="X14" s="4">
        <f t="shared" si="2"/>
        <v>1.904192860686571E-2</v>
      </c>
      <c r="Y14" s="4">
        <f t="shared" si="2"/>
        <v>6.4536717386836084E-3</v>
      </c>
      <c r="Z14" s="4">
        <f t="shared" si="2"/>
        <v>-1.3931890942916025E-2</v>
      </c>
      <c r="AA14" s="4">
        <f t="shared" si="2"/>
        <v>5.9314331608368853E-3</v>
      </c>
      <c r="AB14" s="4">
        <f t="shared" si="2"/>
        <v>1.3535437979028009E-2</v>
      </c>
      <c r="AC14" s="4">
        <f t="shared" si="2"/>
        <v>7.6244971781151971E-3</v>
      </c>
      <c r="AD14" s="4">
        <f t="shared" si="2"/>
        <v>2.6903808089280279E-3</v>
      </c>
      <c r="AE14" s="4">
        <f t="shared" si="2"/>
        <v>-1.0745172114509094E-2</v>
      </c>
      <c r="AF14" s="4">
        <f t="shared" si="2"/>
        <v>7.8402903385420553E-2</v>
      </c>
      <c r="AG14" s="4">
        <f t="shared" si="2"/>
        <v>1.0658483575705091E-3</v>
      </c>
      <c r="AI14" s="16">
        <f t="shared" si="4"/>
        <v>30.749308510638297</v>
      </c>
    </row>
    <row r="15" spans="1:35" x14ac:dyDescent="0.25">
      <c r="A15" s="2">
        <v>13</v>
      </c>
      <c r="B15" s="3" t="s">
        <v>28</v>
      </c>
      <c r="C15" t="s">
        <v>28</v>
      </c>
      <c r="D15" t="s">
        <v>25</v>
      </c>
      <c r="E15">
        <v>1</v>
      </c>
      <c r="F15" s="24"/>
      <c r="G15" s="24">
        <v>115.27907746522642</v>
      </c>
      <c r="H15" s="25">
        <v>128.6379387113856</v>
      </c>
      <c r="I15" s="25">
        <v>133.35574948247753</v>
      </c>
      <c r="J15" s="25">
        <v>149.99045102228982</v>
      </c>
      <c r="K15" s="25">
        <v>172.8854549314531</v>
      </c>
      <c r="L15" s="25">
        <v>195.07867869722955</v>
      </c>
      <c r="M15" s="26">
        <v>221.41518800047535</v>
      </c>
      <c r="N15" s="25">
        <v>249.72386248736098</v>
      </c>
      <c r="O15" s="26">
        <v>274.03909245530582</v>
      </c>
      <c r="P15" s="26">
        <v>302.57125413113511</v>
      </c>
      <c r="Q15" s="26">
        <v>317.76799999999997</v>
      </c>
      <c r="R15" s="26">
        <v>884.2765266535331</v>
      </c>
      <c r="S15" s="26">
        <v>938.02518797769096</v>
      </c>
      <c r="T15" s="27"/>
      <c r="U15" s="4">
        <v>5.3008879936906173E-2</v>
      </c>
      <c r="V15" s="4">
        <f t="shared" si="3"/>
        <v>0.11588279104843502</v>
      </c>
      <c r="W15" s="4">
        <f t="shared" si="2"/>
        <v>1.8172437114634343E-2</v>
      </c>
      <c r="X15" s="4">
        <f t="shared" si="2"/>
        <v>3.9961564851636266E-2</v>
      </c>
      <c r="Y15" s="4">
        <f t="shared" si="2"/>
        <v>3.6152577104934247E-2</v>
      </c>
      <c r="Z15" s="4">
        <f t="shared" si="2"/>
        <v>2.4448827342966828E-2</v>
      </c>
      <c r="AA15" s="4">
        <f t="shared" si="2"/>
        <v>2.1330419268500656E-2</v>
      </c>
      <c r="AB15" s="4">
        <f t="shared" si="2"/>
        <v>1.7336583911071957E-2</v>
      </c>
      <c r="AC15" s="4">
        <f t="shared" si="2"/>
        <v>1.1682085255937391E-2</v>
      </c>
      <c r="AD15" s="4">
        <f t="shared" si="2"/>
        <v>1.1065893603738663E-2</v>
      </c>
      <c r="AE15" s="4">
        <f t="shared" si="2"/>
        <v>4.9125025879428463E-3</v>
      </c>
      <c r="AF15" s="4">
        <f t="shared" si="2"/>
        <v>9.7506459730979378E-2</v>
      </c>
      <c r="AG15" s="4">
        <f t="shared" si="2"/>
        <v>4.9293574056401557E-3</v>
      </c>
      <c r="AI15" s="16">
        <f t="shared" si="4"/>
        <v>133.35574948247753</v>
      </c>
    </row>
    <row r="16" spans="1:35" x14ac:dyDescent="0.25">
      <c r="A16" s="2">
        <v>14</v>
      </c>
      <c r="B16" s="3" t="s">
        <v>29</v>
      </c>
      <c r="C16" t="s">
        <v>29</v>
      </c>
      <c r="D16" t="s">
        <v>16</v>
      </c>
      <c r="E16">
        <v>1</v>
      </c>
      <c r="F16" s="24"/>
      <c r="G16" s="24">
        <v>4.5298999999999996</v>
      </c>
      <c r="H16" s="25">
        <v>4.6608999999999998</v>
      </c>
      <c r="I16" s="25">
        <v>4.6563499999999998</v>
      </c>
      <c r="J16" s="25">
        <v>4.6124999999999998</v>
      </c>
      <c r="K16" s="25">
        <v>4.6083499999999997</v>
      </c>
      <c r="L16" s="25">
        <v>4.5841500000000002</v>
      </c>
      <c r="M16" s="26">
        <v>4.5290499999999998</v>
      </c>
      <c r="N16" s="25">
        <v>4.6734999999999998</v>
      </c>
      <c r="O16" s="26">
        <v>5.0865</v>
      </c>
      <c r="P16" s="26">
        <v>5.2089999999999996</v>
      </c>
      <c r="Q16" s="26">
        <v>4.63</v>
      </c>
      <c r="R16" s="26">
        <v>7.0484794219422779</v>
      </c>
      <c r="S16" s="26">
        <v>7.1471517924210337</v>
      </c>
      <c r="T16" s="27"/>
      <c r="U16" s="4">
        <v>-1.943358397657946E-2</v>
      </c>
      <c r="V16" s="4">
        <f t="shared" si="3"/>
        <v>2.8918960683458783E-2</v>
      </c>
      <c r="W16" s="4">
        <f t="shared" si="2"/>
        <v>-4.8822233656775627E-4</v>
      </c>
      <c r="X16" s="4">
        <f t="shared" si="2"/>
        <v>-3.1489881896368255E-3</v>
      </c>
      <c r="Y16" s="4">
        <f t="shared" si="2"/>
        <v>-2.2500818095350095E-4</v>
      </c>
      <c r="Z16" s="4">
        <f t="shared" si="2"/>
        <v>-1.0524805494470657E-3</v>
      </c>
      <c r="AA16" s="4">
        <f t="shared" si="2"/>
        <v>-2.0133865646418947E-3</v>
      </c>
      <c r="AB16" s="4">
        <f t="shared" si="2"/>
        <v>4.4952235066229029E-3</v>
      </c>
      <c r="AC16" s="4">
        <f t="shared" si="2"/>
        <v>1.0641436031271878E-2</v>
      </c>
      <c r="AD16" s="4">
        <f t="shared" si="2"/>
        <v>2.647713185585987E-3</v>
      </c>
      <c r="AE16" s="4">
        <f t="shared" si="2"/>
        <v>-1.1713954170221474E-2</v>
      </c>
      <c r="AF16" s="4">
        <f t="shared" si="2"/>
        <v>3.8944198446724698E-2</v>
      </c>
      <c r="AG16" s="4">
        <f t="shared" si="2"/>
        <v>1.1591728139770385E-3</v>
      </c>
      <c r="AI16" s="16">
        <f t="shared" si="4"/>
        <v>4.6563499999999998</v>
      </c>
    </row>
    <row r="17" spans="1:35" x14ac:dyDescent="0.25">
      <c r="A17" s="2">
        <v>15</v>
      </c>
      <c r="B17" s="3" t="s">
        <v>30</v>
      </c>
      <c r="C17" t="s">
        <v>30</v>
      </c>
      <c r="D17" t="s">
        <v>7</v>
      </c>
      <c r="E17">
        <v>0</v>
      </c>
      <c r="F17" s="24"/>
      <c r="G17" s="24">
        <v>58.665088956025514</v>
      </c>
      <c r="H17" s="25">
        <v>61.757788944723615</v>
      </c>
      <c r="I17" s="25">
        <v>65.685102554875854</v>
      </c>
      <c r="J17" s="25">
        <v>75.527984234234239</v>
      </c>
      <c r="K17" s="25">
        <v>78.813839984350565</v>
      </c>
      <c r="L17" s="25">
        <v>56.4547343965842</v>
      </c>
      <c r="M17" s="26">
        <v>47.722657820667472</v>
      </c>
      <c r="N17" s="25">
        <v>54.726595249184911</v>
      </c>
      <c r="O17" s="26">
        <v>60.03126226933648</v>
      </c>
      <c r="P17" s="26">
        <v>63.080457022659914</v>
      </c>
      <c r="Q17" s="26">
        <v>57.707999999999998</v>
      </c>
      <c r="R17" s="26">
        <v>224.29021711783389</v>
      </c>
      <c r="S17" s="26">
        <v>199.56090469665833</v>
      </c>
      <c r="T17" s="27"/>
      <c r="U17" s="4" t="s">
        <v>12</v>
      </c>
      <c r="V17" s="4">
        <f t="shared" si="3"/>
        <v>5.2717894811620258E-2</v>
      </c>
      <c r="W17" s="4">
        <f t="shared" si="2"/>
        <v>3.1306064703190417E-2</v>
      </c>
      <c r="X17" s="4">
        <f t="shared" si="2"/>
        <v>4.7643856422703967E-2</v>
      </c>
      <c r="Y17" s="4">
        <f t="shared" si="2"/>
        <v>1.0703217992476866E-2</v>
      </c>
      <c r="Z17" s="4">
        <f t="shared" si="2"/>
        <v>-6.455216080817372E-2</v>
      </c>
      <c r="AA17" s="4">
        <f t="shared" si="2"/>
        <v>-2.7616959294291421E-2</v>
      </c>
      <c r="AB17" s="4">
        <f t="shared" si="2"/>
        <v>1.97559738470936E-2</v>
      </c>
      <c r="AC17" s="4">
        <f t="shared" si="2"/>
        <v>1.1631585752710283E-2</v>
      </c>
      <c r="AD17" s="4">
        <f t="shared" si="2"/>
        <v>5.520241004744797E-3</v>
      </c>
      <c r="AE17" s="4">
        <f t="shared" si="2"/>
        <v>-8.8620182803632597E-3</v>
      </c>
      <c r="AF17" s="4">
        <f t="shared" si="2"/>
        <v>0.13135177974416479</v>
      </c>
      <c r="AG17" s="4">
        <f t="shared" si="2"/>
        <v>-9.6878796036133918E-3</v>
      </c>
      <c r="AI17" s="16">
        <f t="shared" si="4"/>
        <v>65.685102554875854</v>
      </c>
    </row>
    <row r="18" spans="1:35" x14ac:dyDescent="0.25">
      <c r="A18" s="2">
        <v>16</v>
      </c>
      <c r="B18" s="3" t="s">
        <v>31</v>
      </c>
      <c r="C18" t="s">
        <v>31</v>
      </c>
      <c r="D18" t="s">
        <v>23</v>
      </c>
      <c r="E18">
        <v>1</v>
      </c>
      <c r="F18" s="24"/>
      <c r="G18" s="24">
        <v>483.54803119710846</v>
      </c>
      <c r="H18" s="25">
        <v>527.00845388692903</v>
      </c>
      <c r="I18" s="25">
        <v>497.8842165688672</v>
      </c>
      <c r="J18" s="25">
        <v>520.92546895293765</v>
      </c>
      <c r="K18" s="25">
        <v>530.80839152510953</v>
      </c>
      <c r="L18" s="25">
        <v>455.94034717037044</v>
      </c>
      <c r="M18" s="26">
        <v>469.67721371919441</v>
      </c>
      <c r="N18" s="25">
        <v>494.90170870426908</v>
      </c>
      <c r="O18" s="26">
        <v>543.73436683121531</v>
      </c>
      <c r="P18" s="26">
        <v>533.09745583450899</v>
      </c>
      <c r="Q18" s="26">
        <v>503.416</v>
      </c>
      <c r="R18" s="26">
        <v>721.7271004224209</v>
      </c>
      <c r="S18" s="26">
        <v>757.54958540662096</v>
      </c>
      <c r="T18" s="27"/>
      <c r="U18" s="4">
        <v>5.9539532934493877E-3</v>
      </c>
      <c r="V18" s="4">
        <f t="shared" si="3"/>
        <v>8.987819179457035E-2</v>
      </c>
      <c r="W18" s="4">
        <f t="shared" si="2"/>
        <v>-2.8024342345121744E-2</v>
      </c>
      <c r="X18" s="4">
        <f t="shared" si="2"/>
        <v>1.5194082176025026E-2</v>
      </c>
      <c r="Y18" s="4">
        <f t="shared" si="2"/>
        <v>4.7095888786461426E-3</v>
      </c>
      <c r="Z18" s="4">
        <f t="shared" si="2"/>
        <v>-2.9950158327876841E-2</v>
      </c>
      <c r="AA18" s="4">
        <f t="shared" si="2"/>
        <v>4.9595406915969864E-3</v>
      </c>
      <c r="AB18" s="4">
        <f t="shared" si="2"/>
        <v>7.5013516721178508E-3</v>
      </c>
      <c r="AC18" s="4">
        <f t="shared" si="2"/>
        <v>1.1832159783813134E-2</v>
      </c>
      <c r="AD18" s="4">
        <f t="shared" si="2"/>
        <v>-2.1927679103488362E-3</v>
      </c>
      <c r="AE18" s="4">
        <f t="shared" si="2"/>
        <v>-5.7123606026167062E-3</v>
      </c>
      <c r="AF18" s="4">
        <f t="shared" si="2"/>
        <v>3.3290326243851531E-2</v>
      </c>
      <c r="AG18" s="4">
        <f t="shared" si="2"/>
        <v>4.0449843159524601E-3</v>
      </c>
      <c r="AI18" s="16">
        <f t="shared" si="4"/>
        <v>497.8842165688672</v>
      </c>
    </row>
    <row r="19" spans="1:35" x14ac:dyDescent="0.25">
      <c r="A19" s="2">
        <v>17</v>
      </c>
      <c r="B19" s="3" t="s">
        <v>32</v>
      </c>
      <c r="C19" t="s">
        <v>32</v>
      </c>
      <c r="D19" t="s">
        <v>33</v>
      </c>
      <c r="E19">
        <v>1</v>
      </c>
      <c r="F19" s="24"/>
      <c r="G19" s="24">
        <v>1.3967316999999999</v>
      </c>
      <c r="H19" s="25">
        <v>1.48659575</v>
      </c>
      <c r="I19" s="25">
        <v>1.56382785</v>
      </c>
      <c r="J19" s="25">
        <v>1.6084421499999999</v>
      </c>
      <c r="K19" s="25">
        <v>1.6929557500000003</v>
      </c>
      <c r="L19" s="25">
        <v>1.7625004500000001</v>
      </c>
      <c r="M19" s="26">
        <v>1.80664625</v>
      </c>
      <c r="N19" s="25">
        <v>1.8626148000000002</v>
      </c>
      <c r="O19" s="26">
        <v>1.8712</v>
      </c>
      <c r="P19" s="26">
        <v>1.8796136000000001</v>
      </c>
      <c r="Q19" s="26">
        <v>1.556</v>
      </c>
      <c r="R19" s="26">
        <v>3.5565405389372584</v>
      </c>
      <c r="S19" s="26">
        <v>3.5815391706893487</v>
      </c>
      <c r="T19" s="27"/>
      <c r="U19" s="4" t="s">
        <v>12</v>
      </c>
      <c r="V19" s="4">
        <f t="shared" si="3"/>
        <v>6.4338806085664224E-2</v>
      </c>
      <c r="W19" s="4">
        <f t="shared" si="3"/>
        <v>2.5647269419774688E-2</v>
      </c>
      <c r="X19" s="4">
        <f t="shared" si="3"/>
        <v>9.4206092515525253E-3</v>
      </c>
      <c r="Y19" s="4">
        <f t="shared" si="3"/>
        <v>1.2884768394487045E-2</v>
      </c>
      <c r="Z19" s="4">
        <f t="shared" si="3"/>
        <v>8.084009616401211E-3</v>
      </c>
      <c r="AA19" s="4">
        <f t="shared" si="3"/>
        <v>4.1316309097987336E-3</v>
      </c>
      <c r="AB19" s="4">
        <f t="shared" si="3"/>
        <v>4.3679519532893174E-3</v>
      </c>
      <c r="AC19" s="4">
        <f t="shared" si="3"/>
        <v>5.7499391214399509E-4</v>
      </c>
      <c r="AD19" s="4">
        <f t="shared" si="3"/>
        <v>4.9860065050788549E-4</v>
      </c>
      <c r="AE19" s="4">
        <f t="shared" si="3"/>
        <v>-1.8717392441343739E-2</v>
      </c>
      <c r="AF19" s="4">
        <f t="shared" si="3"/>
        <v>7.8047794734743992E-2</v>
      </c>
      <c r="AG19" s="4">
        <f t="shared" si="3"/>
        <v>5.8386457331494057E-4</v>
      </c>
      <c r="AI19" s="16">
        <f t="shared" si="4"/>
        <v>1.56382785</v>
      </c>
    </row>
    <row r="20" spans="1:35" x14ac:dyDescent="0.25">
      <c r="A20" s="2">
        <v>18</v>
      </c>
      <c r="B20" s="3" t="s">
        <v>34</v>
      </c>
      <c r="C20" t="s">
        <v>34</v>
      </c>
      <c r="D20" t="s">
        <v>14</v>
      </c>
      <c r="E20">
        <v>1</v>
      </c>
      <c r="F20" s="24"/>
      <c r="G20" s="24">
        <v>6.9702408954988826</v>
      </c>
      <c r="H20" s="25">
        <v>7.8140811556498777</v>
      </c>
      <c r="I20" s="25">
        <v>8.1525544873132088</v>
      </c>
      <c r="J20" s="25">
        <v>9.1573556797020466</v>
      </c>
      <c r="K20" s="25">
        <v>9.7074320156144118</v>
      </c>
      <c r="L20" s="25">
        <v>8.2911558805950456</v>
      </c>
      <c r="M20" s="26">
        <v>8.5731596966112757</v>
      </c>
      <c r="N20" s="25">
        <v>9.2466969236615491</v>
      </c>
      <c r="O20" s="26">
        <v>14.250985958672707</v>
      </c>
      <c r="P20" s="26">
        <v>14.390709094938551</v>
      </c>
      <c r="Q20" s="26">
        <v>15.292</v>
      </c>
      <c r="R20" s="26">
        <v>31.803107000766399</v>
      </c>
      <c r="S20" s="26">
        <v>32.854041836937519</v>
      </c>
      <c r="T20" s="27"/>
      <c r="U20" s="4">
        <v>3.8441609108515573E-2</v>
      </c>
      <c r="V20" s="4">
        <f t="shared" si="3"/>
        <v>0.12106328501442687</v>
      </c>
      <c r="W20" s="4">
        <f t="shared" si="3"/>
        <v>2.1428323405066507E-2</v>
      </c>
      <c r="X20" s="4">
        <f t="shared" si="3"/>
        <v>3.9502307220561139E-2</v>
      </c>
      <c r="Y20" s="4">
        <f t="shared" si="3"/>
        <v>1.4690440137409277E-2</v>
      </c>
      <c r="Z20" s="4">
        <f t="shared" si="3"/>
        <v>-3.1048265408649689E-2</v>
      </c>
      <c r="AA20" s="4">
        <f t="shared" si="3"/>
        <v>5.5900609462928852E-3</v>
      </c>
      <c r="AB20" s="4">
        <f t="shared" si="3"/>
        <v>1.0862868706703388E-2</v>
      </c>
      <c r="AC20" s="4">
        <f t="shared" si="3"/>
        <v>5.555844854996983E-2</v>
      </c>
      <c r="AD20" s="4">
        <f t="shared" si="3"/>
        <v>1.0846658478578242E-3</v>
      </c>
      <c r="AE20" s="4">
        <f t="shared" si="3"/>
        <v>6.0931903424581435E-3</v>
      </c>
      <c r="AF20" s="4">
        <f t="shared" si="3"/>
        <v>6.8832298827582905E-2</v>
      </c>
      <c r="AG20" s="4">
        <f t="shared" si="3"/>
        <v>2.712905544403732E-3</v>
      </c>
      <c r="AI20" s="16">
        <f t="shared" ref="AI20:AI35" si="5">IF(SUMIF($G$2:$S$2,AI$2,$G20:$S20)=0,".",SUMIF($G$2:$S$2,AI$2,$G20:$S20))</f>
        <v>8.1525544873132088</v>
      </c>
    </row>
    <row r="21" spans="1:35" x14ac:dyDescent="0.25">
      <c r="A21" s="2">
        <v>19</v>
      </c>
      <c r="B21" s="3" t="s">
        <v>35</v>
      </c>
      <c r="C21" t="s">
        <v>11</v>
      </c>
      <c r="D21" t="s">
        <v>36</v>
      </c>
      <c r="E21">
        <v>0</v>
      </c>
      <c r="F21" s="24"/>
      <c r="G21" s="24">
        <v>5.7444139999999999</v>
      </c>
      <c r="H21" s="25">
        <v>5.5507710000000001</v>
      </c>
      <c r="I21" s="25">
        <v>5.5375370000000004</v>
      </c>
      <c r="J21" s="25">
        <v>5.5737100000000002</v>
      </c>
      <c r="K21" s="25" t="s">
        <v>12</v>
      </c>
      <c r="L21" s="25" t="s">
        <v>12</v>
      </c>
      <c r="M21" s="26" t="s">
        <v>12</v>
      </c>
      <c r="N21" s="25" t="s">
        <v>12</v>
      </c>
      <c r="O21" s="26" t="s">
        <v>12</v>
      </c>
      <c r="P21" s="26" t="s">
        <v>12</v>
      </c>
      <c r="Q21" s="26" t="s">
        <v>12</v>
      </c>
      <c r="R21" s="26" t="s">
        <v>12</v>
      </c>
      <c r="S21" s="26" t="s">
        <v>12</v>
      </c>
      <c r="T21" s="27"/>
      <c r="U21" s="4" t="s">
        <v>12</v>
      </c>
      <c r="V21" s="4">
        <f t="shared" si="3"/>
        <v>-3.37097918081809E-2</v>
      </c>
      <c r="W21" s="4">
        <f t="shared" si="3"/>
        <v>-1.1927980324367704E-3</v>
      </c>
      <c r="X21" s="4">
        <f t="shared" si="3"/>
        <v>2.1727180626383014E-3</v>
      </c>
      <c r="Y21" s="4" t="str">
        <f t="shared" si="3"/>
        <v>.</v>
      </c>
      <c r="Z21" s="4" t="str">
        <f t="shared" si="3"/>
        <v>.</v>
      </c>
      <c r="AA21" s="4" t="str">
        <f t="shared" si="3"/>
        <v>.</v>
      </c>
      <c r="AB21" s="4" t="str">
        <f t="shared" si="3"/>
        <v>.</v>
      </c>
      <c r="AC21" s="4" t="str">
        <f t="shared" si="3"/>
        <v>.</v>
      </c>
      <c r="AD21" s="4" t="str">
        <f t="shared" si="3"/>
        <v>.</v>
      </c>
      <c r="AE21" s="4" t="str">
        <f t="shared" si="3"/>
        <v>.</v>
      </c>
      <c r="AF21" s="4" t="str">
        <f t="shared" si="3"/>
        <v>.</v>
      </c>
      <c r="AG21" s="4" t="str">
        <f t="shared" si="3"/>
        <v>.</v>
      </c>
      <c r="AI21" s="16">
        <f t="shared" si="5"/>
        <v>5.5375370000000004</v>
      </c>
    </row>
    <row r="22" spans="1:35" x14ac:dyDescent="0.25">
      <c r="A22" s="2">
        <v>20</v>
      </c>
      <c r="B22" s="3" t="s">
        <v>37</v>
      </c>
      <c r="C22" t="s">
        <v>37</v>
      </c>
      <c r="D22" t="s">
        <v>25</v>
      </c>
      <c r="E22">
        <v>1</v>
      </c>
      <c r="F22" s="24"/>
      <c r="G22" s="24">
        <v>1.5854725341054721</v>
      </c>
      <c r="H22" s="25">
        <v>1.8202076258021664</v>
      </c>
      <c r="I22" s="25">
        <v>1.8236921096165215</v>
      </c>
      <c r="J22" s="25">
        <v>1.7983337258395367</v>
      </c>
      <c r="K22" s="25">
        <v>1.9769385297274273</v>
      </c>
      <c r="L22" s="25">
        <v>2.0598099198932531</v>
      </c>
      <c r="M22" s="26">
        <v>2.2196757808953902</v>
      </c>
      <c r="N22" s="25">
        <v>2.5280079113535301</v>
      </c>
      <c r="O22" s="26">
        <v>2.4468664049305815</v>
      </c>
      <c r="P22" s="26">
        <v>2.5305471575667808</v>
      </c>
      <c r="Q22" s="26">
        <v>2.5870000000000002</v>
      </c>
      <c r="R22" s="26">
        <v>8.5874021213016398</v>
      </c>
      <c r="S22" s="26">
        <v>8.8140702557893089</v>
      </c>
      <c r="T22" s="27"/>
      <c r="U22" s="4" t="s">
        <v>12</v>
      </c>
      <c r="V22" s="4">
        <f t="shared" si="3"/>
        <v>0.14805371057981298</v>
      </c>
      <c r="W22" s="4">
        <f t="shared" si="3"/>
        <v>9.5670893351296193E-4</v>
      </c>
      <c r="X22" s="4">
        <f t="shared" si="3"/>
        <v>-4.6566405887177309E-3</v>
      </c>
      <c r="Y22" s="4">
        <f t="shared" si="3"/>
        <v>2.3954641959579526E-2</v>
      </c>
      <c r="Z22" s="4">
        <f t="shared" si="3"/>
        <v>8.2466691081060084E-3</v>
      </c>
      <c r="AA22" s="4">
        <f t="shared" si="3"/>
        <v>1.2535828610922062E-2</v>
      </c>
      <c r="AB22" s="4">
        <f t="shared" si="3"/>
        <v>1.8755205270341024E-2</v>
      </c>
      <c r="AC22" s="4">
        <f t="shared" si="3"/>
        <v>-4.0696238268409513E-3</v>
      </c>
      <c r="AD22" s="4">
        <f t="shared" si="3"/>
        <v>3.7433622389846377E-3</v>
      </c>
      <c r="AE22" s="4">
        <f t="shared" si="3"/>
        <v>2.2087713528300412E-3</v>
      </c>
      <c r="AF22" s="4">
        <f t="shared" si="3"/>
        <v>0.11524318799071098</v>
      </c>
      <c r="AG22" s="4">
        <f t="shared" si="3"/>
        <v>2.17344832588795E-3</v>
      </c>
      <c r="AI22" s="16">
        <f t="shared" si="5"/>
        <v>1.8236921096165215</v>
      </c>
    </row>
    <row r="23" spans="1:35" x14ac:dyDescent="0.25">
      <c r="A23" s="2">
        <v>21</v>
      </c>
      <c r="B23" s="3" t="s">
        <v>38</v>
      </c>
      <c r="C23" t="s">
        <v>38</v>
      </c>
      <c r="D23" t="s">
        <v>18</v>
      </c>
      <c r="E23">
        <v>1</v>
      </c>
      <c r="F23" s="24"/>
      <c r="G23" s="24">
        <v>19.649631450681945</v>
      </c>
      <c r="H23" s="25">
        <v>23.963033588006347</v>
      </c>
      <c r="I23" s="25">
        <v>27.084497539797393</v>
      </c>
      <c r="J23" s="25">
        <v>30.659338784370473</v>
      </c>
      <c r="K23" s="25">
        <v>32.996188133140379</v>
      </c>
      <c r="L23" s="25">
        <v>33.000198263386388</v>
      </c>
      <c r="M23" s="26">
        <v>33.941126193921853</v>
      </c>
      <c r="N23" s="25">
        <v>37.508642257597685</v>
      </c>
      <c r="O23" s="26">
        <v>40.287647930476112</v>
      </c>
      <c r="P23" s="26">
        <v>40.895322843785095</v>
      </c>
      <c r="Q23" s="26">
        <v>38.938000000000002</v>
      </c>
      <c r="R23" s="26">
        <v>101.63363023598276</v>
      </c>
      <c r="S23" s="26">
        <v>105.53794426364428</v>
      </c>
      <c r="T23" s="27"/>
      <c r="U23" s="4">
        <v>4.929871971168609E-2</v>
      </c>
      <c r="V23" s="4">
        <f t="shared" si="3"/>
        <v>0.21951567631945101</v>
      </c>
      <c r="W23" s="4">
        <f t="shared" si="3"/>
        <v>6.3137637237917765E-2</v>
      </c>
      <c r="X23" s="4">
        <f t="shared" si="3"/>
        <v>4.2191036757941447E-2</v>
      </c>
      <c r="Y23" s="4">
        <f t="shared" si="3"/>
        <v>1.8533333452030565E-2</v>
      </c>
      <c r="Z23" s="4">
        <f t="shared" si="3"/>
        <v>2.4305445820438365E-5</v>
      </c>
      <c r="AA23" s="4">
        <f t="shared" si="3"/>
        <v>4.6966400905397165E-3</v>
      </c>
      <c r="AB23" s="4">
        <f t="shared" si="3"/>
        <v>1.4380116876530291E-2</v>
      </c>
      <c r="AC23" s="4">
        <f t="shared" si="3"/>
        <v>8.9742230791338695E-3</v>
      </c>
      <c r="AD23" s="4">
        <f t="shared" si="3"/>
        <v>1.6648044293019471E-3</v>
      </c>
      <c r="AE23" s="4">
        <f t="shared" si="3"/>
        <v>-4.892498852702154E-3</v>
      </c>
      <c r="AF23" s="4">
        <f t="shared" si="3"/>
        <v>9.1135101311987432E-2</v>
      </c>
      <c r="AG23" s="4">
        <f t="shared" si="3"/>
        <v>3.1462777484296822E-3</v>
      </c>
      <c r="AI23" s="16">
        <f t="shared" si="5"/>
        <v>27.084497539797393</v>
      </c>
    </row>
    <row r="24" spans="1:35" x14ac:dyDescent="0.25">
      <c r="A24" s="2">
        <v>22</v>
      </c>
      <c r="B24" s="3" t="s">
        <v>39</v>
      </c>
      <c r="C24" t="s">
        <v>39</v>
      </c>
      <c r="D24" t="s">
        <v>14</v>
      </c>
      <c r="E24">
        <v>1</v>
      </c>
      <c r="F24" s="24"/>
      <c r="G24" s="24">
        <v>12.786654365873764</v>
      </c>
      <c r="H24" s="25">
        <v>15.351972229534086</v>
      </c>
      <c r="I24" s="25">
        <v>16.067155187037525</v>
      </c>
      <c r="J24" s="25">
        <v>14.901750764981129</v>
      </c>
      <c r="K24" s="25">
        <v>16.250750259021178</v>
      </c>
      <c r="L24" s="25">
        <v>14.420604205745878</v>
      </c>
      <c r="M24" s="26">
        <v>15.646323340549666</v>
      </c>
      <c r="N24" s="25">
        <v>17.406565823298607</v>
      </c>
      <c r="O24" s="26">
        <v>18.663265549019606</v>
      </c>
      <c r="P24" s="26">
        <v>18.340480936044404</v>
      </c>
      <c r="Q24" s="26">
        <v>15.872</v>
      </c>
      <c r="R24" s="26">
        <v>47.487225526047723</v>
      </c>
      <c r="S24" s="26">
        <v>52.929136153348459</v>
      </c>
      <c r="T24" s="27"/>
      <c r="U24" s="4">
        <v>-3.6091048943606152E-3</v>
      </c>
      <c r="V24" s="4">
        <f t="shared" si="3"/>
        <v>0.20062463489330606</v>
      </c>
      <c r="W24" s="4">
        <f t="shared" si="3"/>
        <v>2.3027730852628991E-2</v>
      </c>
      <c r="X24" s="4">
        <f t="shared" si="3"/>
        <v>-2.4787103954132861E-2</v>
      </c>
      <c r="Y24" s="4">
        <f t="shared" si="3"/>
        <v>2.1901484795621151E-2</v>
      </c>
      <c r="Z24" s="4">
        <f t="shared" si="3"/>
        <v>-2.3612955504568878E-2</v>
      </c>
      <c r="AA24" s="4">
        <f t="shared" si="3"/>
        <v>1.3689171565072655E-2</v>
      </c>
      <c r="AB24" s="4">
        <f t="shared" si="3"/>
        <v>1.5346788258138844E-2</v>
      </c>
      <c r="AC24" s="4">
        <f t="shared" si="3"/>
        <v>8.751787595975502E-3</v>
      </c>
      <c r="AD24" s="4">
        <f t="shared" si="3"/>
        <v>-1.93662153623686E-3</v>
      </c>
      <c r="AE24" s="4">
        <f t="shared" si="3"/>
        <v>-1.4351436049592881E-2</v>
      </c>
      <c r="AF24" s="4">
        <f t="shared" si="3"/>
        <v>0.10475948810764768</v>
      </c>
      <c r="AG24" s="4">
        <f t="shared" si="3"/>
        <v>9.0820964333848675E-3</v>
      </c>
      <c r="AI24" s="16">
        <f t="shared" si="5"/>
        <v>16.067155187037525</v>
      </c>
    </row>
    <row r="25" spans="1:35" x14ac:dyDescent="0.25">
      <c r="A25" s="2">
        <v>23</v>
      </c>
      <c r="B25" s="3" t="s">
        <v>40</v>
      </c>
      <c r="C25" t="s">
        <v>40</v>
      </c>
      <c r="D25" t="s">
        <v>18</v>
      </c>
      <c r="E25">
        <v>1</v>
      </c>
      <c r="F25" s="24"/>
      <c r="G25" s="24">
        <v>2208.8716462028192</v>
      </c>
      <c r="H25" s="25">
        <v>2616.2015781922523</v>
      </c>
      <c r="I25" s="25">
        <v>2465.1886744150324</v>
      </c>
      <c r="J25" s="25">
        <v>2472.8064561012939</v>
      </c>
      <c r="K25" s="25">
        <v>2455.9940501487467</v>
      </c>
      <c r="L25" s="25">
        <v>1802.2143737413205</v>
      </c>
      <c r="M25" s="26">
        <v>1796.2754370879909</v>
      </c>
      <c r="N25" s="25">
        <v>2053.5949739926054</v>
      </c>
      <c r="O25" s="26">
        <v>1885.4825342383272</v>
      </c>
      <c r="P25" s="26">
        <v>1839.758040765623</v>
      </c>
      <c r="Q25" s="26">
        <v>1363.7670000000001</v>
      </c>
      <c r="R25" s="26">
        <v>3132.8789269145177</v>
      </c>
      <c r="S25" s="26">
        <v>3565.2120027542032</v>
      </c>
      <c r="T25" s="27"/>
      <c r="U25" s="4">
        <v>3.1253190594126234E-2</v>
      </c>
      <c r="V25" s="4">
        <f t="shared" si="3"/>
        <v>0.18440633827214792</v>
      </c>
      <c r="W25" s="4">
        <f t="shared" si="3"/>
        <v>-2.9290052250334764E-2</v>
      </c>
      <c r="X25" s="4">
        <f t="shared" si="3"/>
        <v>1.0289879680742686E-3</v>
      </c>
      <c r="Y25" s="4">
        <f t="shared" si="3"/>
        <v>-1.7040801475275424E-3</v>
      </c>
      <c r="Z25" s="4">
        <f t="shared" si="3"/>
        <v>-6.0026028740238657E-2</v>
      </c>
      <c r="AA25" s="4">
        <f t="shared" si="3"/>
        <v>-5.4998152500029818E-4</v>
      </c>
      <c r="AB25" s="4">
        <f t="shared" si="3"/>
        <v>1.9309284887378153E-2</v>
      </c>
      <c r="AC25" s="4">
        <f t="shared" si="3"/>
        <v>-1.0619229689636245E-2</v>
      </c>
      <c r="AD25" s="4">
        <f t="shared" si="3"/>
        <v>-2.724028758159025E-3</v>
      </c>
      <c r="AE25" s="4">
        <f t="shared" si="3"/>
        <v>-2.9494621080471961E-2</v>
      </c>
      <c r="AF25" s="4">
        <f t="shared" si="3"/>
        <v>7.8541041405394862E-2</v>
      </c>
      <c r="AG25" s="4">
        <f t="shared" si="3"/>
        <v>1.0830829428987832E-2</v>
      </c>
      <c r="AI25" s="16">
        <f t="shared" si="5"/>
        <v>2465.1886744150324</v>
      </c>
    </row>
    <row r="26" spans="1:35" x14ac:dyDescent="0.25">
      <c r="A26" s="2">
        <v>24</v>
      </c>
      <c r="B26" s="3" t="s">
        <v>41</v>
      </c>
      <c r="C26" t="s">
        <v>41</v>
      </c>
      <c r="D26" t="s">
        <v>23</v>
      </c>
      <c r="E26">
        <v>1</v>
      </c>
      <c r="F26" s="24"/>
      <c r="G26" s="24">
        <v>50.610058210369566</v>
      </c>
      <c r="H26" s="25">
        <v>57.418414504088148</v>
      </c>
      <c r="I26" s="25">
        <v>53.903022339027594</v>
      </c>
      <c r="J26" s="25">
        <v>55.555171009771989</v>
      </c>
      <c r="K26" s="25">
        <v>56.814543481210151</v>
      </c>
      <c r="L26" s="25">
        <v>50.201314894581728</v>
      </c>
      <c r="M26" s="26">
        <v>53.24095022624433</v>
      </c>
      <c r="N26" s="25">
        <v>58.220973782771537</v>
      </c>
      <c r="O26" s="26">
        <v>66.230155099577544</v>
      </c>
      <c r="P26" s="26">
        <v>68.558815111619921</v>
      </c>
      <c r="Q26" s="26">
        <v>67.917000000000002</v>
      </c>
      <c r="R26" s="26">
        <v>184.35763131828253</v>
      </c>
      <c r="S26" s="26">
        <v>195.32734100214662</v>
      </c>
      <c r="T26" s="27"/>
      <c r="U26" s="4">
        <v>1.4280463571336055E-2</v>
      </c>
      <c r="V26" s="4">
        <f t="shared" si="3"/>
        <v>0.13452575504692077</v>
      </c>
      <c r="W26" s="4">
        <f t="shared" si="3"/>
        <v>-3.1095528248342719E-2</v>
      </c>
      <c r="X26" s="4">
        <f t="shared" si="3"/>
        <v>1.0114155726684837E-2</v>
      </c>
      <c r="Y26" s="4">
        <f t="shared" si="3"/>
        <v>5.619666647026067E-3</v>
      </c>
      <c r="Z26" s="4">
        <f t="shared" si="3"/>
        <v>-2.4446448670007226E-2</v>
      </c>
      <c r="AA26" s="4">
        <f t="shared" si="3"/>
        <v>9.8459256061969036E-3</v>
      </c>
      <c r="AB26" s="4">
        <f t="shared" si="3"/>
        <v>1.2855910402884252E-2</v>
      </c>
      <c r="AC26" s="4">
        <f t="shared" si="3"/>
        <v>1.6241762716767028E-2</v>
      </c>
      <c r="AD26" s="4">
        <f t="shared" si="3"/>
        <v>3.8469491766275343E-3</v>
      </c>
      <c r="AE26" s="4">
        <f t="shared" si="3"/>
        <v>-9.4011983231534479E-4</v>
      </c>
      <c r="AF26" s="4">
        <f t="shared" si="3"/>
        <v>9.5029182364608777E-2</v>
      </c>
      <c r="AG26" s="4">
        <f t="shared" si="3"/>
        <v>4.8282271171755653E-3</v>
      </c>
      <c r="AI26" s="16">
        <f t="shared" si="5"/>
        <v>53.903022339027594</v>
      </c>
    </row>
    <row r="27" spans="1:35" x14ac:dyDescent="0.25">
      <c r="A27" s="2">
        <v>25</v>
      </c>
      <c r="B27" s="3" t="s">
        <v>42</v>
      </c>
      <c r="C27" t="s">
        <v>43</v>
      </c>
      <c r="D27" t="s">
        <v>14</v>
      </c>
      <c r="E27">
        <v>1</v>
      </c>
      <c r="F27" s="24"/>
      <c r="G27" s="24">
        <v>8.9799667660723195</v>
      </c>
      <c r="H27" s="25">
        <v>10.724063457832635</v>
      </c>
      <c r="I27" s="25">
        <v>11.166063466562301</v>
      </c>
      <c r="J27" s="25">
        <v>11.947176341996599</v>
      </c>
      <c r="K27" s="25">
        <v>12.377391462637663</v>
      </c>
      <c r="L27" s="25">
        <v>10.419303761352406</v>
      </c>
      <c r="M27" s="26">
        <v>10.886363726842227</v>
      </c>
      <c r="N27" s="25">
        <v>12.322864244918266</v>
      </c>
      <c r="O27" s="26">
        <v>16.059910870623902</v>
      </c>
      <c r="P27" s="26">
        <v>15.990803569996128</v>
      </c>
      <c r="Q27" s="26">
        <v>16.082000000000001</v>
      </c>
      <c r="R27" s="26">
        <v>43.196572052334176</v>
      </c>
      <c r="S27" s="26">
        <v>44.963981779220504</v>
      </c>
      <c r="T27" s="27"/>
      <c r="U27" s="4">
        <v>2.8977759852251372E-2</v>
      </c>
      <c r="V27" s="4">
        <f t="shared" si="3"/>
        <v>0.19422084036544307</v>
      </c>
      <c r="W27" s="4">
        <f t="shared" si="3"/>
        <v>2.0399784946072419E-2</v>
      </c>
      <c r="X27" s="4">
        <f t="shared" si="3"/>
        <v>2.2794523600938366E-2</v>
      </c>
      <c r="Y27" s="4">
        <f t="shared" si="3"/>
        <v>8.883369549941067E-3</v>
      </c>
      <c r="Z27" s="4">
        <f t="shared" si="3"/>
        <v>-3.3855881153690981E-2</v>
      </c>
      <c r="AA27" s="4">
        <f t="shared" si="3"/>
        <v>7.3352311754550925E-3</v>
      </c>
      <c r="AB27" s="4">
        <f t="shared" si="3"/>
        <v>1.786418165399084E-2</v>
      </c>
      <c r="AC27" s="4">
        <f t="shared" si="3"/>
        <v>3.3662910410314772E-2</v>
      </c>
      <c r="AD27" s="4">
        <f t="shared" si="3"/>
        <v>-4.7903840354512894E-4</v>
      </c>
      <c r="AE27" s="4">
        <f t="shared" si="3"/>
        <v>5.6884713309623969E-4</v>
      </c>
      <c r="AF27" s="4">
        <f t="shared" si="3"/>
        <v>9.398137862132927E-2</v>
      </c>
      <c r="AG27" s="4">
        <f t="shared" si="3"/>
        <v>3.3473083419144345E-3</v>
      </c>
      <c r="AI27" s="16">
        <f t="shared" si="5"/>
        <v>11.166063466562301</v>
      </c>
    </row>
    <row r="28" spans="1:35" x14ac:dyDescent="0.25">
      <c r="A28" s="2">
        <v>26</v>
      </c>
      <c r="B28" s="3" t="s">
        <v>44</v>
      </c>
      <c r="C28" t="s">
        <v>44</v>
      </c>
      <c r="D28" t="s">
        <v>14</v>
      </c>
      <c r="E28">
        <v>1</v>
      </c>
      <c r="F28" s="24"/>
      <c r="G28" s="24">
        <v>2.0321352465000357</v>
      </c>
      <c r="H28" s="25">
        <v>2.2358208678274294</v>
      </c>
      <c r="I28" s="25">
        <v>2.3333080994624908</v>
      </c>
      <c r="J28" s="25">
        <v>2.4516253327458433</v>
      </c>
      <c r="K28" s="25">
        <v>2.7057832720744286</v>
      </c>
      <c r="L28" s="25">
        <v>3.1043948581151848</v>
      </c>
      <c r="M28" s="26">
        <v>2.9591852953901929</v>
      </c>
      <c r="N28" s="25">
        <v>3.1724161463921043</v>
      </c>
      <c r="O28" s="26">
        <v>3.0369318181818179</v>
      </c>
      <c r="P28" s="26">
        <v>3.012334881640566</v>
      </c>
      <c r="Q28" s="26">
        <v>3.1309999999999998</v>
      </c>
      <c r="R28" s="26">
        <v>8.8719808357492198</v>
      </c>
      <c r="S28" s="26">
        <v>8.9001457980026633</v>
      </c>
      <c r="T28" s="27"/>
      <c r="U28" s="4">
        <v>3.8656750082577407E-2</v>
      </c>
      <c r="V28" s="4">
        <f t="shared" si="3"/>
        <v>0.10023231557948864</v>
      </c>
      <c r="W28" s="4">
        <f t="shared" si="3"/>
        <v>2.1568614394024577E-2</v>
      </c>
      <c r="X28" s="4">
        <f t="shared" si="3"/>
        <v>1.6624731406720716E-2</v>
      </c>
      <c r="Y28" s="4">
        <f t="shared" si="3"/>
        <v>2.4966631369579106E-2</v>
      </c>
      <c r="Z28" s="4">
        <f t="shared" si="3"/>
        <v>2.7866683951304205E-2</v>
      </c>
      <c r="AA28" s="4">
        <f t="shared" si="3"/>
        <v>-7.9523466613647953E-3</v>
      </c>
      <c r="AB28" s="4">
        <f t="shared" si="3"/>
        <v>9.9894932382580404E-3</v>
      </c>
      <c r="AC28" s="4">
        <f t="shared" si="3"/>
        <v>-5.4408637711488295E-3</v>
      </c>
      <c r="AD28" s="4">
        <f t="shared" si="3"/>
        <v>-9.0317513448279207E-4</v>
      </c>
      <c r="AE28" s="4">
        <f t="shared" si="3"/>
        <v>3.8711693044792828E-3</v>
      </c>
      <c r="AF28" s="4">
        <f t="shared" si="3"/>
        <v>9.9313581234800052E-2</v>
      </c>
      <c r="AG28" s="4">
        <f t="shared" si="3"/>
        <v>2.6416558880248964E-4</v>
      </c>
      <c r="AI28" s="16">
        <f t="shared" si="5"/>
        <v>2.3333080994624908</v>
      </c>
    </row>
    <row r="29" spans="1:35" x14ac:dyDescent="0.25">
      <c r="A29" s="2">
        <v>27</v>
      </c>
      <c r="B29" s="3" t="s">
        <v>45</v>
      </c>
      <c r="C29" t="s">
        <v>45</v>
      </c>
      <c r="D29" t="s">
        <v>25</v>
      </c>
      <c r="E29">
        <v>1</v>
      </c>
      <c r="F29" s="24"/>
      <c r="G29" s="24">
        <v>11.242275198978273</v>
      </c>
      <c r="H29" s="25">
        <v>12.829541141012688</v>
      </c>
      <c r="I29" s="25">
        <v>14.054443213463925</v>
      </c>
      <c r="J29" s="25">
        <v>15.227991395220064</v>
      </c>
      <c r="K29" s="25">
        <v>16.702610842402475</v>
      </c>
      <c r="L29" s="25">
        <v>18.049954289422899</v>
      </c>
      <c r="M29" s="26">
        <v>20.016747754019235</v>
      </c>
      <c r="N29" s="25">
        <v>22.177200511581059</v>
      </c>
      <c r="O29" s="26">
        <v>24.571753583492203</v>
      </c>
      <c r="P29" s="26">
        <v>27.089389786979009</v>
      </c>
      <c r="Q29" s="26">
        <v>26.315999999999999</v>
      </c>
      <c r="R29" s="26">
        <v>84.993420811215756</v>
      </c>
      <c r="S29" s="26">
        <v>88.70772270313563</v>
      </c>
      <c r="T29" s="27"/>
      <c r="U29" s="4">
        <v>2.7450635779425969E-2</v>
      </c>
      <c r="V29" s="4">
        <f t="shared" si="3"/>
        <v>0.14118725204117677</v>
      </c>
      <c r="W29" s="4">
        <f t="shared" si="3"/>
        <v>4.6649476762606223E-2</v>
      </c>
      <c r="X29" s="4">
        <f t="shared" si="3"/>
        <v>2.7092739507639907E-2</v>
      </c>
      <c r="Y29" s="4">
        <f t="shared" si="3"/>
        <v>2.3376488181922728E-2</v>
      </c>
      <c r="Z29" s="4">
        <f t="shared" si="3"/>
        <v>1.5636613653426501E-2</v>
      </c>
      <c r="AA29" s="4">
        <f t="shared" si="3"/>
        <v>1.7387119470030798E-2</v>
      </c>
      <c r="AB29" s="4">
        <f t="shared" si="3"/>
        <v>1.4749928846585769E-2</v>
      </c>
      <c r="AC29" s="4">
        <f t="shared" si="3"/>
        <v>1.2899084345832756E-2</v>
      </c>
      <c r="AD29" s="4">
        <f t="shared" si="3"/>
        <v>1.0897233163636999E-2</v>
      </c>
      <c r="AE29" s="4">
        <f t="shared" si="3"/>
        <v>-2.8923103100269021E-3</v>
      </c>
      <c r="AF29" s="4">
        <f t="shared" si="3"/>
        <v>0.11246861240915385</v>
      </c>
      <c r="AG29" s="4">
        <f t="shared" si="3"/>
        <v>3.5707850901893767E-3</v>
      </c>
      <c r="AI29" s="16">
        <f t="shared" si="5"/>
        <v>14.054443213463925</v>
      </c>
    </row>
    <row r="30" spans="1:35" x14ac:dyDescent="0.25">
      <c r="A30" s="2">
        <v>28</v>
      </c>
      <c r="B30" s="3" t="s">
        <v>46</v>
      </c>
      <c r="C30" t="s">
        <v>46</v>
      </c>
      <c r="D30" t="s">
        <v>14</v>
      </c>
      <c r="E30">
        <v>1</v>
      </c>
      <c r="F30" s="24"/>
      <c r="G30" s="24">
        <v>26.143818509642077</v>
      </c>
      <c r="H30" s="25">
        <v>29.337006833082523</v>
      </c>
      <c r="I30" s="25">
        <v>29.104437355039526</v>
      </c>
      <c r="J30" s="25">
        <v>32.348149947372683</v>
      </c>
      <c r="K30" s="25">
        <v>34.942948737396719</v>
      </c>
      <c r="L30" s="25">
        <v>30.91621854444039</v>
      </c>
      <c r="M30" s="26">
        <v>32.621535418903143</v>
      </c>
      <c r="N30" s="25">
        <v>34.922782310641601</v>
      </c>
      <c r="O30" s="26">
        <v>38.694156862992202</v>
      </c>
      <c r="P30" s="26">
        <v>39.007354359279823</v>
      </c>
      <c r="Q30" s="26">
        <v>39.036000000000001</v>
      </c>
      <c r="R30" s="26">
        <v>133.90740533488449</v>
      </c>
      <c r="S30" s="26">
        <v>134.94671432050976</v>
      </c>
      <c r="T30" s="27"/>
      <c r="U30" s="4">
        <v>2.81032691600549E-2</v>
      </c>
      <c r="V30" s="4">
        <f t="shared" si="3"/>
        <v>0.12213932414894813</v>
      </c>
      <c r="W30" s="4">
        <f t="shared" si="3"/>
        <v>-3.971643048042206E-3</v>
      </c>
      <c r="X30" s="4">
        <f t="shared" si="3"/>
        <v>3.5849704630326773E-2</v>
      </c>
      <c r="Y30" s="4">
        <f t="shared" si="3"/>
        <v>1.9477219696129477E-2</v>
      </c>
      <c r="Z30" s="4">
        <f t="shared" si="3"/>
        <v>-2.4189777321985129E-2</v>
      </c>
      <c r="AA30" s="4">
        <f t="shared" si="3"/>
        <v>8.9887832655470845E-3</v>
      </c>
      <c r="AB30" s="4">
        <f t="shared" si="3"/>
        <v>9.7856751450664525E-3</v>
      </c>
      <c r="AC30" s="4">
        <f t="shared" si="3"/>
        <v>1.2901160909872589E-2</v>
      </c>
      <c r="AD30" s="4">
        <f t="shared" si="3"/>
        <v>8.9613445352632048E-4</v>
      </c>
      <c r="AE30" s="4">
        <f t="shared" si="3"/>
        <v>7.3412255789051528E-5</v>
      </c>
      <c r="AF30" s="4">
        <f t="shared" si="3"/>
        <v>0.11858040650913071</v>
      </c>
      <c r="AG30" s="4">
        <f t="shared" si="3"/>
        <v>6.4449390117515826E-4</v>
      </c>
      <c r="AI30" s="16">
        <f t="shared" si="5"/>
        <v>29.104437355039526</v>
      </c>
    </row>
    <row r="31" spans="1:35" x14ac:dyDescent="0.25">
      <c r="A31" s="2">
        <v>29</v>
      </c>
      <c r="B31" s="3" t="s">
        <v>47</v>
      </c>
      <c r="C31" t="s">
        <v>47</v>
      </c>
      <c r="D31" t="s">
        <v>36</v>
      </c>
      <c r="E31">
        <v>1</v>
      </c>
      <c r="F31" s="24"/>
      <c r="G31" s="24">
        <v>1613.5428125893895</v>
      </c>
      <c r="H31" s="25">
        <v>1789.140665202839</v>
      </c>
      <c r="I31" s="25">
        <v>1823.9666865236336</v>
      </c>
      <c r="J31" s="25">
        <v>1842.0184208530952</v>
      </c>
      <c r="K31" s="25">
        <v>1801.4801230708163</v>
      </c>
      <c r="L31" s="25">
        <v>1552.8999252337092</v>
      </c>
      <c r="M31" s="26">
        <v>1526.7055291353204</v>
      </c>
      <c r="N31" s="25">
        <v>1646.8672206174656</v>
      </c>
      <c r="O31" s="26">
        <v>1716.2626210822182</v>
      </c>
      <c r="P31" s="26">
        <v>1736.4256295199573</v>
      </c>
      <c r="Q31" s="26">
        <v>1600.2639999999999</v>
      </c>
      <c r="R31" s="26">
        <v>1863.4998732045005</v>
      </c>
      <c r="S31" s="26">
        <v>1972.5198220733967</v>
      </c>
      <c r="T31" s="27"/>
      <c r="U31" s="4">
        <v>3.99349590061715E-3</v>
      </c>
      <c r="V31" s="4">
        <f t="shared" si="3"/>
        <v>0.10882751374390409</v>
      </c>
      <c r="W31" s="4">
        <f t="shared" si="3"/>
        <v>9.6857048634186871E-3</v>
      </c>
      <c r="X31" s="4">
        <f t="shared" si="3"/>
        <v>3.2881644339819438E-3</v>
      </c>
      <c r="Y31" s="4">
        <f t="shared" si="3"/>
        <v>-5.5478834982259917E-3</v>
      </c>
      <c r="Z31" s="4">
        <f t="shared" si="3"/>
        <v>-2.9260282770768864E-2</v>
      </c>
      <c r="AA31" s="4">
        <f t="shared" si="3"/>
        <v>-2.8313071926994171E-3</v>
      </c>
      <c r="AB31" s="4">
        <f t="shared" si="3"/>
        <v>1.088202085109069E-2</v>
      </c>
      <c r="AC31" s="4">
        <f t="shared" si="3"/>
        <v>5.1726073455715671E-3</v>
      </c>
      <c r="AD31" s="4">
        <f t="shared" si="3"/>
        <v>1.2985904990789887E-3</v>
      </c>
      <c r="AE31" s="4">
        <f t="shared" si="3"/>
        <v>-8.1327635569937717E-3</v>
      </c>
      <c r="AF31" s="4">
        <f t="shared" si="3"/>
        <v>1.3940618156424556E-2</v>
      </c>
      <c r="AG31" s="4">
        <f t="shared" si="3"/>
        <v>4.7491961031216334E-3</v>
      </c>
      <c r="AI31" s="16">
        <f t="shared" si="5"/>
        <v>1823.9666865236336</v>
      </c>
    </row>
    <row r="32" spans="1:35" x14ac:dyDescent="0.25">
      <c r="A32" s="2">
        <v>30</v>
      </c>
      <c r="B32" s="3" t="s">
        <v>48</v>
      </c>
      <c r="C32" t="s">
        <v>11</v>
      </c>
      <c r="D32" t="s">
        <v>16</v>
      </c>
      <c r="E32">
        <v>0</v>
      </c>
      <c r="F32" s="24"/>
      <c r="G32" s="24" t="s">
        <v>12</v>
      </c>
      <c r="H32" s="25" t="s">
        <v>12</v>
      </c>
      <c r="I32" s="25" t="s">
        <v>12</v>
      </c>
      <c r="J32" s="25" t="s">
        <v>12</v>
      </c>
      <c r="K32" s="25" t="s">
        <v>12</v>
      </c>
      <c r="L32" s="25" t="s">
        <v>12</v>
      </c>
      <c r="M32" s="26" t="s">
        <v>12</v>
      </c>
      <c r="N32" s="25">
        <v>3.5705751512672337</v>
      </c>
      <c r="O32" s="26" t="s">
        <v>12</v>
      </c>
      <c r="P32" s="26" t="s">
        <v>12</v>
      </c>
      <c r="Q32" s="26" t="s">
        <v>12</v>
      </c>
      <c r="R32" s="26" t="s">
        <v>12</v>
      </c>
      <c r="S32" s="26" t="s">
        <v>12</v>
      </c>
      <c r="T32" s="27"/>
      <c r="U32" s="4" t="s">
        <v>12</v>
      </c>
      <c r="V32" s="4" t="str">
        <f t="shared" si="3"/>
        <v>.</v>
      </c>
      <c r="W32" s="4" t="str">
        <f t="shared" si="3"/>
        <v>.</v>
      </c>
      <c r="X32" s="4" t="str">
        <f t="shared" si="3"/>
        <v>.</v>
      </c>
      <c r="Y32" s="4" t="str">
        <f t="shared" si="3"/>
        <v>.</v>
      </c>
      <c r="Z32" s="4" t="str">
        <f t="shared" si="3"/>
        <v>.</v>
      </c>
      <c r="AA32" s="4" t="str">
        <f t="shared" si="3"/>
        <v>.</v>
      </c>
      <c r="AB32" s="4" t="str">
        <f t="shared" si="3"/>
        <v>.</v>
      </c>
      <c r="AC32" s="4" t="str">
        <f t="shared" si="3"/>
        <v>.</v>
      </c>
      <c r="AD32" s="4" t="str">
        <f t="shared" si="3"/>
        <v>.</v>
      </c>
      <c r="AE32" s="4" t="str">
        <f t="shared" si="3"/>
        <v>.</v>
      </c>
      <c r="AF32" s="4" t="str">
        <f t="shared" si="3"/>
        <v>.</v>
      </c>
      <c r="AG32" s="4" t="str">
        <f t="shared" si="3"/>
        <v>.</v>
      </c>
      <c r="AI32" s="16" t="str">
        <f t="shared" si="5"/>
        <v>.</v>
      </c>
    </row>
    <row r="33" spans="1:35" x14ac:dyDescent="0.25">
      <c r="A33" s="2">
        <v>31</v>
      </c>
      <c r="B33" s="3" t="s">
        <v>49</v>
      </c>
      <c r="C33" t="s">
        <v>50</v>
      </c>
      <c r="D33" t="s">
        <v>14</v>
      </c>
      <c r="E33">
        <v>0</v>
      </c>
      <c r="F33" s="24">
        <v>1</v>
      </c>
      <c r="G33" s="24">
        <v>2.1405031931626142</v>
      </c>
      <c r="H33" s="25">
        <v>2.4347924125085481</v>
      </c>
      <c r="I33" s="25">
        <v>2.5102702677291764</v>
      </c>
      <c r="J33" s="25">
        <v>1.7006274795563112</v>
      </c>
      <c r="K33" s="25">
        <v>1.9047945551813761</v>
      </c>
      <c r="L33" s="25">
        <v>1.7092211592029414</v>
      </c>
      <c r="M33" s="26">
        <v>1.8447147948375757</v>
      </c>
      <c r="N33" s="26">
        <v>2.1675016397678313</v>
      </c>
      <c r="O33" s="26">
        <v>2.2209789781734153</v>
      </c>
      <c r="P33" s="26">
        <v>2.220307368695928</v>
      </c>
      <c r="Q33" s="26">
        <v>2.3210000000000002</v>
      </c>
      <c r="R33" s="26">
        <v>2.4777793985860797</v>
      </c>
      <c r="S33" s="26">
        <v>2.3042096467815725</v>
      </c>
      <c r="T33" s="27"/>
      <c r="U33" s="4" t="s">
        <v>12</v>
      </c>
      <c r="V33" s="4">
        <f t="shared" si="3"/>
        <v>0.1374859987529935</v>
      </c>
      <c r="W33" s="4">
        <f t="shared" si="3"/>
        <v>1.5381558120795225E-2</v>
      </c>
      <c r="X33" s="4">
        <f t="shared" si="3"/>
        <v>-0.12172692269551022</v>
      </c>
      <c r="Y33" s="4">
        <f t="shared" si="3"/>
        <v>2.8749736922025537E-2</v>
      </c>
      <c r="Z33" s="4">
        <f t="shared" si="3"/>
        <v>-2.1434221586282498E-2</v>
      </c>
      <c r="AA33" s="4">
        <f t="shared" si="3"/>
        <v>1.2795652404501867E-2</v>
      </c>
      <c r="AB33" s="4">
        <f t="shared" si="3"/>
        <v>2.3303159023156494E-2</v>
      </c>
      <c r="AC33" s="4">
        <f t="shared" si="3"/>
        <v>3.051257343379854E-3</v>
      </c>
      <c r="AD33" s="4">
        <f t="shared" si="3"/>
        <v>-3.3603787820801756E-5</v>
      </c>
      <c r="AE33" s="4">
        <f t="shared" si="3"/>
        <v>4.4450989352176062E-3</v>
      </c>
      <c r="AF33" s="4">
        <f t="shared" si="3"/>
        <v>5.9599290307406072E-3</v>
      </c>
      <c r="AG33" s="4">
        <f t="shared" si="3"/>
        <v>-6.0338083586283231E-3</v>
      </c>
      <c r="AI33" s="16">
        <f t="shared" si="5"/>
        <v>2.5102702677291764</v>
      </c>
    </row>
    <row r="34" spans="1:35" x14ac:dyDescent="0.25">
      <c r="A34" s="2">
        <v>32</v>
      </c>
      <c r="B34" s="3" t="s">
        <v>51</v>
      </c>
      <c r="C34" t="s">
        <v>51</v>
      </c>
      <c r="D34" t="s">
        <v>14</v>
      </c>
      <c r="E34">
        <v>1</v>
      </c>
      <c r="F34" s="24"/>
      <c r="G34" s="24">
        <v>10.657705536497756</v>
      </c>
      <c r="H34" s="25">
        <v>12.156380425082459</v>
      </c>
      <c r="I34" s="25">
        <v>12.368071038736238</v>
      </c>
      <c r="J34" s="25">
        <v>12.949854262812726</v>
      </c>
      <c r="K34" s="25">
        <v>13.9222232335184</v>
      </c>
      <c r="L34" s="25">
        <v>10.945989471628598</v>
      </c>
      <c r="M34" s="26">
        <v>10.090922857390504</v>
      </c>
      <c r="N34" s="25">
        <v>9.9756920954085473</v>
      </c>
      <c r="O34" s="26">
        <v>11.23916704849162</v>
      </c>
      <c r="P34" s="26">
        <v>11.314951342780731</v>
      </c>
      <c r="Q34" s="26">
        <v>10.51</v>
      </c>
      <c r="R34" s="26">
        <v>24.033312570784418</v>
      </c>
      <c r="S34" s="26">
        <v>33.285757326136611</v>
      </c>
      <c r="T34" s="27"/>
      <c r="U34" s="4">
        <v>3.5924950339465411E-3</v>
      </c>
      <c r="V34" s="4">
        <f t="shared" si="3"/>
        <v>0.14061890558454881</v>
      </c>
      <c r="W34" s="4">
        <f t="shared" si="3"/>
        <v>8.6693963082582481E-3</v>
      </c>
      <c r="X34" s="4">
        <f t="shared" si="3"/>
        <v>1.5440084745414362E-2</v>
      </c>
      <c r="Y34" s="4">
        <f t="shared" si="3"/>
        <v>1.8265261842375757E-2</v>
      </c>
      <c r="Z34" s="4">
        <f t="shared" si="3"/>
        <v>-4.6964042572640863E-2</v>
      </c>
      <c r="AA34" s="4">
        <f t="shared" si="3"/>
        <v>-1.3464669020596731E-2</v>
      </c>
      <c r="AB34" s="4">
        <f t="shared" si="3"/>
        <v>-1.6393618319208159E-3</v>
      </c>
      <c r="AC34" s="4">
        <f t="shared" si="3"/>
        <v>1.5018332638310206E-2</v>
      </c>
      <c r="AD34" s="4">
        <f t="shared" si="3"/>
        <v>7.469725253985704E-4</v>
      </c>
      <c r="AE34" s="4">
        <f t="shared" si="3"/>
        <v>-7.3526156845525881E-3</v>
      </c>
      <c r="AF34" s="4">
        <f t="shared" si="3"/>
        <v>7.8091291793654261E-2</v>
      </c>
      <c r="AG34" s="4">
        <f t="shared" si="3"/>
        <v>2.7512389771963131E-2</v>
      </c>
      <c r="AI34" s="16">
        <f t="shared" si="5"/>
        <v>12.368071038736238</v>
      </c>
    </row>
    <row r="35" spans="1:35" x14ac:dyDescent="0.25">
      <c r="A35" s="2">
        <v>33</v>
      </c>
      <c r="B35" s="3" t="s">
        <v>52</v>
      </c>
      <c r="C35" t="s">
        <v>52</v>
      </c>
      <c r="D35" t="s">
        <v>18</v>
      </c>
      <c r="E35">
        <v>1</v>
      </c>
      <c r="F35" s="24"/>
      <c r="G35" s="24">
        <v>218.53755122007053</v>
      </c>
      <c r="H35" s="25">
        <v>252.25199202944171</v>
      </c>
      <c r="I35" s="25">
        <v>267.12232005670222</v>
      </c>
      <c r="J35" s="25">
        <v>278.38433269435899</v>
      </c>
      <c r="K35" s="25">
        <v>260.5416373278639</v>
      </c>
      <c r="L35" s="25">
        <v>243.91907943722001</v>
      </c>
      <c r="M35" s="26">
        <v>250.33987646022791</v>
      </c>
      <c r="N35" s="25">
        <v>277.74645790986847</v>
      </c>
      <c r="O35" s="26">
        <v>298.25801927504853</v>
      </c>
      <c r="P35" s="26">
        <v>282.31815974464962</v>
      </c>
      <c r="Q35" s="26">
        <v>245.41399999999999</v>
      </c>
      <c r="R35" s="26">
        <v>607.24985819646349</v>
      </c>
      <c r="S35" s="26">
        <v>683.36023606503943</v>
      </c>
      <c r="T35" s="27"/>
      <c r="U35" s="4">
        <v>1.7728152469886238E-2</v>
      </c>
      <c r="V35" s="4">
        <f t="shared" si="3"/>
        <v>0.15427298705026793</v>
      </c>
      <c r="W35" s="4">
        <f t="shared" si="3"/>
        <v>2.9053103478235087E-2</v>
      </c>
      <c r="X35" s="4">
        <f t="shared" si="3"/>
        <v>1.3860501476563369E-2</v>
      </c>
      <c r="Y35" s="4">
        <f t="shared" si="3"/>
        <v>-1.6423628606784146E-2</v>
      </c>
      <c r="Z35" s="4">
        <f t="shared" si="3"/>
        <v>-1.3098686820967376E-2</v>
      </c>
      <c r="AA35" s="4">
        <f t="shared" si="3"/>
        <v>4.3398854402860731E-3</v>
      </c>
      <c r="AB35" s="4">
        <f t="shared" si="3"/>
        <v>1.4951989862228121E-2</v>
      </c>
      <c r="AC35" s="4">
        <f t="shared" si="3"/>
        <v>8.9460630471909219E-3</v>
      </c>
      <c r="AD35" s="4">
        <f t="shared" si="3"/>
        <v>-6.0841149536406958E-3</v>
      </c>
      <c r="AE35" s="4">
        <f t="shared" si="3"/>
        <v>-1.3911141310150366E-2</v>
      </c>
      <c r="AF35" s="4">
        <f t="shared" si="3"/>
        <v>8.5849976242002413E-2</v>
      </c>
      <c r="AG35" s="4">
        <f t="shared" si="3"/>
        <v>9.8887249983250491E-3</v>
      </c>
      <c r="AI35" s="16">
        <f t="shared" si="5"/>
        <v>267.12232005670222</v>
      </c>
    </row>
    <row r="36" spans="1:35" x14ac:dyDescent="0.25">
      <c r="A36" s="2">
        <v>34</v>
      </c>
      <c r="B36" s="3" t="s">
        <v>53</v>
      </c>
      <c r="C36" t="s">
        <v>53</v>
      </c>
      <c r="D36" t="s">
        <v>25</v>
      </c>
      <c r="E36">
        <v>1</v>
      </c>
      <c r="F36" s="24"/>
      <c r="G36" s="24">
        <v>6087.1645274212369</v>
      </c>
      <c r="H36" s="25">
        <v>7551.5004255977719</v>
      </c>
      <c r="I36" s="25">
        <v>8532.2307241417566</v>
      </c>
      <c r="J36" s="25">
        <v>9570.4057587397911</v>
      </c>
      <c r="K36" s="25">
        <v>10438.529153237621</v>
      </c>
      <c r="L36" s="25">
        <v>11015.542352468887</v>
      </c>
      <c r="M36" s="26">
        <v>11137.945669350593</v>
      </c>
      <c r="N36" s="25">
        <v>12143.491448186069</v>
      </c>
      <c r="O36" s="26">
        <v>13894.817549374244</v>
      </c>
      <c r="P36" s="26">
        <v>14342.903006431301</v>
      </c>
      <c r="Q36" s="26">
        <v>14860.775</v>
      </c>
      <c r="R36" s="26">
        <v>27656.553133794594</v>
      </c>
      <c r="S36" s="26">
        <v>33434.294259920302</v>
      </c>
      <c r="T36" s="27"/>
      <c r="U36" s="4">
        <v>7.830286178240109E-2</v>
      </c>
      <c r="V36" s="4">
        <f t="shared" si="3"/>
        <v>0.24056124844006566</v>
      </c>
      <c r="W36" s="4">
        <f t="shared" si="3"/>
        <v>6.2954487752848287E-2</v>
      </c>
      <c r="X36" s="4">
        <f t="shared" si="3"/>
        <v>3.9016840523109941E-2</v>
      </c>
      <c r="Y36" s="4">
        <f t="shared" si="3"/>
        <v>2.1944332179573589E-2</v>
      </c>
      <c r="Z36" s="4">
        <f t="shared" si="3"/>
        <v>1.0818810594225736E-2</v>
      </c>
      <c r="AA36" s="4">
        <f t="shared" si="3"/>
        <v>1.8434621796965533E-3</v>
      </c>
      <c r="AB36" s="4">
        <f t="shared" si="3"/>
        <v>1.2424484171375649E-2</v>
      </c>
      <c r="AC36" s="4">
        <f t="shared" si="3"/>
        <v>1.6982921272026053E-2</v>
      </c>
      <c r="AD36" s="4">
        <f t="shared" si="3"/>
        <v>3.5328172308402017E-3</v>
      </c>
      <c r="AE36" s="4">
        <f t="shared" si="3"/>
        <v>3.5532915762690465E-3</v>
      </c>
      <c r="AF36" s="4">
        <f t="shared" si="3"/>
        <v>5.8091746404772104E-2</v>
      </c>
      <c r="AG36" s="4">
        <f t="shared" si="3"/>
        <v>1.5935592269992194E-2</v>
      </c>
      <c r="AI36" s="16">
        <f t="shared" ref="AI36:AI51" si="6">IF(SUMIF($G$2:$S$2,AI$2,$G36:$S36)=0,".",SUMIF($G$2:$S$2,AI$2,$G36:$S36))</f>
        <v>8532.2307241417566</v>
      </c>
    </row>
    <row r="37" spans="1:35" x14ac:dyDescent="0.25">
      <c r="A37" s="2">
        <v>35</v>
      </c>
      <c r="B37" s="3" t="s">
        <v>54</v>
      </c>
      <c r="C37" t="s">
        <v>54</v>
      </c>
      <c r="D37" t="s">
        <v>18</v>
      </c>
      <c r="E37">
        <v>1</v>
      </c>
      <c r="F37" s="24"/>
      <c r="G37" s="24">
        <v>286.103648654545</v>
      </c>
      <c r="H37" s="25">
        <v>334.45403909358578</v>
      </c>
      <c r="I37" s="25">
        <v>370.57442170306024</v>
      </c>
      <c r="J37" s="25">
        <v>381.86660883880023</v>
      </c>
      <c r="K37" s="25">
        <v>381.11211965744508</v>
      </c>
      <c r="L37" s="25">
        <v>293.48174824077881</v>
      </c>
      <c r="M37" s="26">
        <v>282.82500988745807</v>
      </c>
      <c r="N37" s="25">
        <v>311.78987461709607</v>
      </c>
      <c r="O37" s="26">
        <v>333.56892300446862</v>
      </c>
      <c r="P37" s="26">
        <v>323.61597941865108</v>
      </c>
      <c r="Q37" s="26">
        <v>264.93299999999999</v>
      </c>
      <c r="R37" s="26">
        <v>820.54634133894922</v>
      </c>
      <c r="S37" s="26">
        <v>864.06030371101929</v>
      </c>
      <c r="T37" s="27"/>
      <c r="U37" s="4">
        <v>7.9517079974250393E-2</v>
      </c>
      <c r="V37" s="4">
        <f t="shared" si="3"/>
        <v>0.16899606372172249</v>
      </c>
      <c r="W37" s="4">
        <f t="shared" si="3"/>
        <v>5.2614861063902119E-2</v>
      </c>
      <c r="X37" s="4">
        <f t="shared" si="3"/>
        <v>1.005591201145406E-2</v>
      </c>
      <c r="Y37" s="4">
        <f t="shared" si="3"/>
        <v>-4.9431452424941735E-4</v>
      </c>
      <c r="Z37" s="4">
        <f t="shared" si="3"/>
        <v>-5.0913780672878439E-2</v>
      </c>
      <c r="AA37" s="4">
        <f t="shared" si="3"/>
        <v>-6.1455523648697996E-3</v>
      </c>
      <c r="AB37" s="4">
        <f t="shared" si="3"/>
        <v>1.4026187492830244E-2</v>
      </c>
      <c r="AC37" s="4">
        <f t="shared" si="3"/>
        <v>8.4757206872105861E-3</v>
      </c>
      <c r="AD37" s="4">
        <f t="shared" si="3"/>
        <v>-3.3601138689283161E-3</v>
      </c>
      <c r="AE37" s="4">
        <f t="shared" si="3"/>
        <v>-1.9809227091246218E-2</v>
      </c>
      <c r="AF37" s="4">
        <f t="shared" si="3"/>
        <v>0.10823884536077144</v>
      </c>
      <c r="AG37" s="4">
        <f t="shared" si="3"/>
        <v>4.3152987020982359E-3</v>
      </c>
      <c r="AI37" s="16">
        <f t="shared" si="6"/>
        <v>370.57442170306024</v>
      </c>
    </row>
    <row r="38" spans="1:35" x14ac:dyDescent="0.25">
      <c r="A38" s="2">
        <v>36</v>
      </c>
      <c r="B38" s="3" t="s">
        <v>55</v>
      </c>
      <c r="C38" t="s">
        <v>55</v>
      </c>
      <c r="D38" t="s">
        <v>14</v>
      </c>
      <c r="E38">
        <v>0</v>
      </c>
      <c r="F38" s="24">
        <v>1</v>
      </c>
      <c r="G38" s="24">
        <v>0.90709313031352135</v>
      </c>
      <c r="H38" s="25">
        <v>1.0217468334257322</v>
      </c>
      <c r="I38" s="25">
        <v>1.0159012054202778</v>
      </c>
      <c r="J38" s="25">
        <v>1.1159063417772694</v>
      </c>
      <c r="K38" s="25">
        <v>1.1480580154763311</v>
      </c>
      <c r="L38" s="25">
        <v>0.98815024953368835</v>
      </c>
      <c r="M38" s="26">
        <v>1.0242618206281013</v>
      </c>
      <c r="N38" s="26">
        <v>1.0681243298625722</v>
      </c>
      <c r="O38" s="26">
        <v>1.1785307577232775</v>
      </c>
      <c r="P38" s="26">
        <v>1.1658399270632733</v>
      </c>
      <c r="Q38" s="26">
        <v>1.2</v>
      </c>
      <c r="R38" s="26">
        <v>1.863896121149736</v>
      </c>
      <c r="S38" s="26">
        <v>1.9085459277621908</v>
      </c>
      <c r="T38" s="27"/>
      <c r="U38" s="4" t="s">
        <v>12</v>
      </c>
      <c r="V38" s="4">
        <f t="shared" si="3"/>
        <v>0.12639683763516407</v>
      </c>
      <c r="W38" s="4">
        <f t="shared" si="3"/>
        <v>-2.8647081808557129E-3</v>
      </c>
      <c r="X38" s="4">
        <f t="shared" si="3"/>
        <v>3.1791842671235138E-2</v>
      </c>
      <c r="Y38" s="4">
        <f t="shared" si="3"/>
        <v>7.1264973417031197E-3</v>
      </c>
      <c r="Z38" s="4">
        <f t="shared" si="3"/>
        <v>-2.9552981885929697E-2</v>
      </c>
      <c r="AA38" s="4">
        <f t="shared" si="3"/>
        <v>6.0000446743027069E-3</v>
      </c>
      <c r="AB38" s="4">
        <f t="shared" si="3"/>
        <v>6.0082589498220429E-3</v>
      </c>
      <c r="AC38" s="4">
        <f t="shared" si="3"/>
        <v>1.2371450354967672E-2</v>
      </c>
      <c r="AD38" s="4">
        <f t="shared" si="3"/>
        <v>-1.2022486543896704E-3</v>
      </c>
      <c r="AE38" s="4">
        <f t="shared" si="3"/>
        <v>2.8921504318986102E-3</v>
      </c>
      <c r="AF38" s="4">
        <f t="shared" si="3"/>
        <v>4.0843648144519129E-2</v>
      </c>
      <c r="AG38" s="4">
        <f t="shared" si="3"/>
        <v>1.9746697681783942E-3</v>
      </c>
      <c r="AI38" s="16">
        <f t="shared" si="6"/>
        <v>1.0159012054202778</v>
      </c>
    </row>
    <row r="39" spans="1:35" x14ac:dyDescent="0.25">
      <c r="A39" s="2">
        <v>37</v>
      </c>
      <c r="B39" s="3" t="s">
        <v>56</v>
      </c>
      <c r="C39" t="s">
        <v>57</v>
      </c>
      <c r="D39" t="s">
        <v>33</v>
      </c>
      <c r="E39">
        <v>1</v>
      </c>
      <c r="F39" s="24"/>
      <c r="G39" s="24">
        <v>37.268616183971105</v>
      </c>
      <c r="H39" s="25">
        <v>42.262694503964362</v>
      </c>
      <c r="I39" s="25">
        <v>46.473131798891572</v>
      </c>
      <c r="J39" s="25">
        <v>49.745084869714809</v>
      </c>
      <c r="K39" s="25">
        <v>50.57776978507605</v>
      </c>
      <c r="L39" s="25">
        <v>54.77599755561824</v>
      </c>
      <c r="M39" s="26">
        <v>57.15799587268431</v>
      </c>
      <c r="N39" s="25">
        <v>58.174550211550347</v>
      </c>
      <c r="O39" s="26">
        <v>60.553901420085019</v>
      </c>
      <c r="P39" s="26">
        <v>61.801385049071634</v>
      </c>
      <c r="Q39" s="26">
        <v>59.645000000000003</v>
      </c>
      <c r="R39" s="26">
        <v>91.679232490076629</v>
      </c>
      <c r="S39" s="26">
        <v>96.498323806401018</v>
      </c>
      <c r="T39" s="27"/>
      <c r="U39" s="4">
        <v>2.2199204056218891E-2</v>
      </c>
      <c r="V39" s="4">
        <f t="shared" ref="V39:AG60" si="7">IFERROR((H39/G39)^(1/(V$2-$U$2))-1,".")</f>
        <v>0.13400224723506549</v>
      </c>
      <c r="W39" s="4">
        <f t="shared" si="7"/>
        <v>4.8630243214262014E-2</v>
      </c>
      <c r="X39" s="4">
        <f t="shared" si="7"/>
        <v>2.2938235309407196E-2</v>
      </c>
      <c r="Y39" s="4">
        <f t="shared" si="7"/>
        <v>4.1587450073401477E-3</v>
      </c>
      <c r="Z39" s="4">
        <f t="shared" si="7"/>
        <v>1.6075837875811017E-2</v>
      </c>
      <c r="AA39" s="4">
        <f t="shared" si="7"/>
        <v>7.119758071100879E-3</v>
      </c>
      <c r="AB39" s="4">
        <f t="shared" si="7"/>
        <v>2.5215576173984733E-3</v>
      </c>
      <c r="AC39" s="4">
        <f t="shared" si="7"/>
        <v>5.0233151842373758E-3</v>
      </c>
      <c r="AD39" s="4">
        <f t="shared" si="7"/>
        <v>2.2683326776702373E-3</v>
      </c>
      <c r="AE39" s="4">
        <f t="shared" si="7"/>
        <v>-3.5452460500765559E-3</v>
      </c>
      <c r="AF39" s="4">
        <f t="shared" si="7"/>
        <v>3.9854194080830574E-2</v>
      </c>
      <c r="AG39" s="4">
        <f t="shared" si="7"/>
        <v>4.2782722039389487E-3</v>
      </c>
      <c r="AI39" s="16">
        <f t="shared" si="6"/>
        <v>46.473131798891572</v>
      </c>
    </row>
    <row r="40" spans="1:35" x14ac:dyDescent="0.25">
      <c r="A40" s="2">
        <v>38</v>
      </c>
      <c r="B40" s="3" t="s">
        <v>58</v>
      </c>
      <c r="C40" t="s">
        <v>58</v>
      </c>
      <c r="D40" t="s">
        <v>7</v>
      </c>
      <c r="E40">
        <v>1</v>
      </c>
      <c r="F40" s="24"/>
      <c r="G40" s="24">
        <v>59.865977191706087</v>
      </c>
      <c r="H40" s="25">
        <v>62.39947824622466</v>
      </c>
      <c r="I40" s="25">
        <v>56.548374544895125</v>
      </c>
      <c r="J40" s="25">
        <v>58.157880646461805</v>
      </c>
      <c r="K40" s="25">
        <v>57.682343707595422</v>
      </c>
      <c r="L40" s="25">
        <v>49.519006809267594</v>
      </c>
      <c r="M40" s="26">
        <v>51.6234291213635</v>
      </c>
      <c r="N40" s="25">
        <v>55.201417479392497</v>
      </c>
      <c r="O40" s="26">
        <v>61.375222347025598</v>
      </c>
      <c r="P40" s="26">
        <v>60.752588976317483</v>
      </c>
      <c r="Q40" s="26">
        <v>56.768000000000001</v>
      </c>
      <c r="R40" s="26">
        <v>128.35691952636651</v>
      </c>
      <c r="S40" s="26">
        <v>143.51376275438938</v>
      </c>
      <c r="T40" s="27"/>
      <c r="U40" s="4">
        <v>4.4188721681130527E-2</v>
      </c>
      <c r="V40" s="4">
        <f t="shared" si="7"/>
        <v>4.2319547318264927E-2</v>
      </c>
      <c r="W40" s="4">
        <f t="shared" si="7"/>
        <v>-4.8038063555393085E-2</v>
      </c>
      <c r="X40" s="4">
        <f t="shared" si="7"/>
        <v>9.3988725904206039E-3</v>
      </c>
      <c r="Y40" s="4">
        <f t="shared" si="7"/>
        <v>-2.0504617808683179E-3</v>
      </c>
      <c r="Z40" s="4">
        <f t="shared" si="7"/>
        <v>-3.0057910344509553E-2</v>
      </c>
      <c r="AA40" s="4">
        <f t="shared" si="7"/>
        <v>6.9606216889290806E-3</v>
      </c>
      <c r="AB40" s="4">
        <f t="shared" si="7"/>
        <v>9.6192575995097673E-3</v>
      </c>
      <c r="AC40" s="4">
        <f t="shared" si="7"/>
        <v>1.334039666396647E-2</v>
      </c>
      <c r="AD40" s="4">
        <f t="shared" si="7"/>
        <v>-1.1323040886838109E-3</v>
      </c>
      <c r="AE40" s="4">
        <f t="shared" si="7"/>
        <v>-6.7607338601943789E-3</v>
      </c>
      <c r="AF40" s="4">
        <f t="shared" si="7"/>
        <v>7.6987139780929192E-2</v>
      </c>
      <c r="AG40" s="4">
        <f t="shared" si="7"/>
        <v>9.3447353453635085E-3</v>
      </c>
      <c r="AI40" s="16">
        <f t="shared" si="6"/>
        <v>56.548374544895125</v>
      </c>
    </row>
    <row r="41" spans="1:35" x14ac:dyDescent="0.25">
      <c r="A41" s="2">
        <v>39</v>
      </c>
      <c r="B41" s="3" t="s">
        <v>59</v>
      </c>
      <c r="C41" t="s">
        <v>59</v>
      </c>
      <c r="D41" t="s">
        <v>16</v>
      </c>
      <c r="E41">
        <v>0</v>
      </c>
      <c r="F41" s="24"/>
      <c r="G41" s="24">
        <v>64.328000000000003</v>
      </c>
      <c r="H41" s="25">
        <v>68.989999999999995</v>
      </c>
      <c r="I41" s="25">
        <v>73.141000000000005</v>
      </c>
      <c r="J41" s="25">
        <v>77.147999999999996</v>
      </c>
      <c r="K41" s="25">
        <v>80.656000000000006</v>
      </c>
      <c r="L41" s="25">
        <v>87.132999999999996</v>
      </c>
      <c r="M41" s="26">
        <v>91.37</v>
      </c>
      <c r="N41" s="25">
        <v>96.850999999999999</v>
      </c>
      <c r="O41" s="26">
        <v>100.023</v>
      </c>
      <c r="P41" s="26">
        <v>111.220666666667</v>
      </c>
      <c r="Q41" s="26">
        <v>172.02278884459059</v>
      </c>
      <c r="R41" s="26">
        <v>166.62326281177502</v>
      </c>
      <c r="S41" s="26">
        <v>163.52000318631326</v>
      </c>
      <c r="T41" s="27"/>
      <c r="U41" s="4" t="s">
        <v>12</v>
      </c>
      <c r="V41" s="4">
        <f t="shared" si="7"/>
        <v>7.2472329312274431E-2</v>
      </c>
      <c r="W41" s="4">
        <f t="shared" si="7"/>
        <v>2.9644667013912107E-2</v>
      </c>
      <c r="X41" s="4">
        <f t="shared" si="7"/>
        <v>1.793784129949505E-2</v>
      </c>
      <c r="Y41" s="4">
        <f t="shared" si="7"/>
        <v>1.1178907789007875E-2</v>
      </c>
      <c r="Z41" s="4">
        <f t="shared" si="7"/>
        <v>1.556844282822456E-2</v>
      </c>
      <c r="AA41" s="4">
        <f t="shared" si="7"/>
        <v>7.9449801837525591E-3</v>
      </c>
      <c r="AB41" s="4">
        <f t="shared" si="7"/>
        <v>8.3570868251534591E-3</v>
      </c>
      <c r="AC41" s="4">
        <f t="shared" si="7"/>
        <v>4.0364300907018702E-3</v>
      </c>
      <c r="AD41" s="4">
        <f t="shared" si="7"/>
        <v>1.1860456906024108E-2</v>
      </c>
      <c r="AE41" s="4">
        <f t="shared" si="7"/>
        <v>4.457601367418329E-2</v>
      </c>
      <c r="AF41" s="4">
        <f t="shared" si="7"/>
        <v>-2.8950384171009258E-3</v>
      </c>
      <c r="AG41" s="4">
        <f t="shared" si="7"/>
        <v>-1.5654422656264932E-3</v>
      </c>
      <c r="AI41" s="16">
        <f t="shared" si="6"/>
        <v>73.141000000000005</v>
      </c>
    </row>
    <row r="42" spans="1:35" x14ac:dyDescent="0.25">
      <c r="A42" s="2">
        <v>40</v>
      </c>
      <c r="B42" s="3" t="s">
        <v>60</v>
      </c>
      <c r="C42" t="s">
        <v>60</v>
      </c>
      <c r="D42" t="s">
        <v>23</v>
      </c>
      <c r="E42">
        <v>1</v>
      </c>
      <c r="F42" s="24"/>
      <c r="G42" s="24">
        <v>25.562264900662246</v>
      </c>
      <c r="H42" s="25">
        <v>27.426994717820403</v>
      </c>
      <c r="I42" s="25">
        <v>25.041397918540408</v>
      </c>
      <c r="J42" s="25">
        <v>24.084559214020178</v>
      </c>
      <c r="K42" s="25">
        <v>23.364707443279819</v>
      </c>
      <c r="L42" s="25">
        <v>19.680625485194632</v>
      </c>
      <c r="M42" s="26">
        <v>20.453761061946903</v>
      </c>
      <c r="N42" s="25">
        <v>22.14186499887311</v>
      </c>
      <c r="O42" s="26">
        <v>25.309818138875766</v>
      </c>
      <c r="P42" s="26">
        <v>24.948935408037613</v>
      </c>
      <c r="Q42" s="26">
        <v>23.245999999999999</v>
      </c>
      <c r="R42" s="26">
        <v>41.927190652268862</v>
      </c>
      <c r="S42" s="26">
        <v>44.02529680998655</v>
      </c>
      <c r="T42" s="27"/>
      <c r="U42" s="4">
        <v>-0.14610088001425836</v>
      </c>
      <c r="V42" s="4">
        <f t="shared" si="7"/>
        <v>7.2948536618515636E-2</v>
      </c>
      <c r="W42" s="4">
        <f t="shared" si="7"/>
        <v>-4.4479138521875128E-2</v>
      </c>
      <c r="X42" s="4">
        <f t="shared" si="7"/>
        <v>-1.2902517354246079E-2</v>
      </c>
      <c r="Y42" s="4">
        <f t="shared" si="7"/>
        <v>-7.5573693190974511E-3</v>
      </c>
      <c r="Z42" s="4">
        <f t="shared" si="7"/>
        <v>-3.3736199071731532E-2</v>
      </c>
      <c r="AA42" s="4">
        <f t="shared" si="7"/>
        <v>6.4426831510990823E-3</v>
      </c>
      <c r="AB42" s="4">
        <f t="shared" si="7"/>
        <v>1.1393471018420254E-2</v>
      </c>
      <c r="AC42" s="4">
        <f t="shared" si="7"/>
        <v>1.6855760512670681E-2</v>
      </c>
      <c r="AD42" s="4">
        <f t="shared" si="7"/>
        <v>-1.5944205492716135E-3</v>
      </c>
      <c r="AE42" s="4">
        <f t="shared" si="7"/>
        <v>-7.0448755038393651E-3</v>
      </c>
      <c r="AF42" s="4">
        <f t="shared" si="7"/>
        <v>5.5081818193065457E-2</v>
      </c>
      <c r="AG42" s="4">
        <f t="shared" si="7"/>
        <v>4.0774434257755399E-3</v>
      </c>
      <c r="AI42" s="16">
        <f t="shared" si="6"/>
        <v>25.041397918540408</v>
      </c>
    </row>
    <row r="43" spans="1:35" x14ac:dyDescent="0.25">
      <c r="A43" s="2">
        <v>41</v>
      </c>
      <c r="B43" s="3" t="s">
        <v>61</v>
      </c>
      <c r="C43" t="s">
        <v>62</v>
      </c>
      <c r="D43" t="s">
        <v>23</v>
      </c>
      <c r="E43">
        <v>1</v>
      </c>
      <c r="F43" s="24"/>
      <c r="G43" s="24">
        <v>207.47785791891928</v>
      </c>
      <c r="H43" s="25">
        <v>227.94834966635386</v>
      </c>
      <c r="I43" s="25">
        <v>207.3764270208147</v>
      </c>
      <c r="J43" s="25">
        <v>209.40244499610421</v>
      </c>
      <c r="K43" s="25">
        <v>207.81833072383475</v>
      </c>
      <c r="L43" s="25">
        <v>186.82994054575946</v>
      </c>
      <c r="M43" s="26">
        <v>195.09027240272889</v>
      </c>
      <c r="N43" s="25">
        <v>215.9135450384295</v>
      </c>
      <c r="O43" s="26">
        <v>248.9087318175016</v>
      </c>
      <c r="P43" s="26">
        <v>250.68050452964712</v>
      </c>
      <c r="Q43" s="26">
        <v>241.97499999999999</v>
      </c>
      <c r="R43" s="26">
        <v>420.03565917014294</v>
      </c>
      <c r="S43" s="26">
        <v>450.46698287100418</v>
      </c>
      <c r="T43" s="27"/>
      <c r="U43" s="4">
        <v>5.3933417788969429E-3</v>
      </c>
      <c r="V43" s="4">
        <f t="shared" si="7"/>
        <v>9.8663500542955695E-2</v>
      </c>
      <c r="W43" s="4">
        <f t="shared" si="7"/>
        <v>-4.6190886713639467E-2</v>
      </c>
      <c r="X43" s="4">
        <f t="shared" si="7"/>
        <v>3.2460385854693463E-3</v>
      </c>
      <c r="Y43" s="4">
        <f t="shared" si="7"/>
        <v>-1.8966207605525254E-3</v>
      </c>
      <c r="Z43" s="4">
        <f t="shared" si="7"/>
        <v>-2.1068001243930379E-2</v>
      </c>
      <c r="AA43" s="4">
        <f t="shared" si="7"/>
        <v>7.2366577291274048E-3</v>
      </c>
      <c r="AB43" s="4">
        <f t="shared" si="7"/>
        <v>1.4593414283974981E-2</v>
      </c>
      <c r="AC43" s="4">
        <f t="shared" si="7"/>
        <v>1.7934961071721878E-2</v>
      </c>
      <c r="AD43" s="4">
        <f t="shared" si="7"/>
        <v>7.8841592671485827E-4</v>
      </c>
      <c r="AE43" s="4">
        <f t="shared" si="7"/>
        <v>-3.5282433664246549E-3</v>
      </c>
      <c r="AF43" s="4">
        <f t="shared" si="7"/>
        <v>5.1414957895235203E-2</v>
      </c>
      <c r="AG43" s="4">
        <f t="shared" si="7"/>
        <v>5.8457847956949749E-3</v>
      </c>
      <c r="AI43" s="16">
        <f t="shared" si="6"/>
        <v>207.3764270208147</v>
      </c>
    </row>
    <row r="44" spans="1:35" x14ac:dyDescent="0.25">
      <c r="A44" s="2">
        <v>42</v>
      </c>
      <c r="B44" s="3" t="s">
        <v>63</v>
      </c>
      <c r="C44" t="s">
        <v>64</v>
      </c>
      <c r="D44" t="s">
        <v>14</v>
      </c>
      <c r="E44">
        <v>0</v>
      </c>
      <c r="F44" s="24">
        <v>1</v>
      </c>
      <c r="G44" s="24">
        <v>12.007880438623236</v>
      </c>
      <c r="H44" s="25">
        <v>14.425607179663892</v>
      </c>
      <c r="I44" s="25">
        <v>13.677930123591871</v>
      </c>
      <c r="J44" s="25">
        <v>14.085851348068982</v>
      </c>
      <c r="K44" s="25">
        <v>14.177437982261864</v>
      </c>
      <c r="L44" s="25">
        <v>8.553154580399509</v>
      </c>
      <c r="M44" s="26">
        <v>9.0358480709035724</v>
      </c>
      <c r="N44" s="26">
        <v>8.7013348002197564</v>
      </c>
      <c r="O44" s="26" t="s">
        <v>12</v>
      </c>
      <c r="P44" s="26" t="s">
        <v>12</v>
      </c>
      <c r="Q44" s="26" t="s">
        <v>12</v>
      </c>
      <c r="R44" s="26" t="s">
        <v>12</v>
      </c>
      <c r="S44" s="26" t="s">
        <v>12</v>
      </c>
      <c r="T44" s="27"/>
      <c r="U44" s="4" t="s">
        <v>12</v>
      </c>
      <c r="V44" s="4">
        <f t="shared" si="7"/>
        <v>0.20134500450754489</v>
      </c>
      <c r="W44" s="4">
        <f t="shared" si="7"/>
        <v>-2.6259711209154157E-2</v>
      </c>
      <c r="X44" s="4">
        <f t="shared" si="7"/>
        <v>9.8438851044015951E-3</v>
      </c>
      <c r="Y44" s="4">
        <f t="shared" si="7"/>
        <v>1.6215591624710868E-3</v>
      </c>
      <c r="Z44" s="4">
        <f t="shared" si="7"/>
        <v>-9.6130539364886136E-2</v>
      </c>
      <c r="AA44" s="4">
        <f t="shared" si="7"/>
        <v>9.1919241325797429E-3</v>
      </c>
      <c r="AB44" s="4">
        <f t="shared" si="7"/>
        <v>-5.3745544807851653E-3</v>
      </c>
      <c r="AC44" s="4" t="str">
        <f t="shared" si="7"/>
        <v>.</v>
      </c>
      <c r="AD44" s="4" t="str">
        <f t="shared" si="7"/>
        <v>.</v>
      </c>
      <c r="AE44" s="4" t="str">
        <f t="shared" si="7"/>
        <v>.</v>
      </c>
      <c r="AF44" s="4" t="str">
        <f t="shared" si="7"/>
        <v>.</v>
      </c>
      <c r="AG44" s="4" t="str">
        <f t="shared" si="7"/>
        <v>.</v>
      </c>
      <c r="AI44" s="16">
        <f t="shared" si="6"/>
        <v>13.677930123591871</v>
      </c>
    </row>
    <row r="45" spans="1:35" x14ac:dyDescent="0.25">
      <c r="A45" s="2">
        <v>43</v>
      </c>
      <c r="B45" s="3" t="s">
        <v>65</v>
      </c>
      <c r="C45" t="s">
        <v>65</v>
      </c>
      <c r="D45" t="s">
        <v>23</v>
      </c>
      <c r="E45">
        <v>1</v>
      </c>
      <c r="F45" s="24"/>
      <c r="G45" s="24">
        <v>321.99527940150159</v>
      </c>
      <c r="H45" s="25">
        <v>344.0031376112712</v>
      </c>
      <c r="I45" s="25">
        <v>327.14894381213662</v>
      </c>
      <c r="J45" s="25">
        <v>343.58439164792708</v>
      </c>
      <c r="K45" s="25">
        <v>352.99363161770799</v>
      </c>
      <c r="L45" s="25">
        <v>302.67306876597229</v>
      </c>
      <c r="M45" s="26">
        <v>311.98811933925128</v>
      </c>
      <c r="N45" s="25">
        <v>329.86555384283326</v>
      </c>
      <c r="O45" s="26">
        <v>356.8794997978963</v>
      </c>
      <c r="P45" s="26">
        <v>350.10432765867489</v>
      </c>
      <c r="Q45" s="26">
        <v>339.62599999999998</v>
      </c>
      <c r="R45" s="26">
        <v>341.85571765289518</v>
      </c>
      <c r="S45" s="26">
        <v>374.7608564536211</v>
      </c>
      <c r="T45" s="27"/>
      <c r="U45" s="4">
        <v>-1.0952019804242652E-2</v>
      </c>
      <c r="V45" s="4">
        <f t="shared" si="7"/>
        <v>6.8348387748652817E-2</v>
      </c>
      <c r="W45" s="4">
        <f t="shared" si="7"/>
        <v>-2.4804790075786065E-2</v>
      </c>
      <c r="X45" s="4">
        <f t="shared" si="7"/>
        <v>1.6473282672912593E-2</v>
      </c>
      <c r="Y45" s="4">
        <f t="shared" si="7"/>
        <v>6.7771750381602214E-3</v>
      </c>
      <c r="Z45" s="4">
        <f t="shared" si="7"/>
        <v>-3.0291099208791916E-2</v>
      </c>
      <c r="AA45" s="4">
        <f t="shared" si="7"/>
        <v>5.0647604267992641E-3</v>
      </c>
      <c r="AB45" s="4">
        <f t="shared" si="7"/>
        <v>7.9917723430411591E-3</v>
      </c>
      <c r="AC45" s="4">
        <f t="shared" si="7"/>
        <v>9.8876921675101759E-3</v>
      </c>
      <c r="AD45" s="4">
        <f t="shared" si="7"/>
        <v>-2.1274005500162563E-3</v>
      </c>
      <c r="AE45" s="4">
        <f t="shared" si="7"/>
        <v>-3.0340057662699982E-3</v>
      </c>
      <c r="AF45" s="4">
        <f t="shared" si="7"/>
        <v>5.9506404157083637E-4</v>
      </c>
      <c r="AG45" s="4">
        <f t="shared" si="7"/>
        <v>7.6876776619063669E-3</v>
      </c>
      <c r="AI45" s="16">
        <f t="shared" si="6"/>
        <v>327.14894381213662</v>
      </c>
    </row>
    <row r="46" spans="1:35" x14ac:dyDescent="0.25">
      <c r="A46" s="2">
        <v>44</v>
      </c>
      <c r="B46" s="3" t="s">
        <v>66</v>
      </c>
      <c r="C46" t="s">
        <v>66</v>
      </c>
      <c r="D46" t="s">
        <v>14</v>
      </c>
      <c r="E46">
        <v>0</v>
      </c>
      <c r="F46" s="24">
        <v>1</v>
      </c>
      <c r="G46" s="24">
        <v>1.128611700361803</v>
      </c>
      <c r="H46" s="25">
        <v>1.2391445017752545</v>
      </c>
      <c r="I46" s="25">
        <v>1.353632941520698</v>
      </c>
      <c r="J46" s="25">
        <v>1.3247337118292155</v>
      </c>
      <c r="K46" s="25">
        <v>1.4550350887459431</v>
      </c>
      <c r="L46" s="25">
        <v>1.6337419226873737</v>
      </c>
      <c r="M46" s="26">
        <v>1.7642684689399051</v>
      </c>
      <c r="N46" s="26">
        <v>1.8446744345037134</v>
      </c>
      <c r="O46" s="26">
        <v>3.0128204096331306</v>
      </c>
      <c r="P46" s="26">
        <v>3.3246342561332436</v>
      </c>
      <c r="Q46" s="26">
        <v>3.4079999999999999</v>
      </c>
      <c r="R46" s="26">
        <v>4.6921944774554731</v>
      </c>
      <c r="S46" s="26">
        <v>4.8399859420583766</v>
      </c>
      <c r="T46" s="27"/>
      <c r="U46" s="4" t="s">
        <v>12</v>
      </c>
      <c r="V46" s="4">
        <f t="shared" si="7"/>
        <v>9.7936962179301812E-2</v>
      </c>
      <c r="W46" s="4">
        <f t="shared" si="7"/>
        <v>4.5176124185892785E-2</v>
      </c>
      <c r="X46" s="4">
        <f t="shared" si="7"/>
        <v>-7.1677147747200021E-3</v>
      </c>
      <c r="Y46" s="4">
        <f t="shared" si="7"/>
        <v>2.3731860470741717E-2</v>
      </c>
      <c r="Z46" s="4">
        <f t="shared" si="7"/>
        <v>2.3439082070809025E-2</v>
      </c>
      <c r="AA46" s="4">
        <f t="shared" si="7"/>
        <v>1.2892922403774154E-2</v>
      </c>
      <c r="AB46" s="4">
        <f t="shared" si="7"/>
        <v>6.3869766398532146E-3</v>
      </c>
      <c r="AC46" s="4">
        <f t="shared" si="7"/>
        <v>6.3240936940012205E-2</v>
      </c>
      <c r="AD46" s="4">
        <f t="shared" si="7"/>
        <v>1.1002646167005858E-2</v>
      </c>
      <c r="AE46" s="4">
        <f t="shared" si="7"/>
        <v>2.4796631984531636E-3</v>
      </c>
      <c r="AF46" s="4">
        <f t="shared" si="7"/>
        <v>2.9497103117934298E-2</v>
      </c>
      <c r="AG46" s="4">
        <f t="shared" si="7"/>
        <v>2.5876286071249144E-3</v>
      </c>
      <c r="AI46" s="16">
        <f t="shared" si="6"/>
        <v>1.353632941520698</v>
      </c>
    </row>
    <row r="47" spans="1:35" x14ac:dyDescent="0.25">
      <c r="A47" s="2">
        <v>45</v>
      </c>
      <c r="B47" s="3" t="s">
        <v>67</v>
      </c>
      <c r="C47" t="s">
        <v>67</v>
      </c>
      <c r="D47" t="s">
        <v>16</v>
      </c>
      <c r="E47">
        <v>0</v>
      </c>
      <c r="F47" s="24">
        <v>1</v>
      </c>
      <c r="G47" s="24">
        <v>0.49382441333333321</v>
      </c>
      <c r="H47" s="25">
        <v>0.50102530333333328</v>
      </c>
      <c r="I47" s="25">
        <v>0.48599798814814799</v>
      </c>
      <c r="J47" s="25">
        <v>0.50197913444444442</v>
      </c>
      <c r="K47" s="25">
        <v>0.52354077777777763</v>
      </c>
      <c r="L47" s="25">
        <v>0.54083066999999996</v>
      </c>
      <c r="M47" s="26">
        <v>0.5754682344444445</v>
      </c>
      <c r="N47" s="26">
        <v>0.49672624851851849</v>
      </c>
      <c r="O47" s="26">
        <v>0.55107407407407405</v>
      </c>
      <c r="P47" s="26">
        <v>0.58240370370370365</v>
      </c>
      <c r="Q47" s="26">
        <v>0.52744650115075264</v>
      </c>
      <c r="R47" s="26">
        <v>0.46543423569048059</v>
      </c>
      <c r="S47" s="26">
        <v>0.39580973968710964</v>
      </c>
      <c r="T47" s="27"/>
      <c r="U47" s="4" t="s">
        <v>12</v>
      </c>
      <c r="V47" s="4">
        <f t="shared" si="7"/>
        <v>1.4581883369017223E-2</v>
      </c>
      <c r="W47" s="4">
        <f t="shared" si="7"/>
        <v>-1.5110730216688739E-2</v>
      </c>
      <c r="X47" s="4">
        <f t="shared" si="7"/>
        <v>1.0843054292410503E-2</v>
      </c>
      <c r="Y47" s="4">
        <f t="shared" si="7"/>
        <v>1.0569559243976956E-2</v>
      </c>
      <c r="Z47" s="4">
        <f t="shared" si="7"/>
        <v>6.5194222394147072E-3</v>
      </c>
      <c r="AA47" s="4">
        <f t="shared" si="7"/>
        <v>1.0400007151506463E-2</v>
      </c>
      <c r="AB47" s="4">
        <f t="shared" si="7"/>
        <v>-2.0801313957668044E-2</v>
      </c>
      <c r="AC47" s="4">
        <f t="shared" si="7"/>
        <v>1.3063360972407123E-2</v>
      </c>
      <c r="AD47" s="4">
        <f t="shared" si="7"/>
        <v>6.162758850832617E-3</v>
      </c>
      <c r="AE47" s="4">
        <f t="shared" si="7"/>
        <v>-9.8626831326786846E-3</v>
      </c>
      <c r="AF47" s="4">
        <f t="shared" si="7"/>
        <v>-1.1306201798453208E-2</v>
      </c>
      <c r="AG47" s="4">
        <f t="shared" si="7"/>
        <v>-1.3412339606201695E-2</v>
      </c>
      <c r="AI47" s="16">
        <f t="shared" si="6"/>
        <v>0.48599798814814799</v>
      </c>
    </row>
    <row r="48" spans="1:35" x14ac:dyDescent="0.25">
      <c r="A48" s="2">
        <v>46</v>
      </c>
      <c r="B48" s="3" t="s">
        <v>68</v>
      </c>
      <c r="C48" t="s">
        <v>69</v>
      </c>
      <c r="D48" t="s">
        <v>16</v>
      </c>
      <c r="E48">
        <v>1</v>
      </c>
      <c r="F48" s="24"/>
      <c r="G48" s="24">
        <v>53.982886258220461</v>
      </c>
      <c r="H48" s="25">
        <v>57.811180659454486</v>
      </c>
      <c r="I48" s="25">
        <v>60.657780260679232</v>
      </c>
      <c r="J48" s="25">
        <v>62.661773591720269</v>
      </c>
      <c r="K48" s="25">
        <v>66.065015410046826</v>
      </c>
      <c r="L48" s="25">
        <v>68.802092020944826</v>
      </c>
      <c r="M48" s="26">
        <v>72.342967648335431</v>
      </c>
      <c r="N48" s="25">
        <v>75.931656814656961</v>
      </c>
      <c r="O48" s="26">
        <v>85.555378043799848</v>
      </c>
      <c r="P48" s="26">
        <v>88.941299734207306</v>
      </c>
      <c r="Q48" s="26">
        <v>77.882999999999996</v>
      </c>
      <c r="R48" s="26">
        <v>198.00745344814479</v>
      </c>
      <c r="S48" s="26">
        <v>208.17184529370164</v>
      </c>
      <c r="T48" s="27"/>
      <c r="U48" s="4">
        <v>9.1435452230133496E-2</v>
      </c>
      <c r="V48" s="4">
        <f t="shared" si="7"/>
        <v>7.0916815801990607E-2</v>
      </c>
      <c r="W48" s="4">
        <f t="shared" si="7"/>
        <v>2.4323973792960807E-2</v>
      </c>
      <c r="X48" s="4">
        <f t="shared" si="7"/>
        <v>1.0893466957394793E-2</v>
      </c>
      <c r="Y48" s="4">
        <f t="shared" si="7"/>
        <v>1.3309733579386807E-2</v>
      </c>
      <c r="Z48" s="4">
        <f t="shared" si="7"/>
        <v>8.1520106818619986E-3</v>
      </c>
      <c r="AA48" s="4">
        <f t="shared" si="7"/>
        <v>8.399092364765659E-3</v>
      </c>
      <c r="AB48" s="4">
        <f t="shared" si="7"/>
        <v>6.9404647299027289E-3</v>
      </c>
      <c r="AC48" s="4">
        <f t="shared" si="7"/>
        <v>1.5028075220913317E-2</v>
      </c>
      <c r="AD48" s="4">
        <f t="shared" si="7"/>
        <v>4.3218385324599318E-3</v>
      </c>
      <c r="AE48" s="4">
        <f t="shared" si="7"/>
        <v>-1.318914067498933E-2</v>
      </c>
      <c r="AF48" s="4">
        <f t="shared" si="7"/>
        <v>8.8528732275099609E-2</v>
      </c>
      <c r="AG48" s="4">
        <f t="shared" si="7"/>
        <v>4.180316936868822E-3</v>
      </c>
      <c r="AI48" s="16">
        <f t="shared" si="6"/>
        <v>60.657780260679232</v>
      </c>
    </row>
    <row r="49" spans="1:35" x14ac:dyDescent="0.25">
      <c r="A49" s="2">
        <v>47</v>
      </c>
      <c r="B49" s="3" t="s">
        <v>70</v>
      </c>
      <c r="C49" t="s">
        <v>70</v>
      </c>
      <c r="D49" t="s">
        <v>18</v>
      </c>
      <c r="E49">
        <v>1</v>
      </c>
      <c r="F49" s="24"/>
      <c r="G49" s="24">
        <v>69.555367000000004</v>
      </c>
      <c r="H49" s="25">
        <v>79.276663999999997</v>
      </c>
      <c r="I49" s="25">
        <v>87.924543999999997</v>
      </c>
      <c r="J49" s="25">
        <v>95.129659000000004</v>
      </c>
      <c r="K49" s="25">
        <v>101.72633100000002</v>
      </c>
      <c r="L49" s="25">
        <v>99.290380999999982</v>
      </c>
      <c r="M49" s="26">
        <v>99.937695999999988</v>
      </c>
      <c r="N49" s="25">
        <v>104.29586199999999</v>
      </c>
      <c r="O49" s="26">
        <v>107.56200800000001</v>
      </c>
      <c r="P49" s="26">
        <v>107.435665</v>
      </c>
      <c r="Q49" s="26">
        <v>93.078000000000003</v>
      </c>
      <c r="R49" s="26">
        <v>191.97016830172203</v>
      </c>
      <c r="S49" s="26">
        <v>192.88200638676582</v>
      </c>
      <c r="T49" s="27"/>
      <c r="U49" s="4">
        <v>4.0392727136077333E-2</v>
      </c>
      <c r="V49" s="4">
        <f t="shared" si="7"/>
        <v>0.13976343479001407</v>
      </c>
      <c r="W49" s="4">
        <f t="shared" si="7"/>
        <v>5.3130956788366657E-2</v>
      </c>
      <c r="X49" s="4">
        <f t="shared" si="7"/>
        <v>2.6601603927876472E-2</v>
      </c>
      <c r="Y49" s="4">
        <f t="shared" si="7"/>
        <v>1.6902605859105746E-2</v>
      </c>
      <c r="Z49" s="4">
        <f t="shared" si="7"/>
        <v>-4.8357658161396477E-3</v>
      </c>
      <c r="AA49" s="4">
        <f t="shared" si="7"/>
        <v>1.0836289579592151E-3</v>
      </c>
      <c r="AB49" s="4">
        <f t="shared" si="7"/>
        <v>6.1164488882756718E-3</v>
      </c>
      <c r="AC49" s="4">
        <f t="shared" si="7"/>
        <v>3.8619146326468456E-3</v>
      </c>
      <c r="AD49" s="4">
        <f t="shared" si="7"/>
        <v>-1.3057998221999156E-4</v>
      </c>
      <c r="AE49" s="4">
        <f t="shared" si="7"/>
        <v>-1.4243029712014743E-2</v>
      </c>
      <c r="AF49" s="4">
        <f t="shared" si="7"/>
        <v>6.802300975437614E-2</v>
      </c>
      <c r="AG49" s="4">
        <f t="shared" si="7"/>
        <v>3.9496544042916248E-4</v>
      </c>
      <c r="AI49" s="16">
        <f t="shared" si="6"/>
        <v>87.924543999999997</v>
      </c>
    </row>
    <row r="50" spans="1:35" x14ac:dyDescent="0.25">
      <c r="A50" s="2">
        <v>48</v>
      </c>
      <c r="B50" s="3" t="s">
        <v>71</v>
      </c>
      <c r="C50" t="s">
        <v>71</v>
      </c>
      <c r="D50" t="s">
        <v>9</v>
      </c>
      <c r="E50">
        <v>1</v>
      </c>
      <c r="F50" s="24"/>
      <c r="G50" s="24">
        <v>218.88832450475289</v>
      </c>
      <c r="H50" s="25">
        <v>236.00185896001514</v>
      </c>
      <c r="I50" s="25">
        <v>279.37275836183164</v>
      </c>
      <c r="J50" s="25">
        <v>288.58623150187697</v>
      </c>
      <c r="K50" s="25">
        <v>305.52965645843796</v>
      </c>
      <c r="L50" s="25">
        <v>332.69804103080713</v>
      </c>
      <c r="M50" s="26">
        <v>332.92783327803789</v>
      </c>
      <c r="N50" s="25">
        <v>235.3691293377106</v>
      </c>
      <c r="O50" s="26">
        <v>154.33830034254001</v>
      </c>
      <c r="P50" s="26">
        <v>105.673844495992</v>
      </c>
      <c r="Q50" s="26">
        <v>361.875</v>
      </c>
      <c r="R50" s="26">
        <v>1574.055478636144</v>
      </c>
      <c r="S50" s="26">
        <v>1613.4283052376909</v>
      </c>
      <c r="T50" s="27"/>
      <c r="U50" s="4">
        <v>5.1515397267553054E-2</v>
      </c>
      <c r="V50" s="4">
        <f t="shared" si="7"/>
        <v>7.8183861537533206E-2</v>
      </c>
      <c r="W50" s="4">
        <f t="shared" si="7"/>
        <v>8.8013579828121635E-2</v>
      </c>
      <c r="X50" s="4">
        <f t="shared" si="7"/>
        <v>1.0874365990046764E-2</v>
      </c>
      <c r="Y50" s="4">
        <f t="shared" si="7"/>
        <v>1.436543311835492E-2</v>
      </c>
      <c r="Z50" s="4">
        <f t="shared" si="7"/>
        <v>1.718365841299252E-2</v>
      </c>
      <c r="AA50" s="4">
        <f t="shared" si="7"/>
        <v>1.1508240464541686E-4</v>
      </c>
      <c r="AB50" s="4">
        <f t="shared" si="7"/>
        <v>-4.8331645587026073E-2</v>
      </c>
      <c r="AC50" s="4">
        <f t="shared" si="7"/>
        <v>-5.1383822920358146E-2</v>
      </c>
      <c r="AD50" s="4">
        <f t="shared" si="7"/>
        <v>-4.121433383159756E-2</v>
      </c>
      <c r="AE50" s="4">
        <f t="shared" si="7"/>
        <v>0.13099089153962007</v>
      </c>
      <c r="AF50" s="4">
        <f t="shared" si="7"/>
        <v>0.14298873568653381</v>
      </c>
      <c r="AG50" s="4">
        <f t="shared" si="7"/>
        <v>2.06094591280781E-3</v>
      </c>
      <c r="AI50" s="16">
        <f t="shared" si="6"/>
        <v>279.37275836183164</v>
      </c>
    </row>
    <row r="51" spans="1:35" x14ac:dyDescent="0.25">
      <c r="A51" s="2">
        <v>49</v>
      </c>
      <c r="B51" s="3" t="s">
        <v>72</v>
      </c>
      <c r="C51" t="s">
        <v>73</v>
      </c>
      <c r="D51" t="s">
        <v>33</v>
      </c>
      <c r="E51">
        <v>1</v>
      </c>
      <c r="F51" s="24"/>
      <c r="G51" s="24">
        <v>18.447919999999996</v>
      </c>
      <c r="H51" s="25">
        <v>20.283779999999997</v>
      </c>
      <c r="I51" s="25">
        <v>21.38616</v>
      </c>
      <c r="J51" s="25">
        <v>21.990970000000001</v>
      </c>
      <c r="K51" s="25">
        <v>22.59347</v>
      </c>
      <c r="L51" s="25">
        <v>23.438240000000004</v>
      </c>
      <c r="M51" s="26">
        <v>24.154119999999999</v>
      </c>
      <c r="N51" s="25">
        <v>24.927970000000006</v>
      </c>
      <c r="O51" s="26">
        <v>26.1174</v>
      </c>
      <c r="P51" s="26">
        <v>27.022639999999999</v>
      </c>
      <c r="Q51" s="26">
        <v>24.783999999999999</v>
      </c>
      <c r="R51" s="26">
        <v>66.367614756077714</v>
      </c>
      <c r="S51" s="26">
        <v>68.012482725751653</v>
      </c>
      <c r="T51" s="27"/>
      <c r="U51" s="4">
        <v>9.8501573482745464E-3</v>
      </c>
      <c r="V51" s="4">
        <f t="shared" si="7"/>
        <v>9.9515826174441324E-2</v>
      </c>
      <c r="W51" s="4">
        <f t="shared" si="7"/>
        <v>2.6814422492906331E-2</v>
      </c>
      <c r="X51" s="4">
        <f t="shared" si="7"/>
        <v>9.3393186962689168E-3</v>
      </c>
      <c r="Y51" s="4">
        <f t="shared" si="7"/>
        <v>6.7801347244202947E-3</v>
      </c>
      <c r="Z51" s="4">
        <f t="shared" si="7"/>
        <v>7.3686055620865165E-3</v>
      </c>
      <c r="AA51" s="4">
        <f t="shared" si="7"/>
        <v>5.0269411164240996E-3</v>
      </c>
      <c r="AB51" s="4">
        <f t="shared" si="7"/>
        <v>4.5152345561927376E-3</v>
      </c>
      <c r="AC51" s="4">
        <f t="shared" si="7"/>
        <v>5.8434181302375876E-3</v>
      </c>
      <c r="AD51" s="4">
        <f t="shared" si="7"/>
        <v>3.7930950109785755E-3</v>
      </c>
      <c r="AE51" s="4">
        <f t="shared" si="7"/>
        <v>-8.6103913573287727E-3</v>
      </c>
      <c r="AF51" s="4">
        <f t="shared" si="7"/>
        <v>9.3678130921803104E-2</v>
      </c>
      <c r="AG51" s="4">
        <f t="shared" si="7"/>
        <v>2.0422533894481898E-3</v>
      </c>
      <c r="AI51" s="16">
        <f t="shared" si="6"/>
        <v>21.38616</v>
      </c>
    </row>
    <row r="52" spans="1:35" x14ac:dyDescent="0.25">
      <c r="A52" s="2">
        <v>50</v>
      </c>
      <c r="B52" s="3" t="s">
        <v>74</v>
      </c>
      <c r="C52" t="s">
        <v>75</v>
      </c>
      <c r="D52" t="s">
        <v>14</v>
      </c>
      <c r="E52">
        <v>0</v>
      </c>
      <c r="F52" s="24"/>
      <c r="G52" s="24">
        <v>16.298542027996454</v>
      </c>
      <c r="H52" s="25">
        <v>21.329395900871027</v>
      </c>
      <c r="I52" s="25">
        <v>22.389626329336878</v>
      </c>
      <c r="J52" s="25">
        <v>21.942597765363129</v>
      </c>
      <c r="K52" s="25">
        <v>21.736500712963807</v>
      </c>
      <c r="L52" s="25">
        <v>13.180195435113225</v>
      </c>
      <c r="M52" s="26">
        <v>11.233177619466307</v>
      </c>
      <c r="N52" s="25">
        <v>12.289913729335835</v>
      </c>
      <c r="O52" s="26">
        <v>13.278488567305761</v>
      </c>
      <c r="P52" s="26">
        <v>11.026774945341526</v>
      </c>
      <c r="Q52" s="26">
        <v>10.028</v>
      </c>
      <c r="R52" s="26">
        <v>44.506252804634642</v>
      </c>
      <c r="S52" s="26">
        <v>62.176127694405295</v>
      </c>
      <c r="T52" s="27"/>
      <c r="U52" s="4" t="s">
        <v>12</v>
      </c>
      <c r="V52" s="4">
        <f t="shared" si="7"/>
        <v>0.30866895113887716</v>
      </c>
      <c r="W52" s="4">
        <f t="shared" si="7"/>
        <v>2.4552329410896911E-2</v>
      </c>
      <c r="X52" s="4">
        <f t="shared" si="7"/>
        <v>-6.7000837725627038E-3</v>
      </c>
      <c r="Y52" s="4">
        <f t="shared" si="7"/>
        <v>-2.3564549474184293E-3</v>
      </c>
      <c r="Z52" s="4">
        <f t="shared" si="7"/>
        <v>-9.5212808248985925E-2</v>
      </c>
      <c r="AA52" s="4">
        <f t="shared" si="7"/>
        <v>-2.62888809822176E-2</v>
      </c>
      <c r="AB52" s="4">
        <f t="shared" si="7"/>
        <v>1.2926725165055775E-2</v>
      </c>
      <c r="AC52" s="4">
        <f t="shared" si="7"/>
        <v>9.7177159315764428E-3</v>
      </c>
      <c r="AD52" s="4">
        <f t="shared" si="7"/>
        <v>-2.043486645442194E-2</v>
      </c>
      <c r="AE52" s="4">
        <f t="shared" si="7"/>
        <v>-9.4495914213824639E-3</v>
      </c>
      <c r="AF52" s="4">
        <f t="shared" si="7"/>
        <v>0.14508301596737816</v>
      </c>
      <c r="AG52" s="4">
        <f t="shared" si="7"/>
        <v>2.8253555835551225E-2</v>
      </c>
      <c r="AI52" s="16">
        <f t="shared" ref="AI52:AI67" si="8">IF(SUMIF($G$2:$S$2,AI$2,$G52:$S52)=0,".",SUMIF($G$2:$S$2,AI$2,$G52:$S52))</f>
        <v>22.389626329336878</v>
      </c>
    </row>
    <row r="53" spans="1:35" x14ac:dyDescent="0.25">
      <c r="A53" s="2">
        <v>51</v>
      </c>
      <c r="B53" s="3" t="s">
        <v>76</v>
      </c>
      <c r="C53" t="s">
        <v>76</v>
      </c>
      <c r="D53" t="s">
        <v>14</v>
      </c>
      <c r="E53">
        <v>0</v>
      </c>
      <c r="F53" s="24">
        <v>1</v>
      </c>
      <c r="G53" s="24">
        <v>2.117039512195122</v>
      </c>
      <c r="H53" s="25">
        <v>2.6077398373983742</v>
      </c>
      <c r="I53" s="25">
        <v>4.3959999999999999</v>
      </c>
      <c r="J53" s="25">
        <v>4.4729999999999999</v>
      </c>
      <c r="K53" s="25">
        <v>7.8140000000000001</v>
      </c>
      <c r="L53" s="25">
        <v>8.6999999999999993</v>
      </c>
      <c r="M53" s="26">
        <v>9.1690000000000005</v>
      </c>
      <c r="N53" s="26">
        <v>9.4</v>
      </c>
      <c r="O53" s="26">
        <v>10.139666666666701</v>
      </c>
      <c r="P53" s="26">
        <v>10.4896666666667</v>
      </c>
      <c r="Q53" s="26">
        <v>2.0750000000000002</v>
      </c>
      <c r="R53" s="26">
        <v>16.789286460265885</v>
      </c>
      <c r="S53" s="26">
        <v>17.218085072511712</v>
      </c>
      <c r="T53" s="27"/>
      <c r="U53" s="4" t="s">
        <v>12</v>
      </c>
      <c r="V53" s="4">
        <f t="shared" si="7"/>
        <v>0.23178609675284401</v>
      </c>
      <c r="W53" s="4">
        <f t="shared" si="7"/>
        <v>0.29836473503588956</v>
      </c>
      <c r="X53" s="4">
        <f t="shared" si="7"/>
        <v>5.8048793629281725E-3</v>
      </c>
      <c r="Y53" s="4">
        <f t="shared" si="7"/>
        <v>0.14965789791531092</v>
      </c>
      <c r="Z53" s="4">
        <f t="shared" si="7"/>
        <v>2.171358787307387E-2</v>
      </c>
      <c r="AA53" s="4">
        <f t="shared" si="7"/>
        <v>8.7892680048313743E-3</v>
      </c>
      <c r="AB53" s="4">
        <f t="shared" si="7"/>
        <v>3.5608190218663349E-3</v>
      </c>
      <c r="AC53" s="4">
        <f t="shared" si="7"/>
        <v>9.5131444154599176E-3</v>
      </c>
      <c r="AD53" s="4">
        <f t="shared" si="7"/>
        <v>3.7777311612010589E-3</v>
      </c>
      <c r="AE53" s="4">
        <f t="shared" si="7"/>
        <v>-0.14959532043847279</v>
      </c>
      <c r="AF53" s="4">
        <f t="shared" si="7"/>
        <v>0.20933532754450446</v>
      </c>
      <c r="AG53" s="4">
        <f t="shared" si="7"/>
        <v>2.1038196664671105E-3</v>
      </c>
      <c r="AI53" s="16">
        <f t="shared" si="8"/>
        <v>4.3959999999999999</v>
      </c>
    </row>
    <row r="54" spans="1:35" x14ac:dyDescent="0.25">
      <c r="A54" s="2">
        <v>52</v>
      </c>
      <c r="B54" s="3" t="s">
        <v>77</v>
      </c>
      <c r="C54" t="s">
        <v>77</v>
      </c>
      <c r="D54" t="s">
        <v>23</v>
      </c>
      <c r="E54">
        <v>1</v>
      </c>
      <c r="F54" s="24"/>
      <c r="G54" s="24">
        <v>19.490936349175307</v>
      </c>
      <c r="H54" s="25">
        <v>23.170239900765353</v>
      </c>
      <c r="I54" s="25">
        <v>23.043864510054345</v>
      </c>
      <c r="J54" s="25">
        <v>25.137153149437669</v>
      </c>
      <c r="K54" s="25">
        <v>26.615854605278741</v>
      </c>
      <c r="L54" s="25">
        <v>22.904456871817054</v>
      </c>
      <c r="M54" s="26">
        <v>23.984296770811547</v>
      </c>
      <c r="N54" s="25">
        <v>26.611651598945251</v>
      </c>
      <c r="O54" s="26">
        <v>30.63114222685331</v>
      </c>
      <c r="P54" s="26">
        <v>31.471100656243088</v>
      </c>
      <c r="Q54" s="26">
        <v>30.468</v>
      </c>
      <c r="R54" s="26">
        <v>46.97748386696825</v>
      </c>
      <c r="S54" s="26">
        <v>47.640981496925107</v>
      </c>
      <c r="T54" s="27"/>
      <c r="U54" s="4">
        <v>-5.3591150781006625E-2</v>
      </c>
      <c r="V54" s="4">
        <f t="shared" si="7"/>
        <v>0.18876997419088704</v>
      </c>
      <c r="W54" s="4">
        <f t="shared" si="7"/>
        <v>-2.7308345171315196E-3</v>
      </c>
      <c r="X54" s="4">
        <f t="shared" si="7"/>
        <v>2.9406546979991788E-2</v>
      </c>
      <c r="Y54" s="4">
        <f t="shared" si="7"/>
        <v>1.4392620354589658E-2</v>
      </c>
      <c r="Z54" s="4">
        <f t="shared" si="7"/>
        <v>-2.9588540364544613E-2</v>
      </c>
      <c r="AA54" s="4">
        <f t="shared" si="7"/>
        <v>7.7075178581722525E-3</v>
      </c>
      <c r="AB54" s="4">
        <f t="shared" si="7"/>
        <v>1.4960785141648891E-2</v>
      </c>
      <c r="AC54" s="4">
        <f t="shared" si="7"/>
        <v>1.7739007613958746E-2</v>
      </c>
      <c r="AD54" s="4">
        <f t="shared" si="7"/>
        <v>3.0103524799747206E-3</v>
      </c>
      <c r="AE54" s="4">
        <f t="shared" si="7"/>
        <v>-3.2340324877884186E-3</v>
      </c>
      <c r="AF54" s="4">
        <f t="shared" si="7"/>
        <v>4.0147843960910645E-2</v>
      </c>
      <c r="AG54" s="4">
        <f t="shared" si="7"/>
        <v>1.169427112644561E-3</v>
      </c>
      <c r="AI54" s="16">
        <f t="shared" si="8"/>
        <v>23.043864510054345</v>
      </c>
    </row>
    <row r="55" spans="1:35" x14ac:dyDescent="0.25">
      <c r="A55" s="2">
        <v>53</v>
      </c>
      <c r="B55" s="3" t="s">
        <v>78</v>
      </c>
      <c r="C55" t="s">
        <v>78</v>
      </c>
      <c r="D55" t="s">
        <v>14</v>
      </c>
      <c r="E55">
        <v>1</v>
      </c>
      <c r="F55" s="24"/>
      <c r="G55" s="24">
        <v>29.933790334341786</v>
      </c>
      <c r="H55" s="25">
        <v>31.952763089330023</v>
      </c>
      <c r="I55" s="25">
        <v>43.310721414082884</v>
      </c>
      <c r="J55" s="25">
        <v>47.648211133218282</v>
      </c>
      <c r="K55" s="25">
        <v>55.612228233517861</v>
      </c>
      <c r="L55" s="25">
        <v>64.464547915269804</v>
      </c>
      <c r="M55" s="26">
        <v>74.271281810818877</v>
      </c>
      <c r="N55" s="25">
        <v>81.716326730818963</v>
      </c>
      <c r="O55" s="26">
        <v>84.269348327345426</v>
      </c>
      <c r="P55" s="26">
        <v>95.912590628141231</v>
      </c>
      <c r="Q55" s="26">
        <v>95.587999999999994</v>
      </c>
      <c r="R55" s="26">
        <v>501.77906044890153</v>
      </c>
      <c r="S55" s="26">
        <v>559.10228406986982</v>
      </c>
      <c r="T55" s="27"/>
      <c r="U55" s="4">
        <v>8.3160091885824627E-2</v>
      </c>
      <c r="V55" s="4">
        <f t="shared" si="7"/>
        <v>6.7447948704042027E-2</v>
      </c>
      <c r="W55" s="4">
        <f t="shared" si="7"/>
        <v>0.16424263472175693</v>
      </c>
      <c r="X55" s="4">
        <f t="shared" si="7"/>
        <v>3.2326464400180832E-2</v>
      </c>
      <c r="Y55" s="4">
        <f t="shared" si="7"/>
        <v>3.9395719595499479E-2</v>
      </c>
      <c r="Z55" s="4">
        <f t="shared" si="7"/>
        <v>2.9983171467433012E-2</v>
      </c>
      <c r="AA55" s="4">
        <f t="shared" si="7"/>
        <v>2.3882207975654213E-2</v>
      </c>
      <c r="AB55" s="4">
        <f t="shared" si="7"/>
        <v>1.3740611853365836E-2</v>
      </c>
      <c r="AC55" s="4">
        <f t="shared" si="7"/>
        <v>3.8529507431006582E-3</v>
      </c>
      <c r="AD55" s="4">
        <f t="shared" si="7"/>
        <v>1.4483784277167899E-2</v>
      </c>
      <c r="AE55" s="4">
        <f t="shared" si="7"/>
        <v>-3.3893987105793055E-4</v>
      </c>
      <c r="AF55" s="4">
        <f t="shared" si="7"/>
        <v>0.16269142368167411</v>
      </c>
      <c r="AG55" s="4">
        <f t="shared" si="7"/>
        <v>9.0551292842411257E-3</v>
      </c>
      <c r="AI55" s="16">
        <f t="shared" si="8"/>
        <v>43.310721414082884</v>
      </c>
    </row>
    <row r="56" spans="1:35" x14ac:dyDescent="0.25">
      <c r="A56" s="2">
        <v>54</v>
      </c>
      <c r="B56" s="3" t="s">
        <v>79</v>
      </c>
      <c r="C56" t="s">
        <v>79</v>
      </c>
      <c r="D56" t="s">
        <v>21</v>
      </c>
      <c r="E56">
        <v>0</v>
      </c>
      <c r="F56" s="24">
        <v>1</v>
      </c>
      <c r="G56" s="24">
        <v>3.1405088359484967</v>
      </c>
      <c r="H56" s="25">
        <v>3.7745306156591569</v>
      </c>
      <c r="I56" s="25">
        <v>3.9720125705346665</v>
      </c>
      <c r="J56" s="25">
        <v>4.1901432062561099</v>
      </c>
      <c r="K56" s="25">
        <v>4.8569632519747747</v>
      </c>
      <c r="L56" s="25">
        <v>4.682546881158328</v>
      </c>
      <c r="M56" s="26">
        <v>4.9267401936677331</v>
      </c>
      <c r="N56" s="26">
        <v>5.2703351847076778</v>
      </c>
      <c r="O56" s="26">
        <v>5.5813931206285323</v>
      </c>
      <c r="P56" s="26">
        <v>5.4962506943158678</v>
      </c>
      <c r="Q56" s="26">
        <v>3.9319999999999999</v>
      </c>
      <c r="R56" s="26">
        <v>15.183427704691894</v>
      </c>
      <c r="S56" s="26">
        <v>16.647493075214243</v>
      </c>
      <c r="T56" s="27"/>
      <c r="U56" s="4" t="s">
        <v>12</v>
      </c>
      <c r="V56" s="4">
        <f t="shared" si="7"/>
        <v>0.20188504883450609</v>
      </c>
      <c r="W56" s="4">
        <f t="shared" si="7"/>
        <v>2.5826304040184711E-2</v>
      </c>
      <c r="X56" s="4">
        <f t="shared" si="7"/>
        <v>1.7980402366592374E-2</v>
      </c>
      <c r="Y56" s="4">
        <f t="shared" si="7"/>
        <v>3.7609615952777897E-2</v>
      </c>
      <c r="Z56" s="4">
        <f t="shared" si="7"/>
        <v>-7.2875620127146323E-3</v>
      </c>
      <c r="AA56" s="4">
        <f t="shared" si="7"/>
        <v>8.5085577098489296E-3</v>
      </c>
      <c r="AB56" s="4">
        <f t="shared" si="7"/>
        <v>9.6774425031278533E-3</v>
      </c>
      <c r="AC56" s="4">
        <f t="shared" si="7"/>
        <v>7.1938076906838955E-3</v>
      </c>
      <c r="AD56" s="4">
        <f t="shared" si="7"/>
        <v>-1.7065688846260585E-3</v>
      </c>
      <c r="AE56" s="4">
        <f t="shared" si="7"/>
        <v>-3.2937155554603526E-2</v>
      </c>
      <c r="AF56" s="4">
        <f t="shared" si="7"/>
        <v>0.13068461627751948</v>
      </c>
      <c r="AG56" s="4">
        <f t="shared" si="7"/>
        <v>7.7007568594573694E-3</v>
      </c>
      <c r="AI56" s="16">
        <f t="shared" si="8"/>
        <v>3.9720125705346665</v>
      </c>
    </row>
    <row r="57" spans="1:35" x14ac:dyDescent="0.25">
      <c r="A57" s="2">
        <v>55</v>
      </c>
      <c r="B57" s="3" t="s">
        <v>80</v>
      </c>
      <c r="C57" t="s">
        <v>80</v>
      </c>
      <c r="D57" t="s">
        <v>23</v>
      </c>
      <c r="E57">
        <v>1</v>
      </c>
      <c r="F57" s="24"/>
      <c r="G57" s="24">
        <v>247.79981576847743</v>
      </c>
      <c r="H57" s="25">
        <v>273.67423677281499</v>
      </c>
      <c r="I57" s="25">
        <v>256.70646609108923</v>
      </c>
      <c r="J57" s="25">
        <v>269.98011164289841</v>
      </c>
      <c r="K57" s="25">
        <v>272.60928868957461</v>
      </c>
      <c r="L57" s="25">
        <v>232.85078830451272</v>
      </c>
      <c r="M57" s="26">
        <v>239.00951779372079</v>
      </c>
      <c r="N57" s="25">
        <v>252.33113673412853</v>
      </c>
      <c r="O57" s="26">
        <v>275.94655457882328</v>
      </c>
      <c r="P57" s="26">
        <v>269.29631018039174</v>
      </c>
      <c r="Q57" s="26">
        <v>267.85599999999999</v>
      </c>
      <c r="R57" s="26">
        <v>323.32166579214442</v>
      </c>
      <c r="S57" s="26">
        <v>327.47710808236792</v>
      </c>
      <c r="T57" s="27"/>
      <c r="U57" s="4">
        <v>-1.0693413329716184E-2</v>
      </c>
      <c r="V57" s="4">
        <f t="shared" si="7"/>
        <v>0.10441662728479328</v>
      </c>
      <c r="W57" s="4">
        <f t="shared" si="7"/>
        <v>-3.1495938614235941E-2</v>
      </c>
      <c r="X57" s="4">
        <f t="shared" si="7"/>
        <v>1.6947004715183622E-2</v>
      </c>
      <c r="Y57" s="4">
        <f t="shared" si="7"/>
        <v>2.4257617627956307E-3</v>
      </c>
      <c r="Z57" s="4">
        <f t="shared" si="7"/>
        <v>-3.1036511769238273E-2</v>
      </c>
      <c r="AA57" s="4">
        <f t="shared" si="7"/>
        <v>4.3603989379665808E-3</v>
      </c>
      <c r="AB57" s="4">
        <f t="shared" si="7"/>
        <v>7.7785087773756256E-3</v>
      </c>
      <c r="AC57" s="4">
        <f t="shared" si="7"/>
        <v>1.1245882884565406E-2</v>
      </c>
      <c r="AD57" s="4">
        <f t="shared" si="7"/>
        <v>-2.7068748931187159E-3</v>
      </c>
      <c r="AE57" s="4">
        <f t="shared" si="7"/>
        <v>-5.3613378181938121E-4</v>
      </c>
      <c r="AF57" s="4">
        <f t="shared" si="7"/>
        <v>1.7256120851391499E-2</v>
      </c>
      <c r="AG57" s="4">
        <f t="shared" si="7"/>
        <v>1.06477118742343E-3</v>
      </c>
      <c r="AI57" s="16">
        <f t="shared" si="8"/>
        <v>256.70646609108923</v>
      </c>
    </row>
    <row r="58" spans="1:35" x14ac:dyDescent="0.25">
      <c r="A58" s="2">
        <v>56</v>
      </c>
      <c r="B58" s="3" t="s">
        <v>81</v>
      </c>
      <c r="C58" t="s">
        <v>81</v>
      </c>
      <c r="D58" t="s">
        <v>23</v>
      </c>
      <c r="E58">
        <v>1</v>
      </c>
      <c r="F58" s="24"/>
      <c r="G58" s="24">
        <v>2642.6095489303561</v>
      </c>
      <c r="H58" s="25">
        <v>2861.4081702646049</v>
      </c>
      <c r="I58" s="25">
        <v>2683.8252250926284</v>
      </c>
      <c r="J58" s="25">
        <v>2811.0777257035893</v>
      </c>
      <c r="K58" s="25">
        <v>2852.1657606302665</v>
      </c>
      <c r="L58" s="25">
        <v>2438.2078962518412</v>
      </c>
      <c r="M58" s="26">
        <v>2471.2856070817165</v>
      </c>
      <c r="N58" s="25">
        <v>2586.2854065615061</v>
      </c>
      <c r="O58" s="26">
        <v>2787.8639588854885</v>
      </c>
      <c r="P58" s="26">
        <v>2715.5182742274469</v>
      </c>
      <c r="Q58" s="26">
        <v>2551.451</v>
      </c>
      <c r="R58" s="26">
        <v>3785.4230635704657</v>
      </c>
      <c r="S58" s="26">
        <v>4087.1898852850786</v>
      </c>
      <c r="T58" s="27"/>
      <c r="U58" s="4">
        <v>9.8891844020392305E-3</v>
      </c>
      <c r="V58" s="4">
        <f t="shared" si="7"/>
        <v>8.279642424769551E-2</v>
      </c>
      <c r="W58" s="4">
        <f t="shared" si="7"/>
        <v>-3.1527688511912122E-2</v>
      </c>
      <c r="X58" s="4">
        <f t="shared" si="7"/>
        <v>1.5561451903026269E-2</v>
      </c>
      <c r="Y58" s="4">
        <f t="shared" si="7"/>
        <v>3.6342578599597442E-3</v>
      </c>
      <c r="Z58" s="4">
        <f t="shared" si="7"/>
        <v>-3.0876344908987829E-2</v>
      </c>
      <c r="AA58" s="4">
        <f t="shared" si="7"/>
        <v>2.2483910534942808E-3</v>
      </c>
      <c r="AB58" s="4">
        <f t="shared" si="7"/>
        <v>6.518889835561481E-3</v>
      </c>
      <c r="AC58" s="4">
        <f t="shared" si="7"/>
        <v>9.4257774763584212E-3</v>
      </c>
      <c r="AD58" s="4">
        <f t="shared" si="7"/>
        <v>-2.9171665990724849E-3</v>
      </c>
      <c r="AE58" s="4">
        <f t="shared" si="7"/>
        <v>-6.2126820972850938E-3</v>
      </c>
      <c r="AF58" s="4">
        <f t="shared" si="7"/>
        <v>3.6514064043095207E-2</v>
      </c>
      <c r="AG58" s="4">
        <f t="shared" si="7"/>
        <v>6.4121377905410615E-3</v>
      </c>
      <c r="AI58" s="16">
        <f t="shared" si="8"/>
        <v>2683.8252250926284</v>
      </c>
    </row>
    <row r="59" spans="1:35" x14ac:dyDescent="0.25">
      <c r="A59" s="2">
        <v>57</v>
      </c>
      <c r="B59" s="3" t="s">
        <v>82</v>
      </c>
      <c r="C59" t="s">
        <v>82</v>
      </c>
      <c r="D59" t="s">
        <v>14</v>
      </c>
      <c r="E59">
        <v>1</v>
      </c>
      <c r="F59" s="24"/>
      <c r="G59" s="24">
        <v>14.35858430030064</v>
      </c>
      <c r="H59" s="25">
        <v>18.186478119958185</v>
      </c>
      <c r="I59" s="25">
        <v>17.171447372333422</v>
      </c>
      <c r="J59" s="25">
        <v>17.59074516213262</v>
      </c>
      <c r="K59" s="25">
        <v>18.179752009748892</v>
      </c>
      <c r="L59" s="25">
        <v>14.377324797636989</v>
      </c>
      <c r="M59" s="26">
        <v>14.014369641768864</v>
      </c>
      <c r="N59" s="25">
        <v>14.892609693166712</v>
      </c>
      <c r="O59" s="26">
        <v>16.862282413877843</v>
      </c>
      <c r="P59" s="26">
        <v>16.874450215135067</v>
      </c>
      <c r="Q59" s="26">
        <v>15.145</v>
      </c>
      <c r="R59" s="26">
        <v>53.958704783046642</v>
      </c>
      <c r="S59" s="26">
        <v>55.59677885160314</v>
      </c>
      <c r="T59" s="27"/>
      <c r="U59" s="4" t="s">
        <v>12</v>
      </c>
      <c r="V59" s="4">
        <f t="shared" si="7"/>
        <v>0.26659270437806293</v>
      </c>
      <c r="W59" s="4">
        <f t="shared" si="7"/>
        <v>-2.8306831656498832E-2</v>
      </c>
      <c r="X59" s="4">
        <f t="shared" si="7"/>
        <v>8.0740718355787333E-3</v>
      </c>
      <c r="Y59" s="4">
        <f t="shared" si="7"/>
        <v>8.2678734221841577E-3</v>
      </c>
      <c r="Z59" s="4">
        <f t="shared" si="7"/>
        <v>-4.5846987404397632E-2</v>
      </c>
      <c r="AA59" s="4">
        <f t="shared" si="7"/>
        <v>-4.2524480368592021E-3</v>
      </c>
      <c r="AB59" s="4">
        <f t="shared" si="7"/>
        <v>8.7209348347798699E-3</v>
      </c>
      <c r="AC59" s="4">
        <f t="shared" si="7"/>
        <v>1.5647944428092142E-2</v>
      </c>
      <c r="AD59" s="4">
        <f t="shared" si="7"/>
        <v>8.0151932438710105E-5</v>
      </c>
      <c r="AE59" s="4">
        <f t="shared" si="7"/>
        <v>-1.0754770620780341E-2</v>
      </c>
      <c r="AF59" s="4">
        <f t="shared" si="7"/>
        <v>0.1224394719742099</v>
      </c>
      <c r="AG59" s="4">
        <f t="shared" si="7"/>
        <v>2.4952945349738798E-3</v>
      </c>
      <c r="AI59" s="16">
        <f t="shared" si="8"/>
        <v>17.171447372333422</v>
      </c>
    </row>
    <row r="60" spans="1:35" x14ac:dyDescent="0.25">
      <c r="A60" s="2">
        <v>58</v>
      </c>
      <c r="B60" s="3" t="s">
        <v>83</v>
      </c>
      <c r="C60" t="s">
        <v>83</v>
      </c>
      <c r="D60" t="s">
        <v>14</v>
      </c>
      <c r="E60">
        <v>0</v>
      </c>
      <c r="F60" s="24"/>
      <c r="G60" s="24" t="s">
        <v>12</v>
      </c>
      <c r="H60" s="25" t="s">
        <v>12</v>
      </c>
      <c r="I60" s="25" t="s">
        <v>12</v>
      </c>
      <c r="J60" s="25" t="s">
        <v>12</v>
      </c>
      <c r="K60" s="25" t="s">
        <v>12</v>
      </c>
      <c r="L60" s="25" t="s">
        <v>12</v>
      </c>
      <c r="M60" s="26" t="s">
        <v>12</v>
      </c>
      <c r="N60" s="25" t="s">
        <v>12</v>
      </c>
      <c r="O60" s="26" t="s">
        <v>12</v>
      </c>
      <c r="P60" s="26" t="s">
        <v>12</v>
      </c>
      <c r="Q60" s="26" t="s">
        <v>12</v>
      </c>
      <c r="R60" s="26" t="s">
        <v>12</v>
      </c>
      <c r="S60" s="26" t="s">
        <v>12</v>
      </c>
      <c r="T60" s="27"/>
      <c r="U60" s="4" t="s">
        <v>12</v>
      </c>
      <c r="V60" s="4" t="str">
        <f t="shared" si="7"/>
        <v>.</v>
      </c>
      <c r="W60" s="4" t="str">
        <f t="shared" si="7"/>
        <v>.</v>
      </c>
      <c r="X60" s="4" t="str">
        <f t="shared" si="7"/>
        <v>.</v>
      </c>
      <c r="Y60" s="4" t="str">
        <f t="shared" ref="Y60:AG88" si="9">IFERROR((K60/J60)^(1/(Y$2-$U$2))-1,".")</f>
        <v>.</v>
      </c>
      <c r="Z60" s="4" t="str">
        <f t="shared" si="9"/>
        <v>.</v>
      </c>
      <c r="AA60" s="4" t="str">
        <f t="shared" si="9"/>
        <v>.</v>
      </c>
      <c r="AB60" s="4" t="str">
        <f t="shared" si="9"/>
        <v>.</v>
      </c>
      <c r="AC60" s="4" t="str">
        <f t="shared" si="9"/>
        <v>.</v>
      </c>
      <c r="AD60" s="4" t="str">
        <f t="shared" si="9"/>
        <v>.</v>
      </c>
      <c r="AE60" s="4" t="str">
        <f t="shared" si="9"/>
        <v>.</v>
      </c>
      <c r="AF60" s="4" t="str">
        <f t="shared" si="9"/>
        <v>.</v>
      </c>
      <c r="AG60" s="4" t="str">
        <f t="shared" si="9"/>
        <v>.</v>
      </c>
      <c r="AI60" s="16" t="str">
        <f t="shared" si="8"/>
        <v>.</v>
      </c>
    </row>
    <row r="61" spans="1:35" x14ac:dyDescent="0.25">
      <c r="A61" s="2">
        <v>59</v>
      </c>
      <c r="B61" s="3" t="s">
        <v>84</v>
      </c>
      <c r="C61" t="s">
        <v>84</v>
      </c>
      <c r="D61" t="s">
        <v>7</v>
      </c>
      <c r="E61">
        <v>1</v>
      </c>
      <c r="F61" s="24"/>
      <c r="G61" s="24">
        <v>11.638500813555515</v>
      </c>
      <c r="H61" s="25">
        <v>14.434568633264156</v>
      </c>
      <c r="I61" s="25">
        <v>15.846484587900441</v>
      </c>
      <c r="J61" s="25">
        <v>16.140014428279429</v>
      </c>
      <c r="K61" s="25">
        <v>16.509316418417622</v>
      </c>
      <c r="L61" s="25">
        <v>13.993566297977351</v>
      </c>
      <c r="M61" s="26">
        <v>14.378036929057339</v>
      </c>
      <c r="N61" s="25">
        <v>15.081330942418807</v>
      </c>
      <c r="O61" s="26">
        <v>17.599700090762006</v>
      </c>
      <c r="P61" s="26">
        <v>17.477255545670488</v>
      </c>
      <c r="Q61" s="26">
        <v>16.315999999999999</v>
      </c>
      <c r="R61" s="26">
        <v>62.756311694887685</v>
      </c>
      <c r="S61" s="26">
        <v>67.415883415942844</v>
      </c>
      <c r="T61" s="27"/>
      <c r="U61" s="4">
        <v>5.8682235551223982E-3</v>
      </c>
      <c r="V61" s="4">
        <f t="shared" ref="V61:AA117" si="10">IFERROR((H61/G61)^(1/(V$2-$U$2))-1,".")</f>
        <v>0.24024295435474174</v>
      </c>
      <c r="W61" s="4">
        <f t="shared" si="10"/>
        <v>4.776662700126022E-2</v>
      </c>
      <c r="X61" s="4">
        <f t="shared" si="10"/>
        <v>6.1367108028649309E-3</v>
      </c>
      <c r="Y61" s="4">
        <f t="shared" si="9"/>
        <v>5.6718484175770634E-3</v>
      </c>
      <c r="Z61" s="4">
        <f t="shared" si="9"/>
        <v>-3.2524750025617943E-2</v>
      </c>
      <c r="AA61" s="4">
        <f t="shared" si="9"/>
        <v>4.5275778408455647E-3</v>
      </c>
      <c r="AB61" s="4">
        <f t="shared" si="9"/>
        <v>6.8455800921227716E-3</v>
      </c>
      <c r="AC61" s="4">
        <f t="shared" si="9"/>
        <v>1.94905385583517E-2</v>
      </c>
      <c r="AD61" s="4">
        <f t="shared" si="9"/>
        <v>-7.7542243751360651E-4</v>
      </c>
      <c r="AE61" s="4">
        <f t="shared" si="9"/>
        <v>-6.8518315275325481E-3</v>
      </c>
      <c r="AF61" s="4">
        <f t="shared" si="9"/>
        <v>0.13027934754409354</v>
      </c>
      <c r="AG61" s="4">
        <f t="shared" si="9"/>
        <v>5.9863043490391288E-3</v>
      </c>
      <c r="AI61" s="16">
        <f t="shared" si="8"/>
        <v>15.846484587900441</v>
      </c>
    </row>
    <row r="62" spans="1:35" x14ac:dyDescent="0.25">
      <c r="A62" s="2">
        <v>60</v>
      </c>
      <c r="B62" s="3" t="s">
        <v>85</v>
      </c>
      <c r="C62" t="s">
        <v>85</v>
      </c>
      <c r="D62" t="s">
        <v>23</v>
      </c>
      <c r="E62">
        <v>1</v>
      </c>
      <c r="F62" s="24"/>
      <c r="G62" s="24">
        <v>3417.0945626489461</v>
      </c>
      <c r="H62" s="25">
        <v>3757.6982811175535</v>
      </c>
      <c r="I62" s="25">
        <v>3543.9839091480067</v>
      </c>
      <c r="J62" s="25">
        <v>3752.5135032784096</v>
      </c>
      <c r="K62" s="25">
        <v>3898.7265038413475</v>
      </c>
      <c r="L62" s="25">
        <v>3381.3893386588206</v>
      </c>
      <c r="M62" s="26">
        <v>3495.1628562972205</v>
      </c>
      <c r="N62" s="25">
        <v>3693.2043322297841</v>
      </c>
      <c r="O62" s="26">
        <v>3963.7675262509774</v>
      </c>
      <c r="P62" s="26">
        <v>3861.1235580392095</v>
      </c>
      <c r="Q62" s="26">
        <v>3780.5529999999999</v>
      </c>
      <c r="R62" s="26">
        <v>5431.876223738027</v>
      </c>
      <c r="S62" s="26">
        <v>5945.745076884984</v>
      </c>
      <c r="T62" s="27"/>
      <c r="U62" s="4">
        <v>-4.0673414686898113E-4</v>
      </c>
      <c r="V62" s="4">
        <f t="shared" si="10"/>
        <v>9.9676409951198419E-2</v>
      </c>
      <c r="W62" s="4">
        <f t="shared" si="10"/>
        <v>-2.8853123624256294E-2</v>
      </c>
      <c r="X62" s="4">
        <f t="shared" si="10"/>
        <v>1.9240895562241178E-2</v>
      </c>
      <c r="Y62" s="4">
        <f t="shared" si="9"/>
        <v>9.6018243792730384E-3</v>
      </c>
      <c r="Z62" s="4">
        <f t="shared" si="9"/>
        <v>-2.8071131807108407E-2</v>
      </c>
      <c r="AA62" s="4">
        <f t="shared" si="9"/>
        <v>5.5307885756410435E-3</v>
      </c>
      <c r="AB62" s="4">
        <f t="shared" si="9"/>
        <v>7.9045764171532529E-3</v>
      </c>
      <c r="AC62" s="4">
        <f t="shared" si="9"/>
        <v>8.8767296231955228E-3</v>
      </c>
      <c r="AD62" s="4">
        <f t="shared" si="9"/>
        <v>-2.910949408925112E-3</v>
      </c>
      <c r="AE62" s="4">
        <f t="shared" si="9"/>
        <v>-2.1065703703082583E-3</v>
      </c>
      <c r="AF62" s="4">
        <f t="shared" si="9"/>
        <v>3.3495509615154351E-2</v>
      </c>
      <c r="AG62" s="4">
        <f t="shared" si="9"/>
        <v>7.5610453550882806E-3</v>
      </c>
      <c r="AI62" s="16">
        <f t="shared" si="8"/>
        <v>3543.9839091480067</v>
      </c>
    </row>
    <row r="63" spans="1:35" x14ac:dyDescent="0.25">
      <c r="A63" s="2">
        <v>61</v>
      </c>
      <c r="B63" s="3" t="s">
        <v>86</v>
      </c>
      <c r="C63" t="s">
        <v>86</v>
      </c>
      <c r="D63" t="s">
        <v>14</v>
      </c>
      <c r="E63">
        <v>1</v>
      </c>
      <c r="F63" s="24"/>
      <c r="G63" s="24">
        <v>32.174772955974845</v>
      </c>
      <c r="H63" s="25">
        <v>39.566292432861488</v>
      </c>
      <c r="I63" s="25">
        <v>41.939728978728148</v>
      </c>
      <c r="J63" s="25">
        <v>63.277216921435951</v>
      </c>
      <c r="K63" s="25">
        <v>53.601126665142431</v>
      </c>
      <c r="L63" s="25">
        <v>49.18185479529798</v>
      </c>
      <c r="M63" s="26">
        <v>55.009730589444722</v>
      </c>
      <c r="N63" s="25">
        <v>58.996776244423998</v>
      </c>
      <c r="O63" s="26">
        <v>65.55646404815387</v>
      </c>
      <c r="P63" s="26">
        <v>66.983634223942957</v>
      </c>
      <c r="Q63" s="26">
        <v>67.337000000000003</v>
      </c>
      <c r="R63" s="26">
        <v>221.45585826732557</v>
      </c>
      <c r="S63" s="26">
        <v>229.2621348436615</v>
      </c>
      <c r="T63" s="27"/>
      <c r="U63" s="4">
        <v>4.5799485353493097E-2</v>
      </c>
      <c r="V63" s="4">
        <f t="shared" si="10"/>
        <v>0.22973027617010855</v>
      </c>
      <c r="W63" s="4">
        <f t="shared" si="10"/>
        <v>2.955637375643172E-2</v>
      </c>
      <c r="X63" s="4">
        <f t="shared" si="10"/>
        <v>0.14693969398275497</v>
      </c>
      <c r="Y63" s="4">
        <f t="shared" si="9"/>
        <v>-4.0639932928894229E-2</v>
      </c>
      <c r="Z63" s="4">
        <f t="shared" si="9"/>
        <v>-1.7061837219287446E-2</v>
      </c>
      <c r="AA63" s="4">
        <f t="shared" si="9"/>
        <v>1.8839488460567155E-2</v>
      </c>
      <c r="AB63" s="4">
        <f t="shared" si="9"/>
        <v>1.0046229785820371E-2</v>
      </c>
      <c r="AC63" s="4">
        <f t="shared" si="9"/>
        <v>1.3265847750499882E-2</v>
      </c>
      <c r="AD63" s="4">
        <f t="shared" si="9"/>
        <v>2.3958105350212477E-3</v>
      </c>
      <c r="AE63" s="4">
        <f t="shared" si="9"/>
        <v>5.2629228890888058E-4</v>
      </c>
      <c r="AF63" s="4">
        <f t="shared" si="9"/>
        <v>0.11430232642528515</v>
      </c>
      <c r="AG63" s="4">
        <f t="shared" si="9"/>
        <v>2.8910676305111682E-3</v>
      </c>
      <c r="AI63" s="16">
        <f t="shared" si="8"/>
        <v>41.939728978728148</v>
      </c>
    </row>
    <row r="64" spans="1:35" x14ac:dyDescent="0.25">
      <c r="A64" s="2">
        <v>62</v>
      </c>
      <c r="B64" s="3" t="s">
        <v>87</v>
      </c>
      <c r="C64" t="s">
        <v>87</v>
      </c>
      <c r="D64" t="s">
        <v>23</v>
      </c>
      <c r="E64">
        <v>1</v>
      </c>
      <c r="F64" s="24"/>
      <c r="G64" s="24">
        <v>299.3615765582166</v>
      </c>
      <c r="H64" s="25">
        <v>287.79782209317767</v>
      </c>
      <c r="I64" s="25">
        <v>245.67066663904691</v>
      </c>
      <c r="J64" s="25">
        <v>239.86201145010287</v>
      </c>
      <c r="K64" s="25">
        <v>237.02957926072222</v>
      </c>
      <c r="L64" s="25">
        <v>196.5913537612258</v>
      </c>
      <c r="M64" s="26">
        <v>195.22244351293728</v>
      </c>
      <c r="N64" s="25">
        <v>203.08555142913184</v>
      </c>
      <c r="O64" s="26">
        <v>218.13836720879908</v>
      </c>
      <c r="P64" s="26">
        <v>209.85276113283888</v>
      </c>
      <c r="Q64" s="26">
        <v>194.376</v>
      </c>
      <c r="R64" s="26">
        <v>376.37122590880472</v>
      </c>
      <c r="S64" s="26">
        <v>392.3115785026248</v>
      </c>
      <c r="T64" s="27"/>
      <c r="U64" s="4">
        <v>9.0738754854962078E-3</v>
      </c>
      <c r="V64" s="4">
        <f t="shared" si="10"/>
        <v>-3.8628051729244328E-2</v>
      </c>
      <c r="W64" s="4">
        <f t="shared" si="10"/>
        <v>-7.6083122447459628E-2</v>
      </c>
      <c r="X64" s="4">
        <f t="shared" si="10"/>
        <v>-7.9443024996869172E-3</v>
      </c>
      <c r="Y64" s="4">
        <f t="shared" si="9"/>
        <v>-2.9653110912077896E-3</v>
      </c>
      <c r="Z64" s="4">
        <f t="shared" si="9"/>
        <v>-3.6720376729460824E-2</v>
      </c>
      <c r="AA64" s="4">
        <f t="shared" si="9"/>
        <v>-1.1639193746747489E-3</v>
      </c>
      <c r="AB64" s="4">
        <f t="shared" si="9"/>
        <v>5.6570383063523355E-3</v>
      </c>
      <c r="AC64" s="4">
        <f t="shared" si="9"/>
        <v>8.9778421701356415E-3</v>
      </c>
      <c r="AD64" s="4">
        <f t="shared" si="9"/>
        <v>-4.293359961650256E-3</v>
      </c>
      <c r="AE64" s="4">
        <f t="shared" si="9"/>
        <v>-7.6318999950707456E-3</v>
      </c>
      <c r="AF64" s="4">
        <f t="shared" si="9"/>
        <v>6.1911990941789341E-2</v>
      </c>
      <c r="AG64" s="4">
        <f t="shared" si="9"/>
        <v>3.462681938990908E-3</v>
      </c>
      <c r="AI64" s="16">
        <f t="shared" si="8"/>
        <v>245.67066663904691</v>
      </c>
    </row>
    <row r="65" spans="1:35" x14ac:dyDescent="0.25">
      <c r="A65" s="2">
        <v>63</v>
      </c>
      <c r="B65" s="3" t="s">
        <v>88</v>
      </c>
      <c r="C65" t="s">
        <v>11</v>
      </c>
      <c r="D65" t="s">
        <v>16</v>
      </c>
      <c r="E65">
        <v>0</v>
      </c>
      <c r="F65" s="24"/>
      <c r="G65" s="24">
        <v>0.77101325925925912</v>
      </c>
      <c r="H65" s="25">
        <v>0.77865592592592581</v>
      </c>
      <c r="I65" s="25">
        <v>0.79988225925925927</v>
      </c>
      <c r="J65" s="25">
        <v>0.84262011111111124</v>
      </c>
      <c r="K65" s="25">
        <v>0.91149740740740737</v>
      </c>
      <c r="L65" s="25">
        <v>0.9970079259259258</v>
      </c>
      <c r="M65" s="26">
        <v>1.0616312222222222</v>
      </c>
      <c r="N65" s="25">
        <v>1.1268822962962961</v>
      </c>
      <c r="O65" s="26" t="s">
        <v>12</v>
      </c>
      <c r="P65" s="26" t="s">
        <v>12</v>
      </c>
      <c r="Q65" s="26" t="s">
        <v>12</v>
      </c>
      <c r="R65" s="26" t="s">
        <v>12</v>
      </c>
      <c r="S65" s="26" t="s">
        <v>12</v>
      </c>
      <c r="T65" s="27"/>
      <c r="U65" s="4" t="s">
        <v>12</v>
      </c>
      <c r="V65" s="4">
        <f t="shared" si="10"/>
        <v>9.9124970613466701E-3</v>
      </c>
      <c r="W65" s="4">
        <f t="shared" si="10"/>
        <v>1.3538465925865273E-2</v>
      </c>
      <c r="X65" s="4">
        <f t="shared" si="10"/>
        <v>1.7501954031845068E-2</v>
      </c>
      <c r="Y65" s="4">
        <f t="shared" si="9"/>
        <v>1.9837328948405064E-2</v>
      </c>
      <c r="Z65" s="4">
        <f t="shared" si="9"/>
        <v>1.809577372299187E-2</v>
      </c>
      <c r="AA65" s="4">
        <f t="shared" si="9"/>
        <v>1.0522168296447365E-2</v>
      </c>
      <c r="AB65" s="4">
        <f t="shared" si="9"/>
        <v>8.5575764385577013E-3</v>
      </c>
      <c r="AC65" s="4" t="str">
        <f t="shared" si="9"/>
        <v>.</v>
      </c>
      <c r="AD65" s="4" t="str">
        <f t="shared" si="9"/>
        <v>.</v>
      </c>
      <c r="AE65" s="4" t="str">
        <f t="shared" si="9"/>
        <v>.</v>
      </c>
      <c r="AF65" s="4" t="str">
        <f t="shared" si="9"/>
        <v>.</v>
      </c>
      <c r="AG65" s="4" t="str">
        <f t="shared" si="9"/>
        <v>.</v>
      </c>
      <c r="AI65" s="16">
        <f t="shared" si="8"/>
        <v>0.79988225925925927</v>
      </c>
    </row>
    <row r="66" spans="1:35" x14ac:dyDescent="0.25">
      <c r="A66" s="2">
        <v>64</v>
      </c>
      <c r="B66" s="3" t="s">
        <v>89</v>
      </c>
      <c r="C66" t="s">
        <v>89</v>
      </c>
      <c r="D66" t="s">
        <v>33</v>
      </c>
      <c r="E66">
        <v>1</v>
      </c>
      <c r="F66" s="24"/>
      <c r="G66" s="24">
        <v>41.338521637688181</v>
      </c>
      <c r="H66" s="25">
        <v>47.654783851825208</v>
      </c>
      <c r="I66" s="25">
        <v>50.388460924734474</v>
      </c>
      <c r="J66" s="25">
        <v>53.851148431931577</v>
      </c>
      <c r="K66" s="25">
        <v>58.72232391816042</v>
      </c>
      <c r="L66" s="25">
        <v>63.767597193917538</v>
      </c>
      <c r="M66" s="26">
        <v>68.663653469124597</v>
      </c>
      <c r="N66" s="25">
        <v>75.620095537500504</v>
      </c>
      <c r="O66" s="26">
        <v>73.118147941270351</v>
      </c>
      <c r="P66" s="26">
        <v>76.710355347096808</v>
      </c>
      <c r="Q66" s="26">
        <v>76.191000000000003</v>
      </c>
      <c r="R66" s="26">
        <v>163.71803409569276</v>
      </c>
      <c r="S66" s="26">
        <v>178.54249026962665</v>
      </c>
      <c r="T66" s="27"/>
      <c r="U66" s="4">
        <v>2.7430713463127754E-2</v>
      </c>
      <c r="V66" s="4">
        <f t="shared" si="10"/>
        <v>0.15279361631497035</v>
      </c>
      <c r="W66" s="4">
        <f t="shared" si="10"/>
        <v>2.828214463049683E-2</v>
      </c>
      <c r="X66" s="4">
        <f t="shared" si="10"/>
        <v>2.2401062271298011E-2</v>
      </c>
      <c r="Y66" s="4">
        <f t="shared" si="9"/>
        <v>2.1885098601573505E-2</v>
      </c>
      <c r="Z66" s="4">
        <f t="shared" si="9"/>
        <v>1.6621672195813009E-2</v>
      </c>
      <c r="AA66" s="4">
        <f t="shared" si="9"/>
        <v>1.2405453331857608E-2</v>
      </c>
      <c r="AB66" s="4">
        <f t="shared" si="9"/>
        <v>1.3881474387677839E-2</v>
      </c>
      <c r="AC66" s="4">
        <f t="shared" si="9"/>
        <v>-4.1968515075100354E-3</v>
      </c>
      <c r="AD66" s="4">
        <f t="shared" si="9"/>
        <v>5.3431252396172191E-3</v>
      </c>
      <c r="AE66" s="4">
        <f t="shared" si="9"/>
        <v>-6.7910578556606982E-4</v>
      </c>
      <c r="AF66" s="4">
        <f t="shared" si="9"/>
        <v>7.2011266702626697E-2</v>
      </c>
      <c r="AG66" s="4">
        <f t="shared" si="9"/>
        <v>7.2495659355373832E-3</v>
      </c>
      <c r="AI66" s="16">
        <f t="shared" si="8"/>
        <v>50.388460924734474</v>
      </c>
    </row>
    <row r="67" spans="1:35" x14ac:dyDescent="0.25">
      <c r="A67" s="2">
        <v>65</v>
      </c>
      <c r="B67" s="3" t="s">
        <v>90</v>
      </c>
      <c r="C67" t="s">
        <v>90</v>
      </c>
      <c r="D67" t="s">
        <v>14</v>
      </c>
      <c r="E67">
        <v>1</v>
      </c>
      <c r="F67" s="24"/>
      <c r="G67" s="24">
        <v>6.8534678576195951</v>
      </c>
      <c r="H67" s="25">
        <v>6.785137172765169</v>
      </c>
      <c r="I67" s="25">
        <v>7.63804525443072</v>
      </c>
      <c r="J67" s="25">
        <v>8.3766138432747539</v>
      </c>
      <c r="K67" s="25">
        <v>8.7784736145497124</v>
      </c>
      <c r="L67" s="25">
        <v>8.7942024436775359</v>
      </c>
      <c r="M67" s="26">
        <v>8.6045209294735248</v>
      </c>
      <c r="N67" s="25">
        <v>9.9153110491513328</v>
      </c>
      <c r="O67" s="26">
        <v>10.907214993568733</v>
      </c>
      <c r="P67" s="26">
        <v>12.296665331192031</v>
      </c>
      <c r="Q67" s="26">
        <v>14.238</v>
      </c>
      <c r="R67" s="26">
        <v>42.549169807783642</v>
      </c>
      <c r="S67" s="26">
        <v>50.187876847886272</v>
      </c>
      <c r="T67" s="27"/>
      <c r="U67" s="4" t="s">
        <v>12</v>
      </c>
      <c r="V67" s="4">
        <f t="shared" si="10"/>
        <v>-9.9702349633780107E-3</v>
      </c>
      <c r="W67" s="4">
        <f t="shared" si="10"/>
        <v>6.0991238448579121E-2</v>
      </c>
      <c r="X67" s="4">
        <f t="shared" si="10"/>
        <v>3.1245554345797677E-2</v>
      </c>
      <c r="Y67" s="4">
        <f t="shared" si="9"/>
        <v>1.1783582711414331E-2</v>
      </c>
      <c r="Z67" s="4">
        <f t="shared" si="9"/>
        <v>3.5809342422199464E-4</v>
      </c>
      <c r="AA67" s="4">
        <f t="shared" si="9"/>
        <v>-3.6275605379428866E-3</v>
      </c>
      <c r="AB67" s="4">
        <f t="shared" si="9"/>
        <v>2.0462600172663548E-2</v>
      </c>
      <c r="AC67" s="4">
        <f t="shared" si="9"/>
        <v>1.198934828785525E-2</v>
      </c>
      <c r="AD67" s="4">
        <f t="shared" si="9"/>
        <v>1.3411765813975185E-2</v>
      </c>
      <c r="AE67" s="4">
        <f t="shared" si="9"/>
        <v>1.4766597891794353E-2</v>
      </c>
      <c r="AF67" s="4">
        <f t="shared" si="9"/>
        <v>0.10464316397527162</v>
      </c>
      <c r="AG67" s="4">
        <f t="shared" si="9"/>
        <v>1.385452633006734E-2</v>
      </c>
      <c r="AI67" s="16">
        <f t="shared" si="8"/>
        <v>7.63804525443072</v>
      </c>
    </row>
    <row r="68" spans="1:35" x14ac:dyDescent="0.25">
      <c r="A68" s="2">
        <v>66</v>
      </c>
      <c r="B68" s="3" t="s">
        <v>91</v>
      </c>
      <c r="C68" t="s">
        <v>91</v>
      </c>
      <c r="D68" t="s">
        <v>18</v>
      </c>
      <c r="E68">
        <v>1</v>
      </c>
      <c r="F68" s="24"/>
      <c r="G68" s="24">
        <v>2.2732250419621702</v>
      </c>
      <c r="H68" s="25">
        <v>2.5760241155783206</v>
      </c>
      <c r="I68" s="25">
        <v>2.8615622658830104</v>
      </c>
      <c r="J68" s="25">
        <v>2.9876841702443397</v>
      </c>
      <c r="K68" s="25">
        <v>3.0776433137062291</v>
      </c>
      <c r="L68" s="25">
        <v>3.1972251815980628</v>
      </c>
      <c r="M68" s="26">
        <v>3.5040242130750614</v>
      </c>
      <c r="N68" s="25">
        <v>3.5552058111380154</v>
      </c>
      <c r="O68" s="26">
        <v>4.7876358212892844</v>
      </c>
      <c r="P68" s="26">
        <v>5.1737595275779382</v>
      </c>
      <c r="Q68" s="26">
        <v>6.806</v>
      </c>
      <c r="R68" s="26">
        <v>10.711674244023634</v>
      </c>
      <c r="S68" s="26">
        <v>11.992446191807433</v>
      </c>
      <c r="T68" s="27"/>
      <c r="U68" s="4">
        <v>0.20812910434685405</v>
      </c>
      <c r="V68" s="4">
        <f t="shared" si="10"/>
        <v>0.13320241860206883</v>
      </c>
      <c r="W68" s="4">
        <f t="shared" si="10"/>
        <v>5.3966089376838777E-2</v>
      </c>
      <c r="X68" s="4">
        <f t="shared" si="10"/>
        <v>1.4480791958247918E-2</v>
      </c>
      <c r="Y68" s="4">
        <f t="shared" si="9"/>
        <v>7.4439655566331808E-3</v>
      </c>
      <c r="Z68" s="4">
        <f t="shared" si="9"/>
        <v>7.6529667290561321E-3</v>
      </c>
      <c r="AA68" s="4">
        <f t="shared" si="9"/>
        <v>1.5388668048236909E-2</v>
      </c>
      <c r="AB68" s="4">
        <f t="shared" si="9"/>
        <v>2.0737002676118887E-3</v>
      </c>
      <c r="AC68" s="4">
        <f t="shared" si="9"/>
        <v>3.7903663944706123E-2</v>
      </c>
      <c r="AD68" s="4">
        <f t="shared" si="9"/>
        <v>8.6553406625002882E-3</v>
      </c>
      <c r="AE68" s="4">
        <f t="shared" si="9"/>
        <v>2.7799898732619122E-2</v>
      </c>
      <c r="AF68" s="4">
        <f t="shared" si="9"/>
        <v>4.2091723228497191E-2</v>
      </c>
      <c r="AG68" s="4">
        <f t="shared" si="9"/>
        <v>9.4563286931563795E-3</v>
      </c>
      <c r="AI68" s="16">
        <f t="shared" ref="AI68:AI83" si="11">IF(SUMIF($G$2:$S$2,AI$2,$G68:$S68)=0,".",SUMIF($G$2:$S$2,AI$2,$G68:$S68))</f>
        <v>2.8615622658830104</v>
      </c>
    </row>
    <row r="69" spans="1:35" x14ac:dyDescent="0.25">
      <c r="A69" s="2">
        <v>67</v>
      </c>
      <c r="B69" s="3" t="s">
        <v>92</v>
      </c>
      <c r="C69" t="s">
        <v>92</v>
      </c>
      <c r="D69" t="s">
        <v>16</v>
      </c>
      <c r="E69">
        <v>1</v>
      </c>
      <c r="F69" s="24"/>
      <c r="G69" s="24">
        <v>6.6225415285688767</v>
      </c>
      <c r="H69" s="25">
        <v>7.5168341602527668</v>
      </c>
      <c r="I69" s="25">
        <v>7.8902165076891251</v>
      </c>
      <c r="J69" s="25">
        <v>8.4525093158772222</v>
      </c>
      <c r="K69" s="25">
        <v>8.7763507895992969</v>
      </c>
      <c r="L69" s="25">
        <v>8.724656126498493</v>
      </c>
      <c r="M69" s="26">
        <v>7.9755634300034144</v>
      </c>
      <c r="N69" s="25">
        <v>8.408252995161428</v>
      </c>
      <c r="O69" s="26">
        <v>15.965670198454799</v>
      </c>
      <c r="P69" s="26">
        <v>14.332163266397657</v>
      </c>
      <c r="Q69" s="26">
        <v>8.3469999999999995</v>
      </c>
      <c r="R69" s="26">
        <v>21.871718435247494</v>
      </c>
      <c r="S69" s="26">
        <v>22.757097806040768</v>
      </c>
      <c r="T69" s="27"/>
      <c r="U69" s="4" t="s">
        <v>12</v>
      </c>
      <c r="V69" s="4">
        <f t="shared" si="10"/>
        <v>0.13503767818231349</v>
      </c>
      <c r="W69" s="4">
        <f t="shared" si="10"/>
        <v>2.4535416484335881E-2</v>
      </c>
      <c r="X69" s="4">
        <f t="shared" si="10"/>
        <v>2.3211892601076256E-2</v>
      </c>
      <c r="Y69" s="4">
        <f t="shared" si="9"/>
        <v>9.4436464410960763E-3</v>
      </c>
      <c r="Z69" s="4">
        <f t="shared" si="9"/>
        <v>-1.1808300240173653E-3</v>
      </c>
      <c r="AA69" s="4">
        <f t="shared" si="9"/>
        <v>-1.4850421698223926E-2</v>
      </c>
      <c r="AB69" s="4">
        <f t="shared" si="9"/>
        <v>7.5758997567052511E-3</v>
      </c>
      <c r="AC69" s="4">
        <f t="shared" si="9"/>
        <v>8.3453240619969282E-2</v>
      </c>
      <c r="AD69" s="4">
        <f t="shared" si="9"/>
        <v>-1.1921108595584706E-2</v>
      </c>
      <c r="AE69" s="4">
        <f t="shared" si="9"/>
        <v>-5.2625116503280611E-2</v>
      </c>
      <c r="AF69" s="4">
        <f t="shared" si="9"/>
        <v>9.1520872323636704E-2</v>
      </c>
      <c r="AG69" s="4">
        <f t="shared" si="9"/>
        <v>3.3123639274570404E-3</v>
      </c>
      <c r="AI69" s="16">
        <f t="shared" si="11"/>
        <v>7.8902165076891251</v>
      </c>
    </row>
    <row r="70" spans="1:35" x14ac:dyDescent="0.25">
      <c r="A70" s="2">
        <v>68</v>
      </c>
      <c r="B70" s="3" t="s">
        <v>93</v>
      </c>
      <c r="C70" t="s">
        <v>93</v>
      </c>
      <c r="D70" t="s">
        <v>33</v>
      </c>
      <c r="E70">
        <v>1</v>
      </c>
      <c r="F70" s="24"/>
      <c r="G70" s="24">
        <v>15.729644901130538</v>
      </c>
      <c r="H70" s="25">
        <v>17.588097149761893</v>
      </c>
      <c r="I70" s="25">
        <v>18.400538970111938</v>
      </c>
      <c r="J70" s="25">
        <v>18.372173610668522</v>
      </c>
      <c r="K70" s="25">
        <v>19.618567447219945</v>
      </c>
      <c r="L70" s="25">
        <v>20.833948912289731</v>
      </c>
      <c r="M70" s="26">
        <v>21.566622849605693</v>
      </c>
      <c r="N70" s="25">
        <v>22.940179173614727</v>
      </c>
      <c r="O70" s="26">
        <v>24.024189735887578</v>
      </c>
      <c r="P70" s="26">
        <v>25.095395475039272</v>
      </c>
      <c r="Q70" s="26">
        <v>23.984000000000002</v>
      </c>
      <c r="R70" s="26">
        <v>51.958681191147967</v>
      </c>
      <c r="S70" s="26">
        <v>52.404064237958629</v>
      </c>
      <c r="T70" s="27"/>
      <c r="U70" s="4">
        <v>1.964357614898482E-2</v>
      </c>
      <c r="V70" s="4">
        <f t="shared" si="10"/>
        <v>0.11814966328310317</v>
      </c>
      <c r="W70" s="4">
        <f t="shared" si="10"/>
        <v>2.2835620769560805E-2</v>
      </c>
      <c r="X70" s="4">
        <f t="shared" si="10"/>
        <v>-5.1411442402971019E-4</v>
      </c>
      <c r="Y70" s="4">
        <f t="shared" si="9"/>
        <v>1.6545185456574796E-2</v>
      </c>
      <c r="Z70" s="4">
        <f t="shared" si="9"/>
        <v>1.2094024136967807E-2</v>
      </c>
      <c r="AA70" s="4">
        <f t="shared" si="9"/>
        <v>5.7771345991273204E-3</v>
      </c>
      <c r="AB70" s="4">
        <f t="shared" si="9"/>
        <v>8.8594490947144777E-3</v>
      </c>
      <c r="AC70" s="4">
        <f t="shared" si="9"/>
        <v>5.7880999684492007E-3</v>
      </c>
      <c r="AD70" s="4">
        <f t="shared" si="9"/>
        <v>4.8587828654247378E-3</v>
      </c>
      <c r="AE70" s="4">
        <f t="shared" si="9"/>
        <v>-4.519500256380482E-3</v>
      </c>
      <c r="AF70" s="4">
        <f t="shared" si="9"/>
        <v>7.2806757300647007E-2</v>
      </c>
      <c r="AG70" s="4">
        <f t="shared" si="9"/>
        <v>7.1153134047508004E-4</v>
      </c>
      <c r="AI70" s="16">
        <f t="shared" si="11"/>
        <v>18.400538970111938</v>
      </c>
    </row>
    <row r="71" spans="1:35" x14ac:dyDescent="0.25">
      <c r="A71" s="2">
        <v>69</v>
      </c>
      <c r="B71" s="3" t="s">
        <v>94</v>
      </c>
      <c r="C71" t="s">
        <v>94</v>
      </c>
      <c r="D71" t="s">
        <v>23</v>
      </c>
      <c r="E71">
        <v>1</v>
      </c>
      <c r="F71" s="24"/>
      <c r="G71" s="24">
        <v>130.92263868907096</v>
      </c>
      <c r="H71" s="25">
        <v>140.78206460918653</v>
      </c>
      <c r="I71" s="25">
        <v>127.85664710782027</v>
      </c>
      <c r="J71" s="25">
        <v>135.22088111044056</v>
      </c>
      <c r="K71" s="25">
        <v>140.08250442458831</v>
      </c>
      <c r="L71" s="25">
        <v>123.07409270314054</v>
      </c>
      <c r="M71" s="26">
        <v>126.00797802432021</v>
      </c>
      <c r="N71" s="25">
        <v>139.76113810275734</v>
      </c>
      <c r="O71" s="26">
        <v>160.41883585090682</v>
      </c>
      <c r="P71" s="26">
        <v>163.46904286795566</v>
      </c>
      <c r="Q71" s="26">
        <v>149.93899999999999</v>
      </c>
      <c r="R71" s="26">
        <v>448.85539246971433</v>
      </c>
      <c r="S71" s="26">
        <v>464.60211216289019</v>
      </c>
      <c r="T71" s="27"/>
      <c r="U71" s="4">
        <v>-9.5886268464165925E-3</v>
      </c>
      <c r="V71" s="4">
        <f t="shared" si="10"/>
        <v>7.5307265564138026E-2</v>
      </c>
      <c r="W71" s="4">
        <f t="shared" si="10"/>
        <v>-4.7010774115972764E-2</v>
      </c>
      <c r="X71" s="4">
        <f t="shared" si="10"/>
        <v>1.8841946066389781E-2</v>
      </c>
      <c r="Y71" s="4">
        <f t="shared" si="9"/>
        <v>8.8695959585112227E-3</v>
      </c>
      <c r="Z71" s="4">
        <f t="shared" si="9"/>
        <v>-2.5556755655838037E-2</v>
      </c>
      <c r="AA71" s="4">
        <f t="shared" si="9"/>
        <v>3.9341633975658041E-3</v>
      </c>
      <c r="AB71" s="4">
        <f t="shared" si="9"/>
        <v>1.4908552474974801E-2</v>
      </c>
      <c r="AC71" s="4">
        <f t="shared" si="9"/>
        <v>1.7380985317576592E-2</v>
      </c>
      <c r="AD71" s="4">
        <f t="shared" si="9"/>
        <v>2.0950262987413648E-3</v>
      </c>
      <c r="AE71" s="4">
        <f t="shared" si="9"/>
        <v>-8.602295433163043E-3</v>
      </c>
      <c r="AF71" s="4">
        <f t="shared" si="9"/>
        <v>0.10481653909411759</v>
      </c>
      <c r="AG71" s="4">
        <f t="shared" si="9"/>
        <v>2.8775151571038826E-3</v>
      </c>
      <c r="AI71" s="16">
        <f t="shared" si="11"/>
        <v>127.85664710782027</v>
      </c>
    </row>
    <row r="72" spans="1:35" x14ac:dyDescent="0.25">
      <c r="A72" s="2">
        <v>70</v>
      </c>
      <c r="B72" s="3" t="s">
        <v>95</v>
      </c>
      <c r="C72" t="s">
        <v>95</v>
      </c>
      <c r="D72" t="s">
        <v>7</v>
      </c>
      <c r="E72">
        <v>1</v>
      </c>
      <c r="F72" s="24"/>
      <c r="G72" s="24">
        <v>13.68368980227711</v>
      </c>
      <c r="H72" s="25">
        <v>15.158548597387634</v>
      </c>
      <c r="I72" s="25">
        <v>14.724078264240019</v>
      </c>
      <c r="J72" s="25">
        <v>16.033517529250609</v>
      </c>
      <c r="K72" s="25">
        <v>17.758089312485584</v>
      </c>
      <c r="L72" s="25">
        <v>17.344165907212886</v>
      </c>
      <c r="M72" s="26">
        <v>20.716024757405702</v>
      </c>
      <c r="N72" s="25">
        <v>24.48949345900737</v>
      </c>
      <c r="O72" s="26">
        <v>25.737594324022005</v>
      </c>
      <c r="P72" s="26">
        <v>24.188038473543791</v>
      </c>
      <c r="Q72" s="26">
        <v>20.805</v>
      </c>
      <c r="R72" s="26">
        <v>22.866982786163781</v>
      </c>
      <c r="S72" s="26">
        <v>24.385531969799935</v>
      </c>
      <c r="T72" s="27"/>
      <c r="U72" s="4">
        <v>1.0978153562790638E-4</v>
      </c>
      <c r="V72" s="4">
        <f t="shared" si="10"/>
        <v>0.10778224414770721</v>
      </c>
      <c r="W72" s="4">
        <f t="shared" si="10"/>
        <v>-1.4435053888654847E-2</v>
      </c>
      <c r="X72" s="4">
        <f t="shared" si="10"/>
        <v>2.8806180453096575E-2</v>
      </c>
      <c r="Y72" s="4">
        <f t="shared" si="9"/>
        <v>2.5868881561410317E-2</v>
      </c>
      <c r="Z72" s="4">
        <f t="shared" si="9"/>
        <v>-4.7058838925527757E-3</v>
      </c>
      <c r="AA72" s="4">
        <f t="shared" si="9"/>
        <v>3.0051250522025397E-2</v>
      </c>
      <c r="AB72" s="4">
        <f t="shared" si="9"/>
        <v>2.4193255400965619E-2</v>
      </c>
      <c r="AC72" s="4">
        <f t="shared" si="9"/>
        <v>6.2329130169265223E-3</v>
      </c>
      <c r="AD72" s="4">
        <f t="shared" si="9"/>
        <v>-6.8756432093759479E-3</v>
      </c>
      <c r="AE72" s="4">
        <f t="shared" si="9"/>
        <v>-1.4953557384324911E-2</v>
      </c>
      <c r="AF72" s="4">
        <f t="shared" si="9"/>
        <v>8.6279836041982527E-3</v>
      </c>
      <c r="AG72" s="4">
        <f t="shared" si="9"/>
        <v>5.3723742182094636E-3</v>
      </c>
      <c r="AI72" s="16">
        <f t="shared" si="11"/>
        <v>14.724078264240019</v>
      </c>
    </row>
    <row r="73" spans="1:35" x14ac:dyDescent="0.25">
      <c r="A73" s="2">
        <v>71</v>
      </c>
      <c r="B73" s="3" t="s">
        <v>96</v>
      </c>
      <c r="C73" t="s">
        <v>96</v>
      </c>
      <c r="D73" t="s">
        <v>25</v>
      </c>
      <c r="E73">
        <v>1</v>
      </c>
      <c r="F73" s="24"/>
      <c r="G73" s="24">
        <v>1675.6153126934171</v>
      </c>
      <c r="H73" s="25">
        <v>1823.0499277714596</v>
      </c>
      <c r="I73" s="25">
        <v>1827.6378591356963</v>
      </c>
      <c r="J73" s="25">
        <v>1856.7221213945347</v>
      </c>
      <c r="K73" s="25">
        <v>2039.1274462985498</v>
      </c>
      <c r="L73" s="25">
        <v>2103.5878138127496</v>
      </c>
      <c r="M73" s="26">
        <v>2290.4320751237474</v>
      </c>
      <c r="N73" s="25">
        <v>2652.5512025552671</v>
      </c>
      <c r="O73" s="26">
        <v>2713.1650575133467</v>
      </c>
      <c r="P73" s="26">
        <v>2868.9294156170213</v>
      </c>
      <c r="Q73" s="26">
        <v>2592.5830000000001</v>
      </c>
      <c r="R73" s="26">
        <v>12119.012500160357</v>
      </c>
      <c r="S73" s="26">
        <v>13591.103459138672</v>
      </c>
      <c r="T73" s="27"/>
      <c r="U73" s="4">
        <v>5.6647987500333397E-2</v>
      </c>
      <c r="V73" s="4">
        <f t="shared" si="10"/>
        <v>8.7988343124564272E-2</v>
      </c>
      <c r="W73" s="4">
        <f t="shared" si="10"/>
        <v>1.2575213646615069E-3</v>
      </c>
      <c r="X73" s="4">
        <f t="shared" si="10"/>
        <v>5.2766349956467895E-3</v>
      </c>
      <c r="Y73" s="4">
        <f t="shared" si="9"/>
        <v>2.3703916033184669E-2</v>
      </c>
      <c r="Z73" s="4">
        <f t="shared" si="9"/>
        <v>6.2438874510137854E-3</v>
      </c>
      <c r="AA73" s="4">
        <f t="shared" si="9"/>
        <v>1.4283736296824223E-2</v>
      </c>
      <c r="AB73" s="4">
        <f t="shared" si="9"/>
        <v>2.1190163158884889E-2</v>
      </c>
      <c r="AC73" s="4">
        <f t="shared" si="9"/>
        <v>2.8282390029032989E-3</v>
      </c>
      <c r="AD73" s="4">
        <f t="shared" si="9"/>
        <v>6.2218382740024669E-3</v>
      </c>
      <c r="AE73" s="4">
        <f t="shared" si="9"/>
        <v>-1.0077306050801926E-2</v>
      </c>
      <c r="AF73" s="4">
        <f t="shared" si="9"/>
        <v>0.15049559557783243</v>
      </c>
      <c r="AG73" s="4">
        <f t="shared" si="9"/>
        <v>9.5991054255029074E-3</v>
      </c>
      <c r="AI73" s="16">
        <f t="shared" si="11"/>
        <v>1827.6378591356963</v>
      </c>
    </row>
    <row r="74" spans="1:35" x14ac:dyDescent="0.25">
      <c r="A74" s="2">
        <v>72</v>
      </c>
      <c r="B74" s="3" t="s">
        <v>97</v>
      </c>
      <c r="C74" t="s">
        <v>97</v>
      </c>
      <c r="D74" t="s">
        <v>25</v>
      </c>
      <c r="E74">
        <v>1</v>
      </c>
      <c r="F74" s="24"/>
      <c r="G74" s="24">
        <v>755.09416036307334</v>
      </c>
      <c r="H74" s="25">
        <v>892.96910792309666</v>
      </c>
      <c r="I74" s="25">
        <v>917.8699101057482</v>
      </c>
      <c r="J74" s="25">
        <v>912.52413671801912</v>
      </c>
      <c r="K74" s="25">
        <v>890.81475523322547</v>
      </c>
      <c r="L74" s="25">
        <v>860.85423506507891</v>
      </c>
      <c r="M74" s="26">
        <v>931.8773641777417</v>
      </c>
      <c r="N74" s="25">
        <v>1015.4234557832752</v>
      </c>
      <c r="O74" s="26">
        <v>1042.2403094125823</v>
      </c>
      <c r="P74" s="26">
        <v>1119.1907807527959</v>
      </c>
      <c r="Q74" s="26">
        <v>1088.768</v>
      </c>
      <c r="R74" s="26">
        <v>4185.8860706276982</v>
      </c>
      <c r="S74" s="26">
        <v>4222.3198218662319</v>
      </c>
      <c r="T74" s="27"/>
      <c r="U74" s="4">
        <v>4.7331069806626491E-2</v>
      </c>
      <c r="V74" s="4">
        <f t="shared" si="10"/>
        <v>0.18259305236015688</v>
      </c>
      <c r="W74" s="4">
        <f t="shared" si="10"/>
        <v>1.3846833397847202E-2</v>
      </c>
      <c r="X74" s="4">
        <f t="shared" si="10"/>
        <v>-1.945150454558231E-3</v>
      </c>
      <c r="Y74" s="4">
        <f t="shared" si="9"/>
        <v>-6.001428310286494E-3</v>
      </c>
      <c r="Z74" s="4">
        <f t="shared" si="9"/>
        <v>-6.8189063132537697E-3</v>
      </c>
      <c r="AA74" s="4">
        <f t="shared" si="9"/>
        <v>1.3300344666015818E-2</v>
      </c>
      <c r="AB74" s="4">
        <f t="shared" si="9"/>
        <v>1.2341214811880219E-2</v>
      </c>
      <c r="AC74" s="4">
        <f t="shared" si="9"/>
        <v>3.2636662833522845E-3</v>
      </c>
      <c r="AD74" s="4">
        <f t="shared" si="9"/>
        <v>7.9462235324163633E-3</v>
      </c>
      <c r="AE74" s="4">
        <f t="shared" si="9"/>
        <v>-2.7521184804105703E-3</v>
      </c>
      <c r="AF74" s="4">
        <f t="shared" si="9"/>
        <v>0.13023400255497952</v>
      </c>
      <c r="AG74" s="4">
        <f t="shared" si="9"/>
        <v>7.2245175417084972E-4</v>
      </c>
      <c r="AI74" s="16">
        <f t="shared" si="11"/>
        <v>917.8699101057482</v>
      </c>
    </row>
    <row r="75" spans="1:35" x14ac:dyDescent="0.25">
      <c r="A75" s="2">
        <v>73</v>
      </c>
      <c r="B75" s="3" t="s">
        <v>98</v>
      </c>
      <c r="C75" t="s">
        <v>98</v>
      </c>
      <c r="D75" t="s">
        <v>9</v>
      </c>
      <c r="E75">
        <v>0</v>
      </c>
      <c r="F75" s="24"/>
      <c r="G75" s="24">
        <v>487.06957046376823</v>
      </c>
      <c r="H75" s="25">
        <v>583.50035753041413</v>
      </c>
      <c r="I75" s="25">
        <v>598.85340127610118</v>
      </c>
      <c r="J75" s="25">
        <v>467.41485223129911</v>
      </c>
      <c r="K75" s="25">
        <v>434.47461683191369</v>
      </c>
      <c r="L75" s="25">
        <v>385.87447439859028</v>
      </c>
      <c r="M75" s="26">
        <v>418.97667972856732</v>
      </c>
      <c r="N75" s="25">
        <v>454.01276872358886</v>
      </c>
      <c r="O75" s="25">
        <v>521.82874910441296</v>
      </c>
      <c r="P75" s="25">
        <v>555.89789626691197</v>
      </c>
      <c r="Q75" s="25">
        <v>2664.5542205839524</v>
      </c>
      <c r="R75" s="25">
        <v>2153.7016869025565</v>
      </c>
      <c r="S75" s="25">
        <v>2187.4441263367498</v>
      </c>
      <c r="T75" s="27"/>
      <c r="U75" s="4" t="s">
        <v>12</v>
      </c>
      <c r="V75" s="4">
        <f t="shared" si="10"/>
        <v>0.19798154701971704</v>
      </c>
      <c r="W75" s="4">
        <f t="shared" si="10"/>
        <v>1.3070565030663062E-2</v>
      </c>
      <c r="X75" s="4">
        <f t="shared" si="10"/>
        <v>-7.928052549021869E-2</v>
      </c>
      <c r="Y75" s="4">
        <f t="shared" si="9"/>
        <v>-1.8104035332711321E-2</v>
      </c>
      <c r="Z75" s="4">
        <f t="shared" si="9"/>
        <v>-2.344585346713568E-2</v>
      </c>
      <c r="AA75" s="4">
        <f t="shared" si="9"/>
        <v>1.3811702419326943E-2</v>
      </c>
      <c r="AB75" s="4">
        <f t="shared" si="9"/>
        <v>1.1538931622339987E-2</v>
      </c>
      <c r="AC75" s="4">
        <f t="shared" si="9"/>
        <v>1.7554060949430683E-2</v>
      </c>
      <c r="AD75" s="4">
        <f t="shared" si="9"/>
        <v>7.05199014996305E-3</v>
      </c>
      <c r="AE75" s="4">
        <f t="shared" si="9"/>
        <v>0.16966892808763001</v>
      </c>
      <c r="AF75" s="4">
        <f t="shared" si="9"/>
        <v>-1.9163874105396328E-2</v>
      </c>
      <c r="AG75" s="4">
        <f t="shared" si="9"/>
        <v>1.2963161716679217E-3</v>
      </c>
      <c r="AI75" s="16">
        <f t="shared" si="11"/>
        <v>598.85340127610118</v>
      </c>
    </row>
    <row r="76" spans="1:35" x14ac:dyDescent="0.25">
      <c r="A76" s="2">
        <v>74</v>
      </c>
      <c r="B76" s="3" t="s">
        <v>99</v>
      </c>
      <c r="C76" t="s">
        <v>99</v>
      </c>
      <c r="D76" t="s">
        <v>9</v>
      </c>
      <c r="E76">
        <v>0</v>
      </c>
      <c r="F76" s="24"/>
      <c r="G76" s="24">
        <v>138.51672264957267</v>
      </c>
      <c r="H76" s="25">
        <v>185.74966444444445</v>
      </c>
      <c r="I76" s="25">
        <v>218.00098622263866</v>
      </c>
      <c r="J76" s="25">
        <v>234.64837049742709</v>
      </c>
      <c r="K76" s="25">
        <v>234.64837049742709</v>
      </c>
      <c r="L76" s="25">
        <v>177.4985773129234</v>
      </c>
      <c r="M76" s="26">
        <v>170.21996615905246</v>
      </c>
      <c r="N76" s="25">
        <v>193.1587837837838</v>
      </c>
      <c r="O76" s="25">
        <v>224.22801047377325</v>
      </c>
      <c r="P76" s="25">
        <v>234.09404293891706</v>
      </c>
      <c r="Q76" s="25">
        <v>178.11199999999999</v>
      </c>
      <c r="R76" s="25">
        <v>1277.7362291788204</v>
      </c>
      <c r="S76" s="25">
        <v>1324.7763868350519</v>
      </c>
      <c r="T76" s="27"/>
      <c r="U76" s="4" t="s">
        <v>12</v>
      </c>
      <c r="V76" s="4">
        <f t="shared" si="10"/>
        <v>0.34099089908706759</v>
      </c>
      <c r="W76" s="4">
        <f t="shared" si="10"/>
        <v>8.3341076097524169E-2</v>
      </c>
      <c r="X76" s="4">
        <f t="shared" si="10"/>
        <v>2.4832827016035397E-2</v>
      </c>
      <c r="Y76" s="4">
        <f t="shared" si="9"/>
        <v>0</v>
      </c>
      <c r="Z76" s="4">
        <f t="shared" si="9"/>
        <v>-5.4295475622655576E-2</v>
      </c>
      <c r="AA76" s="4">
        <f t="shared" si="9"/>
        <v>-6.9542191425774336E-3</v>
      </c>
      <c r="AB76" s="4">
        <f t="shared" si="9"/>
        <v>1.8224220054736007E-2</v>
      </c>
      <c r="AC76" s="4">
        <f t="shared" si="9"/>
        <v>1.8818741060860233E-2</v>
      </c>
      <c r="AD76" s="4">
        <f t="shared" si="9"/>
        <v>4.7958511773782408E-3</v>
      </c>
      <c r="AE76" s="4">
        <f t="shared" si="9"/>
        <v>-2.6960922918150221E-2</v>
      </c>
      <c r="AF76" s="4">
        <f t="shared" si="9"/>
        <v>0.19617652560751564</v>
      </c>
      <c r="AG76" s="4">
        <f t="shared" si="9"/>
        <v>3.0173546893657033E-3</v>
      </c>
      <c r="AI76" s="16">
        <f t="shared" si="11"/>
        <v>218.00098622263866</v>
      </c>
    </row>
    <row r="77" spans="1:35" x14ac:dyDescent="0.25">
      <c r="A77" s="2">
        <v>75</v>
      </c>
      <c r="B77" s="3" t="s">
        <v>100</v>
      </c>
      <c r="C77" t="s">
        <v>100</v>
      </c>
      <c r="D77" t="s">
        <v>9</v>
      </c>
      <c r="E77">
        <v>1</v>
      </c>
      <c r="F77" s="24"/>
      <c r="G77" s="24">
        <v>233.73292632339079</v>
      </c>
      <c r="H77" s="25">
        <v>261.71688068178389</v>
      </c>
      <c r="I77" s="25">
        <v>257.43500199147439</v>
      </c>
      <c r="J77" s="25">
        <v>292.91701087721674</v>
      </c>
      <c r="K77" s="25">
        <v>310.00787934347426</v>
      </c>
      <c r="L77" s="25">
        <v>300.47079039492326</v>
      </c>
      <c r="M77" s="26">
        <v>319.37792361370259</v>
      </c>
      <c r="N77" s="25">
        <v>353.26841191857653</v>
      </c>
      <c r="O77" s="26">
        <v>370.58797712573244</v>
      </c>
      <c r="P77" s="26">
        <v>394.65221029584859</v>
      </c>
      <c r="Q77" s="26">
        <v>383.42500000000001</v>
      </c>
      <c r="R77" s="26">
        <v>350.9430670167107</v>
      </c>
      <c r="S77" s="26">
        <v>363.88507243910544</v>
      </c>
      <c r="T77" s="27"/>
      <c r="U77" s="4">
        <v>3.555654830466648E-2</v>
      </c>
      <c r="V77" s="4">
        <f t="shared" si="10"/>
        <v>0.11972619689737152</v>
      </c>
      <c r="W77" s="4">
        <f t="shared" si="10"/>
        <v>-8.2140997025691442E-3</v>
      </c>
      <c r="X77" s="4">
        <f t="shared" si="10"/>
        <v>4.3980370339372854E-2</v>
      </c>
      <c r="Y77" s="4">
        <f t="shared" si="9"/>
        <v>1.4278067831350327E-2</v>
      </c>
      <c r="Z77" s="4">
        <f t="shared" si="9"/>
        <v>-6.2299466022320837E-3</v>
      </c>
      <c r="AA77" s="4">
        <f t="shared" si="9"/>
        <v>1.0222659523547506E-2</v>
      </c>
      <c r="AB77" s="4">
        <f t="shared" si="9"/>
        <v>1.4511864593025781E-2</v>
      </c>
      <c r="AC77" s="4">
        <f t="shared" si="9"/>
        <v>6.0007741871210829E-3</v>
      </c>
      <c r="AD77" s="4">
        <f t="shared" si="9"/>
        <v>7.0149374431474065E-3</v>
      </c>
      <c r="AE77" s="4">
        <f t="shared" si="9"/>
        <v>-2.8819254818855944E-3</v>
      </c>
      <c r="AF77" s="4">
        <f t="shared" si="9"/>
        <v>-8.0149824947250981E-3</v>
      </c>
      <c r="AG77" s="4">
        <f t="shared" si="9"/>
        <v>3.0223978158727682E-3</v>
      </c>
      <c r="AI77" s="16">
        <f t="shared" si="11"/>
        <v>257.43500199147439</v>
      </c>
    </row>
    <row r="78" spans="1:35" x14ac:dyDescent="0.25">
      <c r="A78" s="2">
        <v>76</v>
      </c>
      <c r="B78" s="3" t="s">
        <v>101</v>
      </c>
      <c r="C78" t="s">
        <v>101</v>
      </c>
      <c r="D78" t="s">
        <v>23</v>
      </c>
      <c r="E78">
        <v>1</v>
      </c>
      <c r="F78" s="24"/>
      <c r="G78" s="24">
        <v>2125.0582442429218</v>
      </c>
      <c r="H78" s="25">
        <v>2276.2924046005228</v>
      </c>
      <c r="I78" s="25">
        <v>2072.8231570597623</v>
      </c>
      <c r="J78" s="25">
        <v>2130.4913206586784</v>
      </c>
      <c r="K78" s="25">
        <v>2151.7328682432058</v>
      </c>
      <c r="L78" s="25">
        <v>1832.2730325806672</v>
      </c>
      <c r="M78" s="26">
        <v>1869.2017021851711</v>
      </c>
      <c r="N78" s="25">
        <v>1946.5703403411251</v>
      </c>
      <c r="O78" s="26">
        <v>2091.5449550923122</v>
      </c>
      <c r="P78" s="26">
        <v>2003.5761454980359</v>
      </c>
      <c r="Q78" s="26">
        <v>1848.222</v>
      </c>
      <c r="R78" s="26">
        <v>2645.896262414276</v>
      </c>
      <c r="S78" s="26">
        <v>2734.1840243214219</v>
      </c>
      <c r="T78" s="27"/>
      <c r="U78" s="4">
        <v>-8.7160777528210165E-3</v>
      </c>
      <c r="V78" s="4">
        <f t="shared" si="10"/>
        <v>7.1167066016809333E-2</v>
      </c>
      <c r="W78" s="4">
        <f t="shared" si="10"/>
        <v>-4.5739161683643226E-2</v>
      </c>
      <c r="X78" s="4">
        <f t="shared" si="10"/>
        <v>9.188994621773805E-3</v>
      </c>
      <c r="Y78" s="4">
        <f t="shared" si="9"/>
        <v>2.4832989515803927E-3</v>
      </c>
      <c r="Z78" s="4">
        <f t="shared" si="9"/>
        <v>-3.1632139257982361E-2</v>
      </c>
      <c r="AA78" s="4">
        <f t="shared" si="9"/>
        <v>3.3312282649446967E-3</v>
      </c>
      <c r="AB78" s="4">
        <f t="shared" si="9"/>
        <v>5.810757586169446E-3</v>
      </c>
      <c r="AC78" s="4">
        <f t="shared" si="9"/>
        <v>9.0196820787049603E-3</v>
      </c>
      <c r="AD78" s="4">
        <f t="shared" si="9"/>
        <v>-4.7629929405276217E-3</v>
      </c>
      <c r="AE78" s="4">
        <f t="shared" si="9"/>
        <v>-8.0384733551719378E-3</v>
      </c>
      <c r="AF78" s="4">
        <f t="shared" si="9"/>
        <v>3.3154649054961904E-2</v>
      </c>
      <c r="AG78" s="4">
        <f t="shared" si="9"/>
        <v>2.7390097603829933E-3</v>
      </c>
      <c r="AI78" s="16">
        <f t="shared" si="11"/>
        <v>2072.8231570597623</v>
      </c>
    </row>
    <row r="79" spans="1:35" x14ac:dyDescent="0.25">
      <c r="A79" s="2">
        <v>77</v>
      </c>
      <c r="B79" s="3" t="s">
        <v>102</v>
      </c>
      <c r="C79" t="s">
        <v>11</v>
      </c>
      <c r="D79" t="s">
        <v>14</v>
      </c>
      <c r="E79">
        <v>0</v>
      </c>
      <c r="F79" s="24">
        <v>1</v>
      </c>
      <c r="G79" s="24" t="s">
        <v>12</v>
      </c>
      <c r="H79" s="25" t="s">
        <v>12</v>
      </c>
      <c r="I79" s="25" t="s">
        <v>12</v>
      </c>
      <c r="J79" s="25" t="s">
        <v>12</v>
      </c>
      <c r="K79" s="25" t="s">
        <v>12</v>
      </c>
      <c r="L79" s="25" t="s">
        <v>12</v>
      </c>
      <c r="M79" s="26" t="s">
        <v>12</v>
      </c>
      <c r="N79" s="26" t="s">
        <v>12</v>
      </c>
      <c r="O79" s="26" t="s">
        <v>12</v>
      </c>
      <c r="P79" s="26" t="s">
        <v>12</v>
      </c>
      <c r="Q79" s="26" t="s">
        <v>12</v>
      </c>
      <c r="R79" s="26" t="s">
        <v>12</v>
      </c>
      <c r="S79" s="26" t="s">
        <v>12</v>
      </c>
      <c r="T79" s="27"/>
      <c r="U79" s="4" t="s">
        <v>12</v>
      </c>
      <c r="V79" s="4" t="str">
        <f t="shared" si="10"/>
        <v>.</v>
      </c>
      <c r="W79" s="4" t="str">
        <f t="shared" si="10"/>
        <v>.</v>
      </c>
      <c r="X79" s="4" t="str">
        <f t="shared" si="10"/>
        <v>.</v>
      </c>
      <c r="Y79" s="4" t="str">
        <f t="shared" si="9"/>
        <v>.</v>
      </c>
      <c r="Z79" s="4" t="str">
        <f t="shared" si="9"/>
        <v>.</v>
      </c>
      <c r="AA79" s="4" t="str">
        <f t="shared" si="9"/>
        <v>.</v>
      </c>
      <c r="AB79" s="4" t="str">
        <f t="shared" si="9"/>
        <v>.</v>
      </c>
      <c r="AC79" s="4" t="str">
        <f t="shared" si="9"/>
        <v>.</v>
      </c>
      <c r="AD79" s="4" t="str">
        <f t="shared" si="9"/>
        <v>.</v>
      </c>
      <c r="AE79" s="4" t="str">
        <f t="shared" si="9"/>
        <v>.</v>
      </c>
      <c r="AF79" s="4" t="str">
        <f t="shared" si="9"/>
        <v>.</v>
      </c>
      <c r="AG79" s="4" t="str">
        <f t="shared" si="9"/>
        <v>.</v>
      </c>
      <c r="AI79" s="16" t="str">
        <f t="shared" si="11"/>
        <v>.</v>
      </c>
    </row>
    <row r="80" spans="1:35" x14ac:dyDescent="0.25">
      <c r="A80" s="2">
        <v>78</v>
      </c>
      <c r="B80" s="3" t="s">
        <v>103</v>
      </c>
      <c r="C80" t="s">
        <v>103</v>
      </c>
      <c r="D80" t="s">
        <v>16</v>
      </c>
      <c r="E80">
        <v>1</v>
      </c>
      <c r="F80" s="24"/>
      <c r="G80" s="24">
        <v>13.200286270468338</v>
      </c>
      <c r="H80" s="25">
        <v>14.413359665427508</v>
      </c>
      <c r="I80" s="25">
        <v>14.798716216216217</v>
      </c>
      <c r="J80" s="25">
        <v>14.193012191495688</v>
      </c>
      <c r="K80" s="25">
        <v>13.852192273135671</v>
      </c>
      <c r="L80" s="25">
        <v>14.145469269456994</v>
      </c>
      <c r="M80" s="26">
        <v>14.072135208566406</v>
      </c>
      <c r="N80" s="25">
        <v>14.781107821751323</v>
      </c>
      <c r="O80" s="26">
        <v>15.713908816146317</v>
      </c>
      <c r="P80" s="26">
        <v>16.458071067817549</v>
      </c>
      <c r="Q80" s="26">
        <v>14.228</v>
      </c>
      <c r="R80" s="26">
        <v>29.585730580281226</v>
      </c>
      <c r="S80" s="26">
        <v>29.972510814872663</v>
      </c>
      <c r="T80" s="27"/>
      <c r="U80" s="4">
        <v>4.8028039116414289E-2</v>
      </c>
      <c r="V80" s="4">
        <f t="shared" si="10"/>
        <v>9.1897506622493186E-2</v>
      </c>
      <c r="W80" s="4">
        <f t="shared" si="10"/>
        <v>1.3279856246458221E-2</v>
      </c>
      <c r="X80" s="4">
        <f t="shared" si="10"/>
        <v>-1.3833653496720277E-2</v>
      </c>
      <c r="Y80" s="4">
        <f t="shared" si="9"/>
        <v>-6.0581343823215006E-3</v>
      </c>
      <c r="Z80" s="4">
        <f t="shared" si="9"/>
        <v>4.1989656296752553E-3</v>
      </c>
      <c r="AA80" s="4">
        <f t="shared" si="9"/>
        <v>-8.659188949626806E-4</v>
      </c>
      <c r="AB80" s="4">
        <f t="shared" si="9"/>
        <v>7.046604310052107E-3</v>
      </c>
      <c r="AC80" s="4">
        <f t="shared" si="9"/>
        <v>7.6788781702217257E-3</v>
      </c>
      <c r="AD80" s="4">
        <f t="shared" si="9"/>
        <v>5.1543233088211515E-3</v>
      </c>
      <c r="AE80" s="4">
        <f t="shared" si="9"/>
        <v>-1.4454924300894789E-2</v>
      </c>
      <c r="AF80" s="4">
        <f t="shared" si="9"/>
        <v>6.8817349117635374E-2</v>
      </c>
      <c r="AG80" s="4">
        <f t="shared" si="9"/>
        <v>1.0829597547354908E-3</v>
      </c>
      <c r="AI80" s="16">
        <f t="shared" si="11"/>
        <v>14.798716216216217</v>
      </c>
    </row>
    <row r="81" spans="1:35" x14ac:dyDescent="0.25">
      <c r="A81" s="2">
        <v>79</v>
      </c>
      <c r="B81" s="3" t="s">
        <v>104</v>
      </c>
      <c r="C81" t="s">
        <v>104</v>
      </c>
      <c r="D81" t="s">
        <v>25</v>
      </c>
      <c r="E81">
        <v>1</v>
      </c>
      <c r="F81" s="24"/>
      <c r="G81" s="24">
        <v>5700.0981147444099</v>
      </c>
      <c r="H81" s="25">
        <v>6157.4595948237165</v>
      </c>
      <c r="I81" s="25">
        <v>6203.2131213341218</v>
      </c>
      <c r="J81" s="25">
        <v>5155.717056270827</v>
      </c>
      <c r="K81" s="25">
        <v>4850.4135360378405</v>
      </c>
      <c r="L81" s="25">
        <v>4389.4756225889741</v>
      </c>
      <c r="M81" s="26">
        <v>4926.6670873675066</v>
      </c>
      <c r="N81" s="25">
        <v>4859.9505585389707</v>
      </c>
      <c r="O81" s="26">
        <v>4954.8066199951882</v>
      </c>
      <c r="P81" s="26">
        <v>5081.7695423797686</v>
      </c>
      <c r="Q81" s="26">
        <v>4910.58</v>
      </c>
      <c r="R81" s="26">
        <v>7197.3554376826205</v>
      </c>
      <c r="S81" s="26">
        <v>8101.3566146711546</v>
      </c>
      <c r="T81" s="27"/>
      <c r="U81" s="4">
        <v>-1.0235155066277257E-2</v>
      </c>
      <c r="V81" s="4">
        <f t="shared" si="10"/>
        <v>8.0237475017535642E-2</v>
      </c>
      <c r="W81" s="4">
        <f t="shared" si="10"/>
        <v>3.7084162923888275E-3</v>
      </c>
      <c r="X81" s="4">
        <f t="shared" si="10"/>
        <v>-5.979160555396601E-2</v>
      </c>
      <c r="Y81" s="4">
        <f t="shared" si="9"/>
        <v>-1.5144707849108485E-2</v>
      </c>
      <c r="Z81" s="4">
        <f t="shared" si="9"/>
        <v>-1.9772742640582708E-2</v>
      </c>
      <c r="AA81" s="4">
        <f t="shared" si="9"/>
        <v>1.942848020925636E-2</v>
      </c>
      <c r="AB81" s="4">
        <f t="shared" si="9"/>
        <v>-1.9458825287165249E-3</v>
      </c>
      <c r="AC81" s="4">
        <f t="shared" si="9"/>
        <v>2.4191558284945014E-3</v>
      </c>
      <c r="AD81" s="4">
        <f t="shared" si="9"/>
        <v>2.8152215674441816E-3</v>
      </c>
      <c r="AE81" s="4">
        <f t="shared" si="9"/>
        <v>-3.4208828962434268E-3</v>
      </c>
      <c r="AF81" s="4">
        <f t="shared" si="9"/>
        <v>3.5367575242058136E-2</v>
      </c>
      <c r="AG81" s="4">
        <f t="shared" si="9"/>
        <v>9.9085909288016971E-3</v>
      </c>
      <c r="AI81" s="16">
        <f t="shared" si="11"/>
        <v>6203.2131213341218</v>
      </c>
    </row>
    <row r="82" spans="1:35" x14ac:dyDescent="0.25">
      <c r="A82" s="2">
        <v>80</v>
      </c>
      <c r="B82" s="3" t="s">
        <v>105</v>
      </c>
      <c r="C82" t="s">
        <v>105</v>
      </c>
      <c r="D82" t="s">
        <v>9</v>
      </c>
      <c r="E82">
        <v>1</v>
      </c>
      <c r="F82" s="24"/>
      <c r="G82" s="24">
        <v>26.551480959097322</v>
      </c>
      <c r="H82" s="25">
        <v>28.932299012693935</v>
      </c>
      <c r="I82" s="25">
        <v>30.966149506346969</v>
      </c>
      <c r="J82" s="25">
        <v>33.675599435825106</v>
      </c>
      <c r="K82" s="25">
        <v>36.104372355430186</v>
      </c>
      <c r="L82" s="25">
        <v>37.968970380818057</v>
      </c>
      <c r="M82" s="26">
        <v>39.2524682651622</v>
      </c>
      <c r="N82" s="25">
        <v>40.765867418899866</v>
      </c>
      <c r="O82" s="26">
        <v>42.932112676056342</v>
      </c>
      <c r="P82" s="26">
        <v>44.502895861683662</v>
      </c>
      <c r="Q82" s="26">
        <v>42.609000000000002</v>
      </c>
      <c r="R82" s="26">
        <v>108.4972136793503</v>
      </c>
      <c r="S82" s="26">
        <v>111.12642932691037</v>
      </c>
      <c r="T82" s="27"/>
      <c r="U82" s="4">
        <v>6.3446938765073346E-2</v>
      </c>
      <c r="V82" s="4">
        <f t="shared" si="10"/>
        <v>8.9667994687914865E-2</v>
      </c>
      <c r="W82" s="4">
        <f t="shared" si="10"/>
        <v>3.4551538059973685E-2</v>
      </c>
      <c r="X82" s="4">
        <f t="shared" si="10"/>
        <v>2.8354160799148431E-2</v>
      </c>
      <c r="Y82" s="4">
        <f t="shared" si="9"/>
        <v>1.7562552681453569E-2</v>
      </c>
      <c r="Z82" s="4">
        <f t="shared" si="9"/>
        <v>1.0121940030053844E-2</v>
      </c>
      <c r="AA82" s="4">
        <f t="shared" si="9"/>
        <v>5.5562240001036933E-3</v>
      </c>
      <c r="AB82" s="4">
        <f t="shared" si="9"/>
        <v>5.4190330466294956E-3</v>
      </c>
      <c r="AC82" s="4">
        <f t="shared" si="9"/>
        <v>6.4928558818999615E-3</v>
      </c>
      <c r="AD82" s="4">
        <f t="shared" si="9"/>
        <v>4.0006668829963843E-3</v>
      </c>
      <c r="AE82" s="4">
        <f t="shared" si="9"/>
        <v>-4.3394337334314859E-3</v>
      </c>
      <c r="AF82" s="4">
        <f t="shared" si="9"/>
        <v>8.8683316369827736E-2</v>
      </c>
      <c r="AG82" s="4">
        <f t="shared" si="9"/>
        <v>1.9973306636615895E-3</v>
      </c>
      <c r="AI82" s="16">
        <f t="shared" si="11"/>
        <v>30.966149506346969</v>
      </c>
    </row>
    <row r="83" spans="1:35" x14ac:dyDescent="0.25">
      <c r="A83" s="2">
        <v>81</v>
      </c>
      <c r="B83" s="3" t="s">
        <v>106</v>
      </c>
      <c r="C83" t="s">
        <v>106</v>
      </c>
      <c r="D83" t="s">
        <v>25</v>
      </c>
      <c r="E83">
        <v>1</v>
      </c>
      <c r="F83" s="24"/>
      <c r="G83" s="24">
        <v>148.04734824064334</v>
      </c>
      <c r="H83" s="25">
        <v>192.62650797158383</v>
      </c>
      <c r="I83" s="25">
        <v>207.99856886578928</v>
      </c>
      <c r="J83" s="25">
        <v>236.63455207810205</v>
      </c>
      <c r="K83" s="25">
        <v>221.4155728195</v>
      </c>
      <c r="L83" s="25">
        <v>184.38843214871534</v>
      </c>
      <c r="M83" s="26">
        <v>137.27832008417116</v>
      </c>
      <c r="N83" s="25">
        <v>162.88686783169376</v>
      </c>
      <c r="O83" s="26">
        <v>179.33999485938443</v>
      </c>
      <c r="P83" s="26">
        <v>181.66590855649903</v>
      </c>
      <c r="Q83" s="26">
        <v>165.73</v>
      </c>
      <c r="R83" s="26">
        <v>498.43027803645782</v>
      </c>
      <c r="S83" s="26">
        <v>513.53682760314746</v>
      </c>
      <c r="T83" s="27"/>
      <c r="U83" s="4">
        <v>2.7894282712600083E-2</v>
      </c>
      <c r="V83" s="4">
        <f t="shared" si="10"/>
        <v>0.30111420610168138</v>
      </c>
      <c r="W83" s="4">
        <f t="shared" si="10"/>
        <v>3.9135417977441023E-2</v>
      </c>
      <c r="X83" s="4">
        <f t="shared" si="10"/>
        <v>4.3932945723447858E-2</v>
      </c>
      <c r="Y83" s="4">
        <f t="shared" si="9"/>
        <v>-1.6481573060875943E-2</v>
      </c>
      <c r="Z83" s="4">
        <f t="shared" si="9"/>
        <v>-3.593769603725272E-2</v>
      </c>
      <c r="AA83" s="4">
        <f t="shared" si="9"/>
        <v>-4.7982976994939475E-2</v>
      </c>
      <c r="AB83" s="4">
        <f t="shared" si="9"/>
        <v>2.4736054143300823E-2</v>
      </c>
      <c r="AC83" s="4">
        <f t="shared" si="9"/>
        <v>1.2101072536394586E-2</v>
      </c>
      <c r="AD83" s="4">
        <f t="shared" si="9"/>
        <v>1.4327939190341699E-3</v>
      </c>
      <c r="AE83" s="4">
        <f t="shared" si="9"/>
        <v>-9.1389213510619793E-3</v>
      </c>
      <c r="AF83" s="4">
        <f t="shared" si="9"/>
        <v>0.10528181829457384</v>
      </c>
      <c r="AG83" s="4">
        <f t="shared" si="9"/>
        <v>2.4912671861994085E-3</v>
      </c>
      <c r="AI83" s="16">
        <f t="shared" si="11"/>
        <v>207.99856886578928</v>
      </c>
    </row>
    <row r="84" spans="1:35" x14ac:dyDescent="0.25">
      <c r="A84" s="2">
        <v>82</v>
      </c>
      <c r="B84" s="3" t="s">
        <v>107</v>
      </c>
      <c r="C84" t="s">
        <v>107</v>
      </c>
      <c r="D84" t="s">
        <v>14</v>
      </c>
      <c r="E84">
        <v>1</v>
      </c>
      <c r="F84" s="24"/>
      <c r="G84" s="24">
        <v>40.00008834680412</v>
      </c>
      <c r="H84" s="25">
        <v>41.953433591410054</v>
      </c>
      <c r="I84" s="25">
        <v>50.412754861019096</v>
      </c>
      <c r="J84" s="25">
        <v>55.096728047940786</v>
      </c>
      <c r="K84" s="25">
        <v>61.448046801720729</v>
      </c>
      <c r="L84" s="25">
        <v>64.007750178597348</v>
      </c>
      <c r="M84" s="26">
        <v>69.18875551094267</v>
      </c>
      <c r="N84" s="25">
        <v>78.757391333008798</v>
      </c>
      <c r="O84" s="26">
        <v>87.778582964138778</v>
      </c>
      <c r="P84" s="26">
        <v>95.503088538091987</v>
      </c>
      <c r="Q84" s="26">
        <v>101.048</v>
      </c>
      <c r="R84" s="26">
        <v>249.84320748111838</v>
      </c>
      <c r="S84" s="26">
        <v>257.70102566296856</v>
      </c>
      <c r="T84" s="27"/>
      <c r="U84" s="4">
        <v>1.7698053179433959E-2</v>
      </c>
      <c r="V84" s="4">
        <f t="shared" si="10"/>
        <v>4.8833523258005496E-2</v>
      </c>
      <c r="W84" s="4">
        <f t="shared" si="10"/>
        <v>9.6191575329333423E-2</v>
      </c>
      <c r="X84" s="4">
        <f t="shared" si="10"/>
        <v>3.0058268714432623E-2</v>
      </c>
      <c r="Y84" s="4">
        <f t="shared" si="9"/>
        <v>2.7650809140715715E-2</v>
      </c>
      <c r="Z84" s="4">
        <f t="shared" si="9"/>
        <v>8.1958278538212248E-3</v>
      </c>
      <c r="AA84" s="4">
        <f t="shared" si="9"/>
        <v>1.3056870172989399E-2</v>
      </c>
      <c r="AB84" s="4">
        <f t="shared" si="9"/>
        <v>1.8677100230259702E-2</v>
      </c>
      <c r="AC84" s="4">
        <f t="shared" si="9"/>
        <v>1.3647970945521282E-2</v>
      </c>
      <c r="AD84" s="4">
        <f t="shared" si="9"/>
        <v>9.4152748351159499E-3</v>
      </c>
      <c r="AE84" s="4">
        <f t="shared" si="9"/>
        <v>5.6596620926734342E-3</v>
      </c>
      <c r="AF84" s="4">
        <f t="shared" si="9"/>
        <v>8.5775365666847403E-2</v>
      </c>
      <c r="AG84" s="4">
        <f t="shared" si="9"/>
        <v>2.5838780305145193E-3</v>
      </c>
      <c r="AI84" s="16">
        <f t="shared" ref="AI84:AI99" si="12">IF(SUMIF($G$2:$S$2,AI$2,$G84:$S84)=0,".",SUMIF($G$2:$S$2,AI$2,$G84:$S84))</f>
        <v>50.412754861019096</v>
      </c>
    </row>
    <row r="85" spans="1:35" x14ac:dyDescent="0.25">
      <c r="A85" s="2">
        <v>83</v>
      </c>
      <c r="B85" s="3" t="s">
        <v>108</v>
      </c>
      <c r="C85" t="s">
        <v>108</v>
      </c>
      <c r="D85" t="s">
        <v>7</v>
      </c>
      <c r="E85">
        <v>0</v>
      </c>
      <c r="F85" s="24">
        <v>1</v>
      </c>
      <c r="G85" s="24">
        <v>5.8304635761589401</v>
      </c>
      <c r="H85" s="25">
        <v>6.691826522101751</v>
      </c>
      <c r="I85" s="25">
        <v>6.4999357574200172</v>
      </c>
      <c r="J85" s="25">
        <v>7.071959638874139</v>
      </c>
      <c r="K85" s="25">
        <v>7.3868913360753616</v>
      </c>
      <c r="L85" s="25">
        <v>6.4406121769990028</v>
      </c>
      <c r="M85" s="26">
        <v>6.7147123893805301</v>
      </c>
      <c r="N85" s="26">
        <v>7.2277649767927379</v>
      </c>
      <c r="O85" s="26">
        <v>7.9429617383089273</v>
      </c>
      <c r="P85" s="26">
        <v>7.9261337136139725</v>
      </c>
      <c r="Q85" s="26">
        <v>7.484</v>
      </c>
      <c r="R85" s="26">
        <v>26.03245661434903</v>
      </c>
      <c r="S85" s="26">
        <v>26.131949776490728</v>
      </c>
      <c r="T85" s="27"/>
      <c r="U85" s="4" t="s">
        <v>12</v>
      </c>
      <c r="V85" s="4">
        <f t="shared" si="10"/>
        <v>0.14773489872485746</v>
      </c>
      <c r="W85" s="4">
        <f t="shared" si="10"/>
        <v>-1.4441982623887739E-2</v>
      </c>
      <c r="X85" s="4">
        <f t="shared" si="10"/>
        <v>2.8514068068259624E-2</v>
      </c>
      <c r="Y85" s="4">
        <f t="shared" si="9"/>
        <v>1.0951880068275077E-2</v>
      </c>
      <c r="Z85" s="4">
        <f t="shared" si="9"/>
        <v>-2.7044253011302199E-2</v>
      </c>
      <c r="AA85" s="4">
        <f t="shared" si="9"/>
        <v>6.9704150151055355E-3</v>
      </c>
      <c r="AB85" s="4">
        <f t="shared" si="9"/>
        <v>1.0573921286505028E-2</v>
      </c>
      <c r="AC85" s="4">
        <f t="shared" si="9"/>
        <v>1.1864375427667717E-2</v>
      </c>
      <c r="AD85" s="4">
        <f t="shared" si="9"/>
        <v>-2.3562287314016217E-4</v>
      </c>
      <c r="AE85" s="4">
        <f t="shared" si="9"/>
        <v>-5.7233544908666945E-3</v>
      </c>
      <c r="AF85" s="4">
        <f t="shared" si="9"/>
        <v>0.11999604376338091</v>
      </c>
      <c r="AG85" s="4">
        <f t="shared" si="9"/>
        <v>3.179342166861332E-4</v>
      </c>
      <c r="AI85" s="16">
        <f t="shared" si="12"/>
        <v>6.4999357574200172</v>
      </c>
    </row>
    <row r="86" spans="1:35" x14ac:dyDescent="0.25">
      <c r="A86" s="2">
        <v>84</v>
      </c>
      <c r="B86" s="3" t="s">
        <v>109</v>
      </c>
      <c r="C86" t="s">
        <v>109</v>
      </c>
      <c r="D86" t="s">
        <v>9</v>
      </c>
      <c r="E86">
        <v>1</v>
      </c>
      <c r="F86" s="24"/>
      <c r="G86" s="24">
        <v>115.41905094207952</v>
      </c>
      <c r="H86" s="25">
        <v>154.02753623188403</v>
      </c>
      <c r="I86" s="25">
        <v>174.07002500893174</v>
      </c>
      <c r="J86" s="25">
        <v>174.16114245416077</v>
      </c>
      <c r="K86" s="25">
        <v>162.63141250878425</v>
      </c>
      <c r="L86" s="25">
        <v>114.56729810568295</v>
      </c>
      <c r="M86" s="26">
        <v>109.42005958291959</v>
      </c>
      <c r="N86" s="25">
        <v>119.55159907682163</v>
      </c>
      <c r="O86" s="26">
        <v>140.64536423841062</v>
      </c>
      <c r="P86" s="26">
        <v>134.62854274696971</v>
      </c>
      <c r="Q86" s="26">
        <v>108.65600000000001</v>
      </c>
      <c r="R86" s="26">
        <v>316.60965778585154</v>
      </c>
      <c r="S86" s="26">
        <v>321.12572764765287</v>
      </c>
      <c r="T86" s="27"/>
      <c r="U86" s="4">
        <v>1.3437554567070187E-2</v>
      </c>
      <c r="V86" s="4">
        <f t="shared" si="10"/>
        <v>0.33450704172900636</v>
      </c>
      <c r="W86" s="4">
        <f t="shared" si="10"/>
        <v>6.3072323126539764E-2</v>
      </c>
      <c r="X86" s="4">
        <f t="shared" si="10"/>
        <v>1.7445383696390593E-4</v>
      </c>
      <c r="Y86" s="4">
        <f t="shared" si="9"/>
        <v>-1.6977875872677739E-2</v>
      </c>
      <c r="Z86" s="4">
        <f t="shared" si="9"/>
        <v>-6.7666589909515018E-2</v>
      </c>
      <c r="AA86" s="4">
        <f t="shared" si="9"/>
        <v>-7.6320888275112075E-3</v>
      </c>
      <c r="AB86" s="4">
        <f t="shared" si="9"/>
        <v>1.2730904741162119E-2</v>
      </c>
      <c r="AC86" s="4">
        <f t="shared" si="9"/>
        <v>2.051937425905237E-2</v>
      </c>
      <c r="AD86" s="4">
        <f t="shared" si="9"/>
        <v>-4.8462327181680864E-3</v>
      </c>
      <c r="AE86" s="4">
        <f t="shared" si="9"/>
        <v>-2.120519235303775E-2</v>
      </c>
      <c r="AF86" s="4">
        <f t="shared" si="9"/>
        <v>0.10210909390890688</v>
      </c>
      <c r="AG86" s="4">
        <f t="shared" si="9"/>
        <v>1.1809525831012468E-3</v>
      </c>
      <c r="AI86" s="16">
        <f t="shared" si="12"/>
        <v>174.07002500893174</v>
      </c>
    </row>
    <row r="87" spans="1:35" x14ac:dyDescent="0.25">
      <c r="A87" s="2">
        <v>85</v>
      </c>
      <c r="B87" s="3" t="s">
        <v>110</v>
      </c>
      <c r="C87" t="s">
        <v>110</v>
      </c>
      <c r="D87" t="s">
        <v>25</v>
      </c>
      <c r="E87">
        <v>0</v>
      </c>
      <c r="F87" s="24"/>
      <c r="G87" s="24">
        <v>15.709728059100026</v>
      </c>
      <c r="H87" s="25">
        <v>17.433</v>
      </c>
      <c r="I87" s="25">
        <v>19.2</v>
      </c>
      <c r="J87" s="25">
        <v>20.777000000000001</v>
      </c>
      <c r="K87" s="25">
        <v>34.4</v>
      </c>
      <c r="L87" s="25">
        <v>56.95528709630841</v>
      </c>
      <c r="M87" s="26">
        <v>51.561208678533909</v>
      </c>
      <c r="N87" s="25">
        <v>59.332217967961022</v>
      </c>
      <c r="O87" s="25">
        <v>59.514967555079998</v>
      </c>
      <c r="P87" s="25">
        <v>60.7034329909063</v>
      </c>
      <c r="Q87" s="25">
        <v>65.914908508191687</v>
      </c>
      <c r="R87" s="25">
        <v>89.216826869286791</v>
      </c>
      <c r="S87" s="25">
        <v>94.104691196640871</v>
      </c>
      <c r="T87" s="27"/>
      <c r="U87" s="4" t="s">
        <v>12</v>
      </c>
      <c r="V87" s="4">
        <f t="shared" si="10"/>
        <v>0.10969457487850964</v>
      </c>
      <c r="W87" s="4">
        <f t="shared" si="10"/>
        <v>4.9456759767278591E-2</v>
      </c>
      <c r="X87" s="4">
        <f t="shared" si="10"/>
        <v>2.6661328587713307E-2</v>
      </c>
      <c r="Y87" s="4">
        <f t="shared" si="9"/>
        <v>0.13434170795272848</v>
      </c>
      <c r="Z87" s="4">
        <f t="shared" si="9"/>
        <v>0.10610185472913658</v>
      </c>
      <c r="AA87" s="4">
        <f t="shared" si="9"/>
        <v>-1.6446079151845483E-2</v>
      </c>
      <c r="AB87" s="4">
        <f t="shared" si="9"/>
        <v>2.0257138285279641E-2</v>
      </c>
      <c r="AC87" s="4">
        <f t="shared" si="9"/>
        <v>3.8449556320974132E-4</v>
      </c>
      <c r="AD87" s="4">
        <f t="shared" si="9"/>
        <v>2.1993502179979973E-3</v>
      </c>
      <c r="AE87" s="4">
        <f t="shared" si="9"/>
        <v>8.2704519855039127E-3</v>
      </c>
      <c r="AF87" s="4">
        <f t="shared" si="9"/>
        <v>2.7900773003675106E-2</v>
      </c>
      <c r="AG87" s="4">
        <f t="shared" si="9"/>
        <v>4.4547459136292655E-3</v>
      </c>
      <c r="AI87" s="16">
        <f t="shared" si="12"/>
        <v>19.2</v>
      </c>
    </row>
    <row r="88" spans="1:35" x14ac:dyDescent="0.25">
      <c r="A88" s="2">
        <v>86</v>
      </c>
      <c r="B88" s="3" t="s">
        <v>111</v>
      </c>
      <c r="C88" t="s">
        <v>111</v>
      </c>
      <c r="D88" t="s">
        <v>23</v>
      </c>
      <c r="E88">
        <v>1</v>
      </c>
      <c r="F88" s="24"/>
      <c r="G88" s="24">
        <v>23.757368290095521</v>
      </c>
      <c r="H88" s="25">
        <v>28.223552824750847</v>
      </c>
      <c r="I88" s="25">
        <v>28.119996053251121</v>
      </c>
      <c r="J88" s="25">
        <v>30.254677296918082</v>
      </c>
      <c r="K88" s="25">
        <v>31.33501375154243</v>
      </c>
      <c r="L88" s="25">
        <v>26.972863393638359</v>
      </c>
      <c r="M88" s="26">
        <v>27.695474684447028</v>
      </c>
      <c r="N88" s="25">
        <v>30.463302413728929</v>
      </c>
      <c r="O88" s="26">
        <v>34.416012859186644</v>
      </c>
      <c r="P88" s="26">
        <v>34.102913582423476</v>
      </c>
      <c r="Q88" s="26">
        <v>33.015000000000001</v>
      </c>
      <c r="R88" s="26">
        <v>60.799760981690724</v>
      </c>
      <c r="S88" s="26">
        <v>62.135795483866403</v>
      </c>
      <c r="T88" s="27"/>
      <c r="U88" s="4">
        <v>-6.73295112673159E-2</v>
      </c>
      <c r="V88" s="4">
        <f t="shared" si="10"/>
        <v>0.1879915519311659</v>
      </c>
      <c r="W88" s="4">
        <f t="shared" si="10"/>
        <v>-1.8362666536316796E-3</v>
      </c>
      <c r="X88" s="4">
        <f t="shared" si="10"/>
        <v>2.4689823703820668E-2</v>
      </c>
      <c r="Y88" s="4">
        <f t="shared" si="9"/>
        <v>8.8099130087915256E-3</v>
      </c>
      <c r="Z88" s="4">
        <f t="shared" si="9"/>
        <v>-2.9535993152760343E-2</v>
      </c>
      <c r="AA88" s="4">
        <f t="shared" si="9"/>
        <v>4.4160102884422958E-3</v>
      </c>
      <c r="AB88" s="4">
        <f t="shared" ref="AB88:AG130" si="13">IFERROR((N88/M88)^(1/(AB$2-$U$2))-1,".")</f>
        <v>1.3700681313736807E-2</v>
      </c>
      <c r="AC88" s="4">
        <f t="shared" si="13"/>
        <v>1.5366771360152409E-2</v>
      </c>
      <c r="AD88" s="4">
        <f t="shared" si="13"/>
        <v>-1.0149427330571337E-3</v>
      </c>
      <c r="AE88" s="4">
        <f t="shared" si="13"/>
        <v>-3.2368320566961151E-3</v>
      </c>
      <c r="AF88" s="4">
        <f t="shared" si="13"/>
        <v>5.7080919169170796E-2</v>
      </c>
      <c r="AG88" s="4">
        <f t="shared" si="13"/>
        <v>1.8130066747112927E-3</v>
      </c>
      <c r="AI88" s="16">
        <f t="shared" si="12"/>
        <v>28.119996053251121</v>
      </c>
    </row>
    <row r="89" spans="1:35" x14ac:dyDescent="0.25">
      <c r="A89" s="2">
        <v>87</v>
      </c>
      <c r="B89" s="3" t="s">
        <v>112</v>
      </c>
      <c r="C89" t="s">
        <v>112</v>
      </c>
      <c r="D89" t="s">
        <v>9</v>
      </c>
      <c r="E89">
        <v>1</v>
      </c>
      <c r="F89" s="24"/>
      <c r="G89" s="24">
        <v>38.419626533996684</v>
      </c>
      <c r="H89" s="25">
        <v>40.075674295190701</v>
      </c>
      <c r="I89" s="25">
        <v>44.230727694859027</v>
      </c>
      <c r="J89" s="25">
        <v>46.866579767827524</v>
      </c>
      <c r="K89" s="25">
        <v>48.296099502487557</v>
      </c>
      <c r="L89" s="25">
        <v>49.973893200663348</v>
      </c>
      <c r="M89" s="26">
        <v>51.23905008291873</v>
      </c>
      <c r="N89" s="25">
        <v>53.393799668325038</v>
      </c>
      <c r="O89" s="26">
        <v>54.961275741558879</v>
      </c>
      <c r="P89" s="26">
        <v>51.991634491634493</v>
      </c>
      <c r="Q89" s="26">
        <v>18.734000000000002</v>
      </c>
      <c r="R89" s="26">
        <v>95.490517514698794</v>
      </c>
      <c r="S89" s="26">
        <v>96.041040596100785</v>
      </c>
      <c r="T89" s="27"/>
      <c r="U89" s="4" t="s">
        <v>12</v>
      </c>
      <c r="V89" s="4">
        <f t="shared" si="10"/>
        <v>4.3104212887874249E-2</v>
      </c>
      <c r="W89" s="4">
        <f t="shared" si="10"/>
        <v>5.0561843427150199E-2</v>
      </c>
      <c r="X89" s="4">
        <f t="shared" si="10"/>
        <v>1.9482382912010099E-2</v>
      </c>
      <c r="Y89" s="4">
        <f t="shared" si="10"/>
        <v>7.5397733249296106E-3</v>
      </c>
      <c r="Z89" s="4">
        <f t="shared" si="10"/>
        <v>6.8533638137462383E-3</v>
      </c>
      <c r="AA89" s="4">
        <f t="shared" si="10"/>
        <v>4.1755609949924999E-3</v>
      </c>
      <c r="AB89" s="4">
        <f t="shared" si="13"/>
        <v>5.9020186659457519E-3</v>
      </c>
      <c r="AC89" s="4">
        <f t="shared" si="13"/>
        <v>3.6233273977281932E-3</v>
      </c>
      <c r="AD89" s="4">
        <f t="shared" si="13"/>
        <v>-6.1527747191875148E-3</v>
      </c>
      <c r="AE89" s="4">
        <f t="shared" si="13"/>
        <v>-9.7037520680103961E-2</v>
      </c>
      <c r="AF89" s="4">
        <f t="shared" si="13"/>
        <v>0.15958530437806795</v>
      </c>
      <c r="AG89" s="4">
        <f t="shared" si="13"/>
        <v>4.7916949883397564E-4</v>
      </c>
      <c r="AI89" s="16">
        <f t="shared" si="12"/>
        <v>44.230727694859027</v>
      </c>
    </row>
    <row r="90" spans="1:35" x14ac:dyDescent="0.25">
      <c r="A90" s="2">
        <v>88</v>
      </c>
      <c r="B90" s="3" t="s">
        <v>113</v>
      </c>
      <c r="C90" t="s">
        <v>113</v>
      </c>
      <c r="D90" t="s">
        <v>14</v>
      </c>
      <c r="E90">
        <v>1</v>
      </c>
      <c r="F90" s="24"/>
      <c r="G90" s="24">
        <v>2.3616135196415886</v>
      </c>
      <c r="H90" s="25">
        <v>2.78795188056906</v>
      </c>
      <c r="I90" s="25">
        <v>2.6784757734470164</v>
      </c>
      <c r="J90" s="25">
        <v>2.5260090625679692</v>
      </c>
      <c r="K90" s="25">
        <v>2.6145662922590684</v>
      </c>
      <c r="L90" s="25">
        <v>2.5103128012602967</v>
      </c>
      <c r="M90" s="26">
        <v>2.3234196171207917</v>
      </c>
      <c r="N90" s="25">
        <v>2.5782653557125501</v>
      </c>
      <c r="O90" s="26">
        <v>2.5758922615404378</v>
      </c>
      <c r="P90" s="26">
        <v>2.3763286372631778</v>
      </c>
      <c r="Q90" s="26">
        <v>1.9059999999999999</v>
      </c>
      <c r="R90" s="26">
        <v>7.7572937435897433</v>
      </c>
      <c r="S90" s="26">
        <v>7.7882642764139742</v>
      </c>
      <c r="T90" s="27"/>
      <c r="U90" s="4">
        <v>-5.5285682482650866E-3</v>
      </c>
      <c r="V90" s="4">
        <f t="shared" si="10"/>
        <v>0.18052842151419202</v>
      </c>
      <c r="W90" s="4">
        <f t="shared" si="10"/>
        <v>-1.9830409634719381E-2</v>
      </c>
      <c r="X90" s="4">
        <f t="shared" si="10"/>
        <v>-1.9346173566949565E-2</v>
      </c>
      <c r="Y90" s="4">
        <f t="shared" si="10"/>
        <v>8.6516153318991762E-3</v>
      </c>
      <c r="Z90" s="4">
        <f t="shared" si="10"/>
        <v>-8.1051472324814577E-3</v>
      </c>
      <c r="AA90" s="4">
        <f t="shared" si="10"/>
        <v>-1.2811770490764762E-2</v>
      </c>
      <c r="AB90" s="4">
        <f t="shared" si="13"/>
        <v>1.4979188256519338E-2</v>
      </c>
      <c r="AC90" s="4">
        <f t="shared" si="13"/>
        <v>-1.1509920450458733E-4</v>
      </c>
      <c r="AD90" s="4">
        <f t="shared" si="13"/>
        <v>-8.9198991086596457E-3</v>
      </c>
      <c r="AE90" s="4">
        <f t="shared" si="13"/>
        <v>-2.1813557100835879E-2</v>
      </c>
      <c r="AF90" s="4">
        <f t="shared" si="13"/>
        <v>0.13610123248573469</v>
      </c>
      <c r="AG90" s="4">
        <f t="shared" si="13"/>
        <v>3.3209611043205634E-4</v>
      </c>
      <c r="AI90" s="16">
        <f t="shared" si="12"/>
        <v>2.6784757734470164</v>
      </c>
    </row>
    <row r="91" spans="1:35" x14ac:dyDescent="0.25">
      <c r="A91" s="2">
        <v>89</v>
      </c>
      <c r="B91" s="3" t="s">
        <v>114</v>
      </c>
      <c r="C91" t="s">
        <v>114</v>
      </c>
      <c r="D91" t="s">
        <v>14</v>
      </c>
      <c r="E91">
        <v>1</v>
      </c>
      <c r="F91" s="24"/>
      <c r="G91" s="24">
        <v>1.9979999999999998</v>
      </c>
      <c r="H91" s="25">
        <v>2.3980000000000001</v>
      </c>
      <c r="I91" s="25">
        <v>2.7209999999999996</v>
      </c>
      <c r="J91" s="25">
        <v>3.0670000000000002</v>
      </c>
      <c r="K91" s="25">
        <v>3.1440000000000001</v>
      </c>
      <c r="L91" s="25">
        <v>3.177</v>
      </c>
      <c r="M91" s="26">
        <v>3.2778260000000006</v>
      </c>
      <c r="N91" s="25">
        <v>3.2854549999999998</v>
      </c>
      <c r="O91" s="26">
        <v>3.2639999999999998</v>
      </c>
      <c r="P91" s="26">
        <v>3.0705181000000001</v>
      </c>
      <c r="Q91" s="26">
        <v>3.0680000000000001</v>
      </c>
      <c r="R91" s="26">
        <v>6.48678859228154</v>
      </c>
      <c r="S91" s="26">
        <v>7.0220827800245553</v>
      </c>
      <c r="T91" s="27"/>
      <c r="U91" s="4" t="s">
        <v>12</v>
      </c>
      <c r="V91" s="4">
        <f t="shared" si="10"/>
        <v>0.20020020020020035</v>
      </c>
      <c r="W91" s="4">
        <f t="shared" si="10"/>
        <v>6.5220906502359233E-2</v>
      </c>
      <c r="X91" s="4">
        <f t="shared" si="10"/>
        <v>4.0706845867135355E-2</v>
      </c>
      <c r="Y91" s="4">
        <f t="shared" si="10"/>
        <v>6.2182509065082936E-3</v>
      </c>
      <c r="Z91" s="4">
        <f t="shared" si="10"/>
        <v>2.0904781531057015E-3</v>
      </c>
      <c r="AA91" s="4">
        <f t="shared" si="10"/>
        <v>5.2207546380615977E-3</v>
      </c>
      <c r="AB91" s="4">
        <f t="shared" si="13"/>
        <v>3.3216271822511523E-4</v>
      </c>
      <c r="AC91" s="4">
        <f t="shared" si="13"/>
        <v>-8.1862894218365234E-4</v>
      </c>
      <c r="AD91" s="4">
        <f t="shared" si="13"/>
        <v>-6.7666830320365356E-3</v>
      </c>
      <c r="AE91" s="4">
        <f t="shared" si="13"/>
        <v>-8.2039241631304272E-5</v>
      </c>
      <c r="AF91" s="4">
        <f t="shared" si="13"/>
        <v>7.0437482798715534E-2</v>
      </c>
      <c r="AG91" s="4">
        <f t="shared" si="13"/>
        <v>6.629569121927581E-3</v>
      </c>
      <c r="AI91" s="16">
        <f t="shared" si="12"/>
        <v>2.7209999999999996</v>
      </c>
    </row>
    <row r="92" spans="1:35" x14ac:dyDescent="0.25">
      <c r="A92" s="2">
        <v>90</v>
      </c>
      <c r="B92" s="3" t="s">
        <v>115</v>
      </c>
      <c r="C92" t="s">
        <v>115</v>
      </c>
      <c r="D92" t="s">
        <v>9</v>
      </c>
      <c r="E92">
        <v>1</v>
      </c>
      <c r="F92" s="24"/>
      <c r="G92" s="24">
        <v>74.773444900536788</v>
      </c>
      <c r="H92" s="25">
        <v>34.699395523607251</v>
      </c>
      <c r="I92" s="25">
        <v>81.873662518823807</v>
      </c>
      <c r="J92" s="25">
        <v>65.502870173783123</v>
      </c>
      <c r="K92" s="25">
        <v>41.142722414335111</v>
      </c>
      <c r="L92" s="25">
        <v>27.842131479872574</v>
      </c>
      <c r="M92" s="26">
        <v>26.221660067669717</v>
      </c>
      <c r="N92" s="25">
        <v>38.115981878564725</v>
      </c>
      <c r="O92" s="26">
        <v>52.607888717948718</v>
      </c>
      <c r="P92" s="26">
        <v>52.091152228342516</v>
      </c>
      <c r="Q92" s="26">
        <v>21.805</v>
      </c>
      <c r="R92" s="26">
        <v>78.154670470051812</v>
      </c>
      <c r="S92" s="26">
        <v>80.065213355184042</v>
      </c>
      <c r="T92" s="27"/>
      <c r="U92" s="4">
        <v>6.6755852289445805E-2</v>
      </c>
      <c r="V92" s="4">
        <f t="shared" si="10"/>
        <v>-0.53593958965292843</v>
      </c>
      <c r="W92" s="4">
        <f t="shared" si="10"/>
        <v>0.5360705209078771</v>
      </c>
      <c r="X92" s="4">
        <f t="shared" si="10"/>
        <v>-7.1663618998787593E-2</v>
      </c>
      <c r="Y92" s="4">
        <f t="shared" si="10"/>
        <v>-0.10975780688128478</v>
      </c>
      <c r="Z92" s="4">
        <f t="shared" si="10"/>
        <v>-7.5127447850296569E-2</v>
      </c>
      <c r="AA92" s="4">
        <f t="shared" si="10"/>
        <v>-9.944325756426009E-3</v>
      </c>
      <c r="AB92" s="4">
        <f t="shared" si="13"/>
        <v>5.4888855304943807E-2</v>
      </c>
      <c r="AC92" s="4">
        <f t="shared" si="13"/>
        <v>4.1101255317365748E-2</v>
      </c>
      <c r="AD92" s="4">
        <f t="shared" si="13"/>
        <v>-1.0961735023641284E-3</v>
      </c>
      <c r="AE92" s="4">
        <f t="shared" si="13"/>
        <v>-8.3401351168176596E-2</v>
      </c>
      <c r="AF92" s="4">
        <f t="shared" si="13"/>
        <v>0.12305207608136071</v>
      </c>
      <c r="AG92" s="4">
        <f t="shared" si="13"/>
        <v>2.0146643455083435E-3</v>
      </c>
      <c r="AI92" s="16">
        <f t="shared" si="12"/>
        <v>81.873662518823807</v>
      </c>
    </row>
    <row r="93" spans="1:35" x14ac:dyDescent="0.25">
      <c r="A93" s="2">
        <v>91</v>
      </c>
      <c r="B93" s="3" t="s">
        <v>116</v>
      </c>
      <c r="C93" t="s">
        <v>116</v>
      </c>
      <c r="D93" t="s">
        <v>7</v>
      </c>
      <c r="E93">
        <v>0</v>
      </c>
      <c r="F93" s="24">
        <v>1</v>
      </c>
      <c r="G93" s="24">
        <v>5.0823664780899422</v>
      </c>
      <c r="H93" s="25">
        <v>5.7399774774774768</v>
      </c>
      <c r="I93" s="25">
        <v>5.4560093846646049</v>
      </c>
      <c r="J93" s="25">
        <v>6.3917358938396811</v>
      </c>
      <c r="K93" s="25">
        <v>6.6571709233791756</v>
      </c>
      <c r="L93" s="25">
        <v>6.2683915211970076</v>
      </c>
      <c r="M93" s="26">
        <v>6.2146336513091125</v>
      </c>
      <c r="N93" s="26" t="s">
        <v>12</v>
      </c>
      <c r="O93" s="26" t="s">
        <v>12</v>
      </c>
      <c r="P93" s="26" t="s">
        <v>12</v>
      </c>
      <c r="Q93" s="26" t="s">
        <v>12</v>
      </c>
      <c r="R93" s="26" t="s">
        <v>12</v>
      </c>
      <c r="S93" s="26" t="s">
        <v>12</v>
      </c>
      <c r="T93" s="27"/>
      <c r="U93" s="4" t="s">
        <v>12</v>
      </c>
      <c r="V93" s="4">
        <f t="shared" si="10"/>
        <v>0.12939070848638967</v>
      </c>
      <c r="W93" s="4">
        <f t="shared" si="10"/>
        <v>-2.5049738340661154E-2</v>
      </c>
      <c r="X93" s="4">
        <f t="shared" si="10"/>
        <v>5.4179510927889085E-2</v>
      </c>
      <c r="Y93" s="4">
        <f t="shared" si="10"/>
        <v>1.0224092153955811E-2</v>
      </c>
      <c r="Z93" s="4">
        <f t="shared" si="10"/>
        <v>-1.1962833865940325E-2</v>
      </c>
      <c r="AA93" s="4">
        <f t="shared" si="10"/>
        <v>-1.4344716109434552E-3</v>
      </c>
      <c r="AB93" s="4" t="str">
        <f t="shared" si="13"/>
        <v>.</v>
      </c>
      <c r="AC93" s="4" t="str">
        <f t="shared" si="13"/>
        <v>.</v>
      </c>
      <c r="AD93" s="4" t="str">
        <f t="shared" si="13"/>
        <v>.</v>
      </c>
      <c r="AE93" s="4" t="str">
        <f t="shared" si="13"/>
        <v>.</v>
      </c>
      <c r="AF93" s="4" t="str">
        <f t="shared" si="13"/>
        <v>.</v>
      </c>
      <c r="AG93" s="4" t="str">
        <f t="shared" si="13"/>
        <v>.</v>
      </c>
      <c r="AI93" s="16">
        <f t="shared" si="12"/>
        <v>5.4560093846646049</v>
      </c>
    </row>
    <row r="94" spans="1:35" x14ac:dyDescent="0.25">
      <c r="A94" s="2">
        <v>92</v>
      </c>
      <c r="B94" s="3" t="s">
        <v>117</v>
      </c>
      <c r="C94" t="s">
        <v>117</v>
      </c>
      <c r="D94" t="s">
        <v>23</v>
      </c>
      <c r="E94">
        <v>1</v>
      </c>
      <c r="F94" s="24"/>
      <c r="G94" s="24">
        <v>37.12051769386219</v>
      </c>
      <c r="H94" s="25">
        <v>43.476873412803016</v>
      </c>
      <c r="I94" s="25">
        <v>42.848195256214161</v>
      </c>
      <c r="J94" s="25">
        <v>46.41734037452035</v>
      </c>
      <c r="K94" s="25">
        <v>48.516371720834613</v>
      </c>
      <c r="L94" s="25">
        <v>41.516701871248024</v>
      </c>
      <c r="M94" s="26">
        <v>42.973365745289094</v>
      </c>
      <c r="N94" s="25">
        <v>47.544459558951409</v>
      </c>
      <c r="O94" s="26">
        <v>53.722883091351335</v>
      </c>
      <c r="P94" s="26">
        <v>54.627411860470495</v>
      </c>
      <c r="Q94" s="26">
        <v>55.064</v>
      </c>
      <c r="R94" s="26">
        <v>111.36026250204476</v>
      </c>
      <c r="S94" s="26">
        <v>121.30695012949165</v>
      </c>
      <c r="T94" s="27"/>
      <c r="U94" s="4">
        <v>-2.5703638240590077E-2</v>
      </c>
      <c r="V94" s="4">
        <f t="shared" si="10"/>
        <v>0.17123564308457473</v>
      </c>
      <c r="W94" s="4">
        <f t="shared" si="10"/>
        <v>-7.2563568794801192E-3</v>
      </c>
      <c r="X94" s="4">
        <f t="shared" si="10"/>
        <v>2.7028682832464623E-2</v>
      </c>
      <c r="Y94" s="4">
        <f t="shared" si="10"/>
        <v>1.111840456096802E-2</v>
      </c>
      <c r="Z94" s="4">
        <f t="shared" si="10"/>
        <v>-3.0680597098283746E-2</v>
      </c>
      <c r="AA94" s="4">
        <f t="shared" si="10"/>
        <v>5.764001884804193E-3</v>
      </c>
      <c r="AB94" s="4">
        <f t="shared" si="13"/>
        <v>1.4545447645478271E-2</v>
      </c>
      <c r="AC94" s="4">
        <f t="shared" si="13"/>
        <v>1.5388930530010114E-2</v>
      </c>
      <c r="AD94" s="4">
        <f t="shared" si="13"/>
        <v>1.8569182095715675E-3</v>
      </c>
      <c r="AE94" s="4">
        <f t="shared" si="13"/>
        <v>7.9635087941376526E-4</v>
      </c>
      <c r="AF94" s="4">
        <f t="shared" si="13"/>
        <v>6.6118994098354866E-2</v>
      </c>
      <c r="AG94" s="4">
        <f t="shared" si="13"/>
        <v>7.1549382538285133E-3</v>
      </c>
      <c r="AI94" s="16">
        <f t="shared" si="12"/>
        <v>42.848195256214161</v>
      </c>
    </row>
    <row r="95" spans="1:35" x14ac:dyDescent="0.25">
      <c r="A95" s="2">
        <v>93</v>
      </c>
      <c r="B95" s="3" t="s">
        <v>118</v>
      </c>
      <c r="C95" t="s">
        <v>118</v>
      </c>
      <c r="D95" t="s">
        <v>23</v>
      </c>
      <c r="E95">
        <v>1</v>
      </c>
      <c r="F95" s="24"/>
      <c r="G95" s="24">
        <v>53.212476812295677</v>
      </c>
      <c r="H95" s="25">
        <v>60.004630234413455</v>
      </c>
      <c r="I95" s="25">
        <v>56.677961787071652</v>
      </c>
      <c r="J95" s="25">
        <v>61.739352212304901</v>
      </c>
      <c r="K95" s="25">
        <v>66.103853236757175</v>
      </c>
      <c r="L95" s="25">
        <v>57.204400105014955</v>
      </c>
      <c r="M95" s="26">
        <v>58.96123541222272</v>
      </c>
      <c r="N95" s="25">
        <v>62.316359824128128</v>
      </c>
      <c r="O95" s="26">
        <v>70.919958015524657</v>
      </c>
      <c r="P95" s="26">
        <v>71.104919108141061</v>
      </c>
      <c r="Q95" s="26">
        <v>68.613</v>
      </c>
      <c r="R95" s="26">
        <v>73.714955078812423</v>
      </c>
      <c r="S95" s="26">
        <v>76.196349654605982</v>
      </c>
      <c r="T95" s="27"/>
      <c r="U95" s="4">
        <v>2.1825842629861203E-3</v>
      </c>
      <c r="V95" s="4">
        <f t="shared" si="10"/>
        <v>0.12764212134076658</v>
      </c>
      <c r="W95" s="4">
        <f t="shared" si="10"/>
        <v>-2.8115333885063043E-2</v>
      </c>
      <c r="X95" s="4">
        <f t="shared" si="10"/>
        <v>2.8922382748275854E-2</v>
      </c>
      <c r="Y95" s="4">
        <f t="shared" si="10"/>
        <v>1.722301291382311E-2</v>
      </c>
      <c r="Z95" s="4">
        <f t="shared" si="10"/>
        <v>-2.8505084438062878E-2</v>
      </c>
      <c r="AA95" s="4">
        <f t="shared" si="10"/>
        <v>5.0542935180839521E-3</v>
      </c>
      <c r="AB95" s="4">
        <f t="shared" si="13"/>
        <v>7.9375923632369894E-3</v>
      </c>
      <c r="AC95" s="4">
        <f t="shared" si="13"/>
        <v>1.6297364114617796E-2</v>
      </c>
      <c r="AD95" s="4">
        <f t="shared" si="13"/>
        <v>2.8944532303021298E-4</v>
      </c>
      <c r="AE95" s="4">
        <f t="shared" si="13"/>
        <v>-3.5610941141414054E-3</v>
      </c>
      <c r="AF95" s="4">
        <f t="shared" si="13"/>
        <v>6.5416378159472988E-3</v>
      </c>
      <c r="AG95" s="4">
        <f t="shared" si="13"/>
        <v>2.7627978307998013E-3</v>
      </c>
      <c r="AI95" s="16">
        <f t="shared" si="12"/>
        <v>56.677961787071652</v>
      </c>
    </row>
    <row r="96" spans="1:35" x14ac:dyDescent="0.25">
      <c r="A96" s="2">
        <v>94</v>
      </c>
      <c r="B96" s="3" t="s">
        <v>119</v>
      </c>
      <c r="C96" t="s">
        <v>119</v>
      </c>
      <c r="D96" t="s">
        <v>14</v>
      </c>
      <c r="E96">
        <v>1</v>
      </c>
      <c r="F96" s="24"/>
      <c r="G96" s="24">
        <v>8.7299361357448735</v>
      </c>
      <c r="H96" s="25">
        <v>9.8927023575669057</v>
      </c>
      <c r="I96" s="25">
        <v>9.9197800712876418</v>
      </c>
      <c r="J96" s="25">
        <v>10.601690871761122</v>
      </c>
      <c r="K96" s="25">
        <v>10.673516672666443</v>
      </c>
      <c r="L96" s="25">
        <v>9.7442435312011906</v>
      </c>
      <c r="M96" s="26">
        <v>9.9586550449854681</v>
      </c>
      <c r="N96" s="25">
        <v>11.465850504006728</v>
      </c>
      <c r="O96" s="26">
        <v>13.853433947624049</v>
      </c>
      <c r="P96" s="26">
        <v>14.114631280677377</v>
      </c>
      <c r="Q96" s="26">
        <v>14.199</v>
      </c>
      <c r="R96" s="26">
        <v>45.482782097864494</v>
      </c>
      <c r="S96" s="26">
        <v>49.103040658055995</v>
      </c>
      <c r="T96" s="27"/>
      <c r="U96" s="4">
        <v>2.21334286004784E-2</v>
      </c>
      <c r="V96" s="4">
        <f t="shared" si="10"/>
        <v>0.1331929814539039</v>
      </c>
      <c r="W96" s="4">
        <f t="shared" si="10"/>
        <v>1.367634908162163E-3</v>
      </c>
      <c r="X96" s="4">
        <f t="shared" si="10"/>
        <v>2.2408295057674499E-2</v>
      </c>
      <c r="Y96" s="4">
        <f t="shared" si="10"/>
        <v>1.6894483823499673E-3</v>
      </c>
      <c r="Z96" s="4">
        <f t="shared" si="10"/>
        <v>-1.8052837906118668E-2</v>
      </c>
      <c r="AA96" s="4">
        <f t="shared" si="10"/>
        <v>3.6341414099836378E-3</v>
      </c>
      <c r="AB96" s="4">
        <f t="shared" si="13"/>
        <v>2.0337045939731624E-2</v>
      </c>
      <c r="AC96" s="4">
        <f t="shared" si="13"/>
        <v>2.3926765014843809E-2</v>
      </c>
      <c r="AD96" s="4">
        <f t="shared" si="13"/>
        <v>2.077577233429162E-3</v>
      </c>
      <c r="AE96" s="4">
        <f t="shared" si="13"/>
        <v>5.9613769395050475E-4</v>
      </c>
      <c r="AF96" s="4">
        <f t="shared" si="13"/>
        <v>0.11163614694647817</v>
      </c>
      <c r="AG96" s="4">
        <f t="shared" si="13"/>
        <v>6.4026701730386382E-3</v>
      </c>
      <c r="AI96" s="16">
        <f t="shared" si="12"/>
        <v>9.9197800712876418</v>
      </c>
    </row>
    <row r="97" spans="1:35" x14ac:dyDescent="0.25">
      <c r="A97" s="2">
        <v>95</v>
      </c>
      <c r="B97" s="3" t="s">
        <v>120</v>
      </c>
      <c r="C97" t="s">
        <v>120</v>
      </c>
      <c r="D97" t="s">
        <v>14</v>
      </c>
      <c r="E97">
        <v>1</v>
      </c>
      <c r="F97" s="24"/>
      <c r="G97" s="24">
        <v>6.9596555708909813</v>
      </c>
      <c r="H97" s="25">
        <v>8.0040007373071678</v>
      </c>
      <c r="I97" s="25">
        <v>6.0284879288335089</v>
      </c>
      <c r="J97" s="25">
        <v>5.5188807685795549</v>
      </c>
      <c r="K97" s="25">
        <v>6.0478134373180437</v>
      </c>
      <c r="L97" s="25">
        <v>6.3732126408460434</v>
      </c>
      <c r="M97" s="26">
        <v>5.433040159887466</v>
      </c>
      <c r="N97" s="25">
        <v>6.3032922641890528</v>
      </c>
      <c r="O97" s="26">
        <v>6.9173019086275698</v>
      </c>
      <c r="P97" s="26">
        <v>7.6667044270091464</v>
      </c>
      <c r="Q97" s="26">
        <v>8.33</v>
      </c>
      <c r="R97" s="26">
        <v>31.387192776459546</v>
      </c>
      <c r="S97" s="26">
        <v>35.462888939990648</v>
      </c>
      <c r="T97" s="27"/>
      <c r="U97" s="4">
        <v>5.4435667102020968E-2</v>
      </c>
      <c r="V97" s="4">
        <f t="shared" si="10"/>
        <v>0.15005701873871446</v>
      </c>
      <c r="W97" s="4">
        <f t="shared" si="10"/>
        <v>-0.13213807001147859</v>
      </c>
      <c r="X97" s="4">
        <f t="shared" si="10"/>
        <v>-2.9011233995772878E-2</v>
      </c>
      <c r="Y97" s="4">
        <f t="shared" si="10"/>
        <v>2.3144192574902522E-2</v>
      </c>
      <c r="Z97" s="4">
        <f t="shared" si="10"/>
        <v>1.0536500114265657E-2</v>
      </c>
      <c r="AA97" s="4">
        <f t="shared" si="10"/>
        <v>-2.6250118716530491E-2</v>
      </c>
      <c r="AB97" s="4">
        <f t="shared" si="13"/>
        <v>2.1451592583337176E-2</v>
      </c>
      <c r="AC97" s="4">
        <f t="shared" si="13"/>
        <v>1.1686979966158972E-2</v>
      </c>
      <c r="AD97" s="4">
        <f t="shared" si="13"/>
        <v>1.1494566897149561E-2</v>
      </c>
      <c r="AE97" s="4">
        <f t="shared" si="13"/>
        <v>8.3321813656747068E-3</v>
      </c>
      <c r="AF97" s="4">
        <f t="shared" si="13"/>
        <v>0.12816703802727347</v>
      </c>
      <c r="AG97" s="4">
        <f t="shared" si="13"/>
        <v>1.0225832722270844E-2</v>
      </c>
      <c r="AI97" s="16">
        <f t="shared" si="12"/>
        <v>6.0284879288335089</v>
      </c>
    </row>
    <row r="98" spans="1:35" x14ac:dyDescent="0.25">
      <c r="A98" s="2">
        <v>96</v>
      </c>
      <c r="B98" s="3" t="s">
        <v>121</v>
      </c>
      <c r="C98" t="s">
        <v>121</v>
      </c>
      <c r="D98" t="s">
        <v>25</v>
      </c>
      <c r="E98">
        <v>1</v>
      </c>
      <c r="F98" s="24"/>
      <c r="G98" s="24">
        <v>255.01660923287076</v>
      </c>
      <c r="H98" s="25">
        <v>297.95196078431371</v>
      </c>
      <c r="I98" s="25">
        <v>314.44314944314942</v>
      </c>
      <c r="J98" s="25">
        <v>323.27715890697897</v>
      </c>
      <c r="K98" s="25">
        <v>338.06196339637626</v>
      </c>
      <c r="L98" s="25">
        <v>296.63628216617593</v>
      </c>
      <c r="M98" s="26">
        <v>296.75349792257333</v>
      </c>
      <c r="N98" s="25">
        <v>314.7072680499906</v>
      </c>
      <c r="O98" s="26">
        <v>358.7150571237392</v>
      </c>
      <c r="P98" s="26">
        <v>364.6813675316838</v>
      </c>
      <c r="Q98" s="26">
        <v>336.33</v>
      </c>
      <c r="R98" s="26">
        <v>1086.0408932191312</v>
      </c>
      <c r="S98" s="26">
        <v>1089.6554716432017</v>
      </c>
      <c r="T98" s="27"/>
      <c r="U98" s="4">
        <v>2.2674149959960532E-2</v>
      </c>
      <c r="V98" s="4">
        <f t="shared" si="10"/>
        <v>0.1683629614580755</v>
      </c>
      <c r="W98" s="4">
        <f t="shared" si="10"/>
        <v>2.7301553456033689E-2</v>
      </c>
      <c r="X98" s="4">
        <f t="shared" si="10"/>
        <v>9.2783587186071603E-3</v>
      </c>
      <c r="Y98" s="4">
        <f t="shared" si="10"/>
        <v>1.1242519907636472E-2</v>
      </c>
      <c r="Z98" s="4">
        <f t="shared" si="10"/>
        <v>-2.5805682519788875E-2</v>
      </c>
      <c r="AA98" s="4">
        <f t="shared" si="10"/>
        <v>6.5847453052825244E-5</v>
      </c>
      <c r="AB98" s="4">
        <f t="shared" si="13"/>
        <v>8.4268906111966135E-3</v>
      </c>
      <c r="AC98" s="4">
        <f t="shared" si="13"/>
        <v>1.6495251548306999E-2</v>
      </c>
      <c r="AD98" s="4">
        <f t="shared" si="13"/>
        <v>1.834530259331002E-3</v>
      </c>
      <c r="AE98" s="4">
        <f t="shared" si="13"/>
        <v>-8.060457467870652E-3</v>
      </c>
      <c r="AF98" s="4">
        <f t="shared" si="13"/>
        <v>0.11244885127874871</v>
      </c>
      <c r="AG98" s="4">
        <f t="shared" si="13"/>
        <v>2.7692913070187508E-4</v>
      </c>
      <c r="AI98" s="16">
        <f t="shared" si="12"/>
        <v>314.44314944314942</v>
      </c>
    </row>
    <row r="99" spans="1:35" x14ac:dyDescent="0.25">
      <c r="A99" s="2">
        <v>97</v>
      </c>
      <c r="B99" s="3" t="s">
        <v>122</v>
      </c>
      <c r="C99" t="s">
        <v>122</v>
      </c>
      <c r="D99" t="s">
        <v>25</v>
      </c>
      <c r="E99">
        <v>0</v>
      </c>
      <c r="F99" s="24">
        <v>1</v>
      </c>
      <c r="G99" s="24">
        <v>2.5881760546875001</v>
      </c>
      <c r="H99" s="25">
        <v>2.774351760032872</v>
      </c>
      <c r="I99" s="25">
        <v>2.8861705716963448</v>
      </c>
      <c r="J99" s="25">
        <v>3.2950113817540525</v>
      </c>
      <c r="K99" s="25">
        <v>3.6973515968375334</v>
      </c>
      <c r="L99" s="25">
        <v>4.1094247997240716</v>
      </c>
      <c r="M99" s="26">
        <v>4.4140557247338696</v>
      </c>
      <c r="N99" s="26">
        <v>4.8655460258659904</v>
      </c>
      <c r="O99" s="26">
        <v>5.2997731450874426</v>
      </c>
      <c r="P99" s="26">
        <v>5.6421791704589781</v>
      </c>
      <c r="Q99" s="26">
        <v>4.7119999999999997</v>
      </c>
      <c r="R99" s="26">
        <v>8.2266063714705524</v>
      </c>
      <c r="S99" s="26">
        <v>10.481933933187065</v>
      </c>
      <c r="T99" s="27"/>
      <c r="U99" s="4" t="s">
        <v>12</v>
      </c>
      <c r="V99" s="4">
        <f t="shared" si="10"/>
        <v>7.1933168923414392E-2</v>
      </c>
      <c r="W99" s="4">
        <f t="shared" si="10"/>
        <v>1.9953176568770603E-2</v>
      </c>
      <c r="X99" s="4">
        <f t="shared" si="10"/>
        <v>4.5149238115397283E-2</v>
      </c>
      <c r="Y99" s="4">
        <f t="shared" si="10"/>
        <v>2.9220571550322871E-2</v>
      </c>
      <c r="Z99" s="4">
        <f t="shared" si="10"/>
        <v>2.1358146425984659E-2</v>
      </c>
      <c r="AA99" s="4">
        <f t="shared" si="10"/>
        <v>1.198978556410446E-2</v>
      </c>
      <c r="AB99" s="4">
        <f t="shared" si="13"/>
        <v>1.4009368880575135E-2</v>
      </c>
      <c r="AC99" s="4">
        <f t="shared" si="13"/>
        <v>1.0742929278351188E-2</v>
      </c>
      <c r="AD99" s="4">
        <f t="shared" si="13"/>
        <v>6.9805122960464594E-3</v>
      </c>
      <c r="AE99" s="4">
        <f t="shared" si="13"/>
        <v>-1.7854478029886045E-2</v>
      </c>
      <c r="AF99" s="4">
        <f t="shared" si="13"/>
        <v>5.1965272837126708E-2</v>
      </c>
      <c r="AG99" s="4">
        <f t="shared" si="13"/>
        <v>2.0395164076258965E-2</v>
      </c>
      <c r="AI99" s="16">
        <f t="shared" si="12"/>
        <v>2.8861705716963448</v>
      </c>
    </row>
    <row r="100" spans="1:35" x14ac:dyDescent="0.25">
      <c r="A100" s="2">
        <v>98</v>
      </c>
      <c r="B100" s="3" t="s">
        <v>123</v>
      </c>
      <c r="C100" t="s">
        <v>123</v>
      </c>
      <c r="D100" t="s">
        <v>14</v>
      </c>
      <c r="E100">
        <v>1</v>
      </c>
      <c r="F100" s="24"/>
      <c r="G100" s="24">
        <v>10.67874946746972</v>
      </c>
      <c r="H100" s="25">
        <v>12.978107560598231</v>
      </c>
      <c r="I100" s="25">
        <v>12.442747897222304</v>
      </c>
      <c r="J100" s="25">
        <v>13.246412031414462</v>
      </c>
      <c r="K100" s="25">
        <v>14.345828992041097</v>
      </c>
      <c r="L100" s="25">
        <v>13.099495529711326</v>
      </c>
      <c r="M100" s="26">
        <v>14.010787737842412</v>
      </c>
      <c r="N100" s="25">
        <v>15.339614406661738</v>
      </c>
      <c r="O100" s="26">
        <v>17.070758732199117</v>
      </c>
      <c r="P100" s="26">
        <v>17.279566718608663</v>
      </c>
      <c r="Q100" s="26">
        <v>17.684999999999999</v>
      </c>
      <c r="R100" s="26">
        <v>46.822511063722693</v>
      </c>
      <c r="S100" s="26">
        <v>50.837388949082772</v>
      </c>
      <c r="T100" s="27"/>
      <c r="U100" s="4">
        <v>5.9867118628476046E-2</v>
      </c>
      <c r="V100" s="4">
        <f t="shared" si="10"/>
        <v>0.21532091375801632</v>
      </c>
      <c r="W100" s="4">
        <f t="shared" si="10"/>
        <v>-2.0842699364918227E-2</v>
      </c>
      <c r="X100" s="4">
        <f t="shared" si="10"/>
        <v>2.1082075755783691E-2</v>
      </c>
      <c r="Y100" s="4">
        <f t="shared" si="10"/>
        <v>2.0133119327156557E-2</v>
      </c>
      <c r="Z100" s="4">
        <f t="shared" si="10"/>
        <v>-1.8012896316653038E-2</v>
      </c>
      <c r="AA100" s="4">
        <f t="shared" si="10"/>
        <v>1.1272033518236135E-2</v>
      </c>
      <c r="AB100" s="4">
        <f t="shared" si="13"/>
        <v>1.3028580997009653E-2</v>
      </c>
      <c r="AC100" s="4">
        <f t="shared" si="13"/>
        <v>1.3455765448179502E-2</v>
      </c>
      <c r="AD100" s="4">
        <f t="shared" si="13"/>
        <v>1.351768906504125E-3</v>
      </c>
      <c r="AE100" s="4">
        <f t="shared" si="13"/>
        <v>2.3219048306726275E-3</v>
      </c>
      <c r="AF100" s="4">
        <f t="shared" si="13"/>
        <v>9.2548879780951276E-2</v>
      </c>
      <c r="AG100" s="4">
        <f t="shared" si="13"/>
        <v>6.8792200317346897E-3</v>
      </c>
      <c r="AI100" s="16">
        <f t="shared" ref="AI100:AI115" si="14">IF(SUMIF($G$2:$S$2,AI$2,$G100:$S100)=0,".",SUMIF($G$2:$S$2,AI$2,$G100:$S100))</f>
        <v>12.442747897222304</v>
      </c>
    </row>
    <row r="101" spans="1:35" x14ac:dyDescent="0.25">
      <c r="A101" s="2">
        <v>99</v>
      </c>
      <c r="B101" s="3" t="s">
        <v>124</v>
      </c>
      <c r="C101" t="s">
        <v>124</v>
      </c>
      <c r="D101" t="s">
        <v>23</v>
      </c>
      <c r="E101">
        <v>1</v>
      </c>
      <c r="F101" s="24"/>
      <c r="G101" s="24">
        <v>8.7410596026490062</v>
      </c>
      <c r="H101" s="25">
        <v>9.5006690146360153</v>
      </c>
      <c r="I101" s="25">
        <v>9.211948090708983</v>
      </c>
      <c r="J101" s="25">
        <v>10.151192765746549</v>
      </c>
      <c r="K101" s="25">
        <v>11.281702719805663</v>
      </c>
      <c r="L101" s="25">
        <v>10.701866983475194</v>
      </c>
      <c r="M101" s="26">
        <v>11.442612408817919</v>
      </c>
      <c r="N101" s="25">
        <v>12.74880318030347</v>
      </c>
      <c r="O101" s="26">
        <v>14.750790658402456</v>
      </c>
      <c r="P101" s="26">
        <v>14.98941568412034</v>
      </c>
      <c r="Q101" s="26">
        <v>14.29</v>
      </c>
      <c r="R101" s="26">
        <v>22.764462103927844</v>
      </c>
      <c r="S101" s="26">
        <v>22.995378029609277</v>
      </c>
      <c r="T101" s="27"/>
      <c r="U101" s="4">
        <v>-0.2345136244091911</v>
      </c>
      <c r="V101" s="4">
        <f t="shared" si="10"/>
        <v>8.6901296469458655E-2</v>
      </c>
      <c r="W101" s="4">
        <f t="shared" si="10"/>
        <v>-1.5311996667424443E-2</v>
      </c>
      <c r="X101" s="4">
        <f t="shared" si="10"/>
        <v>3.2892675174516439E-2</v>
      </c>
      <c r="Y101" s="4">
        <f t="shared" si="10"/>
        <v>2.6749249740464442E-2</v>
      </c>
      <c r="Z101" s="4">
        <f t="shared" si="10"/>
        <v>-1.0497309473351368E-2</v>
      </c>
      <c r="AA101" s="4">
        <f t="shared" si="10"/>
        <v>1.1216792825936572E-2</v>
      </c>
      <c r="AB101" s="4">
        <f t="shared" si="13"/>
        <v>1.5561710534636397E-2</v>
      </c>
      <c r="AC101" s="4">
        <f t="shared" si="13"/>
        <v>1.8399635951745319E-2</v>
      </c>
      <c r="AD101" s="4">
        <f t="shared" si="13"/>
        <v>1.7846623584687471E-3</v>
      </c>
      <c r="AE101" s="4">
        <f t="shared" si="13"/>
        <v>-4.7670353510935737E-3</v>
      </c>
      <c r="AF101" s="4">
        <f t="shared" si="13"/>
        <v>4.3239700610424814E-2</v>
      </c>
      <c r="AG101" s="4">
        <f t="shared" si="13"/>
        <v>8.4140379818431477E-4</v>
      </c>
      <c r="AI101" s="16">
        <f t="shared" si="14"/>
        <v>9.211948090708983</v>
      </c>
    </row>
    <row r="102" spans="1:35" x14ac:dyDescent="0.25">
      <c r="A102" s="2">
        <v>100</v>
      </c>
      <c r="B102" s="3" t="s">
        <v>125</v>
      </c>
      <c r="C102" t="s">
        <v>11</v>
      </c>
      <c r="D102" t="s">
        <v>16</v>
      </c>
      <c r="E102">
        <v>0</v>
      </c>
      <c r="F102" s="24">
        <v>1</v>
      </c>
      <c r="G102" s="24" t="s">
        <v>12</v>
      </c>
      <c r="H102" s="25" t="s">
        <v>12</v>
      </c>
      <c r="I102" s="25" t="s">
        <v>12</v>
      </c>
      <c r="J102" s="25" t="s">
        <v>12</v>
      </c>
      <c r="K102" s="25" t="s">
        <v>12</v>
      </c>
      <c r="L102" s="25" t="s">
        <v>12</v>
      </c>
      <c r="M102" s="26" t="s">
        <v>12</v>
      </c>
      <c r="N102" s="26" t="s">
        <v>12</v>
      </c>
      <c r="O102" s="26" t="s">
        <v>12</v>
      </c>
      <c r="P102" s="26" t="s">
        <v>12</v>
      </c>
      <c r="Q102" s="26" t="s">
        <v>12</v>
      </c>
      <c r="R102" s="26" t="s">
        <v>12</v>
      </c>
      <c r="S102" s="26" t="s">
        <v>12</v>
      </c>
      <c r="T102" s="27"/>
      <c r="U102" s="4" t="s">
        <v>12</v>
      </c>
      <c r="V102" s="4" t="str">
        <f t="shared" si="10"/>
        <v>.</v>
      </c>
      <c r="W102" s="4" t="str">
        <f t="shared" si="10"/>
        <v>.</v>
      </c>
      <c r="X102" s="4" t="str">
        <f t="shared" si="10"/>
        <v>.</v>
      </c>
      <c r="Y102" s="4" t="str">
        <f t="shared" si="10"/>
        <v>.</v>
      </c>
      <c r="Z102" s="4" t="str">
        <f t="shared" si="10"/>
        <v>.</v>
      </c>
      <c r="AA102" s="4" t="str">
        <f t="shared" si="10"/>
        <v>.</v>
      </c>
      <c r="AB102" s="4" t="str">
        <f t="shared" si="13"/>
        <v>.</v>
      </c>
      <c r="AC102" s="4" t="str">
        <f t="shared" si="13"/>
        <v>.</v>
      </c>
      <c r="AD102" s="4" t="str">
        <f t="shared" si="13"/>
        <v>.</v>
      </c>
      <c r="AE102" s="4" t="str">
        <f t="shared" si="13"/>
        <v>.</v>
      </c>
      <c r="AF102" s="4" t="str">
        <f t="shared" si="13"/>
        <v>.</v>
      </c>
      <c r="AG102" s="4" t="str">
        <f t="shared" si="13"/>
        <v>.</v>
      </c>
      <c r="AI102" s="16" t="str">
        <f t="shared" si="14"/>
        <v>.</v>
      </c>
    </row>
    <row r="103" spans="1:35" x14ac:dyDescent="0.25">
      <c r="A103" s="2">
        <v>101</v>
      </c>
      <c r="B103" s="3" t="s">
        <v>126</v>
      </c>
      <c r="C103" t="s">
        <v>126</v>
      </c>
      <c r="D103" t="s">
        <v>14</v>
      </c>
      <c r="E103">
        <v>1</v>
      </c>
      <c r="F103" s="24"/>
      <c r="G103" s="24">
        <v>4.3377941513769773</v>
      </c>
      <c r="H103" s="25">
        <v>5.1663465164094795</v>
      </c>
      <c r="I103" s="25">
        <v>5.2312554783898593</v>
      </c>
      <c r="J103" s="25">
        <v>5.6398188119009456</v>
      </c>
      <c r="K103" s="25">
        <v>5.372783879758857</v>
      </c>
      <c r="L103" s="25">
        <v>4.8325479252907542</v>
      </c>
      <c r="M103" s="26">
        <v>4.7279370322756415</v>
      </c>
      <c r="N103" s="25">
        <v>4.9754321905102472</v>
      </c>
      <c r="O103" s="26">
        <v>7.0491697708639895</v>
      </c>
      <c r="P103" s="26">
        <v>7.6006569439750553</v>
      </c>
      <c r="Q103" s="26">
        <v>7.4279999999999999</v>
      </c>
      <c r="R103" s="26">
        <v>20.827487167132642</v>
      </c>
      <c r="S103" s="26">
        <v>22.439022088123959</v>
      </c>
      <c r="T103" s="27"/>
      <c r="U103" s="4">
        <v>2.0807259048202909E-2</v>
      </c>
      <c r="V103" s="4">
        <f t="shared" si="10"/>
        <v>0.19100776480356707</v>
      </c>
      <c r="W103" s="4">
        <f t="shared" si="10"/>
        <v>6.2622935448057859E-3</v>
      </c>
      <c r="X103" s="4">
        <f t="shared" si="10"/>
        <v>2.5383694849109961E-2</v>
      </c>
      <c r="Y103" s="4">
        <f t="shared" si="10"/>
        <v>-1.2053209024662337E-2</v>
      </c>
      <c r="Z103" s="4">
        <f t="shared" si="10"/>
        <v>-2.0971443319963923E-2</v>
      </c>
      <c r="AA103" s="4">
        <f t="shared" si="10"/>
        <v>-3.6408372490530638E-3</v>
      </c>
      <c r="AB103" s="4">
        <f t="shared" si="13"/>
        <v>7.3156693306708487E-3</v>
      </c>
      <c r="AC103" s="4">
        <f t="shared" si="13"/>
        <v>4.4511906254677269E-2</v>
      </c>
      <c r="AD103" s="4">
        <f t="shared" si="13"/>
        <v>8.4045478580736521E-3</v>
      </c>
      <c r="AE103" s="4">
        <f t="shared" si="13"/>
        <v>-2.295166075526045E-3</v>
      </c>
      <c r="AF103" s="4">
        <f t="shared" si="13"/>
        <v>9.8261873805528754E-2</v>
      </c>
      <c r="AG103" s="4">
        <f t="shared" si="13"/>
        <v>6.229983456502497E-3</v>
      </c>
      <c r="AI103" s="16">
        <f t="shared" si="14"/>
        <v>5.2312554783898593</v>
      </c>
    </row>
    <row r="104" spans="1:35" x14ac:dyDescent="0.25">
      <c r="A104" s="2">
        <v>102</v>
      </c>
      <c r="B104" s="3" t="s">
        <v>127</v>
      </c>
      <c r="C104" t="s">
        <v>127</v>
      </c>
      <c r="D104" t="s">
        <v>14</v>
      </c>
      <c r="E104">
        <v>1</v>
      </c>
      <c r="F104" s="24"/>
      <c r="G104" s="24">
        <v>10.003670690349658</v>
      </c>
      <c r="H104" s="25">
        <v>11.5183933672403</v>
      </c>
      <c r="I104" s="25">
        <v>11.668685524126456</v>
      </c>
      <c r="J104" s="25">
        <v>12.129642296442507</v>
      </c>
      <c r="K104" s="25">
        <v>12.80344593358936</v>
      </c>
      <c r="L104" s="25">
        <v>11.692287066381034</v>
      </c>
      <c r="M104" s="26">
        <v>12.232463655572719</v>
      </c>
      <c r="N104" s="25">
        <v>13.259351418445886</v>
      </c>
      <c r="O104" s="26">
        <v>14.181951058512897</v>
      </c>
      <c r="P104" s="26">
        <v>14.048430518556104</v>
      </c>
      <c r="Q104" s="26">
        <v>11.340999999999999</v>
      </c>
      <c r="R104" s="26">
        <v>33.828815040084088</v>
      </c>
      <c r="S104" s="26">
        <v>34.275421397525989</v>
      </c>
      <c r="T104" s="27"/>
      <c r="U104" s="4">
        <v>4.511297302475481E-2</v>
      </c>
      <c r="V104" s="4">
        <f t="shared" si="10"/>
        <v>0.15141668731177504</v>
      </c>
      <c r="W104" s="4">
        <f t="shared" si="10"/>
        <v>6.5028633396078117E-3</v>
      </c>
      <c r="X104" s="4">
        <f t="shared" si="10"/>
        <v>1.2998228866193839E-2</v>
      </c>
      <c r="Y104" s="4">
        <f t="shared" si="10"/>
        <v>1.3607276356261799E-2</v>
      </c>
      <c r="Z104" s="4">
        <f t="shared" si="10"/>
        <v>-1.7993144789964832E-2</v>
      </c>
      <c r="AA104" s="4">
        <f t="shared" si="10"/>
        <v>7.5557305112416984E-3</v>
      </c>
      <c r="AB104" s="4">
        <f t="shared" si="13"/>
        <v>1.1582231718456182E-2</v>
      </c>
      <c r="AC104" s="4">
        <f t="shared" si="13"/>
        <v>8.443828832333411E-3</v>
      </c>
      <c r="AD104" s="4">
        <f t="shared" si="13"/>
        <v>-1.0504946484440891E-3</v>
      </c>
      <c r="AE104" s="4">
        <f t="shared" si="13"/>
        <v>-2.1181082618730307E-2</v>
      </c>
      <c r="AF104" s="4">
        <f t="shared" si="13"/>
        <v>0.10445665372299828</v>
      </c>
      <c r="AG104" s="4">
        <f t="shared" si="13"/>
        <v>1.0935612269806771E-3</v>
      </c>
      <c r="AI104" s="16">
        <f t="shared" si="14"/>
        <v>11.668685524126456</v>
      </c>
    </row>
    <row r="105" spans="1:35" x14ac:dyDescent="0.25">
      <c r="A105" s="2">
        <v>103</v>
      </c>
      <c r="B105" s="3" t="s">
        <v>128</v>
      </c>
      <c r="C105" t="s">
        <v>128</v>
      </c>
      <c r="D105" t="s">
        <v>33</v>
      </c>
      <c r="E105">
        <v>1</v>
      </c>
      <c r="F105" s="24"/>
      <c r="G105" s="24">
        <v>1057.8012955840456</v>
      </c>
      <c r="H105" s="25">
        <v>1180.489601957612</v>
      </c>
      <c r="I105" s="25">
        <v>1201.0899870154524</v>
      </c>
      <c r="J105" s="25">
        <v>1274.4430847165677</v>
      </c>
      <c r="K105" s="25">
        <v>1314.5639674252398</v>
      </c>
      <c r="L105" s="25">
        <v>1170.5646199276894</v>
      </c>
      <c r="M105" s="26">
        <v>1077.8279443423469</v>
      </c>
      <c r="N105" s="25">
        <v>1158.0710068096214</v>
      </c>
      <c r="O105" s="26">
        <v>1222.3488072831956</v>
      </c>
      <c r="P105" s="26">
        <v>1268.8705271600325</v>
      </c>
      <c r="Q105" s="26">
        <v>1040.3720000000001</v>
      </c>
      <c r="R105" s="26">
        <v>3210.9805597007867</v>
      </c>
      <c r="S105" s="26">
        <v>3288.517719284891</v>
      </c>
      <c r="T105" s="27"/>
      <c r="U105" s="4">
        <v>2.8809445002046852E-2</v>
      </c>
      <c r="V105" s="4">
        <f t="shared" si="10"/>
        <v>0.11598426555700736</v>
      </c>
      <c r="W105" s="4">
        <f t="shared" si="10"/>
        <v>8.6876190590134961E-3</v>
      </c>
      <c r="X105" s="4">
        <f t="shared" si="10"/>
        <v>1.9956459837840335E-2</v>
      </c>
      <c r="Y105" s="4">
        <f t="shared" si="10"/>
        <v>7.7790357087001993E-3</v>
      </c>
      <c r="Z105" s="4">
        <f t="shared" si="10"/>
        <v>-2.2936625562686386E-2</v>
      </c>
      <c r="AA105" s="4">
        <f t="shared" si="10"/>
        <v>-1.3662206564512447E-2</v>
      </c>
      <c r="AB105" s="4">
        <f t="shared" si="13"/>
        <v>1.0311059556516788E-2</v>
      </c>
      <c r="AC105" s="4">
        <f t="shared" si="13"/>
        <v>6.7751688053387937E-3</v>
      </c>
      <c r="AD105" s="4">
        <f t="shared" si="13"/>
        <v>4.1589463327440512E-3</v>
      </c>
      <c r="AE105" s="4">
        <f t="shared" si="13"/>
        <v>-1.9659071368044678E-2</v>
      </c>
      <c r="AF105" s="4">
        <f t="shared" si="13"/>
        <v>0.10788674277804966</v>
      </c>
      <c r="AG105" s="4">
        <f t="shared" si="13"/>
        <v>1.9903582381854967E-3</v>
      </c>
      <c r="AI105" s="16">
        <f t="shared" si="14"/>
        <v>1201.0899870154524</v>
      </c>
    </row>
    <row r="106" spans="1:35" x14ac:dyDescent="0.25">
      <c r="A106" s="2">
        <v>104</v>
      </c>
      <c r="B106" s="3" t="s">
        <v>129</v>
      </c>
      <c r="C106" t="s">
        <v>129</v>
      </c>
      <c r="D106" t="s">
        <v>7</v>
      </c>
      <c r="E106">
        <v>1</v>
      </c>
      <c r="F106" s="24"/>
      <c r="G106" s="24">
        <v>6.9749603453712004</v>
      </c>
      <c r="H106" s="25">
        <v>8.4143606562963225</v>
      </c>
      <c r="I106" s="25">
        <v>8.709165249269283</v>
      </c>
      <c r="J106" s="25">
        <v>9.4966847014332458</v>
      </c>
      <c r="K106" s="25">
        <v>9.5102192994955672</v>
      </c>
      <c r="L106" s="25">
        <v>7.7452316603342455</v>
      </c>
      <c r="M106" s="26">
        <v>8.07148054086068</v>
      </c>
      <c r="N106" s="25">
        <v>9.6697599870263264</v>
      </c>
      <c r="O106" s="26">
        <v>11.456717193250061</v>
      </c>
      <c r="P106" s="26">
        <v>11.968713370496863</v>
      </c>
      <c r="Q106" s="26">
        <v>11.241</v>
      </c>
      <c r="R106" s="26">
        <v>27.698028724902947</v>
      </c>
      <c r="S106" s="26">
        <v>28.621399983857433</v>
      </c>
      <c r="T106" s="27"/>
      <c r="U106" s="4" t="s">
        <v>12</v>
      </c>
      <c r="V106" s="4">
        <f t="shared" si="10"/>
        <v>0.20636680922212736</v>
      </c>
      <c r="W106" s="4">
        <f t="shared" si="10"/>
        <v>1.7367135038559578E-2</v>
      </c>
      <c r="X106" s="4">
        <f t="shared" si="10"/>
        <v>2.9275960012025815E-2</v>
      </c>
      <c r="Y106" s="4">
        <f t="shared" si="10"/>
        <v>3.5610770944294323E-4</v>
      </c>
      <c r="Z106" s="4">
        <f t="shared" si="10"/>
        <v>-4.0226452493309028E-2</v>
      </c>
      <c r="AA106" s="4">
        <f t="shared" si="10"/>
        <v>6.9002886036826361E-3</v>
      </c>
      <c r="AB106" s="4">
        <f t="shared" si="13"/>
        <v>2.6145458089797735E-2</v>
      </c>
      <c r="AC106" s="4">
        <f t="shared" si="13"/>
        <v>2.1422833879395364E-2</v>
      </c>
      <c r="AD106" s="4">
        <f t="shared" si="13"/>
        <v>4.8695750892955303E-3</v>
      </c>
      <c r="AE106" s="4">
        <f t="shared" si="13"/>
        <v>-6.2531886735177622E-3</v>
      </c>
      <c r="AF106" s="4">
        <f t="shared" si="13"/>
        <v>8.5435426839855388E-2</v>
      </c>
      <c r="AG106" s="4">
        <f t="shared" si="13"/>
        <v>2.7365244423116497E-3</v>
      </c>
      <c r="AI106" s="16">
        <f t="shared" si="14"/>
        <v>8.709165249269283</v>
      </c>
    </row>
    <row r="107" spans="1:35" x14ac:dyDescent="0.25">
      <c r="A107" s="2">
        <v>105</v>
      </c>
      <c r="B107" s="3" t="s">
        <v>130</v>
      </c>
      <c r="C107" t="s">
        <v>11</v>
      </c>
      <c r="D107" t="s">
        <v>7</v>
      </c>
      <c r="E107">
        <v>0</v>
      </c>
      <c r="F107" s="24">
        <v>1</v>
      </c>
      <c r="G107" s="24">
        <v>5.362649006622517</v>
      </c>
      <c r="H107" s="25">
        <v>6.0803447317208787</v>
      </c>
      <c r="I107" s="25">
        <v>5.7430296800719516</v>
      </c>
      <c r="J107" s="25">
        <v>6.5533722782793413</v>
      </c>
      <c r="K107" s="25">
        <v>7.0602361682366981</v>
      </c>
      <c r="L107" s="25">
        <v>6.2581789952312308</v>
      </c>
      <c r="M107" s="26">
        <v>6.4682522123893804</v>
      </c>
      <c r="N107" s="26">
        <v>6.4009465855307646</v>
      </c>
      <c r="O107" s="26" t="s">
        <v>12</v>
      </c>
      <c r="P107" s="26" t="s">
        <v>12</v>
      </c>
      <c r="Q107" s="26" t="s">
        <v>12</v>
      </c>
      <c r="R107" s="26" t="s">
        <v>12</v>
      </c>
      <c r="S107" s="26" t="s">
        <v>12</v>
      </c>
      <c r="T107" s="27"/>
      <c r="U107" s="4" t="s">
        <v>12</v>
      </c>
      <c r="V107" s="4">
        <f t="shared" si="10"/>
        <v>0.13383231388294381</v>
      </c>
      <c r="W107" s="4">
        <f t="shared" si="10"/>
        <v>-2.8133910364694814E-2</v>
      </c>
      <c r="X107" s="4">
        <f t="shared" si="10"/>
        <v>4.4979874413374699E-2</v>
      </c>
      <c r="Y107" s="4">
        <f t="shared" si="10"/>
        <v>1.8799204633942912E-2</v>
      </c>
      <c r="Z107" s="4">
        <f t="shared" si="10"/>
        <v>-2.3829339724234178E-2</v>
      </c>
      <c r="AA107" s="4">
        <f t="shared" si="10"/>
        <v>5.5179493379966527E-3</v>
      </c>
      <c r="AB107" s="4">
        <f t="shared" si="13"/>
        <v>-1.4931771589429266E-3</v>
      </c>
      <c r="AC107" s="4" t="str">
        <f t="shared" si="13"/>
        <v>.</v>
      </c>
      <c r="AD107" s="4" t="str">
        <f t="shared" si="13"/>
        <v>.</v>
      </c>
      <c r="AE107" s="4" t="str">
        <f t="shared" si="13"/>
        <v>.</v>
      </c>
      <c r="AF107" s="4" t="str">
        <f t="shared" si="13"/>
        <v>.</v>
      </c>
      <c r="AG107" s="4" t="str">
        <f t="shared" si="13"/>
        <v>.</v>
      </c>
      <c r="AI107" s="16">
        <f t="shared" si="14"/>
        <v>5.7430296800719516</v>
      </c>
    </row>
    <row r="108" spans="1:35" x14ac:dyDescent="0.25">
      <c r="A108" s="2">
        <v>106</v>
      </c>
      <c r="B108" s="3" t="s">
        <v>131</v>
      </c>
      <c r="C108" t="s">
        <v>131</v>
      </c>
      <c r="D108" t="s">
        <v>25</v>
      </c>
      <c r="E108">
        <v>1</v>
      </c>
      <c r="F108" s="24"/>
      <c r="G108" s="24">
        <v>7.1894818240728773</v>
      </c>
      <c r="H108" s="25">
        <v>10.409797649306315</v>
      </c>
      <c r="I108" s="25">
        <v>12.292770631196687</v>
      </c>
      <c r="J108" s="25">
        <v>12.582122604192131</v>
      </c>
      <c r="K108" s="25">
        <v>12.226514722086062</v>
      </c>
      <c r="L108" s="25">
        <v>11.749620619596154</v>
      </c>
      <c r="M108" s="26">
        <v>11.186734674384686</v>
      </c>
      <c r="N108" s="25">
        <v>11.433635875931621</v>
      </c>
      <c r="O108" s="26">
        <v>13.10876949574252</v>
      </c>
      <c r="P108" s="26">
        <v>13.996719329409748</v>
      </c>
      <c r="Q108" s="26">
        <v>13.385</v>
      </c>
      <c r="R108" s="26">
        <v>51.958727627654106</v>
      </c>
      <c r="S108" s="26">
        <v>67.899281344572458</v>
      </c>
      <c r="T108" s="27"/>
      <c r="U108" s="4">
        <v>3.6571774489397635E-2</v>
      </c>
      <c r="V108" s="4">
        <f t="shared" si="10"/>
        <v>0.44792043488457045</v>
      </c>
      <c r="W108" s="4">
        <f t="shared" si="10"/>
        <v>8.6685182684614226E-2</v>
      </c>
      <c r="X108" s="4">
        <f t="shared" si="10"/>
        <v>7.7853593580297087E-3</v>
      </c>
      <c r="Y108" s="4">
        <f t="shared" si="10"/>
        <v>-7.1418832153746781E-3</v>
      </c>
      <c r="Z108" s="4">
        <f t="shared" si="10"/>
        <v>-7.9256211132381349E-3</v>
      </c>
      <c r="AA108" s="4">
        <f t="shared" si="10"/>
        <v>-8.1486648465779465E-3</v>
      </c>
      <c r="AB108" s="4">
        <f t="shared" si="13"/>
        <v>3.1235616608351613E-3</v>
      </c>
      <c r="AC108" s="4">
        <f t="shared" si="13"/>
        <v>1.7237111981127429E-2</v>
      </c>
      <c r="AD108" s="4">
        <f t="shared" si="13"/>
        <v>7.3089739017642152E-3</v>
      </c>
      <c r="AE108" s="4">
        <f t="shared" si="13"/>
        <v>-4.4588587973511951E-3</v>
      </c>
      <c r="AF108" s="4">
        <f t="shared" si="13"/>
        <v>0.1312252825236393</v>
      </c>
      <c r="AG108" s="4">
        <f t="shared" si="13"/>
        <v>2.2548436912302572E-2</v>
      </c>
      <c r="AI108" s="16">
        <f t="shared" si="14"/>
        <v>12.292770631196687</v>
      </c>
    </row>
    <row r="109" spans="1:35" x14ac:dyDescent="0.25">
      <c r="A109" s="2">
        <v>107</v>
      </c>
      <c r="B109" s="3" t="s">
        <v>132</v>
      </c>
      <c r="C109" t="s">
        <v>132</v>
      </c>
      <c r="D109" t="s">
        <v>7</v>
      </c>
      <c r="E109">
        <v>1</v>
      </c>
      <c r="F109" s="24"/>
      <c r="G109" s="24">
        <v>4.1391920529801327</v>
      </c>
      <c r="H109" s="25">
        <v>4.5381998887962185</v>
      </c>
      <c r="I109" s="25">
        <v>4.0877258126686371</v>
      </c>
      <c r="J109" s="25">
        <v>4.464261816250664</v>
      </c>
      <c r="K109" s="25">
        <v>4.5879288841714212</v>
      </c>
      <c r="L109" s="25">
        <v>4.0529133858267716</v>
      </c>
      <c r="M109" s="26">
        <v>4.37412831858407</v>
      </c>
      <c r="N109" s="25">
        <v>4.8445920667117424</v>
      </c>
      <c r="O109" s="26">
        <v>5.5042552135787064</v>
      </c>
      <c r="P109" s="26">
        <v>5.5425779649814588</v>
      </c>
      <c r="Q109" s="26">
        <v>4.9429999999999996</v>
      </c>
      <c r="R109" s="26">
        <v>11.885031888963542</v>
      </c>
      <c r="S109" s="26">
        <v>12.878926382367521</v>
      </c>
      <c r="T109" s="27"/>
      <c r="U109" s="4">
        <v>3.2079216916102382E-2</v>
      </c>
      <c r="V109" s="4">
        <f t="shared" si="10"/>
        <v>9.6397516884680012E-2</v>
      </c>
      <c r="W109" s="4">
        <f t="shared" si="10"/>
        <v>-5.0928202126727662E-2</v>
      </c>
      <c r="X109" s="4">
        <f t="shared" si="10"/>
        <v>2.9807300853460283E-2</v>
      </c>
      <c r="Y109" s="4">
        <f t="shared" si="10"/>
        <v>6.8545921089417927E-3</v>
      </c>
      <c r="Z109" s="4">
        <f t="shared" si="10"/>
        <v>-2.4493586480312635E-2</v>
      </c>
      <c r="AA109" s="4">
        <f t="shared" si="10"/>
        <v>1.2793019639864234E-2</v>
      </c>
      <c r="AB109" s="4">
        <f t="shared" si="13"/>
        <v>1.4700691507949948E-2</v>
      </c>
      <c r="AC109" s="4">
        <f t="shared" si="13"/>
        <v>1.608530059199853E-2</v>
      </c>
      <c r="AD109" s="4">
        <f t="shared" si="13"/>
        <v>7.7121510697653051E-4</v>
      </c>
      <c r="AE109" s="4">
        <f t="shared" si="13"/>
        <v>-1.1383442170202596E-2</v>
      </c>
      <c r="AF109" s="4">
        <f t="shared" si="13"/>
        <v>8.302192618738502E-2</v>
      </c>
      <c r="AG109" s="4">
        <f t="shared" si="13"/>
        <v>6.7151610850659793E-3</v>
      </c>
      <c r="AI109" s="16">
        <f t="shared" si="14"/>
        <v>4.0877258126686371</v>
      </c>
    </row>
    <row r="110" spans="1:35" x14ac:dyDescent="0.25">
      <c r="A110" s="2">
        <v>108</v>
      </c>
      <c r="B110" s="3" t="s">
        <v>133</v>
      </c>
      <c r="C110" t="s">
        <v>133</v>
      </c>
      <c r="D110" t="s">
        <v>9</v>
      </c>
      <c r="E110">
        <v>1</v>
      </c>
      <c r="F110" s="24"/>
      <c r="G110" s="24">
        <v>93.216746661597668</v>
      </c>
      <c r="H110" s="25">
        <v>101.37047429510872</v>
      </c>
      <c r="I110" s="25">
        <v>98.266306615363234</v>
      </c>
      <c r="J110" s="25">
        <v>106.82564987210755</v>
      </c>
      <c r="K110" s="25">
        <v>110.081248587369</v>
      </c>
      <c r="L110" s="25">
        <v>101.17980807635981</v>
      </c>
      <c r="M110" s="26">
        <v>103.34529696660719</v>
      </c>
      <c r="N110" s="25">
        <v>109.70872884853486</v>
      </c>
      <c r="O110" s="26">
        <v>118.09622740009161</v>
      </c>
      <c r="P110" s="26">
        <v>119.70032546193758</v>
      </c>
      <c r="Q110" s="26">
        <v>112.22</v>
      </c>
      <c r="R110" s="26">
        <v>361.28198343591771</v>
      </c>
      <c r="S110" s="26">
        <v>365.45798000881058</v>
      </c>
      <c r="T110" s="27"/>
      <c r="U110" s="4">
        <v>5.2351843235492135E-2</v>
      </c>
      <c r="V110" s="4">
        <f t="shared" si="10"/>
        <v>8.7470630820353668E-2</v>
      </c>
      <c r="W110" s="4">
        <f t="shared" si="10"/>
        <v>-1.5430048204529534E-2</v>
      </c>
      <c r="X110" s="4">
        <f t="shared" si="10"/>
        <v>2.8230077173897916E-2</v>
      </c>
      <c r="Y110" s="4">
        <f t="shared" si="10"/>
        <v>7.5333972337157107E-3</v>
      </c>
      <c r="Z110" s="4">
        <f t="shared" si="10"/>
        <v>-1.6722501319610727E-2</v>
      </c>
      <c r="AA110" s="4">
        <f t="shared" si="10"/>
        <v>3.5356636307950495E-3</v>
      </c>
      <c r="AB110" s="4">
        <f t="shared" si="13"/>
        <v>8.5727019569459273E-3</v>
      </c>
      <c r="AC110" s="4">
        <f t="shared" si="13"/>
        <v>9.2513875024229364E-3</v>
      </c>
      <c r="AD110" s="4">
        <f t="shared" si="13"/>
        <v>1.5001855944540843E-3</v>
      </c>
      <c r="AE110" s="4">
        <f t="shared" si="13"/>
        <v>-6.4322341651251724E-3</v>
      </c>
      <c r="AF110" s="4">
        <f t="shared" si="13"/>
        <v>0.11214511399747762</v>
      </c>
      <c r="AG110" s="4">
        <f t="shared" si="13"/>
        <v>9.581700714444974E-4</v>
      </c>
      <c r="AI110" s="16">
        <f t="shared" si="14"/>
        <v>98.266306615363234</v>
      </c>
    </row>
    <row r="111" spans="1:35" x14ac:dyDescent="0.25">
      <c r="A111" s="2">
        <v>109</v>
      </c>
      <c r="B111" s="3" t="s">
        <v>134</v>
      </c>
      <c r="C111" t="s">
        <v>134</v>
      </c>
      <c r="D111" t="s">
        <v>14</v>
      </c>
      <c r="E111">
        <v>1</v>
      </c>
      <c r="F111" s="24"/>
      <c r="G111" s="24">
        <v>10.154238250181832</v>
      </c>
      <c r="H111" s="25">
        <v>13.131168011806961</v>
      </c>
      <c r="I111" s="25">
        <v>15.265269710640396</v>
      </c>
      <c r="J111" s="25">
        <v>16.018848993990851</v>
      </c>
      <c r="K111" s="25">
        <v>16.961117243490992</v>
      </c>
      <c r="L111" s="25">
        <v>14.798413628462452</v>
      </c>
      <c r="M111" s="26">
        <v>10.896894351388127</v>
      </c>
      <c r="N111" s="25">
        <v>12.651912500412838</v>
      </c>
      <c r="O111" s="26">
        <v>14.84587005070925</v>
      </c>
      <c r="P111" s="26">
        <v>15.291448211603004</v>
      </c>
      <c r="Q111" s="26">
        <v>14.557</v>
      </c>
      <c r="R111" s="26">
        <v>41.614201070751136</v>
      </c>
      <c r="S111" s="26">
        <v>41.827353388734629</v>
      </c>
      <c r="T111" s="27"/>
      <c r="U111" s="4">
        <v>5.1071561199028004E-2</v>
      </c>
      <c r="V111" s="4">
        <f t="shared" si="10"/>
        <v>0.29317115555879547</v>
      </c>
      <c r="W111" s="4">
        <f t="shared" si="10"/>
        <v>7.8203064614903228E-2</v>
      </c>
      <c r="X111" s="4">
        <f t="shared" si="10"/>
        <v>1.619161837143146E-2</v>
      </c>
      <c r="Y111" s="4">
        <f t="shared" si="10"/>
        <v>1.4391933929813527E-2</v>
      </c>
      <c r="Z111" s="4">
        <f t="shared" si="10"/>
        <v>-2.6911945676956539E-2</v>
      </c>
      <c r="AA111" s="4">
        <f t="shared" si="10"/>
        <v>-4.9728006895994659E-2</v>
      </c>
      <c r="AB111" s="4">
        <f t="shared" si="13"/>
        <v>2.1562111404791251E-2</v>
      </c>
      <c r="AC111" s="4">
        <f t="shared" si="13"/>
        <v>2.0190286964628434E-2</v>
      </c>
      <c r="AD111" s="4">
        <f t="shared" si="13"/>
        <v>3.2911836698226171E-3</v>
      </c>
      <c r="AE111" s="4">
        <f t="shared" si="13"/>
        <v>-4.9100813589895154E-3</v>
      </c>
      <c r="AF111" s="4">
        <f t="shared" si="13"/>
        <v>0.10019576996639268</v>
      </c>
      <c r="AG111" s="4">
        <f t="shared" si="13"/>
        <v>4.2584330359884959E-4</v>
      </c>
      <c r="AI111" s="16">
        <f t="shared" si="14"/>
        <v>15.265269710640396</v>
      </c>
    </row>
    <row r="112" spans="1:35" x14ac:dyDescent="0.25">
      <c r="A112" s="2">
        <v>110</v>
      </c>
      <c r="B112" s="3" t="s">
        <v>135</v>
      </c>
      <c r="C112" t="s">
        <v>135</v>
      </c>
      <c r="D112" t="s">
        <v>14</v>
      </c>
      <c r="E112">
        <v>1</v>
      </c>
      <c r="F112" s="24"/>
      <c r="G112" s="24">
        <v>11.282192605037428</v>
      </c>
      <c r="H112" s="25">
        <v>12.409629835699825</v>
      </c>
      <c r="I112" s="25">
        <v>13.016272898903773</v>
      </c>
      <c r="J112" s="25">
        <v>12.717790504500211</v>
      </c>
      <c r="K112" s="25">
        <v>12.786078008237581</v>
      </c>
      <c r="L112" s="25">
        <v>11.650656642265504</v>
      </c>
      <c r="M112" s="26">
        <v>11.286139080006526</v>
      </c>
      <c r="N112" s="25">
        <v>13.566192142583507</v>
      </c>
      <c r="O112" s="26">
        <v>13.454211343594858</v>
      </c>
      <c r="P112" s="26">
        <v>12.366528259184408</v>
      </c>
      <c r="Q112" s="26">
        <v>10.252000000000001</v>
      </c>
      <c r="R112" s="26">
        <v>26.659896650852772</v>
      </c>
      <c r="S112" s="26">
        <v>27.275007733119729</v>
      </c>
      <c r="T112" s="27"/>
      <c r="U112" s="4">
        <v>8.7237527622501254E-2</v>
      </c>
      <c r="V112" s="4">
        <f t="shared" si="10"/>
        <v>9.9930684586877483E-2</v>
      </c>
      <c r="W112" s="4">
        <f t="shared" si="10"/>
        <v>2.4150801254157805E-2</v>
      </c>
      <c r="X112" s="4">
        <f t="shared" si="10"/>
        <v>-7.7030104954092238E-3</v>
      </c>
      <c r="Y112" s="4">
        <f t="shared" si="10"/>
        <v>1.3396673148668992E-3</v>
      </c>
      <c r="Z112" s="4">
        <f t="shared" si="10"/>
        <v>-1.8426984382236888E-2</v>
      </c>
      <c r="AA112" s="4">
        <f t="shared" si="10"/>
        <v>-5.2838576983312846E-3</v>
      </c>
      <c r="AB112" s="4">
        <f t="shared" si="13"/>
        <v>2.6635034826215209E-2</v>
      </c>
      <c r="AC112" s="4">
        <f t="shared" si="13"/>
        <v>-1.0355456867222612E-3</v>
      </c>
      <c r="AD112" s="4">
        <f t="shared" si="13"/>
        <v>-9.3227906983821551E-3</v>
      </c>
      <c r="AE112" s="4">
        <f t="shared" si="13"/>
        <v>-1.8577341875746112E-2</v>
      </c>
      <c r="AF112" s="4">
        <f t="shared" si="13"/>
        <v>9.0766536534100606E-2</v>
      </c>
      <c r="AG112" s="4">
        <f t="shared" si="13"/>
        <v>1.9026725438731074E-3</v>
      </c>
      <c r="AI112" s="16">
        <f t="shared" si="14"/>
        <v>13.016272898903773</v>
      </c>
    </row>
    <row r="113" spans="1:35" x14ac:dyDescent="0.25">
      <c r="A113" s="2">
        <v>111</v>
      </c>
      <c r="B113" s="3" t="s">
        <v>136</v>
      </c>
      <c r="C113" t="s">
        <v>136</v>
      </c>
      <c r="D113" t="s">
        <v>25</v>
      </c>
      <c r="E113">
        <v>1</v>
      </c>
      <c r="F113" s="24"/>
      <c r="G113" s="24">
        <v>16.002656434474616</v>
      </c>
      <c r="H113" s="25">
        <v>18.913574370760042</v>
      </c>
      <c r="I113" s="25">
        <v>18.851513891065999</v>
      </c>
      <c r="J113" s="25">
        <v>19.271168018482008</v>
      </c>
      <c r="K113" s="25">
        <v>20.002968837947144</v>
      </c>
      <c r="L113" s="25">
        <v>21.410840908519809</v>
      </c>
      <c r="M113" s="26">
        <v>21.185922407592155</v>
      </c>
      <c r="N113" s="25">
        <v>24.880266905496054</v>
      </c>
      <c r="O113" s="26">
        <v>29.173513475707317</v>
      </c>
      <c r="P113" s="26">
        <v>30.641380603969885</v>
      </c>
      <c r="Q113" s="26">
        <v>32.158000000000001</v>
      </c>
      <c r="R113" s="26">
        <v>176.18997018044439</v>
      </c>
      <c r="S113" s="26">
        <v>180.55844334863946</v>
      </c>
      <c r="T113" s="27"/>
      <c r="U113" s="4">
        <v>5.0266148599403815E-2</v>
      </c>
      <c r="V113" s="4">
        <f t="shared" si="10"/>
        <v>0.1819021703180741</v>
      </c>
      <c r="W113" s="4">
        <f t="shared" si="10"/>
        <v>-1.6419813467359878E-3</v>
      </c>
      <c r="X113" s="4">
        <f t="shared" si="10"/>
        <v>7.3659530472247603E-3</v>
      </c>
      <c r="Y113" s="4">
        <f t="shared" si="10"/>
        <v>9.361197098205265E-3</v>
      </c>
      <c r="Z113" s="4">
        <f t="shared" si="10"/>
        <v>1.3696281106745145E-2</v>
      </c>
      <c r="AA113" s="4">
        <f t="shared" si="10"/>
        <v>-1.7585277312952563E-3</v>
      </c>
      <c r="AB113" s="4">
        <f t="shared" si="13"/>
        <v>2.3228251354080021E-2</v>
      </c>
      <c r="AC113" s="4">
        <f t="shared" si="13"/>
        <v>2.0097569067371257E-2</v>
      </c>
      <c r="AD113" s="4">
        <f t="shared" si="13"/>
        <v>5.4693668783194482E-3</v>
      </c>
      <c r="AE113" s="4">
        <f t="shared" si="13"/>
        <v>4.8426730811583774E-3</v>
      </c>
      <c r="AF113" s="4">
        <f t="shared" si="13"/>
        <v>0.16722298718442663</v>
      </c>
      <c r="AG113" s="4">
        <f t="shared" si="13"/>
        <v>2.0430610671899885E-3</v>
      </c>
      <c r="AI113" s="16">
        <f t="shared" si="14"/>
        <v>18.851513891065999</v>
      </c>
    </row>
    <row r="114" spans="1:35" x14ac:dyDescent="0.25">
      <c r="A114" s="2">
        <v>112</v>
      </c>
      <c r="B114" s="3" t="s">
        <v>137</v>
      </c>
      <c r="C114" t="s">
        <v>137</v>
      </c>
      <c r="D114" t="s">
        <v>23</v>
      </c>
      <c r="E114">
        <v>1</v>
      </c>
      <c r="F114" s="24"/>
      <c r="G114" s="24">
        <v>846.55489493108382</v>
      </c>
      <c r="H114" s="25">
        <v>904.08598079601768</v>
      </c>
      <c r="I114" s="25">
        <v>838.97130699090633</v>
      </c>
      <c r="J114" s="25">
        <v>876.92351885040478</v>
      </c>
      <c r="K114" s="25">
        <v>890.98131107765823</v>
      </c>
      <c r="L114" s="25">
        <v>765.26494978099868</v>
      </c>
      <c r="M114" s="26">
        <v>783.52818170456669</v>
      </c>
      <c r="N114" s="25">
        <v>831.80994496087862</v>
      </c>
      <c r="O114" s="26">
        <v>914.04343817960716</v>
      </c>
      <c r="P114" s="26">
        <v>907.05086314509651</v>
      </c>
      <c r="Q114" s="26">
        <v>886.33900000000006</v>
      </c>
      <c r="R114" s="26">
        <v>1338.889354384268</v>
      </c>
      <c r="S114" s="26">
        <v>1508.9946886254806</v>
      </c>
      <c r="T114" s="27"/>
      <c r="U114" s="4">
        <v>9.661705928059261E-3</v>
      </c>
      <c r="V114" s="4">
        <f t="shared" si="10"/>
        <v>6.7959072954881794E-2</v>
      </c>
      <c r="W114" s="4">
        <f t="shared" si="10"/>
        <v>-3.6684193132238252E-2</v>
      </c>
      <c r="X114" s="4">
        <f t="shared" si="10"/>
        <v>1.4857042773421369E-2</v>
      </c>
      <c r="Y114" s="4">
        <f t="shared" si="10"/>
        <v>3.9838322357705902E-3</v>
      </c>
      <c r="Z114" s="4">
        <f t="shared" si="10"/>
        <v>-2.9962227689228182E-2</v>
      </c>
      <c r="AA114" s="4">
        <f t="shared" si="10"/>
        <v>3.938555252218201E-3</v>
      </c>
      <c r="AB114" s="4">
        <f t="shared" si="13"/>
        <v>8.5790124663680523E-3</v>
      </c>
      <c r="AC114" s="4">
        <f t="shared" si="13"/>
        <v>1.1853972051770079E-2</v>
      </c>
      <c r="AD114" s="4">
        <f t="shared" si="13"/>
        <v>-8.5292146693338733E-4</v>
      </c>
      <c r="AE114" s="4">
        <f t="shared" si="13"/>
        <v>-2.3072373315151662E-3</v>
      </c>
      <c r="AF114" s="4">
        <f t="shared" si="13"/>
        <v>3.8211639684011089E-2</v>
      </c>
      <c r="AG114" s="4">
        <f t="shared" si="13"/>
        <v>1.0016771144688796E-2</v>
      </c>
      <c r="AI114" s="16">
        <f t="shared" si="14"/>
        <v>838.97130699090633</v>
      </c>
    </row>
    <row r="115" spans="1:35" x14ac:dyDescent="0.25">
      <c r="A115" s="2">
        <v>113</v>
      </c>
      <c r="B115" s="3" t="s">
        <v>138</v>
      </c>
      <c r="C115" t="s">
        <v>139</v>
      </c>
      <c r="D115" t="s">
        <v>21</v>
      </c>
      <c r="E115">
        <v>1</v>
      </c>
      <c r="F115" s="24"/>
      <c r="G115" s="24">
        <v>146.58383153833063</v>
      </c>
      <c r="H115" s="25">
        <v>168.46199874129499</v>
      </c>
      <c r="I115" s="25">
        <v>176.19369673793369</v>
      </c>
      <c r="J115" s="25">
        <v>190.78438469344098</v>
      </c>
      <c r="K115" s="25">
        <v>200.8340016038498</v>
      </c>
      <c r="L115" s="25">
        <v>177.20811032270439</v>
      </c>
      <c r="M115" s="26">
        <v>187.85402272845928</v>
      </c>
      <c r="N115" s="25">
        <v>202.59081408499122</v>
      </c>
      <c r="O115" s="26">
        <v>207.92061396174896</v>
      </c>
      <c r="P115" s="26">
        <v>206.92876554393476</v>
      </c>
      <c r="Q115" s="26">
        <v>193.54499999999999</v>
      </c>
      <c r="R115" s="26">
        <v>223.07964971730084</v>
      </c>
      <c r="S115" s="26">
        <v>235.55819301972971</v>
      </c>
      <c r="T115" s="27"/>
      <c r="U115" s="4">
        <v>1.089345386534446E-2</v>
      </c>
      <c r="V115" s="4">
        <f t="shared" si="10"/>
        <v>0.14925361803797155</v>
      </c>
      <c r="W115" s="4">
        <f t="shared" si="10"/>
        <v>2.269047066156249E-2</v>
      </c>
      <c r="X115" s="4">
        <f t="shared" si="10"/>
        <v>2.6874775964232267E-2</v>
      </c>
      <c r="Y115" s="4">
        <f t="shared" si="10"/>
        <v>1.2916402757139123E-2</v>
      </c>
      <c r="Z115" s="4">
        <f t="shared" si="10"/>
        <v>-2.4720107107954359E-2</v>
      </c>
      <c r="AA115" s="4">
        <f t="shared" si="10"/>
        <v>9.7708224648611619E-3</v>
      </c>
      <c r="AB115" s="4">
        <f t="shared" si="13"/>
        <v>1.0847420417725129E-2</v>
      </c>
      <c r="AC115" s="4">
        <f t="shared" si="13"/>
        <v>3.2512855717730105E-3</v>
      </c>
      <c r="AD115" s="4">
        <f t="shared" si="13"/>
        <v>-5.3116299085942398E-4</v>
      </c>
      <c r="AE115" s="4">
        <f t="shared" si="13"/>
        <v>-6.6641516579986071E-3</v>
      </c>
      <c r="AF115" s="4">
        <f t="shared" si="13"/>
        <v>1.2994507695118784E-2</v>
      </c>
      <c r="AG115" s="4">
        <f t="shared" si="13"/>
        <v>4.546060935762819E-3</v>
      </c>
      <c r="AI115" s="16">
        <f t="shared" si="14"/>
        <v>176.19369673793369</v>
      </c>
    </row>
    <row r="116" spans="1:35" x14ac:dyDescent="0.25">
      <c r="A116" s="2">
        <v>114</v>
      </c>
      <c r="B116" s="3" t="s">
        <v>140</v>
      </c>
      <c r="C116" t="s">
        <v>140</v>
      </c>
      <c r="D116" t="s">
        <v>33</v>
      </c>
      <c r="E116">
        <v>1</v>
      </c>
      <c r="F116" s="24"/>
      <c r="G116" s="24">
        <v>8.7586223286696239</v>
      </c>
      <c r="H116" s="25">
        <v>9.7743166921598448</v>
      </c>
      <c r="I116" s="25">
        <v>10.532001129669975</v>
      </c>
      <c r="J116" s="25">
        <v>10.982972256378728</v>
      </c>
      <c r="K116" s="25">
        <v>11.880438824449419</v>
      </c>
      <c r="L116" s="25">
        <v>12.756717322762468</v>
      </c>
      <c r="M116" s="26">
        <v>13.286093197479127</v>
      </c>
      <c r="N116" s="25">
        <v>13.843586679540126</v>
      </c>
      <c r="O116" s="26">
        <v>13.063904770356096</v>
      </c>
      <c r="P116" s="26">
        <v>12.520915291183726</v>
      </c>
      <c r="Q116" s="26">
        <v>11.904999999999999</v>
      </c>
      <c r="R116" s="26">
        <v>43.323942164627439</v>
      </c>
      <c r="S116" s="26">
        <v>46.629385335479647</v>
      </c>
      <c r="T116" s="27"/>
      <c r="U116" s="4">
        <v>1.6295507470638571E-2</v>
      </c>
      <c r="V116" s="4">
        <f t="shared" si="10"/>
        <v>0.11596508279224982</v>
      </c>
      <c r="W116" s="4">
        <f t="shared" si="10"/>
        <v>3.8035593419888158E-2</v>
      </c>
      <c r="X116" s="4">
        <f t="shared" si="10"/>
        <v>1.4074035636958415E-2</v>
      </c>
      <c r="Y116" s="4">
        <f t="shared" si="10"/>
        <v>1.9830858602687407E-2</v>
      </c>
      <c r="Z116" s="4">
        <f t="shared" si="10"/>
        <v>1.4334716710788342E-2</v>
      </c>
      <c r="AA116" s="4">
        <f t="shared" si="10"/>
        <v>6.7996604643159042E-3</v>
      </c>
      <c r="AB116" s="4">
        <f t="shared" si="13"/>
        <v>5.8893035637819224E-3</v>
      </c>
      <c r="AC116" s="4">
        <f t="shared" si="13"/>
        <v>-7.2199355782965879E-3</v>
      </c>
      <c r="AD116" s="4">
        <f t="shared" si="13"/>
        <v>-4.7058478431466488E-3</v>
      </c>
      <c r="AE116" s="4">
        <f t="shared" si="13"/>
        <v>-5.0314983308616945E-3</v>
      </c>
      <c r="AF116" s="4">
        <f t="shared" si="13"/>
        <v>0.12460463678118061</v>
      </c>
      <c r="AG116" s="4">
        <f t="shared" si="13"/>
        <v>6.1459350622821152E-3</v>
      </c>
      <c r="AI116" s="16">
        <f t="shared" ref="AI116:AI131" si="15">IF(SUMIF($G$2:$S$2,AI$2,$G116:$S116)=0,".",SUMIF($G$2:$S$2,AI$2,$G116:$S116))</f>
        <v>10.532001129669975</v>
      </c>
    </row>
    <row r="117" spans="1:35" x14ac:dyDescent="0.25">
      <c r="A117" s="2">
        <v>115</v>
      </c>
      <c r="B117" s="3" t="s">
        <v>141</v>
      </c>
      <c r="C117" t="s">
        <v>141</v>
      </c>
      <c r="D117" t="s">
        <v>14</v>
      </c>
      <c r="E117">
        <v>0</v>
      </c>
      <c r="F117" s="24">
        <v>1</v>
      </c>
      <c r="G117" s="24">
        <v>5.7186645049134119</v>
      </c>
      <c r="H117" s="25">
        <v>6.4091847242257929</v>
      </c>
      <c r="I117" s="25">
        <v>6.9422583051908502</v>
      </c>
      <c r="J117" s="25">
        <v>7.667952566391385</v>
      </c>
      <c r="K117" s="25">
        <v>8.22973138375656</v>
      </c>
      <c r="L117" s="25">
        <v>7.2176677805966518</v>
      </c>
      <c r="M117" s="26">
        <v>7.528285443607694</v>
      </c>
      <c r="N117" s="26">
        <v>8.119710126326547</v>
      </c>
      <c r="O117" s="26">
        <v>12.846952856845798</v>
      </c>
      <c r="P117" s="26">
        <v>12.911689659350994</v>
      </c>
      <c r="Q117" s="26">
        <v>12.971</v>
      </c>
      <c r="R117" s="26">
        <v>30.171830491431137</v>
      </c>
      <c r="S117" s="26">
        <v>32.234073084871397</v>
      </c>
      <c r="T117" s="27"/>
      <c r="U117" s="4" t="s">
        <v>12</v>
      </c>
      <c r="V117" s="4">
        <f t="shared" si="10"/>
        <v>0.12074851020183019</v>
      </c>
      <c r="W117" s="4">
        <f t="shared" si="10"/>
        <v>4.0756159630151778E-2</v>
      </c>
      <c r="X117" s="4">
        <f t="shared" si="10"/>
        <v>3.3696112495336994E-2</v>
      </c>
      <c r="Y117" s="4">
        <f t="shared" ref="Y117:AD166" si="16">IFERROR((K117/J117)^(1/(Y$2-$U$2))-1,".")</f>
        <v>1.7833077905088146E-2</v>
      </c>
      <c r="Z117" s="4">
        <f t="shared" si="16"/>
        <v>-2.5902910765744802E-2</v>
      </c>
      <c r="AA117" s="4">
        <f t="shared" si="16"/>
        <v>7.0472895098685484E-3</v>
      </c>
      <c r="AB117" s="4">
        <f t="shared" si="13"/>
        <v>1.0862449143197228E-2</v>
      </c>
      <c r="AC117" s="4">
        <f t="shared" si="13"/>
        <v>5.9028019352397987E-2</v>
      </c>
      <c r="AD117" s="4">
        <f t="shared" si="13"/>
        <v>5.5864762151491831E-4</v>
      </c>
      <c r="AE117" s="4">
        <f t="shared" si="13"/>
        <v>4.5840705404009974E-4</v>
      </c>
      <c r="AF117" s="4">
        <f t="shared" si="13"/>
        <v>7.9766467893080506E-2</v>
      </c>
      <c r="AG117" s="4">
        <f t="shared" si="13"/>
        <v>5.5248174500488467E-3</v>
      </c>
      <c r="AI117" s="16">
        <f t="shared" si="15"/>
        <v>6.9422583051908502</v>
      </c>
    </row>
    <row r="118" spans="1:35" x14ac:dyDescent="0.25">
      <c r="A118" s="2">
        <v>116</v>
      </c>
      <c r="B118" s="3" t="s">
        <v>142</v>
      </c>
      <c r="C118" t="s">
        <v>142</v>
      </c>
      <c r="D118" t="s">
        <v>14</v>
      </c>
      <c r="E118">
        <v>1</v>
      </c>
      <c r="F118" s="24"/>
      <c r="G118" s="24">
        <v>363.35988620340925</v>
      </c>
      <c r="H118" s="25">
        <v>410.33457916075218</v>
      </c>
      <c r="I118" s="25">
        <v>459.37604976399911</v>
      </c>
      <c r="J118" s="25">
        <v>514.96628733427747</v>
      </c>
      <c r="K118" s="25">
        <v>568.49893761565568</v>
      </c>
      <c r="L118" s="25">
        <v>494.58318077710334</v>
      </c>
      <c r="M118" s="26">
        <v>404.6495275377527</v>
      </c>
      <c r="N118" s="25">
        <v>375.74548652065585</v>
      </c>
      <c r="O118" s="26">
        <v>397.1904844643077</v>
      </c>
      <c r="P118" s="26">
        <v>448.12042885876923</v>
      </c>
      <c r="Q118" s="26">
        <v>442.976</v>
      </c>
      <c r="R118" s="26">
        <v>1131.4558452120386</v>
      </c>
      <c r="S118" s="26">
        <v>1152.1589075259999</v>
      </c>
      <c r="T118" s="27"/>
      <c r="U118" s="4">
        <v>5.2839288134141071E-2</v>
      </c>
      <c r="V118" s="4">
        <f t="shared" ref="V118:AA177" si="17">IFERROR((H118/G118)^(1/(V$2-$U$2))-1,".")</f>
        <v>0.12927869789965318</v>
      </c>
      <c r="W118" s="4">
        <f t="shared" si="17"/>
        <v>5.807174258005543E-2</v>
      </c>
      <c r="X118" s="4">
        <f t="shared" si="17"/>
        <v>3.8811662136279068E-2</v>
      </c>
      <c r="Y118" s="4">
        <f t="shared" si="16"/>
        <v>2.5032687013502919E-2</v>
      </c>
      <c r="Z118" s="4">
        <f t="shared" si="16"/>
        <v>-2.7472395816104833E-2</v>
      </c>
      <c r="AA118" s="4">
        <f t="shared" si="16"/>
        <v>-3.2895771005552299E-2</v>
      </c>
      <c r="AB118" s="4">
        <f t="shared" si="13"/>
        <v>-1.053119902864752E-2</v>
      </c>
      <c r="AC118" s="4">
        <f t="shared" si="13"/>
        <v>6.9621184824770754E-3</v>
      </c>
      <c r="AD118" s="4">
        <f t="shared" si="13"/>
        <v>1.3495366420281707E-2</v>
      </c>
      <c r="AE118" s="4">
        <f t="shared" si="13"/>
        <v>-1.1539754778638889E-3</v>
      </c>
      <c r="AF118" s="4">
        <f t="shared" si="13"/>
        <v>8.8988770004282625E-2</v>
      </c>
      <c r="AG118" s="4">
        <f t="shared" si="13"/>
        <v>1.5121697794511224E-3</v>
      </c>
      <c r="AI118" s="16">
        <f t="shared" si="15"/>
        <v>459.37604976399911</v>
      </c>
    </row>
    <row r="119" spans="1:35" x14ac:dyDescent="0.25">
      <c r="A119" s="2">
        <v>117</v>
      </c>
      <c r="B119" s="3" t="s">
        <v>143</v>
      </c>
      <c r="C119" t="s">
        <v>143</v>
      </c>
      <c r="D119" t="s">
        <v>7</v>
      </c>
      <c r="E119">
        <v>1</v>
      </c>
      <c r="F119" s="24"/>
      <c r="G119" s="24">
        <v>429.13095270922349</v>
      </c>
      <c r="H119" s="25">
        <v>498.83155892586041</v>
      </c>
      <c r="I119" s="25">
        <v>510.22913622690163</v>
      </c>
      <c r="J119" s="25">
        <v>523.50212765957451</v>
      </c>
      <c r="K119" s="25">
        <v>499.33853477915869</v>
      </c>
      <c r="L119" s="25">
        <v>386.66313940270726</v>
      </c>
      <c r="M119" s="26">
        <v>371.34476190476192</v>
      </c>
      <c r="N119" s="25">
        <v>399.48889784404577</v>
      </c>
      <c r="O119" s="26">
        <v>434.16661543190901</v>
      </c>
      <c r="P119" s="26">
        <v>403.33636363636361</v>
      </c>
      <c r="Q119" s="26">
        <v>366.38600000000002</v>
      </c>
      <c r="R119" s="26">
        <v>503.10405806778886</v>
      </c>
      <c r="S119" s="26">
        <v>519.95310025844742</v>
      </c>
      <c r="T119" s="27"/>
      <c r="U119" s="4">
        <v>9.5032309951039728E-3</v>
      </c>
      <c r="V119" s="4">
        <f t="shared" si="17"/>
        <v>0.16242269586147895</v>
      </c>
      <c r="W119" s="4">
        <f t="shared" si="17"/>
        <v>1.1359752495757824E-2</v>
      </c>
      <c r="X119" s="4">
        <f t="shared" si="17"/>
        <v>8.5971393049246725E-3</v>
      </c>
      <c r="Y119" s="4">
        <f t="shared" si="16"/>
        <v>-1.1744686966605911E-2</v>
      </c>
      <c r="Z119" s="4">
        <f t="shared" si="16"/>
        <v>-4.9860139643660428E-2</v>
      </c>
      <c r="AA119" s="4">
        <f t="shared" si="16"/>
        <v>-6.714516993862385E-3</v>
      </c>
      <c r="AB119" s="4">
        <f t="shared" si="13"/>
        <v>1.0491087601666615E-2</v>
      </c>
      <c r="AC119" s="4">
        <f t="shared" si="13"/>
        <v>1.0459622409938696E-2</v>
      </c>
      <c r="AD119" s="4">
        <f t="shared" si="13"/>
        <v>-8.1507679822862E-3</v>
      </c>
      <c r="AE119" s="4">
        <f t="shared" si="13"/>
        <v>-9.5623314065634846E-3</v>
      </c>
      <c r="AF119" s="4">
        <f t="shared" si="13"/>
        <v>2.9247698485486584E-2</v>
      </c>
      <c r="AG119" s="4">
        <f t="shared" si="13"/>
        <v>2.7489040024217815E-3</v>
      </c>
      <c r="AI119" s="16">
        <f t="shared" si="15"/>
        <v>510.22913622690163</v>
      </c>
    </row>
    <row r="120" spans="1:35" x14ac:dyDescent="0.25">
      <c r="A120" s="2">
        <v>118</v>
      </c>
      <c r="B120" s="3" t="s">
        <v>144</v>
      </c>
      <c r="C120" t="s">
        <v>144</v>
      </c>
      <c r="D120" t="s">
        <v>9</v>
      </c>
      <c r="E120">
        <v>1</v>
      </c>
      <c r="F120" s="24"/>
      <c r="G120" s="24">
        <v>58.642392717815333</v>
      </c>
      <c r="H120" s="25">
        <v>67.93758127438231</v>
      </c>
      <c r="I120" s="25">
        <v>76.689206762028604</v>
      </c>
      <c r="J120" s="25">
        <v>78.784395318595571</v>
      </c>
      <c r="K120" s="25">
        <v>81.076723016905078</v>
      </c>
      <c r="L120" s="25">
        <v>68.921456436931066</v>
      </c>
      <c r="M120" s="26">
        <v>65.941482444733424</v>
      </c>
      <c r="N120" s="25">
        <v>70.783875162548767</v>
      </c>
      <c r="O120" s="26">
        <v>79.788768968949014</v>
      </c>
      <c r="P120" s="26">
        <v>76.331518668577118</v>
      </c>
      <c r="Q120" s="26">
        <v>62.305</v>
      </c>
      <c r="R120" s="26">
        <v>233.77247119274955</v>
      </c>
      <c r="S120" s="26">
        <v>236.55433003397619</v>
      </c>
      <c r="T120" s="27"/>
      <c r="U120" s="4">
        <v>6.506128320969351E-2</v>
      </c>
      <c r="V120" s="4">
        <f t="shared" si="17"/>
        <v>0.15850629767606894</v>
      </c>
      <c r="W120" s="4">
        <f t="shared" si="17"/>
        <v>6.2458761703265697E-2</v>
      </c>
      <c r="X120" s="4">
        <f t="shared" si="17"/>
        <v>9.0251398502843028E-3</v>
      </c>
      <c r="Y120" s="4">
        <f t="shared" si="16"/>
        <v>7.1960066637781761E-3</v>
      </c>
      <c r="Z120" s="4">
        <f t="shared" si="16"/>
        <v>-3.1963680318022769E-2</v>
      </c>
      <c r="AA120" s="4">
        <f t="shared" si="16"/>
        <v>-7.3395702663425766E-3</v>
      </c>
      <c r="AB120" s="4">
        <f t="shared" si="13"/>
        <v>1.0174772207043548E-2</v>
      </c>
      <c r="AC120" s="4">
        <f t="shared" si="13"/>
        <v>1.5081537215522856E-2</v>
      </c>
      <c r="AD120" s="4">
        <f t="shared" si="13"/>
        <v>-4.90977557793848E-3</v>
      </c>
      <c r="AE120" s="4">
        <f t="shared" si="13"/>
        <v>-2.0099679465283904E-2</v>
      </c>
      <c r="AF120" s="4">
        <f t="shared" si="13"/>
        <v>0.12773330401329308</v>
      </c>
      <c r="AG120" s="4">
        <f t="shared" si="13"/>
        <v>9.8628688285362642E-4</v>
      </c>
      <c r="AI120" s="16">
        <f t="shared" si="15"/>
        <v>76.689206762028604</v>
      </c>
    </row>
    <row r="121" spans="1:35" x14ac:dyDescent="0.25">
      <c r="A121" s="2">
        <v>119</v>
      </c>
      <c r="B121" s="3" t="s">
        <v>145</v>
      </c>
      <c r="C121" t="s">
        <v>145</v>
      </c>
      <c r="D121" t="s">
        <v>25</v>
      </c>
      <c r="E121">
        <v>1</v>
      </c>
      <c r="F121" s="24"/>
      <c r="G121" s="24">
        <v>177.40685451488457</v>
      </c>
      <c r="H121" s="25">
        <v>213.58741318399558</v>
      </c>
      <c r="I121" s="25">
        <v>224.38362082956965</v>
      </c>
      <c r="J121" s="25">
        <v>231.21856717897867</v>
      </c>
      <c r="K121" s="25">
        <v>244.36088875080705</v>
      </c>
      <c r="L121" s="25">
        <v>270.55612682006353</v>
      </c>
      <c r="M121" s="26">
        <v>278.65463773768988</v>
      </c>
      <c r="N121" s="25">
        <v>304.95181849406555</v>
      </c>
      <c r="O121" s="26">
        <v>314.56754155833886</v>
      </c>
      <c r="P121" s="26">
        <v>278.22190602284104</v>
      </c>
      <c r="Q121" s="26">
        <v>1078.4785088569749</v>
      </c>
      <c r="R121" s="26">
        <v>1527.884892097522</v>
      </c>
      <c r="S121" s="26">
        <v>1823.4505731898362</v>
      </c>
      <c r="T121" s="27"/>
      <c r="U121" s="4">
        <v>2.0590712727025728E-2</v>
      </c>
      <c r="V121" s="4">
        <f t="shared" si="17"/>
        <v>0.20394115417944825</v>
      </c>
      <c r="W121" s="4">
        <f t="shared" si="17"/>
        <v>2.4961961182444981E-2</v>
      </c>
      <c r="X121" s="4">
        <f t="shared" si="17"/>
        <v>1.0052275199872174E-2</v>
      </c>
      <c r="Y121" s="4">
        <f t="shared" si="16"/>
        <v>1.3916633034956494E-2</v>
      </c>
      <c r="Z121" s="4">
        <f t="shared" si="16"/>
        <v>2.0575492944736373E-2</v>
      </c>
      <c r="AA121" s="4">
        <f t="shared" si="16"/>
        <v>4.9276993460340979E-3</v>
      </c>
      <c r="AB121" s="4">
        <f t="shared" si="13"/>
        <v>1.2966290473680475E-2</v>
      </c>
      <c r="AC121" s="4">
        <f t="shared" si="13"/>
        <v>3.8881668387511503E-3</v>
      </c>
      <c r="AD121" s="4">
        <f t="shared" si="13"/>
        <v>-1.3549566165889759E-2</v>
      </c>
      <c r="AE121" s="4">
        <f t="shared" si="13"/>
        <v>0.14509631576034177</v>
      </c>
      <c r="AF121" s="4">
        <f t="shared" si="13"/>
        <v>3.217336786511571E-2</v>
      </c>
      <c r="AG121" s="4">
        <f t="shared" si="13"/>
        <v>1.4846316952756622E-2</v>
      </c>
      <c r="AI121" s="16">
        <f t="shared" si="15"/>
        <v>224.38362082956965</v>
      </c>
    </row>
    <row r="122" spans="1:35" x14ac:dyDescent="0.25">
      <c r="A122" s="2">
        <v>120</v>
      </c>
      <c r="B122" s="3" t="s">
        <v>146</v>
      </c>
      <c r="C122" t="s">
        <v>146</v>
      </c>
      <c r="D122" t="s">
        <v>33</v>
      </c>
      <c r="E122">
        <v>1</v>
      </c>
      <c r="F122" s="24"/>
      <c r="G122" s="24">
        <v>29.440300000000001</v>
      </c>
      <c r="H122" s="25">
        <v>34.686199999999999</v>
      </c>
      <c r="I122" s="25">
        <v>40.42969999999999</v>
      </c>
      <c r="J122" s="25">
        <v>45.6</v>
      </c>
      <c r="K122" s="25">
        <v>49.921500000000002</v>
      </c>
      <c r="L122" s="25">
        <v>54.091699999999996</v>
      </c>
      <c r="M122" s="26">
        <v>57.957599999999999</v>
      </c>
      <c r="N122" s="25">
        <v>62.283800000000006</v>
      </c>
      <c r="O122" s="26">
        <v>65.128200000000007</v>
      </c>
      <c r="P122" s="26">
        <v>66.800799999999995</v>
      </c>
      <c r="Q122" s="26">
        <v>60.286000000000001</v>
      </c>
      <c r="R122" s="26">
        <v>165.62090740871224</v>
      </c>
      <c r="S122" s="26">
        <v>207.28349132757722</v>
      </c>
      <c r="T122" s="27"/>
      <c r="U122" s="4">
        <v>5.7743239000818347E-2</v>
      </c>
      <c r="V122" s="4">
        <f t="shared" si="17"/>
        <v>0.17818772227185176</v>
      </c>
      <c r="W122" s="4">
        <f t="shared" si="17"/>
        <v>7.9622426624650133E-2</v>
      </c>
      <c r="X122" s="4">
        <f t="shared" si="17"/>
        <v>4.0929798794692829E-2</v>
      </c>
      <c r="Y122" s="4">
        <f t="shared" si="16"/>
        <v>2.289415241528614E-2</v>
      </c>
      <c r="Z122" s="4">
        <f t="shared" si="16"/>
        <v>1.6175221670491791E-2</v>
      </c>
      <c r="AA122" s="4">
        <f t="shared" si="16"/>
        <v>1.1571597934230127E-2</v>
      </c>
      <c r="AB122" s="4">
        <f t="shared" si="13"/>
        <v>1.033730038549896E-2</v>
      </c>
      <c r="AC122" s="4">
        <f t="shared" si="13"/>
        <v>5.597642991390428E-3</v>
      </c>
      <c r="AD122" s="4">
        <f t="shared" si="13"/>
        <v>2.821464122801931E-3</v>
      </c>
      <c r="AE122" s="4">
        <f t="shared" si="13"/>
        <v>-1.020904550027868E-2</v>
      </c>
      <c r="AF122" s="4">
        <f t="shared" si="13"/>
        <v>9.6225451290597119E-2</v>
      </c>
      <c r="AG122" s="4">
        <f t="shared" si="13"/>
        <v>1.8874742225116758E-2</v>
      </c>
      <c r="AI122" s="16">
        <f t="shared" si="15"/>
        <v>40.42969999999999</v>
      </c>
    </row>
    <row r="123" spans="1:35" x14ac:dyDescent="0.25">
      <c r="A123" s="2">
        <v>121</v>
      </c>
      <c r="B123" s="3" t="s">
        <v>147</v>
      </c>
      <c r="C123" t="s">
        <v>148</v>
      </c>
      <c r="D123" t="s">
        <v>21</v>
      </c>
      <c r="E123">
        <v>0</v>
      </c>
      <c r="F123" s="24">
        <v>1</v>
      </c>
      <c r="G123" s="24">
        <v>14.250726289854006</v>
      </c>
      <c r="H123" s="25">
        <v>17.984816533108393</v>
      </c>
      <c r="I123" s="25">
        <v>21.29583413323094</v>
      </c>
      <c r="J123" s="25">
        <v>21.26130541323235</v>
      </c>
      <c r="K123" s="25">
        <v>23.21061184691639</v>
      </c>
      <c r="L123" s="25">
        <v>21.723378124548475</v>
      </c>
      <c r="M123" s="26">
        <v>20.75904883498244</v>
      </c>
      <c r="N123" s="26">
        <v>22.277692408887919</v>
      </c>
      <c r="O123" s="26">
        <v>24.10950985618658</v>
      </c>
      <c r="P123" s="26">
        <v>24.829107011070111</v>
      </c>
      <c r="Q123" s="26">
        <v>23.283000000000001</v>
      </c>
      <c r="R123" s="26">
        <v>38.993056155037266</v>
      </c>
      <c r="S123" s="26">
        <v>29.072077916604485</v>
      </c>
      <c r="T123" s="27"/>
      <c r="U123" s="4" t="s">
        <v>12</v>
      </c>
      <c r="V123" s="4">
        <f t="shared" si="17"/>
        <v>0.26202806560904346</v>
      </c>
      <c r="W123" s="4">
        <f t="shared" si="17"/>
        <v>8.8163919617914699E-2</v>
      </c>
      <c r="X123" s="4">
        <f t="shared" si="17"/>
        <v>-5.4075362104122338E-4</v>
      </c>
      <c r="Y123" s="4">
        <f t="shared" si="16"/>
        <v>2.2172436374380933E-2</v>
      </c>
      <c r="Z123" s="4">
        <f t="shared" si="16"/>
        <v>-1.3156796177636765E-2</v>
      </c>
      <c r="AA123" s="4">
        <f t="shared" si="16"/>
        <v>-7.5392319213246628E-3</v>
      </c>
      <c r="AB123" s="4">
        <f t="shared" si="13"/>
        <v>1.0137265637352399E-2</v>
      </c>
      <c r="AC123" s="4">
        <f t="shared" si="13"/>
        <v>9.926509808656947E-3</v>
      </c>
      <c r="AD123" s="4">
        <f t="shared" si="13"/>
        <v>3.2731531337568676E-3</v>
      </c>
      <c r="AE123" s="4">
        <f t="shared" si="13"/>
        <v>-6.4086915963070812E-3</v>
      </c>
      <c r="AF123" s="4">
        <f t="shared" si="13"/>
        <v>4.7994346297542068E-2</v>
      </c>
      <c r="AG123" s="4">
        <f t="shared" si="13"/>
        <v>-2.4170222357331239E-2</v>
      </c>
      <c r="AI123" s="16">
        <f t="shared" si="15"/>
        <v>21.29583413323094</v>
      </c>
    </row>
    <row r="124" spans="1:35" x14ac:dyDescent="0.25">
      <c r="A124" s="2">
        <v>122</v>
      </c>
      <c r="B124" s="3" t="s">
        <v>149</v>
      </c>
      <c r="C124" t="s">
        <v>149</v>
      </c>
      <c r="D124" t="s">
        <v>18</v>
      </c>
      <c r="E124">
        <v>1</v>
      </c>
      <c r="F124" s="24"/>
      <c r="G124" s="24">
        <v>27.215968615554821</v>
      </c>
      <c r="H124" s="25">
        <v>33.715524703928835</v>
      </c>
      <c r="I124" s="25">
        <v>33.283228891092328</v>
      </c>
      <c r="J124" s="25">
        <v>38.585317742980955</v>
      </c>
      <c r="K124" s="25">
        <v>40.276532540881206</v>
      </c>
      <c r="L124" s="25">
        <v>36.164068797251055</v>
      </c>
      <c r="M124" s="26">
        <v>36.054281572398146</v>
      </c>
      <c r="N124" s="25">
        <v>39.00890033167326</v>
      </c>
      <c r="O124" s="26">
        <v>40.38469179056851</v>
      </c>
      <c r="P124" s="26">
        <v>38.145288939848804</v>
      </c>
      <c r="Q124" s="26">
        <v>35.606000000000002</v>
      </c>
      <c r="R124" s="26">
        <v>80.410242859434561</v>
      </c>
      <c r="S124" s="26">
        <v>88.562718241011581</v>
      </c>
      <c r="T124" s="27"/>
      <c r="U124" s="4">
        <v>1.658576031875314E-2</v>
      </c>
      <c r="V124" s="4">
        <f t="shared" si="17"/>
        <v>0.23881406464656574</v>
      </c>
      <c r="W124" s="4">
        <f t="shared" si="17"/>
        <v>-6.4316139450154575E-3</v>
      </c>
      <c r="X124" s="4">
        <f t="shared" si="17"/>
        <v>5.050682044095578E-2</v>
      </c>
      <c r="Y124" s="4">
        <f t="shared" si="16"/>
        <v>1.0781997652454578E-2</v>
      </c>
      <c r="Z124" s="4">
        <f t="shared" si="16"/>
        <v>-2.1310244246047549E-2</v>
      </c>
      <c r="AA124" s="4">
        <f t="shared" si="16"/>
        <v>-5.0660945531821877E-4</v>
      </c>
      <c r="AB124" s="4">
        <f t="shared" si="13"/>
        <v>1.131557211055223E-2</v>
      </c>
      <c r="AC124" s="4">
        <f t="shared" si="13"/>
        <v>4.3420197895460699E-3</v>
      </c>
      <c r="AD124" s="4">
        <f t="shared" si="13"/>
        <v>-6.3186787447212511E-3</v>
      </c>
      <c r="AE124" s="4">
        <f t="shared" si="13"/>
        <v>-6.8651364714464869E-3</v>
      </c>
      <c r="AF124" s="4">
        <f t="shared" si="13"/>
        <v>7.6868224767904669E-2</v>
      </c>
      <c r="AG124" s="4">
        <f t="shared" si="13"/>
        <v>8.079919012243364E-3</v>
      </c>
      <c r="AI124" s="16">
        <f t="shared" si="15"/>
        <v>33.283228891092328</v>
      </c>
    </row>
    <row r="125" spans="1:35" x14ac:dyDescent="0.25">
      <c r="A125" s="2">
        <v>123</v>
      </c>
      <c r="B125" s="3" t="s">
        <v>150</v>
      </c>
      <c r="C125" t="s">
        <v>150</v>
      </c>
      <c r="D125" t="s">
        <v>18</v>
      </c>
      <c r="E125">
        <v>1</v>
      </c>
      <c r="F125" s="24"/>
      <c r="G125" s="24">
        <v>147.52893702877773</v>
      </c>
      <c r="H125" s="25">
        <v>171.7617370465851</v>
      </c>
      <c r="I125" s="25">
        <v>192.6489990900819</v>
      </c>
      <c r="J125" s="25">
        <v>201.17546911432694</v>
      </c>
      <c r="K125" s="25">
        <v>200.98379711165902</v>
      </c>
      <c r="L125" s="25">
        <v>189.75913829920864</v>
      </c>
      <c r="M125" s="26">
        <v>191.90749903706555</v>
      </c>
      <c r="N125" s="25">
        <v>210.7023031864324</v>
      </c>
      <c r="O125" s="26">
        <v>222.04497048621676</v>
      </c>
      <c r="P125" s="26">
        <v>226.84805081952479</v>
      </c>
      <c r="Q125" s="26">
        <v>195.761</v>
      </c>
      <c r="R125" s="26">
        <v>471.91200696502574</v>
      </c>
      <c r="S125" s="26">
        <v>524.10422022122805</v>
      </c>
      <c r="T125" s="27"/>
      <c r="U125" s="4">
        <v>4.7027397497392931E-2</v>
      </c>
      <c r="V125" s="4">
        <f t="shared" si="17"/>
        <v>0.16425794495543866</v>
      </c>
      <c r="W125" s="4">
        <f t="shared" si="17"/>
        <v>5.9059027973963119E-2</v>
      </c>
      <c r="X125" s="4">
        <f t="shared" si="17"/>
        <v>1.4540577928662257E-2</v>
      </c>
      <c r="Y125" s="4">
        <f t="shared" si="16"/>
        <v>-2.3827522703356863E-4</v>
      </c>
      <c r="Z125" s="4">
        <f t="shared" si="16"/>
        <v>-1.1427942993637918E-2</v>
      </c>
      <c r="AA125" s="4">
        <f t="shared" si="16"/>
        <v>1.8780789339336579E-3</v>
      </c>
      <c r="AB125" s="4">
        <f t="shared" si="13"/>
        <v>1.3437014873866504E-2</v>
      </c>
      <c r="AC125" s="4">
        <f t="shared" si="13"/>
        <v>6.5757357423001928E-3</v>
      </c>
      <c r="AD125" s="4">
        <f t="shared" si="13"/>
        <v>2.3806606811112019E-3</v>
      </c>
      <c r="AE125" s="4">
        <f t="shared" si="13"/>
        <v>-1.4630507271031656E-2</v>
      </c>
      <c r="AF125" s="4">
        <f t="shared" si="13"/>
        <v>8.3277024160120394E-2</v>
      </c>
      <c r="AG125" s="4">
        <f t="shared" si="13"/>
        <v>8.7798198126336491E-3</v>
      </c>
      <c r="AI125" s="16">
        <f t="shared" si="15"/>
        <v>192.6489990900819</v>
      </c>
    </row>
    <row r="126" spans="1:35" x14ac:dyDescent="0.25">
      <c r="A126" s="2">
        <v>124</v>
      </c>
      <c r="B126" s="3" t="s">
        <v>151</v>
      </c>
      <c r="C126" t="s">
        <v>151</v>
      </c>
      <c r="D126" t="s">
        <v>25</v>
      </c>
      <c r="E126">
        <v>1</v>
      </c>
      <c r="F126" s="24"/>
      <c r="G126" s="24">
        <v>199.59077519025843</v>
      </c>
      <c r="H126" s="25">
        <v>224.14308370677699</v>
      </c>
      <c r="I126" s="25">
        <v>250.09209299814347</v>
      </c>
      <c r="J126" s="25">
        <v>271.83612372367844</v>
      </c>
      <c r="K126" s="25">
        <v>284.58452289887197</v>
      </c>
      <c r="L126" s="25">
        <v>292.77409901368708</v>
      </c>
      <c r="M126" s="26">
        <v>304.89759020541345</v>
      </c>
      <c r="N126" s="25">
        <v>313.61974774018574</v>
      </c>
      <c r="O126" s="26">
        <v>346.84189689028057</v>
      </c>
      <c r="P126" s="26">
        <v>376.79550867885331</v>
      </c>
      <c r="Q126" s="26">
        <v>367.36200000000002</v>
      </c>
      <c r="R126" s="26">
        <v>1056.716068662744</v>
      </c>
      <c r="S126" s="26">
        <v>1124.4766825990291</v>
      </c>
      <c r="T126" s="27"/>
      <c r="U126" s="4">
        <v>2.7142495037626002E-2</v>
      </c>
      <c r="V126" s="4">
        <f t="shared" si="17"/>
        <v>0.12301324293727633</v>
      </c>
      <c r="W126" s="4">
        <f t="shared" si="17"/>
        <v>5.6300071749138425E-2</v>
      </c>
      <c r="X126" s="4">
        <f t="shared" si="17"/>
        <v>2.8179804457719948E-2</v>
      </c>
      <c r="Y126" s="4">
        <f t="shared" si="16"/>
        <v>1.1523617109642004E-2</v>
      </c>
      <c r="Z126" s="4">
        <f t="shared" si="16"/>
        <v>5.6903320405097269E-3</v>
      </c>
      <c r="AA126" s="4">
        <f t="shared" si="16"/>
        <v>6.7853555645416286E-3</v>
      </c>
      <c r="AB126" s="4">
        <f t="shared" si="13"/>
        <v>4.0374582622677568E-3</v>
      </c>
      <c r="AC126" s="4">
        <f t="shared" si="13"/>
        <v>1.2665510443849337E-2</v>
      </c>
      <c r="AD126" s="4">
        <f t="shared" si="13"/>
        <v>9.2462151707304319E-3</v>
      </c>
      <c r="AE126" s="4">
        <f t="shared" si="13"/>
        <v>-2.5322768701324661E-3</v>
      </c>
      <c r="AF126" s="4">
        <f t="shared" si="13"/>
        <v>0.10081646425778357</v>
      </c>
      <c r="AG126" s="4">
        <f t="shared" si="13"/>
        <v>5.1927446060220372E-3</v>
      </c>
      <c r="AI126" s="16">
        <f t="shared" si="15"/>
        <v>250.09209299814347</v>
      </c>
    </row>
    <row r="127" spans="1:35" x14ac:dyDescent="0.25">
      <c r="A127" s="2">
        <v>125</v>
      </c>
      <c r="B127" s="3" t="s">
        <v>152</v>
      </c>
      <c r="C127" t="s">
        <v>152</v>
      </c>
      <c r="D127" t="s">
        <v>23</v>
      </c>
      <c r="E127">
        <v>1</v>
      </c>
      <c r="F127" s="24"/>
      <c r="G127" s="24">
        <v>479.32146055118898</v>
      </c>
      <c r="H127" s="25">
        <v>528.83218577021739</v>
      </c>
      <c r="I127" s="25">
        <v>500.36081682788267</v>
      </c>
      <c r="J127" s="25">
        <v>524.23432259697518</v>
      </c>
      <c r="K127" s="25">
        <v>545.38912664447616</v>
      </c>
      <c r="L127" s="25">
        <v>477.57739753282931</v>
      </c>
      <c r="M127" s="26">
        <v>472.02800040580297</v>
      </c>
      <c r="N127" s="25">
        <v>526.37102108856129</v>
      </c>
      <c r="O127" s="26">
        <v>587.4117451615582</v>
      </c>
      <c r="P127" s="26">
        <v>595.85820701151226</v>
      </c>
      <c r="Q127" s="26">
        <v>580.89400000000001</v>
      </c>
      <c r="R127" s="26">
        <v>1499.1441373021446</v>
      </c>
      <c r="S127" s="26">
        <v>1525.4770687913563</v>
      </c>
      <c r="T127" s="27"/>
      <c r="U127" s="4">
        <v>3.519720429266715E-2</v>
      </c>
      <c r="V127" s="4">
        <f t="shared" si="17"/>
        <v>0.1032933621667893</v>
      </c>
      <c r="W127" s="4">
        <f t="shared" si="17"/>
        <v>-2.7291509422016524E-2</v>
      </c>
      <c r="X127" s="4">
        <f t="shared" si="17"/>
        <v>1.5657748834997154E-2</v>
      </c>
      <c r="Y127" s="4">
        <f t="shared" si="16"/>
        <v>9.9392617967177799E-3</v>
      </c>
      <c r="Z127" s="4">
        <f t="shared" si="16"/>
        <v>-2.6205184829762418E-2</v>
      </c>
      <c r="AA127" s="4">
        <f t="shared" si="16"/>
        <v>-1.9460920924118108E-3</v>
      </c>
      <c r="AB127" s="4">
        <f t="shared" si="13"/>
        <v>1.5688654826299109E-2</v>
      </c>
      <c r="AC127" s="4">
        <f t="shared" si="13"/>
        <v>1.3809442312484377E-2</v>
      </c>
      <c r="AD127" s="4">
        <f t="shared" si="13"/>
        <v>1.58756076795874E-3</v>
      </c>
      <c r="AE127" s="4">
        <f t="shared" si="13"/>
        <v>-2.5402116798610708E-3</v>
      </c>
      <c r="AF127" s="4">
        <f t="shared" si="13"/>
        <v>9.0012554327829841E-2</v>
      </c>
      <c r="AG127" s="4">
        <f t="shared" si="13"/>
        <v>1.4521218924006263E-3</v>
      </c>
      <c r="AI127" s="16">
        <f t="shared" si="15"/>
        <v>500.36081682788267</v>
      </c>
    </row>
    <row r="128" spans="1:35" x14ac:dyDescent="0.25">
      <c r="A128" s="2">
        <v>126</v>
      </c>
      <c r="B128" s="3" t="s">
        <v>153</v>
      </c>
      <c r="C128" t="s">
        <v>153</v>
      </c>
      <c r="D128" t="s">
        <v>23</v>
      </c>
      <c r="E128">
        <v>1</v>
      </c>
      <c r="F128" s="24"/>
      <c r="G128" s="24">
        <v>238.30344342520993</v>
      </c>
      <c r="H128" s="25">
        <v>244.89510171245135</v>
      </c>
      <c r="I128" s="25">
        <v>216.3681786594465</v>
      </c>
      <c r="J128" s="25">
        <v>226.07349296649508</v>
      </c>
      <c r="K128" s="25">
        <v>229.62982212160063</v>
      </c>
      <c r="L128" s="25">
        <v>199.42025604968859</v>
      </c>
      <c r="M128" s="26">
        <v>206.27566920191592</v>
      </c>
      <c r="N128" s="25">
        <v>219.30812663362781</v>
      </c>
      <c r="O128" s="26">
        <v>242.31311657796689</v>
      </c>
      <c r="P128" s="26">
        <v>238.78508503098786</v>
      </c>
      <c r="Q128" s="26">
        <v>221.71600000000001</v>
      </c>
      <c r="R128" s="26">
        <v>399.85240911605013</v>
      </c>
      <c r="S128" s="26">
        <v>410.97497313702303</v>
      </c>
      <c r="T128" s="27"/>
      <c r="U128" s="4">
        <v>3.0371182538944108E-3</v>
      </c>
      <c r="V128" s="4">
        <f t="shared" si="17"/>
        <v>2.7660776497802297E-2</v>
      </c>
      <c r="W128" s="4">
        <f t="shared" si="17"/>
        <v>-6.0045902696696629E-2</v>
      </c>
      <c r="X128" s="4">
        <f t="shared" si="17"/>
        <v>1.4733702861995157E-2</v>
      </c>
      <c r="Y128" s="4">
        <f t="shared" si="16"/>
        <v>3.9097248043007404E-3</v>
      </c>
      <c r="Z128" s="4">
        <f t="shared" si="16"/>
        <v>-2.7816611659485346E-2</v>
      </c>
      <c r="AA128" s="4">
        <f t="shared" si="16"/>
        <v>5.6490689584167697E-3</v>
      </c>
      <c r="AB128" s="4">
        <f t="shared" si="13"/>
        <v>8.7904449802926887E-3</v>
      </c>
      <c r="AC128" s="4">
        <f t="shared" si="13"/>
        <v>1.2547194750845092E-2</v>
      </c>
      <c r="AD128" s="4">
        <f t="shared" si="13"/>
        <v>-1.6283215559267372E-3</v>
      </c>
      <c r="AE128" s="4">
        <f t="shared" si="13"/>
        <v>-7.3892282134959686E-3</v>
      </c>
      <c r="AF128" s="4">
        <f t="shared" si="13"/>
        <v>5.5071913359337588E-2</v>
      </c>
      <c r="AG128" s="4">
        <f t="shared" si="13"/>
        <v>2.2890173276925996E-3</v>
      </c>
      <c r="AI128" s="16">
        <f t="shared" si="15"/>
        <v>216.3681786594465</v>
      </c>
    </row>
    <row r="129" spans="1:35" x14ac:dyDescent="0.25">
      <c r="A129" s="2">
        <v>127</v>
      </c>
      <c r="B129" s="3" t="s">
        <v>154</v>
      </c>
      <c r="C129" t="s">
        <v>11</v>
      </c>
      <c r="D129" t="s">
        <v>16</v>
      </c>
      <c r="E129">
        <v>1</v>
      </c>
      <c r="F129" s="24"/>
      <c r="G129" s="24">
        <v>98.38130000000001</v>
      </c>
      <c r="H129" s="25">
        <v>100.35169999999999</v>
      </c>
      <c r="I129" s="25">
        <v>101.56480000000001</v>
      </c>
      <c r="J129" s="25">
        <v>102.45</v>
      </c>
      <c r="K129" s="25">
        <v>102.44580000000001</v>
      </c>
      <c r="L129" s="25">
        <v>103.3755</v>
      </c>
      <c r="M129" s="26">
        <v>104.33669999999999</v>
      </c>
      <c r="N129" s="25">
        <v>104.25020000000001</v>
      </c>
      <c r="O129" s="26" t="s">
        <v>12</v>
      </c>
      <c r="P129" s="26" t="s">
        <v>12</v>
      </c>
      <c r="Q129" s="26" t="s">
        <v>12</v>
      </c>
      <c r="R129" s="26" t="s">
        <v>12</v>
      </c>
      <c r="S129" s="26" t="s">
        <v>12</v>
      </c>
      <c r="T129" s="27"/>
      <c r="U129" s="4">
        <v>-3.6249337279888549E-2</v>
      </c>
      <c r="V129" s="4">
        <f t="shared" si="17"/>
        <v>2.0028196415375454E-2</v>
      </c>
      <c r="W129" s="4">
        <f t="shared" si="17"/>
        <v>6.0260855459772777E-3</v>
      </c>
      <c r="X129" s="4">
        <f t="shared" si="17"/>
        <v>2.8968064128978011E-3</v>
      </c>
      <c r="Y129" s="4">
        <f t="shared" si="16"/>
        <v>-1.0249059467115629E-5</v>
      </c>
      <c r="Z129" s="4">
        <f t="shared" si="16"/>
        <v>1.8084556579938127E-3</v>
      </c>
      <c r="AA129" s="4">
        <f t="shared" si="16"/>
        <v>1.5437202496750846E-3</v>
      </c>
      <c r="AB129" s="4">
        <f t="shared" si="13"/>
        <v>-1.1847734953862599E-4</v>
      </c>
      <c r="AC129" s="4" t="str">
        <f t="shared" si="13"/>
        <v>.</v>
      </c>
      <c r="AD129" s="4" t="str">
        <f t="shared" si="13"/>
        <v>.</v>
      </c>
      <c r="AE129" s="4" t="str">
        <f t="shared" si="13"/>
        <v>.</v>
      </c>
      <c r="AF129" s="4" t="str">
        <f t="shared" si="13"/>
        <v>.</v>
      </c>
      <c r="AG129" s="4" t="str">
        <f t="shared" si="13"/>
        <v>.</v>
      </c>
      <c r="AI129" s="16">
        <f t="shared" si="15"/>
        <v>101.56480000000001</v>
      </c>
    </row>
    <row r="130" spans="1:35" x14ac:dyDescent="0.25">
      <c r="A130" s="2">
        <v>128</v>
      </c>
      <c r="B130" s="3" t="s">
        <v>155</v>
      </c>
      <c r="C130" t="s">
        <v>155</v>
      </c>
      <c r="D130" t="s">
        <v>9</v>
      </c>
      <c r="E130">
        <v>1</v>
      </c>
      <c r="F130" s="24"/>
      <c r="G130" s="24">
        <v>125.12230634615385</v>
      </c>
      <c r="H130" s="25">
        <v>167.77527472527473</v>
      </c>
      <c r="I130" s="25">
        <v>186.83351648351649</v>
      </c>
      <c r="J130" s="25">
        <v>198.72774725274726</v>
      </c>
      <c r="K130" s="25">
        <v>206.22472527472527</v>
      </c>
      <c r="L130" s="25">
        <v>161.73983516483517</v>
      </c>
      <c r="M130" s="26">
        <v>151.73214285714286</v>
      </c>
      <c r="N130" s="25">
        <v>166.92857142857142</v>
      </c>
      <c r="O130" s="26">
        <v>183.33495381320878</v>
      </c>
      <c r="P130" s="26">
        <v>175.83755099618514</v>
      </c>
      <c r="Q130" s="26">
        <v>147.791</v>
      </c>
      <c r="R130" s="26">
        <v>384.52072794640583</v>
      </c>
      <c r="S130" s="26">
        <v>405.27930879408871</v>
      </c>
      <c r="T130" s="27"/>
      <c r="U130" s="4">
        <v>0.10736229258739471</v>
      </c>
      <c r="V130" s="4">
        <f t="shared" si="17"/>
        <v>0.34089020275186122</v>
      </c>
      <c r="W130" s="4">
        <f t="shared" si="17"/>
        <v>5.5269569404179597E-2</v>
      </c>
      <c r="X130" s="4">
        <f t="shared" si="17"/>
        <v>2.0785691479527246E-2</v>
      </c>
      <c r="Y130" s="4">
        <f t="shared" si="16"/>
        <v>9.3006572499458873E-3</v>
      </c>
      <c r="Z130" s="4">
        <f t="shared" si="16"/>
        <v>-4.7433613226967597E-2</v>
      </c>
      <c r="AA130" s="4">
        <f t="shared" si="16"/>
        <v>-1.0588928408742926E-2</v>
      </c>
      <c r="AB130" s="4">
        <f t="shared" si="13"/>
        <v>1.3728996986324127E-2</v>
      </c>
      <c r="AC130" s="4">
        <f t="shared" si="13"/>
        <v>1.1787534773039843E-2</v>
      </c>
      <c r="AD130" s="4">
        <f t="shared" si="13"/>
        <v>-4.6286176017044101E-3</v>
      </c>
      <c r="AE130" s="4">
        <f t="shared" ref="AE130:AG177" si="18">IFERROR((Q130/P130)^(1/(AE$2-$U$2))-1,".")</f>
        <v>-1.7226050359918643E-2</v>
      </c>
      <c r="AF130" s="4">
        <f t="shared" si="18"/>
        <v>9.0817204122450645E-2</v>
      </c>
      <c r="AG130" s="4">
        <f t="shared" si="18"/>
        <v>4.3911784611918581E-3</v>
      </c>
      <c r="AI130" s="16">
        <f t="shared" si="15"/>
        <v>186.83351648351649</v>
      </c>
    </row>
    <row r="131" spans="1:35" x14ac:dyDescent="0.25">
      <c r="A131" s="2">
        <v>129</v>
      </c>
      <c r="B131" s="3" t="s">
        <v>156</v>
      </c>
      <c r="C131" t="s">
        <v>156</v>
      </c>
      <c r="D131" t="s">
        <v>23</v>
      </c>
      <c r="E131">
        <v>1</v>
      </c>
      <c r="F131" s="24"/>
      <c r="G131" s="24">
        <v>166.22518015041379</v>
      </c>
      <c r="H131" s="25">
        <v>183.44315423473068</v>
      </c>
      <c r="I131" s="25">
        <v>171.19626895796091</v>
      </c>
      <c r="J131" s="25">
        <v>190.94906697917605</v>
      </c>
      <c r="K131" s="25">
        <v>199.62680640152868</v>
      </c>
      <c r="L131" s="25">
        <v>177.89345183114065</v>
      </c>
      <c r="M131" s="26">
        <v>188.49413677571937</v>
      </c>
      <c r="N131" s="25">
        <v>211.4069339913633</v>
      </c>
      <c r="O131" s="26">
        <v>241.45740308504159</v>
      </c>
      <c r="P131" s="26">
        <v>250.07744401708396</v>
      </c>
      <c r="Q131" s="26">
        <v>248.624</v>
      </c>
      <c r="R131" s="26">
        <v>684.73779476985635</v>
      </c>
      <c r="S131" s="26">
        <v>794.36924541591861</v>
      </c>
      <c r="T131" s="27"/>
      <c r="U131" s="4">
        <v>1.2954901571688549E-2</v>
      </c>
      <c r="V131" s="4">
        <f t="shared" si="17"/>
        <v>0.10358222544103546</v>
      </c>
      <c r="W131" s="4">
        <f t="shared" si="17"/>
        <v>-3.395714428256813E-2</v>
      </c>
      <c r="X131" s="4">
        <f t="shared" si="17"/>
        <v>3.7069228874572646E-2</v>
      </c>
      <c r="Y131" s="4">
        <f t="shared" si="16"/>
        <v>1.1172685423006312E-2</v>
      </c>
      <c r="Z131" s="4">
        <f t="shared" si="16"/>
        <v>-2.278928428379956E-2</v>
      </c>
      <c r="AA131" s="4">
        <f t="shared" si="16"/>
        <v>9.6937018050786694E-3</v>
      </c>
      <c r="AB131" s="4">
        <f t="shared" si="16"/>
        <v>1.6523306124034409E-2</v>
      </c>
      <c r="AC131" s="4">
        <f t="shared" si="16"/>
        <v>1.6752296982759152E-2</v>
      </c>
      <c r="AD131" s="4">
        <f t="shared" si="16"/>
        <v>3.9051132915381981E-3</v>
      </c>
      <c r="AE131" s="4">
        <f t="shared" si="18"/>
        <v>-5.8272324237529372E-4</v>
      </c>
      <c r="AF131" s="4">
        <f t="shared" si="18"/>
        <v>9.6473892740168266E-2</v>
      </c>
      <c r="AG131" s="4">
        <f t="shared" si="18"/>
        <v>1.2452934537362959E-2</v>
      </c>
      <c r="AI131" s="16">
        <f t="shared" si="15"/>
        <v>171.19626895796091</v>
      </c>
    </row>
    <row r="132" spans="1:35" x14ac:dyDescent="0.25">
      <c r="A132" s="2">
        <v>130</v>
      </c>
      <c r="B132" s="3" t="s">
        <v>157</v>
      </c>
      <c r="C132" t="s">
        <v>158</v>
      </c>
      <c r="D132" t="s">
        <v>7</v>
      </c>
      <c r="E132">
        <v>1</v>
      </c>
      <c r="F132" s="24"/>
      <c r="G132" s="24">
        <v>1524.9174684426023</v>
      </c>
      <c r="H132" s="25">
        <v>2051.6617320594678</v>
      </c>
      <c r="I132" s="25">
        <v>2210.2569769447437</v>
      </c>
      <c r="J132" s="25">
        <v>2297.1280390581614</v>
      </c>
      <c r="K132" s="25">
        <v>2059.9841583846014</v>
      </c>
      <c r="L132" s="25">
        <v>1363.5943695114026</v>
      </c>
      <c r="M132" s="26">
        <v>1282.7238810837125</v>
      </c>
      <c r="N132" s="25">
        <v>1578.6240605882563</v>
      </c>
      <c r="O132" s="26">
        <v>1669.5830893229568</v>
      </c>
      <c r="P132" s="26">
        <v>1699.8765788713531</v>
      </c>
      <c r="Q132" s="26">
        <v>3916.0448014681829</v>
      </c>
      <c r="R132" s="26">
        <v>4574.4268285104145</v>
      </c>
      <c r="S132" s="26">
        <v>4650.4629820803621</v>
      </c>
      <c r="T132" s="27"/>
      <c r="U132" s="4">
        <v>3.4583209312197827E-3</v>
      </c>
      <c r="V132" s="4">
        <f t="shared" si="17"/>
        <v>0.34542476856457638</v>
      </c>
      <c r="W132" s="4">
        <f t="shared" si="17"/>
        <v>3.7931054513890894E-2</v>
      </c>
      <c r="X132" s="4">
        <f t="shared" si="17"/>
        <v>1.293321183171714E-2</v>
      </c>
      <c r="Y132" s="4">
        <f t="shared" si="16"/>
        <v>-2.6872670767320805E-2</v>
      </c>
      <c r="Z132" s="4">
        <f t="shared" si="16"/>
        <v>-7.920221961464402E-2</v>
      </c>
      <c r="AA132" s="4">
        <f t="shared" si="16"/>
        <v>-1.0137974611386991E-2</v>
      </c>
      <c r="AB132" s="4">
        <f t="shared" si="16"/>
        <v>3.0096553081342181E-2</v>
      </c>
      <c r="AC132" s="4">
        <f t="shared" si="16"/>
        <v>7.0271161507025059E-3</v>
      </c>
      <c r="AD132" s="4">
        <f t="shared" si="16"/>
        <v>1.9999638889240945E-3</v>
      </c>
      <c r="AE132" s="4">
        <f t="shared" si="18"/>
        <v>8.7033744924529532E-2</v>
      </c>
      <c r="AF132" s="4">
        <f t="shared" si="18"/>
        <v>1.4227464364217512E-2</v>
      </c>
      <c r="AG132" s="4">
        <f t="shared" si="18"/>
        <v>1.3747251685627404E-3</v>
      </c>
      <c r="AI132" s="16">
        <f t="shared" ref="AI132:AI147" si="19">IF(SUMIF($G$2:$S$2,AI$2,$G132:$S132)=0,".",SUMIF($G$2:$S$2,AI$2,$G132:$S132))</f>
        <v>2210.2569769447437</v>
      </c>
    </row>
    <row r="133" spans="1:35" x14ac:dyDescent="0.25">
      <c r="A133" s="2">
        <v>131</v>
      </c>
      <c r="B133" s="3" t="s">
        <v>159</v>
      </c>
      <c r="C133" t="s">
        <v>159</v>
      </c>
      <c r="D133" t="s">
        <v>14</v>
      </c>
      <c r="E133">
        <v>1</v>
      </c>
      <c r="F133" s="24"/>
      <c r="G133" s="24">
        <v>5.783152633482465</v>
      </c>
      <c r="H133" s="25">
        <v>6.5633205704086164</v>
      </c>
      <c r="I133" s="25">
        <v>7.3349176967226333</v>
      </c>
      <c r="J133" s="25">
        <v>7.621923307703252</v>
      </c>
      <c r="K133" s="25">
        <v>8.0165919276592295</v>
      </c>
      <c r="L133" s="25">
        <v>8.2776131935763093</v>
      </c>
      <c r="M133" s="26">
        <v>8.4756815325216905</v>
      </c>
      <c r="N133" s="25">
        <v>9.1354544421401265</v>
      </c>
      <c r="O133" s="26">
        <v>9.635951159792933</v>
      </c>
      <c r="P133" s="26">
        <v>10.354417725155495</v>
      </c>
      <c r="Q133" s="26">
        <v>10.428000000000001</v>
      </c>
      <c r="R133" s="26">
        <v>35.445518176271158</v>
      </c>
      <c r="S133" s="26">
        <v>38.993456494102091</v>
      </c>
      <c r="T133" s="27"/>
      <c r="U133" s="4" t="s">
        <v>12</v>
      </c>
      <c r="V133" s="4">
        <f t="shared" si="17"/>
        <v>0.13490357014083409</v>
      </c>
      <c r="W133" s="4">
        <f t="shared" si="17"/>
        <v>5.7148052588316567E-2</v>
      </c>
      <c r="X133" s="4">
        <f t="shared" si="17"/>
        <v>1.2876378905972707E-2</v>
      </c>
      <c r="Y133" s="4">
        <f t="shared" si="16"/>
        <v>1.2701144105198736E-2</v>
      </c>
      <c r="Z133" s="4">
        <f t="shared" si="16"/>
        <v>6.4288328650690119E-3</v>
      </c>
      <c r="AA133" s="4">
        <f t="shared" si="16"/>
        <v>3.9488431587544337E-3</v>
      </c>
      <c r="AB133" s="4">
        <f t="shared" si="16"/>
        <v>1.0766383283094427E-2</v>
      </c>
      <c r="AC133" s="4">
        <f t="shared" si="16"/>
        <v>6.6895356905041226E-3</v>
      </c>
      <c r="AD133" s="4">
        <f t="shared" si="16"/>
        <v>8.0222567652634691E-3</v>
      </c>
      <c r="AE133" s="4">
        <f t="shared" si="18"/>
        <v>7.0837418646707562E-4</v>
      </c>
      <c r="AF133" s="4">
        <f t="shared" si="18"/>
        <v>0.11764912505821634</v>
      </c>
      <c r="AG133" s="4">
        <f t="shared" si="18"/>
        <v>7.9814358093956983E-3</v>
      </c>
      <c r="AI133" s="16">
        <f t="shared" si="19"/>
        <v>7.3349176967226333</v>
      </c>
    </row>
    <row r="134" spans="1:35" x14ac:dyDescent="0.25">
      <c r="A134" s="2">
        <v>132</v>
      </c>
      <c r="B134" s="3" t="s">
        <v>160</v>
      </c>
      <c r="C134" t="s">
        <v>161</v>
      </c>
      <c r="D134" t="s">
        <v>16</v>
      </c>
      <c r="E134">
        <v>0</v>
      </c>
      <c r="F134" s="24">
        <v>1</v>
      </c>
      <c r="G134" s="24" t="s">
        <v>12</v>
      </c>
      <c r="H134" s="25" t="s">
        <v>12</v>
      </c>
      <c r="I134" s="25" t="s">
        <v>12</v>
      </c>
      <c r="J134" s="25" t="s">
        <v>12</v>
      </c>
      <c r="K134" s="25" t="s">
        <v>12</v>
      </c>
      <c r="L134" s="25" t="s">
        <v>12</v>
      </c>
      <c r="M134" s="26" t="s">
        <v>12</v>
      </c>
      <c r="N134" s="26" t="s">
        <v>12</v>
      </c>
      <c r="O134" s="26" t="s">
        <v>12</v>
      </c>
      <c r="P134" s="26" t="s">
        <v>12</v>
      </c>
      <c r="Q134" s="26" t="s">
        <v>12</v>
      </c>
      <c r="R134" s="26" t="s">
        <v>12</v>
      </c>
      <c r="S134" s="26" t="s">
        <v>12</v>
      </c>
      <c r="T134" s="27"/>
      <c r="U134" s="4" t="s">
        <v>12</v>
      </c>
      <c r="V134" s="4" t="str">
        <f t="shared" si="17"/>
        <v>.</v>
      </c>
      <c r="W134" s="4" t="str">
        <f t="shared" si="17"/>
        <v>.</v>
      </c>
      <c r="X134" s="4" t="str">
        <f t="shared" si="17"/>
        <v>.</v>
      </c>
      <c r="Y134" s="4" t="str">
        <f t="shared" si="16"/>
        <v>.</v>
      </c>
      <c r="Z134" s="4" t="str">
        <f t="shared" si="16"/>
        <v>.</v>
      </c>
      <c r="AA134" s="4" t="str">
        <f t="shared" si="16"/>
        <v>.</v>
      </c>
      <c r="AB134" s="4" t="str">
        <f t="shared" si="16"/>
        <v>.</v>
      </c>
      <c r="AC134" s="4" t="str">
        <f t="shared" si="16"/>
        <v>.</v>
      </c>
      <c r="AD134" s="4" t="str">
        <f t="shared" si="16"/>
        <v>.</v>
      </c>
      <c r="AE134" s="4" t="str">
        <f t="shared" si="18"/>
        <v>.</v>
      </c>
      <c r="AF134" s="4" t="str">
        <f t="shared" si="18"/>
        <v>.</v>
      </c>
      <c r="AG134" s="4" t="str">
        <f t="shared" si="18"/>
        <v>.</v>
      </c>
      <c r="AI134" s="16" t="str">
        <f t="shared" si="19"/>
        <v>.</v>
      </c>
    </row>
    <row r="135" spans="1:35" x14ac:dyDescent="0.25">
      <c r="A135" s="2">
        <v>133</v>
      </c>
      <c r="B135" s="3" t="s">
        <v>162</v>
      </c>
      <c r="C135" t="s">
        <v>162</v>
      </c>
      <c r="D135" t="s">
        <v>21</v>
      </c>
      <c r="E135">
        <v>0</v>
      </c>
      <c r="F135" s="24">
        <v>1</v>
      </c>
      <c r="G135" s="24">
        <v>0.64304673339112617</v>
      </c>
      <c r="H135" s="25">
        <v>0.73978512188992218</v>
      </c>
      <c r="I135" s="25">
        <v>0.80116862233811381</v>
      </c>
      <c r="J135" s="25">
        <v>0.80480852553722249</v>
      </c>
      <c r="K135" s="25">
        <v>0.80516257642297417</v>
      </c>
      <c r="L135" s="25">
        <v>0.80410057340868768</v>
      </c>
      <c r="M135" s="26">
        <v>0.78664001224318014</v>
      </c>
      <c r="N135" s="26">
        <v>0.84153841299889565</v>
      </c>
      <c r="O135" s="26">
        <v>0.82149606452618451</v>
      </c>
      <c r="P135" s="26">
        <v>0.85225019098548516</v>
      </c>
      <c r="Q135" s="26">
        <v>0.88543807034167965</v>
      </c>
      <c r="R135" s="26">
        <v>0.91509088269680916</v>
      </c>
      <c r="S135" s="26">
        <v>0.89350919975904475</v>
      </c>
      <c r="T135" s="27"/>
      <c r="U135" s="4" t="s">
        <v>12</v>
      </c>
      <c r="V135" s="4">
        <f t="shared" si="17"/>
        <v>0.15043757082575193</v>
      </c>
      <c r="W135" s="4">
        <f t="shared" si="17"/>
        <v>4.0660737295603377E-2</v>
      </c>
      <c r="X135" s="4">
        <f t="shared" si="17"/>
        <v>1.5121264314137406E-3</v>
      </c>
      <c r="Y135" s="4">
        <f t="shared" si="16"/>
        <v>1.0996171194999071E-4</v>
      </c>
      <c r="Z135" s="4">
        <f t="shared" si="16"/>
        <v>-2.6393769373733722E-4</v>
      </c>
      <c r="AA135" s="4">
        <f t="shared" si="16"/>
        <v>-3.6522520146436976E-3</v>
      </c>
      <c r="AB135" s="4">
        <f t="shared" si="16"/>
        <v>9.6838644885648417E-3</v>
      </c>
      <c r="AC135" s="4">
        <f t="shared" si="16"/>
        <v>-3.0085295230466436E-3</v>
      </c>
      <c r="AD135" s="4">
        <f t="shared" si="16"/>
        <v>4.0920148833802905E-3</v>
      </c>
      <c r="AE135" s="4">
        <f t="shared" si="18"/>
        <v>3.827544627249102E-3</v>
      </c>
      <c r="AF135" s="4">
        <f t="shared" si="18"/>
        <v>2.9991127686763708E-3</v>
      </c>
      <c r="AG135" s="4">
        <f t="shared" si="18"/>
        <v>-1.9869196924393595E-3</v>
      </c>
      <c r="AI135" s="16">
        <f t="shared" si="19"/>
        <v>0.80116862233811381</v>
      </c>
    </row>
    <row r="136" spans="1:35" x14ac:dyDescent="0.25">
      <c r="A136" s="2">
        <v>134</v>
      </c>
      <c r="B136" s="3" t="s">
        <v>163</v>
      </c>
      <c r="C136" t="s">
        <v>164</v>
      </c>
      <c r="D136" t="s">
        <v>9</v>
      </c>
      <c r="E136">
        <v>1</v>
      </c>
      <c r="F136" s="24"/>
      <c r="G136" s="24">
        <v>528.20719999999994</v>
      </c>
      <c r="H136" s="25">
        <v>671.23884010666666</v>
      </c>
      <c r="I136" s="25">
        <v>735.97484336000002</v>
      </c>
      <c r="J136" s="25">
        <v>746.64712741333335</v>
      </c>
      <c r="K136" s="25">
        <v>756.3503473333335</v>
      </c>
      <c r="L136" s="25">
        <v>654.26990288000002</v>
      </c>
      <c r="M136" s="26">
        <v>644.93554143999995</v>
      </c>
      <c r="N136" s="25">
        <v>688.58613333333335</v>
      </c>
      <c r="O136" s="26">
        <v>786.52183157195725</v>
      </c>
      <c r="P136" s="26">
        <v>792.96683816165853</v>
      </c>
      <c r="Q136" s="26">
        <v>680.89700000000005</v>
      </c>
      <c r="R136" s="26">
        <v>1898.941846646527</v>
      </c>
      <c r="S136" s="26">
        <v>1919.0570531004948</v>
      </c>
      <c r="T136" s="27"/>
      <c r="U136" s="4">
        <v>1.6280293689945324E-2</v>
      </c>
      <c r="V136" s="4">
        <f t="shared" si="17"/>
        <v>0.27078699439664344</v>
      </c>
      <c r="W136" s="4">
        <f t="shared" si="17"/>
        <v>4.7111539712547668E-2</v>
      </c>
      <c r="X136" s="4">
        <f t="shared" si="17"/>
        <v>4.8104496638514682E-3</v>
      </c>
      <c r="Y136" s="4">
        <f t="shared" si="16"/>
        <v>3.2332166145931929E-3</v>
      </c>
      <c r="Z136" s="4">
        <f t="shared" si="16"/>
        <v>-2.858056870138781E-2</v>
      </c>
      <c r="AA136" s="4">
        <f t="shared" si="16"/>
        <v>-2.3920654087352666E-3</v>
      </c>
      <c r="AB136" s="4">
        <f t="shared" si="16"/>
        <v>9.3996211443565514E-3</v>
      </c>
      <c r="AC136" s="4">
        <f t="shared" si="16"/>
        <v>1.6761430917565878E-2</v>
      </c>
      <c r="AD136" s="4">
        <f t="shared" si="16"/>
        <v>9.0718041289683526E-4</v>
      </c>
      <c r="AE136" s="4">
        <f t="shared" si="18"/>
        <v>-1.5121539324826405E-2</v>
      </c>
      <c r="AF136" s="4">
        <f t="shared" si="18"/>
        <v>9.7725261543957886E-2</v>
      </c>
      <c r="AG136" s="4">
        <f t="shared" si="18"/>
        <v>8.7848055564032634E-4</v>
      </c>
      <c r="AI136" s="16">
        <f t="shared" si="19"/>
        <v>735.97484336000002</v>
      </c>
    </row>
    <row r="137" spans="1:35" x14ac:dyDescent="0.25">
      <c r="A137" s="2">
        <v>135</v>
      </c>
      <c r="B137" s="3" t="s">
        <v>165</v>
      </c>
      <c r="C137" t="s">
        <v>165</v>
      </c>
      <c r="D137" t="s">
        <v>14</v>
      </c>
      <c r="E137">
        <v>1</v>
      </c>
      <c r="F137" s="24"/>
      <c r="G137" s="24">
        <v>16.215069255547863</v>
      </c>
      <c r="H137" s="25">
        <v>17.878780184870877</v>
      </c>
      <c r="I137" s="25">
        <v>17.825417949423077</v>
      </c>
      <c r="J137" s="25">
        <v>18.96018237139365</v>
      </c>
      <c r="K137" s="25">
        <v>19.770840285994559</v>
      </c>
      <c r="L137" s="25">
        <v>17.767704596926706</v>
      </c>
      <c r="M137" s="26">
        <v>19.027392875848935</v>
      </c>
      <c r="N137" s="25">
        <v>21.08166987006236</v>
      </c>
      <c r="O137" s="26">
        <v>23.236007428258166</v>
      </c>
      <c r="P137" s="26">
        <v>23.578084052014727</v>
      </c>
      <c r="Q137" s="26">
        <v>24.408999999999999</v>
      </c>
      <c r="R137" s="26">
        <v>62.195562715702238</v>
      </c>
      <c r="S137" s="26">
        <v>70.956809247098633</v>
      </c>
      <c r="T137" s="27"/>
      <c r="U137" s="4">
        <v>2.7473187276252142E-2</v>
      </c>
      <c r="V137" s="4">
        <f t="shared" si="17"/>
        <v>0.10260276432391979</v>
      </c>
      <c r="W137" s="4">
        <f t="shared" si="17"/>
        <v>-1.4934495411750293E-3</v>
      </c>
      <c r="X137" s="4">
        <f t="shared" si="17"/>
        <v>2.0784960766943694E-2</v>
      </c>
      <c r="Y137" s="4">
        <f t="shared" si="16"/>
        <v>1.0521724061880011E-2</v>
      </c>
      <c r="Z137" s="4">
        <f t="shared" si="16"/>
        <v>-2.1138517959431002E-2</v>
      </c>
      <c r="AA137" s="4">
        <f t="shared" si="16"/>
        <v>1.1481615233781106E-2</v>
      </c>
      <c r="AB137" s="4">
        <f t="shared" si="16"/>
        <v>1.4754106563269476E-2</v>
      </c>
      <c r="AC137" s="4">
        <f t="shared" si="16"/>
        <v>1.2236660656574472E-2</v>
      </c>
      <c r="AD137" s="4">
        <f t="shared" si="16"/>
        <v>1.6251545674661472E-3</v>
      </c>
      <c r="AE137" s="4">
        <f t="shared" si="18"/>
        <v>3.4694323998394339E-3</v>
      </c>
      <c r="AF137" s="4">
        <f t="shared" si="18"/>
        <v>8.8749901066814463E-2</v>
      </c>
      <c r="AG137" s="4">
        <f t="shared" si="18"/>
        <v>1.1042836370144693E-2</v>
      </c>
      <c r="AI137" s="16">
        <f t="shared" si="19"/>
        <v>17.825417949423077</v>
      </c>
    </row>
    <row r="138" spans="1:35" x14ac:dyDescent="0.25">
      <c r="A138" s="2">
        <v>136</v>
      </c>
      <c r="B138" s="3" t="s">
        <v>166</v>
      </c>
      <c r="C138" t="s">
        <v>166</v>
      </c>
      <c r="D138" t="s">
        <v>7</v>
      </c>
      <c r="E138">
        <v>1</v>
      </c>
      <c r="F138" s="24"/>
      <c r="G138" s="24">
        <v>41.819468691825051</v>
      </c>
      <c r="H138" s="25">
        <v>49.258136128967152</v>
      </c>
      <c r="I138" s="25">
        <v>43.309252921056725</v>
      </c>
      <c r="J138" s="25">
        <v>48.394238300400779</v>
      </c>
      <c r="K138" s="25">
        <v>47.062205546500039</v>
      </c>
      <c r="L138" s="25">
        <v>39.628549949729532</v>
      </c>
      <c r="M138" s="26">
        <v>40.630392018540967</v>
      </c>
      <c r="N138" s="25">
        <v>44.120424391859977</v>
      </c>
      <c r="O138" s="26">
        <v>50.640650221462217</v>
      </c>
      <c r="P138" s="26">
        <v>51.475016532129338</v>
      </c>
      <c r="Q138" s="26">
        <v>51.999000000000002</v>
      </c>
      <c r="R138" s="26">
        <v>112.00033996181396</v>
      </c>
      <c r="S138" s="26">
        <v>114.27844945514137</v>
      </c>
      <c r="T138" s="27"/>
      <c r="U138" s="4">
        <v>5.2734176813498124E-3</v>
      </c>
      <c r="V138" s="4">
        <f t="shared" si="17"/>
        <v>0.17787570406403153</v>
      </c>
      <c r="W138" s="4">
        <f t="shared" si="17"/>
        <v>-6.2327112239023874E-2</v>
      </c>
      <c r="X138" s="4">
        <f t="shared" si="17"/>
        <v>3.7698021752294197E-2</v>
      </c>
      <c r="Y138" s="4">
        <f t="shared" si="16"/>
        <v>-6.9533414622455769E-3</v>
      </c>
      <c r="Z138" s="4">
        <f t="shared" si="16"/>
        <v>-3.379967105946946E-2</v>
      </c>
      <c r="AA138" s="4">
        <f t="shared" si="16"/>
        <v>4.1697596285155125E-3</v>
      </c>
      <c r="AB138" s="4">
        <f t="shared" si="16"/>
        <v>1.1841917544093805E-2</v>
      </c>
      <c r="AC138" s="4">
        <f t="shared" si="16"/>
        <v>1.7378250408232043E-2</v>
      </c>
      <c r="AD138" s="4">
        <f t="shared" si="16"/>
        <v>1.8174224307807574E-3</v>
      </c>
      <c r="AE138" s="4">
        <f t="shared" si="18"/>
        <v>1.0133044008877601E-3</v>
      </c>
      <c r="AF138" s="4">
        <f t="shared" si="18"/>
        <v>7.2242760433517184E-2</v>
      </c>
      <c r="AG138" s="4">
        <f t="shared" si="18"/>
        <v>1.6794171992167151E-3</v>
      </c>
      <c r="AI138" s="16">
        <f t="shared" si="19"/>
        <v>43.309252921056725</v>
      </c>
    </row>
    <row r="139" spans="1:35" x14ac:dyDescent="0.25">
      <c r="A139" s="2">
        <v>137</v>
      </c>
      <c r="B139" s="3" t="s">
        <v>167</v>
      </c>
      <c r="C139" t="s">
        <v>167</v>
      </c>
      <c r="D139" t="s">
        <v>14</v>
      </c>
      <c r="E139">
        <v>1</v>
      </c>
      <c r="F139" s="24"/>
      <c r="G139" s="24">
        <v>0.96993652529872898</v>
      </c>
      <c r="H139" s="25">
        <v>1.0658266698974237</v>
      </c>
      <c r="I139" s="25">
        <v>1.0602261256261594</v>
      </c>
      <c r="J139" s="25">
        <v>1.3281576088308715</v>
      </c>
      <c r="K139" s="25">
        <v>1.3430078450446772</v>
      </c>
      <c r="L139" s="25">
        <v>1.3774950540412649</v>
      </c>
      <c r="M139" s="26">
        <v>1.4275245653022615</v>
      </c>
      <c r="N139" s="25">
        <v>1.5031686898198433</v>
      </c>
      <c r="O139" s="26">
        <v>1.5860089997484095</v>
      </c>
      <c r="P139" s="26">
        <v>1.7033873873231908</v>
      </c>
      <c r="Q139" s="26">
        <v>1.198</v>
      </c>
      <c r="R139" s="26">
        <v>3.6838126075156485</v>
      </c>
      <c r="S139" s="26">
        <v>3.7199139651592077</v>
      </c>
      <c r="T139" s="27"/>
      <c r="U139" s="4" t="s">
        <v>12</v>
      </c>
      <c r="V139" s="4">
        <f t="shared" si="17"/>
        <v>9.8862288508169804E-2</v>
      </c>
      <c r="W139" s="4">
        <f t="shared" si="17"/>
        <v>-2.6307846508949462E-3</v>
      </c>
      <c r="X139" s="4">
        <f t="shared" si="17"/>
        <v>7.7995722671460266E-2</v>
      </c>
      <c r="Y139" s="4">
        <f t="shared" si="16"/>
        <v>2.7836255098701024E-3</v>
      </c>
      <c r="Z139" s="4">
        <f t="shared" si="16"/>
        <v>5.0838617023922783E-3</v>
      </c>
      <c r="AA139" s="4">
        <f t="shared" si="16"/>
        <v>5.9635783365914463E-3</v>
      </c>
      <c r="AB139" s="4">
        <f t="shared" si="16"/>
        <v>7.4034810850749366E-3</v>
      </c>
      <c r="AC139" s="4">
        <f t="shared" si="16"/>
        <v>6.728215652376246E-3</v>
      </c>
      <c r="AD139" s="4">
        <f t="shared" si="16"/>
        <v>7.9646673913549293E-3</v>
      </c>
      <c r="AE139" s="4">
        <f t="shared" si="18"/>
        <v>-3.4584340315946926E-2</v>
      </c>
      <c r="AF139" s="4">
        <f t="shared" si="18"/>
        <v>0.10751382355053307</v>
      </c>
      <c r="AG139" s="4">
        <f t="shared" si="18"/>
        <v>8.1302114382153512E-4</v>
      </c>
      <c r="AI139" s="16">
        <f t="shared" si="19"/>
        <v>1.0602261256261594</v>
      </c>
    </row>
    <row r="140" spans="1:35" x14ac:dyDescent="0.25">
      <c r="A140" s="2">
        <v>138</v>
      </c>
      <c r="B140" s="3" t="s">
        <v>168</v>
      </c>
      <c r="C140" t="s">
        <v>169</v>
      </c>
      <c r="D140" t="s">
        <v>14</v>
      </c>
      <c r="E140">
        <v>1</v>
      </c>
      <c r="F140" s="24"/>
      <c r="G140" s="24">
        <v>2.5780262971591248</v>
      </c>
      <c r="H140" s="25">
        <v>2.9425467810454804</v>
      </c>
      <c r="I140" s="25">
        <v>3.8018626113641365</v>
      </c>
      <c r="J140" s="25">
        <v>4.9203431949933938</v>
      </c>
      <c r="K140" s="25">
        <v>5.0151578157340611</v>
      </c>
      <c r="L140" s="25">
        <v>4.2187238751379033</v>
      </c>
      <c r="M140" s="26">
        <v>3.6747945301895641</v>
      </c>
      <c r="N140" s="25">
        <v>3.7395779732394319</v>
      </c>
      <c r="O140" s="26">
        <v>4.0851147942232364</v>
      </c>
      <c r="P140" s="26">
        <v>4.121733705291649</v>
      </c>
      <c r="Q140" s="26">
        <v>4.1399999999999997</v>
      </c>
      <c r="R140" s="26">
        <v>13.761168769146881</v>
      </c>
      <c r="S140" s="26">
        <v>14.632233158177534</v>
      </c>
      <c r="T140" s="27"/>
      <c r="U140" s="4" t="s">
        <v>12</v>
      </c>
      <c r="V140" s="4">
        <f t="shared" si="17"/>
        <v>0.14139517672416368</v>
      </c>
      <c r="W140" s="4">
        <f t="shared" si="17"/>
        <v>0.1366755576207539</v>
      </c>
      <c r="X140" s="4">
        <f t="shared" si="17"/>
        <v>8.9765343502601347E-2</v>
      </c>
      <c r="Y140" s="4">
        <f t="shared" si="16"/>
        <v>4.7830540855866577E-3</v>
      </c>
      <c r="Z140" s="4">
        <f t="shared" si="16"/>
        <v>-3.3995166655525044E-2</v>
      </c>
      <c r="AA140" s="4">
        <f t="shared" si="16"/>
        <v>-2.2743292174661534E-2</v>
      </c>
      <c r="AB140" s="4">
        <f t="shared" si="16"/>
        <v>2.4996249705719897E-3</v>
      </c>
      <c r="AC140" s="4">
        <f t="shared" si="16"/>
        <v>1.1108378099917271E-2</v>
      </c>
      <c r="AD140" s="4">
        <f t="shared" si="16"/>
        <v>9.9205262411805606E-4</v>
      </c>
      <c r="AE140" s="4">
        <f t="shared" si="18"/>
        <v>4.4228885418196029E-4</v>
      </c>
      <c r="AF140" s="4">
        <f t="shared" si="18"/>
        <v>0.11538084022617823</v>
      </c>
      <c r="AG140" s="4">
        <f t="shared" si="18"/>
        <v>5.1277753737273279E-3</v>
      </c>
      <c r="AI140" s="16">
        <f t="shared" si="19"/>
        <v>3.8018626113641365</v>
      </c>
    </row>
    <row r="141" spans="1:35" x14ac:dyDescent="0.25">
      <c r="A141" s="2">
        <v>139</v>
      </c>
      <c r="B141" s="3" t="s">
        <v>170</v>
      </c>
      <c r="C141" t="s">
        <v>170</v>
      </c>
      <c r="D141" t="s">
        <v>25</v>
      </c>
      <c r="E141">
        <v>1</v>
      </c>
      <c r="F141" s="24"/>
      <c r="G141" s="24">
        <v>239.80938760542719</v>
      </c>
      <c r="H141" s="25">
        <v>279.35116870726665</v>
      </c>
      <c r="I141" s="25">
        <v>295.08722093302401</v>
      </c>
      <c r="J141" s="25">
        <v>307.57636058499156</v>
      </c>
      <c r="K141" s="25">
        <v>314.85115618341104</v>
      </c>
      <c r="L141" s="25">
        <v>308.00414605760835</v>
      </c>
      <c r="M141" s="26">
        <v>318.06847629388341</v>
      </c>
      <c r="N141" s="25">
        <v>338.40647403867041</v>
      </c>
      <c r="O141" s="26">
        <v>373.21708185053382</v>
      </c>
      <c r="P141" s="26">
        <v>372.06252748863801</v>
      </c>
      <c r="Q141" s="26">
        <v>337.45100000000002</v>
      </c>
      <c r="R141" s="26">
        <v>628.95642580516312</v>
      </c>
      <c r="S141" s="26">
        <v>631.69863469699726</v>
      </c>
      <c r="T141" s="27"/>
      <c r="U141" s="4">
        <v>1.7024280804380121E-2</v>
      </c>
      <c r="V141" s="4">
        <f t="shared" si="17"/>
        <v>0.16488837862719508</v>
      </c>
      <c r="W141" s="4">
        <f t="shared" si="17"/>
        <v>2.7779509009379755E-2</v>
      </c>
      <c r="X141" s="4">
        <f t="shared" si="17"/>
        <v>1.3913371325479762E-2</v>
      </c>
      <c r="Y141" s="4">
        <f t="shared" si="16"/>
        <v>5.8612662887618239E-3</v>
      </c>
      <c r="Z141" s="4">
        <f t="shared" si="16"/>
        <v>-4.3876983994625141E-3</v>
      </c>
      <c r="AA141" s="4">
        <f t="shared" si="16"/>
        <v>5.3732929241350202E-3</v>
      </c>
      <c r="AB141" s="4">
        <f t="shared" si="16"/>
        <v>8.8937543499527649E-3</v>
      </c>
      <c r="AC141" s="4">
        <f t="shared" si="16"/>
        <v>1.2314263835166539E-2</v>
      </c>
      <c r="AD141" s="4">
        <f t="shared" si="16"/>
        <v>-3.4419790963824415E-4</v>
      </c>
      <c r="AE141" s="4">
        <f t="shared" si="18"/>
        <v>-9.7166463732577535E-3</v>
      </c>
      <c r="AF141" s="4">
        <f t="shared" si="18"/>
        <v>5.8236440994794858E-2</v>
      </c>
      <c r="AG141" s="4">
        <f t="shared" si="18"/>
        <v>3.6260386118636134E-4</v>
      </c>
      <c r="AI141" s="16">
        <f t="shared" si="19"/>
        <v>295.08722093302401</v>
      </c>
    </row>
    <row r="142" spans="1:35" x14ac:dyDescent="0.25">
      <c r="A142" s="2">
        <v>140</v>
      </c>
      <c r="B142" s="3" t="s">
        <v>171</v>
      </c>
      <c r="C142" t="s">
        <v>171</v>
      </c>
      <c r="D142" t="s">
        <v>23</v>
      </c>
      <c r="E142">
        <v>0</v>
      </c>
      <c r="F142" s="24"/>
      <c r="G142" s="24">
        <v>121.83306949487478</v>
      </c>
      <c r="H142" s="25">
        <v>126.916</v>
      </c>
      <c r="I142" s="25">
        <v>131.893</v>
      </c>
      <c r="J142" s="25">
        <v>133.136</v>
      </c>
      <c r="K142" s="25">
        <v>152.63399999999999</v>
      </c>
      <c r="L142" s="25">
        <v>81.150000000000006</v>
      </c>
      <c r="M142" s="26">
        <v>155.82</v>
      </c>
      <c r="N142" s="25">
        <v>197.4857661002352</v>
      </c>
      <c r="O142" s="26">
        <v>319.32223785043101</v>
      </c>
      <c r="P142" s="26">
        <v>377.49012090054902</v>
      </c>
      <c r="Q142" s="26">
        <v>222.93534040602174</v>
      </c>
      <c r="R142" s="26">
        <v>237.23763978546049</v>
      </c>
      <c r="S142" s="26">
        <v>230.98522327186583</v>
      </c>
      <c r="T142" s="27"/>
      <c r="U142" s="4" t="s">
        <v>12</v>
      </c>
      <c r="V142" s="4">
        <f t="shared" si="17"/>
        <v>4.1720450171692125E-2</v>
      </c>
      <c r="W142" s="4">
        <f t="shared" si="17"/>
        <v>1.9418909870350776E-2</v>
      </c>
      <c r="X142" s="4">
        <f t="shared" si="17"/>
        <v>3.1316180862956955E-3</v>
      </c>
      <c r="Y142" s="4">
        <f t="shared" si="16"/>
        <v>3.4758363402328074E-2</v>
      </c>
      <c r="Z142" s="4">
        <f t="shared" si="16"/>
        <v>-0.11869253719193051</v>
      </c>
      <c r="AA142" s="4">
        <f t="shared" si="16"/>
        <v>0.11486542232035046</v>
      </c>
      <c r="AB142" s="4">
        <f t="shared" si="16"/>
        <v>3.4431649745266135E-2</v>
      </c>
      <c r="AC142" s="4">
        <f t="shared" si="16"/>
        <v>6.1907457237687646E-2</v>
      </c>
      <c r="AD142" s="4">
        <f t="shared" si="16"/>
        <v>1.876767948004443E-2</v>
      </c>
      <c r="AE142" s="4">
        <f t="shared" si="18"/>
        <v>-5.1303424481526583E-2</v>
      </c>
      <c r="AF142" s="4">
        <f t="shared" si="18"/>
        <v>5.6687854813224359E-3</v>
      </c>
      <c r="AG142" s="4">
        <f t="shared" si="18"/>
        <v>-2.2232414569796077E-3</v>
      </c>
      <c r="AI142" s="16">
        <f t="shared" si="19"/>
        <v>131.893</v>
      </c>
    </row>
    <row r="143" spans="1:35" x14ac:dyDescent="0.25">
      <c r="A143" s="2">
        <v>141</v>
      </c>
      <c r="B143" s="3" t="s">
        <v>172</v>
      </c>
      <c r="C143" t="s">
        <v>172</v>
      </c>
      <c r="D143" t="s">
        <v>23</v>
      </c>
      <c r="E143">
        <v>1</v>
      </c>
      <c r="F143" s="24"/>
      <c r="G143" s="24">
        <v>48.01360674548031</v>
      </c>
      <c r="H143" s="25">
        <v>51.290792018107375</v>
      </c>
      <c r="I143" s="25">
        <v>46.352802765576321</v>
      </c>
      <c r="J143" s="25">
        <v>48.116256926080723</v>
      </c>
      <c r="K143" s="25">
        <v>49.889553216003037</v>
      </c>
      <c r="L143" s="25">
        <v>43.102044290956258</v>
      </c>
      <c r="M143" s="26">
        <v>44.641210338251405</v>
      </c>
      <c r="N143" s="25">
        <v>48.455919386050475</v>
      </c>
      <c r="O143" s="26">
        <v>54.161636034651728</v>
      </c>
      <c r="P143" s="26">
        <v>54.174227308886188</v>
      </c>
      <c r="Q143" s="26">
        <v>51.802</v>
      </c>
      <c r="R143" s="26">
        <v>74.953409254407575</v>
      </c>
      <c r="S143" s="26">
        <v>77.334988438043993</v>
      </c>
      <c r="T143" s="27"/>
      <c r="U143" s="4">
        <v>6.4940424989952117E-3</v>
      </c>
      <c r="V143" s="4">
        <f t="shared" si="17"/>
        <v>6.8255344573453725E-2</v>
      </c>
      <c r="W143" s="4">
        <f t="shared" si="17"/>
        <v>-4.9355156222770313E-2</v>
      </c>
      <c r="X143" s="4">
        <f t="shared" si="17"/>
        <v>1.252388923006631E-2</v>
      </c>
      <c r="Y143" s="4">
        <f t="shared" si="16"/>
        <v>9.0889369587305868E-3</v>
      </c>
      <c r="Z143" s="4">
        <f t="shared" si="16"/>
        <v>-2.8824649857530193E-2</v>
      </c>
      <c r="AA143" s="4">
        <f t="shared" si="16"/>
        <v>5.864965907615538E-3</v>
      </c>
      <c r="AB143" s="4">
        <f t="shared" si="16"/>
        <v>1.1782743880403679E-2</v>
      </c>
      <c r="AC143" s="4">
        <f t="shared" si="16"/>
        <v>1.4012052501695127E-2</v>
      </c>
      <c r="AD143" s="4">
        <f t="shared" si="16"/>
        <v>2.5827985315363122E-5</v>
      </c>
      <c r="AE143" s="4">
        <f t="shared" si="18"/>
        <v>-4.467642848224429E-3</v>
      </c>
      <c r="AF143" s="4">
        <f t="shared" si="18"/>
        <v>3.4155620724916069E-2</v>
      </c>
      <c r="AG143" s="4">
        <f t="shared" si="18"/>
        <v>2.6100481287589794E-3</v>
      </c>
      <c r="AI143" s="16">
        <f t="shared" si="19"/>
        <v>46.352802765576321</v>
      </c>
    </row>
    <row r="144" spans="1:35" x14ac:dyDescent="0.25">
      <c r="A144" s="2">
        <v>142</v>
      </c>
      <c r="B144" s="3" t="s">
        <v>173</v>
      </c>
      <c r="C144" t="s">
        <v>174</v>
      </c>
      <c r="D144" t="s">
        <v>25</v>
      </c>
      <c r="E144">
        <v>0</v>
      </c>
      <c r="F144" s="24">
        <v>1</v>
      </c>
      <c r="G144" s="24">
        <v>0.68115118995651058</v>
      </c>
      <c r="H144" s="25">
        <v>0.93272557876184548</v>
      </c>
      <c r="I144" s="25">
        <v>1.063879451233299</v>
      </c>
      <c r="J144" s="25">
        <v>1.129787201757007</v>
      </c>
      <c r="K144" s="25">
        <v>1.1722682959261765</v>
      </c>
      <c r="L144" s="25">
        <v>1.1546500663019508</v>
      </c>
      <c r="M144" s="26">
        <v>1.2326991403716314</v>
      </c>
      <c r="N144" s="25">
        <v>1.3211310907350331</v>
      </c>
      <c r="O144" s="25">
        <v>1.5939641622131404</v>
      </c>
      <c r="P144" s="25">
        <v>1.5899136222379913</v>
      </c>
      <c r="Q144" s="25">
        <v>1.5509999999999999</v>
      </c>
      <c r="R144" s="25">
        <v>-0.34433632090603172</v>
      </c>
      <c r="S144" s="25">
        <v>-0.11929647395205248</v>
      </c>
      <c r="T144" s="27"/>
      <c r="U144" s="4" t="s">
        <v>12</v>
      </c>
      <c r="V144" s="4">
        <f t="shared" si="17"/>
        <v>0.36933707598954224</v>
      </c>
      <c r="W144" s="4">
        <f t="shared" si="17"/>
        <v>6.7995116533840827E-2</v>
      </c>
      <c r="X144" s="4">
        <f t="shared" si="17"/>
        <v>2.0237799672507606E-2</v>
      </c>
      <c r="Y144" s="4">
        <f t="shared" si="16"/>
        <v>9.2705297239072948E-3</v>
      </c>
      <c r="Z144" s="4">
        <f t="shared" si="16"/>
        <v>-3.0240705045702088E-3</v>
      </c>
      <c r="AA144" s="4">
        <f t="shared" si="16"/>
        <v>1.0961114793255788E-2</v>
      </c>
      <c r="AB144" s="4">
        <f t="shared" si="16"/>
        <v>9.9465799744338224E-3</v>
      </c>
      <c r="AC144" s="4">
        <f t="shared" si="16"/>
        <v>2.3744496220342137E-2</v>
      </c>
      <c r="AD144" s="4">
        <f t="shared" si="16"/>
        <v>-2.8267204823129166E-4</v>
      </c>
      <c r="AE144" s="4">
        <f t="shared" si="18"/>
        <v>-2.4749128332853809E-3</v>
      </c>
      <c r="AF144" s="4">
        <f t="shared" si="18"/>
        <v>-1.8721259020619061</v>
      </c>
      <c r="AG144" s="4">
        <f t="shared" si="18"/>
        <v>-8.4544866478072689E-2</v>
      </c>
      <c r="AI144" s="16">
        <f t="shared" si="19"/>
        <v>1.063879451233299</v>
      </c>
    </row>
    <row r="145" spans="1:35" x14ac:dyDescent="0.25">
      <c r="A145" s="2">
        <v>143</v>
      </c>
      <c r="B145" s="3" t="s">
        <v>175</v>
      </c>
      <c r="C145" t="s">
        <v>175</v>
      </c>
      <c r="D145" t="s">
        <v>14</v>
      </c>
      <c r="E145">
        <v>0</v>
      </c>
      <c r="F145" s="24">
        <v>1</v>
      </c>
      <c r="G145" s="24" t="s">
        <v>12</v>
      </c>
      <c r="H145" s="25" t="s">
        <v>12</v>
      </c>
      <c r="I145" s="25" t="s">
        <v>12</v>
      </c>
      <c r="J145" s="25">
        <v>3.3681990079556652</v>
      </c>
      <c r="K145" s="25">
        <v>3.3403891056603334</v>
      </c>
      <c r="L145" s="25">
        <v>4.0490014222384412</v>
      </c>
      <c r="M145" s="26">
        <v>4.1980002865852857</v>
      </c>
      <c r="N145" s="26">
        <v>4.5090015132827022</v>
      </c>
      <c r="O145" s="26" t="s">
        <v>12</v>
      </c>
      <c r="P145" s="26" t="s">
        <v>12</v>
      </c>
      <c r="Q145" s="26" t="s">
        <v>12</v>
      </c>
      <c r="R145" s="26" t="s">
        <v>12</v>
      </c>
      <c r="S145" s="26" t="s">
        <v>12</v>
      </c>
      <c r="T145" s="27"/>
      <c r="U145" s="4" t="s">
        <v>12</v>
      </c>
      <c r="V145" s="4" t="str">
        <f t="shared" si="17"/>
        <v>.</v>
      </c>
      <c r="W145" s="4" t="str">
        <f t="shared" si="17"/>
        <v>.</v>
      </c>
      <c r="X145" s="4" t="str">
        <f t="shared" si="17"/>
        <v>.</v>
      </c>
      <c r="Y145" s="4">
        <f t="shared" si="16"/>
        <v>-2.0705742982478625E-3</v>
      </c>
      <c r="Z145" s="4">
        <f t="shared" si="16"/>
        <v>3.9226407972889676E-2</v>
      </c>
      <c r="AA145" s="4">
        <f t="shared" si="16"/>
        <v>6.0411749628328515E-3</v>
      </c>
      <c r="AB145" s="4">
        <f t="shared" si="16"/>
        <v>1.0261931202626418E-2</v>
      </c>
      <c r="AC145" s="4" t="str">
        <f t="shared" si="16"/>
        <v>.</v>
      </c>
      <c r="AD145" s="4" t="str">
        <f t="shared" si="16"/>
        <v>.</v>
      </c>
      <c r="AE145" s="4" t="str">
        <f t="shared" si="18"/>
        <v>.</v>
      </c>
      <c r="AF145" s="4" t="str">
        <f t="shared" si="18"/>
        <v>.</v>
      </c>
      <c r="AG145" s="4" t="str">
        <f t="shared" si="18"/>
        <v>.</v>
      </c>
      <c r="AI145" s="16" t="str">
        <f t="shared" si="19"/>
        <v>.</v>
      </c>
    </row>
    <row r="146" spans="1:35" x14ac:dyDescent="0.25">
      <c r="A146" s="2">
        <v>144</v>
      </c>
      <c r="B146" s="3" t="s">
        <v>176</v>
      </c>
      <c r="C146" t="s">
        <v>177</v>
      </c>
      <c r="D146" t="s">
        <v>14</v>
      </c>
      <c r="E146">
        <v>1</v>
      </c>
      <c r="F146" s="24"/>
      <c r="G146" s="24">
        <v>375.34831691774963</v>
      </c>
      <c r="H146" s="25">
        <v>416.41703217854155</v>
      </c>
      <c r="I146" s="25">
        <v>396.3293897202347</v>
      </c>
      <c r="J146" s="25">
        <v>366.64489140735287</v>
      </c>
      <c r="K146" s="25">
        <v>350.63764367919498</v>
      </c>
      <c r="L146" s="25">
        <v>317.41562343430468</v>
      </c>
      <c r="M146" s="26">
        <v>296.34094565268418</v>
      </c>
      <c r="N146" s="25">
        <v>349.26811438687542</v>
      </c>
      <c r="O146" s="26">
        <v>368.28893976832228</v>
      </c>
      <c r="P146" s="26">
        <v>351.43164924143855</v>
      </c>
      <c r="Q146" s="26">
        <v>282.58800000000002</v>
      </c>
      <c r="R146" s="26">
        <v>891.54840419220147</v>
      </c>
      <c r="S146" s="26">
        <v>905.80930224778319</v>
      </c>
      <c r="T146" s="27"/>
      <c r="U146" s="4">
        <v>2.6499114401015822E-2</v>
      </c>
      <c r="V146" s="4">
        <f t="shared" si="17"/>
        <v>0.10941494449218836</v>
      </c>
      <c r="W146" s="4">
        <f t="shared" si="17"/>
        <v>-2.441773444213069E-2</v>
      </c>
      <c r="X146" s="4">
        <f t="shared" si="17"/>
        <v>-2.5616801878122319E-2</v>
      </c>
      <c r="Y146" s="4">
        <f t="shared" si="16"/>
        <v>-1.1098068287856089E-2</v>
      </c>
      <c r="Z146" s="4">
        <f t="shared" si="16"/>
        <v>-1.9711400314382899E-2</v>
      </c>
      <c r="AA146" s="4">
        <f t="shared" si="16"/>
        <v>-1.1384928103579495E-2</v>
      </c>
      <c r="AB146" s="4">
        <f t="shared" si="16"/>
        <v>2.3753325020660299E-2</v>
      </c>
      <c r="AC146" s="4">
        <f t="shared" si="16"/>
        <v>6.6505082145067451E-3</v>
      </c>
      <c r="AD146" s="4">
        <f t="shared" si="16"/>
        <v>-5.1923125086384969E-3</v>
      </c>
      <c r="AE146" s="4">
        <f t="shared" si="18"/>
        <v>-2.1566566056763437E-2</v>
      </c>
      <c r="AF146" s="4">
        <f t="shared" si="18"/>
        <v>0.11010187805144267</v>
      </c>
      <c r="AG146" s="4">
        <f t="shared" si="18"/>
        <v>1.3232972582339908E-3</v>
      </c>
      <c r="AI146" s="16">
        <f t="shared" si="19"/>
        <v>396.3293897202347</v>
      </c>
    </row>
    <row r="147" spans="1:35" x14ac:dyDescent="0.25">
      <c r="A147" s="2">
        <v>145</v>
      </c>
      <c r="B147" s="3" t="s">
        <v>178</v>
      </c>
      <c r="C147" t="s">
        <v>179</v>
      </c>
      <c r="D147" t="s">
        <v>25</v>
      </c>
      <c r="E147">
        <v>1</v>
      </c>
      <c r="F147" s="24"/>
      <c r="G147" s="24">
        <v>1094.4993387027155</v>
      </c>
      <c r="H147" s="25">
        <v>1202.4636826338474</v>
      </c>
      <c r="I147" s="25">
        <v>1222.807284485315</v>
      </c>
      <c r="J147" s="25">
        <v>1305.6049812719134</v>
      </c>
      <c r="K147" s="25">
        <v>1411.3339262012412</v>
      </c>
      <c r="L147" s="25">
        <v>1382.7640271138193</v>
      </c>
      <c r="M147" s="26">
        <v>1414.804158515258</v>
      </c>
      <c r="N147" s="25">
        <v>1530.7509231486999</v>
      </c>
      <c r="O147" s="25">
        <v>1664.75338031158</v>
      </c>
      <c r="P147" s="25">
        <v>1738.74682832902</v>
      </c>
      <c r="Q147" s="25">
        <v>2063.8455969480465</v>
      </c>
      <c r="R147" s="25">
        <v>2327.7890890174699</v>
      </c>
      <c r="S147" s="25">
        <v>2417.540331555294</v>
      </c>
      <c r="T147" s="27"/>
      <c r="U147" s="4" t="s">
        <v>12</v>
      </c>
      <c r="V147" s="4">
        <f t="shared" si="17"/>
        <v>9.8642676256981199E-2</v>
      </c>
      <c r="W147" s="4">
        <f t="shared" si="17"/>
        <v>8.423654609192921E-3</v>
      </c>
      <c r="X147" s="4">
        <f t="shared" si="17"/>
        <v>2.2079302425662028E-2</v>
      </c>
      <c r="Y147" s="4">
        <f t="shared" si="16"/>
        <v>1.9657917348693932E-2</v>
      </c>
      <c r="Z147" s="4">
        <f t="shared" si="16"/>
        <v>-4.0818245987978008E-3</v>
      </c>
      <c r="AA147" s="4">
        <f t="shared" si="16"/>
        <v>3.8250809266953123E-3</v>
      </c>
      <c r="AB147" s="4">
        <f t="shared" si="16"/>
        <v>1.1316018154222229E-2</v>
      </c>
      <c r="AC147" s="4">
        <f t="shared" si="16"/>
        <v>1.0545033328495546E-2</v>
      </c>
      <c r="AD147" s="4">
        <f t="shared" si="16"/>
        <v>4.8436535943499059E-3</v>
      </c>
      <c r="AE147" s="4">
        <f t="shared" si="18"/>
        <v>1.7288383397706664E-2</v>
      </c>
      <c r="AF147" s="4">
        <f t="shared" si="18"/>
        <v>1.1000785887493425E-2</v>
      </c>
      <c r="AG147" s="4">
        <f t="shared" si="18"/>
        <v>3.1576167278439815E-3</v>
      </c>
      <c r="AI147" s="16">
        <f t="shared" si="19"/>
        <v>1222.807284485315</v>
      </c>
    </row>
    <row r="148" spans="1:35" x14ac:dyDescent="0.25">
      <c r="A148" s="2">
        <v>146</v>
      </c>
      <c r="B148" s="3" t="s">
        <v>180</v>
      </c>
      <c r="C148" t="s">
        <v>180</v>
      </c>
      <c r="D148" t="s">
        <v>23</v>
      </c>
      <c r="E148">
        <v>1</v>
      </c>
      <c r="F148" s="24"/>
      <c r="G148" s="24">
        <v>1431.6167496402948</v>
      </c>
      <c r="H148" s="25">
        <v>1488.0672583251962</v>
      </c>
      <c r="I148" s="25">
        <v>1336.0189498055786</v>
      </c>
      <c r="J148" s="25">
        <v>1361.8542065493878</v>
      </c>
      <c r="K148" s="25">
        <v>1376.9108110408829</v>
      </c>
      <c r="L148" s="25">
        <v>1199.084183705078</v>
      </c>
      <c r="M148" s="26">
        <v>1237.4994791811127</v>
      </c>
      <c r="N148" s="25">
        <v>1314.314164402201</v>
      </c>
      <c r="O148" s="26">
        <v>1422.1538398407831</v>
      </c>
      <c r="P148" s="26">
        <v>1393.4905245176449</v>
      </c>
      <c r="Q148" s="26">
        <v>1247.4639999999999</v>
      </c>
      <c r="R148" s="26">
        <v>2356.2716941399917</v>
      </c>
      <c r="S148" s="26">
        <v>2424.6194498473392</v>
      </c>
      <c r="T148" s="27"/>
      <c r="U148" s="4">
        <v>2.2139334795223675E-3</v>
      </c>
      <c r="V148" s="4">
        <f t="shared" si="17"/>
        <v>3.9431299402640452E-2</v>
      </c>
      <c r="W148" s="4">
        <f t="shared" si="17"/>
        <v>-5.2465506973281228E-2</v>
      </c>
      <c r="X148" s="4">
        <f t="shared" si="17"/>
        <v>6.4047228638062226E-3</v>
      </c>
      <c r="Y148" s="4">
        <f t="shared" si="16"/>
        <v>2.7526036794907061E-3</v>
      </c>
      <c r="Z148" s="4">
        <f t="shared" si="16"/>
        <v>-2.7277922659894482E-2</v>
      </c>
      <c r="AA148" s="4">
        <f t="shared" si="16"/>
        <v>5.2696207694638009E-3</v>
      </c>
      <c r="AB148" s="4">
        <f t="shared" si="16"/>
        <v>8.6402831894669685E-3</v>
      </c>
      <c r="AC148" s="4">
        <f t="shared" si="16"/>
        <v>9.9059333156739093E-3</v>
      </c>
      <c r="AD148" s="4">
        <f t="shared" si="16"/>
        <v>-2.2597476868685407E-3</v>
      </c>
      <c r="AE148" s="4">
        <f t="shared" si="18"/>
        <v>-1.100886179972782E-2</v>
      </c>
      <c r="AF148" s="4">
        <f t="shared" si="18"/>
        <v>5.9519244810818384E-2</v>
      </c>
      <c r="AG148" s="4">
        <f t="shared" si="18"/>
        <v>2.3856749498454288E-3</v>
      </c>
      <c r="AI148" s="16">
        <f t="shared" ref="AI148:AI163" si="20">IF(SUMIF($G$2:$S$2,AI$2,$G148:$S148)=0,".",SUMIF($G$2:$S$2,AI$2,$G148:$S148))</f>
        <v>1336.0189498055786</v>
      </c>
    </row>
    <row r="149" spans="1:35" x14ac:dyDescent="0.25">
      <c r="A149" s="2">
        <v>147</v>
      </c>
      <c r="B149" s="3" t="s">
        <v>181</v>
      </c>
      <c r="C149" t="s">
        <v>182</v>
      </c>
      <c r="D149" t="s">
        <v>25</v>
      </c>
      <c r="E149">
        <v>1</v>
      </c>
      <c r="F149" s="24"/>
      <c r="G149" s="24">
        <v>56.725749221904323</v>
      </c>
      <c r="H149" s="25">
        <v>65.292753005466452</v>
      </c>
      <c r="I149" s="25">
        <v>68.434409315112291</v>
      </c>
      <c r="J149" s="25">
        <v>74.317806538363214</v>
      </c>
      <c r="K149" s="25">
        <v>79.356449840577127</v>
      </c>
      <c r="L149" s="25">
        <v>80.604080688577469</v>
      </c>
      <c r="M149" s="26">
        <v>82.401038709535598</v>
      </c>
      <c r="N149" s="25">
        <v>88.019706803833998</v>
      </c>
      <c r="O149" s="26">
        <v>88.425889592151904</v>
      </c>
      <c r="P149" s="26">
        <v>84.008783756068013</v>
      </c>
      <c r="Q149" s="26">
        <v>81.12</v>
      </c>
      <c r="R149" s="26">
        <v>337.92527335754977</v>
      </c>
      <c r="S149" s="26">
        <v>340.98282405261983</v>
      </c>
      <c r="T149" s="27"/>
      <c r="U149" s="4">
        <v>5.8946754082618291E-2</v>
      </c>
      <c r="V149" s="4">
        <f t="shared" si="17"/>
        <v>0.15102495605741639</v>
      </c>
      <c r="W149" s="4">
        <f t="shared" si="17"/>
        <v>2.3775591926578521E-2</v>
      </c>
      <c r="X149" s="4">
        <f t="shared" si="17"/>
        <v>2.7872988484237693E-2</v>
      </c>
      <c r="Y149" s="4">
        <f t="shared" si="16"/>
        <v>1.653500134953223E-2</v>
      </c>
      <c r="Z149" s="4">
        <f t="shared" si="16"/>
        <v>3.1247819880750871E-3</v>
      </c>
      <c r="AA149" s="4">
        <f t="shared" si="16"/>
        <v>3.6815545701962549E-3</v>
      </c>
      <c r="AB149" s="4">
        <f t="shared" si="16"/>
        <v>9.467779643689278E-3</v>
      </c>
      <c r="AC149" s="4">
        <f t="shared" si="16"/>
        <v>5.7567377353162641E-4</v>
      </c>
      <c r="AD149" s="4">
        <f t="shared" si="16"/>
        <v>-5.6775363648130517E-3</v>
      </c>
      <c r="AE149" s="4">
        <f t="shared" si="18"/>
        <v>-3.4930672023436582E-3</v>
      </c>
      <c r="AF149" s="4">
        <f t="shared" si="18"/>
        <v>0.13850699400480648</v>
      </c>
      <c r="AG149" s="4">
        <f t="shared" si="18"/>
        <v>7.5089180892118357E-4</v>
      </c>
      <c r="AI149" s="16">
        <f t="shared" si="20"/>
        <v>68.434409315112291</v>
      </c>
    </row>
    <row r="150" spans="1:35" x14ac:dyDescent="0.25">
      <c r="A150" s="2">
        <v>148</v>
      </c>
      <c r="B150" s="3" t="s">
        <v>183</v>
      </c>
      <c r="C150" t="s">
        <v>183</v>
      </c>
      <c r="D150" t="s">
        <v>18</v>
      </c>
      <c r="E150">
        <v>1</v>
      </c>
      <c r="F150" s="24"/>
      <c r="G150" s="24">
        <v>4.3683980476433302</v>
      </c>
      <c r="H150" s="25">
        <v>4.4222766217870255</v>
      </c>
      <c r="I150" s="25">
        <v>4.9800000000000004</v>
      </c>
      <c r="J150" s="25">
        <v>5.1457575757575764</v>
      </c>
      <c r="K150" s="25">
        <v>5.2406060606060612</v>
      </c>
      <c r="L150" s="25">
        <v>4.7873679281177743</v>
      </c>
      <c r="M150" s="26">
        <v>3.1671643708056383</v>
      </c>
      <c r="N150" s="25">
        <v>3.0687661097533288</v>
      </c>
      <c r="O150" s="26">
        <v>3.46465661641541</v>
      </c>
      <c r="P150" s="26">
        <v>3.6973719495843387</v>
      </c>
      <c r="Q150" s="26">
        <v>2.5379999999999998</v>
      </c>
      <c r="R150" s="26">
        <v>9.5127062186512354</v>
      </c>
      <c r="S150" s="26">
        <v>10.509622931057308</v>
      </c>
      <c r="T150" s="27"/>
      <c r="U150" s="4" t="s">
        <v>12</v>
      </c>
      <c r="V150" s="4">
        <f t="shared" si="17"/>
        <v>1.2333714454606959E-2</v>
      </c>
      <c r="W150" s="4">
        <f t="shared" si="17"/>
        <v>6.1186505965301841E-2</v>
      </c>
      <c r="X150" s="4">
        <f t="shared" si="17"/>
        <v>1.097401505257678E-2</v>
      </c>
      <c r="Y150" s="4">
        <f t="shared" si="16"/>
        <v>4.5765778328832329E-3</v>
      </c>
      <c r="Z150" s="4">
        <f t="shared" si="16"/>
        <v>-1.7928612214956341E-2</v>
      </c>
      <c r="AA150" s="4">
        <f t="shared" si="16"/>
        <v>-6.6540171373278723E-2</v>
      </c>
      <c r="AB150" s="4">
        <f t="shared" si="16"/>
        <v>-4.4985802468062719E-3</v>
      </c>
      <c r="AC150" s="4">
        <f t="shared" si="16"/>
        <v>1.5282852028355443E-2</v>
      </c>
      <c r="AD150" s="4">
        <f t="shared" si="16"/>
        <v>7.249345338030011E-3</v>
      </c>
      <c r="AE150" s="4">
        <f t="shared" si="18"/>
        <v>-3.6925580553362147E-2</v>
      </c>
      <c r="AF150" s="4">
        <f t="shared" si="18"/>
        <v>0.12762519184194976</v>
      </c>
      <c r="AG150" s="4">
        <f t="shared" si="18"/>
        <v>8.3398263197018707E-3</v>
      </c>
      <c r="AI150" s="16">
        <f t="shared" si="20"/>
        <v>4.9800000000000004</v>
      </c>
    </row>
    <row r="151" spans="1:35" x14ac:dyDescent="0.25">
      <c r="A151" s="2">
        <v>149</v>
      </c>
      <c r="B151" s="3" t="s">
        <v>184</v>
      </c>
      <c r="C151" t="s">
        <v>184</v>
      </c>
      <c r="D151" t="s">
        <v>14</v>
      </c>
      <c r="E151">
        <v>1</v>
      </c>
      <c r="F151" s="24"/>
      <c r="G151" s="24">
        <v>5.8579999999999997</v>
      </c>
      <c r="H151" s="25">
        <v>6.2329999999999997</v>
      </c>
      <c r="I151" s="25">
        <v>6.242</v>
      </c>
      <c r="J151" s="25">
        <v>6.7930000000000001</v>
      </c>
      <c r="K151" s="25">
        <v>8.6210000000000004</v>
      </c>
      <c r="L151" s="25">
        <v>10.8</v>
      </c>
      <c r="M151" s="26">
        <v>11.07</v>
      </c>
      <c r="N151" s="25">
        <v>14.449457315011387</v>
      </c>
      <c r="O151" s="26">
        <v>17.580671744187502</v>
      </c>
      <c r="P151" s="26">
        <v>19.4054004016932</v>
      </c>
      <c r="Q151" s="26">
        <v>24.539612842532005</v>
      </c>
      <c r="R151" s="26">
        <v>34.074574456257388</v>
      </c>
      <c r="S151" s="26">
        <v>45.904002343931374</v>
      </c>
      <c r="T151" s="27"/>
      <c r="U151" s="4" t="s">
        <v>12</v>
      </c>
      <c r="V151" s="4">
        <f t="shared" si="17"/>
        <v>6.4015022191874271E-2</v>
      </c>
      <c r="W151" s="4">
        <f t="shared" si="17"/>
        <v>7.2170331354026729E-4</v>
      </c>
      <c r="X151" s="4">
        <f t="shared" si="17"/>
        <v>2.8598650232378509E-2</v>
      </c>
      <c r="Y151" s="4">
        <f t="shared" si="16"/>
        <v>6.138759532404614E-2</v>
      </c>
      <c r="Z151" s="4">
        <f t="shared" si="16"/>
        <v>4.610004813409474E-2</v>
      </c>
      <c r="AA151" s="4">
        <f t="shared" si="16"/>
        <v>4.1239154651442345E-3</v>
      </c>
      <c r="AB151" s="4">
        <f t="shared" si="16"/>
        <v>3.879327830798629E-2</v>
      </c>
      <c r="AC151" s="4">
        <f t="shared" si="16"/>
        <v>2.4820940929747293E-2</v>
      </c>
      <c r="AD151" s="4">
        <f t="shared" si="16"/>
        <v>1.1032783439470784E-2</v>
      </c>
      <c r="AE151" s="4">
        <f t="shared" si="18"/>
        <v>2.3751402760251672E-2</v>
      </c>
      <c r="AF151" s="4">
        <f t="shared" si="18"/>
        <v>3.0291812410034868E-2</v>
      </c>
      <c r="AG151" s="4">
        <f t="shared" si="18"/>
        <v>2.5144319068194587E-2</v>
      </c>
      <c r="AI151" s="16">
        <f t="shared" si="20"/>
        <v>6.242</v>
      </c>
    </row>
    <row r="152" spans="1:35" x14ac:dyDescent="0.25">
      <c r="A152" s="2">
        <v>150</v>
      </c>
      <c r="B152" s="3" t="s">
        <v>185</v>
      </c>
      <c r="C152" t="s">
        <v>185</v>
      </c>
      <c r="D152" t="s">
        <v>23</v>
      </c>
      <c r="E152">
        <v>1</v>
      </c>
      <c r="F152" s="24"/>
      <c r="G152" s="24">
        <v>488.90907869542326</v>
      </c>
      <c r="H152" s="25">
        <v>563.79742338928486</v>
      </c>
      <c r="I152" s="25">
        <v>544.48153196197973</v>
      </c>
      <c r="J152" s="25">
        <v>579.36067166395901</v>
      </c>
      <c r="K152" s="25">
        <v>574.41313202497963</v>
      </c>
      <c r="L152" s="25">
        <v>498.1176388528969</v>
      </c>
      <c r="M152" s="26">
        <v>512.20524040843281</v>
      </c>
      <c r="N152" s="25">
        <v>535.60738550643168</v>
      </c>
      <c r="O152" s="26">
        <v>555.45537148708934</v>
      </c>
      <c r="P152" s="26">
        <v>530.88386900497744</v>
      </c>
      <c r="Q152" s="26">
        <v>529.05399999999997</v>
      </c>
      <c r="R152" s="26">
        <v>643.42447466098508</v>
      </c>
      <c r="S152" s="26">
        <v>710.5690661314685</v>
      </c>
      <c r="T152" s="27"/>
      <c r="U152" s="4">
        <v>-3.1345568188625439E-3</v>
      </c>
      <c r="V152" s="4">
        <f t="shared" si="17"/>
        <v>0.15317437936249689</v>
      </c>
      <c r="W152" s="4">
        <f t="shared" si="17"/>
        <v>-1.7279459876445746E-2</v>
      </c>
      <c r="X152" s="4">
        <f t="shared" si="17"/>
        <v>2.091272981285841E-2</v>
      </c>
      <c r="Y152" s="4">
        <f t="shared" si="16"/>
        <v>-2.1417845253079992E-3</v>
      </c>
      <c r="Z152" s="4">
        <f t="shared" si="16"/>
        <v>-2.8100156581811198E-2</v>
      </c>
      <c r="AA152" s="4">
        <f t="shared" si="16"/>
        <v>4.6590084479398719E-3</v>
      </c>
      <c r="AB152" s="4">
        <f t="shared" si="16"/>
        <v>6.4026956179448202E-3</v>
      </c>
      <c r="AC152" s="4">
        <f t="shared" si="16"/>
        <v>4.5587174243484352E-3</v>
      </c>
      <c r="AD152" s="4">
        <f t="shared" si="16"/>
        <v>-5.0146037509396502E-3</v>
      </c>
      <c r="AE152" s="4">
        <f t="shared" si="18"/>
        <v>-3.4521928216590947E-4</v>
      </c>
      <c r="AF152" s="4">
        <f t="shared" si="18"/>
        <v>1.795141925615229E-2</v>
      </c>
      <c r="AG152" s="4">
        <f t="shared" si="18"/>
        <v>8.3060972034691982E-3</v>
      </c>
      <c r="AI152" s="16">
        <f t="shared" si="20"/>
        <v>544.48153196197973</v>
      </c>
    </row>
    <row r="153" spans="1:35" x14ac:dyDescent="0.25">
      <c r="A153" s="2">
        <v>151</v>
      </c>
      <c r="B153" s="3" t="s">
        <v>186</v>
      </c>
      <c r="C153" t="s">
        <v>186</v>
      </c>
      <c r="D153" t="s">
        <v>7</v>
      </c>
      <c r="E153">
        <v>1</v>
      </c>
      <c r="F153" s="24"/>
      <c r="G153" s="24">
        <v>583.78297786640462</v>
      </c>
      <c r="H153" s="25">
        <v>699.57963863822567</v>
      </c>
      <c r="I153" s="25">
        <v>668.04361412286994</v>
      </c>
      <c r="J153" s="25">
        <v>688.50417343145375</v>
      </c>
      <c r="K153" s="25">
        <v>709.18255993530136</v>
      </c>
      <c r="L153" s="25">
        <v>679.83229169325693</v>
      </c>
      <c r="M153" s="26">
        <v>670.18106562915648</v>
      </c>
      <c r="N153" s="25">
        <v>678.96542332202114</v>
      </c>
      <c r="O153" s="26">
        <v>705.14062004669972</v>
      </c>
      <c r="P153" s="26">
        <v>703.08243515886397</v>
      </c>
      <c r="Q153" s="26">
        <v>707.86800000000005</v>
      </c>
      <c r="R153" s="26">
        <v>694.95308040286784</v>
      </c>
      <c r="S153" s="26">
        <v>757.75676762656553</v>
      </c>
      <c r="T153" s="27"/>
      <c r="U153" s="4">
        <v>1.6045500650494482E-2</v>
      </c>
      <c r="V153" s="4">
        <f t="shared" si="17"/>
        <v>0.19835566496822454</v>
      </c>
      <c r="W153" s="4">
        <f t="shared" si="17"/>
        <v>-2.2799168023633798E-2</v>
      </c>
      <c r="X153" s="4">
        <f t="shared" si="17"/>
        <v>1.0106703790546678E-2</v>
      </c>
      <c r="Y153" s="4">
        <f t="shared" si="16"/>
        <v>7.4253328071822722E-3</v>
      </c>
      <c r="Z153" s="4">
        <f t="shared" si="16"/>
        <v>-8.4177397087514816E-3</v>
      </c>
      <c r="AA153" s="4">
        <f t="shared" si="16"/>
        <v>-2.3801986254364804E-3</v>
      </c>
      <c r="AB153" s="4">
        <f t="shared" si="16"/>
        <v>1.8620572276317748E-3</v>
      </c>
      <c r="AC153" s="4">
        <f t="shared" si="16"/>
        <v>4.7395765119084832E-3</v>
      </c>
      <c r="AD153" s="4">
        <f t="shared" si="16"/>
        <v>-3.2473582682457369E-4</v>
      </c>
      <c r="AE153" s="4">
        <f t="shared" si="18"/>
        <v>6.7857900424161954E-4</v>
      </c>
      <c r="AF153" s="4">
        <f t="shared" si="18"/>
        <v>-1.672536345859954E-3</v>
      </c>
      <c r="AG153" s="4">
        <f t="shared" si="18"/>
        <v>7.2358963294838485E-3</v>
      </c>
      <c r="AI153" s="16">
        <f t="shared" si="20"/>
        <v>668.04361412286994</v>
      </c>
    </row>
    <row r="154" spans="1:35" x14ac:dyDescent="0.25">
      <c r="A154" s="2">
        <v>152</v>
      </c>
      <c r="B154" s="3" t="s">
        <v>187</v>
      </c>
      <c r="C154" t="s">
        <v>187</v>
      </c>
      <c r="D154" t="s">
        <v>9</v>
      </c>
      <c r="E154">
        <v>1</v>
      </c>
      <c r="F154" s="24"/>
      <c r="G154" s="24" t="s">
        <v>12</v>
      </c>
      <c r="H154" s="25" t="s">
        <v>12</v>
      </c>
      <c r="I154" s="25" t="s">
        <v>12</v>
      </c>
      <c r="J154" s="25" t="s">
        <v>12</v>
      </c>
      <c r="K154" s="25" t="s">
        <v>12</v>
      </c>
      <c r="L154" s="25" t="s">
        <v>12</v>
      </c>
      <c r="M154" s="26" t="s">
        <v>12</v>
      </c>
      <c r="N154" s="25" t="s">
        <v>12</v>
      </c>
      <c r="O154" s="26" t="s">
        <v>12</v>
      </c>
      <c r="P154" s="26" t="s">
        <v>12</v>
      </c>
      <c r="Q154" s="26" t="s">
        <v>12</v>
      </c>
      <c r="R154" s="26" t="s">
        <v>12</v>
      </c>
      <c r="S154" s="26" t="s">
        <v>12</v>
      </c>
      <c r="T154" s="27"/>
      <c r="U154" s="4">
        <v>4.5555931842996777E-2</v>
      </c>
      <c r="V154" s="4" t="str">
        <f t="shared" si="17"/>
        <v>.</v>
      </c>
      <c r="W154" s="4" t="str">
        <f t="shared" si="17"/>
        <v>.</v>
      </c>
      <c r="X154" s="4" t="str">
        <f t="shared" si="17"/>
        <v>.</v>
      </c>
      <c r="Y154" s="4" t="str">
        <f t="shared" si="16"/>
        <v>.</v>
      </c>
      <c r="Z154" s="4" t="str">
        <f t="shared" si="16"/>
        <v>.</v>
      </c>
      <c r="AA154" s="4" t="str">
        <f t="shared" si="16"/>
        <v>.</v>
      </c>
      <c r="AB154" s="4" t="str">
        <f t="shared" si="16"/>
        <v>.</v>
      </c>
      <c r="AC154" s="4" t="str">
        <f t="shared" si="16"/>
        <v>.</v>
      </c>
      <c r="AD154" s="4" t="str">
        <f t="shared" si="16"/>
        <v>.</v>
      </c>
      <c r="AE154" s="4" t="str">
        <f t="shared" si="18"/>
        <v>.</v>
      </c>
      <c r="AF154" s="4" t="str">
        <f t="shared" si="18"/>
        <v>.</v>
      </c>
      <c r="AG154" s="4" t="str">
        <f t="shared" si="18"/>
        <v>.</v>
      </c>
      <c r="AI154" s="16" t="str">
        <f t="shared" si="20"/>
        <v>.</v>
      </c>
    </row>
    <row r="155" spans="1:35" x14ac:dyDescent="0.25">
      <c r="A155" s="2">
        <v>153</v>
      </c>
      <c r="B155" s="3" t="s">
        <v>188</v>
      </c>
      <c r="C155" t="s">
        <v>188</v>
      </c>
      <c r="D155" t="s">
        <v>25</v>
      </c>
      <c r="E155">
        <v>1</v>
      </c>
      <c r="F155" s="24"/>
      <c r="G155" s="24">
        <v>5.64217857958438</v>
      </c>
      <c r="H155" s="25">
        <v>6.5227322025074823</v>
      </c>
      <c r="I155" s="25">
        <v>7.6330497920932094</v>
      </c>
      <c r="J155" s="25">
        <v>8.4484698375383047</v>
      </c>
      <c r="K155" s="25">
        <v>9.112544556059623</v>
      </c>
      <c r="L155" s="25">
        <v>7.8546023916535512</v>
      </c>
      <c r="M155" s="26">
        <v>6.952678127033959</v>
      </c>
      <c r="N155" s="25">
        <v>7.1578651882522202</v>
      </c>
      <c r="O155" s="26">
        <v>7.522947810123263</v>
      </c>
      <c r="P155" s="26">
        <v>8.116626794258373</v>
      </c>
      <c r="Q155" s="26">
        <v>7.8979999999999997</v>
      </c>
      <c r="R155" s="26">
        <v>42.229907122305463</v>
      </c>
      <c r="S155" s="26">
        <v>43.451089120478834</v>
      </c>
      <c r="T155" s="27"/>
      <c r="U155" s="4">
        <v>4.959131379314563E-2</v>
      </c>
      <c r="V155" s="4">
        <f t="shared" si="17"/>
        <v>0.1560662447142831</v>
      </c>
      <c r="W155" s="4">
        <f t="shared" si="17"/>
        <v>8.1768356474073434E-2</v>
      </c>
      <c r="X155" s="4">
        <f t="shared" si="17"/>
        <v>3.4411454032629463E-2</v>
      </c>
      <c r="Y155" s="4">
        <f t="shared" si="16"/>
        <v>1.9096715142888909E-2</v>
      </c>
      <c r="Z155" s="4">
        <f t="shared" si="16"/>
        <v>-2.9273449756047842E-2</v>
      </c>
      <c r="AA155" s="4">
        <f t="shared" si="16"/>
        <v>-2.0123550716839023E-2</v>
      </c>
      <c r="AB155" s="4">
        <f t="shared" si="16"/>
        <v>4.1636226171815061E-3</v>
      </c>
      <c r="AC155" s="4">
        <f t="shared" si="16"/>
        <v>6.2376585105057281E-3</v>
      </c>
      <c r="AD155" s="4">
        <f t="shared" si="16"/>
        <v>8.4753352545403615E-3</v>
      </c>
      <c r="AE155" s="4">
        <f t="shared" si="18"/>
        <v>-2.7267841093862044E-3</v>
      </c>
      <c r="AF155" s="4">
        <f t="shared" si="18"/>
        <v>0.16463860417803122</v>
      </c>
      <c r="AG155" s="4">
        <f t="shared" si="18"/>
        <v>2.3784279702232514E-3</v>
      </c>
      <c r="AI155" s="16">
        <f t="shared" si="20"/>
        <v>7.6330497920932094</v>
      </c>
    </row>
    <row r="156" spans="1:35" x14ac:dyDescent="0.25">
      <c r="A156" s="2">
        <v>154</v>
      </c>
      <c r="B156" s="3" t="s">
        <v>189</v>
      </c>
      <c r="C156" t="s">
        <v>189</v>
      </c>
      <c r="D156" t="s">
        <v>14</v>
      </c>
      <c r="E156">
        <v>1</v>
      </c>
      <c r="F156" s="24"/>
      <c r="G156" s="24">
        <v>32.014249841415122</v>
      </c>
      <c r="H156" s="25">
        <v>34.657139495403136</v>
      </c>
      <c r="I156" s="25">
        <v>39.650530214328711</v>
      </c>
      <c r="J156" s="25">
        <v>45.680532613759091</v>
      </c>
      <c r="K156" s="25">
        <v>49.96478881409265</v>
      </c>
      <c r="L156" s="25">
        <v>47.378599025304418</v>
      </c>
      <c r="M156" s="26">
        <v>49.774021003074743</v>
      </c>
      <c r="N156" s="25">
        <v>53.320625958562808</v>
      </c>
      <c r="O156" s="26">
        <v>58.001200572396463</v>
      </c>
      <c r="P156" s="26">
        <v>63.177068174548971</v>
      </c>
      <c r="Q156" s="26">
        <v>64.123000000000005</v>
      </c>
      <c r="R156" s="26">
        <v>191.57949175336284</v>
      </c>
      <c r="S156" s="26">
        <v>236.55026266609559</v>
      </c>
      <c r="T156" s="27"/>
      <c r="U156" s="4">
        <v>5.4609105595500917E-2</v>
      </c>
      <c r="V156" s="4">
        <f t="shared" si="17"/>
        <v>8.25535399729731E-2</v>
      </c>
      <c r="W156" s="4">
        <f t="shared" si="17"/>
        <v>6.961661973005806E-2</v>
      </c>
      <c r="X156" s="4">
        <f t="shared" si="17"/>
        <v>4.8320438961471979E-2</v>
      </c>
      <c r="Y156" s="4">
        <f t="shared" si="16"/>
        <v>2.2664603267422034E-2</v>
      </c>
      <c r="Z156" s="4">
        <f t="shared" si="16"/>
        <v>-1.0573286491668221E-2</v>
      </c>
      <c r="AA156" s="4">
        <f t="shared" si="16"/>
        <v>8.2543057901078853E-3</v>
      </c>
      <c r="AB156" s="4">
        <f t="shared" si="16"/>
        <v>9.8813662526042734E-3</v>
      </c>
      <c r="AC156" s="4">
        <f t="shared" si="16"/>
        <v>1.0573063315145292E-2</v>
      </c>
      <c r="AD156" s="4">
        <f t="shared" si="16"/>
        <v>9.5427645793528804E-3</v>
      </c>
      <c r="AE156" s="4">
        <f t="shared" si="18"/>
        <v>1.4872772966467718E-3</v>
      </c>
      <c r="AF156" s="4">
        <f t="shared" si="18"/>
        <v>0.10461844152875344</v>
      </c>
      <c r="AG156" s="4">
        <f t="shared" si="18"/>
        <v>1.7726777638901847E-2</v>
      </c>
      <c r="AI156" s="16">
        <f t="shared" si="20"/>
        <v>39.650530214328711</v>
      </c>
    </row>
    <row r="157" spans="1:35" x14ac:dyDescent="0.25">
      <c r="A157" s="2">
        <v>155</v>
      </c>
      <c r="B157" s="3" t="s">
        <v>190</v>
      </c>
      <c r="C157" t="s">
        <v>190</v>
      </c>
      <c r="D157" t="s">
        <v>25</v>
      </c>
      <c r="E157">
        <v>1</v>
      </c>
      <c r="F157" s="24"/>
      <c r="G157" s="24">
        <v>341.10500951533345</v>
      </c>
      <c r="H157" s="25">
        <v>370.81874739683258</v>
      </c>
      <c r="I157" s="25">
        <v>397.55809426987651</v>
      </c>
      <c r="J157" s="25">
        <v>420.33333333333337</v>
      </c>
      <c r="K157" s="25">
        <v>407.33936169557694</v>
      </c>
      <c r="L157" s="25">
        <v>401.29597024033728</v>
      </c>
      <c r="M157" s="26">
        <v>412.35278951961106</v>
      </c>
      <c r="N157" s="25">
        <v>455.27551723934744</v>
      </c>
      <c r="O157" s="26">
        <v>506.51410390526826</v>
      </c>
      <c r="P157" s="26">
        <v>543.5489699686932</v>
      </c>
      <c r="Q157" s="26">
        <v>509.2</v>
      </c>
      <c r="R157" s="26">
        <v>1855.1169132827599</v>
      </c>
      <c r="S157" s="26">
        <v>1892.5648639923163</v>
      </c>
      <c r="T157" s="27"/>
      <c r="U157" s="4">
        <v>1.2993385509470157E-2</v>
      </c>
      <c r="V157" s="4">
        <f t="shared" si="17"/>
        <v>8.7110236005383035E-2</v>
      </c>
      <c r="W157" s="4">
        <f t="shared" si="17"/>
        <v>3.542693618542514E-2</v>
      </c>
      <c r="X157" s="4">
        <f t="shared" si="17"/>
        <v>1.8742467409279762E-2</v>
      </c>
      <c r="Y157" s="4">
        <f t="shared" si="16"/>
        <v>-7.8196156750488521E-3</v>
      </c>
      <c r="Z157" s="4">
        <f t="shared" si="16"/>
        <v>-2.9850189601384747E-3</v>
      </c>
      <c r="AA157" s="4">
        <f t="shared" si="16"/>
        <v>4.5402814404773562E-3</v>
      </c>
      <c r="AB157" s="4">
        <f t="shared" si="16"/>
        <v>1.4246745445797737E-2</v>
      </c>
      <c r="AC157" s="4">
        <f t="shared" si="16"/>
        <v>1.3420431433569524E-2</v>
      </c>
      <c r="AD157" s="4">
        <f t="shared" si="16"/>
        <v>7.8716682302641949E-3</v>
      </c>
      <c r="AE157" s="4">
        <f t="shared" si="18"/>
        <v>-6.5066332847544261E-3</v>
      </c>
      <c r="AF157" s="4">
        <f t="shared" si="18"/>
        <v>0.12471865634035395</v>
      </c>
      <c r="AG157" s="4">
        <f t="shared" si="18"/>
        <v>1.6668259356829029E-3</v>
      </c>
      <c r="AI157" s="16">
        <f t="shared" si="20"/>
        <v>397.55809426987651</v>
      </c>
    </row>
    <row r="158" spans="1:35" x14ac:dyDescent="0.25">
      <c r="A158" s="2">
        <v>156</v>
      </c>
      <c r="B158" s="3" t="s">
        <v>191</v>
      </c>
      <c r="C158" t="s">
        <v>191</v>
      </c>
      <c r="D158" t="s">
        <v>14</v>
      </c>
      <c r="E158">
        <v>0</v>
      </c>
      <c r="F158" s="24">
        <v>1</v>
      </c>
      <c r="G158" s="24">
        <v>3.4260222057555669</v>
      </c>
      <c r="H158" s="25">
        <v>3.8673916180882673</v>
      </c>
      <c r="I158" s="25">
        <v>3.8735299262272269</v>
      </c>
      <c r="J158" s="25">
        <v>4.3204274957493318</v>
      </c>
      <c r="K158" s="25">
        <v>4.5689006199245563</v>
      </c>
      <c r="L158" s="25">
        <v>4.1791852051612173</v>
      </c>
      <c r="M158" s="26">
        <v>4.4149085965421735</v>
      </c>
      <c r="N158" s="26">
        <v>4.7658669803842884</v>
      </c>
      <c r="O158" s="26">
        <v>5.3643690256397329</v>
      </c>
      <c r="P158" s="26">
        <v>5.4902724133870162</v>
      </c>
      <c r="Q158" s="26">
        <v>5.7190000000000003</v>
      </c>
      <c r="R158" s="26">
        <v>18.640696178276357</v>
      </c>
      <c r="S158" s="26">
        <v>17.887635741606573</v>
      </c>
      <c r="T158" s="27"/>
      <c r="U158" s="4" t="s">
        <v>12</v>
      </c>
      <c r="V158" s="4">
        <f t="shared" si="17"/>
        <v>0.12882853228190383</v>
      </c>
      <c r="W158" s="4">
        <f t="shared" si="17"/>
        <v>7.9328330326133845E-4</v>
      </c>
      <c r="X158" s="4">
        <f t="shared" si="17"/>
        <v>3.7066491121571232E-2</v>
      </c>
      <c r="Y158" s="4">
        <f t="shared" si="16"/>
        <v>1.4077735208675834E-2</v>
      </c>
      <c r="Z158" s="4">
        <f t="shared" si="16"/>
        <v>-1.767322593868581E-2</v>
      </c>
      <c r="AA158" s="4">
        <f t="shared" si="16"/>
        <v>9.187082937783142E-3</v>
      </c>
      <c r="AB158" s="4">
        <f t="shared" si="16"/>
        <v>1.0987399696007483E-2</v>
      </c>
      <c r="AC158" s="4">
        <f t="shared" si="16"/>
        <v>1.4897286139180066E-2</v>
      </c>
      <c r="AD158" s="4">
        <f t="shared" si="16"/>
        <v>2.5810044536365151E-3</v>
      </c>
      <c r="AE158" s="4">
        <f t="shared" si="18"/>
        <v>4.0899501826303641E-3</v>
      </c>
      <c r="AF158" s="4">
        <f t="shared" si="18"/>
        <v>0.11339502289113534</v>
      </c>
      <c r="AG158" s="4">
        <f t="shared" si="18"/>
        <v>-3.4305541314739729E-3</v>
      </c>
      <c r="AI158" s="16">
        <f t="shared" si="20"/>
        <v>3.8735299262272269</v>
      </c>
    </row>
    <row r="159" spans="1:35" x14ac:dyDescent="0.25">
      <c r="A159" s="2">
        <v>157</v>
      </c>
      <c r="B159" s="3" t="s">
        <v>192</v>
      </c>
      <c r="C159" t="s">
        <v>192</v>
      </c>
      <c r="D159" t="s">
        <v>9</v>
      </c>
      <c r="E159">
        <v>1</v>
      </c>
      <c r="F159" s="24"/>
      <c r="G159" s="24">
        <v>44.050929160262683</v>
      </c>
      <c r="H159" s="25">
        <v>45.810626509447367</v>
      </c>
      <c r="I159" s="25">
        <v>45.044112939368716</v>
      </c>
      <c r="J159" s="25">
        <v>46.251061734474071</v>
      </c>
      <c r="K159" s="25">
        <v>47.632326088237015</v>
      </c>
      <c r="L159" s="25">
        <v>43.152528548123975</v>
      </c>
      <c r="M159" s="26">
        <v>41.808379888268149</v>
      </c>
      <c r="N159" s="25">
        <v>39.952095560882867</v>
      </c>
      <c r="O159" s="26">
        <v>39.770297328950853</v>
      </c>
      <c r="P159" s="26">
        <v>38.796687568157033</v>
      </c>
      <c r="Q159" s="26">
        <v>39.225999999999999</v>
      </c>
      <c r="R159" s="26">
        <v>152.31189967946725</v>
      </c>
      <c r="S159" s="26">
        <v>153.2831639424607</v>
      </c>
      <c r="T159" s="27"/>
      <c r="U159" s="4">
        <v>3.78847910233715E-2</v>
      </c>
      <c r="V159" s="4">
        <f t="shared" si="17"/>
        <v>3.994688381674516E-2</v>
      </c>
      <c r="W159" s="4">
        <f t="shared" si="17"/>
        <v>-8.4014027553527271E-3</v>
      </c>
      <c r="X159" s="4">
        <f t="shared" si="17"/>
        <v>8.8529990251471347E-3</v>
      </c>
      <c r="Y159" s="4">
        <f t="shared" si="16"/>
        <v>7.3839353235842786E-3</v>
      </c>
      <c r="Z159" s="4">
        <f t="shared" si="16"/>
        <v>-1.9560292752368258E-2</v>
      </c>
      <c r="AA159" s="4">
        <f t="shared" si="16"/>
        <v>-5.2601532880699464E-3</v>
      </c>
      <c r="AB159" s="4">
        <f t="shared" si="16"/>
        <v>-6.4669515067042882E-3</v>
      </c>
      <c r="AC159" s="4">
        <f t="shared" si="16"/>
        <v>-5.6993627749013509E-4</v>
      </c>
      <c r="AD159" s="4">
        <f t="shared" si="16"/>
        <v>-2.7501518705187467E-3</v>
      </c>
      <c r="AE159" s="4">
        <f t="shared" si="18"/>
        <v>1.101097884566471E-3</v>
      </c>
      <c r="AF159" s="4">
        <f t="shared" si="18"/>
        <v>0.13125362220786108</v>
      </c>
      <c r="AG159" s="4">
        <f t="shared" si="18"/>
        <v>5.2985412254136222E-4</v>
      </c>
      <c r="AI159" s="16">
        <f t="shared" si="20"/>
        <v>45.044112939368716</v>
      </c>
    </row>
    <row r="160" spans="1:35" x14ac:dyDescent="0.25">
      <c r="A160" s="2">
        <v>158</v>
      </c>
      <c r="B160" s="3" t="s">
        <v>193</v>
      </c>
      <c r="C160" t="s">
        <v>193</v>
      </c>
      <c r="D160" t="s">
        <v>7</v>
      </c>
      <c r="E160">
        <v>1</v>
      </c>
      <c r="F160" s="24"/>
      <c r="G160" s="24">
        <v>771.90176887008249</v>
      </c>
      <c r="H160" s="25">
        <v>832.52368090805965</v>
      </c>
      <c r="I160" s="25">
        <v>873.98224661195434</v>
      </c>
      <c r="J160" s="25">
        <v>950.57941312256014</v>
      </c>
      <c r="K160" s="25">
        <v>934.18591538609576</v>
      </c>
      <c r="L160" s="25">
        <v>859.79687267761392</v>
      </c>
      <c r="M160" s="26">
        <v>863.72164806880551</v>
      </c>
      <c r="N160" s="25">
        <v>851.54923150261516</v>
      </c>
      <c r="O160" s="26">
        <v>778.3818598409423</v>
      </c>
      <c r="P160" s="26">
        <v>761.42549935815907</v>
      </c>
      <c r="Q160" s="26">
        <v>649.43600000000004</v>
      </c>
      <c r="R160" s="26">
        <v>2702.0311797916797</v>
      </c>
      <c r="S160" s="26">
        <v>2743.553514322924</v>
      </c>
      <c r="T160" s="27"/>
      <c r="U160" s="4">
        <v>-2.9755570214815563E-3</v>
      </c>
      <c r="V160" s="4">
        <f t="shared" si="17"/>
        <v>7.8535785876894915E-2</v>
      </c>
      <c r="W160" s="4">
        <f t="shared" si="17"/>
        <v>2.4596829184042157E-2</v>
      </c>
      <c r="X160" s="4">
        <f t="shared" si="17"/>
        <v>2.8399676173677779E-2</v>
      </c>
      <c r="Y160" s="4">
        <f t="shared" si="16"/>
        <v>-4.339615520418838E-3</v>
      </c>
      <c r="Z160" s="4">
        <f t="shared" si="16"/>
        <v>-1.6458908264327943E-2</v>
      </c>
      <c r="AA160" s="4">
        <f t="shared" si="16"/>
        <v>7.5935208224242601E-4</v>
      </c>
      <c r="AB160" s="4">
        <f t="shared" si="16"/>
        <v>-2.0255507255438898E-3</v>
      </c>
      <c r="AC160" s="4">
        <f t="shared" si="16"/>
        <v>-1.1167190009168437E-2</v>
      </c>
      <c r="AD160" s="4">
        <f t="shared" si="16"/>
        <v>-2.4442183220094726E-3</v>
      </c>
      <c r="AE160" s="4">
        <f t="shared" si="18"/>
        <v>-1.5782927334175856E-2</v>
      </c>
      <c r="AF160" s="4">
        <f t="shared" si="18"/>
        <v>0.1383786105269309</v>
      </c>
      <c r="AG160" s="4">
        <f t="shared" si="18"/>
        <v>1.2716582217120465E-3</v>
      </c>
      <c r="AI160" s="16">
        <f t="shared" si="20"/>
        <v>873.98224661195434</v>
      </c>
    </row>
    <row r="161" spans="1:35" x14ac:dyDescent="0.25">
      <c r="A161" s="2">
        <v>159</v>
      </c>
      <c r="B161" s="3" t="s">
        <v>194</v>
      </c>
      <c r="C161" t="s">
        <v>194</v>
      </c>
      <c r="D161" t="s">
        <v>25</v>
      </c>
      <c r="E161">
        <v>0</v>
      </c>
      <c r="F161" s="24"/>
      <c r="G161" s="24">
        <v>22.583157894736843</v>
      </c>
      <c r="H161" s="25">
        <v>29.233333333333331</v>
      </c>
      <c r="I161" s="25">
        <v>35.164210526315792</v>
      </c>
      <c r="J161" s="25">
        <v>39.197543859649123</v>
      </c>
      <c r="K161" s="25">
        <v>43.524210526315791</v>
      </c>
      <c r="L161" s="25">
        <v>35.79971428571428</v>
      </c>
      <c r="M161" s="26">
        <v>36.18</v>
      </c>
      <c r="N161" s="25">
        <v>37.926285714285719</v>
      </c>
      <c r="O161" s="25">
        <v>40.761142857142858</v>
      </c>
      <c r="P161" s="25">
        <v>40.888476190476197</v>
      </c>
      <c r="Q161" s="25">
        <v>47.985999999999997</v>
      </c>
      <c r="R161" s="25">
        <v>151.40840849237148</v>
      </c>
      <c r="S161" s="25">
        <v>168.40938196923182</v>
      </c>
      <c r="T161" s="27"/>
      <c r="U161" s="4" t="s">
        <v>12</v>
      </c>
      <c r="V161" s="4">
        <f t="shared" si="17"/>
        <v>0.29447500077685573</v>
      </c>
      <c r="W161" s="4">
        <f t="shared" si="17"/>
        <v>9.6759150287529128E-2</v>
      </c>
      <c r="X161" s="4">
        <f t="shared" si="17"/>
        <v>3.6858107145034014E-2</v>
      </c>
      <c r="Y161" s="4">
        <f t="shared" si="16"/>
        <v>2.6521410189012329E-2</v>
      </c>
      <c r="Z161" s="4">
        <f t="shared" si="16"/>
        <v>-3.8321887705642377E-2</v>
      </c>
      <c r="AA161" s="4">
        <f t="shared" si="16"/>
        <v>1.7626462108262242E-3</v>
      </c>
      <c r="AB161" s="4">
        <f t="shared" si="16"/>
        <v>6.7567166189062E-3</v>
      </c>
      <c r="AC161" s="4">
        <f t="shared" si="16"/>
        <v>9.0513202465347664E-3</v>
      </c>
      <c r="AD161" s="4">
        <f t="shared" si="16"/>
        <v>3.4661794248003197E-4</v>
      </c>
      <c r="AE161" s="4">
        <f t="shared" si="18"/>
        <v>1.6134887273390852E-2</v>
      </c>
      <c r="AF161" s="4">
        <f t="shared" si="18"/>
        <v>0.1101121567818113</v>
      </c>
      <c r="AG161" s="4">
        <f t="shared" si="18"/>
        <v>8.9075158080695882E-3</v>
      </c>
      <c r="AI161" s="16">
        <f t="shared" si="20"/>
        <v>35.164210526315792</v>
      </c>
    </row>
    <row r="162" spans="1:35" x14ac:dyDescent="0.25">
      <c r="A162" s="2">
        <v>160</v>
      </c>
      <c r="B162" s="3" t="s">
        <v>195</v>
      </c>
      <c r="C162" t="s">
        <v>195</v>
      </c>
      <c r="D162" t="s">
        <v>14</v>
      </c>
      <c r="E162">
        <v>1</v>
      </c>
      <c r="F162" s="24"/>
      <c r="G162" s="24">
        <v>20.186496527125566</v>
      </c>
      <c r="H162" s="25">
        <v>20.17602525691531</v>
      </c>
      <c r="I162" s="25">
        <v>23.114293416390513</v>
      </c>
      <c r="J162" s="25">
        <v>24.599550623725424</v>
      </c>
      <c r="K162" s="25">
        <v>27.291879819362194</v>
      </c>
      <c r="L162" s="25">
        <v>27.102650386601169</v>
      </c>
      <c r="M162" s="26">
        <v>24.133664284508921</v>
      </c>
      <c r="N162" s="25">
        <v>25.995031850154465</v>
      </c>
      <c r="O162" s="26">
        <v>32.916147253271845</v>
      </c>
      <c r="P162" s="26">
        <v>35.165157016912474</v>
      </c>
      <c r="Q162" s="26">
        <v>37.732999999999997</v>
      </c>
      <c r="R162" s="26">
        <v>112.03462739316963</v>
      </c>
      <c r="S162" s="26">
        <v>130.27858457538295</v>
      </c>
      <c r="T162" s="27"/>
      <c r="U162" s="4">
        <v>0.10977136179978642</v>
      </c>
      <c r="V162" s="4">
        <f t="shared" si="17"/>
        <v>-5.1872647619588541E-4</v>
      </c>
      <c r="W162" s="4">
        <f t="shared" si="17"/>
        <v>7.0341845116708157E-2</v>
      </c>
      <c r="X162" s="4">
        <f t="shared" si="17"/>
        <v>2.0975962236142509E-2</v>
      </c>
      <c r="Y162" s="4">
        <f t="shared" si="16"/>
        <v>2.6305294005308788E-2</v>
      </c>
      <c r="Z162" s="4">
        <f t="shared" si="16"/>
        <v>-1.3905706763122083E-3</v>
      </c>
      <c r="AA162" s="4">
        <f t="shared" si="16"/>
        <v>-1.9151533628171569E-2</v>
      </c>
      <c r="AB162" s="4">
        <f t="shared" si="16"/>
        <v>1.0670486880742347E-2</v>
      </c>
      <c r="AC162" s="4">
        <f t="shared" si="16"/>
        <v>2.9946889462121318E-2</v>
      </c>
      <c r="AD162" s="4">
        <f t="shared" si="16"/>
        <v>7.3706303070193435E-3</v>
      </c>
      <c r="AE162" s="4">
        <f t="shared" si="18"/>
        <v>7.0728259406536154E-3</v>
      </c>
      <c r="AF162" s="4">
        <f t="shared" si="18"/>
        <v>0.10399332856026078</v>
      </c>
      <c r="AG162" s="4">
        <f t="shared" si="18"/>
        <v>1.2651623035988102E-2</v>
      </c>
      <c r="AI162" s="16">
        <f t="shared" si="20"/>
        <v>23.114293416390513</v>
      </c>
    </row>
    <row r="163" spans="1:35" x14ac:dyDescent="0.25">
      <c r="A163" s="2">
        <v>161</v>
      </c>
      <c r="B163" s="3" t="s">
        <v>196</v>
      </c>
      <c r="C163" t="s">
        <v>196</v>
      </c>
      <c r="D163" t="s">
        <v>7</v>
      </c>
      <c r="E163">
        <v>1</v>
      </c>
      <c r="F163" s="24"/>
      <c r="G163" s="24">
        <v>136.01315590503555</v>
      </c>
      <c r="H163" s="25">
        <v>163.15967167026454</v>
      </c>
      <c r="I163" s="25">
        <v>175.78137905143285</v>
      </c>
      <c r="J163" s="25">
        <v>183.31014637808082</v>
      </c>
      <c r="K163" s="25">
        <v>133.50341137573926</v>
      </c>
      <c r="L163" s="25">
        <v>91.030959454696102</v>
      </c>
      <c r="M163" s="26">
        <v>93.355993628504223</v>
      </c>
      <c r="N163" s="25">
        <v>112.19035515817812</v>
      </c>
      <c r="O163" s="26">
        <v>130.90185842172019</v>
      </c>
      <c r="P163" s="26">
        <v>153.78106911814777</v>
      </c>
      <c r="Q163" s="26">
        <v>142.25</v>
      </c>
      <c r="R163" s="26">
        <v>416.39476132958129</v>
      </c>
      <c r="S163" s="26">
        <v>417.89432500142266</v>
      </c>
      <c r="T163" s="27"/>
      <c r="U163" s="4">
        <v>-3.269818443304795E-2</v>
      </c>
      <c r="V163" s="4">
        <f t="shared" si="17"/>
        <v>0.19958742655881534</v>
      </c>
      <c r="W163" s="4">
        <f t="shared" si="17"/>
        <v>3.7958577783362646E-2</v>
      </c>
      <c r="X163" s="4">
        <f t="shared" si="17"/>
        <v>1.4077652835233989E-2</v>
      </c>
      <c r="Y163" s="4">
        <f t="shared" si="16"/>
        <v>-7.6203176117280003E-2</v>
      </c>
      <c r="Z163" s="4">
        <f t="shared" si="16"/>
        <v>-7.3726261128325143E-2</v>
      </c>
      <c r="AA163" s="4">
        <f t="shared" si="16"/>
        <v>4.2122485955908839E-3</v>
      </c>
      <c r="AB163" s="4">
        <f t="shared" si="16"/>
        <v>2.660151882923234E-2</v>
      </c>
      <c r="AC163" s="4">
        <f t="shared" si="16"/>
        <v>1.9468441048122731E-2</v>
      </c>
      <c r="AD163" s="4">
        <f t="shared" si="16"/>
        <v>1.8059139442102135E-2</v>
      </c>
      <c r="AE163" s="4">
        <f t="shared" si="18"/>
        <v>-7.7640914019414531E-3</v>
      </c>
      <c r="AF163" s="4">
        <f t="shared" si="18"/>
        <v>0.1025665600410377</v>
      </c>
      <c r="AG163" s="4">
        <f t="shared" si="18"/>
        <v>2.9961435544834103E-4</v>
      </c>
      <c r="AI163" s="16">
        <f t="shared" si="20"/>
        <v>175.78137905143285</v>
      </c>
    </row>
    <row r="164" spans="1:35" x14ac:dyDescent="0.25">
      <c r="A164" s="2">
        <v>162</v>
      </c>
      <c r="B164" s="3" t="s">
        <v>197</v>
      </c>
      <c r="C164" t="s">
        <v>198</v>
      </c>
      <c r="D164" t="s">
        <v>9</v>
      </c>
      <c r="E164">
        <v>1</v>
      </c>
      <c r="F164" s="24"/>
      <c r="G164" s="24">
        <v>289.78733832539143</v>
      </c>
      <c r="H164" s="25">
        <v>350.66603131381891</v>
      </c>
      <c r="I164" s="25">
        <v>374.59060585432269</v>
      </c>
      <c r="J164" s="25">
        <v>390.10755616065353</v>
      </c>
      <c r="K164" s="25">
        <v>403.13710006807349</v>
      </c>
      <c r="L164" s="25">
        <v>358.13505786249152</v>
      </c>
      <c r="M164" s="26">
        <v>357.04506466984344</v>
      </c>
      <c r="N164" s="25">
        <v>382.57508509189927</v>
      </c>
      <c r="O164" s="26">
        <v>422.21504358496941</v>
      </c>
      <c r="P164" s="26">
        <v>421.14226793765016</v>
      </c>
      <c r="Q164" s="26">
        <v>353.899</v>
      </c>
      <c r="R164" s="26">
        <v>937.61184938798056</v>
      </c>
      <c r="S164" s="26">
        <v>974.60587073560657</v>
      </c>
      <c r="T164" s="27"/>
      <c r="U164" s="4">
        <v>2.3407349800762534E-2</v>
      </c>
      <c r="V164" s="4">
        <f t="shared" si="17"/>
        <v>0.21008058302419363</v>
      </c>
      <c r="W164" s="4">
        <f t="shared" si="17"/>
        <v>3.3550239049465302E-2</v>
      </c>
      <c r="X164" s="4">
        <f t="shared" si="17"/>
        <v>1.362153049961079E-2</v>
      </c>
      <c r="Y164" s="4">
        <f t="shared" si="16"/>
        <v>8.2473779377836287E-3</v>
      </c>
      <c r="Z164" s="4">
        <f t="shared" si="16"/>
        <v>-2.3395291632654969E-2</v>
      </c>
      <c r="AA164" s="4">
        <f t="shared" si="16"/>
        <v>-5.078987216159403E-4</v>
      </c>
      <c r="AB164" s="4">
        <f t="shared" si="16"/>
        <v>9.9149635339887965E-3</v>
      </c>
      <c r="AC164" s="4">
        <f t="shared" si="16"/>
        <v>1.2399978966317393E-2</v>
      </c>
      <c r="AD164" s="4">
        <f t="shared" si="16"/>
        <v>-2.8263349693202766E-4</v>
      </c>
      <c r="AE164" s="4">
        <f t="shared" si="18"/>
        <v>-1.7245479015119969E-2</v>
      </c>
      <c r="AF164" s="4">
        <f t="shared" si="18"/>
        <v>9.2616145596360333E-2</v>
      </c>
      <c r="AG164" s="4">
        <f t="shared" si="18"/>
        <v>3.2299632416903368E-3</v>
      </c>
      <c r="AI164" s="16">
        <f t="shared" ref="AI164:AI177" si="21">IF(SUMIF($G$2:$S$2,AI$2,$G164:$S164)=0,".",SUMIF($G$2:$S$2,AI$2,$G164:$S164))</f>
        <v>374.59060585432269</v>
      </c>
    </row>
    <row r="165" spans="1:35" x14ac:dyDescent="0.25">
      <c r="A165" s="2">
        <v>163</v>
      </c>
      <c r="B165" s="3" t="s">
        <v>199</v>
      </c>
      <c r="C165" t="s">
        <v>200</v>
      </c>
      <c r="D165" t="s">
        <v>36</v>
      </c>
      <c r="E165">
        <v>1</v>
      </c>
      <c r="F165" s="24"/>
      <c r="G165" s="24">
        <v>14992.052727</v>
      </c>
      <c r="H165" s="25">
        <v>15542.581104000001</v>
      </c>
      <c r="I165" s="25">
        <v>16197.007349</v>
      </c>
      <c r="J165" s="25">
        <v>16784.849190000001</v>
      </c>
      <c r="K165" s="25">
        <v>17521.746534000002</v>
      </c>
      <c r="L165" s="25">
        <v>18219.297584</v>
      </c>
      <c r="M165" s="26">
        <v>18707.188235000001</v>
      </c>
      <c r="N165" s="25">
        <v>19485.393853000001</v>
      </c>
      <c r="O165" s="26">
        <v>20580.159776</v>
      </c>
      <c r="P165" s="26">
        <v>21433.225999999999</v>
      </c>
      <c r="Q165" s="26">
        <v>20807.269</v>
      </c>
      <c r="R165" s="26">
        <v>20580.522211642896</v>
      </c>
      <c r="S165" s="26">
        <v>20919.502108061155</v>
      </c>
      <c r="T165" s="27"/>
      <c r="U165" s="4">
        <v>9.8339976771544269E-3</v>
      </c>
      <c r="V165" s="4">
        <f t="shared" si="17"/>
        <v>3.6721347438201324E-2</v>
      </c>
      <c r="W165" s="4">
        <f t="shared" si="17"/>
        <v>2.0835627081445818E-2</v>
      </c>
      <c r="X165" s="4">
        <f t="shared" si="17"/>
        <v>1.1954271909858427E-2</v>
      </c>
      <c r="Y165" s="4">
        <f t="shared" si="16"/>
        <v>1.0799428100146669E-2</v>
      </c>
      <c r="Z165" s="4">
        <f t="shared" si="16"/>
        <v>7.8382738047459988E-3</v>
      </c>
      <c r="AA165" s="4">
        <f t="shared" si="16"/>
        <v>4.4141317758736864E-3</v>
      </c>
      <c r="AB165" s="4">
        <f t="shared" si="16"/>
        <v>5.8394555551757321E-3</v>
      </c>
      <c r="AC165" s="4">
        <f t="shared" si="16"/>
        <v>6.8561895748890933E-3</v>
      </c>
      <c r="AD165" s="4">
        <f t="shared" si="16"/>
        <v>4.5229579202665793E-3</v>
      </c>
      <c r="AE165" s="4">
        <f t="shared" si="18"/>
        <v>-2.9596055047365066E-3</v>
      </c>
      <c r="AF165" s="4">
        <f t="shared" si="18"/>
        <v>-9.9562149523824139E-4</v>
      </c>
      <c r="AG165" s="4">
        <f t="shared" si="18"/>
        <v>1.3623216438924945E-3</v>
      </c>
      <c r="AI165" s="16">
        <f t="shared" si="21"/>
        <v>16197.007349</v>
      </c>
    </row>
    <row r="166" spans="1:35" x14ac:dyDescent="0.25">
      <c r="A166" s="2">
        <v>164</v>
      </c>
      <c r="B166" s="3" t="s">
        <v>201</v>
      </c>
      <c r="C166" t="s">
        <v>201</v>
      </c>
      <c r="D166" t="s">
        <v>18</v>
      </c>
      <c r="E166">
        <v>1</v>
      </c>
      <c r="F166" s="24"/>
      <c r="G166" s="24">
        <v>40.284481651902105</v>
      </c>
      <c r="H166" s="25">
        <v>47.962439303724722</v>
      </c>
      <c r="I166" s="25">
        <v>51.264390116490901</v>
      </c>
      <c r="J166" s="25">
        <v>57.531233350910085</v>
      </c>
      <c r="K166" s="25">
        <v>57.236013086122348</v>
      </c>
      <c r="L166" s="25">
        <v>53.274304222136024</v>
      </c>
      <c r="M166" s="26">
        <v>52.687612261542426</v>
      </c>
      <c r="N166" s="25">
        <v>56.488991831023945</v>
      </c>
      <c r="O166" s="26">
        <v>59.596885024348659</v>
      </c>
      <c r="P166" s="26">
        <v>56.045912952973161</v>
      </c>
      <c r="Q166" s="26">
        <v>54.134999999999998</v>
      </c>
      <c r="R166" s="26">
        <v>83.586666858700085</v>
      </c>
      <c r="S166" s="26">
        <v>95.973580104288985</v>
      </c>
      <c r="T166" s="27"/>
      <c r="U166" s="4">
        <v>5.7901744160089086E-2</v>
      </c>
      <c r="V166" s="4">
        <f t="shared" si="17"/>
        <v>0.19059343292952824</v>
      </c>
      <c r="W166" s="4">
        <f t="shared" si="17"/>
        <v>3.3849367056578927E-2</v>
      </c>
      <c r="X166" s="4">
        <f t="shared" si="17"/>
        <v>3.9192402973913687E-2</v>
      </c>
      <c r="Y166" s="4">
        <f t="shared" si="16"/>
        <v>-1.2853455754144871E-3</v>
      </c>
      <c r="Z166" s="4">
        <f t="shared" si="16"/>
        <v>-1.4243425178756208E-2</v>
      </c>
      <c r="AA166" s="4">
        <f t="shared" si="16"/>
        <v>-1.8439231002117529E-3</v>
      </c>
      <c r="AB166" s="4">
        <f t="shared" ref="AB166:AD177" si="22">IFERROR((N166/M166)^(1/(AB$2-$U$2))-1,".")</f>
        <v>1.0001890416327042E-2</v>
      </c>
      <c r="AC166" s="4">
        <f t="shared" si="22"/>
        <v>6.7171499936904411E-3</v>
      </c>
      <c r="AD166" s="4">
        <f t="shared" si="22"/>
        <v>-6.8025437914011055E-3</v>
      </c>
      <c r="AE166" s="4">
        <f t="shared" si="18"/>
        <v>-3.4630200883760676E-3</v>
      </c>
      <c r="AF166" s="4">
        <f t="shared" si="18"/>
        <v>4.0281334275490854E-2</v>
      </c>
      <c r="AG166" s="4">
        <f t="shared" si="18"/>
        <v>1.1582305293520889E-2</v>
      </c>
      <c r="AI166" s="16">
        <f t="shared" si="21"/>
        <v>51.264390116490901</v>
      </c>
    </row>
    <row r="167" spans="1:35" x14ac:dyDescent="0.25">
      <c r="A167" s="2">
        <v>165</v>
      </c>
      <c r="B167" s="3" t="s">
        <v>202</v>
      </c>
      <c r="C167" t="s">
        <v>202</v>
      </c>
      <c r="D167" t="s">
        <v>25</v>
      </c>
      <c r="E167">
        <v>0</v>
      </c>
      <c r="F167" s="24"/>
      <c r="G167" s="24">
        <v>39.332770928942551</v>
      </c>
      <c r="H167" s="25">
        <v>45.915191189323671</v>
      </c>
      <c r="I167" s="25">
        <v>51.821573338131167</v>
      </c>
      <c r="J167" s="25">
        <v>57.690770140265684</v>
      </c>
      <c r="K167" s="25">
        <v>76.658542757470713</v>
      </c>
      <c r="L167" s="25">
        <v>81.847410181795297</v>
      </c>
      <c r="M167" s="26">
        <v>81.779019095669241</v>
      </c>
      <c r="N167" s="25">
        <v>59.159949231492355</v>
      </c>
      <c r="O167" s="25">
        <v>50.392607758232366</v>
      </c>
      <c r="P167" s="25">
        <v>57.921286440349505</v>
      </c>
      <c r="Q167" s="25">
        <v>59.771000000000001</v>
      </c>
      <c r="R167" s="25">
        <v>347.93058510679703</v>
      </c>
      <c r="S167" s="25">
        <v>391.27745034678929</v>
      </c>
      <c r="T167" s="27"/>
      <c r="U167" s="4" t="s">
        <v>12</v>
      </c>
      <c r="V167" s="4">
        <f t="shared" si="17"/>
        <v>0.16735206050630724</v>
      </c>
      <c r="W167" s="4">
        <f t="shared" si="17"/>
        <v>6.2373180981486254E-2</v>
      </c>
      <c r="X167" s="4">
        <f t="shared" si="17"/>
        <v>3.6410762178826994E-2</v>
      </c>
      <c r="Y167" s="4">
        <f t="shared" si="17"/>
        <v>7.365204505607803E-2</v>
      </c>
      <c r="Z167" s="4">
        <f t="shared" si="17"/>
        <v>1.3185291675548383E-2</v>
      </c>
      <c r="AA167" s="4">
        <f t="shared" si="17"/>
        <v>-1.3931393680111093E-4</v>
      </c>
      <c r="AB167" s="4">
        <f t="shared" si="22"/>
        <v>-4.5200306781005284E-2</v>
      </c>
      <c r="AC167" s="4">
        <f t="shared" si="22"/>
        <v>-1.9850370543708418E-2</v>
      </c>
      <c r="AD167" s="4">
        <f t="shared" si="22"/>
        <v>1.5591460868881857E-2</v>
      </c>
      <c r="AE167" s="4">
        <f t="shared" si="18"/>
        <v>3.14850967980429E-3</v>
      </c>
      <c r="AF167" s="4">
        <f t="shared" si="18"/>
        <v>0.17366902805902695</v>
      </c>
      <c r="AG167" s="4">
        <f t="shared" si="18"/>
        <v>9.8325170022601771E-3</v>
      </c>
      <c r="AI167" s="16">
        <f t="shared" si="21"/>
        <v>51.821573338131167</v>
      </c>
    </row>
    <row r="168" spans="1:35" x14ac:dyDescent="0.25">
      <c r="A168" s="2">
        <v>166</v>
      </c>
      <c r="B168" s="3" t="s">
        <v>203</v>
      </c>
      <c r="C168" t="s">
        <v>203</v>
      </c>
      <c r="D168" t="s">
        <v>18</v>
      </c>
      <c r="E168">
        <v>1</v>
      </c>
      <c r="F168" s="24"/>
      <c r="G168" s="24">
        <v>393.1923545106531</v>
      </c>
      <c r="H168" s="25">
        <v>316.4821908003637</v>
      </c>
      <c r="I168" s="25">
        <v>381.28623784766751</v>
      </c>
      <c r="J168" s="25">
        <v>371.00537978656621</v>
      </c>
      <c r="K168" s="25">
        <v>482.35931876770314</v>
      </c>
      <c r="L168" s="25">
        <v>515.70000000000005</v>
      </c>
      <c r="M168" s="26">
        <v>426.971</v>
      </c>
      <c r="N168" s="25">
        <v>380.7</v>
      </c>
      <c r="O168" s="26">
        <v>238.62366666666699</v>
      </c>
      <c r="P168" s="26">
        <v>171.12366666666699</v>
      </c>
      <c r="Q168" s="26">
        <v>48.61</v>
      </c>
      <c r="R168" s="26">
        <v>417.80829995229698</v>
      </c>
      <c r="S168" s="26">
        <v>433.23444605828365</v>
      </c>
      <c r="T168" s="27"/>
      <c r="U168" s="4">
        <v>1.4248190568851182E-2</v>
      </c>
      <c r="V168" s="4">
        <f t="shared" si="17"/>
        <v>-0.19509576630949221</v>
      </c>
      <c r="W168" s="4">
        <f t="shared" si="17"/>
        <v>9.7617258090139547E-2</v>
      </c>
      <c r="X168" s="4">
        <f t="shared" si="17"/>
        <v>-9.0698882286346372E-3</v>
      </c>
      <c r="Y168" s="4">
        <f t="shared" si="17"/>
        <v>6.7818932083959949E-2</v>
      </c>
      <c r="Z168" s="4">
        <f t="shared" si="17"/>
        <v>1.3456918158331943E-2</v>
      </c>
      <c r="AA168" s="4">
        <f t="shared" si="17"/>
        <v>-3.097821393438005E-2</v>
      </c>
      <c r="AB168" s="4">
        <f t="shared" si="22"/>
        <v>-1.6252821544034068E-2</v>
      </c>
      <c r="AC168" s="4">
        <f t="shared" si="22"/>
        <v>-5.6718472264368214E-2</v>
      </c>
      <c r="AD168" s="4">
        <f t="shared" si="22"/>
        <v>-3.6270454361362336E-2</v>
      </c>
      <c r="AE168" s="4">
        <f t="shared" si="18"/>
        <v>-0.11825794649674082</v>
      </c>
      <c r="AF168" s="4">
        <f t="shared" si="18"/>
        <v>0.21599544827007278</v>
      </c>
      <c r="AG168" s="4">
        <f t="shared" si="18"/>
        <v>3.0259282865383597E-3</v>
      </c>
      <c r="AI168" s="16">
        <f t="shared" si="21"/>
        <v>381.28623784766751</v>
      </c>
    </row>
    <row r="169" spans="1:35" x14ac:dyDescent="0.25">
      <c r="A169" s="2">
        <v>167</v>
      </c>
      <c r="B169" s="3" t="s">
        <v>204</v>
      </c>
      <c r="C169" t="s">
        <v>204</v>
      </c>
      <c r="D169" t="s">
        <v>25</v>
      </c>
      <c r="E169">
        <v>1</v>
      </c>
      <c r="F169" s="24"/>
      <c r="G169" s="24">
        <v>115.93174969724119</v>
      </c>
      <c r="H169" s="25">
        <v>135.53943855970945</v>
      </c>
      <c r="I169" s="25">
        <v>155.82000192049165</v>
      </c>
      <c r="J169" s="25">
        <v>171.22202511738089</v>
      </c>
      <c r="K169" s="25">
        <v>186.20465292226214</v>
      </c>
      <c r="L169" s="25">
        <v>193.24110870953623</v>
      </c>
      <c r="M169" s="26">
        <v>205.2761721349014</v>
      </c>
      <c r="N169" s="25">
        <v>223.77986581518255</v>
      </c>
      <c r="O169" s="26">
        <v>245.21368636915679</v>
      </c>
      <c r="P169" s="26">
        <v>261.9212448431723</v>
      </c>
      <c r="Q169" s="26">
        <v>340.60199999999998</v>
      </c>
      <c r="R169" s="26">
        <v>831.40928934821329</v>
      </c>
      <c r="S169" s="26">
        <v>998.92239400585595</v>
      </c>
      <c r="T169" s="27"/>
      <c r="U169" s="4">
        <v>5.039492108764243E-2</v>
      </c>
      <c r="V169" s="4">
        <f t="shared" si="17"/>
        <v>0.16913131142826932</v>
      </c>
      <c r="W169" s="4">
        <f t="shared" si="17"/>
        <v>7.2207304362593261E-2</v>
      </c>
      <c r="X169" s="4">
        <f t="shared" si="17"/>
        <v>3.1918681058254128E-2</v>
      </c>
      <c r="Y169" s="4">
        <f t="shared" si="17"/>
        <v>2.1192754870068997E-2</v>
      </c>
      <c r="Z169" s="4">
        <f t="shared" si="17"/>
        <v>7.4460497345889554E-3</v>
      </c>
      <c r="AA169" s="4">
        <f t="shared" si="17"/>
        <v>1.0120465066958406E-2</v>
      </c>
      <c r="AB169" s="4">
        <f t="shared" si="22"/>
        <v>1.2405832204345657E-2</v>
      </c>
      <c r="AC169" s="4">
        <f t="shared" si="22"/>
        <v>1.149901023687816E-2</v>
      </c>
      <c r="AD169" s="4">
        <f t="shared" si="22"/>
        <v>7.350645071775741E-3</v>
      </c>
      <c r="AE169" s="4">
        <f t="shared" si="18"/>
        <v>2.6615097535839904E-2</v>
      </c>
      <c r="AF169" s="4">
        <f t="shared" si="18"/>
        <v>8.4509661514480916E-2</v>
      </c>
      <c r="AG169" s="4">
        <f t="shared" si="18"/>
        <v>1.5413827276878234E-2</v>
      </c>
      <c r="AI169" s="16">
        <f t="shared" si="21"/>
        <v>155.82000192049165</v>
      </c>
    </row>
    <row r="170" spans="1:35" x14ac:dyDescent="0.25">
      <c r="A170" s="2">
        <v>168</v>
      </c>
      <c r="B170" s="3" t="s">
        <v>205</v>
      </c>
      <c r="C170" t="s">
        <v>205</v>
      </c>
      <c r="D170" t="s">
        <v>9</v>
      </c>
      <c r="E170">
        <v>1</v>
      </c>
      <c r="F170" s="24"/>
      <c r="G170" s="24">
        <v>30.906749533220999</v>
      </c>
      <c r="H170" s="25">
        <v>32.726417878391018</v>
      </c>
      <c r="I170" s="25">
        <v>35.401339869305453</v>
      </c>
      <c r="J170" s="25">
        <v>40.415233436176649</v>
      </c>
      <c r="K170" s="25">
        <v>43.228585321327195</v>
      </c>
      <c r="L170" s="25">
        <v>42.628328212104144</v>
      </c>
      <c r="M170" s="26">
        <v>30.968242967782338</v>
      </c>
      <c r="N170" s="25">
        <v>26.818703092585171</v>
      </c>
      <c r="O170" s="26">
        <v>9.7573204115453809</v>
      </c>
      <c r="P170" s="26">
        <v>1.8525078517859701</v>
      </c>
      <c r="Q170" s="26">
        <v>20.948</v>
      </c>
      <c r="R170" s="26">
        <v>44.771707480387924</v>
      </c>
      <c r="S170" s="26">
        <v>46.36268348518108</v>
      </c>
      <c r="T170" s="27"/>
      <c r="U170" s="4" t="s">
        <v>12</v>
      </c>
      <c r="V170" s="4">
        <f t="shared" si="17"/>
        <v>5.8876082818547282E-2</v>
      </c>
      <c r="W170" s="4">
        <f t="shared" si="17"/>
        <v>4.0065316445152321E-2</v>
      </c>
      <c r="X170" s="4">
        <f t="shared" si="17"/>
        <v>4.5141591088565969E-2</v>
      </c>
      <c r="Y170" s="4">
        <f t="shared" si="17"/>
        <v>1.6966115717225394E-2</v>
      </c>
      <c r="Z170" s="4">
        <f t="shared" si="17"/>
        <v>-2.7926851594293201E-3</v>
      </c>
      <c r="AA170" s="4">
        <f t="shared" si="17"/>
        <v>-5.1866021448875532E-2</v>
      </c>
      <c r="AB170" s="4">
        <f t="shared" si="22"/>
        <v>-2.0342070478317154E-2</v>
      </c>
      <c r="AC170" s="4">
        <f t="shared" si="22"/>
        <v>-0.11872469753105896</v>
      </c>
      <c r="AD170" s="4">
        <f t="shared" si="22"/>
        <v>-0.16857036732281627</v>
      </c>
      <c r="AE170" s="4">
        <f t="shared" si="18"/>
        <v>0.27449533679360627</v>
      </c>
      <c r="AF170" s="4">
        <f t="shared" si="18"/>
        <v>7.1488149158928094E-2</v>
      </c>
      <c r="AG170" s="4">
        <f t="shared" si="18"/>
        <v>2.9141119567921425E-3</v>
      </c>
      <c r="AI170" s="16">
        <f t="shared" si="21"/>
        <v>35.401339869305453</v>
      </c>
    </row>
    <row r="171" spans="1:35" x14ac:dyDescent="0.25">
      <c r="A171" s="2">
        <v>169</v>
      </c>
      <c r="B171" s="3" t="s">
        <v>206</v>
      </c>
      <c r="C171" t="s">
        <v>206</v>
      </c>
      <c r="D171" t="s">
        <v>14</v>
      </c>
      <c r="E171">
        <v>1</v>
      </c>
      <c r="F171" s="24"/>
      <c r="G171" s="24">
        <v>20.265556273581954</v>
      </c>
      <c r="H171" s="25">
        <v>23.460098339745308</v>
      </c>
      <c r="I171" s="25">
        <v>25.503370699201522</v>
      </c>
      <c r="J171" s="25">
        <v>28.045460442187586</v>
      </c>
      <c r="K171" s="25">
        <v>27.150630607203222</v>
      </c>
      <c r="L171" s="25">
        <v>21.154394545895009</v>
      </c>
      <c r="M171" s="26">
        <v>20.954754378139363</v>
      </c>
      <c r="N171" s="25">
        <v>25.868142076789745</v>
      </c>
      <c r="O171" s="26">
        <v>26.312140828640004</v>
      </c>
      <c r="P171" s="26">
        <v>23.309773922758236</v>
      </c>
      <c r="Q171" s="26">
        <v>18.908999999999999</v>
      </c>
      <c r="R171" s="26">
        <v>72.612936792727368</v>
      </c>
      <c r="S171" s="26">
        <v>79.543622321851529</v>
      </c>
      <c r="T171" s="27"/>
      <c r="U171" s="4">
        <v>5.0511163675178494E-2</v>
      </c>
      <c r="V171" s="4">
        <f t="shared" si="17"/>
        <v>0.15763406753002562</v>
      </c>
      <c r="W171" s="4">
        <f t="shared" si="17"/>
        <v>4.2638788561991214E-2</v>
      </c>
      <c r="X171" s="4">
        <f t="shared" si="17"/>
        <v>3.2178947771305255E-2</v>
      </c>
      <c r="Y171" s="4">
        <f t="shared" si="17"/>
        <v>-8.0738568880645012E-3</v>
      </c>
      <c r="Z171" s="4">
        <f t="shared" si="17"/>
        <v>-4.8685457401788867E-2</v>
      </c>
      <c r="AA171" s="4">
        <f t="shared" si="17"/>
        <v>-1.5791025609288578E-3</v>
      </c>
      <c r="AB171" s="4">
        <f t="shared" si="22"/>
        <v>3.0549725267682071E-2</v>
      </c>
      <c r="AC171" s="4">
        <f t="shared" si="22"/>
        <v>2.1295499256595019E-3</v>
      </c>
      <c r="AD171" s="4">
        <f t="shared" si="22"/>
        <v>-1.3371760386508114E-2</v>
      </c>
      <c r="AE171" s="4">
        <f t="shared" si="18"/>
        <v>-2.0706098329316469E-2</v>
      </c>
      <c r="AF171" s="4">
        <f t="shared" si="18"/>
        <v>0.13011415009851501</v>
      </c>
      <c r="AG171" s="4">
        <f t="shared" si="18"/>
        <v>7.6258028652285148E-3</v>
      </c>
      <c r="AI171" s="16">
        <f t="shared" si="21"/>
        <v>25.503370699201522</v>
      </c>
    </row>
    <row r="172" spans="1:35" x14ac:dyDescent="0.25">
      <c r="A172" s="2">
        <v>170</v>
      </c>
      <c r="B172" s="3" t="s">
        <v>207</v>
      </c>
      <c r="C172" t="s">
        <v>207</v>
      </c>
      <c r="D172" t="s">
        <v>14</v>
      </c>
      <c r="E172">
        <v>1</v>
      </c>
      <c r="F172" s="24"/>
      <c r="G172" s="24">
        <v>12.041655199999999</v>
      </c>
      <c r="H172" s="25">
        <v>14.1019203</v>
      </c>
      <c r="I172" s="25">
        <v>17.114849900000003</v>
      </c>
      <c r="J172" s="25">
        <v>19.09102</v>
      </c>
      <c r="K172" s="25">
        <v>19.495519600000002</v>
      </c>
      <c r="L172" s="25">
        <v>19.9631206</v>
      </c>
      <c r="M172" s="26">
        <v>20.548678100000004</v>
      </c>
      <c r="N172" s="25">
        <v>22.813010116129199</v>
      </c>
      <c r="O172" s="26">
        <v>24.311560499999999</v>
      </c>
      <c r="P172" s="26">
        <v>21.440758800000001</v>
      </c>
      <c r="Q172" s="26">
        <v>14.002000000000001</v>
      </c>
      <c r="R172" s="26">
        <v>40.938187989397129</v>
      </c>
      <c r="S172" s="26">
        <v>42.105704374997437</v>
      </c>
      <c r="T172" s="27"/>
      <c r="U172" s="4">
        <v>0.23492521833665458</v>
      </c>
      <c r="V172" s="4">
        <f t="shared" si="17"/>
        <v>0.17109484250969098</v>
      </c>
      <c r="W172" s="4">
        <f t="shared" si="17"/>
        <v>0.10165959012674497</v>
      </c>
      <c r="X172" s="4">
        <f t="shared" si="17"/>
        <v>3.709533158312639E-2</v>
      </c>
      <c r="Y172" s="4">
        <f t="shared" si="17"/>
        <v>5.2554134015059262E-3</v>
      </c>
      <c r="Z172" s="4">
        <f t="shared" si="17"/>
        <v>4.7516386572052927E-3</v>
      </c>
      <c r="AA172" s="4">
        <f t="shared" si="17"/>
        <v>4.8299620922478415E-3</v>
      </c>
      <c r="AB172" s="4">
        <f t="shared" si="22"/>
        <v>1.5045544369363562E-2</v>
      </c>
      <c r="AC172" s="4">
        <f t="shared" si="22"/>
        <v>7.9843293024046691E-3</v>
      </c>
      <c r="AD172" s="4">
        <f t="shared" si="22"/>
        <v>-1.3865010775893416E-2</v>
      </c>
      <c r="AE172" s="4">
        <f t="shared" si="18"/>
        <v>-4.1714333616002963E-2</v>
      </c>
      <c r="AF172" s="4">
        <f t="shared" si="18"/>
        <v>0.10244783602759999</v>
      </c>
      <c r="AG172" s="4">
        <f t="shared" si="18"/>
        <v>2.3460734210520862E-3</v>
      </c>
      <c r="AI172" s="16">
        <f t="shared" si="21"/>
        <v>17.114849900000003</v>
      </c>
    </row>
    <row r="173" spans="1:35" x14ac:dyDescent="0.25">
      <c r="A173" s="2">
        <v>171</v>
      </c>
      <c r="B173" s="3" t="s">
        <v>208</v>
      </c>
      <c r="D173" s="2" t="s">
        <v>7</v>
      </c>
      <c r="E173" s="3">
        <v>1</v>
      </c>
      <c r="G173" s="24">
        <v>17.17678133676441</v>
      </c>
      <c r="H173" s="28">
        <v>18.644723860970927</v>
      </c>
      <c r="I173" s="28">
        <v>17.226849297070029</v>
      </c>
      <c r="J173" s="28">
        <v>18.178503835449053</v>
      </c>
      <c r="K173" s="28">
        <v>18.558343508343508</v>
      </c>
      <c r="L173" s="28">
        <v>16.211541253189679</v>
      </c>
      <c r="M173" s="28">
        <v>16.913330693965271</v>
      </c>
      <c r="N173" s="28">
        <v>18.080118128385386</v>
      </c>
      <c r="O173" s="28">
        <v>20.183510561255279</v>
      </c>
      <c r="P173" s="28">
        <v>20.164193806879972</v>
      </c>
      <c r="Q173" s="28">
        <v>18.893000000000001</v>
      </c>
      <c r="R173" s="28">
        <v>46.860316271284603</v>
      </c>
      <c r="S173" s="28">
        <v>49.182161236346268</v>
      </c>
      <c r="U173" s="4">
        <v>2.0598467848755408E-2</v>
      </c>
      <c r="V173" s="4">
        <f t="shared" si="17"/>
        <v>8.546086111398532E-2</v>
      </c>
      <c r="W173" s="4">
        <f t="shared" si="17"/>
        <v>-3.8775239442291332E-2</v>
      </c>
      <c r="X173" s="4">
        <f t="shared" si="17"/>
        <v>1.8085129173099013E-2</v>
      </c>
      <c r="Y173" s="4">
        <f t="shared" si="17"/>
        <v>5.1833082686374432E-3</v>
      </c>
      <c r="Z173" s="4">
        <f t="shared" si="17"/>
        <v>-2.6676925387367323E-2</v>
      </c>
      <c r="AA173" s="4">
        <f t="shared" si="17"/>
        <v>7.0881189415796797E-3</v>
      </c>
      <c r="AB173" s="4">
        <f t="shared" si="22"/>
        <v>9.5756674199998226E-3</v>
      </c>
      <c r="AC173" s="4">
        <f t="shared" si="22"/>
        <v>1.3851692084860368E-2</v>
      </c>
      <c r="AD173" s="4">
        <f t="shared" si="22"/>
        <v>-1.0638483998282044E-4</v>
      </c>
      <c r="AE173" s="4">
        <f t="shared" si="18"/>
        <v>-6.4905413093943043E-3</v>
      </c>
      <c r="AF173" s="4">
        <f t="shared" si="18"/>
        <v>8.6085527113278992E-2</v>
      </c>
      <c r="AG173" s="4">
        <f t="shared" si="18"/>
        <v>4.0381145448957767E-3</v>
      </c>
      <c r="AI173" s="16">
        <f t="shared" si="21"/>
        <v>17.226849297070029</v>
      </c>
    </row>
    <row r="174" spans="1:35" x14ac:dyDescent="0.25">
      <c r="A174" s="2">
        <v>172</v>
      </c>
      <c r="B174" s="3" t="s">
        <v>209</v>
      </c>
      <c r="D174" s="2" t="s">
        <v>23</v>
      </c>
      <c r="E174" s="3">
        <v>1</v>
      </c>
      <c r="G174" s="24">
        <v>222.14875731300583</v>
      </c>
      <c r="H174" s="28">
        <v>237.47236187255976</v>
      </c>
      <c r="I174" s="28">
        <v>224.99948410485328</v>
      </c>
      <c r="J174" s="28">
        <v>238.54353877668422</v>
      </c>
      <c r="K174" s="28">
        <v>258.47188513030437</v>
      </c>
      <c r="L174" s="28">
        <v>291.49981210364479</v>
      </c>
      <c r="M174" s="28">
        <v>300.52329771296041</v>
      </c>
      <c r="N174" s="28">
        <v>334.83401048555953</v>
      </c>
      <c r="O174" s="28">
        <v>382.67436064824523</v>
      </c>
      <c r="P174" s="28">
        <v>388.69871134815622</v>
      </c>
      <c r="Q174" s="28">
        <v>399.06400000000002</v>
      </c>
      <c r="R174" s="28">
        <v>245.31954401708316</v>
      </c>
      <c r="S174" s="28">
        <v>250.1898827163713</v>
      </c>
      <c r="U174" s="4">
        <v>-2.0303888963398298E-2</v>
      </c>
      <c r="V174" s="4">
        <f t="shared" si="17"/>
        <v>6.8979024437949343E-2</v>
      </c>
      <c r="W174" s="4">
        <f t="shared" si="17"/>
        <v>-2.6615950556605261E-2</v>
      </c>
      <c r="X174" s="4">
        <f t="shared" si="17"/>
        <v>1.9675642272398042E-2</v>
      </c>
      <c r="Y174" s="4">
        <f t="shared" si="17"/>
        <v>2.0261299087224627E-2</v>
      </c>
      <c r="Z174" s="4">
        <f t="shared" si="17"/>
        <v>2.4342032491629695E-2</v>
      </c>
      <c r="AA174" s="4">
        <f t="shared" si="17"/>
        <v>5.093916700835921E-3</v>
      </c>
      <c r="AB174" s="4">
        <f t="shared" si="22"/>
        <v>1.5564112406684094E-2</v>
      </c>
      <c r="AC174" s="4">
        <f t="shared" si="22"/>
        <v>1.6833802698461131E-2</v>
      </c>
      <c r="AD174" s="4">
        <f t="shared" si="22"/>
        <v>1.7370767877971094E-3</v>
      </c>
      <c r="AE174" s="4">
        <f t="shared" si="18"/>
        <v>2.6351942829971886E-3</v>
      </c>
      <c r="AF174" s="4">
        <f t="shared" si="18"/>
        <v>-4.3268741814921241E-2</v>
      </c>
      <c r="AG174" s="4">
        <f t="shared" si="18"/>
        <v>1.6395541349956133E-3</v>
      </c>
      <c r="AI174" s="16">
        <f t="shared" si="21"/>
        <v>224.99948410485328</v>
      </c>
    </row>
    <row r="175" spans="1:35" x14ac:dyDescent="0.25">
      <c r="A175" s="2">
        <v>173</v>
      </c>
      <c r="B175" s="3" t="s">
        <v>210</v>
      </c>
      <c r="D175" s="2" t="s">
        <v>25</v>
      </c>
      <c r="E175" s="3">
        <v>1</v>
      </c>
      <c r="G175" s="24">
        <v>3.9989613137361899</v>
      </c>
      <c r="H175" s="28">
        <v>5.6720487234168298</v>
      </c>
      <c r="I175" s="28">
        <v>6.6616645747462995</v>
      </c>
      <c r="J175" s="28">
        <v>5.637671696363669</v>
      </c>
      <c r="K175" s="28">
        <v>4.0416369565544104</v>
      </c>
      <c r="L175" s="28">
        <v>3.0926247547917001</v>
      </c>
      <c r="M175" s="28">
        <v>2.5035321022697001</v>
      </c>
      <c r="N175" s="28">
        <v>2.4872694373682203</v>
      </c>
      <c r="O175" s="28">
        <v>1.5598949</v>
      </c>
      <c r="P175" s="28">
        <v>2.0179249000000001</v>
      </c>
      <c r="Q175" s="28">
        <v>1.92</v>
      </c>
      <c r="R175" s="28">
        <v>59.75032478646979</v>
      </c>
      <c r="S175" s="28">
        <v>70.693372377021575</v>
      </c>
      <c r="U175" s="4">
        <v>1.6717930801083636E-2</v>
      </c>
      <c r="V175" s="4">
        <f t="shared" si="17"/>
        <v>0.41838049393818477</v>
      </c>
      <c r="W175" s="4">
        <f t="shared" si="17"/>
        <v>8.373077005004248E-2</v>
      </c>
      <c r="X175" s="4">
        <f t="shared" si="17"/>
        <v>-5.4113544465765884E-2</v>
      </c>
      <c r="Y175" s="4">
        <f t="shared" si="17"/>
        <v>-7.9837819044112246E-2</v>
      </c>
      <c r="Z175" s="4">
        <f t="shared" si="17"/>
        <v>-5.2118634394434094E-2</v>
      </c>
      <c r="AA175" s="4">
        <f t="shared" si="17"/>
        <v>-3.4606605784107791E-2</v>
      </c>
      <c r="AB175" s="4">
        <f t="shared" si="22"/>
        <v>-9.3057794379736158E-4</v>
      </c>
      <c r="AC175" s="4">
        <f t="shared" si="22"/>
        <v>-5.6652803569120391E-2</v>
      </c>
      <c r="AD175" s="4">
        <f t="shared" si="22"/>
        <v>2.9018767680291102E-2</v>
      </c>
      <c r="AE175" s="4">
        <f t="shared" si="18"/>
        <v>-4.9620999171881008E-3</v>
      </c>
      <c r="AF175" s="4">
        <f t="shared" si="18"/>
        <v>0.36688136264100102</v>
      </c>
      <c r="AG175" s="4">
        <f t="shared" si="18"/>
        <v>1.4113433823144339E-2</v>
      </c>
      <c r="AI175" s="16">
        <f t="shared" si="21"/>
        <v>6.6616645747462995</v>
      </c>
    </row>
    <row r="176" spans="1:35" x14ac:dyDescent="0.25">
      <c r="A176" s="2">
        <v>174</v>
      </c>
      <c r="B176" s="3" t="s">
        <v>211</v>
      </c>
      <c r="D176" s="2" t="s">
        <v>16</v>
      </c>
      <c r="E176" s="3">
        <v>1</v>
      </c>
      <c r="G176" s="24">
        <v>22.157948396204219</v>
      </c>
      <c r="H176" s="28">
        <v>25.43301140530167</v>
      </c>
      <c r="I176" s="28">
        <v>25.769329445066568</v>
      </c>
      <c r="J176" s="28">
        <v>27.110262285412723</v>
      </c>
      <c r="K176" s="28">
        <v>27.477965424162523</v>
      </c>
      <c r="L176" s="28">
        <v>25.121524774986671</v>
      </c>
      <c r="M176" s="28">
        <v>21.74639133303344</v>
      </c>
      <c r="N176" s="28">
        <v>22.250455018806697</v>
      </c>
      <c r="O176" s="28">
        <v>23.808146747799373</v>
      </c>
      <c r="P176" s="28">
        <v>24.269714809907768</v>
      </c>
      <c r="Q176" s="28">
        <v>22.718</v>
      </c>
      <c r="R176" s="28">
        <v>46.662925369774811</v>
      </c>
      <c r="S176" s="28">
        <v>47.476107164141936</v>
      </c>
      <c r="U176" s="4">
        <v>2.905090472326588E-2</v>
      </c>
      <c r="V176" s="4">
        <f t="shared" si="17"/>
        <v>0.14780533605983526</v>
      </c>
      <c r="W176" s="4">
        <f t="shared" si="17"/>
        <v>6.5901258188527656E-3</v>
      </c>
      <c r="X176" s="4">
        <f t="shared" si="17"/>
        <v>1.7052879799938525E-2</v>
      </c>
      <c r="Y176" s="4">
        <f t="shared" si="17"/>
        <v>3.3737001261444632E-3</v>
      </c>
      <c r="Z176" s="4">
        <f t="shared" si="17"/>
        <v>-1.7772057958711285E-2</v>
      </c>
      <c r="AA176" s="4">
        <f t="shared" si="17"/>
        <v>-2.3759395447111586E-2</v>
      </c>
      <c r="AB176" s="4">
        <f t="shared" si="22"/>
        <v>3.2788824763312352E-3</v>
      </c>
      <c r="AC176" s="4">
        <f t="shared" si="22"/>
        <v>8.4940418563428377E-3</v>
      </c>
      <c r="AD176" s="4">
        <f t="shared" si="22"/>
        <v>2.1357715746108674E-3</v>
      </c>
      <c r="AE176" s="4">
        <f t="shared" si="18"/>
        <v>-6.585391354166692E-3</v>
      </c>
      <c r="AF176" s="4">
        <f t="shared" si="18"/>
        <v>6.7624057592738707E-2</v>
      </c>
      <c r="AG176" s="4">
        <f t="shared" si="18"/>
        <v>1.4407550033155303E-3</v>
      </c>
      <c r="AI176" s="16">
        <f t="shared" si="21"/>
        <v>25.769329445066568</v>
      </c>
    </row>
    <row r="177" spans="1:35" x14ac:dyDescent="0.25">
      <c r="A177" s="2">
        <v>175</v>
      </c>
      <c r="B177" s="3" t="s">
        <v>212</v>
      </c>
      <c r="D177" s="2" t="s">
        <v>23</v>
      </c>
      <c r="E177" s="3">
        <v>1</v>
      </c>
      <c r="G177" s="24">
        <v>2452.8996651244661</v>
      </c>
      <c r="H177" s="28">
        <v>2634.8956931312991</v>
      </c>
      <c r="I177" s="28">
        <v>2676.605417645987</v>
      </c>
      <c r="J177" s="28">
        <v>2753.5650337737652</v>
      </c>
      <c r="K177" s="28">
        <v>3034.729456047176</v>
      </c>
      <c r="L177" s="28">
        <v>2896.4205865343988</v>
      </c>
      <c r="M177" s="28">
        <v>2659.238931670247</v>
      </c>
      <c r="N177" s="28">
        <v>2637.8663404341287</v>
      </c>
      <c r="O177" s="28">
        <v>2860.6677275519728</v>
      </c>
      <c r="P177" s="28">
        <v>2829.108219165797</v>
      </c>
      <c r="Q177" s="28">
        <v>2638.2959999999998</v>
      </c>
      <c r="R177" s="28">
        <v>2913.8483207889176</v>
      </c>
      <c r="S177" s="28">
        <v>2996.4988995177441</v>
      </c>
      <c r="U177" s="4">
        <v>3.085321890834436E-4</v>
      </c>
      <c r="V177" s="4">
        <f t="shared" si="17"/>
        <v>7.4196279038424517E-2</v>
      </c>
      <c r="W177" s="4">
        <f t="shared" si="17"/>
        <v>7.8837949315706535E-3</v>
      </c>
      <c r="X177" s="4">
        <f t="shared" si="17"/>
        <v>9.4938135534623491E-3</v>
      </c>
      <c r="Y177" s="4">
        <f t="shared" si="17"/>
        <v>2.4604267745667929E-2</v>
      </c>
      <c r="Z177" s="4">
        <f t="shared" si="17"/>
        <v>-9.2859339517525896E-3</v>
      </c>
      <c r="AA177" s="4">
        <f t="shared" si="17"/>
        <v>-1.4138388849131545E-2</v>
      </c>
      <c r="AB177" s="4">
        <f t="shared" si="22"/>
        <v>-1.1521329185331108E-3</v>
      </c>
      <c r="AC177" s="4">
        <f t="shared" si="22"/>
        <v>1.0187124367723399E-2</v>
      </c>
      <c r="AD177" s="4">
        <f t="shared" si="22"/>
        <v>-1.2318543838013563E-3</v>
      </c>
      <c r="AE177" s="4">
        <f t="shared" si="18"/>
        <v>-6.9585057846049958E-3</v>
      </c>
      <c r="AF177" s="4">
        <f t="shared" si="18"/>
        <v>9.0719392399276622E-3</v>
      </c>
      <c r="AG177" s="4">
        <f t="shared" si="18"/>
        <v>2.3335450824317761E-3</v>
      </c>
      <c r="AI177" s="16">
        <f t="shared" si="21"/>
        <v>2676.605417645987</v>
      </c>
    </row>
  </sheetData>
  <mergeCells count="1">
    <mergeCell ref="U1:AG1"/>
  </mergeCells>
  <conditionalFormatting sqref="E173:E177">
    <cfRule type="cellIs" dxfId="65" priority="2" operator="equal">
      <formula>1</formula>
    </cfRule>
  </conditionalFormatting>
  <conditionalFormatting sqref="G1:S1048576">
    <cfRule type="cellIs" dxfId="64" priority="1" operator="equal">
      <formula>"."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>
    <tabColor theme="6"/>
  </sheetPr>
  <dimension ref="A2:FB178"/>
  <sheetViews>
    <sheetView showGridLines="0" workbookViewId="0"/>
  </sheetViews>
  <sheetFormatPr defaultColWidth="8.85546875" defaultRowHeight="15" x14ac:dyDescent="0.25"/>
  <cols>
    <col min="1" max="1" width="11.85546875" style="17" bestFit="1" customWidth="1"/>
    <col min="2" max="2" width="29.28515625" style="17" bestFit="1" customWidth="1"/>
    <col min="3" max="3" width="22.85546875" style="17" bestFit="1" customWidth="1"/>
    <col min="4" max="4" width="22.42578125" style="17" bestFit="1" customWidth="1"/>
    <col min="5" max="5" width="11.5703125" style="16" bestFit="1" customWidth="1"/>
    <col min="6" max="23" width="9.42578125" style="16" bestFit="1" customWidth="1"/>
    <col min="24" max="47" width="6.28515625" style="16" bestFit="1" customWidth="1"/>
    <col min="48" max="57" width="8.85546875" style="16"/>
    <col min="58" max="59" width="12" style="16" bestFit="1" customWidth="1"/>
    <col min="60" max="60" width="11" style="16" bestFit="1" customWidth="1"/>
    <col min="61" max="62" width="12" style="16" bestFit="1" customWidth="1"/>
    <col min="63" max="77" width="6.28515625" style="16" bestFit="1" customWidth="1"/>
    <col min="78" max="102" width="8.85546875" style="16"/>
    <col min="103" max="117" width="6.28515625" style="16" bestFit="1" customWidth="1"/>
    <col min="118" max="132" width="8.85546875" style="16"/>
    <col min="133" max="139" width="6.28515625" style="16" bestFit="1" customWidth="1"/>
    <col min="140" max="140" width="8.28515625" style="16" bestFit="1" customWidth="1"/>
    <col min="141" max="147" width="6.28515625" style="16" bestFit="1" customWidth="1"/>
    <col min="148" max="148" width="6.28515625" style="16" customWidth="1"/>
    <col min="149" max="16384" width="8.85546875" style="16"/>
  </cols>
  <sheetData>
    <row r="2" spans="1:158" s="12" customFormat="1" ht="180" x14ac:dyDescent="0.25">
      <c r="A2" s="10"/>
      <c r="B2" s="10"/>
      <c r="C2" s="10"/>
      <c r="D2" s="10"/>
      <c r="E2" s="11"/>
      <c r="F2" s="11" t="s">
        <v>223</v>
      </c>
      <c r="G2" s="11" t="s">
        <v>224</v>
      </c>
      <c r="H2" s="11" t="s">
        <v>225</v>
      </c>
      <c r="I2" s="11" t="s">
        <v>226</v>
      </c>
      <c r="J2" s="11" t="s">
        <v>227</v>
      </c>
      <c r="K2" s="11" t="s">
        <v>228</v>
      </c>
      <c r="L2" s="11" t="s">
        <v>229</v>
      </c>
      <c r="M2" s="11" t="s">
        <v>230</v>
      </c>
      <c r="N2" s="11" t="s">
        <v>231</v>
      </c>
      <c r="O2" s="11" t="s">
        <v>232</v>
      </c>
      <c r="P2" s="11" t="s">
        <v>233</v>
      </c>
      <c r="Q2" s="11" t="s">
        <v>234</v>
      </c>
      <c r="R2" s="11" t="s">
        <v>235</v>
      </c>
      <c r="S2" s="11" t="s">
        <v>236</v>
      </c>
      <c r="T2" s="11" t="s">
        <v>237</v>
      </c>
      <c r="U2" s="11" t="s">
        <v>238</v>
      </c>
      <c r="V2" s="11" t="s">
        <v>239</v>
      </c>
      <c r="W2" s="11" t="s">
        <v>240</v>
      </c>
      <c r="X2" s="11" t="s">
        <v>241</v>
      </c>
      <c r="Y2" s="11" t="s">
        <v>242</v>
      </c>
      <c r="Z2" s="11" t="s">
        <v>243</v>
      </c>
      <c r="AA2" s="11" t="s">
        <v>244</v>
      </c>
      <c r="AB2" s="11" t="s">
        <v>245</v>
      </c>
      <c r="AC2" s="11" t="s">
        <v>246</v>
      </c>
      <c r="AD2" s="11" t="s">
        <v>247</v>
      </c>
      <c r="AE2" s="11" t="s">
        <v>248</v>
      </c>
      <c r="AF2" s="11" t="s">
        <v>249</v>
      </c>
      <c r="AG2" s="11" t="s">
        <v>250</v>
      </c>
      <c r="AH2" s="11" t="s">
        <v>251</v>
      </c>
      <c r="AI2" s="11" t="s">
        <v>252</v>
      </c>
      <c r="AJ2" s="11" t="s">
        <v>253</v>
      </c>
      <c r="AK2" s="11" t="s">
        <v>254</v>
      </c>
      <c r="AL2" s="11" t="s">
        <v>255</v>
      </c>
      <c r="AM2" s="11" t="s">
        <v>256</v>
      </c>
      <c r="AN2" s="11" t="s">
        <v>257</v>
      </c>
      <c r="AO2" s="11" t="s">
        <v>258</v>
      </c>
      <c r="AP2" s="11" t="s">
        <v>259</v>
      </c>
      <c r="AQ2" s="11" t="s">
        <v>260</v>
      </c>
      <c r="AR2" s="11" t="s">
        <v>261</v>
      </c>
      <c r="AS2" s="11" t="s">
        <v>262</v>
      </c>
      <c r="AT2" s="11" t="s">
        <v>263</v>
      </c>
      <c r="AU2" s="11" t="s">
        <v>264</v>
      </c>
      <c r="AV2" s="11" t="s">
        <v>265</v>
      </c>
      <c r="AW2" s="11" t="s">
        <v>266</v>
      </c>
      <c r="AX2" s="11" t="s">
        <v>267</v>
      </c>
      <c r="AY2" s="11" t="s">
        <v>268</v>
      </c>
      <c r="AZ2" s="11" t="s">
        <v>269</v>
      </c>
      <c r="BA2" s="11" t="s">
        <v>270</v>
      </c>
      <c r="BB2" s="11" t="s">
        <v>271</v>
      </c>
      <c r="BC2" s="11" t="s">
        <v>272</v>
      </c>
      <c r="BD2" s="11" t="s">
        <v>273</v>
      </c>
      <c r="BE2" s="11" t="s">
        <v>274</v>
      </c>
      <c r="BF2" s="11" t="s">
        <v>275</v>
      </c>
      <c r="BG2" s="11" t="s">
        <v>276</v>
      </c>
      <c r="BH2" s="11" t="s">
        <v>277</v>
      </c>
      <c r="BI2" s="11" t="s">
        <v>278</v>
      </c>
      <c r="BJ2" s="11" t="s">
        <v>279</v>
      </c>
      <c r="BK2" s="11" t="s">
        <v>280</v>
      </c>
      <c r="BL2" s="11" t="s">
        <v>281</v>
      </c>
      <c r="BM2" s="11" t="s">
        <v>282</v>
      </c>
      <c r="BN2" s="11" t="s">
        <v>283</v>
      </c>
      <c r="BO2" s="11" t="s">
        <v>284</v>
      </c>
      <c r="BP2" s="11" t="s">
        <v>285</v>
      </c>
      <c r="BQ2" s="11" t="s">
        <v>286</v>
      </c>
      <c r="BR2" s="11" t="s">
        <v>287</v>
      </c>
      <c r="BS2" s="11" t="s">
        <v>288</v>
      </c>
      <c r="BT2" s="11" t="s">
        <v>289</v>
      </c>
      <c r="BU2" s="11" t="s">
        <v>290</v>
      </c>
      <c r="BV2" s="11" t="s">
        <v>291</v>
      </c>
      <c r="BW2" s="11" t="s">
        <v>292</v>
      </c>
      <c r="BX2" s="11" t="s">
        <v>293</v>
      </c>
      <c r="BY2" s="11" t="s">
        <v>294</v>
      </c>
      <c r="BZ2" s="11" t="s">
        <v>295</v>
      </c>
      <c r="CA2" s="11" t="s">
        <v>296</v>
      </c>
      <c r="CB2" s="11" t="s">
        <v>297</v>
      </c>
      <c r="CC2" s="11" t="s">
        <v>298</v>
      </c>
      <c r="CD2" s="11" t="s">
        <v>299</v>
      </c>
      <c r="CE2" s="11" t="s">
        <v>300</v>
      </c>
      <c r="CF2" s="11" t="s">
        <v>301</v>
      </c>
      <c r="CG2" s="11" t="s">
        <v>302</v>
      </c>
      <c r="CH2" s="11" t="s">
        <v>303</v>
      </c>
      <c r="CI2" s="11" t="s">
        <v>304</v>
      </c>
      <c r="CJ2" s="11" t="s">
        <v>305</v>
      </c>
      <c r="CK2" s="11" t="s">
        <v>306</v>
      </c>
      <c r="CL2" s="11" t="s">
        <v>307</v>
      </c>
      <c r="CM2" s="11" t="s">
        <v>308</v>
      </c>
      <c r="CN2" s="11" t="s">
        <v>309</v>
      </c>
      <c r="CO2" s="11" t="s">
        <v>310</v>
      </c>
      <c r="CP2" s="11" t="s">
        <v>311</v>
      </c>
      <c r="CQ2" s="11" t="s">
        <v>312</v>
      </c>
      <c r="CR2" s="11" t="s">
        <v>313</v>
      </c>
      <c r="CS2" s="11" t="s">
        <v>314</v>
      </c>
      <c r="CT2" s="11" t="s">
        <v>315</v>
      </c>
      <c r="CU2" s="11" t="s">
        <v>316</v>
      </c>
      <c r="CV2" s="11" t="s">
        <v>317</v>
      </c>
      <c r="CW2" s="11" t="s">
        <v>318</v>
      </c>
      <c r="CX2" s="11" t="s">
        <v>319</v>
      </c>
      <c r="CY2" s="11" t="s">
        <v>320</v>
      </c>
      <c r="CZ2" s="11" t="s">
        <v>321</v>
      </c>
      <c r="DA2" s="11" t="s">
        <v>322</v>
      </c>
      <c r="DB2" s="11" t="s">
        <v>323</v>
      </c>
      <c r="DC2" s="11" t="s">
        <v>324</v>
      </c>
      <c r="DD2" s="11" t="s">
        <v>325</v>
      </c>
      <c r="DE2" s="11" t="s">
        <v>326</v>
      </c>
      <c r="DF2" s="11" t="s">
        <v>327</v>
      </c>
      <c r="DG2" s="11" t="s">
        <v>328</v>
      </c>
      <c r="DH2" s="11" t="s">
        <v>329</v>
      </c>
      <c r="DI2" s="11" t="s">
        <v>330</v>
      </c>
      <c r="DJ2" s="11" t="s">
        <v>331</v>
      </c>
      <c r="DK2" s="11" t="s">
        <v>332</v>
      </c>
      <c r="DL2" s="11" t="s">
        <v>333</v>
      </c>
      <c r="DM2" s="11" t="s">
        <v>334</v>
      </c>
      <c r="DN2" s="11" t="s">
        <v>335</v>
      </c>
      <c r="DO2" s="11" t="s">
        <v>336</v>
      </c>
      <c r="DP2" s="11" t="s">
        <v>337</v>
      </c>
      <c r="DQ2" s="11" t="s">
        <v>338</v>
      </c>
      <c r="DR2" s="11" t="s">
        <v>339</v>
      </c>
      <c r="DS2" s="11" t="s">
        <v>340</v>
      </c>
      <c r="DT2" s="11" t="s">
        <v>341</v>
      </c>
      <c r="DU2" s="11" t="s">
        <v>342</v>
      </c>
      <c r="DV2" s="11" t="s">
        <v>343</v>
      </c>
      <c r="DW2" s="11" t="s">
        <v>344</v>
      </c>
      <c r="DX2" s="11" t="s">
        <v>345</v>
      </c>
      <c r="DY2" s="11" t="s">
        <v>346</v>
      </c>
      <c r="DZ2" s="11" t="s">
        <v>347</v>
      </c>
      <c r="EA2" s="11" t="s">
        <v>348</v>
      </c>
      <c r="EB2" s="11" t="s">
        <v>349</v>
      </c>
      <c r="EC2" s="11" t="s">
        <v>350</v>
      </c>
      <c r="ED2" s="11" t="s">
        <v>351</v>
      </c>
      <c r="EE2" s="11" t="s">
        <v>352</v>
      </c>
      <c r="EF2" s="11" t="s">
        <v>353</v>
      </c>
      <c r="EG2" s="11" t="s">
        <v>354</v>
      </c>
      <c r="EH2" s="11" t="s">
        <v>355</v>
      </c>
      <c r="EI2" s="11" t="s">
        <v>356</v>
      </c>
      <c r="EJ2" s="11" t="s">
        <v>357</v>
      </c>
      <c r="EK2" s="11" t="s">
        <v>358</v>
      </c>
      <c r="EL2" s="11" t="s">
        <v>359</v>
      </c>
      <c r="EM2" s="11" t="s">
        <v>360</v>
      </c>
      <c r="EN2" s="11" t="s">
        <v>361</v>
      </c>
      <c r="EO2" s="11" t="s">
        <v>362</v>
      </c>
      <c r="EP2" s="11" t="s">
        <v>363</v>
      </c>
      <c r="EQ2" s="11" t="s">
        <v>364</v>
      </c>
      <c r="ER2" s="11"/>
      <c r="ES2" s="11" t="s">
        <v>365</v>
      </c>
      <c r="ET2" s="11" t="s">
        <v>366</v>
      </c>
      <c r="EU2" s="11" t="s">
        <v>367</v>
      </c>
      <c r="EV2" s="11" t="s">
        <v>368</v>
      </c>
      <c r="EW2" s="11" t="s">
        <v>369</v>
      </c>
      <c r="EX2" s="11" t="s">
        <v>370</v>
      </c>
      <c r="EY2" s="11" t="s">
        <v>371</v>
      </c>
      <c r="EZ2" s="11" t="s">
        <v>372</v>
      </c>
      <c r="FA2" s="11" t="s">
        <v>373</v>
      </c>
      <c r="FB2" s="11" t="s">
        <v>374</v>
      </c>
    </row>
    <row r="3" spans="1:158" x14ac:dyDescent="0.25">
      <c r="A3" s="13" t="s">
        <v>0</v>
      </c>
      <c r="B3" s="13" t="s">
        <v>1</v>
      </c>
      <c r="C3" s="13" t="s">
        <v>2</v>
      </c>
      <c r="D3" s="13" t="s">
        <v>3</v>
      </c>
      <c r="E3" s="14" t="s">
        <v>4</v>
      </c>
      <c r="F3" s="14">
        <v>2008</v>
      </c>
      <c r="G3" s="14">
        <v>2009</v>
      </c>
      <c r="H3" s="14">
        <v>2010</v>
      </c>
      <c r="I3" s="14">
        <v>2011</v>
      </c>
      <c r="J3" s="14">
        <v>2012</v>
      </c>
      <c r="K3" s="14">
        <v>2013</v>
      </c>
      <c r="L3" s="14">
        <v>2014</v>
      </c>
      <c r="M3" s="14">
        <v>2015</v>
      </c>
      <c r="N3" s="14">
        <v>2016</v>
      </c>
      <c r="O3" s="14">
        <v>2017</v>
      </c>
      <c r="P3" s="14">
        <v>2018</v>
      </c>
      <c r="Q3" s="14">
        <v>2019</v>
      </c>
      <c r="R3" s="14">
        <v>2020</v>
      </c>
      <c r="S3" s="14">
        <v>2021</v>
      </c>
      <c r="T3" s="14">
        <v>2022</v>
      </c>
      <c r="U3" s="14">
        <v>2008</v>
      </c>
      <c r="V3" s="14">
        <v>2009</v>
      </c>
      <c r="W3" s="14">
        <v>2010</v>
      </c>
      <c r="X3" s="15">
        <v>2011</v>
      </c>
      <c r="Y3" s="15">
        <v>2012</v>
      </c>
      <c r="Z3" s="15">
        <v>2013</v>
      </c>
      <c r="AA3" s="15">
        <v>2014</v>
      </c>
      <c r="AB3" s="15">
        <v>2015</v>
      </c>
      <c r="AC3" s="15">
        <v>2016</v>
      </c>
      <c r="AD3" s="15">
        <v>2017</v>
      </c>
      <c r="AE3" s="15">
        <v>2018</v>
      </c>
      <c r="AF3" s="15">
        <v>2019</v>
      </c>
      <c r="AG3" s="15">
        <v>2020</v>
      </c>
      <c r="AH3" s="15">
        <v>2021</v>
      </c>
      <c r="AI3" s="15">
        <v>2022</v>
      </c>
      <c r="AJ3" s="15">
        <v>2011</v>
      </c>
      <c r="AK3" s="15">
        <v>2012</v>
      </c>
      <c r="AL3" s="15">
        <v>2013</v>
      </c>
      <c r="AM3" s="15">
        <v>2014</v>
      </c>
      <c r="AN3" s="15">
        <v>2015</v>
      </c>
      <c r="AO3" s="15">
        <v>2016</v>
      </c>
      <c r="AP3" s="15">
        <v>2017</v>
      </c>
      <c r="AQ3" s="15">
        <v>2018</v>
      </c>
      <c r="AR3" s="15">
        <v>2019</v>
      </c>
      <c r="AS3" s="15">
        <v>2020</v>
      </c>
      <c r="AT3" s="15">
        <v>2021</v>
      </c>
      <c r="AU3" s="15">
        <v>2022</v>
      </c>
      <c r="AV3" s="15">
        <v>2008</v>
      </c>
      <c r="AW3" s="15">
        <v>2009</v>
      </c>
      <c r="AX3" s="15">
        <v>2010</v>
      </c>
      <c r="AY3" s="15">
        <v>2011</v>
      </c>
      <c r="AZ3" s="15">
        <v>2012</v>
      </c>
      <c r="BA3" s="15">
        <v>2013</v>
      </c>
      <c r="BB3" s="15">
        <v>2014</v>
      </c>
      <c r="BC3" s="15">
        <v>2015</v>
      </c>
      <c r="BD3" s="15">
        <v>2016</v>
      </c>
      <c r="BE3" s="15">
        <v>2017</v>
      </c>
      <c r="BF3" s="15">
        <v>2018</v>
      </c>
      <c r="BG3" s="15">
        <v>2019</v>
      </c>
      <c r="BH3" s="15">
        <v>2020</v>
      </c>
      <c r="BI3" s="15">
        <v>2021</v>
      </c>
      <c r="BJ3" s="15">
        <v>2022</v>
      </c>
      <c r="BK3" s="15">
        <v>2008</v>
      </c>
      <c r="BL3" s="15">
        <v>2009</v>
      </c>
      <c r="BM3" s="15">
        <v>2010</v>
      </c>
      <c r="BN3" s="15">
        <v>2011</v>
      </c>
      <c r="BO3" s="15">
        <v>2012</v>
      </c>
      <c r="BP3" s="15">
        <v>2013</v>
      </c>
      <c r="BQ3" s="15">
        <v>2014</v>
      </c>
      <c r="BR3" s="15">
        <v>2015</v>
      </c>
      <c r="BS3" s="15">
        <v>2016</v>
      </c>
      <c r="BT3" s="15">
        <v>2017</v>
      </c>
      <c r="BU3" s="15">
        <v>2018</v>
      </c>
      <c r="BV3" s="15">
        <v>2019</v>
      </c>
      <c r="BW3" s="15">
        <v>2020</v>
      </c>
      <c r="BX3" s="15">
        <v>2021</v>
      </c>
      <c r="BY3" s="15">
        <v>2022</v>
      </c>
      <c r="BZ3" s="15">
        <v>2013</v>
      </c>
      <c r="CA3" s="15">
        <v>2014</v>
      </c>
      <c r="CB3" s="15">
        <v>2015</v>
      </c>
      <c r="CC3" s="15">
        <v>2016</v>
      </c>
      <c r="CD3" s="15">
        <v>2017</v>
      </c>
      <c r="CE3" s="15">
        <v>2018</v>
      </c>
      <c r="CF3" s="15">
        <v>2019</v>
      </c>
      <c r="CG3" s="15">
        <v>2020</v>
      </c>
      <c r="CH3" s="15">
        <v>2021</v>
      </c>
      <c r="CI3" s="15">
        <v>2022</v>
      </c>
      <c r="CJ3" s="15">
        <v>2008</v>
      </c>
      <c r="CK3" s="15">
        <v>2009</v>
      </c>
      <c r="CL3" s="15">
        <v>2010</v>
      </c>
      <c r="CM3" s="15">
        <v>2011</v>
      </c>
      <c r="CN3" s="15">
        <v>2012</v>
      </c>
      <c r="CO3" s="15">
        <v>2013</v>
      </c>
      <c r="CP3" s="15">
        <v>2014</v>
      </c>
      <c r="CQ3" s="15">
        <v>2015</v>
      </c>
      <c r="CR3" s="15">
        <v>2016</v>
      </c>
      <c r="CS3" s="15">
        <v>2017</v>
      </c>
      <c r="CT3" s="15">
        <v>2018</v>
      </c>
      <c r="CU3" s="15">
        <v>2019</v>
      </c>
      <c r="CV3" s="15">
        <v>2020</v>
      </c>
      <c r="CW3" s="15">
        <v>2021</v>
      </c>
      <c r="CX3" s="15">
        <v>2022</v>
      </c>
      <c r="CY3" s="15">
        <v>2008</v>
      </c>
      <c r="CZ3" s="15">
        <v>2009</v>
      </c>
      <c r="DA3" s="15">
        <v>2010</v>
      </c>
      <c r="DB3" s="15">
        <v>2011</v>
      </c>
      <c r="DC3" s="15">
        <v>2012</v>
      </c>
      <c r="DD3" s="15">
        <v>2013</v>
      </c>
      <c r="DE3" s="15">
        <v>2014</v>
      </c>
      <c r="DF3" s="15">
        <v>2015</v>
      </c>
      <c r="DG3" s="15">
        <v>2016</v>
      </c>
      <c r="DH3" s="15">
        <v>2017</v>
      </c>
      <c r="DI3" s="15">
        <v>2018</v>
      </c>
      <c r="DJ3" s="15">
        <v>2019</v>
      </c>
      <c r="DK3" s="15">
        <v>2020</v>
      </c>
      <c r="DL3" s="15">
        <v>2021</v>
      </c>
      <c r="DM3" s="15">
        <v>2022</v>
      </c>
      <c r="DN3" s="15">
        <v>2008</v>
      </c>
      <c r="DO3" s="15">
        <v>2009</v>
      </c>
      <c r="DP3" s="15">
        <v>2010</v>
      </c>
      <c r="DQ3" s="15">
        <v>2011</v>
      </c>
      <c r="DR3" s="15">
        <v>2012</v>
      </c>
      <c r="DS3" s="15">
        <v>2013</v>
      </c>
      <c r="DT3" s="15">
        <v>2014</v>
      </c>
      <c r="DU3" s="15">
        <v>2015</v>
      </c>
      <c r="DV3" s="15">
        <v>2016</v>
      </c>
      <c r="DW3" s="15">
        <v>2017</v>
      </c>
      <c r="DX3" s="15">
        <v>2018</v>
      </c>
      <c r="DY3" s="15">
        <v>2019</v>
      </c>
      <c r="DZ3" s="15">
        <v>2020</v>
      </c>
      <c r="EA3" s="15">
        <v>2021</v>
      </c>
      <c r="EB3" s="15">
        <v>2022</v>
      </c>
      <c r="EC3" s="15">
        <v>2008</v>
      </c>
      <c r="ED3" s="15">
        <v>2009</v>
      </c>
      <c r="EE3" s="15">
        <v>2010</v>
      </c>
      <c r="EF3" s="15">
        <v>2011</v>
      </c>
      <c r="EG3" s="15">
        <v>2012</v>
      </c>
      <c r="EH3" s="15">
        <v>2013</v>
      </c>
      <c r="EI3" s="15">
        <v>2014</v>
      </c>
      <c r="EJ3" s="15">
        <v>2015</v>
      </c>
      <c r="EK3" s="15">
        <v>2016</v>
      </c>
      <c r="EL3" s="15">
        <v>2017</v>
      </c>
      <c r="EM3" s="15">
        <v>2018</v>
      </c>
      <c r="EN3" s="15">
        <v>2019</v>
      </c>
      <c r="EO3" s="15">
        <v>2020</v>
      </c>
      <c r="EP3" s="15">
        <v>2021</v>
      </c>
      <c r="EQ3" s="15">
        <v>2022</v>
      </c>
      <c r="ER3" s="15"/>
      <c r="ES3" s="15">
        <f>'Config!'!$BA$15</f>
        <v>2012</v>
      </c>
      <c r="ET3" s="15">
        <f>'Config!'!$BA$15</f>
        <v>2012</v>
      </c>
      <c r="EU3" s="426">
        <f>MAX('Config!'!$BA$15,2011)</f>
        <v>2012</v>
      </c>
      <c r="EV3" s="15">
        <f>'Config!'!$BA$15</f>
        <v>2012</v>
      </c>
      <c r="EW3" s="15">
        <f>'Config!'!$BA$15</f>
        <v>2012</v>
      </c>
      <c r="EX3" s="15">
        <f>MAX('Config!'!$BA$15,2011)</f>
        <v>2012</v>
      </c>
      <c r="EY3" s="15">
        <f>'Config!'!$BA$15</f>
        <v>2012</v>
      </c>
      <c r="EZ3" s="15">
        <f>'Config!'!$BA$15</f>
        <v>2012</v>
      </c>
      <c r="FA3" s="15">
        <f>'Config!'!$BA$15</f>
        <v>2012</v>
      </c>
      <c r="FB3" s="15">
        <f>'Config!'!$BA$15</f>
        <v>2012</v>
      </c>
    </row>
    <row r="4" spans="1:158" x14ac:dyDescent="0.25">
      <c r="A4" s="17">
        <v>1</v>
      </c>
      <c r="B4" s="17" t="s">
        <v>6</v>
      </c>
      <c r="C4" s="17" t="s">
        <v>6</v>
      </c>
      <c r="D4" s="17" t="s">
        <v>7</v>
      </c>
      <c r="E4" s="16">
        <v>1</v>
      </c>
      <c r="F4" s="18">
        <v>3.345207292050782</v>
      </c>
      <c r="G4" s="18">
        <v>3.2702241349112353</v>
      </c>
      <c r="H4" s="18">
        <v>3.3707739222040374</v>
      </c>
      <c r="I4" s="18">
        <v>3.6077542958748223</v>
      </c>
      <c r="J4" s="18">
        <v>3.7817171517971762</v>
      </c>
      <c r="K4" s="18">
        <v>3.5883216934210522</v>
      </c>
      <c r="L4" s="18">
        <v>3.4383961368421057</v>
      </c>
      <c r="M4" s="18">
        <v>3.6074418786971942</v>
      </c>
      <c r="N4" s="18">
        <v>3.6517017852496521</v>
      </c>
      <c r="O4" s="18">
        <v>3.6619365041720013</v>
      </c>
      <c r="P4" s="18">
        <v>3.8739833145583003</v>
      </c>
      <c r="Q4" s="18">
        <v>3.8944487571956055</v>
      </c>
      <c r="R4" s="18">
        <v>3.8524387457462805</v>
      </c>
      <c r="S4" s="18">
        <v>3.9767209562911803</v>
      </c>
      <c r="T4" s="18">
        <v>3.809574766685154</v>
      </c>
      <c r="U4" s="18">
        <v>2.099299283463012</v>
      </c>
      <c r="V4" s="18">
        <v>2.218237654891988</v>
      </c>
      <c r="W4" s="18">
        <v>2.4299682070921977</v>
      </c>
      <c r="X4" s="18">
        <v>2.5666538508108108</v>
      </c>
      <c r="Y4" s="18">
        <v>2.5792184667479674</v>
      </c>
      <c r="Z4" s="18">
        <v>2.6306871002083332</v>
      </c>
      <c r="AA4" s="18">
        <v>2.7969148643999096</v>
      </c>
      <c r="AB4" s="18">
        <v>2.7347220271627992</v>
      </c>
      <c r="AC4" s="18">
        <v>2.7646720895537706</v>
      </c>
      <c r="AD4" s="19">
        <v>2.9618902886445762</v>
      </c>
      <c r="AE4" s="19">
        <v>2.9713584488110665</v>
      </c>
      <c r="AF4" s="19">
        <v>3.1889026683053374</v>
      </c>
      <c r="AG4" s="19">
        <v>3.3888846052362771</v>
      </c>
      <c r="AH4" s="19">
        <v>3.4987770917837859</v>
      </c>
      <c r="AI4" s="19">
        <v>3.4447885717613498</v>
      </c>
      <c r="AJ4" s="19">
        <v>4.5593859279279281</v>
      </c>
      <c r="AK4" s="19">
        <v>4.8530024065040651</v>
      </c>
      <c r="AL4" s="19">
        <v>4.5975393302083329</v>
      </c>
      <c r="AM4" s="19">
        <v>4.2264846833333332</v>
      </c>
      <c r="AN4" s="19">
        <v>4.1242525292452976</v>
      </c>
      <c r="AO4" s="19">
        <v>4.1729953023741508</v>
      </c>
      <c r="AP4" s="19">
        <v>4.406090076814408</v>
      </c>
      <c r="AQ4" s="19">
        <v>3.9332339201998505</v>
      </c>
      <c r="AR4" s="19">
        <v>3.366571930230343</v>
      </c>
      <c r="AS4" s="19">
        <v>3.8498575195108744</v>
      </c>
      <c r="AT4" s="19">
        <v>3.5456322262816107</v>
      </c>
      <c r="AU4" s="19">
        <v>3.4764230874914417</v>
      </c>
      <c r="AV4" s="19">
        <v>2.9774912362936106</v>
      </c>
      <c r="AW4" s="19">
        <v>3.2173649089733369</v>
      </c>
      <c r="AX4" s="19">
        <v>3.3803722638297877</v>
      </c>
      <c r="AY4" s="19">
        <v>4.0041035135135141</v>
      </c>
      <c r="AZ4" s="19">
        <v>4.4081844298780481</v>
      </c>
      <c r="BA4" s="19">
        <v>4.1067443468750007</v>
      </c>
      <c r="BB4" s="19">
        <v>3.9089166000000004</v>
      </c>
      <c r="BC4" s="19">
        <v>3.9637507392380238</v>
      </c>
      <c r="BD4" s="19">
        <v>4.5200337921822822</v>
      </c>
      <c r="BE4" s="19">
        <v>4.6484255280884561</v>
      </c>
      <c r="BF4" s="20">
        <v>2.8543844825250346</v>
      </c>
      <c r="BG4" s="20">
        <v>4.4052476292565572</v>
      </c>
      <c r="BH4" s="20">
        <v>4.0821772801737728</v>
      </c>
      <c r="BI4" s="20">
        <v>4.6188858383167481</v>
      </c>
      <c r="BJ4" s="20">
        <v>4.8410879490057237</v>
      </c>
      <c r="BK4" s="19">
        <v>2.9661487713688732</v>
      </c>
      <c r="BL4" s="19">
        <v>2.9083053442471325</v>
      </c>
      <c r="BM4" s="19">
        <v>2.9785828851063831</v>
      </c>
      <c r="BN4" s="19">
        <v>3.0606219675675677</v>
      </c>
      <c r="BO4" s="19">
        <v>3.5188906981707317</v>
      </c>
      <c r="BP4" s="19">
        <v>3.5310419093750003</v>
      </c>
      <c r="BQ4" s="19">
        <v>3.2401686000000001</v>
      </c>
      <c r="BR4" s="19">
        <v>3.0102671269896031</v>
      </c>
      <c r="BS4" s="19">
        <v>3.014810541293004</v>
      </c>
      <c r="BT4" s="19">
        <v>3.0689004250292506</v>
      </c>
      <c r="BU4" s="19">
        <v>3.6523623608446427</v>
      </c>
      <c r="BV4" s="19">
        <v>3.2915956341040205</v>
      </c>
      <c r="BW4" s="19">
        <v>3.7905422563562428</v>
      </c>
      <c r="BX4" s="19">
        <v>2.7389484627625631</v>
      </c>
      <c r="BY4" s="19">
        <v>2.7466178628583005</v>
      </c>
      <c r="BZ4" s="19">
        <v>8.8075266449999194</v>
      </c>
      <c r="CA4" s="19">
        <v>18.405061949765301</v>
      </c>
      <c r="CB4" s="19">
        <v>24.728143294411399</v>
      </c>
      <c r="CC4" s="19">
        <v>30.8725116648924</v>
      </c>
      <c r="CD4" s="19">
        <v>40.578314353447801</v>
      </c>
      <c r="CE4" s="19">
        <v>47.535372731746477</v>
      </c>
      <c r="CF4" s="19">
        <v>54.927482796340009</v>
      </c>
      <c r="CG4" s="19">
        <v>62.606923993600937</v>
      </c>
      <c r="CH4" s="19">
        <v>69.998337472213663</v>
      </c>
      <c r="CI4" s="19">
        <v>78.101091466770384</v>
      </c>
      <c r="CJ4" s="19">
        <v>39.448481052301901</v>
      </c>
      <c r="CK4" s="19">
        <v>60.380714416503899</v>
      </c>
      <c r="CL4" s="19">
        <v>97.928321838378906</v>
      </c>
      <c r="CM4" s="19">
        <v>131.89405822753901</v>
      </c>
      <c r="CN4" s="19">
        <v>141.92896135298901</v>
      </c>
      <c r="CO4" s="19">
        <v>96.393394502715793</v>
      </c>
      <c r="CP4" s="19">
        <v>108.44733472084</v>
      </c>
      <c r="CQ4" s="19">
        <v>116.15720813003399</v>
      </c>
      <c r="CR4" s="19">
        <v>105.469965746985</v>
      </c>
      <c r="CS4" s="19">
        <v>106.380206826378</v>
      </c>
      <c r="CT4" s="19">
        <v>130.73116599066847</v>
      </c>
      <c r="CU4" s="19">
        <v>137.76325305766775</v>
      </c>
      <c r="CV4" s="19">
        <v>150.30851123364064</v>
      </c>
      <c r="CW4" s="19">
        <v>145.05333007209393</v>
      </c>
      <c r="CX4" s="19">
        <v>150.9091718575645</v>
      </c>
      <c r="CY4" s="19">
        <v>3.1225246184854596</v>
      </c>
      <c r="CZ4" s="19">
        <v>3.1943513596390485</v>
      </c>
      <c r="DA4" s="19">
        <v>3.2304224085106386</v>
      </c>
      <c r="DB4" s="19">
        <v>3.348035913513514</v>
      </c>
      <c r="DC4" s="19">
        <v>3.427732763414634</v>
      </c>
      <c r="DD4" s="19">
        <v>3.1366549781250002</v>
      </c>
      <c r="DE4" s="19">
        <v>2.8453669000000001</v>
      </c>
      <c r="DF4" s="19">
        <v>2.7735628352653983</v>
      </c>
      <c r="DG4" s="19">
        <v>3.0483970675435099</v>
      </c>
      <c r="DH4" s="19">
        <v>3.537092165377155</v>
      </c>
      <c r="DI4" s="19">
        <v>2.7893807694002022</v>
      </c>
      <c r="DJ4" s="19">
        <v>2.5080480450542844</v>
      </c>
      <c r="DK4" s="19">
        <v>2.2493905365593139</v>
      </c>
      <c r="DL4" s="19">
        <v>3.5987152692690372</v>
      </c>
      <c r="DM4" s="19">
        <v>3.9926163612712449</v>
      </c>
      <c r="DN4" s="19">
        <v>2.1556875834603564</v>
      </c>
      <c r="DO4" s="19">
        <v>2.2496109141553724</v>
      </c>
      <c r="DP4" s="19">
        <v>3.1274843446808513</v>
      </c>
      <c r="DQ4" s="19">
        <v>3.9035524810810811</v>
      </c>
      <c r="DR4" s="19">
        <v>4.195606769512195</v>
      </c>
      <c r="DS4" s="19">
        <v>4.1514628624999999</v>
      </c>
      <c r="DT4" s="19">
        <v>3.7914824999999999</v>
      </c>
      <c r="DU4" s="19">
        <v>3.7973198400256631</v>
      </c>
      <c r="DV4" s="19">
        <v>3.9328612234208968</v>
      </c>
      <c r="DW4" s="19">
        <v>4.1069435266578722</v>
      </c>
      <c r="DX4" s="19">
        <v>4.5095104308920266</v>
      </c>
      <c r="DY4" s="19">
        <v>4.4316968104786687</v>
      </c>
      <c r="DZ4" s="19">
        <v>5.2695868543493276</v>
      </c>
      <c r="EA4" s="19">
        <v>5.3918408778985603</v>
      </c>
      <c r="EB4" s="19">
        <v>4.3812442398388436</v>
      </c>
      <c r="EC4" s="19">
        <v>2.2430929950564318</v>
      </c>
      <c r="ED4" s="19">
        <v>2.3614108747541858</v>
      </c>
      <c r="EE4" s="19">
        <v>2.8434598723404259</v>
      </c>
      <c r="EF4" s="19">
        <v>3.5093994486486486</v>
      </c>
      <c r="EG4" s="19">
        <v>4.2032235420731698</v>
      </c>
      <c r="EH4" s="19">
        <v>4.2880564218749999</v>
      </c>
      <c r="EI4" s="19">
        <v>3.8503778</v>
      </c>
      <c r="EJ4" s="19">
        <v>3.9435943452997209</v>
      </c>
      <c r="EK4" s="19">
        <v>4.3346403542098466</v>
      </c>
      <c r="EL4" s="19">
        <v>4.3503138464201925</v>
      </c>
      <c r="EM4" s="19">
        <v>5.7329067111330847</v>
      </c>
      <c r="EN4" s="19">
        <v>5.0867770638300049</v>
      </c>
      <c r="EO4" s="19">
        <v>5.3739645619187701</v>
      </c>
      <c r="EP4" s="19">
        <v>6.3732283793964637</v>
      </c>
      <c r="EQ4" s="19">
        <v>6.6979764202304848</v>
      </c>
      <c r="ER4" s="19"/>
      <c r="ES4" s="16">
        <f>IF(SUMIF($F$2:$EQ$2,ES$2&amp;"_"&amp;ES$3,$F4:$EQ4)=0,".",SUMIF($F$2:$EQ$2,ES$2&amp;"_"&amp;ES$3,$F4:$EQ4))</f>
        <v>3.7817171517971762</v>
      </c>
      <c r="ET4" s="16">
        <f t="shared" ref="ET4:FB19" si="0">IF(SUMIF($F$2:$EQ$2,ET$2&amp;"_"&amp;ET$3,$F4:$EQ4)=0,".",SUMIF($F$2:$EQ$2,ET$2&amp;"_"&amp;ET$3,$F4:$EQ4))</f>
        <v>2.5792184667479674</v>
      </c>
      <c r="EU4" s="16">
        <f t="shared" si="0"/>
        <v>4.8530024065040651</v>
      </c>
      <c r="EV4" s="16">
        <f t="shared" si="0"/>
        <v>4.4081844298780481</v>
      </c>
      <c r="EW4" s="16">
        <f t="shared" si="0"/>
        <v>3.5188906981707317</v>
      </c>
      <c r="EX4" s="16" t="str">
        <f t="shared" si="0"/>
        <v>.</v>
      </c>
      <c r="EY4" s="16">
        <f t="shared" si="0"/>
        <v>141.92896135298901</v>
      </c>
      <c r="EZ4" s="16">
        <f t="shared" si="0"/>
        <v>3.427732763414634</v>
      </c>
      <c r="FA4" s="16">
        <f t="shared" si="0"/>
        <v>4.195606769512195</v>
      </c>
      <c r="FB4" s="16">
        <f t="shared" si="0"/>
        <v>4.2032235420731698</v>
      </c>
    </row>
    <row r="5" spans="1:158" x14ac:dyDescent="0.25">
      <c r="A5" s="17">
        <v>2</v>
      </c>
      <c r="B5" s="17" t="s">
        <v>8</v>
      </c>
      <c r="C5" s="17" t="s">
        <v>8</v>
      </c>
      <c r="D5" s="17" t="s">
        <v>9</v>
      </c>
      <c r="E5" s="16">
        <v>1</v>
      </c>
      <c r="F5" s="18">
        <v>3.2636059657796448</v>
      </c>
      <c r="G5" s="18">
        <v>3.0345198829930284</v>
      </c>
      <c r="H5" s="18">
        <v>3.1260048950414783</v>
      </c>
      <c r="I5" s="18">
        <v>3.3301891642712547</v>
      </c>
      <c r="J5" s="18">
        <v>2.9344473954233412</v>
      </c>
      <c r="K5" s="18">
        <v>2.5379742278508775</v>
      </c>
      <c r="L5" s="18">
        <v>2.8884526015574647</v>
      </c>
      <c r="M5" s="18">
        <v>3.2159166215860959</v>
      </c>
      <c r="N5" s="18">
        <v>3.2872055953841208</v>
      </c>
      <c r="O5" s="18">
        <v>3.3137443948675234</v>
      </c>
      <c r="P5" s="18">
        <v>3.1367585257992268</v>
      </c>
      <c r="Q5" s="18">
        <v>2.5874013455686176</v>
      </c>
      <c r="R5" s="18">
        <v>2.5222730562690931</v>
      </c>
      <c r="S5" s="18">
        <v>4.3853653579591843</v>
      </c>
      <c r="T5" s="18">
        <v>2.7213048154757127</v>
      </c>
      <c r="U5" s="18">
        <v>2.9498664891370066</v>
      </c>
      <c r="V5" s="18">
        <v>2.6554869297851056</v>
      </c>
      <c r="W5" s="18">
        <v>2.6385734322549022</v>
      </c>
      <c r="X5" s="18">
        <v>2.7501866978205127</v>
      </c>
      <c r="Y5" s="18">
        <v>2.3739414330467534</v>
      </c>
      <c r="Z5" s="18">
        <v>2.0880707118032324</v>
      </c>
      <c r="AA5" s="18">
        <v>2.377319564619496</v>
      </c>
      <c r="AB5" s="18">
        <v>2.6011417601835038</v>
      </c>
      <c r="AC5" s="18">
        <v>2.7598334251172765</v>
      </c>
      <c r="AD5" s="19">
        <v>2.9279714663704897</v>
      </c>
      <c r="AE5" s="19">
        <v>2.4272384348373279</v>
      </c>
      <c r="AF5" s="19">
        <v>3.2519721466873488</v>
      </c>
      <c r="AG5" s="19">
        <v>3.2583947625470753</v>
      </c>
      <c r="AH5" s="19">
        <v>2.7682949599901634</v>
      </c>
      <c r="AI5" s="19">
        <v>1.9843039618531058</v>
      </c>
      <c r="AJ5" s="19">
        <v>3.926908585256411</v>
      </c>
      <c r="AK5" s="19">
        <v>3.8434596347826093</v>
      </c>
      <c r="AL5" s="19">
        <v>3.3082806916666665</v>
      </c>
      <c r="AM5" s="19">
        <v>3.3459586853741494</v>
      </c>
      <c r="AN5" s="19">
        <v>3.543033151749301</v>
      </c>
      <c r="AO5" s="19">
        <v>3.569944060312062</v>
      </c>
      <c r="AP5" s="19">
        <v>3.6236990897454948</v>
      </c>
      <c r="AQ5" s="19">
        <v>3.6952447190036204</v>
      </c>
      <c r="AR5" s="19">
        <v>3.2965987405503649</v>
      </c>
      <c r="AS5" s="19">
        <v>3.5283135921590127</v>
      </c>
      <c r="AT5" s="19">
        <v>2.2186044282970125</v>
      </c>
      <c r="AU5" s="19">
        <v>3.5274032988787885</v>
      </c>
      <c r="AV5" s="19">
        <v>2.8677559912854029</v>
      </c>
      <c r="AW5" s="19">
        <v>2.5226471008230451</v>
      </c>
      <c r="AX5" s="19">
        <v>2.4022816985294115</v>
      </c>
      <c r="AY5" s="19">
        <v>2.2748764211538459</v>
      </c>
      <c r="AZ5" s="19">
        <v>2.2619648260869565</v>
      </c>
      <c r="BA5" s="19">
        <v>2.2776230291666666</v>
      </c>
      <c r="BB5" s="19">
        <v>2.5040833571428571</v>
      </c>
      <c r="BC5" s="19">
        <v>3.0506547466301628</v>
      </c>
      <c r="BD5" s="19">
        <v>3.3042293998243899</v>
      </c>
      <c r="BE5" s="19">
        <v>3.2488019381728126</v>
      </c>
      <c r="BF5" s="19">
        <v>4.270133631343989</v>
      </c>
      <c r="BG5" s="19">
        <v>4.3474040843528989</v>
      </c>
      <c r="BH5" s="19">
        <v>4.8409794246341296</v>
      </c>
      <c r="BI5" s="19">
        <v>4.6087399515366574</v>
      </c>
      <c r="BJ5" s="19">
        <v>4.4852721312393919</v>
      </c>
      <c r="BK5" s="19">
        <v>3.5233833992094867</v>
      </c>
      <c r="BL5" s="19">
        <v>3.1787833306138307</v>
      </c>
      <c r="BM5" s="19">
        <v>2.6485441205882352</v>
      </c>
      <c r="BN5" s="19">
        <v>2.9145536461538457</v>
      </c>
      <c r="BO5" s="19">
        <v>2.6894840608695652</v>
      </c>
      <c r="BP5" s="19">
        <v>2.385805645833333</v>
      </c>
      <c r="BQ5" s="19">
        <v>2.7921932908163258</v>
      </c>
      <c r="BR5" s="19">
        <v>3.0461952488068005</v>
      </c>
      <c r="BS5" s="19">
        <v>3.0636691817347868</v>
      </c>
      <c r="BT5" s="19">
        <v>3.0873463291988195</v>
      </c>
      <c r="BU5" s="19">
        <v>2.3210700614188347</v>
      </c>
      <c r="BV5" s="19">
        <v>2.922332223142885</v>
      </c>
      <c r="BW5" s="19">
        <v>3.120082224713693</v>
      </c>
      <c r="BX5" s="19">
        <v>3.3043764251455059</v>
      </c>
      <c r="BY5" s="19">
        <v>2.9073949653478479</v>
      </c>
      <c r="BZ5" s="19">
        <v>3.6782635445202136</v>
      </c>
      <c r="CA5" s="19">
        <v>3.7336496126935965</v>
      </c>
      <c r="CB5" s="19">
        <v>3.7898696658467337</v>
      </c>
      <c r="CC5" s="19">
        <v>20.7929350102821</v>
      </c>
      <c r="CD5" s="19">
        <v>40.114719237326199</v>
      </c>
      <c r="CE5" s="19">
        <v>41.109918176880868</v>
      </c>
      <c r="CF5" s="19">
        <v>55.588421050181708</v>
      </c>
      <c r="CG5" s="19">
        <v>60.077192887692824</v>
      </c>
      <c r="CH5" s="19">
        <v>67.29986282248953</v>
      </c>
      <c r="CI5" s="19">
        <v>81.293932776077838</v>
      </c>
      <c r="CJ5" s="19">
        <v>41.516304017504403</v>
      </c>
      <c r="CK5" s="19">
        <v>62.954074859619098</v>
      </c>
      <c r="CL5" s="19">
        <v>81.407028198242202</v>
      </c>
      <c r="CM5" s="19">
        <v>93.793907165527301</v>
      </c>
      <c r="CN5" s="19">
        <v>92.421260752728202</v>
      </c>
      <c r="CO5" s="19">
        <v>98.987590199974704</v>
      </c>
      <c r="CP5" s="19">
        <v>103.305864403022</v>
      </c>
      <c r="CQ5" s="19">
        <v>102.01078121578399</v>
      </c>
      <c r="CR5" s="19">
        <v>93.310750218381699</v>
      </c>
      <c r="CS5" s="19">
        <v>113.031094272445</v>
      </c>
      <c r="CT5" s="19">
        <v>122.63367876240567</v>
      </c>
      <c r="CU5" s="19">
        <v>124.87432580663908</v>
      </c>
      <c r="CV5" s="19">
        <v>139.77078886825871</v>
      </c>
      <c r="CW5" s="19">
        <v>142.80232061259485</v>
      </c>
      <c r="CX5" s="19">
        <v>146.39270153749359</v>
      </c>
      <c r="CY5" s="19">
        <v>4.3459884252208347</v>
      </c>
      <c r="CZ5" s="19">
        <v>3.5516512317285889</v>
      </c>
      <c r="DA5" s="19">
        <v>3.1219249529411766</v>
      </c>
      <c r="DB5" s="19">
        <v>3.5748280692307692</v>
      </c>
      <c r="DC5" s="19">
        <v>3.0819824347826086</v>
      </c>
      <c r="DD5" s="19">
        <v>2.5384332375000001</v>
      </c>
      <c r="DE5" s="19">
        <v>3.2241646459183668</v>
      </c>
      <c r="DF5" s="19">
        <v>3.7226434181374826</v>
      </c>
      <c r="DG5" s="19">
        <v>3.7481180373868792</v>
      </c>
      <c r="DH5" s="19">
        <v>3.6330097243050545</v>
      </c>
      <c r="DI5" s="19">
        <v>2.9005441585411234</v>
      </c>
      <c r="DJ5" s="19">
        <v>3.4906947622765454</v>
      </c>
      <c r="DK5" s="19">
        <v>3.4228822118888296</v>
      </c>
      <c r="DL5" s="19">
        <v>1.8110370118592687</v>
      </c>
      <c r="DM5" s="19">
        <v>2.6056686076857507</v>
      </c>
      <c r="DN5" s="19">
        <v>3.1590230664857533</v>
      </c>
      <c r="DO5" s="19">
        <v>3.0521829850815849</v>
      </c>
      <c r="DP5" s="19">
        <v>3.0573576808823528</v>
      </c>
      <c r="DQ5" s="19">
        <v>3.7654155384615384</v>
      </c>
      <c r="DR5" s="19">
        <v>3.6709585478260864</v>
      </c>
      <c r="DS5" s="19">
        <v>3.4994509333333337</v>
      </c>
      <c r="DT5" s="19">
        <v>3.8071398051020404</v>
      </c>
      <c r="DU5" s="19">
        <v>3.5899569382726226</v>
      </c>
      <c r="DV5" s="19">
        <v>3.3762755869583767</v>
      </c>
      <c r="DW5" s="19">
        <v>3.2903709576508708</v>
      </c>
      <c r="DX5" s="19">
        <v>3.8703641450166093</v>
      </c>
      <c r="DY5" s="19">
        <v>3.0253548611354764</v>
      </c>
      <c r="DZ5" s="19">
        <v>4.348962244800334</v>
      </c>
      <c r="EA5" s="19">
        <v>2.9388420331451801</v>
      </c>
      <c r="EB5" s="19">
        <v>3.5901945588342934</v>
      </c>
      <c r="EC5" s="19">
        <v>3.0713582887700537</v>
      </c>
      <c r="ED5" s="19">
        <v>3.2647541454545452</v>
      </c>
      <c r="EE5" s="19">
        <v>3.2476204485294118</v>
      </c>
      <c r="EF5" s="19">
        <v>3.8942349134615384</v>
      </c>
      <c r="EG5" s="19">
        <v>3.7631398869565222</v>
      </c>
      <c r="EH5" s="19">
        <v>3.4208182458333334</v>
      </c>
      <c r="EI5" s="19">
        <v>3.2927093112244892</v>
      </c>
      <c r="EJ5" s="19">
        <v>3.1289537929003211</v>
      </c>
      <c r="EK5" s="19">
        <v>3.1827989710427325</v>
      </c>
      <c r="EL5" s="19">
        <v>3.2405571393877546</v>
      </c>
      <c r="EM5" s="19">
        <v>3.1564493768914765</v>
      </c>
      <c r="EN5" s="19">
        <v>2.965230985670658</v>
      </c>
      <c r="EO5" s="19">
        <v>3.6373082803526349</v>
      </c>
      <c r="EP5" s="19">
        <v>3.3101907500543128</v>
      </c>
      <c r="EQ5" s="19">
        <v>2.7003949697459202</v>
      </c>
      <c r="ER5" s="19"/>
      <c r="ES5" s="16">
        <f t="shared" ref="ES5:FB20" si="1">IF(SUMIF($F$2:$EQ$2,ES$2&amp;"_"&amp;ES$3,$F5:$EQ5)=0,".",SUMIF($F$2:$EQ$2,ES$2&amp;"_"&amp;ES$3,$F5:$EQ5))</f>
        <v>2.9344473954233412</v>
      </c>
      <c r="ET5" s="16">
        <f t="shared" si="0"/>
        <v>2.3739414330467534</v>
      </c>
      <c r="EU5" s="16">
        <f t="shared" si="0"/>
        <v>3.8434596347826093</v>
      </c>
      <c r="EV5" s="16">
        <f t="shared" si="0"/>
        <v>2.2619648260869565</v>
      </c>
      <c r="EW5" s="16">
        <f t="shared" si="0"/>
        <v>2.6894840608695652</v>
      </c>
      <c r="EX5" s="16" t="str">
        <f t="shared" si="0"/>
        <v>.</v>
      </c>
      <c r="EY5" s="16">
        <f t="shared" si="0"/>
        <v>92.421260752728202</v>
      </c>
      <c r="EZ5" s="16">
        <f t="shared" si="0"/>
        <v>3.0819824347826086</v>
      </c>
      <c r="FA5" s="16">
        <f t="shared" si="0"/>
        <v>3.6709585478260864</v>
      </c>
      <c r="FB5" s="16">
        <f t="shared" si="0"/>
        <v>3.7631398869565222</v>
      </c>
    </row>
    <row r="6" spans="1:158" x14ac:dyDescent="0.25">
      <c r="A6" s="17">
        <v>3</v>
      </c>
      <c r="B6" s="17" t="s">
        <v>10</v>
      </c>
      <c r="C6" s="17" t="s">
        <v>11</v>
      </c>
      <c r="D6" s="17" t="s">
        <v>7</v>
      </c>
      <c r="E6" s="16">
        <v>0</v>
      </c>
      <c r="F6" s="18">
        <v>3.71</v>
      </c>
      <c r="G6" s="18">
        <v>4.34</v>
      </c>
      <c r="H6" s="18">
        <v>4.32</v>
      </c>
      <c r="I6" s="18">
        <v>4.2300000000000004</v>
      </c>
      <c r="J6" s="18">
        <v>3.51</v>
      </c>
      <c r="K6" s="18">
        <v>5.0999999999999996</v>
      </c>
      <c r="L6" s="18">
        <v>3.97</v>
      </c>
      <c r="M6" s="18">
        <v>3.9</v>
      </c>
      <c r="N6" s="18">
        <v>3.63</v>
      </c>
      <c r="O6" s="18">
        <v>2.33</v>
      </c>
      <c r="P6" s="18">
        <v>3.35</v>
      </c>
      <c r="Q6" s="18">
        <v>4.41</v>
      </c>
      <c r="R6" s="18">
        <v>2.79</v>
      </c>
      <c r="S6" s="18">
        <v>4.01</v>
      </c>
      <c r="T6" s="18">
        <v>4.22</v>
      </c>
      <c r="U6" s="18">
        <v>4.1399999999999997</v>
      </c>
      <c r="V6" s="18">
        <v>3.9</v>
      </c>
      <c r="W6" s="18">
        <v>3.16</v>
      </c>
      <c r="X6" s="18">
        <v>4.04</v>
      </c>
      <c r="Y6" s="18">
        <v>2.5</v>
      </c>
      <c r="Z6" s="18">
        <v>2.62</v>
      </c>
      <c r="AA6" s="18">
        <v>3.49</v>
      </c>
      <c r="AB6" s="18">
        <v>4.43</v>
      </c>
      <c r="AC6" s="18">
        <v>1.82</v>
      </c>
      <c r="AD6" s="19">
        <v>2.86</v>
      </c>
      <c r="AE6" s="19">
        <v>1.26</v>
      </c>
      <c r="AF6" s="19">
        <v>4.45</v>
      </c>
      <c r="AG6" s="19">
        <v>2.35</v>
      </c>
      <c r="AH6" s="19">
        <v>2.2000000000000002</v>
      </c>
      <c r="AI6" s="19">
        <v>3.17</v>
      </c>
      <c r="AJ6" s="19">
        <v>3.96</v>
      </c>
      <c r="AK6" s="19">
        <v>4.43</v>
      </c>
      <c r="AL6" s="19">
        <v>5.28</v>
      </c>
      <c r="AM6" s="19">
        <v>3.71</v>
      </c>
      <c r="AN6" s="19">
        <v>3.83</v>
      </c>
      <c r="AO6" s="19">
        <v>3.79</v>
      </c>
      <c r="AP6" s="19">
        <v>4.88</v>
      </c>
      <c r="AQ6" s="19">
        <v>5.78</v>
      </c>
      <c r="AR6" s="19">
        <v>4.3099999999999996</v>
      </c>
      <c r="AS6" s="19">
        <v>2.87</v>
      </c>
      <c r="AT6" s="19">
        <v>4.09</v>
      </c>
      <c r="AU6" s="19">
        <v>5.0599999999999996</v>
      </c>
      <c r="AV6" s="19">
        <v>4.43</v>
      </c>
      <c r="AW6" s="19">
        <v>3.18</v>
      </c>
      <c r="AX6" s="19">
        <v>3.61</v>
      </c>
      <c r="AY6" s="19">
        <v>2.56</v>
      </c>
      <c r="AZ6" s="19">
        <v>3.48</v>
      </c>
      <c r="BA6" s="19">
        <v>3.22</v>
      </c>
      <c r="BB6" s="19">
        <v>4.41</v>
      </c>
      <c r="BC6" s="19">
        <v>3.5</v>
      </c>
      <c r="BD6" s="19">
        <v>1.81</v>
      </c>
      <c r="BE6" s="19">
        <v>4.1100000000000003</v>
      </c>
      <c r="BF6" s="19">
        <v>5.39</v>
      </c>
      <c r="BG6" s="19">
        <v>6.04</v>
      </c>
      <c r="BH6" s="19">
        <v>3.6</v>
      </c>
      <c r="BI6" s="19">
        <v>4.3600000000000003</v>
      </c>
      <c r="BJ6" s="19">
        <v>3.68</v>
      </c>
      <c r="BK6" s="19">
        <v>3.78</v>
      </c>
      <c r="BL6" s="19">
        <v>3.87</v>
      </c>
      <c r="BM6" s="19">
        <v>3.93</v>
      </c>
      <c r="BN6" s="19">
        <v>3.09</v>
      </c>
      <c r="BO6" s="19">
        <v>2.81</v>
      </c>
      <c r="BP6" s="19">
        <v>3.55</v>
      </c>
      <c r="BQ6" s="19">
        <v>3.22</v>
      </c>
      <c r="BR6" s="19">
        <v>4.3499999999999996</v>
      </c>
      <c r="BS6" s="19">
        <v>3.29</v>
      </c>
      <c r="BT6" s="19">
        <v>3.72</v>
      </c>
      <c r="BU6" s="19">
        <v>4.32</v>
      </c>
      <c r="BV6" s="19">
        <v>2.13</v>
      </c>
      <c r="BW6" s="19">
        <v>4.1100000000000003</v>
      </c>
      <c r="BX6" s="19">
        <v>2.06</v>
      </c>
      <c r="BY6" s="19">
        <v>3.74</v>
      </c>
      <c r="BZ6" s="19">
        <v>1</v>
      </c>
      <c r="CA6" s="19">
        <v>50.83</v>
      </c>
      <c r="CB6" s="19">
        <v>200</v>
      </c>
      <c r="CC6" s="19">
        <v>93.95</v>
      </c>
      <c r="CD6" s="19">
        <v>36.450000000000003</v>
      </c>
      <c r="CE6" s="19">
        <v>200</v>
      </c>
      <c r="CF6" s="19">
        <v>1</v>
      </c>
      <c r="CG6" s="19">
        <v>40.520000000000003</v>
      </c>
      <c r="CH6" s="19">
        <v>134.25</v>
      </c>
      <c r="CI6" s="19">
        <v>180.65</v>
      </c>
      <c r="CJ6" s="19">
        <v>61.19</v>
      </c>
      <c r="CK6" s="19">
        <v>91.69</v>
      </c>
      <c r="CL6" s="19">
        <v>29.49</v>
      </c>
      <c r="CM6" s="19">
        <v>83.39</v>
      </c>
      <c r="CN6" s="19">
        <v>5.74</v>
      </c>
      <c r="CO6" s="19">
        <v>102.86</v>
      </c>
      <c r="CP6" s="19">
        <v>60.43</v>
      </c>
      <c r="CQ6" s="19">
        <v>88.05</v>
      </c>
      <c r="CR6" s="19">
        <v>104.11</v>
      </c>
      <c r="CS6" s="19">
        <v>113.36</v>
      </c>
      <c r="CT6" s="19">
        <v>165.52</v>
      </c>
      <c r="CU6" s="19">
        <v>161.54</v>
      </c>
      <c r="CV6" s="19">
        <v>144.85</v>
      </c>
      <c r="CW6" s="19">
        <v>75.08</v>
      </c>
      <c r="CX6" s="19">
        <v>185.11</v>
      </c>
      <c r="CY6" s="19">
        <v>5.66</v>
      </c>
      <c r="CZ6" s="19">
        <v>5.22</v>
      </c>
      <c r="DA6" s="19">
        <v>3.42</v>
      </c>
      <c r="DB6" s="19">
        <v>5.45</v>
      </c>
      <c r="DC6" s="19">
        <v>3.77</v>
      </c>
      <c r="DD6" s="19">
        <v>4.21</v>
      </c>
      <c r="DE6" s="19">
        <v>2.75</v>
      </c>
      <c r="DF6" s="19">
        <v>3.99</v>
      </c>
      <c r="DG6" s="19">
        <v>4.4400000000000004</v>
      </c>
      <c r="DH6" s="19">
        <v>2.66</v>
      </c>
      <c r="DI6" s="19">
        <v>3.25</v>
      </c>
      <c r="DJ6" s="19">
        <v>5.07</v>
      </c>
      <c r="DK6" s="19">
        <v>4.2300000000000004</v>
      </c>
      <c r="DL6" s="19">
        <v>7</v>
      </c>
      <c r="DM6" s="19">
        <v>3.48</v>
      </c>
      <c r="DN6" s="19">
        <v>4.34</v>
      </c>
      <c r="DO6" s="19">
        <v>4.99</v>
      </c>
      <c r="DP6" s="19">
        <v>6.16</v>
      </c>
      <c r="DQ6" s="19">
        <v>3.85</v>
      </c>
      <c r="DR6" s="19">
        <v>1</v>
      </c>
      <c r="DS6" s="19">
        <v>6.12</v>
      </c>
      <c r="DT6" s="19">
        <v>2.9</v>
      </c>
      <c r="DU6" s="19">
        <v>1.17</v>
      </c>
      <c r="DV6" s="19">
        <v>5.62</v>
      </c>
      <c r="DW6" s="19">
        <v>3.25</v>
      </c>
      <c r="DX6" s="19">
        <v>1.9</v>
      </c>
      <c r="DY6" s="19">
        <v>4.09</v>
      </c>
      <c r="DZ6" s="19">
        <v>4.6500000000000004</v>
      </c>
      <c r="EA6" s="19">
        <v>3.17</v>
      </c>
      <c r="EB6" s="19">
        <v>5.48</v>
      </c>
      <c r="EC6" s="19">
        <v>3.99</v>
      </c>
      <c r="ED6" s="19">
        <v>4.22</v>
      </c>
      <c r="EE6" s="19">
        <v>1.43</v>
      </c>
      <c r="EF6" s="19">
        <v>2.86</v>
      </c>
      <c r="EG6" s="19">
        <v>4.21</v>
      </c>
      <c r="EH6" s="19">
        <v>3.1</v>
      </c>
      <c r="EI6" s="19">
        <v>3.82</v>
      </c>
      <c r="EJ6" s="19">
        <v>3.48</v>
      </c>
      <c r="EK6" s="19">
        <v>3.14</v>
      </c>
      <c r="EL6" s="19">
        <v>4.3899999999999997</v>
      </c>
      <c r="EM6" s="19">
        <v>5.05</v>
      </c>
      <c r="EN6" s="19">
        <v>6.54</v>
      </c>
      <c r="EO6" s="19">
        <v>3.98</v>
      </c>
      <c r="EP6" s="19">
        <v>3.67</v>
      </c>
      <c r="EQ6" s="19">
        <v>5.1100000000000003</v>
      </c>
      <c r="ER6" s="19"/>
      <c r="ES6" s="16">
        <f t="shared" si="1"/>
        <v>3.51</v>
      </c>
      <c r="ET6" s="16">
        <f t="shared" si="0"/>
        <v>2.5</v>
      </c>
      <c r="EU6" s="16">
        <f t="shared" si="0"/>
        <v>4.43</v>
      </c>
      <c r="EV6" s="16">
        <f t="shared" si="0"/>
        <v>3.48</v>
      </c>
      <c r="EW6" s="16">
        <f t="shared" si="0"/>
        <v>2.81</v>
      </c>
      <c r="EX6" s="16" t="str">
        <f t="shared" si="0"/>
        <v>.</v>
      </c>
      <c r="EY6" s="16">
        <f t="shared" si="0"/>
        <v>5.74</v>
      </c>
      <c r="EZ6" s="16">
        <f t="shared" si="0"/>
        <v>3.77</v>
      </c>
      <c r="FA6" s="16">
        <f t="shared" si="0"/>
        <v>1</v>
      </c>
      <c r="FB6" s="16">
        <f t="shared" si="0"/>
        <v>4.21</v>
      </c>
    </row>
    <row r="7" spans="1:158" x14ac:dyDescent="0.25">
      <c r="A7" s="17">
        <v>4</v>
      </c>
      <c r="B7" s="17" t="s">
        <v>13</v>
      </c>
      <c r="C7" s="17" t="s">
        <v>13</v>
      </c>
      <c r="D7" s="17" t="s">
        <v>14</v>
      </c>
      <c r="E7" s="16">
        <v>1</v>
      </c>
      <c r="F7" s="18">
        <v>2.9458915827119956</v>
      </c>
      <c r="G7" s="18">
        <v>3.103379111263878</v>
      </c>
      <c r="H7" s="18">
        <v>2.8729960964698189</v>
      </c>
      <c r="I7" s="18">
        <v>2.6411713157894736</v>
      </c>
      <c r="J7" s="18">
        <v>2.4155843899671052</v>
      </c>
      <c r="K7" s="18">
        <v>2.7330723045030449</v>
      </c>
      <c r="L7" s="18">
        <v>2.8885302105263158</v>
      </c>
      <c r="M7" s="18">
        <v>2.6074718290590684</v>
      </c>
      <c r="N7" s="18">
        <v>1.5364125431836773</v>
      </c>
      <c r="O7" s="18">
        <v>2.8327996574974557</v>
      </c>
      <c r="P7" s="18">
        <v>1.5013609238751298</v>
      </c>
      <c r="Q7" s="18">
        <v>2.7873813960073379</v>
      </c>
      <c r="R7" s="18">
        <v>1.6723205925851594</v>
      </c>
      <c r="S7" s="18">
        <v>2.7573293775516863</v>
      </c>
      <c r="T7" s="18">
        <v>1.9166422339215841</v>
      </c>
      <c r="U7" s="18">
        <v>2.6462751824718227</v>
      </c>
      <c r="V7" s="18">
        <v>2.6408725718170265</v>
      </c>
      <c r="W7" s="18">
        <v>2.2575563698996053</v>
      </c>
      <c r="X7" s="18">
        <v>2.3582147999999998</v>
      </c>
      <c r="Y7" s="18">
        <v>2.0525141255208337</v>
      </c>
      <c r="Z7" s="18">
        <v>2.0023060323267661</v>
      </c>
      <c r="AA7" s="18">
        <v>2.1459228723165826</v>
      </c>
      <c r="AB7" s="18">
        <v>2.1178026060510464</v>
      </c>
      <c r="AC7" s="18">
        <v>2.3433830704875636</v>
      </c>
      <c r="AD7" s="19">
        <v>2.4518807507009415</v>
      </c>
      <c r="AE7" s="19">
        <v>2.021750165345781</v>
      </c>
      <c r="AF7" s="19">
        <v>2.5574719175983871</v>
      </c>
      <c r="AG7" s="19">
        <v>2.6955434558238296</v>
      </c>
      <c r="AH7" s="19">
        <v>2.7230491214552699</v>
      </c>
      <c r="AI7" s="19">
        <v>1.9616929848057569</v>
      </c>
      <c r="AJ7" s="19">
        <v>3.9408560000000001</v>
      </c>
      <c r="AK7" s="19">
        <v>3.9204533036458336</v>
      </c>
      <c r="AL7" s="19">
        <v>3.9938566174748296</v>
      </c>
      <c r="AM7" s="19">
        <v>3.6791443333333333</v>
      </c>
      <c r="AN7" s="19">
        <v>3.331775663671769</v>
      </c>
      <c r="AO7" s="19">
        <v>3.4595713734805833</v>
      </c>
      <c r="AP7" s="19">
        <v>3.2362950154535435</v>
      </c>
      <c r="AQ7" s="19">
        <v>3.3110320973993623</v>
      </c>
      <c r="AR7" s="19">
        <v>3.4615258364190136</v>
      </c>
      <c r="AS7" s="19">
        <v>3.6762126198870968</v>
      </c>
      <c r="AT7" s="19">
        <v>1.8912589060888951</v>
      </c>
      <c r="AU7" s="19">
        <v>2.5462148926457182</v>
      </c>
      <c r="AV7" s="19">
        <v>1.3846636744848384</v>
      </c>
      <c r="AW7" s="19">
        <v>1.504520402707648</v>
      </c>
      <c r="AX7" s="19">
        <v>2.0542041678219505</v>
      </c>
      <c r="AY7" s="19">
        <v>2.004146</v>
      </c>
      <c r="AZ7" s="19">
        <v>2.0543677437500003</v>
      </c>
      <c r="BA7" s="19">
        <v>2.4590911642270412</v>
      </c>
      <c r="BB7" s="19">
        <v>2.7647059999999999</v>
      </c>
      <c r="BC7" s="19">
        <v>2.6550566901048613</v>
      </c>
      <c r="BD7" s="19">
        <v>2.5805917835827494</v>
      </c>
      <c r="BE7" s="19">
        <v>2.3793536518395735</v>
      </c>
      <c r="BF7" s="19">
        <v>2.9837224605929373</v>
      </c>
      <c r="BG7" s="19">
        <v>3.6249418601592467</v>
      </c>
      <c r="BH7" s="19">
        <v>3.9905168115330967</v>
      </c>
      <c r="BI7" s="19">
        <v>3.626520188802091</v>
      </c>
      <c r="BJ7" s="19">
        <v>3.223497031703082</v>
      </c>
      <c r="BK7" s="19">
        <v>2.515749540383593</v>
      </c>
      <c r="BL7" s="19">
        <v>2.6138624187480213</v>
      </c>
      <c r="BM7" s="19">
        <v>2.7225751620615175</v>
      </c>
      <c r="BN7" s="19">
        <v>2.739995</v>
      </c>
      <c r="BO7" s="19">
        <v>2.7935170390624999</v>
      </c>
      <c r="BP7" s="19">
        <v>2.6027575890859489</v>
      </c>
      <c r="BQ7" s="19">
        <v>2.6764709999999998</v>
      </c>
      <c r="BR7" s="19">
        <v>2.3295851638204805</v>
      </c>
      <c r="BS7" s="19">
        <v>2.7599925149626956</v>
      </c>
      <c r="BT7" s="19">
        <v>2.6725830829850139</v>
      </c>
      <c r="BU7" s="19">
        <v>3.3005051809276971</v>
      </c>
      <c r="BV7" s="19">
        <v>2.2738965109218756</v>
      </c>
      <c r="BW7" s="19">
        <v>2.7332367087008835</v>
      </c>
      <c r="BX7" s="19">
        <v>2.2104252095026578</v>
      </c>
      <c r="BY7" s="19">
        <v>2.4741279072683673</v>
      </c>
      <c r="BZ7" s="19">
        <v>10.444012467058627</v>
      </c>
      <c r="CA7" s="19">
        <v>1.5449460005415001</v>
      </c>
      <c r="CB7" s="19">
        <v>12.1080116086268</v>
      </c>
      <c r="CC7" s="19">
        <v>31.500365268997005</v>
      </c>
      <c r="CD7" s="19">
        <v>7.5018732443020255</v>
      </c>
      <c r="CE7" s="19">
        <v>21.994229529594662</v>
      </c>
      <c r="CF7" s="19">
        <v>22.079115180605001</v>
      </c>
      <c r="CG7" s="19">
        <v>25.443926044258816</v>
      </c>
      <c r="CH7" s="19">
        <v>26.645979439821836</v>
      </c>
      <c r="CI7" s="19">
        <v>24.63257882157437</v>
      </c>
      <c r="CJ7" s="19">
        <v>23.09</v>
      </c>
      <c r="CK7" s="19">
        <v>64.88</v>
      </c>
      <c r="CL7" s="19">
        <v>54.36</v>
      </c>
      <c r="CM7" s="19">
        <v>43.840320587158203</v>
      </c>
      <c r="CN7" s="19">
        <v>46.689241623166502</v>
      </c>
      <c r="CO7" s="19">
        <v>59.95</v>
      </c>
      <c r="CP7" s="19">
        <v>48.610002411901299</v>
      </c>
      <c r="CQ7" s="19">
        <v>61.873297112495202</v>
      </c>
      <c r="CR7" s="19">
        <v>72.41</v>
      </c>
      <c r="CS7" s="19">
        <v>89.55</v>
      </c>
      <c r="CT7" s="19">
        <v>84.158269588536001</v>
      </c>
      <c r="CU7" s="19">
        <v>88.248051875008102</v>
      </c>
      <c r="CV7" s="19">
        <v>86.918205234588541</v>
      </c>
      <c r="CW7" s="19">
        <v>85.175961599726591</v>
      </c>
      <c r="CX7" s="19">
        <v>91.604009972712632</v>
      </c>
      <c r="CY7" s="19">
        <v>3.1079080362425611</v>
      </c>
      <c r="CZ7" s="19">
        <v>3.219697387466895</v>
      </c>
      <c r="DA7" s="19">
        <v>2.9740236342037312</v>
      </c>
      <c r="DB7" s="19">
        <v>2.868061</v>
      </c>
      <c r="DC7" s="19">
        <v>2.7122276374999998</v>
      </c>
      <c r="DD7" s="19">
        <v>2.6830186984661224</v>
      </c>
      <c r="DE7" s="19">
        <v>2.7647059999999999</v>
      </c>
      <c r="DF7" s="19">
        <v>2.5074185122331571</v>
      </c>
      <c r="DG7" s="19">
        <v>2.3410118293225386</v>
      </c>
      <c r="DH7" s="19">
        <v>2.3247462944210526</v>
      </c>
      <c r="DI7" s="19">
        <v>2.2239201709905756</v>
      </c>
      <c r="DJ7" s="19">
        <v>1.8370916908024215</v>
      </c>
      <c r="DK7" s="19">
        <v>2.1852874316947433</v>
      </c>
      <c r="DL7" s="19">
        <v>1.9014945212356722</v>
      </c>
      <c r="DM7" s="19">
        <v>2.2694128632542232</v>
      </c>
      <c r="DN7" s="19">
        <v>2.0722248311913805</v>
      </c>
      <c r="DO7" s="19">
        <v>1.0513088505155845</v>
      </c>
      <c r="DP7" s="19">
        <v>1.6522051535332718</v>
      </c>
      <c r="DQ7" s="19">
        <v>2.1965919999999999</v>
      </c>
      <c r="DR7" s="19">
        <v>2.0900022749999998</v>
      </c>
      <c r="DS7" s="19">
        <v>2.1053601865064033</v>
      </c>
      <c r="DT7" s="19">
        <v>2.030303</v>
      </c>
      <c r="DU7" s="19">
        <v>2.2496579995980985</v>
      </c>
      <c r="DV7" s="19">
        <v>2.1337854016193631</v>
      </c>
      <c r="DW7" s="19">
        <v>3.0949841260024313</v>
      </c>
      <c r="DX7" s="19">
        <v>2.035030095918974</v>
      </c>
      <c r="DY7" s="19">
        <v>3.7942508751816657</v>
      </c>
      <c r="DZ7" s="19">
        <v>3.572008128685995</v>
      </c>
      <c r="EA7" s="19">
        <v>3.0782173870141385</v>
      </c>
      <c r="EB7" s="19">
        <v>4.0128338786927413</v>
      </c>
      <c r="EC7" s="19">
        <v>2.2400143072987984</v>
      </c>
      <c r="ED7" s="19">
        <v>3.080819633305663</v>
      </c>
      <c r="EE7" s="19">
        <v>2.6994908600227068</v>
      </c>
      <c r="EF7" s="19">
        <v>2.793415</v>
      </c>
      <c r="EG7" s="19">
        <v>2.4681746109375</v>
      </c>
      <c r="EH7" s="19">
        <v>2.421404058840912</v>
      </c>
      <c r="EI7" s="19">
        <v>2.3529409999999999</v>
      </c>
      <c r="EJ7" s="19">
        <v>2.260677718969001</v>
      </c>
      <c r="EK7" s="19">
        <v>2.7045638191318266</v>
      </c>
      <c r="EL7" s="19">
        <v>2.8688554778292255</v>
      </c>
      <c r="EM7" s="19">
        <v>3.1860178053344264</v>
      </c>
      <c r="EN7" s="19">
        <v>2.6174555966668733</v>
      </c>
      <c r="EO7" s="19">
        <v>3.0902866533166597</v>
      </c>
      <c r="EP7" s="19">
        <v>2.0186301505360431</v>
      </c>
      <c r="EQ7" s="19">
        <v>3.1462170087236974</v>
      </c>
      <c r="ER7" s="19"/>
      <c r="ES7" s="16">
        <f t="shared" si="1"/>
        <v>2.4155843899671052</v>
      </c>
      <c r="ET7" s="16">
        <f t="shared" si="0"/>
        <v>2.0525141255208337</v>
      </c>
      <c r="EU7" s="16">
        <f t="shared" si="0"/>
        <v>3.9204533036458336</v>
      </c>
      <c r="EV7" s="16">
        <f t="shared" si="0"/>
        <v>2.0543677437500003</v>
      </c>
      <c r="EW7" s="16">
        <f t="shared" si="0"/>
        <v>2.7935170390624999</v>
      </c>
      <c r="EX7" s="16" t="str">
        <f t="shared" si="0"/>
        <v>.</v>
      </c>
      <c r="EY7" s="16">
        <f t="shared" si="0"/>
        <v>46.689241623166502</v>
      </c>
      <c r="EZ7" s="16">
        <f t="shared" si="0"/>
        <v>2.7122276374999998</v>
      </c>
      <c r="FA7" s="16">
        <f t="shared" si="0"/>
        <v>2.0900022749999998</v>
      </c>
      <c r="FB7" s="16">
        <f t="shared" si="0"/>
        <v>2.4681746109375</v>
      </c>
    </row>
    <row r="8" spans="1:158" x14ac:dyDescent="0.25">
      <c r="A8" s="17">
        <v>5</v>
      </c>
      <c r="B8" s="17" t="s">
        <v>15</v>
      </c>
      <c r="C8" s="17" t="s">
        <v>11</v>
      </c>
      <c r="D8" s="17" t="s">
        <v>16</v>
      </c>
      <c r="E8" s="16">
        <v>0</v>
      </c>
      <c r="F8" s="18">
        <v>3.37</v>
      </c>
      <c r="G8" s="18">
        <v>4.5999999999999996</v>
      </c>
      <c r="H8" s="18">
        <v>3.25</v>
      </c>
      <c r="I8" s="18">
        <v>4.57</v>
      </c>
      <c r="J8" s="18">
        <v>5.48</v>
      </c>
      <c r="K8" s="18">
        <v>3.56</v>
      </c>
      <c r="L8" s="18">
        <v>3.12</v>
      </c>
      <c r="M8" s="18">
        <v>3.67</v>
      </c>
      <c r="N8" s="18">
        <v>2.65</v>
      </c>
      <c r="O8" s="18">
        <v>4.6100000000000003</v>
      </c>
      <c r="P8" s="18">
        <v>4.18</v>
      </c>
      <c r="Q8" s="18">
        <v>3.62</v>
      </c>
      <c r="R8" s="18">
        <v>4.6500000000000004</v>
      </c>
      <c r="S8" s="18">
        <v>2.6</v>
      </c>
      <c r="T8" s="18">
        <v>3.76</v>
      </c>
      <c r="U8" s="18">
        <v>5.05</v>
      </c>
      <c r="V8" s="18">
        <v>3.13</v>
      </c>
      <c r="W8" s="18">
        <v>3.24</v>
      </c>
      <c r="X8" s="18">
        <v>4.7699999999999996</v>
      </c>
      <c r="Y8" s="18">
        <v>4.05</v>
      </c>
      <c r="Z8" s="18">
        <v>2.69</v>
      </c>
      <c r="AA8" s="18">
        <v>3.93</v>
      </c>
      <c r="AB8" s="18">
        <v>3.37</v>
      </c>
      <c r="AC8" s="18">
        <v>3.62</v>
      </c>
      <c r="AD8" s="19">
        <v>4.05</v>
      </c>
      <c r="AE8" s="19">
        <v>5.45</v>
      </c>
      <c r="AF8" s="19">
        <v>4.25</v>
      </c>
      <c r="AG8" s="19">
        <v>4.5199999999999996</v>
      </c>
      <c r="AH8" s="19">
        <v>3.85</v>
      </c>
      <c r="AI8" s="19">
        <v>4.87</v>
      </c>
      <c r="AJ8" s="19">
        <v>4.9000000000000004</v>
      </c>
      <c r="AK8" s="19">
        <v>4.3</v>
      </c>
      <c r="AL8" s="19">
        <v>5.0999999999999996</v>
      </c>
      <c r="AM8" s="19">
        <v>4</v>
      </c>
      <c r="AN8" s="19">
        <v>4.67</v>
      </c>
      <c r="AO8" s="19">
        <v>5.23</v>
      </c>
      <c r="AP8" s="19">
        <v>4.76</v>
      </c>
      <c r="AQ8" s="19">
        <v>5.52</v>
      </c>
      <c r="AR8" s="19">
        <v>3.06</v>
      </c>
      <c r="AS8" s="19">
        <v>5.93</v>
      </c>
      <c r="AT8" s="19">
        <v>3.94</v>
      </c>
      <c r="AU8" s="19">
        <v>4.49</v>
      </c>
      <c r="AV8" s="19">
        <v>3.28</v>
      </c>
      <c r="AW8" s="19">
        <v>3.52</v>
      </c>
      <c r="AX8" s="19">
        <v>3.74</v>
      </c>
      <c r="AY8" s="19">
        <v>5</v>
      </c>
      <c r="AZ8" s="19">
        <v>4.32</v>
      </c>
      <c r="BA8" s="19">
        <v>3.55</v>
      </c>
      <c r="BB8" s="19">
        <v>3.72</v>
      </c>
      <c r="BC8" s="19">
        <v>2.95</v>
      </c>
      <c r="BD8" s="19">
        <v>3.17</v>
      </c>
      <c r="BE8" s="19">
        <v>3.6</v>
      </c>
      <c r="BF8" s="19">
        <v>5.25</v>
      </c>
      <c r="BG8" s="19">
        <v>3.31</v>
      </c>
      <c r="BH8" s="19">
        <v>4.8600000000000003</v>
      </c>
      <c r="BI8" s="19">
        <v>5.7</v>
      </c>
      <c r="BJ8" s="19">
        <v>6.68</v>
      </c>
      <c r="BK8" s="19">
        <v>2.75</v>
      </c>
      <c r="BL8" s="19">
        <v>2.1</v>
      </c>
      <c r="BM8" s="19">
        <v>3.44</v>
      </c>
      <c r="BN8" s="19">
        <v>3.41</v>
      </c>
      <c r="BO8" s="19">
        <v>2.83</v>
      </c>
      <c r="BP8" s="19">
        <v>3.47</v>
      </c>
      <c r="BQ8" s="19">
        <v>3.06</v>
      </c>
      <c r="BR8" s="19">
        <v>3.22</v>
      </c>
      <c r="BS8" s="19">
        <v>2.63</v>
      </c>
      <c r="BT8" s="19">
        <v>4.0599999999999996</v>
      </c>
      <c r="BU8" s="19">
        <v>3.21</v>
      </c>
      <c r="BV8" s="19">
        <v>3.52</v>
      </c>
      <c r="BW8" s="19">
        <v>2.63</v>
      </c>
      <c r="BX8" s="19">
        <v>3.33</v>
      </c>
      <c r="BY8" s="19">
        <v>2.35</v>
      </c>
      <c r="BZ8" s="19">
        <v>43.81</v>
      </c>
      <c r="CA8" s="19">
        <v>8.4</v>
      </c>
      <c r="CB8" s="19">
        <v>1</v>
      </c>
      <c r="CC8" s="19">
        <v>71.73</v>
      </c>
      <c r="CD8" s="19">
        <v>73.98</v>
      </c>
      <c r="CE8" s="19">
        <v>130.44999999999999</v>
      </c>
      <c r="CF8" s="19">
        <v>1</v>
      </c>
      <c r="CG8" s="19">
        <v>100.69</v>
      </c>
      <c r="CH8" s="19">
        <v>111.4</v>
      </c>
      <c r="CI8" s="19">
        <v>57.71</v>
      </c>
      <c r="CJ8" s="19">
        <v>62.04</v>
      </c>
      <c r="CK8" s="19">
        <v>27.58</v>
      </c>
      <c r="CL8" s="19">
        <v>119.31</v>
      </c>
      <c r="CM8" s="19">
        <v>48.03</v>
      </c>
      <c r="CN8" s="19">
        <v>99.28</v>
      </c>
      <c r="CO8" s="19">
        <v>42.17</v>
      </c>
      <c r="CP8" s="19">
        <v>106.27</v>
      </c>
      <c r="CQ8" s="19">
        <v>83.35</v>
      </c>
      <c r="CR8" s="19">
        <v>137.51</v>
      </c>
      <c r="CS8" s="19">
        <v>144.11000000000001</v>
      </c>
      <c r="CT8" s="19">
        <v>73.98</v>
      </c>
      <c r="CU8" s="19">
        <v>141.63999999999999</v>
      </c>
      <c r="CV8" s="19">
        <v>107.51</v>
      </c>
      <c r="CW8" s="19">
        <v>200</v>
      </c>
      <c r="CX8" s="19">
        <v>200</v>
      </c>
      <c r="CY8" s="19">
        <v>6.23</v>
      </c>
      <c r="CZ8" s="19">
        <v>6.38</v>
      </c>
      <c r="DA8" s="19">
        <v>3.24</v>
      </c>
      <c r="DB8" s="19">
        <v>5.87</v>
      </c>
      <c r="DC8" s="19">
        <v>3.74</v>
      </c>
      <c r="DD8" s="19">
        <v>4.75</v>
      </c>
      <c r="DE8" s="19">
        <v>3.39</v>
      </c>
      <c r="DF8" s="19">
        <v>4.3099999999999996</v>
      </c>
      <c r="DG8" s="19">
        <v>6.32</v>
      </c>
      <c r="DH8" s="19">
        <v>3.39</v>
      </c>
      <c r="DI8" s="19">
        <v>2.8</v>
      </c>
      <c r="DJ8" s="19">
        <v>3.48</v>
      </c>
      <c r="DK8" s="19">
        <v>3.62</v>
      </c>
      <c r="DL8" s="19">
        <v>3.97</v>
      </c>
      <c r="DM8" s="19">
        <v>3.28</v>
      </c>
      <c r="DN8" s="19">
        <v>5.41</v>
      </c>
      <c r="DO8" s="19">
        <v>4.26</v>
      </c>
      <c r="DP8" s="19">
        <v>2.7</v>
      </c>
      <c r="DQ8" s="19">
        <v>3.82</v>
      </c>
      <c r="DR8" s="19">
        <v>4.74</v>
      </c>
      <c r="DS8" s="19">
        <v>3.25</v>
      </c>
      <c r="DT8" s="19">
        <v>4</v>
      </c>
      <c r="DU8" s="19">
        <v>4.99</v>
      </c>
      <c r="DV8" s="19">
        <v>5.39</v>
      </c>
      <c r="DW8" s="19">
        <v>4.5999999999999996</v>
      </c>
      <c r="DX8" s="19">
        <v>4.16</v>
      </c>
      <c r="DY8" s="19">
        <v>4.5599999999999996</v>
      </c>
      <c r="DZ8" s="19">
        <v>5.1100000000000003</v>
      </c>
      <c r="EA8" s="19">
        <v>5.17</v>
      </c>
      <c r="EB8" s="19">
        <v>4.3600000000000003</v>
      </c>
      <c r="EC8" s="19">
        <v>1.45</v>
      </c>
      <c r="ED8" s="19">
        <v>4.7300000000000004</v>
      </c>
      <c r="EE8" s="19">
        <v>4.55</v>
      </c>
      <c r="EF8" s="19">
        <v>2.94</v>
      </c>
      <c r="EG8" s="19">
        <v>2.2799999999999998</v>
      </c>
      <c r="EH8" s="19">
        <v>2.99</v>
      </c>
      <c r="EI8" s="19">
        <v>4.37</v>
      </c>
      <c r="EJ8" s="19">
        <v>4.7</v>
      </c>
      <c r="EK8" s="19">
        <v>5.01</v>
      </c>
      <c r="EL8" s="19">
        <v>4.5999999999999996</v>
      </c>
      <c r="EM8" s="19">
        <v>3.85</v>
      </c>
      <c r="EN8" s="19">
        <v>4.7</v>
      </c>
      <c r="EO8" s="19">
        <v>4.9800000000000004</v>
      </c>
      <c r="EP8" s="19">
        <v>6.23</v>
      </c>
      <c r="EQ8" s="19">
        <v>4.92</v>
      </c>
      <c r="ER8" s="19"/>
      <c r="ES8" s="16">
        <f t="shared" si="1"/>
        <v>5.48</v>
      </c>
      <c r="ET8" s="16">
        <f t="shared" si="0"/>
        <v>4.05</v>
      </c>
      <c r="EU8" s="16">
        <f t="shared" si="0"/>
        <v>4.3</v>
      </c>
      <c r="EV8" s="16">
        <f t="shared" si="0"/>
        <v>4.32</v>
      </c>
      <c r="EW8" s="16">
        <f t="shared" si="0"/>
        <v>2.83</v>
      </c>
      <c r="EX8" s="16" t="str">
        <f t="shared" si="0"/>
        <v>.</v>
      </c>
      <c r="EY8" s="16">
        <f t="shared" si="0"/>
        <v>99.28</v>
      </c>
      <c r="EZ8" s="16">
        <f t="shared" si="0"/>
        <v>3.74</v>
      </c>
      <c r="FA8" s="16">
        <f t="shared" si="0"/>
        <v>4.74</v>
      </c>
      <c r="FB8" s="16">
        <f t="shared" si="0"/>
        <v>2.2799999999999998</v>
      </c>
    </row>
    <row r="9" spans="1:158" x14ac:dyDescent="0.25">
      <c r="A9" s="17">
        <v>6</v>
      </c>
      <c r="B9" s="17" t="s">
        <v>17</v>
      </c>
      <c r="C9" s="17" t="s">
        <v>17</v>
      </c>
      <c r="D9" s="17" t="s">
        <v>18</v>
      </c>
      <c r="E9" s="16">
        <v>1</v>
      </c>
      <c r="F9" s="18">
        <v>3.968214884680461</v>
      </c>
      <c r="G9" s="18">
        <v>3.9913079894494903</v>
      </c>
      <c r="H9" s="18">
        <v>3.9369081622721653</v>
      </c>
      <c r="I9" s="18">
        <v>3.8033146678919523</v>
      </c>
      <c r="J9" s="18">
        <v>3.7777251246537404</v>
      </c>
      <c r="K9" s="18">
        <v>3.7179888378378378</v>
      </c>
      <c r="L9" s="18">
        <v>3.7108745013812814</v>
      </c>
      <c r="M9" s="18">
        <v>3.691711208628524</v>
      </c>
      <c r="N9" s="18">
        <v>3.6195934138319799</v>
      </c>
      <c r="O9" s="18">
        <v>3.6786912741451165</v>
      </c>
      <c r="P9" s="18">
        <v>3.5076932225598334</v>
      </c>
      <c r="Q9" s="18">
        <v>3.5028546107811911</v>
      </c>
      <c r="R9" s="18">
        <v>3.9217812355093415</v>
      </c>
      <c r="S9" s="18">
        <v>3.8461344985346706</v>
      </c>
      <c r="T9" s="18">
        <v>3.6236781763964769</v>
      </c>
      <c r="U9" s="18">
        <v>2.9116901638954076</v>
      </c>
      <c r="V9" s="18">
        <v>2.8689171563381723</v>
      </c>
      <c r="W9" s="18">
        <v>2.948070314146511</v>
      </c>
      <c r="X9" s="18">
        <v>3.046127710376497</v>
      </c>
      <c r="Y9" s="18">
        <v>3.079355202388034</v>
      </c>
      <c r="Z9" s="18">
        <v>2.9760501518962448</v>
      </c>
      <c r="AA9" s="18">
        <v>2.9895332733638318</v>
      </c>
      <c r="AB9" s="18">
        <v>3.0424852257500774</v>
      </c>
      <c r="AC9" s="18">
        <v>3.1078594120580445</v>
      </c>
      <c r="AD9" s="19">
        <v>3.2389836976578845</v>
      </c>
      <c r="AE9" s="19">
        <v>2.9906430883747146</v>
      </c>
      <c r="AF9" s="19">
        <v>3.2387222469712547</v>
      </c>
      <c r="AG9" s="19">
        <v>3.279187540095224</v>
      </c>
      <c r="AH9" s="19">
        <v>3.5537614122760273</v>
      </c>
      <c r="AI9" s="19">
        <v>3.4255546963948347</v>
      </c>
      <c r="AJ9" s="19">
        <v>4.3604327470899467</v>
      </c>
      <c r="AK9" s="19">
        <v>4.3936838421052631</v>
      </c>
      <c r="AL9" s="19">
        <v>4.080943648648649</v>
      </c>
      <c r="AM9" s="19">
        <v>3.7342940826546003</v>
      </c>
      <c r="AN9" s="19">
        <v>3.6502463515049439</v>
      </c>
      <c r="AO9" s="19">
        <v>3.5838884862626563</v>
      </c>
      <c r="AP9" s="19">
        <v>3.7132926427401025</v>
      </c>
      <c r="AQ9" s="19">
        <v>3.2525807283022363</v>
      </c>
      <c r="AR9" s="19">
        <v>3.2708596661521461</v>
      </c>
      <c r="AS9" s="19">
        <v>3.3536482866678439</v>
      </c>
      <c r="AT9" s="19">
        <v>3.6611858662534873</v>
      </c>
      <c r="AU9" s="19">
        <v>2.8913900292761645</v>
      </c>
      <c r="AV9" s="19">
        <v>2.5414387073202351</v>
      </c>
      <c r="AW9" s="19">
        <v>2.4879594598442711</v>
      </c>
      <c r="AX9" s="19">
        <v>2.6766472759036146</v>
      </c>
      <c r="AY9" s="19">
        <v>2.6086875656084656</v>
      </c>
      <c r="AZ9" s="19">
        <v>2.4576076315789472</v>
      </c>
      <c r="BA9" s="19">
        <v>2.4532222162162163</v>
      </c>
      <c r="BB9" s="19">
        <v>2.3186968316742078</v>
      </c>
      <c r="BC9" s="19">
        <v>2.2688864209332085</v>
      </c>
      <c r="BD9" s="19">
        <v>2.2087368154525757</v>
      </c>
      <c r="BE9" s="19">
        <v>2.2305982736440804</v>
      </c>
      <c r="BF9" s="19">
        <v>3.4572876661968475</v>
      </c>
      <c r="BG9" s="19">
        <v>3.8238717014813677</v>
      </c>
      <c r="BH9" s="19">
        <v>4.3106074575707716</v>
      </c>
      <c r="BI9" s="19">
        <v>2.3348828381787188</v>
      </c>
      <c r="BJ9" s="19">
        <v>3.9031520638062154</v>
      </c>
      <c r="BK9" s="19">
        <v>3.9087987789786327</v>
      </c>
      <c r="BL9" s="19">
        <v>3.8791122338338893</v>
      </c>
      <c r="BM9" s="19">
        <v>3.8381844132530123</v>
      </c>
      <c r="BN9" s="19">
        <v>3.5015770613756612</v>
      </c>
      <c r="BO9" s="19">
        <v>3.4662411052631579</v>
      </c>
      <c r="BP9" s="19">
        <v>3.4747120810810808</v>
      </c>
      <c r="BQ9" s="19">
        <v>3.3460870226244346</v>
      </c>
      <c r="BR9" s="19">
        <v>3.3375540087811899</v>
      </c>
      <c r="BS9" s="19">
        <v>3.4428626728057861</v>
      </c>
      <c r="BT9" s="19">
        <v>3.4629992228287918</v>
      </c>
      <c r="BU9" s="19">
        <v>3.0882860681892224</v>
      </c>
      <c r="BV9" s="19">
        <v>3.386057609619562</v>
      </c>
      <c r="BW9" s="19">
        <v>2.9681322842692976</v>
      </c>
      <c r="BX9" s="19">
        <v>3.0321012068262361</v>
      </c>
      <c r="BY9" s="19">
        <v>3.3696498065601834</v>
      </c>
      <c r="BZ9" s="19">
        <v>11.713605845037799</v>
      </c>
      <c r="CA9" s="19">
        <v>12.4032727849855</v>
      </c>
      <c r="CB9" s="19">
        <v>16.2020951335689</v>
      </c>
      <c r="CC9" s="19">
        <v>53.632354040517299</v>
      </c>
      <c r="CD9" s="19">
        <v>67.302203486881695</v>
      </c>
      <c r="CE9" s="19">
        <v>79.052069348526814</v>
      </c>
      <c r="CF9" s="19">
        <v>91.256706910245015</v>
      </c>
      <c r="CG9" s="19">
        <v>104.41127636285738</v>
      </c>
      <c r="CH9" s="19">
        <v>127.2971666282655</v>
      </c>
      <c r="CI9" s="19">
        <v>149.22636214725216</v>
      </c>
      <c r="CJ9" s="19">
        <v>57.411743061736701</v>
      </c>
      <c r="CK9" s="19">
        <v>80.518600463867202</v>
      </c>
      <c r="CL9" s="19">
        <v>116.46378326416</v>
      </c>
      <c r="CM9" s="19">
        <v>128.83731079101599</v>
      </c>
      <c r="CN9" s="19">
        <v>141.78824823366</v>
      </c>
      <c r="CO9" s="19">
        <v>134.921114445462</v>
      </c>
      <c r="CP9" s="19">
        <v>142.51175843684501</v>
      </c>
      <c r="CQ9" s="19">
        <v>159.02545431979499</v>
      </c>
      <c r="CR9" s="19">
        <v>158.73576197951701</v>
      </c>
      <c r="CS9" s="19">
        <v>143.90779684665</v>
      </c>
      <c r="CT9" s="19">
        <v>173.1187587883957</v>
      </c>
      <c r="CU9" s="19">
        <v>193.6252894801886</v>
      </c>
      <c r="CV9" s="19">
        <v>200</v>
      </c>
      <c r="CW9" s="19">
        <v>200</v>
      </c>
      <c r="CX9" s="19">
        <v>200</v>
      </c>
      <c r="CY9" s="19">
        <v>2.9686608652705377</v>
      </c>
      <c r="CZ9" s="19">
        <v>3.1768280134831457</v>
      </c>
      <c r="DA9" s="19">
        <v>2.9165220493975901</v>
      </c>
      <c r="DB9" s="19">
        <v>2.6526278555555551</v>
      </c>
      <c r="DC9" s="19">
        <v>2.7531862631578949</v>
      </c>
      <c r="DD9" s="19">
        <v>2.6477096216216216</v>
      </c>
      <c r="DE9" s="19">
        <v>2.4711859674208148</v>
      </c>
      <c r="DF9" s="19">
        <v>2.6232982741667485</v>
      </c>
      <c r="DG9" s="19">
        <v>2.8760214710235599</v>
      </c>
      <c r="DH9" s="19">
        <v>3.1930182787088248</v>
      </c>
      <c r="DI9" s="19">
        <v>3.3573448442142091</v>
      </c>
      <c r="DJ9" s="19">
        <v>2.7551844135739376</v>
      </c>
      <c r="DK9" s="19">
        <v>2.7917920865243713</v>
      </c>
      <c r="DL9" s="19">
        <v>2.4406888134974989</v>
      </c>
      <c r="DM9" s="19">
        <v>2.1692632423290465</v>
      </c>
      <c r="DN9" s="19">
        <v>3.1008026211887278</v>
      </c>
      <c r="DO9" s="19">
        <v>2.9312802871338524</v>
      </c>
      <c r="DP9" s="19">
        <v>3.178967321084337</v>
      </c>
      <c r="DQ9" s="19">
        <v>3.4542033703703705</v>
      </c>
      <c r="DR9" s="19">
        <v>3.4736413157894734</v>
      </c>
      <c r="DS9" s="19">
        <v>3.3617415675675675</v>
      </c>
      <c r="DT9" s="19">
        <v>3.2265246950226243</v>
      </c>
      <c r="DU9" s="19">
        <v>3.0022035894970509</v>
      </c>
      <c r="DV9" s="19">
        <v>2.9852677202224731</v>
      </c>
      <c r="DW9" s="19">
        <v>3.1382810299213117</v>
      </c>
      <c r="DX9" s="19">
        <v>3.3680798566989725</v>
      </c>
      <c r="DY9" s="19">
        <v>2.8520571835556998</v>
      </c>
      <c r="DZ9" s="19">
        <v>3.852638675372893</v>
      </c>
      <c r="EA9" s="19">
        <v>3.3818434184738613</v>
      </c>
      <c r="EB9" s="19">
        <v>2.68518594089762</v>
      </c>
      <c r="EC9" s="19">
        <v>2.9331871996459298</v>
      </c>
      <c r="ED9" s="19">
        <v>2.8546848485354097</v>
      </c>
      <c r="EE9" s="19">
        <v>3.20499063313253</v>
      </c>
      <c r="EF9" s="19">
        <v>3.3254490095238096</v>
      </c>
      <c r="EG9" s="19">
        <v>3.1837715263157893</v>
      </c>
      <c r="EH9" s="19">
        <v>3.0489374864864867</v>
      </c>
      <c r="EI9" s="19">
        <v>3.0747332325791854</v>
      </c>
      <c r="EJ9" s="19">
        <v>3.0393226307866188</v>
      </c>
      <c r="EK9" s="19">
        <v>3.0946019887924194</v>
      </c>
      <c r="EL9" s="19">
        <v>3.1451748371124273</v>
      </c>
      <c r="EM9" s="19">
        <v>3.4543790904096787</v>
      </c>
      <c r="EN9" s="19">
        <v>3.027585501319173</v>
      </c>
      <c r="EO9" s="19">
        <v>3.1296245275128105</v>
      </c>
      <c r="EP9" s="19">
        <v>3.0721764709975585</v>
      </c>
      <c r="EQ9" s="19">
        <v>3.5502103148384871</v>
      </c>
      <c r="ER9" s="19"/>
      <c r="ES9" s="16">
        <f t="shared" si="1"/>
        <v>3.7777251246537404</v>
      </c>
      <c r="ET9" s="16">
        <f t="shared" si="0"/>
        <v>3.079355202388034</v>
      </c>
      <c r="EU9" s="16">
        <f t="shared" si="0"/>
        <v>4.3936838421052631</v>
      </c>
      <c r="EV9" s="16">
        <f t="shared" si="0"/>
        <v>2.4576076315789472</v>
      </c>
      <c r="EW9" s="16">
        <f t="shared" si="0"/>
        <v>3.4662411052631579</v>
      </c>
      <c r="EX9" s="16" t="str">
        <f t="shared" si="0"/>
        <v>.</v>
      </c>
      <c r="EY9" s="16">
        <f t="shared" si="0"/>
        <v>141.78824823366</v>
      </c>
      <c r="EZ9" s="16">
        <f t="shared" si="0"/>
        <v>2.7531862631578949</v>
      </c>
      <c r="FA9" s="16">
        <f t="shared" si="0"/>
        <v>3.4736413157894734</v>
      </c>
      <c r="FB9" s="16">
        <f t="shared" si="0"/>
        <v>3.1837715263157893</v>
      </c>
    </row>
    <row r="10" spans="1:158" x14ac:dyDescent="0.25">
      <c r="A10" s="17">
        <v>7</v>
      </c>
      <c r="B10" s="17" t="s">
        <v>19</v>
      </c>
      <c r="C10" s="17" t="s">
        <v>19</v>
      </c>
      <c r="D10" s="17" t="s">
        <v>7</v>
      </c>
      <c r="E10" s="16">
        <v>1</v>
      </c>
      <c r="F10" s="18">
        <v>3.2552586685050828</v>
      </c>
      <c r="G10" s="18">
        <v>3.2979791684211905</v>
      </c>
      <c r="H10" s="18">
        <v>3.3472921019115613</v>
      </c>
      <c r="I10" s="18">
        <v>3.3250186684210528</v>
      </c>
      <c r="J10" s="18">
        <v>3.4325125520758415</v>
      </c>
      <c r="K10" s="18">
        <v>3.6963106229899894</v>
      </c>
      <c r="L10" s="18">
        <v>3.8156933981106618</v>
      </c>
      <c r="M10" s="18">
        <v>3.7321630126843095</v>
      </c>
      <c r="N10" s="18">
        <v>3.6505865055742541</v>
      </c>
      <c r="O10" s="18">
        <v>3.7526729828530079</v>
      </c>
      <c r="P10" s="18">
        <v>3.7142405642048617</v>
      </c>
      <c r="Q10" s="18">
        <v>4.3693657083757698</v>
      </c>
      <c r="R10" s="18">
        <v>4.0012274487475734</v>
      </c>
      <c r="S10" s="18">
        <v>4.2649484576325962</v>
      </c>
      <c r="T10" s="18">
        <v>4.1735685715074915</v>
      </c>
      <c r="U10" s="18">
        <v>2.8697404695048703</v>
      </c>
      <c r="V10" s="18">
        <v>2.7673965257016238</v>
      </c>
      <c r="W10" s="18">
        <v>2.7106973920159683</v>
      </c>
      <c r="X10" s="18">
        <v>2.63219425</v>
      </c>
      <c r="Y10" s="18">
        <v>2.7390408334655709</v>
      </c>
      <c r="Z10" s="18">
        <v>2.891910610523575</v>
      </c>
      <c r="AA10" s="18">
        <v>2.9924934996949415</v>
      </c>
      <c r="AB10" s="18">
        <v>2.9546673686588876</v>
      </c>
      <c r="AC10" s="18">
        <v>3.0152972683094807</v>
      </c>
      <c r="AD10" s="19">
        <v>3.1989490578861801</v>
      </c>
      <c r="AE10" s="19">
        <v>3.7182740746041469</v>
      </c>
      <c r="AF10" s="19">
        <v>3.1849910894077977</v>
      </c>
      <c r="AG10" s="19">
        <v>3.6672782676251865</v>
      </c>
      <c r="AH10" s="19">
        <v>3.1898748695435177</v>
      </c>
      <c r="AI10" s="19">
        <v>3.7354090781628586</v>
      </c>
      <c r="AJ10" s="19">
        <v>4.183862116666667</v>
      </c>
      <c r="AK10" s="19">
        <v>4.3144226273291926</v>
      </c>
      <c r="AL10" s="19">
        <v>4.5787227464212679</v>
      </c>
      <c r="AM10" s="19">
        <v>4.5679284222222227</v>
      </c>
      <c r="AN10" s="19">
        <v>4.3010074598444623</v>
      </c>
      <c r="AO10" s="19">
        <v>4.2675397393579004</v>
      </c>
      <c r="AP10" s="19">
        <v>4.3682835713813182</v>
      </c>
      <c r="AQ10" s="19">
        <v>4.6843324218655669</v>
      </c>
      <c r="AR10" s="19">
        <v>4.0642657356421292</v>
      </c>
      <c r="AS10" s="19">
        <v>4.4797378061445068</v>
      </c>
      <c r="AT10" s="19">
        <v>4.2288560563153581</v>
      </c>
      <c r="AU10" s="19">
        <v>4.6563101000621572</v>
      </c>
      <c r="AV10" s="19">
        <v>2.9613431887111128</v>
      </c>
      <c r="AW10" s="19">
        <v>3.1545370424611221</v>
      </c>
      <c r="AX10" s="19">
        <v>3.2389790185628744</v>
      </c>
      <c r="AY10" s="19">
        <v>3.0507268500000002</v>
      </c>
      <c r="AZ10" s="19">
        <v>3.4715783826086954</v>
      </c>
      <c r="BA10" s="19">
        <v>3.8087218668711653</v>
      </c>
      <c r="BB10" s="19">
        <v>3.8599790205128204</v>
      </c>
      <c r="BC10" s="19">
        <v>3.6995257487754825</v>
      </c>
      <c r="BD10" s="19">
        <v>3.5333453566822786</v>
      </c>
      <c r="BE10" s="19">
        <v>3.7439573372665205</v>
      </c>
      <c r="BF10" s="19">
        <v>4.0323869837948205</v>
      </c>
      <c r="BG10" s="19">
        <v>4.5774793243778262</v>
      </c>
      <c r="BH10" s="19">
        <v>4.6389009102427323</v>
      </c>
      <c r="BI10" s="19">
        <v>5.4362469745685935</v>
      </c>
      <c r="BJ10" s="19">
        <v>5.3396592268082284</v>
      </c>
      <c r="BK10" s="19">
        <v>3.1821938506801297</v>
      </c>
      <c r="BL10" s="19">
        <v>3.2747258613928327</v>
      </c>
      <c r="BM10" s="19">
        <v>3.28462448742515</v>
      </c>
      <c r="BN10" s="19">
        <v>3.38131855</v>
      </c>
      <c r="BO10" s="19">
        <v>3.4036074745341613</v>
      </c>
      <c r="BP10" s="19">
        <v>3.4915630533742332</v>
      </c>
      <c r="BQ10" s="19">
        <v>3.4749532307692306</v>
      </c>
      <c r="BR10" s="19">
        <v>3.3697811423027044</v>
      </c>
      <c r="BS10" s="19">
        <v>3.347847508752583</v>
      </c>
      <c r="BT10" s="19">
        <v>3.5461224719097739</v>
      </c>
      <c r="BU10" s="19">
        <v>3.5150196277136585</v>
      </c>
      <c r="BV10" s="19">
        <v>3.4164710861179191</v>
      </c>
      <c r="BW10" s="19">
        <v>3.6398575368227868</v>
      </c>
      <c r="BX10" s="19">
        <v>3.3082350561605374</v>
      </c>
      <c r="BY10" s="19">
        <v>3.2593094701619236</v>
      </c>
      <c r="BZ10" s="19">
        <v>11.3988936868223</v>
      </c>
      <c r="CA10" s="19">
        <v>27.614401158968299</v>
      </c>
      <c r="CB10" s="19">
        <v>31.018428618750601</v>
      </c>
      <c r="CC10" s="19">
        <v>34.201924269183202</v>
      </c>
      <c r="CD10" s="19">
        <v>41.292879299219599</v>
      </c>
      <c r="CE10" s="19">
        <v>49.102849131415752</v>
      </c>
      <c r="CF10" s="19">
        <v>56.65628684217841</v>
      </c>
      <c r="CG10" s="19">
        <v>66.171325025850621</v>
      </c>
      <c r="CH10" s="19">
        <v>71.642908315766022</v>
      </c>
      <c r="CI10" s="19">
        <v>73.748443537094488</v>
      </c>
      <c r="CJ10" s="19">
        <v>10.6089820946905</v>
      </c>
      <c r="CK10" s="19">
        <v>10.544135093689</v>
      </c>
      <c r="CL10" s="19">
        <v>62.499721527099602</v>
      </c>
      <c r="CM10" s="19">
        <v>84.983512878417997</v>
      </c>
      <c r="CN10" s="19">
        <v>125.008570304961</v>
      </c>
      <c r="CO10" s="19">
        <v>103.566373656715</v>
      </c>
      <c r="CP10" s="19">
        <v>106.87896192053201</v>
      </c>
      <c r="CQ10" s="19">
        <v>112.420655211408</v>
      </c>
      <c r="CR10" s="19">
        <v>115.92321019842601</v>
      </c>
      <c r="CS10" s="19">
        <v>115.145509216191</v>
      </c>
      <c r="CT10" s="19">
        <v>147.0799285581034</v>
      </c>
      <c r="CU10" s="19">
        <v>161.3315486542117</v>
      </c>
      <c r="CV10" s="19">
        <v>173.63726337166264</v>
      </c>
      <c r="CW10" s="19">
        <v>184.25408856656946</v>
      </c>
      <c r="CX10" s="19">
        <v>198.55267908614107</v>
      </c>
      <c r="CY10" s="19">
        <v>4.4848710979000419</v>
      </c>
      <c r="CZ10" s="19">
        <v>4.601098875640492</v>
      </c>
      <c r="DA10" s="19">
        <v>4.2227651227544918</v>
      </c>
      <c r="DB10" s="19">
        <v>3.6688328500000003</v>
      </c>
      <c r="DC10" s="19">
        <v>3.7748962236024841</v>
      </c>
      <c r="DD10" s="19">
        <v>4.3458861785276071</v>
      </c>
      <c r="DE10" s="19">
        <v>4.5554535948717945</v>
      </c>
      <c r="DF10" s="19">
        <v>4.1535771344665529</v>
      </c>
      <c r="DG10" s="19">
        <v>3.9584149935387618</v>
      </c>
      <c r="DH10" s="19">
        <v>4.2894079738541651</v>
      </c>
      <c r="DI10" s="19">
        <v>4.0263443519405628</v>
      </c>
      <c r="DJ10" s="19">
        <v>4.514109675384316</v>
      </c>
      <c r="DK10" s="19">
        <v>4.6965825225452535</v>
      </c>
      <c r="DL10" s="19">
        <v>4.3122567296326126</v>
      </c>
      <c r="DM10" s="19">
        <v>3.6883763833816938</v>
      </c>
      <c r="DN10" s="19">
        <v>2.9211007256041048</v>
      </c>
      <c r="DO10" s="19">
        <v>2.923131617781471</v>
      </c>
      <c r="DP10" s="19">
        <v>3.4995038000000003</v>
      </c>
      <c r="DQ10" s="19">
        <v>3.9556014500000001</v>
      </c>
      <c r="DR10" s="19">
        <v>4.0406292322981363</v>
      </c>
      <c r="DS10" s="19">
        <v>4.2731148815950917</v>
      </c>
      <c r="DT10" s="19">
        <v>4.4037803025641029</v>
      </c>
      <c r="DU10" s="19">
        <v>4.4216352475509648</v>
      </c>
      <c r="DV10" s="19">
        <v>4.3134984357467552</v>
      </c>
      <c r="DW10" s="19">
        <v>4.2665225668957358</v>
      </c>
      <c r="DX10" s="19">
        <v>4.489606949913119</v>
      </c>
      <c r="DY10" s="19">
        <v>5.334107922761703</v>
      </c>
      <c r="DZ10" s="19">
        <v>4.8794452510309281</v>
      </c>
      <c r="EA10" s="19">
        <v>5.4439701823274751</v>
      </c>
      <c r="EB10" s="19">
        <v>5.5499606938961925</v>
      </c>
      <c r="EC10" s="19">
        <v>3.1439078873290591</v>
      </c>
      <c r="ED10" s="19">
        <v>3.1998264652129818</v>
      </c>
      <c r="EE10" s="19">
        <v>3.552329232335329</v>
      </c>
      <c r="EF10" s="19">
        <v>3.4131562500000001</v>
      </c>
      <c r="EG10" s="19">
        <v>3.3434140509316768</v>
      </c>
      <c r="EH10" s="19">
        <v>3.650032948466257</v>
      </c>
      <c r="EI10" s="19">
        <v>3.6819162820512816</v>
      </c>
      <c r="EJ10" s="19">
        <v>3.7115671289978032</v>
      </c>
      <c r="EK10" s="19">
        <v>3.8238560796573466</v>
      </c>
      <c r="EL10" s="19">
        <v>3.783885760840616</v>
      </c>
      <c r="EM10" s="19">
        <v>3.8880391706963895</v>
      </c>
      <c r="EN10" s="19">
        <v>3.5048279260973367</v>
      </c>
      <c r="EO10" s="19">
        <v>3.7681062887311958</v>
      </c>
      <c r="EP10" s="19">
        <v>3.7471754928541605</v>
      </c>
      <c r="EQ10" s="19">
        <v>3.8609239716195889</v>
      </c>
      <c r="ER10" s="19"/>
      <c r="ES10" s="16">
        <f t="shared" si="1"/>
        <v>3.4325125520758415</v>
      </c>
      <c r="ET10" s="16">
        <f t="shared" si="0"/>
        <v>2.7390408334655709</v>
      </c>
      <c r="EU10" s="16">
        <f t="shared" si="0"/>
        <v>4.3144226273291926</v>
      </c>
      <c r="EV10" s="16">
        <f t="shared" si="0"/>
        <v>3.4715783826086954</v>
      </c>
      <c r="EW10" s="16">
        <f t="shared" si="0"/>
        <v>3.4036074745341613</v>
      </c>
      <c r="EX10" s="16" t="str">
        <f t="shared" si="0"/>
        <v>.</v>
      </c>
      <c r="EY10" s="16">
        <f t="shared" si="0"/>
        <v>125.008570304961</v>
      </c>
      <c r="EZ10" s="16">
        <f t="shared" si="0"/>
        <v>3.7748962236024841</v>
      </c>
      <c r="FA10" s="16">
        <f t="shared" si="0"/>
        <v>4.0406292322981363</v>
      </c>
      <c r="FB10" s="16">
        <f t="shared" si="0"/>
        <v>3.3434140509316768</v>
      </c>
    </row>
    <row r="11" spans="1:158" x14ac:dyDescent="0.25">
      <c r="A11" s="17">
        <v>8</v>
      </c>
      <c r="B11" s="17" t="s">
        <v>20</v>
      </c>
      <c r="C11" s="17" t="s">
        <v>20</v>
      </c>
      <c r="D11" s="17" t="s">
        <v>21</v>
      </c>
      <c r="E11" s="16">
        <v>1</v>
      </c>
      <c r="F11" s="18">
        <v>4.8097841447745466</v>
      </c>
      <c r="G11" s="18">
        <v>4.8592990384725336</v>
      </c>
      <c r="H11" s="18">
        <v>4.7880056032051286</v>
      </c>
      <c r="I11" s="18">
        <v>4.6713918024436092</v>
      </c>
      <c r="J11" s="18">
        <v>4.6726778174089079</v>
      </c>
      <c r="K11" s="18">
        <v>4.6067402135338336</v>
      </c>
      <c r="L11" s="18">
        <v>4.661295085473685</v>
      </c>
      <c r="M11" s="18">
        <v>4.6970707478358973</v>
      </c>
      <c r="N11" s="18">
        <v>4.6959790154380041</v>
      </c>
      <c r="O11" s="18">
        <v>4.7443432866428994</v>
      </c>
      <c r="P11" s="18">
        <v>4.6847002112481411</v>
      </c>
      <c r="Q11" s="18">
        <v>4.5800885017945392</v>
      </c>
      <c r="R11" s="18">
        <v>5.0819152036950754</v>
      </c>
      <c r="S11" s="18">
        <v>4.9225494994223666</v>
      </c>
      <c r="T11" s="18">
        <v>4.2019517934641923</v>
      </c>
      <c r="U11" s="18">
        <v>4.4098339751264319</v>
      </c>
      <c r="V11" s="18">
        <v>4.4559882685747612</v>
      </c>
      <c r="W11" s="18">
        <v>4.4341589054285722</v>
      </c>
      <c r="X11" s="18">
        <v>4.4077037466121727</v>
      </c>
      <c r="Y11" s="18">
        <v>4.4754829236135967</v>
      </c>
      <c r="Z11" s="18">
        <v>4.510253598730551</v>
      </c>
      <c r="AA11" s="18">
        <v>4.4544040829024407</v>
      </c>
      <c r="AB11" s="18">
        <v>4.4058215216245156</v>
      </c>
      <c r="AC11" s="18">
        <v>4.5338839997709695</v>
      </c>
      <c r="AD11" s="19">
        <v>4.5473736532877558</v>
      </c>
      <c r="AE11" s="19">
        <v>4.5516984984949627</v>
      </c>
      <c r="AF11" s="19">
        <v>4.7116804956157861</v>
      </c>
      <c r="AG11" s="19">
        <v>4.6188363911555887</v>
      </c>
      <c r="AH11" s="19">
        <v>4.7949027267996378</v>
      </c>
      <c r="AI11" s="19">
        <v>4.2908434573631338</v>
      </c>
      <c r="AJ11" s="19">
        <v>5.7435939279761898</v>
      </c>
      <c r="AK11" s="19">
        <v>5.67541618974359</v>
      </c>
      <c r="AL11" s="19">
        <v>5.7162051904761908</v>
      </c>
      <c r="AM11" s="19">
        <v>5.6999929519999997</v>
      </c>
      <c r="AN11" s="19">
        <v>5.5719165701092237</v>
      </c>
      <c r="AO11" s="19">
        <v>5.4327119849813128</v>
      </c>
      <c r="AP11" s="19">
        <v>5.2957601289343996</v>
      </c>
      <c r="AQ11" s="19">
        <v>5.5898185672112426</v>
      </c>
      <c r="AR11" s="19">
        <v>5.0514029075301892</v>
      </c>
      <c r="AS11" s="19">
        <v>5.344976258977419</v>
      </c>
      <c r="AT11" s="19">
        <v>5.6125277028290572</v>
      </c>
      <c r="AU11" s="19">
        <v>5.0657273120924797</v>
      </c>
      <c r="AV11" s="19">
        <v>3.0149750816971421</v>
      </c>
      <c r="AW11" s="19">
        <v>2.9905480142937808</v>
      </c>
      <c r="AX11" s="19">
        <v>3.1961266466666665</v>
      </c>
      <c r="AY11" s="19">
        <v>3.3956560991071427</v>
      </c>
      <c r="AZ11" s="19">
        <v>3.1819717230769236</v>
      </c>
      <c r="BA11" s="19">
        <v>3.0557869999999996</v>
      </c>
      <c r="BB11" s="19">
        <v>2.7805825679999998</v>
      </c>
      <c r="BC11" s="19">
        <v>2.8043036749553778</v>
      </c>
      <c r="BD11" s="19">
        <v>3.3336434598741582</v>
      </c>
      <c r="BE11" s="19">
        <v>3.3869769839679496</v>
      </c>
      <c r="BF11" s="19">
        <v>4.2824742255325789</v>
      </c>
      <c r="BG11" s="19">
        <v>6.1563448473200086</v>
      </c>
      <c r="BH11" s="19">
        <v>6.1098034268508918</v>
      </c>
      <c r="BI11" s="19">
        <v>6.1415331041159096</v>
      </c>
      <c r="BJ11" s="19">
        <v>7</v>
      </c>
      <c r="BK11" s="19">
        <v>5.2660618550758054</v>
      </c>
      <c r="BL11" s="19">
        <v>4.8035821214776071</v>
      </c>
      <c r="BM11" s="19">
        <v>4.6577168666666671</v>
      </c>
      <c r="BN11" s="19">
        <v>4.3917579008928573</v>
      </c>
      <c r="BO11" s="19">
        <v>4.1864306461538465</v>
      </c>
      <c r="BP11" s="19">
        <v>4.1153961999999993</v>
      </c>
      <c r="BQ11" s="19">
        <v>3.8051229360000001</v>
      </c>
      <c r="BR11" s="19">
        <v>3.697176719899657</v>
      </c>
      <c r="BS11" s="19">
        <v>3.7729541003371083</v>
      </c>
      <c r="BT11" s="19">
        <v>3.8412823416438759</v>
      </c>
      <c r="BU11" s="19">
        <v>2.7834983742415051</v>
      </c>
      <c r="BV11" s="19">
        <v>3.2823674393994113</v>
      </c>
      <c r="BW11" s="19">
        <v>3.1854671651036033</v>
      </c>
      <c r="BX11" s="19">
        <v>2.4934198936189786</v>
      </c>
      <c r="BY11" s="19">
        <v>2.521869105301155</v>
      </c>
      <c r="BZ11" s="19">
        <v>42.8342687597995</v>
      </c>
      <c r="CA11" s="19">
        <v>96.227148779197094</v>
      </c>
      <c r="CB11" s="19">
        <v>110.50633578940599</v>
      </c>
      <c r="CC11" s="19">
        <v>112.233645049259</v>
      </c>
      <c r="CD11" s="19">
        <v>112.861622746984</v>
      </c>
      <c r="CE11" s="19">
        <v>142.82051524748721</v>
      </c>
      <c r="CF11" s="19">
        <v>161.59009665886651</v>
      </c>
      <c r="CG11" s="19">
        <v>173.39082958861476</v>
      </c>
      <c r="CH11" s="19">
        <v>189.92580210226413</v>
      </c>
      <c r="CI11" s="19">
        <v>200</v>
      </c>
      <c r="CJ11" s="19">
        <v>91.391714214835005</v>
      </c>
      <c r="CK11" s="19">
        <v>97.023025512695298</v>
      </c>
      <c r="CL11" s="19">
        <v>105.581680297852</v>
      </c>
      <c r="CM11" s="19">
        <v>113.746871948242</v>
      </c>
      <c r="CN11" s="19">
        <v>101.040111397396</v>
      </c>
      <c r="CO11" s="19">
        <v>108.335354944489</v>
      </c>
      <c r="CP11" s="19">
        <v>106.192815225723</v>
      </c>
      <c r="CQ11" s="19">
        <v>106.843497367233</v>
      </c>
      <c r="CR11" s="19">
        <v>131.23054684881899</v>
      </c>
      <c r="CS11" s="19">
        <v>132.800509432285</v>
      </c>
      <c r="CT11" s="19">
        <v>132.5395849970956</v>
      </c>
      <c r="CU11" s="19">
        <v>126.46696932398585</v>
      </c>
      <c r="CV11" s="19">
        <v>138.01073721157698</v>
      </c>
      <c r="CW11" s="19">
        <v>141.8089311605811</v>
      </c>
      <c r="CX11" s="19">
        <v>148.04430374605968</v>
      </c>
      <c r="CY11" s="19">
        <v>6.3486208570545921</v>
      </c>
      <c r="CZ11" s="19">
        <v>6.3318109877050475</v>
      </c>
      <c r="DA11" s="19">
        <v>6.1702403100000005</v>
      </c>
      <c r="DB11" s="19">
        <v>5.8668210124999991</v>
      </c>
      <c r="DC11" s="19">
        <v>5.552712707692308</v>
      </c>
      <c r="DD11" s="19">
        <v>5.4545675428571432</v>
      </c>
      <c r="DE11" s="19">
        <v>5.235334688</v>
      </c>
      <c r="DF11" s="19">
        <v>5.5077075936050051</v>
      </c>
      <c r="DG11" s="19">
        <v>5.8754873920419364</v>
      </c>
      <c r="DH11" s="19">
        <v>5.8544352648304958</v>
      </c>
      <c r="DI11" s="19">
        <v>4.397897326402906</v>
      </c>
      <c r="DJ11" s="19">
        <v>4.4125157109695623</v>
      </c>
      <c r="DK11" s="19">
        <v>5.5949772585704922</v>
      </c>
      <c r="DL11" s="19">
        <v>5.3616943280371414</v>
      </c>
      <c r="DM11" s="19">
        <v>5.7471185953528687</v>
      </c>
      <c r="DN11" s="19">
        <v>5.4271421349734599</v>
      </c>
      <c r="DO11" s="19">
        <v>5.1557791784042042</v>
      </c>
      <c r="DP11" s="19">
        <v>4.988575823333333</v>
      </c>
      <c r="DQ11" s="19">
        <v>5.219270598214286</v>
      </c>
      <c r="DR11" s="19">
        <v>5.1761709307692314</v>
      </c>
      <c r="DS11" s="19">
        <v>5.2436978571428572</v>
      </c>
      <c r="DT11" s="19">
        <v>5.2014936080000007</v>
      </c>
      <c r="DU11" s="19">
        <v>5.0621578756097563</v>
      </c>
      <c r="DV11" s="19">
        <v>4.8568016952642514</v>
      </c>
      <c r="DW11" s="19">
        <v>4.8011092602037921</v>
      </c>
      <c r="DX11" s="19">
        <v>4.9709890848424534</v>
      </c>
      <c r="DY11" s="19">
        <v>4.6187687177926291</v>
      </c>
      <c r="DZ11" s="19">
        <v>4.8270788094852364</v>
      </c>
      <c r="EA11" s="19">
        <v>5.133543772503895</v>
      </c>
      <c r="EB11" s="19">
        <v>4.7498278848862361</v>
      </c>
      <c r="EC11" s="19">
        <v>5.3304427500210636</v>
      </c>
      <c r="ED11" s="19">
        <v>5.079525012486064</v>
      </c>
      <c r="EE11" s="19">
        <v>5.0055907633333332</v>
      </c>
      <c r="EF11" s="19">
        <v>5.3290578803571425</v>
      </c>
      <c r="EG11" s="19">
        <v>5.1039058384615394</v>
      </c>
      <c r="EH11" s="19">
        <v>5.0573207142857139</v>
      </c>
      <c r="EI11" s="19">
        <v>4.9384333680000001</v>
      </c>
      <c r="EJ11" s="19">
        <v>4.7500157401005447</v>
      </c>
      <c r="EK11" s="19">
        <v>4.7215465471065245</v>
      </c>
      <c r="EL11" s="19">
        <v>4.7576118632858879</v>
      </c>
      <c r="EM11" s="19">
        <v>4.4464469885173692</v>
      </c>
      <c r="EN11" s="19">
        <v>4.1091168523573192</v>
      </c>
      <c r="EO11" s="19">
        <v>4.0227166331815107</v>
      </c>
      <c r="EP11" s="19">
        <v>4.4389514526427849</v>
      </c>
      <c r="EQ11" s="19">
        <v>3.548741052912018</v>
      </c>
      <c r="ER11" s="19"/>
      <c r="ES11" s="16">
        <f t="shared" si="1"/>
        <v>4.6726778174089079</v>
      </c>
      <c r="ET11" s="16">
        <f t="shared" si="0"/>
        <v>4.4754829236135967</v>
      </c>
      <c r="EU11" s="16">
        <f t="shared" si="0"/>
        <v>5.67541618974359</v>
      </c>
      <c r="EV11" s="16">
        <f t="shared" si="0"/>
        <v>3.1819717230769236</v>
      </c>
      <c r="EW11" s="16">
        <f t="shared" si="0"/>
        <v>4.1864306461538465</v>
      </c>
      <c r="EX11" s="16" t="str">
        <f t="shared" si="0"/>
        <v>.</v>
      </c>
      <c r="EY11" s="16">
        <f t="shared" si="0"/>
        <v>101.040111397396</v>
      </c>
      <c r="EZ11" s="16">
        <f t="shared" si="0"/>
        <v>5.552712707692308</v>
      </c>
      <c r="FA11" s="16">
        <f t="shared" si="0"/>
        <v>5.1761709307692314</v>
      </c>
      <c r="FB11" s="16">
        <f t="shared" si="0"/>
        <v>5.1039058384615394</v>
      </c>
    </row>
    <row r="12" spans="1:158" x14ac:dyDescent="0.25">
      <c r="A12" s="17">
        <v>9</v>
      </c>
      <c r="B12" s="17" t="s">
        <v>22</v>
      </c>
      <c r="C12" s="17" t="s">
        <v>22</v>
      </c>
      <c r="D12" s="17" t="s">
        <v>23</v>
      </c>
      <c r="E12" s="16">
        <v>1</v>
      </c>
      <c r="F12" s="18">
        <v>5.6888888764011334</v>
      </c>
      <c r="G12" s="18">
        <v>5.6468156945917567</v>
      </c>
      <c r="H12" s="18">
        <v>5.5406451205128198</v>
      </c>
      <c r="I12" s="18">
        <v>5.4633507475890317</v>
      </c>
      <c r="J12" s="18">
        <v>5.4590849869674187</v>
      </c>
      <c r="K12" s="18">
        <v>5.5204701257581039</v>
      </c>
      <c r="L12" s="18">
        <v>5.4582031398606823</v>
      </c>
      <c r="M12" s="18">
        <v>5.4062977625977791</v>
      </c>
      <c r="N12" s="18">
        <v>5.426085472551156</v>
      </c>
      <c r="O12" s="18">
        <v>5.4988707471059524</v>
      </c>
      <c r="P12" s="18">
        <v>5.2960904554948156</v>
      </c>
      <c r="Q12" s="18">
        <v>5.1328675643890769</v>
      </c>
      <c r="R12" s="18">
        <v>5.5271039702965226</v>
      </c>
      <c r="S12" s="18">
        <v>5.7330739271664353</v>
      </c>
      <c r="T12" s="18">
        <v>5.1571960892762405</v>
      </c>
      <c r="U12" s="18">
        <v>4.7564577611723626</v>
      </c>
      <c r="V12" s="18">
        <v>4.6822486181561151</v>
      </c>
      <c r="W12" s="18">
        <v>4.45552745422619</v>
      </c>
      <c r="X12" s="18">
        <v>4.4783720124379816</v>
      </c>
      <c r="Y12" s="18">
        <v>4.7886133735449734</v>
      </c>
      <c r="Z12" s="18">
        <v>5.0739154710816772</v>
      </c>
      <c r="AA12" s="18">
        <v>4.8183647078685032</v>
      </c>
      <c r="AB12" s="18">
        <v>4.8165090338930252</v>
      </c>
      <c r="AC12" s="18">
        <v>4.9027900759812884</v>
      </c>
      <c r="AD12" s="19">
        <v>5.0264130654944461</v>
      </c>
      <c r="AE12" s="19">
        <v>5.401140101141471</v>
      </c>
      <c r="AF12" s="19">
        <v>4.4471002065125029</v>
      </c>
      <c r="AG12" s="19">
        <v>4.399163432812859</v>
      </c>
      <c r="AH12" s="19">
        <v>5.0799860858075556</v>
      </c>
      <c r="AI12" s="19">
        <v>5.4362971364045114</v>
      </c>
      <c r="AJ12" s="19">
        <v>5.7315546427145705</v>
      </c>
      <c r="AK12" s="19">
        <v>5.7652038285714289</v>
      </c>
      <c r="AL12" s="19">
        <v>5.7028391033112582</v>
      </c>
      <c r="AM12" s="19">
        <v>5.5034535049019597</v>
      </c>
      <c r="AN12" s="19">
        <v>5.4486538947592349</v>
      </c>
      <c r="AO12" s="19">
        <v>5.4822190966596045</v>
      </c>
      <c r="AP12" s="19">
        <v>5.381047522346929</v>
      </c>
      <c r="AQ12" s="19">
        <v>5.1760342403992938</v>
      </c>
      <c r="AR12" s="19">
        <v>5.4267026181856215</v>
      </c>
      <c r="AS12" s="19">
        <v>5.0315271408942559</v>
      </c>
      <c r="AT12" s="19">
        <v>5.3147750412892307</v>
      </c>
      <c r="AU12" s="19">
        <v>5.4059549489723127</v>
      </c>
      <c r="AV12" s="19">
        <v>3.6820884984062059</v>
      </c>
      <c r="AW12" s="19">
        <v>3.5489868298062595</v>
      </c>
      <c r="AX12" s="19">
        <v>3.5311856874999998</v>
      </c>
      <c r="AY12" s="19">
        <v>3.6347363293413171</v>
      </c>
      <c r="AZ12" s="19">
        <v>3.5280673904761901</v>
      </c>
      <c r="BA12" s="19">
        <v>3.2743534132450325</v>
      </c>
      <c r="BB12" s="19">
        <v>3.3513320852941173</v>
      </c>
      <c r="BC12" s="19">
        <v>3.3898936916077558</v>
      </c>
      <c r="BD12" s="19">
        <v>3.4400341828202095</v>
      </c>
      <c r="BE12" s="19">
        <v>3.6715466064102249</v>
      </c>
      <c r="BF12" s="19">
        <v>5.083391534095802</v>
      </c>
      <c r="BG12" s="19">
        <v>5.134253526357119</v>
      </c>
      <c r="BH12" s="19">
        <v>5.0005818081970643</v>
      </c>
      <c r="BI12" s="19">
        <v>5.470258932010462</v>
      </c>
      <c r="BJ12" s="19">
        <v>7</v>
      </c>
      <c r="BK12" s="19">
        <v>5.4415297812160111</v>
      </c>
      <c r="BL12" s="19">
        <v>5.1035524669500099</v>
      </c>
      <c r="BM12" s="19">
        <v>4.4910474687499997</v>
      </c>
      <c r="BN12" s="19">
        <v>4.1442325077844302</v>
      </c>
      <c r="BO12" s="19">
        <v>4.2204083619047612</v>
      </c>
      <c r="BP12" s="19">
        <v>4.1763582158940391</v>
      </c>
      <c r="BQ12" s="19">
        <v>4.0197404499999996</v>
      </c>
      <c r="BR12" s="19">
        <v>4.0440509968517526</v>
      </c>
      <c r="BS12" s="19">
        <v>3.8028064110944442</v>
      </c>
      <c r="BT12" s="19">
        <v>3.7548761258710108</v>
      </c>
      <c r="BU12" s="19">
        <v>3.0694775114530182</v>
      </c>
      <c r="BV12" s="19">
        <v>2.8842001584294121</v>
      </c>
      <c r="BW12" s="19">
        <v>2.9327011081162406</v>
      </c>
      <c r="BX12" s="19">
        <v>3.6910078031178677</v>
      </c>
      <c r="BY12" s="19">
        <v>4.0569669665826034</v>
      </c>
      <c r="BZ12" s="19">
        <v>43.323596122342003</v>
      </c>
      <c r="CA12" s="19">
        <v>55.535024377396098</v>
      </c>
      <c r="CB12" s="19">
        <v>62.826355524243503</v>
      </c>
      <c r="CC12" s="19">
        <v>67.193428808238494</v>
      </c>
      <c r="CD12" s="19">
        <v>68.573018106020996</v>
      </c>
      <c r="CE12" s="19">
        <v>78.514435370821417</v>
      </c>
      <c r="CF12" s="19">
        <v>81.898364144964461</v>
      </c>
      <c r="CG12" s="19">
        <v>89.825060457388204</v>
      </c>
      <c r="CH12" s="19">
        <v>93.70249601496279</v>
      </c>
      <c r="CI12" s="19">
        <v>99.435746454759183</v>
      </c>
      <c r="CJ12" s="19">
        <v>105.814280646385</v>
      </c>
      <c r="CK12" s="19">
        <v>112.81476593017599</v>
      </c>
      <c r="CL12" s="19">
        <v>128.89610290527301</v>
      </c>
      <c r="CM12" s="19">
        <v>140.75999450683599</v>
      </c>
      <c r="CN12" s="19">
        <v>145.836540124885</v>
      </c>
      <c r="CO12" s="19">
        <v>154.78323998455301</v>
      </c>
      <c r="CP12" s="19">
        <v>161.206988088028</v>
      </c>
      <c r="CQ12" s="19">
        <v>156.230411605688</v>
      </c>
      <c r="CR12" s="19">
        <v>151.91125147467901</v>
      </c>
      <c r="CS12" s="19">
        <v>157.408263680185</v>
      </c>
      <c r="CT12" s="19">
        <v>176.65657838716598</v>
      </c>
      <c r="CU12" s="19">
        <v>174.97829547838697</v>
      </c>
      <c r="CV12" s="19">
        <v>186.92755469796373</v>
      </c>
      <c r="CW12" s="19">
        <v>186.24753731724897</v>
      </c>
      <c r="CX12" s="19">
        <v>196.4115384157522</v>
      </c>
      <c r="CY12" s="19">
        <v>6.5354991412173771</v>
      </c>
      <c r="CZ12" s="19">
        <v>6.6181060064671389</v>
      </c>
      <c r="DA12" s="19">
        <v>6.3711443531249987</v>
      </c>
      <c r="DB12" s="19">
        <v>6.1538801359281434</v>
      </c>
      <c r="DC12" s="19">
        <v>5.9390253301587297</v>
      </c>
      <c r="DD12" s="19">
        <v>5.8489864158940392</v>
      </c>
      <c r="DE12" s="19">
        <v>5.8879109573529407</v>
      </c>
      <c r="DF12" s="19">
        <v>5.8443825121181714</v>
      </c>
      <c r="DG12" s="19">
        <v>5.8863111936768817</v>
      </c>
      <c r="DH12" s="19">
        <v>5.9165116294375011</v>
      </c>
      <c r="DI12" s="19">
        <v>5.641232994276737</v>
      </c>
      <c r="DJ12" s="19">
        <v>5.5867511170968838</v>
      </c>
      <c r="DK12" s="19">
        <v>5.3643328360042899</v>
      </c>
      <c r="DL12" s="19">
        <v>5.5575553196342575</v>
      </c>
      <c r="DM12" s="19">
        <v>4.8570741841137153</v>
      </c>
      <c r="DN12" s="19">
        <v>6.2700991651676592</v>
      </c>
      <c r="DO12" s="19">
        <v>6.4915588178837567</v>
      </c>
      <c r="DP12" s="19">
        <v>6.5998838093749992</v>
      </c>
      <c r="DQ12" s="19">
        <v>6.4221461844311367</v>
      </c>
      <c r="DR12" s="19">
        <v>6.3007832603174592</v>
      </c>
      <c r="DS12" s="19">
        <v>6.3036179867549667</v>
      </c>
      <c r="DT12" s="19">
        <v>6.2373965970588241</v>
      </c>
      <c r="DU12" s="19">
        <v>6.2058852716506063</v>
      </c>
      <c r="DV12" s="19">
        <v>6.0480924670086349</v>
      </c>
      <c r="DW12" s="19">
        <v>5.9132977627358354</v>
      </c>
      <c r="DX12" s="19">
        <v>6.0215634519690155</v>
      </c>
      <c r="DY12" s="19">
        <v>6.1679950623526789</v>
      </c>
      <c r="DZ12" s="19">
        <v>6.140816546192692</v>
      </c>
      <c r="EA12" s="19">
        <v>5.7394298882396635</v>
      </c>
      <c r="EB12" s="19">
        <v>6.3600911547298029</v>
      </c>
      <c r="EC12" s="19">
        <v>6.1560606829328286</v>
      </c>
      <c r="ED12" s="19">
        <v>6.3694945615499261</v>
      </c>
      <c r="EE12" s="19">
        <v>6.4494645281249996</v>
      </c>
      <c r="EF12" s="19">
        <v>6.3223357035928132</v>
      </c>
      <c r="EG12" s="19">
        <v>6.2445974476190464</v>
      </c>
      <c r="EH12" s="19">
        <v>6.2979975841059597</v>
      </c>
      <c r="EI12" s="19">
        <v>6.2239816941176471</v>
      </c>
      <c r="EJ12" s="19">
        <v>6.2699695256858377</v>
      </c>
      <c r="EK12" s="19">
        <v>6.1373790070067997</v>
      </c>
      <c r="EL12" s="19">
        <v>5.9873558543763075</v>
      </c>
      <c r="EM12" s="19">
        <v>6.1894797447085201</v>
      </c>
      <c r="EN12" s="19">
        <v>6.5815006716691755</v>
      </c>
      <c r="EO12" s="19">
        <v>6.1728985428163679</v>
      </c>
      <c r="EP12" s="19">
        <v>6.1884891285363164</v>
      </c>
      <c r="EQ12" s="19">
        <v>6.4122338885187062</v>
      </c>
      <c r="ER12" s="19"/>
      <c r="ES12" s="16">
        <f t="shared" si="1"/>
        <v>5.4590849869674187</v>
      </c>
      <c r="ET12" s="16">
        <f t="shared" si="0"/>
        <v>4.7886133735449734</v>
      </c>
      <c r="EU12" s="16">
        <f t="shared" si="0"/>
        <v>5.7652038285714289</v>
      </c>
      <c r="EV12" s="16">
        <f t="shared" si="0"/>
        <v>3.5280673904761901</v>
      </c>
      <c r="EW12" s="16">
        <f t="shared" si="0"/>
        <v>4.2204083619047612</v>
      </c>
      <c r="EX12" s="16" t="str">
        <f t="shared" si="0"/>
        <v>.</v>
      </c>
      <c r="EY12" s="16">
        <f t="shared" si="0"/>
        <v>145.836540124885</v>
      </c>
      <c r="EZ12" s="16">
        <f t="shared" si="0"/>
        <v>5.9390253301587297</v>
      </c>
      <c r="FA12" s="16">
        <f t="shared" si="0"/>
        <v>6.3007832603174592</v>
      </c>
      <c r="FB12" s="16">
        <f t="shared" si="0"/>
        <v>6.2445974476190464</v>
      </c>
    </row>
    <row r="13" spans="1:158" x14ac:dyDescent="0.25">
      <c r="A13" s="17">
        <v>10</v>
      </c>
      <c r="B13" s="17" t="s">
        <v>24</v>
      </c>
      <c r="C13" s="17" t="s">
        <v>24</v>
      </c>
      <c r="D13" s="17" t="s">
        <v>25</v>
      </c>
      <c r="E13" s="16">
        <v>1</v>
      </c>
      <c r="F13" s="18">
        <v>3.8360709267168911</v>
      </c>
      <c r="G13" s="18">
        <v>3.9103961517555392</v>
      </c>
      <c r="H13" s="18">
        <v>3.9029254570512819</v>
      </c>
      <c r="I13" s="18">
        <v>3.8369560736842114</v>
      </c>
      <c r="J13" s="18">
        <v>3.8122538786937228</v>
      </c>
      <c r="K13" s="18">
        <v>3.9148715076880678</v>
      </c>
      <c r="L13" s="18">
        <v>3.971436956725146</v>
      </c>
      <c r="M13" s="18">
        <v>3.8560790755993231</v>
      </c>
      <c r="N13" s="18">
        <v>3.8560790755993231</v>
      </c>
      <c r="O13" s="18">
        <v>4.0226534690668672</v>
      </c>
      <c r="P13" s="18">
        <v>3.8376482192505255</v>
      </c>
      <c r="Q13" s="18">
        <v>3.744010277081594</v>
      </c>
      <c r="R13" s="18">
        <v>3.9665324544882692</v>
      </c>
      <c r="S13" s="18">
        <v>3.5744079486167788</v>
      </c>
      <c r="T13" s="18">
        <v>3.9602855879211889</v>
      </c>
      <c r="U13" s="18">
        <v>3.3596063753570689</v>
      </c>
      <c r="V13" s="18">
        <v>3.5309696560282986</v>
      </c>
      <c r="W13" s="18">
        <v>3.5258248264705889</v>
      </c>
      <c r="X13" s="18">
        <v>3.1649126179418348</v>
      </c>
      <c r="Y13" s="18">
        <v>3.2011773642570276</v>
      </c>
      <c r="Z13" s="18">
        <v>3.4476523592261064</v>
      </c>
      <c r="AA13" s="18">
        <v>3.4509407630796147</v>
      </c>
      <c r="AB13" s="18">
        <v>3.3293305657580459</v>
      </c>
      <c r="AC13" s="18">
        <v>3.329694447016307</v>
      </c>
      <c r="AD13" s="19">
        <v>3.6300456359969204</v>
      </c>
      <c r="AE13" s="19">
        <v>2.8015689094165648</v>
      </c>
      <c r="AF13" s="19">
        <v>3.2514681275462918</v>
      </c>
      <c r="AG13" s="19">
        <v>3.0873400290795447</v>
      </c>
      <c r="AH13" s="19">
        <v>3.4536144277347001</v>
      </c>
      <c r="AI13" s="19">
        <v>3.6330386934211325</v>
      </c>
      <c r="AJ13" s="19">
        <v>4.8180611064876961</v>
      </c>
      <c r="AK13" s="19">
        <v>4.7126531514056218</v>
      </c>
      <c r="AL13" s="19">
        <v>4.7251478345549733</v>
      </c>
      <c r="AM13" s="19">
        <v>4.8692306574074076</v>
      </c>
      <c r="AN13" s="19">
        <v>4.8082314001104214</v>
      </c>
      <c r="AO13" s="19">
        <v>4.8082314001104214</v>
      </c>
      <c r="AP13" s="19">
        <v>4.8492991447448732</v>
      </c>
      <c r="AQ13" s="19">
        <v>5.0307468158638837</v>
      </c>
      <c r="AR13" s="19">
        <v>4.8004582571299181</v>
      </c>
      <c r="AS13" s="19">
        <v>4.7483057921613296</v>
      </c>
      <c r="AT13" s="19">
        <v>4.6294215500100915</v>
      </c>
      <c r="AU13" s="19">
        <v>4.7890971930339425</v>
      </c>
      <c r="AV13" s="19">
        <v>3.5267916666666665</v>
      </c>
      <c r="AW13" s="19">
        <v>4.2007532789062498</v>
      </c>
      <c r="AX13" s="19">
        <v>4.1730251000000003</v>
      </c>
      <c r="AY13" s="19">
        <v>3.692853926845638</v>
      </c>
      <c r="AZ13" s="19">
        <v>3.687900969879518</v>
      </c>
      <c r="BA13" s="19">
        <v>4.0633795361256544</v>
      </c>
      <c r="BB13" s="19">
        <v>4.1666326944444441</v>
      </c>
      <c r="BC13" s="19">
        <v>3.9343562265183638</v>
      </c>
      <c r="BD13" s="19">
        <v>3.9343562265183638</v>
      </c>
      <c r="BE13" s="19">
        <v>4.3101504643758135</v>
      </c>
      <c r="BF13" s="19">
        <v>4.2778435907254471</v>
      </c>
      <c r="BG13" s="19">
        <v>4.8110060267267993</v>
      </c>
      <c r="BH13" s="19">
        <v>4.6891109896414624</v>
      </c>
      <c r="BI13" s="19">
        <v>5.3199270485678403</v>
      </c>
      <c r="BJ13" s="19">
        <v>6.2654617153730117</v>
      </c>
      <c r="BK13" s="19">
        <v>3.5196075883575881</v>
      </c>
      <c r="BL13" s="19">
        <v>3.1888530140625004</v>
      </c>
      <c r="BM13" s="19">
        <v>3.7973115000000002</v>
      </c>
      <c r="BN13" s="19">
        <v>3.8257000744966447</v>
      </c>
      <c r="BO13" s="19">
        <v>4.1086589048192774</v>
      </c>
      <c r="BP13" s="19">
        <v>4.4004119664921468</v>
      </c>
      <c r="BQ13" s="19">
        <v>4.1486062388888882</v>
      </c>
      <c r="BR13" s="19">
        <v>4.0104382579778592</v>
      </c>
      <c r="BS13" s="19">
        <v>4.0104382579778592</v>
      </c>
      <c r="BT13" s="19">
        <v>3.9405524571736654</v>
      </c>
      <c r="BU13" s="19">
        <v>4.4962855394675563</v>
      </c>
      <c r="BV13" s="19">
        <v>4.243936861010841</v>
      </c>
      <c r="BW13" s="19">
        <v>4.2045616588418735</v>
      </c>
      <c r="BX13" s="19">
        <v>5.0799294891993041</v>
      </c>
      <c r="BY13" s="19">
        <v>4.9967644510587155</v>
      </c>
      <c r="BZ13" s="19">
        <v>21.5019885508557</v>
      </c>
      <c r="CA13" s="19">
        <v>33.291321847151004</v>
      </c>
      <c r="CB13" s="19">
        <v>43.925215277763002</v>
      </c>
      <c r="CC13" s="19">
        <v>46.834586685054703</v>
      </c>
      <c r="CD13" s="19">
        <v>60.922405847337501</v>
      </c>
      <c r="CE13" s="19">
        <v>72.062458982447424</v>
      </c>
      <c r="CF13" s="19">
        <v>78.889193160100575</v>
      </c>
      <c r="CG13" s="19">
        <v>87.286465922898302</v>
      </c>
      <c r="CH13" s="19">
        <v>94.680662628625157</v>
      </c>
      <c r="CI13" s="19">
        <v>108.89276519174814</v>
      </c>
      <c r="CJ13" s="19">
        <v>26.6562007590002</v>
      </c>
      <c r="CK13" s="19">
        <v>39.2329292297363</v>
      </c>
      <c r="CL13" s="19">
        <v>76.731796264648395</v>
      </c>
      <c r="CM13" s="19">
        <v>87.8280029296875</v>
      </c>
      <c r="CN13" s="19">
        <v>99.044568205409306</v>
      </c>
      <c r="CO13" s="19">
        <v>108.74790444854899</v>
      </c>
      <c r="CP13" s="19">
        <v>107.47213236314199</v>
      </c>
      <c r="CQ13" s="19">
        <v>107.613407242001</v>
      </c>
      <c r="CR13" s="19">
        <v>110.905363353238</v>
      </c>
      <c r="CS13" s="19">
        <v>111.28263171802</v>
      </c>
      <c r="CT13" s="19">
        <v>139.93312749805324</v>
      </c>
      <c r="CU13" s="19">
        <v>142.39859839662878</v>
      </c>
      <c r="CV13" s="19">
        <v>154.17753773337861</v>
      </c>
      <c r="CW13" s="19">
        <v>161.43540695320146</v>
      </c>
      <c r="CX13" s="19">
        <v>175.02007674318324</v>
      </c>
      <c r="CY13" s="19">
        <v>3.7399264655033306</v>
      </c>
      <c r="CZ13" s="19">
        <v>4.2363542904089098</v>
      </c>
      <c r="DA13" s="19">
        <v>4.2171263999999997</v>
      </c>
      <c r="DB13" s="19">
        <v>3.8532543852348997</v>
      </c>
      <c r="DC13" s="19">
        <v>3.8405925554216864</v>
      </c>
      <c r="DD13" s="19">
        <v>3.9563069633507855</v>
      </c>
      <c r="DE13" s="19">
        <v>3.9787093611111111</v>
      </c>
      <c r="DF13" s="19">
        <v>3.8092042079182971</v>
      </c>
      <c r="DG13" s="19">
        <v>3.8092042079182971</v>
      </c>
      <c r="DH13" s="19">
        <v>4.2427909056345623</v>
      </c>
      <c r="DI13" s="19">
        <v>4.3492461402715534</v>
      </c>
      <c r="DJ13" s="19">
        <v>4.109557161298846</v>
      </c>
      <c r="DK13" s="19">
        <v>4.1511108425052434</v>
      </c>
      <c r="DL13" s="19">
        <v>3.8476058174937515</v>
      </c>
      <c r="DM13" s="19">
        <v>3.0578944333909805</v>
      </c>
      <c r="DN13" s="19">
        <v>3.7592229199372058</v>
      </c>
      <c r="DO13" s="19">
        <v>3.9153739628507656</v>
      </c>
      <c r="DP13" s="19">
        <v>4.4967806000000001</v>
      </c>
      <c r="DQ13" s="19">
        <v>4.3888846181208061</v>
      </c>
      <c r="DR13" s="19">
        <v>4.353678222891566</v>
      </c>
      <c r="DS13" s="19">
        <v>4.496151009424084</v>
      </c>
      <c r="DT13" s="19">
        <v>4.7258886666666662</v>
      </c>
      <c r="DU13" s="19">
        <v>4.8055796875444177</v>
      </c>
      <c r="DV13" s="19">
        <v>4.8055796875444177</v>
      </c>
      <c r="DW13" s="19">
        <v>4.7999081293741863</v>
      </c>
      <c r="DX13" s="19">
        <v>5.3094524080127741</v>
      </c>
      <c r="DY13" s="19">
        <v>5.4298640614812497</v>
      </c>
      <c r="DZ13" s="19">
        <v>6.028345705911291</v>
      </c>
      <c r="EA13" s="19">
        <v>5.660966798388575</v>
      </c>
      <c r="EB13" s="19">
        <v>6.1973774527083672</v>
      </c>
      <c r="EC13" s="19">
        <v>3.4609373447528959</v>
      </c>
      <c r="ED13" s="19">
        <v>3.6948426952168374</v>
      </c>
      <c r="EE13" s="19">
        <v>3.9405971000000006</v>
      </c>
      <c r="EF13" s="19">
        <v>3.8239887892617452</v>
      </c>
      <c r="EG13" s="19">
        <v>3.7571305493975902</v>
      </c>
      <c r="EH13" s="19">
        <v>4.0233235162303664</v>
      </c>
      <c r="EI13" s="19">
        <v>3.9856938194444447</v>
      </c>
      <c r="EJ13" s="19">
        <v>3.9590279060474893</v>
      </c>
      <c r="EK13" s="19">
        <v>3.9590279060474893</v>
      </c>
      <c r="EL13" s="19">
        <v>4.4378064473470058</v>
      </c>
      <c r="EM13" s="19">
        <v>4.2061172937330245</v>
      </c>
      <c r="EN13" s="19">
        <v>4.7066917784387181</v>
      </c>
      <c r="EO13" s="19">
        <v>4.3634885277248596</v>
      </c>
      <c r="EP13" s="19">
        <v>4.0631606363757786</v>
      </c>
      <c r="EQ13" s="19">
        <v>4.8078945118566923</v>
      </c>
      <c r="ER13" s="19"/>
      <c r="ES13" s="16">
        <f t="shared" si="1"/>
        <v>3.8122538786937228</v>
      </c>
      <c r="ET13" s="16">
        <f t="shared" si="0"/>
        <v>3.2011773642570276</v>
      </c>
      <c r="EU13" s="16">
        <f t="shared" si="0"/>
        <v>4.7126531514056218</v>
      </c>
      <c r="EV13" s="16">
        <f t="shared" si="0"/>
        <v>3.687900969879518</v>
      </c>
      <c r="EW13" s="16">
        <f t="shared" si="0"/>
        <v>4.1086589048192774</v>
      </c>
      <c r="EX13" s="16" t="str">
        <f t="shared" si="0"/>
        <v>.</v>
      </c>
      <c r="EY13" s="16">
        <f t="shared" si="0"/>
        <v>99.044568205409306</v>
      </c>
      <c r="EZ13" s="16">
        <f t="shared" si="0"/>
        <v>3.8405925554216864</v>
      </c>
      <c r="FA13" s="16">
        <f t="shared" si="0"/>
        <v>4.353678222891566</v>
      </c>
      <c r="FB13" s="16">
        <f t="shared" si="0"/>
        <v>3.7571305493975902</v>
      </c>
    </row>
    <row r="14" spans="1:158" x14ac:dyDescent="0.25">
      <c r="A14" s="17">
        <v>11</v>
      </c>
      <c r="B14" s="17" t="s">
        <v>26</v>
      </c>
      <c r="C14" s="17" t="s">
        <v>26</v>
      </c>
      <c r="D14" s="17" t="s">
        <v>16</v>
      </c>
      <c r="E14" s="16">
        <v>0</v>
      </c>
      <c r="F14" s="18">
        <v>4.07</v>
      </c>
      <c r="G14" s="18">
        <v>4.8600000000000003</v>
      </c>
      <c r="H14" s="18">
        <v>4.04</v>
      </c>
      <c r="I14" s="18">
        <v>4.18</v>
      </c>
      <c r="J14" s="18">
        <v>4.1900000000000004</v>
      </c>
      <c r="K14" s="18">
        <v>4.72</v>
      </c>
      <c r="L14" s="18">
        <v>4.01</v>
      </c>
      <c r="M14" s="18">
        <v>4.1399999999999997</v>
      </c>
      <c r="N14" s="18">
        <v>3.81</v>
      </c>
      <c r="O14" s="18">
        <v>3.9</v>
      </c>
      <c r="P14" s="18">
        <v>4.53</v>
      </c>
      <c r="Q14" s="18">
        <v>4.2</v>
      </c>
      <c r="R14" s="18">
        <v>3.24</v>
      </c>
      <c r="S14" s="18">
        <v>3.84</v>
      </c>
      <c r="T14" s="18">
        <v>3.96</v>
      </c>
      <c r="U14" s="18">
        <v>3.61</v>
      </c>
      <c r="V14" s="18">
        <v>4.28</v>
      </c>
      <c r="W14" s="18">
        <v>4.6399999999999997</v>
      </c>
      <c r="X14" s="18">
        <v>3.62</v>
      </c>
      <c r="Y14" s="18">
        <v>4.33</v>
      </c>
      <c r="Z14" s="18">
        <v>4.95</v>
      </c>
      <c r="AA14" s="18">
        <v>3.1</v>
      </c>
      <c r="AB14" s="18">
        <v>4.45</v>
      </c>
      <c r="AC14" s="18">
        <v>3.79</v>
      </c>
      <c r="AD14" s="19">
        <v>3.84</v>
      </c>
      <c r="AE14" s="19">
        <v>3.66</v>
      </c>
      <c r="AF14" s="19">
        <v>3.33</v>
      </c>
      <c r="AG14" s="19">
        <v>2.2000000000000002</v>
      </c>
      <c r="AH14" s="19">
        <v>2.98</v>
      </c>
      <c r="AI14" s="19">
        <v>4.08</v>
      </c>
      <c r="AJ14" s="19">
        <v>5.74</v>
      </c>
      <c r="AK14" s="19">
        <v>4.1399999999999997</v>
      </c>
      <c r="AL14" s="19">
        <v>4.17</v>
      </c>
      <c r="AM14" s="19">
        <v>4.12</v>
      </c>
      <c r="AN14" s="19">
        <v>4.76</v>
      </c>
      <c r="AO14" s="19">
        <v>4.9800000000000004</v>
      </c>
      <c r="AP14" s="19">
        <v>4.59</v>
      </c>
      <c r="AQ14" s="19">
        <v>5.2</v>
      </c>
      <c r="AR14" s="19">
        <v>4.26</v>
      </c>
      <c r="AS14" s="19">
        <v>4.71</v>
      </c>
      <c r="AT14" s="19">
        <v>4.32</v>
      </c>
      <c r="AU14" s="19">
        <v>3.73</v>
      </c>
      <c r="AV14" s="19">
        <v>3.01</v>
      </c>
      <c r="AW14" s="19">
        <v>1.66</v>
      </c>
      <c r="AX14" s="19">
        <v>4.0199999999999996</v>
      </c>
      <c r="AY14" s="19">
        <v>3.06</v>
      </c>
      <c r="AZ14" s="19">
        <v>3.25</v>
      </c>
      <c r="BA14" s="19">
        <v>3.55</v>
      </c>
      <c r="BB14" s="19">
        <v>2.97</v>
      </c>
      <c r="BC14" s="19">
        <v>2.44</v>
      </c>
      <c r="BD14" s="19">
        <v>2.69</v>
      </c>
      <c r="BE14" s="19">
        <v>4.45</v>
      </c>
      <c r="BF14" s="19">
        <v>3.41</v>
      </c>
      <c r="BG14" s="19">
        <v>4.93</v>
      </c>
      <c r="BH14" s="19">
        <v>4.3899999999999997</v>
      </c>
      <c r="BI14" s="19">
        <v>6.03</v>
      </c>
      <c r="BJ14" s="19">
        <v>5.4</v>
      </c>
      <c r="BK14" s="19">
        <v>4.0199999999999996</v>
      </c>
      <c r="BL14" s="19">
        <v>3.69</v>
      </c>
      <c r="BM14" s="19">
        <v>3.62</v>
      </c>
      <c r="BN14" s="19">
        <v>2.98</v>
      </c>
      <c r="BO14" s="19">
        <v>3.53</v>
      </c>
      <c r="BP14" s="19">
        <v>3.58</v>
      </c>
      <c r="BQ14" s="19">
        <v>4.58</v>
      </c>
      <c r="BR14" s="19">
        <v>2.04</v>
      </c>
      <c r="BS14" s="19">
        <v>3.05</v>
      </c>
      <c r="BT14" s="19">
        <v>3.41</v>
      </c>
      <c r="BU14" s="19">
        <v>4.08</v>
      </c>
      <c r="BV14" s="19">
        <v>4.1900000000000004</v>
      </c>
      <c r="BW14" s="19">
        <v>3.77</v>
      </c>
      <c r="BX14" s="19">
        <v>1.55</v>
      </c>
      <c r="BY14" s="19">
        <v>2.4900000000000002</v>
      </c>
      <c r="BZ14" s="19">
        <v>18.38</v>
      </c>
      <c r="CA14" s="19">
        <v>38.520000000000003</v>
      </c>
      <c r="CB14" s="19">
        <v>180.24</v>
      </c>
      <c r="CC14" s="19">
        <v>26.7</v>
      </c>
      <c r="CD14" s="19">
        <v>79.150000000000006</v>
      </c>
      <c r="CE14" s="19">
        <v>1</v>
      </c>
      <c r="CF14" s="19">
        <v>174.13</v>
      </c>
      <c r="CG14" s="19">
        <v>200</v>
      </c>
      <c r="CH14" s="19">
        <v>1</v>
      </c>
      <c r="CI14" s="19">
        <v>150.83000000000001</v>
      </c>
      <c r="CJ14" s="19">
        <v>30.72</v>
      </c>
      <c r="CK14" s="19">
        <v>51.4</v>
      </c>
      <c r="CL14" s="19">
        <v>63.14</v>
      </c>
      <c r="CM14" s="19">
        <v>83.92</v>
      </c>
      <c r="CN14" s="19">
        <v>84.31</v>
      </c>
      <c r="CO14" s="19">
        <v>91.51</v>
      </c>
      <c r="CP14" s="19">
        <v>102.08</v>
      </c>
      <c r="CQ14" s="19">
        <v>124.02</v>
      </c>
      <c r="CR14" s="19">
        <v>86.3</v>
      </c>
      <c r="CS14" s="19">
        <v>112.76</v>
      </c>
      <c r="CT14" s="19">
        <v>112.26</v>
      </c>
      <c r="CU14" s="19">
        <v>122.06</v>
      </c>
      <c r="CV14" s="19">
        <v>79.28</v>
      </c>
      <c r="CW14" s="19">
        <v>106.56</v>
      </c>
      <c r="CX14" s="19">
        <v>155.78</v>
      </c>
      <c r="CY14" s="19">
        <v>5.05</v>
      </c>
      <c r="CZ14" s="19">
        <v>5.32</v>
      </c>
      <c r="DA14" s="19">
        <v>5.51</v>
      </c>
      <c r="DB14" s="19">
        <v>5.72</v>
      </c>
      <c r="DC14" s="19">
        <v>5.2</v>
      </c>
      <c r="DD14" s="19">
        <v>5.25</v>
      </c>
      <c r="DE14" s="19">
        <v>4.42</v>
      </c>
      <c r="DF14" s="19">
        <v>3.6</v>
      </c>
      <c r="DG14" s="19">
        <v>4.3600000000000003</v>
      </c>
      <c r="DH14" s="19">
        <v>3.85</v>
      </c>
      <c r="DI14" s="19">
        <v>3.06</v>
      </c>
      <c r="DJ14" s="19">
        <v>3.46</v>
      </c>
      <c r="DK14" s="19">
        <v>3.12</v>
      </c>
      <c r="DL14" s="19">
        <v>3.88</v>
      </c>
      <c r="DM14" s="19">
        <v>3.48</v>
      </c>
      <c r="DN14" s="19">
        <v>4.28</v>
      </c>
      <c r="DO14" s="19">
        <v>2.08</v>
      </c>
      <c r="DP14" s="19">
        <v>2.78</v>
      </c>
      <c r="DQ14" s="19">
        <v>4.97</v>
      </c>
      <c r="DR14" s="19">
        <v>3.39</v>
      </c>
      <c r="DS14" s="19">
        <v>2.85</v>
      </c>
      <c r="DT14" s="19">
        <v>3.43</v>
      </c>
      <c r="DU14" s="19">
        <v>2.9</v>
      </c>
      <c r="DV14" s="19">
        <v>4.59</v>
      </c>
      <c r="DW14" s="19">
        <v>3.26</v>
      </c>
      <c r="DX14" s="19">
        <v>3.8</v>
      </c>
      <c r="DY14" s="19">
        <v>5.16</v>
      </c>
      <c r="DZ14" s="19">
        <v>5.86</v>
      </c>
      <c r="EA14" s="19">
        <v>4.99</v>
      </c>
      <c r="EB14" s="19">
        <v>3.83</v>
      </c>
      <c r="EC14" s="19">
        <v>2.94</v>
      </c>
      <c r="ED14" s="19">
        <v>5.21</v>
      </c>
      <c r="EE14" s="19">
        <v>5.18</v>
      </c>
      <c r="EF14" s="19">
        <v>3.27</v>
      </c>
      <c r="EG14" s="19">
        <v>3.19</v>
      </c>
      <c r="EH14" s="19">
        <v>2.67</v>
      </c>
      <c r="EI14" s="19">
        <v>3.68</v>
      </c>
      <c r="EJ14" s="19">
        <v>1.37</v>
      </c>
      <c r="EK14" s="19">
        <v>2.9</v>
      </c>
      <c r="EL14" s="19">
        <v>3.66</v>
      </c>
      <c r="EM14" s="19">
        <v>2.91</v>
      </c>
      <c r="EN14" s="19">
        <v>1.63</v>
      </c>
      <c r="EO14" s="19">
        <v>4.8099999999999996</v>
      </c>
      <c r="EP14" s="19">
        <v>4.4400000000000004</v>
      </c>
      <c r="EQ14" s="19">
        <v>1</v>
      </c>
      <c r="ER14" s="19"/>
      <c r="ES14" s="16">
        <f t="shared" si="1"/>
        <v>4.1900000000000004</v>
      </c>
      <c r="ET14" s="16">
        <f t="shared" si="0"/>
        <v>4.33</v>
      </c>
      <c r="EU14" s="16">
        <f t="shared" si="0"/>
        <v>4.1399999999999997</v>
      </c>
      <c r="EV14" s="16">
        <f t="shared" si="0"/>
        <v>3.25</v>
      </c>
      <c r="EW14" s="16">
        <f t="shared" si="0"/>
        <v>3.53</v>
      </c>
      <c r="EX14" s="16" t="str">
        <f t="shared" si="0"/>
        <v>.</v>
      </c>
      <c r="EY14" s="16">
        <f t="shared" si="0"/>
        <v>84.31</v>
      </c>
      <c r="EZ14" s="16">
        <f t="shared" si="0"/>
        <v>5.2</v>
      </c>
      <c r="FA14" s="16">
        <f t="shared" si="0"/>
        <v>3.39</v>
      </c>
      <c r="FB14" s="16">
        <f t="shared" si="0"/>
        <v>3.19</v>
      </c>
    </row>
    <row r="15" spans="1:158" x14ac:dyDescent="0.25">
      <c r="A15" s="17">
        <v>12</v>
      </c>
      <c r="B15" s="17" t="s">
        <v>27</v>
      </c>
      <c r="C15" s="17" t="s">
        <v>27</v>
      </c>
      <c r="D15" s="17" t="s">
        <v>9</v>
      </c>
      <c r="E15" s="16">
        <v>1</v>
      </c>
      <c r="F15" s="18">
        <v>4.2518101655746641</v>
      </c>
      <c r="G15" s="18">
        <v>4.4875754552016085</v>
      </c>
      <c r="H15" s="18">
        <v>4.1517618510653662</v>
      </c>
      <c r="I15" s="18">
        <v>4.1401632767220065</v>
      </c>
      <c r="J15" s="18">
        <v>4.5126146970452448</v>
      </c>
      <c r="K15" s="18">
        <v>4.3396715386569875</v>
      </c>
      <c r="L15" s="18">
        <v>4.249913337586892</v>
      </c>
      <c r="M15" s="18">
        <v>4.3497792951271146</v>
      </c>
      <c r="N15" s="18">
        <v>4.4325962331032303</v>
      </c>
      <c r="O15" s="18">
        <v>4.4208395098789151</v>
      </c>
      <c r="P15" s="18">
        <v>4.1281424290583164</v>
      </c>
      <c r="Q15" s="18">
        <v>4.2862312498401565</v>
      </c>
      <c r="R15" s="18">
        <v>4.5304749660294323</v>
      </c>
      <c r="S15" s="18">
        <v>4.4244849663948029</v>
      </c>
      <c r="T15" s="18">
        <v>3.9554110443460759</v>
      </c>
      <c r="U15" s="18">
        <v>2.8117712684753497</v>
      </c>
      <c r="V15" s="18">
        <v>3.0417959474523446</v>
      </c>
      <c r="W15" s="18">
        <v>3.2237933014084508</v>
      </c>
      <c r="X15" s="18">
        <v>3.2087689185682327</v>
      </c>
      <c r="Y15" s="18">
        <v>3.2005052890448344</v>
      </c>
      <c r="Z15" s="18">
        <v>3.1345828440065446</v>
      </c>
      <c r="AA15" s="18">
        <v>3.1727918209272454</v>
      </c>
      <c r="AB15" s="18">
        <v>3.3178991148478625</v>
      </c>
      <c r="AC15" s="18">
        <v>3.4100391915027601</v>
      </c>
      <c r="AD15" s="19">
        <v>3.6051269993735064</v>
      </c>
      <c r="AE15" s="19">
        <v>3.7226144324187405</v>
      </c>
      <c r="AF15" s="19">
        <v>4.1717714296174213</v>
      </c>
      <c r="AG15" s="19">
        <v>3.5147966816226508</v>
      </c>
      <c r="AH15" s="19">
        <v>4.1829678114080657</v>
      </c>
      <c r="AI15" s="19">
        <v>3.7883788371193776</v>
      </c>
      <c r="AJ15" s="19">
        <v>5.5282210545861297</v>
      </c>
      <c r="AK15" s="19">
        <v>5.7158355953216367</v>
      </c>
      <c r="AL15" s="19">
        <v>5.8081251379310332</v>
      </c>
      <c r="AM15" s="19">
        <v>5.5927333849056602</v>
      </c>
      <c r="AN15" s="19">
        <v>5.4366163755509094</v>
      </c>
      <c r="AO15" s="19">
        <v>5.3264712316021976</v>
      </c>
      <c r="AP15" s="19">
        <v>5.1698717702778696</v>
      </c>
      <c r="AQ15" s="19">
        <v>5.163730121132919</v>
      </c>
      <c r="AR15" s="19">
        <v>5.2990042181461927</v>
      </c>
      <c r="AS15" s="19">
        <v>4.9885653268208445</v>
      </c>
      <c r="AT15" s="19">
        <v>5.2459761915302252</v>
      </c>
      <c r="AU15" s="19">
        <v>4.1032779987976449</v>
      </c>
      <c r="AV15" s="19">
        <v>3.993721280457196</v>
      </c>
      <c r="AW15" s="19">
        <v>4.1182663753451347</v>
      </c>
      <c r="AX15" s="19">
        <v>3.7191610901408447</v>
      </c>
      <c r="AY15" s="19">
        <v>4.0065280872483218</v>
      </c>
      <c r="AZ15" s="19">
        <v>4.8706739912280703</v>
      </c>
      <c r="BA15" s="19">
        <v>4.7849416827586211</v>
      </c>
      <c r="BB15" s="19">
        <v>4.4012506679245273</v>
      </c>
      <c r="BC15" s="19">
        <v>4.2625111733994192</v>
      </c>
      <c r="BD15" s="19">
        <v>4.4643076721984567</v>
      </c>
      <c r="BE15" s="19">
        <v>4.650918242914214</v>
      </c>
      <c r="BF15" s="19">
        <v>6.1887055904089792</v>
      </c>
      <c r="BG15" s="19">
        <v>5.1740738596751745</v>
      </c>
      <c r="BH15" s="19">
        <v>5.0388457378222302</v>
      </c>
      <c r="BI15" s="19">
        <v>5.7602257502011636</v>
      </c>
      <c r="BJ15" s="19">
        <v>6.081421097219037</v>
      </c>
      <c r="BK15" s="19">
        <v>4.4801701612799425</v>
      </c>
      <c r="BL15" s="19">
        <v>4.2234679547344474</v>
      </c>
      <c r="BM15" s="19">
        <v>4.0099826422535214</v>
      </c>
      <c r="BN15" s="19">
        <v>4.015529902013423</v>
      </c>
      <c r="BO15" s="19">
        <v>4.3176969777777776</v>
      </c>
      <c r="BP15" s="19">
        <v>4.3103798965517246</v>
      </c>
      <c r="BQ15" s="19">
        <v>4.1774958707547167</v>
      </c>
      <c r="BR15" s="19">
        <v>4.0465424882865246</v>
      </c>
      <c r="BS15" s="19">
        <v>3.9444657420167828</v>
      </c>
      <c r="BT15" s="19">
        <v>3.8110822519810084</v>
      </c>
      <c r="BU15" s="19">
        <v>4.5122744534935215</v>
      </c>
      <c r="BV15" s="19">
        <v>4.4617195338141178</v>
      </c>
      <c r="BW15" s="19">
        <v>3.5820633047038535</v>
      </c>
      <c r="BX15" s="19">
        <v>3.6851687957488717</v>
      </c>
      <c r="BY15" s="19">
        <v>3.9057141455919249</v>
      </c>
      <c r="BZ15" s="19">
        <v>9.5490485706838104</v>
      </c>
      <c r="CA15" s="19">
        <v>67.128581779129604</v>
      </c>
      <c r="CB15" s="19">
        <v>109.685168045243</v>
      </c>
      <c r="CC15" s="19">
        <v>126.186081357864</v>
      </c>
      <c r="CD15" s="19">
        <v>131.783315167909</v>
      </c>
      <c r="CE15" s="19">
        <v>174.35548198204171</v>
      </c>
      <c r="CF15" s="19">
        <v>200</v>
      </c>
      <c r="CG15" s="19">
        <v>200</v>
      </c>
      <c r="CH15" s="19">
        <v>200</v>
      </c>
      <c r="CI15" s="19">
        <v>200</v>
      </c>
      <c r="CJ15" s="19">
        <v>103.039565548287</v>
      </c>
      <c r="CK15" s="19">
        <v>122.87515258789099</v>
      </c>
      <c r="CL15" s="19">
        <v>182.75068664550801</v>
      </c>
      <c r="CM15" s="19">
        <v>199.37509155273401</v>
      </c>
      <c r="CN15" s="19">
        <v>124.184223769352</v>
      </c>
      <c r="CO15" s="19">
        <v>127.964126373689</v>
      </c>
      <c r="CP15" s="19">
        <v>156.22849829163201</v>
      </c>
      <c r="CQ15" s="19">
        <v>165.90888106707001</v>
      </c>
      <c r="CR15" s="19">
        <v>173.27393347722</v>
      </c>
      <c r="CS15" s="19">
        <v>185.261957188434</v>
      </c>
      <c r="CT15" s="19">
        <v>189.22407142864228</v>
      </c>
      <c r="CU15" s="19">
        <v>182.94923505437598</v>
      </c>
      <c r="CV15" s="19">
        <v>198.5453021865319</v>
      </c>
      <c r="CW15" s="19">
        <v>200</v>
      </c>
      <c r="CX15" s="19">
        <v>200</v>
      </c>
      <c r="CY15" s="19">
        <v>5.4841336088712396</v>
      </c>
      <c r="CZ15" s="19">
        <v>5.4614279114835709</v>
      </c>
      <c r="DA15" s="19">
        <v>5.4955114056338026</v>
      </c>
      <c r="DB15" s="19">
        <v>5.6239172469798664</v>
      </c>
      <c r="DC15" s="19">
        <v>5.7182394479532173</v>
      </c>
      <c r="DD15" s="19">
        <v>5.6662009310344832</v>
      </c>
      <c r="DE15" s="19">
        <v>5.5089886047169809</v>
      </c>
      <c r="DF15" s="19">
        <v>5.2467845172927525</v>
      </c>
      <c r="DG15" s="19">
        <v>5.3455029638686984</v>
      </c>
      <c r="DH15" s="19">
        <v>5.4614276769349903</v>
      </c>
      <c r="DI15" s="19">
        <v>5.4976280018979793</v>
      </c>
      <c r="DJ15" s="19">
        <v>5.9432853455712946</v>
      </c>
      <c r="DK15" s="19">
        <v>5.7325986461906959</v>
      </c>
      <c r="DL15" s="19">
        <v>5.6538381462940315</v>
      </c>
      <c r="DM15" s="19">
        <v>4.9621004324671336</v>
      </c>
      <c r="DN15" s="19">
        <v>4.9421443124591544</v>
      </c>
      <c r="DO15" s="19">
        <v>5.0436810865250568</v>
      </c>
      <c r="DP15" s="19">
        <v>5.4254935492957745</v>
      </c>
      <c r="DQ15" s="19">
        <v>5.5841590711409399</v>
      </c>
      <c r="DR15" s="19">
        <v>5.8607338824561408</v>
      </c>
      <c r="DS15" s="19">
        <v>6.0124892068965519</v>
      </c>
      <c r="DT15" s="19">
        <v>5.7322934462264143</v>
      </c>
      <c r="DU15" s="19">
        <v>5.5657635075575786</v>
      </c>
      <c r="DV15" s="19">
        <v>5.310962117544495</v>
      </c>
      <c r="DW15" s="19">
        <v>5.1750519512368625</v>
      </c>
      <c r="DX15" s="19">
        <v>4.6816344003938664</v>
      </c>
      <c r="DY15" s="19">
        <v>6.1546953367500183</v>
      </c>
      <c r="DZ15" s="19">
        <v>5.9511366351020643</v>
      </c>
      <c r="EA15" s="19">
        <v>6.0035147243284994</v>
      </c>
      <c r="EB15" s="19">
        <v>5.3708888868135745</v>
      </c>
      <c r="EC15" s="19">
        <v>4.9029591587185131</v>
      </c>
      <c r="ED15" s="19">
        <v>5.2294318231443881</v>
      </c>
      <c r="EE15" s="19">
        <v>5.6017113774647882</v>
      </c>
      <c r="EF15" s="19">
        <v>5.4671544201342286</v>
      </c>
      <c r="EG15" s="19">
        <v>5.6861004567251463</v>
      </c>
      <c r="EH15" s="19">
        <v>5.8163354344827578</v>
      </c>
      <c r="EI15" s="19">
        <v>5.4284140801886789</v>
      </c>
      <c r="EJ15" s="19">
        <v>5.3667471065728565</v>
      </c>
      <c r="EK15" s="19">
        <v>5.3990880149425848</v>
      </c>
      <c r="EL15" s="19">
        <v>5.1434072027961131</v>
      </c>
      <c r="EM15" s="19">
        <v>5.8190902904307391</v>
      </c>
      <c r="EN15" s="19">
        <v>6.1361074357426535</v>
      </c>
      <c r="EO15" s="19">
        <v>5.8366604091757353</v>
      </c>
      <c r="EP15" s="19">
        <v>4.1193089095816866</v>
      </c>
      <c r="EQ15" s="19">
        <v>7</v>
      </c>
      <c r="ER15" s="19"/>
      <c r="ES15" s="16">
        <f t="shared" si="1"/>
        <v>4.5126146970452448</v>
      </c>
      <c r="ET15" s="16">
        <f t="shared" si="0"/>
        <v>3.2005052890448344</v>
      </c>
      <c r="EU15" s="16">
        <f t="shared" si="0"/>
        <v>5.7158355953216367</v>
      </c>
      <c r="EV15" s="16">
        <f t="shared" si="0"/>
        <v>4.8706739912280703</v>
      </c>
      <c r="EW15" s="16">
        <f t="shared" si="0"/>
        <v>4.3176969777777776</v>
      </c>
      <c r="EX15" s="16" t="str">
        <f t="shared" si="0"/>
        <v>.</v>
      </c>
      <c r="EY15" s="16">
        <f t="shared" si="0"/>
        <v>124.184223769352</v>
      </c>
      <c r="EZ15" s="16">
        <f t="shared" si="0"/>
        <v>5.7182394479532173</v>
      </c>
      <c r="FA15" s="16">
        <f t="shared" si="0"/>
        <v>5.8607338824561408</v>
      </c>
      <c r="FB15" s="16">
        <f t="shared" si="0"/>
        <v>5.6861004567251463</v>
      </c>
    </row>
    <row r="16" spans="1:158" x14ac:dyDescent="0.25">
      <c r="A16" s="17">
        <v>13</v>
      </c>
      <c r="B16" s="17" t="s">
        <v>28</v>
      </c>
      <c r="C16" s="17" t="s">
        <v>28</v>
      </c>
      <c r="D16" s="17" t="s">
        <v>25</v>
      </c>
      <c r="E16" s="16">
        <v>1</v>
      </c>
      <c r="F16" s="18">
        <v>3.4139428119542794</v>
      </c>
      <c r="G16" s="18">
        <v>3.4559205048000403</v>
      </c>
      <c r="H16" s="18">
        <v>3.4739417772259791</v>
      </c>
      <c r="I16" s="18">
        <v>3.4163908657894742</v>
      </c>
      <c r="J16" s="18">
        <v>3.5142489756495663</v>
      </c>
      <c r="K16" s="18">
        <v>3.5006069837011884</v>
      </c>
      <c r="L16" s="18">
        <v>3.507687492993631</v>
      </c>
      <c r="M16" s="18">
        <v>3.4532600912355194</v>
      </c>
      <c r="N16" s="18">
        <v>3.4261293771004504</v>
      </c>
      <c r="O16" s="18">
        <v>3.5226808457440426</v>
      </c>
      <c r="P16" s="18">
        <v>4.00713688941374</v>
      </c>
      <c r="Q16" s="18">
        <v>3.711566332202779</v>
      </c>
      <c r="R16" s="18">
        <v>3.5553467532690197</v>
      </c>
      <c r="S16" s="18">
        <v>3.4473179668599037</v>
      </c>
      <c r="T16" s="18">
        <v>3.2533306654611618</v>
      </c>
      <c r="U16" s="18">
        <v>2.5584094448759491</v>
      </c>
      <c r="V16" s="18">
        <v>2.5086322005251254</v>
      </c>
      <c r="W16" s="18">
        <v>2.5163349732234432</v>
      </c>
      <c r="X16" s="18">
        <v>2.6118394666666673</v>
      </c>
      <c r="Y16" s="18">
        <v>2.5705866591983124</v>
      </c>
      <c r="Z16" s="18">
        <v>2.4674557050997725</v>
      </c>
      <c r="AA16" s="18">
        <v>2.5443633877352045</v>
      </c>
      <c r="AB16" s="18">
        <v>2.5839365989976399</v>
      </c>
      <c r="AC16" s="18">
        <v>2.654630995158247</v>
      </c>
      <c r="AD16" s="19">
        <v>2.7955499775320649</v>
      </c>
      <c r="AE16" s="19">
        <v>2.7686218654996302</v>
      </c>
      <c r="AF16" s="19">
        <v>2.4100784250971525</v>
      </c>
      <c r="AG16" s="19">
        <v>2.9889806569020578</v>
      </c>
      <c r="AH16" s="19">
        <v>2.7938381289334902</v>
      </c>
      <c r="AI16" s="19">
        <v>2.3227028505606575</v>
      </c>
      <c r="AJ16" s="19">
        <v>4.1798407166666669</v>
      </c>
      <c r="AK16" s="19">
        <v>4.3661517616033754</v>
      </c>
      <c r="AL16" s="19">
        <v>4.2109501720430105</v>
      </c>
      <c r="AM16" s="19">
        <v>4.1749424029723992</v>
      </c>
      <c r="AN16" s="19">
        <v>4.1350968987303238</v>
      </c>
      <c r="AO16" s="19">
        <v>3.9711397712254679</v>
      </c>
      <c r="AP16" s="19">
        <v>3.9608128490271395</v>
      </c>
      <c r="AQ16" s="19">
        <v>3.8784632093788751</v>
      </c>
      <c r="AR16" s="19">
        <v>3.7759644835443886</v>
      </c>
      <c r="AS16" s="19">
        <v>3.680739115445244</v>
      </c>
      <c r="AT16" s="19">
        <v>3.6640687408528865</v>
      </c>
      <c r="AU16" s="19">
        <v>3.9953253505535207</v>
      </c>
      <c r="AV16" s="19">
        <v>2.6741725708502022</v>
      </c>
      <c r="AW16" s="19">
        <v>2.5463487958286679</v>
      </c>
      <c r="AX16" s="19">
        <v>2.4665297362637362</v>
      </c>
      <c r="AY16" s="19">
        <v>2.8890251500000002</v>
      </c>
      <c r="AZ16" s="19">
        <v>3.0404111082278478</v>
      </c>
      <c r="BA16" s="19">
        <v>3.1951482000000002</v>
      </c>
      <c r="BB16" s="19">
        <v>3.2021068101910828</v>
      </c>
      <c r="BC16" s="19">
        <v>2.9562669461325926</v>
      </c>
      <c r="BD16" s="19">
        <v>3.0181106820251005</v>
      </c>
      <c r="BE16" s="19">
        <v>3.1605808403756885</v>
      </c>
      <c r="BF16" s="19">
        <v>3.9773984020582827</v>
      </c>
      <c r="BG16" s="19">
        <v>4.5119988286281281</v>
      </c>
      <c r="BH16" s="19">
        <v>4.1881038901774037</v>
      </c>
      <c r="BI16" s="19">
        <v>2.8535885937273786</v>
      </c>
      <c r="BJ16" s="19">
        <v>4.4700310198083697</v>
      </c>
      <c r="BK16" s="19">
        <v>3.1755073848378434</v>
      </c>
      <c r="BL16" s="19">
        <v>3.1674553348800361</v>
      </c>
      <c r="BM16" s="19">
        <v>3.1539112379120877</v>
      </c>
      <c r="BN16" s="19">
        <v>2.9748390000000002</v>
      </c>
      <c r="BO16" s="19">
        <v>3.0899689765822784</v>
      </c>
      <c r="BP16" s="19">
        <v>3.1396982451612905</v>
      </c>
      <c r="BQ16" s="19">
        <v>3.3103510815286628</v>
      </c>
      <c r="BR16" s="19">
        <v>3.4782352707417079</v>
      </c>
      <c r="BS16" s="19">
        <v>3.3731412613030636</v>
      </c>
      <c r="BT16" s="19">
        <v>3.3026785585615372</v>
      </c>
      <c r="BU16" s="19">
        <v>3.6902818453935131</v>
      </c>
      <c r="BV16" s="19">
        <v>3.5023188463727655</v>
      </c>
      <c r="BW16" s="19">
        <v>3.2678179605701478</v>
      </c>
      <c r="BX16" s="19">
        <v>2.7892918641331863</v>
      </c>
      <c r="BY16" s="19">
        <v>3.5085858294862584</v>
      </c>
      <c r="BZ16" s="19">
        <v>3.9505127819203554</v>
      </c>
      <c r="CA16" s="19">
        <v>1</v>
      </c>
      <c r="CB16" s="19">
        <v>1</v>
      </c>
      <c r="CC16" s="19">
        <v>6.4101193993637198</v>
      </c>
      <c r="CD16" s="19">
        <v>13.452272290455101</v>
      </c>
      <c r="CE16" s="19">
        <v>11.459954908689399</v>
      </c>
      <c r="CF16" s="19">
        <v>13.66612216776517</v>
      </c>
      <c r="CG16" s="19">
        <v>16.462776639852027</v>
      </c>
      <c r="CH16" s="19">
        <v>18.358358880355969</v>
      </c>
      <c r="CI16" s="19">
        <v>20.721487129825508</v>
      </c>
      <c r="CJ16" s="19">
        <v>6.3459706428629001</v>
      </c>
      <c r="CK16" s="19">
        <v>13.245200157165501</v>
      </c>
      <c r="CL16" s="19">
        <v>27.672115325927699</v>
      </c>
      <c r="CM16" s="19">
        <v>31.068773269653299</v>
      </c>
      <c r="CN16" s="19">
        <v>46.169221961046503</v>
      </c>
      <c r="CO16" s="19">
        <v>56.480785389640801</v>
      </c>
      <c r="CP16" s="19">
        <v>63.762733240016701</v>
      </c>
      <c r="CQ16" s="19">
        <v>67.084533664627102</v>
      </c>
      <c r="CR16" s="19">
        <v>75.924891634776998</v>
      </c>
      <c r="CS16" s="19">
        <v>83.360992968766197</v>
      </c>
      <c r="CT16" s="19">
        <v>92.115654931262924</v>
      </c>
      <c r="CU16" s="19">
        <v>105.25321573835447</v>
      </c>
      <c r="CV16" s="19">
        <v>111.11244694011503</v>
      </c>
      <c r="CW16" s="19">
        <v>121.99990275517901</v>
      </c>
      <c r="CX16" s="19">
        <v>130.92876074142882</v>
      </c>
      <c r="CY16" s="19">
        <v>3.6899937343358395</v>
      </c>
      <c r="CZ16" s="19">
        <v>3.5678629758118703</v>
      </c>
      <c r="DA16" s="19">
        <v>3.4778941071428568</v>
      </c>
      <c r="DB16" s="19">
        <v>3.4425051500000001</v>
      </c>
      <c r="DC16" s="19">
        <v>3.6652123601265822</v>
      </c>
      <c r="DD16" s="19">
        <v>3.6294795903225805</v>
      </c>
      <c r="DE16" s="19">
        <v>3.3551610917197454</v>
      </c>
      <c r="DF16" s="19">
        <v>3.2527009612631144</v>
      </c>
      <c r="DG16" s="19">
        <v>3.4588026162349816</v>
      </c>
      <c r="DH16" s="19">
        <v>3.840741682052613</v>
      </c>
      <c r="DI16" s="19">
        <v>3.1879404620630214</v>
      </c>
      <c r="DJ16" s="19">
        <v>3.9120763923980526</v>
      </c>
      <c r="DK16" s="19">
        <v>3.554032204297267</v>
      </c>
      <c r="DL16" s="19">
        <v>3.2794634109602674</v>
      </c>
      <c r="DM16" s="19">
        <v>3.874079208590639</v>
      </c>
      <c r="DN16" s="19">
        <v>2.2484523809523811</v>
      </c>
      <c r="DO16" s="19">
        <v>2.2184524877659575</v>
      </c>
      <c r="DP16" s="19">
        <v>2.5215141016483518</v>
      </c>
      <c r="DQ16" s="19">
        <v>2.7371209000000003</v>
      </c>
      <c r="DR16" s="19">
        <v>2.8184301183544305</v>
      </c>
      <c r="DS16" s="19">
        <v>2.8436833774193548</v>
      </c>
      <c r="DT16" s="19">
        <v>2.8242952535031849</v>
      </c>
      <c r="DU16" s="19">
        <v>2.8169252519115524</v>
      </c>
      <c r="DV16" s="19">
        <v>2.8476845979690553</v>
      </c>
      <c r="DW16" s="19">
        <v>2.8228644927342739</v>
      </c>
      <c r="DX16" s="19">
        <v>3.4425734286012619</v>
      </c>
      <c r="DY16" s="19">
        <v>2.9784538601046746</v>
      </c>
      <c r="DZ16" s="19">
        <v>2.9582206803371935</v>
      </c>
      <c r="EA16" s="19">
        <v>2.9509062658038268</v>
      </c>
      <c r="EB16" s="19">
        <v>3.0785455449750012</v>
      </c>
      <c r="EC16" s="19">
        <v>3.0610213032581455</v>
      </c>
      <c r="ED16" s="19">
        <v>2.8405845346864504</v>
      </c>
      <c r="EE16" s="19">
        <v>2.9100330076923075</v>
      </c>
      <c r="EF16" s="19">
        <v>2.9990855500000002</v>
      </c>
      <c r="EG16" s="19">
        <v>2.9223925911392401</v>
      </c>
      <c r="EH16" s="19">
        <v>2.7969527096774192</v>
      </c>
      <c r="EI16" s="19">
        <v>2.7988804777070064</v>
      </c>
      <c r="EJ16" s="19">
        <v>2.8831059924870708</v>
      </c>
      <c r="EK16" s="19">
        <v>2.9048745321505001</v>
      </c>
      <c r="EL16" s="19">
        <v>2.9236561920907764</v>
      </c>
      <c r="EM16" s="19">
        <v>2.7954085407308065</v>
      </c>
      <c r="EN16" s="19">
        <v>3.1259707185428307</v>
      </c>
      <c r="EO16" s="19">
        <v>2.8223790698556845</v>
      </c>
      <c r="EP16" s="19">
        <v>2.7493155514397891</v>
      </c>
      <c r="EQ16" s="19">
        <v>2.7565350039194403</v>
      </c>
      <c r="ER16" s="19"/>
      <c r="ES16" s="16">
        <f t="shared" si="1"/>
        <v>3.5142489756495663</v>
      </c>
      <c r="ET16" s="16">
        <f t="shared" si="0"/>
        <v>2.5705866591983124</v>
      </c>
      <c r="EU16" s="16">
        <f t="shared" si="0"/>
        <v>4.3661517616033754</v>
      </c>
      <c r="EV16" s="16">
        <f t="shared" si="0"/>
        <v>3.0404111082278478</v>
      </c>
      <c r="EW16" s="16">
        <f t="shared" si="0"/>
        <v>3.0899689765822784</v>
      </c>
      <c r="EX16" s="16" t="str">
        <f t="shared" si="0"/>
        <v>.</v>
      </c>
      <c r="EY16" s="16">
        <f t="shared" si="0"/>
        <v>46.169221961046503</v>
      </c>
      <c r="EZ16" s="16">
        <f t="shared" si="0"/>
        <v>3.6652123601265822</v>
      </c>
      <c r="FA16" s="16">
        <f t="shared" si="0"/>
        <v>2.8184301183544305</v>
      </c>
      <c r="FB16" s="16">
        <f t="shared" si="0"/>
        <v>2.9223925911392401</v>
      </c>
    </row>
    <row r="17" spans="1:158" x14ac:dyDescent="0.25">
      <c r="A17" s="17">
        <v>14</v>
      </c>
      <c r="B17" s="17" t="s">
        <v>29</v>
      </c>
      <c r="C17" s="17" t="s">
        <v>29</v>
      </c>
      <c r="D17" s="17" t="s">
        <v>16</v>
      </c>
      <c r="E17" s="16">
        <v>1</v>
      </c>
      <c r="F17" s="18">
        <v>4.0996915364605435</v>
      </c>
      <c r="G17" s="18">
        <v>4.268003767742365</v>
      </c>
      <c r="H17" s="18">
        <v>4.2008183290225425</v>
      </c>
      <c r="I17" s="18">
        <v>4.0678560726622379</v>
      </c>
      <c r="J17" s="18">
        <v>4.2876564997922442</v>
      </c>
      <c r="K17" s="18">
        <v>4.3900049902462586</v>
      </c>
      <c r="L17" s="18">
        <v>4.3032324788189973</v>
      </c>
      <c r="M17" s="18">
        <v>4.2823532576373662</v>
      </c>
      <c r="N17" s="18">
        <v>4.060801471318106</v>
      </c>
      <c r="O17" s="18">
        <v>4.1795882083669751</v>
      </c>
      <c r="P17" s="18">
        <v>3.7720340806945147</v>
      </c>
      <c r="Q17" s="18">
        <v>3.9954272946847906</v>
      </c>
      <c r="R17" s="18">
        <v>3.5643350425756086</v>
      </c>
      <c r="S17" s="18">
        <v>4.015259775501546</v>
      </c>
      <c r="T17" s="18">
        <v>3.5364931890182789</v>
      </c>
      <c r="U17" s="18">
        <v>3.3204009496761047</v>
      </c>
      <c r="V17" s="18">
        <v>3.4087251351491159</v>
      </c>
      <c r="W17" s="18">
        <v>3.4285053055033559</v>
      </c>
      <c r="X17" s="18">
        <v>3.3189486295145629</v>
      </c>
      <c r="Y17" s="18">
        <v>3.4245261069883042</v>
      </c>
      <c r="Z17" s="18">
        <v>3.5599786343117747</v>
      </c>
      <c r="AA17" s="18">
        <v>3.5123924100828945</v>
      </c>
      <c r="AB17" s="18">
        <v>3.5614525791196514</v>
      </c>
      <c r="AC17" s="18">
        <v>3.7247265204036339</v>
      </c>
      <c r="AD17" s="19">
        <v>3.4274423017162507</v>
      </c>
      <c r="AE17" s="19">
        <v>3.3151148101331955</v>
      </c>
      <c r="AF17" s="19">
        <v>3.29429817057374</v>
      </c>
      <c r="AG17" s="19">
        <v>3.3554597866998126</v>
      </c>
      <c r="AH17" s="19">
        <v>3.936577334489705</v>
      </c>
      <c r="AI17" s="19">
        <v>4.0434236473081642</v>
      </c>
      <c r="AJ17" s="19">
        <v>5.4944176938511333</v>
      </c>
      <c r="AK17" s="19">
        <v>5.4969735342105261</v>
      </c>
      <c r="AL17" s="19">
        <v>5.4826894269113167</v>
      </c>
      <c r="AM17" s="19">
        <v>5.3571957317073169</v>
      </c>
      <c r="AN17" s="19">
        <v>5.3112271062689276</v>
      </c>
      <c r="AO17" s="19">
        <v>5.3706916310914439</v>
      </c>
      <c r="AP17" s="19">
        <v>5.0734274325727604</v>
      </c>
      <c r="AQ17" s="19">
        <v>4.9852798554088311</v>
      </c>
      <c r="AR17" s="19">
        <v>5.025063310053544</v>
      </c>
      <c r="AS17" s="19">
        <v>4.8080864894525606</v>
      </c>
      <c r="AT17" s="19">
        <v>4.9311597941170326</v>
      </c>
      <c r="AU17" s="19">
        <v>4.7536914410144862</v>
      </c>
      <c r="AV17" s="19">
        <v>3.6376732686288431</v>
      </c>
      <c r="AW17" s="19">
        <v>3.7642909476730164</v>
      </c>
      <c r="AX17" s="19">
        <v>4.0231694718120803</v>
      </c>
      <c r="AY17" s="19">
        <v>4.2843895631067959</v>
      </c>
      <c r="AZ17" s="19">
        <v>4.6797273486842101</v>
      </c>
      <c r="BA17" s="19">
        <v>4.3859509192660555</v>
      </c>
      <c r="BB17" s="19">
        <v>4.1766927170731716</v>
      </c>
      <c r="BC17" s="19">
        <v>4.065891440730379</v>
      </c>
      <c r="BD17" s="19">
        <v>3.5045499768880211</v>
      </c>
      <c r="BE17" s="19">
        <v>3.5066915560741814</v>
      </c>
      <c r="BF17" s="19">
        <v>5.1323442854122199</v>
      </c>
      <c r="BG17" s="19">
        <v>4.5826529026390252</v>
      </c>
      <c r="BH17" s="19">
        <v>4.8642691699797753</v>
      </c>
      <c r="BI17" s="19">
        <v>4.9239273394342566</v>
      </c>
      <c r="BJ17" s="19">
        <v>5.2475720029653203</v>
      </c>
      <c r="BK17" s="19">
        <v>4.3196868041720382</v>
      </c>
      <c r="BL17" s="19">
        <v>4.0880747576423575</v>
      </c>
      <c r="BM17" s="19">
        <v>3.9899138604026843</v>
      </c>
      <c r="BN17" s="19">
        <v>3.8931228077669902</v>
      </c>
      <c r="BO17" s="19">
        <v>3.9377971789473687</v>
      </c>
      <c r="BP17" s="19">
        <v>3.8857359284403676</v>
      </c>
      <c r="BQ17" s="19">
        <v>3.6885046926829266</v>
      </c>
      <c r="BR17" s="19">
        <v>3.4051975266646415</v>
      </c>
      <c r="BS17" s="19">
        <v>3.4394277333167844</v>
      </c>
      <c r="BT17" s="19">
        <v>3.5698136611860622</v>
      </c>
      <c r="BU17" s="19">
        <v>3.0238226102197112</v>
      </c>
      <c r="BV17" s="19">
        <v>2.853768410570007</v>
      </c>
      <c r="BW17" s="19">
        <v>2.8588322199472316</v>
      </c>
      <c r="BX17" s="19">
        <v>2.799271043087606</v>
      </c>
      <c r="BY17" s="19">
        <v>2.9260043901738615</v>
      </c>
      <c r="BZ17" s="19">
        <v>4.7926166091109126</v>
      </c>
      <c r="CA17" s="19">
        <v>36.425891523695</v>
      </c>
      <c r="CB17" s="19">
        <v>41.455291522041598</v>
      </c>
      <c r="CC17" s="19">
        <v>59.876581543462024</v>
      </c>
      <c r="CD17" s="19">
        <v>54.860130373379903</v>
      </c>
      <c r="CE17" s="19">
        <v>79.448266202717747</v>
      </c>
      <c r="CF17" s="19">
        <v>93.649044552658083</v>
      </c>
      <c r="CG17" s="19">
        <v>95.066448237803428</v>
      </c>
      <c r="CH17" s="19">
        <v>109.62550218403634</v>
      </c>
      <c r="CI17" s="19">
        <v>127.37875629245852</v>
      </c>
      <c r="CJ17" s="19">
        <v>76.650557620817807</v>
      </c>
      <c r="CK17" s="19">
        <v>87.756843566894503</v>
      </c>
      <c r="CL17" s="19">
        <v>87.756843566894503</v>
      </c>
      <c r="CM17" s="19">
        <v>131.73031616210901</v>
      </c>
      <c r="CN17" s="19">
        <v>128.07219086016599</v>
      </c>
      <c r="CO17" s="19">
        <v>127.01177329561</v>
      </c>
      <c r="CP17" s="19">
        <v>126.397843587222</v>
      </c>
      <c r="CQ17" s="19">
        <v>108.10275291241</v>
      </c>
      <c r="CR17" s="19">
        <v>106.79</v>
      </c>
      <c r="CS17" s="19">
        <v>116.456682505339</v>
      </c>
      <c r="CT17" s="19">
        <v>134.82427860914041</v>
      </c>
      <c r="CU17" s="19">
        <v>134.58440269896786</v>
      </c>
      <c r="CV17" s="19">
        <v>133.11427073063138</v>
      </c>
      <c r="CW17" s="19">
        <v>135.82017044700873</v>
      </c>
      <c r="CX17" s="19">
        <v>149.84504210915927</v>
      </c>
      <c r="CY17" s="19">
        <v>5.5137520128824473</v>
      </c>
      <c r="CZ17" s="19">
        <v>5.8111631454545449</v>
      </c>
      <c r="DA17" s="19">
        <v>5.699774345637584</v>
      </c>
      <c r="DB17" s="19">
        <v>5.6153312271844662</v>
      </c>
      <c r="DC17" s="19">
        <v>5.8264161565789472</v>
      </c>
      <c r="DD17" s="19">
        <v>5.3792394082568808</v>
      </c>
      <c r="DE17" s="19">
        <v>5.0373325853658537</v>
      </c>
      <c r="DF17" s="19">
        <v>5.0166680830903951</v>
      </c>
      <c r="DG17" s="19">
        <v>4.8060186726140568</v>
      </c>
      <c r="DH17" s="19">
        <v>4.8990988342129453</v>
      </c>
      <c r="DI17" s="19">
        <v>4.9189814780944054</v>
      </c>
      <c r="DJ17" s="19">
        <v>4.5083058955426747</v>
      </c>
      <c r="DK17" s="19">
        <v>4.5490772316196644</v>
      </c>
      <c r="DL17" s="19">
        <v>4.6946874045231208</v>
      </c>
      <c r="DM17" s="19">
        <v>4.4240712273322158</v>
      </c>
      <c r="DN17" s="19">
        <v>5.2354191325389934</v>
      </c>
      <c r="DO17" s="19">
        <v>5.5114175082228112</v>
      </c>
      <c r="DP17" s="19">
        <v>5.821989010738255</v>
      </c>
      <c r="DQ17" s="19">
        <v>5.8826098271844662</v>
      </c>
      <c r="DR17" s="19">
        <v>5.8467457644736847</v>
      </c>
      <c r="DS17" s="19">
        <v>5.7824607596330289</v>
      </c>
      <c r="DT17" s="19">
        <v>5.6015303463414634</v>
      </c>
      <c r="DU17" s="19">
        <v>5.5565796121212117</v>
      </c>
      <c r="DV17" s="19">
        <v>5.1830730647179202</v>
      </c>
      <c r="DW17" s="19">
        <v>5.0893264459103946</v>
      </c>
      <c r="DX17" s="19">
        <v>4.8132372801450964</v>
      </c>
      <c r="DY17" s="19">
        <v>5.0109974423347214</v>
      </c>
      <c r="DZ17" s="19">
        <v>4.9413222995361394</v>
      </c>
      <c r="EA17" s="19">
        <v>5.2710305463559743</v>
      </c>
      <c r="EB17" s="19">
        <v>4.5020063735283129</v>
      </c>
      <c r="EC17" s="19">
        <v>4.6707633025592461</v>
      </c>
      <c r="ED17" s="19">
        <v>5.0349168864721481</v>
      </c>
      <c r="EE17" s="19">
        <v>5.1193590973154368</v>
      </c>
      <c r="EF17" s="19">
        <v>5.2597152194174761</v>
      </c>
      <c r="EG17" s="19">
        <v>5.3867685565789465</v>
      </c>
      <c r="EH17" s="19">
        <v>5.1540139568807346</v>
      </c>
      <c r="EI17" s="19">
        <v>5.0828664000000003</v>
      </c>
      <c r="EJ17" s="19">
        <v>5.0645894064180315</v>
      </c>
      <c r="EK17" s="19">
        <v>5.1588632469500322</v>
      </c>
      <c r="EL17" s="19">
        <v>4.4541667373812928</v>
      </c>
      <c r="EM17" s="19">
        <v>5.6558887957128405</v>
      </c>
      <c r="EN17" s="19">
        <v>4.4215158866967874</v>
      </c>
      <c r="EO17" s="19">
        <v>4.7243122278790768</v>
      </c>
      <c r="EP17" s="19">
        <v>4.204853197443855</v>
      </c>
      <c r="EQ17" s="19">
        <v>4.9826485096092838</v>
      </c>
      <c r="ER17" s="19"/>
      <c r="ES17" s="16">
        <f t="shared" si="1"/>
        <v>4.2876564997922442</v>
      </c>
      <c r="ET17" s="16">
        <f t="shared" si="0"/>
        <v>3.4245261069883042</v>
      </c>
      <c r="EU17" s="16">
        <f t="shared" si="0"/>
        <v>5.4969735342105261</v>
      </c>
      <c r="EV17" s="16">
        <f t="shared" si="0"/>
        <v>4.6797273486842101</v>
      </c>
      <c r="EW17" s="16">
        <f t="shared" si="0"/>
        <v>3.9377971789473687</v>
      </c>
      <c r="EX17" s="16" t="str">
        <f t="shared" si="0"/>
        <v>.</v>
      </c>
      <c r="EY17" s="16">
        <f t="shared" si="0"/>
        <v>128.07219086016599</v>
      </c>
      <c r="EZ17" s="16">
        <f t="shared" si="0"/>
        <v>5.8264161565789472</v>
      </c>
      <c r="FA17" s="16">
        <f t="shared" si="0"/>
        <v>5.8467457644736847</v>
      </c>
      <c r="FB17" s="16">
        <f t="shared" si="0"/>
        <v>5.3867685565789465</v>
      </c>
    </row>
    <row r="18" spans="1:158" x14ac:dyDescent="0.25">
      <c r="A18" s="17">
        <v>15</v>
      </c>
      <c r="B18" s="17" t="s">
        <v>30</v>
      </c>
      <c r="C18" s="17" t="s">
        <v>30</v>
      </c>
      <c r="D18" s="17" t="s">
        <v>7</v>
      </c>
      <c r="E18" s="16">
        <v>0</v>
      </c>
      <c r="F18" s="18">
        <v>3.2</v>
      </c>
      <c r="G18" s="18">
        <v>4.95</v>
      </c>
      <c r="H18" s="18">
        <v>3.94</v>
      </c>
      <c r="I18" s="18">
        <v>4.1500000000000004</v>
      </c>
      <c r="J18" s="18">
        <v>3.38</v>
      </c>
      <c r="K18" s="18">
        <v>4.8899999999999997</v>
      </c>
      <c r="L18" s="18">
        <v>4.57</v>
      </c>
      <c r="M18" s="18">
        <v>4.1500000000000004</v>
      </c>
      <c r="N18" s="18">
        <v>3.88</v>
      </c>
      <c r="O18" s="18">
        <v>3.74</v>
      </c>
      <c r="P18" s="18">
        <v>3.64</v>
      </c>
      <c r="Q18" s="18">
        <v>3.13</v>
      </c>
      <c r="R18" s="18">
        <v>4.26</v>
      </c>
      <c r="S18" s="18">
        <v>3.89</v>
      </c>
      <c r="T18" s="18">
        <v>4.03</v>
      </c>
      <c r="U18" s="18">
        <v>2.4700000000000002</v>
      </c>
      <c r="V18" s="18">
        <v>3.08</v>
      </c>
      <c r="W18" s="18">
        <v>3.59</v>
      </c>
      <c r="X18" s="18">
        <v>3.49</v>
      </c>
      <c r="Y18" s="18">
        <v>2.71</v>
      </c>
      <c r="Z18" s="18">
        <v>2.98</v>
      </c>
      <c r="AA18" s="18">
        <v>2.71</v>
      </c>
      <c r="AB18" s="18">
        <v>3.2</v>
      </c>
      <c r="AC18" s="18">
        <v>3.64</v>
      </c>
      <c r="AD18" s="19">
        <v>3.29</v>
      </c>
      <c r="AE18" s="19">
        <v>2.74</v>
      </c>
      <c r="AF18" s="19">
        <v>3.69</v>
      </c>
      <c r="AG18" s="19">
        <v>4.93</v>
      </c>
      <c r="AH18" s="19">
        <v>3.99</v>
      </c>
      <c r="AI18" s="19">
        <v>4.8899999999999997</v>
      </c>
      <c r="AJ18" s="19">
        <v>5.26</v>
      </c>
      <c r="AK18" s="19">
        <v>5.64</v>
      </c>
      <c r="AL18" s="19">
        <v>4.84</v>
      </c>
      <c r="AM18" s="19">
        <v>4.71</v>
      </c>
      <c r="AN18" s="19">
        <v>4.3</v>
      </c>
      <c r="AO18" s="19">
        <v>4.96</v>
      </c>
      <c r="AP18" s="19">
        <v>4.6100000000000003</v>
      </c>
      <c r="AQ18" s="19">
        <v>3.83</v>
      </c>
      <c r="AR18" s="19">
        <v>4.3600000000000003</v>
      </c>
      <c r="AS18" s="19">
        <v>4.33</v>
      </c>
      <c r="AT18" s="19">
        <v>3.23</v>
      </c>
      <c r="AU18" s="19">
        <v>4.49</v>
      </c>
      <c r="AV18" s="19">
        <v>4.01</v>
      </c>
      <c r="AW18" s="19">
        <v>3.55</v>
      </c>
      <c r="AX18" s="19">
        <v>4.26</v>
      </c>
      <c r="AY18" s="19">
        <v>3.12</v>
      </c>
      <c r="AZ18" s="19">
        <v>3.18</v>
      </c>
      <c r="BA18" s="19">
        <v>3.07</v>
      </c>
      <c r="BB18" s="19">
        <v>2.41</v>
      </c>
      <c r="BC18" s="19">
        <v>3.61</v>
      </c>
      <c r="BD18" s="19">
        <v>4.5999999999999996</v>
      </c>
      <c r="BE18" s="19">
        <v>3.9</v>
      </c>
      <c r="BF18" s="19">
        <v>5.12</v>
      </c>
      <c r="BG18" s="19">
        <v>6.42</v>
      </c>
      <c r="BH18" s="19">
        <v>5.99</v>
      </c>
      <c r="BI18" s="19">
        <v>3.54</v>
      </c>
      <c r="BJ18" s="19">
        <v>3.71</v>
      </c>
      <c r="BK18" s="19">
        <v>5.2</v>
      </c>
      <c r="BL18" s="19">
        <v>3.62</v>
      </c>
      <c r="BM18" s="19">
        <v>3.64</v>
      </c>
      <c r="BN18" s="19">
        <v>3.92</v>
      </c>
      <c r="BO18" s="19">
        <v>2.71</v>
      </c>
      <c r="BP18" s="19">
        <v>3.73</v>
      </c>
      <c r="BQ18" s="19">
        <v>4.0999999999999996</v>
      </c>
      <c r="BR18" s="19">
        <v>4.0199999999999996</v>
      </c>
      <c r="BS18" s="19">
        <v>4</v>
      </c>
      <c r="BT18" s="19">
        <v>3.47</v>
      </c>
      <c r="BU18" s="19">
        <v>2.2400000000000002</v>
      </c>
      <c r="BV18" s="19">
        <v>4.58</v>
      </c>
      <c r="BW18" s="19">
        <v>2.09</v>
      </c>
      <c r="BX18" s="19">
        <v>3.18</v>
      </c>
      <c r="BY18" s="19">
        <v>1.57</v>
      </c>
      <c r="BZ18" s="19">
        <v>38.270000000000003</v>
      </c>
      <c r="CA18" s="19">
        <v>34.07</v>
      </c>
      <c r="CB18" s="19">
        <v>1</v>
      </c>
      <c r="CC18" s="19">
        <v>60.54</v>
      </c>
      <c r="CD18" s="19">
        <v>65.64</v>
      </c>
      <c r="CE18" s="19">
        <v>1</v>
      </c>
      <c r="CF18" s="19">
        <v>124.21</v>
      </c>
      <c r="CG18" s="19">
        <v>127.6</v>
      </c>
      <c r="CH18" s="19">
        <v>147.04</v>
      </c>
      <c r="CI18" s="19">
        <v>29.33</v>
      </c>
      <c r="CJ18" s="19">
        <v>18.64</v>
      </c>
      <c r="CK18" s="19">
        <v>64.67</v>
      </c>
      <c r="CL18" s="19">
        <v>89.72</v>
      </c>
      <c r="CM18" s="19">
        <v>93.18</v>
      </c>
      <c r="CN18" s="19">
        <v>69.06</v>
      </c>
      <c r="CO18" s="19">
        <v>100.99</v>
      </c>
      <c r="CP18" s="19">
        <v>128.96</v>
      </c>
      <c r="CQ18" s="19">
        <v>133.21</v>
      </c>
      <c r="CR18" s="19">
        <v>58.24</v>
      </c>
      <c r="CS18" s="19">
        <v>139.6</v>
      </c>
      <c r="CT18" s="19">
        <v>111.28</v>
      </c>
      <c r="CU18" s="19">
        <v>175.93</v>
      </c>
      <c r="CV18" s="19">
        <v>135.09</v>
      </c>
      <c r="CW18" s="19">
        <v>150.61000000000001</v>
      </c>
      <c r="CX18" s="19">
        <v>200</v>
      </c>
      <c r="CY18" s="19">
        <v>3.84</v>
      </c>
      <c r="CZ18" s="19">
        <v>5.0999999999999996</v>
      </c>
      <c r="DA18" s="19">
        <v>4.5999999999999996</v>
      </c>
      <c r="DB18" s="19">
        <v>4.49</v>
      </c>
      <c r="DC18" s="19">
        <v>5.27</v>
      </c>
      <c r="DD18" s="19">
        <v>4.5999999999999996</v>
      </c>
      <c r="DE18" s="19">
        <v>4.5199999999999996</v>
      </c>
      <c r="DF18" s="19">
        <v>5.19</v>
      </c>
      <c r="DG18" s="19">
        <v>3.7</v>
      </c>
      <c r="DH18" s="19">
        <v>4.8899999999999997</v>
      </c>
      <c r="DI18" s="19">
        <v>5.09</v>
      </c>
      <c r="DJ18" s="19">
        <v>3.33</v>
      </c>
      <c r="DK18" s="19">
        <v>3.02</v>
      </c>
      <c r="DL18" s="19">
        <v>3.69</v>
      </c>
      <c r="DM18" s="19">
        <v>5.15</v>
      </c>
      <c r="DN18" s="19">
        <v>4.6100000000000003</v>
      </c>
      <c r="DO18" s="19">
        <v>3.47</v>
      </c>
      <c r="DP18" s="19">
        <v>3.82</v>
      </c>
      <c r="DQ18" s="19">
        <v>4.42</v>
      </c>
      <c r="DR18" s="19">
        <v>5.0599999999999996</v>
      </c>
      <c r="DS18" s="19">
        <v>4</v>
      </c>
      <c r="DT18" s="19">
        <v>5.29</v>
      </c>
      <c r="DU18" s="19">
        <v>3.95</v>
      </c>
      <c r="DV18" s="19">
        <v>3.97</v>
      </c>
      <c r="DW18" s="19">
        <v>4.2</v>
      </c>
      <c r="DX18" s="19">
        <v>5.76</v>
      </c>
      <c r="DY18" s="19">
        <v>4.2699999999999996</v>
      </c>
      <c r="DZ18" s="19">
        <v>3.66</v>
      </c>
      <c r="EA18" s="19">
        <v>4.6100000000000003</v>
      </c>
      <c r="EB18" s="19">
        <v>5.22</v>
      </c>
      <c r="EC18" s="19">
        <v>3.95</v>
      </c>
      <c r="ED18" s="19">
        <v>3.65</v>
      </c>
      <c r="EE18" s="19">
        <v>5.46</v>
      </c>
      <c r="EF18" s="19">
        <v>4.1900000000000004</v>
      </c>
      <c r="EG18" s="19">
        <v>3.63</v>
      </c>
      <c r="EH18" s="19">
        <v>3.33</v>
      </c>
      <c r="EI18" s="19">
        <v>2.97</v>
      </c>
      <c r="EJ18" s="19">
        <v>4.1100000000000003</v>
      </c>
      <c r="EK18" s="19">
        <v>3.61</v>
      </c>
      <c r="EL18" s="19">
        <v>3.44</v>
      </c>
      <c r="EM18" s="19">
        <v>3.9</v>
      </c>
      <c r="EN18" s="19">
        <v>4.8499999999999996</v>
      </c>
      <c r="EO18" s="19">
        <v>5.68</v>
      </c>
      <c r="EP18" s="19">
        <v>4.24</v>
      </c>
      <c r="EQ18" s="19">
        <v>4.74</v>
      </c>
      <c r="ER18" s="19"/>
      <c r="ES18" s="16">
        <f t="shared" si="1"/>
        <v>3.38</v>
      </c>
      <c r="ET18" s="16">
        <f t="shared" si="0"/>
        <v>2.71</v>
      </c>
      <c r="EU18" s="16">
        <f t="shared" si="0"/>
        <v>5.64</v>
      </c>
      <c r="EV18" s="16">
        <f t="shared" si="0"/>
        <v>3.18</v>
      </c>
      <c r="EW18" s="16">
        <f t="shared" si="0"/>
        <v>2.71</v>
      </c>
      <c r="EX18" s="16" t="str">
        <f t="shared" si="0"/>
        <v>.</v>
      </c>
      <c r="EY18" s="16">
        <f t="shared" si="0"/>
        <v>69.06</v>
      </c>
      <c r="EZ18" s="16">
        <f t="shared" si="0"/>
        <v>5.27</v>
      </c>
      <c r="FA18" s="16">
        <f t="shared" si="0"/>
        <v>5.0599999999999996</v>
      </c>
      <c r="FB18" s="16">
        <f t="shared" si="0"/>
        <v>3.63</v>
      </c>
    </row>
    <row r="19" spans="1:158" x14ac:dyDescent="0.25">
      <c r="A19" s="17">
        <v>16</v>
      </c>
      <c r="B19" s="17" t="s">
        <v>31</v>
      </c>
      <c r="C19" s="17" t="s">
        <v>31</v>
      </c>
      <c r="D19" s="17" t="s">
        <v>23</v>
      </c>
      <c r="E19" s="16">
        <v>1</v>
      </c>
      <c r="F19" s="18">
        <v>5.4418163395951549</v>
      </c>
      <c r="G19" s="18">
        <v>5.3559932032072384</v>
      </c>
      <c r="H19" s="18">
        <v>5.2773883892944635</v>
      </c>
      <c r="I19" s="18">
        <v>5.2356943508771927</v>
      </c>
      <c r="J19" s="18">
        <v>5.2966506592105267</v>
      </c>
      <c r="K19" s="18">
        <v>5.3220833386545827</v>
      </c>
      <c r="L19" s="18">
        <v>5.2727650825599497</v>
      </c>
      <c r="M19" s="18">
        <v>5.3366611288363712</v>
      </c>
      <c r="N19" s="18">
        <v>5.331737496737599</v>
      </c>
      <c r="O19" s="18">
        <v>5.3549165823771032</v>
      </c>
      <c r="P19" s="18">
        <v>5.311526195933717</v>
      </c>
      <c r="Q19" s="18">
        <v>5.1550876100028384</v>
      </c>
      <c r="R19" s="18">
        <v>5.088380143350979</v>
      </c>
      <c r="S19" s="18">
        <v>5.0472652006309566</v>
      </c>
      <c r="T19" s="18">
        <v>5.4345709142516183</v>
      </c>
      <c r="U19" s="18">
        <v>4.7388548992357675</v>
      </c>
      <c r="V19" s="18">
        <v>4.6878481076168548</v>
      </c>
      <c r="W19" s="18">
        <v>4.6229158480436761</v>
      </c>
      <c r="X19" s="18">
        <v>4.5933437363591896</v>
      </c>
      <c r="Y19" s="18">
        <v>4.8320738825441332</v>
      </c>
      <c r="Z19" s="18">
        <v>5.0942397416690541</v>
      </c>
      <c r="AA19" s="18">
        <v>4.8665303367496628</v>
      </c>
      <c r="AB19" s="18">
        <v>4.8916131080452478</v>
      </c>
      <c r="AC19" s="18">
        <v>4.9576013028731767</v>
      </c>
      <c r="AD19" s="19">
        <v>4.9716352628435585</v>
      </c>
      <c r="AE19" s="19">
        <v>5.121437095965466</v>
      </c>
      <c r="AF19" s="19">
        <v>5.3613923669406933</v>
      </c>
      <c r="AG19" s="19">
        <v>5.1204316806366483</v>
      </c>
      <c r="AH19" s="19">
        <v>4.8275016754346742</v>
      </c>
      <c r="AI19" s="19">
        <v>5.4533781632580318</v>
      </c>
      <c r="AJ19" s="19">
        <v>5.7008442583333334</v>
      </c>
      <c r="AK19" s="19">
        <v>5.7826186324074085</v>
      </c>
      <c r="AL19" s="19">
        <v>5.7512331465783673</v>
      </c>
      <c r="AM19" s="19">
        <v>5.6879648960552274</v>
      </c>
      <c r="AN19" s="19">
        <v>5.6392002439868847</v>
      </c>
      <c r="AO19" s="19">
        <v>5.6302281956427445</v>
      </c>
      <c r="AP19" s="19">
        <v>5.6693881693927715</v>
      </c>
      <c r="AQ19" s="19">
        <v>5.6611435561925099</v>
      </c>
      <c r="AR19" s="19">
        <v>5.856048713670611</v>
      </c>
      <c r="AS19" s="19">
        <v>5.7883842188788508</v>
      </c>
      <c r="AT19" s="19">
        <v>5.497615329985396</v>
      </c>
      <c r="AU19" s="19">
        <v>5.5069704034861688</v>
      </c>
      <c r="AV19" s="19">
        <v>2.7768228594448106</v>
      </c>
      <c r="AW19" s="19">
        <v>2.7303545350241545</v>
      </c>
      <c r="AX19" s="19">
        <v>2.6653969140127387</v>
      </c>
      <c r="AY19" s="19">
        <v>2.6206662222222223</v>
      </c>
      <c r="AZ19" s="19">
        <v>2.4925194944444446</v>
      </c>
      <c r="BA19" s="19">
        <v>2.5815726887417219</v>
      </c>
      <c r="BB19" s="19">
        <v>2.6491124331360947</v>
      </c>
      <c r="BC19" s="19">
        <v>2.5721296295853677</v>
      </c>
      <c r="BD19" s="19">
        <v>2.8236441989277687</v>
      </c>
      <c r="BE19" s="19">
        <v>3.2366926197347965</v>
      </c>
      <c r="BF19" s="19">
        <v>5.7889926162990237</v>
      </c>
      <c r="BG19" s="19">
        <v>6.3240034838210706</v>
      </c>
      <c r="BH19" s="19">
        <v>5.6889681239917076</v>
      </c>
      <c r="BI19" s="19">
        <v>6.5601091193733865</v>
      </c>
      <c r="BJ19" s="19">
        <v>6.8464092840245323</v>
      </c>
      <c r="BK19" s="19">
        <v>5.3823416248503362</v>
      </c>
      <c r="BL19" s="19">
        <v>4.8250696651730252</v>
      </c>
      <c r="BM19" s="19">
        <v>4.5905299560509558</v>
      </c>
      <c r="BN19" s="19">
        <v>4.4112763444444445</v>
      </c>
      <c r="BO19" s="19">
        <v>4.4224614861111107</v>
      </c>
      <c r="BP19" s="19">
        <v>4.5305188384105959</v>
      </c>
      <c r="BQ19" s="19">
        <v>4.3529888727810651</v>
      </c>
      <c r="BR19" s="19">
        <v>4.2515236666666665</v>
      </c>
      <c r="BS19" s="19">
        <v>4.3453730620155042</v>
      </c>
      <c r="BT19" s="19">
        <v>4.4696064024135982</v>
      </c>
      <c r="BU19" s="19">
        <v>4.4897768621989016</v>
      </c>
      <c r="BV19" s="19">
        <v>3.941148053032697</v>
      </c>
      <c r="BW19" s="19">
        <v>4.0446259486962957</v>
      </c>
      <c r="BX19" s="19">
        <v>3.6440038954335376</v>
      </c>
      <c r="BY19" s="19">
        <v>4.2526712337138042</v>
      </c>
      <c r="BZ19" s="19">
        <v>19.3538419364749</v>
      </c>
      <c r="CA19" s="19">
        <v>33.727340581776403</v>
      </c>
      <c r="CB19" s="19">
        <v>45.963132344110598</v>
      </c>
      <c r="CC19" s="19">
        <v>57.787960252754303</v>
      </c>
      <c r="CD19" s="19">
        <v>66.586670202856695</v>
      </c>
      <c r="CE19" s="19">
        <v>80.029446633488973</v>
      </c>
      <c r="CF19" s="19">
        <v>90.382558683574359</v>
      </c>
      <c r="CG19" s="19">
        <v>105.4214466514379</v>
      </c>
      <c r="CH19" s="19">
        <v>116.37024721639264</v>
      </c>
      <c r="CI19" s="19">
        <v>129.25602792865087</v>
      </c>
      <c r="CJ19" s="19">
        <v>89.997680609457404</v>
      </c>
      <c r="CK19" s="19">
        <v>92.553596496582003</v>
      </c>
      <c r="CL19" s="19">
        <v>112.80295562744099</v>
      </c>
      <c r="CM19" s="19">
        <v>116.64533233642599</v>
      </c>
      <c r="CN19" s="19">
        <v>113.46122213959499</v>
      </c>
      <c r="CO19" s="19">
        <v>116.612773822268</v>
      </c>
      <c r="CP19" s="19">
        <v>119.38590191056799</v>
      </c>
      <c r="CQ19" s="19">
        <v>110.903179942935</v>
      </c>
      <c r="CR19" s="19">
        <v>114.269957521343</v>
      </c>
      <c r="CS19" s="19">
        <v>115.690785217498</v>
      </c>
      <c r="CT19" s="19">
        <v>122.24993076628881</v>
      </c>
      <c r="CU19" s="19">
        <v>125.42810041630545</v>
      </c>
      <c r="CV19" s="19">
        <v>126.0485818180771</v>
      </c>
      <c r="CW19" s="19">
        <v>128.07905502456993</v>
      </c>
      <c r="CX19" s="19">
        <v>132.55050210368375</v>
      </c>
      <c r="CY19" s="19">
        <v>6.0438052856191629</v>
      </c>
      <c r="CZ19" s="19">
        <v>6.0452433507708907</v>
      </c>
      <c r="DA19" s="19">
        <v>5.757493957961783</v>
      </c>
      <c r="DB19" s="19">
        <v>5.4461101861111114</v>
      </c>
      <c r="DC19" s="19">
        <v>5.367090138888889</v>
      </c>
      <c r="DD19" s="19">
        <v>5.2599872635761589</v>
      </c>
      <c r="DE19" s="19">
        <v>5.4107992408284025</v>
      </c>
      <c r="DF19" s="19">
        <v>5.448596522081095</v>
      </c>
      <c r="DG19" s="19">
        <v>5.4310637754987381</v>
      </c>
      <c r="DH19" s="19">
        <v>5.7316788846048814</v>
      </c>
      <c r="DI19" s="19">
        <v>5.2147491000676096</v>
      </c>
      <c r="DJ19" s="19">
        <v>5.3925165266578832</v>
      </c>
      <c r="DK19" s="19">
        <v>4.5040577879069215</v>
      </c>
      <c r="DL19" s="19">
        <v>4.8231927109124895</v>
      </c>
      <c r="DM19" s="19">
        <v>4.7177072182672628</v>
      </c>
      <c r="DN19" s="19">
        <v>5.9354553159431198</v>
      </c>
      <c r="DO19" s="19">
        <v>5.8373697620082812</v>
      </c>
      <c r="DP19" s="19">
        <v>5.8296195114649683</v>
      </c>
      <c r="DQ19" s="19">
        <v>5.8211336944444447</v>
      </c>
      <c r="DR19" s="19">
        <v>5.9190326305555558</v>
      </c>
      <c r="DS19" s="19">
        <v>5.8651495933774829</v>
      </c>
      <c r="DT19" s="19">
        <v>5.7803794798816561</v>
      </c>
      <c r="DU19" s="19">
        <v>5.7558000499361164</v>
      </c>
      <c r="DV19" s="19">
        <v>5.4076534907023115</v>
      </c>
      <c r="DW19" s="19">
        <v>5.0762177816752727</v>
      </c>
      <c r="DX19" s="19">
        <v>5.930487654490098</v>
      </c>
      <c r="DY19" s="19">
        <v>5.1228414806266471</v>
      </c>
      <c r="DZ19" s="19">
        <v>5.513293552482911</v>
      </c>
      <c r="EA19" s="19">
        <v>4.9613191507106187</v>
      </c>
      <c r="EB19" s="19">
        <v>5.962862563429292</v>
      </c>
      <c r="EC19" s="19">
        <v>5.9966520029237795</v>
      </c>
      <c r="ED19" s="19">
        <v>5.8754225558414666</v>
      </c>
      <c r="EE19" s="19">
        <v>5.7847069044585986</v>
      </c>
      <c r="EF19" s="19">
        <v>5.4722563861111109</v>
      </c>
      <c r="EG19" s="19">
        <v>5.3576636999999998</v>
      </c>
      <c r="EH19" s="19">
        <v>5.4686308278145699</v>
      </c>
      <c r="EI19" s="19">
        <v>5.3877135804733731</v>
      </c>
      <c r="EJ19" s="19">
        <v>5.2524899533333329</v>
      </c>
      <c r="EK19" s="19">
        <v>5.1443798449612412</v>
      </c>
      <c r="EL19" s="19">
        <v>4.8792429130652852</v>
      </c>
      <c r="EM19" s="19">
        <v>4.804485600609337</v>
      </c>
      <c r="EN19" s="19">
        <v>5.270849334154823</v>
      </c>
      <c r="EO19" s="19">
        <v>4.9686297645029489</v>
      </c>
      <c r="EP19" s="19">
        <v>3.7973770778616842</v>
      </c>
      <c r="EQ19" s="19">
        <v>5.0922432602545928</v>
      </c>
      <c r="ER19" s="19"/>
      <c r="ES19" s="16">
        <f t="shared" si="1"/>
        <v>5.2966506592105267</v>
      </c>
      <c r="ET19" s="16">
        <f t="shared" si="0"/>
        <v>4.8320738825441332</v>
      </c>
      <c r="EU19" s="16">
        <f t="shared" si="0"/>
        <v>5.7826186324074085</v>
      </c>
      <c r="EV19" s="16">
        <f t="shared" si="0"/>
        <v>2.4925194944444446</v>
      </c>
      <c r="EW19" s="16">
        <f t="shared" si="0"/>
        <v>4.4224614861111107</v>
      </c>
      <c r="EX19" s="16" t="str">
        <f t="shared" si="0"/>
        <v>.</v>
      </c>
      <c r="EY19" s="16">
        <f t="shared" si="0"/>
        <v>113.46122213959499</v>
      </c>
      <c r="EZ19" s="16">
        <f t="shared" si="0"/>
        <v>5.367090138888889</v>
      </c>
      <c r="FA19" s="16">
        <f t="shared" si="0"/>
        <v>5.9190326305555558</v>
      </c>
      <c r="FB19" s="16">
        <f t="shared" si="0"/>
        <v>5.3576636999999998</v>
      </c>
    </row>
    <row r="20" spans="1:158" x14ac:dyDescent="0.25">
      <c r="A20" s="17">
        <v>17</v>
      </c>
      <c r="B20" s="17" t="s">
        <v>32</v>
      </c>
      <c r="C20" s="17" t="s">
        <v>32</v>
      </c>
      <c r="D20" s="17" t="s">
        <v>33</v>
      </c>
      <c r="E20" s="16">
        <v>1</v>
      </c>
      <c r="F20" s="18">
        <v>3.8495582960509589</v>
      </c>
      <c r="G20" s="18">
        <v>3.7291162937502045</v>
      </c>
      <c r="H20" s="18">
        <v>3.6374738311055901</v>
      </c>
      <c r="I20" s="18">
        <v>3.3414760580227862</v>
      </c>
      <c r="J20" s="18">
        <v>3.3025214736842101</v>
      </c>
      <c r="K20" s="18">
        <v>3.1348212840501257</v>
      </c>
      <c r="L20" s="18">
        <v>3.565822062858178</v>
      </c>
      <c r="M20" s="18">
        <v>3.4559621422167965</v>
      </c>
      <c r="N20" s="18">
        <v>3.4737352205074874</v>
      </c>
      <c r="O20" s="18">
        <v>3.3017013238360109</v>
      </c>
      <c r="P20" s="18">
        <v>2.4763929674832483</v>
      </c>
      <c r="Q20" s="18">
        <v>2.8998269352100485</v>
      </c>
      <c r="R20" s="18">
        <v>3.4691980643117839</v>
      </c>
      <c r="S20" s="18">
        <v>3.0025560739297648</v>
      </c>
      <c r="T20" s="18">
        <v>2.6221426856923564</v>
      </c>
      <c r="U20" s="18">
        <v>2.5122133026190498</v>
      </c>
      <c r="V20" s="18">
        <v>2.1297412138440763</v>
      </c>
      <c r="W20" s="18">
        <v>2.383373405096564</v>
      </c>
      <c r="X20" s="18">
        <v>2.3383896405087929</v>
      </c>
      <c r="Y20" s="18">
        <v>2.2602724666666671</v>
      </c>
      <c r="Z20" s="18">
        <v>2.557384420228618</v>
      </c>
      <c r="AA20" s="18">
        <v>2.4426968792069967</v>
      </c>
      <c r="AB20" s="18">
        <v>2.519432152051059</v>
      </c>
      <c r="AC20" s="18">
        <v>2.7081900597991053</v>
      </c>
      <c r="AD20" s="19">
        <v>2.2775463659242927</v>
      </c>
      <c r="AE20" s="19">
        <v>2.6460216060841337</v>
      </c>
      <c r="AF20" s="19">
        <v>2.3676146468867412</v>
      </c>
      <c r="AG20" s="19">
        <v>2.6095432952032915</v>
      </c>
      <c r="AH20" s="19">
        <v>1.6489582654109856</v>
      </c>
      <c r="AI20" s="19">
        <v>3.358201201428205</v>
      </c>
      <c r="AJ20" s="19">
        <v>3.5894484235119672</v>
      </c>
      <c r="AK20" s="19">
        <v>3.9414449999999999</v>
      </c>
      <c r="AL20" s="19">
        <v>4.0289794348258674</v>
      </c>
      <c r="AM20" s="19">
        <v>3.9713751482816497</v>
      </c>
      <c r="AN20" s="19">
        <v>3.8412449676430511</v>
      </c>
      <c r="AO20" s="19">
        <v>3.9552918955220462</v>
      </c>
      <c r="AP20" s="19">
        <v>4.0727248875204083</v>
      </c>
      <c r="AQ20" s="19">
        <v>4.151470255495064</v>
      </c>
      <c r="AR20" s="19">
        <v>4.7167588590072409</v>
      </c>
      <c r="AS20" s="19">
        <v>3.5969503777559932</v>
      </c>
      <c r="AT20" s="19">
        <v>4.0690280925075113</v>
      </c>
      <c r="AU20" s="19">
        <v>4.5708279093864865</v>
      </c>
      <c r="AV20" s="19">
        <v>2.9863976196982964</v>
      </c>
      <c r="AW20" s="19">
        <v>2.6922300098887626</v>
      </c>
      <c r="AX20" s="19">
        <v>3.5270775124200817</v>
      </c>
      <c r="AY20" s="19">
        <v>2.5325366847040405</v>
      </c>
      <c r="AZ20" s="19">
        <v>2.8982250000000001</v>
      </c>
      <c r="BA20" s="19">
        <v>3.2878956749576584</v>
      </c>
      <c r="BB20" s="19">
        <v>3.4614014579603749</v>
      </c>
      <c r="BC20" s="19">
        <v>3.0602782770377885</v>
      </c>
      <c r="BD20" s="19">
        <v>2.8316208064504833</v>
      </c>
      <c r="BE20" s="19">
        <v>3.1781466664327014</v>
      </c>
      <c r="BF20" s="19">
        <v>3.7909878839545614</v>
      </c>
      <c r="BG20" s="19">
        <v>4.5012365209960841</v>
      </c>
      <c r="BH20" s="19">
        <v>4.1691014467917986</v>
      </c>
      <c r="BI20" s="19">
        <v>3.8294810170949285</v>
      </c>
      <c r="BJ20" s="19">
        <v>4.8289525111690645</v>
      </c>
      <c r="BK20" s="19">
        <v>3.3591513688294716</v>
      </c>
      <c r="BL20" s="19">
        <v>2.7870949783086565</v>
      </c>
      <c r="BM20" s="19">
        <v>2.4955341086055531</v>
      </c>
      <c r="BN20" s="19">
        <v>2.7136078095525851</v>
      </c>
      <c r="BO20" s="19">
        <v>2.641632</v>
      </c>
      <c r="BP20" s="19">
        <v>2.9636682652247726</v>
      </c>
      <c r="BQ20" s="19">
        <v>2.9967737478452054</v>
      </c>
      <c r="BR20" s="19">
        <v>2.8124383505251194</v>
      </c>
      <c r="BS20" s="19">
        <v>3.0543956517653736</v>
      </c>
      <c r="BT20" s="19">
        <v>3.247658800364448</v>
      </c>
      <c r="BU20" s="19">
        <v>3.3764719842241133</v>
      </c>
      <c r="BV20" s="19">
        <v>2.8662587068957137</v>
      </c>
      <c r="BW20" s="19">
        <v>2.8347708920076387</v>
      </c>
      <c r="BX20" s="19">
        <v>3.0368863522434841</v>
      </c>
      <c r="BY20" s="19">
        <v>2.5540731178892848</v>
      </c>
      <c r="BZ20" s="19">
        <v>4.1936444762034046</v>
      </c>
      <c r="CA20" s="19">
        <v>4.3181541789577125</v>
      </c>
      <c r="CB20" s="19">
        <v>4.4463605866110489</v>
      </c>
      <c r="CC20" s="19">
        <v>4.5783734546829296</v>
      </c>
      <c r="CD20" s="19">
        <v>11.71802543044142</v>
      </c>
      <c r="CE20" s="19">
        <v>10.328580127553698</v>
      </c>
      <c r="CF20" s="19">
        <v>10.48404060125706</v>
      </c>
      <c r="CG20" s="19">
        <v>13.440095313320311</v>
      </c>
      <c r="CH20" s="19">
        <v>15.731093352028745</v>
      </c>
      <c r="CI20" s="19">
        <v>14.354950316905519</v>
      </c>
      <c r="CJ20" s="19">
        <v>13.39</v>
      </c>
      <c r="CK20" s="19">
        <v>13.39</v>
      </c>
      <c r="CL20" s="19">
        <v>28.79</v>
      </c>
      <c r="CM20" s="19">
        <v>44.19</v>
      </c>
      <c r="CN20" s="19">
        <v>62.318412717768403</v>
      </c>
      <c r="CO20" s="19">
        <v>65.52</v>
      </c>
      <c r="CP20" s="19">
        <v>62.41</v>
      </c>
      <c r="CQ20" s="19">
        <v>91.15</v>
      </c>
      <c r="CR20" s="19">
        <v>116.53</v>
      </c>
      <c r="CS20" s="19">
        <v>110.05</v>
      </c>
      <c r="CT20" s="19">
        <v>131.21564515255699</v>
      </c>
      <c r="CU20" s="19">
        <v>137.76107312150049</v>
      </c>
      <c r="CV20" s="19">
        <v>152.43791096027593</v>
      </c>
      <c r="CW20" s="19">
        <v>164.03199621107788</v>
      </c>
      <c r="CX20" s="19">
        <v>169.52115553337413</v>
      </c>
      <c r="CY20" s="19">
        <v>3.9676625740800864</v>
      </c>
      <c r="CZ20" s="19">
        <v>4.1077101093028876</v>
      </c>
      <c r="DA20" s="19">
        <v>4.2432926998698539</v>
      </c>
      <c r="DB20" s="19">
        <v>3.4787611228236748</v>
      </c>
      <c r="DC20" s="19">
        <v>3.8396330000000001</v>
      </c>
      <c r="DD20" s="19">
        <v>3.6956804268411876</v>
      </c>
      <c r="DE20" s="19">
        <v>3.5979879890425286</v>
      </c>
      <c r="DF20" s="19">
        <v>3.9333809219063602</v>
      </c>
      <c r="DG20" s="19">
        <v>3.2438591285637108</v>
      </c>
      <c r="DH20" s="19">
        <v>3.7784734347345159</v>
      </c>
      <c r="DI20" s="19">
        <v>3.5993249667485823</v>
      </c>
      <c r="DJ20" s="19">
        <v>3.4995842007606028</v>
      </c>
      <c r="DK20" s="19">
        <v>2.8880389289992228</v>
      </c>
      <c r="DL20" s="19">
        <v>3.5099071047571528</v>
      </c>
      <c r="DM20" s="19">
        <v>3.7555613731566453</v>
      </c>
      <c r="DN20" s="19">
        <v>3.2138321829342571</v>
      </c>
      <c r="DO20" s="19">
        <v>2.817671128327067</v>
      </c>
      <c r="DP20" s="19">
        <v>3.556622476998208</v>
      </c>
      <c r="DQ20" s="19">
        <v>3.6921987446947897</v>
      </c>
      <c r="DR20" s="19">
        <v>3.5363440000000002</v>
      </c>
      <c r="DS20" s="19">
        <v>3.1386697508452643</v>
      </c>
      <c r="DT20" s="19">
        <v>2.8531699270083983</v>
      </c>
      <c r="DU20" s="19">
        <v>3.2404170755831934</v>
      </c>
      <c r="DV20" s="19">
        <v>2.4658922044858493</v>
      </c>
      <c r="DW20" s="19">
        <v>2.7584873800235683</v>
      </c>
      <c r="DX20" s="19">
        <v>2.4442000192567495</v>
      </c>
      <c r="DY20" s="19">
        <v>2.3045705084561758</v>
      </c>
      <c r="DZ20" s="19">
        <v>2.5280109936884259</v>
      </c>
      <c r="EA20" s="19">
        <v>2.4642999720347567</v>
      </c>
      <c r="EB20" s="19">
        <v>2.1123849804324371</v>
      </c>
      <c r="EC20" s="19">
        <v>2.1851197096733008</v>
      </c>
      <c r="ED20" s="19">
        <v>2.956080840359915</v>
      </c>
      <c r="EE20" s="19">
        <v>2.9215746348954088</v>
      </c>
      <c r="EF20" s="19">
        <v>2.8308724950501114</v>
      </c>
      <c r="EG20" s="19">
        <v>3.035498</v>
      </c>
      <c r="EH20" s="19">
        <v>2.9053870035140803</v>
      </c>
      <c r="EI20" s="19">
        <v>2.6753236300401455</v>
      </c>
      <c r="EJ20" s="19">
        <v>3.3783558928684827</v>
      </c>
      <c r="EK20" s="19">
        <v>3.196839655004597</v>
      </c>
      <c r="EL20" s="19">
        <v>3.9160033916735753</v>
      </c>
      <c r="EM20" s="19">
        <v>4.2361863666123858</v>
      </c>
      <c r="EN20" s="19">
        <v>3.4666658330461493</v>
      </c>
      <c r="EO20" s="19">
        <v>4.4181220743176128</v>
      </c>
      <c r="EP20" s="19">
        <v>4.2133626443968053</v>
      </c>
      <c r="EQ20" s="19">
        <v>3.9774721816565433</v>
      </c>
      <c r="ER20" s="19"/>
      <c r="ES20" s="16">
        <f t="shared" si="1"/>
        <v>3.3025214736842101</v>
      </c>
      <c r="ET20" s="16">
        <f t="shared" si="1"/>
        <v>2.2602724666666671</v>
      </c>
      <c r="EU20" s="16">
        <f t="shared" si="1"/>
        <v>3.9414449999999999</v>
      </c>
      <c r="EV20" s="16">
        <f t="shared" si="1"/>
        <v>2.8982250000000001</v>
      </c>
      <c r="EW20" s="16">
        <f t="shared" si="1"/>
        <v>2.641632</v>
      </c>
      <c r="EX20" s="16" t="str">
        <f t="shared" si="1"/>
        <v>.</v>
      </c>
      <c r="EY20" s="16">
        <f t="shared" si="1"/>
        <v>62.318412717768403</v>
      </c>
      <c r="EZ20" s="16">
        <f t="shared" si="1"/>
        <v>3.8396330000000001</v>
      </c>
      <c r="FA20" s="16">
        <f t="shared" si="1"/>
        <v>3.5363440000000002</v>
      </c>
      <c r="FB20" s="16">
        <f t="shared" si="1"/>
        <v>3.035498</v>
      </c>
    </row>
    <row r="21" spans="1:158" x14ac:dyDescent="0.25">
      <c r="A21" s="17">
        <v>18</v>
      </c>
      <c r="B21" s="17" t="s">
        <v>34</v>
      </c>
      <c r="C21" s="17" t="s">
        <v>34</v>
      </c>
      <c r="D21" s="17" t="s">
        <v>14</v>
      </c>
      <c r="E21" s="16">
        <v>1</v>
      </c>
      <c r="F21" s="18">
        <v>3.5138089674740605</v>
      </c>
      <c r="G21" s="18">
        <v>3.4852446545047266</v>
      </c>
      <c r="H21" s="18">
        <v>3.3207565657219975</v>
      </c>
      <c r="I21" s="18">
        <v>3.4933554323842388</v>
      </c>
      <c r="J21" s="18">
        <v>3.4916466281954883</v>
      </c>
      <c r="K21" s="18">
        <v>3.2334114336032385</v>
      </c>
      <c r="L21" s="18">
        <v>3.225372362854781</v>
      </c>
      <c r="M21" s="18">
        <v>3.2249062737613885</v>
      </c>
      <c r="N21" s="18">
        <v>3.5243935128777575</v>
      </c>
      <c r="O21" s="18">
        <v>3.393542277362565</v>
      </c>
      <c r="P21" s="18">
        <v>3.4112759849634369</v>
      </c>
      <c r="Q21" s="18">
        <v>3.7197620348100551</v>
      </c>
      <c r="R21" s="18">
        <v>2.8959797499613575</v>
      </c>
      <c r="S21" s="18">
        <v>2.9745602966479021</v>
      </c>
      <c r="T21" s="18">
        <v>3.3378591626042353</v>
      </c>
      <c r="U21" s="18">
        <v>2.9719046713393493</v>
      </c>
      <c r="V21" s="18">
        <v>2.9315043342612879</v>
      </c>
      <c r="W21" s="18">
        <v>2.9168410364912285</v>
      </c>
      <c r="X21" s="18">
        <v>3.1966993022222221</v>
      </c>
      <c r="Y21" s="18">
        <v>3.1588253323809523</v>
      </c>
      <c r="Z21" s="18">
        <v>3.0078116037184683</v>
      </c>
      <c r="AA21" s="18">
        <v>2.844530858905479</v>
      </c>
      <c r="AB21" s="18">
        <v>3.1011370455141192</v>
      </c>
      <c r="AC21" s="18">
        <v>3.2072153252283333</v>
      </c>
      <c r="AD21" s="19">
        <v>3.2103492196400958</v>
      </c>
      <c r="AE21" s="19">
        <v>3.2932351958123056</v>
      </c>
      <c r="AF21" s="19">
        <v>3.3695690835579093</v>
      </c>
      <c r="AG21" s="19">
        <v>2.7967087474529739</v>
      </c>
      <c r="AH21" s="19">
        <v>3.3438889841592476</v>
      </c>
      <c r="AI21" s="19">
        <v>2.8628393512554688</v>
      </c>
      <c r="AJ21" s="19">
        <v>4.1475094120218579</v>
      </c>
      <c r="AK21" s="19">
        <v>4.2726675666666667</v>
      </c>
      <c r="AL21" s="19">
        <v>4.0724009897435893</v>
      </c>
      <c r="AM21" s="19">
        <v>3.7750974680628269</v>
      </c>
      <c r="AN21" s="19">
        <v>3.6056986022349782</v>
      </c>
      <c r="AO21" s="19">
        <v>3.6249997926658963</v>
      </c>
      <c r="AP21" s="19">
        <v>3.6778350432713829</v>
      </c>
      <c r="AQ21" s="19">
        <v>3.759197972080218</v>
      </c>
      <c r="AR21" s="19">
        <v>3.2345827056965151</v>
      </c>
      <c r="AS21" s="19">
        <v>3.2452230805838225</v>
      </c>
      <c r="AT21" s="19">
        <v>2.8281088453868275</v>
      </c>
      <c r="AU21" s="19">
        <v>3.5272169173397807</v>
      </c>
      <c r="AV21" s="19">
        <v>2.7168994941033473</v>
      </c>
      <c r="AW21" s="19">
        <v>2.7513911499714037</v>
      </c>
      <c r="AX21" s="19">
        <v>3.1789432473684212</v>
      </c>
      <c r="AY21" s="19">
        <v>3.6606041628415298</v>
      </c>
      <c r="AZ21" s="19">
        <v>3.4715475857142852</v>
      </c>
      <c r="BA21" s="19">
        <v>3.0029547615384615</v>
      </c>
      <c r="BB21" s="19">
        <v>2.8375670209424086</v>
      </c>
      <c r="BC21" s="19">
        <v>2.713898055689548</v>
      </c>
      <c r="BD21" s="19">
        <v>3.4242424964904785</v>
      </c>
      <c r="BE21" s="19">
        <v>3.3432168722152711</v>
      </c>
      <c r="BF21" s="19">
        <v>3.4320449230487022</v>
      </c>
      <c r="BG21" s="19">
        <v>4.0565708933605764</v>
      </c>
      <c r="BH21" s="19">
        <v>4.1358779083702002</v>
      </c>
      <c r="BI21" s="19">
        <v>3.8305443621081925</v>
      </c>
      <c r="BJ21" s="19">
        <v>3.7458726940346354</v>
      </c>
      <c r="BK21" s="19">
        <v>2.8600392358075064</v>
      </c>
      <c r="BL21" s="19">
        <v>2.9326313727974123</v>
      </c>
      <c r="BM21" s="19">
        <v>2.8648804263157897</v>
      </c>
      <c r="BN21" s="19">
        <v>3.1041433639344262</v>
      </c>
      <c r="BO21" s="19">
        <v>2.8172730964285715</v>
      </c>
      <c r="BP21" s="19">
        <v>2.3871775769230767</v>
      </c>
      <c r="BQ21" s="19">
        <v>2.2164653895287958</v>
      </c>
      <c r="BR21" s="19">
        <v>2.339312820953531</v>
      </c>
      <c r="BS21" s="19">
        <v>2.2727272510528564</v>
      </c>
      <c r="BT21" s="19">
        <v>2.1637720704078678</v>
      </c>
      <c r="BU21" s="19">
        <v>1.9793264954653005</v>
      </c>
      <c r="BV21" s="19">
        <v>1.9077760915712765</v>
      </c>
      <c r="BW21" s="19">
        <v>1</v>
      </c>
      <c r="BX21" s="19">
        <v>1.4680816584752925</v>
      </c>
      <c r="BY21" s="19">
        <v>1.319780816907955</v>
      </c>
      <c r="BZ21" s="19">
        <v>3.7314403804606511</v>
      </c>
      <c r="CA21" s="19">
        <v>3.7858270284323137</v>
      </c>
      <c r="CB21" s="19">
        <v>3.841006374980398</v>
      </c>
      <c r="CC21" s="19">
        <v>2.83719719119091</v>
      </c>
      <c r="CD21" s="19">
        <v>4.2374475037656802</v>
      </c>
      <c r="CE21" s="19">
        <v>3.0016648349964861</v>
      </c>
      <c r="CF21" s="19">
        <v>3.5721013172179239</v>
      </c>
      <c r="CG21" s="19">
        <v>3.2672668194175891</v>
      </c>
      <c r="CH21" s="19">
        <v>4.1666100203924117</v>
      </c>
      <c r="CI21" s="19">
        <v>2.5916538263755049</v>
      </c>
      <c r="CJ21" s="19">
        <v>10.0042497252493</v>
      </c>
      <c r="CK21" s="19">
        <v>12.1303310394287</v>
      </c>
      <c r="CL21" s="19">
        <v>36.898307800292997</v>
      </c>
      <c r="CM21" s="19">
        <v>56.333042144775398</v>
      </c>
      <c r="CN21" s="19">
        <v>79.943506655222507</v>
      </c>
      <c r="CO21" s="19">
        <v>85.332665488781103</v>
      </c>
      <c r="CP21" s="19">
        <v>89.905813167422295</v>
      </c>
      <c r="CQ21" s="19">
        <v>101.88</v>
      </c>
      <c r="CR21" s="19">
        <v>101.711069662654</v>
      </c>
      <c r="CS21" s="19">
        <v>85.644322685983596</v>
      </c>
      <c r="CT21" s="19">
        <v>124.32794024771985</v>
      </c>
      <c r="CU21" s="19">
        <v>130.16475592033328</v>
      </c>
      <c r="CV21" s="19">
        <v>144.95072815044901</v>
      </c>
      <c r="CW21" s="19">
        <v>155.45875539147914</v>
      </c>
      <c r="CX21" s="19">
        <v>164.4651137558113</v>
      </c>
      <c r="CY21" s="19">
        <v>3.7300227591036412</v>
      </c>
      <c r="CZ21" s="19">
        <v>3.6087769001230612</v>
      </c>
      <c r="DA21" s="19">
        <v>3.8302065736842108</v>
      </c>
      <c r="DB21" s="19">
        <v>4.6695397256830606</v>
      </c>
      <c r="DC21" s="19">
        <v>4.3297451892857142</v>
      </c>
      <c r="DD21" s="19">
        <v>3.8770187846153847</v>
      </c>
      <c r="DE21" s="19">
        <v>3.439770709947644</v>
      </c>
      <c r="DF21" s="19">
        <v>3.4730484841494418</v>
      </c>
      <c r="DG21" s="19">
        <v>3.8615384101867676</v>
      </c>
      <c r="DH21" s="19">
        <v>3.8431610345840452</v>
      </c>
      <c r="DI21" s="19">
        <v>3.4033575155204119</v>
      </c>
      <c r="DJ21" s="19">
        <v>4.2842222301210127</v>
      </c>
      <c r="DK21" s="19">
        <v>2.9108501650037417</v>
      </c>
      <c r="DL21" s="19">
        <v>4.3320852752061683</v>
      </c>
      <c r="DM21" s="19">
        <v>3.8976715052385611</v>
      </c>
      <c r="DN21" s="19">
        <v>2.5539717053779554</v>
      </c>
      <c r="DO21" s="19">
        <v>2.8409926200836821</v>
      </c>
      <c r="DP21" s="19">
        <v>2.8355158000000005</v>
      </c>
      <c r="DQ21" s="19">
        <v>2.9452130994535519</v>
      </c>
      <c r="DR21" s="19">
        <v>3.1285117571428569</v>
      </c>
      <c r="DS21" s="19">
        <v>3.202821292307692</v>
      </c>
      <c r="DT21" s="19">
        <v>2.8028034010471203</v>
      </c>
      <c r="DU21" s="19">
        <v>2.8144082745065138</v>
      </c>
      <c r="DV21" s="19">
        <v>2.4603173732757568</v>
      </c>
      <c r="DW21" s="19">
        <v>2.4051427602767945</v>
      </c>
      <c r="DX21" s="19">
        <v>2.2953059873789323</v>
      </c>
      <c r="DY21" s="19">
        <v>2.6383515838750031</v>
      </c>
      <c r="DZ21" s="19">
        <v>2.2439962287677879</v>
      </c>
      <c r="EA21" s="19">
        <v>1.5239985211674321</v>
      </c>
      <c r="EB21" s="19">
        <v>2.4302352265165377</v>
      </c>
      <c r="EC21" s="19">
        <v>2.6569037078029885</v>
      </c>
      <c r="ED21" s="19">
        <v>2.7485925790072541</v>
      </c>
      <c r="EE21" s="19">
        <v>2.8450198789473684</v>
      </c>
      <c r="EF21" s="19">
        <v>2.9137518612021855</v>
      </c>
      <c r="EG21" s="19">
        <v>2.9311399178571431</v>
      </c>
      <c r="EH21" s="19">
        <v>3.0715958153846152</v>
      </c>
      <c r="EI21" s="19">
        <v>2.7616516408376963</v>
      </c>
      <c r="EJ21" s="19">
        <v>2.7967193190691275</v>
      </c>
      <c r="EK21" s="19">
        <v>2.7164180278778076</v>
      </c>
      <c r="EL21" s="19">
        <v>2.9140547394752505</v>
      </c>
      <c r="EM21" s="19">
        <v>3.3355712996461047</v>
      </c>
      <c r="EN21" s="19">
        <v>2.7509223431529057</v>
      </c>
      <c r="EO21" s="19">
        <v>3.0256975870595979</v>
      </c>
      <c r="EP21" s="19">
        <v>2.9880823325049923</v>
      </c>
      <c r="EQ21" s="19">
        <v>2.7380292411252718</v>
      </c>
      <c r="ER21" s="19"/>
      <c r="ES21" s="16">
        <f t="shared" ref="ES21:FB36" si="2">IF(SUMIF($F$2:$EQ$2,ES$2&amp;"_"&amp;ES$3,$F21:$EQ21)=0,".",SUMIF($F$2:$EQ$2,ES$2&amp;"_"&amp;ES$3,$F21:$EQ21))</f>
        <v>3.4916466281954883</v>
      </c>
      <c r="ET21" s="16">
        <f t="shared" si="2"/>
        <v>3.1588253323809523</v>
      </c>
      <c r="EU21" s="16">
        <f t="shared" si="2"/>
        <v>4.2726675666666667</v>
      </c>
      <c r="EV21" s="16">
        <f t="shared" si="2"/>
        <v>3.4715475857142852</v>
      </c>
      <c r="EW21" s="16">
        <f t="shared" si="2"/>
        <v>2.8172730964285715</v>
      </c>
      <c r="EX21" s="16" t="str">
        <f t="shared" si="2"/>
        <v>.</v>
      </c>
      <c r="EY21" s="16">
        <f t="shared" si="2"/>
        <v>79.943506655222507</v>
      </c>
      <c r="EZ21" s="16">
        <f t="shared" si="2"/>
        <v>4.3297451892857142</v>
      </c>
      <c r="FA21" s="16">
        <f t="shared" si="2"/>
        <v>3.1285117571428569</v>
      </c>
      <c r="FB21" s="16">
        <f t="shared" si="2"/>
        <v>2.9311399178571431</v>
      </c>
    </row>
    <row r="22" spans="1:158" x14ac:dyDescent="0.25">
      <c r="A22" s="17">
        <v>19</v>
      </c>
      <c r="B22" s="17" t="s">
        <v>35</v>
      </c>
      <c r="C22" s="17" t="s">
        <v>11</v>
      </c>
      <c r="D22" s="17" t="s">
        <v>36</v>
      </c>
      <c r="E22" s="16">
        <v>0</v>
      </c>
      <c r="F22" s="18">
        <v>4.4400000000000004</v>
      </c>
      <c r="G22" s="18">
        <v>4.88</v>
      </c>
      <c r="H22" s="18">
        <v>2.36</v>
      </c>
      <c r="I22" s="18">
        <v>5.44</v>
      </c>
      <c r="J22" s="18">
        <v>3.43</v>
      </c>
      <c r="K22" s="18">
        <v>4.2</v>
      </c>
      <c r="L22" s="18">
        <v>4.34</v>
      </c>
      <c r="M22" s="18">
        <v>4.5999999999999996</v>
      </c>
      <c r="N22" s="18">
        <v>4.37</v>
      </c>
      <c r="O22" s="18">
        <v>3.55</v>
      </c>
      <c r="P22" s="18">
        <v>5.0999999999999996</v>
      </c>
      <c r="Q22" s="18">
        <v>3.3</v>
      </c>
      <c r="R22" s="18">
        <v>3.34</v>
      </c>
      <c r="S22" s="18">
        <v>2.78</v>
      </c>
      <c r="T22" s="18">
        <v>4.68</v>
      </c>
      <c r="U22" s="18">
        <v>1.56</v>
      </c>
      <c r="V22" s="18">
        <v>2.8</v>
      </c>
      <c r="W22" s="18">
        <v>2.62</v>
      </c>
      <c r="X22" s="18">
        <v>3.51</v>
      </c>
      <c r="Y22" s="18">
        <v>4.1399999999999997</v>
      </c>
      <c r="Z22" s="18">
        <v>2.68</v>
      </c>
      <c r="AA22" s="18">
        <v>2.81</v>
      </c>
      <c r="AB22" s="18">
        <v>3.82</v>
      </c>
      <c r="AC22" s="18">
        <v>3.58</v>
      </c>
      <c r="AD22" s="19">
        <v>3.22</v>
      </c>
      <c r="AE22" s="19">
        <v>2.31</v>
      </c>
      <c r="AF22" s="19">
        <v>4.63</v>
      </c>
      <c r="AG22" s="19">
        <v>3.99</v>
      </c>
      <c r="AH22" s="19">
        <v>4.6100000000000003</v>
      </c>
      <c r="AI22" s="19">
        <v>2.98</v>
      </c>
      <c r="AJ22" s="19">
        <v>5.28</v>
      </c>
      <c r="AK22" s="19">
        <v>6.33</v>
      </c>
      <c r="AL22" s="19">
        <v>4.3600000000000003</v>
      </c>
      <c r="AM22" s="19">
        <v>5.59</v>
      </c>
      <c r="AN22" s="19">
        <v>4.58</v>
      </c>
      <c r="AO22" s="19">
        <v>3.59</v>
      </c>
      <c r="AP22" s="19">
        <v>4.6500000000000004</v>
      </c>
      <c r="AQ22" s="19">
        <v>5.33</v>
      </c>
      <c r="AR22" s="19">
        <v>5.35</v>
      </c>
      <c r="AS22" s="19">
        <v>4.7</v>
      </c>
      <c r="AT22" s="19">
        <v>5.26</v>
      </c>
      <c r="AU22" s="19">
        <v>4.9000000000000004</v>
      </c>
      <c r="AV22" s="19">
        <v>2.48</v>
      </c>
      <c r="AW22" s="19">
        <v>3.62</v>
      </c>
      <c r="AX22" s="19">
        <v>1.57</v>
      </c>
      <c r="AY22" s="19">
        <v>2.92</v>
      </c>
      <c r="AZ22" s="19">
        <v>2.48</v>
      </c>
      <c r="BA22" s="19">
        <v>4.0999999999999996</v>
      </c>
      <c r="BB22" s="19">
        <v>2.2400000000000002</v>
      </c>
      <c r="BC22" s="19">
        <v>3.41</v>
      </c>
      <c r="BD22" s="19">
        <v>5.36</v>
      </c>
      <c r="BE22" s="19">
        <v>3.17</v>
      </c>
      <c r="BF22" s="19">
        <v>4.71</v>
      </c>
      <c r="BG22" s="19">
        <v>4.2</v>
      </c>
      <c r="BH22" s="19">
        <v>4.05</v>
      </c>
      <c r="BI22" s="19">
        <v>2.5499999999999998</v>
      </c>
      <c r="BJ22" s="19">
        <v>5.45</v>
      </c>
      <c r="BK22" s="19">
        <v>2.64</v>
      </c>
      <c r="BL22" s="19">
        <v>4.72</v>
      </c>
      <c r="BM22" s="19">
        <v>4.01</v>
      </c>
      <c r="BN22" s="19">
        <v>3.61</v>
      </c>
      <c r="BO22" s="19">
        <v>4.1900000000000004</v>
      </c>
      <c r="BP22" s="19">
        <v>3.38</v>
      </c>
      <c r="BQ22" s="19">
        <v>3.61</v>
      </c>
      <c r="BR22" s="19">
        <v>1.1299999999999999</v>
      </c>
      <c r="BS22" s="19">
        <v>2.88</v>
      </c>
      <c r="BT22" s="19">
        <v>4.21</v>
      </c>
      <c r="BU22" s="19">
        <v>3.19</v>
      </c>
      <c r="BV22" s="19">
        <v>3.62</v>
      </c>
      <c r="BW22" s="19">
        <v>1.74</v>
      </c>
      <c r="BX22" s="19">
        <v>3.46</v>
      </c>
      <c r="BY22" s="19">
        <v>2.19</v>
      </c>
      <c r="BZ22" s="19">
        <v>1</v>
      </c>
      <c r="CA22" s="19">
        <v>1</v>
      </c>
      <c r="CB22" s="19">
        <v>69.239999999999995</v>
      </c>
      <c r="CC22" s="19">
        <v>1</v>
      </c>
      <c r="CD22" s="19">
        <v>56.1</v>
      </c>
      <c r="CE22" s="19">
        <v>130.54</v>
      </c>
      <c r="CF22" s="19">
        <v>82.84</v>
      </c>
      <c r="CG22" s="19">
        <v>29.11</v>
      </c>
      <c r="CH22" s="19">
        <v>65.44</v>
      </c>
      <c r="CI22" s="19">
        <v>200</v>
      </c>
      <c r="CJ22" s="19">
        <v>90.42</v>
      </c>
      <c r="CK22" s="19">
        <v>48.31</v>
      </c>
      <c r="CL22" s="19">
        <v>80.87</v>
      </c>
      <c r="CM22" s="19">
        <v>74.09</v>
      </c>
      <c r="CN22" s="19">
        <v>138.96</v>
      </c>
      <c r="CO22" s="19">
        <v>112.25</v>
      </c>
      <c r="CP22" s="19">
        <v>113.83</v>
      </c>
      <c r="CQ22" s="19">
        <v>73.31</v>
      </c>
      <c r="CR22" s="19">
        <v>130.58000000000001</v>
      </c>
      <c r="CS22" s="19">
        <v>114.69</v>
      </c>
      <c r="CT22" s="19">
        <v>146.12</v>
      </c>
      <c r="CU22" s="19">
        <v>183.63</v>
      </c>
      <c r="CV22" s="19">
        <v>90.96</v>
      </c>
      <c r="CW22" s="19">
        <v>172.89</v>
      </c>
      <c r="CX22" s="19">
        <v>84.92</v>
      </c>
      <c r="CY22" s="19">
        <v>3.31</v>
      </c>
      <c r="CZ22" s="19">
        <v>2.68</v>
      </c>
      <c r="DA22" s="19">
        <v>3.54</v>
      </c>
      <c r="DB22" s="19">
        <v>4.42</v>
      </c>
      <c r="DC22" s="19">
        <v>3.88</v>
      </c>
      <c r="DD22" s="19">
        <v>3.4</v>
      </c>
      <c r="DE22" s="19">
        <v>4.99</v>
      </c>
      <c r="DF22" s="19">
        <v>2.5099999999999998</v>
      </c>
      <c r="DG22" s="19">
        <v>4.09</v>
      </c>
      <c r="DH22" s="19">
        <v>5.34</v>
      </c>
      <c r="DI22" s="19">
        <v>3.17</v>
      </c>
      <c r="DJ22" s="19">
        <v>2.15</v>
      </c>
      <c r="DK22" s="19">
        <v>4.0599999999999996</v>
      </c>
      <c r="DL22" s="19">
        <v>5.16</v>
      </c>
      <c r="DM22" s="19">
        <v>4.62</v>
      </c>
      <c r="DN22" s="19">
        <v>4.5599999999999996</v>
      </c>
      <c r="DO22" s="19">
        <v>2.83</v>
      </c>
      <c r="DP22" s="19">
        <v>4.3099999999999996</v>
      </c>
      <c r="DQ22" s="19">
        <v>3.88</v>
      </c>
      <c r="DR22" s="19">
        <v>4.7300000000000004</v>
      </c>
      <c r="DS22" s="19">
        <v>4.7699999999999996</v>
      </c>
      <c r="DT22" s="19">
        <v>3.79</v>
      </c>
      <c r="DU22" s="19">
        <v>5.2</v>
      </c>
      <c r="DV22" s="19">
        <v>3.24</v>
      </c>
      <c r="DW22" s="19">
        <v>3.63</v>
      </c>
      <c r="DX22" s="19">
        <v>4.6900000000000004</v>
      </c>
      <c r="DY22" s="19">
        <v>3.7</v>
      </c>
      <c r="DZ22" s="19">
        <v>2.39</v>
      </c>
      <c r="EA22" s="19">
        <v>4.8099999999999996</v>
      </c>
      <c r="EB22" s="19">
        <v>5.01</v>
      </c>
      <c r="EC22" s="19">
        <v>3.87</v>
      </c>
      <c r="ED22" s="19">
        <v>3.25</v>
      </c>
      <c r="EE22" s="19">
        <v>5.47</v>
      </c>
      <c r="EF22" s="19">
        <v>6.41</v>
      </c>
      <c r="EG22" s="19">
        <v>2.64</v>
      </c>
      <c r="EH22" s="19">
        <v>4.71</v>
      </c>
      <c r="EI22" s="19">
        <v>1.39</v>
      </c>
      <c r="EJ22" s="19">
        <v>4.79</v>
      </c>
      <c r="EK22" s="19">
        <v>5.84</v>
      </c>
      <c r="EL22" s="19">
        <v>5.37</v>
      </c>
      <c r="EM22" s="19">
        <v>3.71</v>
      </c>
      <c r="EN22" s="19">
        <v>2.96</v>
      </c>
      <c r="EO22" s="19">
        <v>4.4400000000000004</v>
      </c>
      <c r="EP22" s="19">
        <v>4.7300000000000004</v>
      </c>
      <c r="EQ22" s="19">
        <v>5.12</v>
      </c>
      <c r="ER22" s="19"/>
      <c r="ES22" s="16">
        <f t="shared" si="2"/>
        <v>3.43</v>
      </c>
      <c r="ET22" s="16">
        <f t="shared" si="2"/>
        <v>4.1399999999999997</v>
      </c>
      <c r="EU22" s="16">
        <f t="shared" si="2"/>
        <v>6.33</v>
      </c>
      <c r="EV22" s="16">
        <f t="shared" si="2"/>
        <v>2.48</v>
      </c>
      <c r="EW22" s="16">
        <f t="shared" si="2"/>
        <v>4.1900000000000004</v>
      </c>
      <c r="EX22" s="16" t="str">
        <f t="shared" si="2"/>
        <v>.</v>
      </c>
      <c r="EY22" s="16">
        <f t="shared" si="2"/>
        <v>138.96</v>
      </c>
      <c r="EZ22" s="16">
        <f t="shared" si="2"/>
        <v>3.88</v>
      </c>
      <c r="FA22" s="16">
        <f t="shared" si="2"/>
        <v>4.7300000000000004</v>
      </c>
      <c r="FB22" s="16">
        <f t="shared" si="2"/>
        <v>2.64</v>
      </c>
    </row>
    <row r="23" spans="1:158" x14ac:dyDescent="0.25">
      <c r="A23" s="17">
        <v>20</v>
      </c>
      <c r="B23" s="17" t="s">
        <v>37</v>
      </c>
      <c r="C23" s="17" t="s">
        <v>37</v>
      </c>
      <c r="D23" s="17" t="s">
        <v>25</v>
      </c>
      <c r="E23" s="16">
        <v>1</v>
      </c>
      <c r="F23" s="18">
        <v>3.3657379191953298</v>
      </c>
      <c r="G23" s="18">
        <v>3.7374605901836366</v>
      </c>
      <c r="H23" s="18">
        <v>3.2069916494028869</v>
      </c>
      <c r="I23" s="18">
        <v>3.4271273800186033</v>
      </c>
      <c r="J23" s="18">
        <v>3.195774986775183</v>
      </c>
      <c r="K23" s="18">
        <v>3.4325942540498611</v>
      </c>
      <c r="L23" s="18">
        <v>3.4983395263157888</v>
      </c>
      <c r="M23" s="18">
        <v>3.5782932319313914</v>
      </c>
      <c r="N23" s="18">
        <v>3.6342676711405382</v>
      </c>
      <c r="O23" s="18">
        <v>3.668627234494199</v>
      </c>
      <c r="P23" s="18">
        <v>3.3915616174674312</v>
      </c>
      <c r="Q23" s="18">
        <v>3.8125342369964916</v>
      </c>
      <c r="R23" s="18">
        <v>3.2287727456158954</v>
      </c>
      <c r="S23" s="18">
        <v>3.5100459158753652</v>
      </c>
      <c r="T23" s="18">
        <v>4.3689297159578517</v>
      </c>
      <c r="U23" s="18">
        <v>2.935222620489994</v>
      </c>
      <c r="V23" s="18">
        <v>3.0785469216791634</v>
      </c>
      <c r="W23" s="18">
        <v>2.8370991267690329</v>
      </c>
      <c r="X23" s="18">
        <v>3.1600169132668627</v>
      </c>
      <c r="Y23" s="18">
        <v>2.8199560341414194</v>
      </c>
      <c r="Z23" s="18">
        <v>2.9113064974259024</v>
      </c>
      <c r="AA23" s="18">
        <v>2.8316043625092981</v>
      </c>
      <c r="AB23" s="18">
        <v>2.8529829604624051</v>
      </c>
      <c r="AC23" s="18">
        <v>2.9442439513359924</v>
      </c>
      <c r="AD23" s="19">
        <v>3.0982105813658793</v>
      </c>
      <c r="AE23" s="19">
        <v>2.8539087709123709</v>
      </c>
      <c r="AF23" s="19">
        <v>2.8627536292914897</v>
      </c>
      <c r="AG23" s="19">
        <v>2.7090250891721661</v>
      </c>
      <c r="AH23" s="19">
        <v>2.3095838020965198</v>
      </c>
      <c r="AI23" s="19">
        <v>2.9868439058048573</v>
      </c>
      <c r="AJ23" s="19">
        <v>4.1347851735944428</v>
      </c>
      <c r="AK23" s="19">
        <v>4.4774832709339156</v>
      </c>
      <c r="AL23" s="19">
        <v>3.9521491128751949</v>
      </c>
      <c r="AM23" s="19">
        <v>3.6205380000000003</v>
      </c>
      <c r="AN23" s="19">
        <v>3.773111624032238</v>
      </c>
      <c r="AO23" s="19">
        <v>3.859863756341138</v>
      </c>
      <c r="AP23" s="19">
        <v>3.9065235598540222</v>
      </c>
      <c r="AQ23" s="19">
        <v>4.3513064073456169</v>
      </c>
      <c r="AR23" s="19">
        <v>3.2043446229212584</v>
      </c>
      <c r="AS23" s="19">
        <v>3.2168565005331109</v>
      </c>
      <c r="AT23" s="19">
        <v>3.2742065729046641</v>
      </c>
      <c r="AU23" s="19">
        <v>3.8191129166654667</v>
      </c>
      <c r="AV23" s="19">
        <v>2.7116439502773884</v>
      </c>
      <c r="AW23" s="19">
        <v>3.3097399349287357</v>
      </c>
      <c r="AX23" s="19">
        <v>3.776001138648136</v>
      </c>
      <c r="AY23" s="19">
        <v>3.6578928613671562</v>
      </c>
      <c r="AZ23" s="19">
        <v>3.4369373636685285</v>
      </c>
      <c r="BA23" s="19">
        <v>3.3243225884798684</v>
      </c>
      <c r="BB23" s="19">
        <v>3.536645</v>
      </c>
      <c r="BC23" s="19">
        <v>3.6638089752090552</v>
      </c>
      <c r="BD23" s="19">
        <v>3.6324280970177405</v>
      </c>
      <c r="BE23" s="19">
        <v>3.682401221883767</v>
      </c>
      <c r="BF23" s="19">
        <v>4.1588106091350312</v>
      </c>
      <c r="BG23" s="19">
        <v>3.7921778473719749</v>
      </c>
      <c r="BH23" s="19">
        <v>4.4096598032915004</v>
      </c>
      <c r="BI23" s="19">
        <v>4.2443114380671059</v>
      </c>
      <c r="BJ23" s="19">
        <v>4.5963317116824394</v>
      </c>
      <c r="BK23" s="19">
        <v>2.6515826834560006</v>
      </c>
      <c r="BL23" s="19">
        <v>2.9386382198893264</v>
      </c>
      <c r="BM23" s="19">
        <v>3.5993239792411247</v>
      </c>
      <c r="BN23" s="19">
        <v>2.8837654161624733</v>
      </c>
      <c r="BO23" s="19">
        <v>3.1023463138985186</v>
      </c>
      <c r="BP23" s="19">
        <v>2.5473451331895713</v>
      </c>
      <c r="BQ23" s="19">
        <v>2.6765180000000002</v>
      </c>
      <c r="BR23" s="19">
        <v>2.78191445443038</v>
      </c>
      <c r="BS23" s="19">
        <v>2.8821477574817207</v>
      </c>
      <c r="BT23" s="19">
        <v>2.9570712312575314</v>
      </c>
      <c r="BU23" s="19">
        <v>3.3871537209165954</v>
      </c>
      <c r="BV23" s="19">
        <v>2.8439127426929915</v>
      </c>
      <c r="BW23" s="19">
        <v>3.6698659671968095</v>
      </c>
      <c r="BX23" s="19">
        <v>2.5896382905809414</v>
      </c>
      <c r="BY23" s="19">
        <v>3.1240021630616353</v>
      </c>
      <c r="BZ23" s="19">
        <v>3.953747408473494</v>
      </c>
      <c r="CA23" s="19">
        <v>2.4899959090830399</v>
      </c>
      <c r="CB23" s="19">
        <v>15.6057388649335</v>
      </c>
      <c r="CC23" s="19">
        <v>28.171175831295599</v>
      </c>
      <c r="CD23" s="19">
        <v>56.4113329581267</v>
      </c>
      <c r="CE23" s="19">
        <v>60.867886293387919</v>
      </c>
      <c r="CF23" s="19">
        <v>71.090856842796029</v>
      </c>
      <c r="CG23" s="19">
        <v>88.406739450398234</v>
      </c>
      <c r="CH23" s="19">
        <v>95.343551704687926</v>
      </c>
      <c r="CI23" s="19">
        <v>105.50291906737397</v>
      </c>
      <c r="CJ23" s="19">
        <v>36</v>
      </c>
      <c r="CK23" s="19">
        <v>36.340000000000003</v>
      </c>
      <c r="CL23" s="19">
        <v>36.950000000000003</v>
      </c>
      <c r="CM23" s="19">
        <v>50.17</v>
      </c>
      <c r="CN23" s="19">
        <v>105.03</v>
      </c>
      <c r="CO23" s="19">
        <v>68.62</v>
      </c>
      <c r="CP23" s="19">
        <v>74.741186206014305</v>
      </c>
      <c r="CQ23" s="19">
        <v>72.198311021862295</v>
      </c>
      <c r="CR23" s="19">
        <v>82.070061863857703</v>
      </c>
      <c r="CS23" s="19">
        <v>87.119378822632399</v>
      </c>
      <c r="CT23" s="19">
        <v>96.052406573907149</v>
      </c>
      <c r="CU23" s="19">
        <v>100.74393598924324</v>
      </c>
      <c r="CV23" s="19">
        <v>106.8338851396709</v>
      </c>
      <c r="CW23" s="19">
        <v>107.38678583569344</v>
      </c>
      <c r="CX23" s="19">
        <v>128.44913961942541</v>
      </c>
      <c r="CY23" s="19">
        <v>4.4180810525522132</v>
      </c>
      <c r="CZ23" s="19">
        <v>4.4934092632655345</v>
      </c>
      <c r="DA23" s="19">
        <v>4.4553338853777529</v>
      </c>
      <c r="DB23" s="19">
        <v>3.9253863571414223</v>
      </c>
      <c r="DC23" s="19">
        <v>4.2168577916425809</v>
      </c>
      <c r="DD23" s="19">
        <v>4.6279785991218283</v>
      </c>
      <c r="DE23" s="19">
        <v>4.3235359999999998</v>
      </c>
      <c r="DF23" s="19">
        <v>4.3717252180783817</v>
      </c>
      <c r="DG23" s="19">
        <v>4.5476315868102901</v>
      </c>
      <c r="DH23" s="19">
        <v>4.7382044467447475</v>
      </c>
      <c r="DI23" s="19">
        <v>5.3109068984890619</v>
      </c>
      <c r="DJ23" s="19">
        <v>4.9802250629627665</v>
      </c>
      <c r="DK23" s="19">
        <v>4.3803999335780492</v>
      </c>
      <c r="DL23" s="19">
        <v>4.1230929873324733</v>
      </c>
      <c r="DM23" s="19">
        <v>4.144453470759788</v>
      </c>
      <c r="DN23" s="19">
        <v>5.2303370082685801</v>
      </c>
      <c r="DO23" s="19">
        <v>4.9224488168073766</v>
      </c>
      <c r="DP23" s="19">
        <v>5.5182478409122719</v>
      </c>
      <c r="DQ23" s="19">
        <v>4.6229967744180795</v>
      </c>
      <c r="DR23" s="19">
        <v>5.4448752406674963</v>
      </c>
      <c r="DS23" s="19">
        <v>5.0774899020570379</v>
      </c>
      <c r="DT23" s="19">
        <v>4.8978919999999997</v>
      </c>
      <c r="DU23" s="19">
        <v>4.6276048767885811</v>
      </c>
      <c r="DV23" s="19">
        <v>3.9926155671224755</v>
      </c>
      <c r="DW23" s="19">
        <v>3.9466890411137676</v>
      </c>
      <c r="DX23" s="19">
        <v>3.8679276097411184</v>
      </c>
      <c r="DY23" s="19">
        <v>3.0667641448896665</v>
      </c>
      <c r="DZ23" s="19">
        <v>3.5185604096751906</v>
      </c>
      <c r="EA23" s="19">
        <v>4.5196346911098484</v>
      </c>
      <c r="EB23" s="19">
        <v>3.7591467671571959</v>
      </c>
      <c r="EC23" s="19">
        <v>4.1785752241701459</v>
      </c>
      <c r="ED23" s="19">
        <v>3.0023853144313826</v>
      </c>
      <c r="EE23" s="19">
        <v>5.2119185859907606</v>
      </c>
      <c r="EF23" s="19">
        <v>4.6688622013114127</v>
      </c>
      <c r="EG23" s="19">
        <v>4.1697019820360346</v>
      </c>
      <c r="EH23" s="19">
        <v>4.3029575540892457</v>
      </c>
      <c r="EI23" s="19">
        <v>4.2974110000000003</v>
      </c>
      <c r="EJ23" s="19">
        <v>4.3091111504406125</v>
      </c>
      <c r="EK23" s="19">
        <v>4.0057380182258155</v>
      </c>
      <c r="EL23" s="19">
        <v>3.8101113547560992</v>
      </c>
      <c r="EM23" s="19">
        <v>3.6985935743998559</v>
      </c>
      <c r="EN23" s="19">
        <v>4.3061770294455952</v>
      </c>
      <c r="EO23" s="19">
        <v>4.4365872538527462</v>
      </c>
      <c r="EP23" s="19">
        <v>5.3061208596430829</v>
      </c>
      <c r="EQ23" s="19">
        <v>2.1417708178575845</v>
      </c>
      <c r="ER23" s="19"/>
      <c r="ES23" s="16">
        <f t="shared" si="2"/>
        <v>3.195774986775183</v>
      </c>
      <c r="ET23" s="16">
        <f t="shared" si="2"/>
        <v>2.8199560341414194</v>
      </c>
      <c r="EU23" s="16">
        <f t="shared" si="2"/>
        <v>4.4774832709339156</v>
      </c>
      <c r="EV23" s="16">
        <f t="shared" si="2"/>
        <v>3.4369373636685285</v>
      </c>
      <c r="EW23" s="16">
        <f t="shared" si="2"/>
        <v>3.1023463138985186</v>
      </c>
      <c r="EX23" s="16" t="str">
        <f t="shared" si="2"/>
        <v>.</v>
      </c>
      <c r="EY23" s="16">
        <f t="shared" si="2"/>
        <v>105.03</v>
      </c>
      <c r="EZ23" s="16">
        <f t="shared" si="2"/>
        <v>4.2168577916425809</v>
      </c>
      <c r="FA23" s="16">
        <f t="shared" si="2"/>
        <v>5.4448752406674963</v>
      </c>
      <c r="FB23" s="16">
        <f t="shared" si="2"/>
        <v>4.1697019820360346</v>
      </c>
    </row>
    <row r="24" spans="1:158" x14ac:dyDescent="0.25">
      <c r="A24" s="17">
        <v>21</v>
      </c>
      <c r="B24" s="17" t="s">
        <v>38</v>
      </c>
      <c r="C24" s="17" t="s">
        <v>38</v>
      </c>
      <c r="D24" s="17" t="s">
        <v>18</v>
      </c>
      <c r="E24" s="16">
        <v>1</v>
      </c>
      <c r="F24" s="18">
        <v>3.0536361172679385</v>
      </c>
      <c r="G24" s="18">
        <v>3.0256903783510998</v>
      </c>
      <c r="H24" s="18">
        <v>3.0386674143236077</v>
      </c>
      <c r="I24" s="18">
        <v>3.2647111365355137</v>
      </c>
      <c r="J24" s="18">
        <v>3.4476878306755698</v>
      </c>
      <c r="K24" s="18">
        <v>3.5485654780062732</v>
      </c>
      <c r="L24" s="18">
        <v>3.6077177900504678</v>
      </c>
      <c r="M24" s="18">
        <v>3.613676978601069</v>
      </c>
      <c r="N24" s="18">
        <v>3.4261343259170389</v>
      </c>
      <c r="O24" s="18">
        <v>3.2137757941876419</v>
      </c>
      <c r="P24" s="18">
        <v>3.9741314511591419</v>
      </c>
      <c r="Q24" s="18">
        <v>3.1879048306259419</v>
      </c>
      <c r="R24" s="18">
        <v>4.4268741181737052</v>
      </c>
      <c r="S24" s="18">
        <v>2.4437561705322217</v>
      </c>
      <c r="T24" s="18">
        <v>4.1228428810494115</v>
      </c>
      <c r="U24" s="18">
        <v>2.2530669250977629</v>
      </c>
      <c r="V24" s="18">
        <v>2.1557205499901353</v>
      </c>
      <c r="W24" s="18">
        <v>2.2269578456167793</v>
      </c>
      <c r="X24" s="18">
        <v>2.5031711211807397</v>
      </c>
      <c r="Y24" s="18">
        <v>2.8125292579104477</v>
      </c>
      <c r="Z24" s="18">
        <v>3.0129051554236499</v>
      </c>
      <c r="AA24" s="18">
        <v>3.1537282346215991</v>
      </c>
      <c r="AB24" s="18">
        <v>3.149076830973585</v>
      </c>
      <c r="AC24" s="18">
        <v>2.8909253004030804</v>
      </c>
      <c r="AD24" s="19">
        <v>2.4599609011096231</v>
      </c>
      <c r="AE24" s="19">
        <v>1.8651431541157162</v>
      </c>
      <c r="AF24" s="19">
        <v>3.2237060815304335</v>
      </c>
      <c r="AG24" s="19">
        <v>2.9846075413196576</v>
      </c>
      <c r="AH24" s="19">
        <v>4.275366151493512</v>
      </c>
      <c r="AI24" s="19">
        <v>3.9481816278932924</v>
      </c>
      <c r="AJ24" s="19">
        <v>3.6257868847896439</v>
      </c>
      <c r="AK24" s="19">
        <v>3.6111636154228854</v>
      </c>
      <c r="AL24" s="19">
        <v>3.6388107346578367</v>
      </c>
      <c r="AM24" s="19">
        <v>3.7753487771689493</v>
      </c>
      <c r="AN24" s="19">
        <v>3.7005666570423403</v>
      </c>
      <c r="AO24" s="19">
        <v>3.6797680039037934</v>
      </c>
      <c r="AP24" s="19">
        <v>3.6717764924891623</v>
      </c>
      <c r="AQ24" s="19">
        <v>3.552619307078511</v>
      </c>
      <c r="AR24" s="19">
        <v>3.9085442979692058</v>
      </c>
      <c r="AS24" s="19">
        <v>3.8262731852688292</v>
      </c>
      <c r="AT24" s="19">
        <v>3.7551379612577587</v>
      </c>
      <c r="AU24" s="19">
        <v>3.5008836999191577</v>
      </c>
      <c r="AV24" s="19">
        <v>2.5704545798952863</v>
      </c>
      <c r="AW24" s="19">
        <v>2.2986938074623295</v>
      </c>
      <c r="AX24" s="19">
        <v>2.755985217241379</v>
      </c>
      <c r="AY24" s="19">
        <v>3.1960365514563107</v>
      </c>
      <c r="AZ24" s="19">
        <v>3.190607130597015</v>
      </c>
      <c r="BA24" s="19">
        <v>3.4743831622516552</v>
      </c>
      <c r="BB24" s="19">
        <v>3.6323555013698625</v>
      </c>
      <c r="BC24" s="19">
        <v>3.5952653045526581</v>
      </c>
      <c r="BD24" s="19">
        <v>3.1490909099578861</v>
      </c>
      <c r="BE24" s="19">
        <v>2.5255335240019967</v>
      </c>
      <c r="BF24" s="19">
        <v>3.1619173876104854</v>
      </c>
      <c r="BG24" s="19">
        <v>3.8298458523963443</v>
      </c>
      <c r="BH24" s="19">
        <v>3.6093984010042641</v>
      </c>
      <c r="BI24" s="19">
        <v>3.4953289129056158</v>
      </c>
      <c r="BJ24" s="19">
        <v>3.7410960930309627</v>
      </c>
      <c r="BK24" s="19">
        <v>2.4724222389695809</v>
      </c>
      <c r="BL24" s="19">
        <v>2.5033524371681413</v>
      </c>
      <c r="BM24" s="19">
        <v>2.5413468034482758</v>
      </c>
      <c r="BN24" s="19">
        <v>2.5302246019417476</v>
      </c>
      <c r="BO24" s="19">
        <v>2.8808417007462683</v>
      </c>
      <c r="BP24" s="19">
        <v>3.5754614966887415</v>
      </c>
      <c r="BQ24" s="19">
        <v>3.7093314821917804</v>
      </c>
      <c r="BR24" s="19">
        <v>3.5971400458884029</v>
      </c>
      <c r="BS24" s="19">
        <v>3.2896737734476726</v>
      </c>
      <c r="BT24" s="19">
        <v>2.7645477012260673</v>
      </c>
      <c r="BU24" s="19">
        <v>3.8300347532290235</v>
      </c>
      <c r="BV24" s="19">
        <v>3.1345903372569976</v>
      </c>
      <c r="BW24" s="19">
        <v>5.1278031728065523</v>
      </c>
      <c r="BX24" s="19">
        <v>2.1393937041027868</v>
      </c>
      <c r="BY24" s="19">
        <v>4.2695131984164085</v>
      </c>
      <c r="BZ24" s="19">
        <v>1.8652952565535601</v>
      </c>
      <c r="CA24" s="19">
        <v>6.7134482860238096</v>
      </c>
      <c r="CB24" s="19">
        <v>13.880435190044199</v>
      </c>
      <c r="CC24" s="19">
        <v>28.134029593836999</v>
      </c>
      <c r="CD24" s="19">
        <v>33.847154552369702</v>
      </c>
      <c r="CE24" s="19">
        <v>41.916408068092714</v>
      </c>
      <c r="CF24" s="19">
        <v>51.332747782022842</v>
      </c>
      <c r="CG24" s="19">
        <v>58.713137155143123</v>
      </c>
      <c r="CH24" s="19">
        <v>68.547732882333676</v>
      </c>
      <c r="CI24" s="19">
        <v>78.279463446317337</v>
      </c>
      <c r="CJ24" s="19">
        <v>26.371182748856501</v>
      </c>
      <c r="CK24" s="19">
        <v>30.748390197753899</v>
      </c>
      <c r="CL24" s="19">
        <v>49.823448181152301</v>
      </c>
      <c r="CM24" s="19">
        <v>72.477966308593807</v>
      </c>
      <c r="CN24" s="19">
        <v>72.300122589981001</v>
      </c>
      <c r="CO24" s="19">
        <v>82.803167848718502</v>
      </c>
      <c r="CP24" s="19">
        <v>92.638408390597903</v>
      </c>
      <c r="CQ24" s="19">
        <v>97.699452732588696</v>
      </c>
      <c r="CR24" s="19">
        <v>96.337248277601503</v>
      </c>
      <c r="CS24" s="19">
        <v>92.183851599189495</v>
      </c>
      <c r="CT24" s="19">
        <v>114.15233603666745</v>
      </c>
      <c r="CU24" s="19">
        <v>125.21836438639475</v>
      </c>
      <c r="CV24" s="19">
        <v>135.56475204412533</v>
      </c>
      <c r="CW24" s="19">
        <v>142.31305433021294</v>
      </c>
      <c r="CX24" s="19">
        <v>147.0529522481115</v>
      </c>
      <c r="CY24" s="19">
        <v>3.0847850289313703</v>
      </c>
      <c r="CZ24" s="19">
        <v>2.6024710197560394</v>
      </c>
      <c r="DA24" s="19">
        <v>2.1899975689655173</v>
      </c>
      <c r="DB24" s="19">
        <v>2.1947999436893202</v>
      </c>
      <c r="DC24" s="19">
        <v>2.6813632992537313</v>
      </c>
      <c r="DD24" s="19">
        <v>3.179380498013245</v>
      </c>
      <c r="DE24" s="19">
        <v>3.213370095890411</v>
      </c>
      <c r="DF24" s="19">
        <v>3.4508088412767162</v>
      </c>
      <c r="DG24" s="19">
        <v>3.439012320836385</v>
      </c>
      <c r="DH24" s="19">
        <v>3.0475110100716658</v>
      </c>
      <c r="DI24" s="19">
        <v>2.8083090270391193</v>
      </c>
      <c r="DJ24" s="19">
        <v>3.0290276894621861</v>
      </c>
      <c r="DK24" s="19">
        <v>3.4899493739689418</v>
      </c>
      <c r="DL24" s="19">
        <v>4.0980836736412298</v>
      </c>
      <c r="DM24" s="19">
        <v>4.2630053016570972</v>
      </c>
      <c r="DN24" s="19">
        <v>2.0618691862594303</v>
      </c>
      <c r="DO24" s="19">
        <v>1.9053409347524515</v>
      </c>
      <c r="DP24" s="19">
        <v>2.5321662620689653</v>
      </c>
      <c r="DQ24" s="19">
        <v>3.341498918446602</v>
      </c>
      <c r="DR24" s="19">
        <v>3.4378858731343285</v>
      </c>
      <c r="DS24" s="19">
        <v>3.22888997615894</v>
      </c>
      <c r="DT24" s="19">
        <v>3.4447963041095893</v>
      </c>
      <c r="DU24" s="19">
        <v>3.5984535153609234</v>
      </c>
      <c r="DV24" s="19">
        <v>3.3081164518992106</v>
      </c>
      <c r="DW24" s="19">
        <v>3.0127271241748454</v>
      </c>
      <c r="DX24" s="19">
        <v>4.0099638728054128</v>
      </c>
      <c r="DY24" s="19">
        <v>4.3056803465513829</v>
      </c>
      <c r="DZ24" s="19">
        <v>3.6174047209707121</v>
      </c>
      <c r="EA24" s="19">
        <v>4.4863907591280601</v>
      </c>
      <c r="EB24" s="19">
        <v>3.8865063732589</v>
      </c>
      <c r="EC24" s="19">
        <v>1.9326353182450746</v>
      </c>
      <c r="ED24" s="19">
        <v>1.8569853553695288</v>
      </c>
      <c r="EE24" s="19">
        <v>2.1929594275862065</v>
      </c>
      <c r="EF24" s="19">
        <v>2.600856699029126</v>
      </c>
      <c r="EG24" s="19">
        <v>2.9860561246268658</v>
      </c>
      <c r="EH24" s="19">
        <v>3.1335728490066224</v>
      </c>
      <c r="EI24" s="19">
        <v>3.4038597753424655</v>
      </c>
      <c r="EJ24" s="19">
        <v>3.3494423994363367</v>
      </c>
      <c r="EK24" s="19">
        <v>3.0689338684082035</v>
      </c>
      <c r="EL24" s="19">
        <v>3.11402122163281</v>
      </c>
      <c r="EM24" s="19">
        <v>3.987290751292528</v>
      </c>
      <c r="EN24" s="19">
        <v>3.3000804639235803</v>
      </c>
      <c r="EO24" s="19">
        <v>2.8477678335768379</v>
      </c>
      <c r="EP24" s="19">
        <v>4.3479144939254608</v>
      </c>
      <c r="EQ24" s="19">
        <v>4.436967204054703</v>
      </c>
      <c r="ER24" s="19"/>
      <c r="ES24" s="16">
        <f t="shared" si="2"/>
        <v>3.4476878306755698</v>
      </c>
      <c r="ET24" s="16">
        <f t="shared" si="2"/>
        <v>2.8125292579104477</v>
      </c>
      <c r="EU24" s="16">
        <f t="shared" si="2"/>
        <v>3.6111636154228854</v>
      </c>
      <c r="EV24" s="16">
        <f t="shared" si="2"/>
        <v>3.190607130597015</v>
      </c>
      <c r="EW24" s="16">
        <f t="shared" si="2"/>
        <v>2.8808417007462683</v>
      </c>
      <c r="EX24" s="16" t="str">
        <f t="shared" si="2"/>
        <v>.</v>
      </c>
      <c r="EY24" s="16">
        <f t="shared" si="2"/>
        <v>72.300122589981001</v>
      </c>
      <c r="EZ24" s="16">
        <f t="shared" si="2"/>
        <v>2.6813632992537313</v>
      </c>
      <c r="FA24" s="16">
        <f t="shared" si="2"/>
        <v>3.4378858731343285</v>
      </c>
      <c r="FB24" s="16">
        <f t="shared" si="2"/>
        <v>2.9860561246268658</v>
      </c>
    </row>
    <row r="25" spans="1:158" x14ac:dyDescent="0.25">
      <c r="A25" s="17">
        <v>22</v>
      </c>
      <c r="B25" s="17" t="s">
        <v>39</v>
      </c>
      <c r="C25" s="17" t="s">
        <v>39</v>
      </c>
      <c r="D25" s="17" t="s">
        <v>14</v>
      </c>
      <c r="E25" s="16">
        <v>1</v>
      </c>
      <c r="F25" s="18">
        <v>3.4118254198784896</v>
      </c>
      <c r="G25" s="18">
        <v>3.4546545939241522</v>
      </c>
      <c r="H25" s="18">
        <v>3.4134823794126419</v>
      </c>
      <c r="I25" s="18">
        <v>3.4350426977962147</v>
      </c>
      <c r="J25" s="18">
        <v>3.4863353815548042</v>
      </c>
      <c r="K25" s="18">
        <v>3.6648224435160071</v>
      </c>
      <c r="L25" s="18">
        <v>3.6080668419161674</v>
      </c>
      <c r="M25" s="18">
        <v>3.46640986755822</v>
      </c>
      <c r="N25" s="18">
        <v>3.4805776849366175</v>
      </c>
      <c r="O25" s="18">
        <v>3.6107067871413783</v>
      </c>
      <c r="P25" s="18">
        <v>3.5597058151285186</v>
      </c>
      <c r="Q25" s="18">
        <v>3.2054835088073488</v>
      </c>
      <c r="R25" s="18">
        <v>4.0905117680872261</v>
      </c>
      <c r="S25" s="18">
        <v>3.5113566019829414</v>
      </c>
      <c r="T25" s="18">
        <v>3.6039543356336736</v>
      </c>
      <c r="U25" s="18">
        <v>2.8517023454854056</v>
      </c>
      <c r="V25" s="18">
        <v>2.9758434587742166</v>
      </c>
      <c r="W25" s="18">
        <v>3.0962199828682175</v>
      </c>
      <c r="X25" s="18">
        <v>3.0378212680459766</v>
      </c>
      <c r="Y25" s="18">
        <v>3.0400641403058102</v>
      </c>
      <c r="Z25" s="18">
        <v>3.1300276587628866</v>
      </c>
      <c r="AA25" s="18">
        <v>2.9939577843104908</v>
      </c>
      <c r="AB25" s="18">
        <v>2.9716372870750174</v>
      </c>
      <c r="AC25" s="18">
        <v>3.0414475001087546</v>
      </c>
      <c r="AD25" s="19">
        <v>3.2226718216233556</v>
      </c>
      <c r="AE25" s="19">
        <v>3.1935750798904747</v>
      </c>
      <c r="AF25" s="19">
        <v>2.257659100589676</v>
      </c>
      <c r="AG25" s="19">
        <v>3.3456131892332812</v>
      </c>
      <c r="AH25" s="19">
        <v>3.0972032598741248</v>
      </c>
      <c r="AI25" s="19">
        <v>3.5639887256329041</v>
      </c>
      <c r="AJ25" s="19">
        <v>4.6515896045977003</v>
      </c>
      <c r="AK25" s="19">
        <v>4.520201666055045</v>
      </c>
      <c r="AL25" s="19">
        <v>4.3815511213058427</v>
      </c>
      <c r="AM25" s="19">
        <v>4.3515825397205594</v>
      </c>
      <c r="AN25" s="19">
        <v>4.3335016140340903</v>
      </c>
      <c r="AO25" s="19">
        <v>4.2020176563709937</v>
      </c>
      <c r="AP25" s="19">
        <v>4.2826611073545457</v>
      </c>
      <c r="AQ25" s="19">
        <v>4.3031225244651505</v>
      </c>
      <c r="AR25" s="19">
        <v>4.0967717209464682</v>
      </c>
      <c r="AS25" s="19">
        <v>3.5725228967427212</v>
      </c>
      <c r="AT25" s="19">
        <v>4.0118136551790231</v>
      </c>
      <c r="AU25" s="19">
        <v>3.9273660372981221</v>
      </c>
      <c r="AV25" s="19">
        <v>3.0802071606419434</v>
      </c>
      <c r="AW25" s="19">
        <v>3.5516730945026658</v>
      </c>
      <c r="AX25" s="19">
        <v>3.5956578779069766</v>
      </c>
      <c r="AY25" s="19">
        <v>3.5881659561576358</v>
      </c>
      <c r="AZ25" s="19">
        <v>3.8258451779816509</v>
      </c>
      <c r="BA25" s="19">
        <v>3.7875958422680416</v>
      </c>
      <c r="BB25" s="19">
        <v>3.7931719365269458</v>
      </c>
      <c r="BC25" s="19">
        <v>3.5053365085529871</v>
      </c>
      <c r="BD25" s="19">
        <v>3.2460568943444423</v>
      </c>
      <c r="BE25" s="19">
        <v>3.4866696861203161</v>
      </c>
      <c r="BF25" s="19">
        <v>3.9100323792751537</v>
      </c>
      <c r="BG25" s="19">
        <v>3.9644606175340704</v>
      </c>
      <c r="BH25" s="19">
        <v>4.8407818767958473</v>
      </c>
      <c r="BI25" s="19">
        <v>4.1237614245855854</v>
      </c>
      <c r="BJ25" s="19">
        <v>4.5815180616420763</v>
      </c>
      <c r="BK25" s="19">
        <v>3.4799126308654067</v>
      </c>
      <c r="BL25" s="19">
        <v>3.3112598128772639</v>
      </c>
      <c r="BM25" s="19">
        <v>3.3745230098837213</v>
      </c>
      <c r="BN25" s="19">
        <v>3.4307111541871924</v>
      </c>
      <c r="BO25" s="19">
        <v>3.0484719908256879</v>
      </c>
      <c r="BP25" s="19">
        <v>2.8025635711340207</v>
      </c>
      <c r="BQ25" s="19">
        <v>2.8365140167664666</v>
      </c>
      <c r="BR25" s="19">
        <v>2.9300488931985038</v>
      </c>
      <c r="BS25" s="19">
        <v>3.0725864178994122</v>
      </c>
      <c r="BT25" s="19">
        <v>3.3285435480778442</v>
      </c>
      <c r="BU25" s="19">
        <v>2.3102139270931041</v>
      </c>
      <c r="BV25" s="19">
        <v>3.2425078765672759</v>
      </c>
      <c r="BW25" s="19">
        <v>3.2495728916522992</v>
      </c>
      <c r="BX25" s="19">
        <v>2.9392877155927111</v>
      </c>
      <c r="BY25" s="19">
        <v>2.8210920538632585</v>
      </c>
      <c r="BZ25" s="19">
        <v>1.5265386278288999</v>
      </c>
      <c r="CA25" s="19">
        <v>16.593018730911201</v>
      </c>
      <c r="CB25" s="19">
        <v>74.135440126977599</v>
      </c>
      <c r="CC25" s="19">
        <v>49.742149832212199</v>
      </c>
      <c r="CD25" s="19">
        <v>67.310163054314202</v>
      </c>
      <c r="CE25" s="19">
        <v>89.771296028713209</v>
      </c>
      <c r="CF25" s="19">
        <v>106.22151515848871</v>
      </c>
      <c r="CG25" s="19">
        <v>131.43417071641267</v>
      </c>
      <c r="CH25" s="19">
        <v>137.72461778681418</v>
      </c>
      <c r="CI25" s="19">
        <v>161.78229236469284</v>
      </c>
      <c r="CJ25" s="19">
        <v>46.632861189801702</v>
      </c>
      <c r="CK25" s="19">
        <v>46.775970458984403</v>
      </c>
      <c r="CL25" s="19">
        <v>77.973159790039105</v>
      </c>
      <c r="CM25" s="19">
        <v>96.118591308593807</v>
      </c>
      <c r="CN25" s="19">
        <v>117.761622764949</v>
      </c>
      <c r="CO25" s="19">
        <v>142.818177431062</v>
      </c>
      <c r="CP25" s="19">
        <v>150.09110005323299</v>
      </c>
      <c r="CQ25" s="19">
        <v>160.64105278990499</v>
      </c>
      <c r="CR25" s="19">
        <v>167.29759387261899</v>
      </c>
      <c r="CS25" s="19">
        <v>169.003000432801</v>
      </c>
      <c r="CT25" s="19">
        <v>200</v>
      </c>
      <c r="CU25" s="19">
        <v>200</v>
      </c>
      <c r="CV25" s="19">
        <v>200</v>
      </c>
      <c r="CW25" s="19">
        <v>200</v>
      </c>
      <c r="CX25" s="19">
        <v>200</v>
      </c>
      <c r="CY25" s="19">
        <v>4.8740918456543465</v>
      </c>
      <c r="CZ25" s="19">
        <v>5.2141931236151606</v>
      </c>
      <c r="DA25" s="19">
        <v>5.3044515313953493</v>
      </c>
      <c r="DB25" s="19">
        <v>5.3024425226600975</v>
      </c>
      <c r="DC25" s="19">
        <v>5.1162995816513757</v>
      </c>
      <c r="DD25" s="19">
        <v>4.8622851206185569</v>
      </c>
      <c r="DE25" s="19">
        <v>4.9430025556886221</v>
      </c>
      <c r="DF25" s="19">
        <v>4.8997965483694896</v>
      </c>
      <c r="DG25" s="19">
        <v>4.8921106682104227</v>
      </c>
      <c r="DH25" s="19">
        <v>5.0277496551002212</v>
      </c>
      <c r="DI25" s="19">
        <v>3.6818941984003168</v>
      </c>
      <c r="DJ25" s="19">
        <v>4.9641342499780423</v>
      </c>
      <c r="DK25" s="19">
        <v>4.8562347131793882</v>
      </c>
      <c r="DL25" s="19">
        <v>5.5212921324281723</v>
      </c>
      <c r="DM25" s="19">
        <v>4.3680039330970821</v>
      </c>
      <c r="DN25" s="19">
        <v>4.3906997802520191</v>
      </c>
      <c r="DO25" s="19">
        <v>4.5966396031623464</v>
      </c>
      <c r="DP25" s="19">
        <v>4.6101291354651153</v>
      </c>
      <c r="DQ25" s="19">
        <v>4.6842465640394089</v>
      </c>
      <c r="DR25" s="19">
        <v>4.5624476990825684</v>
      </c>
      <c r="DS25" s="19">
        <v>4.4472732505154635</v>
      </c>
      <c r="DT25" s="19">
        <v>4.1608447497005985</v>
      </c>
      <c r="DU25" s="19">
        <v>3.7705993876581463</v>
      </c>
      <c r="DV25" s="19">
        <v>3.8005181926138261</v>
      </c>
      <c r="DW25" s="19">
        <v>3.9540027563798361</v>
      </c>
      <c r="DX25" s="19">
        <v>3.4974712274433513</v>
      </c>
      <c r="DY25" s="19">
        <v>4.0836578818488274</v>
      </c>
      <c r="DZ25" s="19">
        <v>4.3503206560354961</v>
      </c>
      <c r="EA25" s="19">
        <v>3.5257326479812159</v>
      </c>
      <c r="EB25" s="19">
        <v>2.9084030701292507</v>
      </c>
      <c r="EC25" s="19">
        <v>4.1948919919508159</v>
      </c>
      <c r="ED25" s="19">
        <v>4.4539726434271003</v>
      </c>
      <c r="EE25" s="19">
        <v>4.4533527936046511</v>
      </c>
      <c r="EF25" s="19">
        <v>4.5663930128078825</v>
      </c>
      <c r="EG25" s="19">
        <v>4.425486196330275</v>
      </c>
      <c r="EH25" s="19">
        <v>4.3919267484536082</v>
      </c>
      <c r="EI25" s="19">
        <v>4.2564886083832336</v>
      </c>
      <c r="EJ25" s="19">
        <v>3.9752401859154833</v>
      </c>
      <c r="EK25" s="19">
        <v>3.9540318468037774</v>
      </c>
      <c r="EL25" s="19">
        <v>4.128799391325626</v>
      </c>
      <c r="EM25" s="19">
        <v>3.3095860573682776</v>
      </c>
      <c r="EN25" s="19">
        <v>3.626621920407342</v>
      </c>
      <c r="EO25" s="19">
        <v>4.3170913239450472</v>
      </c>
      <c r="EP25" s="19">
        <v>3.94083172407819</v>
      </c>
      <c r="EQ25" s="19">
        <v>4.3690947850769533</v>
      </c>
      <c r="ER25" s="19"/>
      <c r="ES25" s="16">
        <f t="shared" si="2"/>
        <v>3.4863353815548042</v>
      </c>
      <c r="ET25" s="16">
        <f t="shared" si="2"/>
        <v>3.0400641403058102</v>
      </c>
      <c r="EU25" s="16">
        <f t="shared" si="2"/>
        <v>4.520201666055045</v>
      </c>
      <c r="EV25" s="16">
        <f t="shared" si="2"/>
        <v>3.8258451779816509</v>
      </c>
      <c r="EW25" s="16">
        <f t="shared" si="2"/>
        <v>3.0484719908256879</v>
      </c>
      <c r="EX25" s="16" t="str">
        <f t="shared" si="2"/>
        <v>.</v>
      </c>
      <c r="EY25" s="16">
        <f t="shared" si="2"/>
        <v>117.761622764949</v>
      </c>
      <c r="EZ25" s="16">
        <f t="shared" si="2"/>
        <v>5.1162995816513757</v>
      </c>
      <c r="FA25" s="16">
        <f t="shared" si="2"/>
        <v>4.5624476990825684</v>
      </c>
      <c r="FB25" s="16">
        <f t="shared" si="2"/>
        <v>4.425486196330275</v>
      </c>
    </row>
    <row r="26" spans="1:158" x14ac:dyDescent="0.25">
      <c r="A26" s="17">
        <v>23</v>
      </c>
      <c r="B26" s="17" t="s">
        <v>40</v>
      </c>
      <c r="C26" s="17" t="s">
        <v>40</v>
      </c>
      <c r="D26" s="17" t="s">
        <v>18</v>
      </c>
      <c r="E26" s="16">
        <v>1</v>
      </c>
      <c r="F26" s="18">
        <v>4.4773362933921899</v>
      </c>
      <c r="G26" s="18">
        <v>4.5806729039189538</v>
      </c>
      <c r="H26" s="18">
        <v>4.6401808012571912</v>
      </c>
      <c r="I26" s="18">
        <v>4.5082251859146432</v>
      </c>
      <c r="J26" s="18">
        <v>4.5432681964514687</v>
      </c>
      <c r="K26" s="18">
        <v>4.5103834058087289</v>
      </c>
      <c r="L26" s="18">
        <v>4.4208087395282814</v>
      </c>
      <c r="M26" s="18">
        <v>4.3193188319679106</v>
      </c>
      <c r="N26" s="18">
        <v>4.0751247785258498</v>
      </c>
      <c r="O26" s="18">
        <v>4.0054140254521142</v>
      </c>
      <c r="P26" s="18">
        <v>4.3756610037054529</v>
      </c>
      <c r="Q26" s="18">
        <v>3.9965142228568062</v>
      </c>
      <c r="R26" s="18">
        <v>4.5211544235515806</v>
      </c>
      <c r="S26" s="18">
        <v>3.5902590832615671</v>
      </c>
      <c r="T26" s="18">
        <v>3.9026819433024134</v>
      </c>
      <c r="U26" s="18">
        <v>3.5049091745793577</v>
      </c>
      <c r="V26" s="18">
        <v>3.4953228372269662</v>
      </c>
      <c r="W26" s="18">
        <v>3.5234493862884602</v>
      </c>
      <c r="X26" s="18">
        <v>3.5492033499145434</v>
      </c>
      <c r="Y26" s="18">
        <v>3.4959667727127912</v>
      </c>
      <c r="Z26" s="18">
        <v>3.4237681069570418</v>
      </c>
      <c r="AA26" s="18">
        <v>3.4152649175795555</v>
      </c>
      <c r="AB26" s="18">
        <v>3.313900387235484</v>
      </c>
      <c r="AC26" s="18">
        <v>3.1639100175470816</v>
      </c>
      <c r="AD26" s="19">
        <v>3.096489658962581</v>
      </c>
      <c r="AE26" s="19">
        <v>3.3139894564122541</v>
      </c>
      <c r="AF26" s="19">
        <v>2.5003342404709565</v>
      </c>
      <c r="AG26" s="19">
        <v>2.7615029884250384</v>
      </c>
      <c r="AH26" s="19">
        <v>2.9576897451406756</v>
      </c>
      <c r="AI26" s="19">
        <v>3.9033003417787246</v>
      </c>
      <c r="AJ26" s="19">
        <v>5.2843374622731618</v>
      </c>
      <c r="AK26" s="19">
        <v>5.2098328341831923</v>
      </c>
      <c r="AL26" s="19">
        <v>5.2107318664634148</v>
      </c>
      <c r="AM26" s="19">
        <v>5.0666865254495157</v>
      </c>
      <c r="AN26" s="19">
        <v>4.806954098309979</v>
      </c>
      <c r="AO26" s="19">
        <v>4.6114701069987554</v>
      </c>
      <c r="AP26" s="19">
        <v>4.4730564239697577</v>
      </c>
      <c r="AQ26" s="19">
        <v>4.4326685440184406</v>
      </c>
      <c r="AR26" s="19">
        <v>4.1795810031518892</v>
      </c>
      <c r="AS26" s="19">
        <v>4.0176119778005335</v>
      </c>
      <c r="AT26" s="19">
        <v>4.0514959363339713</v>
      </c>
      <c r="AU26" s="19">
        <v>4.0989099352467706</v>
      </c>
      <c r="AV26" s="19">
        <v>1.8531382561725072</v>
      </c>
      <c r="AW26" s="19">
        <v>1.869415328531455</v>
      </c>
      <c r="AX26" s="19">
        <v>1.8466195573407203</v>
      </c>
      <c r="AY26" s="19">
        <v>1.9215732908309455</v>
      </c>
      <c r="AZ26" s="19">
        <v>2.0453038362606235</v>
      </c>
      <c r="BA26" s="19">
        <v>2.0176579259146341</v>
      </c>
      <c r="BB26" s="19">
        <v>1.9951108601659753</v>
      </c>
      <c r="BC26" s="19">
        <v>1.90100311102626</v>
      </c>
      <c r="BD26" s="19">
        <v>1.6966629409330067</v>
      </c>
      <c r="BE26" s="19">
        <v>1.6834697844431949</v>
      </c>
      <c r="BF26" s="19">
        <v>3.9615408941504668</v>
      </c>
      <c r="BG26" s="19">
        <v>4.8652998392717279</v>
      </c>
      <c r="BH26" s="19">
        <v>6.0971496015858486</v>
      </c>
      <c r="BI26" s="19">
        <v>6.4119498007921614</v>
      </c>
      <c r="BJ26" s="19">
        <v>6.632532252083057</v>
      </c>
      <c r="BK26" s="19">
        <v>3.8294227524183331</v>
      </c>
      <c r="BL26" s="19">
        <v>3.6220998933163155</v>
      </c>
      <c r="BM26" s="19">
        <v>3.6225478869806094</v>
      </c>
      <c r="BN26" s="19">
        <v>3.6257065495702006</v>
      </c>
      <c r="BO26" s="19">
        <v>3.7452113915014174</v>
      </c>
      <c r="BP26" s="19">
        <v>3.7619626731707312</v>
      </c>
      <c r="BQ26" s="19">
        <v>3.5687630311203318</v>
      </c>
      <c r="BR26" s="19">
        <v>3.5095944727044737</v>
      </c>
      <c r="BS26" s="19">
        <v>3.3963858759288232</v>
      </c>
      <c r="BT26" s="19">
        <v>3.4448953368113591</v>
      </c>
      <c r="BU26" s="19">
        <v>3.0398402127847577</v>
      </c>
      <c r="BV26" s="19">
        <v>3.0533710466268298</v>
      </c>
      <c r="BW26" s="19">
        <v>2.7978612284872777</v>
      </c>
      <c r="BX26" s="19">
        <v>2.98701180750485</v>
      </c>
      <c r="BY26" s="19">
        <v>3.3853440645807424</v>
      </c>
      <c r="BZ26" s="19">
        <v>20.906868410687999</v>
      </c>
      <c r="CA26" s="19">
        <v>36.634866169193401</v>
      </c>
      <c r="CB26" s="19">
        <v>51.460660003141797</v>
      </c>
      <c r="CC26" s="19">
        <v>78.139228476124799</v>
      </c>
      <c r="CD26" s="19">
        <v>88.622330630965607</v>
      </c>
      <c r="CE26" s="19">
        <v>106.37302911955005</v>
      </c>
      <c r="CF26" s="19">
        <v>125.66341856009487</v>
      </c>
      <c r="CG26" s="19">
        <v>140.77765842437978</v>
      </c>
      <c r="CH26" s="19">
        <v>161.34033112004721</v>
      </c>
      <c r="CI26" s="19">
        <v>178.62057483530694</v>
      </c>
      <c r="CJ26" s="19">
        <v>46.248781007182998</v>
      </c>
      <c r="CK26" s="19">
        <v>52.8997993469238</v>
      </c>
      <c r="CL26" s="19">
        <v>77.559059143066406</v>
      </c>
      <c r="CM26" s="19">
        <v>89.792991638183594</v>
      </c>
      <c r="CN26" s="19">
        <v>104.102440531496</v>
      </c>
      <c r="CO26" s="19">
        <v>123.175859121497</v>
      </c>
      <c r="CP26" s="19">
        <v>125.18780120943499</v>
      </c>
      <c r="CQ26" s="19">
        <v>135.30504810232799</v>
      </c>
      <c r="CR26" s="19">
        <v>138.951490610451</v>
      </c>
      <c r="CS26" s="19">
        <v>126.59226452134899</v>
      </c>
      <c r="CT26" s="19">
        <v>162.06543426585083</v>
      </c>
      <c r="CU26" s="19">
        <v>172.30867282523272</v>
      </c>
      <c r="CV26" s="19">
        <v>182.32203598326777</v>
      </c>
      <c r="CW26" s="19">
        <v>195.79432997383807</v>
      </c>
      <c r="CX26" s="19">
        <v>198.11091070245638</v>
      </c>
      <c r="CY26" s="19">
        <v>4.4593530183052241</v>
      </c>
      <c r="CZ26" s="19">
        <v>4.5847672477491965</v>
      </c>
      <c r="DA26" s="19">
        <v>4.3754794842105262</v>
      </c>
      <c r="DB26" s="19">
        <v>4.2676364985673354</v>
      </c>
      <c r="DC26" s="19">
        <v>4.4124081552407937</v>
      </c>
      <c r="DD26" s="19">
        <v>4.6653319137195117</v>
      </c>
      <c r="DE26" s="19">
        <v>4.5984124082987554</v>
      </c>
      <c r="DF26" s="19">
        <v>3.9935652169537095</v>
      </c>
      <c r="DG26" s="19">
        <v>3.9143323907514862</v>
      </c>
      <c r="DH26" s="19">
        <v>4.1295329966911902</v>
      </c>
      <c r="DI26" s="19">
        <v>4.6105610107968831</v>
      </c>
      <c r="DJ26" s="19">
        <v>3.9940960837791231</v>
      </c>
      <c r="DK26" s="19">
        <v>4.1882015493378288</v>
      </c>
      <c r="DL26" s="19">
        <v>3.6537822583874111</v>
      </c>
      <c r="DM26" s="19">
        <v>3.933177240563567</v>
      </c>
      <c r="DN26" s="19">
        <v>2.6903149881799564</v>
      </c>
      <c r="DO26" s="19">
        <v>2.7458467796175841</v>
      </c>
      <c r="DP26" s="19">
        <v>3.4277725240997232</v>
      </c>
      <c r="DQ26" s="19">
        <v>3.791403307163324</v>
      </c>
      <c r="DR26" s="19">
        <v>3.5637673728045329</v>
      </c>
      <c r="DS26" s="19">
        <v>3.3859570228658535</v>
      </c>
      <c r="DT26" s="19">
        <v>3.3569402987551866</v>
      </c>
      <c r="DU26" s="19">
        <v>3.1078691834533116</v>
      </c>
      <c r="DV26" s="19">
        <v>2.8720059157184465</v>
      </c>
      <c r="DW26" s="19">
        <v>2.9910595413354728</v>
      </c>
      <c r="DX26" s="19">
        <v>3.2380608704711862</v>
      </c>
      <c r="DY26" s="19">
        <v>3.1746650119436026</v>
      </c>
      <c r="DZ26" s="19">
        <v>3.0302972053577339</v>
      </c>
      <c r="EA26" s="19">
        <v>2.809989927516042</v>
      </c>
      <c r="EB26" s="19">
        <v>1.9381093050499765</v>
      </c>
      <c r="EC26" s="19">
        <v>2.3366044073396837</v>
      </c>
      <c r="ED26" s="19">
        <v>2.479218751741489</v>
      </c>
      <c r="EE26" s="19">
        <v>2.7546575196675898</v>
      </c>
      <c r="EF26" s="19">
        <v>2.9309450475644701</v>
      </c>
      <c r="EG26" s="19">
        <v>2.786869604532578</v>
      </c>
      <c r="EH26" s="19">
        <v>2.6557569490853656</v>
      </c>
      <c r="EI26" s="19">
        <v>2.7695884232365144</v>
      </c>
      <c r="EJ26" s="19">
        <v>2.7531885517071277</v>
      </c>
      <c r="EK26" s="19">
        <v>2.7469054571685301</v>
      </c>
      <c r="EL26" s="19">
        <v>2.9589201244941128</v>
      </c>
      <c r="EM26" s="19">
        <v>2.9722145638878539</v>
      </c>
      <c r="EN26" s="19">
        <v>3.2778599209446151</v>
      </c>
      <c r="EO26" s="19">
        <v>3.3666394609381052</v>
      </c>
      <c r="EP26" s="19">
        <v>2.9445219872744088</v>
      </c>
      <c r="EQ26" s="19">
        <v>3.5743108375616939</v>
      </c>
      <c r="ER26" s="19"/>
      <c r="ES26" s="16">
        <f t="shared" si="2"/>
        <v>4.5432681964514687</v>
      </c>
      <c r="ET26" s="16">
        <f t="shared" si="2"/>
        <v>3.4959667727127912</v>
      </c>
      <c r="EU26" s="16">
        <f t="shared" si="2"/>
        <v>5.2098328341831923</v>
      </c>
      <c r="EV26" s="16">
        <f t="shared" si="2"/>
        <v>2.0453038362606235</v>
      </c>
      <c r="EW26" s="16">
        <f t="shared" si="2"/>
        <v>3.7452113915014174</v>
      </c>
      <c r="EX26" s="16" t="str">
        <f t="shared" si="2"/>
        <v>.</v>
      </c>
      <c r="EY26" s="16">
        <f t="shared" si="2"/>
        <v>104.102440531496</v>
      </c>
      <c r="EZ26" s="16">
        <f t="shared" si="2"/>
        <v>4.4124081552407937</v>
      </c>
      <c r="FA26" s="16">
        <f t="shared" si="2"/>
        <v>3.5637673728045329</v>
      </c>
      <c r="FB26" s="16">
        <f t="shared" si="2"/>
        <v>2.786869604532578</v>
      </c>
    </row>
    <row r="27" spans="1:158" x14ac:dyDescent="0.25">
      <c r="A27" s="17">
        <v>24</v>
      </c>
      <c r="B27" s="17" t="s">
        <v>41</v>
      </c>
      <c r="C27" s="17" t="s">
        <v>41</v>
      </c>
      <c r="D27" s="17" t="s">
        <v>23</v>
      </c>
      <c r="E27" s="16">
        <v>1</v>
      </c>
      <c r="F27" s="18">
        <v>3.5687988524790302</v>
      </c>
      <c r="G27" s="18">
        <v>3.6878691305920288</v>
      </c>
      <c r="H27" s="18">
        <v>3.6829161774461023</v>
      </c>
      <c r="I27" s="18">
        <v>3.5243696006875296</v>
      </c>
      <c r="J27" s="18">
        <v>3.5528948163791219</v>
      </c>
      <c r="K27" s="18">
        <v>3.6174018288831831</v>
      </c>
      <c r="L27" s="18">
        <v>3.5898569082482323</v>
      </c>
      <c r="M27" s="18">
        <v>3.6058067156166627</v>
      </c>
      <c r="N27" s="18">
        <v>3.6367545177509597</v>
      </c>
      <c r="O27" s="18">
        <v>3.781990909442666</v>
      </c>
      <c r="P27" s="18">
        <v>4.2160391574344569</v>
      </c>
      <c r="Q27" s="18">
        <v>3.573430940629895</v>
      </c>
      <c r="R27" s="18">
        <v>3.7938366526755338</v>
      </c>
      <c r="S27" s="18">
        <v>4.0726487651565009</v>
      </c>
      <c r="T27" s="18">
        <v>3.8386858036072966</v>
      </c>
      <c r="U27" s="18">
        <v>2.9593997818548456</v>
      </c>
      <c r="V27" s="18">
        <v>2.9074159932751802</v>
      </c>
      <c r="W27" s="18">
        <v>2.8988232233778475</v>
      </c>
      <c r="X27" s="18">
        <v>2.9149437385585579</v>
      </c>
      <c r="Y27" s="18">
        <v>2.9355966093407106</v>
      </c>
      <c r="Z27" s="18">
        <v>2.9759286640631228</v>
      </c>
      <c r="AA27" s="18">
        <v>2.9695178024765334</v>
      </c>
      <c r="AB27" s="18">
        <v>2.9378833647623139</v>
      </c>
      <c r="AC27" s="18">
        <v>3.1068580569244104</v>
      </c>
      <c r="AD27" s="19">
        <v>3.3562568499883985</v>
      </c>
      <c r="AE27" s="19">
        <v>3.5506178708715677</v>
      </c>
      <c r="AF27" s="19">
        <v>3.1028771651421305</v>
      </c>
      <c r="AG27" s="19">
        <v>3.4520303635137686</v>
      </c>
      <c r="AH27" s="19">
        <v>3.0262228940914095</v>
      </c>
      <c r="AI27" s="19">
        <v>2.9299773661361255</v>
      </c>
      <c r="AJ27" s="19">
        <v>4.1687889298798799</v>
      </c>
      <c r="AK27" s="19">
        <v>4.1114185969571233</v>
      </c>
      <c r="AL27" s="19">
        <v>4.2016663747967486</v>
      </c>
      <c r="AM27" s="19">
        <v>4.2237651950248756</v>
      </c>
      <c r="AN27" s="19">
        <v>4.3692896045771414</v>
      </c>
      <c r="AO27" s="19">
        <v>4.4790159468743438</v>
      </c>
      <c r="AP27" s="19">
        <v>4.760471399521931</v>
      </c>
      <c r="AQ27" s="19">
        <v>4.697431823938901</v>
      </c>
      <c r="AR27" s="19">
        <v>5.2583396556200386</v>
      </c>
      <c r="AS27" s="19">
        <v>4.874738931813682</v>
      </c>
      <c r="AT27" s="19">
        <v>4.9365556202073764</v>
      </c>
      <c r="AU27" s="19">
        <v>4.4643184394690012</v>
      </c>
      <c r="AV27" s="19">
        <v>2.9254460436656933</v>
      </c>
      <c r="AW27" s="19">
        <v>2.9965459496549451</v>
      </c>
      <c r="AX27" s="19">
        <v>3.0761872517412936</v>
      </c>
      <c r="AY27" s="19">
        <v>3.168721917117117</v>
      </c>
      <c r="AZ27" s="19">
        <v>3.051603604979253</v>
      </c>
      <c r="BA27" s="19">
        <v>2.9668615170731707</v>
      </c>
      <c r="BB27" s="19">
        <v>3.0595717074626867</v>
      </c>
      <c r="BC27" s="19">
        <v>3.0648105103866996</v>
      </c>
      <c r="BD27" s="19">
        <v>3.1579088141384735</v>
      </c>
      <c r="BE27" s="19">
        <v>3.49377735053306</v>
      </c>
      <c r="BF27" s="19">
        <v>4.8343631564036054</v>
      </c>
      <c r="BG27" s="19">
        <v>6.0709483935380746</v>
      </c>
      <c r="BH27" s="19">
        <v>5.1393492760899679</v>
      </c>
      <c r="BI27" s="19">
        <v>4.3865255757440602</v>
      </c>
      <c r="BJ27" s="19">
        <v>4.6318369387164324</v>
      </c>
      <c r="BK27" s="19">
        <v>3.29010603532193</v>
      </c>
      <c r="BL27" s="19">
        <v>3.2792053523825171</v>
      </c>
      <c r="BM27" s="19">
        <v>3.3118859114427863</v>
      </c>
      <c r="BN27" s="19">
        <v>3.2095503990990988</v>
      </c>
      <c r="BO27" s="19">
        <v>3.1602671278008301</v>
      </c>
      <c r="BP27" s="19">
        <v>3.1616095609756099</v>
      </c>
      <c r="BQ27" s="19">
        <v>2.9272454776119403</v>
      </c>
      <c r="BR27" s="19">
        <v>2.9431355306136675</v>
      </c>
      <c r="BS27" s="19">
        <v>3.2162475381267672</v>
      </c>
      <c r="BT27" s="19">
        <v>3.2577807616361811</v>
      </c>
      <c r="BU27" s="19">
        <v>2.7274385531425214</v>
      </c>
      <c r="BV27" s="19">
        <v>2.9236296506208652</v>
      </c>
      <c r="BW27" s="19">
        <v>2.6536252906973936</v>
      </c>
      <c r="BX27" s="19">
        <v>3.6641863547455702</v>
      </c>
      <c r="BY27" s="19">
        <v>2.6812869929869221</v>
      </c>
      <c r="BZ27" s="19">
        <v>14.5175987273935</v>
      </c>
      <c r="CA27" s="19">
        <v>40.281848579990502</v>
      </c>
      <c r="CB27" s="19">
        <v>58.265308199164799</v>
      </c>
      <c r="CC27" s="19">
        <v>66.411444311228905</v>
      </c>
      <c r="CD27" s="19">
        <v>81.290437686929494</v>
      </c>
      <c r="CE27" s="19">
        <v>100.66301683087461</v>
      </c>
      <c r="CF27" s="19">
        <v>111.4784419083761</v>
      </c>
      <c r="CG27" s="19">
        <v>132.13203875866401</v>
      </c>
      <c r="CH27" s="19">
        <v>151.68818592913274</v>
      </c>
      <c r="CI27" s="19">
        <v>164.79150147260486</v>
      </c>
      <c r="CJ27" s="19">
        <v>80.829950815428404</v>
      </c>
      <c r="CK27" s="19">
        <v>107.589637756348</v>
      </c>
      <c r="CL27" s="19">
        <v>140.21249389648401</v>
      </c>
      <c r="CM27" s="19">
        <v>140.72547912597699</v>
      </c>
      <c r="CN27" s="19">
        <v>141.23360160718801</v>
      </c>
      <c r="CO27" s="19">
        <v>140.67812361715201</v>
      </c>
      <c r="CP27" s="19">
        <v>145.72745436424799</v>
      </c>
      <c r="CQ27" s="19">
        <v>145.18768873020301</v>
      </c>
      <c r="CR27" s="19">
        <v>137.706595342242</v>
      </c>
      <c r="CS27" s="19">
        <v>129.27171496494799</v>
      </c>
      <c r="CT27" s="19">
        <v>153.04972423745977</v>
      </c>
      <c r="CU27" s="19">
        <v>162.97953647448622</v>
      </c>
      <c r="CV27" s="19">
        <v>162.96524892032642</v>
      </c>
      <c r="CW27" s="19">
        <v>160.85334153677641</v>
      </c>
      <c r="CX27" s="19">
        <v>171.08434219490502</v>
      </c>
      <c r="CY27" s="19">
        <v>3.8161656118143461</v>
      </c>
      <c r="CZ27" s="19">
        <v>3.9186203642175235</v>
      </c>
      <c r="DA27" s="19">
        <v>3.4432396855721397</v>
      </c>
      <c r="DB27" s="19">
        <v>3.2334189450450452</v>
      </c>
      <c r="DC27" s="19">
        <v>3.2935917319502073</v>
      </c>
      <c r="DD27" s="19">
        <v>3.5017322951219514</v>
      </c>
      <c r="DE27" s="19">
        <v>3.5379912985074622</v>
      </c>
      <c r="DF27" s="19">
        <v>3.4679958382162148</v>
      </c>
      <c r="DG27" s="19">
        <v>3.5964889036466001</v>
      </c>
      <c r="DH27" s="19">
        <v>3.6858735640843712</v>
      </c>
      <c r="DI27" s="19">
        <v>3.7155062717185654</v>
      </c>
      <c r="DJ27" s="19">
        <v>2.3765917368556995</v>
      </c>
      <c r="DK27" s="19">
        <v>3.5957986254426575</v>
      </c>
      <c r="DL27" s="19">
        <v>3.5984445139741554</v>
      </c>
      <c r="DM27" s="19">
        <v>3.7326988664236063</v>
      </c>
      <c r="DN27" s="19">
        <v>2.7332778631165726</v>
      </c>
      <c r="DO27" s="19">
        <v>2.5499277552274537</v>
      </c>
      <c r="DP27" s="19">
        <v>2.7654840766169153</v>
      </c>
      <c r="DQ27" s="19">
        <v>3.0692691432432433</v>
      </c>
      <c r="DR27" s="19">
        <v>3.0504555518672198</v>
      </c>
      <c r="DS27" s="19">
        <v>3.2543766487804882</v>
      </c>
      <c r="DT27" s="19">
        <v>3.544576271641791</v>
      </c>
      <c r="DU27" s="19">
        <v>3.5945706395467818</v>
      </c>
      <c r="DV27" s="19">
        <v>3.6977634758709774</v>
      </c>
      <c r="DW27" s="19">
        <v>3.8827344670440214</v>
      </c>
      <c r="DX27" s="19">
        <v>3.6970722166062115</v>
      </c>
      <c r="DY27" s="19">
        <v>4.2296053192818173</v>
      </c>
      <c r="DZ27" s="19">
        <v>4.0896352733061514</v>
      </c>
      <c r="EA27" s="19">
        <v>3.7627862718670544</v>
      </c>
      <c r="EB27" s="19">
        <v>4.3826674845192963</v>
      </c>
      <c r="EC27" s="19">
        <v>2.4226851851851849</v>
      </c>
      <c r="ED27" s="19">
        <v>2.2967733357541897</v>
      </c>
      <c r="EE27" s="19">
        <v>2.1724423293532338</v>
      </c>
      <c r="EF27" s="19">
        <v>2.0773422333333333</v>
      </c>
      <c r="EG27" s="19">
        <v>2.1134795124481327</v>
      </c>
      <c r="EH27" s="19">
        <v>2.5367299512195123</v>
      </c>
      <c r="EI27" s="19">
        <v>2.9451962925373132</v>
      </c>
      <c r="EJ27" s="19">
        <v>3.1424087069456772</v>
      </c>
      <c r="EK27" s="19">
        <v>3.281257287334634</v>
      </c>
      <c r="EL27" s="19">
        <v>3.3738309325593887</v>
      </c>
      <c r="EM27" s="19">
        <v>3.9576560173680644</v>
      </c>
      <c r="EN27" s="19">
        <v>3.0304345634895622</v>
      </c>
      <c r="EO27" s="19">
        <v>2.9934600159105194</v>
      </c>
      <c r="EP27" s="19">
        <v>3.5081793844334963</v>
      </c>
      <c r="EQ27" s="19">
        <v>2.7896088205040197</v>
      </c>
      <c r="ER27" s="19"/>
      <c r="ES27" s="16">
        <f t="shared" si="2"/>
        <v>3.5528948163791219</v>
      </c>
      <c r="ET27" s="16">
        <f t="shared" si="2"/>
        <v>2.9355966093407106</v>
      </c>
      <c r="EU27" s="16">
        <f t="shared" si="2"/>
        <v>4.1114185969571233</v>
      </c>
      <c r="EV27" s="16">
        <f t="shared" si="2"/>
        <v>3.051603604979253</v>
      </c>
      <c r="EW27" s="16">
        <f t="shared" si="2"/>
        <v>3.1602671278008301</v>
      </c>
      <c r="EX27" s="16" t="str">
        <f t="shared" si="2"/>
        <v>.</v>
      </c>
      <c r="EY27" s="16">
        <f t="shared" si="2"/>
        <v>141.23360160718801</v>
      </c>
      <c r="EZ27" s="16">
        <f t="shared" si="2"/>
        <v>3.2935917319502073</v>
      </c>
      <c r="FA27" s="16">
        <f t="shared" si="2"/>
        <v>3.0504555518672198</v>
      </c>
      <c r="FB27" s="16">
        <f t="shared" si="2"/>
        <v>2.1134795124481327</v>
      </c>
    </row>
    <row r="28" spans="1:158" x14ac:dyDescent="0.25">
      <c r="A28" s="17">
        <v>25</v>
      </c>
      <c r="B28" s="17" t="s">
        <v>42</v>
      </c>
      <c r="C28" s="17" t="s">
        <v>43</v>
      </c>
      <c r="D28" s="17" t="s">
        <v>14</v>
      </c>
      <c r="E28" s="16">
        <v>1</v>
      </c>
      <c r="F28" s="18">
        <v>3.4371057997578331</v>
      </c>
      <c r="G28" s="18">
        <v>3.5833805566167549</v>
      </c>
      <c r="H28" s="18">
        <v>3.2331540790671971</v>
      </c>
      <c r="I28" s="18">
        <v>2.8017199421052639</v>
      </c>
      <c r="J28" s="18">
        <v>2.858979516922052</v>
      </c>
      <c r="K28" s="18">
        <v>3.0053178055880445</v>
      </c>
      <c r="L28" s="18">
        <v>2.9721858184747587</v>
      </c>
      <c r="M28" s="18">
        <v>3.0011783040422113</v>
      </c>
      <c r="N28" s="18">
        <v>3.1145492181588899</v>
      </c>
      <c r="O28" s="18">
        <v>3.3721212476050777</v>
      </c>
      <c r="P28" s="18">
        <v>3.5180417772682606</v>
      </c>
      <c r="Q28" s="18">
        <v>3.3237480435102</v>
      </c>
      <c r="R28" s="18">
        <v>2.7264139650846078</v>
      </c>
      <c r="S28" s="18">
        <v>2.138577385044822</v>
      </c>
      <c r="T28" s="18">
        <v>3.3008206370232767</v>
      </c>
      <c r="U28" s="18">
        <v>2.9387864076474299</v>
      </c>
      <c r="V28" s="18">
        <v>2.952800394852495</v>
      </c>
      <c r="W28" s="18">
        <v>3.0000155389080456</v>
      </c>
      <c r="X28" s="18">
        <v>2.9296124145569622</v>
      </c>
      <c r="Y28" s="18">
        <v>2.8566120270042195</v>
      </c>
      <c r="Z28" s="18">
        <v>2.8747104190985642</v>
      </c>
      <c r="AA28" s="18">
        <v>2.8603183702964308</v>
      </c>
      <c r="AB28" s="18">
        <v>2.894500478598613</v>
      </c>
      <c r="AC28" s="18">
        <v>2.9778721429458996</v>
      </c>
      <c r="AD28" s="19">
        <v>3.1642287673970455</v>
      </c>
      <c r="AE28" s="19">
        <v>3.274831309454199</v>
      </c>
      <c r="AF28" s="19">
        <v>3.3605355586155707</v>
      </c>
      <c r="AG28" s="19">
        <v>3.7646882543868698</v>
      </c>
      <c r="AH28" s="19">
        <v>2.990378025226414</v>
      </c>
      <c r="AI28" s="19">
        <v>3.0063380702714864</v>
      </c>
      <c r="AJ28" s="19">
        <v>4.2165844000000003</v>
      </c>
      <c r="AK28" s="19">
        <v>3.9844933983122366</v>
      </c>
      <c r="AL28" s="19">
        <v>3.8704386617283952</v>
      </c>
      <c r="AM28" s="19">
        <v>3.6933013129251697</v>
      </c>
      <c r="AN28" s="19">
        <v>3.8304108147848317</v>
      </c>
      <c r="AO28" s="19">
        <v>3.6478262107475876</v>
      </c>
      <c r="AP28" s="19">
        <v>3.3815531104593268</v>
      </c>
      <c r="AQ28" s="19">
        <v>3.1995677543971657</v>
      </c>
      <c r="AR28" s="19">
        <v>3.258725542058742</v>
      </c>
      <c r="AS28" s="19">
        <v>2.7817524603105941</v>
      </c>
      <c r="AT28" s="19">
        <v>3.1659982016735211</v>
      </c>
      <c r="AU28" s="19">
        <v>2.805386060038773</v>
      </c>
      <c r="AV28" s="19">
        <v>3.4813903006288225</v>
      </c>
      <c r="AW28" s="19">
        <v>3.5264712744853739</v>
      </c>
      <c r="AX28" s="19">
        <v>3.5317470870689656</v>
      </c>
      <c r="AY28" s="19">
        <v>3.3403535</v>
      </c>
      <c r="AZ28" s="19">
        <v>3.5400826139240511</v>
      </c>
      <c r="BA28" s="19">
        <v>3.7222075925925928</v>
      </c>
      <c r="BB28" s="19">
        <v>3.717691970408163</v>
      </c>
      <c r="BC28" s="19">
        <v>3.5981127137219833</v>
      </c>
      <c r="BD28" s="19">
        <v>3.8012258821254834</v>
      </c>
      <c r="BE28" s="19">
        <v>3.9596873026015889</v>
      </c>
      <c r="BF28" s="19">
        <v>3.8550169208245149</v>
      </c>
      <c r="BG28" s="19">
        <v>3.6294974431850493</v>
      </c>
      <c r="BH28" s="19">
        <v>3.4456387635710795</v>
      </c>
      <c r="BI28" s="19">
        <v>3.7383720688804631</v>
      </c>
      <c r="BJ28" s="19">
        <v>3.7906243440764387</v>
      </c>
      <c r="BK28" s="19">
        <v>2.5270949981336317</v>
      </c>
      <c r="BL28" s="19">
        <v>2.9604128077464793</v>
      </c>
      <c r="BM28" s="19">
        <v>2.5406640637931033</v>
      </c>
      <c r="BN28" s="19">
        <v>1.8449556</v>
      </c>
      <c r="BO28" s="19">
        <v>1.7519281797468356</v>
      </c>
      <c r="BP28" s="19">
        <v>1.9362697358024692</v>
      </c>
      <c r="BQ28" s="19">
        <v>1.9622200581632652</v>
      </c>
      <c r="BR28" s="19">
        <v>1.8532634849230121</v>
      </c>
      <c r="BS28" s="19">
        <v>2.1946529509150237</v>
      </c>
      <c r="BT28" s="19">
        <v>2.570250944610823</v>
      </c>
      <c r="BU28" s="19">
        <v>3.5838909426667138</v>
      </c>
      <c r="BV28" s="19">
        <v>1.3502819405609015</v>
      </c>
      <c r="BW28" s="19">
        <v>2.1363847576269208</v>
      </c>
      <c r="BX28" s="19">
        <v>3.0527920061939637</v>
      </c>
      <c r="BY28" s="19">
        <v>1</v>
      </c>
      <c r="BZ28" s="19">
        <v>3.1347166170270135</v>
      </c>
      <c r="CA28" s="19">
        <v>2.9058979551944781</v>
      </c>
      <c r="CB28" s="19">
        <v>8.9523673652876194</v>
      </c>
      <c r="CC28" s="19">
        <v>13.488778772147205</v>
      </c>
      <c r="CD28" s="19">
        <v>51.982904230165488</v>
      </c>
      <c r="CE28" s="19">
        <v>52.603041239921879</v>
      </c>
      <c r="CF28" s="19">
        <v>63.10862850654128</v>
      </c>
      <c r="CG28" s="19">
        <v>68.345672415771446</v>
      </c>
      <c r="CH28" s="19">
        <v>80.563360941848032</v>
      </c>
      <c r="CI28" s="19">
        <v>92.271916022386947</v>
      </c>
      <c r="CJ28" s="19">
        <v>4.7894919866948902</v>
      </c>
      <c r="CK28" s="19">
        <v>7.4563956260681197</v>
      </c>
      <c r="CL28" s="19">
        <v>16.7813529968262</v>
      </c>
      <c r="CM28" s="19">
        <v>20.936822891235401</v>
      </c>
      <c r="CN28" s="19">
        <v>34.658747489330402</v>
      </c>
      <c r="CO28" s="19">
        <v>45.274458836699701</v>
      </c>
      <c r="CP28" s="19">
        <v>57.065061951778503</v>
      </c>
      <c r="CQ28" s="19">
        <v>66.377282949073205</v>
      </c>
      <c r="CR28" s="19">
        <v>62.45</v>
      </c>
      <c r="CS28" s="19">
        <v>83.66</v>
      </c>
      <c r="CT28" s="19">
        <v>87.965796488739684</v>
      </c>
      <c r="CU28" s="19">
        <v>98.806660264999252</v>
      </c>
      <c r="CV28" s="19">
        <v>103.4046657654701</v>
      </c>
      <c r="CW28" s="19">
        <v>119.16423452739501</v>
      </c>
      <c r="CX28" s="19">
        <v>122.99863202423836</v>
      </c>
      <c r="CY28" s="19">
        <v>4.4574463937621829</v>
      </c>
      <c r="CZ28" s="19">
        <v>4.4895707535211269</v>
      </c>
      <c r="DA28" s="19">
        <v>4.2966060629310352</v>
      </c>
      <c r="DB28" s="19">
        <v>4.1835915000000004</v>
      </c>
      <c r="DC28" s="19">
        <v>4.2924774329113928</v>
      </c>
      <c r="DD28" s="19">
        <v>4.2972970000000004</v>
      </c>
      <c r="DE28" s="19">
        <v>3.6707859142857142</v>
      </c>
      <c r="DF28" s="19">
        <v>3.4983558534455823</v>
      </c>
      <c r="DG28" s="19">
        <v>3.473706384256884</v>
      </c>
      <c r="DH28" s="19">
        <v>3.5746084488421808</v>
      </c>
      <c r="DI28" s="19">
        <v>3.1623894115532361</v>
      </c>
      <c r="DJ28" s="19">
        <v>2.8502257131615005</v>
      </c>
      <c r="DK28" s="19">
        <v>2.8284585851224708</v>
      </c>
      <c r="DL28" s="19">
        <v>3.1279990722760695</v>
      </c>
      <c r="DM28" s="19">
        <v>2.7441138750324372</v>
      </c>
      <c r="DN28" s="19">
        <v>2.3402645636527213</v>
      </c>
      <c r="DO28" s="19">
        <v>2.63570162843987</v>
      </c>
      <c r="DP28" s="19">
        <v>2.7867556629310344</v>
      </c>
      <c r="DQ28" s="19">
        <v>2.7900554500000001</v>
      </c>
      <c r="DR28" s="19">
        <v>2.7324572367088611</v>
      </c>
      <c r="DS28" s="19">
        <v>2.7287095506172845</v>
      </c>
      <c r="DT28" s="19">
        <v>2.5441216346938775</v>
      </c>
      <c r="DU28" s="19">
        <v>2.3694522442865678</v>
      </c>
      <c r="DV28" s="19">
        <v>2.4108179746813074</v>
      </c>
      <c r="DW28" s="19">
        <v>2.7246287165534016</v>
      </c>
      <c r="DX28" s="19">
        <v>2.3283458352587347</v>
      </c>
      <c r="DY28" s="19">
        <v>2.4326061957778822</v>
      </c>
      <c r="DZ28" s="19">
        <v>3.4301557225932591</v>
      </c>
      <c r="EA28" s="19">
        <v>3.1054102438832589</v>
      </c>
      <c r="EB28" s="19">
        <v>2.2187378323409108</v>
      </c>
      <c r="EC28" s="19">
        <v>2.3642515629733674</v>
      </c>
      <c r="ED28" s="19">
        <v>2.6819013919826653</v>
      </c>
      <c r="EE28" s="19">
        <v>2.7676928043103448</v>
      </c>
      <c r="EF28" s="19">
        <v>2.5850303499999998</v>
      </c>
      <c r="EG28" s="19">
        <v>2.5018099746835443</v>
      </c>
      <c r="EH28" s="19">
        <v>2.6069038716049384</v>
      </c>
      <c r="EI28" s="19">
        <v>2.5677656724489797</v>
      </c>
      <c r="EJ28" s="19">
        <v>2.4565366385904621</v>
      </c>
      <c r="EK28" s="19">
        <v>2.9720235921708182</v>
      </c>
      <c r="EL28" s="19">
        <v>3.3033546862011889</v>
      </c>
      <c r="EM28" s="19">
        <v>2.8633085239348386</v>
      </c>
      <c r="EN28" s="19">
        <v>3.2103360571366095</v>
      </c>
      <c r="EO28" s="19">
        <v>3.3948794077935522</v>
      </c>
      <c r="EP28" s="19">
        <v>3.112083407069635</v>
      </c>
      <c r="EQ28" s="19">
        <v>3.737439943953317</v>
      </c>
      <c r="ER28" s="19"/>
      <c r="ES28" s="16">
        <f t="shared" si="2"/>
        <v>2.858979516922052</v>
      </c>
      <c r="ET28" s="16">
        <f t="shared" si="2"/>
        <v>2.8566120270042195</v>
      </c>
      <c r="EU28" s="16">
        <f t="shared" si="2"/>
        <v>3.9844933983122366</v>
      </c>
      <c r="EV28" s="16">
        <f t="shared" si="2"/>
        <v>3.5400826139240511</v>
      </c>
      <c r="EW28" s="16">
        <f t="shared" si="2"/>
        <v>1.7519281797468356</v>
      </c>
      <c r="EX28" s="16" t="str">
        <f t="shared" si="2"/>
        <v>.</v>
      </c>
      <c r="EY28" s="16">
        <f t="shared" si="2"/>
        <v>34.658747489330402</v>
      </c>
      <c r="EZ28" s="16">
        <f t="shared" si="2"/>
        <v>4.2924774329113928</v>
      </c>
      <c r="FA28" s="16">
        <f t="shared" si="2"/>
        <v>2.7324572367088611</v>
      </c>
      <c r="FB28" s="16">
        <f t="shared" si="2"/>
        <v>2.5018099746835443</v>
      </c>
    </row>
    <row r="29" spans="1:158" x14ac:dyDescent="0.25">
      <c r="A29" s="17">
        <v>26</v>
      </c>
      <c r="B29" s="17" t="s">
        <v>44</v>
      </c>
      <c r="C29" s="17" t="s">
        <v>44</v>
      </c>
      <c r="D29" s="17" t="s">
        <v>14</v>
      </c>
      <c r="E29" s="16">
        <v>1</v>
      </c>
      <c r="F29" s="18">
        <v>2.8201863590549943</v>
      </c>
      <c r="G29" s="18">
        <v>3.2056909932215767</v>
      </c>
      <c r="H29" s="18">
        <v>3.2662702298249648</v>
      </c>
      <c r="I29" s="18">
        <v>2.7812755830551996</v>
      </c>
      <c r="J29" s="18">
        <v>2.6844554237986271</v>
      </c>
      <c r="K29" s="18">
        <v>2.6676844544067264</v>
      </c>
      <c r="L29" s="18">
        <v>2.8011551590411679</v>
      </c>
      <c r="M29" s="18">
        <v>2.9054774768471319</v>
      </c>
      <c r="N29" s="18">
        <v>2.9054774768471319</v>
      </c>
      <c r="O29" s="18">
        <v>3.072922624913641</v>
      </c>
      <c r="P29" s="18">
        <v>2.3326361314618564</v>
      </c>
      <c r="Q29" s="18">
        <v>2.9289689880670289</v>
      </c>
      <c r="R29" s="18">
        <v>3.1077822746480406</v>
      </c>
      <c r="S29" s="18">
        <v>2.4973042230353859</v>
      </c>
      <c r="T29" s="18">
        <v>3.00397550184063</v>
      </c>
      <c r="U29" s="18">
        <v>2.2908824808290098</v>
      </c>
      <c r="V29" s="18">
        <v>2.5014599092819991</v>
      </c>
      <c r="W29" s="18">
        <v>2.6069053360479035</v>
      </c>
      <c r="X29" s="18">
        <v>2.345488184390244</v>
      </c>
      <c r="Y29" s="18">
        <v>2.1857154052173913</v>
      </c>
      <c r="Z29" s="18">
        <v>2.1736768190927025</v>
      </c>
      <c r="AA29" s="18">
        <v>2.3118953506270628</v>
      </c>
      <c r="AB29" s="18">
        <v>2.4612536684047472</v>
      </c>
      <c r="AC29" s="18">
        <v>2.4612536684047472</v>
      </c>
      <c r="AD29" s="19">
        <v>2.5473228550793832</v>
      </c>
      <c r="AE29" s="19">
        <v>2.4376445609301478</v>
      </c>
      <c r="AF29" s="19">
        <v>3.1938760720403372</v>
      </c>
      <c r="AG29" s="19">
        <v>2.6576981654633625</v>
      </c>
      <c r="AH29" s="19">
        <v>2.5874183327785731</v>
      </c>
      <c r="AI29" s="19">
        <v>2.4654148663113182</v>
      </c>
      <c r="AJ29" s="19">
        <v>3.5777931300813015</v>
      </c>
      <c r="AK29" s="19">
        <v>3.2199754927536226</v>
      </c>
      <c r="AL29" s="19">
        <v>3.4117843516765283</v>
      </c>
      <c r="AM29" s="19">
        <v>3.3715052462046207</v>
      </c>
      <c r="AN29" s="19">
        <v>3.1984865058844272</v>
      </c>
      <c r="AO29" s="19">
        <v>3.1984865058844272</v>
      </c>
      <c r="AP29" s="19">
        <v>2.9831507707896985</v>
      </c>
      <c r="AQ29" s="19">
        <v>3.363952963497447</v>
      </c>
      <c r="AR29" s="19">
        <v>3.2354847731225909</v>
      </c>
      <c r="AS29" s="19">
        <v>2.9368820241262847</v>
      </c>
      <c r="AT29" s="19">
        <v>2.1806312872697595</v>
      </c>
      <c r="AU29" s="19">
        <v>2.908319655813048</v>
      </c>
      <c r="AV29" s="19">
        <v>3.0020635485913263</v>
      </c>
      <c r="AW29" s="19">
        <v>3.0884857847222218</v>
      </c>
      <c r="AX29" s="19">
        <v>2.7152307047904189</v>
      </c>
      <c r="AY29" s="19">
        <v>3.1702480243902436</v>
      </c>
      <c r="AZ29" s="19">
        <v>3.2893070869565215</v>
      </c>
      <c r="BA29" s="19">
        <v>2.7656684745562128</v>
      </c>
      <c r="BB29" s="19">
        <v>2.9098729326732675</v>
      </c>
      <c r="BC29" s="19">
        <v>3.1431036683545281</v>
      </c>
      <c r="BD29" s="19">
        <v>3.1431036683545281</v>
      </c>
      <c r="BE29" s="19">
        <v>3.0225892945339803</v>
      </c>
      <c r="BF29" s="19">
        <v>3.0166506782679532</v>
      </c>
      <c r="BG29" s="19">
        <v>3.5264591491657895</v>
      </c>
      <c r="BH29" s="19">
        <v>2.8236581418739668</v>
      </c>
      <c r="BI29" s="19">
        <v>2.6147505176608346</v>
      </c>
      <c r="BJ29" s="19">
        <v>4.2764056007481512</v>
      </c>
      <c r="BK29" s="19">
        <v>2.2752427289718007</v>
      </c>
      <c r="BL29" s="19">
        <v>2.3112167711472602</v>
      </c>
      <c r="BM29" s="19">
        <v>2.1228117862275449</v>
      </c>
      <c r="BN29" s="19">
        <v>1.8641912829268295</v>
      </c>
      <c r="BO29" s="19">
        <v>1.7692711913043477</v>
      </c>
      <c r="BP29" s="19">
        <v>1.7508334644970414</v>
      </c>
      <c r="BQ29" s="19">
        <v>2.1424197564356438</v>
      </c>
      <c r="BR29" s="19">
        <v>2.1747648909863115</v>
      </c>
      <c r="BS29" s="19">
        <v>2.1747648909863115</v>
      </c>
      <c r="BT29" s="19">
        <v>1.7926200941989296</v>
      </c>
      <c r="BU29" s="19">
        <v>2.300260795041706</v>
      </c>
      <c r="BV29" s="19">
        <v>1.6626517608860916</v>
      </c>
      <c r="BW29" s="19">
        <v>2.0301310214307406</v>
      </c>
      <c r="BX29" s="19">
        <v>1.3585775510546503</v>
      </c>
      <c r="BY29" s="19">
        <v>2.4987190290895676</v>
      </c>
      <c r="BZ29" s="19">
        <v>2.782312354574846</v>
      </c>
      <c r="CA29" s="19">
        <v>2.5949952359835171</v>
      </c>
      <c r="CB29" s="19">
        <v>1</v>
      </c>
      <c r="CC29" s="19">
        <v>1</v>
      </c>
      <c r="CD29" s="19">
        <v>7.5626080970762004</v>
      </c>
      <c r="CE29" s="19">
        <v>4.2290293533774914</v>
      </c>
      <c r="CF29" s="19">
        <v>5.0281241772075651</v>
      </c>
      <c r="CG29" s="19">
        <v>8.8825808203186654</v>
      </c>
      <c r="CH29" s="19">
        <v>10.218722607412806</v>
      </c>
      <c r="CI29" s="19">
        <v>9.6802807896860124</v>
      </c>
      <c r="CJ29" s="19">
        <v>2.0272956141513201</v>
      </c>
      <c r="CK29" s="19">
        <v>2.5529742240905802</v>
      </c>
      <c r="CL29" s="19">
        <v>5.42651319503784</v>
      </c>
      <c r="CM29" s="19">
        <v>10.0973224639893</v>
      </c>
      <c r="CN29" s="19">
        <v>13.724450959333801</v>
      </c>
      <c r="CO29" s="19">
        <v>14.460351349220799</v>
      </c>
      <c r="CP29" s="19">
        <v>25.683239294364299</v>
      </c>
      <c r="CQ29" s="19">
        <v>24.962588063683299</v>
      </c>
      <c r="CR29" s="19">
        <v>30.462010357585498</v>
      </c>
      <c r="CS29" s="19">
        <v>46.220957198251398</v>
      </c>
      <c r="CT29" s="19">
        <v>43.428137096422262</v>
      </c>
      <c r="CU29" s="19">
        <v>45.69747106237778</v>
      </c>
      <c r="CV29" s="19">
        <v>50.80509877465898</v>
      </c>
      <c r="CW29" s="19">
        <v>57.239063445067309</v>
      </c>
      <c r="CX29" s="19">
        <v>60.463704981145696</v>
      </c>
      <c r="CY29" s="19">
        <v>3.2534599156118142</v>
      </c>
      <c r="CZ29" s="19">
        <v>3.1643609754464284</v>
      </c>
      <c r="DA29" s="19">
        <v>2.9431737646706586</v>
      </c>
      <c r="DB29" s="19">
        <v>2.9649298536585369</v>
      </c>
      <c r="DC29" s="19">
        <v>2.7040089652173913</v>
      </c>
      <c r="DD29" s="19">
        <v>2.449535795857988</v>
      </c>
      <c r="DE29" s="19">
        <v>2.6654438000000003</v>
      </c>
      <c r="DF29" s="19">
        <v>2.7605945060472528</v>
      </c>
      <c r="DG29" s="19">
        <v>2.7605945060472528</v>
      </c>
      <c r="DH29" s="19">
        <v>2.760554081515262</v>
      </c>
      <c r="DI29" s="19">
        <v>1.7879452256948589</v>
      </c>
      <c r="DJ29" s="19">
        <v>2.2570314494385326</v>
      </c>
      <c r="DK29" s="19">
        <v>2.618379934175441</v>
      </c>
      <c r="DL29" s="19">
        <v>2.733992340193748</v>
      </c>
      <c r="DM29" s="19">
        <v>2.2576660501777979</v>
      </c>
      <c r="DN29" s="19">
        <v>1.9043937605003789</v>
      </c>
      <c r="DO29" s="19">
        <v>1.8917151334760272</v>
      </c>
      <c r="DP29" s="19">
        <v>2.5604987437125746</v>
      </c>
      <c r="DQ29" s="19">
        <v>2.8414977463414637</v>
      </c>
      <c r="DR29" s="19">
        <v>2.6101441999999997</v>
      </c>
      <c r="DS29" s="19">
        <v>2.332296520710059</v>
      </c>
      <c r="DT29" s="19">
        <v>2.5144681821782182</v>
      </c>
      <c r="DU29" s="19">
        <v>2.7506102410398299</v>
      </c>
      <c r="DV29" s="19">
        <v>2.7506102410398299</v>
      </c>
      <c r="DW29" s="19">
        <v>2.2179923245781348</v>
      </c>
      <c r="DX29" s="19">
        <v>3.3594310114640926</v>
      </c>
      <c r="DY29" s="19">
        <v>3.3581668572100405</v>
      </c>
      <c r="DZ29" s="19">
        <v>2.4134529227311829</v>
      </c>
      <c r="EA29" s="19">
        <v>2.6993279800299246</v>
      </c>
      <c r="EB29" s="19">
        <v>2.0843185038512297</v>
      </c>
      <c r="EC29" s="19">
        <v>2.0347184311534861</v>
      </c>
      <c r="ED29" s="19">
        <v>2.0199558344606161</v>
      </c>
      <c r="EE29" s="19">
        <v>2.3270948694610776</v>
      </c>
      <c r="EF29" s="19">
        <v>2.6641139268292684</v>
      </c>
      <c r="EG29" s="19">
        <v>2.8262843304347824</v>
      </c>
      <c r="EH29" s="19">
        <v>2.6991522242603549</v>
      </c>
      <c r="EI29" s="19">
        <v>3.0293259782178223</v>
      </c>
      <c r="EJ29" s="19">
        <v>3.2352694401045259</v>
      </c>
      <c r="EK29" s="19">
        <v>3.2352694401045259</v>
      </c>
      <c r="EL29" s="19">
        <v>2.8691708163211218</v>
      </c>
      <c r="EM29" s="19">
        <v>3.8652856815459149</v>
      </c>
      <c r="EN29" s="19">
        <v>3.2055146539124149</v>
      </c>
      <c r="EO29" s="19">
        <v>3.0757742755377566</v>
      </c>
      <c r="EP29" s="19">
        <v>4.2262191533537328</v>
      </c>
      <c r="EQ29" s="19">
        <v>3.5867854949186184</v>
      </c>
      <c r="ER29" s="19"/>
      <c r="ES29" s="16">
        <f t="shared" si="2"/>
        <v>2.6844554237986271</v>
      </c>
      <c r="ET29" s="16">
        <f t="shared" si="2"/>
        <v>2.1857154052173913</v>
      </c>
      <c r="EU29" s="16">
        <f t="shared" si="2"/>
        <v>3.2199754927536226</v>
      </c>
      <c r="EV29" s="16">
        <f t="shared" si="2"/>
        <v>3.2893070869565215</v>
      </c>
      <c r="EW29" s="16">
        <f t="shared" si="2"/>
        <v>1.7692711913043477</v>
      </c>
      <c r="EX29" s="16" t="str">
        <f t="shared" si="2"/>
        <v>.</v>
      </c>
      <c r="EY29" s="16">
        <f t="shared" si="2"/>
        <v>13.724450959333801</v>
      </c>
      <c r="EZ29" s="16">
        <f t="shared" si="2"/>
        <v>2.7040089652173913</v>
      </c>
      <c r="FA29" s="16">
        <f t="shared" si="2"/>
        <v>2.6101441999999997</v>
      </c>
      <c r="FB29" s="16">
        <f t="shared" si="2"/>
        <v>2.8262843304347824</v>
      </c>
    </row>
    <row r="30" spans="1:158" x14ac:dyDescent="0.25">
      <c r="A30" s="17">
        <v>27</v>
      </c>
      <c r="B30" s="17" t="s">
        <v>45</v>
      </c>
      <c r="C30" s="17" t="s">
        <v>45</v>
      </c>
      <c r="D30" s="17" t="s">
        <v>25</v>
      </c>
      <c r="E30" s="16">
        <v>1</v>
      </c>
      <c r="F30" s="18">
        <v>3.4007302751500843</v>
      </c>
      <c r="G30" s="18">
        <v>3.4103463423392517</v>
      </c>
      <c r="H30" s="18">
        <v>3.445935533012821</v>
      </c>
      <c r="I30" s="18">
        <v>3.3778915880966962</v>
      </c>
      <c r="J30" s="18">
        <v>3.6269910655395465</v>
      </c>
      <c r="K30" s="18">
        <v>3.8822018719000884</v>
      </c>
      <c r="L30" s="18">
        <v>3.8270007817337466</v>
      </c>
      <c r="M30" s="18">
        <v>3.5212966051877399</v>
      </c>
      <c r="N30" s="18">
        <v>3.3549716774131992</v>
      </c>
      <c r="O30" s="18">
        <v>3.4703947467046792</v>
      </c>
      <c r="P30" s="18">
        <v>2.9861338373916837</v>
      </c>
      <c r="Q30" s="18">
        <v>3.8609973664259614</v>
      </c>
      <c r="R30" s="18">
        <v>3.7137144106799167</v>
      </c>
      <c r="S30" s="18">
        <v>4.3878872129576187</v>
      </c>
      <c r="T30" s="18">
        <v>4.140437645430997</v>
      </c>
      <c r="U30" s="18">
        <v>2.6906483784641817</v>
      </c>
      <c r="V30" s="18">
        <v>2.66980194730843</v>
      </c>
      <c r="W30" s="18">
        <v>2.7239427836821704</v>
      </c>
      <c r="X30" s="18">
        <v>2.7478270484496128</v>
      </c>
      <c r="Y30" s="18">
        <v>3.0006468576908749</v>
      </c>
      <c r="Z30" s="18">
        <v>3.1877569210546142</v>
      </c>
      <c r="AA30" s="18">
        <v>3.0491663294117641</v>
      </c>
      <c r="AB30" s="18">
        <v>2.7877999193452303</v>
      </c>
      <c r="AC30" s="18">
        <v>2.7379438923442292</v>
      </c>
      <c r="AD30" s="19">
        <v>2.8304366489798323</v>
      </c>
      <c r="AE30" s="19">
        <v>2.8914881408554471</v>
      </c>
      <c r="AF30" s="19">
        <v>3.0423611818328937</v>
      </c>
      <c r="AG30" s="19">
        <v>2.7527778506737528</v>
      </c>
      <c r="AH30" s="19">
        <v>3.0044074872993463</v>
      </c>
      <c r="AI30" s="19">
        <v>2.7874960228623173</v>
      </c>
      <c r="AJ30" s="19">
        <v>4.5767049767441863</v>
      </c>
      <c r="AK30" s="19">
        <v>4.7507665167597759</v>
      </c>
      <c r="AL30" s="19">
        <v>4.8903494757062145</v>
      </c>
      <c r="AM30" s="19">
        <v>4.7304371617647059</v>
      </c>
      <c r="AN30" s="19">
        <v>4.50886735501114</v>
      </c>
      <c r="AO30" s="19">
        <v>4.3419651661475704</v>
      </c>
      <c r="AP30" s="19">
        <v>4.3286216580275942</v>
      </c>
      <c r="AQ30" s="19">
        <v>4.3102378413771296</v>
      </c>
      <c r="AR30" s="19">
        <v>3.4287160014081279</v>
      </c>
      <c r="AS30" s="19">
        <v>3.8796801687919893</v>
      </c>
      <c r="AT30" s="19">
        <v>4.2743038044383077</v>
      </c>
      <c r="AU30" s="19">
        <v>4.170141578807228</v>
      </c>
      <c r="AV30" s="19">
        <v>3.0872569124423963</v>
      </c>
      <c r="AW30" s="19">
        <v>2.9757987944444446</v>
      </c>
      <c r="AX30" s="19">
        <v>3.1473079999999998</v>
      </c>
      <c r="AY30" s="19">
        <v>3.3602846517441862</v>
      </c>
      <c r="AZ30" s="19">
        <v>3.6526273731843579</v>
      </c>
      <c r="BA30" s="19">
        <v>3.7882584734463274</v>
      </c>
      <c r="BB30" s="19">
        <v>3.5104271911764702</v>
      </c>
      <c r="BC30" s="19">
        <v>3.3559159942514727</v>
      </c>
      <c r="BD30" s="19">
        <v>3.4469453705344231</v>
      </c>
      <c r="BE30" s="19">
        <v>3.499148953214605</v>
      </c>
      <c r="BF30" s="19">
        <v>3.7048129947727135</v>
      </c>
      <c r="BG30" s="19">
        <v>4.7281867793873271</v>
      </c>
      <c r="BH30" s="19">
        <v>4.3307936902267823</v>
      </c>
      <c r="BI30" s="19">
        <v>3.7948371104168683</v>
      </c>
      <c r="BJ30" s="19">
        <v>5.7111058397591439</v>
      </c>
      <c r="BK30" s="19">
        <v>3.6700941163699521</v>
      </c>
      <c r="BL30" s="19">
        <v>3.6694904249999998</v>
      </c>
      <c r="BM30" s="19">
        <v>3.6055460186046511</v>
      </c>
      <c r="BN30" s="19">
        <v>3.6040129779069767</v>
      </c>
      <c r="BO30" s="19">
        <v>3.9180033156424581</v>
      </c>
      <c r="BP30" s="19">
        <v>3.860787032768362</v>
      </c>
      <c r="BQ30" s="19">
        <v>3.5250484411764704</v>
      </c>
      <c r="BR30" s="19">
        <v>3.4567205282926778</v>
      </c>
      <c r="BS30" s="19">
        <v>3.3717801930798084</v>
      </c>
      <c r="BT30" s="19">
        <v>3.5306919554446603</v>
      </c>
      <c r="BU30" s="19">
        <v>3.6376782422365723</v>
      </c>
      <c r="BV30" s="19">
        <v>4.3529979918692439</v>
      </c>
      <c r="BW30" s="19">
        <v>3.3843448873250526</v>
      </c>
      <c r="BX30" s="19">
        <v>3.1018970273507125</v>
      </c>
      <c r="BY30" s="19">
        <v>3.2162188308786179</v>
      </c>
      <c r="BZ30" s="19">
        <v>2.23695146018055</v>
      </c>
      <c r="CA30" s="19">
        <v>6.9068786986335402</v>
      </c>
      <c r="CB30" s="19">
        <v>9.5658462749903901</v>
      </c>
      <c r="CC30" s="19">
        <v>13.9600357470371</v>
      </c>
      <c r="CD30" s="19">
        <v>42.804737801905297</v>
      </c>
      <c r="CE30" s="19">
        <v>45.944035684349728</v>
      </c>
      <c r="CF30" s="19">
        <v>49.963220734175373</v>
      </c>
      <c r="CG30" s="19">
        <v>56.735907569769253</v>
      </c>
      <c r="CH30" s="19">
        <v>73.371385635296718</v>
      </c>
      <c r="CI30" s="19">
        <v>73.952835929670428</v>
      </c>
      <c r="CJ30" s="19">
        <v>7.5474379930353201</v>
      </c>
      <c r="CK30" s="19">
        <v>11.999163627624499</v>
      </c>
      <c r="CL30" s="19">
        <v>28.828586578369102</v>
      </c>
      <c r="CM30" s="19">
        <v>37.776863098144503</v>
      </c>
      <c r="CN30" s="19">
        <v>57.650424327471796</v>
      </c>
      <c r="CO30" s="19">
        <v>69.9047331306422</v>
      </c>
      <c r="CP30" s="19">
        <v>131.95671182844401</v>
      </c>
      <c r="CQ30" s="19">
        <v>133.89023934916099</v>
      </c>
      <c r="CR30" s="19">
        <v>155.11150830041299</v>
      </c>
      <c r="CS30" s="19">
        <v>133.000347833098</v>
      </c>
      <c r="CT30" s="19">
        <v>168.40435342003528</v>
      </c>
      <c r="CU30" s="19">
        <v>194.85922976168493</v>
      </c>
      <c r="CV30" s="19">
        <v>200</v>
      </c>
      <c r="CW30" s="19">
        <v>200</v>
      </c>
      <c r="CX30" s="19">
        <v>200</v>
      </c>
      <c r="CY30" s="19">
        <v>3.5869730018406312</v>
      </c>
      <c r="CZ30" s="19">
        <v>3.4952878902494326</v>
      </c>
      <c r="DA30" s="19">
        <v>3.4618144883720934</v>
      </c>
      <c r="DB30" s="19">
        <v>3.5053463790697674</v>
      </c>
      <c r="DC30" s="19">
        <v>3.7752926832402238</v>
      </c>
      <c r="DD30" s="19">
        <v>3.807861818079096</v>
      </c>
      <c r="DE30" s="19">
        <v>3.6432531323529407</v>
      </c>
      <c r="DF30" s="19">
        <v>3.3477540481302128</v>
      </c>
      <c r="DG30" s="19">
        <v>3.574995713173204</v>
      </c>
      <c r="DH30" s="19">
        <v>3.8411041310492982</v>
      </c>
      <c r="DI30" s="19">
        <v>3.7671554595023178</v>
      </c>
      <c r="DJ30" s="19">
        <v>4.1696840498835899</v>
      </c>
      <c r="DK30" s="19">
        <v>4.1418649352771277</v>
      </c>
      <c r="DL30" s="19">
        <v>3.5561483385504138</v>
      </c>
      <c r="DM30" s="19">
        <v>3.3875367551467956</v>
      </c>
      <c r="DN30" s="19">
        <v>2.9336773923810098</v>
      </c>
      <c r="DO30" s="19">
        <v>3.1179087643289325</v>
      </c>
      <c r="DP30" s="19">
        <v>3.4247741139534886</v>
      </c>
      <c r="DQ30" s="19">
        <v>3.8161092296511629</v>
      </c>
      <c r="DR30" s="19">
        <v>4.0527373949720671</v>
      </c>
      <c r="DS30" s="19">
        <v>4.2251398</v>
      </c>
      <c r="DT30" s="19">
        <v>3.8701825735294113</v>
      </c>
      <c r="DU30" s="19">
        <v>3.3651008936300144</v>
      </c>
      <c r="DV30" s="19">
        <v>3.3607899800987</v>
      </c>
      <c r="DW30" s="19">
        <v>3.4276210399384195</v>
      </c>
      <c r="DX30" s="19">
        <v>3.1177708868632301</v>
      </c>
      <c r="DY30" s="19">
        <v>4.0611761746935651</v>
      </c>
      <c r="DZ30" s="19">
        <v>3.2763722691677417</v>
      </c>
      <c r="EA30" s="19">
        <v>4.7773643107444519</v>
      </c>
      <c r="EB30" s="19">
        <v>4.3568649945627476</v>
      </c>
      <c r="EC30" s="19">
        <v>3.0799321160948052</v>
      </c>
      <c r="ED30" s="19">
        <v>3.1377332961221125</v>
      </c>
      <c r="EE30" s="19">
        <v>3.3375194622093023</v>
      </c>
      <c r="EF30" s="19">
        <v>3.7521745191860463</v>
      </c>
      <c r="EG30" s="19">
        <v>3.9927662932960892</v>
      </c>
      <c r="EH30" s="19">
        <v>4.0264370960451981</v>
      </c>
      <c r="EI30" s="19">
        <v>3.7309146764705878</v>
      </c>
      <c r="EJ30" s="19">
        <v>3.3527047533333532</v>
      </c>
      <c r="EK30" s="19">
        <v>3.3387146131248233</v>
      </c>
      <c r="EL30" s="19">
        <v>3.3800170807128258</v>
      </c>
      <c r="EM30" s="19">
        <v>3.6636186862492046</v>
      </c>
      <c r="EN30" s="19">
        <v>3.5372542854469931</v>
      </c>
      <c r="EO30" s="19">
        <v>4.2325222327379448</v>
      </c>
      <c r="EP30" s="19">
        <v>3.6344794023926403</v>
      </c>
      <c r="EQ30" s="19">
        <v>3.5559801487152347</v>
      </c>
      <c r="ER30" s="19"/>
      <c r="ES30" s="16">
        <f t="shared" si="2"/>
        <v>3.6269910655395465</v>
      </c>
      <c r="ET30" s="16">
        <f t="shared" si="2"/>
        <v>3.0006468576908749</v>
      </c>
      <c r="EU30" s="16">
        <f t="shared" si="2"/>
        <v>4.7507665167597759</v>
      </c>
      <c r="EV30" s="16">
        <f t="shared" si="2"/>
        <v>3.6526273731843579</v>
      </c>
      <c r="EW30" s="16">
        <f t="shared" si="2"/>
        <v>3.9180033156424581</v>
      </c>
      <c r="EX30" s="16" t="str">
        <f t="shared" si="2"/>
        <v>.</v>
      </c>
      <c r="EY30" s="16">
        <f t="shared" si="2"/>
        <v>57.650424327471796</v>
      </c>
      <c r="EZ30" s="16">
        <f t="shared" si="2"/>
        <v>3.7752926832402238</v>
      </c>
      <c r="FA30" s="16">
        <f t="shared" si="2"/>
        <v>4.0527373949720671</v>
      </c>
      <c r="FB30" s="16">
        <f t="shared" si="2"/>
        <v>3.9927662932960892</v>
      </c>
    </row>
    <row r="31" spans="1:158" x14ac:dyDescent="0.25">
      <c r="A31" s="17">
        <v>28</v>
      </c>
      <c r="B31" s="17" t="s">
        <v>46</v>
      </c>
      <c r="C31" s="17" t="s">
        <v>46</v>
      </c>
      <c r="D31" s="17" t="s">
        <v>14</v>
      </c>
      <c r="E31" s="16">
        <v>1</v>
      </c>
      <c r="F31" s="18">
        <v>3.2913038623467723</v>
      </c>
      <c r="G31" s="18">
        <v>3.4322085241276952</v>
      </c>
      <c r="H31" s="18">
        <v>3.4184788270396265</v>
      </c>
      <c r="I31" s="18">
        <v>3.2724689060150376</v>
      </c>
      <c r="J31" s="18">
        <v>3.3705701468557758</v>
      </c>
      <c r="K31" s="18">
        <v>3.5244393607985476</v>
      </c>
      <c r="L31" s="18">
        <v>3.5961768190651462</v>
      </c>
      <c r="M31" s="18">
        <v>3.6789344240911555</v>
      </c>
      <c r="N31" s="18">
        <v>3.5863171276684929</v>
      </c>
      <c r="O31" s="18">
        <v>3.4882098581811611</v>
      </c>
      <c r="P31" s="18">
        <v>3.755802021297745</v>
      </c>
      <c r="Q31" s="18">
        <v>3.5285084729661715</v>
      </c>
      <c r="R31" s="18">
        <v>4.0627967287096185</v>
      </c>
      <c r="S31" s="18">
        <v>4.1312219553448006</v>
      </c>
      <c r="T31" s="18">
        <v>3.9157802070471655</v>
      </c>
      <c r="U31" s="18">
        <v>2.6825090881773974</v>
      </c>
      <c r="V31" s="18">
        <v>2.719115464597702</v>
      </c>
      <c r="W31" s="18">
        <v>2.8000059989393935</v>
      </c>
      <c r="X31" s="18">
        <v>2.8962792103479851</v>
      </c>
      <c r="Y31" s="18">
        <v>3.0184889202164498</v>
      </c>
      <c r="Z31" s="18">
        <v>3.0866725004772211</v>
      </c>
      <c r="AA31" s="18">
        <v>3.1137225781299787</v>
      </c>
      <c r="AB31" s="18">
        <v>3.2708580211682676</v>
      </c>
      <c r="AC31" s="18">
        <v>3.2190883961160361</v>
      </c>
      <c r="AD31" s="19">
        <v>3.1828633687511467</v>
      </c>
      <c r="AE31" s="19">
        <v>3.6205797118671388</v>
      </c>
      <c r="AF31" s="19">
        <v>3.4670376666792611</v>
      </c>
      <c r="AG31" s="19">
        <v>3.2312148089749715</v>
      </c>
      <c r="AH31" s="19">
        <v>3.7512704338443061</v>
      </c>
      <c r="AI31" s="19">
        <v>3.510023232625215</v>
      </c>
      <c r="AJ31" s="19">
        <v>4.2813078571428571</v>
      </c>
      <c r="AK31" s="19">
        <v>4.1919146008658013</v>
      </c>
      <c r="AL31" s="19">
        <v>4.291239312643679</v>
      </c>
      <c r="AM31" s="19">
        <v>4.4089487025641025</v>
      </c>
      <c r="AN31" s="19">
        <v>4.3166809810276519</v>
      </c>
      <c r="AO31" s="19">
        <v>4.0716787126591196</v>
      </c>
      <c r="AP31" s="19">
        <v>3.8028013901832778</v>
      </c>
      <c r="AQ31" s="19">
        <v>4.4185755987677195</v>
      </c>
      <c r="AR31" s="19">
        <v>4.077704566271521</v>
      </c>
      <c r="AS31" s="19">
        <v>2.977448419882875</v>
      </c>
      <c r="AT31" s="19">
        <v>3.3779593206545631</v>
      </c>
      <c r="AU31" s="19">
        <v>3.9701297403080424</v>
      </c>
      <c r="AV31" s="19">
        <v>2.1290909090909089</v>
      </c>
      <c r="AW31" s="19">
        <v>2.3717844170212765</v>
      </c>
      <c r="AX31" s="19">
        <v>2.7351527045454542</v>
      </c>
      <c r="AY31" s="19">
        <v>2.8939768750000003</v>
      </c>
      <c r="AZ31" s="19">
        <v>3.0332551922077924</v>
      </c>
      <c r="BA31" s="19">
        <v>3.3653608206896553</v>
      </c>
      <c r="BB31" s="19">
        <v>3.4346776251748246</v>
      </c>
      <c r="BC31" s="19">
        <v>3.4211741542446954</v>
      </c>
      <c r="BD31" s="19">
        <v>3.3462208810743395</v>
      </c>
      <c r="BE31" s="19">
        <v>3.3800158940828764</v>
      </c>
      <c r="BF31" s="19">
        <v>3.5614225417245033</v>
      </c>
      <c r="BG31" s="19">
        <v>5.0601948547737479</v>
      </c>
      <c r="BH31" s="19">
        <v>4.2509160647820536</v>
      </c>
      <c r="BI31" s="19">
        <v>4.9910002034013106</v>
      </c>
      <c r="BJ31" s="19">
        <v>4.4325282283630312</v>
      </c>
      <c r="BK31" s="19">
        <v>2.5466742716742718</v>
      </c>
      <c r="BL31" s="19">
        <v>2.8096777143185738</v>
      </c>
      <c r="BM31" s="19">
        <v>2.4272149295454541</v>
      </c>
      <c r="BN31" s="19">
        <v>2.3187281071428574</v>
      </c>
      <c r="BO31" s="19">
        <v>2.5931240383116885</v>
      </c>
      <c r="BP31" s="19">
        <v>3.0594298862068969</v>
      </c>
      <c r="BQ31" s="19">
        <v>2.9598264461538459</v>
      </c>
      <c r="BR31" s="19">
        <v>2.7687161146300241</v>
      </c>
      <c r="BS31" s="19">
        <v>2.7839038867216845</v>
      </c>
      <c r="BT31" s="19">
        <v>2.6930577302590395</v>
      </c>
      <c r="BU31" s="19">
        <v>2.1659949568089285</v>
      </c>
      <c r="BV31" s="19">
        <v>2.7963678079125889</v>
      </c>
      <c r="BW31" s="19">
        <v>2.9741130369372351</v>
      </c>
      <c r="BX31" s="19">
        <v>3.3169964970521368</v>
      </c>
      <c r="BY31" s="19">
        <v>3.167715228494671</v>
      </c>
      <c r="BZ31" s="19">
        <v>3.5516796470749847</v>
      </c>
      <c r="CA31" s="19">
        <v>3.3171409761262156</v>
      </c>
      <c r="CB31" s="19">
        <v>3.0980902977996747</v>
      </c>
      <c r="CC31" s="19">
        <v>2.8935048472161382</v>
      </c>
      <c r="CD31" s="19">
        <v>4.2747594817264503</v>
      </c>
      <c r="CE31" s="19">
        <v>3.2539639670830862</v>
      </c>
      <c r="CF31" s="19">
        <v>2.6731320589360283</v>
      </c>
      <c r="CG31" s="19">
        <v>4.4862015275875393</v>
      </c>
      <c r="CH31" s="19">
        <v>4.1238443255835255</v>
      </c>
      <c r="CI31" s="19">
        <v>4.6833848751189047</v>
      </c>
      <c r="CJ31" s="19">
        <v>13.800422742311</v>
      </c>
      <c r="CK31" s="19">
        <v>18.890672683715799</v>
      </c>
      <c r="CL31" s="19">
        <v>32.562454223632798</v>
      </c>
      <c r="CM31" s="19">
        <v>37.89208984375</v>
      </c>
      <c r="CN31" s="19">
        <v>41.612828155718397</v>
      </c>
      <c r="CO31" s="19">
        <v>52.353592011966597</v>
      </c>
      <c r="CP31" s="19">
        <v>64.038763506254298</v>
      </c>
      <c r="CQ31" s="19">
        <v>70.390468500458695</v>
      </c>
      <c r="CR31" s="19">
        <v>75.685133096497594</v>
      </c>
      <c r="CS31" s="19">
        <v>71.845429484871403</v>
      </c>
      <c r="CT31" s="19">
        <v>88.109128549778617</v>
      </c>
      <c r="CU31" s="19">
        <v>95.478102538807576</v>
      </c>
      <c r="CV31" s="19">
        <v>105.10308302578638</v>
      </c>
      <c r="CW31" s="19">
        <v>108.71491908003762</v>
      </c>
      <c r="CX31" s="19">
        <v>117.26623315456312</v>
      </c>
      <c r="CY31" s="19">
        <v>3.759802847754655</v>
      </c>
      <c r="CZ31" s="19">
        <v>3.7412498723404255</v>
      </c>
      <c r="DA31" s="19">
        <v>3.4910338795454541</v>
      </c>
      <c r="DB31" s="19">
        <v>3.6885001071428571</v>
      </c>
      <c r="DC31" s="19">
        <v>3.6281844110389612</v>
      </c>
      <c r="DD31" s="19">
        <v>3.7976250448275861</v>
      </c>
      <c r="DE31" s="19">
        <v>3.8497155888111889</v>
      </c>
      <c r="DF31" s="19">
        <v>3.6360152910398704</v>
      </c>
      <c r="DG31" s="19">
        <v>3.9302147388458253</v>
      </c>
      <c r="DH31" s="19">
        <v>4.078805052928435</v>
      </c>
      <c r="DI31" s="19">
        <v>4.3763439238434323</v>
      </c>
      <c r="DJ31" s="19">
        <v>4.3358911954454307</v>
      </c>
      <c r="DK31" s="19">
        <v>3.4105003884112426</v>
      </c>
      <c r="DL31" s="19">
        <v>3.4366050199294822</v>
      </c>
      <c r="DM31" s="19">
        <v>4.4092786591298401</v>
      </c>
      <c r="DN31" s="19">
        <v>2.0708368302015621</v>
      </c>
      <c r="DO31" s="19">
        <v>2.4296364742746617</v>
      </c>
      <c r="DP31" s="19">
        <v>2.7808511363636361</v>
      </c>
      <c r="DQ31" s="19">
        <v>3.0547793392857145</v>
      </c>
      <c r="DR31" s="19">
        <v>3.1071258324675326</v>
      </c>
      <c r="DS31" s="19">
        <v>3.1918999586206898</v>
      </c>
      <c r="DT31" s="19">
        <v>3.0664083090909089</v>
      </c>
      <c r="DU31" s="19">
        <v>3.156185363100616</v>
      </c>
      <c r="DV31" s="19">
        <v>3.0752338050485966</v>
      </c>
      <c r="DW31" s="19">
        <v>2.1963675939119778</v>
      </c>
      <c r="DX31" s="19">
        <v>3.4918280933635382</v>
      </c>
      <c r="DY31" s="19">
        <v>1.7823819417557307</v>
      </c>
      <c r="DZ31" s="19">
        <v>3.1135325820184976</v>
      </c>
      <c r="EA31" s="19">
        <v>2.4341326717059659</v>
      </c>
      <c r="EB31" s="19">
        <v>2.6558881873493387</v>
      </c>
      <c r="EC31" s="19">
        <v>2.0428571428571427</v>
      </c>
      <c r="ED31" s="19">
        <v>2.4393191531914891</v>
      </c>
      <c r="EE31" s="19">
        <v>2.5672675659090904</v>
      </c>
      <c r="EF31" s="19">
        <v>2.7508304642857144</v>
      </c>
      <c r="EG31" s="19">
        <v>2.7572603733766234</v>
      </c>
      <c r="EH31" s="19">
        <v>2.8743074965517241</v>
      </c>
      <c r="EI31" s="19">
        <v>2.834940903496503</v>
      </c>
      <c r="EJ31" s="19">
        <v>2.8988269535366129</v>
      </c>
      <c r="EK31" s="19">
        <v>2.8471208878925869</v>
      </c>
      <c r="EL31" s="19">
        <v>2.4978484165974151</v>
      </c>
      <c r="EM31" s="19">
        <v>2.703307328256189</v>
      </c>
      <c r="EN31" s="19">
        <v>2.8407227821356109</v>
      </c>
      <c r="EO31" s="19">
        <v>3.4329610687881171</v>
      </c>
      <c r="EP31" s="19">
        <v>3.2266832542687305</v>
      </c>
      <c r="EQ31" s="19">
        <v>3.0650835648550219</v>
      </c>
      <c r="ER31" s="19"/>
      <c r="ES31" s="16">
        <f t="shared" si="2"/>
        <v>3.3705701468557758</v>
      </c>
      <c r="ET31" s="16">
        <f t="shared" si="2"/>
        <v>3.0184889202164498</v>
      </c>
      <c r="EU31" s="16">
        <f t="shared" si="2"/>
        <v>4.1919146008658013</v>
      </c>
      <c r="EV31" s="16">
        <f t="shared" si="2"/>
        <v>3.0332551922077924</v>
      </c>
      <c r="EW31" s="16">
        <f t="shared" si="2"/>
        <v>2.5931240383116885</v>
      </c>
      <c r="EX31" s="16" t="str">
        <f t="shared" si="2"/>
        <v>.</v>
      </c>
      <c r="EY31" s="16">
        <f t="shared" si="2"/>
        <v>41.612828155718397</v>
      </c>
      <c r="EZ31" s="16">
        <f t="shared" si="2"/>
        <v>3.6281844110389612</v>
      </c>
      <c r="FA31" s="16">
        <f t="shared" si="2"/>
        <v>3.1071258324675326</v>
      </c>
      <c r="FB31" s="16">
        <f t="shared" si="2"/>
        <v>2.7572603733766234</v>
      </c>
    </row>
    <row r="32" spans="1:158" x14ac:dyDescent="0.25">
      <c r="A32" s="17">
        <v>29</v>
      </c>
      <c r="B32" s="17" t="s">
        <v>47</v>
      </c>
      <c r="C32" s="17" t="s">
        <v>47</v>
      </c>
      <c r="D32" s="17" t="s">
        <v>36</v>
      </c>
      <c r="E32" s="16">
        <v>1</v>
      </c>
      <c r="F32" s="18">
        <v>5.1223961407967877</v>
      </c>
      <c r="G32" s="18">
        <v>5.100632430769128</v>
      </c>
      <c r="H32" s="18">
        <v>5.1226459904884685</v>
      </c>
      <c r="I32" s="18">
        <v>5.032526063711912</v>
      </c>
      <c r="J32" s="18">
        <v>4.9092071760358342</v>
      </c>
      <c r="K32" s="18">
        <v>4.8354895221785803</v>
      </c>
      <c r="L32" s="18">
        <v>4.8004769259812665</v>
      </c>
      <c r="M32" s="18">
        <v>4.8980261948170121</v>
      </c>
      <c r="N32" s="18">
        <v>4.9393669544161591</v>
      </c>
      <c r="O32" s="18">
        <v>4.8654225387458485</v>
      </c>
      <c r="P32" s="18">
        <v>4.8979172634610055</v>
      </c>
      <c r="Q32" s="18">
        <v>4.6550182974650784</v>
      </c>
      <c r="R32" s="18">
        <v>4.6609015276587211</v>
      </c>
      <c r="S32" s="18">
        <v>4.8714282549132761</v>
      </c>
      <c r="T32" s="18">
        <v>5.5094500345367852</v>
      </c>
      <c r="U32" s="18">
        <v>4.8991947975649301</v>
      </c>
      <c r="V32" s="18">
        <v>4.8156620165899282</v>
      </c>
      <c r="W32" s="18">
        <v>4.7980864607601346</v>
      </c>
      <c r="X32" s="18">
        <v>4.8677187030576441</v>
      </c>
      <c r="Y32" s="18">
        <v>5.0688800179480742</v>
      </c>
      <c r="Z32" s="18">
        <v>4.6442725513509044</v>
      </c>
      <c r="AA32" s="18">
        <v>4.4730265233245747</v>
      </c>
      <c r="AB32" s="18">
        <v>4.5408268778281942</v>
      </c>
      <c r="AC32" s="18">
        <v>4.5952201449431662</v>
      </c>
      <c r="AD32" s="19">
        <v>4.6147485880707269</v>
      </c>
      <c r="AE32" s="19">
        <v>4.5471564693199706</v>
      </c>
      <c r="AF32" s="19">
        <v>4.4344461766132826</v>
      </c>
      <c r="AG32" s="19">
        <v>4.30293577001519</v>
      </c>
      <c r="AH32" s="19">
        <v>4.5881069340566212</v>
      </c>
      <c r="AI32" s="19">
        <v>4.8667563381055281</v>
      </c>
      <c r="AJ32" s="19">
        <v>5.6978204877192979</v>
      </c>
      <c r="AK32" s="19">
        <v>5.6970559042553193</v>
      </c>
      <c r="AL32" s="19">
        <v>5.6996848971807621</v>
      </c>
      <c r="AM32" s="19">
        <v>5.4597380867231635</v>
      </c>
      <c r="AN32" s="19">
        <v>5.4106424651534795</v>
      </c>
      <c r="AO32" s="19">
        <v>5.5313496798866604</v>
      </c>
      <c r="AP32" s="19">
        <v>5.5144765698317935</v>
      </c>
      <c r="AQ32" s="19">
        <v>5.4439069490730692</v>
      </c>
      <c r="AR32" s="19">
        <v>4.9845569966870107</v>
      </c>
      <c r="AS32" s="19">
        <v>4.5459252894336437</v>
      </c>
      <c r="AT32" s="19">
        <v>5.3141952405619994</v>
      </c>
      <c r="AU32" s="19">
        <v>4.912667679772265</v>
      </c>
      <c r="AV32" s="19">
        <v>3.4690999384125405</v>
      </c>
      <c r="AW32" s="19">
        <v>3.535930535347112</v>
      </c>
      <c r="AX32" s="19">
        <v>3.5543514296089387</v>
      </c>
      <c r="AY32" s="19">
        <v>3.6219113894736843</v>
      </c>
      <c r="AZ32" s="19">
        <v>3.5290789563829787</v>
      </c>
      <c r="BA32" s="19">
        <v>3.4575013044776117</v>
      </c>
      <c r="BB32" s="19">
        <v>3.6692176427966103</v>
      </c>
      <c r="BC32" s="19">
        <v>3.8413989411027583</v>
      </c>
      <c r="BD32" s="19">
        <v>3.8365599975747582</v>
      </c>
      <c r="BE32" s="19">
        <v>3.768029789214439</v>
      </c>
      <c r="BF32" s="19">
        <v>5.8268818931777897</v>
      </c>
      <c r="BG32" s="19">
        <v>6.2145915094410213</v>
      </c>
      <c r="BH32" s="19">
        <v>4.9575270553627</v>
      </c>
      <c r="BI32" s="19">
        <v>6.4973032160634698</v>
      </c>
      <c r="BJ32" s="19">
        <v>6.131300763148313</v>
      </c>
      <c r="BK32" s="19">
        <v>5.2847414714621195</v>
      </c>
      <c r="BL32" s="19">
        <v>4.8648186325030913</v>
      </c>
      <c r="BM32" s="19">
        <v>4.6445151832402241</v>
      </c>
      <c r="BN32" s="19">
        <v>4.6671697789473683</v>
      </c>
      <c r="BO32" s="19">
        <v>4.5712980872340427</v>
      </c>
      <c r="BP32" s="19">
        <v>4.5617463432835823</v>
      </c>
      <c r="BQ32" s="19">
        <v>4.4457259398305089</v>
      </c>
      <c r="BR32" s="19">
        <v>4.3236127685574797</v>
      </c>
      <c r="BS32" s="19">
        <v>4.3195652433707892</v>
      </c>
      <c r="BT32" s="19">
        <v>4.3861783047939866</v>
      </c>
      <c r="BU32" s="19">
        <v>3.6383570553492919</v>
      </c>
      <c r="BV32" s="19">
        <v>4.4750856918530086</v>
      </c>
      <c r="BW32" s="19">
        <v>4.1803420268513882</v>
      </c>
      <c r="BX32" s="19">
        <v>3.8938709133426377</v>
      </c>
      <c r="BY32" s="19">
        <v>3.4433465142664725</v>
      </c>
      <c r="BZ32" s="19">
        <v>32.9145400140631</v>
      </c>
      <c r="CA32" s="19">
        <v>50.0376239649949</v>
      </c>
      <c r="CB32" s="19">
        <v>41.046013060803901</v>
      </c>
      <c r="CC32" s="19">
        <v>59.797776940301802</v>
      </c>
      <c r="CD32" s="19">
        <v>56.318030219326097</v>
      </c>
      <c r="CE32" s="19">
        <v>63.190637030390633</v>
      </c>
      <c r="CF32" s="19">
        <v>71.898335549022633</v>
      </c>
      <c r="CG32" s="19">
        <v>78.297855934755589</v>
      </c>
      <c r="CH32" s="19">
        <v>77.797294912128834</v>
      </c>
      <c r="CI32" s="19">
        <v>88.109506363157124</v>
      </c>
      <c r="CJ32" s="19">
        <v>52.511075171130003</v>
      </c>
      <c r="CK32" s="19">
        <v>57.5735054016113</v>
      </c>
      <c r="CL32" s="19">
        <v>64.683044433593807</v>
      </c>
      <c r="CM32" s="19">
        <v>68.747741699218807</v>
      </c>
      <c r="CN32" s="19">
        <v>70.663666993340598</v>
      </c>
      <c r="CO32" s="19">
        <v>75.279908235217306</v>
      </c>
      <c r="CP32" s="19">
        <v>75.741084827592502</v>
      </c>
      <c r="CQ32" s="19">
        <v>78.397817229091601</v>
      </c>
      <c r="CR32" s="19">
        <v>82.984440248556993</v>
      </c>
      <c r="CS32" s="19">
        <v>81.930587762918904</v>
      </c>
      <c r="CT32" s="19">
        <v>87.611548100103974</v>
      </c>
      <c r="CU32" s="19">
        <v>91.6191474420052</v>
      </c>
      <c r="CV32" s="19">
        <v>98.234630447168072</v>
      </c>
      <c r="CW32" s="19">
        <v>101.35195543823157</v>
      </c>
      <c r="CX32" s="19">
        <v>102.05085667454577</v>
      </c>
      <c r="CY32" s="19">
        <v>6.083888113769512</v>
      </c>
      <c r="CZ32" s="19">
        <v>6.4262787499865697</v>
      </c>
      <c r="DA32" s="19">
        <v>6.2102961106145251</v>
      </c>
      <c r="DB32" s="19">
        <v>6.0605569999999993</v>
      </c>
      <c r="DC32" s="19">
        <v>5.994301195744681</v>
      </c>
      <c r="DD32" s="19">
        <v>6.0359215522388059</v>
      </c>
      <c r="DE32" s="19">
        <v>6.0346167258474583</v>
      </c>
      <c r="DF32" s="19">
        <v>5.9890362885572319</v>
      </c>
      <c r="DG32" s="19">
        <v>6.0044777080837619</v>
      </c>
      <c r="DH32" s="19">
        <v>5.9027397318089267</v>
      </c>
      <c r="DI32" s="19">
        <v>5.6487424649290539</v>
      </c>
      <c r="DJ32" s="19">
        <v>5.8565974042283955</v>
      </c>
      <c r="DK32" s="19">
        <v>5.9872874167702381</v>
      </c>
      <c r="DL32" s="19">
        <v>5.5911374032510874</v>
      </c>
      <c r="DM32" s="19">
        <v>4.979237905423215</v>
      </c>
      <c r="DN32" s="19">
        <v>5.9692332101643846</v>
      </c>
      <c r="DO32" s="19">
        <v>6.0177143030559979</v>
      </c>
      <c r="DP32" s="19">
        <v>5.9483174597765363</v>
      </c>
      <c r="DQ32" s="19">
        <v>6.0003484736842108</v>
      </c>
      <c r="DR32" s="19">
        <v>5.9866800999999992</v>
      </c>
      <c r="DS32" s="19">
        <v>5.9673522059701485</v>
      </c>
      <c r="DT32" s="19">
        <v>5.8120361906779667</v>
      </c>
      <c r="DU32" s="19">
        <v>5.6468918253040954</v>
      </c>
      <c r="DV32" s="19">
        <v>5.3636318613580389</v>
      </c>
      <c r="DW32" s="19">
        <v>5.2120123254491926</v>
      </c>
      <c r="DX32" s="19">
        <v>5.4576303041202863</v>
      </c>
      <c r="DY32" s="19">
        <v>4.9699212479749413</v>
      </c>
      <c r="DZ32" s="19">
        <v>4.4524572938908769</v>
      </c>
      <c r="EA32" s="19">
        <v>4.6622859036388959</v>
      </c>
      <c r="EB32" s="19">
        <v>5.2930978136374636</v>
      </c>
      <c r="EC32" s="19">
        <v>5.8702888718678192</v>
      </c>
      <c r="ED32" s="19">
        <v>5.9960447406111994</v>
      </c>
      <c r="EE32" s="19">
        <v>5.6893542960893857</v>
      </c>
      <c r="EF32" s="19">
        <v>5.713685410526316</v>
      </c>
      <c r="EG32" s="19">
        <v>5.835252263829787</v>
      </c>
      <c r="EH32" s="19">
        <v>5.8710407114427863</v>
      </c>
      <c r="EI32" s="19">
        <v>5.5952496012711874</v>
      </c>
      <c r="EJ32" s="19">
        <v>5.3425858556292702</v>
      </c>
      <c r="EK32" s="19">
        <v>5.2171127101122323</v>
      </c>
      <c r="EL32" s="19">
        <v>5.2500843149550418</v>
      </c>
      <c r="EM32" s="19">
        <v>5.5149422646549215</v>
      </c>
      <c r="EN32" s="19">
        <v>5.0984784770325273</v>
      </c>
      <c r="EO32" s="19">
        <v>5.23715378469306</v>
      </c>
      <c r="EP32" s="19">
        <v>4.6810818097994789</v>
      </c>
      <c r="EQ32" s="19">
        <v>5.0928984392335437</v>
      </c>
      <c r="ER32" s="19"/>
      <c r="ES32" s="16">
        <f t="shared" si="2"/>
        <v>4.9092071760358342</v>
      </c>
      <c r="ET32" s="16">
        <f t="shared" si="2"/>
        <v>5.0688800179480742</v>
      </c>
      <c r="EU32" s="16">
        <f t="shared" si="2"/>
        <v>5.6970559042553193</v>
      </c>
      <c r="EV32" s="16">
        <f t="shared" si="2"/>
        <v>3.5290789563829787</v>
      </c>
      <c r="EW32" s="16">
        <f t="shared" si="2"/>
        <v>4.5712980872340427</v>
      </c>
      <c r="EX32" s="16" t="str">
        <f t="shared" si="2"/>
        <v>.</v>
      </c>
      <c r="EY32" s="16">
        <f t="shared" si="2"/>
        <v>70.663666993340598</v>
      </c>
      <c r="EZ32" s="16">
        <f t="shared" si="2"/>
        <v>5.994301195744681</v>
      </c>
      <c r="FA32" s="16">
        <f t="shared" si="2"/>
        <v>5.9866800999999992</v>
      </c>
      <c r="FB32" s="16">
        <f t="shared" si="2"/>
        <v>5.835252263829787</v>
      </c>
    </row>
    <row r="33" spans="1:158" x14ac:dyDescent="0.25">
      <c r="A33" s="17">
        <v>30</v>
      </c>
      <c r="B33" s="17" t="s">
        <v>48</v>
      </c>
      <c r="C33" s="17" t="s">
        <v>11</v>
      </c>
      <c r="D33" s="17" t="s">
        <v>16</v>
      </c>
      <c r="E33" s="16">
        <v>0</v>
      </c>
      <c r="F33" s="18">
        <v>4.2</v>
      </c>
      <c r="G33" s="18">
        <v>4.13</v>
      </c>
      <c r="H33" s="18">
        <v>3.64</v>
      </c>
      <c r="I33" s="18">
        <v>3.23</v>
      </c>
      <c r="J33" s="18">
        <v>4.84</v>
      </c>
      <c r="K33" s="18">
        <v>3.66</v>
      </c>
      <c r="L33" s="18">
        <v>4.97</v>
      </c>
      <c r="M33" s="18">
        <v>3.72</v>
      </c>
      <c r="N33" s="18">
        <v>3.27</v>
      </c>
      <c r="O33" s="18">
        <v>4.53</v>
      </c>
      <c r="P33" s="18">
        <v>4.5999999999999996</v>
      </c>
      <c r="Q33" s="18">
        <v>2.52</v>
      </c>
      <c r="R33" s="18">
        <v>3.77</v>
      </c>
      <c r="S33" s="18">
        <v>2.13</v>
      </c>
      <c r="T33" s="18">
        <v>2.85</v>
      </c>
      <c r="U33" s="18">
        <v>2.59</v>
      </c>
      <c r="V33" s="18">
        <v>2.89</v>
      </c>
      <c r="W33" s="18">
        <v>2.84</v>
      </c>
      <c r="X33" s="18">
        <v>4.92</v>
      </c>
      <c r="Y33" s="18">
        <v>3.09</v>
      </c>
      <c r="Z33" s="18">
        <v>4.75</v>
      </c>
      <c r="AA33" s="18">
        <v>2.0299999999999998</v>
      </c>
      <c r="AB33" s="18">
        <v>4.0999999999999996</v>
      </c>
      <c r="AC33" s="18">
        <v>2.62</v>
      </c>
      <c r="AD33" s="19">
        <v>3.18</v>
      </c>
      <c r="AE33" s="19">
        <v>2.96</v>
      </c>
      <c r="AF33" s="19">
        <v>3.49</v>
      </c>
      <c r="AG33" s="19">
        <v>1.2</v>
      </c>
      <c r="AH33" s="19">
        <v>2.75</v>
      </c>
      <c r="AI33" s="19">
        <v>3.89</v>
      </c>
      <c r="AJ33" s="19">
        <v>5.35</v>
      </c>
      <c r="AK33" s="19">
        <v>3.94</v>
      </c>
      <c r="AL33" s="19">
        <v>4.71</v>
      </c>
      <c r="AM33" s="19">
        <v>4.3099999999999996</v>
      </c>
      <c r="AN33" s="19">
        <v>3.72</v>
      </c>
      <c r="AO33" s="19">
        <v>4.51</v>
      </c>
      <c r="AP33" s="19">
        <v>4.8600000000000003</v>
      </c>
      <c r="AQ33" s="19">
        <v>3.7</v>
      </c>
      <c r="AR33" s="19">
        <v>3.18</v>
      </c>
      <c r="AS33" s="19">
        <v>3.58</v>
      </c>
      <c r="AT33" s="19">
        <v>3.95</v>
      </c>
      <c r="AU33" s="19">
        <v>4.32</v>
      </c>
      <c r="AV33" s="19">
        <v>3.6</v>
      </c>
      <c r="AW33" s="19">
        <v>3.77</v>
      </c>
      <c r="AX33" s="19">
        <v>3.18</v>
      </c>
      <c r="AY33" s="19">
        <v>2.62</v>
      </c>
      <c r="AZ33" s="19">
        <v>2.96</v>
      </c>
      <c r="BA33" s="19">
        <v>2.92</v>
      </c>
      <c r="BB33" s="19">
        <v>3.13</v>
      </c>
      <c r="BC33" s="19">
        <v>3.47</v>
      </c>
      <c r="BD33" s="19">
        <v>3.5</v>
      </c>
      <c r="BE33" s="19">
        <v>2.93</v>
      </c>
      <c r="BF33" s="19">
        <v>3.44</v>
      </c>
      <c r="BG33" s="19">
        <v>4.0599999999999996</v>
      </c>
      <c r="BH33" s="19">
        <v>5.63</v>
      </c>
      <c r="BI33" s="19">
        <v>3.87</v>
      </c>
      <c r="BJ33" s="19">
        <v>6.13</v>
      </c>
      <c r="BK33" s="19">
        <v>3.65</v>
      </c>
      <c r="BL33" s="19">
        <v>4.2699999999999996</v>
      </c>
      <c r="BM33" s="19">
        <v>2.52</v>
      </c>
      <c r="BN33" s="19">
        <v>3.96</v>
      </c>
      <c r="BO33" s="19">
        <v>4.6500000000000004</v>
      </c>
      <c r="BP33" s="19">
        <v>3.42</v>
      </c>
      <c r="BQ33" s="19">
        <v>4.72</v>
      </c>
      <c r="BR33" s="19">
        <v>2.0699999999999998</v>
      </c>
      <c r="BS33" s="19">
        <v>3.09</v>
      </c>
      <c r="BT33" s="19">
        <v>3.96</v>
      </c>
      <c r="BU33" s="19">
        <v>1.48</v>
      </c>
      <c r="BV33" s="19">
        <v>3.18</v>
      </c>
      <c r="BW33" s="19">
        <v>3.76</v>
      </c>
      <c r="BX33" s="19">
        <v>2.71</v>
      </c>
      <c r="BY33" s="19">
        <v>3.48</v>
      </c>
      <c r="BZ33" s="19">
        <v>9.5</v>
      </c>
      <c r="CA33" s="19">
        <v>63.89</v>
      </c>
      <c r="CB33" s="19">
        <v>1</v>
      </c>
      <c r="CC33" s="19">
        <v>1</v>
      </c>
      <c r="CD33" s="19">
        <v>26.91</v>
      </c>
      <c r="CE33" s="19">
        <v>77.28</v>
      </c>
      <c r="CF33" s="19">
        <v>60.25</v>
      </c>
      <c r="CG33" s="19">
        <v>73.55</v>
      </c>
      <c r="CH33" s="19">
        <v>79.92</v>
      </c>
      <c r="CI33" s="19">
        <v>12.85</v>
      </c>
      <c r="CJ33" s="19">
        <v>45.64</v>
      </c>
      <c r="CK33" s="19">
        <v>93.52</v>
      </c>
      <c r="CL33" s="19">
        <v>111.27</v>
      </c>
      <c r="CM33" s="19">
        <v>38.68</v>
      </c>
      <c r="CN33" s="19">
        <v>5.33</v>
      </c>
      <c r="CO33" s="19">
        <v>89.19</v>
      </c>
      <c r="CP33" s="19">
        <v>162.99</v>
      </c>
      <c r="CQ33" s="19">
        <v>95.06</v>
      </c>
      <c r="CR33" s="19">
        <v>67.77</v>
      </c>
      <c r="CS33" s="19">
        <v>9.61</v>
      </c>
      <c r="CT33" s="19">
        <v>170.29</v>
      </c>
      <c r="CU33" s="19">
        <v>57.11</v>
      </c>
      <c r="CV33" s="19">
        <v>75.819999999999993</v>
      </c>
      <c r="CW33" s="19">
        <v>172.36</v>
      </c>
      <c r="CX33" s="19">
        <v>86.43</v>
      </c>
      <c r="CY33" s="19">
        <v>4.08</v>
      </c>
      <c r="CZ33" s="19">
        <v>3.91</v>
      </c>
      <c r="DA33" s="19">
        <v>3.15</v>
      </c>
      <c r="DB33" s="19">
        <v>2.85</v>
      </c>
      <c r="DC33" s="19">
        <v>3</v>
      </c>
      <c r="DD33" s="19">
        <v>3.5</v>
      </c>
      <c r="DE33" s="19">
        <v>5.01</v>
      </c>
      <c r="DF33" s="19">
        <v>3.15</v>
      </c>
      <c r="DG33" s="19">
        <v>3.35</v>
      </c>
      <c r="DH33" s="19">
        <v>5.17</v>
      </c>
      <c r="DI33" s="19">
        <v>3.12</v>
      </c>
      <c r="DJ33" s="19">
        <v>3.29</v>
      </c>
      <c r="DK33" s="19">
        <v>4.2300000000000004</v>
      </c>
      <c r="DL33" s="19">
        <v>3.05</v>
      </c>
      <c r="DM33" s="19">
        <v>3.9</v>
      </c>
      <c r="DN33" s="19">
        <v>3.69</v>
      </c>
      <c r="DO33" s="19">
        <v>4.3</v>
      </c>
      <c r="DP33" s="19">
        <v>3.74</v>
      </c>
      <c r="DQ33" s="19">
        <v>5.87</v>
      </c>
      <c r="DR33" s="19">
        <v>5.66</v>
      </c>
      <c r="DS33" s="19">
        <v>2.94</v>
      </c>
      <c r="DT33" s="19">
        <v>6.41</v>
      </c>
      <c r="DU33" s="19">
        <v>4.29</v>
      </c>
      <c r="DV33" s="19">
        <v>3.45</v>
      </c>
      <c r="DW33" s="19">
        <v>4.26</v>
      </c>
      <c r="DX33" s="19">
        <v>4.71</v>
      </c>
      <c r="DY33" s="19">
        <v>4.8899999999999997</v>
      </c>
      <c r="DZ33" s="19">
        <v>6.44</v>
      </c>
      <c r="EA33" s="19">
        <v>4.3</v>
      </c>
      <c r="EB33" s="19">
        <v>3.05</v>
      </c>
      <c r="EC33" s="19">
        <v>1.64</v>
      </c>
      <c r="ED33" s="19">
        <v>5.44</v>
      </c>
      <c r="EE33" s="19">
        <v>4.1900000000000004</v>
      </c>
      <c r="EF33" s="19">
        <v>4.6100000000000003</v>
      </c>
      <c r="EG33" s="19">
        <v>3.54</v>
      </c>
      <c r="EH33" s="19">
        <v>4.3</v>
      </c>
      <c r="EI33" s="19">
        <v>3.1</v>
      </c>
      <c r="EJ33" s="19">
        <v>4.57</v>
      </c>
      <c r="EK33" s="19">
        <v>2.88</v>
      </c>
      <c r="EL33" s="19">
        <v>4.84</v>
      </c>
      <c r="EM33" s="19">
        <v>4.1399999999999997</v>
      </c>
      <c r="EN33" s="19">
        <v>4.18</v>
      </c>
      <c r="EO33" s="19">
        <v>3.18</v>
      </c>
      <c r="EP33" s="19">
        <v>4.96</v>
      </c>
      <c r="EQ33" s="19">
        <v>3.41</v>
      </c>
      <c r="ER33" s="19"/>
      <c r="ES33" s="16">
        <f t="shared" si="2"/>
        <v>4.84</v>
      </c>
      <c r="ET33" s="16">
        <f t="shared" si="2"/>
        <v>3.09</v>
      </c>
      <c r="EU33" s="16">
        <f t="shared" si="2"/>
        <v>3.94</v>
      </c>
      <c r="EV33" s="16">
        <f t="shared" si="2"/>
        <v>2.96</v>
      </c>
      <c r="EW33" s="16">
        <f t="shared" si="2"/>
        <v>4.6500000000000004</v>
      </c>
      <c r="EX33" s="16" t="str">
        <f t="shared" si="2"/>
        <v>.</v>
      </c>
      <c r="EY33" s="16">
        <f t="shared" si="2"/>
        <v>5.33</v>
      </c>
      <c r="EZ33" s="16">
        <f t="shared" si="2"/>
        <v>3</v>
      </c>
      <c r="FA33" s="16">
        <f t="shared" si="2"/>
        <v>5.66</v>
      </c>
      <c r="FB33" s="16">
        <f t="shared" si="2"/>
        <v>3.54</v>
      </c>
    </row>
    <row r="34" spans="1:158" x14ac:dyDescent="0.25">
      <c r="A34" s="17">
        <v>31</v>
      </c>
      <c r="B34" s="17" t="s">
        <v>49</v>
      </c>
      <c r="C34" s="17" t="s">
        <v>50</v>
      </c>
      <c r="D34" s="17" t="s">
        <v>14</v>
      </c>
      <c r="E34" s="16">
        <v>0</v>
      </c>
      <c r="F34" s="18">
        <v>3.53</v>
      </c>
      <c r="G34" s="18">
        <v>3.95</v>
      </c>
      <c r="H34" s="18">
        <v>4.3099999999999996</v>
      </c>
      <c r="I34" s="18">
        <v>4.2300000000000004</v>
      </c>
      <c r="J34" s="18">
        <v>3.37</v>
      </c>
      <c r="K34" s="18">
        <v>3.18</v>
      </c>
      <c r="L34" s="18">
        <v>3.34</v>
      </c>
      <c r="M34" s="18">
        <v>3.54</v>
      </c>
      <c r="N34" s="18">
        <v>3.11</v>
      </c>
      <c r="O34" s="18">
        <v>3.12</v>
      </c>
      <c r="P34" s="18">
        <v>2.72</v>
      </c>
      <c r="Q34" s="18">
        <v>3.72</v>
      </c>
      <c r="R34" s="18">
        <v>3.36</v>
      </c>
      <c r="S34" s="18">
        <v>2.79</v>
      </c>
      <c r="T34" s="18">
        <v>2.39</v>
      </c>
      <c r="U34" s="18">
        <v>2.73</v>
      </c>
      <c r="V34" s="18">
        <v>3.2</v>
      </c>
      <c r="W34" s="18">
        <v>2.2000000000000002</v>
      </c>
      <c r="X34" s="18">
        <v>2.68</v>
      </c>
      <c r="Y34" s="18">
        <v>2.06</v>
      </c>
      <c r="Z34" s="18">
        <v>2.83</v>
      </c>
      <c r="AA34" s="18">
        <v>2.73</v>
      </c>
      <c r="AB34" s="18">
        <v>2.19</v>
      </c>
      <c r="AC34" s="18">
        <v>2.36</v>
      </c>
      <c r="AD34" s="19">
        <v>2.73</v>
      </c>
      <c r="AE34" s="19">
        <v>3.8</v>
      </c>
      <c r="AF34" s="19">
        <v>2.5499999999999998</v>
      </c>
      <c r="AG34" s="19">
        <v>2.75</v>
      </c>
      <c r="AH34" s="19">
        <v>3.26</v>
      </c>
      <c r="AI34" s="19">
        <v>1.81</v>
      </c>
      <c r="AJ34" s="19">
        <v>5.04</v>
      </c>
      <c r="AK34" s="19">
        <v>4.41</v>
      </c>
      <c r="AL34" s="19">
        <v>4.17</v>
      </c>
      <c r="AM34" s="19">
        <v>4.51</v>
      </c>
      <c r="AN34" s="19">
        <v>4.25</v>
      </c>
      <c r="AO34" s="19">
        <v>3.33</v>
      </c>
      <c r="AP34" s="19">
        <v>3.15</v>
      </c>
      <c r="AQ34" s="19">
        <v>3.35</v>
      </c>
      <c r="AR34" s="19">
        <v>3.67</v>
      </c>
      <c r="AS34" s="19">
        <v>3.2</v>
      </c>
      <c r="AT34" s="19">
        <v>4.5199999999999996</v>
      </c>
      <c r="AU34" s="19">
        <v>3.72</v>
      </c>
      <c r="AV34" s="19">
        <v>2.56</v>
      </c>
      <c r="AW34" s="19">
        <v>3.17</v>
      </c>
      <c r="AX34" s="19">
        <v>4.2</v>
      </c>
      <c r="AY34" s="19">
        <v>2.44</v>
      </c>
      <c r="AZ34" s="19">
        <v>5.17</v>
      </c>
      <c r="BA34" s="19">
        <v>3.74</v>
      </c>
      <c r="BB34" s="19">
        <v>3.61</v>
      </c>
      <c r="BC34" s="19">
        <v>3.12</v>
      </c>
      <c r="BD34" s="19">
        <v>2.58</v>
      </c>
      <c r="BE34" s="19">
        <v>3.7</v>
      </c>
      <c r="BF34" s="19">
        <v>4.0199999999999996</v>
      </c>
      <c r="BG34" s="19">
        <v>5.13</v>
      </c>
      <c r="BH34" s="19">
        <v>4.49</v>
      </c>
      <c r="BI34" s="19">
        <v>4.9000000000000004</v>
      </c>
      <c r="BJ34" s="19">
        <v>5</v>
      </c>
      <c r="BK34" s="19">
        <v>2.48</v>
      </c>
      <c r="BL34" s="19">
        <v>3.88</v>
      </c>
      <c r="BM34" s="19">
        <v>3.82</v>
      </c>
      <c r="BN34" s="19">
        <v>2.59</v>
      </c>
      <c r="BO34" s="19">
        <v>2.93</v>
      </c>
      <c r="BP34" s="19">
        <v>3.51</v>
      </c>
      <c r="BQ34" s="19">
        <v>2.4500000000000002</v>
      </c>
      <c r="BR34" s="19">
        <v>2.68</v>
      </c>
      <c r="BS34" s="19">
        <v>2.12</v>
      </c>
      <c r="BT34" s="19">
        <v>3.7</v>
      </c>
      <c r="BU34" s="19">
        <v>4.6500000000000004</v>
      </c>
      <c r="BV34" s="19">
        <v>3.2</v>
      </c>
      <c r="BW34" s="19">
        <v>3.07</v>
      </c>
      <c r="BX34" s="19">
        <v>3.46</v>
      </c>
      <c r="BY34" s="19">
        <v>4.05</v>
      </c>
      <c r="BZ34" s="19">
        <v>1</v>
      </c>
      <c r="CA34" s="19">
        <v>1</v>
      </c>
      <c r="CB34" s="19">
        <v>8.83</v>
      </c>
      <c r="CC34" s="19">
        <v>52.08</v>
      </c>
      <c r="CD34" s="19">
        <v>24.97</v>
      </c>
      <c r="CE34" s="19">
        <v>1</v>
      </c>
      <c r="CF34" s="19">
        <v>1</v>
      </c>
      <c r="CG34" s="19">
        <v>93.34</v>
      </c>
      <c r="CH34" s="19">
        <v>30.41</v>
      </c>
      <c r="CI34" s="19">
        <v>27.67</v>
      </c>
      <c r="CJ34" s="19">
        <v>27.17</v>
      </c>
      <c r="CK34" s="19">
        <v>35.409999999999997</v>
      </c>
      <c r="CL34" s="19">
        <v>56.68</v>
      </c>
      <c r="CM34" s="19">
        <v>61.41</v>
      </c>
      <c r="CN34" s="19">
        <v>74.209999999999994</v>
      </c>
      <c r="CO34" s="19">
        <v>122.89</v>
      </c>
      <c r="CP34" s="19">
        <v>122.17</v>
      </c>
      <c r="CQ34" s="19">
        <v>79</v>
      </c>
      <c r="CR34" s="19">
        <v>86.27</v>
      </c>
      <c r="CS34" s="19">
        <v>83.62</v>
      </c>
      <c r="CT34" s="19">
        <v>104.65</v>
      </c>
      <c r="CU34" s="19">
        <v>98.85</v>
      </c>
      <c r="CV34" s="19">
        <v>15.74</v>
      </c>
      <c r="CW34" s="19">
        <v>119.55</v>
      </c>
      <c r="CX34" s="19">
        <v>98.98</v>
      </c>
      <c r="CY34" s="19">
        <v>3.54</v>
      </c>
      <c r="CZ34" s="19">
        <v>3.69</v>
      </c>
      <c r="DA34" s="19">
        <v>3.77</v>
      </c>
      <c r="DB34" s="19">
        <v>4.47</v>
      </c>
      <c r="DC34" s="19">
        <v>4.21</v>
      </c>
      <c r="DD34" s="19">
        <v>5.93</v>
      </c>
      <c r="DE34" s="19">
        <v>3.16</v>
      </c>
      <c r="DF34" s="19">
        <v>2.34</v>
      </c>
      <c r="DG34" s="19">
        <v>3.68</v>
      </c>
      <c r="DH34" s="19">
        <v>3.45</v>
      </c>
      <c r="DI34" s="19">
        <v>3.77</v>
      </c>
      <c r="DJ34" s="19">
        <v>4.0599999999999996</v>
      </c>
      <c r="DK34" s="19">
        <v>3.49</v>
      </c>
      <c r="DL34" s="19">
        <v>2.5</v>
      </c>
      <c r="DM34" s="19">
        <v>3.26</v>
      </c>
      <c r="DN34" s="19">
        <v>2.11</v>
      </c>
      <c r="DO34" s="19">
        <v>2.65</v>
      </c>
      <c r="DP34" s="19">
        <v>2.82</v>
      </c>
      <c r="DQ34" s="19">
        <v>3.11</v>
      </c>
      <c r="DR34" s="19">
        <v>2.6</v>
      </c>
      <c r="DS34" s="19">
        <v>2.63</v>
      </c>
      <c r="DT34" s="19">
        <v>2.7</v>
      </c>
      <c r="DU34" s="19">
        <v>2.17</v>
      </c>
      <c r="DV34" s="19">
        <v>3.83</v>
      </c>
      <c r="DW34" s="19">
        <v>1.46</v>
      </c>
      <c r="DX34" s="19">
        <v>2.66</v>
      </c>
      <c r="DY34" s="19">
        <v>3.54</v>
      </c>
      <c r="DZ34" s="19">
        <v>4.57</v>
      </c>
      <c r="EA34" s="19">
        <v>4.82</v>
      </c>
      <c r="EB34" s="19">
        <v>2.73</v>
      </c>
      <c r="EC34" s="19">
        <v>1.44</v>
      </c>
      <c r="ED34" s="19">
        <v>2.81</v>
      </c>
      <c r="EE34" s="19">
        <v>3.1</v>
      </c>
      <c r="EF34" s="19">
        <v>2.44</v>
      </c>
      <c r="EG34" s="19">
        <v>3.28</v>
      </c>
      <c r="EH34" s="19">
        <v>3.29</v>
      </c>
      <c r="EI34" s="19">
        <v>3.84</v>
      </c>
      <c r="EJ34" s="19">
        <v>1.69</v>
      </c>
      <c r="EK34" s="19">
        <v>3.03</v>
      </c>
      <c r="EL34" s="19">
        <v>3.41</v>
      </c>
      <c r="EM34" s="19">
        <v>4.87</v>
      </c>
      <c r="EN34" s="19">
        <v>2.09</v>
      </c>
      <c r="EO34" s="19">
        <v>2.63</v>
      </c>
      <c r="EP34" s="19">
        <v>2.27</v>
      </c>
      <c r="EQ34" s="19">
        <v>2.99</v>
      </c>
      <c r="ER34" s="19"/>
      <c r="ES34" s="16">
        <f t="shared" si="2"/>
        <v>3.37</v>
      </c>
      <c r="ET34" s="16">
        <f t="shared" si="2"/>
        <v>2.06</v>
      </c>
      <c r="EU34" s="16">
        <f t="shared" si="2"/>
        <v>4.41</v>
      </c>
      <c r="EV34" s="16">
        <f t="shared" si="2"/>
        <v>5.17</v>
      </c>
      <c r="EW34" s="16">
        <f t="shared" si="2"/>
        <v>2.93</v>
      </c>
      <c r="EX34" s="16" t="str">
        <f t="shared" si="2"/>
        <v>.</v>
      </c>
      <c r="EY34" s="16">
        <f t="shared" si="2"/>
        <v>74.209999999999994</v>
      </c>
      <c r="EZ34" s="16">
        <f t="shared" si="2"/>
        <v>4.21</v>
      </c>
      <c r="FA34" s="16">
        <f t="shared" si="2"/>
        <v>2.6</v>
      </c>
      <c r="FB34" s="16">
        <f t="shared" si="2"/>
        <v>3.28</v>
      </c>
    </row>
    <row r="35" spans="1:158" x14ac:dyDescent="0.25">
      <c r="A35" s="17">
        <v>32</v>
      </c>
      <c r="B35" s="17" t="s">
        <v>51</v>
      </c>
      <c r="C35" s="17" t="s">
        <v>51</v>
      </c>
      <c r="D35" s="17" t="s">
        <v>14</v>
      </c>
      <c r="E35" s="16">
        <v>1</v>
      </c>
      <c r="F35" s="18">
        <v>2.9561569576855105</v>
      </c>
      <c r="G35" s="18">
        <v>3.0629186113768601</v>
      </c>
      <c r="H35" s="18">
        <v>3.0624128909849411</v>
      </c>
      <c r="I35" s="18">
        <v>2.9425012361693703</v>
      </c>
      <c r="J35" s="18">
        <v>2.9265575391379688</v>
      </c>
      <c r="K35" s="18">
        <v>3.0417768610333176</v>
      </c>
      <c r="L35" s="18">
        <v>2.813183986270023</v>
      </c>
      <c r="M35" s="18">
        <v>2.7685311034782809</v>
      </c>
      <c r="N35" s="18">
        <v>2.7325119587257314</v>
      </c>
      <c r="O35" s="18">
        <v>2.7043750177382884</v>
      </c>
      <c r="P35" s="18">
        <v>2.497879365761337</v>
      </c>
      <c r="Q35" s="18">
        <v>2.7187975992550788</v>
      </c>
      <c r="R35" s="18">
        <v>2.6767031217874888</v>
      </c>
      <c r="S35" s="18">
        <v>2.4610103663180687</v>
      </c>
      <c r="T35" s="18">
        <v>2.3473271380693728</v>
      </c>
      <c r="U35" s="18">
        <v>2.2845770512415222</v>
      </c>
      <c r="V35" s="18">
        <v>2.3462712327764268</v>
      </c>
      <c r="W35" s="18">
        <v>2.5515321234291433</v>
      </c>
      <c r="X35" s="18">
        <v>2.6353381582957391</v>
      </c>
      <c r="Y35" s="18">
        <v>2.6851295382167351</v>
      </c>
      <c r="Z35" s="18">
        <v>2.7438705997163528</v>
      </c>
      <c r="AA35" s="18">
        <v>2.405427287664331</v>
      </c>
      <c r="AB35" s="18">
        <v>2.3361992734970096</v>
      </c>
      <c r="AC35" s="18">
        <v>2.4521309228418544</v>
      </c>
      <c r="AD35" s="19">
        <v>2.49113549052058</v>
      </c>
      <c r="AE35" s="19">
        <v>3.4639686770946287</v>
      </c>
      <c r="AF35" s="19">
        <v>2.481440310149631</v>
      </c>
      <c r="AG35" s="19">
        <v>3.0772410865590492</v>
      </c>
      <c r="AH35" s="19">
        <v>2.4870232358017512</v>
      </c>
      <c r="AI35" s="19">
        <v>2.4492489585853847</v>
      </c>
      <c r="AJ35" s="19">
        <v>3.458100212531328</v>
      </c>
      <c r="AK35" s="19">
        <v>3.4206985237311387</v>
      </c>
      <c r="AL35" s="19">
        <v>3.4333106906727835</v>
      </c>
      <c r="AM35" s="19">
        <v>3.1558852420289853</v>
      </c>
      <c r="AN35" s="19">
        <v>3.1811133120269779</v>
      </c>
      <c r="AO35" s="19">
        <v>3.1086275726455117</v>
      </c>
      <c r="AP35" s="19">
        <v>2.8686720446423366</v>
      </c>
      <c r="AQ35" s="19">
        <v>3.0617803433604864</v>
      </c>
      <c r="AR35" s="19">
        <v>2.7108560872895269</v>
      </c>
      <c r="AS35" s="19">
        <v>2.836518954762183</v>
      </c>
      <c r="AT35" s="19">
        <v>2.1965756156880079</v>
      </c>
      <c r="AU35" s="19">
        <v>2.561628956749634</v>
      </c>
      <c r="AV35" s="19">
        <v>2.4459294521490618</v>
      </c>
      <c r="AW35" s="19">
        <v>2.7588195763448438</v>
      </c>
      <c r="AX35" s="19">
        <v>3.1141569904761903</v>
      </c>
      <c r="AY35" s="19">
        <v>2.8972666902255639</v>
      </c>
      <c r="AZ35" s="19">
        <v>2.61860530781893</v>
      </c>
      <c r="BA35" s="19">
        <v>3.0680740160550455</v>
      </c>
      <c r="BB35" s="19">
        <v>3.0446879623188403</v>
      </c>
      <c r="BC35" s="19">
        <v>2.8926885577011108</v>
      </c>
      <c r="BD35" s="19">
        <v>3.0422192494600813</v>
      </c>
      <c r="BE35" s="19">
        <v>3.1566275409750038</v>
      </c>
      <c r="BF35" s="19">
        <v>3.8045710941010009</v>
      </c>
      <c r="BG35" s="19">
        <v>3.5429231395078373</v>
      </c>
      <c r="BH35" s="19">
        <v>2.6516159290892585</v>
      </c>
      <c r="BI35" s="19">
        <v>3.0931035398272426</v>
      </c>
      <c r="BJ35" s="19">
        <v>3.3240256289492445</v>
      </c>
      <c r="BK35" s="19">
        <v>1.9583765161751059</v>
      </c>
      <c r="BL35" s="19">
        <v>2.2172243777883245</v>
      </c>
      <c r="BM35" s="19">
        <v>2.2186800238095237</v>
      </c>
      <c r="BN35" s="19">
        <v>2.0121815804511276</v>
      </c>
      <c r="BO35" s="19">
        <v>2.1055065176954733</v>
      </c>
      <c r="BP35" s="19">
        <v>2.2327882091743119</v>
      </c>
      <c r="BQ35" s="19">
        <v>2.0302699347826088</v>
      </c>
      <c r="BR35" s="19">
        <v>1.9580056393203735</v>
      </c>
      <c r="BS35" s="19">
        <v>2.1525733470916748</v>
      </c>
      <c r="BT35" s="19">
        <v>2.3308167025849627</v>
      </c>
      <c r="BU35" s="19">
        <v>2.1084537287443617</v>
      </c>
      <c r="BV35" s="19">
        <v>1.9299564714172739</v>
      </c>
      <c r="BW35" s="19">
        <v>2.1164824079392872</v>
      </c>
      <c r="BX35" s="19">
        <v>2.3398138355486422</v>
      </c>
      <c r="BY35" s="19">
        <v>1.9862189217886452</v>
      </c>
      <c r="BZ35" s="19">
        <v>2.6472387275099485</v>
      </c>
      <c r="CA35" s="19">
        <v>2.4428978884207821</v>
      </c>
      <c r="CB35" s="19">
        <v>2.2543301558843973</v>
      </c>
      <c r="CC35" s="19">
        <v>2.0803180009357849</v>
      </c>
      <c r="CD35" s="19">
        <v>1.3759456107308601</v>
      </c>
      <c r="CE35" s="19">
        <v>2.0249056127909832</v>
      </c>
      <c r="CF35" s="19">
        <v>1.0396128041814743</v>
      </c>
      <c r="CG35" s="19">
        <v>1</v>
      </c>
      <c r="CH35" s="19">
        <v>1</v>
      </c>
      <c r="CI35" s="19">
        <v>1</v>
      </c>
      <c r="CJ35" s="19">
        <v>2.1540670838034699</v>
      </c>
      <c r="CK35" s="19">
        <v>4.6457810401916504</v>
      </c>
      <c r="CL35" s="19">
        <v>16.315380096435501</v>
      </c>
      <c r="CM35" s="19">
        <v>23.968976974487301</v>
      </c>
      <c r="CN35" s="19">
        <v>23.285664610471301</v>
      </c>
      <c r="CO35" s="19">
        <v>31.804800418133901</v>
      </c>
      <c r="CP35" s="19">
        <v>35.489760301550902</v>
      </c>
      <c r="CQ35" s="19">
        <v>35.5643768253939</v>
      </c>
      <c r="CR35" s="19">
        <v>39.750979967975503</v>
      </c>
      <c r="CS35" s="19">
        <v>40.173068124397098</v>
      </c>
      <c r="CT35" s="19">
        <v>50.139867750468675</v>
      </c>
      <c r="CU35" s="19">
        <v>55.601682913400893</v>
      </c>
      <c r="CV35" s="19">
        <v>58.141227612706182</v>
      </c>
      <c r="CW35" s="19">
        <v>59.656457877581595</v>
      </c>
      <c r="CX35" s="19">
        <v>71.793963264607711</v>
      </c>
      <c r="CY35" s="19">
        <v>2.6160911281026071</v>
      </c>
      <c r="CZ35" s="19">
        <v>2.7002086426198386</v>
      </c>
      <c r="DA35" s="19">
        <v>2.508077847619048</v>
      </c>
      <c r="DB35" s="19">
        <v>2.3995527428571428</v>
      </c>
      <c r="DC35" s="19">
        <v>2.567005234567902</v>
      </c>
      <c r="DD35" s="19">
        <v>2.5798187435779818</v>
      </c>
      <c r="DE35" s="19">
        <v>2.4255229608695652</v>
      </c>
      <c r="DF35" s="19">
        <v>2.5099113730697633</v>
      </c>
      <c r="DG35" s="19">
        <v>2.9339142752009515</v>
      </c>
      <c r="DH35" s="19">
        <v>3.0068384686031857</v>
      </c>
      <c r="DI35" s="19">
        <v>3.1494500009428403</v>
      </c>
      <c r="DJ35" s="19">
        <v>2.8295573031259842</v>
      </c>
      <c r="DK35" s="19">
        <v>2.6733020529907483</v>
      </c>
      <c r="DL35" s="19">
        <v>3.0380698729012767</v>
      </c>
      <c r="DM35" s="19">
        <v>3.3797216311308627</v>
      </c>
      <c r="DN35" s="19">
        <v>1.5719177224122538</v>
      </c>
      <c r="DO35" s="19">
        <v>1.5614250136246184</v>
      </c>
      <c r="DP35" s="19">
        <v>2.0253220031746033</v>
      </c>
      <c r="DQ35" s="19">
        <v>2.5093961684210528</v>
      </c>
      <c r="DR35" s="19">
        <v>2.7884454362139919</v>
      </c>
      <c r="DS35" s="19">
        <v>2.8045583733944954</v>
      </c>
      <c r="DT35" s="19">
        <v>2.283268811594203</v>
      </c>
      <c r="DU35" s="19">
        <v>2.2793029520111086</v>
      </c>
      <c r="DV35" s="19">
        <v>2.4324949315052158</v>
      </c>
      <c r="DW35" s="19">
        <v>1.7289115841324265</v>
      </c>
      <c r="DX35" s="19">
        <v>2.1168786905250374</v>
      </c>
      <c r="DY35" s="19">
        <v>1.8860717126249504</v>
      </c>
      <c r="DZ35" s="19">
        <v>1.6875430355266692</v>
      </c>
      <c r="EA35" s="19">
        <v>2.9481446179600375</v>
      </c>
      <c r="EB35" s="19">
        <v>3.4391808714070864</v>
      </c>
      <c r="EC35" s="19">
        <v>1.4640215477053766</v>
      </c>
      <c r="ED35" s="19">
        <v>1.6203021872330328</v>
      </c>
      <c r="EE35" s="19">
        <v>2.0267796174603179</v>
      </c>
      <c r="EF35" s="19">
        <v>2.4165297263157894</v>
      </c>
      <c r="EG35" s="19">
        <v>2.997285935802469</v>
      </c>
      <c r="EH35" s="19">
        <v>3.0773244844036696</v>
      </c>
      <c r="EI35" s="19">
        <v>2.4709238463768117</v>
      </c>
      <c r="EJ35" s="19">
        <v>2.6413957517547608</v>
      </c>
      <c r="EK35" s="19">
        <v>2.9612423094692608</v>
      </c>
      <c r="EL35" s="19">
        <v>2.6178000772321548</v>
      </c>
      <c r="EM35" s="19">
        <v>2.1787539887747158</v>
      </c>
      <c r="EN35" s="19">
        <v>3.1016726112626412</v>
      </c>
      <c r="EO35" s="19">
        <v>2.7628545803417777</v>
      </c>
      <c r="EP35" s="19">
        <v>4.6015579470475423</v>
      </c>
      <c r="EQ35" s="19">
        <v>3.2784734514164486</v>
      </c>
      <c r="ER35" s="19"/>
      <c r="ES35" s="16">
        <f t="shared" si="2"/>
        <v>2.9265575391379688</v>
      </c>
      <c r="ET35" s="16">
        <f t="shared" si="2"/>
        <v>2.6851295382167351</v>
      </c>
      <c r="EU35" s="16">
        <f t="shared" si="2"/>
        <v>3.4206985237311387</v>
      </c>
      <c r="EV35" s="16">
        <f t="shared" si="2"/>
        <v>2.61860530781893</v>
      </c>
      <c r="EW35" s="16">
        <f t="shared" si="2"/>
        <v>2.1055065176954733</v>
      </c>
      <c r="EX35" s="16" t="str">
        <f t="shared" si="2"/>
        <v>.</v>
      </c>
      <c r="EY35" s="16">
        <f t="shared" si="2"/>
        <v>23.285664610471301</v>
      </c>
      <c r="EZ35" s="16">
        <f t="shared" si="2"/>
        <v>2.567005234567902</v>
      </c>
      <c r="FA35" s="16">
        <f t="shared" si="2"/>
        <v>2.7884454362139919</v>
      </c>
      <c r="FB35" s="16">
        <f t="shared" si="2"/>
        <v>2.997285935802469</v>
      </c>
    </row>
    <row r="36" spans="1:158" x14ac:dyDescent="0.25">
      <c r="A36" s="17">
        <v>33</v>
      </c>
      <c r="B36" s="17" t="s">
        <v>52</v>
      </c>
      <c r="C36" s="17" t="s">
        <v>52</v>
      </c>
      <c r="D36" s="17" t="s">
        <v>18</v>
      </c>
      <c r="E36" s="16">
        <v>1</v>
      </c>
      <c r="F36" s="18">
        <v>4.650829141005083</v>
      </c>
      <c r="G36" s="18">
        <v>4.6500587221103578</v>
      </c>
      <c r="H36" s="18">
        <v>4.5221262785805356</v>
      </c>
      <c r="I36" s="18">
        <v>4.3305731075514871</v>
      </c>
      <c r="J36" s="18">
        <v>4.3225915217477651</v>
      </c>
      <c r="K36" s="18">
        <v>4.244771369349845</v>
      </c>
      <c r="L36" s="18">
        <v>4.2457714973684206</v>
      </c>
      <c r="M36" s="18">
        <v>4.2260219164439867</v>
      </c>
      <c r="N36" s="18">
        <v>4.1406669829914877</v>
      </c>
      <c r="O36" s="18">
        <v>4.0901647601956315</v>
      </c>
      <c r="P36" s="18">
        <v>4.2350044402448068</v>
      </c>
      <c r="Q36" s="18">
        <v>4.0781965607907669</v>
      </c>
      <c r="R36" s="18">
        <v>4.2709174720136538</v>
      </c>
      <c r="S36" s="18">
        <v>3.513449375925354</v>
      </c>
      <c r="T36" s="18">
        <v>3.741753627093654</v>
      </c>
      <c r="U36" s="18">
        <v>3.4784524774560186</v>
      </c>
      <c r="V36" s="18">
        <v>3.3478022379630321</v>
      </c>
      <c r="W36" s="18">
        <v>3.4052538972480928</v>
      </c>
      <c r="X36" s="18">
        <v>3.4986113692242125</v>
      </c>
      <c r="Y36" s="18">
        <v>3.4450748764279671</v>
      </c>
      <c r="Z36" s="18">
        <v>3.5041399642295574</v>
      </c>
      <c r="AA36" s="18">
        <v>3.5993188597585548</v>
      </c>
      <c r="AB36" s="18">
        <v>3.5417203396025538</v>
      </c>
      <c r="AC36" s="18">
        <v>3.4721698392724232</v>
      </c>
      <c r="AD36" s="19">
        <v>3.3757575785266667</v>
      </c>
      <c r="AE36" s="19">
        <v>3.0890985903659169</v>
      </c>
      <c r="AF36" s="19">
        <v>3.5240661065573207</v>
      </c>
      <c r="AG36" s="19">
        <v>3.1530302290981305</v>
      </c>
      <c r="AH36" s="19">
        <v>3.372045346970034</v>
      </c>
      <c r="AI36" s="19">
        <v>3.3859808786770911</v>
      </c>
      <c r="AJ36" s="19">
        <v>5.5358574536231879</v>
      </c>
      <c r="AK36" s="19">
        <v>5.5034282213836478</v>
      </c>
      <c r="AL36" s="19">
        <v>5.4171737411764704</v>
      </c>
      <c r="AM36" s="19">
        <v>5.361995883333333</v>
      </c>
      <c r="AN36" s="19">
        <v>5.4037695231842529</v>
      </c>
      <c r="AO36" s="19">
        <v>5.3395785824682838</v>
      </c>
      <c r="AP36" s="19">
        <v>5.2926027565186722</v>
      </c>
      <c r="AQ36" s="19">
        <v>5.1235732097317213</v>
      </c>
      <c r="AR36" s="19">
        <v>5.1177898431762205</v>
      </c>
      <c r="AS36" s="19">
        <v>5.1037783492129893</v>
      </c>
      <c r="AT36" s="19">
        <v>5.3895103314426471</v>
      </c>
      <c r="AU36" s="19">
        <v>4.978027512213953</v>
      </c>
      <c r="AV36" s="19">
        <v>3.8275957168525077</v>
      </c>
      <c r="AW36" s="19">
        <v>3.6627021127346335</v>
      </c>
      <c r="AX36" s="19">
        <v>3.5582174198895027</v>
      </c>
      <c r="AY36" s="19">
        <v>3.5852158869565223</v>
      </c>
      <c r="AZ36" s="19">
        <v>3.6435065320754716</v>
      </c>
      <c r="BA36" s="19">
        <v>3.9312743607843137</v>
      </c>
      <c r="BB36" s="19">
        <v>4.0646104000000003</v>
      </c>
      <c r="BC36" s="19">
        <v>4.0323830307367237</v>
      </c>
      <c r="BD36" s="19">
        <v>3.6901472213420461</v>
      </c>
      <c r="BE36" s="19">
        <v>3.4771771282389548</v>
      </c>
      <c r="BF36" s="19">
        <v>5.2565389174481041</v>
      </c>
      <c r="BG36" s="19">
        <v>6.4761446037583292</v>
      </c>
      <c r="BH36" s="19">
        <v>6.4047982841652518</v>
      </c>
      <c r="BI36" s="19">
        <v>6.0194224809412242</v>
      </c>
      <c r="BJ36" s="19">
        <v>5.8168520289929146</v>
      </c>
      <c r="BK36" s="19">
        <v>4.7274751466877456</v>
      </c>
      <c r="BL36" s="19">
        <v>4.4285191121439968</v>
      </c>
      <c r="BM36" s="19">
        <v>4.2299418077348072</v>
      </c>
      <c r="BN36" s="19">
        <v>4.1249871826086952</v>
      </c>
      <c r="BO36" s="19">
        <v>4.1763295283018866</v>
      </c>
      <c r="BP36" s="19">
        <v>4.1567541039215685</v>
      </c>
      <c r="BQ36" s="19">
        <v>4.0496579375000001</v>
      </c>
      <c r="BR36" s="19">
        <v>4.0349690881106426</v>
      </c>
      <c r="BS36" s="19">
        <v>3.9622731774411304</v>
      </c>
      <c r="BT36" s="19">
        <v>3.8496490537256438</v>
      </c>
      <c r="BU36" s="19">
        <v>3.8308674935082405</v>
      </c>
      <c r="BV36" s="19">
        <v>4.4247561967684517</v>
      </c>
      <c r="BW36" s="19">
        <v>3.8148636803235716</v>
      </c>
      <c r="BX36" s="19">
        <v>3.1389036040961473</v>
      </c>
      <c r="BY36" s="19">
        <v>3.4706172671603421</v>
      </c>
      <c r="BZ36" s="19">
        <v>17.137002899616501</v>
      </c>
      <c r="CA36" s="19">
        <v>27.9578325789949</v>
      </c>
      <c r="CB36" s="19">
        <v>35.587451278988297</v>
      </c>
      <c r="CC36" s="19">
        <v>50.466905431317201</v>
      </c>
      <c r="CD36" s="19">
        <v>57.6071316870026</v>
      </c>
      <c r="CE36" s="19">
        <v>66.86585586990968</v>
      </c>
      <c r="CF36" s="19">
        <v>77.147784881196955</v>
      </c>
      <c r="CG36" s="19">
        <v>89.171845039537857</v>
      </c>
      <c r="CH36" s="19">
        <v>100.40931908729</v>
      </c>
      <c r="CI36" s="19">
        <v>110.58547068293829</v>
      </c>
      <c r="CJ36" s="19">
        <v>67.788429964084102</v>
      </c>
      <c r="CK36" s="19">
        <v>75.617965698242202</v>
      </c>
      <c r="CL36" s="19">
        <v>88.059478759765597</v>
      </c>
      <c r="CM36" s="19">
        <v>96.935569763183594</v>
      </c>
      <c r="CN36" s="19">
        <v>116.002126484952</v>
      </c>
      <c r="CO36" s="19">
        <v>129.70807824766499</v>
      </c>
      <c r="CP36" s="19">
        <v>138.497719192337</v>
      </c>
      <c r="CQ36" s="19">
        <v>134.27828088864999</v>
      </c>
      <c r="CR36" s="19">
        <v>133.25562876138599</v>
      </c>
      <c r="CS36" s="19">
        <v>129.47039013812801</v>
      </c>
      <c r="CT36" s="19">
        <v>157.44014347991467</v>
      </c>
      <c r="CU36" s="19">
        <v>165.34953833355641</v>
      </c>
      <c r="CV36" s="19">
        <v>172.62866674675641</v>
      </c>
      <c r="CW36" s="19">
        <v>178.19674263047392</v>
      </c>
      <c r="CX36" s="19">
        <v>183.24750656590251</v>
      </c>
      <c r="CY36" s="19">
        <v>5.411770013123359</v>
      </c>
      <c r="CZ36" s="19">
        <v>5.4267155884799418</v>
      </c>
      <c r="DA36" s="19">
        <v>5.506838750276243</v>
      </c>
      <c r="DB36" s="19">
        <v>5.2141748304347821</v>
      </c>
      <c r="DC36" s="19">
        <v>5.0367224566037736</v>
      </c>
      <c r="DD36" s="19">
        <v>5.1590167901960786</v>
      </c>
      <c r="DE36" s="19">
        <v>5.1048019</v>
      </c>
      <c r="DF36" s="19">
        <v>4.9818439748325893</v>
      </c>
      <c r="DG36" s="19">
        <v>5.0762142242269315</v>
      </c>
      <c r="DH36" s="19">
        <v>5.2745464366415273</v>
      </c>
      <c r="DI36" s="19">
        <v>5.0304917462116894</v>
      </c>
      <c r="DJ36" s="19">
        <v>5.6524625598396394</v>
      </c>
      <c r="DK36" s="19">
        <v>4.5570536089799969</v>
      </c>
      <c r="DL36" s="19">
        <v>4.5016560311806186</v>
      </c>
      <c r="DM36" s="19">
        <v>5.1389902166227097</v>
      </c>
      <c r="DN36" s="19">
        <v>5.0143673987060344</v>
      </c>
      <c r="DO36" s="19">
        <v>5.0887675932786518</v>
      </c>
      <c r="DP36" s="19">
        <v>5.6140767591160223</v>
      </c>
      <c r="DQ36" s="19">
        <v>5.7134810130434781</v>
      </c>
      <c r="DR36" s="19">
        <v>5.5085497094339626</v>
      </c>
      <c r="DS36" s="19">
        <v>5.3890058411764707</v>
      </c>
      <c r="DT36" s="19">
        <v>4.9762832125000003</v>
      </c>
      <c r="DU36" s="19">
        <v>4.7374446251092817</v>
      </c>
      <c r="DV36" s="19">
        <v>4.5729031811369225</v>
      </c>
      <c r="DW36" s="19">
        <v>4.5334168572356734</v>
      </c>
      <c r="DX36" s="19">
        <v>5.7017380843038676</v>
      </c>
      <c r="DY36" s="19">
        <v>5.4120470666350391</v>
      </c>
      <c r="DZ36" s="19">
        <v>3.9205438670248109</v>
      </c>
      <c r="EA36" s="19">
        <v>4.9180831407064645</v>
      </c>
      <c r="EB36" s="19">
        <v>3.4929805194534507</v>
      </c>
      <c r="EC36" s="19">
        <v>5.4077743637749975</v>
      </c>
      <c r="ED36" s="19">
        <v>5.5347403109820004</v>
      </c>
      <c r="EE36" s="19">
        <v>5.7862892806629835</v>
      </c>
      <c r="EF36" s="19">
        <v>5.8775495043478259</v>
      </c>
      <c r="EG36" s="19">
        <v>5.6692204226415095</v>
      </c>
      <c r="EH36" s="19">
        <v>5.6178494372549022</v>
      </c>
      <c r="EI36" s="19">
        <v>5.364093887500001</v>
      </c>
      <c r="EJ36" s="19">
        <v>5.1213296188133608</v>
      </c>
      <c r="EK36" s="19">
        <v>4.9324484774406923</v>
      </c>
      <c r="EL36" s="19">
        <v>5.0067470191181567</v>
      </c>
      <c r="EM36" s="19">
        <v>5.1732820969219997</v>
      </c>
      <c r="EN36" s="19">
        <v>5.024748831469636</v>
      </c>
      <c r="EO36" s="19">
        <v>4.4205526854960331</v>
      </c>
      <c r="EP36" s="19">
        <v>5.0295866277175127</v>
      </c>
      <c r="EQ36" s="19">
        <v>4.457420967415354</v>
      </c>
      <c r="ER36" s="19"/>
      <c r="ES36" s="16">
        <f t="shared" si="2"/>
        <v>4.3225915217477651</v>
      </c>
      <c r="ET36" s="16">
        <f t="shared" si="2"/>
        <v>3.4450748764279671</v>
      </c>
      <c r="EU36" s="16">
        <f t="shared" si="2"/>
        <v>5.5034282213836478</v>
      </c>
      <c r="EV36" s="16">
        <f t="shared" si="2"/>
        <v>3.6435065320754716</v>
      </c>
      <c r="EW36" s="16">
        <f t="shared" si="2"/>
        <v>4.1763295283018866</v>
      </c>
      <c r="EX36" s="16" t="str">
        <f t="shared" si="2"/>
        <v>.</v>
      </c>
      <c r="EY36" s="16">
        <f t="shared" si="2"/>
        <v>116.002126484952</v>
      </c>
      <c r="EZ36" s="16">
        <f t="shared" si="2"/>
        <v>5.0367224566037736</v>
      </c>
      <c r="FA36" s="16">
        <f t="shared" si="2"/>
        <v>5.5085497094339626</v>
      </c>
      <c r="FB36" s="16">
        <f t="shared" si="2"/>
        <v>5.6692204226415095</v>
      </c>
    </row>
    <row r="37" spans="1:158" x14ac:dyDescent="0.25">
      <c r="A37" s="17">
        <v>34</v>
      </c>
      <c r="B37" s="17" t="s">
        <v>53</v>
      </c>
      <c r="C37" s="17" t="s">
        <v>53</v>
      </c>
      <c r="D37" s="17" t="s">
        <v>25</v>
      </c>
      <c r="E37" s="16">
        <v>1</v>
      </c>
      <c r="F37" s="18">
        <v>4.1786212691829796</v>
      </c>
      <c r="G37" s="18">
        <v>4.5041766867225927</v>
      </c>
      <c r="H37" s="18">
        <v>4.5412526956399208</v>
      </c>
      <c r="I37" s="18">
        <v>4.3373808928750446</v>
      </c>
      <c r="J37" s="18">
        <v>4.3728555781852165</v>
      </c>
      <c r="K37" s="18">
        <v>4.2532406476028131</v>
      </c>
      <c r="L37" s="18">
        <v>4.3057573596491237</v>
      </c>
      <c r="M37" s="18">
        <v>4.381751709299202</v>
      </c>
      <c r="N37" s="18">
        <v>4.317823581625265</v>
      </c>
      <c r="O37" s="18">
        <v>4.4056837862309015</v>
      </c>
      <c r="P37" s="18">
        <v>4.4680987595380621</v>
      </c>
      <c r="Q37" s="18">
        <v>4.2336753842242851</v>
      </c>
      <c r="R37" s="18">
        <v>4.3052838928758694</v>
      </c>
      <c r="S37" s="18">
        <v>4.3297828047701952</v>
      </c>
      <c r="T37" s="18">
        <v>4.2794729047773581</v>
      </c>
      <c r="U37" s="18">
        <v>3.5972454414803838</v>
      </c>
      <c r="V37" s="18">
        <v>3.8654138717023225</v>
      </c>
      <c r="W37" s="18">
        <v>3.9272616458471221</v>
      </c>
      <c r="X37" s="18">
        <v>3.9212391312728432</v>
      </c>
      <c r="Y37" s="18">
        <v>3.9216448924625245</v>
      </c>
      <c r="Z37" s="18">
        <v>3.8453496045941082</v>
      </c>
      <c r="AA37" s="18">
        <v>3.8928906577058853</v>
      </c>
      <c r="AB37" s="18">
        <v>3.907189116665565</v>
      </c>
      <c r="AC37" s="18">
        <v>3.8922440483029996</v>
      </c>
      <c r="AD37" s="19">
        <v>4.0403434334945052</v>
      </c>
      <c r="AE37" s="19">
        <v>4.1267627972964478</v>
      </c>
      <c r="AF37" s="19">
        <v>4.8321984155446494</v>
      </c>
      <c r="AG37" s="19">
        <v>3.7705474648096096</v>
      </c>
      <c r="AH37" s="19">
        <v>4.1377742221048441</v>
      </c>
      <c r="AI37" s="19">
        <v>4.262570932257602</v>
      </c>
      <c r="AJ37" s="19">
        <v>4.6412738909297051</v>
      </c>
      <c r="AK37" s="19">
        <v>4.6439494243169399</v>
      </c>
      <c r="AL37" s="19">
        <v>4.5672315470085474</v>
      </c>
      <c r="AM37" s="19">
        <v>4.5302796111111112</v>
      </c>
      <c r="AN37" s="19">
        <v>4.4915937693940355</v>
      </c>
      <c r="AO37" s="19">
        <v>4.4587752559684199</v>
      </c>
      <c r="AP37" s="19">
        <v>4.5436736204583275</v>
      </c>
      <c r="AQ37" s="19">
        <v>4.3140654956094835</v>
      </c>
      <c r="AR37" s="19">
        <v>4.717507798574462</v>
      </c>
      <c r="AS37" s="19">
        <v>4.3859613927931687</v>
      </c>
      <c r="AT37" s="19">
        <v>4.137644357529541</v>
      </c>
      <c r="AU37" s="19">
        <v>4.1998100284733679</v>
      </c>
      <c r="AV37" s="19">
        <v>3.5749305457450218</v>
      </c>
      <c r="AW37" s="19">
        <v>3.8620212382043935</v>
      </c>
      <c r="AX37" s="19">
        <v>3.9050237274425288</v>
      </c>
      <c r="AY37" s="19">
        <v>3.9961384646258509</v>
      </c>
      <c r="AZ37" s="19">
        <v>3.9341559418032785</v>
      </c>
      <c r="BA37" s="19">
        <v>4.1592711295546554</v>
      </c>
      <c r="BB37" s="19">
        <v>4.2767433571428572</v>
      </c>
      <c r="BC37" s="19">
        <v>4.0532423917828266</v>
      </c>
      <c r="BD37" s="19">
        <v>3.9651952893280789</v>
      </c>
      <c r="BE37" s="19">
        <v>4.148443364699129</v>
      </c>
      <c r="BF37" s="19">
        <v>4.7099386508586765</v>
      </c>
      <c r="BG37" s="19">
        <v>4.4139696650130631</v>
      </c>
      <c r="BH37" s="19">
        <v>4.57679781816472</v>
      </c>
      <c r="BI37" s="19">
        <v>4.9147598241570689</v>
      </c>
      <c r="BJ37" s="19">
        <v>5.0469805527156977</v>
      </c>
      <c r="BK37" s="19">
        <v>4.341373816284726</v>
      </c>
      <c r="BL37" s="19">
        <v>4.7545524566002175</v>
      </c>
      <c r="BM37" s="19">
        <v>4.6563401284482762</v>
      </c>
      <c r="BN37" s="19">
        <v>4.6363341836734691</v>
      </c>
      <c r="BO37" s="19">
        <v>4.705408509289617</v>
      </c>
      <c r="BP37" s="19">
        <v>4.568863441835358</v>
      </c>
      <c r="BQ37" s="19">
        <v>4.4292389523809526</v>
      </c>
      <c r="BR37" s="19">
        <v>4.2912895567856797</v>
      </c>
      <c r="BS37" s="19">
        <v>4.1731548616708798</v>
      </c>
      <c r="BT37" s="19">
        <v>4.3177984899539439</v>
      </c>
      <c r="BU37" s="19">
        <v>3.9044342286695017</v>
      </c>
      <c r="BV37" s="19">
        <v>4.5518205653927106</v>
      </c>
      <c r="BW37" s="19">
        <v>4.3791171990536748</v>
      </c>
      <c r="BX37" s="19">
        <v>4.1850126307408528</v>
      </c>
      <c r="BY37" s="19">
        <v>4.3859426557566952</v>
      </c>
      <c r="BZ37" s="19">
        <v>9.4630662965916503</v>
      </c>
      <c r="CA37" s="19">
        <v>17.2428990500357</v>
      </c>
      <c r="CB37" s="19">
        <v>21.360287802620299</v>
      </c>
      <c r="CC37" s="19">
        <v>41.795505511946502</v>
      </c>
      <c r="CD37" s="19">
        <v>56.031214550509397</v>
      </c>
      <c r="CE37" s="19">
        <v>62.62245170929264</v>
      </c>
      <c r="CF37" s="19">
        <v>79.580592249037096</v>
      </c>
      <c r="CG37" s="19">
        <v>87.917131017964294</v>
      </c>
      <c r="CH37" s="19">
        <v>98.222863646799027</v>
      </c>
      <c r="CI37" s="19">
        <v>115.03298588322686</v>
      </c>
      <c r="CJ37" s="19">
        <v>29.8992993349367</v>
      </c>
      <c r="CK37" s="19">
        <v>34.832691192627003</v>
      </c>
      <c r="CL37" s="19">
        <v>47.444053649902301</v>
      </c>
      <c r="CM37" s="19">
        <v>55.508041381835902</v>
      </c>
      <c r="CN37" s="19">
        <v>64.040892294456199</v>
      </c>
      <c r="CO37" s="19">
        <v>73.187769263199002</v>
      </c>
      <c r="CP37" s="19">
        <v>81.264734168977299</v>
      </c>
      <c r="CQ37" s="19">
        <v>88.708334618216895</v>
      </c>
      <c r="CR37" s="19">
        <v>92.273490822718898</v>
      </c>
      <c r="CS37" s="19">
        <v>93.161420893683797</v>
      </c>
      <c r="CT37" s="19">
        <v>110.49950642636922</v>
      </c>
      <c r="CU37" s="19">
        <v>113.19987214172535</v>
      </c>
      <c r="CV37" s="19">
        <v>124.30240578357449</v>
      </c>
      <c r="CW37" s="19">
        <v>130.09171742677717</v>
      </c>
      <c r="CX37" s="19">
        <v>137.88894990957982</v>
      </c>
      <c r="CY37" s="19">
        <v>4.3145426622736291</v>
      </c>
      <c r="CZ37" s="19">
        <v>4.9828326934220666</v>
      </c>
      <c r="DA37" s="19">
        <v>5.2469936767241379</v>
      </c>
      <c r="DB37" s="19">
        <v>5.1123078217687077</v>
      </c>
      <c r="DC37" s="19">
        <v>5.0416734543715842</v>
      </c>
      <c r="DD37" s="19">
        <v>4.8566706672064779</v>
      </c>
      <c r="DE37" s="19">
        <v>4.6222449999999995</v>
      </c>
      <c r="DF37" s="19">
        <v>4.4875185407536105</v>
      </c>
      <c r="DG37" s="19">
        <v>4.4475239094295453</v>
      </c>
      <c r="DH37" s="19">
        <v>4.5212365879966088</v>
      </c>
      <c r="DI37" s="19">
        <v>4.3553381672212437</v>
      </c>
      <c r="DJ37" s="19">
        <v>4.4270261696711337</v>
      </c>
      <c r="DK37" s="19">
        <v>3.8037300968012238</v>
      </c>
      <c r="DL37" s="19">
        <v>4.1576157829972029</v>
      </c>
      <c r="DM37" s="19">
        <v>4.3674987950475961</v>
      </c>
      <c r="DN37" s="19">
        <v>3.5934829904362084</v>
      </c>
      <c r="DO37" s="19">
        <v>3.8602318763725236</v>
      </c>
      <c r="DP37" s="19">
        <v>3.9885465949712646</v>
      </c>
      <c r="DQ37" s="19">
        <v>4.0660956850340133</v>
      </c>
      <c r="DR37" s="19">
        <v>4.2101693092896175</v>
      </c>
      <c r="DS37" s="19">
        <v>4.2777500825910932</v>
      </c>
      <c r="DT37" s="19">
        <v>4.2737446190476192</v>
      </c>
      <c r="DU37" s="19">
        <v>4.3606800510049268</v>
      </c>
      <c r="DV37" s="19">
        <v>4.4757621329021191</v>
      </c>
      <c r="DW37" s="19">
        <v>4.5459024059258519</v>
      </c>
      <c r="DX37" s="19">
        <v>4.6530842300191768</v>
      </c>
      <c r="DY37" s="19">
        <v>4.9436898338415549</v>
      </c>
      <c r="DZ37" s="19">
        <v>4.7953265309114794</v>
      </c>
      <c r="EA37" s="19">
        <v>4.9248798736271473</v>
      </c>
      <c r="EB37" s="19">
        <v>5.2540129879025121</v>
      </c>
      <c r="EC37" s="19">
        <v>3.9272992504102264</v>
      </c>
      <c r="ED37" s="19">
        <v>4.0579972031733718</v>
      </c>
      <c r="EE37" s="19">
        <v>4.176278927298851</v>
      </c>
      <c r="EF37" s="19">
        <v>4.2629462632653059</v>
      </c>
      <c r="EG37" s="19">
        <v>4.4099030631147542</v>
      </c>
      <c r="EH37" s="19">
        <v>4.4102692939271257</v>
      </c>
      <c r="EI37" s="19">
        <v>4.5003758333333339</v>
      </c>
      <c r="EJ37" s="19">
        <v>4.6141850774131754</v>
      </c>
      <c r="EK37" s="19">
        <v>4.6925969529743039</v>
      </c>
      <c r="EL37" s="19">
        <v>4.7655260139115168</v>
      </c>
      <c r="EM37" s="19">
        <v>4.9325324554212484</v>
      </c>
      <c r="EN37" s="19">
        <v>4.8840117478352978</v>
      </c>
      <c r="EO37" s="19">
        <v>5.388226697936612</v>
      </c>
      <c r="EP37" s="19">
        <v>5.1212351495266732</v>
      </c>
      <c r="EQ37" s="19">
        <v>5.3275676673964742</v>
      </c>
      <c r="ER37" s="19"/>
      <c r="ES37" s="16">
        <f t="shared" ref="ES37:FB52" si="3">IF(SUMIF($F$2:$EQ$2,ES$2&amp;"_"&amp;ES$3,$F37:$EQ37)=0,".",SUMIF($F$2:$EQ$2,ES$2&amp;"_"&amp;ES$3,$F37:$EQ37))</f>
        <v>4.3728555781852165</v>
      </c>
      <c r="ET37" s="16">
        <f t="shared" si="3"/>
        <v>3.9216448924625245</v>
      </c>
      <c r="EU37" s="16">
        <f t="shared" si="3"/>
        <v>4.6439494243169399</v>
      </c>
      <c r="EV37" s="16">
        <f t="shared" si="3"/>
        <v>3.9341559418032785</v>
      </c>
      <c r="EW37" s="16">
        <f t="shared" si="3"/>
        <v>4.705408509289617</v>
      </c>
      <c r="EX37" s="16" t="str">
        <f t="shared" si="3"/>
        <v>.</v>
      </c>
      <c r="EY37" s="16">
        <f t="shared" si="3"/>
        <v>64.040892294456199</v>
      </c>
      <c r="EZ37" s="16">
        <f t="shared" si="3"/>
        <v>5.0416734543715842</v>
      </c>
      <c r="FA37" s="16">
        <f t="shared" si="3"/>
        <v>4.2101693092896175</v>
      </c>
      <c r="FB37" s="16">
        <f t="shared" si="3"/>
        <v>4.4099030631147542</v>
      </c>
    </row>
    <row r="38" spans="1:158" x14ac:dyDescent="0.25">
      <c r="A38" s="17">
        <v>35</v>
      </c>
      <c r="B38" s="17" t="s">
        <v>54</v>
      </c>
      <c r="C38" s="17" t="s">
        <v>54</v>
      </c>
      <c r="D38" s="17" t="s">
        <v>18</v>
      </c>
      <c r="E38" s="16">
        <v>1</v>
      </c>
      <c r="F38" s="18">
        <v>4.1011234681497548</v>
      </c>
      <c r="G38" s="18">
        <v>4.198201269338635</v>
      </c>
      <c r="H38" s="18">
        <v>4.1701187239033697</v>
      </c>
      <c r="I38" s="18">
        <v>4.0026472339657282</v>
      </c>
      <c r="J38" s="18">
        <v>4.0396465873018386</v>
      </c>
      <c r="K38" s="18">
        <v>3.9815243872464849</v>
      </c>
      <c r="L38" s="18">
        <v>4.061024477228786</v>
      </c>
      <c r="M38" s="18">
        <v>4.0829676846850571</v>
      </c>
      <c r="N38" s="18">
        <v>4.0637196599892844</v>
      </c>
      <c r="O38" s="18">
        <v>4.0408999943267316</v>
      </c>
      <c r="P38" s="18">
        <v>3.9903872669252434</v>
      </c>
      <c r="Q38" s="18">
        <v>3.9394543294553435</v>
      </c>
      <c r="R38" s="18">
        <v>3.7170829231775011</v>
      </c>
      <c r="S38" s="18">
        <v>3.8015880624524558</v>
      </c>
      <c r="T38" s="18">
        <v>3.489377228211251</v>
      </c>
      <c r="U38" s="18">
        <v>3.110661210990239</v>
      </c>
      <c r="V38" s="18">
        <v>3.2240378790963002</v>
      </c>
      <c r="W38" s="18">
        <v>3.1667569947981278</v>
      </c>
      <c r="X38" s="18">
        <v>3.1096796827063931</v>
      </c>
      <c r="Y38" s="18">
        <v>3.2633507865758928</v>
      </c>
      <c r="Z38" s="18">
        <v>3.1736595186228276</v>
      </c>
      <c r="AA38" s="18">
        <v>3.1562984731109656</v>
      </c>
      <c r="AB38" s="18">
        <v>3.2119574137150648</v>
      </c>
      <c r="AC38" s="18">
        <v>3.2373139233418544</v>
      </c>
      <c r="AD38" s="19">
        <v>3.2555049664550473</v>
      </c>
      <c r="AE38" s="19">
        <v>3.0427875398259365</v>
      </c>
      <c r="AF38" s="19">
        <v>3.2917695711616641</v>
      </c>
      <c r="AG38" s="19">
        <v>3.5629377152327164</v>
      </c>
      <c r="AH38" s="19">
        <v>3.3495598318565332</v>
      </c>
      <c r="AI38" s="19">
        <v>3.1325179306495872</v>
      </c>
      <c r="AJ38" s="19">
        <v>4.6918754639534894</v>
      </c>
      <c r="AK38" s="19">
        <v>4.7481380627510035</v>
      </c>
      <c r="AL38" s="19">
        <v>4.5432087642237979</v>
      </c>
      <c r="AM38" s="19">
        <v>4.4960622537414965</v>
      </c>
      <c r="AN38" s="19">
        <v>4.5503754380697279</v>
      </c>
      <c r="AO38" s="19">
        <v>4.4824425453889187</v>
      </c>
      <c r="AP38" s="19">
        <v>4.3821739132205648</v>
      </c>
      <c r="AQ38" s="19">
        <v>4.5572317153415494</v>
      </c>
      <c r="AR38" s="19">
        <v>4.3563560449073186</v>
      </c>
      <c r="AS38" s="19">
        <v>4.0104932635346673</v>
      </c>
      <c r="AT38" s="19">
        <v>4.7483474949743005</v>
      </c>
      <c r="AU38" s="19">
        <v>4.248028655012825</v>
      </c>
      <c r="AV38" s="19">
        <v>2.5932107422991013</v>
      </c>
      <c r="AW38" s="19">
        <v>2.8265797632608378</v>
      </c>
      <c r="AX38" s="19">
        <v>2.6920874815426998</v>
      </c>
      <c r="AY38" s="19">
        <v>2.606386176744186</v>
      </c>
      <c r="AZ38" s="19">
        <v>2.8997238990963856</v>
      </c>
      <c r="BA38" s="19">
        <v>2.957153339243499</v>
      </c>
      <c r="BB38" s="19">
        <v>2.927377571428571</v>
      </c>
      <c r="BC38" s="19">
        <v>2.8214732459708292</v>
      </c>
      <c r="BD38" s="19">
        <v>2.6220203995704656</v>
      </c>
      <c r="BE38" s="19">
        <v>2.6155148074030876</v>
      </c>
      <c r="BF38" s="19">
        <v>4.7384285089865905</v>
      </c>
      <c r="BG38" s="19">
        <v>4.1248855996898204</v>
      </c>
      <c r="BH38" s="19">
        <v>5.2906422344516573</v>
      </c>
      <c r="BI38" s="19">
        <v>4.79550906475429</v>
      </c>
      <c r="BJ38" s="19">
        <v>5.3859945402784755</v>
      </c>
      <c r="BK38" s="19">
        <v>3.641745017574844</v>
      </c>
      <c r="BL38" s="19">
        <v>3.6905433738237727</v>
      </c>
      <c r="BM38" s="19">
        <v>3.4813002347107438</v>
      </c>
      <c r="BN38" s="19">
        <v>3.4127631627906974</v>
      </c>
      <c r="BO38" s="19">
        <v>3.679782893674699</v>
      </c>
      <c r="BP38" s="19">
        <v>3.6738746286052013</v>
      </c>
      <c r="BQ38" s="19">
        <v>3.5114892591836733</v>
      </c>
      <c r="BR38" s="19">
        <v>3.3471507142460055</v>
      </c>
      <c r="BS38" s="19">
        <v>3.2169176459312441</v>
      </c>
      <c r="BT38" s="19">
        <v>3.290934506803751</v>
      </c>
      <c r="BU38" s="19">
        <v>2.918386519680658</v>
      </c>
      <c r="BV38" s="19">
        <v>3.2147888432965503</v>
      </c>
      <c r="BW38" s="19">
        <v>3.5994894324971898</v>
      </c>
      <c r="BX38" s="19">
        <v>3.0828163929739012</v>
      </c>
      <c r="BY38" s="19">
        <v>3.1004160831805918</v>
      </c>
      <c r="BZ38" s="19">
        <v>3.6821795496741001</v>
      </c>
      <c r="CA38" s="19">
        <v>4.9469568360580496</v>
      </c>
      <c r="CB38" s="19">
        <v>7.8723828497950299</v>
      </c>
      <c r="CC38" s="19">
        <v>45.061233353824001</v>
      </c>
      <c r="CD38" s="19">
        <v>40.971192190272902</v>
      </c>
      <c r="CE38" s="19">
        <v>53.424681993900364</v>
      </c>
      <c r="CF38" s="19">
        <v>62.765826968486152</v>
      </c>
      <c r="CG38" s="19">
        <v>80.923923238031435</v>
      </c>
      <c r="CH38" s="19">
        <v>89.230596605650803</v>
      </c>
      <c r="CI38" s="19">
        <v>98.237489693857086</v>
      </c>
      <c r="CJ38" s="19">
        <v>47.916651315789501</v>
      </c>
      <c r="CK38" s="19">
        <v>64.310935974121094</v>
      </c>
      <c r="CL38" s="19">
        <v>88.497604370117202</v>
      </c>
      <c r="CM38" s="19">
        <v>92.334388732910199</v>
      </c>
      <c r="CN38" s="19">
        <v>93.758460040936299</v>
      </c>
      <c r="CO38" s="19">
        <v>98.451420154121905</v>
      </c>
      <c r="CP38" s="19">
        <v>103.187441499294</v>
      </c>
      <c r="CQ38" s="19">
        <v>104.08454389933399</v>
      </c>
      <c r="CR38" s="19">
        <v>113.082075334767</v>
      </c>
      <c r="CS38" s="19">
        <v>115.74477427541299</v>
      </c>
      <c r="CT38" s="19">
        <v>132.19952355539021</v>
      </c>
      <c r="CU38" s="19">
        <v>137.70642152271347</v>
      </c>
      <c r="CV38" s="19">
        <v>138.73029768341351</v>
      </c>
      <c r="CW38" s="19">
        <v>141.37064392042276</v>
      </c>
      <c r="CX38" s="19">
        <v>157.78744909430912</v>
      </c>
      <c r="CY38" s="19">
        <v>4.5313276882158178</v>
      </c>
      <c r="CZ38" s="19">
        <v>4.4445594555340895</v>
      </c>
      <c r="DA38" s="19">
        <v>3.9653744600550964</v>
      </c>
      <c r="DB38" s="19">
        <v>3.8435845139534877</v>
      </c>
      <c r="DC38" s="19">
        <v>3.9129333373493971</v>
      </c>
      <c r="DD38" s="19">
        <v>3.8048482846335698</v>
      </c>
      <c r="DE38" s="19">
        <v>3.8354162469387756</v>
      </c>
      <c r="DF38" s="19">
        <v>3.8623851925832282</v>
      </c>
      <c r="DG38" s="19">
        <v>4.0526641130447389</v>
      </c>
      <c r="DH38" s="19">
        <v>4.109623096883297</v>
      </c>
      <c r="DI38" s="19">
        <v>3.4215839262427683</v>
      </c>
      <c r="DJ38" s="19">
        <v>3.3914706028955206</v>
      </c>
      <c r="DK38" s="19">
        <v>4.445919384285026</v>
      </c>
      <c r="DL38" s="19">
        <v>3.9133334722824302</v>
      </c>
      <c r="DM38" s="19">
        <v>3.7273125958019797</v>
      </c>
      <c r="DN38" s="19">
        <v>2.827839246446072</v>
      </c>
      <c r="DO38" s="19">
        <v>3.0694521799056096</v>
      </c>
      <c r="DP38" s="19">
        <v>3.41581047493113</v>
      </c>
      <c r="DQ38" s="19">
        <v>3.5586015767441861</v>
      </c>
      <c r="DR38" s="19">
        <v>3.6450427289156626</v>
      </c>
      <c r="DS38" s="19">
        <v>3.3812210860520091</v>
      </c>
      <c r="DT38" s="19">
        <v>3.3451427897959185</v>
      </c>
      <c r="DU38" s="19">
        <v>3.4109407663522187</v>
      </c>
      <c r="DV38" s="19">
        <v>3.1665278196334841</v>
      </c>
      <c r="DW38" s="19">
        <v>3.0358674377202988</v>
      </c>
      <c r="DX38" s="19">
        <v>3.1700018760136497</v>
      </c>
      <c r="DY38" s="19">
        <v>3.655402352481385</v>
      </c>
      <c r="DZ38" s="19">
        <v>2.0349297136238462</v>
      </c>
      <c r="EA38" s="19">
        <v>3.5208915612054876</v>
      </c>
      <c r="EB38" s="19">
        <v>4.1321871447994178</v>
      </c>
      <c r="EC38" s="19">
        <v>2.6307568438003219</v>
      </c>
      <c r="ED38" s="19">
        <v>2.8515501817496229</v>
      </c>
      <c r="EE38" s="19">
        <v>2.8022047884297523</v>
      </c>
      <c r="EF38" s="19">
        <v>2.8909430616279073</v>
      </c>
      <c r="EG38" s="19">
        <v>2.9366021984939756</v>
      </c>
      <c r="EH38" s="19">
        <v>2.6034960541371159</v>
      </c>
      <c r="EI38" s="19">
        <v>2.5879169469387753</v>
      </c>
      <c r="EJ38" s="19">
        <v>2.6726171877461415</v>
      </c>
      <c r="EK38" s="19">
        <v>2.6944445133209229</v>
      </c>
      <c r="EL38" s="19">
        <v>2.804907251149416</v>
      </c>
      <c r="EM38" s="19">
        <v>2.8686578643454475</v>
      </c>
      <c r="EN38" s="19">
        <v>2.7684434242771623</v>
      </c>
      <c r="EO38" s="19">
        <v>2.6037485377325713</v>
      </c>
      <c r="EP38" s="19">
        <v>2.9971870097009319</v>
      </c>
      <c r="EQ38" s="19">
        <v>2.6974175369501401</v>
      </c>
      <c r="ER38" s="19"/>
      <c r="ES38" s="16">
        <f t="shared" si="3"/>
        <v>4.0396465873018386</v>
      </c>
      <c r="ET38" s="16">
        <f t="shared" si="3"/>
        <v>3.2633507865758928</v>
      </c>
      <c r="EU38" s="16">
        <f t="shared" si="3"/>
        <v>4.7481380627510035</v>
      </c>
      <c r="EV38" s="16">
        <f t="shared" si="3"/>
        <v>2.8997238990963856</v>
      </c>
      <c r="EW38" s="16">
        <f t="shared" si="3"/>
        <v>3.679782893674699</v>
      </c>
      <c r="EX38" s="16" t="str">
        <f t="shared" si="3"/>
        <v>.</v>
      </c>
      <c r="EY38" s="16">
        <f t="shared" si="3"/>
        <v>93.758460040936299</v>
      </c>
      <c r="EZ38" s="16">
        <f t="shared" si="3"/>
        <v>3.9129333373493971</v>
      </c>
      <c r="FA38" s="16">
        <f t="shared" si="3"/>
        <v>3.6450427289156626</v>
      </c>
      <c r="FB38" s="16">
        <f t="shared" si="3"/>
        <v>2.9366021984939756</v>
      </c>
    </row>
    <row r="39" spans="1:158" x14ac:dyDescent="0.25">
      <c r="A39" s="17">
        <v>36</v>
      </c>
      <c r="B39" s="17" t="s">
        <v>55</v>
      </c>
      <c r="C39" s="17" t="s">
        <v>55</v>
      </c>
      <c r="D39" s="17" t="s">
        <v>14</v>
      </c>
      <c r="E39" s="16">
        <v>0</v>
      </c>
      <c r="F39" s="18">
        <v>2.57</v>
      </c>
      <c r="G39" s="18">
        <v>3.79</v>
      </c>
      <c r="H39" s="18">
        <v>3.79</v>
      </c>
      <c r="I39" s="18">
        <v>3.87</v>
      </c>
      <c r="J39" s="18">
        <v>3.62</v>
      </c>
      <c r="K39" s="18">
        <v>4</v>
      </c>
      <c r="L39" s="18">
        <v>3.16</v>
      </c>
      <c r="M39" s="18">
        <v>3.36</v>
      </c>
      <c r="N39" s="18">
        <v>3.48</v>
      </c>
      <c r="O39" s="18">
        <v>3.36</v>
      </c>
      <c r="P39" s="18">
        <v>1.88</v>
      </c>
      <c r="Q39" s="18">
        <v>2.94</v>
      </c>
      <c r="R39" s="18">
        <v>4.0999999999999996</v>
      </c>
      <c r="S39" s="18">
        <v>3.53</v>
      </c>
      <c r="T39" s="18">
        <v>3.53</v>
      </c>
      <c r="U39" s="18">
        <v>3.32</v>
      </c>
      <c r="V39" s="18">
        <v>2.31</v>
      </c>
      <c r="W39" s="18">
        <v>2.86</v>
      </c>
      <c r="X39" s="18">
        <v>1.94</v>
      </c>
      <c r="Y39" s="18">
        <v>2.37</v>
      </c>
      <c r="Z39" s="18">
        <v>2.77</v>
      </c>
      <c r="AA39" s="18">
        <v>3.13</v>
      </c>
      <c r="AB39" s="18">
        <v>2.13</v>
      </c>
      <c r="AC39" s="18">
        <v>3.24</v>
      </c>
      <c r="AD39" s="19">
        <v>3.6</v>
      </c>
      <c r="AE39" s="19">
        <v>3.32</v>
      </c>
      <c r="AF39" s="19">
        <v>1.81</v>
      </c>
      <c r="AG39" s="19">
        <v>2.69</v>
      </c>
      <c r="AH39" s="19">
        <v>3.25</v>
      </c>
      <c r="AI39" s="19">
        <v>3.42</v>
      </c>
      <c r="AJ39" s="19">
        <v>4.68</v>
      </c>
      <c r="AK39" s="19">
        <v>4.32</v>
      </c>
      <c r="AL39" s="19">
        <v>4.22</v>
      </c>
      <c r="AM39" s="19">
        <v>4.09</v>
      </c>
      <c r="AN39" s="19">
        <v>4.8899999999999997</v>
      </c>
      <c r="AO39" s="19">
        <v>3.75</v>
      </c>
      <c r="AP39" s="19">
        <v>4.4800000000000004</v>
      </c>
      <c r="AQ39" s="19">
        <v>3.95</v>
      </c>
      <c r="AR39" s="19">
        <v>4.0999999999999996</v>
      </c>
      <c r="AS39" s="19">
        <v>4.03</v>
      </c>
      <c r="AT39" s="19">
        <v>4.4400000000000004</v>
      </c>
      <c r="AU39" s="19">
        <v>3.48</v>
      </c>
      <c r="AV39" s="19">
        <v>2.99</v>
      </c>
      <c r="AW39" s="19">
        <v>2.68</v>
      </c>
      <c r="AX39" s="19">
        <v>3.97</v>
      </c>
      <c r="AY39" s="19">
        <v>2.29</v>
      </c>
      <c r="AZ39" s="19">
        <v>3.03</v>
      </c>
      <c r="BA39" s="19">
        <v>3.46</v>
      </c>
      <c r="BB39" s="19">
        <v>2.68</v>
      </c>
      <c r="BC39" s="19">
        <v>2.72</v>
      </c>
      <c r="BD39" s="19">
        <v>2.25</v>
      </c>
      <c r="BE39" s="19">
        <v>2.4900000000000002</v>
      </c>
      <c r="BF39" s="19">
        <v>3.8</v>
      </c>
      <c r="BG39" s="19">
        <v>4.83</v>
      </c>
      <c r="BH39" s="19">
        <v>3.69</v>
      </c>
      <c r="BI39" s="19">
        <v>2.83</v>
      </c>
      <c r="BJ39" s="19">
        <v>4.53</v>
      </c>
      <c r="BK39" s="19">
        <v>1.84</v>
      </c>
      <c r="BL39" s="19">
        <v>3.06</v>
      </c>
      <c r="BM39" s="19">
        <v>2.57</v>
      </c>
      <c r="BN39" s="19">
        <v>2.85</v>
      </c>
      <c r="BO39" s="19">
        <v>3.1</v>
      </c>
      <c r="BP39" s="19">
        <v>3.36</v>
      </c>
      <c r="BQ39" s="19">
        <v>2.79</v>
      </c>
      <c r="BR39" s="19">
        <v>2.48</v>
      </c>
      <c r="BS39" s="19">
        <v>2.86</v>
      </c>
      <c r="BT39" s="19">
        <v>2.62</v>
      </c>
      <c r="BU39" s="19">
        <v>3.36</v>
      </c>
      <c r="BV39" s="19">
        <v>2.36</v>
      </c>
      <c r="BW39" s="19">
        <v>3.03</v>
      </c>
      <c r="BX39" s="19">
        <v>1.62</v>
      </c>
      <c r="BY39" s="19">
        <v>2.79</v>
      </c>
      <c r="BZ39" s="19">
        <v>4.3899999999999997</v>
      </c>
      <c r="CA39" s="19">
        <v>1</v>
      </c>
      <c r="CB39" s="19">
        <v>178</v>
      </c>
      <c r="CC39" s="19">
        <v>1</v>
      </c>
      <c r="CD39" s="19">
        <v>42.65</v>
      </c>
      <c r="CE39" s="19">
        <v>176.94</v>
      </c>
      <c r="CF39" s="19">
        <v>1</v>
      </c>
      <c r="CG39" s="19">
        <v>1</v>
      </c>
      <c r="CH39" s="19">
        <v>1</v>
      </c>
      <c r="CI39" s="19">
        <v>36.35</v>
      </c>
      <c r="CJ39" s="19">
        <v>83.41</v>
      </c>
      <c r="CK39" s="19">
        <v>48.76</v>
      </c>
      <c r="CL39" s="19">
        <v>26.76</v>
      </c>
      <c r="CM39" s="19">
        <v>42.26</v>
      </c>
      <c r="CN39" s="19">
        <v>63.12</v>
      </c>
      <c r="CO39" s="19">
        <v>124.93</v>
      </c>
      <c r="CP39" s="19">
        <v>75.5</v>
      </c>
      <c r="CQ39" s="19">
        <v>96.99</v>
      </c>
      <c r="CR39" s="19">
        <v>96.64</v>
      </c>
      <c r="CS39" s="19">
        <v>86.24</v>
      </c>
      <c r="CT39" s="19">
        <v>102.07</v>
      </c>
      <c r="CU39" s="19">
        <v>73.33</v>
      </c>
      <c r="CV39" s="19">
        <v>143.58000000000001</v>
      </c>
      <c r="CW39" s="19">
        <v>164.89</v>
      </c>
      <c r="CX39" s="19">
        <v>130.08000000000001</v>
      </c>
      <c r="CY39" s="19">
        <v>3.03</v>
      </c>
      <c r="CZ39" s="19">
        <v>3.07</v>
      </c>
      <c r="DA39" s="19">
        <v>3.08</v>
      </c>
      <c r="DB39" s="19">
        <v>4.8600000000000003</v>
      </c>
      <c r="DC39" s="19">
        <v>3.22</v>
      </c>
      <c r="DD39" s="19">
        <v>3.34</v>
      </c>
      <c r="DE39" s="19">
        <v>3.23</v>
      </c>
      <c r="DF39" s="19">
        <v>4.12</v>
      </c>
      <c r="DG39" s="19">
        <v>3.81</v>
      </c>
      <c r="DH39" s="19">
        <v>3.69</v>
      </c>
      <c r="DI39" s="19">
        <v>3.48</v>
      </c>
      <c r="DJ39" s="19">
        <v>3.71</v>
      </c>
      <c r="DK39" s="19">
        <v>3.71</v>
      </c>
      <c r="DL39" s="19">
        <v>3.17</v>
      </c>
      <c r="DM39" s="19">
        <v>2.33</v>
      </c>
      <c r="DN39" s="19">
        <v>1.1599999999999999</v>
      </c>
      <c r="DO39" s="19">
        <v>2.65</v>
      </c>
      <c r="DP39" s="19">
        <v>1</v>
      </c>
      <c r="DQ39" s="19">
        <v>3</v>
      </c>
      <c r="DR39" s="19">
        <v>4.0199999999999996</v>
      </c>
      <c r="DS39" s="19">
        <v>2.84</v>
      </c>
      <c r="DT39" s="19">
        <v>2.5299999999999998</v>
      </c>
      <c r="DU39" s="19">
        <v>2.14</v>
      </c>
      <c r="DV39" s="19">
        <v>3.07</v>
      </c>
      <c r="DW39" s="19">
        <v>2.88</v>
      </c>
      <c r="DX39" s="19">
        <v>5.1100000000000003</v>
      </c>
      <c r="DY39" s="19">
        <v>3.25</v>
      </c>
      <c r="DZ39" s="19">
        <v>1.78</v>
      </c>
      <c r="EA39" s="19">
        <v>4.03</v>
      </c>
      <c r="EB39" s="19">
        <v>3.18</v>
      </c>
      <c r="EC39" s="19">
        <v>3.19</v>
      </c>
      <c r="ED39" s="19">
        <v>4.3899999999999997</v>
      </c>
      <c r="EE39" s="19">
        <v>1.8</v>
      </c>
      <c r="EF39" s="19">
        <v>2.5</v>
      </c>
      <c r="EG39" s="19">
        <v>2.74</v>
      </c>
      <c r="EH39" s="19">
        <v>1</v>
      </c>
      <c r="EI39" s="19">
        <v>3.53</v>
      </c>
      <c r="EJ39" s="19">
        <v>3.06</v>
      </c>
      <c r="EK39" s="19">
        <v>2.16</v>
      </c>
      <c r="EL39" s="19">
        <v>3.07</v>
      </c>
      <c r="EM39" s="19">
        <v>3.28</v>
      </c>
      <c r="EN39" s="19">
        <v>1.86</v>
      </c>
      <c r="EO39" s="19">
        <v>3.82</v>
      </c>
      <c r="EP39" s="19">
        <v>4.3099999999999996</v>
      </c>
      <c r="EQ39" s="19">
        <v>2.0499999999999998</v>
      </c>
      <c r="ER39" s="19"/>
      <c r="ES39" s="16">
        <f t="shared" si="3"/>
        <v>3.62</v>
      </c>
      <c r="ET39" s="16">
        <f t="shared" si="3"/>
        <v>2.37</v>
      </c>
      <c r="EU39" s="16">
        <f t="shared" si="3"/>
        <v>4.32</v>
      </c>
      <c r="EV39" s="16">
        <f t="shared" si="3"/>
        <v>3.03</v>
      </c>
      <c r="EW39" s="16">
        <f t="shared" si="3"/>
        <v>3.1</v>
      </c>
      <c r="EX39" s="16" t="str">
        <f t="shared" si="3"/>
        <v>.</v>
      </c>
      <c r="EY39" s="16">
        <f t="shared" si="3"/>
        <v>63.12</v>
      </c>
      <c r="EZ39" s="16">
        <f t="shared" si="3"/>
        <v>3.22</v>
      </c>
      <c r="FA39" s="16">
        <f t="shared" si="3"/>
        <v>4.0199999999999996</v>
      </c>
      <c r="FB39" s="16">
        <f t="shared" si="3"/>
        <v>2.74</v>
      </c>
    </row>
    <row r="40" spans="1:158" x14ac:dyDescent="0.25">
      <c r="A40" s="17">
        <v>37</v>
      </c>
      <c r="B40" s="17" t="s">
        <v>56</v>
      </c>
      <c r="C40" s="17" t="s">
        <v>57</v>
      </c>
      <c r="D40" s="17" t="s">
        <v>33</v>
      </c>
      <c r="E40" s="16">
        <v>1</v>
      </c>
      <c r="F40" s="18">
        <v>4.4976032383855191</v>
      </c>
      <c r="G40" s="18">
        <v>4.5104355896267947</v>
      </c>
      <c r="H40" s="18">
        <v>4.4812097377867746</v>
      </c>
      <c r="I40" s="18">
        <v>4.4951043921052642</v>
      </c>
      <c r="J40" s="18">
        <v>4.4238158441209405</v>
      </c>
      <c r="K40" s="18">
        <v>4.4584347099536403</v>
      </c>
      <c r="L40" s="18">
        <v>4.5443842135706909</v>
      </c>
      <c r="M40" s="18">
        <v>4.4923843416820235</v>
      </c>
      <c r="N40" s="18">
        <v>4.3387812463029887</v>
      </c>
      <c r="O40" s="18">
        <v>4.2982728359202644</v>
      </c>
      <c r="P40" s="18">
        <v>4.2824017279433697</v>
      </c>
      <c r="Q40" s="18">
        <v>4.2616672313287776</v>
      </c>
      <c r="R40" s="18">
        <v>4.5182891521046376</v>
      </c>
      <c r="S40" s="18">
        <v>4.1502392199071361</v>
      </c>
      <c r="T40" s="18">
        <v>3.897949041488479</v>
      </c>
      <c r="U40" s="18">
        <v>3.621507704342517</v>
      </c>
      <c r="V40" s="18">
        <v>3.6249193083065312</v>
      </c>
      <c r="W40" s="18">
        <v>3.6842304811695912</v>
      </c>
      <c r="X40" s="18">
        <v>3.7170774926086958</v>
      </c>
      <c r="Y40" s="18">
        <v>3.6105533852975635</v>
      </c>
      <c r="Z40" s="18">
        <v>3.6133755136421186</v>
      </c>
      <c r="AA40" s="18">
        <v>3.7435137755561012</v>
      </c>
      <c r="AB40" s="18">
        <v>3.7757460054344465</v>
      </c>
      <c r="AC40" s="18">
        <v>3.6827379294029643</v>
      </c>
      <c r="AD40" s="19">
        <v>3.5521153571607753</v>
      </c>
      <c r="AE40" s="19">
        <v>3.2504889350861976</v>
      </c>
      <c r="AF40" s="19">
        <v>4.021984900153508</v>
      </c>
      <c r="AG40" s="19">
        <v>3.2970860575448437</v>
      </c>
      <c r="AH40" s="19">
        <v>3.7317474005573832</v>
      </c>
      <c r="AI40" s="19">
        <v>3.5911640603776265</v>
      </c>
      <c r="AJ40" s="19">
        <v>5.2934622833333336</v>
      </c>
      <c r="AK40" s="19">
        <v>5.2766587503546099</v>
      </c>
      <c r="AL40" s="19">
        <v>5.3565077464594131</v>
      </c>
      <c r="AM40" s="19">
        <v>5.3820779398692808</v>
      </c>
      <c r="AN40" s="19">
        <v>5.2135532446561141</v>
      </c>
      <c r="AO40" s="19">
        <v>5.0608546857031564</v>
      </c>
      <c r="AP40" s="19">
        <v>5.0132964539404359</v>
      </c>
      <c r="AQ40" s="19">
        <v>4.8358871617829973</v>
      </c>
      <c r="AR40" s="19">
        <v>4.7167126187706154</v>
      </c>
      <c r="AS40" s="19">
        <v>4.8829274542990975</v>
      </c>
      <c r="AT40" s="19">
        <v>5.0326315259531169</v>
      </c>
      <c r="AU40" s="19">
        <v>5.0246323500335066</v>
      </c>
      <c r="AV40" s="19">
        <v>2.7957517281105986</v>
      </c>
      <c r="AW40" s="19">
        <v>3.1375085089700994</v>
      </c>
      <c r="AX40" s="19">
        <v>3.2619391368421051</v>
      </c>
      <c r="AY40" s="19">
        <v>3.2954845000000001</v>
      </c>
      <c r="AZ40" s="19">
        <v>3.0687443021276595</v>
      </c>
      <c r="BA40" s="19">
        <v>3.1506343264248708</v>
      </c>
      <c r="BB40" s="19">
        <v>3.3125545862745098</v>
      </c>
      <c r="BC40" s="19">
        <v>3.3170777322822529</v>
      </c>
      <c r="BD40" s="19">
        <v>2.8695853373907894</v>
      </c>
      <c r="BE40" s="19">
        <v>2.5659188366924544</v>
      </c>
      <c r="BF40" s="19">
        <v>5.6632378355137734</v>
      </c>
      <c r="BG40" s="19">
        <v>5.6785019378185151</v>
      </c>
      <c r="BH40" s="19">
        <v>3.7094737312031407</v>
      </c>
      <c r="BI40" s="19">
        <v>5.3702575767477407</v>
      </c>
      <c r="BJ40" s="19">
        <v>4.8781378521263852</v>
      </c>
      <c r="BK40" s="19">
        <v>4.4987408036219581</v>
      </c>
      <c r="BL40" s="19">
        <v>4.2483153109751122</v>
      </c>
      <c r="BM40" s="19">
        <v>3.9335325263157896</v>
      </c>
      <c r="BN40" s="19">
        <v>3.8036582500000007</v>
      </c>
      <c r="BO40" s="19">
        <v>3.79080465106383</v>
      </c>
      <c r="BP40" s="19">
        <v>3.862313402590674</v>
      </c>
      <c r="BQ40" s="19">
        <v>3.8293177362745094</v>
      </c>
      <c r="BR40" s="19">
        <v>3.6736112777431149</v>
      </c>
      <c r="BS40" s="19">
        <v>3.4206465496493208</v>
      </c>
      <c r="BT40" s="19">
        <v>3.5004696015866927</v>
      </c>
      <c r="BU40" s="19">
        <v>3.1244818788437332</v>
      </c>
      <c r="BV40" s="19">
        <v>3.3369261083133903</v>
      </c>
      <c r="BW40" s="19">
        <v>2.9380995221515089</v>
      </c>
      <c r="BX40" s="19">
        <v>3.3575375936180061</v>
      </c>
      <c r="BY40" s="19">
        <v>3.2753706262548103</v>
      </c>
      <c r="BZ40" s="19">
        <v>2.0099120399020398</v>
      </c>
      <c r="CA40" s="19">
        <v>14.529181377738601</v>
      </c>
      <c r="CB40" s="19">
        <v>72.061481484826203</v>
      </c>
      <c r="CC40" s="19">
        <v>86.889223948940398</v>
      </c>
      <c r="CD40" s="19">
        <v>95.516485836593802</v>
      </c>
      <c r="CE40" s="19">
        <v>124.50955023735074</v>
      </c>
      <c r="CF40" s="19">
        <v>156.06143036432738</v>
      </c>
      <c r="CG40" s="19">
        <v>185.8253805781242</v>
      </c>
      <c r="CH40" s="19">
        <v>200</v>
      </c>
      <c r="CI40" s="19">
        <v>200</v>
      </c>
      <c r="CJ40" s="19">
        <v>25.445689854402598</v>
      </c>
      <c r="CK40" s="19">
        <v>32.820701599121101</v>
      </c>
      <c r="CL40" s="19">
        <v>41.605403900146499</v>
      </c>
      <c r="CM40" s="19">
        <v>42.593173980712898</v>
      </c>
      <c r="CN40" s="19">
        <v>65.144464761647995</v>
      </c>
      <c r="CO40" s="19">
        <v>92.204757144443903</v>
      </c>
      <c r="CP40" s="19">
        <v>128.31964703857599</v>
      </c>
      <c r="CQ40" s="19">
        <v>145.971647928252</v>
      </c>
      <c r="CR40" s="19">
        <v>143.82837949635001</v>
      </c>
      <c r="CS40" s="19">
        <v>150.66205059643201</v>
      </c>
      <c r="CT40" s="19">
        <v>177.06127637082307</v>
      </c>
      <c r="CU40" s="19">
        <v>192.602527443859</v>
      </c>
      <c r="CV40" s="19">
        <v>200</v>
      </c>
      <c r="CW40" s="19">
        <v>200</v>
      </c>
      <c r="CX40" s="19">
        <v>200</v>
      </c>
      <c r="CY40" s="19">
        <v>4.5989084101382485</v>
      </c>
      <c r="CZ40" s="19">
        <v>4.5842317664451828</v>
      </c>
      <c r="DA40" s="19">
        <v>4.4874017578947365</v>
      </c>
      <c r="DB40" s="19">
        <v>4.3510895500000002</v>
      </c>
      <c r="DC40" s="19">
        <v>4.3041679829787229</v>
      </c>
      <c r="DD40" s="19">
        <v>4.4591631554404145</v>
      </c>
      <c r="DE40" s="19">
        <v>4.5740361735294117</v>
      </c>
      <c r="DF40" s="19">
        <v>4.579936912364964</v>
      </c>
      <c r="DG40" s="19">
        <v>4.5863748456701376</v>
      </c>
      <c r="DH40" s="19">
        <v>4.6053727367381363</v>
      </c>
      <c r="DI40" s="19">
        <v>4.1864996117161581</v>
      </c>
      <c r="DJ40" s="19">
        <v>5.0971055849082907</v>
      </c>
      <c r="DK40" s="19">
        <v>4.470341896459602</v>
      </c>
      <c r="DL40" s="19">
        <v>4.3874007180342103</v>
      </c>
      <c r="DM40" s="19">
        <v>4.4285549526096286</v>
      </c>
      <c r="DN40" s="19">
        <v>2.403445632617895</v>
      </c>
      <c r="DO40" s="19">
        <v>2.5834013882088946</v>
      </c>
      <c r="DP40" s="19">
        <v>3.3508995263157897</v>
      </c>
      <c r="DQ40" s="19">
        <v>3.9192227000000006</v>
      </c>
      <c r="DR40" s="19">
        <v>3.5739444595744678</v>
      </c>
      <c r="DS40" s="19">
        <v>3.67147319222798</v>
      </c>
      <c r="DT40" s="19">
        <v>3.7546178166666664</v>
      </c>
      <c r="DU40" s="19">
        <v>3.5545384596184366</v>
      </c>
      <c r="DV40" s="19">
        <v>3.3447517574178001</v>
      </c>
      <c r="DW40" s="19">
        <v>3.2075002055094033</v>
      </c>
      <c r="DX40" s="19">
        <v>4.4743548133558786</v>
      </c>
      <c r="DY40" s="19">
        <v>2.6154740660713918</v>
      </c>
      <c r="DZ40" s="19">
        <v>4.5702250900900374</v>
      </c>
      <c r="EA40" s="19">
        <v>4.3668153823356093</v>
      </c>
      <c r="EB40" s="19">
        <v>2.8499536881081333</v>
      </c>
      <c r="EC40" s="19">
        <v>2.0347717776325744</v>
      </c>
      <c r="ED40" s="19">
        <v>2.2121923102990033</v>
      </c>
      <c r="EE40" s="19">
        <v>2.6616996842105261</v>
      </c>
      <c r="EF40" s="19">
        <v>2.8446969500000003</v>
      </c>
      <c r="EG40" s="19">
        <v>2.507367634042553</v>
      </c>
      <c r="EH40" s="19">
        <v>2.5196455575129537</v>
      </c>
      <c r="EI40" s="19">
        <v>2.7265381254901961</v>
      </c>
      <c r="EJ40" s="19">
        <v>2.8309375672911337</v>
      </c>
      <c r="EK40" s="19">
        <v>2.8511266531971837</v>
      </c>
      <c r="EL40" s="19">
        <v>2.7233425753104257</v>
      </c>
      <c r="EM40" s="19">
        <v>2.5873541920143315</v>
      </c>
      <c r="EN40" s="19">
        <v>3.1724404168921367</v>
      </c>
      <c r="EO40" s="19">
        <v>2.5062618583667513</v>
      </c>
      <c r="EP40" s="19">
        <v>2.5442091976351002</v>
      </c>
      <c r="EQ40" s="19">
        <v>3.0480090197260532</v>
      </c>
      <c r="ER40" s="19"/>
      <c r="ES40" s="16">
        <f t="shared" si="3"/>
        <v>4.4238158441209405</v>
      </c>
      <c r="ET40" s="16">
        <f t="shared" si="3"/>
        <v>3.6105533852975635</v>
      </c>
      <c r="EU40" s="16">
        <f t="shared" si="3"/>
        <v>5.2766587503546099</v>
      </c>
      <c r="EV40" s="16">
        <f t="shared" si="3"/>
        <v>3.0687443021276595</v>
      </c>
      <c r="EW40" s="16">
        <f t="shared" si="3"/>
        <v>3.79080465106383</v>
      </c>
      <c r="EX40" s="16" t="str">
        <f t="shared" si="3"/>
        <v>.</v>
      </c>
      <c r="EY40" s="16">
        <f t="shared" si="3"/>
        <v>65.144464761647995</v>
      </c>
      <c r="EZ40" s="16">
        <f t="shared" si="3"/>
        <v>4.3041679829787229</v>
      </c>
      <c r="FA40" s="16">
        <f t="shared" si="3"/>
        <v>3.5739444595744678</v>
      </c>
      <c r="FB40" s="16">
        <f t="shared" si="3"/>
        <v>2.507367634042553</v>
      </c>
    </row>
    <row r="41" spans="1:158" x14ac:dyDescent="0.25">
      <c r="A41" s="17">
        <v>38</v>
      </c>
      <c r="B41" s="17" t="s">
        <v>58</v>
      </c>
      <c r="C41" s="17" t="s">
        <v>58</v>
      </c>
      <c r="D41" s="17" t="s">
        <v>7</v>
      </c>
      <c r="E41" s="16">
        <v>1</v>
      </c>
      <c r="F41" s="18">
        <v>4.1100413202421056</v>
      </c>
      <c r="G41" s="18">
        <v>3.9840386568511557</v>
      </c>
      <c r="H41" s="18">
        <v>3.7632946719051561</v>
      </c>
      <c r="I41" s="18">
        <v>3.5558121503087325</v>
      </c>
      <c r="J41" s="18">
        <v>3.657670147368421</v>
      </c>
      <c r="K41" s="18">
        <v>3.6647880240970077</v>
      </c>
      <c r="L41" s="18">
        <v>3.8068945661975802</v>
      </c>
      <c r="M41" s="18">
        <v>3.8340032753753959</v>
      </c>
      <c r="N41" s="18">
        <v>3.7383421375763519</v>
      </c>
      <c r="O41" s="18">
        <v>3.7602329227819196</v>
      </c>
      <c r="P41" s="18">
        <v>3.654103269738028</v>
      </c>
      <c r="Q41" s="18">
        <v>3.4910111338968459</v>
      </c>
      <c r="R41" s="18">
        <v>4.1784030500283773</v>
      </c>
      <c r="S41" s="18">
        <v>3.9021991357168515</v>
      </c>
      <c r="T41" s="18">
        <v>3.1899785287477598</v>
      </c>
      <c r="U41" s="18">
        <v>3.4294661658334951</v>
      </c>
      <c r="V41" s="18">
        <v>3.4084894280754177</v>
      </c>
      <c r="W41" s="18">
        <v>3.2151070860900726</v>
      </c>
      <c r="X41" s="18">
        <v>3.0832218132046725</v>
      </c>
      <c r="Y41" s="18">
        <v>3.0882791209090912</v>
      </c>
      <c r="Z41" s="18">
        <v>3.1231552336403778</v>
      </c>
      <c r="AA41" s="18">
        <v>3.1207949807235766</v>
      </c>
      <c r="AB41" s="18">
        <v>3.1015333281606421</v>
      </c>
      <c r="AC41" s="18">
        <v>3.1290807031790706</v>
      </c>
      <c r="AD41" s="19">
        <v>3.060543022881637</v>
      </c>
      <c r="AE41" s="19">
        <v>3.3950017494844542</v>
      </c>
      <c r="AF41" s="19">
        <v>2.616049637830101</v>
      </c>
      <c r="AG41" s="19">
        <v>2.8148997572774084</v>
      </c>
      <c r="AH41" s="19">
        <v>3.1521572548512298</v>
      </c>
      <c r="AI41" s="19">
        <v>2.1186760238533475</v>
      </c>
      <c r="AJ41" s="19">
        <v>4.5935964022346374</v>
      </c>
      <c r="AK41" s="19">
        <v>4.7540185999999993</v>
      </c>
      <c r="AL41" s="19">
        <v>4.67417600245098</v>
      </c>
      <c r="AM41" s="19">
        <v>4.6009433885918005</v>
      </c>
      <c r="AN41" s="19">
        <v>4.5395747064605843</v>
      </c>
      <c r="AO41" s="19">
        <v>4.4297368843497766</v>
      </c>
      <c r="AP41" s="19">
        <v>4.2898813223597978</v>
      </c>
      <c r="AQ41" s="19">
        <v>4.6395136761122684</v>
      </c>
      <c r="AR41" s="19">
        <v>4.977967688407233</v>
      </c>
      <c r="AS41" s="19">
        <v>4.1845282297633215</v>
      </c>
      <c r="AT41" s="19">
        <v>4.1152289039030903</v>
      </c>
      <c r="AU41" s="19">
        <v>3.8535043308149985</v>
      </c>
      <c r="AV41" s="19">
        <v>2.8076544145509663</v>
      </c>
      <c r="AW41" s="19">
        <v>2.7293346208475735</v>
      </c>
      <c r="AX41" s="19">
        <v>2.5187120666666667</v>
      </c>
      <c r="AY41" s="19">
        <v>2.1205711486033518</v>
      </c>
      <c r="AZ41" s="19">
        <v>2.2317261999999998</v>
      </c>
      <c r="BA41" s="19">
        <v>2.3306096745098039</v>
      </c>
      <c r="BB41" s="19">
        <v>2.2776623176470587</v>
      </c>
      <c r="BC41" s="19">
        <v>2.173085640289834</v>
      </c>
      <c r="BD41" s="19">
        <v>2.1255976700488435</v>
      </c>
      <c r="BE41" s="19">
        <v>2.0240066065932769</v>
      </c>
      <c r="BF41" s="19">
        <v>5.2432356552361119</v>
      </c>
      <c r="BG41" s="19">
        <v>4.0304110342986235</v>
      </c>
      <c r="BH41" s="19">
        <v>4.5021713874642213</v>
      </c>
      <c r="BI41" s="19">
        <v>5.5020838486221288</v>
      </c>
      <c r="BJ41" s="19">
        <v>5.8093414430253008</v>
      </c>
      <c r="BK41" s="19">
        <v>3.6925518925518928</v>
      </c>
      <c r="BL41" s="19">
        <v>3.3748105608111185</v>
      </c>
      <c r="BM41" s="19">
        <v>3.175819316129032</v>
      </c>
      <c r="BN41" s="19">
        <v>2.8624153150837985</v>
      </c>
      <c r="BO41" s="19">
        <v>2.8128205500000001</v>
      </c>
      <c r="BP41" s="19">
        <v>2.8788278205882349</v>
      </c>
      <c r="BQ41" s="19">
        <v>2.8609531203208558</v>
      </c>
      <c r="BR41" s="19">
        <v>2.6551444284505212</v>
      </c>
      <c r="BS41" s="19">
        <v>2.5680529217661165</v>
      </c>
      <c r="BT41" s="19">
        <v>2.699119836633856</v>
      </c>
      <c r="BU41" s="19">
        <v>1.9104400110376776</v>
      </c>
      <c r="BV41" s="19">
        <v>1.9583024351915364</v>
      </c>
      <c r="BW41" s="19">
        <v>1.4340750006792191</v>
      </c>
      <c r="BX41" s="19">
        <v>2.1685854799945279</v>
      </c>
      <c r="BY41" s="19">
        <v>2.2683446973530343</v>
      </c>
      <c r="BZ41" s="19">
        <v>6.5509969150688399</v>
      </c>
      <c r="CA41" s="19">
        <v>52.260439953174703</v>
      </c>
      <c r="CB41" s="19">
        <v>65.340230141216907</v>
      </c>
      <c r="CC41" s="19">
        <v>68.5214852656012</v>
      </c>
      <c r="CD41" s="19">
        <v>75.419880837736002</v>
      </c>
      <c r="CE41" s="19">
        <v>105.25998230726046</v>
      </c>
      <c r="CF41" s="19">
        <v>120.31165621231629</v>
      </c>
      <c r="CG41" s="19">
        <v>129.66390486433602</v>
      </c>
      <c r="CH41" s="19">
        <v>148.84719713856765</v>
      </c>
      <c r="CI41" s="19">
        <v>168.05947983557724</v>
      </c>
      <c r="CJ41" s="19">
        <v>80.177943760984206</v>
      </c>
      <c r="CK41" s="19">
        <v>96.472702026367202</v>
      </c>
      <c r="CL41" s="19">
        <v>130.18998718261699</v>
      </c>
      <c r="CM41" s="19">
        <v>136.65858459472699</v>
      </c>
      <c r="CN41" s="19">
        <v>144.483970086276</v>
      </c>
      <c r="CO41" s="19">
        <v>116.370610343164</v>
      </c>
      <c r="CP41" s="19">
        <v>113.310347688459</v>
      </c>
      <c r="CQ41" s="19">
        <v>114.509568703182</v>
      </c>
      <c r="CR41" s="19">
        <v>104.431321400248</v>
      </c>
      <c r="CS41" s="19">
        <v>103.766672447592</v>
      </c>
      <c r="CT41" s="19">
        <v>117.08321319793663</v>
      </c>
      <c r="CU41" s="19">
        <v>120.59302648478108</v>
      </c>
      <c r="CV41" s="19">
        <v>114.00578156045363</v>
      </c>
      <c r="CW41" s="19">
        <v>116.01379472593645</v>
      </c>
      <c r="CX41" s="19">
        <v>119.2048790798068</v>
      </c>
      <c r="CY41" s="19">
        <v>4.2360420775805387</v>
      </c>
      <c r="CZ41" s="19">
        <v>4.1999157672064777</v>
      </c>
      <c r="DA41" s="19">
        <v>3.9629801741935484</v>
      </c>
      <c r="DB41" s="19">
        <v>3.9581939798882679</v>
      </c>
      <c r="DC41" s="19">
        <v>3.9281180999999998</v>
      </c>
      <c r="DD41" s="19">
        <v>3.7566968897058821</v>
      </c>
      <c r="DE41" s="19">
        <v>3.7923705529411764</v>
      </c>
      <c r="DF41" s="19">
        <v>3.7929822217194733</v>
      </c>
      <c r="DG41" s="19">
        <v>3.7934997225985114</v>
      </c>
      <c r="DH41" s="19">
        <v>3.8087028792410189</v>
      </c>
      <c r="DI41" s="19">
        <v>3.6408855469741206</v>
      </c>
      <c r="DJ41" s="19">
        <v>3.8882236583683429</v>
      </c>
      <c r="DK41" s="19">
        <v>3.2058291772878293</v>
      </c>
      <c r="DL41" s="19">
        <v>3.6884382734486119</v>
      </c>
      <c r="DM41" s="19">
        <v>3.0116971059163671</v>
      </c>
      <c r="DN41" s="19">
        <v>4.0991941391941387</v>
      </c>
      <c r="DO41" s="19">
        <v>4.0835006928001816</v>
      </c>
      <c r="DP41" s="19">
        <v>4.5344546774193546</v>
      </c>
      <c r="DQ41" s="19">
        <v>5.0878293039106151</v>
      </c>
      <c r="DR41" s="19">
        <v>5.1884092000000006</v>
      </c>
      <c r="DS41" s="19">
        <v>5.2059413499999998</v>
      </c>
      <c r="DT41" s="19">
        <v>5.1194521534759359</v>
      </c>
      <c r="DU41" s="19">
        <v>4.9127230518518523</v>
      </c>
      <c r="DV41" s="19">
        <v>4.5868982003058925</v>
      </c>
      <c r="DW41" s="19">
        <v>4.4983956452571983</v>
      </c>
      <c r="DX41" s="19">
        <v>4.5175412276422451</v>
      </c>
      <c r="DY41" s="19">
        <v>5.8014232962234313</v>
      </c>
      <c r="DZ41" s="19">
        <v>5.4400795135388709</v>
      </c>
      <c r="EA41" s="19">
        <v>5.4925760489231088</v>
      </c>
      <c r="EB41" s="19">
        <v>5.9853074019735688</v>
      </c>
      <c r="EC41" s="19">
        <v>4.8573870573870579</v>
      </c>
      <c r="ED41" s="19">
        <v>5.0294989199589883</v>
      </c>
      <c r="EE41" s="19">
        <v>5.0559344580645158</v>
      </c>
      <c r="EF41" s="19">
        <v>5.2928776569832401</v>
      </c>
      <c r="EG41" s="19">
        <v>5.433094650000001</v>
      </c>
      <c r="EH41" s="19">
        <v>5.330688206862745</v>
      </c>
      <c r="EI41" s="19">
        <v>5.5136961737967916</v>
      </c>
      <c r="EJ41" s="19">
        <v>5.6225447743971841</v>
      </c>
      <c r="EK41" s="19">
        <v>5.5742691834767664</v>
      </c>
      <c r="EL41" s="19">
        <v>5.5147235841462106</v>
      </c>
      <c r="EM41" s="19">
        <v>6.1292962403926188</v>
      </c>
      <c r="EN41" s="19">
        <v>6.095673818754654</v>
      </c>
      <c r="EO41" s="19">
        <v>5.5442745319325448</v>
      </c>
      <c r="EP41" s="19">
        <v>5.4407349028780994</v>
      </c>
      <c r="EQ41" s="19">
        <v>6.6733345726679545</v>
      </c>
      <c r="ER41" s="19"/>
      <c r="ES41" s="16">
        <f t="shared" si="3"/>
        <v>3.657670147368421</v>
      </c>
      <c r="ET41" s="16">
        <f t="shared" si="3"/>
        <v>3.0882791209090912</v>
      </c>
      <c r="EU41" s="16">
        <f t="shared" si="3"/>
        <v>4.7540185999999993</v>
      </c>
      <c r="EV41" s="16">
        <f t="shared" si="3"/>
        <v>2.2317261999999998</v>
      </c>
      <c r="EW41" s="16">
        <f t="shared" si="3"/>
        <v>2.8128205500000001</v>
      </c>
      <c r="EX41" s="16" t="str">
        <f t="shared" si="3"/>
        <v>.</v>
      </c>
      <c r="EY41" s="16">
        <f t="shared" si="3"/>
        <v>144.483970086276</v>
      </c>
      <c r="EZ41" s="16">
        <f t="shared" si="3"/>
        <v>3.9281180999999998</v>
      </c>
      <c r="FA41" s="16">
        <f t="shared" si="3"/>
        <v>5.1884092000000006</v>
      </c>
      <c r="FB41" s="16">
        <f t="shared" si="3"/>
        <v>5.433094650000001</v>
      </c>
    </row>
    <row r="42" spans="1:158" x14ac:dyDescent="0.25">
      <c r="A42" s="17">
        <v>39</v>
      </c>
      <c r="B42" s="17" t="s">
        <v>59</v>
      </c>
      <c r="C42" s="17" t="s">
        <v>59</v>
      </c>
      <c r="D42" s="17" t="s">
        <v>16</v>
      </c>
      <c r="E42" s="16">
        <v>0</v>
      </c>
      <c r="F42" s="18">
        <v>3.82</v>
      </c>
      <c r="G42" s="18">
        <v>4.3600000000000003</v>
      </c>
      <c r="H42" s="18">
        <v>3.56</v>
      </c>
      <c r="I42" s="18">
        <v>3.37</v>
      </c>
      <c r="J42" s="18">
        <v>3.59</v>
      </c>
      <c r="K42" s="18">
        <v>4.13</v>
      </c>
      <c r="L42" s="18">
        <v>4.25</v>
      </c>
      <c r="M42" s="18">
        <v>4.12</v>
      </c>
      <c r="N42" s="18">
        <v>3.98</v>
      </c>
      <c r="O42" s="18">
        <v>3.21</v>
      </c>
      <c r="P42" s="18">
        <v>4.1100000000000003</v>
      </c>
      <c r="Q42" s="18">
        <v>2.81</v>
      </c>
      <c r="R42" s="18">
        <v>4.9000000000000004</v>
      </c>
      <c r="S42" s="18">
        <v>4.92</v>
      </c>
      <c r="T42" s="18">
        <v>3.93</v>
      </c>
      <c r="U42" s="18">
        <v>3.8</v>
      </c>
      <c r="V42" s="18">
        <v>3.04</v>
      </c>
      <c r="W42" s="18">
        <v>3.4</v>
      </c>
      <c r="X42" s="18">
        <v>3.47</v>
      </c>
      <c r="Y42" s="18">
        <v>3.35</v>
      </c>
      <c r="Z42" s="18">
        <v>3.69</v>
      </c>
      <c r="AA42" s="18">
        <v>3.33</v>
      </c>
      <c r="AB42" s="18">
        <v>3.34</v>
      </c>
      <c r="AC42" s="18">
        <v>2.91</v>
      </c>
      <c r="AD42" s="19">
        <v>3.53</v>
      </c>
      <c r="AE42" s="19">
        <v>3.31</v>
      </c>
      <c r="AF42" s="19">
        <v>3.1</v>
      </c>
      <c r="AG42" s="19">
        <v>3</v>
      </c>
      <c r="AH42" s="19">
        <v>3.27</v>
      </c>
      <c r="AI42" s="19">
        <v>2.21</v>
      </c>
      <c r="AJ42" s="19">
        <v>3.89</v>
      </c>
      <c r="AK42" s="19">
        <v>5.23</v>
      </c>
      <c r="AL42" s="19">
        <v>4.45</v>
      </c>
      <c r="AM42" s="19">
        <v>4.6399999999999997</v>
      </c>
      <c r="AN42" s="19">
        <v>4.5</v>
      </c>
      <c r="AO42" s="19">
        <v>5.12</v>
      </c>
      <c r="AP42" s="19">
        <v>4.2699999999999996</v>
      </c>
      <c r="AQ42" s="19">
        <v>3.6</v>
      </c>
      <c r="AR42" s="19">
        <v>4.3</v>
      </c>
      <c r="AS42" s="19">
        <v>4.8899999999999997</v>
      </c>
      <c r="AT42" s="19">
        <v>4.0599999999999996</v>
      </c>
      <c r="AU42" s="19">
        <v>3.66</v>
      </c>
      <c r="AV42" s="19">
        <v>2.71</v>
      </c>
      <c r="AW42" s="19">
        <v>3.39</v>
      </c>
      <c r="AX42" s="19">
        <v>3.07</v>
      </c>
      <c r="AY42" s="19">
        <v>2.86</v>
      </c>
      <c r="AZ42" s="19">
        <v>3.95</v>
      </c>
      <c r="BA42" s="19">
        <v>3.98</v>
      </c>
      <c r="BB42" s="19">
        <v>2.5</v>
      </c>
      <c r="BC42" s="19">
        <v>3.02</v>
      </c>
      <c r="BD42" s="19">
        <v>2.54</v>
      </c>
      <c r="BE42" s="19">
        <v>4.4000000000000004</v>
      </c>
      <c r="BF42" s="19">
        <v>5.24</v>
      </c>
      <c r="BG42" s="19">
        <v>2.69</v>
      </c>
      <c r="BH42" s="19">
        <v>2.44</v>
      </c>
      <c r="BI42" s="19">
        <v>4.1500000000000004</v>
      </c>
      <c r="BJ42" s="19">
        <v>5.72</v>
      </c>
      <c r="BK42" s="19">
        <v>3.84</v>
      </c>
      <c r="BL42" s="19">
        <v>2.82</v>
      </c>
      <c r="BM42" s="19">
        <v>3.58</v>
      </c>
      <c r="BN42" s="19">
        <v>2.36</v>
      </c>
      <c r="BO42" s="19">
        <v>3.28</v>
      </c>
      <c r="BP42" s="19">
        <v>3.57</v>
      </c>
      <c r="BQ42" s="19">
        <v>3.13</v>
      </c>
      <c r="BR42" s="19">
        <v>3.32</v>
      </c>
      <c r="BS42" s="19">
        <v>3.83</v>
      </c>
      <c r="BT42" s="19">
        <v>2.5099999999999998</v>
      </c>
      <c r="BU42" s="19">
        <v>3.87</v>
      </c>
      <c r="BV42" s="19">
        <v>2.97</v>
      </c>
      <c r="BW42" s="19">
        <v>1.98</v>
      </c>
      <c r="BX42" s="19">
        <v>2.99</v>
      </c>
      <c r="BY42" s="19">
        <v>2.94</v>
      </c>
      <c r="BZ42" s="19">
        <v>28.48</v>
      </c>
      <c r="CA42" s="19">
        <v>30.83</v>
      </c>
      <c r="CB42" s="19">
        <v>200</v>
      </c>
      <c r="CC42" s="19">
        <v>53.46</v>
      </c>
      <c r="CD42" s="19">
        <v>29.37</v>
      </c>
      <c r="CE42" s="19">
        <v>107.88</v>
      </c>
      <c r="CF42" s="19">
        <v>1</v>
      </c>
      <c r="CG42" s="19">
        <v>83.15</v>
      </c>
      <c r="CH42" s="19">
        <v>200</v>
      </c>
      <c r="CI42" s="19">
        <v>1</v>
      </c>
      <c r="CJ42" s="19">
        <v>49.13</v>
      </c>
      <c r="CK42" s="19">
        <v>61.17</v>
      </c>
      <c r="CL42" s="19">
        <v>93.59</v>
      </c>
      <c r="CM42" s="19">
        <v>82.12</v>
      </c>
      <c r="CN42" s="19">
        <v>88.61</v>
      </c>
      <c r="CO42" s="19">
        <v>47.22</v>
      </c>
      <c r="CP42" s="19">
        <v>70.63</v>
      </c>
      <c r="CQ42" s="19">
        <v>92.32</v>
      </c>
      <c r="CR42" s="19">
        <v>112.84</v>
      </c>
      <c r="CS42" s="19">
        <v>129.31</v>
      </c>
      <c r="CT42" s="19">
        <v>140.27000000000001</v>
      </c>
      <c r="CU42" s="19">
        <v>151.56</v>
      </c>
      <c r="CV42" s="19">
        <v>140.87</v>
      </c>
      <c r="CW42" s="19">
        <v>133.25</v>
      </c>
      <c r="CX42" s="19">
        <v>151.82</v>
      </c>
      <c r="CY42" s="19">
        <v>4.6399999999999997</v>
      </c>
      <c r="CZ42" s="19">
        <v>3.88</v>
      </c>
      <c r="DA42" s="19">
        <v>4.26</v>
      </c>
      <c r="DB42" s="19">
        <v>4.63</v>
      </c>
      <c r="DC42" s="19">
        <v>4.97</v>
      </c>
      <c r="DD42" s="19">
        <v>4.4000000000000004</v>
      </c>
      <c r="DE42" s="19">
        <v>4.5999999999999996</v>
      </c>
      <c r="DF42" s="19">
        <v>3.98</v>
      </c>
      <c r="DG42" s="19">
        <v>2.91</v>
      </c>
      <c r="DH42" s="19">
        <v>4.54</v>
      </c>
      <c r="DI42" s="19">
        <v>3.62</v>
      </c>
      <c r="DJ42" s="19">
        <v>3.21</v>
      </c>
      <c r="DK42" s="19">
        <v>2.94</v>
      </c>
      <c r="DL42" s="19">
        <v>1.89</v>
      </c>
      <c r="DM42" s="19">
        <v>3.43</v>
      </c>
      <c r="DN42" s="19">
        <v>4.28</v>
      </c>
      <c r="DO42" s="19">
        <v>3.32</v>
      </c>
      <c r="DP42" s="19">
        <v>3.68</v>
      </c>
      <c r="DQ42" s="19">
        <v>3.64</v>
      </c>
      <c r="DR42" s="19">
        <v>4.32</v>
      </c>
      <c r="DS42" s="19">
        <v>4.5599999999999996</v>
      </c>
      <c r="DT42" s="19">
        <v>3.22</v>
      </c>
      <c r="DU42" s="19">
        <v>4.1500000000000004</v>
      </c>
      <c r="DV42" s="19">
        <v>5.56</v>
      </c>
      <c r="DW42" s="19">
        <v>3.84</v>
      </c>
      <c r="DX42" s="19">
        <v>3.73</v>
      </c>
      <c r="DY42" s="19">
        <v>3.33</v>
      </c>
      <c r="DZ42" s="19">
        <v>3.93</v>
      </c>
      <c r="EA42" s="19">
        <v>4.47</v>
      </c>
      <c r="EB42" s="19">
        <v>4.09</v>
      </c>
      <c r="EC42" s="19">
        <v>4.51</v>
      </c>
      <c r="ED42" s="19">
        <v>2.64</v>
      </c>
      <c r="EE42" s="19">
        <v>2.64</v>
      </c>
      <c r="EF42" s="19">
        <v>2.67</v>
      </c>
      <c r="EG42" s="19">
        <v>3.81</v>
      </c>
      <c r="EH42" s="19">
        <v>3.1</v>
      </c>
      <c r="EI42" s="19">
        <v>3.58</v>
      </c>
      <c r="EJ42" s="19">
        <v>3.28</v>
      </c>
      <c r="EK42" s="19">
        <v>3.67</v>
      </c>
      <c r="EL42" s="19">
        <v>4.5199999999999996</v>
      </c>
      <c r="EM42" s="19">
        <v>5.45</v>
      </c>
      <c r="EN42" s="19">
        <v>4.5599999999999996</v>
      </c>
      <c r="EO42" s="19">
        <v>3.79</v>
      </c>
      <c r="EP42" s="19">
        <v>2.4900000000000002</v>
      </c>
      <c r="EQ42" s="19">
        <v>3.57</v>
      </c>
      <c r="ER42" s="19"/>
      <c r="ES42" s="16">
        <f t="shared" si="3"/>
        <v>3.59</v>
      </c>
      <c r="ET42" s="16">
        <f t="shared" si="3"/>
        <v>3.35</v>
      </c>
      <c r="EU42" s="16">
        <f t="shared" si="3"/>
        <v>5.23</v>
      </c>
      <c r="EV42" s="16">
        <f t="shared" si="3"/>
        <v>3.95</v>
      </c>
      <c r="EW42" s="16">
        <f t="shared" si="3"/>
        <v>3.28</v>
      </c>
      <c r="EX42" s="16" t="str">
        <f t="shared" si="3"/>
        <v>.</v>
      </c>
      <c r="EY42" s="16">
        <f t="shared" si="3"/>
        <v>88.61</v>
      </c>
      <c r="EZ42" s="16">
        <f t="shared" si="3"/>
        <v>4.97</v>
      </c>
      <c r="FA42" s="16">
        <f t="shared" si="3"/>
        <v>4.32</v>
      </c>
      <c r="FB42" s="16">
        <f t="shared" si="3"/>
        <v>3.81</v>
      </c>
    </row>
    <row r="43" spans="1:158" x14ac:dyDescent="0.25">
      <c r="A43" s="17">
        <v>40</v>
      </c>
      <c r="B43" s="17" t="s">
        <v>60</v>
      </c>
      <c r="C43" s="17" t="s">
        <v>60</v>
      </c>
      <c r="D43" s="17" t="s">
        <v>23</v>
      </c>
      <c r="E43" s="16">
        <v>1</v>
      </c>
      <c r="F43" s="18">
        <v>4.2604107744521347</v>
      </c>
      <c r="G43" s="18">
        <v>4.5692981621798907</v>
      </c>
      <c r="H43" s="18">
        <v>4.6689508249681264</v>
      </c>
      <c r="I43" s="18">
        <v>4.4697492602500724</v>
      </c>
      <c r="J43" s="18">
        <v>4.1891484444655456</v>
      </c>
      <c r="K43" s="18">
        <v>4.1837791502069779</v>
      </c>
      <c r="L43" s="18">
        <v>4.3391437546330609</v>
      </c>
      <c r="M43" s="18">
        <v>4.4090810764560446</v>
      </c>
      <c r="N43" s="18">
        <v>4.2123312507072939</v>
      </c>
      <c r="O43" s="18">
        <v>4.0144045982961734</v>
      </c>
      <c r="P43" s="18">
        <v>4.0824563516027865</v>
      </c>
      <c r="Q43" s="18">
        <v>4.4750172669068276</v>
      </c>
      <c r="R43" s="18">
        <v>3.3556508555176983</v>
      </c>
      <c r="S43" s="18">
        <v>4.0617716155220975</v>
      </c>
      <c r="T43" s="18">
        <v>3.9502339544601792</v>
      </c>
      <c r="U43" s="18">
        <v>3.2482671483284951</v>
      </c>
      <c r="V43" s="18">
        <v>3.5261967753437977</v>
      </c>
      <c r="W43" s="18">
        <v>3.6828693237364432</v>
      </c>
      <c r="X43" s="18">
        <v>3.6630726319214242</v>
      </c>
      <c r="Y43" s="18">
        <v>3.4806574386559754</v>
      </c>
      <c r="Z43" s="18">
        <v>3.3559159945810886</v>
      </c>
      <c r="AA43" s="18">
        <v>3.4079442612810218</v>
      </c>
      <c r="AB43" s="18">
        <v>3.7202172386805632</v>
      </c>
      <c r="AC43" s="18">
        <v>3.5977889343850493</v>
      </c>
      <c r="AD43" s="19">
        <v>3.211845644563863</v>
      </c>
      <c r="AE43" s="19">
        <v>2.8951195866145509</v>
      </c>
      <c r="AF43" s="19">
        <v>3.1509151197437077</v>
      </c>
      <c r="AG43" s="19">
        <v>3.7884230237571672</v>
      </c>
      <c r="AH43" s="19">
        <v>3.3191690141610399</v>
      </c>
      <c r="AI43" s="19">
        <v>4.102346155654411</v>
      </c>
      <c r="AJ43" s="19">
        <v>5.2043499823204415</v>
      </c>
      <c r="AK43" s="19">
        <v>5.150835908762887</v>
      </c>
      <c r="AL43" s="19">
        <v>5.1325708432584269</v>
      </c>
      <c r="AM43" s="19">
        <v>5.1413082875586857</v>
      </c>
      <c r="AN43" s="19">
        <v>5.0262045310369068</v>
      </c>
      <c r="AO43" s="19">
        <v>4.8448410401822422</v>
      </c>
      <c r="AP43" s="19">
        <v>4.3608006232053897</v>
      </c>
      <c r="AQ43" s="19">
        <v>4.8878018023116416</v>
      </c>
      <c r="AR43" s="19">
        <v>4.9077252670142322</v>
      </c>
      <c r="AS43" s="19">
        <v>4.548686380524261</v>
      </c>
      <c r="AT43" s="19">
        <v>4.2660247982885879</v>
      </c>
      <c r="AU43" s="19">
        <v>3.7650928131033292</v>
      </c>
      <c r="AV43" s="19">
        <v>3.7247216137276382</v>
      </c>
      <c r="AW43" s="19">
        <v>3.9029349717514128</v>
      </c>
      <c r="AX43" s="19">
        <v>4.0409610690607733</v>
      </c>
      <c r="AY43" s="19">
        <v>3.9683281944751383</v>
      </c>
      <c r="AZ43" s="19">
        <v>3.9296607706185567</v>
      </c>
      <c r="BA43" s="19">
        <v>4.0723889011235954</v>
      </c>
      <c r="BB43" s="19">
        <v>4.1271736873239435</v>
      </c>
      <c r="BC43" s="19">
        <v>4.1084741785645855</v>
      </c>
      <c r="BD43" s="19">
        <v>3.9765878861410573</v>
      </c>
      <c r="BE43" s="19">
        <v>3.9672323947816386</v>
      </c>
      <c r="BF43" s="19">
        <v>4.8991165425468619</v>
      </c>
      <c r="BG43" s="19">
        <v>4.3734568292492462</v>
      </c>
      <c r="BH43" s="19">
        <v>5.0828555101238244</v>
      </c>
      <c r="BI43" s="19">
        <v>5.3610400867869359</v>
      </c>
      <c r="BJ43" s="19">
        <v>5.2033716848731046</v>
      </c>
      <c r="BK43" s="19">
        <v>4.4563424429425016</v>
      </c>
      <c r="BL43" s="19">
        <v>4.5587745294474304</v>
      </c>
      <c r="BM43" s="19">
        <v>4.4585573154696139</v>
      </c>
      <c r="BN43" s="19">
        <v>4.3385262397790054</v>
      </c>
      <c r="BO43" s="19">
        <v>4.0880580231958765</v>
      </c>
      <c r="BP43" s="19">
        <v>3.8412835646067416</v>
      </c>
      <c r="BQ43" s="19">
        <v>3.769126458450704</v>
      </c>
      <c r="BR43" s="19">
        <v>3.844594434985086</v>
      </c>
      <c r="BS43" s="19">
        <v>3.6689042743883635</v>
      </c>
      <c r="BT43" s="19">
        <v>3.6979871077800359</v>
      </c>
      <c r="BU43" s="19">
        <v>3.0696648823586816</v>
      </c>
      <c r="BV43" s="19">
        <v>2.9428633088411829</v>
      </c>
      <c r="BW43" s="19">
        <v>2.6614666753146676</v>
      </c>
      <c r="BX43" s="19">
        <v>2.6181154492296317</v>
      </c>
      <c r="BY43" s="19">
        <v>2.7698838149966889</v>
      </c>
      <c r="BZ43" s="19">
        <v>24.0992903228118</v>
      </c>
      <c r="CA43" s="19">
        <v>33.765274547763603</v>
      </c>
      <c r="CB43" s="19">
        <v>31.6040786353607</v>
      </c>
      <c r="CC43" s="19">
        <v>42.120951417881798</v>
      </c>
      <c r="CD43" s="19">
        <v>54.805249442987197</v>
      </c>
      <c r="CE43" s="19">
        <v>57.301300519199614</v>
      </c>
      <c r="CF43" s="19">
        <v>65.065679006138964</v>
      </c>
      <c r="CG43" s="19">
        <v>72.203559424427326</v>
      </c>
      <c r="CH43" s="19">
        <v>76.684915777208261</v>
      </c>
      <c r="CI43" s="19">
        <v>86.152986351747742</v>
      </c>
      <c r="CJ43" s="19">
        <v>86.088862275449102</v>
      </c>
      <c r="CK43" s="19">
        <v>102.745086669922</v>
      </c>
      <c r="CL43" s="19">
        <v>117.729362487793</v>
      </c>
      <c r="CM43" s="19">
        <v>112.22509765625</v>
      </c>
      <c r="CN43" s="19">
        <v>93.695810345155707</v>
      </c>
      <c r="CO43" s="19">
        <v>97.7054606811611</v>
      </c>
      <c r="CP43" s="19">
        <v>98.385445541222495</v>
      </c>
      <c r="CQ43" s="19">
        <v>95.177826889339499</v>
      </c>
      <c r="CR43" s="19">
        <v>96.335310105822899</v>
      </c>
      <c r="CS43" s="19">
        <v>95.400340861770701</v>
      </c>
      <c r="CT43" s="19">
        <v>97.513025110369611</v>
      </c>
      <c r="CU43" s="19">
        <v>89.18294819548737</v>
      </c>
      <c r="CV43" s="19">
        <v>91.732559526115779</v>
      </c>
      <c r="CW43" s="19">
        <v>94.045762109362343</v>
      </c>
      <c r="CX43" s="19">
        <v>97.567666993661064</v>
      </c>
      <c r="CY43" s="19">
        <v>5.4464553669222351</v>
      </c>
      <c r="CZ43" s="19">
        <v>5.7030196802259896</v>
      </c>
      <c r="DA43" s="19">
        <v>5.5414624988950276</v>
      </c>
      <c r="DB43" s="19">
        <v>5.4342126066298349</v>
      </c>
      <c r="DC43" s="19">
        <v>5.4151534005154645</v>
      </c>
      <c r="DD43" s="19">
        <v>5.2437336831460666</v>
      </c>
      <c r="DE43" s="19">
        <v>4.7416788943661974</v>
      </c>
      <c r="DF43" s="19">
        <v>4.3288228609708037</v>
      </c>
      <c r="DG43" s="19">
        <v>4.4658149401346847</v>
      </c>
      <c r="DH43" s="19">
        <v>4.2663059399822565</v>
      </c>
      <c r="DI43" s="19">
        <v>3.5321043065986348</v>
      </c>
      <c r="DJ43" s="19">
        <v>3.3140630136981128</v>
      </c>
      <c r="DK43" s="19">
        <v>4.5407425190506263</v>
      </c>
      <c r="DL43" s="19">
        <v>3.1845665750795948</v>
      </c>
      <c r="DM43" s="19">
        <v>4.3345787133747367</v>
      </c>
      <c r="DN43" s="19">
        <v>5.1830563556132496</v>
      </c>
      <c r="DO43" s="19">
        <v>5.4823798590639612</v>
      </c>
      <c r="DP43" s="19">
        <v>5.5406711359116017</v>
      </c>
      <c r="DQ43" s="19">
        <v>5.368213329281768</v>
      </c>
      <c r="DR43" s="19">
        <v>5.545228278865979</v>
      </c>
      <c r="DS43" s="19">
        <v>5.3153475612359546</v>
      </c>
      <c r="DT43" s="19">
        <v>5.1416344633802815</v>
      </c>
      <c r="DU43" s="19">
        <v>5.2282638645424218</v>
      </c>
      <c r="DV43" s="19">
        <v>4.6309823989868164</v>
      </c>
      <c r="DW43" s="19">
        <v>4.3979425873343398</v>
      </c>
      <c r="DX43" s="19">
        <v>4.2310547414350106</v>
      </c>
      <c r="DY43" s="19">
        <v>4.1499136972822477</v>
      </c>
      <c r="DZ43" s="19">
        <v>4.1892418763108221</v>
      </c>
      <c r="EA43" s="19">
        <v>3.863060147352356</v>
      </c>
      <c r="EB43" s="19">
        <v>4.0296374811594227</v>
      </c>
      <c r="EC43" s="19">
        <v>5.4015293497221206</v>
      </c>
      <c r="ED43" s="19">
        <v>5.7589516200878847</v>
      </c>
      <c r="EE43" s="19">
        <v>5.815390303314917</v>
      </c>
      <c r="EF43" s="19">
        <v>5.59343942320442</v>
      </c>
      <c r="EG43" s="19">
        <v>5.7099318881443306</v>
      </c>
      <c r="EH43" s="19">
        <v>5.6448902634831466</v>
      </c>
      <c r="EI43" s="19">
        <v>5.400005231690141</v>
      </c>
      <c r="EJ43" s="19">
        <v>5.3067744248653241</v>
      </c>
      <c r="EK43" s="19">
        <v>5.0252628460265036</v>
      </c>
      <c r="EL43" s="19">
        <v>4.928371925053634</v>
      </c>
      <c r="EM43" s="19">
        <v>4.7452551005432468</v>
      </c>
      <c r="EN43" s="19">
        <v>4.9201180666428943</v>
      </c>
      <c r="EO43" s="19">
        <v>4.3668655913029264</v>
      </c>
      <c r="EP43" s="19">
        <v>4.5476012322366204</v>
      </c>
      <c r="EQ43" s="19">
        <v>3.9054264936540024</v>
      </c>
      <c r="ER43" s="19"/>
      <c r="ES43" s="16">
        <f t="shared" si="3"/>
        <v>4.1891484444655456</v>
      </c>
      <c r="ET43" s="16">
        <f t="shared" si="3"/>
        <v>3.4806574386559754</v>
      </c>
      <c r="EU43" s="16">
        <f t="shared" si="3"/>
        <v>5.150835908762887</v>
      </c>
      <c r="EV43" s="16">
        <f t="shared" si="3"/>
        <v>3.9296607706185567</v>
      </c>
      <c r="EW43" s="16">
        <f t="shared" si="3"/>
        <v>4.0880580231958765</v>
      </c>
      <c r="EX43" s="16" t="str">
        <f t="shared" si="3"/>
        <v>.</v>
      </c>
      <c r="EY43" s="16">
        <f t="shared" si="3"/>
        <v>93.695810345155707</v>
      </c>
      <c r="EZ43" s="16">
        <f t="shared" si="3"/>
        <v>5.4151534005154645</v>
      </c>
      <c r="FA43" s="16">
        <f t="shared" si="3"/>
        <v>5.545228278865979</v>
      </c>
      <c r="FB43" s="16">
        <f t="shared" si="3"/>
        <v>5.7099318881443306</v>
      </c>
    </row>
    <row r="44" spans="1:158" x14ac:dyDescent="0.25">
      <c r="A44" s="17">
        <v>41</v>
      </c>
      <c r="B44" s="17" t="s">
        <v>61</v>
      </c>
      <c r="C44" s="17" t="s">
        <v>62</v>
      </c>
      <c r="D44" s="17" t="s">
        <v>23</v>
      </c>
      <c r="E44" s="16">
        <v>1</v>
      </c>
      <c r="F44" s="18">
        <v>4.7050505590112257</v>
      </c>
      <c r="G44" s="18">
        <v>4.7688783161618176</v>
      </c>
      <c r="H44" s="18">
        <v>4.7960882319047622</v>
      </c>
      <c r="I44" s="18">
        <v>4.4682730367779202</v>
      </c>
      <c r="J44" s="18">
        <v>4.4150784548188655</v>
      </c>
      <c r="K44" s="18">
        <v>4.4501993720353097</v>
      </c>
      <c r="L44" s="18">
        <v>4.4276072997281934</v>
      </c>
      <c r="M44" s="18">
        <v>4.4636104136698718</v>
      </c>
      <c r="N44" s="18">
        <v>4.4909288788492328</v>
      </c>
      <c r="O44" s="18">
        <v>4.485525355643353</v>
      </c>
      <c r="P44" s="18">
        <v>4.6588159372891083</v>
      </c>
      <c r="Q44" s="18">
        <v>4.8581156999512087</v>
      </c>
      <c r="R44" s="18">
        <v>4.0026522200766204</v>
      </c>
      <c r="S44" s="18">
        <v>4.3659563283051739</v>
      </c>
      <c r="T44" s="18">
        <v>4.2656693824625771</v>
      </c>
      <c r="U44" s="18">
        <v>3.9466178755434944</v>
      </c>
      <c r="V44" s="18">
        <v>3.9785184311746056</v>
      </c>
      <c r="W44" s="18">
        <v>4.0077504585546224</v>
      </c>
      <c r="X44" s="18">
        <v>3.9188512032645404</v>
      </c>
      <c r="Y44" s="18">
        <v>3.7710477937928744</v>
      </c>
      <c r="Z44" s="18">
        <v>3.8103595921096933</v>
      </c>
      <c r="AA44" s="18">
        <v>3.7047435945620606</v>
      </c>
      <c r="AB44" s="18">
        <v>3.6675633430531582</v>
      </c>
      <c r="AC44" s="18">
        <v>3.7919181059676417</v>
      </c>
      <c r="AD44" s="19">
        <v>3.7834610779509745</v>
      </c>
      <c r="AE44" s="19">
        <v>3.6432569056238875</v>
      </c>
      <c r="AF44" s="19">
        <v>3.7367587301303509</v>
      </c>
      <c r="AG44" s="19">
        <v>3.3677499121232315</v>
      </c>
      <c r="AH44" s="19">
        <v>3.6309333904632917</v>
      </c>
      <c r="AI44" s="19">
        <v>3.8073386844167958</v>
      </c>
      <c r="AJ44" s="19">
        <v>5.3953501239837394</v>
      </c>
      <c r="AK44" s="19">
        <v>5.3877027696969693</v>
      </c>
      <c r="AL44" s="19">
        <v>5.2725143451476795</v>
      </c>
      <c r="AM44" s="19">
        <v>5.0847906998435057</v>
      </c>
      <c r="AN44" s="19">
        <v>5.049182482845052</v>
      </c>
      <c r="AO44" s="19">
        <v>5.2071262248044219</v>
      </c>
      <c r="AP44" s="19">
        <v>5.2837436839715766</v>
      </c>
      <c r="AQ44" s="19">
        <v>5.3772110698504161</v>
      </c>
      <c r="AR44" s="19">
        <v>5.6731138527634286</v>
      </c>
      <c r="AS44" s="19">
        <v>5.3832269719578427</v>
      </c>
      <c r="AT44" s="19">
        <v>4.2760275164348416</v>
      </c>
      <c r="AU44" s="19">
        <v>4.8714521743150767</v>
      </c>
      <c r="AV44" s="19">
        <v>2.3583694083694082</v>
      </c>
      <c r="AW44" s="19">
        <v>2.5357802670426772</v>
      </c>
      <c r="AX44" s="19">
        <v>2.6554733285714285</v>
      </c>
      <c r="AY44" s="19">
        <v>2.6690065841463415</v>
      </c>
      <c r="AZ44" s="19">
        <v>2.6213503766233766</v>
      </c>
      <c r="BA44" s="19">
        <v>2.7163344803797469</v>
      </c>
      <c r="BB44" s="19">
        <v>2.6348085089201878</v>
      </c>
      <c r="BC44" s="19">
        <v>2.5533083902917335</v>
      </c>
      <c r="BD44" s="19">
        <v>2.8122894174830861</v>
      </c>
      <c r="BE44" s="19">
        <v>2.8048787719574735</v>
      </c>
      <c r="BF44" s="19">
        <v>4.5376410638498674</v>
      </c>
      <c r="BG44" s="19">
        <v>5.1013826386122219</v>
      </c>
      <c r="BH44" s="19">
        <v>7</v>
      </c>
      <c r="BI44" s="19">
        <v>4.0895263890665694</v>
      </c>
      <c r="BJ44" s="19">
        <v>6.5811667838813692</v>
      </c>
      <c r="BK44" s="19">
        <v>4.1575191163976211</v>
      </c>
      <c r="BL44" s="19">
        <v>4.1079906701076903</v>
      </c>
      <c r="BM44" s="19">
        <v>4.1155992514285717</v>
      </c>
      <c r="BN44" s="19">
        <v>3.9074546121951221</v>
      </c>
      <c r="BO44" s="19">
        <v>3.612388649350649</v>
      </c>
      <c r="BP44" s="19">
        <v>3.461304446835443</v>
      </c>
      <c r="BQ44" s="19">
        <v>3.4076463943661972</v>
      </c>
      <c r="BR44" s="19">
        <v>3.372633482863419</v>
      </c>
      <c r="BS44" s="19">
        <v>3.1091973830101103</v>
      </c>
      <c r="BT44" s="19">
        <v>2.9791266308495068</v>
      </c>
      <c r="BU44" s="19">
        <v>2.4274464201795132</v>
      </c>
      <c r="BV44" s="19">
        <v>2.8556024714189241</v>
      </c>
      <c r="BW44" s="19">
        <v>3.0746962950076879</v>
      </c>
      <c r="BX44" s="19">
        <v>2.6154075907537959</v>
      </c>
      <c r="BY44" s="19">
        <v>2.5305480948600012</v>
      </c>
      <c r="BZ44" s="19">
        <v>43.059368103773103</v>
      </c>
      <c r="CA44" s="19">
        <v>43.953639321584497</v>
      </c>
      <c r="CB44" s="19">
        <v>45.317797831604103</v>
      </c>
      <c r="CC44" s="19">
        <v>62.822644227421002</v>
      </c>
      <c r="CD44" s="19">
        <v>68.805407040510104</v>
      </c>
      <c r="CE44" s="19">
        <v>74.342698419802034</v>
      </c>
      <c r="CF44" s="19">
        <v>78.792345030208864</v>
      </c>
      <c r="CG44" s="19">
        <v>83.418587583686659</v>
      </c>
      <c r="CH44" s="19">
        <v>93.541594223591673</v>
      </c>
      <c r="CI44" s="19">
        <v>99.842945877545077</v>
      </c>
      <c r="CJ44" s="19">
        <v>115.22385518591</v>
      </c>
      <c r="CK44" s="19">
        <v>121.54077911377</v>
      </c>
      <c r="CL44" s="19">
        <v>135.31939697265599</v>
      </c>
      <c r="CM44" s="19">
        <v>137.51063537597699</v>
      </c>
      <c r="CN44" s="19">
        <v>136.579630533234</v>
      </c>
      <c r="CO44" s="19">
        <v>121.602845107878</v>
      </c>
      <c r="CP44" s="19">
        <v>122.785116108971</v>
      </c>
      <c r="CQ44" s="19">
        <v>131.253423946504</v>
      </c>
      <c r="CR44" s="19">
        <v>130.03343988362499</v>
      </c>
      <c r="CS44" s="19">
        <v>129.21056392003001</v>
      </c>
      <c r="CT44" s="19">
        <v>131.96712977647664</v>
      </c>
      <c r="CU44" s="19">
        <v>131.83315042282396</v>
      </c>
      <c r="CV44" s="19">
        <v>137.20731973504326</v>
      </c>
      <c r="CW44" s="19">
        <v>139.11507388109479</v>
      </c>
      <c r="CX44" s="19">
        <v>135.93759795438797</v>
      </c>
      <c r="CY44" s="19">
        <v>4.5818126412666258</v>
      </c>
      <c r="CZ44" s="19">
        <v>4.700403611025191</v>
      </c>
      <c r="DA44" s="19">
        <v>4.7169787000000003</v>
      </c>
      <c r="DB44" s="19">
        <v>4.3910867353658531</v>
      </c>
      <c r="DC44" s="19">
        <v>4.0865902493506496</v>
      </c>
      <c r="DD44" s="19">
        <v>4.0800514481012664</v>
      </c>
      <c r="DE44" s="19">
        <v>3.8871767413145539</v>
      </c>
      <c r="DF44" s="19">
        <v>4.0033880726821538</v>
      </c>
      <c r="DG44" s="19">
        <v>4.4124070602794028</v>
      </c>
      <c r="DH44" s="19">
        <v>4.5139525944913803</v>
      </c>
      <c r="DI44" s="19">
        <v>4.2620770648004918</v>
      </c>
      <c r="DJ44" s="19">
        <v>4.330644215423205</v>
      </c>
      <c r="DK44" s="19">
        <v>4.0146649773413472</v>
      </c>
      <c r="DL44" s="19">
        <v>4.4016767969810155</v>
      </c>
      <c r="DM44" s="19">
        <v>2.8968594521150575</v>
      </c>
      <c r="DN44" s="19">
        <v>4.3731704803133375</v>
      </c>
      <c r="DO44" s="19">
        <v>4.1922559542771198</v>
      </c>
      <c r="DP44" s="19">
        <v>4.4767756657142854</v>
      </c>
      <c r="DQ44" s="19">
        <v>5.1286783487804879</v>
      </c>
      <c r="DR44" s="19">
        <v>5.551607145454545</v>
      </c>
      <c r="DS44" s="19">
        <v>5.4692722060126577</v>
      </c>
      <c r="DT44" s="19">
        <v>5.1494442098591549</v>
      </c>
      <c r="DU44" s="19">
        <v>5.0330296649227595</v>
      </c>
      <c r="DV44" s="19">
        <v>4.856403036173</v>
      </c>
      <c r="DW44" s="19">
        <v>4.7293659447437495</v>
      </c>
      <c r="DX44" s="19">
        <v>5.5221201574480654</v>
      </c>
      <c r="DY44" s="19">
        <v>5.0336040159285842</v>
      </c>
      <c r="DZ44" s="19">
        <v>5.2535342983576534</v>
      </c>
      <c r="EA44" s="19">
        <v>4.3925049255340811</v>
      </c>
      <c r="EB44" s="19">
        <v>6.0615404710782066</v>
      </c>
      <c r="EC44" s="19">
        <v>3.4302721088435373</v>
      </c>
      <c r="ED44" s="19">
        <v>3.1162209518330517</v>
      </c>
      <c r="EE44" s="19">
        <v>3.3196486628571424</v>
      </c>
      <c r="EF44" s="19">
        <v>3.553929318292683</v>
      </c>
      <c r="EG44" s="19">
        <v>3.6105827714285716</v>
      </c>
      <c r="EH44" s="19">
        <v>3.7340719705696204</v>
      </c>
      <c r="EI44" s="19">
        <v>3.7183876779342722</v>
      </c>
      <c r="EJ44" s="19">
        <v>3.6975080510995699</v>
      </c>
      <c r="EK44" s="19">
        <v>3.9683443306490433</v>
      </c>
      <c r="EL44" s="19">
        <v>4.098918190524353</v>
      </c>
      <c r="EM44" s="19">
        <v>4.0024419723120515</v>
      </c>
      <c r="EN44" s="19">
        <v>4.0652153704331218</v>
      </c>
      <c r="EO44" s="19">
        <v>4.604901147191276</v>
      </c>
      <c r="EP44" s="19">
        <v>4.2763553271151142</v>
      </c>
      <c r="EQ44" s="19">
        <v>4.7897691476148747</v>
      </c>
      <c r="ER44" s="19"/>
      <c r="ES44" s="16">
        <f t="shared" si="3"/>
        <v>4.4150784548188655</v>
      </c>
      <c r="ET44" s="16">
        <f t="shared" si="3"/>
        <v>3.7710477937928744</v>
      </c>
      <c r="EU44" s="16">
        <f t="shared" si="3"/>
        <v>5.3877027696969693</v>
      </c>
      <c r="EV44" s="16">
        <f t="shared" si="3"/>
        <v>2.6213503766233766</v>
      </c>
      <c r="EW44" s="16">
        <f t="shared" si="3"/>
        <v>3.612388649350649</v>
      </c>
      <c r="EX44" s="16" t="str">
        <f t="shared" si="3"/>
        <v>.</v>
      </c>
      <c r="EY44" s="16">
        <f t="shared" si="3"/>
        <v>136.579630533234</v>
      </c>
      <c r="EZ44" s="16">
        <f t="shared" si="3"/>
        <v>4.0865902493506496</v>
      </c>
      <c r="FA44" s="16">
        <f t="shared" si="3"/>
        <v>5.551607145454545</v>
      </c>
      <c r="FB44" s="16">
        <f t="shared" si="3"/>
        <v>3.6105827714285716</v>
      </c>
    </row>
    <row r="45" spans="1:158" x14ac:dyDescent="0.25">
      <c r="A45" s="17">
        <v>42</v>
      </c>
      <c r="B45" s="17" t="s">
        <v>63</v>
      </c>
      <c r="C45" s="17" t="s">
        <v>64</v>
      </c>
      <c r="D45" s="17" t="s">
        <v>14</v>
      </c>
      <c r="E45" s="16">
        <v>0</v>
      </c>
      <c r="F45" s="18">
        <v>4.18</v>
      </c>
      <c r="G45" s="18">
        <v>4.38</v>
      </c>
      <c r="H45" s="18">
        <v>4</v>
      </c>
      <c r="I45" s="18">
        <v>4.09</v>
      </c>
      <c r="J45" s="18">
        <v>3.57</v>
      </c>
      <c r="K45" s="18">
        <v>4.03</v>
      </c>
      <c r="L45" s="18">
        <v>3.43</v>
      </c>
      <c r="M45" s="18">
        <v>2.52</v>
      </c>
      <c r="N45" s="18">
        <v>3.34</v>
      </c>
      <c r="O45" s="18">
        <v>3.42</v>
      </c>
      <c r="P45" s="18">
        <v>5.23</v>
      </c>
      <c r="Q45" s="18">
        <v>4.79</v>
      </c>
      <c r="R45" s="18">
        <v>3.49</v>
      </c>
      <c r="S45" s="18">
        <v>4.87</v>
      </c>
      <c r="T45" s="18">
        <v>3.68</v>
      </c>
      <c r="U45" s="18">
        <v>2.76</v>
      </c>
      <c r="V45" s="18">
        <v>3.49</v>
      </c>
      <c r="W45" s="18">
        <v>3.35</v>
      </c>
      <c r="X45" s="18">
        <v>1</v>
      </c>
      <c r="Y45" s="18">
        <v>4.63</v>
      </c>
      <c r="Z45" s="18">
        <v>2.14</v>
      </c>
      <c r="AA45" s="18">
        <v>3.21</v>
      </c>
      <c r="AB45" s="18">
        <v>2.0499999999999998</v>
      </c>
      <c r="AC45" s="18">
        <v>3.27</v>
      </c>
      <c r="AD45" s="19">
        <v>3.12</v>
      </c>
      <c r="AE45" s="19">
        <v>1.89</v>
      </c>
      <c r="AF45" s="19">
        <v>2.94</v>
      </c>
      <c r="AG45" s="19">
        <v>4.08</v>
      </c>
      <c r="AH45" s="19">
        <v>3.04</v>
      </c>
      <c r="AI45" s="19">
        <v>2.2599999999999998</v>
      </c>
      <c r="AJ45" s="19">
        <v>5.78</v>
      </c>
      <c r="AK45" s="19">
        <v>4.91</v>
      </c>
      <c r="AL45" s="19">
        <v>4.7699999999999996</v>
      </c>
      <c r="AM45" s="19">
        <v>4.95</v>
      </c>
      <c r="AN45" s="19">
        <v>4.82</v>
      </c>
      <c r="AO45" s="19">
        <v>3.76</v>
      </c>
      <c r="AP45" s="19">
        <v>3.71</v>
      </c>
      <c r="AQ45" s="19">
        <v>6.48</v>
      </c>
      <c r="AR45" s="19">
        <v>5.24</v>
      </c>
      <c r="AS45" s="19">
        <v>7</v>
      </c>
      <c r="AT45" s="19">
        <v>6.16</v>
      </c>
      <c r="AU45" s="19">
        <v>4.16</v>
      </c>
      <c r="AV45" s="19">
        <v>3.55</v>
      </c>
      <c r="AW45" s="19">
        <v>2.57</v>
      </c>
      <c r="AX45" s="19">
        <v>4.08</v>
      </c>
      <c r="AY45" s="19">
        <v>4.09</v>
      </c>
      <c r="AZ45" s="19">
        <v>4.0599999999999996</v>
      </c>
      <c r="BA45" s="19">
        <v>3.05</v>
      </c>
      <c r="BB45" s="19">
        <v>2.5299999999999998</v>
      </c>
      <c r="BC45" s="19">
        <v>2.89</v>
      </c>
      <c r="BD45" s="19">
        <v>2.85</v>
      </c>
      <c r="BE45" s="19">
        <v>4.2699999999999996</v>
      </c>
      <c r="BF45" s="19">
        <v>5.0999999999999996</v>
      </c>
      <c r="BG45" s="19">
        <v>4.97</v>
      </c>
      <c r="BH45" s="19">
        <v>6.83</v>
      </c>
      <c r="BI45" s="19">
        <v>3.51</v>
      </c>
      <c r="BJ45" s="19">
        <v>7</v>
      </c>
      <c r="BK45" s="19">
        <v>4.8600000000000003</v>
      </c>
      <c r="BL45" s="19">
        <v>2.73</v>
      </c>
      <c r="BM45" s="19">
        <v>3.19</v>
      </c>
      <c r="BN45" s="19">
        <v>4.1399999999999997</v>
      </c>
      <c r="BO45" s="19">
        <v>4.51</v>
      </c>
      <c r="BP45" s="19">
        <v>3.2</v>
      </c>
      <c r="BQ45" s="19">
        <v>2.4</v>
      </c>
      <c r="BR45" s="19">
        <v>3.16</v>
      </c>
      <c r="BS45" s="19">
        <v>4.03</v>
      </c>
      <c r="BT45" s="19">
        <v>3.87</v>
      </c>
      <c r="BU45" s="19">
        <v>4.4000000000000004</v>
      </c>
      <c r="BV45" s="19">
        <v>3.07</v>
      </c>
      <c r="BW45" s="19">
        <v>2.97</v>
      </c>
      <c r="BX45" s="19">
        <v>3.96</v>
      </c>
      <c r="BY45" s="19">
        <v>2.12</v>
      </c>
      <c r="BZ45" s="19">
        <v>1</v>
      </c>
      <c r="CA45" s="19">
        <v>1.46</v>
      </c>
      <c r="CB45" s="19">
        <v>200</v>
      </c>
      <c r="CC45" s="19">
        <v>33.43</v>
      </c>
      <c r="CD45" s="19">
        <v>19.71</v>
      </c>
      <c r="CE45" s="19">
        <v>128.33000000000001</v>
      </c>
      <c r="CF45" s="19">
        <v>83.48</v>
      </c>
      <c r="CG45" s="19">
        <v>45.54</v>
      </c>
      <c r="CH45" s="19">
        <v>1</v>
      </c>
      <c r="CI45" s="19">
        <v>200</v>
      </c>
      <c r="CJ45" s="19">
        <v>79.23</v>
      </c>
      <c r="CK45" s="19">
        <v>118.27</v>
      </c>
      <c r="CL45" s="19">
        <v>40.69</v>
      </c>
      <c r="CM45" s="19">
        <v>73.63</v>
      </c>
      <c r="CN45" s="19">
        <v>111.64</v>
      </c>
      <c r="CO45" s="19">
        <v>144.66999999999999</v>
      </c>
      <c r="CP45" s="19">
        <v>15.13</v>
      </c>
      <c r="CQ45" s="19">
        <v>51.93</v>
      </c>
      <c r="CR45" s="19">
        <v>134.51</v>
      </c>
      <c r="CS45" s="19">
        <v>159.75</v>
      </c>
      <c r="CT45" s="19">
        <v>115.6</v>
      </c>
      <c r="CU45" s="19">
        <v>158.16</v>
      </c>
      <c r="CV45" s="19">
        <v>167.56</v>
      </c>
      <c r="CW45" s="19">
        <v>60.3</v>
      </c>
      <c r="CX45" s="19">
        <v>200</v>
      </c>
      <c r="CY45" s="19">
        <v>6.22</v>
      </c>
      <c r="CZ45" s="19">
        <v>4.34</v>
      </c>
      <c r="DA45" s="19">
        <v>5.18</v>
      </c>
      <c r="DB45" s="19">
        <v>4.1100000000000003</v>
      </c>
      <c r="DC45" s="19">
        <v>4.62</v>
      </c>
      <c r="DD45" s="19">
        <v>4.34</v>
      </c>
      <c r="DE45" s="19">
        <v>4.21</v>
      </c>
      <c r="DF45" s="19">
        <v>4.3</v>
      </c>
      <c r="DG45" s="19">
        <v>4.2</v>
      </c>
      <c r="DH45" s="19">
        <v>5.72</v>
      </c>
      <c r="DI45" s="19">
        <v>4.78</v>
      </c>
      <c r="DJ45" s="19">
        <v>4.5999999999999996</v>
      </c>
      <c r="DK45" s="19">
        <v>4.6500000000000004</v>
      </c>
      <c r="DL45" s="19">
        <v>3.73</v>
      </c>
      <c r="DM45" s="19">
        <v>5</v>
      </c>
      <c r="DN45" s="19">
        <v>1.84</v>
      </c>
      <c r="DO45" s="19">
        <v>3.22</v>
      </c>
      <c r="DP45" s="19">
        <v>2.88</v>
      </c>
      <c r="DQ45" s="19">
        <v>3.14</v>
      </c>
      <c r="DR45" s="19">
        <v>4.8</v>
      </c>
      <c r="DS45" s="19">
        <v>3.19</v>
      </c>
      <c r="DT45" s="19">
        <v>4.26</v>
      </c>
      <c r="DU45" s="19">
        <v>4.6500000000000004</v>
      </c>
      <c r="DV45" s="19">
        <v>4.5599999999999996</v>
      </c>
      <c r="DW45" s="19">
        <v>4.16</v>
      </c>
      <c r="DX45" s="19">
        <v>3.8</v>
      </c>
      <c r="DY45" s="19">
        <v>3.82</v>
      </c>
      <c r="DZ45" s="19">
        <v>3.02</v>
      </c>
      <c r="EA45" s="19">
        <v>3.62</v>
      </c>
      <c r="EB45" s="19">
        <v>5.53</v>
      </c>
      <c r="EC45" s="19">
        <v>4.4400000000000004</v>
      </c>
      <c r="ED45" s="19">
        <v>4.5199999999999996</v>
      </c>
      <c r="EE45" s="19">
        <v>2.5299999999999998</v>
      </c>
      <c r="EF45" s="19">
        <v>2.6</v>
      </c>
      <c r="EG45" s="19">
        <v>6.5</v>
      </c>
      <c r="EH45" s="19">
        <v>4.33</v>
      </c>
      <c r="EI45" s="19">
        <v>4.58</v>
      </c>
      <c r="EJ45" s="19">
        <v>4.41</v>
      </c>
      <c r="EK45" s="19">
        <v>4.71</v>
      </c>
      <c r="EL45" s="19">
        <v>3.36</v>
      </c>
      <c r="EM45" s="19">
        <v>2.56</v>
      </c>
      <c r="EN45" s="19">
        <v>4.55</v>
      </c>
      <c r="EO45" s="19">
        <v>4.03</v>
      </c>
      <c r="EP45" s="19">
        <v>4.3</v>
      </c>
      <c r="EQ45" s="19">
        <v>2.75</v>
      </c>
      <c r="ER45" s="19"/>
      <c r="ES45" s="16">
        <f t="shared" si="3"/>
        <v>3.57</v>
      </c>
      <c r="ET45" s="16">
        <f t="shared" si="3"/>
        <v>4.63</v>
      </c>
      <c r="EU45" s="16">
        <f t="shared" si="3"/>
        <v>4.91</v>
      </c>
      <c r="EV45" s="16">
        <f t="shared" si="3"/>
        <v>4.0599999999999996</v>
      </c>
      <c r="EW45" s="16">
        <f t="shared" si="3"/>
        <v>4.51</v>
      </c>
      <c r="EX45" s="16" t="str">
        <f t="shared" si="3"/>
        <v>.</v>
      </c>
      <c r="EY45" s="16">
        <f t="shared" si="3"/>
        <v>111.64</v>
      </c>
      <c r="EZ45" s="16">
        <f t="shared" si="3"/>
        <v>4.62</v>
      </c>
      <c r="FA45" s="16">
        <f t="shared" si="3"/>
        <v>4.8</v>
      </c>
      <c r="FB45" s="16">
        <f t="shared" si="3"/>
        <v>6.5</v>
      </c>
    </row>
    <row r="46" spans="1:158" x14ac:dyDescent="0.25">
      <c r="A46" s="17">
        <v>43</v>
      </c>
      <c r="B46" s="17" t="s">
        <v>65</v>
      </c>
      <c r="C46" s="17" t="s">
        <v>65</v>
      </c>
      <c r="D46" s="17" t="s">
        <v>23</v>
      </c>
      <c r="E46" s="16">
        <v>1</v>
      </c>
      <c r="F46" s="18">
        <v>5.6047140496307781</v>
      </c>
      <c r="G46" s="18">
        <v>5.6555860704928964</v>
      </c>
      <c r="H46" s="18">
        <v>5.5132001028941362</v>
      </c>
      <c r="I46" s="18">
        <v>5.4066569587719293</v>
      </c>
      <c r="J46" s="18">
        <v>5.5277940581269345</v>
      </c>
      <c r="K46" s="18">
        <v>5.4121028271003588</v>
      </c>
      <c r="L46" s="18">
        <v>5.2941863776534364</v>
      </c>
      <c r="M46" s="18">
        <v>5.3321327855585219</v>
      </c>
      <c r="N46" s="18">
        <v>5.3910180323494714</v>
      </c>
      <c r="O46" s="18">
        <v>5.4166905708853141</v>
      </c>
      <c r="P46" s="18">
        <v>5.3862433624935671</v>
      </c>
      <c r="Q46" s="18">
        <v>5.4395924955451278</v>
      </c>
      <c r="R46" s="18">
        <v>5.1712496642368206</v>
      </c>
      <c r="S46" s="18">
        <v>5.2113577794875869</v>
      </c>
      <c r="T46" s="18">
        <v>5.3586041485468776</v>
      </c>
      <c r="U46" s="18">
        <v>5.1096983478714666</v>
      </c>
      <c r="V46" s="18">
        <v>5.0894108934802178</v>
      </c>
      <c r="W46" s="18">
        <v>5.0430391765616571</v>
      </c>
      <c r="X46" s="18">
        <v>4.8872433108585849</v>
      </c>
      <c r="Y46" s="18">
        <v>5.0972924180392152</v>
      </c>
      <c r="Z46" s="18">
        <v>5.0771577701035202</v>
      </c>
      <c r="AA46" s="18">
        <v>4.9859227986267998</v>
      </c>
      <c r="AB46" s="18">
        <v>5.0552349606955964</v>
      </c>
      <c r="AC46" s="18">
        <v>5.1141272424107518</v>
      </c>
      <c r="AD46" s="19">
        <v>5.1281602778287825</v>
      </c>
      <c r="AE46" s="19">
        <v>5.0594237449675115</v>
      </c>
      <c r="AF46" s="19">
        <v>4.8968723215662182</v>
      </c>
      <c r="AG46" s="19">
        <v>5.4066687059530816</v>
      </c>
      <c r="AH46" s="19">
        <v>4.4962122632141917</v>
      </c>
      <c r="AI46" s="19">
        <v>4.9866985728602957</v>
      </c>
      <c r="AJ46" s="19">
        <v>5.7852931944444448</v>
      </c>
      <c r="AK46" s="19">
        <v>5.8453889710784308</v>
      </c>
      <c r="AL46" s="19">
        <v>5.6399196604554858</v>
      </c>
      <c r="AM46" s="19">
        <v>5.455397934662237</v>
      </c>
      <c r="AN46" s="19">
        <v>5.4554720867942095</v>
      </c>
      <c r="AO46" s="19">
        <v>5.526529805866943</v>
      </c>
      <c r="AP46" s="19">
        <v>5.544244334811256</v>
      </c>
      <c r="AQ46" s="19">
        <v>5.7517678169493403</v>
      </c>
      <c r="AR46" s="19">
        <v>5.4741952992199838</v>
      </c>
      <c r="AS46" s="19">
        <v>5.07878260905711</v>
      </c>
      <c r="AT46" s="19">
        <v>4.7149079846456843</v>
      </c>
      <c r="AU46" s="19">
        <v>5.7331262220928743</v>
      </c>
      <c r="AV46" s="19">
        <v>3.8769924791834542</v>
      </c>
      <c r="AW46" s="19">
        <v>3.8271612718346253</v>
      </c>
      <c r="AX46" s="19">
        <v>3.8217488594059406</v>
      </c>
      <c r="AY46" s="19">
        <v>3.8300215666666668</v>
      </c>
      <c r="AZ46" s="19">
        <v>4.0195328235294117</v>
      </c>
      <c r="BA46" s="19">
        <v>3.4073677540372671</v>
      </c>
      <c r="BB46" s="19">
        <v>3.1597833063122924</v>
      </c>
      <c r="BC46" s="19">
        <v>3.4023109662953268</v>
      </c>
      <c r="BD46" s="19">
        <v>3.3204283553883776</v>
      </c>
      <c r="BE46" s="19">
        <v>3.3034790407709718</v>
      </c>
      <c r="BF46" s="19">
        <v>5.8569916539905549</v>
      </c>
      <c r="BG46" s="19">
        <v>5.1192871617347198</v>
      </c>
      <c r="BH46" s="19">
        <v>5.6415014778961261</v>
      </c>
      <c r="BI46" s="19">
        <v>7</v>
      </c>
      <c r="BJ46" s="19">
        <v>5.6040659262145951</v>
      </c>
      <c r="BK46" s="19">
        <v>5.3193035570392535</v>
      </c>
      <c r="BL46" s="19">
        <v>5.0745806347729783</v>
      </c>
      <c r="BM46" s="19">
        <v>4.7385747089108907</v>
      </c>
      <c r="BN46" s="19">
        <v>4.3026680749999997</v>
      </c>
      <c r="BO46" s="19">
        <v>4.6709210029411761</v>
      </c>
      <c r="BP46" s="19">
        <v>4.1279610708074532</v>
      </c>
      <c r="BQ46" s="19">
        <v>3.6673793495016609</v>
      </c>
      <c r="BR46" s="19">
        <v>3.6985305577393506</v>
      </c>
      <c r="BS46" s="19">
        <v>3.6403516382665679</v>
      </c>
      <c r="BT46" s="19">
        <v>3.6778640089916581</v>
      </c>
      <c r="BU46" s="19">
        <v>2.2823651974589798</v>
      </c>
      <c r="BV46" s="19">
        <v>3.0665059897727169</v>
      </c>
      <c r="BW46" s="19">
        <v>3.9652670749305785</v>
      </c>
      <c r="BX46" s="19">
        <v>2.0842664390449701</v>
      </c>
      <c r="BY46" s="19">
        <v>2.6964653900355593</v>
      </c>
      <c r="BZ46" s="19">
        <v>80.244783668072699</v>
      </c>
      <c r="CA46" s="19">
        <v>87.517795398246804</v>
      </c>
      <c r="CB46" s="19">
        <v>107.302437972229</v>
      </c>
      <c r="CC46" s="19">
        <v>115.76812033082599</v>
      </c>
      <c r="CD46" s="19">
        <v>116.795187613382</v>
      </c>
      <c r="CE46" s="19">
        <v>127.8844516543722</v>
      </c>
      <c r="CF46" s="19">
        <v>141.29967424757939</v>
      </c>
      <c r="CG46" s="19">
        <v>150.54859399468759</v>
      </c>
      <c r="CH46" s="19">
        <v>165.29438358761655</v>
      </c>
      <c r="CI46" s="19">
        <v>172.34197685284775</v>
      </c>
      <c r="CJ46" s="19">
        <v>100.34285409136</v>
      </c>
      <c r="CK46" s="19">
        <v>107.011306762695</v>
      </c>
      <c r="CL46" s="19">
        <v>120.12603759765599</v>
      </c>
      <c r="CM46" s="19">
        <v>135.38580322265599</v>
      </c>
      <c r="CN46" s="19">
        <v>124.410222297015</v>
      </c>
      <c r="CO46" s="19">
        <v>126.458162930944</v>
      </c>
      <c r="CP46" s="19">
        <v>117.955892087203</v>
      </c>
      <c r="CQ46" s="19">
        <v>127.472728709387</v>
      </c>
      <c r="CR46" s="19">
        <v>125.957823361791</v>
      </c>
      <c r="CS46" s="19">
        <v>128.341937604507</v>
      </c>
      <c r="CT46" s="19">
        <v>132.35803609621371</v>
      </c>
      <c r="CU46" s="19">
        <v>140.39699727917335</v>
      </c>
      <c r="CV46" s="19">
        <v>132.17990370674127</v>
      </c>
      <c r="CW46" s="19">
        <v>135.44470369993135</v>
      </c>
      <c r="CX46" s="19">
        <v>140.25892575517912</v>
      </c>
      <c r="CY46" s="19">
        <v>6.592498325606706</v>
      </c>
      <c r="CZ46" s="19">
        <v>6.6380455726970702</v>
      </c>
      <c r="DA46" s="19">
        <v>6.4817774059405942</v>
      </c>
      <c r="DB46" s="19">
        <v>6.0301130333333335</v>
      </c>
      <c r="DC46" s="19">
        <v>6.0496849676470585</v>
      </c>
      <c r="DD46" s="19">
        <v>5.5077249049689438</v>
      </c>
      <c r="DE46" s="19">
        <v>5.4371827760797338</v>
      </c>
      <c r="DF46" s="19">
        <v>5.6979438708134076</v>
      </c>
      <c r="DG46" s="19">
        <v>5.7358062133261685</v>
      </c>
      <c r="DH46" s="19">
        <v>5.7763185789605149</v>
      </c>
      <c r="DI46" s="19">
        <v>5.8913008624270189</v>
      </c>
      <c r="DJ46" s="19">
        <v>5.7055204585797883</v>
      </c>
      <c r="DK46" s="19">
        <v>4.9856156656158941</v>
      </c>
      <c r="DL46" s="19">
        <v>6.0391276949072656</v>
      </c>
      <c r="DM46" s="19">
        <v>4.369544139576198</v>
      </c>
      <c r="DN46" s="19">
        <v>6.4489155573431924</v>
      </c>
      <c r="DO46" s="19">
        <v>6.3824810459881203</v>
      </c>
      <c r="DP46" s="19">
        <v>6.2521134138613865</v>
      </c>
      <c r="DQ46" s="19">
        <v>6.3175561416666666</v>
      </c>
      <c r="DR46" s="19">
        <v>6.4434364367647063</v>
      </c>
      <c r="DS46" s="19">
        <v>6.0169965788819866</v>
      </c>
      <c r="DT46" s="19">
        <v>5.736988793355482</v>
      </c>
      <c r="DU46" s="19">
        <v>5.7850455047915625</v>
      </c>
      <c r="DV46" s="19">
        <v>5.8487460659396264</v>
      </c>
      <c r="DW46" s="19">
        <v>5.8459316269690245</v>
      </c>
      <c r="DX46" s="19">
        <v>6.0490724196229548</v>
      </c>
      <c r="DY46" s="19">
        <v>5.6630779531505766</v>
      </c>
      <c r="DZ46" s="19">
        <v>5.992237934133219</v>
      </c>
      <c r="EA46" s="19">
        <v>5.4117778770297553</v>
      </c>
      <c r="EB46" s="19">
        <v>5.2314013345664589</v>
      </c>
      <c r="EC46" s="19">
        <v>6.4216276179647229</v>
      </c>
      <c r="ED46" s="19">
        <v>6.2290991911809117</v>
      </c>
      <c r="EE46" s="19">
        <v>6.061702902970298</v>
      </c>
      <c r="EF46" s="19">
        <v>6.1673738999999994</v>
      </c>
      <c r="EG46" s="19">
        <v>6.2880402073529407</v>
      </c>
      <c r="EH46" s="19">
        <v>5.7323170254658375</v>
      </c>
      <c r="EI46" s="19">
        <v>5.4504426172757476</v>
      </c>
      <c r="EJ46" s="19">
        <v>5.4291425562683342</v>
      </c>
      <c r="EK46" s="19">
        <v>5.5933502865277127</v>
      </c>
      <c r="EL46" s="19">
        <v>5.7052369141779025</v>
      </c>
      <c r="EM46" s="19">
        <v>5.0171615171532951</v>
      </c>
      <c r="EN46" s="19">
        <v>5.6347140841893459</v>
      </c>
      <c r="EO46" s="19">
        <v>4.6535960298074501</v>
      </c>
      <c r="EP46" s="19">
        <v>4.8834386671237091</v>
      </c>
      <c r="EQ46" s="19">
        <v>5.1571317339797522</v>
      </c>
      <c r="ER46" s="19"/>
      <c r="ES46" s="16">
        <f t="shared" si="3"/>
        <v>5.5277940581269345</v>
      </c>
      <c r="ET46" s="16">
        <f t="shared" si="3"/>
        <v>5.0972924180392152</v>
      </c>
      <c r="EU46" s="16">
        <f t="shared" si="3"/>
        <v>5.8453889710784308</v>
      </c>
      <c r="EV46" s="16">
        <f t="shared" si="3"/>
        <v>4.0195328235294117</v>
      </c>
      <c r="EW46" s="16">
        <f t="shared" si="3"/>
        <v>4.6709210029411761</v>
      </c>
      <c r="EX46" s="16" t="str">
        <f t="shared" si="3"/>
        <v>.</v>
      </c>
      <c r="EY46" s="16">
        <f t="shared" si="3"/>
        <v>124.410222297015</v>
      </c>
      <c r="EZ46" s="16">
        <f t="shared" si="3"/>
        <v>6.0496849676470585</v>
      </c>
      <c r="FA46" s="16">
        <f t="shared" si="3"/>
        <v>6.4434364367647063</v>
      </c>
      <c r="FB46" s="16">
        <f t="shared" si="3"/>
        <v>6.2880402073529407</v>
      </c>
    </row>
    <row r="47" spans="1:158" x14ac:dyDescent="0.25">
      <c r="A47" s="17">
        <v>44</v>
      </c>
      <c r="B47" s="17" t="s">
        <v>66</v>
      </c>
      <c r="C47" s="17" t="s">
        <v>66</v>
      </c>
      <c r="D47" s="17" t="s">
        <v>14</v>
      </c>
      <c r="E47" s="16">
        <v>0</v>
      </c>
      <c r="F47" s="18">
        <v>3.23</v>
      </c>
      <c r="G47" s="18">
        <v>3.68</v>
      </c>
      <c r="H47" s="18">
        <v>3.88</v>
      </c>
      <c r="I47" s="18">
        <v>4.4000000000000004</v>
      </c>
      <c r="J47" s="18">
        <v>3.57</v>
      </c>
      <c r="K47" s="18">
        <v>3.19</v>
      </c>
      <c r="L47" s="18">
        <v>3.56</v>
      </c>
      <c r="M47" s="18">
        <v>4.57</v>
      </c>
      <c r="N47" s="18">
        <v>2.94</v>
      </c>
      <c r="O47" s="18">
        <v>3.57</v>
      </c>
      <c r="P47" s="18">
        <v>3.13</v>
      </c>
      <c r="Q47" s="18">
        <v>3.89</v>
      </c>
      <c r="R47" s="18">
        <v>3.66</v>
      </c>
      <c r="S47" s="18">
        <v>3.63</v>
      </c>
      <c r="T47" s="18">
        <v>3.22</v>
      </c>
      <c r="U47" s="18">
        <v>3.13</v>
      </c>
      <c r="V47" s="18">
        <v>2.5</v>
      </c>
      <c r="W47" s="18">
        <v>2.84</v>
      </c>
      <c r="X47" s="18">
        <v>3.22</v>
      </c>
      <c r="Y47" s="18">
        <v>2.98</v>
      </c>
      <c r="Z47" s="18">
        <v>3.44</v>
      </c>
      <c r="AA47" s="18">
        <v>3.33</v>
      </c>
      <c r="AB47" s="18">
        <v>3.82</v>
      </c>
      <c r="AC47" s="18">
        <v>3.57</v>
      </c>
      <c r="AD47" s="19">
        <v>3.45</v>
      </c>
      <c r="AE47" s="19">
        <v>3.55</v>
      </c>
      <c r="AF47" s="19">
        <v>2.82</v>
      </c>
      <c r="AG47" s="19">
        <v>2.5299999999999998</v>
      </c>
      <c r="AH47" s="19">
        <v>2.85</v>
      </c>
      <c r="AI47" s="19">
        <v>3.55</v>
      </c>
      <c r="AJ47" s="19">
        <v>4.9000000000000004</v>
      </c>
      <c r="AK47" s="19">
        <v>4.37</v>
      </c>
      <c r="AL47" s="19">
        <v>4.24</v>
      </c>
      <c r="AM47" s="19">
        <v>3.7</v>
      </c>
      <c r="AN47" s="19">
        <v>3.8</v>
      </c>
      <c r="AO47" s="19">
        <v>3.96</v>
      </c>
      <c r="AP47" s="19">
        <v>3.9</v>
      </c>
      <c r="AQ47" s="19">
        <v>5.04</v>
      </c>
      <c r="AR47" s="19">
        <v>4.46</v>
      </c>
      <c r="AS47" s="19">
        <v>3.08</v>
      </c>
      <c r="AT47" s="19">
        <v>3.08</v>
      </c>
      <c r="AU47" s="19">
        <v>2.91</v>
      </c>
      <c r="AV47" s="19">
        <v>3.89</v>
      </c>
      <c r="AW47" s="19">
        <v>2.98</v>
      </c>
      <c r="AX47" s="19">
        <v>2.58</v>
      </c>
      <c r="AY47" s="19">
        <v>3.47</v>
      </c>
      <c r="AZ47" s="19">
        <v>3.9</v>
      </c>
      <c r="BA47" s="19">
        <v>4.0599999999999996</v>
      </c>
      <c r="BB47" s="19">
        <v>2.86</v>
      </c>
      <c r="BC47" s="19">
        <v>3.66</v>
      </c>
      <c r="BD47" s="19">
        <v>4.2300000000000004</v>
      </c>
      <c r="BE47" s="19">
        <v>3.94</v>
      </c>
      <c r="BF47" s="19">
        <v>4.76</v>
      </c>
      <c r="BG47" s="19">
        <v>3.32</v>
      </c>
      <c r="BH47" s="19">
        <v>3.6</v>
      </c>
      <c r="BI47" s="19">
        <v>4.2</v>
      </c>
      <c r="BJ47" s="19">
        <v>5.01</v>
      </c>
      <c r="BK47" s="19">
        <v>3.35</v>
      </c>
      <c r="BL47" s="19">
        <v>3.86</v>
      </c>
      <c r="BM47" s="19">
        <v>3.34</v>
      </c>
      <c r="BN47" s="19">
        <v>1.98</v>
      </c>
      <c r="BO47" s="19">
        <v>3.94</v>
      </c>
      <c r="BP47" s="19">
        <v>2.89</v>
      </c>
      <c r="BQ47" s="19">
        <v>3.43</v>
      </c>
      <c r="BR47" s="19">
        <v>2.88</v>
      </c>
      <c r="BS47" s="19">
        <v>2.65</v>
      </c>
      <c r="BT47" s="19">
        <v>4.03</v>
      </c>
      <c r="BU47" s="19">
        <v>2.96</v>
      </c>
      <c r="BV47" s="19">
        <v>1.47</v>
      </c>
      <c r="BW47" s="19">
        <v>2.78</v>
      </c>
      <c r="BX47" s="19">
        <v>2.41</v>
      </c>
      <c r="BY47" s="19">
        <v>2.77</v>
      </c>
      <c r="BZ47" s="19">
        <v>1</v>
      </c>
      <c r="CA47" s="19">
        <v>1</v>
      </c>
      <c r="CB47" s="19">
        <v>1</v>
      </c>
      <c r="CC47" s="19">
        <v>1</v>
      </c>
      <c r="CD47" s="19">
        <v>1</v>
      </c>
      <c r="CE47" s="19">
        <v>81.08</v>
      </c>
      <c r="CF47" s="19">
        <v>114.06</v>
      </c>
      <c r="CG47" s="19">
        <v>104.55</v>
      </c>
      <c r="CH47" s="19">
        <v>1</v>
      </c>
      <c r="CI47" s="19">
        <v>11.42</v>
      </c>
      <c r="CJ47" s="19">
        <v>31.17</v>
      </c>
      <c r="CK47" s="19">
        <v>56.86</v>
      </c>
      <c r="CL47" s="19">
        <v>82.81</v>
      </c>
      <c r="CM47" s="19">
        <v>26.83</v>
      </c>
      <c r="CN47" s="19">
        <v>13.63</v>
      </c>
      <c r="CO47" s="19">
        <v>95.72</v>
      </c>
      <c r="CP47" s="19">
        <v>102.67</v>
      </c>
      <c r="CQ47" s="19">
        <v>81.22</v>
      </c>
      <c r="CR47" s="19">
        <v>21.24</v>
      </c>
      <c r="CS47" s="19">
        <v>133.28</v>
      </c>
      <c r="CT47" s="19">
        <v>123.39</v>
      </c>
      <c r="CU47" s="19">
        <v>78.010000000000005</v>
      </c>
      <c r="CV47" s="19">
        <v>161.55000000000001</v>
      </c>
      <c r="CW47" s="19">
        <v>128.81</v>
      </c>
      <c r="CX47" s="19">
        <v>181.74</v>
      </c>
      <c r="CY47" s="19">
        <v>3.57</v>
      </c>
      <c r="CZ47" s="19">
        <v>4.41</v>
      </c>
      <c r="DA47" s="19">
        <v>4.93</v>
      </c>
      <c r="DB47" s="19">
        <v>5.54</v>
      </c>
      <c r="DC47" s="19">
        <v>5.09</v>
      </c>
      <c r="DD47" s="19">
        <v>3.63</v>
      </c>
      <c r="DE47" s="19">
        <v>4.58</v>
      </c>
      <c r="DF47" s="19">
        <v>3.51</v>
      </c>
      <c r="DG47" s="19">
        <v>4.08</v>
      </c>
      <c r="DH47" s="19">
        <v>4.2699999999999996</v>
      </c>
      <c r="DI47" s="19">
        <v>3.87</v>
      </c>
      <c r="DJ47" s="19">
        <v>4.53</v>
      </c>
      <c r="DK47" s="19">
        <v>2.75</v>
      </c>
      <c r="DL47" s="19">
        <v>4.7300000000000004</v>
      </c>
      <c r="DM47" s="19">
        <v>2.74</v>
      </c>
      <c r="DN47" s="19">
        <v>2.93</v>
      </c>
      <c r="DO47" s="19">
        <v>1.22</v>
      </c>
      <c r="DP47" s="19">
        <v>5.3</v>
      </c>
      <c r="DQ47" s="19">
        <v>2.62</v>
      </c>
      <c r="DR47" s="19">
        <v>3.45</v>
      </c>
      <c r="DS47" s="19">
        <v>2.89</v>
      </c>
      <c r="DT47" s="19">
        <v>2.48</v>
      </c>
      <c r="DU47" s="19">
        <v>3.42</v>
      </c>
      <c r="DV47" s="19">
        <v>4.03</v>
      </c>
      <c r="DW47" s="19">
        <v>2.63</v>
      </c>
      <c r="DX47" s="19">
        <v>2.69</v>
      </c>
      <c r="DY47" s="19">
        <v>4.03</v>
      </c>
      <c r="DZ47" s="19">
        <v>2.14</v>
      </c>
      <c r="EA47" s="19">
        <v>2.06</v>
      </c>
      <c r="EB47" s="19">
        <v>2.2599999999999998</v>
      </c>
      <c r="EC47" s="19">
        <v>2.7</v>
      </c>
      <c r="ED47" s="19">
        <v>2.86</v>
      </c>
      <c r="EE47" s="19">
        <v>1.84</v>
      </c>
      <c r="EF47" s="19">
        <v>3.06</v>
      </c>
      <c r="EG47" s="19">
        <v>3.96</v>
      </c>
      <c r="EH47" s="19">
        <v>3.16</v>
      </c>
      <c r="EI47" s="19">
        <v>3.81</v>
      </c>
      <c r="EJ47" s="19">
        <v>3.04</v>
      </c>
      <c r="EK47" s="19">
        <v>4.57</v>
      </c>
      <c r="EL47" s="19">
        <v>2.02</v>
      </c>
      <c r="EM47" s="19">
        <v>4.04</v>
      </c>
      <c r="EN47" s="19">
        <v>4.8499999999999996</v>
      </c>
      <c r="EO47" s="19">
        <v>2.61</v>
      </c>
      <c r="EP47" s="19">
        <v>2.89</v>
      </c>
      <c r="EQ47" s="19">
        <v>1.7</v>
      </c>
      <c r="ER47" s="19"/>
      <c r="ES47" s="16">
        <f t="shared" si="3"/>
        <v>3.57</v>
      </c>
      <c r="ET47" s="16">
        <f t="shared" si="3"/>
        <v>2.98</v>
      </c>
      <c r="EU47" s="16">
        <f t="shared" si="3"/>
        <v>4.37</v>
      </c>
      <c r="EV47" s="16">
        <f t="shared" si="3"/>
        <v>3.9</v>
      </c>
      <c r="EW47" s="16">
        <f t="shared" si="3"/>
        <v>3.94</v>
      </c>
      <c r="EX47" s="16" t="str">
        <f t="shared" si="3"/>
        <v>.</v>
      </c>
      <c r="EY47" s="16">
        <f t="shared" si="3"/>
        <v>13.63</v>
      </c>
      <c r="EZ47" s="16">
        <f t="shared" si="3"/>
        <v>5.09</v>
      </c>
      <c r="FA47" s="16">
        <f t="shared" si="3"/>
        <v>3.45</v>
      </c>
      <c r="FB47" s="16">
        <f t="shared" si="3"/>
        <v>3.96</v>
      </c>
    </row>
    <row r="48" spans="1:158" x14ac:dyDescent="0.25">
      <c r="A48" s="17">
        <v>45</v>
      </c>
      <c r="B48" s="17" t="s">
        <v>67</v>
      </c>
      <c r="C48" s="17" t="s">
        <v>67</v>
      </c>
      <c r="D48" s="17" t="s">
        <v>16</v>
      </c>
      <c r="E48" s="16">
        <v>0</v>
      </c>
      <c r="F48" s="18">
        <v>4.7300000000000004</v>
      </c>
      <c r="G48" s="18">
        <v>4.16</v>
      </c>
      <c r="H48" s="18">
        <v>3.61</v>
      </c>
      <c r="I48" s="18">
        <v>3.67</v>
      </c>
      <c r="J48" s="18">
        <v>3.71</v>
      </c>
      <c r="K48" s="18">
        <v>4.41</v>
      </c>
      <c r="L48" s="18">
        <v>3.58</v>
      </c>
      <c r="M48" s="18">
        <v>3.49</v>
      </c>
      <c r="N48" s="18">
        <v>3.83</v>
      </c>
      <c r="O48" s="18">
        <v>3.98</v>
      </c>
      <c r="P48" s="18">
        <v>3.64</v>
      </c>
      <c r="Q48" s="18">
        <v>4.32</v>
      </c>
      <c r="R48" s="18">
        <v>3.17</v>
      </c>
      <c r="S48" s="18">
        <v>3.4</v>
      </c>
      <c r="T48" s="18">
        <v>3.3</v>
      </c>
      <c r="U48" s="18">
        <v>3.34</v>
      </c>
      <c r="V48" s="18">
        <v>3.17</v>
      </c>
      <c r="W48" s="18">
        <v>3.79</v>
      </c>
      <c r="X48" s="18">
        <v>2.99</v>
      </c>
      <c r="Y48" s="18">
        <v>3.86</v>
      </c>
      <c r="Z48" s="18">
        <v>4.09</v>
      </c>
      <c r="AA48" s="18">
        <v>3.75</v>
      </c>
      <c r="AB48" s="18">
        <v>3.4</v>
      </c>
      <c r="AC48" s="18">
        <v>2.41</v>
      </c>
      <c r="AD48" s="19">
        <v>3.46</v>
      </c>
      <c r="AE48" s="19">
        <v>3.12</v>
      </c>
      <c r="AF48" s="19">
        <v>3.04</v>
      </c>
      <c r="AG48" s="19">
        <v>3.17</v>
      </c>
      <c r="AH48" s="19">
        <v>3.34</v>
      </c>
      <c r="AI48" s="19">
        <v>3.71</v>
      </c>
      <c r="AJ48" s="19">
        <v>4.43</v>
      </c>
      <c r="AK48" s="19">
        <v>5.08</v>
      </c>
      <c r="AL48" s="19">
        <v>4.58</v>
      </c>
      <c r="AM48" s="19">
        <v>3.75</v>
      </c>
      <c r="AN48" s="19">
        <v>4.0999999999999996</v>
      </c>
      <c r="AO48" s="19">
        <v>4.91</v>
      </c>
      <c r="AP48" s="19">
        <v>4.07</v>
      </c>
      <c r="AQ48" s="19">
        <v>4.8899999999999997</v>
      </c>
      <c r="AR48" s="19">
        <v>5</v>
      </c>
      <c r="AS48" s="19">
        <v>4.07</v>
      </c>
      <c r="AT48" s="19">
        <v>4</v>
      </c>
      <c r="AU48" s="19">
        <v>3.88</v>
      </c>
      <c r="AV48" s="19">
        <v>2.72</v>
      </c>
      <c r="AW48" s="19">
        <v>2.19</v>
      </c>
      <c r="AX48" s="19">
        <v>3.73</v>
      </c>
      <c r="AY48" s="19">
        <v>2.78</v>
      </c>
      <c r="AZ48" s="19">
        <v>3.04</v>
      </c>
      <c r="BA48" s="19">
        <v>2.7</v>
      </c>
      <c r="BB48" s="19">
        <v>3.61</v>
      </c>
      <c r="BC48" s="19">
        <v>3.39</v>
      </c>
      <c r="BD48" s="19">
        <v>3.4</v>
      </c>
      <c r="BE48" s="19">
        <v>2.82</v>
      </c>
      <c r="BF48" s="19">
        <v>3.44</v>
      </c>
      <c r="BG48" s="19">
        <v>4.1100000000000003</v>
      </c>
      <c r="BH48" s="19">
        <v>3.28</v>
      </c>
      <c r="BI48" s="19">
        <v>5.91</v>
      </c>
      <c r="BJ48" s="19">
        <v>4.68</v>
      </c>
      <c r="BK48" s="19">
        <v>3.12</v>
      </c>
      <c r="BL48" s="19">
        <v>3.5</v>
      </c>
      <c r="BM48" s="19">
        <v>3.75</v>
      </c>
      <c r="BN48" s="19">
        <v>3.37</v>
      </c>
      <c r="BO48" s="19">
        <v>3.41</v>
      </c>
      <c r="BP48" s="19">
        <v>3.6</v>
      </c>
      <c r="BQ48" s="19">
        <v>3.1</v>
      </c>
      <c r="BR48" s="19">
        <v>3.27</v>
      </c>
      <c r="BS48" s="19">
        <v>3.29</v>
      </c>
      <c r="BT48" s="19">
        <v>3.28</v>
      </c>
      <c r="BU48" s="19">
        <v>3.39</v>
      </c>
      <c r="BV48" s="19">
        <v>2.2000000000000002</v>
      </c>
      <c r="BW48" s="19">
        <v>2.54</v>
      </c>
      <c r="BX48" s="19">
        <v>3.21</v>
      </c>
      <c r="BY48" s="19">
        <v>2.56</v>
      </c>
      <c r="BZ48" s="19">
        <v>29.01</v>
      </c>
      <c r="CA48" s="19">
        <v>21.56</v>
      </c>
      <c r="CB48" s="19">
        <v>200</v>
      </c>
      <c r="CC48" s="19">
        <v>26.74</v>
      </c>
      <c r="CD48" s="19">
        <v>49.88</v>
      </c>
      <c r="CE48" s="19">
        <v>131.76</v>
      </c>
      <c r="CF48" s="19">
        <v>1</v>
      </c>
      <c r="CG48" s="19">
        <v>109.18</v>
      </c>
      <c r="CH48" s="19">
        <v>98.87</v>
      </c>
      <c r="CI48" s="19">
        <v>61.13</v>
      </c>
      <c r="CJ48" s="19">
        <v>39.04</v>
      </c>
      <c r="CK48" s="19">
        <v>56.74</v>
      </c>
      <c r="CL48" s="19">
        <v>81.95</v>
      </c>
      <c r="CM48" s="19">
        <v>78.61</v>
      </c>
      <c r="CN48" s="19">
        <v>99.96</v>
      </c>
      <c r="CO48" s="19">
        <v>108.3</v>
      </c>
      <c r="CP48" s="19">
        <v>77.260000000000005</v>
      </c>
      <c r="CQ48" s="19">
        <v>58.58</v>
      </c>
      <c r="CR48" s="19">
        <v>104.3</v>
      </c>
      <c r="CS48" s="19">
        <v>127.4</v>
      </c>
      <c r="CT48" s="19">
        <v>79.41</v>
      </c>
      <c r="CU48" s="19">
        <v>117</v>
      </c>
      <c r="CV48" s="19">
        <v>105.98</v>
      </c>
      <c r="CW48" s="19">
        <v>83.75</v>
      </c>
      <c r="CX48" s="19">
        <v>49.08</v>
      </c>
      <c r="CY48" s="19">
        <v>4.3899999999999997</v>
      </c>
      <c r="CZ48" s="19">
        <v>4.5</v>
      </c>
      <c r="DA48" s="19">
        <v>3.67</v>
      </c>
      <c r="DB48" s="19">
        <v>4.16</v>
      </c>
      <c r="DC48" s="19">
        <v>3.72</v>
      </c>
      <c r="DD48" s="19">
        <v>4.3499999999999996</v>
      </c>
      <c r="DE48" s="19">
        <v>4.68</v>
      </c>
      <c r="DF48" s="19">
        <v>3.5</v>
      </c>
      <c r="DG48" s="19">
        <v>2.85</v>
      </c>
      <c r="DH48" s="19">
        <v>3.45</v>
      </c>
      <c r="DI48" s="19">
        <v>3.81</v>
      </c>
      <c r="DJ48" s="19">
        <v>6.47</v>
      </c>
      <c r="DK48" s="19">
        <v>3.56</v>
      </c>
      <c r="DL48" s="19">
        <v>4.49</v>
      </c>
      <c r="DM48" s="19">
        <v>4.2300000000000004</v>
      </c>
      <c r="DN48" s="19">
        <v>1.51</v>
      </c>
      <c r="DO48" s="19">
        <v>3.56</v>
      </c>
      <c r="DP48" s="19">
        <v>3.56</v>
      </c>
      <c r="DQ48" s="19">
        <v>3.98</v>
      </c>
      <c r="DR48" s="19">
        <v>4.83</v>
      </c>
      <c r="DS48" s="19">
        <v>2.5299999999999998</v>
      </c>
      <c r="DT48" s="19">
        <v>3.3</v>
      </c>
      <c r="DU48" s="19">
        <v>3.26</v>
      </c>
      <c r="DV48" s="19">
        <v>2.91</v>
      </c>
      <c r="DW48" s="19">
        <v>4.04</v>
      </c>
      <c r="DX48" s="19">
        <v>3.01</v>
      </c>
      <c r="DY48" s="19">
        <v>3.75</v>
      </c>
      <c r="DZ48" s="19">
        <v>3.99</v>
      </c>
      <c r="EA48" s="19">
        <v>2.54</v>
      </c>
      <c r="EB48" s="19">
        <v>4.1100000000000003</v>
      </c>
      <c r="EC48" s="19">
        <v>2.95</v>
      </c>
      <c r="ED48" s="19">
        <v>5.2</v>
      </c>
      <c r="EE48" s="19">
        <v>3.1</v>
      </c>
      <c r="EF48" s="19">
        <v>3.42</v>
      </c>
      <c r="EG48" s="19">
        <v>3.82</v>
      </c>
      <c r="EH48" s="19">
        <v>3.63</v>
      </c>
      <c r="EI48" s="19">
        <v>2.83</v>
      </c>
      <c r="EJ48" s="19">
        <v>2.48</v>
      </c>
      <c r="EK48" s="19">
        <v>4.47</v>
      </c>
      <c r="EL48" s="19">
        <v>2.76</v>
      </c>
      <c r="EM48" s="19">
        <v>3.96</v>
      </c>
      <c r="EN48" s="19">
        <v>2.58</v>
      </c>
      <c r="EO48" s="19">
        <v>3.38</v>
      </c>
      <c r="EP48" s="19">
        <v>3.45</v>
      </c>
      <c r="EQ48" s="19">
        <v>3.21</v>
      </c>
      <c r="ER48" s="19"/>
      <c r="ES48" s="16">
        <f t="shared" si="3"/>
        <v>3.71</v>
      </c>
      <c r="ET48" s="16">
        <f t="shared" si="3"/>
        <v>3.86</v>
      </c>
      <c r="EU48" s="16">
        <f t="shared" si="3"/>
        <v>5.08</v>
      </c>
      <c r="EV48" s="16">
        <f t="shared" si="3"/>
        <v>3.04</v>
      </c>
      <c r="EW48" s="16">
        <f t="shared" si="3"/>
        <v>3.41</v>
      </c>
      <c r="EX48" s="16" t="str">
        <f t="shared" si="3"/>
        <v>.</v>
      </c>
      <c r="EY48" s="16">
        <f t="shared" si="3"/>
        <v>99.96</v>
      </c>
      <c r="EZ48" s="16">
        <f t="shared" si="3"/>
        <v>3.72</v>
      </c>
      <c r="FA48" s="16">
        <f t="shared" si="3"/>
        <v>4.83</v>
      </c>
      <c r="FB48" s="16">
        <f t="shared" si="3"/>
        <v>3.82</v>
      </c>
    </row>
    <row r="49" spans="1:158" x14ac:dyDescent="0.25">
      <c r="A49" s="17">
        <v>46</v>
      </c>
      <c r="B49" s="17" t="s">
        <v>68</v>
      </c>
      <c r="C49" s="17" t="s">
        <v>69</v>
      </c>
      <c r="D49" s="17" t="s">
        <v>16</v>
      </c>
      <c r="E49" s="16">
        <v>1</v>
      </c>
      <c r="F49" s="18">
        <v>3.6985169501258532</v>
      </c>
      <c r="G49" s="18">
        <v>3.9705662618774076</v>
      </c>
      <c r="H49" s="18">
        <v>3.9836395397435895</v>
      </c>
      <c r="I49" s="18">
        <v>3.7227126479251011</v>
      </c>
      <c r="J49" s="18">
        <v>3.6520712733586542</v>
      </c>
      <c r="K49" s="18">
        <v>3.8043983851179686</v>
      </c>
      <c r="L49" s="18">
        <v>3.9601024248120296</v>
      </c>
      <c r="M49" s="18">
        <v>3.9161897437842357</v>
      </c>
      <c r="N49" s="18">
        <v>3.8083797674672186</v>
      </c>
      <c r="O49" s="18">
        <v>3.8138103937845731</v>
      </c>
      <c r="P49" s="18">
        <v>4.430899753378239</v>
      </c>
      <c r="Q49" s="18">
        <v>3.9328607403255256</v>
      </c>
      <c r="R49" s="18">
        <v>3.9505850279694794</v>
      </c>
      <c r="S49" s="18">
        <v>3.7388975459653895</v>
      </c>
      <c r="T49" s="18">
        <v>4.4115656274799981</v>
      </c>
      <c r="U49" s="18">
        <v>2.6743029150466588</v>
      </c>
      <c r="V49" s="18">
        <v>2.7811177192205196</v>
      </c>
      <c r="W49" s="18">
        <v>2.8362135608080816</v>
      </c>
      <c r="X49" s="18">
        <v>2.6246267150939322</v>
      </c>
      <c r="Y49" s="18">
        <v>2.5873639383599487</v>
      </c>
      <c r="Z49" s="18">
        <v>2.6890734118462212</v>
      </c>
      <c r="AA49" s="18">
        <v>2.8306188581223006</v>
      </c>
      <c r="AB49" s="18">
        <v>2.9565045878182117</v>
      </c>
      <c r="AC49" s="18">
        <v>2.9212446260529177</v>
      </c>
      <c r="AD49" s="19">
        <v>2.8851208333097818</v>
      </c>
      <c r="AE49" s="19">
        <v>2.8336496729535101</v>
      </c>
      <c r="AF49" s="19">
        <v>3.0745388849826512</v>
      </c>
      <c r="AG49" s="19">
        <v>3.0227222000111738</v>
      </c>
      <c r="AH49" s="19">
        <v>3.1658339914961258</v>
      </c>
      <c r="AI49" s="19">
        <v>2.9221079574944562</v>
      </c>
      <c r="AJ49" s="19">
        <v>5.0853539006410253</v>
      </c>
      <c r="AK49" s="19">
        <v>4.9825605498281789</v>
      </c>
      <c r="AL49" s="19">
        <v>5.0470728344827593</v>
      </c>
      <c r="AM49" s="19">
        <v>5.1417420047619045</v>
      </c>
      <c r="AN49" s="19">
        <v>4.8745068943457301</v>
      </c>
      <c r="AO49" s="19">
        <v>4.7151936787413522</v>
      </c>
      <c r="AP49" s="19">
        <v>4.7475050669844423</v>
      </c>
      <c r="AQ49" s="19">
        <v>4.8653174400462644</v>
      </c>
      <c r="AR49" s="19">
        <v>4.2986216700535405</v>
      </c>
      <c r="AS49" s="19">
        <v>5.1065818170089052</v>
      </c>
      <c r="AT49" s="19">
        <v>4.4952584057456333</v>
      </c>
      <c r="AU49" s="19">
        <v>5.013046794536435</v>
      </c>
      <c r="AV49" s="19">
        <v>2.9722069611526845</v>
      </c>
      <c r="AW49" s="19">
        <v>2.8902827306915304</v>
      </c>
      <c r="AX49" s="19">
        <v>3.1191591000000001</v>
      </c>
      <c r="AY49" s="19">
        <v>3.124611092307692</v>
      </c>
      <c r="AZ49" s="19">
        <v>2.8719176134020614</v>
      </c>
      <c r="BA49" s="19">
        <v>3.2440232482758624</v>
      </c>
      <c r="BB49" s="19">
        <v>3.5119517238095241</v>
      </c>
      <c r="BC49" s="19">
        <v>3.3955885393649865</v>
      </c>
      <c r="BD49" s="19">
        <v>3.1039838921251914</v>
      </c>
      <c r="BE49" s="19">
        <v>2.8170296876661238</v>
      </c>
      <c r="BF49" s="19">
        <v>4.952481526322984</v>
      </c>
      <c r="BG49" s="19">
        <v>6.1302020199604774</v>
      </c>
      <c r="BH49" s="19">
        <v>4.0859622289093949</v>
      </c>
      <c r="BI49" s="19">
        <v>3.8500215291907542</v>
      </c>
      <c r="BJ49" s="19">
        <v>5.9390912366901558</v>
      </c>
      <c r="BK49" s="19">
        <v>3.743450843752135</v>
      </c>
      <c r="BL49" s="19">
        <v>3.4792782752174656</v>
      </c>
      <c r="BM49" s="19">
        <v>3.2206215500000002</v>
      </c>
      <c r="BN49" s="19">
        <v>3.0449430432692308</v>
      </c>
      <c r="BO49" s="19">
        <v>2.6869932216494847</v>
      </c>
      <c r="BP49" s="19">
        <v>3.0813640206896551</v>
      </c>
      <c r="BQ49" s="19">
        <v>3.2700097857142856</v>
      </c>
      <c r="BR49" s="19">
        <v>3.1153785599896962</v>
      </c>
      <c r="BS49" s="19">
        <v>2.9211586811559664</v>
      </c>
      <c r="BT49" s="19">
        <v>2.8719731853854267</v>
      </c>
      <c r="BU49" s="19">
        <v>2.9082582033154711</v>
      </c>
      <c r="BV49" s="19">
        <v>3.2461509588444928</v>
      </c>
      <c r="BW49" s="19">
        <v>1.9183964393025452</v>
      </c>
      <c r="BX49" s="19">
        <v>1.693084135800353</v>
      </c>
      <c r="BY49" s="19">
        <v>2.3519914988110453</v>
      </c>
      <c r="BZ49" s="19">
        <v>7.7082443126272304</v>
      </c>
      <c r="CA49" s="19">
        <v>15.4373727517075</v>
      </c>
      <c r="CB49" s="19">
        <v>25.405591304913699</v>
      </c>
      <c r="CC49" s="19">
        <v>30.085733112709999</v>
      </c>
      <c r="CD49" s="19">
        <v>39.608416528705298</v>
      </c>
      <c r="CE49" s="19">
        <v>47.829197435730009</v>
      </c>
      <c r="CF49" s="19">
        <v>56.74030498427976</v>
      </c>
      <c r="CG49" s="19">
        <v>62.545898668972278</v>
      </c>
      <c r="CH49" s="19">
        <v>70.882809122133906</v>
      </c>
      <c r="CI49" s="19">
        <v>77.971389704489226</v>
      </c>
      <c r="CJ49" s="19">
        <v>40.675281549735999</v>
      </c>
      <c r="CK49" s="19">
        <v>51.052032470703097</v>
      </c>
      <c r="CL49" s="19">
        <v>72.801345825195298</v>
      </c>
      <c r="CM49" s="19">
        <v>85.527114868164105</v>
      </c>
      <c r="CN49" s="19">
        <v>89.578889367926095</v>
      </c>
      <c r="CO49" s="19">
        <v>87.217801668446498</v>
      </c>
      <c r="CP49" s="19">
        <v>88.753531626512697</v>
      </c>
      <c r="CQ49" s="19">
        <v>88.433500154415299</v>
      </c>
      <c r="CR49" s="19">
        <v>78.863826359199606</v>
      </c>
      <c r="CS49" s="19">
        <v>82.586702102442402</v>
      </c>
      <c r="CT49" s="19">
        <v>102.96999887318985</v>
      </c>
      <c r="CU49" s="19">
        <v>106.40188743912032</v>
      </c>
      <c r="CV49" s="19">
        <v>103.06230122490464</v>
      </c>
      <c r="CW49" s="19">
        <v>113.19437866046874</v>
      </c>
      <c r="CX49" s="19">
        <v>108.03951598962152</v>
      </c>
      <c r="CY49" s="19">
        <v>4.2003414301043804</v>
      </c>
      <c r="CZ49" s="19">
        <v>4.0733687667699385</v>
      </c>
      <c r="DA49" s="19">
        <v>3.9366500499999999</v>
      </c>
      <c r="DB49" s="19">
        <v>3.9795441490384613</v>
      </c>
      <c r="DC49" s="19">
        <v>3.8760878319587624</v>
      </c>
      <c r="DD49" s="19">
        <v>3.8913236137931033</v>
      </c>
      <c r="DE49" s="19">
        <v>3.8284089809523811</v>
      </c>
      <c r="DF49" s="19">
        <v>3.8258762233468779</v>
      </c>
      <c r="DG49" s="19">
        <v>4.0102637791805131</v>
      </c>
      <c r="DH49" s="19">
        <v>4.0227287038680046</v>
      </c>
      <c r="DI49" s="19">
        <v>3.3657292846410147</v>
      </c>
      <c r="DJ49" s="19">
        <v>4.0312459914399721</v>
      </c>
      <c r="DK49" s="19">
        <v>3.5681599548003056</v>
      </c>
      <c r="DL49" s="19">
        <v>4.0761877054741067</v>
      </c>
      <c r="DM49" s="19">
        <v>3.4316367183367147</v>
      </c>
      <c r="DN49" s="19">
        <v>3.389309967889595</v>
      </c>
      <c r="DO49" s="19">
        <v>3.3491761377110691</v>
      </c>
      <c r="DP49" s="19">
        <v>3.4482017000000003</v>
      </c>
      <c r="DQ49" s="19">
        <v>3.2354269567307692</v>
      </c>
      <c r="DR49" s="19">
        <v>3.4562599443298967</v>
      </c>
      <c r="DS49" s="19">
        <v>3.6634386758620692</v>
      </c>
      <c r="DT49" s="19">
        <v>3.6897771285714285</v>
      </c>
      <c r="DU49" s="19">
        <v>3.6734800807075114</v>
      </c>
      <c r="DV49" s="19">
        <v>3.4574275428442647</v>
      </c>
      <c r="DW49" s="19">
        <v>3.470461750030517</v>
      </c>
      <c r="DX49" s="19">
        <v>3.7732833822901859</v>
      </c>
      <c r="DY49" s="19">
        <v>3.7224586086118974</v>
      </c>
      <c r="DZ49" s="19">
        <v>3.5973178109763007</v>
      </c>
      <c r="EA49" s="19">
        <v>2.9133679341611067</v>
      </c>
      <c r="EB49" s="19">
        <v>3.6918764194622877</v>
      </c>
      <c r="EC49" s="19">
        <v>3.6575108067918527</v>
      </c>
      <c r="ED49" s="19">
        <v>3.5978940268842265</v>
      </c>
      <c r="EE49" s="19">
        <v>3.5632451000000001</v>
      </c>
      <c r="EF49" s="19">
        <v>3.5857511269230766</v>
      </c>
      <c r="EG49" s="19">
        <v>3.9160511948453607</v>
      </c>
      <c r="EH49" s="19">
        <v>4.1940068344827584</v>
      </c>
      <c r="EI49" s="19">
        <v>4.2180952523809516</v>
      </c>
      <c r="EJ49" s="19">
        <v>4.3981869865118508</v>
      </c>
      <c r="EK49" s="19">
        <v>4.3344760174373924</v>
      </c>
      <c r="EL49" s="19">
        <v>4.3595762406626051</v>
      </c>
      <c r="EM49" s="19">
        <v>4.4920826579877948</v>
      </c>
      <c r="EN49" s="19">
        <v>4.8138040740579005</v>
      </c>
      <c r="EO49" s="19">
        <v>5.5616129974784414</v>
      </c>
      <c r="EP49" s="19">
        <v>4.8555294461016816</v>
      </c>
      <c r="EQ49" s="19">
        <v>4.8063204032819735</v>
      </c>
      <c r="ER49" s="19"/>
      <c r="ES49" s="16">
        <f t="shared" si="3"/>
        <v>3.6520712733586542</v>
      </c>
      <c r="ET49" s="16">
        <f t="shared" si="3"/>
        <v>2.5873639383599487</v>
      </c>
      <c r="EU49" s="16">
        <f t="shared" si="3"/>
        <v>4.9825605498281789</v>
      </c>
      <c r="EV49" s="16">
        <f t="shared" si="3"/>
        <v>2.8719176134020614</v>
      </c>
      <c r="EW49" s="16">
        <f t="shared" si="3"/>
        <v>2.6869932216494847</v>
      </c>
      <c r="EX49" s="16" t="str">
        <f t="shared" si="3"/>
        <v>.</v>
      </c>
      <c r="EY49" s="16">
        <f t="shared" si="3"/>
        <v>89.578889367926095</v>
      </c>
      <c r="EZ49" s="16">
        <f t="shared" si="3"/>
        <v>3.8760878319587624</v>
      </c>
      <c r="FA49" s="16">
        <f t="shared" si="3"/>
        <v>3.4562599443298967</v>
      </c>
      <c r="FB49" s="16">
        <f t="shared" si="3"/>
        <v>3.9160511948453607</v>
      </c>
    </row>
    <row r="50" spans="1:158" x14ac:dyDescent="0.25">
      <c r="A50" s="17">
        <v>47</v>
      </c>
      <c r="B50" s="17" t="s">
        <v>70</v>
      </c>
      <c r="C50" s="17" t="s">
        <v>70</v>
      </c>
      <c r="D50" s="17" t="s">
        <v>18</v>
      </c>
      <c r="E50" s="16">
        <v>1</v>
      </c>
      <c r="F50" s="18">
        <v>3.565034704233458</v>
      </c>
      <c r="G50" s="18">
        <v>3.5407045244386177</v>
      </c>
      <c r="H50" s="18">
        <v>3.4199726176870753</v>
      </c>
      <c r="I50" s="18">
        <v>3.3374002273104018</v>
      </c>
      <c r="J50" s="18">
        <v>3.571166619602578</v>
      </c>
      <c r="K50" s="18">
        <v>3.6723208421052638</v>
      </c>
      <c r="L50" s="18">
        <v>3.9738256854636584</v>
      </c>
      <c r="M50" s="18">
        <v>4.0574667426956399</v>
      </c>
      <c r="N50" s="18">
        <v>3.7278107394039934</v>
      </c>
      <c r="O50" s="18">
        <v>3.6794899922099735</v>
      </c>
      <c r="P50" s="18">
        <v>3.6654605452830902</v>
      </c>
      <c r="Q50" s="18">
        <v>4.0978960377146469</v>
      </c>
      <c r="R50" s="18">
        <v>4.4946572944406071</v>
      </c>
      <c r="S50" s="18">
        <v>3.3803339739406169</v>
      </c>
      <c r="T50" s="18">
        <v>3.4534626875298349</v>
      </c>
      <c r="U50" s="18">
        <v>2.5568221663926427</v>
      </c>
      <c r="V50" s="18">
        <v>2.3574810684759848</v>
      </c>
      <c r="W50" s="18">
        <v>2.3388665923204837</v>
      </c>
      <c r="X50" s="18">
        <v>2.4334487605527255</v>
      </c>
      <c r="Y50" s="18">
        <v>2.7677458378911566</v>
      </c>
      <c r="Z50" s="18">
        <v>2.9582370281490737</v>
      </c>
      <c r="AA50" s="18">
        <v>3.3988221496917221</v>
      </c>
      <c r="AB50" s="18">
        <v>3.3554654693092183</v>
      </c>
      <c r="AC50" s="18">
        <v>3.1543965176996607</v>
      </c>
      <c r="AD50" s="19">
        <v>2.99503022017432</v>
      </c>
      <c r="AE50" s="19">
        <v>2.5852428056323267</v>
      </c>
      <c r="AF50" s="19">
        <v>3.4016929665901738</v>
      </c>
      <c r="AG50" s="19">
        <v>4.1951849571556661</v>
      </c>
      <c r="AH50" s="19">
        <v>3.636681491835057</v>
      </c>
      <c r="AI50" s="19">
        <v>2.8192799750804296</v>
      </c>
      <c r="AJ50" s="19">
        <v>4.0321232133858276</v>
      </c>
      <c r="AK50" s="19">
        <v>4.1044738897959183</v>
      </c>
      <c r="AL50" s="19">
        <v>4.2162809999999995</v>
      </c>
      <c r="AM50" s="19">
        <v>4.3603929113756612</v>
      </c>
      <c r="AN50" s="19">
        <v>4.2690470424517688</v>
      </c>
      <c r="AO50" s="19">
        <v>4.2287681540471151</v>
      </c>
      <c r="AP50" s="19">
        <v>4.0679456791816611</v>
      </c>
      <c r="AQ50" s="19">
        <v>4.2351151523659434</v>
      </c>
      <c r="AR50" s="19">
        <v>3.9959096891413575</v>
      </c>
      <c r="AS50" s="19">
        <v>4.3977075892409774</v>
      </c>
      <c r="AT50" s="19">
        <v>4.3520343799476198</v>
      </c>
      <c r="AU50" s="19">
        <v>4.5831737712820937</v>
      </c>
      <c r="AV50" s="19">
        <v>2.6830094043887143</v>
      </c>
      <c r="AW50" s="19">
        <v>2.6889054377840909</v>
      </c>
      <c r="AX50" s="19">
        <v>2.8179691224489796</v>
      </c>
      <c r="AY50" s="19">
        <v>2.9300985905511814</v>
      </c>
      <c r="AZ50" s="19">
        <v>2.9401468530612247</v>
      </c>
      <c r="BA50" s="19">
        <v>3.0162149999999999</v>
      </c>
      <c r="BB50" s="19">
        <v>3.5214494531746032</v>
      </c>
      <c r="BC50" s="19">
        <v>3.1089997353423762</v>
      </c>
      <c r="BD50" s="19">
        <v>2.2389380931854248</v>
      </c>
      <c r="BE50" s="19">
        <v>2.2198164632687201</v>
      </c>
      <c r="BF50" s="19">
        <v>5.2565708751482418</v>
      </c>
      <c r="BG50" s="19">
        <v>4.2789287663747615</v>
      </c>
      <c r="BH50" s="19">
        <v>5.4465833835413573</v>
      </c>
      <c r="BI50" s="19">
        <v>5.0198893615008249</v>
      </c>
      <c r="BJ50" s="19">
        <v>4.3233268045679276</v>
      </c>
      <c r="BK50" s="19">
        <v>2.9164234083958851</v>
      </c>
      <c r="BL50" s="19">
        <v>2.7810186972094799</v>
      </c>
      <c r="BM50" s="19">
        <v>3.0335681482993193</v>
      </c>
      <c r="BN50" s="19">
        <v>3.0902997047244094</v>
      </c>
      <c r="BO50" s="19">
        <v>3.1666704826530614</v>
      </c>
      <c r="BP50" s="19">
        <v>3.3654929999999998</v>
      </c>
      <c r="BQ50" s="19">
        <v>3.6529676206349206</v>
      </c>
      <c r="BR50" s="19">
        <v>3.4984089563041998</v>
      </c>
      <c r="BS50" s="19">
        <v>3.0695652961730957</v>
      </c>
      <c r="BT50" s="19">
        <v>3.0559699319876157</v>
      </c>
      <c r="BU50" s="19">
        <v>4.2697368815614487</v>
      </c>
      <c r="BV50" s="19">
        <v>4.0774647037144156</v>
      </c>
      <c r="BW50" s="19">
        <v>3.0609970520975147</v>
      </c>
      <c r="BX50" s="19">
        <v>3.6501053202565137</v>
      </c>
      <c r="BY50" s="19">
        <v>4.3449224559131867</v>
      </c>
      <c r="BZ50" s="19">
        <v>10.3170689050327</v>
      </c>
      <c r="CA50" s="19">
        <v>22.203046662603899</v>
      </c>
      <c r="CB50" s="19">
        <v>20.715132535616249</v>
      </c>
      <c r="CC50" s="19">
        <v>30.8716424555755</v>
      </c>
      <c r="CD50" s="19">
        <v>35.087984850691399</v>
      </c>
      <c r="CE50" s="19">
        <v>41.302481104393877</v>
      </c>
      <c r="CF50" s="19">
        <v>48.029899811924274</v>
      </c>
      <c r="CG50" s="19">
        <v>52.540368487074261</v>
      </c>
      <c r="CH50" s="19">
        <v>57.863040422277706</v>
      </c>
      <c r="CI50" s="19">
        <v>63.948301262108942</v>
      </c>
      <c r="CJ50" s="19">
        <v>47.220532204414901</v>
      </c>
      <c r="CK50" s="19">
        <v>63.233497619628899</v>
      </c>
      <c r="CL50" s="19">
        <v>86.009361267089801</v>
      </c>
      <c r="CM50" s="19">
        <v>100.071182250977</v>
      </c>
      <c r="CN50" s="19">
        <v>102.184560675447</v>
      </c>
      <c r="CO50" s="19">
        <v>104.54559866303499</v>
      </c>
      <c r="CP50" s="19">
        <v>110.70806856406899</v>
      </c>
      <c r="CQ50" s="19">
        <v>108.53</v>
      </c>
      <c r="CR50" s="19">
        <v>103.899164782894</v>
      </c>
      <c r="CS50" s="19">
        <v>79.429270531529298</v>
      </c>
      <c r="CT50" s="19">
        <v>114.40542558368759</v>
      </c>
      <c r="CU50" s="19">
        <v>114.68963983873758</v>
      </c>
      <c r="CV50" s="19">
        <v>125.59447288312471</v>
      </c>
      <c r="CW50" s="19">
        <v>127.81657459224327</v>
      </c>
      <c r="CX50" s="19">
        <v>126.52904255659546</v>
      </c>
      <c r="CY50" s="19">
        <v>3.3467331118493906</v>
      </c>
      <c r="CZ50" s="19">
        <v>3.2263615608630953</v>
      </c>
      <c r="DA50" s="19">
        <v>3.3178790353741494</v>
      </c>
      <c r="DB50" s="19">
        <v>3.1783927165354333</v>
      </c>
      <c r="DC50" s="19">
        <v>3.2088151520408164</v>
      </c>
      <c r="DD50" s="19">
        <v>3.3545020000000001</v>
      </c>
      <c r="DE50" s="19">
        <v>3.7860547039682544</v>
      </c>
      <c r="DF50" s="19">
        <v>3.7624710228201317</v>
      </c>
      <c r="DG50" s="19">
        <v>3.9310345649719238</v>
      </c>
      <c r="DH50" s="19">
        <v>3.6294106185436243</v>
      </c>
      <c r="DI50" s="19">
        <v>3.8788641923199019</v>
      </c>
      <c r="DJ50" s="19">
        <v>4.0444369858352394</v>
      </c>
      <c r="DK50" s="19">
        <v>3.6653832330551741</v>
      </c>
      <c r="DL50" s="19">
        <v>4.0889353898370251</v>
      </c>
      <c r="DM50" s="19">
        <v>4.0603862308493861</v>
      </c>
      <c r="DN50" s="19">
        <v>2.7540698559996248</v>
      </c>
      <c r="DO50" s="19">
        <v>2.5769080443520642</v>
      </c>
      <c r="DP50" s="19">
        <v>3.1070025224489797</v>
      </c>
      <c r="DQ50" s="19">
        <v>3.5480037409448819</v>
      </c>
      <c r="DR50" s="19">
        <v>3.6949879551020413</v>
      </c>
      <c r="DS50" s="19">
        <v>3.8625310000000006</v>
      </c>
      <c r="DT50" s="19">
        <v>4.2222057015873018</v>
      </c>
      <c r="DU50" s="19">
        <v>4.3923759629478214</v>
      </c>
      <c r="DV50" s="19">
        <v>4.5892858505249023</v>
      </c>
      <c r="DW50" s="19">
        <v>4.5031011544741117</v>
      </c>
      <c r="DX50" s="19">
        <v>5.2917606557989965</v>
      </c>
      <c r="DY50" s="19">
        <v>5.7725513379782871</v>
      </c>
      <c r="DZ50" s="19">
        <v>5.2489267860302098</v>
      </c>
      <c r="EA50" s="19">
        <v>6.0595519417623809</v>
      </c>
      <c r="EB50" s="19">
        <v>6.0739098464586112</v>
      </c>
      <c r="EC50" s="19">
        <v>2.8729234770993708</v>
      </c>
      <c r="ED50" s="19">
        <v>2.6108838569380737</v>
      </c>
      <c r="EE50" s="19">
        <v>2.7831080231292518</v>
      </c>
      <c r="EF50" s="19">
        <v>3.4751402118110235</v>
      </c>
      <c r="EG50" s="19">
        <v>4.1573922969387755</v>
      </c>
      <c r="EH50" s="19">
        <v>4.4394670000000005</v>
      </c>
      <c r="EI50" s="19">
        <v>4.6407864039682538</v>
      </c>
      <c r="EJ50" s="19">
        <v>4.6073670770750947</v>
      </c>
      <c r="EK50" s="19">
        <v>5.2327585220336914</v>
      </c>
      <c r="EL50" s="19">
        <v>5.1461990796602688</v>
      </c>
      <c r="EM50" s="19">
        <v>4.9972374139456983</v>
      </c>
      <c r="EN50" s="19">
        <v>6.409254741989943</v>
      </c>
      <c r="EO50" s="19">
        <v>5.7379579211382161</v>
      </c>
      <c r="EP50" s="19">
        <v>6.3135033372530174</v>
      </c>
      <c r="EQ50" s="19">
        <v>7</v>
      </c>
      <c r="ER50" s="19"/>
      <c r="ES50" s="16">
        <f t="shared" si="3"/>
        <v>3.571166619602578</v>
      </c>
      <c r="ET50" s="16">
        <f t="shared" si="3"/>
        <v>2.7677458378911566</v>
      </c>
      <c r="EU50" s="16">
        <f t="shared" si="3"/>
        <v>4.1044738897959183</v>
      </c>
      <c r="EV50" s="16">
        <f t="shared" si="3"/>
        <v>2.9401468530612247</v>
      </c>
      <c r="EW50" s="16">
        <f t="shared" si="3"/>
        <v>3.1666704826530614</v>
      </c>
      <c r="EX50" s="16" t="str">
        <f t="shared" si="3"/>
        <v>.</v>
      </c>
      <c r="EY50" s="16">
        <f t="shared" si="3"/>
        <v>102.184560675447</v>
      </c>
      <c r="EZ50" s="16">
        <f t="shared" si="3"/>
        <v>3.2088151520408164</v>
      </c>
      <c r="FA50" s="16">
        <f t="shared" si="3"/>
        <v>3.6949879551020413</v>
      </c>
      <c r="FB50" s="16">
        <f t="shared" si="3"/>
        <v>4.1573922969387755</v>
      </c>
    </row>
    <row r="51" spans="1:158" x14ac:dyDescent="0.25">
      <c r="A51" s="17">
        <v>48</v>
      </c>
      <c r="B51" s="17" t="s">
        <v>71</v>
      </c>
      <c r="C51" s="17" t="s">
        <v>71</v>
      </c>
      <c r="D51" s="17" t="s">
        <v>9</v>
      </c>
      <c r="E51" s="16">
        <v>1</v>
      </c>
      <c r="F51" s="18">
        <v>4.0810276749421206</v>
      </c>
      <c r="G51" s="18">
        <v>3.9341489953968756</v>
      </c>
      <c r="H51" s="18">
        <v>3.9801484196901145</v>
      </c>
      <c r="I51" s="18">
        <v>3.9832948263157899</v>
      </c>
      <c r="J51" s="18">
        <v>3.8244296393962856</v>
      </c>
      <c r="K51" s="18">
        <v>3.7694559386326634</v>
      </c>
      <c r="L51" s="18">
        <v>3.8329477832212104</v>
      </c>
      <c r="M51" s="18">
        <v>3.7022589096482736</v>
      </c>
      <c r="N51" s="18">
        <v>3.7050462137749687</v>
      </c>
      <c r="O51" s="18">
        <v>3.7050462137749687</v>
      </c>
      <c r="P51" s="18">
        <v>4.0531259711277023</v>
      </c>
      <c r="Q51" s="18">
        <v>3.8822806901010498</v>
      </c>
      <c r="R51" s="18">
        <v>3.4479452156528954</v>
      </c>
      <c r="S51" s="18">
        <v>4.0257039424561967</v>
      </c>
      <c r="T51" s="18">
        <v>3.3403183370571079</v>
      </c>
      <c r="U51" s="18">
        <v>3.1681941198750256</v>
      </c>
      <c r="V51" s="18">
        <v>3.150903473235326</v>
      </c>
      <c r="W51" s="18">
        <v>3.0314316408199646</v>
      </c>
      <c r="X51" s="18">
        <v>2.967783091646587</v>
      </c>
      <c r="Y51" s="18">
        <v>2.8373047285015662</v>
      </c>
      <c r="Z51" s="18">
        <v>2.8410125366816348</v>
      </c>
      <c r="AA51" s="18">
        <v>2.7948773969592167</v>
      </c>
      <c r="AB51" s="18">
        <v>2.6512484785986223</v>
      </c>
      <c r="AC51" s="18">
        <v>2.7494588062352414</v>
      </c>
      <c r="AD51" s="19">
        <v>2.7499378704330675</v>
      </c>
      <c r="AE51" s="19">
        <v>2.8991067530590655</v>
      </c>
      <c r="AF51" s="19">
        <v>2.7092581303665262</v>
      </c>
      <c r="AG51" s="19">
        <v>2.3714449235756638</v>
      </c>
      <c r="AH51" s="19">
        <v>3.3368678808096437</v>
      </c>
      <c r="AI51" s="19">
        <v>2.5981935143570398</v>
      </c>
      <c r="AJ51" s="19">
        <v>4.8303950833333333</v>
      </c>
      <c r="AK51" s="19">
        <v>4.5642318620915034</v>
      </c>
      <c r="AL51" s="19">
        <v>4.4585307584192435</v>
      </c>
      <c r="AM51" s="19">
        <v>4.1617619493734335</v>
      </c>
      <c r="AN51" s="19">
        <v>4.0014877324762343</v>
      </c>
      <c r="AO51" s="19">
        <v>4.0303654669270044</v>
      </c>
      <c r="AP51" s="19">
        <v>4.0303654669270044</v>
      </c>
      <c r="AQ51" s="19">
        <v>3.7699340531987549</v>
      </c>
      <c r="AR51" s="19">
        <v>3.95121669380989</v>
      </c>
      <c r="AS51" s="19">
        <v>3.6867522548852305</v>
      </c>
      <c r="AT51" s="19">
        <v>2.9486658632933005</v>
      </c>
      <c r="AU51" s="19">
        <v>2.9008332102027135</v>
      </c>
      <c r="AV51" s="19">
        <v>3.1720156653138396</v>
      </c>
      <c r="AW51" s="19">
        <v>3.4005668489978271</v>
      </c>
      <c r="AX51" s="19">
        <v>3.1518290663101607</v>
      </c>
      <c r="AY51" s="19">
        <v>3.1175234500000002</v>
      </c>
      <c r="AZ51" s="19">
        <v>2.9939277975490199</v>
      </c>
      <c r="BA51" s="19">
        <v>2.9336496139175257</v>
      </c>
      <c r="BB51" s="19">
        <v>3.215404290225564</v>
      </c>
      <c r="BC51" s="19">
        <v>3.6879759923023228</v>
      </c>
      <c r="BD51" s="19">
        <v>3.5099472935567766</v>
      </c>
      <c r="BE51" s="19">
        <v>3.5099472935567766</v>
      </c>
      <c r="BF51" s="19">
        <v>3.9806511476420949</v>
      </c>
      <c r="BG51" s="19">
        <v>4.5838344485425511</v>
      </c>
      <c r="BH51" s="19">
        <v>4.4071120342634797</v>
      </c>
      <c r="BI51" s="19">
        <v>4.5774176431686007</v>
      </c>
      <c r="BJ51" s="19">
        <v>4.5864686829870189</v>
      </c>
      <c r="BK51" s="19">
        <v>2.564065630232391</v>
      </c>
      <c r="BL51" s="19">
        <v>2.4463757087177012</v>
      </c>
      <c r="BM51" s="19">
        <v>2.856145140106952</v>
      </c>
      <c r="BN51" s="19">
        <v>2.5626351999999999</v>
      </c>
      <c r="BO51" s="19">
        <v>2.3278637877450983</v>
      </c>
      <c r="BP51" s="19">
        <v>2.5308250340206184</v>
      </c>
      <c r="BQ51" s="19">
        <v>2.6968948135338344</v>
      </c>
      <c r="BR51" s="19">
        <v>2.5894671058200833</v>
      </c>
      <c r="BS51" s="19">
        <v>2.7525345162257251</v>
      </c>
      <c r="BT51" s="19">
        <v>2.7525345162257251</v>
      </c>
      <c r="BU51" s="19">
        <v>3.616036349722298</v>
      </c>
      <c r="BV51" s="19">
        <v>2.2220307796114618</v>
      </c>
      <c r="BW51" s="19">
        <v>3.2271195416176148</v>
      </c>
      <c r="BX51" s="19">
        <v>2.4756217241754284</v>
      </c>
      <c r="BY51" s="19">
        <v>2.8524587834048512</v>
      </c>
      <c r="BZ51" s="19">
        <v>21.0296683526627</v>
      </c>
      <c r="CA51" s="19">
        <v>26.8505573280015</v>
      </c>
      <c r="CB51" s="19">
        <v>31.138892091971201</v>
      </c>
      <c r="CC51" s="19">
        <v>43.495161742684303</v>
      </c>
      <c r="CD51" s="19">
        <v>50.661657510315003</v>
      </c>
      <c r="CE51" s="19">
        <v>59.147885575418918</v>
      </c>
      <c r="CF51" s="19">
        <v>65.316203567395732</v>
      </c>
      <c r="CG51" s="19">
        <v>72.19275091640931</v>
      </c>
      <c r="CH51" s="19">
        <v>79.490150192165032</v>
      </c>
      <c r="CI51" s="19">
        <v>87.932031016333568</v>
      </c>
      <c r="CJ51" s="19">
        <v>18.410171139897098</v>
      </c>
      <c r="CK51" s="19">
        <v>23.862373352050799</v>
      </c>
      <c r="CL51" s="19">
        <v>53.712192535400398</v>
      </c>
      <c r="CM51" s="19">
        <v>66.689926147460895</v>
      </c>
      <c r="CN51" s="19">
        <v>87.105605119123396</v>
      </c>
      <c r="CO51" s="19">
        <v>101.076338461028</v>
      </c>
      <c r="CP51" s="19">
        <v>115.29380829206001</v>
      </c>
      <c r="CQ51" s="19">
        <v>121.507893024476</v>
      </c>
      <c r="CR51" s="19">
        <v>114.305985751523</v>
      </c>
      <c r="CS51" s="19">
        <v>110.99155439173001</v>
      </c>
      <c r="CT51" s="19">
        <v>156.784165230112</v>
      </c>
      <c r="CU51" s="19">
        <v>153.39304861441755</v>
      </c>
      <c r="CV51" s="19">
        <v>160.91240637615954</v>
      </c>
      <c r="CW51" s="19">
        <v>179.99436791657808</v>
      </c>
      <c r="CX51" s="19">
        <v>192.56000225190343</v>
      </c>
      <c r="CY51" s="19">
        <v>5.051580797501348</v>
      </c>
      <c r="CZ51" s="19">
        <v>4.6581344117845935</v>
      </c>
      <c r="DA51" s="19">
        <v>4.4254685262032085</v>
      </c>
      <c r="DB51" s="19">
        <v>4.6342015500000002</v>
      </c>
      <c r="DC51" s="19">
        <v>4.1260508151960789</v>
      </c>
      <c r="DD51" s="19">
        <v>4.0199178907216497</v>
      </c>
      <c r="DE51" s="19">
        <v>3.7185215849624056</v>
      </c>
      <c r="DF51" s="19">
        <v>3.5568742625000001</v>
      </c>
      <c r="DG51" s="19">
        <v>3.9419325758146755</v>
      </c>
      <c r="DH51" s="19">
        <v>3.9419325758146755</v>
      </c>
      <c r="DI51" s="19">
        <v>2.7611897813357493</v>
      </c>
      <c r="DJ51" s="19">
        <v>2.3631001215863607</v>
      </c>
      <c r="DK51" s="19">
        <v>3.4617336674113788</v>
      </c>
      <c r="DL51" s="19">
        <v>4.0506626338249037</v>
      </c>
      <c r="DM51" s="19">
        <v>3.1207005287208327</v>
      </c>
      <c r="DN51" s="19">
        <v>3.6805112651558458</v>
      </c>
      <c r="DO51" s="19">
        <v>3.8944387889640186</v>
      </c>
      <c r="DP51" s="19">
        <v>4.3879064502673799</v>
      </c>
      <c r="DQ51" s="19">
        <v>4.3025699500000005</v>
      </c>
      <c r="DR51" s="19">
        <v>3.9018246985294116</v>
      </c>
      <c r="DS51" s="19">
        <v>3.8059470525773191</v>
      </c>
      <c r="DT51" s="19">
        <v>3.3174969518796988</v>
      </c>
      <c r="DU51" s="19">
        <v>2.9410794356039047</v>
      </c>
      <c r="DV51" s="19">
        <v>3.1408309446885285</v>
      </c>
      <c r="DW51" s="19">
        <v>3.1408309446885285</v>
      </c>
      <c r="DX51" s="19">
        <v>3.066728105425748</v>
      </c>
      <c r="DY51" s="19">
        <v>2.9399984849809275</v>
      </c>
      <c r="DZ51" s="19">
        <v>1.9245313655502343</v>
      </c>
      <c r="EA51" s="19">
        <v>2.542375916894501</v>
      </c>
      <c r="EB51" s="19">
        <v>3.608894833923042</v>
      </c>
      <c r="EC51" s="19">
        <v>3.2572242907810423</v>
      </c>
      <c r="ED51" s="19">
        <v>3.3643326857039364</v>
      </c>
      <c r="EE51" s="19">
        <v>3.5234051625668448</v>
      </c>
      <c r="EF51" s="19">
        <v>3.6954276000000004</v>
      </c>
      <c r="EG51" s="19">
        <v>3.3742690372549022</v>
      </c>
      <c r="EH51" s="19">
        <v>2.9303117139175257</v>
      </c>
      <c r="EI51" s="19">
        <v>2.7423015308270675</v>
      </c>
      <c r="EJ51" s="19">
        <v>2.8657573108650212</v>
      </c>
      <c r="EK51" s="19">
        <v>3.0449242457447436</v>
      </c>
      <c r="EL51" s="19">
        <v>3.0449242457447436</v>
      </c>
      <c r="EM51" s="19">
        <v>2.6292558361667915</v>
      </c>
      <c r="EN51" s="19">
        <v>2.8287262071743822</v>
      </c>
      <c r="EO51" s="19">
        <v>2.7572026046998719</v>
      </c>
      <c r="EP51" s="19">
        <v>1.9663727129841919</v>
      </c>
      <c r="EQ51" s="19">
        <v>2.2459659751318366</v>
      </c>
      <c r="ER51" s="19"/>
      <c r="ES51" s="16">
        <f t="shared" si="3"/>
        <v>3.8244296393962856</v>
      </c>
      <c r="ET51" s="16">
        <f t="shared" si="3"/>
        <v>2.8373047285015662</v>
      </c>
      <c r="EU51" s="16">
        <f t="shared" si="3"/>
        <v>4.5642318620915034</v>
      </c>
      <c r="EV51" s="16">
        <f t="shared" si="3"/>
        <v>2.9939277975490199</v>
      </c>
      <c r="EW51" s="16">
        <f t="shared" si="3"/>
        <v>2.3278637877450983</v>
      </c>
      <c r="EX51" s="16" t="str">
        <f t="shared" si="3"/>
        <v>.</v>
      </c>
      <c r="EY51" s="16">
        <f t="shared" si="3"/>
        <v>87.105605119123396</v>
      </c>
      <c r="EZ51" s="16">
        <f t="shared" si="3"/>
        <v>4.1260508151960789</v>
      </c>
      <c r="FA51" s="16">
        <f t="shared" si="3"/>
        <v>3.9018246985294116</v>
      </c>
      <c r="FB51" s="16">
        <f t="shared" si="3"/>
        <v>3.3742690372549022</v>
      </c>
    </row>
    <row r="52" spans="1:158" x14ac:dyDescent="0.25">
      <c r="A52" s="17">
        <v>49</v>
      </c>
      <c r="B52" s="17" t="s">
        <v>72</v>
      </c>
      <c r="C52" s="17" t="s">
        <v>73</v>
      </c>
      <c r="D52" s="17" t="s">
        <v>33</v>
      </c>
      <c r="E52" s="16">
        <v>1</v>
      </c>
      <c r="F52" s="18">
        <v>3.9208697094937008</v>
      </c>
      <c r="G52" s="18">
        <v>3.9311436523888159</v>
      </c>
      <c r="H52" s="18">
        <v>4.0698227631516382</v>
      </c>
      <c r="I52" s="18">
        <v>3.8973108200339555</v>
      </c>
      <c r="J52" s="18">
        <v>3.8109003774436094</v>
      </c>
      <c r="K52" s="18">
        <v>3.7874494438030566</v>
      </c>
      <c r="L52" s="18">
        <v>4.1049742049932521</v>
      </c>
      <c r="M52" s="18">
        <v>4.4299440049310821</v>
      </c>
      <c r="N52" s="18">
        <v>3.9544097454896634</v>
      </c>
      <c r="O52" s="18">
        <v>3.6865590240902328</v>
      </c>
      <c r="P52" s="18">
        <v>4.3323137802614982</v>
      </c>
      <c r="Q52" s="18">
        <v>4.4280007081739212</v>
      </c>
      <c r="R52" s="18">
        <v>4.0173506272145643</v>
      </c>
      <c r="S52" s="18">
        <v>4.2559475890344833</v>
      </c>
      <c r="T52" s="18">
        <v>4.6219579234524284</v>
      </c>
      <c r="U52" s="18">
        <v>2.6582532112332382</v>
      </c>
      <c r="V52" s="18">
        <v>2.5567106304422609</v>
      </c>
      <c r="W52" s="18">
        <v>2.6404482741721855</v>
      </c>
      <c r="X52" s="18">
        <v>2.5046361926881722</v>
      </c>
      <c r="Y52" s="18">
        <v>2.4611215947619045</v>
      </c>
      <c r="Z52" s="18">
        <v>2.5400270349946243</v>
      </c>
      <c r="AA52" s="18">
        <v>3.0110420328052934</v>
      </c>
      <c r="AB52" s="18">
        <v>3.4951394354362515</v>
      </c>
      <c r="AC52" s="18">
        <v>3.0603791255769806</v>
      </c>
      <c r="AD52" s="19">
        <v>2.625302658288919</v>
      </c>
      <c r="AE52" s="19">
        <v>3.1746826007101938</v>
      </c>
      <c r="AF52" s="19">
        <v>3.6943418807907209</v>
      </c>
      <c r="AG52" s="19">
        <v>3.8419198148690512</v>
      </c>
      <c r="AH52" s="19">
        <v>2.6577572866474166</v>
      </c>
      <c r="AI52" s="19">
        <v>3.2473589604434707</v>
      </c>
      <c r="AJ52" s="19">
        <v>4.7664224548387093</v>
      </c>
      <c r="AK52" s="19">
        <v>4.6352326642857138</v>
      </c>
      <c r="AL52" s="19">
        <v>4.4638848360215055</v>
      </c>
      <c r="AM52" s="19">
        <v>4.097642457264957</v>
      </c>
      <c r="AN52" s="19">
        <v>4.2603189883775938</v>
      </c>
      <c r="AO52" s="19">
        <v>4.2476718225730083</v>
      </c>
      <c r="AP52" s="19">
        <v>4.0487672559064416</v>
      </c>
      <c r="AQ52" s="19">
        <v>3.6156055258087845</v>
      </c>
      <c r="AR52" s="19">
        <v>3.8431589923765319</v>
      </c>
      <c r="AS52" s="19">
        <v>3.8369196355528934</v>
      </c>
      <c r="AT52" s="19">
        <v>3.1160027616084749</v>
      </c>
      <c r="AU52" s="19">
        <v>3.8134868777476254</v>
      </c>
      <c r="AV52" s="19">
        <v>3.374378532244469</v>
      </c>
      <c r="AW52" s="19">
        <v>3.435734104545455</v>
      </c>
      <c r="AX52" s="19">
        <v>3.4895725609271526</v>
      </c>
      <c r="AY52" s="19">
        <v>3.4336659177419353</v>
      </c>
      <c r="AZ52" s="19">
        <v>3.3593631785714289</v>
      </c>
      <c r="BA52" s="19">
        <v>3.2908896451612906</v>
      </c>
      <c r="BB52" s="19">
        <v>3.4269535897435892</v>
      </c>
      <c r="BC52" s="19">
        <v>3.54104376149653</v>
      </c>
      <c r="BD52" s="19">
        <v>2.9320923805236814</v>
      </c>
      <c r="BE52" s="19">
        <v>2.6857450520814359</v>
      </c>
      <c r="BF52" s="19">
        <v>3.4042791572010187</v>
      </c>
      <c r="BG52" s="19">
        <v>5.3007075869127185</v>
      </c>
      <c r="BH52" s="19">
        <v>3.518562055555146</v>
      </c>
      <c r="BI52" s="19">
        <v>4.5088861197830719</v>
      </c>
      <c r="BJ52" s="19">
        <v>4.7056479713659991</v>
      </c>
      <c r="BK52" s="19">
        <v>3.9066046511627901</v>
      </c>
      <c r="BL52" s="19">
        <v>3.5695554500000002</v>
      </c>
      <c r="BM52" s="19">
        <v>3.4065038284768212</v>
      </c>
      <c r="BN52" s="19">
        <v>3.3889890580645163</v>
      </c>
      <c r="BO52" s="19">
        <v>3.2687732357142858</v>
      </c>
      <c r="BP52" s="19">
        <v>3.2490625306451615</v>
      </c>
      <c r="BQ52" s="19">
        <v>3.7266700999999998</v>
      </c>
      <c r="BR52" s="19">
        <v>3.8604373066618236</v>
      </c>
      <c r="BS52" s="19">
        <v>3.1170652791073445</v>
      </c>
      <c r="BT52" s="19">
        <v>2.7941302819038505</v>
      </c>
      <c r="BU52" s="19">
        <v>2.3505444625043346</v>
      </c>
      <c r="BV52" s="19">
        <v>3.2789695373920922</v>
      </c>
      <c r="BW52" s="19">
        <v>2.5239787701893017</v>
      </c>
      <c r="BX52" s="19">
        <v>2.1879971567747294</v>
      </c>
      <c r="BY52" s="19">
        <v>2.9575785649776773</v>
      </c>
      <c r="BZ52" s="19">
        <v>3.5808963834712899</v>
      </c>
      <c r="CA52" s="19">
        <v>5.5123385868969201</v>
      </c>
      <c r="CB52" s="19">
        <v>6.0376749046677096</v>
      </c>
      <c r="CC52" s="19">
        <v>34.3957753997962</v>
      </c>
      <c r="CD52" s="19">
        <v>19.9412947583894</v>
      </c>
      <c r="CE52" s="19">
        <v>36.138897124422947</v>
      </c>
      <c r="CF52" s="19">
        <v>41.702937820691567</v>
      </c>
      <c r="CG52" s="19">
        <v>49.17654954855238</v>
      </c>
      <c r="CH52" s="19">
        <v>51.947246002150507</v>
      </c>
      <c r="CI52" s="19">
        <v>55.3862597815546</v>
      </c>
      <c r="CJ52" s="19">
        <v>35.049455021072497</v>
      </c>
      <c r="CK52" s="19">
        <v>55.033233642578097</v>
      </c>
      <c r="CL52" s="19">
        <v>99.969566345214801</v>
      </c>
      <c r="CM52" s="19">
        <v>122.767868041992</v>
      </c>
      <c r="CN52" s="19">
        <v>124.339491421999</v>
      </c>
      <c r="CO52" s="19">
        <v>125.845224023608</v>
      </c>
      <c r="CP52" s="19">
        <v>138.07186920959001</v>
      </c>
      <c r="CQ52" s="19">
        <v>136.187440205386</v>
      </c>
      <c r="CR52" s="19">
        <v>144.02567643605201</v>
      </c>
      <c r="CS52" s="19">
        <v>145.25566596462301</v>
      </c>
      <c r="CT52" s="19">
        <v>168.28234151586835</v>
      </c>
      <c r="CU52" s="19">
        <v>188.52625196480625</v>
      </c>
      <c r="CV52" s="19">
        <v>200</v>
      </c>
      <c r="CW52" s="19">
        <v>200</v>
      </c>
      <c r="CX52" s="19">
        <v>200</v>
      </c>
      <c r="CY52" s="19">
        <v>4.4154052821631478</v>
      </c>
      <c r="CZ52" s="19">
        <v>4.2061176202702706</v>
      </c>
      <c r="DA52" s="19">
        <v>4.2251453086092718</v>
      </c>
      <c r="DB52" s="19">
        <v>4.0738461387096772</v>
      </c>
      <c r="DC52" s="19">
        <v>3.7624059428571428</v>
      </c>
      <c r="DD52" s="19">
        <v>3.7722977048387101</v>
      </c>
      <c r="DE52" s="19">
        <v>3.5361790384615386</v>
      </c>
      <c r="DF52" s="19">
        <v>3.6022711837064354</v>
      </c>
      <c r="DG52" s="19">
        <v>3.7195652384507025</v>
      </c>
      <c r="DH52" s="19">
        <v>3.8089958874147332</v>
      </c>
      <c r="DI52" s="19">
        <v>3.8159366265222241</v>
      </c>
      <c r="DJ52" s="19">
        <v>3.9506134342909749</v>
      </c>
      <c r="DK52" s="19">
        <v>3.4024626796201911</v>
      </c>
      <c r="DL52" s="19">
        <v>3.5648976574943694</v>
      </c>
      <c r="DM52" s="19">
        <v>2.6078299777107401</v>
      </c>
      <c r="DN52" s="19">
        <v>4.5577410961131886</v>
      </c>
      <c r="DO52" s="19">
        <v>4.4177485545454545</v>
      </c>
      <c r="DP52" s="19">
        <v>4.8484582311258277</v>
      </c>
      <c r="DQ52" s="19">
        <v>5.0598774338709678</v>
      </c>
      <c r="DR52" s="19">
        <v>4.5615648428571429</v>
      </c>
      <c r="DS52" s="19">
        <v>4.3966822967741939</v>
      </c>
      <c r="DT52" s="19">
        <v>4.3030542589743588</v>
      </c>
      <c r="DU52" s="19">
        <v>4.5722453363844355</v>
      </c>
      <c r="DV52" s="19">
        <v>4.0328320628718322</v>
      </c>
      <c r="DW52" s="19">
        <v>3.5095079792079638</v>
      </c>
      <c r="DX52" s="19">
        <v>4.6652337589358046</v>
      </c>
      <c r="DY52" s="19">
        <v>3.8048469007484327</v>
      </c>
      <c r="DZ52" s="19">
        <v>3.8099697184255552</v>
      </c>
      <c r="EA52" s="19">
        <v>4.1669277349421803</v>
      </c>
      <c r="EB52" s="19">
        <v>2.9812587879065062</v>
      </c>
      <c r="EC52" s="19">
        <v>4.9768336314847943</v>
      </c>
      <c r="ED52" s="19">
        <v>4.9508883000000008</v>
      </c>
      <c r="EE52" s="19">
        <v>5.2527442549668875</v>
      </c>
      <c r="EF52" s="19">
        <v>5.3560837209677423</v>
      </c>
      <c r="EG52" s="19">
        <v>4.761658971428572</v>
      </c>
      <c r="EH52" s="19">
        <v>4.4573111145161288</v>
      </c>
      <c r="EI52" s="19">
        <v>4.2819332205128209</v>
      </c>
      <c r="EJ52" s="19">
        <v>4.6412380618798048</v>
      </c>
      <c r="EK52" s="19">
        <v>4.2370837286898961</v>
      </c>
      <c r="EL52" s="19">
        <v>3.9422543397590299</v>
      </c>
      <c r="EM52" s="19">
        <v>3.164903580134125</v>
      </c>
      <c r="EN52" s="19">
        <v>4.1808469978282128</v>
      </c>
      <c r="EO52" s="19">
        <v>3.9272477033167958</v>
      </c>
      <c r="EP52" s="19">
        <v>3.9631988517093149</v>
      </c>
      <c r="EQ52" s="19">
        <v>2.3701478037172965</v>
      </c>
      <c r="ER52" s="19"/>
      <c r="ES52" s="16">
        <f t="shared" si="3"/>
        <v>3.8109003774436094</v>
      </c>
      <c r="ET52" s="16">
        <f t="shared" si="3"/>
        <v>2.4611215947619045</v>
      </c>
      <c r="EU52" s="16">
        <f t="shared" si="3"/>
        <v>4.6352326642857138</v>
      </c>
      <c r="EV52" s="16">
        <f t="shared" si="3"/>
        <v>3.3593631785714289</v>
      </c>
      <c r="EW52" s="16">
        <f t="shared" si="3"/>
        <v>3.2687732357142858</v>
      </c>
      <c r="EX52" s="16" t="str">
        <f t="shared" si="3"/>
        <v>.</v>
      </c>
      <c r="EY52" s="16">
        <f t="shared" si="3"/>
        <v>124.339491421999</v>
      </c>
      <c r="EZ52" s="16">
        <f t="shared" si="3"/>
        <v>3.7624059428571428</v>
      </c>
      <c r="FA52" s="16">
        <f t="shared" si="3"/>
        <v>4.5615648428571429</v>
      </c>
      <c r="FB52" s="16">
        <f t="shared" si="3"/>
        <v>4.761658971428572</v>
      </c>
    </row>
    <row r="53" spans="1:158" x14ac:dyDescent="0.25">
      <c r="A53" s="17">
        <v>50</v>
      </c>
      <c r="B53" s="17" t="s">
        <v>74</v>
      </c>
      <c r="C53" s="17" t="s">
        <v>75</v>
      </c>
      <c r="D53" s="17" t="s">
        <v>14</v>
      </c>
      <c r="E53" s="16">
        <v>0</v>
      </c>
      <c r="F53" s="18">
        <v>5.63</v>
      </c>
      <c r="G53" s="18">
        <v>2.97</v>
      </c>
      <c r="H53" s="18">
        <v>4.2</v>
      </c>
      <c r="I53" s="18">
        <v>3.18</v>
      </c>
      <c r="J53" s="18">
        <v>3.8</v>
      </c>
      <c r="K53" s="18">
        <v>4.0199999999999996</v>
      </c>
      <c r="L53" s="18">
        <v>3.96</v>
      </c>
      <c r="M53" s="18">
        <v>4.01</v>
      </c>
      <c r="N53" s="18">
        <v>3.5</v>
      </c>
      <c r="O53" s="18">
        <v>4.1500000000000004</v>
      </c>
      <c r="P53" s="18">
        <v>3.56</v>
      </c>
      <c r="Q53" s="18">
        <v>3.78</v>
      </c>
      <c r="R53" s="18">
        <v>3.72</v>
      </c>
      <c r="S53" s="18">
        <v>4.3499999999999996</v>
      </c>
      <c r="T53" s="18">
        <v>4.62</v>
      </c>
      <c r="U53" s="18">
        <v>5.25</v>
      </c>
      <c r="V53" s="18">
        <v>4.18</v>
      </c>
      <c r="W53" s="18">
        <v>3</v>
      </c>
      <c r="X53" s="18">
        <v>3.07</v>
      </c>
      <c r="Y53" s="18">
        <v>2.62</v>
      </c>
      <c r="Z53" s="18">
        <v>3.62</v>
      </c>
      <c r="AA53" s="18">
        <v>3.35</v>
      </c>
      <c r="AB53" s="18">
        <v>3.88</v>
      </c>
      <c r="AC53" s="18">
        <v>3.35</v>
      </c>
      <c r="AD53" s="19">
        <v>3.78</v>
      </c>
      <c r="AE53" s="19">
        <v>3.3</v>
      </c>
      <c r="AF53" s="19">
        <v>4.6900000000000004</v>
      </c>
      <c r="AG53" s="19">
        <v>3.82</v>
      </c>
      <c r="AH53" s="19">
        <v>4.0199999999999996</v>
      </c>
      <c r="AI53" s="19">
        <v>3.23</v>
      </c>
      <c r="AJ53" s="19">
        <v>4.46</v>
      </c>
      <c r="AK53" s="19">
        <v>4.57</v>
      </c>
      <c r="AL53" s="19">
        <v>5.27</v>
      </c>
      <c r="AM53" s="19">
        <v>4.3</v>
      </c>
      <c r="AN53" s="19">
        <v>4.7300000000000004</v>
      </c>
      <c r="AO53" s="19">
        <v>4.42</v>
      </c>
      <c r="AP53" s="19">
        <v>4.49</v>
      </c>
      <c r="AQ53" s="19">
        <v>4.7</v>
      </c>
      <c r="AR53" s="19">
        <v>4.76</v>
      </c>
      <c r="AS53" s="19">
        <v>3.98</v>
      </c>
      <c r="AT53" s="19">
        <v>5.26</v>
      </c>
      <c r="AU53" s="19">
        <v>4.32</v>
      </c>
      <c r="AV53" s="19">
        <v>1.91</v>
      </c>
      <c r="AW53" s="19">
        <v>4.22</v>
      </c>
      <c r="AX53" s="19">
        <v>4.17</v>
      </c>
      <c r="AY53" s="19">
        <v>3.15</v>
      </c>
      <c r="AZ53" s="19">
        <v>1.58</v>
      </c>
      <c r="BA53" s="19">
        <v>2.0299999999999998</v>
      </c>
      <c r="BB53" s="19">
        <v>2.11</v>
      </c>
      <c r="BC53" s="19">
        <v>2.68</v>
      </c>
      <c r="BD53" s="19">
        <v>4.5199999999999996</v>
      </c>
      <c r="BE53" s="19">
        <v>3.3</v>
      </c>
      <c r="BF53" s="19">
        <v>3.92</v>
      </c>
      <c r="BG53" s="19">
        <v>3.39</v>
      </c>
      <c r="BH53" s="19">
        <v>3.3</v>
      </c>
      <c r="BI53" s="19">
        <v>5.12</v>
      </c>
      <c r="BJ53" s="19">
        <v>4.82</v>
      </c>
      <c r="BK53" s="19">
        <v>3.7</v>
      </c>
      <c r="BL53" s="19">
        <v>3.57</v>
      </c>
      <c r="BM53" s="19">
        <v>2.44</v>
      </c>
      <c r="BN53" s="19">
        <v>3.66</v>
      </c>
      <c r="BO53" s="19">
        <v>3.26</v>
      </c>
      <c r="BP53" s="19">
        <v>2.2000000000000002</v>
      </c>
      <c r="BQ53" s="19">
        <v>4.07</v>
      </c>
      <c r="BR53" s="19">
        <v>3.51</v>
      </c>
      <c r="BS53" s="19">
        <v>3.25</v>
      </c>
      <c r="BT53" s="19">
        <v>2.62</v>
      </c>
      <c r="BU53" s="19">
        <v>2.58</v>
      </c>
      <c r="BV53" s="19">
        <v>3.87</v>
      </c>
      <c r="BW53" s="19">
        <v>4.3600000000000003</v>
      </c>
      <c r="BX53" s="19">
        <v>1.3</v>
      </c>
      <c r="BY53" s="19">
        <v>2.54</v>
      </c>
      <c r="BZ53" s="19">
        <v>89.73</v>
      </c>
      <c r="CA53" s="19">
        <v>40.82</v>
      </c>
      <c r="CB53" s="19">
        <v>200</v>
      </c>
      <c r="CC53" s="19">
        <v>36.17</v>
      </c>
      <c r="CD53" s="19">
        <v>43.53</v>
      </c>
      <c r="CE53" s="19">
        <v>157.5</v>
      </c>
      <c r="CF53" s="19">
        <v>200</v>
      </c>
      <c r="CG53" s="19">
        <v>80.44</v>
      </c>
      <c r="CH53" s="19">
        <v>99.72</v>
      </c>
      <c r="CI53" s="19">
        <v>49.3</v>
      </c>
      <c r="CJ53" s="19">
        <v>55.62</v>
      </c>
      <c r="CK53" s="19">
        <v>67.31</v>
      </c>
      <c r="CL53" s="19">
        <v>42.07</v>
      </c>
      <c r="CM53" s="19">
        <v>75.61</v>
      </c>
      <c r="CN53" s="19">
        <v>97.09</v>
      </c>
      <c r="CO53" s="19">
        <v>67.84</v>
      </c>
      <c r="CP53" s="19">
        <v>34.159999999999997</v>
      </c>
      <c r="CQ53" s="19">
        <v>73.91</v>
      </c>
      <c r="CR53" s="19">
        <v>100.52</v>
      </c>
      <c r="CS53" s="19">
        <v>87.04</v>
      </c>
      <c r="CT53" s="19">
        <v>41.52</v>
      </c>
      <c r="CU53" s="19">
        <v>52.93</v>
      </c>
      <c r="CV53" s="19">
        <v>36.21</v>
      </c>
      <c r="CW53" s="19">
        <v>82.95</v>
      </c>
      <c r="CX53" s="19">
        <v>43.46</v>
      </c>
      <c r="CY53" s="19">
        <v>4.05</v>
      </c>
      <c r="CZ53" s="19">
        <v>3.84</v>
      </c>
      <c r="DA53" s="19">
        <v>5.39</v>
      </c>
      <c r="DB53" s="19">
        <v>3.21</v>
      </c>
      <c r="DC53" s="19">
        <v>4.29</v>
      </c>
      <c r="DD53" s="19">
        <v>3.38</v>
      </c>
      <c r="DE53" s="19">
        <v>5.44</v>
      </c>
      <c r="DF53" s="19">
        <v>4.16</v>
      </c>
      <c r="DG53" s="19">
        <v>3.69</v>
      </c>
      <c r="DH53" s="19">
        <v>4.76</v>
      </c>
      <c r="DI53" s="19">
        <v>5.69</v>
      </c>
      <c r="DJ53" s="19">
        <v>3.5</v>
      </c>
      <c r="DK53" s="19">
        <v>4.96</v>
      </c>
      <c r="DL53" s="19">
        <v>5.5</v>
      </c>
      <c r="DM53" s="19">
        <v>2.87</v>
      </c>
      <c r="DN53" s="19">
        <v>4.8099999999999996</v>
      </c>
      <c r="DO53" s="19">
        <v>4.13</v>
      </c>
      <c r="DP53" s="19">
        <v>5.76</v>
      </c>
      <c r="DQ53" s="19">
        <v>5.72</v>
      </c>
      <c r="DR53" s="19">
        <v>3.61</v>
      </c>
      <c r="DS53" s="19">
        <v>4.8</v>
      </c>
      <c r="DT53" s="19">
        <v>5.4</v>
      </c>
      <c r="DU53" s="19">
        <v>4.8600000000000003</v>
      </c>
      <c r="DV53" s="19">
        <v>3.71</v>
      </c>
      <c r="DW53" s="19">
        <v>4.4400000000000004</v>
      </c>
      <c r="DX53" s="19">
        <v>4.25</v>
      </c>
      <c r="DY53" s="19">
        <v>4.49</v>
      </c>
      <c r="DZ53" s="19">
        <v>5.6</v>
      </c>
      <c r="EA53" s="19">
        <v>3.69</v>
      </c>
      <c r="EB53" s="19">
        <v>4.76</v>
      </c>
      <c r="EC53" s="19">
        <v>3.55</v>
      </c>
      <c r="ED53" s="19">
        <v>4.38</v>
      </c>
      <c r="EE53" s="19">
        <v>3.92</v>
      </c>
      <c r="EF53" s="19">
        <v>5.07</v>
      </c>
      <c r="EG53" s="19">
        <v>3.43</v>
      </c>
      <c r="EH53" s="19">
        <v>4.91</v>
      </c>
      <c r="EI53" s="19">
        <v>4.53</v>
      </c>
      <c r="EJ53" s="19">
        <v>3.73</v>
      </c>
      <c r="EK53" s="19">
        <v>4.96</v>
      </c>
      <c r="EL53" s="19">
        <v>5.79</v>
      </c>
      <c r="EM53" s="19">
        <v>3.76</v>
      </c>
      <c r="EN53" s="19">
        <v>6.54</v>
      </c>
      <c r="EO53" s="19">
        <v>5.86</v>
      </c>
      <c r="EP53" s="19">
        <v>5.0199999999999996</v>
      </c>
      <c r="EQ53" s="19">
        <v>5.14</v>
      </c>
      <c r="ER53" s="19"/>
      <c r="ES53" s="16">
        <f t="shared" ref="ES53:FB68" si="4">IF(SUMIF($F$2:$EQ$2,ES$2&amp;"_"&amp;ES$3,$F53:$EQ53)=0,".",SUMIF($F$2:$EQ$2,ES$2&amp;"_"&amp;ES$3,$F53:$EQ53))</f>
        <v>3.8</v>
      </c>
      <c r="ET53" s="16">
        <f t="shared" si="4"/>
        <v>2.62</v>
      </c>
      <c r="EU53" s="16">
        <f t="shared" si="4"/>
        <v>4.57</v>
      </c>
      <c r="EV53" s="16">
        <f t="shared" si="4"/>
        <v>1.58</v>
      </c>
      <c r="EW53" s="16">
        <f t="shared" si="4"/>
        <v>3.26</v>
      </c>
      <c r="EX53" s="16" t="str">
        <f t="shared" si="4"/>
        <v>.</v>
      </c>
      <c r="EY53" s="16">
        <f t="shared" si="4"/>
        <v>97.09</v>
      </c>
      <c r="EZ53" s="16">
        <f t="shared" si="4"/>
        <v>4.29</v>
      </c>
      <c r="FA53" s="16">
        <f t="shared" si="4"/>
        <v>3.61</v>
      </c>
      <c r="FB53" s="16">
        <f t="shared" si="4"/>
        <v>3.43</v>
      </c>
    </row>
    <row r="54" spans="1:158" x14ac:dyDescent="0.25">
      <c r="A54" s="17">
        <v>51</v>
      </c>
      <c r="B54" s="17" t="s">
        <v>76</v>
      </c>
      <c r="C54" s="17" t="s">
        <v>76</v>
      </c>
      <c r="D54" s="17" t="s">
        <v>14</v>
      </c>
      <c r="E54" s="16">
        <v>0</v>
      </c>
      <c r="F54" s="18">
        <v>2.81</v>
      </c>
      <c r="G54" s="18">
        <v>3.19</v>
      </c>
      <c r="H54" s="18">
        <v>3.57</v>
      </c>
      <c r="I54" s="18">
        <v>3.56</v>
      </c>
      <c r="J54" s="18">
        <v>3.22</v>
      </c>
      <c r="K54" s="18">
        <v>3.48</v>
      </c>
      <c r="L54" s="18">
        <v>3.02</v>
      </c>
      <c r="M54" s="18">
        <v>3.24</v>
      </c>
      <c r="N54" s="18">
        <v>4.05</v>
      </c>
      <c r="O54" s="18">
        <v>2.6</v>
      </c>
      <c r="P54" s="18">
        <v>1.81</v>
      </c>
      <c r="Q54" s="18">
        <v>3.07</v>
      </c>
      <c r="R54" s="18">
        <v>3.61</v>
      </c>
      <c r="S54" s="18">
        <v>1.87</v>
      </c>
      <c r="T54" s="18">
        <v>3.67</v>
      </c>
      <c r="U54" s="18">
        <v>1.72</v>
      </c>
      <c r="V54" s="18">
        <v>2.48</v>
      </c>
      <c r="W54" s="18">
        <v>2.2000000000000002</v>
      </c>
      <c r="X54" s="18">
        <v>2.21</v>
      </c>
      <c r="Y54" s="18">
        <v>1.2</v>
      </c>
      <c r="Z54" s="18">
        <v>2.39</v>
      </c>
      <c r="AA54" s="18">
        <v>1.84</v>
      </c>
      <c r="AB54" s="18">
        <v>2.88</v>
      </c>
      <c r="AC54" s="18">
        <v>3.34</v>
      </c>
      <c r="AD54" s="19">
        <v>1.74</v>
      </c>
      <c r="AE54" s="19">
        <v>2.83</v>
      </c>
      <c r="AF54" s="19">
        <v>2.72</v>
      </c>
      <c r="AG54" s="19">
        <v>2.2200000000000002</v>
      </c>
      <c r="AH54" s="19">
        <v>2.31</v>
      </c>
      <c r="AI54" s="19">
        <v>1.95</v>
      </c>
      <c r="AJ54" s="19">
        <v>3.86</v>
      </c>
      <c r="AK54" s="19">
        <v>3.31</v>
      </c>
      <c r="AL54" s="19">
        <v>3.81</v>
      </c>
      <c r="AM54" s="19">
        <v>4.99</v>
      </c>
      <c r="AN54" s="19">
        <v>4.04</v>
      </c>
      <c r="AO54" s="19">
        <v>3.76</v>
      </c>
      <c r="AP54" s="19">
        <v>3.83</v>
      </c>
      <c r="AQ54" s="19">
        <v>2.61</v>
      </c>
      <c r="AR54" s="19">
        <v>3.2</v>
      </c>
      <c r="AS54" s="19">
        <v>3.2</v>
      </c>
      <c r="AT54" s="19">
        <v>4.03</v>
      </c>
      <c r="AU54" s="19">
        <v>2.38</v>
      </c>
      <c r="AV54" s="19">
        <v>2.54</v>
      </c>
      <c r="AW54" s="19">
        <v>1.98</v>
      </c>
      <c r="AX54" s="19">
        <v>2.3199999999999998</v>
      </c>
      <c r="AY54" s="19">
        <v>4.0199999999999996</v>
      </c>
      <c r="AZ54" s="19">
        <v>3.07</v>
      </c>
      <c r="BA54" s="19">
        <v>2.5499999999999998</v>
      </c>
      <c r="BB54" s="19">
        <v>2.81</v>
      </c>
      <c r="BC54" s="19">
        <v>3.29</v>
      </c>
      <c r="BD54" s="19">
        <v>2.87</v>
      </c>
      <c r="BE54" s="19">
        <v>2.78</v>
      </c>
      <c r="BF54" s="19">
        <v>5.72</v>
      </c>
      <c r="BG54" s="19">
        <v>3.56</v>
      </c>
      <c r="BH54" s="19">
        <v>4.3899999999999997</v>
      </c>
      <c r="BI54" s="19">
        <v>3.71</v>
      </c>
      <c r="BJ54" s="19">
        <v>6.71</v>
      </c>
      <c r="BK54" s="19">
        <v>2.36</v>
      </c>
      <c r="BL54" s="19">
        <v>4.09</v>
      </c>
      <c r="BM54" s="19">
        <v>3.27</v>
      </c>
      <c r="BN54" s="19">
        <v>3.06</v>
      </c>
      <c r="BO54" s="19">
        <v>2.37</v>
      </c>
      <c r="BP54" s="19">
        <v>3.53</v>
      </c>
      <c r="BQ54" s="19">
        <v>3.04</v>
      </c>
      <c r="BR54" s="19">
        <v>2.81</v>
      </c>
      <c r="BS54" s="19">
        <v>2.08</v>
      </c>
      <c r="BT54" s="19">
        <v>2.8</v>
      </c>
      <c r="BU54" s="19">
        <v>3.17</v>
      </c>
      <c r="BV54" s="19">
        <v>2.1</v>
      </c>
      <c r="BW54" s="19">
        <v>2.72</v>
      </c>
      <c r="BX54" s="19">
        <v>2.69</v>
      </c>
      <c r="BY54" s="19">
        <v>4.84</v>
      </c>
      <c r="BZ54" s="19">
        <v>1.17</v>
      </c>
      <c r="CA54" s="19">
        <v>1</v>
      </c>
      <c r="CB54" s="19">
        <v>200</v>
      </c>
      <c r="CC54" s="19">
        <v>7.66</v>
      </c>
      <c r="CD54" s="19">
        <v>10.039999999999999</v>
      </c>
      <c r="CE54" s="19">
        <v>177.22</v>
      </c>
      <c r="CF54" s="19">
        <v>194.37</v>
      </c>
      <c r="CG54" s="19">
        <v>89.64</v>
      </c>
      <c r="CH54" s="19">
        <v>1</v>
      </c>
      <c r="CI54" s="19">
        <v>1</v>
      </c>
      <c r="CJ54" s="19">
        <v>47.21</v>
      </c>
      <c r="CK54" s="19">
        <v>35.799999999999997</v>
      </c>
      <c r="CL54" s="19">
        <v>56.53</v>
      </c>
      <c r="CM54" s="19">
        <v>1</v>
      </c>
      <c r="CN54" s="19">
        <v>9.57</v>
      </c>
      <c r="CO54" s="19">
        <v>39.65</v>
      </c>
      <c r="CP54" s="19">
        <v>87.08</v>
      </c>
      <c r="CQ54" s="19">
        <v>126.59</v>
      </c>
      <c r="CR54" s="19">
        <v>79.44</v>
      </c>
      <c r="CS54" s="19">
        <v>76.87</v>
      </c>
      <c r="CT54" s="19">
        <v>87.12</v>
      </c>
      <c r="CU54" s="19">
        <v>65.3</v>
      </c>
      <c r="CV54" s="19">
        <v>114.02</v>
      </c>
      <c r="CW54" s="19">
        <v>171.3</v>
      </c>
      <c r="CX54" s="19">
        <v>200</v>
      </c>
      <c r="CY54" s="19">
        <v>3.78</v>
      </c>
      <c r="CZ54" s="19">
        <v>2.39</v>
      </c>
      <c r="DA54" s="19">
        <v>3.13</v>
      </c>
      <c r="DB54" s="19">
        <v>2.96</v>
      </c>
      <c r="DC54" s="19">
        <v>4.08</v>
      </c>
      <c r="DD54" s="19">
        <v>2.83</v>
      </c>
      <c r="DE54" s="19">
        <v>3.44</v>
      </c>
      <c r="DF54" s="19">
        <v>2.96</v>
      </c>
      <c r="DG54" s="19">
        <v>3.67</v>
      </c>
      <c r="DH54" s="19">
        <v>2.17</v>
      </c>
      <c r="DI54" s="19">
        <v>3.17</v>
      </c>
      <c r="DJ54" s="19">
        <v>2.85</v>
      </c>
      <c r="DK54" s="19">
        <v>2.8</v>
      </c>
      <c r="DL54" s="19">
        <v>1.66</v>
      </c>
      <c r="DM54" s="19">
        <v>3.68</v>
      </c>
      <c r="DN54" s="19">
        <v>1.48</v>
      </c>
      <c r="DO54" s="19">
        <v>1</v>
      </c>
      <c r="DP54" s="19">
        <v>1.68</v>
      </c>
      <c r="DQ54" s="19">
        <v>3.8</v>
      </c>
      <c r="DR54" s="19">
        <v>2.7</v>
      </c>
      <c r="DS54" s="19">
        <v>2.63</v>
      </c>
      <c r="DT54" s="19">
        <v>2.83</v>
      </c>
      <c r="DU54" s="19">
        <v>2.77</v>
      </c>
      <c r="DV54" s="19">
        <v>3.51</v>
      </c>
      <c r="DW54" s="19">
        <v>2.6</v>
      </c>
      <c r="DX54" s="19">
        <v>3.93</v>
      </c>
      <c r="DY54" s="19">
        <v>2.57</v>
      </c>
      <c r="DZ54" s="19">
        <v>2.62</v>
      </c>
      <c r="EA54" s="19">
        <v>2.33</v>
      </c>
      <c r="EB54" s="19">
        <v>3.52</v>
      </c>
      <c r="EC54" s="19">
        <v>1.88</v>
      </c>
      <c r="ED54" s="19">
        <v>2.14</v>
      </c>
      <c r="EE54" s="19">
        <v>3.55</v>
      </c>
      <c r="EF54" s="19">
        <v>3.29</v>
      </c>
      <c r="EG54" s="19">
        <v>2.19</v>
      </c>
      <c r="EH54" s="19">
        <v>2.2000000000000002</v>
      </c>
      <c r="EI54" s="19">
        <v>4.13</v>
      </c>
      <c r="EJ54" s="19">
        <v>3.9</v>
      </c>
      <c r="EK54" s="19">
        <v>1.5</v>
      </c>
      <c r="EL54" s="19">
        <v>4.84</v>
      </c>
      <c r="EM54" s="19">
        <v>2.99</v>
      </c>
      <c r="EN54" s="19">
        <v>4.13</v>
      </c>
      <c r="EO54" s="19">
        <v>1.46</v>
      </c>
      <c r="EP54" s="19">
        <v>3.9</v>
      </c>
      <c r="EQ54" s="19">
        <v>3.64</v>
      </c>
      <c r="ER54" s="19"/>
      <c r="ES54" s="16">
        <f t="shared" si="4"/>
        <v>3.22</v>
      </c>
      <c r="ET54" s="16">
        <f t="shared" si="4"/>
        <v>1.2</v>
      </c>
      <c r="EU54" s="16">
        <f t="shared" si="4"/>
        <v>3.31</v>
      </c>
      <c r="EV54" s="16">
        <f t="shared" si="4"/>
        <v>3.07</v>
      </c>
      <c r="EW54" s="16">
        <f t="shared" si="4"/>
        <v>2.37</v>
      </c>
      <c r="EX54" s="16" t="str">
        <f t="shared" si="4"/>
        <v>.</v>
      </c>
      <c r="EY54" s="16">
        <f t="shared" si="4"/>
        <v>9.57</v>
      </c>
      <c r="EZ54" s="16">
        <f t="shared" si="4"/>
        <v>4.08</v>
      </c>
      <c r="FA54" s="16">
        <f t="shared" si="4"/>
        <v>2.7</v>
      </c>
      <c r="FB54" s="16">
        <f t="shared" si="4"/>
        <v>2.19</v>
      </c>
    </row>
    <row r="55" spans="1:158" x14ac:dyDescent="0.25">
      <c r="A55" s="17">
        <v>52</v>
      </c>
      <c r="B55" s="17" t="s">
        <v>77</v>
      </c>
      <c r="C55" s="17" t="s">
        <v>77</v>
      </c>
      <c r="D55" s="17" t="s">
        <v>23</v>
      </c>
      <c r="E55" s="16">
        <v>1</v>
      </c>
      <c r="F55" s="18">
        <v>4.3916695027872414</v>
      </c>
      <c r="G55" s="18">
        <v>4.3803653411608447</v>
      </c>
      <c r="H55" s="18">
        <v>4.3082143438228435</v>
      </c>
      <c r="I55" s="18">
        <v>4.1309130940789469</v>
      </c>
      <c r="J55" s="18">
        <v>4.1588604872807018</v>
      </c>
      <c r="K55" s="18">
        <v>4.1965019301892372</v>
      </c>
      <c r="L55" s="18">
        <v>4.2606350262265833</v>
      </c>
      <c r="M55" s="18">
        <v>4.3186633712202784</v>
      </c>
      <c r="N55" s="18">
        <v>4.2633916327335841</v>
      </c>
      <c r="O55" s="18">
        <v>4.2594379255118699</v>
      </c>
      <c r="P55" s="18">
        <v>4.2073939944636294</v>
      </c>
      <c r="Q55" s="18">
        <v>4.1875011693516093</v>
      </c>
      <c r="R55" s="18">
        <v>3.8788681134741818</v>
      </c>
      <c r="S55" s="18">
        <v>3.962365766792753</v>
      </c>
      <c r="T55" s="18">
        <v>4.0964899032339641</v>
      </c>
      <c r="U55" s="18">
        <v>3.7505134946374219</v>
      </c>
      <c r="V55" s="18">
        <v>3.7448814844640932</v>
      </c>
      <c r="W55" s="18">
        <v>3.6449575310023308</v>
      </c>
      <c r="X55" s="18">
        <v>3.6776656697069603</v>
      </c>
      <c r="Y55" s="18">
        <v>3.8080374537606829</v>
      </c>
      <c r="Z55" s="18">
        <v>3.9284539114890311</v>
      </c>
      <c r="AA55" s="18">
        <v>3.8948949066569458</v>
      </c>
      <c r="AB55" s="18">
        <v>3.9534473672839341</v>
      </c>
      <c r="AC55" s="18">
        <v>4.0276210538796793</v>
      </c>
      <c r="AD55" s="19">
        <v>4.0504215044209495</v>
      </c>
      <c r="AE55" s="19">
        <v>3.6908493198248951</v>
      </c>
      <c r="AF55" s="19">
        <v>3.8623754012953184</v>
      </c>
      <c r="AG55" s="19">
        <v>4.1911504006407521</v>
      </c>
      <c r="AH55" s="19">
        <v>4.2831042007426792</v>
      </c>
      <c r="AI55" s="19">
        <v>4.1298801864285428</v>
      </c>
      <c r="AJ55" s="19">
        <v>5.3738207803571427</v>
      </c>
      <c r="AK55" s="19">
        <v>5.4972686000000008</v>
      </c>
      <c r="AL55" s="19">
        <v>5.5203758462546828</v>
      </c>
      <c r="AM55" s="19">
        <v>5.4037399870056504</v>
      </c>
      <c r="AN55" s="19">
        <v>5.4058583322431764</v>
      </c>
      <c r="AO55" s="19">
        <v>5.335628529238627</v>
      </c>
      <c r="AP55" s="19">
        <v>5.2988439989179765</v>
      </c>
      <c r="AQ55" s="19">
        <v>5.2761263085360746</v>
      </c>
      <c r="AR55" s="19">
        <v>5.6857707851588888</v>
      </c>
      <c r="AS55" s="19">
        <v>4.8070162489436763</v>
      </c>
      <c r="AT55" s="19">
        <v>5.0586003157792589</v>
      </c>
      <c r="AU55" s="19">
        <v>5.2743362121063901</v>
      </c>
      <c r="AV55" s="19">
        <v>4.3073558481468215</v>
      </c>
      <c r="AW55" s="19">
        <v>4.4683890157214226</v>
      </c>
      <c r="AX55" s="19">
        <v>4.4593751818181815</v>
      </c>
      <c r="AY55" s="19">
        <v>4.3511103839285719</v>
      </c>
      <c r="AZ55" s="19">
        <v>4.330316933333334</v>
      </c>
      <c r="BA55" s="19">
        <v>4.2852131662921353</v>
      </c>
      <c r="BB55" s="19">
        <v>4.3318863141242936</v>
      </c>
      <c r="BC55" s="19">
        <v>4.2767962377273481</v>
      </c>
      <c r="BD55" s="19">
        <v>4.0162644522338269</v>
      </c>
      <c r="BE55" s="19">
        <v>4.0856019933344951</v>
      </c>
      <c r="BF55" s="19">
        <v>5.252933025674122</v>
      </c>
      <c r="BG55" s="19">
        <v>4.5115652385642289</v>
      </c>
      <c r="BH55" s="19">
        <v>5.2096825231233002</v>
      </c>
      <c r="BI55" s="19">
        <v>5.0451079129411101</v>
      </c>
      <c r="BJ55" s="19">
        <v>6.3087851940947504</v>
      </c>
      <c r="BK55" s="19">
        <v>4.1384993658927973</v>
      </c>
      <c r="BL55" s="19">
        <v>3.7735802579205711</v>
      </c>
      <c r="BM55" s="19">
        <v>3.5659727272727268</v>
      </c>
      <c r="BN55" s="19">
        <v>3.3201244499999998</v>
      </c>
      <c r="BO55" s="19">
        <v>3.1922071249999999</v>
      </c>
      <c r="BP55" s="19">
        <v>3.0306163584269665</v>
      </c>
      <c r="BQ55" s="19">
        <v>2.9820826988700562</v>
      </c>
      <c r="BR55" s="19">
        <v>2.9731029436019645</v>
      </c>
      <c r="BS55" s="19">
        <v>3.240713499090766</v>
      </c>
      <c r="BT55" s="19">
        <v>3.6255879202804993</v>
      </c>
      <c r="BU55" s="19">
        <v>2.5478853877181513</v>
      </c>
      <c r="BV55" s="19">
        <v>2.8379343330675817</v>
      </c>
      <c r="BW55" s="19">
        <v>2.6219439380969236</v>
      </c>
      <c r="BX55" s="19">
        <v>1.9948007912510302</v>
      </c>
      <c r="BY55" s="19">
        <v>2.7550878548302675</v>
      </c>
      <c r="BZ55" s="19">
        <v>41.9657197078484</v>
      </c>
      <c r="CA55" s="19">
        <v>72.5420634411186</v>
      </c>
      <c r="CB55" s="19">
        <v>77.407281097470502</v>
      </c>
      <c r="CC55" s="19">
        <v>117.00248720371501</v>
      </c>
      <c r="CD55" s="19">
        <v>114.266219975051</v>
      </c>
      <c r="CE55" s="19">
        <v>149.99339258180177</v>
      </c>
      <c r="CF55" s="19">
        <v>161.42973495085718</v>
      </c>
      <c r="CG55" s="19">
        <v>179.51348664916341</v>
      </c>
      <c r="CH55" s="19">
        <v>196.04585926192203</v>
      </c>
      <c r="CI55" s="19">
        <v>200</v>
      </c>
      <c r="CJ55" s="19">
        <v>108.75094055680999</v>
      </c>
      <c r="CK55" s="19">
        <v>125.19435119628901</v>
      </c>
      <c r="CL55" s="19">
        <v>189.73664855957</v>
      </c>
      <c r="CM55" s="19">
        <v>200</v>
      </c>
      <c r="CN55" s="19">
        <v>123.23911001088599</v>
      </c>
      <c r="CO55" s="19">
        <v>138.983109007808</v>
      </c>
      <c r="CP55" s="19">
        <v>154.54588202979301</v>
      </c>
      <c r="CQ55" s="19">
        <v>159.660703312718</v>
      </c>
      <c r="CR55" s="19">
        <v>160.68784853373401</v>
      </c>
      <c r="CS55" s="19">
        <v>148.68808422256399</v>
      </c>
      <c r="CT55" s="19">
        <v>162.65622529493368</v>
      </c>
      <c r="CU55" s="19">
        <v>163.79496367164819</v>
      </c>
      <c r="CV55" s="19">
        <v>164.74268706689475</v>
      </c>
      <c r="CW55" s="19">
        <v>165.12130512709896</v>
      </c>
      <c r="CX55" s="19">
        <v>173.29671819386584</v>
      </c>
      <c r="CY55" s="19">
        <v>5.6464791959891105</v>
      </c>
      <c r="CZ55" s="19">
        <v>5.767342000793418</v>
      </c>
      <c r="DA55" s="19">
        <v>5.5949948181818181</v>
      </c>
      <c r="DB55" s="19">
        <v>5.3308001732142856</v>
      </c>
      <c r="DC55" s="19">
        <v>5.3038363250000007</v>
      </c>
      <c r="DD55" s="19">
        <v>5.1933856286516855</v>
      </c>
      <c r="DE55" s="19">
        <v>5.1363255661016947</v>
      </c>
      <c r="DF55" s="19">
        <v>5.1824885663744178</v>
      </c>
      <c r="DG55" s="19">
        <v>5.3710353897116274</v>
      </c>
      <c r="DH55" s="19">
        <v>5.5432543172674666</v>
      </c>
      <c r="DI55" s="19">
        <v>5.633714454758989</v>
      </c>
      <c r="DJ55" s="19">
        <v>5.1575813375531281</v>
      </c>
      <c r="DK55" s="19">
        <v>5.6520755303983057</v>
      </c>
      <c r="DL55" s="19">
        <v>4.8244904052573299</v>
      </c>
      <c r="DM55" s="19">
        <v>4.8055925460335107</v>
      </c>
      <c r="DN55" s="19">
        <v>4.7259537257143815</v>
      </c>
      <c r="DO55" s="19">
        <v>4.7412558366441377</v>
      </c>
      <c r="DP55" s="19">
        <v>5.1294268181818179</v>
      </c>
      <c r="DQ55" s="19">
        <v>5.4675388839285715</v>
      </c>
      <c r="DR55" s="19">
        <v>5.5332881500000006</v>
      </c>
      <c r="DS55" s="19">
        <v>5.382076058426966</v>
      </c>
      <c r="DT55" s="19">
        <v>5.2205583870056493</v>
      </c>
      <c r="DU55" s="19">
        <v>5.1617751214549035</v>
      </c>
      <c r="DV55" s="19">
        <v>5.0444639962945281</v>
      </c>
      <c r="DW55" s="19">
        <v>5.1879483271453344</v>
      </c>
      <c r="DX55" s="19">
        <v>4.3015934756219076</v>
      </c>
      <c r="DY55" s="19">
        <v>4.4861794392008116</v>
      </c>
      <c r="DZ55" s="19">
        <v>4.4907487224219444</v>
      </c>
      <c r="EA55" s="19">
        <v>5.0260967925905877</v>
      </c>
      <c r="EB55" s="19">
        <v>6.015301782081889</v>
      </c>
      <c r="EC55" s="19">
        <v>3.7771570766441975</v>
      </c>
      <c r="ED55" s="19">
        <v>3.9972340256832206</v>
      </c>
      <c r="EE55" s="19">
        <v>4.2242938181818177</v>
      </c>
      <c r="EF55" s="19">
        <v>4.5316366839285713</v>
      </c>
      <c r="EG55" s="19">
        <v>4.49001305</v>
      </c>
      <c r="EH55" s="19">
        <v>4.2192260966292139</v>
      </c>
      <c r="EI55" s="19">
        <v>4.1973408050847461</v>
      </c>
      <c r="EJ55" s="19">
        <v>4.394215106210682</v>
      </c>
      <c r="EK55" s="19">
        <v>4.5335047479403219</v>
      </c>
      <c r="EL55" s="19">
        <v>4.6688002877316226</v>
      </c>
      <c r="EM55" s="19">
        <v>4.0942245261191008</v>
      </c>
      <c r="EN55" s="19">
        <v>4.2446691580018276</v>
      </c>
      <c r="EO55" s="19">
        <v>4.4221718661066518</v>
      </c>
      <c r="EP55" s="19">
        <v>5.1122702793220718</v>
      </c>
      <c r="EQ55" s="19">
        <v>4.5640829015051221</v>
      </c>
      <c r="ER55" s="19"/>
      <c r="ES55" s="16">
        <f t="shared" si="4"/>
        <v>4.1588604872807018</v>
      </c>
      <c r="ET55" s="16">
        <f t="shared" si="4"/>
        <v>3.8080374537606829</v>
      </c>
      <c r="EU55" s="16">
        <f t="shared" si="4"/>
        <v>5.4972686000000008</v>
      </c>
      <c r="EV55" s="16">
        <f t="shared" si="4"/>
        <v>4.330316933333334</v>
      </c>
      <c r="EW55" s="16">
        <f t="shared" si="4"/>
        <v>3.1922071249999999</v>
      </c>
      <c r="EX55" s="16" t="str">
        <f t="shared" si="4"/>
        <v>.</v>
      </c>
      <c r="EY55" s="16">
        <f t="shared" si="4"/>
        <v>123.23911001088599</v>
      </c>
      <c r="EZ55" s="16">
        <f t="shared" si="4"/>
        <v>5.3038363250000007</v>
      </c>
      <c r="FA55" s="16">
        <f t="shared" si="4"/>
        <v>5.5332881500000006</v>
      </c>
      <c r="FB55" s="16">
        <f t="shared" si="4"/>
        <v>4.49001305</v>
      </c>
    </row>
    <row r="56" spans="1:158" x14ac:dyDescent="0.25">
      <c r="A56" s="17">
        <v>53</v>
      </c>
      <c r="B56" s="17" t="s">
        <v>78</v>
      </c>
      <c r="C56" s="17" t="s">
        <v>78</v>
      </c>
      <c r="D56" s="17" t="s">
        <v>14</v>
      </c>
      <c r="E56" s="16">
        <v>1</v>
      </c>
      <c r="F56" s="18">
        <v>3.1837021753282704</v>
      </c>
      <c r="G56" s="18">
        <v>3.2717409771660346</v>
      </c>
      <c r="H56" s="18">
        <v>3.2786141135765945</v>
      </c>
      <c r="I56" s="18">
        <v>3.166434691689751</v>
      </c>
      <c r="J56" s="18">
        <v>3.0908764037280703</v>
      </c>
      <c r="K56" s="18">
        <v>3.1813937585526313</v>
      </c>
      <c r="L56" s="18">
        <v>3.2086341800133242</v>
      </c>
      <c r="M56" s="18">
        <v>3.3173326769711031</v>
      </c>
      <c r="N56" s="18">
        <v>3.5339567110552732</v>
      </c>
      <c r="O56" s="18">
        <v>3.6664681040890215</v>
      </c>
      <c r="P56" s="18">
        <v>3.6979371136318284</v>
      </c>
      <c r="Q56" s="18">
        <v>3.6130471684080958</v>
      </c>
      <c r="R56" s="18">
        <v>4.1025038254897153</v>
      </c>
      <c r="S56" s="18">
        <v>3.4208544868023107</v>
      </c>
      <c r="T56" s="18">
        <v>3.6969145879006557</v>
      </c>
      <c r="U56" s="18">
        <v>2.6142023630895164</v>
      </c>
      <c r="V56" s="18">
        <v>2.6945365402768151</v>
      </c>
      <c r="W56" s="18">
        <v>2.6870993675213679</v>
      </c>
      <c r="X56" s="18">
        <v>2.7604728178947373</v>
      </c>
      <c r="Y56" s="18">
        <v>2.7566900425000003</v>
      </c>
      <c r="Z56" s="18">
        <v>2.7298869699999999</v>
      </c>
      <c r="AA56" s="18">
        <v>2.7610492528795132</v>
      </c>
      <c r="AB56" s="18">
        <v>2.8716661877751171</v>
      </c>
      <c r="AC56" s="18">
        <v>3.2087349192655452</v>
      </c>
      <c r="AD56" s="19">
        <v>3.3964662156080148</v>
      </c>
      <c r="AE56" s="19">
        <v>3.2043859510169947</v>
      </c>
      <c r="AF56" s="19">
        <v>4.4171531976816736</v>
      </c>
      <c r="AG56" s="19">
        <v>2.6620260630630384</v>
      </c>
      <c r="AH56" s="19">
        <v>3.5107310419944424</v>
      </c>
      <c r="AI56" s="19">
        <v>4.1011411342335711</v>
      </c>
      <c r="AJ56" s="19">
        <v>3.9972794912280705</v>
      </c>
      <c r="AK56" s="19">
        <v>3.8063162854166666</v>
      </c>
      <c r="AL56" s="19">
        <v>3.7380632458333332</v>
      </c>
      <c r="AM56" s="19">
        <v>3.881265570464135</v>
      </c>
      <c r="AN56" s="19">
        <v>3.9168094369291211</v>
      </c>
      <c r="AO56" s="19">
        <v>3.9220435624457965</v>
      </c>
      <c r="AP56" s="19">
        <v>3.7060226035601089</v>
      </c>
      <c r="AQ56" s="19">
        <v>3.8505164120011295</v>
      </c>
      <c r="AR56" s="19">
        <v>3.3279708559200878</v>
      </c>
      <c r="AS56" s="19">
        <v>4.0080613954021818</v>
      </c>
      <c r="AT56" s="19">
        <v>3.5006722546014664</v>
      </c>
      <c r="AU56" s="19">
        <v>3.4014926998632182</v>
      </c>
      <c r="AV56" s="19">
        <v>3.5645076504271098</v>
      </c>
      <c r="AW56" s="19">
        <v>3.8116445115126121</v>
      </c>
      <c r="AX56" s="19">
        <v>3.7818128333333334</v>
      </c>
      <c r="AY56" s="19">
        <v>3.8243161578947369</v>
      </c>
      <c r="AZ56" s="19">
        <v>3.5721995125000001</v>
      </c>
      <c r="BA56" s="19">
        <v>3.4383683999999999</v>
      </c>
      <c r="BB56" s="19">
        <v>3.3734034936708861</v>
      </c>
      <c r="BC56" s="19">
        <v>3.2904047370353005</v>
      </c>
      <c r="BD56" s="19">
        <v>3.3763965298732121</v>
      </c>
      <c r="BE56" s="19">
        <v>3.6026137088543804</v>
      </c>
      <c r="BF56" s="19">
        <v>3.4054479509910438</v>
      </c>
      <c r="BG56" s="19">
        <v>3.5103025149037639</v>
      </c>
      <c r="BH56" s="19">
        <v>3.8008693740036747</v>
      </c>
      <c r="BI56" s="19">
        <v>4.4819318063325255</v>
      </c>
      <c r="BJ56" s="19">
        <v>3.4276957705869711</v>
      </c>
      <c r="BK56" s="19">
        <v>2.529969329916919</v>
      </c>
      <c r="BL56" s="19">
        <v>2.5735118849902534</v>
      </c>
      <c r="BM56" s="19">
        <v>2.8211239871794875</v>
      </c>
      <c r="BN56" s="19">
        <v>3.0157170947368424</v>
      </c>
      <c r="BO56" s="19">
        <v>2.8315056270833332</v>
      </c>
      <c r="BP56" s="19">
        <v>2.8453485874999997</v>
      </c>
      <c r="BQ56" s="19">
        <v>2.5150174708860757</v>
      </c>
      <c r="BR56" s="19">
        <v>2.7373819037704927</v>
      </c>
      <c r="BS56" s="19">
        <v>3.4419030924638112</v>
      </c>
      <c r="BT56" s="19">
        <v>3.5051302867699725</v>
      </c>
      <c r="BU56" s="19">
        <v>2.3230071337814096</v>
      </c>
      <c r="BV56" s="19">
        <v>3.4459501070824476</v>
      </c>
      <c r="BW56" s="19">
        <v>3.1985963719686183</v>
      </c>
      <c r="BX56" s="19">
        <v>3.1388453422090197</v>
      </c>
      <c r="BY56" s="19">
        <v>3.288486258908649</v>
      </c>
      <c r="BZ56" s="19">
        <v>1</v>
      </c>
      <c r="CA56" s="19">
        <v>1</v>
      </c>
      <c r="CB56" s="19">
        <v>4.7837192721384696</v>
      </c>
      <c r="CC56" s="19">
        <v>7.5493561640722699</v>
      </c>
      <c r="CD56" s="19">
        <v>11.9454385555706</v>
      </c>
      <c r="CE56" s="19">
        <v>13.955345930519465</v>
      </c>
      <c r="CF56" s="19">
        <v>18.528857897999995</v>
      </c>
      <c r="CG56" s="19">
        <v>21.761766100390126</v>
      </c>
      <c r="CH56" s="19">
        <v>23.111280691225595</v>
      </c>
      <c r="CI56" s="19">
        <v>25.854787535675811</v>
      </c>
      <c r="CJ56" s="19">
        <v>1</v>
      </c>
      <c r="CK56" s="19">
        <v>1.0930885076522801</v>
      </c>
      <c r="CL56" s="19">
        <v>3.7177941799163801</v>
      </c>
      <c r="CM56" s="19">
        <v>4.8919000625610396</v>
      </c>
      <c r="CN56" s="19">
        <v>7.8569355796676401</v>
      </c>
      <c r="CO56" s="19">
        <v>16.671720112461699</v>
      </c>
      <c r="CP56" s="19">
        <v>23.7164740969612</v>
      </c>
      <c r="CQ56" s="19">
        <v>27.254685392750702</v>
      </c>
      <c r="CR56" s="19">
        <v>31.5938803866051</v>
      </c>
      <c r="CS56" s="19">
        <v>42.764028805452298</v>
      </c>
      <c r="CT56" s="19">
        <v>43.705394554394758</v>
      </c>
      <c r="CU56" s="19">
        <v>46.313655665217134</v>
      </c>
      <c r="CV56" s="19">
        <v>50.059697563348607</v>
      </c>
      <c r="CW56" s="19">
        <v>56.810044506848911</v>
      </c>
      <c r="CX56" s="19">
        <v>61.192262886752069</v>
      </c>
      <c r="CY56" s="19">
        <v>4.139644247291681</v>
      </c>
      <c r="CZ56" s="19">
        <v>4.2693846095601327</v>
      </c>
      <c r="DA56" s="19">
        <v>4.267340307692308</v>
      </c>
      <c r="DB56" s="19">
        <v>4.5426859947368428</v>
      </c>
      <c r="DC56" s="19">
        <v>4.4359475375000006</v>
      </c>
      <c r="DD56" s="19">
        <v>4.0680157749999992</v>
      </c>
      <c r="DE56" s="19">
        <v>3.6977551139240505</v>
      </c>
      <c r="DF56" s="19">
        <v>3.399298362109298</v>
      </c>
      <c r="DG56" s="19">
        <v>3.7313845420877136</v>
      </c>
      <c r="DH56" s="19">
        <v>4.0276859488935104</v>
      </c>
      <c r="DI56" s="19">
        <v>4.3955548743927766</v>
      </c>
      <c r="DJ56" s="19">
        <v>2.5309344021569897</v>
      </c>
      <c r="DK56" s="19">
        <v>3.5525989530477551</v>
      </c>
      <c r="DL56" s="19">
        <v>3.5527333666246119</v>
      </c>
      <c r="DM56" s="19">
        <v>2.546599113100763</v>
      </c>
      <c r="DN56" s="19">
        <v>2.332344369830162</v>
      </c>
      <c r="DO56" s="19">
        <v>2.6038842692271218</v>
      </c>
      <c r="DP56" s="19">
        <v>3.1793506153846156</v>
      </c>
      <c r="DQ56" s="19">
        <v>3.7641217631578945</v>
      </c>
      <c r="DR56" s="19">
        <v>3.6210299604166662</v>
      </c>
      <c r="DS56" s="19">
        <v>3.5778828874999995</v>
      </c>
      <c r="DT56" s="19">
        <v>3.3965693063291136</v>
      </c>
      <c r="DU56" s="19">
        <v>3.2062190707070708</v>
      </c>
      <c r="DV56" s="19">
        <v>3.1630671267708141</v>
      </c>
      <c r="DW56" s="19">
        <v>3.4497605869124608</v>
      </c>
      <c r="DX56" s="19">
        <v>3.561232769255148</v>
      </c>
      <c r="DY56" s="19">
        <v>3.5437093936791499</v>
      </c>
      <c r="DZ56" s="19">
        <v>4.3187012266707665</v>
      </c>
      <c r="EA56" s="19">
        <v>4.4050331554716964</v>
      </c>
      <c r="EB56" s="19">
        <v>3.3576547185142278</v>
      </c>
      <c r="EC56" s="19">
        <v>2.4990764015958242</v>
      </c>
      <c r="ED56" s="19">
        <v>2.8428571501185393</v>
      </c>
      <c r="EE56" s="19">
        <v>3.290641653846154</v>
      </c>
      <c r="EF56" s="19">
        <v>4.0625679736842102</v>
      </c>
      <c r="EG56" s="19">
        <v>4.0538096499999998</v>
      </c>
      <c r="EH56" s="19">
        <v>4.0906991749999992</v>
      </c>
      <c r="EI56" s="19">
        <v>4.0682918531645562</v>
      </c>
      <c r="EJ56" s="19">
        <v>3.7948751305150044</v>
      </c>
      <c r="EK56" s="19">
        <v>3.718521718184153</v>
      </c>
      <c r="EL56" s="19">
        <v>3.6654072031790381</v>
      </c>
      <c r="EM56" s="19">
        <v>4.0475869406203264</v>
      </c>
      <c r="EN56" s="19">
        <v>3.8288418032281402</v>
      </c>
      <c r="EO56" s="19">
        <v>5.7288209702446782</v>
      </c>
      <c r="EP56" s="19">
        <v>3.5412429214283465</v>
      </c>
      <c r="EQ56" s="19">
        <v>4.1163240041288143</v>
      </c>
      <c r="ER56" s="19"/>
      <c r="ES56" s="16">
        <f t="shared" si="4"/>
        <v>3.0908764037280703</v>
      </c>
      <c r="ET56" s="16">
        <f t="shared" si="4"/>
        <v>2.7566900425000003</v>
      </c>
      <c r="EU56" s="16">
        <f t="shared" si="4"/>
        <v>3.8063162854166666</v>
      </c>
      <c r="EV56" s="16">
        <f t="shared" si="4"/>
        <v>3.5721995125000001</v>
      </c>
      <c r="EW56" s="16">
        <f t="shared" si="4"/>
        <v>2.8315056270833332</v>
      </c>
      <c r="EX56" s="16" t="str">
        <f t="shared" si="4"/>
        <v>.</v>
      </c>
      <c r="EY56" s="16">
        <f t="shared" si="4"/>
        <v>7.8569355796676401</v>
      </c>
      <c r="EZ56" s="16">
        <f t="shared" si="4"/>
        <v>4.4359475375000006</v>
      </c>
      <c r="FA56" s="16">
        <f t="shared" si="4"/>
        <v>3.6210299604166662</v>
      </c>
      <c r="FB56" s="16">
        <f t="shared" si="4"/>
        <v>4.0538096499999998</v>
      </c>
    </row>
    <row r="57" spans="1:158" x14ac:dyDescent="0.25">
      <c r="A57" s="17">
        <v>54</v>
      </c>
      <c r="B57" s="17" t="s">
        <v>79</v>
      </c>
      <c r="C57" s="17" t="s">
        <v>79</v>
      </c>
      <c r="D57" s="17" t="s">
        <v>21</v>
      </c>
      <c r="E57" s="16">
        <v>0</v>
      </c>
      <c r="F57" s="18">
        <v>4.12</v>
      </c>
      <c r="G57" s="18">
        <v>3.26</v>
      </c>
      <c r="H57" s="18">
        <v>3.41</v>
      </c>
      <c r="I57" s="18">
        <v>3.29</v>
      </c>
      <c r="J57" s="18">
        <v>3.68</v>
      </c>
      <c r="K57" s="18">
        <v>4.04</v>
      </c>
      <c r="L57" s="18">
        <v>4.33</v>
      </c>
      <c r="M57" s="18">
        <v>3.74</v>
      </c>
      <c r="N57" s="18">
        <v>3.93</v>
      </c>
      <c r="O57" s="18">
        <v>3.79</v>
      </c>
      <c r="P57" s="18">
        <v>3.29</v>
      </c>
      <c r="Q57" s="18">
        <v>4.1500000000000004</v>
      </c>
      <c r="R57" s="18">
        <v>2.62</v>
      </c>
      <c r="S57" s="18">
        <v>2.39</v>
      </c>
      <c r="T57" s="18">
        <v>3.63</v>
      </c>
      <c r="U57" s="18">
        <v>3.57</v>
      </c>
      <c r="V57" s="18">
        <v>2.2000000000000002</v>
      </c>
      <c r="W57" s="18">
        <v>2.48</v>
      </c>
      <c r="X57" s="18">
        <v>2.72</v>
      </c>
      <c r="Y57" s="18">
        <v>2.97</v>
      </c>
      <c r="Z57" s="18">
        <v>2.4500000000000002</v>
      </c>
      <c r="AA57" s="18">
        <v>3.21</v>
      </c>
      <c r="AB57" s="18">
        <v>3.43</v>
      </c>
      <c r="AC57" s="18">
        <v>2.97</v>
      </c>
      <c r="AD57" s="19">
        <v>3.27</v>
      </c>
      <c r="AE57" s="19">
        <v>3.02</v>
      </c>
      <c r="AF57" s="19">
        <v>4.03</v>
      </c>
      <c r="AG57" s="19">
        <v>1.75</v>
      </c>
      <c r="AH57" s="19">
        <v>3.72</v>
      </c>
      <c r="AI57" s="19">
        <v>3.01</v>
      </c>
      <c r="AJ57" s="19">
        <v>4.5599999999999996</v>
      </c>
      <c r="AK57" s="19">
        <v>4.45</v>
      </c>
      <c r="AL57" s="19">
        <v>4.8499999999999996</v>
      </c>
      <c r="AM57" s="19">
        <v>4.09</v>
      </c>
      <c r="AN57" s="19">
        <v>4.03</v>
      </c>
      <c r="AO57" s="19">
        <v>4.92</v>
      </c>
      <c r="AP57" s="19">
        <v>4.18</v>
      </c>
      <c r="AQ57" s="19">
        <v>3.01</v>
      </c>
      <c r="AR57" s="19">
        <v>4.3600000000000003</v>
      </c>
      <c r="AS57" s="19">
        <v>4.43</v>
      </c>
      <c r="AT57" s="19">
        <v>3.89</v>
      </c>
      <c r="AU57" s="19">
        <v>3.47</v>
      </c>
      <c r="AV57" s="19">
        <v>2.69</v>
      </c>
      <c r="AW57" s="19">
        <v>3.04</v>
      </c>
      <c r="AX57" s="19">
        <v>3.68</v>
      </c>
      <c r="AY57" s="19">
        <v>2.5099999999999998</v>
      </c>
      <c r="AZ57" s="19">
        <v>3.43</v>
      </c>
      <c r="BA57" s="19">
        <v>3.26</v>
      </c>
      <c r="BB57" s="19">
        <v>3.53</v>
      </c>
      <c r="BC57" s="19">
        <v>3.44</v>
      </c>
      <c r="BD57" s="19">
        <v>3.76</v>
      </c>
      <c r="BE57" s="19">
        <v>3.32</v>
      </c>
      <c r="BF57" s="19">
        <v>4.76</v>
      </c>
      <c r="BG57" s="19">
        <v>4.46</v>
      </c>
      <c r="BH57" s="19">
        <v>3.89</v>
      </c>
      <c r="BI57" s="19">
        <v>5.29</v>
      </c>
      <c r="BJ57" s="19">
        <v>5.49</v>
      </c>
      <c r="BK57" s="19">
        <v>2.78</v>
      </c>
      <c r="BL57" s="19">
        <v>2.78</v>
      </c>
      <c r="BM57" s="19">
        <v>3.72</v>
      </c>
      <c r="BN57" s="19">
        <v>2.62</v>
      </c>
      <c r="BO57" s="19">
        <v>3.39</v>
      </c>
      <c r="BP57" s="19">
        <v>1.78</v>
      </c>
      <c r="BQ57" s="19">
        <v>3.27</v>
      </c>
      <c r="BR57" s="19">
        <v>3.41</v>
      </c>
      <c r="BS57" s="19">
        <v>3.01</v>
      </c>
      <c r="BT57" s="19">
        <v>2.76</v>
      </c>
      <c r="BU57" s="19">
        <v>3.16</v>
      </c>
      <c r="BV57" s="19">
        <v>2.91</v>
      </c>
      <c r="BW57" s="19">
        <v>3.31</v>
      </c>
      <c r="BX57" s="19">
        <v>3.06</v>
      </c>
      <c r="BY57" s="19">
        <v>3.53</v>
      </c>
      <c r="BZ57" s="19">
        <v>15.67</v>
      </c>
      <c r="CA57" s="19">
        <v>21.08</v>
      </c>
      <c r="CB57" s="19">
        <v>200</v>
      </c>
      <c r="CC57" s="19">
        <v>39.75</v>
      </c>
      <c r="CD57" s="19">
        <v>25.43</v>
      </c>
      <c r="CE57" s="19">
        <v>98.34</v>
      </c>
      <c r="CF57" s="19">
        <v>15.21</v>
      </c>
      <c r="CG57" s="19">
        <v>44.31</v>
      </c>
      <c r="CH57" s="19">
        <v>1</v>
      </c>
      <c r="CI57" s="19">
        <v>40.24</v>
      </c>
      <c r="CJ57" s="19">
        <v>21.82</v>
      </c>
      <c r="CK57" s="19">
        <v>44.69</v>
      </c>
      <c r="CL57" s="19">
        <v>87.14</v>
      </c>
      <c r="CM57" s="19">
        <v>61.5</v>
      </c>
      <c r="CN57" s="19">
        <v>72.040000000000006</v>
      </c>
      <c r="CO57" s="19">
        <v>53.53</v>
      </c>
      <c r="CP57" s="19">
        <v>73.459999999999994</v>
      </c>
      <c r="CQ57" s="19">
        <v>101.63</v>
      </c>
      <c r="CR57" s="19">
        <v>109.28</v>
      </c>
      <c r="CS57" s="19">
        <v>117.51</v>
      </c>
      <c r="CT57" s="19">
        <v>157.38999999999999</v>
      </c>
      <c r="CU57" s="19">
        <v>200</v>
      </c>
      <c r="CV57" s="19">
        <v>152.82</v>
      </c>
      <c r="CW57" s="19">
        <v>128.06</v>
      </c>
      <c r="CX57" s="19">
        <v>130.77000000000001</v>
      </c>
      <c r="CY57" s="19">
        <v>3.4</v>
      </c>
      <c r="CZ57" s="19">
        <v>3.89</v>
      </c>
      <c r="DA57" s="19">
        <v>4.05</v>
      </c>
      <c r="DB57" s="19">
        <v>4.0599999999999996</v>
      </c>
      <c r="DC57" s="19">
        <v>3.3</v>
      </c>
      <c r="DD57" s="19">
        <v>2.77</v>
      </c>
      <c r="DE57" s="19">
        <v>3.48</v>
      </c>
      <c r="DF57" s="19">
        <v>4.05</v>
      </c>
      <c r="DG57" s="19">
        <v>5.18</v>
      </c>
      <c r="DH57" s="19">
        <v>3.3</v>
      </c>
      <c r="DI57" s="19">
        <v>4.75</v>
      </c>
      <c r="DJ57" s="19">
        <v>4.53</v>
      </c>
      <c r="DK57" s="19">
        <v>3.8</v>
      </c>
      <c r="DL57" s="19">
        <v>4.41</v>
      </c>
      <c r="DM57" s="19">
        <v>6.12</v>
      </c>
      <c r="DN57" s="19">
        <v>2.85</v>
      </c>
      <c r="DO57" s="19">
        <v>2.46</v>
      </c>
      <c r="DP57" s="19">
        <v>3.62</v>
      </c>
      <c r="DQ57" s="19">
        <v>2.91</v>
      </c>
      <c r="DR57" s="19">
        <v>3.83</v>
      </c>
      <c r="DS57" s="19">
        <v>4.1500000000000004</v>
      </c>
      <c r="DT57" s="19">
        <v>4.3</v>
      </c>
      <c r="DU57" s="19">
        <v>4.3099999999999996</v>
      </c>
      <c r="DV57" s="19">
        <v>3.38</v>
      </c>
      <c r="DW57" s="19">
        <v>3.19</v>
      </c>
      <c r="DX57" s="19">
        <v>5.66</v>
      </c>
      <c r="DY57" s="19">
        <v>4.82</v>
      </c>
      <c r="DZ57" s="19">
        <v>3.07</v>
      </c>
      <c r="EA57" s="19">
        <v>3.99</v>
      </c>
      <c r="EB57" s="19">
        <v>3.34</v>
      </c>
      <c r="EC57" s="19">
        <v>3.13</v>
      </c>
      <c r="ED57" s="19">
        <v>2.91</v>
      </c>
      <c r="EE57" s="19">
        <v>3.88</v>
      </c>
      <c r="EF57" s="19">
        <v>3.82</v>
      </c>
      <c r="EG57" s="19">
        <v>4.8600000000000003</v>
      </c>
      <c r="EH57" s="19">
        <v>2.27</v>
      </c>
      <c r="EI57" s="19">
        <v>4.62</v>
      </c>
      <c r="EJ57" s="19">
        <v>3.62</v>
      </c>
      <c r="EK57" s="19">
        <v>4.66</v>
      </c>
      <c r="EL57" s="19">
        <v>4.4800000000000004</v>
      </c>
      <c r="EM57" s="19">
        <v>4.59</v>
      </c>
      <c r="EN57" s="19">
        <v>4.62</v>
      </c>
      <c r="EO57" s="19">
        <v>4.04</v>
      </c>
      <c r="EP57" s="19">
        <v>3.09</v>
      </c>
      <c r="EQ57" s="19">
        <v>3.44</v>
      </c>
      <c r="ER57" s="19"/>
      <c r="ES57" s="16">
        <f t="shared" si="4"/>
        <v>3.68</v>
      </c>
      <c r="ET57" s="16">
        <f t="shared" si="4"/>
        <v>2.97</v>
      </c>
      <c r="EU57" s="16">
        <f t="shared" si="4"/>
        <v>4.45</v>
      </c>
      <c r="EV57" s="16">
        <f t="shared" si="4"/>
        <v>3.43</v>
      </c>
      <c r="EW57" s="16">
        <f t="shared" si="4"/>
        <v>3.39</v>
      </c>
      <c r="EX57" s="16" t="str">
        <f t="shared" si="4"/>
        <v>.</v>
      </c>
      <c r="EY57" s="16">
        <f t="shared" si="4"/>
        <v>72.040000000000006</v>
      </c>
      <c r="EZ57" s="16">
        <f t="shared" si="4"/>
        <v>3.3</v>
      </c>
      <c r="FA57" s="16">
        <f t="shared" si="4"/>
        <v>3.83</v>
      </c>
      <c r="FB57" s="16">
        <f t="shared" si="4"/>
        <v>4.8600000000000003</v>
      </c>
    </row>
    <row r="58" spans="1:158" x14ac:dyDescent="0.25">
      <c r="A58" s="17">
        <v>55</v>
      </c>
      <c r="B58" s="17" t="s">
        <v>80</v>
      </c>
      <c r="C58" s="17" t="s">
        <v>80</v>
      </c>
      <c r="D58" s="17" t="s">
        <v>23</v>
      </c>
      <c r="E58" s="16">
        <v>1</v>
      </c>
      <c r="F58" s="18">
        <v>5.4632710446395283</v>
      </c>
      <c r="G58" s="18">
        <v>5.4924160475156993</v>
      </c>
      <c r="H58" s="18">
        <v>5.4038400810843106</v>
      </c>
      <c r="I58" s="18">
        <v>5.2900063780502391</v>
      </c>
      <c r="J58" s="18">
        <v>5.3996779371517025</v>
      </c>
      <c r="K58" s="18">
        <v>5.4946566947368423</v>
      </c>
      <c r="L58" s="18">
        <v>5.5093066329639884</v>
      </c>
      <c r="M58" s="18">
        <v>5.3562792660186282</v>
      </c>
      <c r="N58" s="18">
        <v>5.2762753319131592</v>
      </c>
      <c r="O58" s="18">
        <v>5.2530578748690839</v>
      </c>
      <c r="P58" s="18">
        <v>5.3953143193335693</v>
      </c>
      <c r="Q58" s="18">
        <v>5.2103076255859815</v>
      </c>
      <c r="R58" s="18">
        <v>5.8168406357497364</v>
      </c>
      <c r="S58" s="18">
        <v>4.7760141113620316</v>
      </c>
      <c r="T58" s="18">
        <v>4.5226427077292009</v>
      </c>
      <c r="U58" s="18">
        <v>5.6662799355499542</v>
      </c>
      <c r="V58" s="18">
        <v>5.5729570215804261</v>
      </c>
      <c r="W58" s="18">
        <v>5.5275412094584793</v>
      </c>
      <c r="X58" s="18">
        <v>5.5636325717738719</v>
      </c>
      <c r="Y58" s="18">
        <v>5.7207700913725485</v>
      </c>
      <c r="Z58" s="18">
        <v>5.7536483765217383</v>
      </c>
      <c r="AA58" s="18">
        <v>5.7865276361403497</v>
      </c>
      <c r="AB58" s="18">
        <v>5.782789727516386</v>
      </c>
      <c r="AC58" s="18">
        <v>5.726471118731598</v>
      </c>
      <c r="AD58" s="19">
        <v>5.6833410259784296</v>
      </c>
      <c r="AE58" s="19">
        <v>5.7142104818537778</v>
      </c>
      <c r="AF58" s="19">
        <v>5.8737237527977753</v>
      </c>
      <c r="AG58" s="19">
        <v>5.9890065313412855</v>
      </c>
      <c r="AH58" s="19">
        <v>6.5423359214966466</v>
      </c>
      <c r="AI58" s="19">
        <v>6.5440402406767468</v>
      </c>
      <c r="AJ58" s="19">
        <v>5.6528418704545471</v>
      </c>
      <c r="AK58" s="19">
        <v>5.5949043985294118</v>
      </c>
      <c r="AL58" s="19">
        <v>5.6704850362318844</v>
      </c>
      <c r="AM58" s="19">
        <v>5.6729159649122805</v>
      </c>
      <c r="AN58" s="19">
        <v>5.5967448099953181</v>
      </c>
      <c r="AO58" s="19">
        <v>5.6105904527800634</v>
      </c>
      <c r="AP58" s="19">
        <v>5.6772136730836422</v>
      </c>
      <c r="AQ58" s="19">
        <v>6.0768723642725586</v>
      </c>
      <c r="AR58" s="19">
        <v>5.3901574581242269</v>
      </c>
      <c r="AS58" s="19">
        <v>5.7889742327375506</v>
      </c>
      <c r="AT58" s="19">
        <v>5.6694023119647774</v>
      </c>
      <c r="AU58" s="19">
        <v>5.8500069634042822</v>
      </c>
      <c r="AV58" s="19">
        <v>4.623546891327063</v>
      </c>
      <c r="AW58" s="19">
        <v>4.3869123968576194</v>
      </c>
      <c r="AX58" s="19">
        <v>4.2722880483050849</v>
      </c>
      <c r="AY58" s="19">
        <v>4.3230319647727278</v>
      </c>
      <c r="AZ58" s="19">
        <v>4.3721929397058812</v>
      </c>
      <c r="BA58" s="19">
        <v>4.7874191434782603</v>
      </c>
      <c r="BB58" s="19">
        <v>4.9516926368421057</v>
      </c>
      <c r="BC58" s="19">
        <v>4.5053874920821624</v>
      </c>
      <c r="BD58" s="19">
        <v>4.2094455381836555</v>
      </c>
      <c r="BE58" s="19">
        <v>4.509064194590775</v>
      </c>
      <c r="BF58" s="19">
        <v>5.1206789497350966</v>
      </c>
      <c r="BG58" s="19">
        <v>6.1415776441776382</v>
      </c>
      <c r="BH58" s="19">
        <v>6.5925955773586864</v>
      </c>
      <c r="BI58" s="19">
        <v>5.3699232421864362</v>
      </c>
      <c r="BJ58" s="19">
        <v>6.959744971557484</v>
      </c>
      <c r="BK58" s="19">
        <v>5.3773266563944535</v>
      </c>
      <c r="BL58" s="19">
        <v>4.921785210470202</v>
      </c>
      <c r="BM58" s="19">
        <v>4.538829544915254</v>
      </c>
      <c r="BN58" s="19">
        <v>4.3711202806818186</v>
      </c>
      <c r="BO58" s="19">
        <v>4.5887562117647054</v>
      </c>
      <c r="BP58" s="19">
        <v>4.8641543304347827</v>
      </c>
      <c r="BQ58" s="19">
        <v>4.8324002526315795</v>
      </c>
      <c r="BR58" s="19">
        <v>4.6483938290028082</v>
      </c>
      <c r="BS58" s="19">
        <v>4.5469726013414782</v>
      </c>
      <c r="BT58" s="19">
        <v>4.5177805556464437</v>
      </c>
      <c r="BU58" s="19">
        <v>4.8321445110263053</v>
      </c>
      <c r="BV58" s="19">
        <v>4.0450989945531104</v>
      </c>
      <c r="BW58" s="19">
        <v>4.9633670443190336</v>
      </c>
      <c r="BX58" s="19">
        <v>4.4128159593900405</v>
      </c>
      <c r="BY58" s="19">
        <v>4.075731157212001</v>
      </c>
      <c r="BZ58" s="19">
        <v>87.097499057527102</v>
      </c>
      <c r="CA58" s="19">
        <v>106.52225297063799</v>
      </c>
      <c r="CB58" s="19">
        <v>123.468507127202</v>
      </c>
      <c r="CC58" s="19">
        <v>138.471647913097</v>
      </c>
      <c r="CD58" s="19">
        <v>144.05031542367601</v>
      </c>
      <c r="CE58" s="19">
        <v>165.23802856391856</v>
      </c>
      <c r="CF58" s="19">
        <v>173.29780227199308</v>
      </c>
      <c r="CG58" s="19">
        <v>194.60499706865505</v>
      </c>
      <c r="CH58" s="19">
        <v>200</v>
      </c>
      <c r="CI58" s="19">
        <v>200</v>
      </c>
      <c r="CJ58" s="19">
        <v>100.400076204991</v>
      </c>
      <c r="CK58" s="19">
        <v>107.757804870605</v>
      </c>
      <c r="CL58" s="19">
        <v>129.04768371582</v>
      </c>
      <c r="CM58" s="19">
        <v>144.58500671386699</v>
      </c>
      <c r="CN58" s="19">
        <v>156.39720490792701</v>
      </c>
      <c r="CO58" s="19">
        <v>166.02380417362301</v>
      </c>
      <c r="CP58" s="19">
        <v>172.508670319087</v>
      </c>
      <c r="CQ58" s="19">
        <v>171.71849150889099</v>
      </c>
      <c r="CR58" s="19">
        <v>139.66389620495801</v>
      </c>
      <c r="CS58" s="19">
        <v>135.49996044384901</v>
      </c>
      <c r="CT58" s="19">
        <v>179.62806027469088</v>
      </c>
      <c r="CU58" s="19">
        <v>180.58957611284541</v>
      </c>
      <c r="CV58" s="19">
        <v>181.92430205887032</v>
      </c>
      <c r="CW58" s="19">
        <v>195.028172816779</v>
      </c>
      <c r="CX58" s="19">
        <v>186.28260612760633</v>
      </c>
      <c r="CY58" s="19">
        <v>6.4006618819776708</v>
      </c>
      <c r="CZ58" s="19">
        <v>6.5103344938454999</v>
      </c>
      <c r="DA58" s="19">
        <v>6.4561365423728816</v>
      </c>
      <c r="DB58" s="19">
        <v>6.4120375363636368</v>
      </c>
      <c r="DC58" s="19">
        <v>6.4462291235294114</v>
      </c>
      <c r="DD58" s="19">
        <v>6.4513626173913039</v>
      </c>
      <c r="DE58" s="19">
        <v>6.3789755210526318</v>
      </c>
      <c r="DF58" s="19">
        <v>6.3866156405021073</v>
      </c>
      <c r="DG58" s="19">
        <v>6.4238006639962242</v>
      </c>
      <c r="DH58" s="19">
        <v>6.470395244519735</v>
      </c>
      <c r="DI58" s="19">
        <v>6.48600186300171</v>
      </c>
      <c r="DJ58" s="19">
        <v>6.4177513207757837</v>
      </c>
      <c r="DK58" s="19">
        <v>6.579071076849111</v>
      </c>
      <c r="DL58" s="19">
        <v>5.9470698083532367</v>
      </c>
      <c r="DM58" s="19">
        <v>6.6192596488682156</v>
      </c>
      <c r="DN58" s="19">
        <v>6.4182340647857883</v>
      </c>
      <c r="DO58" s="19">
        <v>6.5419290750278076</v>
      </c>
      <c r="DP58" s="19">
        <v>6.4702465618644069</v>
      </c>
      <c r="DQ58" s="19">
        <v>6.3617724420454547</v>
      </c>
      <c r="DR58" s="19">
        <v>6.4142786279411759</v>
      </c>
      <c r="DS58" s="19">
        <v>6.5230493956521736</v>
      </c>
      <c r="DT58" s="19">
        <v>6.4893975157894737</v>
      </c>
      <c r="DU58" s="19">
        <v>6.3918331943469093</v>
      </c>
      <c r="DV58" s="19">
        <v>6.2114018204236272</v>
      </c>
      <c r="DW58" s="19">
        <v>6.1332633696880539</v>
      </c>
      <c r="DX58" s="19">
        <v>6.1381632341360168</v>
      </c>
      <c r="DY58" s="19">
        <v>6.0246387636337291</v>
      </c>
      <c r="DZ58" s="19">
        <v>6.0915867935475285</v>
      </c>
      <c r="EA58" s="19">
        <v>5.993106699565403</v>
      </c>
      <c r="EB58" s="19">
        <v>6.4215333093879146</v>
      </c>
      <c r="EC58" s="19">
        <v>5.6377307471524816</v>
      </c>
      <c r="ED58" s="19">
        <v>5.8388228170995076</v>
      </c>
      <c r="EE58" s="19">
        <v>5.8871823169491524</v>
      </c>
      <c r="EF58" s="19">
        <v>5.8574519079545455</v>
      </c>
      <c r="EG58" s="19">
        <v>5.8291009279411758</v>
      </c>
      <c r="EH58" s="19">
        <v>6.0923703304347825</v>
      </c>
      <c r="EI58" s="19">
        <v>6.1012054684210533</v>
      </c>
      <c r="EJ58" s="19">
        <v>5.8731002567591286</v>
      </c>
      <c r="EK58" s="19">
        <v>5.782498557639844</v>
      </c>
      <c r="EL58" s="19">
        <v>5.6686876523126024</v>
      </c>
      <c r="EM58" s="19">
        <v>6.0695968646261615</v>
      </c>
      <c r="EN58" s="19">
        <v>5.5100880748615886</v>
      </c>
      <c r="EO58" s="19">
        <v>6.1152695749145174</v>
      </c>
      <c r="EP58" s="19">
        <v>5.9691449300031989</v>
      </c>
      <c r="EQ58" s="19">
        <v>6.0689948135840366</v>
      </c>
      <c r="ER58" s="19"/>
      <c r="ES58" s="16">
        <f t="shared" si="4"/>
        <v>5.3996779371517025</v>
      </c>
      <c r="ET58" s="16">
        <f t="shared" si="4"/>
        <v>5.7207700913725485</v>
      </c>
      <c r="EU58" s="16">
        <f t="shared" si="4"/>
        <v>5.5949043985294118</v>
      </c>
      <c r="EV58" s="16">
        <f t="shared" si="4"/>
        <v>4.3721929397058812</v>
      </c>
      <c r="EW58" s="16">
        <f t="shared" si="4"/>
        <v>4.5887562117647054</v>
      </c>
      <c r="EX58" s="16" t="str">
        <f t="shared" si="4"/>
        <v>.</v>
      </c>
      <c r="EY58" s="16">
        <f t="shared" si="4"/>
        <v>156.39720490792701</v>
      </c>
      <c r="EZ58" s="16">
        <f t="shared" si="4"/>
        <v>6.4462291235294114</v>
      </c>
      <c r="FA58" s="16">
        <f t="shared" si="4"/>
        <v>6.4142786279411759</v>
      </c>
      <c r="FB58" s="16">
        <f t="shared" si="4"/>
        <v>5.8291009279411758</v>
      </c>
    </row>
    <row r="59" spans="1:158" x14ac:dyDescent="0.25">
      <c r="A59" s="17">
        <v>56</v>
      </c>
      <c r="B59" s="17" t="s">
        <v>81</v>
      </c>
      <c r="C59" s="17" t="s">
        <v>81</v>
      </c>
      <c r="D59" s="17" t="s">
        <v>23</v>
      </c>
      <c r="E59" s="16">
        <v>1</v>
      </c>
      <c r="F59" s="18">
        <v>5.4680616059269962</v>
      </c>
      <c r="G59" s="18">
        <v>5.4965293116705904</v>
      </c>
      <c r="H59" s="18">
        <v>5.2987303915098494</v>
      </c>
      <c r="I59" s="18">
        <v>5.1802562184210528</v>
      </c>
      <c r="J59" s="18">
        <v>5.1438823310237609</v>
      </c>
      <c r="K59" s="18">
        <v>5.0041491090667849</v>
      </c>
      <c r="L59" s="18">
        <v>5.0032696212540921</v>
      </c>
      <c r="M59" s="18">
        <v>4.9804149651054423</v>
      </c>
      <c r="N59" s="18">
        <v>5.0557524449490217</v>
      </c>
      <c r="O59" s="18">
        <v>5.2235862589915163</v>
      </c>
      <c r="P59" s="18">
        <v>4.9918417842840137</v>
      </c>
      <c r="Q59" s="18">
        <v>4.329673233564499</v>
      </c>
      <c r="R59" s="18">
        <v>4.610841811638819</v>
      </c>
      <c r="S59" s="18">
        <v>5.1380220899291942</v>
      </c>
      <c r="T59" s="18">
        <v>4.7217702369204293</v>
      </c>
      <c r="U59" s="18">
        <v>4.6913860647989098</v>
      </c>
      <c r="V59" s="18">
        <v>4.6652809559331985</v>
      </c>
      <c r="W59" s="18">
        <v>4.4991171958704452</v>
      </c>
      <c r="X59" s="18">
        <v>4.4845260397699303</v>
      </c>
      <c r="Y59" s="18">
        <v>4.7229114574280029</v>
      </c>
      <c r="Z59" s="18">
        <v>4.9113378605158546</v>
      </c>
      <c r="AA59" s="18">
        <v>4.6755615818259013</v>
      </c>
      <c r="AB59" s="18">
        <v>4.7407698161633638</v>
      </c>
      <c r="AC59" s="18">
        <v>4.8811200016216283</v>
      </c>
      <c r="AD59" s="19">
        <v>4.9249215267415858</v>
      </c>
      <c r="AE59" s="19">
        <v>5.0027571136568589</v>
      </c>
      <c r="AF59" s="19">
        <v>3.9299426712348993</v>
      </c>
      <c r="AG59" s="19">
        <v>5.0352332036166532</v>
      </c>
      <c r="AH59" s="19">
        <v>4.6587750431683608</v>
      </c>
      <c r="AI59" s="19">
        <v>5.0887674458530299</v>
      </c>
      <c r="AJ59" s="19">
        <v>5.6377188166666672</v>
      </c>
      <c r="AK59" s="19">
        <v>5.6567690402250337</v>
      </c>
      <c r="AL59" s="19">
        <v>5.5144992593837534</v>
      </c>
      <c r="AM59" s="19">
        <v>5.4016615094098883</v>
      </c>
      <c r="AN59" s="19">
        <v>5.4525539255707089</v>
      </c>
      <c r="AO59" s="19">
        <v>5.4797079237499489</v>
      </c>
      <c r="AP59" s="19">
        <v>5.4022464360946261</v>
      </c>
      <c r="AQ59" s="19">
        <v>5.4979787443290142</v>
      </c>
      <c r="AR59" s="19">
        <v>5.4501391697871897</v>
      </c>
      <c r="AS59" s="19">
        <v>5.3403291515019298</v>
      </c>
      <c r="AT59" s="19">
        <v>4.9972780259131486</v>
      </c>
      <c r="AU59" s="19">
        <v>5.4988215284671407</v>
      </c>
      <c r="AV59" s="19">
        <v>2.5689111649988048</v>
      </c>
      <c r="AW59" s="19">
        <v>2.2749601580225116</v>
      </c>
      <c r="AX59" s="19">
        <v>2.3338640836909872</v>
      </c>
      <c r="AY59" s="19">
        <v>2.6117205999999999</v>
      </c>
      <c r="AZ59" s="19">
        <v>2.6431875434599155</v>
      </c>
      <c r="BA59" s="19">
        <v>2.6947565546218488</v>
      </c>
      <c r="BB59" s="19">
        <v>2.7369440741626798</v>
      </c>
      <c r="BC59" s="19">
        <v>2.8313680815189244</v>
      </c>
      <c r="BD59" s="19">
        <v>2.9187149349011872</v>
      </c>
      <c r="BE59" s="19">
        <v>2.755208138319162</v>
      </c>
      <c r="BF59" s="19">
        <v>4.3042317596521835</v>
      </c>
      <c r="BG59" s="19">
        <v>5.6876884459600872</v>
      </c>
      <c r="BH59" s="19">
        <v>5.9871541047066872</v>
      </c>
      <c r="BI59" s="19">
        <v>5.465164533409574</v>
      </c>
      <c r="BJ59" s="19">
        <v>5.4664926945689114</v>
      </c>
      <c r="BK59" s="19">
        <v>5.2510261557708535</v>
      </c>
      <c r="BL59" s="19">
        <v>4.8239109579244221</v>
      </c>
      <c r="BM59" s="19">
        <v>4.4285903879828332</v>
      </c>
      <c r="BN59" s="19">
        <v>4.1377650500000005</v>
      </c>
      <c r="BO59" s="19">
        <v>3.9361155611814347</v>
      </c>
      <c r="BP59" s="19">
        <v>3.805962638235294</v>
      </c>
      <c r="BQ59" s="19">
        <v>3.956090277511962</v>
      </c>
      <c r="BR59" s="19">
        <v>3.8719429221646395</v>
      </c>
      <c r="BS59" s="19">
        <v>3.936615368357876</v>
      </c>
      <c r="BT59" s="19">
        <v>4.0727189100705656</v>
      </c>
      <c r="BU59" s="19">
        <v>3.6187183939273111</v>
      </c>
      <c r="BV59" s="19">
        <v>4.7155086653081106</v>
      </c>
      <c r="BW59" s="19">
        <v>3.2956983524150214</v>
      </c>
      <c r="BX59" s="19">
        <v>2.7280935193472757</v>
      </c>
      <c r="BY59" s="19">
        <v>2.5449288617907104</v>
      </c>
      <c r="BZ59" s="19">
        <v>43.9597734647528</v>
      </c>
      <c r="CA59" s="19">
        <v>52.160667399363803</v>
      </c>
      <c r="CB59" s="19">
        <v>57.115055105451297</v>
      </c>
      <c r="CC59" s="19">
        <v>66.227031182350203</v>
      </c>
      <c r="CD59" s="19">
        <v>74.653492656082705</v>
      </c>
      <c r="CE59" s="19">
        <v>84.640250496606015</v>
      </c>
      <c r="CF59" s="19">
        <v>90.555143881061568</v>
      </c>
      <c r="CG59" s="19">
        <v>95.805698144464827</v>
      </c>
      <c r="CH59" s="19">
        <v>103.24530411293607</v>
      </c>
      <c r="CI59" s="19">
        <v>112.75646200053792</v>
      </c>
      <c r="CJ59" s="19">
        <v>79.507736048664398</v>
      </c>
      <c r="CK59" s="19">
        <v>85.078285217285199</v>
      </c>
      <c r="CL59" s="19">
        <v>93.585342407226605</v>
      </c>
      <c r="CM59" s="19">
        <v>95.509223937988295</v>
      </c>
      <c r="CN59" s="19">
        <v>99.701489599183603</v>
      </c>
      <c r="CO59" s="19">
        <v>105.028215521193</v>
      </c>
      <c r="CP59" s="19">
        <v>98.143998961703304</v>
      </c>
      <c r="CQ59" s="19">
        <v>98.495472480871399</v>
      </c>
      <c r="CR59" s="19">
        <v>100.361566175075</v>
      </c>
      <c r="CS59" s="19">
        <v>102.61315847213601</v>
      </c>
      <c r="CT59" s="19">
        <v>104.40386406310087</v>
      </c>
      <c r="CU59" s="19">
        <v>112.31248970713087</v>
      </c>
      <c r="CV59" s="19">
        <v>108.81017345401332</v>
      </c>
      <c r="CW59" s="19">
        <v>115.01815337123188</v>
      </c>
      <c r="CX59" s="19">
        <v>117.36754574435977</v>
      </c>
      <c r="CY59" s="19">
        <v>6.0587005976479658</v>
      </c>
      <c r="CZ59" s="19">
        <v>6.0746504640374859</v>
      </c>
      <c r="DA59" s="19">
        <v>5.8032225484978541</v>
      </c>
      <c r="DB59" s="19">
        <v>5.8331732000000009</v>
      </c>
      <c r="DC59" s="19">
        <v>5.9477115156118145</v>
      </c>
      <c r="DD59" s="19">
        <v>5.7300224966386555</v>
      </c>
      <c r="DE59" s="19">
        <v>5.6703569377990437</v>
      </c>
      <c r="DF59" s="19">
        <v>5.5427415687211479</v>
      </c>
      <c r="DG59" s="19">
        <v>5.5552369435628259</v>
      </c>
      <c r="DH59" s="19">
        <v>5.4496295928955085</v>
      </c>
      <c r="DI59" s="19">
        <v>5.2568089375105664</v>
      </c>
      <c r="DJ59" s="19">
        <v>5.7267954099044376</v>
      </c>
      <c r="DK59" s="19">
        <v>5.3847072603599759</v>
      </c>
      <c r="DL59" s="19">
        <v>5.4187099084132893</v>
      </c>
      <c r="DM59" s="19">
        <v>5.0200347770099523</v>
      </c>
      <c r="DN59" s="19">
        <v>6.481628669096251</v>
      </c>
      <c r="DO59" s="19">
        <v>6.5631096585301254</v>
      </c>
      <c r="DP59" s="19">
        <v>6.5535169321888418</v>
      </c>
      <c r="DQ59" s="19">
        <v>6.5868534500000004</v>
      </c>
      <c r="DR59" s="19">
        <v>6.5445941080168772</v>
      </c>
      <c r="DS59" s="19">
        <v>6.4057957302521009</v>
      </c>
      <c r="DT59" s="19">
        <v>6.3357616157894743</v>
      </c>
      <c r="DU59" s="19">
        <v>6.0537476675587047</v>
      </c>
      <c r="DV59" s="19">
        <v>5.9497228271082836</v>
      </c>
      <c r="DW59" s="19">
        <v>6.0345735280941692</v>
      </c>
      <c r="DX59" s="19">
        <v>5.6988550409759036</v>
      </c>
      <c r="DY59" s="19">
        <v>5.7996156050651599</v>
      </c>
      <c r="DZ59" s="19">
        <v>5.033401738516643</v>
      </c>
      <c r="EA59" s="19">
        <v>6.1324740573476069</v>
      </c>
      <c r="EB59" s="19">
        <v>5.6899863476389774</v>
      </c>
      <c r="EC59" s="19">
        <v>6.6646842952792618</v>
      </c>
      <c r="ED59" s="19">
        <v>6.7210403674244095</v>
      </c>
      <c r="EE59" s="19">
        <v>6.6343744841201726</v>
      </c>
      <c r="EF59" s="19">
        <v>6.5989477500000007</v>
      </c>
      <c r="EG59" s="19">
        <v>6.561927985654008</v>
      </c>
      <c r="EH59" s="19">
        <v>6.4754020668067227</v>
      </c>
      <c r="EI59" s="19">
        <v>6.3966744564593299</v>
      </c>
      <c r="EJ59" s="19">
        <v>6.170042465042207</v>
      </c>
      <c r="EK59" s="19">
        <v>6.0819860475105152</v>
      </c>
      <c r="EL59" s="19">
        <v>6.0483528626270786</v>
      </c>
      <c r="EM59" s="19">
        <v>5.7404894162985522</v>
      </c>
      <c r="EN59" s="19">
        <v>6.2008915078678237</v>
      </c>
      <c r="EO59" s="19">
        <v>6.2522526500266231</v>
      </c>
      <c r="EP59" s="19">
        <v>6.0526267618329568</v>
      </c>
      <c r="EQ59" s="19">
        <v>5.8219196388550589</v>
      </c>
      <c r="ER59" s="19"/>
      <c r="ES59" s="16">
        <f t="shared" si="4"/>
        <v>5.1438823310237609</v>
      </c>
      <c r="ET59" s="16">
        <f t="shared" si="4"/>
        <v>4.7229114574280029</v>
      </c>
      <c r="EU59" s="16">
        <f t="shared" si="4"/>
        <v>5.6567690402250337</v>
      </c>
      <c r="EV59" s="16">
        <f t="shared" si="4"/>
        <v>2.6431875434599155</v>
      </c>
      <c r="EW59" s="16">
        <f t="shared" si="4"/>
        <v>3.9361155611814347</v>
      </c>
      <c r="EX59" s="16" t="str">
        <f t="shared" si="4"/>
        <v>.</v>
      </c>
      <c r="EY59" s="16">
        <f t="shared" si="4"/>
        <v>99.701489599183603</v>
      </c>
      <c r="EZ59" s="16">
        <f t="shared" si="4"/>
        <v>5.9477115156118145</v>
      </c>
      <c r="FA59" s="16">
        <f t="shared" si="4"/>
        <v>6.5445941080168772</v>
      </c>
      <c r="FB59" s="16">
        <f t="shared" si="4"/>
        <v>6.561927985654008</v>
      </c>
    </row>
    <row r="60" spans="1:158" x14ac:dyDescent="0.25">
      <c r="A60" s="17">
        <v>57</v>
      </c>
      <c r="B60" s="17" t="s">
        <v>82</v>
      </c>
      <c r="C60" s="17" t="s">
        <v>82</v>
      </c>
      <c r="D60" s="17" t="s">
        <v>14</v>
      </c>
      <c r="E60" s="16">
        <v>1</v>
      </c>
      <c r="F60" s="18">
        <v>2.5782446666926004</v>
      </c>
      <c r="G60" s="18">
        <v>3.1210817404351858</v>
      </c>
      <c r="H60" s="18">
        <v>2.913246098281641</v>
      </c>
      <c r="I60" s="18">
        <v>3.0872472024071649</v>
      </c>
      <c r="J60" s="18">
        <v>2.7537549728997157</v>
      </c>
      <c r="K60" s="18">
        <v>2.9273222105263166</v>
      </c>
      <c r="L60" s="18">
        <v>3.0398403826856861</v>
      </c>
      <c r="M60" s="18">
        <v>3.1843163854873398</v>
      </c>
      <c r="N60" s="18">
        <v>3.2069263260457874</v>
      </c>
      <c r="O60" s="18">
        <v>3.1663045525841378</v>
      </c>
      <c r="P60" s="18">
        <v>2.8153181878844356</v>
      </c>
      <c r="Q60" s="18">
        <v>2.7667298554031134</v>
      </c>
      <c r="R60" s="18">
        <v>3.1948003210746339</v>
      </c>
      <c r="S60" s="18">
        <v>3.5412994880578648</v>
      </c>
      <c r="T60" s="18">
        <v>3.852925459810935</v>
      </c>
      <c r="U60" s="18">
        <v>2.5977039217582116</v>
      </c>
      <c r="V60" s="18">
        <v>2.6566180422934238</v>
      </c>
      <c r="W60" s="18">
        <v>2.49401036893047</v>
      </c>
      <c r="X60" s="18">
        <v>2.3059642560580347</v>
      </c>
      <c r="Y60" s="18">
        <v>2.2844427500263009</v>
      </c>
      <c r="Z60" s="18">
        <v>2.3515576614257396</v>
      </c>
      <c r="AA60" s="18">
        <v>2.5129960904680084</v>
      </c>
      <c r="AB60" s="18">
        <v>2.6763293378238013</v>
      </c>
      <c r="AC60" s="18">
        <v>2.6335400102781548</v>
      </c>
      <c r="AD60" s="19">
        <v>2.7092250010764687</v>
      </c>
      <c r="AE60" s="19">
        <v>2.5831480184266331</v>
      </c>
      <c r="AF60" s="19">
        <v>3.4717539322017821</v>
      </c>
      <c r="AG60" s="19">
        <v>3.3015779514061792</v>
      </c>
      <c r="AH60" s="19">
        <v>2.8691365313447057</v>
      </c>
      <c r="AI60" s="19">
        <v>2.8122625558952787</v>
      </c>
      <c r="AJ60" s="19">
        <v>4.9757003486670692</v>
      </c>
      <c r="AK60" s="19">
        <v>4.5180902754318977</v>
      </c>
      <c r="AL60" s="19">
        <v>4.3126899999999999</v>
      </c>
      <c r="AM60" s="19">
        <v>4.2239481956386289</v>
      </c>
      <c r="AN60" s="19">
        <v>4.2347746415134209</v>
      </c>
      <c r="AO60" s="19">
        <v>4.090850570257655</v>
      </c>
      <c r="AP60" s="19">
        <v>3.9007654757726762</v>
      </c>
      <c r="AQ60" s="19">
        <v>3.3489891072653259</v>
      </c>
      <c r="AR60" s="19">
        <v>3.8880605606679652</v>
      </c>
      <c r="AS60" s="19">
        <v>3.7770997348210824</v>
      </c>
      <c r="AT60" s="19">
        <v>3.2857405762580991</v>
      </c>
      <c r="AU60" s="19">
        <v>2.4355877651636231</v>
      </c>
      <c r="AV60" s="19">
        <v>3.5892394791067748</v>
      </c>
      <c r="AW60" s="19">
        <v>4.2140653355528421</v>
      </c>
      <c r="AX60" s="19">
        <v>3.5207581780467136</v>
      </c>
      <c r="AY60" s="19">
        <v>3.9246581639562881</v>
      </c>
      <c r="AZ60" s="19">
        <v>4.1633113240516293</v>
      </c>
      <c r="BA60" s="19">
        <v>4.2160840000000004</v>
      </c>
      <c r="BB60" s="19">
        <v>3.7066825121495328</v>
      </c>
      <c r="BC60" s="19">
        <v>3.4227484978146947</v>
      </c>
      <c r="BD60" s="19">
        <v>3.3441348335959695</v>
      </c>
      <c r="BE60" s="19">
        <v>3.3693548526082719</v>
      </c>
      <c r="BF60" s="19">
        <v>4.0335442601270968</v>
      </c>
      <c r="BG60" s="19">
        <v>3.6755302081697869</v>
      </c>
      <c r="BH60" s="19">
        <v>3.7742025760109712</v>
      </c>
      <c r="BI60" s="19">
        <v>3.4659443758373012</v>
      </c>
      <c r="BJ60" s="19">
        <v>4.5102087277376812</v>
      </c>
      <c r="BK60" s="19">
        <v>2.3652146724824825</v>
      </c>
      <c r="BL60" s="19">
        <v>2.9267113983930888</v>
      </c>
      <c r="BM60" s="19">
        <v>3.246300923731507</v>
      </c>
      <c r="BN60" s="19">
        <v>2.7362767399368821</v>
      </c>
      <c r="BO60" s="19">
        <v>2.9874592661131243</v>
      </c>
      <c r="BP60" s="19">
        <v>2.7445539999999999</v>
      </c>
      <c r="BQ60" s="19">
        <v>2.6598591813084109</v>
      </c>
      <c r="BR60" s="19">
        <v>2.7995322565656569</v>
      </c>
      <c r="BS60" s="19">
        <v>2.9549783979143411</v>
      </c>
      <c r="BT60" s="19">
        <v>3.0282738464219232</v>
      </c>
      <c r="BU60" s="19">
        <v>2.9710570128405127</v>
      </c>
      <c r="BV60" s="19">
        <v>3.3422049511597267</v>
      </c>
      <c r="BW60" s="19">
        <v>3.7374452668000004</v>
      </c>
      <c r="BX60" s="19">
        <v>3.7146035420136632</v>
      </c>
      <c r="BY60" s="19">
        <v>2.9067417170090062</v>
      </c>
      <c r="BZ60" s="19">
        <v>3.7195128581833488</v>
      </c>
      <c r="CA60" s="19">
        <v>3.5466823084130246</v>
      </c>
      <c r="CB60" s="19">
        <v>3.3818824874162798</v>
      </c>
      <c r="CC60" s="19">
        <v>3.2247402400725615</v>
      </c>
      <c r="CD60" s="19">
        <v>33.120165098312597</v>
      </c>
      <c r="CE60" s="19">
        <v>24.345376844990593</v>
      </c>
      <c r="CF60" s="19">
        <v>37.782970447075698</v>
      </c>
      <c r="CG60" s="19">
        <v>44.206419623365733</v>
      </c>
      <c r="CH60" s="19">
        <v>45.990457260519953</v>
      </c>
      <c r="CI60" s="19">
        <v>52.506960508654217</v>
      </c>
      <c r="CJ60" s="19">
        <v>78.59</v>
      </c>
      <c r="CK60" s="19">
        <v>59.52</v>
      </c>
      <c r="CL60" s="19">
        <v>130.16999999999999</v>
      </c>
      <c r="CM60" s="19">
        <v>117.59</v>
      </c>
      <c r="CN60" s="19">
        <v>114.03</v>
      </c>
      <c r="CO60" s="19">
        <v>117.320249083924</v>
      </c>
      <c r="CP60" s="19">
        <v>187.35536709182901</v>
      </c>
      <c r="CQ60" s="19">
        <v>200</v>
      </c>
      <c r="CR60" s="19">
        <v>200</v>
      </c>
      <c r="CS60" s="19">
        <v>168.91752450749499</v>
      </c>
      <c r="CT60" s="19">
        <v>200</v>
      </c>
      <c r="CU60" s="19">
        <v>200</v>
      </c>
      <c r="CV60" s="19">
        <v>200</v>
      </c>
      <c r="CW60" s="19">
        <v>200</v>
      </c>
      <c r="CX60" s="19">
        <v>200</v>
      </c>
      <c r="CY60" s="19">
        <v>4.7187264848268402</v>
      </c>
      <c r="CZ60" s="19">
        <v>4.5655728006720828</v>
      </c>
      <c r="DA60" s="19">
        <v>4.9101476153304091</v>
      </c>
      <c r="DB60" s="19">
        <v>5.0879232718676608</v>
      </c>
      <c r="DC60" s="19">
        <v>5.057363945588822</v>
      </c>
      <c r="DD60" s="19">
        <v>4.8728210000000001</v>
      </c>
      <c r="DE60" s="19">
        <v>4.1308150336448595</v>
      </c>
      <c r="DF60" s="19">
        <v>3.9284951856109309</v>
      </c>
      <c r="DG60" s="19">
        <v>4.1842830484563649</v>
      </c>
      <c r="DH60" s="19">
        <v>4.0885330949510843</v>
      </c>
      <c r="DI60" s="19">
        <v>4.1774234327456439</v>
      </c>
      <c r="DJ60" s="19">
        <v>4.1478152240555621</v>
      </c>
      <c r="DK60" s="19">
        <v>4.3039968807200664</v>
      </c>
      <c r="DL60" s="19">
        <v>4.3352604915524537</v>
      </c>
      <c r="DM60" s="19">
        <v>4.4777748272546525</v>
      </c>
      <c r="DN60" s="19">
        <v>2.6477202666603685</v>
      </c>
      <c r="DO60" s="19">
        <v>1.9377552261114221</v>
      </c>
      <c r="DP60" s="19">
        <v>3.9035449187250024</v>
      </c>
      <c r="DQ60" s="19">
        <v>3.052161450489502</v>
      </c>
      <c r="DR60" s="19">
        <v>3.1762650359968525</v>
      </c>
      <c r="DS60" s="19">
        <v>3.3295979999999998</v>
      </c>
      <c r="DT60" s="19">
        <v>2.9468720186915887</v>
      </c>
      <c r="DU60" s="19">
        <v>2.8845654241778291</v>
      </c>
      <c r="DV60" s="19">
        <v>3.0798958276773427</v>
      </c>
      <c r="DW60" s="19">
        <v>2.9209956186158319</v>
      </c>
      <c r="DX60" s="19">
        <v>3.040630182083313</v>
      </c>
      <c r="DY60" s="19">
        <v>3.4586006974831265</v>
      </c>
      <c r="DZ60" s="19">
        <v>4.2070662840236386</v>
      </c>
      <c r="EA60" s="19">
        <v>2.8065348808636728</v>
      </c>
      <c r="EB60" s="19">
        <v>3.0349033977363558</v>
      </c>
      <c r="EC60" s="19">
        <v>1.2794239602781856</v>
      </c>
      <c r="ED60" s="19">
        <v>1.9472664633484373</v>
      </c>
      <c r="EE60" s="19">
        <v>2.8229999198933227</v>
      </c>
      <c r="EF60" s="19">
        <v>2.1967380948159088</v>
      </c>
      <c r="EG60" s="19">
        <v>2.4513528369200079</v>
      </c>
      <c r="EH60" s="19">
        <v>2.3245960000000001</v>
      </c>
      <c r="EI60" s="19">
        <v>2.3274025420560749</v>
      </c>
      <c r="EJ60" s="19">
        <v>2.4282910105820164</v>
      </c>
      <c r="EK60" s="19">
        <v>2.5632039701783809</v>
      </c>
      <c r="EL60" s="19">
        <v>2.7955422571727206</v>
      </c>
      <c r="EM60" s="19">
        <v>3.574851591082115</v>
      </c>
      <c r="EN60" s="19">
        <v>3.0740017846620642</v>
      </c>
      <c r="EO60" s="19">
        <v>2.4324938247897165</v>
      </c>
      <c r="EP60" s="19">
        <v>2.8725475618741658</v>
      </c>
      <c r="EQ60" s="19">
        <v>3.6138132678299231</v>
      </c>
      <c r="ER60" s="19"/>
      <c r="ES60" s="16">
        <f t="shared" si="4"/>
        <v>2.7537549728997157</v>
      </c>
      <c r="ET60" s="16">
        <f t="shared" si="4"/>
        <v>2.2844427500263009</v>
      </c>
      <c r="EU60" s="16">
        <f t="shared" si="4"/>
        <v>4.5180902754318977</v>
      </c>
      <c r="EV60" s="16">
        <f t="shared" si="4"/>
        <v>4.1633113240516293</v>
      </c>
      <c r="EW60" s="16">
        <f t="shared" si="4"/>
        <v>2.9874592661131243</v>
      </c>
      <c r="EX60" s="16" t="str">
        <f t="shared" si="4"/>
        <v>.</v>
      </c>
      <c r="EY60" s="16">
        <f t="shared" si="4"/>
        <v>114.03</v>
      </c>
      <c r="EZ60" s="16">
        <f t="shared" si="4"/>
        <v>5.057363945588822</v>
      </c>
      <c r="FA60" s="16">
        <f t="shared" si="4"/>
        <v>3.1762650359968525</v>
      </c>
      <c r="FB60" s="16">
        <f t="shared" si="4"/>
        <v>2.4513528369200079</v>
      </c>
    </row>
    <row r="61" spans="1:158" x14ac:dyDescent="0.25">
      <c r="A61" s="17">
        <v>58</v>
      </c>
      <c r="B61" s="17" t="s">
        <v>83</v>
      </c>
      <c r="C61" s="17" t="s">
        <v>83</v>
      </c>
      <c r="D61" s="17" t="s">
        <v>14</v>
      </c>
      <c r="E61" s="16">
        <v>0</v>
      </c>
      <c r="F61" s="18">
        <v>3.64</v>
      </c>
      <c r="G61" s="18">
        <v>3.89</v>
      </c>
      <c r="H61" s="18">
        <v>3.39</v>
      </c>
      <c r="I61" s="18">
        <v>2.44</v>
      </c>
      <c r="J61" s="18">
        <v>3.37</v>
      </c>
      <c r="K61" s="18">
        <v>3.36</v>
      </c>
      <c r="L61" s="18">
        <v>3.61</v>
      </c>
      <c r="M61" s="18">
        <v>3.65</v>
      </c>
      <c r="N61" s="18">
        <v>3.14</v>
      </c>
      <c r="O61" s="18">
        <v>4.71</v>
      </c>
      <c r="P61" s="18">
        <v>3.99</v>
      </c>
      <c r="Q61" s="18">
        <v>3.24</v>
      </c>
      <c r="R61" s="18">
        <v>3.42</v>
      </c>
      <c r="S61" s="18">
        <v>5</v>
      </c>
      <c r="T61" s="18">
        <v>2.92</v>
      </c>
      <c r="U61" s="18">
        <v>1.8</v>
      </c>
      <c r="V61" s="18">
        <v>4.6100000000000003</v>
      </c>
      <c r="W61" s="18">
        <v>3.66</v>
      </c>
      <c r="X61" s="18">
        <v>2.8</v>
      </c>
      <c r="Y61" s="18">
        <v>3.3</v>
      </c>
      <c r="Z61" s="18">
        <v>2.7</v>
      </c>
      <c r="AA61" s="18">
        <v>3.01</v>
      </c>
      <c r="AB61" s="18">
        <v>4</v>
      </c>
      <c r="AC61" s="18">
        <v>2.6</v>
      </c>
      <c r="AD61" s="19">
        <v>3</v>
      </c>
      <c r="AE61" s="19">
        <v>4.21</v>
      </c>
      <c r="AF61" s="19">
        <v>3.06</v>
      </c>
      <c r="AG61" s="19">
        <v>2.99</v>
      </c>
      <c r="AH61" s="19">
        <v>4.51</v>
      </c>
      <c r="AI61" s="19">
        <v>1.66</v>
      </c>
      <c r="AJ61" s="19">
        <v>5.05</v>
      </c>
      <c r="AK61" s="19">
        <v>4.0599999999999996</v>
      </c>
      <c r="AL61" s="19">
        <v>3.79</v>
      </c>
      <c r="AM61" s="19">
        <v>4.9800000000000004</v>
      </c>
      <c r="AN61" s="19">
        <v>4.13</v>
      </c>
      <c r="AO61" s="19">
        <v>3.85</v>
      </c>
      <c r="AP61" s="19">
        <v>3.38</v>
      </c>
      <c r="AQ61" s="19">
        <v>4.08</v>
      </c>
      <c r="AR61" s="19">
        <v>3.85</v>
      </c>
      <c r="AS61" s="19">
        <v>3.74</v>
      </c>
      <c r="AT61" s="19">
        <v>4.59</v>
      </c>
      <c r="AU61" s="19">
        <v>3.12</v>
      </c>
      <c r="AV61" s="19">
        <v>3.44</v>
      </c>
      <c r="AW61" s="19">
        <v>2.1</v>
      </c>
      <c r="AX61" s="19">
        <v>3.13</v>
      </c>
      <c r="AY61" s="19">
        <v>3.15</v>
      </c>
      <c r="AZ61" s="19">
        <v>3.83</v>
      </c>
      <c r="BA61" s="19">
        <v>2.91</v>
      </c>
      <c r="BB61" s="19">
        <v>2.87</v>
      </c>
      <c r="BC61" s="19">
        <v>3.6</v>
      </c>
      <c r="BD61" s="19">
        <v>3.36</v>
      </c>
      <c r="BE61" s="19">
        <v>1.82</v>
      </c>
      <c r="BF61" s="19">
        <v>4.18</v>
      </c>
      <c r="BG61" s="19">
        <v>4.46</v>
      </c>
      <c r="BH61" s="19">
        <v>6.74</v>
      </c>
      <c r="BI61" s="19">
        <v>5.14</v>
      </c>
      <c r="BJ61" s="19">
        <v>4.93</v>
      </c>
      <c r="BK61" s="19">
        <v>3.55</v>
      </c>
      <c r="BL61" s="19">
        <v>2.71</v>
      </c>
      <c r="BM61" s="19">
        <v>3.73</v>
      </c>
      <c r="BN61" s="19">
        <v>2.77</v>
      </c>
      <c r="BO61" s="19">
        <v>3</v>
      </c>
      <c r="BP61" s="19">
        <v>3.09</v>
      </c>
      <c r="BQ61" s="19">
        <v>3.48</v>
      </c>
      <c r="BR61" s="19">
        <v>2.46</v>
      </c>
      <c r="BS61" s="19">
        <v>3.42</v>
      </c>
      <c r="BT61" s="19">
        <v>3.62</v>
      </c>
      <c r="BU61" s="19">
        <v>3.75</v>
      </c>
      <c r="BV61" s="19">
        <v>3.38</v>
      </c>
      <c r="BW61" s="19">
        <v>2.97</v>
      </c>
      <c r="BX61" s="19">
        <v>1.98</v>
      </c>
      <c r="BY61" s="19">
        <v>3.89</v>
      </c>
      <c r="BZ61" s="19">
        <v>34.61</v>
      </c>
      <c r="CA61" s="19">
        <v>40.770000000000003</v>
      </c>
      <c r="CB61" s="19">
        <v>1</v>
      </c>
      <c r="CC61" s="19">
        <v>50.4</v>
      </c>
      <c r="CD61" s="19">
        <v>1</v>
      </c>
      <c r="CE61" s="19">
        <v>22.13</v>
      </c>
      <c r="CF61" s="19">
        <v>67.319999999999993</v>
      </c>
      <c r="CG61" s="19">
        <v>128.04</v>
      </c>
      <c r="CH61" s="19">
        <v>153.88999999999999</v>
      </c>
      <c r="CI61" s="19">
        <v>44.95</v>
      </c>
      <c r="CJ61" s="19">
        <v>72.98</v>
      </c>
      <c r="CK61" s="19">
        <v>25.79</v>
      </c>
      <c r="CL61" s="19">
        <v>91.36</v>
      </c>
      <c r="CM61" s="19">
        <v>77.56</v>
      </c>
      <c r="CN61" s="19">
        <v>120.66</v>
      </c>
      <c r="CO61" s="19">
        <v>150</v>
      </c>
      <c r="CP61" s="19">
        <v>122.45</v>
      </c>
      <c r="CQ61" s="19">
        <v>11.95</v>
      </c>
      <c r="CR61" s="19">
        <v>41.88</v>
      </c>
      <c r="CS61" s="19">
        <v>144.99</v>
      </c>
      <c r="CT61" s="19">
        <v>77.11</v>
      </c>
      <c r="CU61" s="19">
        <v>134.01</v>
      </c>
      <c r="CV61" s="19">
        <v>123.24</v>
      </c>
      <c r="CW61" s="19">
        <v>175.72</v>
      </c>
      <c r="CX61" s="19">
        <v>167.92</v>
      </c>
      <c r="CY61" s="19">
        <v>3.67</v>
      </c>
      <c r="CZ61" s="19">
        <v>3.5</v>
      </c>
      <c r="DA61" s="19">
        <v>5.43</v>
      </c>
      <c r="DB61" s="19">
        <v>4.7</v>
      </c>
      <c r="DC61" s="19">
        <v>3.15</v>
      </c>
      <c r="DD61" s="19">
        <v>3.65</v>
      </c>
      <c r="DE61" s="19">
        <v>4.0599999999999996</v>
      </c>
      <c r="DF61" s="19">
        <v>3.36</v>
      </c>
      <c r="DG61" s="19">
        <v>2.79</v>
      </c>
      <c r="DH61" s="19">
        <v>4.6500000000000004</v>
      </c>
      <c r="DI61" s="19">
        <v>2.56</v>
      </c>
      <c r="DJ61" s="19">
        <v>4.3899999999999997</v>
      </c>
      <c r="DK61" s="19">
        <v>3.64</v>
      </c>
      <c r="DL61" s="19">
        <v>1.24</v>
      </c>
      <c r="DM61" s="19">
        <v>3.53</v>
      </c>
      <c r="DN61" s="19">
        <v>1.74</v>
      </c>
      <c r="DO61" s="19">
        <v>2.81</v>
      </c>
      <c r="DP61" s="19">
        <v>3.74</v>
      </c>
      <c r="DQ61" s="19">
        <v>3.15</v>
      </c>
      <c r="DR61" s="19">
        <v>2.6</v>
      </c>
      <c r="DS61" s="19">
        <v>4.5</v>
      </c>
      <c r="DT61" s="19">
        <v>3.96</v>
      </c>
      <c r="DU61" s="19">
        <v>2.74</v>
      </c>
      <c r="DV61" s="19">
        <v>2.38</v>
      </c>
      <c r="DW61" s="19">
        <v>3.62</v>
      </c>
      <c r="DX61" s="19">
        <v>2.69</v>
      </c>
      <c r="DY61" s="19">
        <v>4.24</v>
      </c>
      <c r="DZ61" s="19">
        <v>3.18</v>
      </c>
      <c r="EA61" s="19">
        <v>3.23</v>
      </c>
      <c r="EB61" s="19">
        <v>3.6</v>
      </c>
      <c r="EC61" s="19">
        <v>2.82</v>
      </c>
      <c r="ED61" s="19">
        <v>3.89</v>
      </c>
      <c r="EE61" s="19">
        <v>2.27</v>
      </c>
      <c r="EF61" s="19">
        <v>5.66</v>
      </c>
      <c r="EG61" s="19">
        <v>4.5599999999999996</v>
      </c>
      <c r="EH61" s="19">
        <v>4.71</v>
      </c>
      <c r="EI61" s="19">
        <v>3.81</v>
      </c>
      <c r="EJ61" s="19">
        <v>2.8</v>
      </c>
      <c r="EK61" s="19">
        <v>4.51</v>
      </c>
      <c r="EL61" s="19">
        <v>4.5199999999999996</v>
      </c>
      <c r="EM61" s="19">
        <v>3.42</v>
      </c>
      <c r="EN61" s="19">
        <v>5.17</v>
      </c>
      <c r="EO61" s="19">
        <v>3.7</v>
      </c>
      <c r="EP61" s="19">
        <v>4.05</v>
      </c>
      <c r="EQ61" s="19">
        <v>5.69</v>
      </c>
      <c r="ER61" s="19"/>
      <c r="ES61" s="16">
        <f t="shared" si="4"/>
        <v>3.37</v>
      </c>
      <c r="ET61" s="16">
        <f t="shared" si="4"/>
        <v>3.3</v>
      </c>
      <c r="EU61" s="16">
        <f t="shared" si="4"/>
        <v>4.0599999999999996</v>
      </c>
      <c r="EV61" s="16">
        <f t="shared" si="4"/>
        <v>3.83</v>
      </c>
      <c r="EW61" s="16">
        <f t="shared" si="4"/>
        <v>3</v>
      </c>
      <c r="EX61" s="16" t="str">
        <f t="shared" si="4"/>
        <v>.</v>
      </c>
      <c r="EY61" s="16">
        <f t="shared" si="4"/>
        <v>120.66</v>
      </c>
      <c r="EZ61" s="16">
        <f t="shared" si="4"/>
        <v>3.15</v>
      </c>
      <c r="FA61" s="16">
        <f t="shared" si="4"/>
        <v>2.6</v>
      </c>
      <c r="FB61" s="16">
        <f t="shared" si="4"/>
        <v>4.5599999999999996</v>
      </c>
    </row>
    <row r="62" spans="1:158" x14ac:dyDescent="0.25">
      <c r="A62" s="17">
        <v>59</v>
      </c>
      <c r="B62" s="17" t="s">
        <v>84</v>
      </c>
      <c r="C62" s="17" t="s">
        <v>84</v>
      </c>
      <c r="D62" s="17" t="s">
        <v>7</v>
      </c>
      <c r="E62" s="16">
        <v>1</v>
      </c>
      <c r="F62" s="18">
        <v>3.1391820029043558</v>
      </c>
      <c r="G62" s="18">
        <v>3.3879450336823296</v>
      </c>
      <c r="H62" s="18">
        <v>3.3256621933226498</v>
      </c>
      <c r="I62" s="18">
        <v>3.2908490199760765</v>
      </c>
      <c r="J62" s="18">
        <v>3.391366370408734</v>
      </c>
      <c r="K62" s="18">
        <v>3.4048762631578957</v>
      </c>
      <c r="L62" s="18">
        <v>3.4739848737153536</v>
      </c>
      <c r="M62" s="18">
        <v>3.4850583001135766</v>
      </c>
      <c r="N62" s="18">
        <v>3.4764082193438797</v>
      </c>
      <c r="O62" s="18">
        <v>3.5963513616308886</v>
      </c>
      <c r="P62" s="18">
        <v>3.6637489093895894</v>
      </c>
      <c r="Q62" s="18">
        <v>3.6570779390582513</v>
      </c>
      <c r="R62" s="18">
        <v>3.5543815005706727</v>
      </c>
      <c r="S62" s="18">
        <v>3.7660228011000823</v>
      </c>
      <c r="T62" s="18">
        <v>3.8040120569139062</v>
      </c>
      <c r="U62" s="18">
        <v>2.6522821397051528</v>
      </c>
      <c r="V62" s="18">
        <v>2.7420767991199564</v>
      </c>
      <c r="W62" s="18">
        <v>2.5602046490404033</v>
      </c>
      <c r="X62" s="18">
        <v>2.5144711368384431</v>
      </c>
      <c r="Y62" s="18">
        <v>2.6220229192063496</v>
      </c>
      <c r="Z62" s="18">
        <v>2.5980461933424084</v>
      </c>
      <c r="AA62" s="18">
        <v>2.6799375270020502</v>
      </c>
      <c r="AB62" s="18">
        <v>2.7107547400100271</v>
      </c>
      <c r="AC62" s="18">
        <v>2.7149822061815287</v>
      </c>
      <c r="AD62" s="19">
        <v>2.8461401282875736</v>
      </c>
      <c r="AE62" s="19">
        <v>2.6787573282692931</v>
      </c>
      <c r="AF62" s="19">
        <v>2.7315616382679129</v>
      </c>
      <c r="AG62" s="19">
        <v>2.8689328261574265</v>
      </c>
      <c r="AH62" s="19">
        <v>2.8354327502050825</v>
      </c>
      <c r="AI62" s="19">
        <v>2.9529290582864824</v>
      </c>
      <c r="AJ62" s="19">
        <v>4.2160473668560607</v>
      </c>
      <c r="AK62" s="19">
        <v>4.2448281842198581</v>
      </c>
      <c r="AL62" s="19">
        <v>4.2675353333333339</v>
      </c>
      <c r="AM62" s="19">
        <v>4.2259456408284022</v>
      </c>
      <c r="AN62" s="19">
        <v>4.1937190835830078</v>
      </c>
      <c r="AO62" s="19">
        <v>4.0930947748682556</v>
      </c>
      <c r="AP62" s="19">
        <v>3.9969546258872284</v>
      </c>
      <c r="AQ62" s="19">
        <v>3.7481817328195284</v>
      </c>
      <c r="AR62" s="19">
        <v>3.9611722321482286</v>
      </c>
      <c r="AS62" s="19">
        <v>4.4104906895499871</v>
      </c>
      <c r="AT62" s="19">
        <v>3.8759716215750286</v>
      </c>
      <c r="AU62" s="19">
        <v>4.0650520126214005</v>
      </c>
      <c r="AV62" s="19">
        <v>4.1058018609742746</v>
      </c>
      <c r="AW62" s="19">
        <v>4.6208515801687762</v>
      </c>
      <c r="AX62" s="19">
        <v>4.8364664660714292</v>
      </c>
      <c r="AY62" s="19">
        <v>4.6489171039772721</v>
      </c>
      <c r="AZ62" s="19">
        <v>4.5346646127659564</v>
      </c>
      <c r="BA62" s="19">
        <v>4.5528659999999999</v>
      </c>
      <c r="BB62" s="19">
        <v>4.3827103562130176</v>
      </c>
      <c r="BC62" s="19">
        <v>4.4950643415227045</v>
      </c>
      <c r="BD62" s="19">
        <v>4.7216401433944704</v>
      </c>
      <c r="BE62" s="19">
        <v>4.806517165265185</v>
      </c>
      <c r="BF62" s="19">
        <v>4.7078087950816316</v>
      </c>
      <c r="BG62" s="19">
        <v>4.9097004401585194</v>
      </c>
      <c r="BH62" s="19">
        <v>4.1053857914531973</v>
      </c>
      <c r="BI62" s="19">
        <v>3.602967914575157</v>
      </c>
      <c r="BJ62" s="19">
        <v>3.392311471304311</v>
      </c>
      <c r="BK62" s="19">
        <v>3.3090009114678622</v>
      </c>
      <c r="BL62" s="19">
        <v>3.2843414851049069</v>
      </c>
      <c r="BM62" s="19">
        <v>3.1689652113095237</v>
      </c>
      <c r="BN62" s="19">
        <v>3.1737819051136364</v>
      </c>
      <c r="BO62" s="19">
        <v>3.1281116106382978</v>
      </c>
      <c r="BP62" s="19">
        <v>3.0243340000000005</v>
      </c>
      <c r="BQ62" s="19">
        <v>3.1626265213017755</v>
      </c>
      <c r="BR62" s="19">
        <v>3.1341702016130375</v>
      </c>
      <c r="BS62" s="19">
        <v>3.0131448960304259</v>
      </c>
      <c r="BT62" s="19">
        <v>3.0907165078406642</v>
      </c>
      <c r="BU62" s="19">
        <v>2.8966110478458913</v>
      </c>
      <c r="BV62" s="19">
        <v>2.7668090421515914</v>
      </c>
      <c r="BW62" s="19">
        <v>2.9331699107126439</v>
      </c>
      <c r="BX62" s="19">
        <v>3.0539226159621413</v>
      </c>
      <c r="BY62" s="19">
        <v>3.0801723011268636</v>
      </c>
      <c r="BZ62" s="19">
        <v>20.541826267617701</v>
      </c>
      <c r="CA62" s="19">
        <v>22.3825918027824</v>
      </c>
      <c r="CB62" s="19">
        <v>16.3506143318371</v>
      </c>
      <c r="CC62" s="19">
        <v>21.767254042595098</v>
      </c>
      <c r="CD62" s="19">
        <v>50.449037527819499</v>
      </c>
      <c r="CE62" s="19">
        <v>40.598173788274799</v>
      </c>
      <c r="CF62" s="19">
        <v>59.075484823175962</v>
      </c>
      <c r="CG62" s="19">
        <v>55.333113455629459</v>
      </c>
      <c r="CH62" s="19">
        <v>63.23631523206226</v>
      </c>
      <c r="CI62" s="19">
        <v>68.598251303841153</v>
      </c>
      <c r="CJ62" s="19">
        <v>32.614662494412201</v>
      </c>
      <c r="CK62" s="19">
        <v>38.429519653320298</v>
      </c>
      <c r="CL62" s="19">
        <v>59.145973205566399</v>
      </c>
      <c r="CM62" s="19">
        <v>66.591041564941406</v>
      </c>
      <c r="CN62" s="19">
        <v>73.364728631942498</v>
      </c>
      <c r="CO62" s="19">
        <v>102.34664795268</v>
      </c>
      <c r="CP62" s="19">
        <v>109.158590945977</v>
      </c>
      <c r="CQ62" s="19">
        <v>115.025104269972</v>
      </c>
      <c r="CR62" s="19">
        <v>124.935540091449</v>
      </c>
      <c r="CS62" s="19">
        <v>128.95059634711299</v>
      </c>
      <c r="CT62" s="19">
        <v>146.56991583719855</v>
      </c>
      <c r="CU62" s="19">
        <v>160.39078036377111</v>
      </c>
      <c r="CV62" s="19">
        <v>176.72530033243279</v>
      </c>
      <c r="CW62" s="19">
        <v>186.03508370003769</v>
      </c>
      <c r="CX62" s="19">
        <v>196.92471315306122</v>
      </c>
      <c r="CY62" s="19">
        <v>3.3155009414065879</v>
      </c>
      <c r="CZ62" s="19">
        <v>3.6143739064765037</v>
      </c>
      <c r="DA62" s="19">
        <v>3.445193899404762</v>
      </c>
      <c r="DB62" s="19">
        <v>3.2418437698863638</v>
      </c>
      <c r="DC62" s="19">
        <v>3.2289659218085109</v>
      </c>
      <c r="DD62" s="19">
        <v>3.0708700000000002</v>
      </c>
      <c r="DE62" s="19">
        <v>3.4051211656804741</v>
      </c>
      <c r="DF62" s="19">
        <v>3.8586300800000002</v>
      </c>
      <c r="DG62" s="19">
        <v>4.3391112208366396</v>
      </c>
      <c r="DH62" s="19">
        <v>4.7746133378211493</v>
      </c>
      <c r="DI62" s="19">
        <v>4.8606985163698031</v>
      </c>
      <c r="DJ62" s="19">
        <v>3.038579266465673</v>
      </c>
      <c r="DK62" s="19">
        <v>3.9529822097317178</v>
      </c>
      <c r="DL62" s="19">
        <v>3.5671266033400491</v>
      </c>
      <c r="DM62" s="19">
        <v>5.1562681115237829</v>
      </c>
      <c r="DN62" s="19">
        <v>2.9399419663944935</v>
      </c>
      <c r="DO62" s="19">
        <v>3.2279519418415119</v>
      </c>
      <c r="DP62" s="19">
        <v>3.8238518500000005</v>
      </c>
      <c r="DQ62" s="19">
        <v>4.4413702414772729</v>
      </c>
      <c r="DR62" s="19">
        <v>4.611423690957448</v>
      </c>
      <c r="DS62" s="19">
        <v>4.6304540000000003</v>
      </c>
      <c r="DT62" s="19">
        <v>4.6476982071005919</v>
      </c>
      <c r="DU62" s="19">
        <v>4.6256578946457516</v>
      </c>
      <c r="DV62" s="19">
        <v>4.232859802246093</v>
      </c>
      <c r="DW62" s="19">
        <v>3.9705975040476371</v>
      </c>
      <c r="DX62" s="19">
        <v>6.0006003815853157</v>
      </c>
      <c r="DY62" s="19">
        <v>5.2662300646084601</v>
      </c>
      <c r="DZ62" s="19">
        <v>5.4604862373158856</v>
      </c>
      <c r="EA62" s="19">
        <v>4.3207958755217408</v>
      </c>
      <c r="EB62" s="19">
        <v>5.4109974904459914</v>
      </c>
      <c r="EC62" s="19">
        <v>3.1435666299270455</v>
      </c>
      <c r="ED62" s="19">
        <v>3.5013383190306917</v>
      </c>
      <c r="EE62" s="19">
        <v>3.6194450827380953</v>
      </c>
      <c r="EF62" s="19">
        <v>3.9053375857954546</v>
      </c>
      <c r="EG62" s="19">
        <v>4.2376557122340426</v>
      </c>
      <c r="EH62" s="19">
        <v>4.3697200000000009</v>
      </c>
      <c r="EI62" s="19">
        <v>4.2444091544378697</v>
      </c>
      <c r="EJ62" s="19">
        <v>4.0333685568391111</v>
      </c>
      <c r="EK62" s="19">
        <v>3.879934079647064</v>
      </c>
      <c r="EL62" s="19">
        <v>3.8257069714525915</v>
      </c>
      <c r="EM62" s="19">
        <v>5.0444686678661199</v>
      </c>
      <c r="EN62" s="19">
        <v>4.9931695056997603</v>
      </c>
      <c r="EO62" s="19">
        <v>4.5187421216704182</v>
      </c>
      <c r="EP62" s="19">
        <v>4.6688172133351777</v>
      </c>
      <c r="EQ62" s="19">
        <v>5.1920146183182982</v>
      </c>
      <c r="ER62" s="19"/>
      <c r="ES62" s="16">
        <f t="shared" si="4"/>
        <v>3.391366370408734</v>
      </c>
      <c r="ET62" s="16">
        <f t="shared" si="4"/>
        <v>2.6220229192063496</v>
      </c>
      <c r="EU62" s="16">
        <f t="shared" si="4"/>
        <v>4.2448281842198581</v>
      </c>
      <c r="EV62" s="16">
        <f t="shared" si="4"/>
        <v>4.5346646127659564</v>
      </c>
      <c r="EW62" s="16">
        <f t="shared" si="4"/>
        <v>3.1281116106382978</v>
      </c>
      <c r="EX62" s="16" t="str">
        <f t="shared" si="4"/>
        <v>.</v>
      </c>
      <c r="EY62" s="16">
        <f t="shared" si="4"/>
        <v>73.364728631942498</v>
      </c>
      <c r="EZ62" s="16">
        <f t="shared" si="4"/>
        <v>3.2289659218085109</v>
      </c>
      <c r="FA62" s="16">
        <f t="shared" si="4"/>
        <v>4.611423690957448</v>
      </c>
      <c r="FB62" s="16">
        <f t="shared" si="4"/>
        <v>4.2376557122340426</v>
      </c>
    </row>
    <row r="63" spans="1:158" x14ac:dyDescent="0.25">
      <c r="A63" s="17">
        <v>60</v>
      </c>
      <c r="B63" s="17" t="s">
        <v>85</v>
      </c>
      <c r="C63" s="17" t="s">
        <v>85</v>
      </c>
      <c r="D63" s="17" t="s">
        <v>23</v>
      </c>
      <c r="E63" s="16">
        <v>1</v>
      </c>
      <c r="F63" s="18">
        <v>5.9346449876076228</v>
      </c>
      <c r="G63" s="18">
        <v>5.8703204952126118</v>
      </c>
      <c r="H63" s="18">
        <v>5.8239364338641195</v>
      </c>
      <c r="I63" s="18">
        <v>5.8249164002050584</v>
      </c>
      <c r="J63" s="18">
        <v>5.6644535687439443</v>
      </c>
      <c r="K63" s="18">
        <v>5.7149773341156944</v>
      </c>
      <c r="L63" s="18">
        <v>5.6846234461811092</v>
      </c>
      <c r="M63" s="18">
        <v>5.6459132804378216</v>
      </c>
      <c r="N63" s="18">
        <v>5.7034901053014098</v>
      </c>
      <c r="O63" s="18">
        <v>5.6389230467852682</v>
      </c>
      <c r="P63" s="18">
        <v>5.8059997574516018</v>
      </c>
      <c r="Q63" s="18">
        <v>5.5724144111988565</v>
      </c>
      <c r="R63" s="18">
        <v>5.9783052581629796</v>
      </c>
      <c r="S63" s="18">
        <v>5.4288967797674434</v>
      </c>
      <c r="T63" s="18">
        <v>5.8770564394218798</v>
      </c>
      <c r="U63" s="18">
        <v>5.4568347976969607</v>
      </c>
      <c r="V63" s="18">
        <v>5.2169756463747943</v>
      </c>
      <c r="W63" s="18">
        <v>5.1088123713761808</v>
      </c>
      <c r="X63" s="18">
        <v>5.1852076063709038</v>
      </c>
      <c r="Y63" s="18">
        <v>5.3892736960327188</v>
      </c>
      <c r="Z63" s="18">
        <v>5.4171171844444448</v>
      </c>
      <c r="AA63" s="18">
        <v>5.5023281217508409</v>
      </c>
      <c r="AB63" s="18">
        <v>5.4651857040604019</v>
      </c>
      <c r="AC63" s="18">
        <v>5.5086696425173169</v>
      </c>
      <c r="AD63" s="19">
        <v>5.576066421705578</v>
      </c>
      <c r="AE63" s="19">
        <v>5.2589868406762621</v>
      </c>
      <c r="AF63" s="19">
        <v>5.3515030532424266</v>
      </c>
      <c r="AG63" s="19">
        <v>5.732994555586453</v>
      </c>
      <c r="AH63" s="19">
        <v>5.3201005243143973</v>
      </c>
      <c r="AI63" s="19">
        <v>5.7809187410313019</v>
      </c>
      <c r="AJ63" s="19">
        <v>5.5983048432900437</v>
      </c>
      <c r="AK63" s="19">
        <v>5.4761463918200404</v>
      </c>
      <c r="AL63" s="19">
        <v>5.5649928752252258</v>
      </c>
      <c r="AM63" s="19">
        <v>5.6064964292929291</v>
      </c>
      <c r="AN63" s="19">
        <v>5.5939621998023803</v>
      </c>
      <c r="AO63" s="19">
        <v>5.6437807595075</v>
      </c>
      <c r="AP63" s="19">
        <v>5.6554820333839091</v>
      </c>
      <c r="AQ63" s="19">
        <v>5.4454403672554781</v>
      </c>
      <c r="AR63" s="19">
        <v>5.5830248786942844</v>
      </c>
      <c r="AS63" s="19">
        <v>5.8916254665346814</v>
      </c>
      <c r="AT63" s="19">
        <v>5.6324603445109167</v>
      </c>
      <c r="AU63" s="19">
        <v>5.9779627826032247</v>
      </c>
      <c r="AV63" s="19">
        <v>3.0514729286940239</v>
      </c>
      <c r="AW63" s="19">
        <v>3.060865806730769</v>
      </c>
      <c r="AX63" s="19">
        <v>3.0290486560509553</v>
      </c>
      <c r="AY63" s="19">
        <v>3.0301480220779222</v>
      </c>
      <c r="AZ63" s="19">
        <v>3.0497714429447851</v>
      </c>
      <c r="BA63" s="19">
        <v>3.3846406364864867</v>
      </c>
      <c r="BB63" s="19">
        <v>3.6345380831649829</v>
      </c>
      <c r="BC63" s="19">
        <v>3.6041080482927401</v>
      </c>
      <c r="BD63" s="19">
        <v>3.8846858645639109</v>
      </c>
      <c r="BE63" s="19">
        <v>4.2750481637697373</v>
      </c>
      <c r="BF63" s="19">
        <v>5.7046406539492533</v>
      </c>
      <c r="BG63" s="19">
        <v>5.9944185651538477</v>
      </c>
      <c r="BH63" s="19">
        <v>7</v>
      </c>
      <c r="BI63" s="19">
        <v>6.9951821409366586</v>
      </c>
      <c r="BJ63" s="19">
        <v>6.7228548435097242</v>
      </c>
      <c r="BK63" s="19">
        <v>5.3059684298122427</v>
      </c>
      <c r="BL63" s="19">
        <v>4.8302566285067865</v>
      </c>
      <c r="BM63" s="19">
        <v>4.3940074980891719</v>
      </c>
      <c r="BN63" s="19">
        <v>4.36375481948052</v>
      </c>
      <c r="BO63" s="19">
        <v>4.3222041779141103</v>
      </c>
      <c r="BP63" s="19">
        <v>4.5074442319819816</v>
      </c>
      <c r="BQ63" s="19">
        <v>4.4233631999999998</v>
      </c>
      <c r="BR63" s="19">
        <v>4.3384694520766249</v>
      </c>
      <c r="BS63" s="19">
        <v>4.0951062562004212</v>
      </c>
      <c r="BT63" s="19">
        <v>4.1487214972102446</v>
      </c>
      <c r="BU63" s="19">
        <v>4.105640485191774</v>
      </c>
      <c r="BV63" s="19">
        <v>3.8707876397435843</v>
      </c>
      <c r="BW63" s="19">
        <v>3.2218895073231422</v>
      </c>
      <c r="BX63" s="19">
        <v>3.43843509256194</v>
      </c>
      <c r="BY63" s="19">
        <v>2.7916936936164962</v>
      </c>
      <c r="BZ63" s="19">
        <v>34.809062312992602</v>
      </c>
      <c r="CA63" s="19">
        <v>41.001095036997903</v>
      </c>
      <c r="CB63" s="19">
        <v>44.7340859761403</v>
      </c>
      <c r="CC63" s="19">
        <v>63.610390743599297</v>
      </c>
      <c r="CD63" s="19">
        <v>75.095076422805803</v>
      </c>
      <c r="CE63" s="19">
        <v>81.423697032558493</v>
      </c>
      <c r="CF63" s="19">
        <v>92.491560870930655</v>
      </c>
      <c r="CG63" s="19">
        <v>105.40781747603755</v>
      </c>
      <c r="CH63" s="19">
        <v>113.09673691167353</v>
      </c>
      <c r="CI63" s="19">
        <v>122.27212161256151</v>
      </c>
      <c r="CJ63" s="19">
        <v>95.780575409062905</v>
      </c>
      <c r="CK63" s="19">
        <v>103.549995422363</v>
      </c>
      <c r="CL63" s="19">
        <v>129.94006347656301</v>
      </c>
      <c r="CM63" s="19">
        <v>127.78903961181599</v>
      </c>
      <c r="CN63" s="19">
        <v>127.043582473502</v>
      </c>
      <c r="CO63" s="19">
        <v>132.29877879098899</v>
      </c>
      <c r="CP63" s="19">
        <v>131.30491642621001</v>
      </c>
      <c r="CQ63" s="19">
        <v>119.030600861203</v>
      </c>
      <c r="CR63" s="19">
        <v>120.41898287688601</v>
      </c>
      <c r="CS63" s="19">
        <v>116.712283291961</v>
      </c>
      <c r="CT63" s="19">
        <v>134.10326084872463</v>
      </c>
      <c r="CU63" s="19">
        <v>127.29597021038741</v>
      </c>
      <c r="CV63" s="19">
        <v>133.94682707377154</v>
      </c>
      <c r="CW63" s="19">
        <v>134.76425117274766</v>
      </c>
      <c r="CX63" s="19">
        <v>140.27721363782948</v>
      </c>
      <c r="CY63" s="19">
        <v>6.6691480730223116</v>
      </c>
      <c r="CZ63" s="19">
        <v>6.5055933367647061</v>
      </c>
      <c r="DA63" s="19">
        <v>6.2701290675159242</v>
      </c>
      <c r="DB63" s="19">
        <v>6.1235234116883115</v>
      </c>
      <c r="DC63" s="19">
        <v>5.7258622343558283</v>
      </c>
      <c r="DD63" s="19">
        <v>5.8324867135135134</v>
      </c>
      <c r="DE63" s="19">
        <v>5.8404570787878782</v>
      </c>
      <c r="DF63" s="19">
        <v>5.6391356051589234</v>
      </c>
      <c r="DG63" s="19">
        <v>5.8119613105250938</v>
      </c>
      <c r="DH63" s="19">
        <v>5.8128827634311859</v>
      </c>
      <c r="DI63" s="19">
        <v>5.6215294130040681</v>
      </c>
      <c r="DJ63" s="19">
        <v>5.8958122192327522</v>
      </c>
      <c r="DK63" s="19">
        <v>5.3290289708226837</v>
      </c>
      <c r="DL63" s="19">
        <v>4.872009177770134</v>
      </c>
      <c r="DM63" s="19">
        <v>4.3719676033002148</v>
      </c>
      <c r="DN63" s="19">
        <v>6.6225318562438247</v>
      </c>
      <c r="DO63" s="19">
        <v>6.6321413834841634</v>
      </c>
      <c r="DP63" s="19">
        <v>6.5436120490445866</v>
      </c>
      <c r="DQ63" s="19">
        <v>6.3257532272727275</v>
      </c>
      <c r="DR63" s="19">
        <v>6.1627350625766866</v>
      </c>
      <c r="DS63" s="19">
        <v>6.2295286040540541</v>
      </c>
      <c r="DT63" s="19">
        <v>6.1646487040404034</v>
      </c>
      <c r="DU63" s="19">
        <v>6.0277126527881038</v>
      </c>
      <c r="DV63" s="19">
        <v>5.8743930362886001</v>
      </c>
      <c r="DW63" s="19">
        <v>5.6846987480208995</v>
      </c>
      <c r="DX63" s="19">
        <v>5.6990638780392215</v>
      </c>
      <c r="DY63" s="19">
        <v>5.1594406883321007</v>
      </c>
      <c r="DZ63" s="19">
        <v>5.3851949039399276</v>
      </c>
      <c r="EA63" s="19">
        <v>5.0683140739987991</v>
      </c>
      <c r="EB63" s="19">
        <v>5.101892974470517</v>
      </c>
      <c r="EC63" s="19">
        <v>6.5518198366879901</v>
      </c>
      <c r="ED63" s="19">
        <v>6.5432381234162893</v>
      </c>
      <c r="EE63" s="19">
        <v>6.4881072337579617</v>
      </c>
      <c r="EF63" s="19">
        <v>6.4199973181818182</v>
      </c>
      <c r="EG63" s="19">
        <v>6.1531938184049064</v>
      </c>
      <c r="EH63" s="19">
        <v>6.0892522873873869</v>
      </c>
      <c r="EI63" s="19">
        <v>6.0089593228956222</v>
      </c>
      <c r="EJ63" s="19">
        <v>5.8750078394826666</v>
      </c>
      <c r="EK63" s="19">
        <v>5.7156796232346565</v>
      </c>
      <c r="EL63" s="19">
        <v>5.5516362757909867</v>
      </c>
      <c r="EM63" s="19">
        <v>5.3885164181326344</v>
      </c>
      <c r="EN63" s="19">
        <v>5.3936262769311796</v>
      </c>
      <c r="EO63" s="19">
        <v>5.2789506777123503</v>
      </c>
      <c r="EP63" s="19">
        <v>5.5931243613920651</v>
      </c>
      <c r="EQ63" s="19">
        <v>4.5674705211845694</v>
      </c>
      <c r="ER63" s="19"/>
      <c r="ES63" s="16">
        <f t="shared" si="4"/>
        <v>5.6644535687439443</v>
      </c>
      <c r="ET63" s="16">
        <f t="shared" si="4"/>
        <v>5.3892736960327188</v>
      </c>
      <c r="EU63" s="16">
        <f t="shared" si="4"/>
        <v>5.4761463918200404</v>
      </c>
      <c r="EV63" s="16">
        <f t="shared" si="4"/>
        <v>3.0497714429447851</v>
      </c>
      <c r="EW63" s="16">
        <f t="shared" si="4"/>
        <v>4.3222041779141103</v>
      </c>
      <c r="EX63" s="16" t="str">
        <f t="shared" si="4"/>
        <v>.</v>
      </c>
      <c r="EY63" s="16">
        <f t="shared" si="4"/>
        <v>127.043582473502</v>
      </c>
      <c r="EZ63" s="16">
        <f t="shared" si="4"/>
        <v>5.7258622343558283</v>
      </c>
      <c r="FA63" s="16">
        <f t="shared" si="4"/>
        <v>6.1627350625766866</v>
      </c>
      <c r="FB63" s="16">
        <f t="shared" si="4"/>
        <v>6.1531938184049064</v>
      </c>
    </row>
    <row r="64" spans="1:158" x14ac:dyDescent="0.25">
      <c r="A64" s="17">
        <v>61</v>
      </c>
      <c r="B64" s="17" t="s">
        <v>86</v>
      </c>
      <c r="C64" s="17" t="s">
        <v>86</v>
      </c>
      <c r="D64" s="17" t="s">
        <v>14</v>
      </c>
      <c r="E64" s="16">
        <v>1</v>
      </c>
      <c r="F64" s="18">
        <v>3.4139622061592512</v>
      </c>
      <c r="G64" s="18">
        <v>3.5611853076923081</v>
      </c>
      <c r="H64" s="18">
        <v>3.5207678894519643</v>
      </c>
      <c r="I64" s="18">
        <v>3.5016260683967984</v>
      </c>
      <c r="J64" s="18">
        <v>3.5068945727810652</v>
      </c>
      <c r="K64" s="18">
        <v>3.5722189822408779</v>
      </c>
      <c r="L64" s="18">
        <v>3.8548446007771102</v>
      </c>
      <c r="M64" s="18">
        <v>3.9400195167221956</v>
      </c>
      <c r="N64" s="18">
        <v>3.8970124432296589</v>
      </c>
      <c r="O64" s="18">
        <v>3.9128456033247283</v>
      </c>
      <c r="P64" s="18">
        <v>4.2533713345565056</v>
      </c>
      <c r="Q64" s="18">
        <v>3.4600383511379031</v>
      </c>
      <c r="R64" s="18">
        <v>4.5590549094700368</v>
      </c>
      <c r="S64" s="18">
        <v>4.1393415163840466</v>
      </c>
      <c r="T64" s="18">
        <v>4.2742745772201269</v>
      </c>
      <c r="U64" s="18">
        <v>2.703859340072877</v>
      </c>
      <c r="V64" s="18">
        <v>2.6224971130434778</v>
      </c>
      <c r="W64" s="18">
        <v>2.6303480658369098</v>
      </c>
      <c r="X64" s="18">
        <v>2.8396686030721967</v>
      </c>
      <c r="Y64" s="18">
        <v>2.8942413405920404</v>
      </c>
      <c r="Z64" s="18">
        <v>2.9614327546766521</v>
      </c>
      <c r="AA64" s="18">
        <v>3.269943998712209</v>
      </c>
      <c r="AB64" s="18">
        <v>3.3072978977746912</v>
      </c>
      <c r="AC64" s="18">
        <v>3.3051447581105768</v>
      </c>
      <c r="AD64" s="19">
        <v>3.3168344890275288</v>
      </c>
      <c r="AE64" s="19">
        <v>3.3253876308286761</v>
      </c>
      <c r="AF64" s="19">
        <v>3.602439456694829</v>
      </c>
      <c r="AG64" s="19">
        <v>3.7048782311080863</v>
      </c>
      <c r="AH64" s="19">
        <v>3.8456296741064455</v>
      </c>
      <c r="AI64" s="19">
        <v>3.9458935750791961</v>
      </c>
      <c r="AJ64" s="19">
        <v>4.3350821751152075</v>
      </c>
      <c r="AK64" s="19">
        <v>4.4637750368836295</v>
      </c>
      <c r="AL64" s="19">
        <v>4.4615642069529651</v>
      </c>
      <c r="AM64" s="19">
        <v>4.5295059993288591</v>
      </c>
      <c r="AN64" s="19">
        <v>4.2538873521472391</v>
      </c>
      <c r="AO64" s="19">
        <v>4.0888269558131025</v>
      </c>
      <c r="AP64" s="19">
        <v>4.1205965558687847</v>
      </c>
      <c r="AQ64" s="19">
        <v>3.4665522680467027</v>
      </c>
      <c r="AR64" s="19">
        <v>4.0849273032411269</v>
      </c>
      <c r="AS64" s="19">
        <v>3.8155827570259406</v>
      </c>
      <c r="AT64" s="19">
        <v>3.6524515141574492</v>
      </c>
      <c r="AU64" s="19">
        <v>3.3023609680042876</v>
      </c>
      <c r="AV64" s="19">
        <v>2.9212437553636827</v>
      </c>
      <c r="AW64" s="19">
        <v>3.1891829999999999</v>
      </c>
      <c r="AX64" s="19">
        <v>3.1255899656652364</v>
      </c>
      <c r="AY64" s="19">
        <v>3.5363130350230421</v>
      </c>
      <c r="AZ64" s="19">
        <v>3.5912196585798819</v>
      </c>
      <c r="BA64" s="19">
        <v>3.4250653558282211</v>
      </c>
      <c r="BB64" s="19">
        <v>3.4975436167785237</v>
      </c>
      <c r="BC64" s="19">
        <v>3.4414563822928583</v>
      </c>
      <c r="BD64" s="19">
        <v>3.4589220027231802</v>
      </c>
      <c r="BE64" s="19">
        <v>3.511224472522736</v>
      </c>
      <c r="BF64" s="19">
        <v>5.0751503474941773</v>
      </c>
      <c r="BG64" s="19">
        <v>4.4986612627444895</v>
      </c>
      <c r="BH64" s="19">
        <v>3.8200199961232459</v>
      </c>
      <c r="BI64" s="19">
        <v>4.1813116704964424</v>
      </c>
      <c r="BJ64" s="19">
        <v>4.3127989281840309</v>
      </c>
      <c r="BK64" s="19">
        <v>2.908375025318132</v>
      </c>
      <c r="BL64" s="19">
        <v>2.5792510000000002</v>
      </c>
      <c r="BM64" s="19">
        <v>2.7910654399141634</v>
      </c>
      <c r="BN64" s="19">
        <v>3.0917235612903227</v>
      </c>
      <c r="BO64" s="19">
        <v>3.1479982112426037</v>
      </c>
      <c r="BP64" s="19">
        <v>2.9428210944785276</v>
      </c>
      <c r="BQ64" s="19">
        <v>3.0302879006711407</v>
      </c>
      <c r="BR64" s="19">
        <v>3.4350339337215496</v>
      </c>
      <c r="BS64" s="19">
        <v>3.1130348812113153</v>
      </c>
      <c r="BT64" s="19">
        <v>2.7050505042076112</v>
      </c>
      <c r="BU64" s="19">
        <v>3.5601190604663104</v>
      </c>
      <c r="BV64" s="19">
        <v>3.6137856746138599</v>
      </c>
      <c r="BW64" s="19">
        <v>3.2650128025982879</v>
      </c>
      <c r="BX64" s="19">
        <v>3.8395793096556958</v>
      </c>
      <c r="BY64" s="19">
        <v>4.3203912349790086</v>
      </c>
      <c r="BZ64" s="19">
        <v>23.022423941600799</v>
      </c>
      <c r="CA64" s="19">
        <v>33.3018214754212</v>
      </c>
      <c r="CB64" s="19">
        <v>39.853700875805899</v>
      </c>
      <c r="CC64" s="19">
        <v>59.7754277276252</v>
      </c>
      <c r="CD64" s="19">
        <v>66.820963634892095</v>
      </c>
      <c r="CE64" s="19">
        <v>79.830639471862327</v>
      </c>
      <c r="CF64" s="19">
        <v>89.54507202265404</v>
      </c>
      <c r="CG64" s="19">
        <v>100.83701529120133</v>
      </c>
      <c r="CH64" s="19">
        <v>110.48636741262278</v>
      </c>
      <c r="CI64" s="19">
        <v>127.38050127047076</v>
      </c>
      <c r="CJ64" s="19">
        <v>34.950000000000003</v>
      </c>
      <c r="CK64" s="19">
        <v>23.086044311523398</v>
      </c>
      <c r="CL64" s="19">
        <v>48.317195892333999</v>
      </c>
      <c r="CM64" s="19">
        <v>63.3836059570313</v>
      </c>
      <c r="CN64" s="19">
        <v>71.486862626052996</v>
      </c>
      <c r="CO64" s="19">
        <v>84.779295817929594</v>
      </c>
      <c r="CP64" s="19">
        <v>100.283755472837</v>
      </c>
      <c r="CQ64" s="19">
        <v>108.19114815061</v>
      </c>
      <c r="CR64" s="19">
        <v>114.819478940048</v>
      </c>
      <c r="CS64" s="19">
        <v>129.73599713137199</v>
      </c>
      <c r="CT64" s="19">
        <v>140.60444897282417</v>
      </c>
      <c r="CU64" s="19">
        <v>150.81337495291908</v>
      </c>
      <c r="CV64" s="19">
        <v>163.01650931358927</v>
      </c>
      <c r="CW64" s="19">
        <v>177.02967271249113</v>
      </c>
      <c r="CX64" s="19">
        <v>187.64246257295775</v>
      </c>
      <c r="CY64" s="19">
        <v>4.3766149421970377</v>
      </c>
      <c r="CZ64" s="19">
        <v>4.4233359999999999</v>
      </c>
      <c r="DA64" s="19">
        <v>4.2908404991416305</v>
      </c>
      <c r="DB64" s="19">
        <v>4.2057424580645169</v>
      </c>
      <c r="DC64" s="19">
        <v>4.0172826911242607</v>
      </c>
      <c r="DD64" s="19">
        <v>3.8623066969325155</v>
      </c>
      <c r="DE64" s="19">
        <v>4.2385811275167793</v>
      </c>
      <c r="DF64" s="19">
        <v>4.2830456453746955</v>
      </c>
      <c r="DG64" s="19">
        <v>4.1781087991487178</v>
      </c>
      <c r="DH64" s="19">
        <v>4.2671875000000004</v>
      </c>
      <c r="DI64" s="19">
        <v>5.1784094016687989</v>
      </c>
      <c r="DJ64" s="19">
        <v>4.2789539384810862</v>
      </c>
      <c r="DK64" s="19">
        <v>3.6967927429832477</v>
      </c>
      <c r="DL64" s="19">
        <v>3.4060616610591006</v>
      </c>
      <c r="DM64" s="19">
        <v>4.3625344093332572</v>
      </c>
      <c r="DN64" s="19">
        <v>3.4638016118702391</v>
      </c>
      <c r="DO64" s="19">
        <v>3.4233790000000002</v>
      </c>
      <c r="DP64" s="19">
        <v>3.6381138317596573</v>
      </c>
      <c r="DQ64" s="19">
        <v>3.7771062368663597</v>
      </c>
      <c r="DR64" s="19">
        <v>3.7035166816568044</v>
      </c>
      <c r="DS64" s="19">
        <v>3.8553539582822087</v>
      </c>
      <c r="DT64" s="19">
        <v>3.8019138798657721</v>
      </c>
      <c r="DU64" s="19">
        <v>3.3575577479063821</v>
      </c>
      <c r="DV64" s="19">
        <v>3.0263045102203447</v>
      </c>
      <c r="DW64" s="19">
        <v>3.2386184930801392</v>
      </c>
      <c r="DX64" s="19">
        <v>3.8692390900893989</v>
      </c>
      <c r="DY64" s="19">
        <v>3.8063667819052993</v>
      </c>
      <c r="DZ64" s="19">
        <v>3.1128539802208928</v>
      </c>
      <c r="EA64" s="19">
        <v>3.4342193616905523</v>
      </c>
      <c r="EB64" s="19">
        <v>2.5394148805822074</v>
      </c>
      <c r="EC64" s="19">
        <v>3.2168918244752396</v>
      </c>
      <c r="ED64" s="19">
        <v>3.3743560000000001</v>
      </c>
      <c r="EE64" s="19">
        <v>3.4494398751072963</v>
      </c>
      <c r="EF64" s="19">
        <v>3.4477082055299535</v>
      </c>
      <c r="EG64" s="19">
        <v>3.359813692307692</v>
      </c>
      <c r="EH64" s="19">
        <v>3.5152770490797547</v>
      </c>
      <c r="EI64" s="19">
        <v>4.0590777946308725</v>
      </c>
      <c r="EJ64" s="19">
        <v>3.7280282586575373</v>
      </c>
      <c r="EK64" s="19">
        <v>3.2198350921196024</v>
      </c>
      <c r="EL64" s="19">
        <v>3.5250000119209295</v>
      </c>
      <c r="EM64" s="19">
        <v>4.199810548680782</v>
      </c>
      <c r="EN64" s="19">
        <v>3.6895372401126831</v>
      </c>
      <c r="EO64" s="19">
        <v>3.8418510693176224</v>
      </c>
      <c r="EP64" s="19">
        <v>3.7277071880039339</v>
      </c>
      <c r="EQ64" s="19">
        <v>3.0354381497986695</v>
      </c>
      <c r="ER64" s="19"/>
      <c r="ES64" s="16">
        <f t="shared" si="4"/>
        <v>3.5068945727810652</v>
      </c>
      <c r="ET64" s="16">
        <f t="shared" si="4"/>
        <v>2.8942413405920404</v>
      </c>
      <c r="EU64" s="16">
        <f t="shared" si="4"/>
        <v>4.4637750368836295</v>
      </c>
      <c r="EV64" s="16">
        <f t="shared" si="4"/>
        <v>3.5912196585798819</v>
      </c>
      <c r="EW64" s="16">
        <f t="shared" si="4"/>
        <v>3.1479982112426037</v>
      </c>
      <c r="EX64" s="16" t="str">
        <f t="shared" si="4"/>
        <v>.</v>
      </c>
      <c r="EY64" s="16">
        <f t="shared" si="4"/>
        <v>71.486862626052996</v>
      </c>
      <c r="EZ64" s="16">
        <f t="shared" si="4"/>
        <v>4.0172826911242607</v>
      </c>
      <c r="FA64" s="16">
        <f t="shared" si="4"/>
        <v>3.7035166816568044</v>
      </c>
      <c r="FB64" s="16">
        <f t="shared" si="4"/>
        <v>3.359813692307692</v>
      </c>
    </row>
    <row r="65" spans="1:158" x14ac:dyDescent="0.25">
      <c r="A65" s="17">
        <v>62</v>
      </c>
      <c r="B65" s="17" t="s">
        <v>87</v>
      </c>
      <c r="C65" s="17" t="s">
        <v>87</v>
      </c>
      <c r="D65" s="17" t="s">
        <v>23</v>
      </c>
      <c r="E65" s="16">
        <v>1</v>
      </c>
      <c r="F65" s="18">
        <v>4.1273512525138312</v>
      </c>
      <c r="G65" s="18">
        <v>4.1260658721134469</v>
      </c>
      <c r="H65" s="18">
        <v>4.0357954808167138</v>
      </c>
      <c r="I65" s="18">
        <v>3.8269274493927128</v>
      </c>
      <c r="J65" s="18">
        <v>3.7915553604665071</v>
      </c>
      <c r="K65" s="18">
        <v>3.7443056099310774</v>
      </c>
      <c r="L65" s="18">
        <v>3.8433087051119172</v>
      </c>
      <c r="M65" s="18">
        <v>3.9142586253134666</v>
      </c>
      <c r="N65" s="18">
        <v>3.8384775969320089</v>
      </c>
      <c r="O65" s="18">
        <v>3.8668812641240105</v>
      </c>
      <c r="P65" s="18">
        <v>3.4572818924948083</v>
      </c>
      <c r="Q65" s="18">
        <v>3.9830214622178142</v>
      </c>
      <c r="R65" s="18">
        <v>3.7993180871937122</v>
      </c>
      <c r="S65" s="18">
        <v>3.4687609524215914</v>
      </c>
      <c r="T65" s="18">
        <v>3.5810473760693973</v>
      </c>
      <c r="U65" s="18">
        <v>3.2264948532652844</v>
      </c>
      <c r="V65" s="18">
        <v>3.1768824101099695</v>
      </c>
      <c r="W65" s="18">
        <v>3.1362337908994702</v>
      </c>
      <c r="X65" s="18">
        <v>2.9986242489377286</v>
      </c>
      <c r="Y65" s="18">
        <v>2.9787940687824679</v>
      </c>
      <c r="Z65" s="18">
        <v>2.995060183485073</v>
      </c>
      <c r="AA65" s="18">
        <v>3.0795820258798874</v>
      </c>
      <c r="AB65" s="18">
        <v>3.175994426203181</v>
      </c>
      <c r="AC65" s="18">
        <v>3.2340577938223571</v>
      </c>
      <c r="AD65" s="19">
        <v>3.2970421725774957</v>
      </c>
      <c r="AE65" s="19">
        <v>3.38495096657654</v>
      </c>
      <c r="AF65" s="19">
        <v>3.0933117615286752</v>
      </c>
      <c r="AG65" s="19">
        <v>2.8390474299900363</v>
      </c>
      <c r="AH65" s="19">
        <v>3.7622184122680786</v>
      </c>
      <c r="AI65" s="19">
        <v>3.4674742393825913</v>
      </c>
      <c r="AJ65" s="19">
        <v>4.5550060153846159</v>
      </c>
      <c r="AK65" s="19">
        <v>4.6468458617424249</v>
      </c>
      <c r="AL65" s="19">
        <v>4.5240526625000008</v>
      </c>
      <c r="AM65" s="19">
        <v>4.5044910938697313</v>
      </c>
      <c r="AN65" s="19">
        <v>4.5666342957801591</v>
      </c>
      <c r="AO65" s="19">
        <v>4.5250567752716195</v>
      </c>
      <c r="AP65" s="19">
        <v>4.4132789252047049</v>
      </c>
      <c r="AQ65" s="19">
        <v>4.7609720741587678</v>
      </c>
      <c r="AR65" s="19">
        <v>4.1866830241259736</v>
      </c>
      <c r="AS65" s="19">
        <v>4.4573065824002169</v>
      </c>
      <c r="AT65" s="19">
        <v>4.7877339820267313</v>
      </c>
      <c r="AU65" s="19">
        <v>4.3040241361534655</v>
      </c>
      <c r="AV65" s="19">
        <v>2.600032505349839</v>
      </c>
      <c r="AW65" s="19">
        <v>2.5290514806068991</v>
      </c>
      <c r="AX65" s="19">
        <v>2.4190234148148146</v>
      </c>
      <c r="AY65" s="19">
        <v>2.3737003846153848</v>
      </c>
      <c r="AZ65" s="19">
        <v>2.3465585017045454</v>
      </c>
      <c r="BA65" s="19">
        <v>2.2209544869047617</v>
      </c>
      <c r="BB65" s="19">
        <v>2.2497370477011494</v>
      </c>
      <c r="BC65" s="19">
        <v>2.4442265111044454</v>
      </c>
      <c r="BD65" s="19">
        <v>2.3971443823206497</v>
      </c>
      <c r="BE65" s="19">
        <v>2.3965212016762374</v>
      </c>
      <c r="BF65" s="19">
        <v>4.4087754991552677</v>
      </c>
      <c r="BG65" s="19">
        <v>4.460253143243845</v>
      </c>
      <c r="BH65" s="19">
        <v>6.0549798059121898</v>
      </c>
      <c r="BI65" s="19">
        <v>5.7113171764084525</v>
      </c>
      <c r="BJ65" s="19">
        <v>6.3587054892736763</v>
      </c>
      <c r="BK65" s="19">
        <v>4.1172361006637894</v>
      </c>
      <c r="BL65" s="19">
        <v>3.8504474638726895</v>
      </c>
      <c r="BM65" s="19">
        <v>3.7136134962962966</v>
      </c>
      <c r="BN65" s="19">
        <v>3.5638565076923077</v>
      </c>
      <c r="BO65" s="19">
        <v>3.5093106829545455</v>
      </c>
      <c r="BP65" s="19">
        <v>3.3075398625000005</v>
      </c>
      <c r="BQ65" s="19">
        <v>3.2735602706896549</v>
      </c>
      <c r="BR65" s="19">
        <v>3.3187585674219742</v>
      </c>
      <c r="BS65" s="19">
        <v>3.3461735917810809</v>
      </c>
      <c r="BT65" s="19">
        <v>3.3843092655707263</v>
      </c>
      <c r="BU65" s="19">
        <v>3.4819532375644564</v>
      </c>
      <c r="BV65" s="19">
        <v>2.7121810087228071</v>
      </c>
      <c r="BW65" s="19">
        <v>3.2317477968541586</v>
      </c>
      <c r="BX65" s="19">
        <v>2.7372348224006267</v>
      </c>
      <c r="BY65" s="19">
        <v>2.8993001462674779</v>
      </c>
      <c r="BZ65" s="19">
        <v>31.7786843600338</v>
      </c>
      <c r="CA65" s="19">
        <v>44.4812528866672</v>
      </c>
      <c r="CB65" s="19">
        <v>36.065848369741502</v>
      </c>
      <c r="CC65" s="19">
        <v>40.975848827918199</v>
      </c>
      <c r="CD65" s="19">
        <v>45.648186522303497</v>
      </c>
      <c r="CE65" s="19">
        <v>47.179389500205794</v>
      </c>
      <c r="CF65" s="19">
        <v>50.810132387159165</v>
      </c>
      <c r="CG65" s="19">
        <v>51.568001267409144</v>
      </c>
      <c r="CH65" s="19">
        <v>55.29694950976085</v>
      </c>
      <c r="CI65" s="19">
        <v>61.123062004173363</v>
      </c>
      <c r="CJ65" s="19">
        <v>92.269748201438802</v>
      </c>
      <c r="CK65" s="19">
        <v>98.558631896972699</v>
      </c>
      <c r="CL65" s="19">
        <v>123.52001953125</v>
      </c>
      <c r="CM65" s="19">
        <v>119.11740875244099</v>
      </c>
      <c r="CN65" s="19">
        <v>108.216758253512</v>
      </c>
      <c r="CO65" s="19">
        <v>106.478946369856</v>
      </c>
      <c r="CP65" s="19">
        <v>116.944125333505</v>
      </c>
      <c r="CQ65" s="19">
        <v>116.82064775399699</v>
      </c>
      <c r="CR65" s="19">
        <v>114.961884920785</v>
      </c>
      <c r="CS65" s="19">
        <v>113.98374395876699</v>
      </c>
      <c r="CT65" s="19">
        <v>122.96419322294174</v>
      </c>
      <c r="CU65" s="19">
        <v>123.95580452960218</v>
      </c>
      <c r="CV65" s="19">
        <v>119.83913809279038</v>
      </c>
      <c r="CW65" s="19">
        <v>125.20713533156604</v>
      </c>
      <c r="CX65" s="19">
        <v>126.8086124445412</v>
      </c>
      <c r="CY65" s="19">
        <v>5.1784261715296189</v>
      </c>
      <c r="CZ65" s="19">
        <v>5.1047253955649206</v>
      </c>
      <c r="DA65" s="19">
        <v>4.9774655629629629</v>
      </c>
      <c r="DB65" s="19">
        <v>4.7159336769230764</v>
      </c>
      <c r="DC65" s="19">
        <v>4.462617985795454</v>
      </c>
      <c r="DD65" s="19">
        <v>4.172479731547619</v>
      </c>
      <c r="DE65" s="19">
        <v>3.891883785057471</v>
      </c>
      <c r="DF65" s="19">
        <v>3.9066524989637377</v>
      </c>
      <c r="DG65" s="19">
        <v>4.0115009472384093</v>
      </c>
      <c r="DH65" s="19">
        <v>4.0602794698612419</v>
      </c>
      <c r="DI65" s="19">
        <v>3.3305335085222136</v>
      </c>
      <c r="DJ65" s="19">
        <v>3.6324543630688049</v>
      </c>
      <c r="DK65" s="19">
        <v>2.9773938107098781</v>
      </c>
      <c r="DL65" s="19">
        <v>2.2256691393891481</v>
      </c>
      <c r="DM65" s="19">
        <v>3.3556406355143116</v>
      </c>
      <c r="DN65" s="19">
        <v>4.4408276917798268</v>
      </c>
      <c r="DO65" s="19">
        <v>4.2720955879410889</v>
      </c>
      <c r="DP65" s="19">
        <v>4.4212286074074072</v>
      </c>
      <c r="DQ65" s="19">
        <v>4.5468358307692309</v>
      </c>
      <c r="DR65" s="19">
        <v>4.481566789772728</v>
      </c>
      <c r="DS65" s="19">
        <v>4.4646080476190475</v>
      </c>
      <c r="DT65" s="19">
        <v>4.5378613045977003</v>
      </c>
      <c r="DU65" s="19">
        <v>4.5758512300029759</v>
      </c>
      <c r="DV65" s="19">
        <v>4.3238277764348254</v>
      </c>
      <c r="DW65" s="19">
        <v>4.1782915857737652</v>
      </c>
      <c r="DX65" s="19">
        <v>4.4022505407641281</v>
      </c>
      <c r="DY65" s="19">
        <v>4.4466729455785146</v>
      </c>
      <c r="DZ65" s="19">
        <v>4.1203228557192535</v>
      </c>
      <c r="EA65" s="19">
        <v>5.4650534703810401</v>
      </c>
      <c r="EB65" s="19">
        <v>4.280733334559045</v>
      </c>
      <c r="EC65" s="19">
        <v>4.2394077358565259</v>
      </c>
      <c r="ED65" s="19">
        <v>4.1785514941978841</v>
      </c>
      <c r="EE65" s="19">
        <v>4.109334414814815</v>
      </c>
      <c r="EF65" s="19">
        <v>4.1271965230769236</v>
      </c>
      <c r="EG65" s="19">
        <v>3.9836045056818183</v>
      </c>
      <c r="EH65" s="19">
        <v>3.9765676375000001</v>
      </c>
      <c r="EI65" s="19">
        <v>4.2108343890804587</v>
      </c>
      <c r="EJ65" s="19">
        <v>4.3232016940464888</v>
      </c>
      <c r="EK65" s="19">
        <v>4.2801420225734601</v>
      </c>
      <c r="EL65" s="19">
        <v>4.2953059167919045</v>
      </c>
      <c r="EM65" s="19">
        <v>4.3345276970729962</v>
      </c>
      <c r="EN65" s="19">
        <v>4.104330139445544</v>
      </c>
      <c r="EO65" s="19">
        <v>4.4559978266337374</v>
      </c>
      <c r="EP65" s="19">
        <v>4.3924550526941566</v>
      </c>
      <c r="EQ65" s="19">
        <v>4.4611509483036</v>
      </c>
      <c r="ER65" s="19"/>
      <c r="ES65" s="16">
        <f t="shared" si="4"/>
        <v>3.7915553604665071</v>
      </c>
      <c r="ET65" s="16">
        <f t="shared" si="4"/>
        <v>2.9787940687824679</v>
      </c>
      <c r="EU65" s="16">
        <f t="shared" si="4"/>
        <v>4.6468458617424249</v>
      </c>
      <c r="EV65" s="16">
        <f t="shared" si="4"/>
        <v>2.3465585017045454</v>
      </c>
      <c r="EW65" s="16">
        <f t="shared" si="4"/>
        <v>3.5093106829545455</v>
      </c>
      <c r="EX65" s="16" t="str">
        <f t="shared" si="4"/>
        <v>.</v>
      </c>
      <c r="EY65" s="16">
        <f t="shared" si="4"/>
        <v>108.216758253512</v>
      </c>
      <c r="EZ65" s="16">
        <f t="shared" si="4"/>
        <v>4.462617985795454</v>
      </c>
      <c r="FA65" s="16">
        <f t="shared" si="4"/>
        <v>4.481566789772728</v>
      </c>
      <c r="FB65" s="16">
        <f t="shared" si="4"/>
        <v>3.9836045056818183</v>
      </c>
    </row>
    <row r="66" spans="1:158" x14ac:dyDescent="0.25">
      <c r="A66" s="17">
        <v>63</v>
      </c>
      <c r="B66" s="17" t="s">
        <v>88</v>
      </c>
      <c r="C66" s="17" t="s">
        <v>11</v>
      </c>
      <c r="D66" s="17" t="s">
        <v>16</v>
      </c>
      <c r="E66" s="16">
        <v>0</v>
      </c>
      <c r="F66" s="18">
        <v>2.92</v>
      </c>
      <c r="G66" s="18">
        <v>5.27</v>
      </c>
      <c r="H66" s="18">
        <v>3.9</v>
      </c>
      <c r="I66" s="18">
        <v>5.4</v>
      </c>
      <c r="J66" s="18">
        <v>5.17</v>
      </c>
      <c r="K66" s="18">
        <v>4.6399999999999997</v>
      </c>
      <c r="L66" s="18">
        <v>3.08</v>
      </c>
      <c r="M66" s="18">
        <v>3.97</v>
      </c>
      <c r="N66" s="18">
        <v>3.48</v>
      </c>
      <c r="O66" s="18">
        <v>4.54</v>
      </c>
      <c r="P66" s="18">
        <v>3.7</v>
      </c>
      <c r="Q66" s="18">
        <v>3.4</v>
      </c>
      <c r="R66" s="18">
        <v>3.69</v>
      </c>
      <c r="S66" s="18">
        <v>3.64</v>
      </c>
      <c r="T66" s="18">
        <v>4</v>
      </c>
      <c r="U66" s="18">
        <v>4.04</v>
      </c>
      <c r="V66" s="18">
        <v>3.07</v>
      </c>
      <c r="W66" s="18">
        <v>2.85</v>
      </c>
      <c r="X66" s="18">
        <v>3.12</v>
      </c>
      <c r="Y66" s="18">
        <v>4.22</v>
      </c>
      <c r="Z66" s="18">
        <v>2.1800000000000002</v>
      </c>
      <c r="AA66" s="18">
        <v>2.79</v>
      </c>
      <c r="AB66" s="18">
        <v>1.5</v>
      </c>
      <c r="AC66" s="18">
        <v>1.85</v>
      </c>
      <c r="AD66" s="19">
        <v>3.19</v>
      </c>
      <c r="AE66" s="19">
        <v>3.09</v>
      </c>
      <c r="AF66" s="19">
        <v>3.43</v>
      </c>
      <c r="AG66" s="19">
        <v>3.8</v>
      </c>
      <c r="AH66" s="19">
        <v>4.42</v>
      </c>
      <c r="AI66" s="19">
        <v>4.2300000000000004</v>
      </c>
      <c r="AJ66" s="19">
        <v>5.04</v>
      </c>
      <c r="AK66" s="19">
        <v>5.44</v>
      </c>
      <c r="AL66" s="19">
        <v>5.47</v>
      </c>
      <c r="AM66" s="19">
        <v>4.04</v>
      </c>
      <c r="AN66" s="19">
        <v>4.45</v>
      </c>
      <c r="AO66" s="19">
        <v>4.54</v>
      </c>
      <c r="AP66" s="19">
        <v>6.02</v>
      </c>
      <c r="AQ66" s="19">
        <v>5.82</v>
      </c>
      <c r="AR66" s="19">
        <v>5.73</v>
      </c>
      <c r="AS66" s="19">
        <v>4.05</v>
      </c>
      <c r="AT66" s="19">
        <v>5.42</v>
      </c>
      <c r="AU66" s="19">
        <v>5.42</v>
      </c>
      <c r="AV66" s="19">
        <v>3.24</v>
      </c>
      <c r="AW66" s="19">
        <v>2.13</v>
      </c>
      <c r="AX66" s="19">
        <v>2.38</v>
      </c>
      <c r="AY66" s="19">
        <v>3.6</v>
      </c>
      <c r="AZ66" s="19">
        <v>3.6</v>
      </c>
      <c r="BA66" s="19">
        <v>2.59</v>
      </c>
      <c r="BB66" s="19">
        <v>3.64</v>
      </c>
      <c r="BC66" s="19">
        <v>3.32</v>
      </c>
      <c r="BD66" s="19">
        <v>4.01</v>
      </c>
      <c r="BE66" s="19">
        <v>4.1500000000000004</v>
      </c>
      <c r="BF66" s="19">
        <v>4.03</v>
      </c>
      <c r="BG66" s="19">
        <v>5.01</v>
      </c>
      <c r="BH66" s="19">
        <v>4.53</v>
      </c>
      <c r="BI66" s="19">
        <v>4.3</v>
      </c>
      <c r="BJ66" s="19">
        <v>4.17</v>
      </c>
      <c r="BK66" s="19">
        <v>3.69</v>
      </c>
      <c r="BL66" s="19">
        <v>2.5499999999999998</v>
      </c>
      <c r="BM66" s="19">
        <v>3.82</v>
      </c>
      <c r="BN66" s="19">
        <v>4.49</v>
      </c>
      <c r="BO66" s="19">
        <v>4.71</v>
      </c>
      <c r="BP66" s="19">
        <v>3.19</v>
      </c>
      <c r="BQ66" s="19">
        <v>3.32</v>
      </c>
      <c r="BR66" s="19">
        <v>3.64</v>
      </c>
      <c r="BS66" s="19">
        <v>3.22</v>
      </c>
      <c r="BT66" s="19">
        <v>3.73</v>
      </c>
      <c r="BU66" s="19">
        <v>2.97</v>
      </c>
      <c r="BV66" s="19">
        <v>3.43</v>
      </c>
      <c r="BW66" s="19">
        <v>3.87</v>
      </c>
      <c r="BX66" s="19">
        <v>3.39</v>
      </c>
      <c r="BY66" s="19">
        <v>2.98</v>
      </c>
      <c r="BZ66" s="19">
        <v>1</v>
      </c>
      <c r="CA66" s="19">
        <v>8.75</v>
      </c>
      <c r="CB66" s="19">
        <v>20.55</v>
      </c>
      <c r="CC66" s="19">
        <v>72.459999999999994</v>
      </c>
      <c r="CD66" s="19">
        <v>37.270000000000003</v>
      </c>
      <c r="CE66" s="19">
        <v>79.34</v>
      </c>
      <c r="CF66" s="19">
        <v>1</v>
      </c>
      <c r="CG66" s="19">
        <v>85.51</v>
      </c>
      <c r="CH66" s="19">
        <v>111.2</v>
      </c>
      <c r="CI66" s="19">
        <v>25.35</v>
      </c>
      <c r="CJ66" s="19">
        <v>87.94</v>
      </c>
      <c r="CK66" s="19">
        <v>102.05</v>
      </c>
      <c r="CL66" s="19">
        <v>147.47</v>
      </c>
      <c r="CM66" s="19">
        <v>31.2</v>
      </c>
      <c r="CN66" s="19">
        <v>77.33</v>
      </c>
      <c r="CO66" s="19">
        <v>11</v>
      </c>
      <c r="CP66" s="19">
        <v>108.68</v>
      </c>
      <c r="CQ66" s="19">
        <v>94.1</v>
      </c>
      <c r="CR66" s="19">
        <v>125.73</v>
      </c>
      <c r="CS66" s="19">
        <v>189.53</v>
      </c>
      <c r="CT66" s="19">
        <v>143.63</v>
      </c>
      <c r="CU66" s="19">
        <v>125.89</v>
      </c>
      <c r="CV66" s="19">
        <v>67.569999999999993</v>
      </c>
      <c r="CW66" s="19">
        <v>200</v>
      </c>
      <c r="CX66" s="19">
        <v>200</v>
      </c>
      <c r="CY66" s="19">
        <v>4.55</v>
      </c>
      <c r="CZ66" s="19">
        <v>5.4</v>
      </c>
      <c r="DA66" s="19">
        <v>3.89</v>
      </c>
      <c r="DB66" s="19">
        <v>4.33</v>
      </c>
      <c r="DC66" s="19">
        <v>4.1399999999999997</v>
      </c>
      <c r="DD66" s="19">
        <v>3.26</v>
      </c>
      <c r="DE66" s="19">
        <v>4.87</v>
      </c>
      <c r="DF66" s="19">
        <v>7</v>
      </c>
      <c r="DG66" s="19">
        <v>4.0199999999999996</v>
      </c>
      <c r="DH66" s="19">
        <v>4.3</v>
      </c>
      <c r="DI66" s="19">
        <v>4.8899999999999997</v>
      </c>
      <c r="DJ66" s="19">
        <v>3.86</v>
      </c>
      <c r="DK66" s="19">
        <v>4.99</v>
      </c>
      <c r="DL66" s="19">
        <v>3.5</v>
      </c>
      <c r="DM66" s="19">
        <v>4.41</v>
      </c>
      <c r="DN66" s="19">
        <v>2.13</v>
      </c>
      <c r="DO66" s="19">
        <v>4.1100000000000003</v>
      </c>
      <c r="DP66" s="19">
        <v>5.5</v>
      </c>
      <c r="DQ66" s="19">
        <v>4.03</v>
      </c>
      <c r="DR66" s="19">
        <v>3.91</v>
      </c>
      <c r="DS66" s="19">
        <v>4.4400000000000004</v>
      </c>
      <c r="DT66" s="19">
        <v>4.05</v>
      </c>
      <c r="DU66" s="19">
        <v>6.49</v>
      </c>
      <c r="DV66" s="19">
        <v>4.62</v>
      </c>
      <c r="DW66" s="19">
        <v>4.21</v>
      </c>
      <c r="DX66" s="19">
        <v>5.01</v>
      </c>
      <c r="DY66" s="19">
        <v>4.67</v>
      </c>
      <c r="DZ66" s="19">
        <v>4.47</v>
      </c>
      <c r="EA66" s="19">
        <v>4.5999999999999996</v>
      </c>
      <c r="EB66" s="19">
        <v>4.99</v>
      </c>
      <c r="EC66" s="19">
        <v>4.6500000000000004</v>
      </c>
      <c r="ED66" s="19">
        <v>5.99</v>
      </c>
      <c r="EE66" s="19">
        <v>3.96</v>
      </c>
      <c r="EF66" s="19">
        <v>5.31</v>
      </c>
      <c r="EG66" s="19">
        <v>1</v>
      </c>
      <c r="EH66" s="19">
        <v>4.33</v>
      </c>
      <c r="EI66" s="19">
        <v>5</v>
      </c>
      <c r="EJ66" s="19">
        <v>5.12</v>
      </c>
      <c r="EK66" s="19">
        <v>5.05</v>
      </c>
      <c r="EL66" s="19">
        <v>5.7</v>
      </c>
      <c r="EM66" s="19">
        <v>4.38</v>
      </c>
      <c r="EN66" s="19">
        <v>5.1100000000000003</v>
      </c>
      <c r="EO66" s="19">
        <v>4.49</v>
      </c>
      <c r="EP66" s="19">
        <v>3.62</v>
      </c>
      <c r="EQ66" s="19">
        <v>3.67</v>
      </c>
      <c r="ER66" s="19"/>
      <c r="ES66" s="16">
        <f t="shared" si="4"/>
        <v>5.17</v>
      </c>
      <c r="ET66" s="16">
        <f t="shared" si="4"/>
        <v>4.22</v>
      </c>
      <c r="EU66" s="16">
        <f t="shared" si="4"/>
        <v>5.44</v>
      </c>
      <c r="EV66" s="16">
        <f t="shared" si="4"/>
        <v>3.6</v>
      </c>
      <c r="EW66" s="16">
        <f t="shared" si="4"/>
        <v>4.71</v>
      </c>
      <c r="EX66" s="16" t="str">
        <f t="shared" si="4"/>
        <v>.</v>
      </c>
      <c r="EY66" s="16">
        <f t="shared" si="4"/>
        <v>77.33</v>
      </c>
      <c r="EZ66" s="16">
        <f t="shared" si="4"/>
        <v>4.1399999999999997</v>
      </c>
      <c r="FA66" s="16">
        <f t="shared" si="4"/>
        <v>3.91</v>
      </c>
      <c r="FB66" s="16">
        <f t="shared" si="4"/>
        <v>1</v>
      </c>
    </row>
    <row r="67" spans="1:158" x14ac:dyDescent="0.25">
      <c r="A67" s="17">
        <v>64</v>
      </c>
      <c r="B67" s="17" t="s">
        <v>89</v>
      </c>
      <c r="C67" s="17" t="s">
        <v>89</v>
      </c>
      <c r="D67" s="17" t="s">
        <v>33</v>
      </c>
      <c r="E67" s="16">
        <v>1</v>
      </c>
      <c r="F67" s="18">
        <v>4.1492665525619001</v>
      </c>
      <c r="G67" s="18">
        <v>4.3314066244643517</v>
      </c>
      <c r="H67" s="18">
        <v>4.3242997953177262</v>
      </c>
      <c r="I67" s="18">
        <v>4.1533397510835917</v>
      </c>
      <c r="J67" s="18">
        <v>4.1178332858552622</v>
      </c>
      <c r="K67" s="18">
        <v>4.1501187724092832</v>
      </c>
      <c r="L67" s="18">
        <v>4.2730927767985047</v>
      </c>
      <c r="M67" s="18">
        <v>4.287351621429023</v>
      </c>
      <c r="N67" s="18">
        <v>4.2047388862404276</v>
      </c>
      <c r="O67" s="18">
        <v>4.1910916211312559</v>
      </c>
      <c r="P67" s="18">
        <v>4.148809743837341</v>
      </c>
      <c r="Q67" s="18">
        <v>3.9515197292366286</v>
      </c>
      <c r="R67" s="18">
        <v>4.0227138438250751</v>
      </c>
      <c r="S67" s="18">
        <v>4.2753829856642476</v>
      </c>
      <c r="T67" s="18">
        <v>3.991371918446041</v>
      </c>
      <c r="U67" s="18">
        <v>2.9982275356017327</v>
      </c>
      <c r="V67" s="18">
        <v>3.0514547290511222</v>
      </c>
      <c r="W67" s="18">
        <v>2.9914799674812231</v>
      </c>
      <c r="X67" s="18">
        <v>2.9314848329411762</v>
      </c>
      <c r="Y67" s="18">
        <v>2.9436032716203702</v>
      </c>
      <c r="Z67" s="18">
        <v>2.9798106272508429</v>
      </c>
      <c r="AA67" s="18">
        <v>3.0513383948009731</v>
      </c>
      <c r="AB67" s="18">
        <v>3.0651337037886908</v>
      </c>
      <c r="AC67" s="18">
        <v>3.1312170449702448</v>
      </c>
      <c r="AD67" s="19">
        <v>3.2267118145795624</v>
      </c>
      <c r="AE67" s="19">
        <v>2.9935143517149028</v>
      </c>
      <c r="AF67" s="19">
        <v>3.2692161206957158</v>
      </c>
      <c r="AG67" s="19">
        <v>3.2015056935428565</v>
      </c>
      <c r="AH67" s="19">
        <v>2.5928392942709788</v>
      </c>
      <c r="AI67" s="19">
        <v>3.2812411923589964</v>
      </c>
      <c r="AJ67" s="19">
        <v>5.207060698039216</v>
      </c>
      <c r="AK67" s="19">
        <v>5.0857559208333329</v>
      </c>
      <c r="AL67" s="19">
        <v>5.0095160720496894</v>
      </c>
      <c r="AM67" s="19">
        <v>5.1155623802761347</v>
      </c>
      <c r="AN67" s="19">
        <v>5.0886511180512617</v>
      </c>
      <c r="AO67" s="19">
        <v>5.0213336823451158</v>
      </c>
      <c r="AP67" s="19">
        <v>4.9065332827185779</v>
      </c>
      <c r="AQ67" s="19">
        <v>5.2221967618799976</v>
      </c>
      <c r="AR67" s="19">
        <v>5.101665470004983</v>
      </c>
      <c r="AS67" s="19">
        <v>4.7561917538905139</v>
      </c>
      <c r="AT67" s="19">
        <v>4.7886605891790266</v>
      </c>
      <c r="AU67" s="19">
        <v>4.7681843708333052</v>
      </c>
      <c r="AV67" s="19">
        <v>3.5062295525822971</v>
      </c>
      <c r="AW67" s="19">
        <v>3.7587158113101902</v>
      </c>
      <c r="AX67" s="19">
        <v>3.6743423739130439</v>
      </c>
      <c r="AY67" s="19">
        <v>3.5805400705882353</v>
      </c>
      <c r="AZ67" s="19">
        <v>3.6008416749999999</v>
      </c>
      <c r="BA67" s="19">
        <v>3.5918532919254655</v>
      </c>
      <c r="BB67" s="19">
        <v>3.5324841917159766</v>
      </c>
      <c r="BC67" s="19">
        <v>3.6276327158923087</v>
      </c>
      <c r="BD67" s="19">
        <v>3.6180625836054485</v>
      </c>
      <c r="BE67" s="19">
        <v>3.4317691295961792</v>
      </c>
      <c r="BF67" s="19">
        <v>4.6447418116299755</v>
      </c>
      <c r="BG67" s="19">
        <v>5.8653336398966314</v>
      </c>
      <c r="BH67" s="19">
        <v>4.9629157779005713</v>
      </c>
      <c r="BI67" s="19">
        <v>6.1830735393938321</v>
      </c>
      <c r="BJ67" s="19">
        <v>6.1003583425991614</v>
      </c>
      <c r="BK67" s="19">
        <v>3.6380429141941741</v>
      </c>
      <c r="BL67" s="19">
        <v>3.7110231534154532</v>
      </c>
      <c r="BM67" s="19">
        <v>3.518655286956522</v>
      </c>
      <c r="BN67" s="19">
        <v>3.475988317647059</v>
      </c>
      <c r="BO67" s="19">
        <v>3.5325747500000002</v>
      </c>
      <c r="BP67" s="19">
        <v>3.573438900621118</v>
      </c>
      <c r="BQ67" s="19">
        <v>3.4895739556213021</v>
      </c>
      <c r="BR67" s="19">
        <v>3.5592733042319575</v>
      </c>
      <c r="BS67" s="19">
        <v>3.5728486259028598</v>
      </c>
      <c r="BT67" s="19">
        <v>3.5528965038589284</v>
      </c>
      <c r="BU67" s="19">
        <v>3.3798833163741522</v>
      </c>
      <c r="BV67" s="19">
        <v>3.9632503014051994</v>
      </c>
      <c r="BW67" s="19">
        <v>3.8298435164092384</v>
      </c>
      <c r="BX67" s="19">
        <v>3.3812708613298459</v>
      </c>
      <c r="BY67" s="19">
        <v>3.5734115827416861</v>
      </c>
      <c r="BZ67" s="19">
        <v>4.0657799832977801</v>
      </c>
      <c r="CA67" s="19">
        <v>4.4868499030458597</v>
      </c>
      <c r="CB67" s="19">
        <v>4.4173456994325697</v>
      </c>
      <c r="CC67" s="19">
        <v>9.4408133715399902</v>
      </c>
      <c r="CD67" s="19">
        <v>10.075887595605399</v>
      </c>
      <c r="CE67" s="19">
        <v>11.145531646110205</v>
      </c>
      <c r="CF67" s="19">
        <v>13.32879313855701</v>
      </c>
      <c r="CG67" s="19">
        <v>15.882206836371161</v>
      </c>
      <c r="CH67" s="19">
        <v>15.899706502240329</v>
      </c>
      <c r="CI67" s="19">
        <v>16.940208248478456</v>
      </c>
      <c r="CJ67" s="19">
        <v>35.797023573299498</v>
      </c>
      <c r="CK67" s="19">
        <v>55.601341247558601</v>
      </c>
      <c r="CL67" s="19">
        <v>109.22259521484401</v>
      </c>
      <c r="CM67" s="19">
        <v>123.387214660645</v>
      </c>
      <c r="CN67" s="19">
        <v>125.56855343437999</v>
      </c>
      <c r="CO67" s="19">
        <v>140.37564147843699</v>
      </c>
      <c r="CP67" s="19">
        <v>137.32112467992701</v>
      </c>
      <c r="CQ67" s="19">
        <v>140.393535047348</v>
      </c>
      <c r="CR67" s="19">
        <v>106.63377031893501</v>
      </c>
      <c r="CS67" s="19">
        <v>111.481299339149</v>
      </c>
      <c r="CT67" s="19">
        <v>150.38498851834095</v>
      </c>
      <c r="CU67" s="19">
        <v>151.91782457001838</v>
      </c>
      <c r="CV67" s="19">
        <v>168.92258130751071</v>
      </c>
      <c r="CW67" s="19">
        <v>165.43412411066345</v>
      </c>
      <c r="CX67" s="19">
        <v>183.06094836833458</v>
      </c>
      <c r="CY67" s="19">
        <v>4.1055812597124532</v>
      </c>
      <c r="CZ67" s="19">
        <v>4.1531180656479911</v>
      </c>
      <c r="DA67" s="19">
        <v>3.8780567130434784</v>
      </c>
      <c r="DB67" s="19">
        <v>3.6576503411764705</v>
      </c>
      <c r="DC67" s="19">
        <v>3.5849747874999998</v>
      </c>
      <c r="DD67" s="19">
        <v>3.725148708074534</v>
      </c>
      <c r="DE67" s="19">
        <v>3.8312396804733728</v>
      </c>
      <c r="DF67" s="19">
        <v>3.845694203571369</v>
      </c>
      <c r="DG67" s="19">
        <v>4.2136453752997536</v>
      </c>
      <c r="DH67" s="19">
        <v>4.3256803898871699</v>
      </c>
      <c r="DI67" s="19">
        <v>4.4222669687592582</v>
      </c>
      <c r="DJ67" s="19">
        <v>4.6267953024235418</v>
      </c>
      <c r="DK67" s="19">
        <v>4.0954686874040789</v>
      </c>
      <c r="DL67" s="19">
        <v>4.1912444253437728</v>
      </c>
      <c r="DM67" s="19">
        <v>4.2357847535245874</v>
      </c>
      <c r="DN67" s="19">
        <v>3.6123355745583359</v>
      </c>
      <c r="DO67" s="19">
        <v>3.7731424311310189</v>
      </c>
      <c r="DP67" s="19">
        <v>4.3168336347826086</v>
      </c>
      <c r="DQ67" s="19">
        <v>4.7636349058823528</v>
      </c>
      <c r="DR67" s="19">
        <v>4.6606164312500002</v>
      </c>
      <c r="DS67" s="19">
        <v>4.3872088819875774</v>
      </c>
      <c r="DT67" s="19">
        <v>4.3724746899408284</v>
      </c>
      <c r="DU67" s="19">
        <v>4.464668364497042</v>
      </c>
      <c r="DV67" s="19">
        <v>4.0283805031446542</v>
      </c>
      <c r="DW67" s="19">
        <v>3.5550632911392404</v>
      </c>
      <c r="DX67" s="19">
        <v>4.2177728344234904</v>
      </c>
      <c r="DY67" s="19">
        <v>3.9582560400026923</v>
      </c>
      <c r="DZ67" s="19">
        <v>4.13703904945468</v>
      </c>
      <c r="EA67" s="19">
        <v>3.0493522973919429</v>
      </c>
      <c r="EB67" s="19">
        <v>3.9800224041311516</v>
      </c>
      <c r="EC67" s="19">
        <v>3.7561105345096006</v>
      </c>
      <c r="ED67" s="19">
        <v>3.9977136293393052</v>
      </c>
      <c r="EE67" s="19">
        <v>4.0259351304347826</v>
      </c>
      <c r="EF67" s="19">
        <v>4.0613808588235294</v>
      </c>
      <c r="EG67" s="19">
        <v>3.8806323874999999</v>
      </c>
      <c r="EH67" s="19">
        <v>3.3189370099378879</v>
      </c>
      <c r="EI67" s="19">
        <v>3.447664946153846</v>
      </c>
      <c r="EJ67" s="19">
        <v>3.7357714430442854</v>
      </c>
      <c r="EK67" s="19">
        <v>3.5672943094241543</v>
      </c>
      <c r="EL67" s="19">
        <v>3.3823190610620042</v>
      </c>
      <c r="EM67" s="19">
        <v>3.2130731480966621</v>
      </c>
      <c r="EN67" s="19">
        <v>3.7532424704318115</v>
      </c>
      <c r="EO67" s="19">
        <v>3.383925009084769</v>
      </c>
      <c r="EP67" s="19">
        <v>3.0609323469367467</v>
      </c>
      <c r="EQ67" s="19">
        <v>2.9474334626003516</v>
      </c>
      <c r="ER67" s="19"/>
      <c r="ES67" s="16">
        <f t="shared" si="4"/>
        <v>4.1178332858552622</v>
      </c>
      <c r="ET67" s="16">
        <f t="shared" si="4"/>
        <v>2.9436032716203702</v>
      </c>
      <c r="EU67" s="16">
        <f t="shared" si="4"/>
        <v>5.0857559208333329</v>
      </c>
      <c r="EV67" s="16">
        <f t="shared" si="4"/>
        <v>3.6008416749999999</v>
      </c>
      <c r="EW67" s="16">
        <f t="shared" si="4"/>
        <v>3.5325747500000002</v>
      </c>
      <c r="EX67" s="16" t="str">
        <f t="shared" si="4"/>
        <v>.</v>
      </c>
      <c r="EY67" s="16">
        <f t="shared" si="4"/>
        <v>125.56855343437999</v>
      </c>
      <c r="EZ67" s="16">
        <f t="shared" si="4"/>
        <v>3.5849747874999998</v>
      </c>
      <c r="FA67" s="16">
        <f t="shared" si="4"/>
        <v>4.6606164312500002</v>
      </c>
      <c r="FB67" s="16">
        <f t="shared" si="4"/>
        <v>3.8806323874999999</v>
      </c>
    </row>
    <row r="68" spans="1:158" x14ac:dyDescent="0.25">
      <c r="A68" s="17">
        <v>65</v>
      </c>
      <c r="B68" s="17" t="s">
        <v>90</v>
      </c>
      <c r="C68" s="17" t="s">
        <v>90</v>
      </c>
      <c r="D68" s="17" t="s">
        <v>14</v>
      </c>
      <c r="E68" s="16">
        <v>1</v>
      </c>
      <c r="F68" s="18">
        <v>2.8428701453689351</v>
      </c>
      <c r="G68" s="18">
        <v>3.4683166193807837</v>
      </c>
      <c r="H68" s="18">
        <v>3.288867874421364</v>
      </c>
      <c r="I68" s="18">
        <v>2.9151526061693591</v>
      </c>
      <c r="J68" s="18">
        <v>3.2308174577186008</v>
      </c>
      <c r="K68" s="18">
        <v>3.029292315789474</v>
      </c>
      <c r="L68" s="18">
        <v>2.9733857840290385</v>
      </c>
      <c r="M68" s="18">
        <v>2.8518919129241151</v>
      </c>
      <c r="N68" s="18">
        <v>2.8518919129241151</v>
      </c>
      <c r="O68" s="18">
        <v>2.8966282183754171</v>
      </c>
      <c r="P68" s="18">
        <v>2.8471594381509115</v>
      </c>
      <c r="Q68" s="18">
        <v>2.1029696938832529</v>
      </c>
      <c r="R68" s="18">
        <v>2.6398655551290435</v>
      </c>
      <c r="S68" s="18">
        <v>2.1014551277585802</v>
      </c>
      <c r="T68" s="18">
        <v>2.8608227798676071</v>
      </c>
      <c r="U68" s="18">
        <v>2.6014440773976149</v>
      </c>
      <c r="V68" s="18">
        <v>2.4173255597520993</v>
      </c>
      <c r="W68" s="18">
        <v>2.2410879036012119</v>
      </c>
      <c r="X68" s="18">
        <v>2.6162825960844498</v>
      </c>
      <c r="Y68" s="18">
        <v>2.5960622395946595</v>
      </c>
      <c r="Z68" s="18">
        <v>2.6157833999999998</v>
      </c>
      <c r="AA68" s="18">
        <v>2.4047876712643679</v>
      </c>
      <c r="AB68" s="18">
        <v>2.2486619679321351</v>
      </c>
      <c r="AC68" s="18">
        <v>2.2486619679321351</v>
      </c>
      <c r="AD68" s="19">
        <v>2.4053174640515125</v>
      </c>
      <c r="AE68" s="19">
        <v>1.9428259961756147</v>
      </c>
      <c r="AF68" s="19">
        <v>1.8252773433370615</v>
      </c>
      <c r="AG68" s="19">
        <v>2.1683285453662422</v>
      </c>
      <c r="AH68" s="19">
        <v>2.4507232876768259</v>
      </c>
      <c r="AI68" s="19">
        <v>1.4915827850317662</v>
      </c>
      <c r="AJ68" s="19">
        <v>3.8789537998697305</v>
      </c>
      <c r="AK68" s="19">
        <v>3.6805841002118269</v>
      </c>
      <c r="AL68" s="19">
        <v>3.7760560000000001</v>
      </c>
      <c r="AM68" s="19">
        <v>3.7712653344827589</v>
      </c>
      <c r="AN68" s="19">
        <v>3.5770938063971216</v>
      </c>
      <c r="AO68" s="19">
        <v>3.5770938063971216</v>
      </c>
      <c r="AP68" s="19">
        <v>3.6428038096617512</v>
      </c>
      <c r="AQ68" s="19">
        <v>3.5300345003433811</v>
      </c>
      <c r="AR68" s="19">
        <v>3.4908317351556351</v>
      </c>
      <c r="AS68" s="19">
        <v>3.6038459777037</v>
      </c>
      <c r="AT68" s="19">
        <v>3.5056938972108247</v>
      </c>
      <c r="AU68" s="19">
        <v>3.3867396971030228</v>
      </c>
      <c r="AV68" s="19">
        <v>3.217203362355598</v>
      </c>
      <c r="AW68" s="19">
        <v>3.3910776373627058</v>
      </c>
      <c r="AX68" s="19">
        <v>3.7335269481258626</v>
      </c>
      <c r="AY68" s="19">
        <v>3.9681995192082029</v>
      </c>
      <c r="AZ68" s="19">
        <v>4.1215305662911508</v>
      </c>
      <c r="BA68" s="19">
        <v>3.9995409999999998</v>
      </c>
      <c r="BB68" s="19">
        <v>3.6928631551724136</v>
      </c>
      <c r="BC68" s="19">
        <v>3.5035024034306312</v>
      </c>
      <c r="BD68" s="19">
        <v>3.5035024034306312</v>
      </c>
      <c r="BE68" s="19">
        <v>3.51421240939563</v>
      </c>
      <c r="BF68" s="19">
        <v>3.7428300783724473</v>
      </c>
      <c r="BG68" s="19">
        <v>3.1385053960120564</v>
      </c>
      <c r="BH68" s="19">
        <v>3.0875194648585724</v>
      </c>
      <c r="BI68" s="19">
        <v>3.8741171387442135</v>
      </c>
      <c r="BJ68" s="19">
        <v>3.995147614090385</v>
      </c>
      <c r="BK68" s="19">
        <v>2.04373754381785</v>
      </c>
      <c r="BL68" s="19">
        <v>2.3101895039885312</v>
      </c>
      <c r="BM68" s="19">
        <v>2.5089092228822643</v>
      </c>
      <c r="BN68" s="19">
        <v>2.9113642721694051</v>
      </c>
      <c r="BO68" s="19">
        <v>2.2317733321888209</v>
      </c>
      <c r="BP68" s="19">
        <v>2.0857860000000001</v>
      </c>
      <c r="BQ68" s="19">
        <v>1.9138168620689655</v>
      </c>
      <c r="BR68" s="19">
        <v>1.9285087727334091</v>
      </c>
      <c r="BS68" s="19">
        <v>1.9285087727334091</v>
      </c>
      <c r="BT68" s="19">
        <v>1.9664981167038913</v>
      </c>
      <c r="BU68" s="19">
        <v>1.3876487402420055</v>
      </c>
      <c r="BV68" s="19">
        <v>2.0592179950571179</v>
      </c>
      <c r="BW68" s="19">
        <v>2.2624635359530272</v>
      </c>
      <c r="BX68" s="19">
        <v>2.1672214474401033</v>
      </c>
      <c r="BY68" s="19">
        <v>1</v>
      </c>
      <c r="BZ68" s="19">
        <v>3.7097208834598168</v>
      </c>
      <c r="CA68" s="19">
        <v>3.7778672012687231</v>
      </c>
      <c r="CB68" s="19">
        <v>3.8472653438851556</v>
      </c>
      <c r="CC68" s="19">
        <v>2.1629210077999699</v>
      </c>
      <c r="CD68" s="19">
        <v>29.081476410315332</v>
      </c>
      <c r="CE68" s="19">
        <v>20.81882828300451</v>
      </c>
      <c r="CF68" s="19">
        <v>32.524908301540364</v>
      </c>
      <c r="CG68" s="19">
        <v>30.672622160911317</v>
      </c>
      <c r="CH68" s="19">
        <v>34.424791194178084</v>
      </c>
      <c r="CI68" s="19">
        <v>41.976976456053919</v>
      </c>
      <c r="CJ68" s="19">
        <v>68.239999999999995</v>
      </c>
      <c r="CK68" s="19">
        <v>63.21</v>
      </c>
      <c r="CL68" s="19">
        <v>6.49</v>
      </c>
      <c r="CM68" s="19">
        <v>21.09</v>
      </c>
      <c r="CN68" s="19">
        <v>65.78</v>
      </c>
      <c r="CO68" s="19">
        <v>44.023523040150998</v>
      </c>
      <c r="CP68" s="19">
        <v>45.6171385335536</v>
      </c>
      <c r="CQ68" s="19">
        <v>63.315039034280304</v>
      </c>
      <c r="CR68" s="19">
        <v>72.098750753285998</v>
      </c>
      <c r="CS68" s="19">
        <v>62.98</v>
      </c>
      <c r="CT68" s="19">
        <v>61.187594079957385</v>
      </c>
      <c r="CU68" s="19">
        <v>71.963525125816474</v>
      </c>
      <c r="CV68" s="19">
        <v>74.367255896657937</v>
      </c>
      <c r="CW68" s="19">
        <v>66.675988853221909</v>
      </c>
      <c r="CX68" s="19">
        <v>69.643323150833353</v>
      </c>
      <c r="CY68" s="19">
        <v>2.6540849904167416</v>
      </c>
      <c r="CZ68" s="19">
        <v>3.3118287561715589</v>
      </c>
      <c r="DA68" s="19">
        <v>3.212588584759096</v>
      </c>
      <c r="DB68" s="19">
        <v>3.342153856474543</v>
      </c>
      <c r="DC68" s="19">
        <v>3.2376179826750913</v>
      </c>
      <c r="DD68" s="19">
        <v>3.2085129999999999</v>
      </c>
      <c r="DE68" s="19">
        <v>2.990122751724138</v>
      </c>
      <c r="DF68" s="19">
        <v>2.6247791910447762</v>
      </c>
      <c r="DG68" s="19">
        <v>2.6247791910447762</v>
      </c>
      <c r="DH68" s="19">
        <v>3.0799847783985483</v>
      </c>
      <c r="DI68" s="19">
        <v>3.0039847199830425</v>
      </c>
      <c r="DJ68" s="19">
        <v>3.4232384291331792</v>
      </c>
      <c r="DK68" s="19">
        <v>2.7177101498033518</v>
      </c>
      <c r="DL68" s="19">
        <v>2.5340707065255339</v>
      </c>
      <c r="DM68" s="19">
        <v>3.0002758213093852</v>
      </c>
      <c r="DN68" s="19">
        <v>2.6924734764492761</v>
      </c>
      <c r="DO68" s="19">
        <v>1.8607474188622852</v>
      </c>
      <c r="DP68" s="19">
        <v>2.1242583440452156</v>
      </c>
      <c r="DQ68" s="19">
        <v>2.321615163180605</v>
      </c>
      <c r="DR68" s="19">
        <v>1.9284475535275436</v>
      </c>
      <c r="DS68" s="19">
        <v>2.1274769999999998</v>
      </c>
      <c r="DT68" s="19">
        <v>2.0634367</v>
      </c>
      <c r="DU68" s="19">
        <v>2.0953270158387145</v>
      </c>
      <c r="DV68" s="19">
        <v>2.0953270158387145</v>
      </c>
      <c r="DW68" s="19">
        <v>2.6606690168438023</v>
      </c>
      <c r="DX68" s="19">
        <v>2.9534180808971175</v>
      </c>
      <c r="DY68" s="19">
        <v>1.3015294615579662</v>
      </c>
      <c r="DZ68" s="19">
        <v>1.9356056758071696</v>
      </c>
      <c r="EA68" s="19">
        <v>1.8108261892878781</v>
      </c>
      <c r="EB68" s="19">
        <v>1.778252616256045</v>
      </c>
      <c r="EC68" s="19">
        <v>2.2769376978263165</v>
      </c>
      <c r="ED68" s="19">
        <v>1.9728939543525832</v>
      </c>
      <c r="EE68" s="19">
        <v>2.5259554203082994</v>
      </c>
      <c r="EF68" s="19">
        <v>2.4385081215816351</v>
      </c>
      <c r="EG68" s="19">
        <v>2.1754826953276996</v>
      </c>
      <c r="EH68" s="19">
        <v>2.0183620000000002</v>
      </c>
      <c r="EI68" s="19">
        <v>1.9099074827586209</v>
      </c>
      <c r="EJ68" s="19">
        <v>1.9427149643775143</v>
      </c>
      <c r="EK68" s="19">
        <v>1.9427149643775143</v>
      </c>
      <c r="EL68" s="19">
        <v>2.1372820834869408</v>
      </c>
      <c r="EM68" s="19">
        <v>1.8562336942885438</v>
      </c>
      <c r="EN68" s="19">
        <v>2.0187165765092363</v>
      </c>
      <c r="EO68" s="19">
        <v>2.1243910455641717</v>
      </c>
      <c r="EP68" s="19">
        <v>1.6012849258271438</v>
      </c>
      <c r="EQ68" s="19">
        <v>1.460434895872798</v>
      </c>
      <c r="ER68" s="19"/>
      <c r="ES68" s="16">
        <f t="shared" si="4"/>
        <v>3.2308174577186008</v>
      </c>
      <c r="ET68" s="16">
        <f t="shared" si="4"/>
        <v>2.5960622395946595</v>
      </c>
      <c r="EU68" s="16">
        <f t="shared" si="4"/>
        <v>3.6805841002118269</v>
      </c>
      <c r="EV68" s="16">
        <f t="shared" si="4"/>
        <v>4.1215305662911508</v>
      </c>
      <c r="EW68" s="16">
        <f t="shared" si="4"/>
        <v>2.2317733321888209</v>
      </c>
      <c r="EX68" s="16" t="str">
        <f t="shared" si="4"/>
        <v>.</v>
      </c>
      <c r="EY68" s="16">
        <f t="shared" si="4"/>
        <v>65.78</v>
      </c>
      <c r="EZ68" s="16">
        <f t="shared" si="4"/>
        <v>3.2376179826750913</v>
      </c>
      <c r="FA68" s="16">
        <f t="shared" si="4"/>
        <v>1.9284475535275436</v>
      </c>
      <c r="FB68" s="16">
        <f t="shared" si="4"/>
        <v>2.1754826953276996</v>
      </c>
    </row>
    <row r="69" spans="1:158" x14ac:dyDescent="0.25">
      <c r="A69" s="17">
        <v>66</v>
      </c>
      <c r="B69" s="17" t="s">
        <v>91</v>
      </c>
      <c r="C69" s="17" t="s">
        <v>91</v>
      </c>
      <c r="D69" s="17" t="s">
        <v>18</v>
      </c>
      <c r="E69" s="16">
        <v>1</v>
      </c>
      <c r="F69" s="18">
        <v>3.4691480571819935</v>
      </c>
      <c r="G69" s="18">
        <v>3.6000585530117748</v>
      </c>
      <c r="H69" s="18">
        <v>3.5958193740569202</v>
      </c>
      <c r="I69" s="18">
        <v>3.6149805527435612</v>
      </c>
      <c r="J69" s="18">
        <v>3.766471245820433</v>
      </c>
      <c r="K69" s="18">
        <v>3.9735244808640093</v>
      </c>
      <c r="L69" s="18">
        <v>4.1217894285548127</v>
      </c>
      <c r="M69" s="18">
        <v>3.9712826440906674</v>
      </c>
      <c r="N69" s="18">
        <v>3.8111583926778407</v>
      </c>
      <c r="O69" s="18">
        <v>3.7815088707377216</v>
      </c>
      <c r="P69" s="18">
        <v>3.8367530244240489</v>
      </c>
      <c r="Q69" s="18">
        <v>3.30787438227346</v>
      </c>
      <c r="R69" s="18">
        <v>3.8460006904666337</v>
      </c>
      <c r="S69" s="18">
        <v>4.8970487408776471</v>
      </c>
      <c r="T69" s="18">
        <v>4.5868086238615451</v>
      </c>
      <c r="U69" s="18">
        <v>2.4933187245178252</v>
      </c>
      <c r="V69" s="18">
        <v>2.4882871797005435</v>
      </c>
      <c r="W69" s="18">
        <v>2.5195326883769629</v>
      </c>
      <c r="X69" s="18">
        <v>2.6470178558156028</v>
      </c>
      <c r="Y69" s="18">
        <v>2.893367249411765</v>
      </c>
      <c r="Z69" s="18">
        <v>3.1095622342967246</v>
      </c>
      <c r="AA69" s="18">
        <v>3.405252275138122</v>
      </c>
      <c r="AB69" s="18">
        <v>3.4157220370996839</v>
      </c>
      <c r="AC69" s="18">
        <v>3.2734898701918751</v>
      </c>
      <c r="AD69" s="19">
        <v>2.9010055482836443</v>
      </c>
      <c r="AE69" s="19">
        <v>3.8204115845547411</v>
      </c>
      <c r="AF69" s="19">
        <v>3.4346891885368036</v>
      </c>
      <c r="AG69" s="19">
        <v>3.6912695593073388</v>
      </c>
      <c r="AH69" s="19">
        <v>4.0941371791894694</v>
      </c>
      <c r="AI69" s="19">
        <v>3.9139243430597301</v>
      </c>
      <c r="AJ69" s="19">
        <v>4.1471045212765958</v>
      </c>
      <c r="AK69" s="19">
        <v>4.3628080058823526</v>
      </c>
      <c r="AL69" s="19">
        <v>4.6107305637764933</v>
      </c>
      <c r="AM69" s="19">
        <v>4.6188508987108667</v>
      </c>
      <c r="AN69" s="19">
        <v>4.4473895612317023</v>
      </c>
      <c r="AO69" s="19">
        <v>4.306119251178635</v>
      </c>
      <c r="AP69" s="19">
        <v>4.293401710755953</v>
      </c>
      <c r="AQ69" s="19">
        <v>4.937829229385664</v>
      </c>
      <c r="AR69" s="19">
        <v>3.4731748438268868</v>
      </c>
      <c r="AS69" s="19">
        <v>3.8246643473240272</v>
      </c>
      <c r="AT69" s="19">
        <v>4.1439454993971108</v>
      </c>
      <c r="AU69" s="19">
        <v>4.8489114802752464</v>
      </c>
      <c r="AV69" s="19">
        <v>2.8946218395815171</v>
      </c>
      <c r="AW69" s="19">
        <v>3.4094042048780486</v>
      </c>
      <c r="AX69" s="19">
        <v>3.5323908256544501</v>
      </c>
      <c r="AY69" s="19">
        <v>3.5260407542553187</v>
      </c>
      <c r="AZ69" s="19">
        <v>3.5755323294117649</v>
      </c>
      <c r="BA69" s="19">
        <v>3.7405798358381506</v>
      </c>
      <c r="BB69" s="19">
        <v>3.7728668110497239</v>
      </c>
      <c r="BC69" s="19">
        <v>3.6045007212121214</v>
      </c>
      <c r="BD69" s="19">
        <v>3.3942868956732095</v>
      </c>
      <c r="BE69" s="19">
        <v>3.3908752051432272</v>
      </c>
      <c r="BF69" s="19">
        <v>4.6551188628276261</v>
      </c>
      <c r="BG69" s="19">
        <v>4.6309962937397477</v>
      </c>
      <c r="BH69" s="19">
        <v>5.0595032226932428</v>
      </c>
      <c r="BI69" s="19">
        <v>4.4769121053992125</v>
      </c>
      <c r="BJ69" s="19">
        <v>3.5626677872744619</v>
      </c>
      <c r="BK69" s="19">
        <v>2.835151663405088</v>
      </c>
      <c r="BL69" s="19">
        <v>2.8069983209238227</v>
      </c>
      <c r="BM69" s="19">
        <v>2.7626922837696335</v>
      </c>
      <c r="BN69" s="19">
        <v>2.7238876585106384</v>
      </c>
      <c r="BO69" s="19">
        <v>2.642965429411765</v>
      </c>
      <c r="BP69" s="19">
        <v>2.8996867919075147</v>
      </c>
      <c r="BQ69" s="19">
        <v>3.1156840121546967</v>
      </c>
      <c r="BR69" s="19">
        <v>3.3077722401759297</v>
      </c>
      <c r="BS69" s="19">
        <v>3.4324792754759486</v>
      </c>
      <c r="BT69" s="19">
        <v>3.3859014639947316</v>
      </c>
      <c r="BU69" s="19">
        <v>2.1712723310068034</v>
      </c>
      <c r="BV69" s="19">
        <v>3.3444625750927268</v>
      </c>
      <c r="BW69" s="19">
        <v>3.5147098686661731</v>
      </c>
      <c r="BX69" s="19">
        <v>3.1537954597533036</v>
      </c>
      <c r="BY69" s="19">
        <v>3.9745101520185937</v>
      </c>
      <c r="BZ69" s="19">
        <v>4.2807217298677314</v>
      </c>
      <c r="CA69" s="19">
        <v>4.2680791975869674</v>
      </c>
      <c r="CB69" s="19">
        <v>4.2554740033142675</v>
      </c>
      <c r="CC69" s="19">
        <v>1</v>
      </c>
      <c r="CD69" s="19">
        <v>12.153261483739781</v>
      </c>
      <c r="CE69" s="19">
        <v>7.6925379154135358</v>
      </c>
      <c r="CF69" s="19">
        <v>9.5895014991968335</v>
      </c>
      <c r="CG69" s="19">
        <v>8.3118916211116201</v>
      </c>
      <c r="CH69" s="19">
        <v>11.273782415514379</v>
      </c>
      <c r="CI69" s="19">
        <v>10.674053988936997</v>
      </c>
      <c r="CJ69" s="19">
        <v>37.454906565071703</v>
      </c>
      <c r="CK69" s="19">
        <v>37.454906463622997</v>
      </c>
      <c r="CL69" s="19">
        <v>78.69</v>
      </c>
      <c r="CM69" s="19">
        <v>69</v>
      </c>
      <c r="CN69" s="19">
        <v>73.611948686071301</v>
      </c>
      <c r="CO69" s="19">
        <v>68.615020369292594</v>
      </c>
      <c r="CP69" s="19">
        <v>72.205701252469893</v>
      </c>
      <c r="CQ69" s="19">
        <v>69.412953516263499</v>
      </c>
      <c r="CR69" s="19">
        <v>70.538910532465195</v>
      </c>
      <c r="CS69" s="19">
        <v>77</v>
      </c>
      <c r="CT69" s="19">
        <v>83.989216633921117</v>
      </c>
      <c r="CU69" s="19">
        <v>88.544612904352391</v>
      </c>
      <c r="CV69" s="19">
        <v>86.013092621607456</v>
      </c>
      <c r="CW69" s="19">
        <v>91.386439583430516</v>
      </c>
      <c r="CX69" s="19">
        <v>101.12343757559158</v>
      </c>
      <c r="CY69" s="19">
        <v>3.4554820729661726</v>
      </c>
      <c r="CZ69" s="19">
        <v>3.74936316369863</v>
      </c>
      <c r="DA69" s="19">
        <v>3.6586599816753926</v>
      </c>
      <c r="DB69" s="19">
        <v>3.7281904340425531</v>
      </c>
      <c r="DC69" s="19">
        <v>3.6545090705882357</v>
      </c>
      <c r="DD69" s="19">
        <v>3.6202545791907514</v>
      </c>
      <c r="DE69" s="19">
        <v>3.8841473038674037</v>
      </c>
      <c r="DF69" s="19">
        <v>3.7616342171636408</v>
      </c>
      <c r="DG69" s="19">
        <v>3.7207603671135159</v>
      </c>
      <c r="DH69" s="19">
        <v>3.7289953168123748</v>
      </c>
      <c r="DI69" s="19">
        <v>3.6965267916811562</v>
      </c>
      <c r="DJ69" s="19">
        <v>3.9225804626743499</v>
      </c>
      <c r="DK69" s="19">
        <v>4.0353030971389527</v>
      </c>
      <c r="DL69" s="19">
        <v>3.8401734626527411</v>
      </c>
      <c r="DM69" s="19">
        <v>4.3039985515251846</v>
      </c>
      <c r="DN69" s="19">
        <v>2.6570332172234346</v>
      </c>
      <c r="DO69" s="19">
        <v>3.0151923713414632</v>
      </c>
      <c r="DP69" s="19">
        <v>3.1979704026178011</v>
      </c>
      <c r="DQ69" s="19">
        <v>3.5936078063829786</v>
      </c>
      <c r="DR69" s="19">
        <v>3.813667347058824</v>
      </c>
      <c r="DS69" s="19">
        <v>3.9399103734104051</v>
      </c>
      <c r="DT69" s="19">
        <v>4.0003165629834259</v>
      </c>
      <c r="DU69" s="19">
        <v>3.8236427589597763</v>
      </c>
      <c r="DV69" s="19">
        <v>3.5597366790159035</v>
      </c>
      <c r="DW69" s="19">
        <v>2.9390293430130248</v>
      </c>
      <c r="DX69" s="19">
        <v>3.6892810345740417</v>
      </c>
      <c r="DY69" s="19">
        <v>4.3731480385074937</v>
      </c>
      <c r="DZ69" s="19">
        <v>3.9116983798857374</v>
      </c>
      <c r="EA69" s="19">
        <v>3.5542287690278545</v>
      </c>
      <c r="EB69" s="19">
        <v>3.9431016266468131</v>
      </c>
      <c r="EC69" s="19">
        <v>3.1191283161041232</v>
      </c>
      <c r="ED69" s="19">
        <v>3.4154903664634144</v>
      </c>
      <c r="EE69" s="19">
        <v>3.6120797675392669</v>
      </c>
      <c r="EF69" s="19">
        <v>3.8575745372340426</v>
      </c>
      <c r="EG69" s="19">
        <v>3.7711279176470596</v>
      </c>
      <c r="EH69" s="19">
        <v>3.6763536647398842</v>
      </c>
      <c r="EI69" s="19">
        <v>3.3977379801104979</v>
      </c>
      <c r="EJ69" s="19">
        <v>3.2159062086819739</v>
      </c>
      <c r="EK69" s="19">
        <v>3.186018315805208</v>
      </c>
      <c r="EL69" s="19">
        <v>3.1426598469735323</v>
      </c>
      <c r="EM69" s="19">
        <v>3.6429145299017174</v>
      </c>
      <c r="EN69" s="19">
        <v>2.882554375242206</v>
      </c>
      <c r="EO69" s="19">
        <v>3.4039270470115222</v>
      </c>
      <c r="EP69" s="19">
        <v>3.0624421668450257</v>
      </c>
      <c r="EQ69" s="19">
        <v>3.8369335219189584</v>
      </c>
      <c r="ER69" s="19"/>
      <c r="ES69" s="16">
        <f t="shared" ref="ES69:FB84" si="5">IF(SUMIF($F$2:$EQ$2,ES$2&amp;"_"&amp;ES$3,$F69:$EQ69)=0,".",SUMIF($F$2:$EQ$2,ES$2&amp;"_"&amp;ES$3,$F69:$EQ69))</f>
        <v>3.766471245820433</v>
      </c>
      <c r="ET69" s="16">
        <f t="shared" si="5"/>
        <v>2.893367249411765</v>
      </c>
      <c r="EU69" s="16">
        <f t="shared" si="5"/>
        <v>4.3628080058823526</v>
      </c>
      <c r="EV69" s="16">
        <f t="shared" si="5"/>
        <v>3.5755323294117649</v>
      </c>
      <c r="EW69" s="16">
        <f t="shared" si="5"/>
        <v>2.642965429411765</v>
      </c>
      <c r="EX69" s="16" t="str">
        <f t="shared" si="5"/>
        <v>.</v>
      </c>
      <c r="EY69" s="16">
        <f t="shared" si="5"/>
        <v>73.611948686071301</v>
      </c>
      <c r="EZ69" s="16">
        <f t="shared" si="5"/>
        <v>3.6545090705882357</v>
      </c>
      <c r="FA69" s="16">
        <f t="shared" si="5"/>
        <v>3.813667347058824</v>
      </c>
      <c r="FB69" s="16">
        <f t="shared" si="5"/>
        <v>3.7711279176470596</v>
      </c>
    </row>
    <row r="70" spans="1:158" x14ac:dyDescent="0.25">
      <c r="A70" s="17">
        <v>67</v>
      </c>
      <c r="B70" s="17" t="s">
        <v>92</v>
      </c>
      <c r="C70" s="17" t="s">
        <v>92</v>
      </c>
      <c r="D70" s="17" t="s">
        <v>16</v>
      </c>
      <c r="E70" s="16">
        <v>1</v>
      </c>
      <c r="F70" s="18">
        <v>2.7746727041682582</v>
      </c>
      <c r="G70" s="18">
        <v>2.9023239113307899</v>
      </c>
      <c r="H70" s="18">
        <v>3.1177797152245117</v>
      </c>
      <c r="I70" s="18">
        <v>3.1605092000900661</v>
      </c>
      <c r="J70" s="18">
        <v>2.781560368421053</v>
      </c>
      <c r="K70" s="18">
        <v>2.7715508878675559</v>
      </c>
      <c r="L70" s="18">
        <v>2.8721338496281468</v>
      </c>
      <c r="M70" s="18">
        <v>2.9360093604223754</v>
      </c>
      <c r="N70" s="18">
        <v>2.7954091049336971</v>
      </c>
      <c r="O70" s="18">
        <v>2.6991641252189473</v>
      </c>
      <c r="P70" s="18">
        <v>2.9607695268301515</v>
      </c>
      <c r="Q70" s="18">
        <v>2.4632444844391159</v>
      </c>
      <c r="R70" s="18">
        <v>2.0929532524358234</v>
      </c>
      <c r="S70" s="18">
        <v>2.6093507194372942</v>
      </c>
      <c r="T70" s="18">
        <v>2.7127945256496933</v>
      </c>
      <c r="U70" s="18">
        <v>2.5722545198988525</v>
      </c>
      <c r="V70" s="18">
        <v>2.1873538714076641</v>
      </c>
      <c r="W70" s="18">
        <v>1.9681150105239849</v>
      </c>
      <c r="X70" s="18">
        <v>2.1638269310383067</v>
      </c>
      <c r="Y70" s="18">
        <v>2.0915433333333331</v>
      </c>
      <c r="Z70" s="18">
        <v>2.0489753041267686</v>
      </c>
      <c r="AA70" s="18">
        <v>2.2199706970289852</v>
      </c>
      <c r="AB70" s="18">
        <v>2.2823235603360748</v>
      </c>
      <c r="AC70" s="18">
        <v>2.2802377861737901</v>
      </c>
      <c r="AD70" s="19">
        <v>2.4303486012691731</v>
      </c>
      <c r="AE70" s="19">
        <v>2.7262754357590566</v>
      </c>
      <c r="AF70" s="19">
        <v>2.1272617654530017</v>
      </c>
      <c r="AG70" s="19">
        <v>2.394232841557534</v>
      </c>
      <c r="AH70" s="19">
        <v>2.5178012564922736</v>
      </c>
      <c r="AI70" s="19">
        <v>2.188587816953409</v>
      </c>
      <c r="AJ70" s="19">
        <v>3.9933767545357175</v>
      </c>
      <c r="AK70" s="19">
        <v>3.803857666666667</v>
      </c>
      <c r="AL70" s="19">
        <v>3.8247053821596246</v>
      </c>
      <c r="AM70" s="19">
        <v>3.7660155242753621</v>
      </c>
      <c r="AN70" s="19">
        <v>3.5833395956470491</v>
      </c>
      <c r="AO70" s="19">
        <v>3.4523920023765942</v>
      </c>
      <c r="AP70" s="19">
        <v>3.3899867593849624</v>
      </c>
      <c r="AQ70" s="19">
        <v>3.0726690761326219</v>
      </c>
      <c r="AR70" s="19">
        <v>3.4973608598861405</v>
      </c>
      <c r="AS70" s="19">
        <v>3.0322487502544493</v>
      </c>
      <c r="AT70" s="19">
        <v>3.0682979320916344</v>
      </c>
      <c r="AU70" s="19">
        <v>2.8403946277232115</v>
      </c>
      <c r="AV70" s="19">
        <v>2.1943082330590609</v>
      </c>
      <c r="AW70" s="19">
        <v>2.0811919279640678</v>
      </c>
      <c r="AX70" s="19">
        <v>2.9140764035390623</v>
      </c>
      <c r="AY70" s="19">
        <v>2.7141597259198398</v>
      </c>
      <c r="AZ70" s="19">
        <v>2.6173410000000001</v>
      </c>
      <c r="BA70" s="19">
        <v>2.890499985915493</v>
      </c>
      <c r="BB70" s="19">
        <v>3.3728422516304346</v>
      </c>
      <c r="BC70" s="19">
        <v>3.2476335407199857</v>
      </c>
      <c r="BD70" s="19">
        <v>3.0887454135997876</v>
      </c>
      <c r="BE70" s="19">
        <v>3.0203923089535123</v>
      </c>
      <c r="BF70" s="19">
        <v>3.9432899381930211</v>
      </c>
      <c r="BG70" s="19">
        <v>3.828086710161144</v>
      </c>
      <c r="BH70" s="19">
        <v>3.4228256610966881</v>
      </c>
      <c r="BI70" s="19">
        <v>3.1418116198630948</v>
      </c>
      <c r="BJ70" s="19">
        <v>4.035227277216916</v>
      </c>
      <c r="BK70" s="19">
        <v>2.7752550914126211</v>
      </c>
      <c r="BL70" s="19">
        <v>2.0562613573863104</v>
      </c>
      <c r="BM70" s="19">
        <v>2.1293090152545786</v>
      </c>
      <c r="BN70" s="19">
        <v>2.0969749933684256</v>
      </c>
      <c r="BO70" s="19">
        <v>2.0165790000000001</v>
      </c>
      <c r="BP70" s="19">
        <v>2.060948129577465</v>
      </c>
      <c r="BQ70" s="19">
        <v>2.3911731815217392</v>
      </c>
      <c r="BR70" s="19">
        <v>2.5137358129482266</v>
      </c>
      <c r="BS70" s="19">
        <v>2.3912995042027649</v>
      </c>
      <c r="BT70" s="19">
        <v>2.0906135141135409</v>
      </c>
      <c r="BU70" s="19">
        <v>2.7201388957809698</v>
      </c>
      <c r="BV70" s="19">
        <v>2.1812892469273981</v>
      </c>
      <c r="BW70" s="19">
        <v>2.4617656263919896</v>
      </c>
      <c r="BX70" s="19">
        <v>1.3094855595970172</v>
      </c>
      <c r="BY70" s="19">
        <v>2.8914118931588049</v>
      </c>
      <c r="BZ70" s="19">
        <v>3.3287095500436705</v>
      </c>
      <c r="CA70" s="19">
        <v>3.2685399840801179</v>
      </c>
      <c r="CB70" s="19">
        <v>3.2094580397951207</v>
      </c>
      <c r="CC70" s="19">
        <v>1</v>
      </c>
      <c r="CD70" s="19">
        <v>10.061243464682441</v>
      </c>
      <c r="CE70" s="19">
        <v>11.27541822884193</v>
      </c>
      <c r="CF70" s="19">
        <v>9.4959445135607918</v>
      </c>
      <c r="CG70" s="19">
        <v>9.4602105663927638</v>
      </c>
      <c r="CH70" s="19">
        <v>11.601758646858684</v>
      </c>
      <c r="CI70" s="19">
        <v>9.7363322580160911</v>
      </c>
      <c r="CJ70" s="19">
        <v>31.25</v>
      </c>
      <c r="CK70" s="19">
        <v>14.26</v>
      </c>
      <c r="CL70" s="19">
        <v>42.91</v>
      </c>
      <c r="CM70" s="19">
        <v>21.9</v>
      </c>
      <c r="CN70" s="19">
        <v>40.027030253530199</v>
      </c>
      <c r="CO70" s="19">
        <v>41.486451660826098</v>
      </c>
      <c r="CP70" s="19">
        <v>59.430173278245597</v>
      </c>
      <c r="CQ70" s="19">
        <v>69.398856947460203</v>
      </c>
      <c r="CR70" s="19">
        <v>64.707459578341698</v>
      </c>
      <c r="CS70" s="19">
        <v>50.7</v>
      </c>
      <c r="CT70" s="19">
        <v>71.5517463230739</v>
      </c>
      <c r="CU70" s="19">
        <v>73.795726688409189</v>
      </c>
      <c r="CV70" s="19">
        <v>80.033122425972053</v>
      </c>
      <c r="CW70" s="19">
        <v>86.49668155894841</v>
      </c>
      <c r="CX70" s="19">
        <v>87.127323772322654</v>
      </c>
      <c r="CY70" s="19">
        <v>2.0325674478459117</v>
      </c>
      <c r="CZ70" s="19">
        <v>2.8805150605584822</v>
      </c>
      <c r="DA70" s="19">
        <v>2.5073692799042249</v>
      </c>
      <c r="DB70" s="19">
        <v>2.45630469780482</v>
      </c>
      <c r="DC70" s="19">
        <v>2.1747100000000001</v>
      </c>
      <c r="DD70" s="19">
        <v>2.0553094892018779</v>
      </c>
      <c r="DE70" s="19">
        <v>2.1318389706521739</v>
      </c>
      <c r="DF70" s="19">
        <v>2.3277551639663692</v>
      </c>
      <c r="DG70" s="19">
        <v>2.5688556996551721</v>
      </c>
      <c r="DH70" s="19">
        <v>2.5423043810531611</v>
      </c>
      <c r="DI70" s="19">
        <v>2.7218805493883291</v>
      </c>
      <c r="DJ70" s="19">
        <v>2.2944656831181023</v>
      </c>
      <c r="DK70" s="19">
        <v>1.4513055849623937</v>
      </c>
      <c r="DL70" s="19">
        <v>3.0723516831366791</v>
      </c>
      <c r="DM70" s="19">
        <v>1.5748504984955622</v>
      </c>
      <c r="DN70" s="19">
        <v>1</v>
      </c>
      <c r="DO70" s="19">
        <v>1.5532681486995619</v>
      </c>
      <c r="DP70" s="19">
        <v>1</v>
      </c>
      <c r="DQ70" s="19">
        <v>1.8554264464564187</v>
      </c>
      <c r="DR70" s="19">
        <v>1.815453</v>
      </c>
      <c r="DS70" s="19">
        <v>1.8913614384976527</v>
      </c>
      <c r="DT70" s="19">
        <v>2.1788557380434783</v>
      </c>
      <c r="DU70" s="19">
        <v>2.1839195099159241</v>
      </c>
      <c r="DV70" s="19">
        <v>2.1503330549678283</v>
      </c>
      <c r="DW70" s="19">
        <v>1.9271749858008431</v>
      </c>
      <c r="DX70" s="19">
        <v>2.0845464533784153</v>
      </c>
      <c r="DY70" s="19">
        <v>3.9646711118329057</v>
      </c>
      <c r="DZ70" s="19">
        <v>2.9918107488253196</v>
      </c>
      <c r="EA70" s="19">
        <v>3.2108862270974106</v>
      </c>
      <c r="EB70" s="19">
        <v>1.9626854951044053</v>
      </c>
      <c r="EC70" s="19">
        <v>1.3884054692933465</v>
      </c>
      <c r="ED70" s="19">
        <v>1.3190228491579687</v>
      </c>
      <c r="EE70" s="19">
        <v>1.7211459348696692</v>
      </c>
      <c r="EF70" s="19">
        <v>1.6408939762683703</v>
      </c>
      <c r="EG70" s="19">
        <v>1.7425839999999999</v>
      </c>
      <c r="EH70" s="19">
        <v>1.7547288197183097</v>
      </c>
      <c r="EI70" s="19">
        <v>2.1865888423913042</v>
      </c>
      <c r="EJ70" s="19">
        <v>2.367540558930969</v>
      </c>
      <c r="EK70" s="19">
        <v>2.3428833723068236</v>
      </c>
      <c r="EL70" s="19">
        <v>2.4551945329691458</v>
      </c>
      <c r="EM70" s="19">
        <v>2.421073082035841</v>
      </c>
      <c r="EN70" s="19">
        <v>2.3369059271877264</v>
      </c>
      <c r="EO70" s="19">
        <v>3.1682077823036678</v>
      </c>
      <c r="EP70" s="19">
        <v>2.9642375006204951</v>
      </c>
      <c r="EQ70" s="19">
        <v>2.9176579934719107</v>
      </c>
      <c r="ER70" s="19"/>
      <c r="ES70" s="16">
        <f t="shared" si="5"/>
        <v>2.781560368421053</v>
      </c>
      <c r="ET70" s="16">
        <f t="shared" si="5"/>
        <v>2.0915433333333331</v>
      </c>
      <c r="EU70" s="16">
        <f t="shared" si="5"/>
        <v>3.803857666666667</v>
      </c>
      <c r="EV70" s="16">
        <f t="shared" si="5"/>
        <v>2.6173410000000001</v>
      </c>
      <c r="EW70" s="16">
        <f t="shared" si="5"/>
        <v>2.0165790000000001</v>
      </c>
      <c r="EX70" s="16" t="str">
        <f t="shared" si="5"/>
        <v>.</v>
      </c>
      <c r="EY70" s="16">
        <f t="shared" si="5"/>
        <v>40.027030253530199</v>
      </c>
      <c r="EZ70" s="16">
        <f t="shared" si="5"/>
        <v>2.1747100000000001</v>
      </c>
      <c r="FA70" s="16">
        <f t="shared" si="5"/>
        <v>1.815453</v>
      </c>
      <c r="FB70" s="16">
        <f t="shared" si="5"/>
        <v>1.7425839999999999</v>
      </c>
    </row>
    <row r="71" spans="1:158" x14ac:dyDescent="0.25">
      <c r="A71" s="17">
        <v>68</v>
      </c>
      <c r="B71" s="17" t="s">
        <v>93</v>
      </c>
      <c r="C71" s="17" t="s">
        <v>93</v>
      </c>
      <c r="D71" s="17" t="s">
        <v>33</v>
      </c>
      <c r="E71" s="16">
        <v>1</v>
      </c>
      <c r="F71" s="18">
        <v>3.7949380733580425</v>
      </c>
      <c r="G71" s="18">
        <v>3.8696632297055675</v>
      </c>
      <c r="H71" s="18">
        <v>3.7179095621794875</v>
      </c>
      <c r="I71" s="18">
        <v>3.6412219572473972</v>
      </c>
      <c r="J71" s="18">
        <v>3.7733569949403893</v>
      </c>
      <c r="K71" s="18">
        <v>3.830917981532779</v>
      </c>
      <c r="L71" s="18">
        <v>3.7648524820455398</v>
      </c>
      <c r="M71" s="18">
        <v>4.0000863847756527</v>
      </c>
      <c r="N71" s="18">
        <v>4.0901769344371939</v>
      </c>
      <c r="O71" s="18">
        <v>3.8450993478433806</v>
      </c>
      <c r="P71" s="18">
        <v>4.0940304002029535</v>
      </c>
      <c r="Q71" s="18">
        <v>4.1936857293593297</v>
      </c>
      <c r="R71" s="18">
        <v>4.2379187185380562</v>
      </c>
      <c r="S71" s="18">
        <v>4.0654553165395484</v>
      </c>
      <c r="T71" s="18">
        <v>4.4965579201198462</v>
      </c>
      <c r="U71" s="18">
        <v>2.7477473874108034</v>
      </c>
      <c r="V71" s="18">
        <v>2.7792015544770337</v>
      </c>
      <c r="W71" s="18">
        <v>2.7039995133333332</v>
      </c>
      <c r="X71" s="18">
        <v>2.7574795483065957</v>
      </c>
      <c r="Y71" s="18">
        <v>2.856021264088398</v>
      </c>
      <c r="Z71" s="18">
        <v>2.8018377121247569</v>
      </c>
      <c r="AA71" s="18">
        <v>2.7590491151773047</v>
      </c>
      <c r="AB71" s="18">
        <v>3.225102065952993</v>
      </c>
      <c r="AC71" s="18">
        <v>3.4126193428472438</v>
      </c>
      <c r="AD71" s="19">
        <v>3.0926387677233445</v>
      </c>
      <c r="AE71" s="19">
        <v>3.4046208339212765</v>
      </c>
      <c r="AF71" s="19">
        <v>3.7997970969460875</v>
      </c>
      <c r="AG71" s="19">
        <v>3.5413011225265154</v>
      </c>
      <c r="AH71" s="19">
        <v>2.8197434360826907</v>
      </c>
      <c r="AI71" s="19">
        <v>3.8210036827989837</v>
      </c>
      <c r="AJ71" s="19">
        <v>4.6811300827094477</v>
      </c>
      <c r="AK71" s="19">
        <v>4.8589450696132603</v>
      </c>
      <c r="AL71" s="19">
        <v>4.9064277360623789</v>
      </c>
      <c r="AM71" s="19">
        <v>4.6972238477541373</v>
      </c>
      <c r="AN71" s="19">
        <v>4.8088906916860372</v>
      </c>
      <c r="AO71" s="19">
        <v>4.840463434468564</v>
      </c>
      <c r="AP71" s="19">
        <v>4.541292638452644</v>
      </c>
      <c r="AQ71" s="19">
        <v>5.0270527869039485</v>
      </c>
      <c r="AR71" s="19">
        <v>5.0346665947878</v>
      </c>
      <c r="AS71" s="19">
        <v>4.3767905878749369</v>
      </c>
      <c r="AT71" s="19">
        <v>4.7423442643309617</v>
      </c>
      <c r="AU71" s="19">
        <v>4.6661842360532075</v>
      </c>
      <c r="AV71" s="19">
        <v>3.5573809924355784</v>
      </c>
      <c r="AW71" s="19">
        <v>3.9062321136875644</v>
      </c>
      <c r="AX71" s="19">
        <v>3.7146506000000001</v>
      </c>
      <c r="AY71" s="19">
        <v>3.6569539422459894</v>
      </c>
      <c r="AZ71" s="19">
        <v>3.4578014110497239</v>
      </c>
      <c r="BA71" s="19">
        <v>3.093215492982456</v>
      </c>
      <c r="BB71" s="19">
        <v>3.0221812439716311</v>
      </c>
      <c r="BC71" s="19">
        <v>3.4253760347574334</v>
      </c>
      <c r="BD71" s="19">
        <v>3.2324690518221018</v>
      </c>
      <c r="BE71" s="19">
        <v>2.6824108508917002</v>
      </c>
      <c r="BF71" s="19">
        <v>4.2934646215232695</v>
      </c>
      <c r="BG71" s="19">
        <v>5.8450220951931193</v>
      </c>
      <c r="BH71" s="19">
        <v>3.2283082206405735</v>
      </c>
      <c r="BI71" s="19">
        <v>4.6281563035437934</v>
      </c>
      <c r="BJ71" s="19">
        <v>6.0205058206324322</v>
      </c>
      <c r="BK71" s="19">
        <v>3.1799818847360184</v>
      </c>
      <c r="BL71" s="19">
        <v>3.6205257263157895</v>
      </c>
      <c r="BM71" s="19">
        <v>3.4600086000000001</v>
      </c>
      <c r="BN71" s="19">
        <v>3.3262140657754014</v>
      </c>
      <c r="BO71" s="19">
        <v>3.5067279480662985</v>
      </c>
      <c r="BP71" s="19">
        <v>3.4133872824561404</v>
      </c>
      <c r="BQ71" s="19">
        <v>3.0596099290780145</v>
      </c>
      <c r="BR71" s="19">
        <v>3.2413951668061984</v>
      </c>
      <c r="BS71" s="19">
        <v>3.3012806327422082</v>
      </c>
      <c r="BT71" s="19">
        <v>2.9598090954315968</v>
      </c>
      <c r="BU71" s="19">
        <v>3.5330521070311423</v>
      </c>
      <c r="BV71" s="19">
        <v>2.7129248033471245</v>
      </c>
      <c r="BW71" s="19">
        <v>3.7344157679826773</v>
      </c>
      <c r="BX71" s="19">
        <v>3.220073511077973</v>
      </c>
      <c r="BY71" s="19">
        <v>4.2123866545691113</v>
      </c>
      <c r="BZ71" s="19">
        <v>3.6751966907239502</v>
      </c>
      <c r="CA71" s="19">
        <v>4.1853217984962603</v>
      </c>
      <c r="CB71" s="19">
        <v>11.724494695276</v>
      </c>
      <c r="CC71" s="19">
        <v>16.3436632683065</v>
      </c>
      <c r="CD71" s="19">
        <v>17.232980809283902</v>
      </c>
      <c r="CE71" s="19">
        <v>22.634446532555735</v>
      </c>
      <c r="CF71" s="19">
        <v>26.020624440439526</v>
      </c>
      <c r="CG71" s="19">
        <v>31.750441876450896</v>
      </c>
      <c r="CH71" s="19">
        <v>32.691722307407119</v>
      </c>
      <c r="CI71" s="19">
        <v>40.200488608582702</v>
      </c>
      <c r="CJ71" s="19">
        <v>17.7882009994448</v>
      </c>
      <c r="CK71" s="19">
        <v>30.435543060302699</v>
      </c>
      <c r="CL71" s="19">
        <v>85.712081909179702</v>
      </c>
      <c r="CM71" s="19">
        <v>103.32175445556599</v>
      </c>
      <c r="CN71" s="19">
        <v>125.058101257229</v>
      </c>
      <c r="CO71" s="19">
        <v>103.96588540582</v>
      </c>
      <c r="CP71" s="19">
        <v>93.149699091206898</v>
      </c>
      <c r="CQ71" s="19">
        <v>95.919168533043006</v>
      </c>
      <c r="CR71" s="19">
        <v>93.515636415051503</v>
      </c>
      <c r="CS71" s="19">
        <v>95.542109448609196</v>
      </c>
      <c r="CT71" s="19">
        <v>117.16350329588643</v>
      </c>
      <c r="CU71" s="19">
        <v>124.38159340645836</v>
      </c>
      <c r="CV71" s="19">
        <v>127.87747276284108</v>
      </c>
      <c r="CW71" s="19">
        <v>139.69683399728785</v>
      </c>
      <c r="CX71" s="19">
        <v>150.34710319273884</v>
      </c>
      <c r="CY71" s="19">
        <v>4.1039609297311372</v>
      </c>
      <c r="CZ71" s="19">
        <v>4.3465053283652466</v>
      </c>
      <c r="DA71" s="19">
        <v>3.9632461000000001</v>
      </c>
      <c r="DB71" s="19">
        <v>3.8175573598930481</v>
      </c>
      <c r="DC71" s="19">
        <v>3.7322590718232047</v>
      </c>
      <c r="DD71" s="19">
        <v>3.6059334309941518</v>
      </c>
      <c r="DE71" s="19">
        <v>3.3781838624113476</v>
      </c>
      <c r="DF71" s="19">
        <v>3.6920411979666206</v>
      </c>
      <c r="DG71" s="19">
        <v>4.1450530235236283</v>
      </c>
      <c r="DH71" s="19">
        <v>3.9566202921745104</v>
      </c>
      <c r="DI71" s="19">
        <v>3.5703262354296821</v>
      </c>
      <c r="DJ71" s="19">
        <v>3.9116571376148377</v>
      </c>
      <c r="DK71" s="19">
        <v>3.2996165946769973</v>
      </c>
      <c r="DL71" s="19">
        <v>3.414209354068773</v>
      </c>
      <c r="DM71" s="19">
        <v>4.3433582341587691</v>
      </c>
      <c r="DN71" s="19">
        <v>3.401235005950165</v>
      </c>
      <c r="DO71" s="19">
        <v>3.459369529749508</v>
      </c>
      <c r="DP71" s="19">
        <v>3.6542390500000002</v>
      </c>
      <c r="DQ71" s="19">
        <v>3.8435878368983953</v>
      </c>
      <c r="DR71" s="19">
        <v>3.7309194917127071</v>
      </c>
      <c r="DS71" s="19">
        <v>3.6616145005847951</v>
      </c>
      <c r="DT71" s="19">
        <v>3.3491770950354613</v>
      </c>
      <c r="DU71" s="19">
        <v>3.4736665949347461</v>
      </c>
      <c r="DV71" s="19">
        <v>3.7193127878469312</v>
      </c>
      <c r="DW71" s="19">
        <v>3.6601929615705444</v>
      </c>
      <c r="DX71" s="19">
        <v>3.9166401569413987</v>
      </c>
      <c r="DY71" s="19">
        <v>4.0715675429884222</v>
      </c>
      <c r="DZ71" s="19">
        <v>3.2005437829870367</v>
      </c>
      <c r="EA71" s="19">
        <v>3.5297818755040091</v>
      </c>
      <c r="EB71" s="19">
        <v>4.227372741645949</v>
      </c>
      <c r="EC71" s="19">
        <v>3.533000562162794</v>
      </c>
      <c r="ED71" s="19">
        <v>3.6575991166901209</v>
      </c>
      <c r="EE71" s="19">
        <v>3.5232803500000003</v>
      </c>
      <c r="EF71" s="19">
        <v>3.4930923181818185</v>
      </c>
      <c r="EG71" s="19">
        <v>3.4294653403314919</v>
      </c>
      <c r="EH71" s="19">
        <v>3.274270692397661</v>
      </c>
      <c r="EI71" s="19">
        <v>2.9197624695035467</v>
      </c>
      <c r="EJ71" s="19">
        <v>3.3323890419145359</v>
      </c>
      <c r="EK71" s="19">
        <v>3.8847780889809416</v>
      </c>
      <c r="EL71" s="19">
        <v>3.8374493207686986</v>
      </c>
      <c r="EM71" s="19">
        <v>3.2184228451937575</v>
      </c>
      <c r="EN71" s="19">
        <v>4.2430997442871297</v>
      </c>
      <c r="EO71" s="19">
        <v>2.5442655596669095</v>
      </c>
      <c r="EP71" s="19">
        <v>2.8308574441073553</v>
      </c>
      <c r="EQ71" s="19">
        <v>3.3487647383501362</v>
      </c>
      <c r="ER71" s="19"/>
      <c r="ES71" s="16">
        <f t="shared" si="5"/>
        <v>3.7733569949403893</v>
      </c>
      <c r="ET71" s="16">
        <f t="shared" si="5"/>
        <v>2.856021264088398</v>
      </c>
      <c r="EU71" s="16">
        <f t="shared" si="5"/>
        <v>4.8589450696132603</v>
      </c>
      <c r="EV71" s="16">
        <f t="shared" si="5"/>
        <v>3.4578014110497239</v>
      </c>
      <c r="EW71" s="16">
        <f t="shared" si="5"/>
        <v>3.5067279480662985</v>
      </c>
      <c r="EX71" s="16" t="str">
        <f t="shared" si="5"/>
        <v>.</v>
      </c>
      <c r="EY71" s="16">
        <f t="shared" si="5"/>
        <v>125.058101257229</v>
      </c>
      <c r="EZ71" s="16">
        <f t="shared" si="5"/>
        <v>3.7322590718232047</v>
      </c>
      <c r="FA71" s="16">
        <f t="shared" si="5"/>
        <v>3.7309194917127071</v>
      </c>
      <c r="FB71" s="16">
        <f t="shared" si="5"/>
        <v>3.4294653403314919</v>
      </c>
    </row>
    <row r="72" spans="1:158" x14ac:dyDescent="0.25">
      <c r="A72" s="17">
        <v>69</v>
      </c>
      <c r="B72" s="17" t="s">
        <v>94</v>
      </c>
      <c r="C72" s="17" t="s">
        <v>94</v>
      </c>
      <c r="D72" s="17" t="s">
        <v>23</v>
      </c>
      <c r="E72" s="16">
        <v>1</v>
      </c>
      <c r="F72" s="18">
        <v>4.3462817068512187</v>
      </c>
      <c r="G72" s="18">
        <v>4.0482445738906119</v>
      </c>
      <c r="H72" s="18">
        <v>3.8922824713783681</v>
      </c>
      <c r="I72" s="18">
        <v>3.8679705933987512</v>
      </c>
      <c r="J72" s="18">
        <v>3.8762662979911608</v>
      </c>
      <c r="K72" s="18">
        <v>3.7376367861025117</v>
      </c>
      <c r="L72" s="18">
        <v>3.6903203321851752</v>
      </c>
      <c r="M72" s="18">
        <v>3.7507530756523013</v>
      </c>
      <c r="N72" s="18">
        <v>3.7020665173002558</v>
      </c>
      <c r="O72" s="18">
        <v>3.4727645368803008</v>
      </c>
      <c r="P72" s="18">
        <v>3.5713445874230012</v>
      </c>
      <c r="Q72" s="18">
        <v>3.093120311348768</v>
      </c>
      <c r="R72" s="18">
        <v>3.4692465968503217</v>
      </c>
      <c r="S72" s="18">
        <v>3.2062319895936335</v>
      </c>
      <c r="T72" s="18">
        <v>3.2829425691484482</v>
      </c>
      <c r="U72" s="18">
        <v>3.6058906155603476</v>
      </c>
      <c r="V72" s="18">
        <v>3.4489285948971187</v>
      </c>
      <c r="W72" s="18">
        <v>3.4526498134686974</v>
      </c>
      <c r="X72" s="18">
        <v>3.5514998872316381</v>
      </c>
      <c r="Y72" s="18">
        <v>3.6197168538422395</v>
      </c>
      <c r="Z72" s="18">
        <v>3.613680790995403</v>
      </c>
      <c r="AA72" s="18">
        <v>3.5147944303193133</v>
      </c>
      <c r="AB72" s="18">
        <v>3.4985694729687831</v>
      </c>
      <c r="AC72" s="18">
        <v>3.4428577153893896</v>
      </c>
      <c r="AD72" s="19">
        <v>3.2430278002138371</v>
      </c>
      <c r="AE72" s="19">
        <v>2.9499674927794528</v>
      </c>
      <c r="AF72" s="19">
        <v>2.983825233838846</v>
      </c>
      <c r="AG72" s="19">
        <v>3.932532733437434</v>
      </c>
      <c r="AH72" s="19">
        <v>3.1609985022112022</v>
      </c>
      <c r="AI72" s="19">
        <v>3.1395398163437624</v>
      </c>
      <c r="AJ72" s="19">
        <v>5.1636159446327676</v>
      </c>
      <c r="AK72" s="19">
        <v>5.2881131597964375</v>
      </c>
      <c r="AL72" s="19">
        <v>5.1523652422657955</v>
      </c>
      <c r="AM72" s="19">
        <v>5.0460903403141355</v>
      </c>
      <c r="AN72" s="19">
        <v>5.0574589661132805</v>
      </c>
      <c r="AO72" s="19">
        <v>4.9019259558272443</v>
      </c>
      <c r="AP72" s="19">
        <v>4.4380083816220059</v>
      </c>
      <c r="AQ72" s="19">
        <v>4.2215310894247668</v>
      </c>
      <c r="AR72" s="19">
        <v>4.2721431529547962</v>
      </c>
      <c r="AS72" s="19">
        <v>4.2988300269898456</v>
      </c>
      <c r="AT72" s="19">
        <v>4.2441367919515942</v>
      </c>
      <c r="AU72" s="19">
        <v>3.6895954109577063</v>
      </c>
      <c r="AV72" s="19">
        <v>2.5946073879172467</v>
      </c>
      <c r="AW72" s="19">
        <v>2.2303365427803379</v>
      </c>
      <c r="AX72" s="19">
        <v>2.1297862015228426</v>
      </c>
      <c r="AY72" s="19">
        <v>2.1982351050847457</v>
      </c>
      <c r="AZ72" s="19">
        <v>2.3383575824427485</v>
      </c>
      <c r="BA72" s="19">
        <v>2.3442654509803922</v>
      </c>
      <c r="BB72" s="19">
        <v>2.4414328780104713</v>
      </c>
      <c r="BC72" s="19">
        <v>2.5970033304946005</v>
      </c>
      <c r="BD72" s="19">
        <v>2.5818639151037557</v>
      </c>
      <c r="BE72" s="19">
        <v>2.6420411632518572</v>
      </c>
      <c r="BF72" s="19">
        <v>4.9758567074831701</v>
      </c>
      <c r="BG72" s="19">
        <v>4.7846943516669906</v>
      </c>
      <c r="BH72" s="19">
        <v>6.5439906750642782</v>
      </c>
      <c r="BI72" s="19">
        <v>6.2294570073110238</v>
      </c>
      <c r="BJ72" s="19">
        <v>5.8556105969260539</v>
      </c>
      <c r="BK72" s="19">
        <v>3.2518907866505216</v>
      </c>
      <c r="BL72" s="19">
        <v>3.1317961909234664</v>
      </c>
      <c r="BM72" s="19">
        <v>3.1474094878172592</v>
      </c>
      <c r="BN72" s="19">
        <v>3.0214608067796611</v>
      </c>
      <c r="BO72" s="19">
        <v>2.8943881320610685</v>
      </c>
      <c r="BP72" s="19">
        <v>2.7097672209150327</v>
      </c>
      <c r="BQ72" s="19">
        <v>2.6834587732984292</v>
      </c>
      <c r="BR72" s="19">
        <v>2.7459197839096969</v>
      </c>
      <c r="BS72" s="19">
        <v>2.552784676421179</v>
      </c>
      <c r="BT72" s="19">
        <v>3.3530950185024375</v>
      </c>
      <c r="BU72" s="19">
        <v>2.5342799154359277</v>
      </c>
      <c r="BV72" s="19">
        <v>2.6024226075965311</v>
      </c>
      <c r="BW72" s="19">
        <v>2.0798703702934818</v>
      </c>
      <c r="BX72" s="19">
        <v>2.5064795529562005</v>
      </c>
      <c r="BY72" s="19">
        <v>2.5413796069110925</v>
      </c>
      <c r="BZ72" s="19">
        <v>13.221499729684099</v>
      </c>
      <c r="CA72" s="19">
        <v>23.0905919832467</v>
      </c>
      <c r="CB72" s="19">
        <v>26.3112558879053</v>
      </c>
      <c r="CC72" s="19">
        <v>34.036807775320099</v>
      </c>
      <c r="CD72" s="19">
        <v>39.804715703014999</v>
      </c>
      <c r="CE72" s="19">
        <v>48.281482574948988</v>
      </c>
      <c r="CF72" s="19">
        <v>55.099897761694365</v>
      </c>
      <c r="CG72" s="19">
        <v>59.33042074997649</v>
      </c>
      <c r="CH72" s="19">
        <v>65.553923435982455</v>
      </c>
      <c r="CI72" s="19">
        <v>73.286555964454408</v>
      </c>
      <c r="CJ72" s="19">
        <v>92.295504060209893</v>
      </c>
      <c r="CK72" s="19">
        <v>98.952659606933594</v>
      </c>
      <c r="CL72" s="19">
        <v>122.239616394043</v>
      </c>
      <c r="CM72" s="19">
        <v>118.011344909668</v>
      </c>
      <c r="CN72" s="19">
        <v>120.31500519098999</v>
      </c>
      <c r="CO72" s="19">
        <v>117.296818539941</v>
      </c>
      <c r="CP72" s="19">
        <v>116.38093794628099</v>
      </c>
      <c r="CQ72" s="19">
        <v>116.427872350022</v>
      </c>
      <c r="CR72" s="19">
        <v>118.053828318504</v>
      </c>
      <c r="CS72" s="19">
        <v>118.91166491582</v>
      </c>
      <c r="CT72" s="19">
        <v>123.08506386097764</v>
      </c>
      <c r="CU72" s="19">
        <v>124.19668265559245</v>
      </c>
      <c r="CV72" s="19">
        <v>128.95600401705906</v>
      </c>
      <c r="CW72" s="19">
        <v>129.30385739246938</v>
      </c>
      <c r="CX72" s="19">
        <v>136.26459106611054</v>
      </c>
      <c r="CY72" s="19">
        <v>5.441170416162131</v>
      </c>
      <c r="CZ72" s="19">
        <v>5.2421836624604676</v>
      </c>
      <c r="DA72" s="19">
        <v>4.6229769071065991</v>
      </c>
      <c r="DB72" s="19">
        <v>4.3559328135593223</v>
      </c>
      <c r="DC72" s="19">
        <v>4.3253517824427483</v>
      </c>
      <c r="DD72" s="19">
        <v>3.8190452771241832</v>
      </c>
      <c r="DE72" s="19">
        <v>3.700914986387434</v>
      </c>
      <c r="DF72" s="19">
        <v>3.7347859408921185</v>
      </c>
      <c r="DG72" s="19">
        <v>3.4494977586889926</v>
      </c>
      <c r="DH72" s="19">
        <v>2.8703856309254965</v>
      </c>
      <c r="DI72" s="19">
        <v>2.7586737218730919</v>
      </c>
      <c r="DJ72" s="19">
        <v>1.7640085010838724</v>
      </c>
      <c r="DK72" s="19">
        <v>2.9158044026843313</v>
      </c>
      <c r="DL72" s="19">
        <v>2.1329191017726177</v>
      </c>
      <c r="DM72" s="19">
        <v>2.070199572593673</v>
      </c>
      <c r="DN72" s="19">
        <v>4.1998300511970763</v>
      </c>
      <c r="DO72" s="19">
        <v>3.9867802950980389</v>
      </c>
      <c r="DP72" s="19">
        <v>4.3326454091370561</v>
      </c>
      <c r="DQ72" s="19">
        <v>4.7872809389830504</v>
      </c>
      <c r="DR72" s="19">
        <v>4.815534511450382</v>
      </c>
      <c r="DS72" s="19">
        <v>4.8245012313725493</v>
      </c>
      <c r="DT72" s="19">
        <v>4.8761905821989533</v>
      </c>
      <c r="DU72" s="19">
        <v>4.9887691301642922</v>
      </c>
      <c r="DV72" s="19">
        <v>4.7260369516398812</v>
      </c>
      <c r="DW72" s="19">
        <v>4.4920228409044674</v>
      </c>
      <c r="DX72" s="19">
        <v>5.1293078755234722</v>
      </c>
      <c r="DY72" s="19">
        <v>4.5153305318056969</v>
      </c>
      <c r="DZ72" s="19">
        <v>4.8454083691090206</v>
      </c>
      <c r="EA72" s="19">
        <v>4.7567369651751417</v>
      </c>
      <c r="EB72" s="19">
        <v>4.3993232273262191</v>
      </c>
      <c r="EC72" s="19">
        <v>3.4967937033968521</v>
      </c>
      <c r="ED72" s="19">
        <v>3.5178672975015814</v>
      </c>
      <c r="EE72" s="19">
        <v>3.7598183360406092</v>
      </c>
      <c r="EF72" s="19">
        <v>4.0527956169491528</v>
      </c>
      <c r="EG72" s="19">
        <v>4.031787252671756</v>
      </c>
      <c r="EH72" s="19">
        <v>4.0044579633986928</v>
      </c>
      <c r="EI72" s="19">
        <v>4.0100676219895286</v>
      </c>
      <c r="EJ72" s="19">
        <v>4.2454863706054686</v>
      </c>
      <c r="EK72" s="19">
        <v>4.2235962090426931</v>
      </c>
      <c r="EL72" s="19">
        <v>4.0603375733500782</v>
      </c>
      <c r="EM72" s="19">
        <v>4.8583013509237061</v>
      </c>
      <c r="EN72" s="19">
        <v>4.5920627897566018</v>
      </c>
      <c r="EO72" s="19">
        <v>5.4121565412897441</v>
      </c>
      <c r="EP72" s="19">
        <v>4.1248487720493898</v>
      </c>
      <c r="EQ72" s="19">
        <v>4.3728192994464656</v>
      </c>
      <c r="ER72" s="19"/>
      <c r="ES72" s="16">
        <f t="shared" si="5"/>
        <v>3.8762662979911608</v>
      </c>
      <c r="ET72" s="16">
        <f t="shared" si="5"/>
        <v>3.6197168538422395</v>
      </c>
      <c r="EU72" s="16">
        <f t="shared" si="5"/>
        <v>5.2881131597964375</v>
      </c>
      <c r="EV72" s="16">
        <f t="shared" si="5"/>
        <v>2.3383575824427485</v>
      </c>
      <c r="EW72" s="16">
        <f t="shared" si="5"/>
        <v>2.8943881320610685</v>
      </c>
      <c r="EX72" s="16" t="str">
        <f t="shared" si="5"/>
        <v>.</v>
      </c>
      <c r="EY72" s="16">
        <f t="shared" si="5"/>
        <v>120.31500519098999</v>
      </c>
      <c r="EZ72" s="16">
        <f t="shared" si="5"/>
        <v>4.3253517824427483</v>
      </c>
      <c r="FA72" s="16">
        <f t="shared" si="5"/>
        <v>4.815534511450382</v>
      </c>
      <c r="FB72" s="16">
        <f t="shared" si="5"/>
        <v>4.031787252671756</v>
      </c>
    </row>
    <row r="73" spans="1:158" x14ac:dyDescent="0.25">
      <c r="A73" s="17">
        <v>70</v>
      </c>
      <c r="B73" s="17" t="s">
        <v>95</v>
      </c>
      <c r="C73" s="17" t="s">
        <v>95</v>
      </c>
      <c r="D73" s="17" t="s">
        <v>7</v>
      </c>
      <c r="E73" s="16">
        <v>1</v>
      </c>
      <c r="F73" s="18">
        <v>5.1022315431764911</v>
      </c>
      <c r="G73" s="18">
        <v>5.0256856122987772</v>
      </c>
      <c r="H73" s="18">
        <v>4.8519230243589746</v>
      </c>
      <c r="I73" s="18">
        <v>4.693864814893618</v>
      </c>
      <c r="J73" s="18">
        <v>4.6850085108720707</v>
      </c>
      <c r="K73" s="18">
        <v>4.7134980636116151</v>
      </c>
      <c r="L73" s="18">
        <v>4.6801366178489703</v>
      </c>
      <c r="M73" s="18">
        <v>4.6652483624294341</v>
      </c>
      <c r="N73" s="18">
        <v>4.6872105749914921</v>
      </c>
      <c r="O73" s="18">
        <v>4.7722842337726341</v>
      </c>
      <c r="P73" s="18">
        <v>5.39535796011711</v>
      </c>
      <c r="Q73" s="18">
        <v>4.2728560926023382</v>
      </c>
      <c r="R73" s="18">
        <v>3.982180347581894</v>
      </c>
      <c r="S73" s="18">
        <v>4.1434347840117569</v>
      </c>
      <c r="T73" s="18">
        <v>4.5860417326270033</v>
      </c>
      <c r="U73" s="18">
        <v>4.5192069784653901</v>
      </c>
      <c r="V73" s="18">
        <v>4.6213043974264449</v>
      </c>
      <c r="W73" s="18">
        <v>4.5468592767656757</v>
      </c>
      <c r="X73" s="18">
        <v>4.5281067154609929</v>
      </c>
      <c r="Y73" s="18">
        <v>4.6485268056123292</v>
      </c>
      <c r="Z73" s="18">
        <v>4.6763235943637902</v>
      </c>
      <c r="AA73" s="18">
        <v>4.278931022703536</v>
      </c>
      <c r="AB73" s="18">
        <v>4.1901985607622514</v>
      </c>
      <c r="AC73" s="18">
        <v>4.4689551778073779</v>
      </c>
      <c r="AD73" s="19">
        <v>4.7333259217177783</v>
      </c>
      <c r="AE73" s="19">
        <v>4.4793301525569875</v>
      </c>
      <c r="AF73" s="19">
        <v>4.0885443955716356</v>
      </c>
      <c r="AG73" s="19">
        <v>4.25716775147301</v>
      </c>
      <c r="AH73" s="19">
        <v>4.2981945247849405</v>
      </c>
      <c r="AI73" s="19">
        <v>4.0296036880190949</v>
      </c>
      <c r="AJ73" s="19">
        <v>5.9314371702127664</v>
      </c>
      <c r="AK73" s="19">
        <v>5.8394887430656937</v>
      </c>
      <c r="AL73" s="19">
        <v>5.6744933913793103</v>
      </c>
      <c r="AM73" s="19">
        <v>5.4546593829710135</v>
      </c>
      <c r="AN73" s="19">
        <v>5.4492790143155219</v>
      </c>
      <c r="AO73" s="19">
        <v>5.5209819000558076</v>
      </c>
      <c r="AP73" s="19">
        <v>5.5311245929299062</v>
      </c>
      <c r="AQ73" s="19">
        <v>5.1977401592387675</v>
      </c>
      <c r="AR73" s="19">
        <v>5.3460382684248859</v>
      </c>
      <c r="AS73" s="19">
        <v>5.4651717450498065</v>
      </c>
      <c r="AT73" s="19">
        <v>4.9255561795393596</v>
      </c>
      <c r="AU73" s="19">
        <v>4.7429912498540672</v>
      </c>
      <c r="AV73" s="19">
        <v>4.9053702656868285</v>
      </c>
      <c r="AW73" s="19">
        <v>4.732146174512744</v>
      </c>
      <c r="AX73" s="19">
        <v>4.6784789</v>
      </c>
      <c r="AY73" s="19">
        <v>4.2958022638297875</v>
      </c>
      <c r="AZ73" s="19">
        <v>4.1467390627737233</v>
      </c>
      <c r="BA73" s="19">
        <v>4.2051028068965515</v>
      </c>
      <c r="BB73" s="19">
        <v>3.93495645</v>
      </c>
      <c r="BC73" s="19">
        <v>3.7628015476893166</v>
      </c>
      <c r="BD73" s="19">
        <v>4.1436411397401685</v>
      </c>
      <c r="BE73" s="19">
        <v>4.316144470810201</v>
      </c>
      <c r="BF73" s="19">
        <v>4.8324484348492289</v>
      </c>
      <c r="BG73" s="19">
        <v>5.3829313342368712</v>
      </c>
      <c r="BH73" s="19">
        <v>4.8107107979095112</v>
      </c>
      <c r="BI73" s="19">
        <v>5.7346167957071978</v>
      </c>
      <c r="BJ73" s="19">
        <v>6.5261088691644806</v>
      </c>
      <c r="BK73" s="19">
        <v>4.9311334390974793</v>
      </c>
      <c r="BL73" s="19">
        <v>4.6162346800841512</v>
      </c>
      <c r="BM73" s="19">
        <v>4.2276492000000001</v>
      </c>
      <c r="BN73" s="19">
        <v>3.8530264617021275</v>
      </c>
      <c r="BO73" s="19">
        <v>3.7557726248175189</v>
      </c>
      <c r="BP73" s="19">
        <v>3.7709100827586202</v>
      </c>
      <c r="BQ73" s="19">
        <v>3.7696754538043473</v>
      </c>
      <c r="BR73" s="19">
        <v>3.8106253536410764</v>
      </c>
      <c r="BS73" s="19">
        <v>4.0355127997176599</v>
      </c>
      <c r="BT73" s="19">
        <v>4.078832578107801</v>
      </c>
      <c r="BU73" s="19">
        <v>4.2068663879938866</v>
      </c>
      <c r="BV73" s="19">
        <v>3.0766128855998107</v>
      </c>
      <c r="BW73" s="19">
        <v>3.0478111803546857</v>
      </c>
      <c r="BX73" s="19">
        <v>2.3728004818569262</v>
      </c>
      <c r="BY73" s="19">
        <v>1.9492419963305323</v>
      </c>
      <c r="BZ73" s="19">
        <v>60.676828027598503</v>
      </c>
      <c r="CA73" s="19">
        <v>71.704895062292493</v>
      </c>
      <c r="CB73" s="19">
        <v>74.261004142200406</v>
      </c>
      <c r="CC73" s="19">
        <v>85.3086586518979</v>
      </c>
      <c r="CD73" s="19">
        <v>93.429711814877294</v>
      </c>
      <c r="CE73" s="19">
        <v>99.869081661822278</v>
      </c>
      <c r="CF73" s="19">
        <v>108.5821579743651</v>
      </c>
      <c r="CG73" s="19">
        <v>116.7606445250952</v>
      </c>
      <c r="CH73" s="19">
        <v>125.01726103338544</v>
      </c>
      <c r="CI73" s="19">
        <v>130.34790669096719</v>
      </c>
      <c r="CJ73" s="19">
        <v>103.401700680272</v>
      </c>
      <c r="CK73" s="19">
        <v>108.66374969482401</v>
      </c>
      <c r="CL73" s="19">
        <v>108.848358154297</v>
      </c>
      <c r="CM73" s="19">
        <v>108.14804077148401</v>
      </c>
      <c r="CN73" s="19">
        <v>108.724104755479</v>
      </c>
      <c r="CO73" s="19">
        <v>106.079243817169</v>
      </c>
      <c r="CP73" s="19">
        <v>105.394620609827</v>
      </c>
      <c r="CQ73" s="19">
        <v>108.111126284006</v>
      </c>
      <c r="CR73" s="19">
        <v>111.080192714665</v>
      </c>
      <c r="CS73" s="19">
        <v>114.014575562472</v>
      </c>
      <c r="CT73" s="19">
        <v>111.2411084925853</v>
      </c>
      <c r="CU73" s="19">
        <v>110.59880855325409</v>
      </c>
      <c r="CV73" s="19">
        <v>109.70301805848557</v>
      </c>
      <c r="CW73" s="19">
        <v>114.10064151217978</v>
      </c>
      <c r="CX73" s="19">
        <v>116.12297747413754</v>
      </c>
      <c r="CY73" s="19">
        <v>6.3330160408954699</v>
      </c>
      <c r="CZ73" s="19">
        <v>6.3699799374006538</v>
      </c>
      <c r="DA73" s="19">
        <v>5.9675495999999999</v>
      </c>
      <c r="DB73" s="19">
        <v>5.3816538723404257</v>
      </c>
      <c r="DC73" s="19">
        <v>5.1770631664233582</v>
      </c>
      <c r="DD73" s="19">
        <v>5.1181790758620691</v>
      </c>
      <c r="DE73" s="19">
        <v>5.1802276157608693</v>
      </c>
      <c r="DF73" s="19">
        <v>5.2864186631256107</v>
      </c>
      <c r="DG73" s="19">
        <v>5.4957638588062556</v>
      </c>
      <c r="DH73" s="19">
        <v>5.8292557275364167</v>
      </c>
      <c r="DI73" s="19">
        <v>4.1183536248086323</v>
      </c>
      <c r="DJ73" s="19">
        <v>4.2790928593333897</v>
      </c>
      <c r="DK73" s="19">
        <v>5.5327127607427311</v>
      </c>
      <c r="DL73" s="19">
        <v>5.1515929795466455</v>
      </c>
      <c r="DM73" s="19">
        <v>3.4695362591288337</v>
      </c>
      <c r="DN73" s="19">
        <v>6.0028203772254543</v>
      </c>
      <c r="DO73" s="19">
        <v>5.9420665628798499</v>
      </c>
      <c r="DP73" s="19">
        <v>6.3121721500000003</v>
      </c>
      <c r="DQ73" s="19">
        <v>6.5506617255319153</v>
      </c>
      <c r="DR73" s="19">
        <v>6.3938688963503658</v>
      </c>
      <c r="DS73" s="19">
        <v>6.3486981896551731</v>
      </c>
      <c r="DT73" s="19">
        <v>6.3121797510869566</v>
      </c>
      <c r="DU73" s="19">
        <v>6.1981844477508377</v>
      </c>
      <c r="DV73" s="19">
        <v>5.982592921201574</v>
      </c>
      <c r="DW73" s="19">
        <v>5.83786591353444</v>
      </c>
      <c r="DX73" s="19">
        <v>7</v>
      </c>
      <c r="DY73" s="19">
        <v>6.4258335755436802</v>
      </c>
      <c r="DZ73" s="19">
        <v>5.1802056686558116</v>
      </c>
      <c r="EA73" s="19">
        <v>5.6675075714207912</v>
      </c>
      <c r="EB73" s="19">
        <v>6.5087087395431569</v>
      </c>
      <c r="EC73" s="19">
        <v>4.6782654680063454</v>
      </c>
      <c r="ED73" s="19">
        <v>4.625166060495558</v>
      </c>
      <c r="EE73" s="19">
        <v>5.0692533500000003</v>
      </c>
      <c r="EF73" s="19">
        <v>5.4303638765957452</v>
      </c>
      <c r="EG73" s="19">
        <v>5.356909487591242</v>
      </c>
      <c r="EH73" s="19">
        <v>5.1970722155172417</v>
      </c>
      <c r="EI73" s="19">
        <v>5.0017505168478262</v>
      </c>
      <c r="EJ73" s="19">
        <v>4.8914501913063226</v>
      </c>
      <c r="EK73" s="19">
        <v>4.8100502499314244</v>
      </c>
      <c r="EL73" s="19">
        <v>4.7682475707434504</v>
      </c>
      <c r="EM73" s="19">
        <v>5.0492452321399899</v>
      </c>
      <c r="EN73" s="19">
        <v>5.0842928515714867</v>
      </c>
      <c r="EO73" s="19">
        <v>5.3250646740103527</v>
      </c>
      <c r="EP73" s="19">
        <v>4.2591397699436424</v>
      </c>
      <c r="EQ73" s="19">
        <v>5.262904390249397</v>
      </c>
      <c r="ER73" s="19"/>
      <c r="ES73" s="16">
        <f t="shared" si="5"/>
        <v>4.6850085108720707</v>
      </c>
      <c r="ET73" s="16">
        <f t="shared" si="5"/>
        <v>4.6485268056123292</v>
      </c>
      <c r="EU73" s="16">
        <f t="shared" si="5"/>
        <v>5.8394887430656937</v>
      </c>
      <c r="EV73" s="16">
        <f t="shared" si="5"/>
        <v>4.1467390627737233</v>
      </c>
      <c r="EW73" s="16">
        <f t="shared" si="5"/>
        <v>3.7557726248175189</v>
      </c>
      <c r="EX73" s="16" t="str">
        <f t="shared" si="5"/>
        <v>.</v>
      </c>
      <c r="EY73" s="16">
        <f t="shared" si="5"/>
        <v>108.724104755479</v>
      </c>
      <c r="EZ73" s="16">
        <f t="shared" si="5"/>
        <v>5.1770631664233582</v>
      </c>
      <c r="FA73" s="16">
        <f t="shared" si="5"/>
        <v>6.3938688963503658</v>
      </c>
      <c r="FB73" s="16">
        <f t="shared" si="5"/>
        <v>5.356909487591242</v>
      </c>
    </row>
    <row r="74" spans="1:158" x14ac:dyDescent="0.25">
      <c r="A74" s="17">
        <v>71</v>
      </c>
      <c r="B74" s="17" t="s">
        <v>96</v>
      </c>
      <c r="C74" s="17" t="s">
        <v>96</v>
      </c>
      <c r="D74" s="17" t="s">
        <v>25</v>
      </c>
      <c r="E74" s="16">
        <v>1</v>
      </c>
      <c r="F74" s="18">
        <v>4.8148507853921565</v>
      </c>
      <c r="G74" s="18">
        <v>4.8496520918102837</v>
      </c>
      <c r="H74" s="18">
        <v>4.7610163854111409</v>
      </c>
      <c r="I74" s="18">
        <v>4.3024864008024553</v>
      </c>
      <c r="J74" s="18">
        <v>4.2693836230319393</v>
      </c>
      <c r="K74" s="18">
        <v>4.3125759376955903</v>
      </c>
      <c r="L74" s="18">
        <v>4.3838533191456888</v>
      </c>
      <c r="M74" s="18">
        <v>4.1775537141423476</v>
      </c>
      <c r="N74" s="18">
        <v>4.1513835675643422</v>
      </c>
      <c r="O74" s="18">
        <v>4.3869109006094176</v>
      </c>
      <c r="P74" s="18">
        <v>3.8273967280318728</v>
      </c>
      <c r="Q74" s="18">
        <v>3.9492959119132887</v>
      </c>
      <c r="R74" s="18">
        <v>3.5601039908191412</v>
      </c>
      <c r="S74" s="18">
        <v>4.6156761476026453</v>
      </c>
      <c r="T74" s="18">
        <v>4.1594270854290949</v>
      </c>
      <c r="U74" s="18">
        <v>3.9017020961910633</v>
      </c>
      <c r="V74" s="18">
        <v>3.7360764477358912</v>
      </c>
      <c r="W74" s="18">
        <v>3.7285807872226</v>
      </c>
      <c r="X74" s="18">
        <v>3.6169906413000237</v>
      </c>
      <c r="Y74" s="18">
        <v>3.5762421345294531</v>
      </c>
      <c r="Z74" s="18">
        <v>3.5586765493792578</v>
      </c>
      <c r="AA74" s="18">
        <v>3.6248957251432747</v>
      </c>
      <c r="AB74" s="18">
        <v>3.5325581987965928</v>
      </c>
      <c r="AC74" s="18">
        <v>3.6453685917174425</v>
      </c>
      <c r="AD74" s="19">
        <v>4.0492790444793219</v>
      </c>
      <c r="AE74" s="19">
        <v>3.5422046304976806</v>
      </c>
      <c r="AF74" s="19">
        <v>3.8762551561630105</v>
      </c>
      <c r="AG74" s="19">
        <v>4.1097885659726829</v>
      </c>
      <c r="AH74" s="19">
        <v>4.5685818826943665</v>
      </c>
      <c r="AI74" s="19">
        <v>3.3380127187644746</v>
      </c>
      <c r="AJ74" s="19">
        <v>5.3407366702541097</v>
      </c>
      <c r="AK74" s="19">
        <v>5.2492205235517568</v>
      </c>
      <c r="AL74" s="19">
        <v>5.1610068432432437</v>
      </c>
      <c r="AM74" s="19">
        <v>5.0884514473429947</v>
      </c>
      <c r="AN74" s="19">
        <v>4.1846644377331401</v>
      </c>
      <c r="AO74" s="19">
        <v>4.0927766117602724</v>
      </c>
      <c r="AP74" s="19">
        <v>4.4845828623727337</v>
      </c>
      <c r="AQ74" s="19">
        <v>3.8402275308405591</v>
      </c>
      <c r="AR74" s="19">
        <v>3.4699827597256419</v>
      </c>
      <c r="AS74" s="19">
        <v>3.0077763068921275</v>
      </c>
      <c r="AT74" s="19">
        <v>3.6093488024331331</v>
      </c>
      <c r="AU74" s="19">
        <v>3.7552617285580512</v>
      </c>
      <c r="AV74" s="19">
        <v>2.9406157471750558</v>
      </c>
      <c r="AW74" s="19">
        <v>2.9288656659505907</v>
      </c>
      <c r="AX74" s="19">
        <v>2.8821766126436783</v>
      </c>
      <c r="AY74" s="19">
        <v>2.9885213408071749</v>
      </c>
      <c r="AZ74" s="19">
        <v>2.9734827230769234</v>
      </c>
      <c r="BA74" s="19">
        <v>3.0415448972972974</v>
      </c>
      <c r="BB74" s="19">
        <v>3.0813918850241544</v>
      </c>
      <c r="BC74" s="19">
        <v>3.5775103933442294</v>
      </c>
      <c r="BD74" s="19">
        <v>3.9635979822018008</v>
      </c>
      <c r="BE74" s="19">
        <v>4.0883834599498732</v>
      </c>
      <c r="BF74" s="19">
        <v>4.5064069990434854</v>
      </c>
      <c r="BG74" s="19">
        <v>4.5596501560077201</v>
      </c>
      <c r="BH74" s="19">
        <v>5.4465846187209825</v>
      </c>
      <c r="BI74" s="19">
        <v>5.5844101284472494</v>
      </c>
      <c r="BJ74" s="19">
        <v>6.0185657561022392</v>
      </c>
      <c r="BK74" s="19">
        <v>4.6674962292609354</v>
      </c>
      <c r="BL74" s="19">
        <v>4.1887799348472718</v>
      </c>
      <c r="BM74" s="19">
        <v>4.010455026436782</v>
      </c>
      <c r="BN74" s="19">
        <v>3.8151769309417034</v>
      </c>
      <c r="BO74" s="19">
        <v>3.7946102951566951</v>
      </c>
      <c r="BP74" s="19">
        <v>3.6580280432432435</v>
      </c>
      <c r="BQ74" s="19">
        <v>3.5543125352657001</v>
      </c>
      <c r="BR74" s="19">
        <v>3.8438640161731099</v>
      </c>
      <c r="BS74" s="19">
        <v>4.0058380267764093</v>
      </c>
      <c r="BT74" s="19">
        <v>4.4596317716803684</v>
      </c>
      <c r="BU74" s="19">
        <v>2.9479366823314668</v>
      </c>
      <c r="BV74" s="19">
        <v>4.0093535871562569</v>
      </c>
      <c r="BW74" s="19">
        <v>4.0633148911792274</v>
      </c>
      <c r="BX74" s="19">
        <v>3.7614830334546925</v>
      </c>
      <c r="BY74" s="19">
        <v>3.0862130562286199</v>
      </c>
      <c r="BZ74" s="19">
        <v>1.8526096616848</v>
      </c>
      <c r="CA74" s="19">
        <v>4.9000637676624796</v>
      </c>
      <c r="CB74" s="19">
        <v>3.2472417715955699</v>
      </c>
      <c r="CC74" s="19">
        <v>5.5222920066925001</v>
      </c>
      <c r="CD74" s="19">
        <v>9.3598649115798906</v>
      </c>
      <c r="CE74" s="19">
        <v>10.756633126465438</v>
      </c>
      <c r="CF74" s="19">
        <v>12.100743838923101</v>
      </c>
      <c r="CG74" s="19">
        <v>10.991788195240085</v>
      </c>
      <c r="CH74" s="19">
        <v>12.750292498454971</v>
      </c>
      <c r="CI74" s="19">
        <v>16.138789267593133</v>
      </c>
      <c r="CJ74" s="19">
        <v>8.1568226961293107</v>
      </c>
      <c r="CK74" s="19">
        <v>14.8320045471191</v>
      </c>
      <c r="CL74" s="19">
        <v>29.244157791137699</v>
      </c>
      <c r="CM74" s="19">
        <v>43.830432891845703</v>
      </c>
      <c r="CN74" s="19">
        <v>61.422603297699297</v>
      </c>
      <c r="CO74" s="19">
        <v>71.999054911318197</v>
      </c>
      <c r="CP74" s="19">
        <v>68.718506992752197</v>
      </c>
      <c r="CQ74" s="19">
        <v>70.783181670105094</v>
      </c>
      <c r="CR74" s="19">
        <v>74.483769906508897</v>
      </c>
      <c r="CS74" s="19">
        <v>78.841363478401206</v>
      </c>
      <c r="CT74" s="19">
        <v>93.0686446435394</v>
      </c>
      <c r="CU74" s="19">
        <v>108.17436761261078</v>
      </c>
      <c r="CV74" s="19">
        <v>115.33917017803456</v>
      </c>
      <c r="CW74" s="19">
        <v>117.62281049593851</v>
      </c>
      <c r="CX74" s="19">
        <v>130.526689357321</v>
      </c>
      <c r="CY74" s="19">
        <v>5.2833622753085834</v>
      </c>
      <c r="CZ74" s="19">
        <v>5.0198903743117373</v>
      </c>
      <c r="DA74" s="19">
        <v>4.7829283931034485</v>
      </c>
      <c r="DB74" s="19">
        <v>4.5374529139013458</v>
      </c>
      <c r="DC74" s="19">
        <v>4.2926547150997152</v>
      </c>
      <c r="DD74" s="19">
        <v>4.381542945945947</v>
      </c>
      <c r="DE74" s="19">
        <v>4.3766420570048314</v>
      </c>
      <c r="DF74" s="19">
        <v>4.064674676437007</v>
      </c>
      <c r="DG74" s="19">
        <v>3.7648374765511328</v>
      </c>
      <c r="DH74" s="19">
        <v>3.9417718028642268</v>
      </c>
      <c r="DI74" s="19">
        <v>3.3059331567869594</v>
      </c>
      <c r="DJ74" s="19">
        <v>3.6712065790830111</v>
      </c>
      <c r="DK74" s="19">
        <v>3.3495288073960903</v>
      </c>
      <c r="DL74" s="19">
        <v>3.3347045086481577</v>
      </c>
      <c r="DM74" s="19">
        <v>3.9740869099661991</v>
      </c>
      <c r="DN74" s="19">
        <v>3.1082956259426844</v>
      </c>
      <c r="DO74" s="19">
        <v>2.925812735120715</v>
      </c>
      <c r="DP74" s="19">
        <v>3.2103781735632184</v>
      </c>
      <c r="DQ74" s="19">
        <v>3.6446232152466362</v>
      </c>
      <c r="DR74" s="19">
        <v>3.7899129897435895</v>
      </c>
      <c r="DS74" s="19">
        <v>3.8119857351351358</v>
      </c>
      <c r="DT74" s="19">
        <v>3.8936442995169083</v>
      </c>
      <c r="DU74" s="19">
        <v>3.7465058846425445</v>
      </c>
      <c r="DV74" s="19">
        <v>3.96044675338455</v>
      </c>
      <c r="DW74" s="19">
        <v>4.4502852736241314</v>
      </c>
      <c r="DX74" s="19">
        <v>4.0045053007915321</v>
      </c>
      <c r="DY74" s="19">
        <v>4.0804485712488177</v>
      </c>
      <c r="DZ74" s="19">
        <v>4.2195709306306046</v>
      </c>
      <c r="EA74" s="19">
        <v>4.8697727292188668</v>
      </c>
      <c r="EB74" s="19">
        <v>4.1722398484419907</v>
      </c>
      <c r="EC74" s="19">
        <v>3.0665496049165935</v>
      </c>
      <c r="ED74" s="19">
        <v>2.9403651252501</v>
      </c>
      <c r="EE74" s="19">
        <v>3.0851387333333333</v>
      </c>
      <c r="EF74" s="19">
        <v>3.3246450278026902</v>
      </c>
      <c r="EG74" s="19">
        <v>3.4313569441595444</v>
      </c>
      <c r="EH74" s="19">
        <v>3.4927551243243249</v>
      </c>
      <c r="EI74" s="19">
        <v>3.6455738705314005</v>
      </c>
      <c r="EJ74" s="19">
        <v>3.7948990098354649</v>
      </c>
      <c r="EK74" s="19">
        <v>4.1359815641270927</v>
      </c>
      <c r="EL74" s="19">
        <v>4.4298209349947619</v>
      </c>
      <c r="EM74" s="19">
        <v>4.0375052298151308</v>
      </c>
      <c r="EN74" s="19">
        <v>4.0522674538088355</v>
      </c>
      <c r="EO74" s="19">
        <v>4.0704300934875972</v>
      </c>
      <c r="EP74" s="19">
        <v>4.8342017997656681</v>
      </c>
      <c r="EQ74" s="19">
        <v>4.6395505911432631</v>
      </c>
      <c r="ER74" s="19"/>
      <c r="ES74" s="16">
        <f t="shared" si="5"/>
        <v>4.2693836230319393</v>
      </c>
      <c r="ET74" s="16">
        <f t="shared" si="5"/>
        <v>3.5762421345294531</v>
      </c>
      <c r="EU74" s="16">
        <f t="shared" si="5"/>
        <v>5.2492205235517568</v>
      </c>
      <c r="EV74" s="16">
        <f t="shared" si="5"/>
        <v>2.9734827230769234</v>
      </c>
      <c r="EW74" s="16">
        <f t="shared" si="5"/>
        <v>3.7946102951566951</v>
      </c>
      <c r="EX74" s="16" t="str">
        <f t="shared" si="5"/>
        <v>.</v>
      </c>
      <c r="EY74" s="16">
        <f t="shared" si="5"/>
        <v>61.422603297699297</v>
      </c>
      <c r="EZ74" s="16">
        <f t="shared" si="5"/>
        <v>4.2926547150997152</v>
      </c>
      <c r="FA74" s="16">
        <f t="shared" si="5"/>
        <v>3.7899129897435895</v>
      </c>
      <c r="FB74" s="16">
        <f t="shared" si="5"/>
        <v>3.4313569441595444</v>
      </c>
    </row>
    <row r="75" spans="1:158" x14ac:dyDescent="0.25">
      <c r="A75" s="17">
        <v>72</v>
      </c>
      <c r="B75" s="17" t="s">
        <v>97</v>
      </c>
      <c r="C75" s="17" t="s">
        <v>97</v>
      </c>
      <c r="D75" s="17" t="s">
        <v>25</v>
      </c>
      <c r="E75" s="16">
        <v>1</v>
      </c>
      <c r="F75" s="18">
        <v>4.6479969165934598</v>
      </c>
      <c r="G75" s="18">
        <v>4.5454696842878581</v>
      </c>
      <c r="H75" s="18">
        <v>4.4931675177634514</v>
      </c>
      <c r="I75" s="18">
        <v>4.4003880184808608</v>
      </c>
      <c r="J75" s="18">
        <v>4.2178469342105265</v>
      </c>
      <c r="K75" s="18">
        <v>4.3022320587416818</v>
      </c>
      <c r="L75" s="18">
        <v>4.436354001203008</v>
      </c>
      <c r="M75" s="18">
        <v>4.4733061838097194</v>
      </c>
      <c r="N75" s="18">
        <v>4.3462402819735253</v>
      </c>
      <c r="O75" s="18">
        <v>4.3321458577960117</v>
      </c>
      <c r="P75" s="18">
        <v>4.1884171669188568</v>
      </c>
      <c r="Q75" s="18">
        <v>3.9278100409368091</v>
      </c>
      <c r="R75" s="18">
        <v>4.2674876478467105</v>
      </c>
      <c r="S75" s="18">
        <v>4.2453419945302837</v>
      </c>
      <c r="T75" s="18">
        <v>3.8237473820762755</v>
      </c>
      <c r="U75" s="18">
        <v>3.5566299348902519</v>
      </c>
      <c r="V75" s="18">
        <v>3.4160226454034373</v>
      </c>
      <c r="W75" s="18">
        <v>3.5732221641940205</v>
      </c>
      <c r="X75" s="18">
        <v>3.7125458027009222</v>
      </c>
      <c r="Y75" s="18">
        <v>3.5904335577419357</v>
      </c>
      <c r="Z75" s="18">
        <v>3.6130553930377429</v>
      </c>
      <c r="AA75" s="18">
        <v>3.8209099314775368</v>
      </c>
      <c r="AB75" s="18">
        <v>3.9327146239573123</v>
      </c>
      <c r="AC75" s="18">
        <v>3.9358929467109132</v>
      </c>
      <c r="AD75" s="19">
        <v>3.9888221722070019</v>
      </c>
      <c r="AE75" s="19">
        <v>4.3965485776384856</v>
      </c>
      <c r="AF75" s="19">
        <v>4.1197965025016376</v>
      </c>
      <c r="AG75" s="19">
        <v>3.6908583324751496</v>
      </c>
      <c r="AH75" s="19">
        <v>4.4479850572958215</v>
      </c>
      <c r="AI75" s="19">
        <v>4.1392593551487833</v>
      </c>
      <c r="AJ75" s="19">
        <v>4.8747404666666663</v>
      </c>
      <c r="AK75" s="19">
        <v>4.8679542666666675</v>
      </c>
      <c r="AL75" s="19">
        <v>4.8785845321839076</v>
      </c>
      <c r="AM75" s="19">
        <v>5.0599922895238096</v>
      </c>
      <c r="AN75" s="19">
        <v>5.0409829221984692</v>
      </c>
      <c r="AO75" s="19">
        <v>4.8363735018151184</v>
      </c>
      <c r="AP75" s="19">
        <v>4.7636178362196775</v>
      </c>
      <c r="AQ75" s="19">
        <v>4.3998525009555456</v>
      </c>
      <c r="AR75" s="19">
        <v>5.0460661942400309</v>
      </c>
      <c r="AS75" s="19">
        <v>5.3270358402840534</v>
      </c>
      <c r="AT75" s="19">
        <v>5.2761280807945115</v>
      </c>
      <c r="AU75" s="19">
        <v>4.9025704610165084</v>
      </c>
      <c r="AV75" s="19">
        <v>3.8799955341851629</v>
      </c>
      <c r="AW75" s="19">
        <v>3.4857392169480308</v>
      </c>
      <c r="AX75" s="19">
        <v>3.8758983867052024</v>
      </c>
      <c r="AY75" s="19">
        <v>3.654944290909091</v>
      </c>
      <c r="AZ75" s="19">
        <v>3.5678761999999997</v>
      </c>
      <c r="BA75" s="19">
        <v>3.722342683908046</v>
      </c>
      <c r="BB75" s="19">
        <v>3.9299566285714285</v>
      </c>
      <c r="BC75" s="19">
        <v>3.9962851445601126</v>
      </c>
      <c r="BD75" s="19">
        <v>3.7857462058676052</v>
      </c>
      <c r="BE75" s="19">
        <v>3.8821724059789076</v>
      </c>
      <c r="BF75" s="19">
        <v>4.6879677178350807</v>
      </c>
      <c r="BG75" s="19">
        <v>3.9959276429341015</v>
      </c>
      <c r="BH75" s="19">
        <v>6.7685289238793702</v>
      </c>
      <c r="BI75" s="19">
        <v>4.4532199598453523</v>
      </c>
      <c r="BJ75" s="19">
        <v>5.9801651652873939</v>
      </c>
      <c r="BK75" s="19">
        <v>5.3717550218738213</v>
      </c>
      <c r="BL75" s="19">
        <v>4.5907444534922215</v>
      </c>
      <c r="BM75" s="19">
        <v>4.155056143352601</v>
      </c>
      <c r="BN75" s="19">
        <v>3.9367472500000003</v>
      </c>
      <c r="BO75" s="19">
        <v>3.6728157000000001</v>
      </c>
      <c r="BP75" s="19">
        <v>3.7735487781609196</v>
      </c>
      <c r="BQ75" s="19">
        <v>3.6960389257142858</v>
      </c>
      <c r="BR75" s="19">
        <v>3.8575652578083623</v>
      </c>
      <c r="BS75" s="19">
        <v>3.8814658400860242</v>
      </c>
      <c r="BT75" s="19">
        <v>3.7754987942135854</v>
      </c>
      <c r="BU75" s="19">
        <v>3.5321005877502203</v>
      </c>
      <c r="BV75" s="19">
        <v>4.3814076486422042</v>
      </c>
      <c r="BW75" s="19">
        <v>2.952022163336947</v>
      </c>
      <c r="BX75" s="19">
        <v>2.9665916440027389</v>
      </c>
      <c r="BY75" s="19">
        <v>2.906440479345771</v>
      </c>
      <c r="BZ75" s="19">
        <v>22.195906072472599</v>
      </c>
      <c r="CA75" s="19">
        <v>31.862680711630599</v>
      </c>
      <c r="CB75" s="19">
        <v>31.5922692894734</v>
      </c>
      <c r="CC75" s="19">
        <v>34.717226612184099</v>
      </c>
      <c r="CD75" s="19">
        <v>42.047049732765302</v>
      </c>
      <c r="CE75" s="19">
        <v>47.368095870348974</v>
      </c>
      <c r="CF75" s="19">
        <v>47.032814325028312</v>
      </c>
      <c r="CG75" s="19">
        <v>52.204385178925243</v>
      </c>
      <c r="CH75" s="19">
        <v>56.853256832995939</v>
      </c>
      <c r="CI75" s="19">
        <v>64.251638312368669</v>
      </c>
      <c r="CJ75" s="19">
        <v>21.056446211992</v>
      </c>
      <c r="CK75" s="19">
        <v>28.298475265502901</v>
      </c>
      <c r="CL75" s="19">
        <v>59.988388061523402</v>
      </c>
      <c r="CM75" s="19">
        <v>69.248725891113295</v>
      </c>
      <c r="CN75" s="19">
        <v>91.715988085709597</v>
      </c>
      <c r="CO75" s="19">
        <v>97.719537624821996</v>
      </c>
      <c r="CP75" s="19">
        <v>115.195771639648</v>
      </c>
      <c r="CQ75" s="19">
        <v>121.54340666404001</v>
      </c>
      <c r="CR75" s="19">
        <v>126.180596988093</v>
      </c>
      <c r="CS75" s="19">
        <v>132.34821009376</v>
      </c>
      <c r="CT75" s="19">
        <v>156.18073881983736</v>
      </c>
      <c r="CU75" s="19">
        <v>174.88308105281422</v>
      </c>
      <c r="CV75" s="19">
        <v>184.12614660624669</v>
      </c>
      <c r="CW75" s="19">
        <v>197.36509644731271</v>
      </c>
      <c r="CX75" s="19">
        <v>200</v>
      </c>
      <c r="CY75" s="19">
        <v>3.3763757346978478</v>
      </c>
      <c r="CZ75" s="19">
        <v>3.5097599355180407</v>
      </c>
      <c r="DA75" s="19">
        <v>4.1101338202312139</v>
      </c>
      <c r="DB75" s="19">
        <v>4.0438024818181812</v>
      </c>
      <c r="DC75" s="19">
        <v>3.9653214999999999</v>
      </c>
      <c r="DD75" s="19">
        <v>4.0560381747126435</v>
      </c>
      <c r="DE75" s="19">
        <v>4.0661850857142863</v>
      </c>
      <c r="DF75" s="19">
        <v>4.2865743991281287</v>
      </c>
      <c r="DG75" s="19">
        <v>4.316818562974321</v>
      </c>
      <c r="DH75" s="19">
        <v>4.3558062942131706</v>
      </c>
      <c r="DI75" s="19">
        <v>4.1834109446891219</v>
      </c>
      <c r="DJ75" s="19">
        <v>4.3532309168847343</v>
      </c>
      <c r="DK75" s="19">
        <v>4.773070604304368</v>
      </c>
      <c r="DL75" s="19">
        <v>4.728900892469488</v>
      </c>
      <c r="DM75" s="19">
        <v>4.57516678386785</v>
      </c>
      <c r="DN75" s="19">
        <v>2.6006691134707189</v>
      </c>
      <c r="DO75" s="19">
        <v>2.818815162793777</v>
      </c>
      <c r="DP75" s="19">
        <v>3.1480410867052022</v>
      </c>
      <c r="DQ75" s="19">
        <v>3.7064427159090911</v>
      </c>
      <c r="DR75" s="19">
        <v>3.8634595000000003</v>
      </c>
      <c r="DS75" s="19">
        <v>3.7357667333333335</v>
      </c>
      <c r="DT75" s="19">
        <v>4.0027079828571432</v>
      </c>
      <c r="DU75" s="19">
        <v>4.1667975184685151</v>
      </c>
      <c r="DV75" s="19">
        <v>3.8160549232300296</v>
      </c>
      <c r="DW75" s="19">
        <v>3.7933996804382488</v>
      </c>
      <c r="DX75" s="19">
        <v>4.3392216720601668</v>
      </c>
      <c r="DY75" s="19">
        <v>4.3619180799855988</v>
      </c>
      <c r="DZ75" s="19">
        <v>4.8303967583424328</v>
      </c>
      <c r="EA75" s="19">
        <v>5.0107869313628699</v>
      </c>
      <c r="EB75" s="19">
        <v>5.4181181011073933</v>
      </c>
      <c r="EC75" s="19">
        <v>2.2526153199127652</v>
      </c>
      <c r="ED75" s="19">
        <v>2.5349180407811982</v>
      </c>
      <c r="EE75" s="19">
        <v>2.9302028358381502</v>
      </c>
      <c r="EF75" s="19">
        <v>3.464129970454545</v>
      </c>
      <c r="EG75" s="19">
        <v>3.5268465500000001</v>
      </c>
      <c r="EH75" s="19">
        <v>3.412417251724138</v>
      </c>
      <c r="EI75" s="19">
        <v>3.7411902457142858</v>
      </c>
      <c r="EJ75" s="19">
        <v>3.9262708733877671</v>
      </c>
      <c r="EK75" s="19">
        <v>3.7168648983569854</v>
      </c>
      <c r="EL75" s="19">
        <v>3.8593178051969277</v>
      </c>
      <c r="EM75" s="19">
        <v>5.0453874815946893</v>
      </c>
      <c r="EN75" s="19">
        <v>3.9052228195613683</v>
      </c>
      <c r="EO75" s="19">
        <v>4.5684357931086241</v>
      </c>
      <c r="EP75" s="19">
        <v>4.4271967123324396</v>
      </c>
      <c r="EQ75" s="19">
        <v>5.2687812214982763</v>
      </c>
      <c r="ER75" s="19"/>
      <c r="ES75" s="16">
        <f t="shared" si="5"/>
        <v>4.2178469342105265</v>
      </c>
      <c r="ET75" s="16">
        <f t="shared" si="5"/>
        <v>3.5904335577419357</v>
      </c>
      <c r="EU75" s="16">
        <f t="shared" si="5"/>
        <v>4.8679542666666675</v>
      </c>
      <c r="EV75" s="16">
        <f t="shared" si="5"/>
        <v>3.5678761999999997</v>
      </c>
      <c r="EW75" s="16">
        <f t="shared" si="5"/>
        <v>3.6728157000000001</v>
      </c>
      <c r="EX75" s="16" t="str">
        <f t="shared" si="5"/>
        <v>.</v>
      </c>
      <c r="EY75" s="16">
        <f t="shared" si="5"/>
        <v>91.715988085709597</v>
      </c>
      <c r="EZ75" s="16">
        <f t="shared" si="5"/>
        <v>3.9653214999999999</v>
      </c>
      <c r="FA75" s="16">
        <f t="shared" si="5"/>
        <v>3.8634595000000003</v>
      </c>
      <c r="FB75" s="16">
        <f t="shared" si="5"/>
        <v>3.5268465500000001</v>
      </c>
    </row>
    <row r="76" spans="1:158" x14ac:dyDescent="0.25">
      <c r="A76" s="17">
        <v>73</v>
      </c>
      <c r="B76" s="17" t="s">
        <v>98</v>
      </c>
      <c r="C76" s="17" t="s">
        <v>98</v>
      </c>
      <c r="D76" s="17" t="s">
        <v>9</v>
      </c>
      <c r="E76" s="16">
        <v>1</v>
      </c>
      <c r="F76" s="18">
        <v>4.039819505016049</v>
      </c>
      <c r="G76" s="18">
        <v>3.6469369480474407</v>
      </c>
      <c r="H76" s="18">
        <v>3.681979150901237</v>
      </c>
      <c r="I76" s="18">
        <v>3.5624785263157897</v>
      </c>
      <c r="J76" s="18">
        <v>3.5912861871917547</v>
      </c>
      <c r="K76" s="18">
        <v>3.68140362785496</v>
      </c>
      <c r="L76" s="18">
        <v>3.6038876400104369</v>
      </c>
      <c r="M76" s="18">
        <v>3.5232045078743028</v>
      </c>
      <c r="N76" s="18">
        <v>3.5175405360671275</v>
      </c>
      <c r="O76" s="18">
        <v>3.5043132743319476</v>
      </c>
      <c r="P76" s="18">
        <v>2.9624704112488902</v>
      </c>
      <c r="Q76" s="18">
        <v>3.8113121197819462</v>
      </c>
      <c r="R76" s="18">
        <v>3.0563559155481244</v>
      </c>
      <c r="S76" s="18">
        <v>3.3779863336784679</v>
      </c>
      <c r="T76" s="18">
        <v>3.3200176694521506</v>
      </c>
      <c r="U76" s="18">
        <v>3.2190505610608127</v>
      </c>
      <c r="V76" s="18">
        <v>3.0254789910410897</v>
      </c>
      <c r="W76" s="18">
        <v>3.0783343409154074</v>
      </c>
      <c r="X76" s="18">
        <v>3.1076097834681042</v>
      </c>
      <c r="Y76" s="18">
        <v>3.1453551055716646</v>
      </c>
      <c r="Z76" s="18">
        <v>3.2461978222324079</v>
      </c>
      <c r="AA76" s="18">
        <v>3.2101384592637112</v>
      </c>
      <c r="AB76" s="18">
        <v>3.1288501465539933</v>
      </c>
      <c r="AC76" s="18">
        <v>3.1402178230373332</v>
      </c>
      <c r="AD76" s="19">
        <v>3.186127997570817</v>
      </c>
      <c r="AE76" s="19">
        <v>3.3654361216964768</v>
      </c>
      <c r="AF76" s="19">
        <v>3.3592593510898809</v>
      </c>
      <c r="AG76" s="19">
        <v>3.1351155696171915</v>
      </c>
      <c r="AH76" s="19">
        <v>3.3912113915031488</v>
      </c>
      <c r="AI76" s="19">
        <v>3.2593287656450203</v>
      </c>
      <c r="AJ76" s="19">
        <v>4.0483979999999997</v>
      </c>
      <c r="AK76" s="19">
        <v>4.0634246590520595</v>
      </c>
      <c r="AL76" s="19">
        <v>4.1007952873311426</v>
      </c>
      <c r="AM76" s="19">
        <v>3.9384021148253066</v>
      </c>
      <c r="AN76" s="19">
        <v>3.7834197449994655</v>
      </c>
      <c r="AO76" s="19">
        <v>3.9118614236233213</v>
      </c>
      <c r="AP76" s="19">
        <v>3.9764864393192449</v>
      </c>
      <c r="AQ76" s="19">
        <v>3.5223930975733668</v>
      </c>
      <c r="AR76" s="19">
        <v>4.2084215278767925</v>
      </c>
      <c r="AS76" s="19">
        <v>3.9911354198918323</v>
      </c>
      <c r="AT76" s="19">
        <v>3.3722970549367735</v>
      </c>
      <c r="AU76" s="19">
        <v>3.8598741656179976</v>
      </c>
      <c r="AV76" s="19">
        <v>3.4127907673956104</v>
      </c>
      <c r="AW76" s="19">
        <v>3.1554114454101279</v>
      </c>
      <c r="AX76" s="19">
        <v>3.0738176984663519</v>
      </c>
      <c r="AY76" s="19">
        <v>2.9057580000000001</v>
      </c>
      <c r="AZ76" s="19">
        <v>2.8251841589743591</v>
      </c>
      <c r="BA76" s="19">
        <v>2.862167292004381</v>
      </c>
      <c r="BB76" s="19">
        <v>2.8401811208215295</v>
      </c>
      <c r="BC76" s="19">
        <v>2.7949758357225853</v>
      </c>
      <c r="BD76" s="19">
        <v>3.0290359875566955</v>
      </c>
      <c r="BE76" s="19">
        <v>3.1155571660757606</v>
      </c>
      <c r="BF76" s="19">
        <v>3.9912258151207225</v>
      </c>
      <c r="BG76" s="19">
        <v>4.1882915350891627</v>
      </c>
      <c r="BH76" s="19">
        <v>3.9270473471399776</v>
      </c>
      <c r="BI76" s="19">
        <v>3.9700246841697919</v>
      </c>
      <c r="BJ76" s="19">
        <v>4.9045634051731177</v>
      </c>
      <c r="BK76" s="19">
        <v>3.5662769428959677</v>
      </c>
      <c r="BL76" s="19">
        <v>3.8650645685755083</v>
      </c>
      <c r="BM76" s="19">
        <v>3.4223326881884857</v>
      </c>
      <c r="BN76" s="19">
        <v>3.5043169999999999</v>
      </c>
      <c r="BO76" s="19">
        <v>3.553327588111888</v>
      </c>
      <c r="BP76" s="19">
        <v>3.7115780736035049</v>
      </c>
      <c r="BQ76" s="19">
        <v>3.6467352664305945</v>
      </c>
      <c r="BR76" s="19">
        <v>3.5459731091306974</v>
      </c>
      <c r="BS76" s="19">
        <v>3.5902280982449764</v>
      </c>
      <c r="BT76" s="19">
        <v>3.6293883160398659</v>
      </c>
      <c r="BU76" s="19">
        <v>3.5038392172209476</v>
      </c>
      <c r="BV76" s="19">
        <v>4.083772504340625</v>
      </c>
      <c r="BW76" s="19">
        <v>3.5458340632174719</v>
      </c>
      <c r="BX76" s="19">
        <v>3.3922142568956009</v>
      </c>
      <c r="BY76" s="19">
        <v>3.6859978968224913</v>
      </c>
      <c r="BZ76" s="19">
        <v>4.0421790778681856</v>
      </c>
      <c r="CA76" s="19">
        <v>4.1089569766903296</v>
      </c>
      <c r="CB76" s="19">
        <v>1.1611541431702199</v>
      </c>
      <c r="CC76" s="19">
        <v>10.709671498062001</v>
      </c>
      <c r="CD76" s="19">
        <v>20.022762003489099</v>
      </c>
      <c r="CE76" s="19">
        <v>19.785464932520814</v>
      </c>
      <c r="CF76" s="19">
        <v>23.504277868679061</v>
      </c>
      <c r="CG76" s="19">
        <v>24.074492277528808</v>
      </c>
      <c r="CH76" s="19">
        <v>31.026097881268377</v>
      </c>
      <c r="CI76" s="19">
        <v>37.293073717223606</v>
      </c>
      <c r="CJ76" s="19">
        <v>63.11</v>
      </c>
      <c r="CK76" s="19">
        <v>87.03</v>
      </c>
      <c r="CL76" s="19">
        <v>74.47</v>
      </c>
      <c r="CM76" s="19">
        <v>70.832908630371094</v>
      </c>
      <c r="CN76" s="19">
        <v>91.248732825467698</v>
      </c>
      <c r="CO76" s="19">
        <v>74.9252081579763</v>
      </c>
      <c r="CP76" s="19">
        <v>76.915958274130702</v>
      </c>
      <c r="CQ76" s="19">
        <v>84.246100515902697</v>
      </c>
      <c r="CR76" s="19">
        <v>87.792731107604098</v>
      </c>
      <c r="CS76" s="19">
        <v>93.384829853948403</v>
      </c>
      <c r="CT76" s="19">
        <v>91.696984125152753</v>
      </c>
      <c r="CU76" s="19">
        <v>90.128253611618717</v>
      </c>
      <c r="CV76" s="19">
        <v>94.879952741874675</v>
      </c>
      <c r="CW76" s="19">
        <v>99.412689525893938</v>
      </c>
      <c r="CX76" s="19">
        <v>101.09731033996202</v>
      </c>
      <c r="CY76" s="19">
        <v>4.7420658129405835</v>
      </c>
      <c r="CZ76" s="19">
        <v>4.2948764644412432</v>
      </c>
      <c r="DA76" s="19">
        <v>4.316038319693507</v>
      </c>
      <c r="DB76" s="19">
        <v>4.2900309999999999</v>
      </c>
      <c r="DC76" s="19">
        <v>4.3782042841491844</v>
      </c>
      <c r="DD76" s="19">
        <v>4.5867866703176343</v>
      </c>
      <c r="DE76" s="19">
        <v>4.308137696600566</v>
      </c>
      <c r="DF76" s="19">
        <v>3.8566298807435313</v>
      </c>
      <c r="DG76" s="19">
        <v>3.9471528588439067</v>
      </c>
      <c r="DH76" s="19">
        <v>3.8542248299332704</v>
      </c>
      <c r="DI76" s="19">
        <v>4.2164774554931563</v>
      </c>
      <c r="DJ76" s="19">
        <v>3.1494097868758431</v>
      </c>
      <c r="DK76" s="19">
        <v>3.5904639380062879</v>
      </c>
      <c r="DL76" s="19">
        <v>3.7240880087102672</v>
      </c>
      <c r="DM76" s="19">
        <v>3.4734289886196645</v>
      </c>
      <c r="DN76" s="19">
        <v>3.0906742759596746</v>
      </c>
      <c r="DO76" s="19">
        <v>4.3140751587543535</v>
      </c>
      <c r="DP76" s="19">
        <v>4.276719292343043</v>
      </c>
      <c r="DQ76" s="19">
        <v>3.9748649999999999</v>
      </c>
      <c r="DR76" s="19">
        <v>3.9670180212121209</v>
      </c>
      <c r="DS76" s="19">
        <v>4.2017600718510408</v>
      </c>
      <c r="DT76" s="19">
        <v>4.2086926620396596</v>
      </c>
      <c r="DU76" s="19">
        <v>3.9254944337165467</v>
      </c>
      <c r="DV76" s="19">
        <v>3.9290504169692815</v>
      </c>
      <c r="DW76" s="19">
        <v>3.9609487579523028</v>
      </c>
      <c r="DX76" s="19">
        <v>4.2907388278995668</v>
      </c>
      <c r="DY76" s="19">
        <v>4.2210422985619793</v>
      </c>
      <c r="DZ76" s="19">
        <v>4.3329869933194907</v>
      </c>
      <c r="EA76" s="19">
        <v>3.7299005121467244</v>
      </c>
      <c r="EB76" s="19">
        <v>5.3712315540005662</v>
      </c>
      <c r="EC76" s="19">
        <v>3.2333391436040575</v>
      </c>
      <c r="ED76" s="19">
        <v>3.1756177644600054</v>
      </c>
      <c r="EE76" s="19">
        <v>3.7274190585870604</v>
      </c>
      <c r="EF76" s="19">
        <v>3.7097509999999998</v>
      </c>
      <c r="EG76" s="19">
        <v>3.8040797692307691</v>
      </c>
      <c r="EH76" s="19">
        <v>4.0078270595837893</v>
      </c>
      <c r="EI76" s="19">
        <v>4.1165527137393765</v>
      </c>
      <c r="EJ76" s="19">
        <v>4.094324673967578</v>
      </c>
      <c r="EK76" s="19">
        <v>4.0663482732338299</v>
      </c>
      <c r="EL76" s="19">
        <v>4.0655370488458757</v>
      </c>
      <c r="EM76" s="19">
        <v>4.2967843042267901</v>
      </c>
      <c r="EN76" s="19">
        <v>4.4141785557791149</v>
      </c>
      <c r="EO76" s="19">
        <v>4.189276834977381</v>
      </c>
      <c r="EP76" s="19">
        <v>4.6784890765751843</v>
      </c>
      <c r="EQ76" s="19">
        <v>4.4035680366668384</v>
      </c>
      <c r="ER76" s="19"/>
      <c r="ES76" s="16">
        <f t="shared" si="5"/>
        <v>3.5912861871917547</v>
      </c>
      <c r="ET76" s="16">
        <f t="shared" si="5"/>
        <v>3.1453551055716646</v>
      </c>
      <c r="EU76" s="16">
        <f t="shared" si="5"/>
        <v>4.0634246590520595</v>
      </c>
      <c r="EV76" s="16">
        <f t="shared" si="5"/>
        <v>2.8251841589743591</v>
      </c>
      <c r="EW76" s="16">
        <f t="shared" si="5"/>
        <v>3.553327588111888</v>
      </c>
      <c r="EX76" s="16" t="str">
        <f t="shared" si="5"/>
        <v>.</v>
      </c>
      <c r="EY76" s="16">
        <f t="shared" si="5"/>
        <v>91.248732825467698</v>
      </c>
      <c r="EZ76" s="16">
        <f t="shared" si="5"/>
        <v>4.3782042841491844</v>
      </c>
      <c r="FA76" s="16">
        <f t="shared" si="5"/>
        <v>3.9670180212121209</v>
      </c>
      <c r="FB76" s="16">
        <f t="shared" si="5"/>
        <v>3.8040797692307691</v>
      </c>
    </row>
    <row r="77" spans="1:158" x14ac:dyDescent="0.25">
      <c r="A77" s="17">
        <v>74</v>
      </c>
      <c r="B77" s="17" t="s">
        <v>99</v>
      </c>
      <c r="C77" s="17" t="s">
        <v>99</v>
      </c>
      <c r="D77" s="17" t="s">
        <v>9</v>
      </c>
      <c r="E77" s="16">
        <v>0</v>
      </c>
      <c r="F77" s="18">
        <v>4.2300000000000004</v>
      </c>
      <c r="G77" s="18">
        <v>3.82</v>
      </c>
      <c r="H77" s="18">
        <v>4.21</v>
      </c>
      <c r="I77" s="18">
        <v>4.37</v>
      </c>
      <c r="J77" s="18">
        <v>3.54</v>
      </c>
      <c r="K77" s="18">
        <v>3.22</v>
      </c>
      <c r="L77" s="18">
        <v>3.64</v>
      </c>
      <c r="M77" s="18">
        <v>3.84</v>
      </c>
      <c r="N77" s="18">
        <v>4.38</v>
      </c>
      <c r="O77" s="18">
        <v>3.42</v>
      </c>
      <c r="P77" s="18">
        <v>4.8499999999999996</v>
      </c>
      <c r="Q77" s="18">
        <v>4.59</v>
      </c>
      <c r="R77" s="18">
        <v>5.54</v>
      </c>
      <c r="S77" s="18">
        <v>4.67</v>
      </c>
      <c r="T77" s="18">
        <v>4.2699999999999996</v>
      </c>
      <c r="U77" s="18">
        <v>3.65</v>
      </c>
      <c r="V77" s="18">
        <v>3.97</v>
      </c>
      <c r="W77" s="18">
        <v>2.58</v>
      </c>
      <c r="X77" s="18">
        <v>3.14</v>
      </c>
      <c r="Y77" s="18">
        <v>2.82</v>
      </c>
      <c r="Z77" s="18">
        <v>2.0499999999999998</v>
      </c>
      <c r="AA77" s="18">
        <v>3.89</v>
      </c>
      <c r="AB77" s="18">
        <v>3.41</v>
      </c>
      <c r="AC77" s="18">
        <v>2.58</v>
      </c>
      <c r="AD77" s="19">
        <v>2.34</v>
      </c>
      <c r="AE77" s="19">
        <v>3.25</v>
      </c>
      <c r="AF77" s="19">
        <v>3.68</v>
      </c>
      <c r="AG77" s="19">
        <v>3.25</v>
      </c>
      <c r="AH77" s="19">
        <v>4.13</v>
      </c>
      <c r="AI77" s="19">
        <v>4.4000000000000004</v>
      </c>
      <c r="AJ77" s="19">
        <v>5.75</v>
      </c>
      <c r="AK77" s="19">
        <v>5.23</v>
      </c>
      <c r="AL77" s="19">
        <v>4.83</v>
      </c>
      <c r="AM77" s="19">
        <v>5.08</v>
      </c>
      <c r="AN77" s="19">
        <v>4.57</v>
      </c>
      <c r="AO77" s="19">
        <v>5.26</v>
      </c>
      <c r="AP77" s="19">
        <v>5.29</v>
      </c>
      <c r="AQ77" s="19">
        <v>4.26</v>
      </c>
      <c r="AR77" s="19">
        <v>4.32</v>
      </c>
      <c r="AS77" s="19">
        <v>4.92</v>
      </c>
      <c r="AT77" s="19">
        <v>5.35</v>
      </c>
      <c r="AU77" s="19">
        <v>4.57</v>
      </c>
      <c r="AV77" s="19">
        <v>3.98</v>
      </c>
      <c r="AW77" s="19">
        <v>2.56</v>
      </c>
      <c r="AX77" s="19">
        <v>3.04</v>
      </c>
      <c r="AY77" s="19">
        <v>2.77</v>
      </c>
      <c r="AZ77" s="19">
        <v>2.95</v>
      </c>
      <c r="BA77" s="19">
        <v>3.02</v>
      </c>
      <c r="BB77" s="19">
        <v>3.91</v>
      </c>
      <c r="BC77" s="19">
        <v>4.54</v>
      </c>
      <c r="BD77" s="19">
        <v>3.39</v>
      </c>
      <c r="BE77" s="19">
        <v>4.2699999999999996</v>
      </c>
      <c r="BF77" s="19">
        <v>4.5</v>
      </c>
      <c r="BG77" s="19">
        <v>5.29</v>
      </c>
      <c r="BH77" s="19">
        <v>5.43</v>
      </c>
      <c r="BI77" s="19">
        <v>5.77</v>
      </c>
      <c r="BJ77" s="19">
        <v>4.87</v>
      </c>
      <c r="BK77" s="19">
        <v>3.09</v>
      </c>
      <c r="BL77" s="19">
        <v>3.54</v>
      </c>
      <c r="BM77" s="19">
        <v>3.8</v>
      </c>
      <c r="BN77" s="19">
        <v>3.37</v>
      </c>
      <c r="BO77" s="19">
        <v>2.36</v>
      </c>
      <c r="BP77" s="19">
        <v>2.82</v>
      </c>
      <c r="BQ77" s="19">
        <v>3.45</v>
      </c>
      <c r="BR77" s="19">
        <v>3.08</v>
      </c>
      <c r="BS77" s="19">
        <v>3.85</v>
      </c>
      <c r="BT77" s="19">
        <v>3.44</v>
      </c>
      <c r="BU77" s="19">
        <v>2.94</v>
      </c>
      <c r="BV77" s="19">
        <v>4.5</v>
      </c>
      <c r="BW77" s="19">
        <v>2.4</v>
      </c>
      <c r="BX77" s="19">
        <v>2.7</v>
      </c>
      <c r="BY77" s="19">
        <v>3.75</v>
      </c>
      <c r="BZ77" s="19">
        <v>22.03</v>
      </c>
      <c r="CA77" s="19">
        <v>1</v>
      </c>
      <c r="CB77" s="19">
        <v>1</v>
      </c>
      <c r="CC77" s="19">
        <v>31.9</v>
      </c>
      <c r="CD77" s="19">
        <v>35.93</v>
      </c>
      <c r="CE77" s="19">
        <v>119.13</v>
      </c>
      <c r="CF77" s="19">
        <v>36.28</v>
      </c>
      <c r="CG77" s="19">
        <v>36.75</v>
      </c>
      <c r="CH77" s="19">
        <v>200</v>
      </c>
      <c r="CI77" s="19">
        <v>50.94</v>
      </c>
      <c r="CJ77" s="19">
        <v>61.26</v>
      </c>
      <c r="CK77" s="19">
        <v>85.15</v>
      </c>
      <c r="CL77" s="19">
        <v>107.21</v>
      </c>
      <c r="CM77" s="19">
        <v>129.93</v>
      </c>
      <c r="CN77" s="19">
        <v>119.15</v>
      </c>
      <c r="CO77" s="19">
        <v>98.96</v>
      </c>
      <c r="CP77" s="19">
        <v>128.86000000000001</v>
      </c>
      <c r="CQ77" s="19">
        <v>84.2</v>
      </c>
      <c r="CR77" s="19">
        <v>96.51</v>
      </c>
      <c r="CS77" s="19">
        <v>103.16</v>
      </c>
      <c r="CT77" s="19">
        <v>146.94999999999999</v>
      </c>
      <c r="CU77" s="19">
        <v>135.06</v>
      </c>
      <c r="CV77" s="19">
        <v>200</v>
      </c>
      <c r="CW77" s="19">
        <v>182.32</v>
      </c>
      <c r="CX77" s="19">
        <v>168.42</v>
      </c>
      <c r="CY77" s="19">
        <v>5.27</v>
      </c>
      <c r="CZ77" s="19">
        <v>5.46</v>
      </c>
      <c r="DA77" s="19">
        <v>4.3</v>
      </c>
      <c r="DB77" s="19">
        <v>4.32</v>
      </c>
      <c r="DC77" s="19">
        <v>3.98</v>
      </c>
      <c r="DD77" s="19">
        <v>4.49</v>
      </c>
      <c r="DE77" s="19">
        <v>5.26</v>
      </c>
      <c r="DF77" s="19">
        <v>3.8</v>
      </c>
      <c r="DG77" s="19">
        <v>3.71</v>
      </c>
      <c r="DH77" s="19">
        <v>4.45</v>
      </c>
      <c r="DI77" s="19">
        <v>4.4800000000000004</v>
      </c>
      <c r="DJ77" s="19">
        <v>2.3199999999999998</v>
      </c>
      <c r="DK77" s="19">
        <v>3.76</v>
      </c>
      <c r="DL77" s="19">
        <v>5.09</v>
      </c>
      <c r="DM77" s="19">
        <v>3.3</v>
      </c>
      <c r="DN77" s="19">
        <v>4.6900000000000004</v>
      </c>
      <c r="DO77" s="19">
        <v>3.86</v>
      </c>
      <c r="DP77" s="19">
        <v>4.34</v>
      </c>
      <c r="DQ77" s="19">
        <v>4.6399999999999997</v>
      </c>
      <c r="DR77" s="19">
        <v>4.32</v>
      </c>
      <c r="DS77" s="19">
        <v>4.17</v>
      </c>
      <c r="DT77" s="19">
        <v>4.54</v>
      </c>
      <c r="DU77" s="19">
        <v>4.67</v>
      </c>
      <c r="DV77" s="19">
        <v>4.3600000000000003</v>
      </c>
      <c r="DW77" s="19">
        <v>4.9800000000000004</v>
      </c>
      <c r="DX77" s="19">
        <v>4.7300000000000004</v>
      </c>
      <c r="DY77" s="19">
        <v>4.75</v>
      </c>
      <c r="DZ77" s="19">
        <v>4.63</v>
      </c>
      <c r="EA77" s="19">
        <v>3.06</v>
      </c>
      <c r="EB77" s="19">
        <v>4.87</v>
      </c>
      <c r="EC77" s="19">
        <v>4.03</v>
      </c>
      <c r="ED77" s="19">
        <v>4.2699999999999996</v>
      </c>
      <c r="EE77" s="19">
        <v>3.24</v>
      </c>
      <c r="EF77" s="19">
        <v>1.67</v>
      </c>
      <c r="EG77" s="19">
        <v>4.59</v>
      </c>
      <c r="EH77" s="19">
        <v>4.76</v>
      </c>
      <c r="EI77" s="19">
        <v>4.3899999999999997</v>
      </c>
      <c r="EJ77" s="19">
        <v>4.54</v>
      </c>
      <c r="EK77" s="19">
        <v>5.89</v>
      </c>
      <c r="EL77" s="19">
        <v>2.78</v>
      </c>
      <c r="EM77" s="19">
        <v>3.95</v>
      </c>
      <c r="EN77" s="19">
        <v>4.3099999999999996</v>
      </c>
      <c r="EO77" s="19">
        <v>3.97</v>
      </c>
      <c r="EP77" s="19">
        <v>2.87</v>
      </c>
      <c r="EQ77" s="19">
        <v>2.0099999999999998</v>
      </c>
      <c r="ER77" s="19"/>
      <c r="ES77" s="16">
        <f t="shared" si="5"/>
        <v>3.54</v>
      </c>
      <c r="ET77" s="16">
        <f t="shared" si="5"/>
        <v>2.82</v>
      </c>
      <c r="EU77" s="16">
        <f t="shared" si="5"/>
        <v>5.23</v>
      </c>
      <c r="EV77" s="16">
        <f t="shared" si="5"/>
        <v>2.95</v>
      </c>
      <c r="EW77" s="16">
        <f t="shared" si="5"/>
        <v>2.36</v>
      </c>
      <c r="EX77" s="16" t="str">
        <f t="shared" si="5"/>
        <v>.</v>
      </c>
      <c r="EY77" s="16">
        <f t="shared" si="5"/>
        <v>119.15</v>
      </c>
      <c r="EZ77" s="16">
        <f t="shared" si="5"/>
        <v>3.98</v>
      </c>
      <c r="FA77" s="16">
        <f t="shared" si="5"/>
        <v>4.32</v>
      </c>
      <c r="FB77" s="16">
        <f t="shared" si="5"/>
        <v>4.59</v>
      </c>
    </row>
    <row r="78" spans="1:158" x14ac:dyDescent="0.25">
      <c r="A78" s="17">
        <v>75</v>
      </c>
      <c r="B78" s="17" t="s">
        <v>100</v>
      </c>
      <c r="C78" s="17" t="s">
        <v>100</v>
      </c>
      <c r="D78" s="17" t="s">
        <v>9</v>
      </c>
      <c r="E78" s="16">
        <v>1</v>
      </c>
      <c r="F78" s="18">
        <v>5.1324963579946044</v>
      </c>
      <c r="G78" s="18">
        <v>4.9501481195535302</v>
      </c>
      <c r="H78" s="18">
        <v>4.6745976744348354</v>
      </c>
      <c r="I78" s="18">
        <v>4.7895261353468905</v>
      </c>
      <c r="J78" s="18">
        <v>5.1135730709382159</v>
      </c>
      <c r="K78" s="18">
        <v>5.0959251270676686</v>
      </c>
      <c r="L78" s="18">
        <v>4.8769630745376951</v>
      </c>
      <c r="M78" s="18">
        <v>4.761439454068106</v>
      </c>
      <c r="N78" s="18">
        <v>4.9338570596604994</v>
      </c>
      <c r="O78" s="18">
        <v>5.0976622955628255</v>
      </c>
      <c r="P78" s="18">
        <v>4.9512910263824699</v>
      </c>
      <c r="Q78" s="18">
        <v>5.3714127166361889</v>
      </c>
      <c r="R78" s="18">
        <v>5.0867347652466028</v>
      </c>
      <c r="S78" s="18">
        <v>4.6750745717464532</v>
      </c>
      <c r="T78" s="18">
        <v>4.7501661607238068</v>
      </c>
      <c r="U78" s="18">
        <v>5.5720719835146024</v>
      </c>
      <c r="V78" s="18">
        <v>5.2584013355536685</v>
      </c>
      <c r="W78" s="18">
        <v>5.0643686733389703</v>
      </c>
      <c r="X78" s="18">
        <v>5.3016933879924251</v>
      </c>
      <c r="Y78" s="18">
        <v>5.5286731179227058</v>
      </c>
      <c r="Z78" s="18">
        <v>5.5704150915646258</v>
      </c>
      <c r="AA78" s="18">
        <v>5.5769021138738735</v>
      </c>
      <c r="AB78" s="18">
        <v>5.5628515413411188</v>
      </c>
      <c r="AC78" s="18">
        <v>5.6472466753709067</v>
      </c>
      <c r="AD78" s="19">
        <v>5.7315224170684811</v>
      </c>
      <c r="AE78" s="19">
        <v>5.4779219625624842</v>
      </c>
      <c r="AF78" s="19">
        <v>5.0237199275756215</v>
      </c>
      <c r="AG78" s="19">
        <v>6.4773067061950256</v>
      </c>
      <c r="AH78" s="19">
        <v>6.3468624468588786</v>
      </c>
      <c r="AI78" s="19">
        <v>7</v>
      </c>
      <c r="AJ78" s="19">
        <v>5.9077946515151512</v>
      </c>
      <c r="AK78" s="19">
        <v>5.9356735751207736</v>
      </c>
      <c r="AL78" s="19">
        <v>5.9003595306122447</v>
      </c>
      <c r="AM78" s="19">
        <v>5.8456648954954957</v>
      </c>
      <c r="AN78" s="19">
        <v>5.8973807816977688</v>
      </c>
      <c r="AO78" s="19">
        <v>5.9484808429497606</v>
      </c>
      <c r="AP78" s="19">
        <v>5.8481736948995886</v>
      </c>
      <c r="AQ78" s="19">
        <v>5.4582166668149803</v>
      </c>
      <c r="AR78" s="19">
        <v>6.1069733874634498</v>
      </c>
      <c r="AS78" s="19">
        <v>5.8951489385688376</v>
      </c>
      <c r="AT78" s="19">
        <v>5.5597445843163751</v>
      </c>
      <c r="AU78" s="19">
        <v>5.7580061052405478</v>
      </c>
      <c r="AV78" s="19">
        <v>3.6108339272986454</v>
      </c>
      <c r="AW78" s="19">
        <v>3.629043557735316</v>
      </c>
      <c r="AX78" s="19">
        <v>3.1314072272189351</v>
      </c>
      <c r="AY78" s="19">
        <v>3.0714119738636367</v>
      </c>
      <c r="AZ78" s="19">
        <v>3.2839517289855076</v>
      </c>
      <c r="BA78" s="19">
        <v>3.1287936438775512</v>
      </c>
      <c r="BB78" s="19">
        <v>3.0254479756756756</v>
      </c>
      <c r="BC78" s="19">
        <v>2.8538199573805438</v>
      </c>
      <c r="BD78" s="19">
        <v>3.123512604928786</v>
      </c>
      <c r="BE78" s="19">
        <v>3.6876907348632813</v>
      </c>
      <c r="BF78" s="19">
        <v>6.3302798322107661</v>
      </c>
      <c r="BG78" s="19">
        <v>6.5016797747857096</v>
      </c>
      <c r="BH78" s="19">
        <v>6.248558861874514</v>
      </c>
      <c r="BI78" s="19">
        <v>6.8057886589769492</v>
      </c>
      <c r="BJ78" s="19">
        <v>7</v>
      </c>
      <c r="BK78" s="19">
        <v>4.9257246376811592</v>
      </c>
      <c r="BL78" s="19">
        <v>4.2072923503311248</v>
      </c>
      <c r="BM78" s="19">
        <v>3.4273184011834319</v>
      </c>
      <c r="BN78" s="19">
        <v>3.3850340340909097</v>
      </c>
      <c r="BO78" s="19">
        <v>4.0641153731884057</v>
      </c>
      <c r="BP78" s="19">
        <v>4.1942445326530606</v>
      </c>
      <c r="BQ78" s="19">
        <v>3.8382790810810814</v>
      </c>
      <c r="BR78" s="19">
        <v>3.8064057625447152</v>
      </c>
      <c r="BS78" s="19">
        <v>3.9713015002589076</v>
      </c>
      <c r="BT78" s="19">
        <v>4.0704021627252747</v>
      </c>
      <c r="BU78" s="19">
        <v>4.4065274626796782</v>
      </c>
      <c r="BV78" s="19">
        <v>3.0045963388627381</v>
      </c>
      <c r="BW78" s="19">
        <v>3.9059757241697843</v>
      </c>
      <c r="BX78" s="19">
        <v>2.511883730527984</v>
      </c>
      <c r="BY78" s="19">
        <v>2.4708447915755185</v>
      </c>
      <c r="BZ78" s="19">
        <v>40.9933942451093</v>
      </c>
      <c r="CA78" s="19">
        <v>65.532375007635196</v>
      </c>
      <c r="CB78" s="19">
        <v>52.983390034282202</v>
      </c>
      <c r="CC78" s="19">
        <v>52.159859229744598</v>
      </c>
      <c r="CD78" s="19">
        <v>56.063947245340898</v>
      </c>
      <c r="CE78" s="19">
        <v>60.432826858166905</v>
      </c>
      <c r="CF78" s="19">
        <v>60.89231506701514</v>
      </c>
      <c r="CG78" s="19">
        <v>58.929307570574821</v>
      </c>
      <c r="CH78" s="19">
        <v>59.447753598515838</v>
      </c>
      <c r="CI78" s="19">
        <v>66.138462196491858</v>
      </c>
      <c r="CJ78" s="19">
        <v>112.420289855072</v>
      </c>
      <c r="CK78" s="19">
        <v>122.740036010742</v>
      </c>
      <c r="CL78" s="19">
        <v>127.503707885742</v>
      </c>
      <c r="CM78" s="19">
        <v>125.83763885498</v>
      </c>
      <c r="CN78" s="19">
        <v>133.11495740321399</v>
      </c>
      <c r="CO78" s="19">
        <v>121.657815179034</v>
      </c>
      <c r="CP78" s="19">
        <v>119.88818233920399</v>
      </c>
      <c r="CQ78" s="19">
        <v>122.847835240104</v>
      </c>
      <c r="CR78" s="19">
        <v>121.450652618278</v>
      </c>
      <c r="CS78" s="19">
        <v>133.467550086318</v>
      </c>
      <c r="CT78" s="19">
        <v>128.14892148871309</v>
      </c>
      <c r="CU78" s="19">
        <v>127.66619590014484</v>
      </c>
      <c r="CV78" s="19">
        <v>129.38439288373144</v>
      </c>
      <c r="CW78" s="19">
        <v>131.60232905515051</v>
      </c>
      <c r="CX78" s="19">
        <v>128.32477623406504</v>
      </c>
      <c r="CY78" s="19">
        <v>5.6548913043478253</v>
      </c>
      <c r="CZ78" s="19">
        <v>5.1528323543046355</v>
      </c>
      <c r="DA78" s="19">
        <v>4.4514141230769226</v>
      </c>
      <c r="DB78" s="19">
        <v>4.7475241289772736</v>
      </c>
      <c r="DC78" s="19">
        <v>5.2870030920289866</v>
      </c>
      <c r="DD78" s="19">
        <v>5.2830075867346942</v>
      </c>
      <c r="DE78" s="19">
        <v>4.983147843243243</v>
      </c>
      <c r="DF78" s="19">
        <v>4.8078053459166155</v>
      </c>
      <c r="DG78" s="19">
        <v>5.0536867295542081</v>
      </c>
      <c r="DH78" s="19">
        <v>5.380036718195135</v>
      </c>
      <c r="DI78" s="19">
        <v>4.144492778763408</v>
      </c>
      <c r="DJ78" s="19">
        <v>5.1652918711523679</v>
      </c>
      <c r="DK78" s="19">
        <v>5.6190726218667457</v>
      </c>
      <c r="DL78" s="19">
        <v>5.0674842842340233</v>
      </c>
      <c r="DM78" s="19">
        <v>4.8286859393525399</v>
      </c>
      <c r="DN78" s="19">
        <v>5.0224340255245501</v>
      </c>
      <c r="DO78" s="19">
        <v>4.6016185080359788</v>
      </c>
      <c r="DP78" s="19">
        <v>4.5044873136094674</v>
      </c>
      <c r="DQ78" s="19">
        <v>4.8693098318181818</v>
      </c>
      <c r="DR78" s="19">
        <v>5.1147356021739139</v>
      </c>
      <c r="DS78" s="19">
        <v>5.0117722622448975</v>
      </c>
      <c r="DT78" s="19">
        <v>4.8352222351351353</v>
      </c>
      <c r="DU78" s="19">
        <v>4.4054762608695652</v>
      </c>
      <c r="DV78" s="19">
        <v>4.290322506812311</v>
      </c>
      <c r="DW78" s="19">
        <v>4.6714579798958518</v>
      </c>
      <c r="DX78" s="19">
        <v>4.6892083707262353</v>
      </c>
      <c r="DY78" s="19">
        <v>4.146422117219303</v>
      </c>
      <c r="DZ78" s="19">
        <v>4.4560658583828339</v>
      </c>
      <c r="EA78" s="19">
        <v>4.7784631622651199</v>
      </c>
      <c r="EB78" s="19">
        <v>4.0831017159537186</v>
      </c>
      <c r="EC78" s="19">
        <v>4.9981343283582085</v>
      </c>
      <c r="ED78" s="19">
        <v>4.3833518906494016</v>
      </c>
      <c r="EE78" s="19">
        <v>4.2898839467455616</v>
      </c>
      <c r="EF78" s="19">
        <v>4.4274554909090913</v>
      </c>
      <c r="EG78" s="19">
        <v>4.5050846985507249</v>
      </c>
      <c r="EH78" s="19">
        <v>4.6795854989795913</v>
      </c>
      <c r="EI78" s="19">
        <v>4.9565822189189195</v>
      </c>
      <c r="EJ78" s="19">
        <v>4.7051755524960734</v>
      </c>
      <c r="EK78" s="19">
        <v>4.5583350519980161</v>
      </c>
      <c r="EL78" s="19">
        <v>4.9385605855421586</v>
      </c>
      <c r="EM78" s="19">
        <v>5.0656797443818817</v>
      </c>
      <c r="EN78" s="19">
        <v>5.1711899734842248</v>
      </c>
      <c r="EO78" s="19">
        <v>5.2225160056502302</v>
      </c>
      <c r="EP78" s="19">
        <v>4.7941517490928698</v>
      </c>
      <c r="EQ78" s="19">
        <v>4.9798135649495086</v>
      </c>
      <c r="ER78" s="19"/>
      <c r="ES78" s="16">
        <f t="shared" si="5"/>
        <v>5.1135730709382159</v>
      </c>
      <c r="ET78" s="16">
        <f t="shared" si="5"/>
        <v>5.5286731179227058</v>
      </c>
      <c r="EU78" s="16">
        <f t="shared" si="5"/>
        <v>5.9356735751207736</v>
      </c>
      <c r="EV78" s="16">
        <f t="shared" si="5"/>
        <v>3.2839517289855076</v>
      </c>
      <c r="EW78" s="16">
        <f t="shared" si="5"/>
        <v>4.0641153731884057</v>
      </c>
      <c r="EX78" s="16" t="str">
        <f t="shared" si="5"/>
        <v>.</v>
      </c>
      <c r="EY78" s="16">
        <f t="shared" si="5"/>
        <v>133.11495740321399</v>
      </c>
      <c r="EZ78" s="16">
        <f t="shared" si="5"/>
        <v>5.2870030920289866</v>
      </c>
      <c r="FA78" s="16">
        <f t="shared" si="5"/>
        <v>5.1147356021739139</v>
      </c>
      <c r="FB78" s="16">
        <f t="shared" si="5"/>
        <v>4.5050846985507249</v>
      </c>
    </row>
    <row r="79" spans="1:158" x14ac:dyDescent="0.25">
      <c r="A79" s="17">
        <v>76</v>
      </c>
      <c r="B79" s="17" t="s">
        <v>101</v>
      </c>
      <c r="C79" s="17" t="s">
        <v>101</v>
      </c>
      <c r="D79" s="17" t="s">
        <v>23</v>
      </c>
      <c r="E79" s="16">
        <v>1</v>
      </c>
      <c r="F79" s="18">
        <v>4.9131714965404996</v>
      </c>
      <c r="G79" s="18">
        <v>4.9915538528566099</v>
      </c>
      <c r="H79" s="18">
        <v>4.9203389922428702</v>
      </c>
      <c r="I79" s="18">
        <v>4.8141014020707509</v>
      </c>
      <c r="J79" s="18">
        <v>4.8466352921341826</v>
      </c>
      <c r="K79" s="18">
        <v>4.7538602686268741</v>
      </c>
      <c r="L79" s="18">
        <v>4.7448157832007336</v>
      </c>
      <c r="M79" s="18">
        <v>4.7893378049473503</v>
      </c>
      <c r="N79" s="18">
        <v>4.8358522615116115</v>
      </c>
      <c r="O79" s="18">
        <v>4.8378917131960639</v>
      </c>
      <c r="P79" s="18">
        <v>4.6469578260469788</v>
      </c>
      <c r="Q79" s="18">
        <v>4.6743659157526993</v>
      </c>
      <c r="R79" s="18">
        <v>4.5948457364735091</v>
      </c>
      <c r="S79" s="18">
        <v>4.3687902335036739</v>
      </c>
      <c r="T79" s="18">
        <v>5.0791121058210669</v>
      </c>
      <c r="U79" s="18">
        <v>3.4506758434128368</v>
      </c>
      <c r="V79" s="18">
        <v>3.3809464729985099</v>
      </c>
      <c r="W79" s="18">
        <v>3.3783346427492167</v>
      </c>
      <c r="X79" s="18">
        <v>3.4004337006407761</v>
      </c>
      <c r="Y79" s="18">
        <v>3.5147426416571901</v>
      </c>
      <c r="Z79" s="18">
        <v>3.7268813461090704</v>
      </c>
      <c r="AA79" s="18">
        <v>3.6919406838364233</v>
      </c>
      <c r="AB79" s="18">
        <v>3.7337039029808352</v>
      </c>
      <c r="AC79" s="18">
        <v>3.857408036192866</v>
      </c>
      <c r="AD79" s="19">
        <v>3.9325501857322043</v>
      </c>
      <c r="AE79" s="19">
        <v>4.1730999412266501</v>
      </c>
      <c r="AF79" s="19">
        <v>3.594782876748043</v>
      </c>
      <c r="AG79" s="19">
        <v>3.9746016410521827</v>
      </c>
      <c r="AH79" s="19">
        <v>4.0400962844301249</v>
      </c>
      <c r="AI79" s="19">
        <v>4.3164860596950154</v>
      </c>
      <c r="AJ79" s="19">
        <v>4.4216546131147547</v>
      </c>
      <c r="AK79" s="19">
        <v>4.4014196578754587</v>
      </c>
      <c r="AL79" s="19">
        <v>4.3813432260707641</v>
      </c>
      <c r="AM79" s="19">
        <v>4.2875759569767444</v>
      </c>
      <c r="AN79" s="19">
        <v>4.2561138407182684</v>
      </c>
      <c r="AO79" s="19">
        <v>4.3192155129738943</v>
      </c>
      <c r="AP79" s="19">
        <v>4.5211601763637228</v>
      </c>
      <c r="AQ79" s="19">
        <v>4.2727275564199694</v>
      </c>
      <c r="AR79" s="19">
        <v>4.4695000433068763</v>
      </c>
      <c r="AS79" s="19">
        <v>4.7403484503641726</v>
      </c>
      <c r="AT79" s="19">
        <v>4.5463739246676811</v>
      </c>
      <c r="AU79" s="19">
        <v>4.8106155127466037</v>
      </c>
      <c r="AV79" s="19">
        <v>2.1248826439951167</v>
      </c>
      <c r="AW79" s="19">
        <v>2.143059156194584</v>
      </c>
      <c r="AX79" s="19">
        <v>2.165559517977528</v>
      </c>
      <c r="AY79" s="19">
        <v>2.2207450196721314</v>
      </c>
      <c r="AZ79" s="19">
        <v>2.0839508043956045</v>
      </c>
      <c r="BA79" s="19">
        <v>2.1227050234636868</v>
      </c>
      <c r="BB79" s="19">
        <v>2.1579402337209306</v>
      </c>
      <c r="BC79" s="19">
        <v>1.9042708862695386</v>
      </c>
      <c r="BD79" s="19">
        <v>1.9005810981386162</v>
      </c>
      <c r="BE79" s="19">
        <v>1.9596475882149638</v>
      </c>
      <c r="BF79" s="19">
        <v>2.3464589616925409</v>
      </c>
      <c r="BG79" s="19">
        <v>3.8136415499875085</v>
      </c>
      <c r="BH79" s="19">
        <v>5.6954007500051249</v>
      </c>
      <c r="BI79" s="19">
        <v>5.409393892103286</v>
      </c>
      <c r="BJ79" s="19">
        <v>4.4916033020814288</v>
      </c>
      <c r="BK79" s="19">
        <v>4.5614346713787768</v>
      </c>
      <c r="BL79" s="19">
        <v>4.135955851752529</v>
      </c>
      <c r="BM79" s="19">
        <v>3.9218528516853937</v>
      </c>
      <c r="BN79" s="19">
        <v>3.994162829508197</v>
      </c>
      <c r="BO79" s="19">
        <v>4.1220722791208795</v>
      </c>
      <c r="BP79" s="19">
        <v>4.0973203094972064</v>
      </c>
      <c r="BQ79" s="19">
        <v>3.8739648389534884</v>
      </c>
      <c r="BR79" s="19">
        <v>3.768608240492</v>
      </c>
      <c r="BS79" s="19">
        <v>3.6414040762386963</v>
      </c>
      <c r="BT79" s="19">
        <v>3.6429583290932883</v>
      </c>
      <c r="BU79" s="19">
        <v>3.4858567702296606</v>
      </c>
      <c r="BV79" s="19">
        <v>3.205031934936875</v>
      </c>
      <c r="BW79" s="19">
        <v>3.7876465539430457</v>
      </c>
      <c r="BX79" s="19">
        <v>3.3550764009143945</v>
      </c>
      <c r="BY79" s="19">
        <v>3.4004046040414257</v>
      </c>
      <c r="BZ79" s="19">
        <v>31.2656823981117</v>
      </c>
      <c r="CA79" s="19">
        <v>51.763212622763803</v>
      </c>
      <c r="CB79" s="19">
        <v>64.834437462876295</v>
      </c>
      <c r="CC79" s="19">
        <v>70.901983264381002</v>
      </c>
      <c r="CD79" s="19">
        <v>82.135194271074994</v>
      </c>
      <c r="CE79" s="19">
        <v>98.104687147357737</v>
      </c>
      <c r="CF79" s="19">
        <v>104.91457982605286</v>
      </c>
      <c r="CG79" s="19">
        <v>120.77014192685101</v>
      </c>
      <c r="CH79" s="19">
        <v>134.69950114821563</v>
      </c>
      <c r="CI79" s="19">
        <v>144.50882790957928</v>
      </c>
      <c r="CJ79" s="19">
        <v>124.283476494586</v>
      </c>
      <c r="CK79" s="19">
        <v>135.14196777343801</v>
      </c>
      <c r="CL79" s="19">
        <v>150.27389526367199</v>
      </c>
      <c r="CM79" s="19">
        <v>151.34927368164099</v>
      </c>
      <c r="CN79" s="19">
        <v>135.423371775074</v>
      </c>
      <c r="CO79" s="19">
        <v>151.83744529862699</v>
      </c>
      <c r="CP79" s="19">
        <v>159.48062586623701</v>
      </c>
      <c r="CQ79" s="19">
        <v>158.88353319005299</v>
      </c>
      <c r="CR79" s="19">
        <v>154.24865643197899</v>
      </c>
      <c r="CS79" s="19">
        <v>151.31851360126399</v>
      </c>
      <c r="CT79" s="19">
        <v>161.53750114740399</v>
      </c>
      <c r="CU79" s="19">
        <v>166.03860963111759</v>
      </c>
      <c r="CV79" s="19">
        <v>169.20438534432884</v>
      </c>
      <c r="CW79" s="19">
        <v>176.14896702305956</v>
      </c>
      <c r="CX79" s="19">
        <v>171.97422126773</v>
      </c>
      <c r="CY79" s="19">
        <v>5.0260218934139065</v>
      </c>
      <c r="CZ79" s="19">
        <v>4.7967885325443778</v>
      </c>
      <c r="DA79" s="19">
        <v>4.4114844320224726</v>
      </c>
      <c r="DB79" s="19">
        <v>4.2981913688524589</v>
      </c>
      <c r="DC79" s="19">
        <v>4.2498466626373625</v>
      </c>
      <c r="DD79" s="19">
        <v>4.2847055720670397</v>
      </c>
      <c r="DE79" s="19">
        <v>4.2628414924418605</v>
      </c>
      <c r="DF79" s="19">
        <v>4.010162702228671</v>
      </c>
      <c r="DG79" s="19">
        <v>4.0537812179393979</v>
      </c>
      <c r="DH79" s="19">
        <v>3.995209054096204</v>
      </c>
      <c r="DI79" s="19">
        <v>3.8144020940366259</v>
      </c>
      <c r="DJ79" s="19">
        <v>3.564250000490834</v>
      </c>
      <c r="DK79" s="19">
        <v>3.4826392014890963</v>
      </c>
      <c r="DL79" s="19">
        <v>3.5719771007523322</v>
      </c>
      <c r="DM79" s="19">
        <v>3.3673210847172257</v>
      </c>
      <c r="DN79" s="19">
        <v>3.4809693399384116</v>
      </c>
      <c r="DO79" s="19">
        <v>3.450355054079254</v>
      </c>
      <c r="DP79" s="19">
        <v>3.7653738561797754</v>
      </c>
      <c r="DQ79" s="19">
        <v>4.0423148114754097</v>
      </c>
      <c r="DR79" s="19">
        <v>3.9639431263736267</v>
      </c>
      <c r="DS79" s="19">
        <v>3.9400348368715084</v>
      </c>
      <c r="DT79" s="19">
        <v>4.8163446604651163</v>
      </c>
      <c r="DU79" s="19">
        <v>4.5852588946747268</v>
      </c>
      <c r="DV79" s="19">
        <v>4.109665395034833</v>
      </c>
      <c r="DW79" s="19">
        <v>4.2762657454316049</v>
      </c>
      <c r="DX79" s="19">
        <v>5.7258049317227249</v>
      </c>
      <c r="DY79" s="19">
        <v>4.5042380247242306</v>
      </c>
      <c r="DZ79" s="19">
        <v>4.2075402167839098</v>
      </c>
      <c r="EA79" s="19">
        <v>6.3736663174259096</v>
      </c>
      <c r="EB79" s="19">
        <v>4.8255812984491167</v>
      </c>
      <c r="EC79" s="19">
        <v>3.9951515151515151</v>
      </c>
      <c r="ED79" s="19">
        <v>3.8886064032634029</v>
      </c>
      <c r="EE79" s="19">
        <v>4.0320135460674162</v>
      </c>
      <c r="EF79" s="19">
        <v>4.2234061196721306</v>
      </c>
      <c r="EG79" s="19">
        <v>4.1963381813186817</v>
      </c>
      <c r="EH79" s="19">
        <v>4.339325925139665</v>
      </c>
      <c r="EI79" s="19">
        <v>4.3653550069767446</v>
      </c>
      <c r="EJ79" s="19">
        <v>4.2551044850691513</v>
      </c>
      <c r="EK79" s="19">
        <v>4.4217672023880343</v>
      </c>
      <c r="EL79" s="19">
        <v>4.5543597588516738</v>
      </c>
      <c r="EM79" s="19">
        <v>4.2125531649622685</v>
      </c>
      <c r="EN79" s="19">
        <v>4.8181647696620029</v>
      </c>
      <c r="EO79" s="19">
        <v>4.7391783317427771</v>
      </c>
      <c r="EP79" s="19">
        <v>4.8809778773870853</v>
      </c>
      <c r="EQ79" s="19">
        <v>4.9700316617543914</v>
      </c>
      <c r="ER79" s="19"/>
      <c r="ES79" s="16">
        <f t="shared" si="5"/>
        <v>4.8466352921341826</v>
      </c>
      <c r="ET79" s="16">
        <f t="shared" si="5"/>
        <v>3.5147426416571901</v>
      </c>
      <c r="EU79" s="16">
        <f t="shared" si="5"/>
        <v>4.4014196578754587</v>
      </c>
      <c r="EV79" s="16">
        <f t="shared" si="5"/>
        <v>2.0839508043956045</v>
      </c>
      <c r="EW79" s="16">
        <f t="shared" si="5"/>
        <v>4.1220722791208795</v>
      </c>
      <c r="EX79" s="16" t="str">
        <f t="shared" si="5"/>
        <v>.</v>
      </c>
      <c r="EY79" s="16">
        <f t="shared" si="5"/>
        <v>135.423371775074</v>
      </c>
      <c r="EZ79" s="16">
        <f t="shared" si="5"/>
        <v>4.2498466626373625</v>
      </c>
      <c r="FA79" s="16">
        <f t="shared" si="5"/>
        <v>3.9639431263736267</v>
      </c>
      <c r="FB79" s="16">
        <f t="shared" si="5"/>
        <v>4.1963381813186817</v>
      </c>
    </row>
    <row r="80" spans="1:158" x14ac:dyDescent="0.25">
      <c r="A80" s="17">
        <v>77</v>
      </c>
      <c r="B80" s="17" t="s">
        <v>102</v>
      </c>
      <c r="C80" s="17" t="s">
        <v>11</v>
      </c>
      <c r="D80" s="17" t="s">
        <v>14</v>
      </c>
      <c r="E80" s="16">
        <v>0</v>
      </c>
      <c r="F80" s="18">
        <v>2.41</v>
      </c>
      <c r="G80" s="18">
        <v>5.23</v>
      </c>
      <c r="H80" s="18">
        <v>3.9</v>
      </c>
      <c r="I80" s="18">
        <v>3.43</v>
      </c>
      <c r="J80" s="18">
        <v>3.85</v>
      </c>
      <c r="K80" s="18">
        <v>4.13</v>
      </c>
      <c r="L80" s="18">
        <v>4.93</v>
      </c>
      <c r="M80" s="18">
        <v>4.66</v>
      </c>
      <c r="N80" s="18">
        <v>4.49</v>
      </c>
      <c r="O80" s="18">
        <v>4.9800000000000004</v>
      </c>
      <c r="P80" s="18">
        <v>5.19</v>
      </c>
      <c r="Q80" s="18">
        <v>4.12</v>
      </c>
      <c r="R80" s="18">
        <v>2.61</v>
      </c>
      <c r="S80" s="18">
        <v>3.6</v>
      </c>
      <c r="T80" s="18">
        <v>4.9800000000000004</v>
      </c>
      <c r="U80" s="18">
        <v>4.03</v>
      </c>
      <c r="V80" s="18">
        <v>2.95</v>
      </c>
      <c r="W80" s="18">
        <v>3.93</v>
      </c>
      <c r="X80" s="18">
        <v>2.77</v>
      </c>
      <c r="Y80" s="18">
        <v>3.65</v>
      </c>
      <c r="Z80" s="18">
        <v>2.88</v>
      </c>
      <c r="AA80" s="18">
        <v>1.69</v>
      </c>
      <c r="AB80" s="18">
        <v>4.33</v>
      </c>
      <c r="AC80" s="18">
        <v>1.93</v>
      </c>
      <c r="AD80" s="19">
        <v>3.4</v>
      </c>
      <c r="AE80" s="19">
        <v>4.3</v>
      </c>
      <c r="AF80" s="19">
        <v>2.75</v>
      </c>
      <c r="AG80" s="19">
        <v>3.53</v>
      </c>
      <c r="AH80" s="19">
        <v>5.73</v>
      </c>
      <c r="AI80" s="19">
        <v>2.34</v>
      </c>
      <c r="AJ80" s="19">
        <v>5.45</v>
      </c>
      <c r="AK80" s="19">
        <v>4.37</v>
      </c>
      <c r="AL80" s="19">
        <v>4.57</v>
      </c>
      <c r="AM80" s="19">
        <v>5.01</v>
      </c>
      <c r="AN80" s="19">
        <v>5.41</v>
      </c>
      <c r="AO80" s="19">
        <v>5.58</v>
      </c>
      <c r="AP80" s="19">
        <v>4.46</v>
      </c>
      <c r="AQ80" s="19">
        <v>3.73</v>
      </c>
      <c r="AR80" s="19">
        <v>4.57</v>
      </c>
      <c r="AS80" s="19">
        <v>3.97</v>
      </c>
      <c r="AT80" s="19">
        <v>4.2699999999999996</v>
      </c>
      <c r="AU80" s="19">
        <v>5.34</v>
      </c>
      <c r="AV80" s="19">
        <v>3.23</v>
      </c>
      <c r="AW80" s="19">
        <v>3.61</v>
      </c>
      <c r="AX80" s="19">
        <v>2.46</v>
      </c>
      <c r="AY80" s="19">
        <v>2.87</v>
      </c>
      <c r="AZ80" s="19">
        <v>3.16</v>
      </c>
      <c r="BA80" s="19">
        <v>3.67</v>
      </c>
      <c r="BB80" s="19">
        <v>4.59</v>
      </c>
      <c r="BC80" s="19">
        <v>3.11</v>
      </c>
      <c r="BD80" s="19">
        <v>2.4500000000000002</v>
      </c>
      <c r="BE80" s="19">
        <v>3.83</v>
      </c>
      <c r="BF80" s="19">
        <v>4.3600000000000003</v>
      </c>
      <c r="BG80" s="19">
        <v>3.74</v>
      </c>
      <c r="BH80" s="19">
        <v>5.37</v>
      </c>
      <c r="BI80" s="19">
        <v>4.7300000000000004</v>
      </c>
      <c r="BJ80" s="19">
        <v>4.22</v>
      </c>
      <c r="BK80" s="19">
        <v>2.41</v>
      </c>
      <c r="BL80" s="19">
        <v>4.4400000000000004</v>
      </c>
      <c r="BM80" s="19">
        <v>4</v>
      </c>
      <c r="BN80" s="19">
        <v>3.94</v>
      </c>
      <c r="BO80" s="19">
        <v>3.3</v>
      </c>
      <c r="BP80" s="19">
        <v>3.63</v>
      </c>
      <c r="BQ80" s="19">
        <v>3.5</v>
      </c>
      <c r="BR80" s="19">
        <v>3.97</v>
      </c>
      <c r="BS80" s="19">
        <v>2.86</v>
      </c>
      <c r="BT80" s="19">
        <v>2.4700000000000002</v>
      </c>
      <c r="BU80" s="19">
        <v>3.23</v>
      </c>
      <c r="BV80" s="19">
        <v>2.64</v>
      </c>
      <c r="BW80" s="19">
        <v>2.19</v>
      </c>
      <c r="BX80" s="19">
        <v>2.79</v>
      </c>
      <c r="BY80" s="19">
        <v>2.48</v>
      </c>
      <c r="BZ80" s="19">
        <v>20.440000000000001</v>
      </c>
      <c r="CA80" s="19">
        <v>78.03</v>
      </c>
      <c r="CB80" s="19">
        <v>200</v>
      </c>
      <c r="CC80" s="19">
        <v>101.99</v>
      </c>
      <c r="CD80" s="19">
        <v>54.3</v>
      </c>
      <c r="CE80" s="19">
        <v>1</v>
      </c>
      <c r="CF80" s="19">
        <v>200</v>
      </c>
      <c r="CG80" s="19">
        <v>39.409999999999997</v>
      </c>
      <c r="CH80" s="19">
        <v>1</v>
      </c>
      <c r="CI80" s="19">
        <v>200</v>
      </c>
      <c r="CJ80" s="19">
        <v>1</v>
      </c>
      <c r="CK80" s="19">
        <v>84.43</v>
      </c>
      <c r="CL80" s="19">
        <v>145.97999999999999</v>
      </c>
      <c r="CM80" s="19">
        <v>91.6</v>
      </c>
      <c r="CN80" s="19">
        <v>76.349999999999994</v>
      </c>
      <c r="CO80" s="19">
        <v>103.34</v>
      </c>
      <c r="CP80" s="19">
        <v>71.11</v>
      </c>
      <c r="CQ80" s="19">
        <v>190.8</v>
      </c>
      <c r="CR80" s="19">
        <v>73.3</v>
      </c>
      <c r="CS80" s="19">
        <v>106.97</v>
      </c>
      <c r="CT80" s="19">
        <v>190.46</v>
      </c>
      <c r="CU80" s="19">
        <v>185.52</v>
      </c>
      <c r="CV80" s="19">
        <v>96.85</v>
      </c>
      <c r="CW80" s="19">
        <v>163.13999999999999</v>
      </c>
      <c r="CX80" s="19">
        <v>171.41</v>
      </c>
      <c r="CY80" s="19">
        <v>4.5199999999999996</v>
      </c>
      <c r="CZ80" s="19">
        <v>4.01</v>
      </c>
      <c r="DA80" s="19">
        <v>3</v>
      </c>
      <c r="DB80" s="19">
        <v>2.95</v>
      </c>
      <c r="DC80" s="19">
        <v>4.87</v>
      </c>
      <c r="DD80" s="19">
        <v>3.82</v>
      </c>
      <c r="DE80" s="19">
        <v>5.8</v>
      </c>
      <c r="DF80" s="19">
        <v>5.09</v>
      </c>
      <c r="DG80" s="19">
        <v>4.9000000000000004</v>
      </c>
      <c r="DH80" s="19">
        <v>3.07</v>
      </c>
      <c r="DI80" s="19">
        <v>4.9000000000000004</v>
      </c>
      <c r="DJ80" s="19">
        <v>3.78</v>
      </c>
      <c r="DK80" s="19">
        <v>3.36</v>
      </c>
      <c r="DL80" s="19">
        <v>4.43</v>
      </c>
      <c r="DM80" s="19">
        <v>2.2200000000000002</v>
      </c>
      <c r="DN80" s="19">
        <v>3.46</v>
      </c>
      <c r="DO80" s="19">
        <v>4.66</v>
      </c>
      <c r="DP80" s="19">
        <v>3.76</v>
      </c>
      <c r="DQ80" s="19">
        <v>5.96</v>
      </c>
      <c r="DR80" s="19">
        <v>4.62</v>
      </c>
      <c r="DS80" s="19">
        <v>3.99</v>
      </c>
      <c r="DT80" s="19">
        <v>4.8</v>
      </c>
      <c r="DU80" s="19">
        <v>4.13</v>
      </c>
      <c r="DV80" s="19">
        <v>4.6399999999999997</v>
      </c>
      <c r="DW80" s="19">
        <v>4.8099999999999996</v>
      </c>
      <c r="DX80" s="19">
        <v>7</v>
      </c>
      <c r="DY80" s="19">
        <v>1.96</v>
      </c>
      <c r="DZ80" s="19">
        <v>4.04</v>
      </c>
      <c r="EA80" s="19">
        <v>5.46</v>
      </c>
      <c r="EB80" s="19">
        <v>4.95</v>
      </c>
      <c r="EC80" s="19">
        <v>6.72</v>
      </c>
      <c r="ED80" s="19">
        <v>3.9</v>
      </c>
      <c r="EE80" s="19">
        <v>1.62</v>
      </c>
      <c r="EF80" s="19">
        <v>3.53</v>
      </c>
      <c r="EG80" s="19">
        <v>4.5199999999999996</v>
      </c>
      <c r="EH80" s="19">
        <v>4.2</v>
      </c>
      <c r="EI80" s="19">
        <v>4.1900000000000004</v>
      </c>
      <c r="EJ80" s="19">
        <v>4.28</v>
      </c>
      <c r="EK80" s="19">
        <v>4.47</v>
      </c>
      <c r="EL80" s="19">
        <v>3.07</v>
      </c>
      <c r="EM80" s="19">
        <v>4.29</v>
      </c>
      <c r="EN80" s="19">
        <v>6.09</v>
      </c>
      <c r="EO80" s="19">
        <v>5.7</v>
      </c>
      <c r="EP80" s="19">
        <v>4.8</v>
      </c>
      <c r="EQ80" s="19">
        <v>5.36</v>
      </c>
      <c r="ER80" s="19"/>
      <c r="ES80" s="16">
        <f t="shared" si="5"/>
        <v>3.85</v>
      </c>
      <c r="ET80" s="16">
        <f t="shared" si="5"/>
        <v>3.65</v>
      </c>
      <c r="EU80" s="16">
        <f t="shared" si="5"/>
        <v>4.37</v>
      </c>
      <c r="EV80" s="16">
        <f t="shared" si="5"/>
        <v>3.16</v>
      </c>
      <c r="EW80" s="16">
        <f t="shared" si="5"/>
        <v>3.3</v>
      </c>
      <c r="EX80" s="16" t="str">
        <f t="shared" si="5"/>
        <v>.</v>
      </c>
      <c r="EY80" s="16">
        <f t="shared" si="5"/>
        <v>76.349999999999994</v>
      </c>
      <c r="EZ80" s="16">
        <f t="shared" si="5"/>
        <v>4.87</v>
      </c>
      <c r="FA80" s="16">
        <f t="shared" si="5"/>
        <v>4.62</v>
      </c>
      <c r="FB80" s="16">
        <f t="shared" si="5"/>
        <v>4.5199999999999996</v>
      </c>
    </row>
    <row r="81" spans="1:158" x14ac:dyDescent="0.25">
      <c r="A81" s="17">
        <v>78</v>
      </c>
      <c r="B81" s="17" t="s">
        <v>103</v>
      </c>
      <c r="C81" s="17" t="s">
        <v>103</v>
      </c>
      <c r="D81" s="17" t="s">
        <v>16</v>
      </c>
      <c r="E81" s="16">
        <v>1</v>
      </c>
      <c r="F81" s="18">
        <v>4.0395360127886208</v>
      </c>
      <c r="G81" s="18">
        <v>4.0050615565257077</v>
      </c>
      <c r="H81" s="18">
        <v>3.8229491423076927</v>
      </c>
      <c r="I81" s="18">
        <v>3.7245827102140949</v>
      </c>
      <c r="J81" s="18">
        <v>3.8100414463871544</v>
      </c>
      <c r="K81" s="18">
        <v>3.8235297260690797</v>
      </c>
      <c r="L81" s="18">
        <v>3.9524122405185769</v>
      </c>
      <c r="M81" s="18">
        <v>3.975721791215483</v>
      </c>
      <c r="N81" s="18">
        <v>3.9517377834410796</v>
      </c>
      <c r="O81" s="18">
        <v>4.0768269190293411</v>
      </c>
      <c r="P81" s="18">
        <v>4.4009642973083345</v>
      </c>
      <c r="Q81" s="18">
        <v>4.5199826071172007</v>
      </c>
      <c r="R81" s="18">
        <v>4.0167208324971284</v>
      </c>
      <c r="S81" s="18">
        <v>3.6028490850587596</v>
      </c>
      <c r="T81" s="18">
        <v>3.9806245695206863</v>
      </c>
      <c r="U81" s="18">
        <v>3.2666417045539702</v>
      </c>
      <c r="V81" s="18">
        <v>3.1384221356286131</v>
      </c>
      <c r="W81" s="18">
        <v>2.9615576661728391</v>
      </c>
      <c r="X81" s="18">
        <v>2.9019685837099813</v>
      </c>
      <c r="Y81" s="18">
        <v>2.9199150823645117</v>
      </c>
      <c r="Z81" s="18">
        <v>2.9968972279857362</v>
      </c>
      <c r="AA81" s="18">
        <v>3.1051222843694095</v>
      </c>
      <c r="AB81" s="18">
        <v>3.2209090062358112</v>
      </c>
      <c r="AC81" s="18">
        <v>3.2911444406639729</v>
      </c>
      <c r="AD81" s="19">
        <v>3.3081721799273152</v>
      </c>
      <c r="AE81" s="19">
        <v>2.5952777186003235</v>
      </c>
      <c r="AF81" s="19">
        <v>2.5426242667137062</v>
      </c>
      <c r="AG81" s="19">
        <v>2.8609894514253433</v>
      </c>
      <c r="AH81" s="19">
        <v>3.9315923672187267</v>
      </c>
      <c r="AI81" s="19">
        <v>3.3276756123636995</v>
      </c>
      <c r="AJ81" s="19">
        <v>4.8396220949152537</v>
      </c>
      <c r="AK81" s="19">
        <v>4.9773048988700568</v>
      </c>
      <c r="AL81" s="19">
        <v>4.974888839322916</v>
      </c>
      <c r="AM81" s="19">
        <v>4.907605818137255</v>
      </c>
      <c r="AN81" s="19">
        <v>4.9257036226107731</v>
      </c>
      <c r="AO81" s="19">
        <v>4.811828728722805</v>
      </c>
      <c r="AP81" s="19">
        <v>4.8268037276797822</v>
      </c>
      <c r="AQ81" s="19">
        <v>4.9196874528378887</v>
      </c>
      <c r="AR81" s="19">
        <v>4.5900350874772728</v>
      </c>
      <c r="AS81" s="19">
        <v>5.1241268334208767</v>
      </c>
      <c r="AT81" s="19">
        <v>5.088351624339543</v>
      </c>
      <c r="AU81" s="19">
        <v>4.9832383757666916</v>
      </c>
      <c r="AV81" s="19">
        <v>2.6757441615930837</v>
      </c>
      <c r="AW81" s="19">
        <v>2.4756928863636363</v>
      </c>
      <c r="AX81" s="19">
        <v>2.5088817694444447</v>
      </c>
      <c r="AY81" s="19">
        <v>2.7016577864406779</v>
      </c>
      <c r="AZ81" s="19">
        <v>2.6071232279661016</v>
      </c>
      <c r="BA81" s="19">
        <v>2.6911694046874999</v>
      </c>
      <c r="BB81" s="19">
        <v>2.8057100727941178</v>
      </c>
      <c r="BC81" s="19">
        <v>2.7236224757620571</v>
      </c>
      <c r="BD81" s="19">
        <v>3.0281944433848063</v>
      </c>
      <c r="BE81" s="19">
        <v>3.1433970657984416</v>
      </c>
      <c r="BF81" s="19">
        <v>5.5231759139624668</v>
      </c>
      <c r="BG81" s="19">
        <v>4.7362337528557896</v>
      </c>
      <c r="BH81" s="19">
        <v>5.1310244456164043</v>
      </c>
      <c r="BI81" s="19">
        <v>5.4293747171589013</v>
      </c>
      <c r="BJ81" s="19">
        <v>7</v>
      </c>
      <c r="BK81" s="19">
        <v>4.000248724572586</v>
      </c>
      <c r="BL81" s="19">
        <v>3.6544774818181818</v>
      </c>
      <c r="BM81" s="19">
        <v>3.6980748101851857</v>
      </c>
      <c r="BN81" s="19">
        <v>3.4417036194915256</v>
      </c>
      <c r="BO81" s="19">
        <v>3.358277490677966</v>
      </c>
      <c r="BP81" s="19">
        <v>3.2762897304687506</v>
      </c>
      <c r="BQ81" s="19">
        <v>3.3416742875000005</v>
      </c>
      <c r="BR81" s="19">
        <v>3.4655518065035502</v>
      </c>
      <c r="BS81" s="19">
        <v>3.3241878112157188</v>
      </c>
      <c r="BT81" s="19">
        <v>3.3891561667124428</v>
      </c>
      <c r="BU81" s="19">
        <v>3.0036755155818042</v>
      </c>
      <c r="BV81" s="19">
        <v>2.994688726384493</v>
      </c>
      <c r="BW81" s="19">
        <v>2.901480999780174</v>
      </c>
      <c r="BX81" s="19">
        <v>3.1157559336236811</v>
      </c>
      <c r="BY81" s="19">
        <v>3.1106617919656991</v>
      </c>
      <c r="BZ81" s="19">
        <v>1.5265660659629201</v>
      </c>
      <c r="CA81" s="19">
        <v>1.57532726065799</v>
      </c>
      <c r="CB81" s="19">
        <v>28.2583207370411</v>
      </c>
      <c r="CC81" s="19">
        <v>33.135727446793098</v>
      </c>
      <c r="CD81" s="19">
        <v>53.509005159820802</v>
      </c>
      <c r="CE81" s="19">
        <v>67.454068319136255</v>
      </c>
      <c r="CF81" s="19">
        <v>80.606704982042629</v>
      </c>
      <c r="CG81" s="19">
        <v>93.194139178898951</v>
      </c>
      <c r="CH81" s="19">
        <v>102.00911389949646</v>
      </c>
      <c r="CI81" s="19">
        <v>115.55608273672114</v>
      </c>
      <c r="CJ81" s="19">
        <v>105.784798189363</v>
      </c>
      <c r="CK81" s="19">
        <v>93.740737915039105</v>
      </c>
      <c r="CL81" s="19">
        <v>99.821380615234403</v>
      </c>
      <c r="CM81" s="19">
        <v>109.286979675293</v>
      </c>
      <c r="CN81" s="19">
        <v>113.215801816237</v>
      </c>
      <c r="CO81" s="19">
        <v>108.121404164545</v>
      </c>
      <c r="CP81" s="19">
        <v>96.538444684827695</v>
      </c>
      <c r="CQ81" s="19">
        <v>100.42332881207901</v>
      </c>
      <c r="CR81" s="19">
        <v>102.920927513821</v>
      </c>
      <c r="CS81" s="19">
        <v>111.514582998611</v>
      </c>
      <c r="CT81" s="19">
        <v>108.1527513925671</v>
      </c>
      <c r="CU81" s="19">
        <v>111.22773087446836</v>
      </c>
      <c r="CV81" s="19">
        <v>107.49022917052261</v>
      </c>
      <c r="CW81" s="19">
        <v>108.86424835324021</v>
      </c>
      <c r="CX81" s="19">
        <v>108.71410784949539</v>
      </c>
      <c r="CY81" s="19">
        <v>4.9587063942768648</v>
      </c>
      <c r="CZ81" s="19">
        <v>5.0163506576923078</v>
      </c>
      <c r="DA81" s="19">
        <v>4.5472492342592599</v>
      </c>
      <c r="DB81" s="19">
        <v>4.2675334135593221</v>
      </c>
      <c r="DC81" s="19">
        <v>4.3114673491525419</v>
      </c>
      <c r="DD81" s="19">
        <v>4.1871304359375001</v>
      </c>
      <c r="DE81" s="19">
        <v>4.3101362639705885</v>
      </c>
      <c r="DF81" s="19">
        <v>4.3772050074912574</v>
      </c>
      <c r="DG81" s="19">
        <v>4.5081609090169268</v>
      </c>
      <c r="DH81" s="19">
        <v>4.7083340994517009</v>
      </c>
      <c r="DI81" s="19">
        <v>4.8314233113506253</v>
      </c>
      <c r="DJ81" s="19">
        <v>4.4838337283717999</v>
      </c>
      <c r="DK81" s="19">
        <v>4.9599122930399009</v>
      </c>
      <c r="DL81" s="19">
        <v>3.7357733829124991</v>
      </c>
      <c r="DM81" s="19">
        <v>4.674796583779802</v>
      </c>
      <c r="DN81" s="19">
        <v>3.7572870948060384</v>
      </c>
      <c r="DO81" s="19">
        <v>3.8178374363636363</v>
      </c>
      <c r="DP81" s="19">
        <v>4.3905377962962966</v>
      </c>
      <c r="DQ81" s="19">
        <v>4.3765636737288141</v>
      </c>
      <c r="DR81" s="19">
        <v>4.2343872211864406</v>
      </c>
      <c r="DS81" s="19">
        <v>4.1735280789062497</v>
      </c>
      <c r="DT81" s="19">
        <v>4.1610004404411765</v>
      </c>
      <c r="DU81" s="19">
        <v>4.2050928105223111</v>
      </c>
      <c r="DV81" s="19">
        <v>3.9828481515248617</v>
      </c>
      <c r="DW81" s="19">
        <v>4.0737526067097978</v>
      </c>
      <c r="DX81" s="19">
        <v>4.4858902292225959</v>
      </c>
      <c r="DY81" s="19">
        <v>3.9926502039373832</v>
      </c>
      <c r="DZ81" s="19">
        <v>4.0248160430608708</v>
      </c>
      <c r="EA81" s="19">
        <v>4.247315455910182</v>
      </c>
      <c r="EB81" s="19">
        <v>4.9399774402758894</v>
      </c>
      <c r="EC81" s="19">
        <v>3.6268330413903049</v>
      </c>
      <c r="ED81" s="19">
        <v>3.6795183772727276</v>
      </c>
      <c r="EE81" s="19">
        <v>3.7750818398148152</v>
      </c>
      <c r="EF81" s="19">
        <v>3.7694565101694915</v>
      </c>
      <c r="EG81" s="19">
        <v>3.777328547457627</v>
      </c>
      <c r="EH81" s="19">
        <v>3.5659088562500001</v>
      </c>
      <c r="EI81" s="19">
        <v>3.6225635735294119</v>
      </c>
      <c r="EJ81" s="19">
        <v>3.6634191046399582</v>
      </c>
      <c r="EK81" s="19">
        <v>3.5864024003346762</v>
      </c>
      <c r="EL81" s="19">
        <v>3.8133117500940958</v>
      </c>
      <c r="EM81" s="19">
        <v>3.7966635232389119</v>
      </c>
      <c r="EN81" s="19">
        <v>3.59104875493404</v>
      </c>
      <c r="EO81" s="19">
        <v>3.5659287422660531</v>
      </c>
      <c r="EP81" s="19">
        <v>3.6446691170422576</v>
      </c>
      <c r="EQ81" s="19">
        <v>3.600440181733962</v>
      </c>
      <c r="ER81" s="19"/>
      <c r="ES81" s="16">
        <f t="shared" si="5"/>
        <v>3.8100414463871544</v>
      </c>
      <c r="ET81" s="16">
        <f t="shared" si="5"/>
        <v>2.9199150823645117</v>
      </c>
      <c r="EU81" s="16">
        <f t="shared" si="5"/>
        <v>4.9773048988700568</v>
      </c>
      <c r="EV81" s="16">
        <f t="shared" si="5"/>
        <v>2.6071232279661016</v>
      </c>
      <c r="EW81" s="16">
        <f t="shared" si="5"/>
        <v>3.358277490677966</v>
      </c>
      <c r="EX81" s="16" t="str">
        <f t="shared" si="5"/>
        <v>.</v>
      </c>
      <c r="EY81" s="16">
        <f t="shared" si="5"/>
        <v>113.215801816237</v>
      </c>
      <c r="EZ81" s="16">
        <f t="shared" si="5"/>
        <v>4.3114673491525419</v>
      </c>
      <c r="FA81" s="16">
        <f t="shared" si="5"/>
        <v>4.2343872211864406</v>
      </c>
      <c r="FB81" s="16">
        <f t="shared" si="5"/>
        <v>3.777328547457627</v>
      </c>
    </row>
    <row r="82" spans="1:158" x14ac:dyDescent="0.25">
      <c r="A82" s="17">
        <v>79</v>
      </c>
      <c r="B82" s="17" t="s">
        <v>104</v>
      </c>
      <c r="C82" s="17" t="s">
        <v>104</v>
      </c>
      <c r="D82" s="17" t="s">
        <v>25</v>
      </c>
      <c r="E82" s="16">
        <v>1</v>
      </c>
      <c r="F82" s="18">
        <v>5.7581895530070959</v>
      </c>
      <c r="G82" s="18">
        <v>5.7768222181905831</v>
      </c>
      <c r="H82" s="18">
        <v>5.8875316379796949</v>
      </c>
      <c r="I82" s="18">
        <v>5.9164038869903628</v>
      </c>
      <c r="J82" s="18">
        <v>5.9059696046685746</v>
      </c>
      <c r="K82" s="18">
        <v>5.797975603143275</v>
      </c>
      <c r="L82" s="18">
        <v>5.7548036499301345</v>
      </c>
      <c r="M82" s="18">
        <v>5.8207089638685803</v>
      </c>
      <c r="N82" s="18">
        <v>5.7744978827280589</v>
      </c>
      <c r="O82" s="18">
        <v>5.7215876546471121</v>
      </c>
      <c r="P82" s="18">
        <v>5.4958013077768371</v>
      </c>
      <c r="Q82" s="18">
        <v>5.7526533301357814</v>
      </c>
      <c r="R82" s="18">
        <v>5.4691535177880333</v>
      </c>
      <c r="S82" s="18">
        <v>5.3361438628890872</v>
      </c>
      <c r="T82" s="18">
        <v>5.8810076085484049</v>
      </c>
      <c r="U82" s="18">
        <v>5.643377861163227</v>
      </c>
      <c r="V82" s="18">
        <v>5.5202326810256412</v>
      </c>
      <c r="W82" s="18">
        <v>5.5089583819239376</v>
      </c>
      <c r="X82" s="18">
        <v>5.5183383667605632</v>
      </c>
      <c r="Y82" s="18">
        <v>5.586611821143654</v>
      </c>
      <c r="Z82" s="18">
        <v>5.5405481828703698</v>
      </c>
      <c r="AA82" s="18">
        <v>5.491337515486725</v>
      </c>
      <c r="AB82" s="18">
        <v>5.5364480419026387</v>
      </c>
      <c r="AC82" s="18">
        <v>5.5380703663656368</v>
      </c>
      <c r="AD82" s="19">
        <v>5.4273382515779227</v>
      </c>
      <c r="AE82" s="19">
        <v>5.5344520870833502</v>
      </c>
      <c r="AF82" s="19">
        <v>5.5184917751591813</v>
      </c>
      <c r="AG82" s="19">
        <v>5.3732654913719751</v>
      </c>
      <c r="AH82" s="19">
        <v>5.6155815358696266</v>
      </c>
      <c r="AI82" s="19">
        <v>5.5502782426780923</v>
      </c>
      <c r="AJ82" s="19">
        <v>5.7507976830985923</v>
      </c>
      <c r="AK82" s="19">
        <v>5.7685090033472806</v>
      </c>
      <c r="AL82" s="19">
        <v>5.7314591958333336</v>
      </c>
      <c r="AM82" s="19">
        <v>5.7080265998525066</v>
      </c>
      <c r="AN82" s="19">
        <v>5.6778398785784283</v>
      </c>
      <c r="AO82" s="19">
        <v>5.677302600475211</v>
      </c>
      <c r="AP82" s="19">
        <v>5.5540683934662205</v>
      </c>
      <c r="AQ82" s="19">
        <v>5.6405197867117023</v>
      </c>
      <c r="AR82" s="19">
        <v>5.5954922342206492</v>
      </c>
      <c r="AS82" s="19">
        <v>5.7026789183261259</v>
      </c>
      <c r="AT82" s="19">
        <v>5.5240131070990115</v>
      </c>
      <c r="AU82" s="19">
        <v>5.4917716433456354</v>
      </c>
      <c r="AV82" s="19">
        <v>4.0888602251407136</v>
      </c>
      <c r="AW82" s="19">
        <v>4.4744185230769231</v>
      </c>
      <c r="AX82" s="19">
        <v>3.9040800536912754</v>
      </c>
      <c r="AY82" s="19">
        <v>3.2788752647887325</v>
      </c>
      <c r="AZ82" s="19">
        <v>3.1973928602510462</v>
      </c>
      <c r="BA82" s="19">
        <v>3.190812972222222</v>
      </c>
      <c r="BB82" s="19">
        <v>3.3921174831858405</v>
      </c>
      <c r="BC82" s="19">
        <v>3.5330125631284917</v>
      </c>
      <c r="BD82" s="19">
        <v>3.5619638566047915</v>
      </c>
      <c r="BE82" s="19">
        <v>3.6066966755130281</v>
      </c>
      <c r="BF82" s="19">
        <v>5.5242133891558645</v>
      </c>
      <c r="BG82" s="19">
        <v>5.3112686774696032</v>
      </c>
      <c r="BH82" s="19">
        <v>5.1841618641467608</v>
      </c>
      <c r="BI82" s="19">
        <v>7</v>
      </c>
      <c r="BJ82" s="19">
        <v>6.5967563330598384</v>
      </c>
      <c r="BK82" s="19">
        <v>5.6360057625301536</v>
      </c>
      <c r="BL82" s="19">
        <v>5.2543822241758242</v>
      </c>
      <c r="BM82" s="19">
        <v>5.2507347530201347</v>
      </c>
      <c r="BN82" s="19">
        <v>5.2177614267605623</v>
      </c>
      <c r="BO82" s="19">
        <v>5.2907247414225935</v>
      </c>
      <c r="BP82" s="19">
        <v>5.3667926972222215</v>
      </c>
      <c r="BQ82" s="19">
        <v>5.2935650460176991</v>
      </c>
      <c r="BR82" s="19">
        <v>5.2718368693296975</v>
      </c>
      <c r="BS82" s="19">
        <v>5.1502409596596994</v>
      </c>
      <c r="BT82" s="19">
        <v>4.9021455509402738</v>
      </c>
      <c r="BU82" s="19">
        <v>4.6606860760320714</v>
      </c>
      <c r="BV82" s="19">
        <v>4.9801182881922328</v>
      </c>
      <c r="BW82" s="19">
        <v>4.9264289743114125</v>
      </c>
      <c r="BX82" s="19">
        <v>5.0737774189149007</v>
      </c>
      <c r="BY82" s="19">
        <v>5.080008093223995</v>
      </c>
      <c r="BZ82" s="19">
        <v>93.664177228972093</v>
      </c>
      <c r="CA82" s="19">
        <v>113.11927514049501</v>
      </c>
      <c r="CB82" s="19">
        <v>120.53551631633</v>
      </c>
      <c r="CC82" s="19">
        <v>121.373044123027</v>
      </c>
      <c r="CD82" s="19">
        <v>126.438083692192</v>
      </c>
      <c r="CE82" s="19">
        <v>139.0019775456451</v>
      </c>
      <c r="CF82" s="19">
        <v>141.36719889430049</v>
      </c>
      <c r="CG82" s="19">
        <v>155.74367883768278</v>
      </c>
      <c r="CH82" s="19">
        <v>155.90312423750498</v>
      </c>
      <c r="CI82" s="19">
        <v>164.90832962265421</v>
      </c>
      <c r="CJ82" s="19">
        <v>75.328690546828696</v>
      </c>
      <c r="CK82" s="19">
        <v>79.315856933593807</v>
      </c>
      <c r="CL82" s="19">
        <v>86.287887573242202</v>
      </c>
      <c r="CM82" s="19">
        <v>90.374656677246094</v>
      </c>
      <c r="CN82" s="19">
        <v>95.394785923238203</v>
      </c>
      <c r="CO82" s="19">
        <v>102.665020180163</v>
      </c>
      <c r="CP82" s="19">
        <v>109.43425692005501</v>
      </c>
      <c r="CQ82" s="19">
        <v>115.188593443458</v>
      </c>
      <c r="CR82" s="19">
        <v>120.232998305005</v>
      </c>
      <c r="CS82" s="19">
        <v>125.053760696262</v>
      </c>
      <c r="CT82" s="19">
        <v>132.46157284734829</v>
      </c>
      <c r="CU82" s="19">
        <v>138.29230621176498</v>
      </c>
      <c r="CV82" s="19">
        <v>142.24527998195117</v>
      </c>
      <c r="CW82" s="19">
        <v>147.87513758571725</v>
      </c>
      <c r="CX82" s="19">
        <v>153.86851928138333</v>
      </c>
      <c r="CY82" s="19">
        <v>6.1883826437628446</v>
      </c>
      <c r="CZ82" s="19">
        <v>6.2569685596673601</v>
      </c>
      <c r="DA82" s="19">
        <v>5.8973124818791955</v>
      </c>
      <c r="DB82" s="19">
        <v>5.5817462725352112</v>
      </c>
      <c r="DC82" s="19">
        <v>5.6886071916317986</v>
      </c>
      <c r="DD82" s="19">
        <v>5.7900593486111109</v>
      </c>
      <c r="DE82" s="19">
        <v>5.8144369168141594</v>
      </c>
      <c r="DF82" s="19">
        <v>5.9441067016106963</v>
      </c>
      <c r="DG82" s="19">
        <v>6.1805908233888687</v>
      </c>
      <c r="DH82" s="19">
        <v>6.1714907237138794</v>
      </c>
      <c r="DI82" s="19">
        <v>6.0820715459458947</v>
      </c>
      <c r="DJ82" s="19">
        <v>6.2785654733555951</v>
      </c>
      <c r="DK82" s="19">
        <v>6.7975364173211945</v>
      </c>
      <c r="DL82" s="19">
        <v>5.7189857740272982</v>
      </c>
      <c r="DM82" s="19">
        <v>6.6365894559701601</v>
      </c>
      <c r="DN82" s="19">
        <v>5.9292682926829272</v>
      </c>
      <c r="DO82" s="19">
        <v>5.7382281846153838</v>
      </c>
      <c r="DP82" s="19">
        <v>5.8108789959731553</v>
      </c>
      <c r="DQ82" s="19">
        <v>5.9850893669014074</v>
      </c>
      <c r="DR82" s="19">
        <v>6.0389773389121331</v>
      </c>
      <c r="DS82" s="19">
        <v>5.9444717666666662</v>
      </c>
      <c r="DT82" s="19">
        <v>6.0250861761061945</v>
      </c>
      <c r="DU82" s="19">
        <v>6.1552915759408622</v>
      </c>
      <c r="DV82" s="19">
        <v>6.1549187383344091</v>
      </c>
      <c r="DW82" s="19">
        <v>6.1863957859328575</v>
      </c>
      <c r="DX82" s="19">
        <v>6.3536391184380845</v>
      </c>
      <c r="DY82" s="19">
        <v>6.6008636499456834</v>
      </c>
      <c r="DZ82" s="19">
        <v>6.1425934228567467</v>
      </c>
      <c r="EA82" s="19">
        <v>6.5115890670160548</v>
      </c>
      <c r="EB82" s="19">
        <v>6.3407804351546657</v>
      </c>
      <c r="EC82" s="19">
        <v>5.7686813186813186</v>
      </c>
      <c r="ED82" s="19">
        <v>5.6088693098901103</v>
      </c>
      <c r="EE82" s="19">
        <v>5.6034218013422823</v>
      </c>
      <c r="EF82" s="19">
        <v>5.6499791232394365</v>
      </c>
      <c r="EG82" s="19">
        <v>5.7775288368200837</v>
      </c>
      <c r="EH82" s="19">
        <v>5.9251559</v>
      </c>
      <c r="EI82" s="19">
        <v>5.9813105477876105</v>
      </c>
      <c r="EJ82" s="19">
        <v>5.9152011206703907</v>
      </c>
      <c r="EK82" s="19">
        <v>5.9765064239501955</v>
      </c>
      <c r="EL82" s="19">
        <v>6.1221125449049527</v>
      </c>
      <c r="EM82" s="19">
        <v>6.2647750162910043</v>
      </c>
      <c r="EN82" s="19">
        <v>6.0400625922589999</v>
      </c>
      <c r="EO82" s="19">
        <v>5.652186330799152</v>
      </c>
      <c r="EP82" s="19">
        <v>5.8492871714866128</v>
      </c>
      <c r="EQ82" s="19">
        <v>6.1894272131930146</v>
      </c>
      <c r="ER82" s="19"/>
      <c r="ES82" s="16">
        <f t="shared" si="5"/>
        <v>5.9059696046685746</v>
      </c>
      <c r="ET82" s="16">
        <f t="shared" si="5"/>
        <v>5.586611821143654</v>
      </c>
      <c r="EU82" s="16">
        <f t="shared" si="5"/>
        <v>5.7685090033472806</v>
      </c>
      <c r="EV82" s="16">
        <f t="shared" si="5"/>
        <v>3.1973928602510462</v>
      </c>
      <c r="EW82" s="16">
        <f t="shared" si="5"/>
        <v>5.2907247414225935</v>
      </c>
      <c r="EX82" s="16" t="str">
        <f t="shared" si="5"/>
        <v>.</v>
      </c>
      <c r="EY82" s="16">
        <f t="shared" si="5"/>
        <v>95.394785923238203</v>
      </c>
      <c r="EZ82" s="16">
        <f t="shared" si="5"/>
        <v>5.6886071916317986</v>
      </c>
      <c r="FA82" s="16">
        <f t="shared" si="5"/>
        <v>6.0389773389121331</v>
      </c>
      <c r="FB82" s="16">
        <f t="shared" si="5"/>
        <v>5.7775288368200837</v>
      </c>
    </row>
    <row r="83" spans="1:158" x14ac:dyDescent="0.25">
      <c r="A83" s="17">
        <v>80</v>
      </c>
      <c r="B83" s="17" t="s">
        <v>105</v>
      </c>
      <c r="C83" s="17" t="s">
        <v>105</v>
      </c>
      <c r="D83" s="17" t="s">
        <v>9</v>
      </c>
      <c r="E83" s="16">
        <v>1</v>
      </c>
      <c r="F83" s="18">
        <v>4.1761547692160299</v>
      </c>
      <c r="G83" s="18">
        <v>4.4080569419598561</v>
      </c>
      <c r="H83" s="18">
        <v>4.2966829663603363</v>
      </c>
      <c r="I83" s="18">
        <v>3.9086884221164619</v>
      </c>
      <c r="J83" s="18">
        <v>3.8823126796992486</v>
      </c>
      <c r="K83" s="18">
        <v>4.1612325508771928</v>
      </c>
      <c r="L83" s="18">
        <v>4.2963509999999996</v>
      </c>
      <c r="M83" s="18">
        <v>4.3973473934874105</v>
      </c>
      <c r="N83" s="18">
        <v>4.3069992935847168</v>
      </c>
      <c r="O83" s="18">
        <v>4.3673689178870614</v>
      </c>
      <c r="P83" s="18">
        <v>4.0072928377686532</v>
      </c>
      <c r="Q83" s="18">
        <v>4.8595585845874298</v>
      </c>
      <c r="R83" s="18">
        <v>4.3299888230115826</v>
      </c>
      <c r="S83" s="18">
        <v>4.2722647787598582</v>
      </c>
      <c r="T83" s="18">
        <v>4.5867813328650469</v>
      </c>
      <c r="U83" s="18">
        <v>3.3437548005760385</v>
      </c>
      <c r="V83" s="18">
        <v>3.3995038032925877</v>
      </c>
      <c r="W83" s="18">
        <v>3.2740505335398224</v>
      </c>
      <c r="X83" s="18">
        <v>3.0965720018051335</v>
      </c>
      <c r="Y83" s="18">
        <v>3.0844416028571424</v>
      </c>
      <c r="Z83" s="18">
        <v>3.321665686198902</v>
      </c>
      <c r="AA83" s="18">
        <v>3.4368143229590435</v>
      </c>
      <c r="AB83" s="18">
        <v>3.6399749862229482</v>
      </c>
      <c r="AC83" s="18">
        <v>3.6682682520536147</v>
      </c>
      <c r="AD83" s="19">
        <v>3.7269569728574217</v>
      </c>
      <c r="AE83" s="19">
        <v>3.1791999420655879</v>
      </c>
      <c r="AF83" s="19">
        <v>3.4531250114031584</v>
      </c>
      <c r="AG83" s="19">
        <v>3.9286599581046695</v>
      </c>
      <c r="AH83" s="19">
        <v>3.9420717797660982</v>
      </c>
      <c r="AI83" s="19">
        <v>4.273365729203169</v>
      </c>
      <c r="AJ83" s="19">
        <v>5.3333103010638299</v>
      </c>
      <c r="AK83" s="19">
        <v>5.2887316894179897</v>
      </c>
      <c r="AL83" s="19">
        <v>5.4082137968253976</v>
      </c>
      <c r="AM83" s="19">
        <v>5.4680463333333336</v>
      </c>
      <c r="AN83" s="19">
        <v>5.2450735796346022</v>
      </c>
      <c r="AO83" s="19">
        <v>5.0421908730575629</v>
      </c>
      <c r="AP83" s="19">
        <v>5.0398267036260558</v>
      </c>
      <c r="AQ83" s="19">
        <v>4.7792481553213575</v>
      </c>
      <c r="AR83" s="19">
        <v>4.9539148931890766</v>
      </c>
      <c r="AS83" s="19">
        <v>5.042140918235245</v>
      </c>
      <c r="AT83" s="19">
        <v>4.2359412442900339</v>
      </c>
      <c r="AU83" s="19">
        <v>4.9463762749590137</v>
      </c>
      <c r="AV83" s="19">
        <v>3.8066672053436763</v>
      </c>
      <c r="AW83" s="19">
        <v>4.0477935813854486</v>
      </c>
      <c r="AX83" s="19">
        <v>4.013023592035398</v>
      </c>
      <c r="AY83" s="19">
        <v>3.4789250723404255</v>
      </c>
      <c r="AZ83" s="19">
        <v>3.2766025873015874</v>
      </c>
      <c r="BA83" s="19">
        <v>3.6472535428571429</v>
      </c>
      <c r="BB83" s="19">
        <v>3.8210419999999998</v>
      </c>
      <c r="BC83" s="19">
        <v>3.9222611812935959</v>
      </c>
      <c r="BD83" s="19">
        <v>3.9574684232860413</v>
      </c>
      <c r="BE83" s="19">
        <v>3.7376313597656958</v>
      </c>
      <c r="BF83" s="19">
        <v>4.7642197221933449</v>
      </c>
      <c r="BG83" s="19">
        <v>5.9190650404243517</v>
      </c>
      <c r="BH83" s="19">
        <v>5.0899661421099092</v>
      </c>
      <c r="BI83" s="19">
        <v>4.4544813812510737</v>
      </c>
      <c r="BJ83" s="19">
        <v>6.2167993624669728</v>
      </c>
      <c r="BK83" s="19">
        <v>3.2403582701046614</v>
      </c>
      <c r="BL83" s="19">
        <v>3.353276615353427</v>
      </c>
      <c r="BM83" s="19">
        <v>3.5142157061946904</v>
      </c>
      <c r="BN83" s="19">
        <v>3.1982962021276595</v>
      </c>
      <c r="BO83" s="19">
        <v>3.2690350174603173</v>
      </c>
      <c r="BP83" s="19">
        <v>3.3531997142857146</v>
      </c>
      <c r="BQ83" s="19">
        <v>3.3395350000000006</v>
      </c>
      <c r="BR83" s="19">
        <v>3.5754433437543596</v>
      </c>
      <c r="BS83" s="19">
        <v>3.7071200838336695</v>
      </c>
      <c r="BT83" s="19">
        <v>3.547959854436475</v>
      </c>
      <c r="BU83" s="19">
        <v>4.0757261213231857</v>
      </c>
      <c r="BV83" s="19">
        <v>3.4492459458214961</v>
      </c>
      <c r="BW83" s="19">
        <v>4.2122414182956094</v>
      </c>
      <c r="BX83" s="19">
        <v>3.6559132912167227</v>
      </c>
      <c r="BY83" s="19">
        <v>4.221401798466248</v>
      </c>
      <c r="BZ83" s="19">
        <v>4.9320800123977699</v>
      </c>
      <c r="CA83" s="19">
        <v>10.7107194073028</v>
      </c>
      <c r="CB83" s="19">
        <v>16.138141843072699</v>
      </c>
      <c r="CC83" s="19">
        <v>19.056893097388699</v>
      </c>
      <c r="CD83" s="19">
        <v>35.584127463015797</v>
      </c>
      <c r="CE83" s="19">
        <v>34.242262177639034</v>
      </c>
      <c r="CF83" s="19">
        <v>45.89039475223408</v>
      </c>
      <c r="CG83" s="19">
        <v>50.963314574006972</v>
      </c>
      <c r="CH83" s="19">
        <v>55.041494337123709</v>
      </c>
      <c r="CI83" s="19">
        <v>65.024057264842838</v>
      </c>
      <c r="CJ83" s="19">
        <v>28.9347942276857</v>
      </c>
      <c r="CK83" s="19">
        <v>74.401275634765597</v>
      </c>
      <c r="CL83" s="19">
        <v>86.838226318359403</v>
      </c>
      <c r="CM83" s="19">
        <v>95.2177734375</v>
      </c>
      <c r="CN83" s="19">
        <v>106.99461972221199</v>
      </c>
      <c r="CO83" s="19">
        <v>118.204758830293</v>
      </c>
      <c r="CP83" s="19">
        <v>139.13412190309799</v>
      </c>
      <c r="CQ83" s="19">
        <v>141.79627454649199</v>
      </c>
      <c r="CR83" s="19">
        <v>147.80495500753401</v>
      </c>
      <c r="CS83" s="19">
        <v>179.43301221364499</v>
      </c>
      <c r="CT83" s="19">
        <v>185.36626275985753</v>
      </c>
      <c r="CU83" s="19">
        <v>200</v>
      </c>
      <c r="CV83" s="19">
        <v>200</v>
      </c>
      <c r="CW83" s="19">
        <v>200</v>
      </c>
      <c r="CX83" s="19">
        <v>200</v>
      </c>
      <c r="CY83" s="19">
        <v>5.5677971901011123</v>
      </c>
      <c r="CZ83" s="19">
        <v>5.8698553393962847</v>
      </c>
      <c r="DA83" s="19">
        <v>5.7534640884955763</v>
      </c>
      <c r="DB83" s="19">
        <v>5.3960948345744679</v>
      </c>
      <c r="DC83" s="19">
        <v>5.1867214730158731</v>
      </c>
      <c r="DD83" s="19">
        <v>5.2803202571428578</v>
      </c>
      <c r="DE83" s="19">
        <v>5.3273659999999996</v>
      </c>
      <c r="DF83" s="19">
        <v>5.0901286867379323</v>
      </c>
      <c r="DG83" s="19">
        <v>4.8299466721423263</v>
      </c>
      <c r="DH83" s="19">
        <v>4.9997628677723016</v>
      </c>
      <c r="DI83" s="19">
        <v>4.28066434797472</v>
      </c>
      <c r="DJ83" s="19">
        <v>4.3689182024832824</v>
      </c>
      <c r="DK83" s="19">
        <v>4.1149439089649862</v>
      </c>
      <c r="DL83" s="19">
        <v>4.0969284232824403</v>
      </c>
      <c r="DM83" s="19">
        <v>5.0226519165973142</v>
      </c>
      <c r="DN83" s="19">
        <v>4.8215768949673672</v>
      </c>
      <c r="DO83" s="19">
        <v>4.9168898265553693</v>
      </c>
      <c r="DP83" s="19">
        <v>5.2229241274336289</v>
      </c>
      <c r="DQ83" s="19">
        <v>5.2157530473404261</v>
      </c>
      <c r="DR83" s="19">
        <v>5.0377958301587302</v>
      </c>
      <c r="DS83" s="19">
        <v>5.1287880952380958</v>
      </c>
      <c r="DT83" s="19">
        <v>5.1474060000000001</v>
      </c>
      <c r="DU83" s="19">
        <v>4.7932222828334261</v>
      </c>
      <c r="DV83" s="19">
        <v>4.4315831134845682</v>
      </c>
      <c r="DW83" s="19">
        <v>4.5036412283431648</v>
      </c>
      <c r="DX83" s="19">
        <v>6.1036754446500252</v>
      </c>
      <c r="DY83" s="19">
        <v>4.1371378590165513</v>
      </c>
      <c r="DZ83" s="19">
        <v>4.8754395867409039</v>
      </c>
      <c r="EA83" s="19">
        <v>4.7529321165568525</v>
      </c>
      <c r="EB83" s="19">
        <v>3.4584095433216553</v>
      </c>
      <c r="EC83" s="19">
        <v>4.8390566944184643</v>
      </c>
      <c r="ED83" s="19">
        <v>4.8591569091629907</v>
      </c>
      <c r="EE83" s="19">
        <v>4.9303840446902658</v>
      </c>
      <c r="EF83" s="19">
        <v>4.744034508510639</v>
      </c>
      <c r="EG83" s="19">
        <v>4.6321051412698413</v>
      </c>
      <c r="EH83" s="19">
        <v>4.7733232476190475</v>
      </c>
      <c r="EI83" s="19">
        <v>4.8231729999999997</v>
      </c>
      <c r="EJ83" s="19">
        <v>4.1382505056658063</v>
      </c>
      <c r="EK83" s="19">
        <v>3.8748069633137092</v>
      </c>
      <c r="EL83" s="19">
        <v>4.333219982856928</v>
      </c>
      <c r="EM83" s="19">
        <v>4.6664337925776644</v>
      </c>
      <c r="EN83" s="19">
        <v>3.6075450375046731</v>
      </c>
      <c r="EO83" s="19">
        <v>3.9690701472731158</v>
      </c>
      <c r="EP83" s="19">
        <v>3.5022615492532552</v>
      </c>
      <c r="EQ83" s="19">
        <v>3.2911589656513285</v>
      </c>
      <c r="ER83" s="19"/>
      <c r="ES83" s="16">
        <f t="shared" si="5"/>
        <v>3.8823126796992486</v>
      </c>
      <c r="ET83" s="16">
        <f t="shared" si="5"/>
        <v>3.0844416028571424</v>
      </c>
      <c r="EU83" s="16">
        <f t="shared" si="5"/>
        <v>5.2887316894179897</v>
      </c>
      <c r="EV83" s="16">
        <f t="shared" si="5"/>
        <v>3.2766025873015874</v>
      </c>
      <c r="EW83" s="16">
        <f t="shared" si="5"/>
        <v>3.2690350174603173</v>
      </c>
      <c r="EX83" s="16" t="str">
        <f t="shared" si="5"/>
        <v>.</v>
      </c>
      <c r="EY83" s="16">
        <f t="shared" si="5"/>
        <v>106.99461972221199</v>
      </c>
      <c r="EZ83" s="16">
        <f t="shared" si="5"/>
        <v>5.1867214730158731</v>
      </c>
      <c r="FA83" s="16">
        <f t="shared" si="5"/>
        <v>5.0377958301587302</v>
      </c>
      <c r="FB83" s="16">
        <f t="shared" si="5"/>
        <v>4.6321051412698413</v>
      </c>
    </row>
    <row r="84" spans="1:158" x14ac:dyDescent="0.25">
      <c r="A84" s="17">
        <v>81</v>
      </c>
      <c r="B84" s="17" t="s">
        <v>106</v>
      </c>
      <c r="C84" s="17" t="s">
        <v>106</v>
      </c>
      <c r="D84" s="17" t="s">
        <v>25</v>
      </c>
      <c r="E84" s="16">
        <v>1</v>
      </c>
      <c r="F84" s="18">
        <v>3.7621418410853558</v>
      </c>
      <c r="G84" s="18">
        <v>3.7907029561793504</v>
      </c>
      <c r="H84" s="18">
        <v>3.7025450268907223</v>
      </c>
      <c r="I84" s="18">
        <v>3.4689488680359433</v>
      </c>
      <c r="J84" s="18">
        <v>3.4151773157894736</v>
      </c>
      <c r="K84" s="18">
        <v>3.5819418837426902</v>
      </c>
      <c r="L84" s="18">
        <v>3.7156610894736835</v>
      </c>
      <c r="M84" s="18">
        <v>3.7650147374581167</v>
      </c>
      <c r="N84" s="18">
        <v>3.7862788863921297</v>
      </c>
      <c r="O84" s="18">
        <v>3.6416823815267336</v>
      </c>
      <c r="P84" s="18">
        <v>2.7357321182439867</v>
      </c>
      <c r="Q84" s="18">
        <v>3.4474056874525849</v>
      </c>
      <c r="R84" s="18">
        <v>3.6045838248773552</v>
      </c>
      <c r="S84" s="18">
        <v>3.8513422093043155</v>
      </c>
      <c r="T84" s="18">
        <v>4.0114165565020841</v>
      </c>
      <c r="U84" s="18">
        <v>3.1005845044763665</v>
      </c>
      <c r="V84" s="18">
        <v>3.2138327170322123</v>
      </c>
      <c r="W84" s="18">
        <v>3.1499783145897355</v>
      </c>
      <c r="X84" s="18">
        <v>2.8063842084135913</v>
      </c>
      <c r="Y84" s="18">
        <v>2.6689476860759487</v>
      </c>
      <c r="Z84" s="18">
        <v>2.9176278023319258</v>
      </c>
      <c r="AA84" s="18">
        <v>3.0980792225472227</v>
      </c>
      <c r="AB84" s="18">
        <v>3.1380731497251779</v>
      </c>
      <c r="AC84" s="18">
        <v>3.2718123689728884</v>
      </c>
      <c r="AD84" s="19">
        <v>3.3863391779530496</v>
      </c>
      <c r="AE84" s="19">
        <v>3.5969207769503133</v>
      </c>
      <c r="AF84" s="19">
        <v>3.2328714886824215</v>
      </c>
      <c r="AG84" s="19">
        <v>3.9299367365582389</v>
      </c>
      <c r="AH84" s="19">
        <v>4.1008187677357855</v>
      </c>
      <c r="AI84" s="19">
        <v>2.0648971897188209</v>
      </c>
      <c r="AJ84" s="19">
        <v>4.233513880216802</v>
      </c>
      <c r="AK84" s="19">
        <v>4.2248743333333332</v>
      </c>
      <c r="AL84" s="19">
        <v>4.5229160918518518</v>
      </c>
      <c r="AM84" s="19">
        <v>4.5357541777777781</v>
      </c>
      <c r="AN84" s="19">
        <v>4.2739650215405183</v>
      </c>
      <c r="AO84" s="19">
        <v>4.2533346511465542</v>
      </c>
      <c r="AP84" s="19">
        <v>4.2587347404410449</v>
      </c>
      <c r="AQ84" s="19">
        <v>3.6418668746174903</v>
      </c>
      <c r="AR84" s="19">
        <v>4.475421653925812</v>
      </c>
      <c r="AS84" s="19">
        <v>3.8741335489959221</v>
      </c>
      <c r="AT84" s="19">
        <v>4.3137655814593998</v>
      </c>
      <c r="AU84" s="19">
        <v>3.729778787863951</v>
      </c>
      <c r="AV84" s="19">
        <v>3.158274904693787</v>
      </c>
      <c r="AW84" s="19">
        <v>3.0539944608167504</v>
      </c>
      <c r="AX84" s="19">
        <v>2.99783724637224</v>
      </c>
      <c r="AY84" s="19">
        <v>3.2172950796747966</v>
      </c>
      <c r="AZ84" s="19">
        <v>3.3087059999999999</v>
      </c>
      <c r="BA84" s="19">
        <v>3.5969763599999998</v>
      </c>
      <c r="BB84" s="19">
        <v>3.6634561333333333</v>
      </c>
      <c r="BC84" s="19">
        <v>3.5398611543613057</v>
      </c>
      <c r="BD84" s="19">
        <v>3.6783415521894183</v>
      </c>
      <c r="BE84" s="19">
        <v>3.8323647465556863</v>
      </c>
      <c r="BF84" s="19">
        <v>5.4322857851874522</v>
      </c>
      <c r="BG84" s="19">
        <v>4.5422326733422835</v>
      </c>
      <c r="BH84" s="19">
        <v>4.6981199952626795</v>
      </c>
      <c r="BI84" s="19">
        <v>4.7394760594676928</v>
      </c>
      <c r="BJ84" s="19">
        <v>5.1474264653669364</v>
      </c>
      <c r="BK84" s="19">
        <v>4.1175738024044364</v>
      </c>
      <c r="BL84" s="19">
        <v>3.5453911625083245</v>
      </c>
      <c r="BM84" s="19">
        <v>3.3776528003154578</v>
      </c>
      <c r="BN84" s="19">
        <v>3.6891432227642276</v>
      </c>
      <c r="BO84" s="19">
        <v>3.8874300000000002</v>
      </c>
      <c r="BP84" s="19">
        <v>3.9527059955555552</v>
      </c>
      <c r="BQ84" s="19">
        <v>4.0746419619047618</v>
      </c>
      <c r="BR84" s="19">
        <v>4.04033527260661</v>
      </c>
      <c r="BS84" s="19">
        <v>3.8934749126434323</v>
      </c>
      <c r="BT84" s="19">
        <v>3.6651270270347598</v>
      </c>
      <c r="BU84" s="19">
        <v>4.7910714539781063</v>
      </c>
      <c r="BV84" s="19">
        <v>3.8391572684094135</v>
      </c>
      <c r="BW84" s="19">
        <v>4.0975724950718293</v>
      </c>
      <c r="BX84" s="19">
        <v>3.6382009205732797</v>
      </c>
      <c r="BY84" s="19">
        <v>4.0897753036311215</v>
      </c>
      <c r="BZ84" s="19">
        <v>38.410538818702101</v>
      </c>
      <c r="CA84" s="19">
        <v>41.984465576809903</v>
      </c>
      <c r="CB84" s="19">
        <v>56.554553469079501</v>
      </c>
      <c r="CC84" s="19">
        <v>59.7812544898566</v>
      </c>
      <c r="CD84" s="19">
        <v>59.966797545706399</v>
      </c>
      <c r="CE84" s="19">
        <v>68.692734931065658</v>
      </c>
      <c r="CF84" s="19">
        <v>75.838777439980504</v>
      </c>
      <c r="CG84" s="19">
        <v>82.27801132124462</v>
      </c>
      <c r="CH84" s="19">
        <v>92.650422169025575</v>
      </c>
      <c r="CI84" s="19">
        <v>94.264837715578025</v>
      </c>
      <c r="CJ84" s="19">
        <v>33.424620573355803</v>
      </c>
      <c r="CK84" s="19">
        <v>52.864173889160199</v>
      </c>
      <c r="CL84" s="19">
        <v>96.001251220703097</v>
      </c>
      <c r="CM84" s="19">
        <v>95.896514892578097</v>
      </c>
      <c r="CN84" s="19">
        <v>123.34985215301801</v>
      </c>
      <c r="CO84" s="19">
        <v>142.54986348280801</v>
      </c>
      <c r="CP84" s="19">
        <v>175.39148456926199</v>
      </c>
      <c r="CQ84" s="19">
        <v>180.502081860099</v>
      </c>
      <c r="CR84" s="19">
        <v>168.622904317115</v>
      </c>
      <c r="CS84" s="19">
        <v>187.173901804764</v>
      </c>
      <c r="CT84" s="19">
        <v>200</v>
      </c>
      <c r="CU84" s="19">
        <v>200</v>
      </c>
      <c r="CV84" s="19">
        <v>200</v>
      </c>
      <c r="CW84" s="19">
        <v>200</v>
      </c>
      <c r="CX84" s="19">
        <v>200</v>
      </c>
      <c r="CY84" s="19">
        <v>3.9834070772951478</v>
      </c>
      <c r="CZ84" s="19">
        <v>3.9546339420176349</v>
      </c>
      <c r="DA84" s="19">
        <v>3.6169021548895901</v>
      </c>
      <c r="DB84" s="19">
        <v>3.4656558764227645</v>
      </c>
      <c r="DC84" s="19">
        <v>3.5754600000000001</v>
      </c>
      <c r="DD84" s="19">
        <v>4.0797407466666673</v>
      </c>
      <c r="DE84" s="19">
        <v>4.2569527642857139</v>
      </c>
      <c r="DF84" s="19">
        <v>4.1114225617478812</v>
      </c>
      <c r="DG84" s="19">
        <v>4.2364341054643901</v>
      </c>
      <c r="DH84" s="19">
        <v>4.3651175081729896</v>
      </c>
      <c r="DI84" s="19">
        <v>3.7116784642342853</v>
      </c>
      <c r="DJ84" s="19">
        <v>4.0939066061256417</v>
      </c>
      <c r="DK84" s="19">
        <v>4.4185777824408428</v>
      </c>
      <c r="DL84" s="19">
        <v>5.8772626548767279</v>
      </c>
      <c r="DM84" s="19">
        <v>4.5464096158235616</v>
      </c>
      <c r="DN84" s="19">
        <v>3.4305628175405714</v>
      </c>
      <c r="DO84" s="19">
        <v>3.4681241899091613</v>
      </c>
      <c r="DP84" s="19">
        <v>3.8416332182965305</v>
      </c>
      <c r="DQ84" s="19">
        <v>3.9935595089430898</v>
      </c>
      <c r="DR84" s="19">
        <v>3.808176</v>
      </c>
      <c r="DS84" s="19">
        <v>4.1387352577777774</v>
      </c>
      <c r="DT84" s="19">
        <v>4.4666240476190477</v>
      </c>
      <c r="DU84" s="19">
        <v>4.4196698386171418</v>
      </c>
      <c r="DV84" s="19">
        <v>4.2218353680201934</v>
      </c>
      <c r="DW84" s="19">
        <v>3.9981997516006231</v>
      </c>
      <c r="DX84" s="19">
        <v>5.0201078063298077</v>
      </c>
      <c r="DY84" s="19">
        <v>4.5414133364081186</v>
      </c>
      <c r="DZ84" s="19">
        <v>4.2041681440243615</v>
      </c>
      <c r="EA84" s="19">
        <v>4.4151974081154366</v>
      </c>
      <c r="EB84" s="19">
        <v>5.0751143506077199</v>
      </c>
      <c r="EC84" s="19">
        <v>2.3397492090112815</v>
      </c>
      <c r="ED84" s="19">
        <v>2.4845198260156103</v>
      </c>
      <c r="EE84" s="19">
        <v>2.4726073602523657</v>
      </c>
      <c r="EF84" s="19">
        <v>2.4438505040650407</v>
      </c>
      <c r="EG84" s="19">
        <v>2.5046759999999999</v>
      </c>
      <c r="EH84" s="19">
        <v>2.7449232488888891</v>
      </c>
      <c r="EI84" s="19">
        <v>2.8148999333333329</v>
      </c>
      <c r="EJ84" s="19">
        <v>2.9829208676771888</v>
      </c>
      <c r="EK84" s="19">
        <v>3.1251978397369387</v>
      </c>
      <c r="EL84" s="19">
        <v>3.0248419884592295</v>
      </c>
      <c r="EM84" s="19">
        <v>3.2158061127643953</v>
      </c>
      <c r="EN84" s="19">
        <v>3.1325134795029816</v>
      </c>
      <c r="EO84" s="19">
        <v>3.23889332937885</v>
      </c>
      <c r="EP84" s="19">
        <v>2.8350070285690414</v>
      </c>
      <c r="EQ84" s="19">
        <v>3.3684679396405137</v>
      </c>
      <c r="ER84" s="19"/>
      <c r="ES84" s="16">
        <f t="shared" si="5"/>
        <v>3.4151773157894736</v>
      </c>
      <c r="ET84" s="16">
        <f t="shared" si="5"/>
        <v>2.6689476860759487</v>
      </c>
      <c r="EU84" s="16">
        <f t="shared" si="5"/>
        <v>4.2248743333333332</v>
      </c>
      <c r="EV84" s="16">
        <f t="shared" si="5"/>
        <v>3.3087059999999999</v>
      </c>
      <c r="EW84" s="16">
        <f t="shared" si="5"/>
        <v>3.8874300000000002</v>
      </c>
      <c r="EX84" s="16" t="str">
        <f t="shared" si="5"/>
        <v>.</v>
      </c>
      <c r="EY84" s="16">
        <f t="shared" si="5"/>
        <v>123.34985215301801</v>
      </c>
      <c r="EZ84" s="16">
        <f t="shared" si="5"/>
        <v>3.5754600000000001</v>
      </c>
      <c r="FA84" s="16">
        <f t="shared" si="5"/>
        <v>3.808176</v>
      </c>
      <c r="FB84" s="16">
        <f t="shared" si="5"/>
        <v>2.5046759999999999</v>
      </c>
    </row>
    <row r="85" spans="1:158" x14ac:dyDescent="0.25">
      <c r="A85" s="17">
        <v>82</v>
      </c>
      <c r="B85" s="17" t="s">
        <v>107</v>
      </c>
      <c r="C85" s="17" t="s">
        <v>107</v>
      </c>
      <c r="D85" s="17" t="s">
        <v>14</v>
      </c>
      <c r="E85" s="16">
        <v>1</v>
      </c>
      <c r="F85" s="18">
        <v>4.0329498149358916</v>
      </c>
      <c r="G85" s="18">
        <v>4.2122493033247705</v>
      </c>
      <c r="H85" s="18">
        <v>4.1815025955307927</v>
      </c>
      <c r="I85" s="18">
        <v>3.9929375181616011</v>
      </c>
      <c r="J85" s="18">
        <v>4.0691183011553269</v>
      </c>
      <c r="K85" s="18">
        <v>3.9553449173489277</v>
      </c>
      <c r="L85" s="18">
        <v>4.0902009676266138</v>
      </c>
      <c r="M85" s="18">
        <v>4.3752014588077159</v>
      </c>
      <c r="N85" s="18">
        <v>4.2122936387326888</v>
      </c>
      <c r="O85" s="18">
        <v>4.2313624390394455</v>
      </c>
      <c r="P85" s="18">
        <v>4.7022360821234992</v>
      </c>
      <c r="Q85" s="18">
        <v>4.3357453373911179</v>
      </c>
      <c r="R85" s="18">
        <v>4.2304265255344164</v>
      </c>
      <c r="S85" s="18">
        <v>4.7552969383227905</v>
      </c>
      <c r="T85" s="18">
        <v>4.5919116921582095</v>
      </c>
      <c r="U85" s="18">
        <v>3.471856431733281</v>
      </c>
      <c r="V85" s="18">
        <v>3.5238174335429591</v>
      </c>
      <c r="W85" s="18">
        <v>3.413563593254886</v>
      </c>
      <c r="X85" s="18">
        <v>3.2673108195597704</v>
      </c>
      <c r="Y85" s="18">
        <v>3.3718381307301173</v>
      </c>
      <c r="Z85" s="18">
        <v>3.4101925521433314</v>
      </c>
      <c r="AA85" s="18">
        <v>3.5645734047435491</v>
      </c>
      <c r="AB85" s="18">
        <v>3.6870736355395248</v>
      </c>
      <c r="AC85" s="18">
        <v>3.6504380103472744</v>
      </c>
      <c r="AD85" s="19">
        <v>3.8349905213994702</v>
      </c>
      <c r="AE85" s="19">
        <v>3.9967935991025962</v>
      </c>
      <c r="AF85" s="19">
        <v>3.6692619010590724</v>
      </c>
      <c r="AG85" s="19">
        <v>4.1064511168065279</v>
      </c>
      <c r="AH85" s="19">
        <v>3.7031298340429677</v>
      </c>
      <c r="AI85" s="19">
        <v>4.1569528620169418</v>
      </c>
      <c r="AJ85" s="19">
        <v>4.7313940785602506</v>
      </c>
      <c r="AK85" s="19">
        <v>4.8922728560975619</v>
      </c>
      <c r="AL85" s="19">
        <v>4.879471779012345</v>
      </c>
      <c r="AM85" s="19">
        <v>4.7928965471698115</v>
      </c>
      <c r="AN85" s="19">
        <v>4.8875816929883875</v>
      </c>
      <c r="AO85" s="19">
        <v>4.8347273630623038</v>
      </c>
      <c r="AP85" s="19">
        <v>4.9746199266626201</v>
      </c>
      <c r="AQ85" s="19">
        <v>5.2202286996250615</v>
      </c>
      <c r="AR85" s="19">
        <v>4.8681562757881949</v>
      </c>
      <c r="AS85" s="19">
        <v>4.9039790647632104</v>
      </c>
      <c r="AT85" s="19">
        <v>4.8380609159660866</v>
      </c>
      <c r="AU85" s="19">
        <v>5.6527249614885795</v>
      </c>
      <c r="AV85" s="19">
        <v>2.9854362270691897</v>
      </c>
      <c r="AW85" s="19">
        <v>3.3286879991570539</v>
      </c>
      <c r="AX85" s="19">
        <v>3.1034087579439253</v>
      </c>
      <c r="AY85" s="19">
        <v>2.8349923492957747</v>
      </c>
      <c r="AZ85" s="19">
        <v>3.0217939170731709</v>
      </c>
      <c r="BA85" s="19">
        <v>3.3616433740740743</v>
      </c>
      <c r="BB85" s="19">
        <v>3.5890318641509436</v>
      </c>
      <c r="BC85" s="19">
        <v>3.6388169516469464</v>
      </c>
      <c r="BD85" s="19">
        <v>3.7027511509882141</v>
      </c>
      <c r="BE85" s="19">
        <v>3.8869005045759568</v>
      </c>
      <c r="BF85" s="19">
        <v>5.0874813749763135</v>
      </c>
      <c r="BG85" s="19">
        <v>5.4948561979205879</v>
      </c>
      <c r="BH85" s="19">
        <v>6.0189318880064837</v>
      </c>
      <c r="BI85" s="19">
        <v>5.3785947324608019</v>
      </c>
      <c r="BJ85" s="19">
        <v>5.6989428186768123</v>
      </c>
      <c r="BK85" s="19">
        <v>3.3960725274725276</v>
      </c>
      <c r="BL85" s="19">
        <v>3.1073589433281006</v>
      </c>
      <c r="BM85" s="19">
        <v>2.9899063196261682</v>
      </c>
      <c r="BN85" s="19">
        <v>3.1590873239436621</v>
      </c>
      <c r="BO85" s="19">
        <v>3.3272003317073171</v>
      </c>
      <c r="BP85" s="19">
        <v>3.2661405518518514</v>
      </c>
      <c r="BQ85" s="19">
        <v>3.2357552415094339</v>
      </c>
      <c r="BR85" s="19">
        <v>3.2462578000916675</v>
      </c>
      <c r="BS85" s="19">
        <v>2.9699029938965897</v>
      </c>
      <c r="BT85" s="19">
        <v>2.9904938347842713</v>
      </c>
      <c r="BU85" s="19">
        <v>3.277624339651533</v>
      </c>
      <c r="BV85" s="19">
        <v>3.4265177287022341</v>
      </c>
      <c r="BW85" s="19">
        <v>2.8744971996887005</v>
      </c>
      <c r="BX85" s="19">
        <v>2.9245008004009279</v>
      </c>
      <c r="BY85" s="19">
        <v>2.913959010703389</v>
      </c>
      <c r="BZ85" s="19">
        <v>1</v>
      </c>
      <c r="CA85" s="19">
        <v>2.2195553633034302</v>
      </c>
      <c r="CB85" s="19">
        <v>3.04300717611078</v>
      </c>
      <c r="CC85" s="19">
        <v>9.0930044759164304</v>
      </c>
      <c r="CD85" s="19">
        <v>15.4958765945953</v>
      </c>
      <c r="CE85" s="19">
        <v>15.083086380277722</v>
      </c>
      <c r="CF85" s="19">
        <v>19.851363900067014</v>
      </c>
      <c r="CG85" s="19">
        <v>27.289244908906621</v>
      </c>
      <c r="CH85" s="19">
        <v>27.09887055995004</v>
      </c>
      <c r="CI85" s="19">
        <v>29.781434939443322</v>
      </c>
      <c r="CJ85" s="19">
        <v>13.4632473143391</v>
      </c>
      <c r="CK85" s="19">
        <v>20.909307479858398</v>
      </c>
      <c r="CL85" s="19">
        <v>42.111427307128899</v>
      </c>
      <c r="CM85" s="19">
        <v>48.652206420898402</v>
      </c>
      <c r="CN85" s="19">
        <v>61.632283441515902</v>
      </c>
      <c r="CO85" s="19">
        <v>64.842459436408703</v>
      </c>
      <c r="CP85" s="19">
        <v>71.888122547071902</v>
      </c>
      <c r="CQ85" s="19">
        <v>70.589428510019602</v>
      </c>
      <c r="CR85" s="19">
        <v>73.843248075900405</v>
      </c>
      <c r="CS85" s="19">
        <v>80.678202736992205</v>
      </c>
      <c r="CT85" s="19">
        <v>93.974340021921137</v>
      </c>
      <c r="CU85" s="19">
        <v>102.72754366527535</v>
      </c>
      <c r="CV85" s="19">
        <v>110.12164942622616</v>
      </c>
      <c r="CW85" s="19">
        <v>116.29064919323325</v>
      </c>
      <c r="CX85" s="19">
        <v>119.31714321386148</v>
      </c>
      <c r="CY85" s="19">
        <v>4.0921699438202239</v>
      </c>
      <c r="CZ85" s="19">
        <v>4.2219868961362064</v>
      </c>
      <c r="DA85" s="19">
        <v>3.7915190682242992</v>
      </c>
      <c r="DB85" s="19">
        <v>3.6539645464788735</v>
      </c>
      <c r="DC85" s="19">
        <v>3.6512719804878051</v>
      </c>
      <c r="DD85" s="19">
        <v>3.574689396296296</v>
      </c>
      <c r="DE85" s="19">
        <v>3.9115148943396223</v>
      </c>
      <c r="DF85" s="19">
        <v>4.2075820976300591</v>
      </c>
      <c r="DG85" s="19">
        <v>4.1948078168702017</v>
      </c>
      <c r="DH85" s="19">
        <v>4.3588815732833446</v>
      </c>
      <c r="DI85" s="19">
        <v>4.198203500897467</v>
      </c>
      <c r="DJ85" s="19">
        <v>3.3115289131788348</v>
      </c>
      <c r="DK85" s="19">
        <v>4.2555074875636123</v>
      </c>
      <c r="DL85" s="19">
        <v>4.6610385781060613</v>
      </c>
      <c r="DM85" s="19">
        <v>3.9217463866928188</v>
      </c>
      <c r="DN85" s="19">
        <v>2.6910732095364742</v>
      </c>
      <c r="DO85" s="19">
        <v>2.9330785449630916</v>
      </c>
      <c r="DP85" s="19">
        <v>3.2026223046728974</v>
      </c>
      <c r="DQ85" s="19">
        <v>3.7598900009389675</v>
      </c>
      <c r="DR85" s="19">
        <v>3.8924318853658537</v>
      </c>
      <c r="DS85" s="19">
        <v>3.9798832148148149</v>
      </c>
      <c r="DT85" s="19">
        <v>4.3808080867924524</v>
      </c>
      <c r="DU85" s="19">
        <v>4.3491976869148079</v>
      </c>
      <c r="DV85" s="19">
        <v>4.1626522984922207</v>
      </c>
      <c r="DW85" s="19">
        <v>4.2960784824616312</v>
      </c>
      <c r="DX85" s="19">
        <v>4.6845035068907652</v>
      </c>
      <c r="DY85" s="19">
        <v>5.6459439622124101</v>
      </c>
      <c r="DZ85" s="19">
        <v>5.3901702542982362</v>
      </c>
      <c r="EA85" s="19">
        <v>5.6225296139041543</v>
      </c>
      <c r="EB85" s="19">
        <v>5.4485904564761025</v>
      </c>
      <c r="EC85" s="19">
        <v>2.5440857602318512</v>
      </c>
      <c r="ED85" s="19">
        <v>2.8097046179982632</v>
      </c>
      <c r="EE85" s="19">
        <v>3.0723361102803741</v>
      </c>
      <c r="EF85" s="19">
        <v>3.5894243370892021</v>
      </c>
      <c r="EG85" s="19">
        <v>3.8881451073170732</v>
      </c>
      <c r="EH85" s="19">
        <v>3.9338562777777781</v>
      </c>
      <c r="EI85" s="19">
        <v>4.0999736679245284</v>
      </c>
      <c r="EJ85" s="19">
        <v>4.2435256614509402</v>
      </c>
      <c r="EK85" s="19">
        <v>4.1923570984519571</v>
      </c>
      <c r="EL85" s="19">
        <v>4.1876190666758681</v>
      </c>
      <c r="EM85" s="19">
        <v>4.9272133802737219</v>
      </c>
      <c r="EN85" s="19">
        <v>5.663631092233401</v>
      </c>
      <c r="EO85" s="19">
        <v>5.7420607142085736</v>
      </c>
      <c r="EP85" s="19">
        <v>5.1197901637095455</v>
      </c>
      <c r="EQ85" s="19">
        <v>5.5665605751537068</v>
      </c>
      <c r="ER85" s="19"/>
      <c r="ES85" s="16">
        <f t="shared" ref="ES85:FB100" si="6">IF(SUMIF($F$2:$EQ$2,ES$2&amp;"_"&amp;ES$3,$F85:$EQ85)=0,".",SUMIF($F$2:$EQ$2,ES$2&amp;"_"&amp;ES$3,$F85:$EQ85))</f>
        <v>4.0691183011553269</v>
      </c>
      <c r="ET85" s="16">
        <f t="shared" si="6"/>
        <v>3.3718381307301173</v>
      </c>
      <c r="EU85" s="16">
        <f t="shared" si="6"/>
        <v>4.8922728560975619</v>
      </c>
      <c r="EV85" s="16">
        <f t="shared" si="6"/>
        <v>3.0217939170731709</v>
      </c>
      <c r="EW85" s="16">
        <f t="shared" si="6"/>
        <v>3.3272003317073171</v>
      </c>
      <c r="EX85" s="16" t="str">
        <f t="shared" si="6"/>
        <v>.</v>
      </c>
      <c r="EY85" s="16">
        <f t="shared" si="6"/>
        <v>61.632283441515902</v>
      </c>
      <c r="EZ85" s="16">
        <f t="shared" si="6"/>
        <v>3.6512719804878051</v>
      </c>
      <c r="FA85" s="16">
        <f t="shared" si="6"/>
        <v>3.8924318853658537</v>
      </c>
      <c r="FB85" s="16">
        <f t="shared" si="6"/>
        <v>3.8881451073170732</v>
      </c>
    </row>
    <row r="86" spans="1:158" x14ac:dyDescent="0.25">
      <c r="A86" s="17">
        <v>83</v>
      </c>
      <c r="B86" s="17" t="s">
        <v>108</v>
      </c>
      <c r="C86" s="17" t="s">
        <v>108</v>
      </c>
      <c r="D86" s="17" t="s">
        <v>7</v>
      </c>
      <c r="E86" s="16">
        <v>0</v>
      </c>
      <c r="F86" s="18">
        <v>3.51</v>
      </c>
      <c r="G86" s="18">
        <v>3.86</v>
      </c>
      <c r="H86" s="18">
        <v>3.3</v>
      </c>
      <c r="I86" s="18">
        <v>3.14</v>
      </c>
      <c r="J86" s="18">
        <v>3.66</v>
      </c>
      <c r="K86" s="18">
        <v>3.19</v>
      </c>
      <c r="L86" s="18">
        <v>3.76</v>
      </c>
      <c r="M86" s="18">
        <v>3.51</v>
      </c>
      <c r="N86" s="18">
        <v>3.21</v>
      </c>
      <c r="O86" s="18">
        <v>4.16</v>
      </c>
      <c r="P86" s="18">
        <v>3.3</v>
      </c>
      <c r="Q86" s="18">
        <v>4.46</v>
      </c>
      <c r="R86" s="18">
        <v>3.18</v>
      </c>
      <c r="S86" s="18">
        <v>4.0199999999999996</v>
      </c>
      <c r="T86" s="18">
        <v>3.04</v>
      </c>
      <c r="U86" s="18">
        <v>3.39</v>
      </c>
      <c r="V86" s="18">
        <v>3.6</v>
      </c>
      <c r="W86" s="18">
        <v>3.62</v>
      </c>
      <c r="X86" s="18">
        <v>3.04</v>
      </c>
      <c r="Y86" s="18">
        <v>2.5299999999999998</v>
      </c>
      <c r="Z86" s="18">
        <v>3.29</v>
      </c>
      <c r="AA86" s="18">
        <v>3.65</v>
      </c>
      <c r="AB86" s="18">
        <v>3.19</v>
      </c>
      <c r="AC86" s="18">
        <v>3.15</v>
      </c>
      <c r="AD86" s="19">
        <v>3.17</v>
      </c>
      <c r="AE86" s="19">
        <v>2.44</v>
      </c>
      <c r="AF86" s="19">
        <v>4.03</v>
      </c>
      <c r="AG86" s="19">
        <v>3.65</v>
      </c>
      <c r="AH86" s="19">
        <v>2.65</v>
      </c>
      <c r="AI86" s="19">
        <v>2.2200000000000002</v>
      </c>
      <c r="AJ86" s="19">
        <v>4.4000000000000004</v>
      </c>
      <c r="AK86" s="19">
        <v>4.1100000000000003</v>
      </c>
      <c r="AL86" s="19">
        <v>4.8099999999999996</v>
      </c>
      <c r="AM86" s="19">
        <v>4.46</v>
      </c>
      <c r="AN86" s="19">
        <v>4.84</v>
      </c>
      <c r="AO86" s="19">
        <v>3.91</v>
      </c>
      <c r="AP86" s="19">
        <v>4.6500000000000004</v>
      </c>
      <c r="AQ86" s="19">
        <v>3.89</v>
      </c>
      <c r="AR86" s="19">
        <v>4.75</v>
      </c>
      <c r="AS86" s="19">
        <v>3.93</v>
      </c>
      <c r="AT86" s="19">
        <v>4.09</v>
      </c>
      <c r="AU86" s="19">
        <v>4.71</v>
      </c>
      <c r="AV86" s="19">
        <v>3.66</v>
      </c>
      <c r="AW86" s="19">
        <v>3.61</v>
      </c>
      <c r="AX86" s="19">
        <v>2.94</v>
      </c>
      <c r="AY86" s="19">
        <v>2.95</v>
      </c>
      <c r="AZ86" s="19">
        <v>3.69</v>
      </c>
      <c r="BA86" s="19">
        <v>3.93</v>
      </c>
      <c r="BB86" s="19">
        <v>3.7</v>
      </c>
      <c r="BC86" s="19">
        <v>3.42</v>
      </c>
      <c r="BD86" s="19">
        <v>3.48</v>
      </c>
      <c r="BE86" s="19">
        <v>3.67</v>
      </c>
      <c r="BF86" s="19">
        <v>4.28</v>
      </c>
      <c r="BG86" s="19">
        <v>5.21</v>
      </c>
      <c r="BH86" s="19">
        <v>4.4400000000000004</v>
      </c>
      <c r="BI86" s="19">
        <v>3.97</v>
      </c>
      <c r="BJ86" s="19">
        <v>3.89</v>
      </c>
      <c r="BK86" s="19">
        <v>3.55</v>
      </c>
      <c r="BL86" s="19">
        <v>3.01</v>
      </c>
      <c r="BM86" s="19">
        <v>2.5099999999999998</v>
      </c>
      <c r="BN86" s="19">
        <v>3.35</v>
      </c>
      <c r="BO86" s="19">
        <v>2.87</v>
      </c>
      <c r="BP86" s="19">
        <v>2.7</v>
      </c>
      <c r="BQ86" s="19">
        <v>3.22</v>
      </c>
      <c r="BR86" s="19">
        <v>2.95</v>
      </c>
      <c r="BS86" s="19">
        <v>2.85</v>
      </c>
      <c r="BT86" s="19">
        <v>2.64</v>
      </c>
      <c r="BU86" s="19">
        <v>2.96</v>
      </c>
      <c r="BV86" s="19">
        <v>3.14</v>
      </c>
      <c r="BW86" s="19">
        <v>2</v>
      </c>
      <c r="BX86" s="19">
        <v>3.41</v>
      </c>
      <c r="BY86" s="19">
        <v>2.2599999999999998</v>
      </c>
      <c r="BZ86" s="19">
        <v>1.7</v>
      </c>
      <c r="CA86" s="19">
        <v>17.52</v>
      </c>
      <c r="CB86" s="19">
        <v>1</v>
      </c>
      <c r="CC86" s="19">
        <v>33.799999999999997</v>
      </c>
      <c r="CD86" s="19">
        <v>61.25</v>
      </c>
      <c r="CE86" s="19">
        <v>58.4</v>
      </c>
      <c r="CF86" s="19">
        <v>52.37</v>
      </c>
      <c r="CG86" s="19">
        <v>1</v>
      </c>
      <c r="CH86" s="19">
        <v>1</v>
      </c>
      <c r="CI86" s="19">
        <v>102.08</v>
      </c>
      <c r="CJ86" s="19">
        <v>40.76</v>
      </c>
      <c r="CK86" s="19">
        <v>47.95</v>
      </c>
      <c r="CL86" s="19">
        <v>70.58</v>
      </c>
      <c r="CM86" s="19">
        <v>70.680000000000007</v>
      </c>
      <c r="CN86" s="19">
        <v>108.15</v>
      </c>
      <c r="CO86" s="19">
        <v>116.93</v>
      </c>
      <c r="CP86" s="19">
        <v>107.71</v>
      </c>
      <c r="CQ86" s="19">
        <v>49.66</v>
      </c>
      <c r="CR86" s="19">
        <v>90.91</v>
      </c>
      <c r="CS86" s="19">
        <v>97.44</v>
      </c>
      <c r="CT86" s="19">
        <v>167.38</v>
      </c>
      <c r="CU86" s="19">
        <v>103.8</v>
      </c>
      <c r="CV86" s="19">
        <v>131.19</v>
      </c>
      <c r="CW86" s="19">
        <v>200</v>
      </c>
      <c r="CX86" s="19">
        <v>117.7</v>
      </c>
      <c r="CY86" s="19">
        <v>4.4400000000000004</v>
      </c>
      <c r="CZ86" s="19">
        <v>6.12</v>
      </c>
      <c r="DA86" s="19">
        <v>4.46</v>
      </c>
      <c r="DB86" s="19">
        <v>5.38</v>
      </c>
      <c r="DC86" s="19">
        <v>4.8499999999999996</v>
      </c>
      <c r="DD86" s="19">
        <v>3.73</v>
      </c>
      <c r="DE86" s="19">
        <v>3.16</v>
      </c>
      <c r="DF86" s="19">
        <v>3.72</v>
      </c>
      <c r="DG86" s="19">
        <v>5.65</v>
      </c>
      <c r="DH86" s="19">
        <v>3.73</v>
      </c>
      <c r="DI86" s="19">
        <v>3.75</v>
      </c>
      <c r="DJ86" s="19">
        <v>4.1500000000000004</v>
      </c>
      <c r="DK86" s="19">
        <v>3.64</v>
      </c>
      <c r="DL86" s="19">
        <v>4.01</v>
      </c>
      <c r="DM86" s="19">
        <v>4.74</v>
      </c>
      <c r="DN86" s="19">
        <v>3.19</v>
      </c>
      <c r="DO86" s="19">
        <v>2.16</v>
      </c>
      <c r="DP86" s="19">
        <v>2.76</v>
      </c>
      <c r="DQ86" s="19">
        <v>5.19</v>
      </c>
      <c r="DR86" s="19">
        <v>4.09</v>
      </c>
      <c r="DS86" s="19">
        <v>4.7</v>
      </c>
      <c r="DT86" s="19">
        <v>4.3499999999999996</v>
      </c>
      <c r="DU86" s="19">
        <v>3.85</v>
      </c>
      <c r="DV86" s="19">
        <v>3.53</v>
      </c>
      <c r="DW86" s="19">
        <v>3.96</v>
      </c>
      <c r="DX86" s="19">
        <v>3.08</v>
      </c>
      <c r="DY86" s="19">
        <v>4.01</v>
      </c>
      <c r="DZ86" s="19">
        <v>5.31</v>
      </c>
      <c r="EA86" s="19">
        <v>3.92</v>
      </c>
      <c r="EB86" s="19">
        <v>3.99</v>
      </c>
      <c r="EC86" s="19">
        <v>2.83</v>
      </c>
      <c r="ED86" s="19">
        <v>2.2400000000000002</v>
      </c>
      <c r="EE86" s="19">
        <v>5.66</v>
      </c>
      <c r="EF86" s="19">
        <v>1.75</v>
      </c>
      <c r="EG86" s="19">
        <v>3.63</v>
      </c>
      <c r="EH86" s="19">
        <v>2.98</v>
      </c>
      <c r="EI86" s="19">
        <v>2.86</v>
      </c>
      <c r="EJ86" s="19">
        <v>3.08</v>
      </c>
      <c r="EK86" s="19">
        <v>3.09</v>
      </c>
      <c r="EL86" s="19">
        <v>2.9</v>
      </c>
      <c r="EM86" s="19">
        <v>3.51</v>
      </c>
      <c r="EN86" s="19">
        <v>4.95</v>
      </c>
      <c r="EO86" s="19">
        <v>5.71</v>
      </c>
      <c r="EP86" s="19">
        <v>4.93</v>
      </c>
      <c r="EQ86" s="19">
        <v>3.41</v>
      </c>
      <c r="ER86" s="19"/>
      <c r="ES86" s="16">
        <f t="shared" si="6"/>
        <v>3.66</v>
      </c>
      <c r="ET86" s="16">
        <f t="shared" si="6"/>
        <v>2.5299999999999998</v>
      </c>
      <c r="EU86" s="16">
        <f t="shared" si="6"/>
        <v>4.1100000000000003</v>
      </c>
      <c r="EV86" s="16">
        <f t="shared" si="6"/>
        <v>3.69</v>
      </c>
      <c r="EW86" s="16">
        <f t="shared" si="6"/>
        <v>2.87</v>
      </c>
      <c r="EX86" s="16" t="str">
        <f t="shared" si="6"/>
        <v>.</v>
      </c>
      <c r="EY86" s="16">
        <f t="shared" si="6"/>
        <v>108.15</v>
      </c>
      <c r="EZ86" s="16">
        <f t="shared" si="6"/>
        <v>4.8499999999999996</v>
      </c>
      <c r="FA86" s="16">
        <f t="shared" si="6"/>
        <v>4.09</v>
      </c>
      <c r="FB86" s="16">
        <f t="shared" si="6"/>
        <v>3.63</v>
      </c>
    </row>
    <row r="87" spans="1:158" x14ac:dyDescent="0.25">
      <c r="A87" s="17">
        <v>84</v>
      </c>
      <c r="B87" s="17" t="s">
        <v>109</v>
      </c>
      <c r="C87" s="17" t="s">
        <v>109</v>
      </c>
      <c r="D87" s="17" t="s">
        <v>9</v>
      </c>
      <c r="E87" s="16">
        <v>1</v>
      </c>
      <c r="F87" s="18">
        <v>4.6154491646618672</v>
      </c>
      <c r="G87" s="18">
        <v>4.5611553578548829</v>
      </c>
      <c r="H87" s="18">
        <v>4.2923612923076924</v>
      </c>
      <c r="I87" s="18">
        <v>4.1185681723804928</v>
      </c>
      <c r="J87" s="18">
        <v>4.0161493687686205</v>
      </c>
      <c r="K87" s="18">
        <v>3.8832194251058683</v>
      </c>
      <c r="L87" s="18">
        <v>3.8774676862019906</v>
      </c>
      <c r="M87" s="18">
        <v>3.8985614167822957</v>
      </c>
      <c r="N87" s="18">
        <v>3.9765592267021987</v>
      </c>
      <c r="O87" s="18">
        <v>4.0197459750478384</v>
      </c>
      <c r="P87" s="18">
        <v>4.4619941472148925</v>
      </c>
      <c r="Q87" s="18">
        <v>3.7041930225580009</v>
      </c>
      <c r="R87" s="18">
        <v>3.7212036702178231</v>
      </c>
      <c r="S87" s="18">
        <v>3.3439499043369767</v>
      </c>
      <c r="T87" s="18">
        <v>2.7391064355182904</v>
      </c>
      <c r="U87" s="18">
        <v>3.1637975776339013</v>
      </c>
      <c r="V87" s="18">
        <v>3.0711858769380354</v>
      </c>
      <c r="W87" s="18">
        <v>2.9568218499872283</v>
      </c>
      <c r="X87" s="18">
        <v>3.0287272757186541</v>
      </c>
      <c r="Y87" s="18">
        <v>3.0047062042726722</v>
      </c>
      <c r="Z87" s="18">
        <v>2.84368696326047</v>
      </c>
      <c r="AA87" s="18">
        <v>2.8083486835828575</v>
      </c>
      <c r="AB87" s="18">
        <v>2.8627819643646579</v>
      </c>
      <c r="AC87" s="18">
        <v>2.9882315056446385</v>
      </c>
      <c r="AD87" s="19">
        <v>2.9574535473291896</v>
      </c>
      <c r="AE87" s="19">
        <v>2.789199882732734</v>
      </c>
      <c r="AF87" s="19">
        <v>2.5789926970934594</v>
      </c>
      <c r="AG87" s="19">
        <v>2.6479005162380576</v>
      </c>
      <c r="AH87" s="19">
        <v>2.8022050162463183</v>
      </c>
      <c r="AI87" s="19">
        <v>3.0014121483431531</v>
      </c>
      <c r="AJ87" s="19">
        <v>4.6236517902140664</v>
      </c>
      <c r="AK87" s="19">
        <v>4.6822857889937106</v>
      </c>
      <c r="AL87" s="19">
        <v>4.5203813620689663</v>
      </c>
      <c r="AM87" s="19">
        <v>4.3974818126126127</v>
      </c>
      <c r="AN87" s="19">
        <v>4.287466501350286</v>
      </c>
      <c r="AO87" s="19">
        <v>4.3277947023260053</v>
      </c>
      <c r="AP87" s="19">
        <v>4.3204237595246111</v>
      </c>
      <c r="AQ87" s="19">
        <v>4.0878180515584468</v>
      </c>
      <c r="AR87" s="19">
        <v>4.3157205087804744</v>
      </c>
      <c r="AS87" s="19">
        <v>4.2413262354520782</v>
      </c>
      <c r="AT87" s="19">
        <v>3.5931442748524751</v>
      </c>
      <c r="AU87" s="19">
        <v>3.7513443045768793</v>
      </c>
      <c r="AV87" s="19">
        <v>2.8673900994024111</v>
      </c>
      <c r="AW87" s="19">
        <v>2.6104072457200918</v>
      </c>
      <c r="AX87" s="19">
        <v>2.6321674555555554</v>
      </c>
      <c r="AY87" s="19">
        <v>2.6777205266055044</v>
      </c>
      <c r="AZ87" s="19">
        <v>2.634587244339623</v>
      </c>
      <c r="BA87" s="19">
        <v>2.3614614885057472</v>
      </c>
      <c r="BB87" s="19">
        <v>2.1900312540540541</v>
      </c>
      <c r="BC87" s="19">
        <v>2.4509486678368204</v>
      </c>
      <c r="BD87" s="19">
        <v>2.7205046980277348</v>
      </c>
      <c r="BE87" s="19">
        <v>2.8919481277465819</v>
      </c>
      <c r="BF87" s="19">
        <v>3.2390887284987051</v>
      </c>
      <c r="BG87" s="19">
        <v>6.0028363160389873</v>
      </c>
      <c r="BH87" s="19">
        <v>4.2553621615710142</v>
      </c>
      <c r="BI87" s="19">
        <v>4.4662072113401443</v>
      </c>
      <c r="BJ87" s="19">
        <v>5.8223042179813467</v>
      </c>
      <c r="BK87" s="19">
        <v>4.1299475457735619</v>
      </c>
      <c r="BL87" s="19">
        <v>3.6300858013208028</v>
      </c>
      <c r="BM87" s="19">
        <v>3.3905415666666663</v>
      </c>
      <c r="BN87" s="19">
        <v>3.3998308880733941</v>
      </c>
      <c r="BO87" s="19">
        <v>3.4673573009433967</v>
      </c>
      <c r="BP87" s="19">
        <v>3.3298721298850578</v>
      </c>
      <c r="BQ87" s="19">
        <v>3.4432313054054058</v>
      </c>
      <c r="BR87" s="19">
        <v>3.4001668353123593</v>
      </c>
      <c r="BS87" s="19">
        <v>3.4942259145819619</v>
      </c>
      <c r="BT87" s="19">
        <v>3.7744736614577268</v>
      </c>
      <c r="BU87" s="19">
        <v>3.3706044031816504</v>
      </c>
      <c r="BV87" s="19">
        <v>3.7033605950628083</v>
      </c>
      <c r="BW87" s="19">
        <v>2.647849931938957</v>
      </c>
      <c r="BX87" s="19">
        <v>2.8334441346694739</v>
      </c>
      <c r="BY87" s="19">
        <v>3.3535049885014216</v>
      </c>
      <c r="BZ87" s="19">
        <v>5.88</v>
      </c>
      <c r="CA87" s="19">
        <v>1.6827409615384026</v>
      </c>
      <c r="CB87" s="19">
        <v>1</v>
      </c>
      <c r="CC87" s="19">
        <v>139.795382556215</v>
      </c>
      <c r="CD87" s="19">
        <v>139.309074987184</v>
      </c>
      <c r="CE87" s="19">
        <v>188.90298511317744</v>
      </c>
      <c r="CF87" s="19">
        <v>200</v>
      </c>
      <c r="CG87" s="19">
        <v>200</v>
      </c>
      <c r="CH87" s="19">
        <v>200</v>
      </c>
      <c r="CI87" s="19">
        <v>200</v>
      </c>
      <c r="CJ87" s="19">
        <v>88.567584666914797</v>
      </c>
      <c r="CK87" s="19">
        <v>91.490974426269503</v>
      </c>
      <c r="CL87" s="19">
        <v>97.283332824707003</v>
      </c>
      <c r="CM87" s="19">
        <v>99.585144042968807</v>
      </c>
      <c r="CN87" s="19">
        <v>160.77569889927099</v>
      </c>
      <c r="CO87" s="19">
        <v>160.77569889927099</v>
      </c>
      <c r="CP87" s="19">
        <v>191.108376709678</v>
      </c>
      <c r="CQ87" s="19">
        <v>190.28834770341899</v>
      </c>
      <c r="CR87" s="19">
        <v>200</v>
      </c>
      <c r="CS87" s="19">
        <v>200</v>
      </c>
      <c r="CT87" s="19">
        <v>200</v>
      </c>
      <c r="CU87" s="19">
        <v>200</v>
      </c>
      <c r="CV87" s="19">
        <v>200</v>
      </c>
      <c r="CW87" s="19">
        <v>200</v>
      </c>
      <c r="CX87" s="19">
        <v>200</v>
      </c>
      <c r="CY87" s="19">
        <v>5.4004715762999229</v>
      </c>
      <c r="CZ87" s="19">
        <v>5.7682073295910596</v>
      </c>
      <c r="DA87" s="19">
        <v>5.1156835555555551</v>
      </c>
      <c r="DB87" s="19">
        <v>4.9179163137614674</v>
      </c>
      <c r="DC87" s="19">
        <v>4.9773944509433967</v>
      </c>
      <c r="DD87" s="19">
        <v>5.1459798908045968</v>
      </c>
      <c r="DE87" s="19">
        <v>5.0176145081081085</v>
      </c>
      <c r="DF87" s="19">
        <v>4.4326454072894759</v>
      </c>
      <c r="DG87" s="19">
        <v>4.3390393329703283</v>
      </c>
      <c r="DH87" s="19">
        <v>4.43547992968778</v>
      </c>
      <c r="DI87" s="19">
        <v>4.4181852080458697</v>
      </c>
      <c r="DJ87" s="19">
        <v>3.6550279858200589</v>
      </c>
      <c r="DK87" s="19">
        <v>3.6985812962891105</v>
      </c>
      <c r="DL87" s="19">
        <v>3.8842825764029723</v>
      </c>
      <c r="DM87" s="19">
        <v>3.2345247922004421</v>
      </c>
      <c r="DN87" s="19">
        <v>4.8099414046321671</v>
      </c>
      <c r="DO87" s="19">
        <v>4.5648687189738375</v>
      </c>
      <c r="DP87" s="19">
        <v>4.7149426888888879</v>
      </c>
      <c r="DQ87" s="19">
        <v>4.9072875064220174</v>
      </c>
      <c r="DR87" s="19">
        <v>4.6865107018867924</v>
      </c>
      <c r="DS87" s="19">
        <v>4.4836462655172422</v>
      </c>
      <c r="DT87" s="19">
        <v>4.6450208675675677</v>
      </c>
      <c r="DU87" s="19">
        <v>4.3151872018172046</v>
      </c>
      <c r="DV87" s="19">
        <v>4.1037770950275911</v>
      </c>
      <c r="DW87" s="19">
        <v>4.2228078299706135</v>
      </c>
      <c r="DX87" s="19">
        <v>4.0593341308839754</v>
      </c>
      <c r="DY87" s="19">
        <v>3.6006561363117719</v>
      </c>
      <c r="DZ87" s="19">
        <v>4.2839442216664034</v>
      </c>
      <c r="EA87" s="19">
        <v>3.5629592331595363</v>
      </c>
      <c r="EB87" s="19">
        <v>3.4543146685620258</v>
      </c>
      <c r="EC87" s="19">
        <v>5.110136602477068</v>
      </c>
      <c r="ED87" s="19">
        <v>4.9853048835661671</v>
      </c>
      <c r="EE87" s="19">
        <v>5.0090471111111112</v>
      </c>
      <c r="EF87" s="19">
        <v>5.0276299431192655</v>
      </c>
      <c r="EG87" s="19">
        <v>5.0157117839622645</v>
      </c>
      <c r="EH87" s="19">
        <v>4.8591817264367823</v>
      </c>
      <c r="EI87" s="19">
        <v>4.8317212189189185</v>
      </c>
      <c r="EJ87" s="19">
        <v>4.6251407990088831</v>
      </c>
      <c r="EK87" s="19">
        <v>4.535017994175786</v>
      </c>
      <c r="EL87" s="19">
        <v>4.3983540281243281</v>
      </c>
      <c r="EM87" s="19">
        <v>4.6897188461907806</v>
      </c>
      <c r="EN87" s="19">
        <v>4.684335511953063</v>
      </c>
      <c r="EO87" s="19">
        <v>4.5818902395939158</v>
      </c>
      <c r="EP87" s="19">
        <v>4.6114175361378855</v>
      </c>
      <c r="EQ87" s="19">
        <v>4.3960434904018353</v>
      </c>
      <c r="ER87" s="19"/>
      <c r="ES87" s="16">
        <f t="shared" si="6"/>
        <v>4.0161493687686205</v>
      </c>
      <c r="ET87" s="16">
        <f t="shared" si="6"/>
        <v>3.0047062042726722</v>
      </c>
      <c r="EU87" s="16">
        <f t="shared" si="6"/>
        <v>4.6822857889937106</v>
      </c>
      <c r="EV87" s="16">
        <f t="shared" si="6"/>
        <v>2.634587244339623</v>
      </c>
      <c r="EW87" s="16">
        <f t="shared" si="6"/>
        <v>3.4673573009433967</v>
      </c>
      <c r="EX87" s="16" t="str">
        <f t="shared" si="6"/>
        <v>.</v>
      </c>
      <c r="EY87" s="16">
        <f t="shared" si="6"/>
        <v>160.77569889927099</v>
      </c>
      <c r="EZ87" s="16">
        <f t="shared" si="6"/>
        <v>4.9773944509433967</v>
      </c>
      <c r="FA87" s="16">
        <f t="shared" si="6"/>
        <v>4.6865107018867924</v>
      </c>
      <c r="FB87" s="16">
        <f t="shared" si="6"/>
        <v>5.0157117839622645</v>
      </c>
    </row>
    <row r="88" spans="1:158" x14ac:dyDescent="0.25">
      <c r="A88" s="17">
        <v>85</v>
      </c>
      <c r="B88" s="17" t="s">
        <v>110</v>
      </c>
      <c r="C88" s="17" t="s">
        <v>110</v>
      </c>
      <c r="D88" s="17" t="s">
        <v>25</v>
      </c>
      <c r="E88" s="16">
        <v>0</v>
      </c>
      <c r="F88" s="18">
        <v>3.97</v>
      </c>
      <c r="G88" s="18">
        <v>3.63</v>
      </c>
      <c r="H88" s="18">
        <v>3.88</v>
      </c>
      <c r="I88" s="18">
        <v>3.82</v>
      </c>
      <c r="J88" s="18">
        <v>3.29</v>
      </c>
      <c r="K88" s="18">
        <v>3.32</v>
      </c>
      <c r="L88" s="18">
        <v>4.1399999999999997</v>
      </c>
      <c r="M88" s="18">
        <v>4.0599999999999996</v>
      </c>
      <c r="N88" s="18">
        <v>3.69</v>
      </c>
      <c r="O88" s="18">
        <v>3.16</v>
      </c>
      <c r="P88" s="18">
        <v>3.98</v>
      </c>
      <c r="Q88" s="18">
        <v>3.81</v>
      </c>
      <c r="R88" s="18">
        <v>4.57</v>
      </c>
      <c r="S88" s="18">
        <v>3.15</v>
      </c>
      <c r="T88" s="18">
        <v>3.99</v>
      </c>
      <c r="U88" s="18">
        <v>2.29</v>
      </c>
      <c r="V88" s="18">
        <v>2.98</v>
      </c>
      <c r="W88" s="18">
        <v>2.38</v>
      </c>
      <c r="X88" s="18">
        <v>3.04</v>
      </c>
      <c r="Y88" s="18">
        <v>3.39</v>
      </c>
      <c r="Z88" s="18">
        <v>3.35</v>
      </c>
      <c r="AA88" s="18">
        <v>2.8</v>
      </c>
      <c r="AB88" s="18">
        <v>2.87</v>
      </c>
      <c r="AC88" s="18">
        <v>3.59</v>
      </c>
      <c r="AD88" s="19">
        <v>3.49</v>
      </c>
      <c r="AE88" s="19">
        <v>2.91</v>
      </c>
      <c r="AF88" s="19">
        <v>2.29</v>
      </c>
      <c r="AG88" s="19">
        <v>2.33</v>
      </c>
      <c r="AH88" s="19">
        <v>2.92</v>
      </c>
      <c r="AI88" s="19">
        <v>3.97</v>
      </c>
      <c r="AJ88" s="19">
        <v>4.28</v>
      </c>
      <c r="AK88" s="19">
        <v>4.38</v>
      </c>
      <c r="AL88" s="19">
        <v>4.0199999999999996</v>
      </c>
      <c r="AM88" s="19">
        <v>4.3</v>
      </c>
      <c r="AN88" s="19">
        <v>4.51</v>
      </c>
      <c r="AO88" s="19">
        <v>3.91</v>
      </c>
      <c r="AP88" s="19">
        <v>3.62</v>
      </c>
      <c r="AQ88" s="19">
        <v>5.3</v>
      </c>
      <c r="AR88" s="19">
        <v>5.16</v>
      </c>
      <c r="AS88" s="19">
        <v>4.01</v>
      </c>
      <c r="AT88" s="19">
        <v>5.35</v>
      </c>
      <c r="AU88" s="19">
        <v>5</v>
      </c>
      <c r="AV88" s="19">
        <v>2.72</v>
      </c>
      <c r="AW88" s="19">
        <v>2.48</v>
      </c>
      <c r="AX88" s="19">
        <v>3.78</v>
      </c>
      <c r="AY88" s="19">
        <v>3.56</v>
      </c>
      <c r="AZ88" s="19">
        <v>3.11</v>
      </c>
      <c r="BA88" s="19">
        <v>3.93</v>
      </c>
      <c r="BB88" s="19">
        <v>2.84</v>
      </c>
      <c r="BC88" s="19">
        <v>3.18</v>
      </c>
      <c r="BD88" s="19">
        <v>3.78</v>
      </c>
      <c r="BE88" s="19">
        <v>3.06</v>
      </c>
      <c r="BF88" s="19">
        <v>3.53</v>
      </c>
      <c r="BG88" s="19">
        <v>4.2300000000000004</v>
      </c>
      <c r="BH88" s="19">
        <v>4.3099999999999996</v>
      </c>
      <c r="BI88" s="19">
        <v>5.47</v>
      </c>
      <c r="BJ88" s="19">
        <v>4.82</v>
      </c>
      <c r="BK88" s="19">
        <v>4</v>
      </c>
      <c r="BL88" s="19">
        <v>3.09</v>
      </c>
      <c r="BM88" s="19">
        <v>3.06</v>
      </c>
      <c r="BN88" s="19">
        <v>3.14</v>
      </c>
      <c r="BO88" s="19">
        <v>3.56</v>
      </c>
      <c r="BP88" s="19">
        <v>2.88</v>
      </c>
      <c r="BQ88" s="19">
        <v>2.73</v>
      </c>
      <c r="BR88" s="19">
        <v>3.43</v>
      </c>
      <c r="BS88" s="19">
        <v>3.34</v>
      </c>
      <c r="BT88" s="19">
        <v>2.2999999999999998</v>
      </c>
      <c r="BU88" s="19">
        <v>3.78</v>
      </c>
      <c r="BV88" s="19">
        <v>2.35</v>
      </c>
      <c r="BW88" s="19">
        <v>4.53</v>
      </c>
      <c r="BX88" s="19">
        <v>3.78</v>
      </c>
      <c r="BY88" s="19">
        <v>2.09</v>
      </c>
      <c r="BZ88" s="19">
        <v>4.9000000000000004</v>
      </c>
      <c r="CA88" s="19">
        <v>40.28</v>
      </c>
      <c r="CB88" s="19">
        <v>200</v>
      </c>
      <c r="CC88" s="19">
        <v>17.12</v>
      </c>
      <c r="CD88" s="19">
        <v>2.75</v>
      </c>
      <c r="CE88" s="19">
        <v>96.64</v>
      </c>
      <c r="CF88" s="19">
        <v>1</v>
      </c>
      <c r="CG88" s="19">
        <v>109.69</v>
      </c>
      <c r="CH88" s="19">
        <v>1</v>
      </c>
      <c r="CI88" s="19">
        <v>64.900000000000006</v>
      </c>
      <c r="CJ88" s="19">
        <v>32.049999999999997</v>
      </c>
      <c r="CK88" s="19">
        <v>60.07</v>
      </c>
      <c r="CL88" s="19">
        <v>47.82</v>
      </c>
      <c r="CM88" s="19">
        <v>88.28</v>
      </c>
      <c r="CN88" s="19">
        <v>82.62</v>
      </c>
      <c r="CO88" s="19">
        <v>130.07</v>
      </c>
      <c r="CP88" s="19">
        <v>63.54</v>
      </c>
      <c r="CQ88" s="19">
        <v>19.05</v>
      </c>
      <c r="CR88" s="19">
        <v>135.08000000000001</v>
      </c>
      <c r="CS88" s="19">
        <v>138.99</v>
      </c>
      <c r="CT88" s="19">
        <v>140.86000000000001</v>
      </c>
      <c r="CU88" s="19">
        <v>96.69</v>
      </c>
      <c r="CV88" s="19">
        <v>169.16</v>
      </c>
      <c r="CW88" s="19">
        <v>105.05</v>
      </c>
      <c r="CX88" s="19">
        <v>107.49</v>
      </c>
      <c r="CY88" s="19">
        <v>2.99</v>
      </c>
      <c r="CZ88" s="19">
        <v>4.6399999999999997</v>
      </c>
      <c r="DA88" s="19">
        <v>3.06</v>
      </c>
      <c r="DB88" s="19">
        <v>4.5</v>
      </c>
      <c r="DC88" s="19">
        <v>5.59</v>
      </c>
      <c r="DD88" s="19">
        <v>2.54</v>
      </c>
      <c r="DE88" s="19">
        <v>3.71</v>
      </c>
      <c r="DF88" s="19">
        <v>3.21</v>
      </c>
      <c r="DG88" s="19">
        <v>3.52</v>
      </c>
      <c r="DH88" s="19">
        <v>4.6399999999999997</v>
      </c>
      <c r="DI88" s="19">
        <v>6.11</v>
      </c>
      <c r="DJ88" s="19">
        <v>3.91</v>
      </c>
      <c r="DK88" s="19">
        <v>3.65</v>
      </c>
      <c r="DL88" s="19">
        <v>2.4</v>
      </c>
      <c r="DM88" s="19">
        <v>5.62</v>
      </c>
      <c r="DN88" s="19">
        <v>4.09</v>
      </c>
      <c r="DO88" s="19">
        <v>3.53</v>
      </c>
      <c r="DP88" s="19">
        <v>2.83</v>
      </c>
      <c r="DQ88" s="19">
        <v>4.6100000000000003</v>
      </c>
      <c r="DR88" s="19">
        <v>4.2699999999999996</v>
      </c>
      <c r="DS88" s="19">
        <v>4.5199999999999996</v>
      </c>
      <c r="DT88" s="19">
        <v>3.74</v>
      </c>
      <c r="DU88" s="19">
        <v>4.5999999999999996</v>
      </c>
      <c r="DV88" s="19">
        <v>4.26</v>
      </c>
      <c r="DW88" s="19">
        <v>3.18</v>
      </c>
      <c r="DX88" s="19">
        <v>4.5</v>
      </c>
      <c r="DY88" s="19">
        <v>3.91</v>
      </c>
      <c r="DZ88" s="19">
        <v>4.54</v>
      </c>
      <c r="EA88" s="19">
        <v>3.66</v>
      </c>
      <c r="EB88" s="19">
        <v>4.49</v>
      </c>
      <c r="EC88" s="19">
        <v>3.87</v>
      </c>
      <c r="ED88" s="19">
        <v>1.65</v>
      </c>
      <c r="EE88" s="19">
        <v>3.35</v>
      </c>
      <c r="EF88" s="19">
        <v>3.54</v>
      </c>
      <c r="EG88" s="19">
        <v>5.13</v>
      </c>
      <c r="EH88" s="19">
        <v>3.86</v>
      </c>
      <c r="EI88" s="19">
        <v>4.58</v>
      </c>
      <c r="EJ88" s="19">
        <v>3.56</v>
      </c>
      <c r="EK88" s="19">
        <v>3.41</v>
      </c>
      <c r="EL88" s="19">
        <v>3.96</v>
      </c>
      <c r="EM88" s="19">
        <v>3.15</v>
      </c>
      <c r="EN88" s="19">
        <v>5.21</v>
      </c>
      <c r="EO88" s="19">
        <v>2.97</v>
      </c>
      <c r="EP88" s="19">
        <v>4.3600000000000003</v>
      </c>
      <c r="EQ88" s="19">
        <v>5.0199999999999996</v>
      </c>
      <c r="ER88" s="19"/>
      <c r="ES88" s="16">
        <f t="shared" si="6"/>
        <v>3.29</v>
      </c>
      <c r="ET88" s="16">
        <f t="shared" si="6"/>
        <v>3.39</v>
      </c>
      <c r="EU88" s="16">
        <f t="shared" si="6"/>
        <v>4.38</v>
      </c>
      <c r="EV88" s="16">
        <f t="shared" si="6"/>
        <v>3.11</v>
      </c>
      <c r="EW88" s="16">
        <f t="shared" si="6"/>
        <v>3.56</v>
      </c>
      <c r="EX88" s="16" t="str">
        <f t="shared" si="6"/>
        <v>.</v>
      </c>
      <c r="EY88" s="16">
        <f t="shared" si="6"/>
        <v>82.62</v>
      </c>
      <c r="EZ88" s="16">
        <f t="shared" si="6"/>
        <v>5.59</v>
      </c>
      <c r="FA88" s="16">
        <f t="shared" si="6"/>
        <v>4.2699999999999996</v>
      </c>
      <c r="FB88" s="16">
        <f t="shared" si="6"/>
        <v>5.13</v>
      </c>
    </row>
    <row r="89" spans="1:158" x14ac:dyDescent="0.25">
      <c r="A89" s="17">
        <v>86</v>
      </c>
      <c r="B89" s="17" t="s">
        <v>111</v>
      </c>
      <c r="C89" s="17" t="s">
        <v>111</v>
      </c>
      <c r="D89" s="17" t="s">
        <v>23</v>
      </c>
      <c r="E89" s="16">
        <v>1</v>
      </c>
      <c r="F89" s="18">
        <v>4.0194089714920587</v>
      </c>
      <c r="G89" s="18">
        <v>3.8509648819239981</v>
      </c>
      <c r="H89" s="18">
        <v>3.7875969297591299</v>
      </c>
      <c r="I89" s="18">
        <v>3.7251012886004253</v>
      </c>
      <c r="J89" s="18">
        <v>3.8442210610459271</v>
      </c>
      <c r="K89" s="18">
        <v>3.8914503678063768</v>
      </c>
      <c r="L89" s="18">
        <v>4.0138261309041834</v>
      </c>
      <c r="M89" s="18">
        <v>4.0936199932293205</v>
      </c>
      <c r="N89" s="18">
        <v>4.0627183067657455</v>
      </c>
      <c r="O89" s="18">
        <v>4.0553189205992233</v>
      </c>
      <c r="P89" s="18">
        <v>4.1842896133435774</v>
      </c>
      <c r="Q89" s="18">
        <v>4.4761301468952306</v>
      </c>
      <c r="R89" s="18">
        <v>4.0528196978728053</v>
      </c>
      <c r="S89" s="18">
        <v>4.5925895224340918</v>
      </c>
      <c r="T89" s="18">
        <v>4.5156370797733558</v>
      </c>
      <c r="U89" s="18">
        <v>3.0832038380642994</v>
      </c>
      <c r="V89" s="18">
        <v>2.9364860606407737</v>
      </c>
      <c r="W89" s="18">
        <v>2.9412856645761964</v>
      </c>
      <c r="X89" s="18">
        <v>3.0243241059220005</v>
      </c>
      <c r="Y89" s="18">
        <v>3.2109386113491607</v>
      </c>
      <c r="Z89" s="18">
        <v>3.2474600379944629</v>
      </c>
      <c r="AA89" s="18">
        <v>3.211955938876927</v>
      </c>
      <c r="AB89" s="18">
        <v>3.2734834330849947</v>
      </c>
      <c r="AC89" s="18">
        <v>3.3269690813867729</v>
      </c>
      <c r="AD89" s="19">
        <v>3.3635634755221697</v>
      </c>
      <c r="AE89" s="19">
        <v>3.0452741692300922</v>
      </c>
      <c r="AF89" s="19">
        <v>3.2086384456215558</v>
      </c>
      <c r="AG89" s="19">
        <v>3.458311039630837</v>
      </c>
      <c r="AH89" s="19">
        <v>3.8836771735250135</v>
      </c>
      <c r="AI89" s="19">
        <v>3.702250151873606</v>
      </c>
      <c r="AJ89" s="19">
        <v>4.6020536573991038</v>
      </c>
      <c r="AK89" s="19">
        <v>4.5956168687898087</v>
      </c>
      <c r="AL89" s="19">
        <v>4.6160039099756691</v>
      </c>
      <c r="AM89" s="19">
        <v>4.8456760017094025</v>
      </c>
      <c r="AN89" s="19">
        <v>5.1675526313050009</v>
      </c>
      <c r="AO89" s="19">
        <v>5.1863088629290059</v>
      </c>
      <c r="AP89" s="19">
        <v>4.7720244833743237</v>
      </c>
      <c r="AQ89" s="19">
        <v>5.0362215042722509</v>
      </c>
      <c r="AR89" s="19">
        <v>4.8518516827273555</v>
      </c>
      <c r="AS89" s="19">
        <v>6.1782851075070697</v>
      </c>
      <c r="AT89" s="19">
        <v>4.6447480801735805</v>
      </c>
      <c r="AU89" s="19">
        <v>5.3146225603254234</v>
      </c>
      <c r="AV89" s="19">
        <v>3.1988756910204685</v>
      </c>
      <c r="AW89" s="19">
        <v>3.0858425451345757</v>
      </c>
      <c r="AX89" s="19">
        <v>3.1524929272727276</v>
      </c>
      <c r="AY89" s="19">
        <v>3.061376755605381</v>
      </c>
      <c r="AZ89" s="19">
        <v>3.2793492025477704</v>
      </c>
      <c r="BA89" s="19">
        <v>3.4237250437956206</v>
      </c>
      <c r="BB89" s="19">
        <v>3.4026549282051284</v>
      </c>
      <c r="BC89" s="19">
        <v>3.4339377259690957</v>
      </c>
      <c r="BD89" s="19">
        <v>3.5245504905905904</v>
      </c>
      <c r="BE89" s="19">
        <v>3.3013908798436087</v>
      </c>
      <c r="BF89" s="19">
        <v>3.8516398536500009</v>
      </c>
      <c r="BG89" s="19">
        <v>3.7482314642985664</v>
      </c>
      <c r="BH89" s="19">
        <v>5.7395425081628177</v>
      </c>
      <c r="BI89" s="19">
        <v>5.5265827386563586</v>
      </c>
      <c r="BJ89" s="19">
        <v>6.3285806406572931</v>
      </c>
      <c r="BK89" s="19">
        <v>3.8117417706907029</v>
      </c>
      <c r="BL89" s="19">
        <v>3.4561341452035887</v>
      </c>
      <c r="BM89" s="19">
        <v>3.2790832484848487</v>
      </c>
      <c r="BN89" s="19">
        <v>3.1887439802690585</v>
      </c>
      <c r="BO89" s="19">
        <v>3.3842566006369426</v>
      </c>
      <c r="BP89" s="19">
        <v>3.2998773489051096</v>
      </c>
      <c r="BQ89" s="19">
        <v>3.0756322000000003</v>
      </c>
      <c r="BR89" s="19">
        <v>3.1287121739377399</v>
      </c>
      <c r="BS89" s="19">
        <v>3.0417926807946798</v>
      </c>
      <c r="BT89" s="19">
        <v>2.9225740471518185</v>
      </c>
      <c r="BU89" s="19">
        <v>3.4465316699922046</v>
      </c>
      <c r="BV89" s="19">
        <v>2.487134102790074</v>
      </c>
      <c r="BW89" s="19">
        <v>2.8159642409079986</v>
      </c>
      <c r="BX89" s="19">
        <v>2.1469872078766157</v>
      </c>
      <c r="BY89" s="19">
        <v>2.9389677289132941</v>
      </c>
      <c r="BZ89" s="19">
        <v>37.558166179403699</v>
      </c>
      <c r="CA89" s="19">
        <v>51.2312872442687</v>
      </c>
      <c r="CB89" s="19">
        <v>61.210047031751699</v>
      </c>
      <c r="CC89" s="19">
        <v>71.725643534330104</v>
      </c>
      <c r="CD89" s="19">
        <v>67.040619564912404</v>
      </c>
      <c r="CE89" s="19">
        <v>80.954446373149722</v>
      </c>
      <c r="CF89" s="19">
        <v>91.748026841640353</v>
      </c>
      <c r="CG89" s="19">
        <v>101.64881834346725</v>
      </c>
      <c r="CH89" s="19">
        <v>103.28743675636971</v>
      </c>
      <c r="CI89" s="19">
        <v>113.50562723346719</v>
      </c>
      <c r="CJ89" s="19">
        <v>81.127091460771595</v>
      </c>
      <c r="CK89" s="19">
        <v>95.133567810058594</v>
      </c>
      <c r="CL89" s="19">
        <v>97.363426208496094</v>
      </c>
      <c r="CM89" s="19">
        <v>99.7171630859375</v>
      </c>
      <c r="CN89" s="19">
        <v>102.399580828219</v>
      </c>
      <c r="CO89" s="19">
        <v>102.93597106201899</v>
      </c>
      <c r="CP89" s="19">
        <v>103.375500990794</v>
      </c>
      <c r="CQ89" s="19">
        <v>136.564248357693</v>
      </c>
      <c r="CR89" s="19">
        <v>124.197067185469</v>
      </c>
      <c r="CS89" s="19">
        <v>126.974525945905</v>
      </c>
      <c r="CT89" s="19">
        <v>138.13777889420516</v>
      </c>
      <c r="CU89" s="19">
        <v>137.84722606696914</v>
      </c>
      <c r="CV89" s="19">
        <v>149.44460873443512</v>
      </c>
      <c r="CW89" s="19">
        <v>149.32145107699509</v>
      </c>
      <c r="CX89" s="19">
        <v>152.1997350886794</v>
      </c>
      <c r="CY89" s="19">
        <v>5.0111754515609288</v>
      </c>
      <c r="CZ89" s="19">
        <v>5.2845614125603868</v>
      </c>
      <c r="DA89" s="19">
        <v>4.8371528242424251</v>
      </c>
      <c r="DB89" s="19">
        <v>4.2721764524663683</v>
      </c>
      <c r="DC89" s="19">
        <v>4.1296984885350323</v>
      </c>
      <c r="DD89" s="19">
        <v>4.2395213649635037</v>
      </c>
      <c r="DE89" s="19">
        <v>4.3445212820512822</v>
      </c>
      <c r="DF89" s="19">
        <v>4.591456177150512</v>
      </c>
      <c r="DG89" s="19">
        <v>4.7186642809759212</v>
      </c>
      <c r="DH89" s="19">
        <v>4.4133889813021003</v>
      </c>
      <c r="DI89" s="19">
        <v>5.1551139153505874</v>
      </c>
      <c r="DJ89" s="19">
        <v>2.9453162251044294</v>
      </c>
      <c r="DK89" s="19">
        <v>4.5386726761969349</v>
      </c>
      <c r="DL89" s="19">
        <v>3.3428577833205111</v>
      </c>
      <c r="DM89" s="19">
        <v>3.447894628317894</v>
      </c>
      <c r="DN89" s="19">
        <v>3.9898627448605026</v>
      </c>
      <c r="DO89" s="19">
        <v>3.8385094235334716</v>
      </c>
      <c r="DP89" s="19">
        <v>4.2463890000000006</v>
      </c>
      <c r="DQ89" s="19">
        <v>4.7082960757847534</v>
      </c>
      <c r="DR89" s="19">
        <v>4.5029981929936298</v>
      </c>
      <c r="DS89" s="19">
        <v>4.5578094189781018</v>
      </c>
      <c r="DT89" s="19">
        <v>4.8581134666666674</v>
      </c>
      <c r="DU89" s="19">
        <v>5.0025098210133923</v>
      </c>
      <c r="DV89" s="19">
        <v>4.8441220615483536</v>
      </c>
      <c r="DW89" s="19">
        <v>4.4333367956690042</v>
      </c>
      <c r="DX89" s="19">
        <v>6.0614644209331408</v>
      </c>
      <c r="DY89" s="19">
        <v>5.3747204826717994</v>
      </c>
      <c r="DZ89" s="19">
        <v>4.9557531590021888</v>
      </c>
      <c r="EA89" s="19">
        <v>5.8619821457450287</v>
      </c>
      <c r="EB89" s="19">
        <v>5.3513592546417321</v>
      </c>
      <c r="EC89" s="19">
        <v>3.1097786715446953</v>
      </c>
      <c r="ED89" s="19">
        <v>2.852452777846791</v>
      </c>
      <c r="EE89" s="19">
        <v>3.1868511333333336</v>
      </c>
      <c r="EF89" s="19">
        <v>3.1092505094170404</v>
      </c>
      <c r="EG89" s="19">
        <v>3.1027343191082801</v>
      </c>
      <c r="EH89" s="19">
        <v>3.1609647372262772</v>
      </c>
      <c r="EI89" s="19">
        <v>3.0044858256410256</v>
      </c>
      <c r="EJ89" s="19">
        <v>3.0945151640449438</v>
      </c>
      <c r="EK89" s="19">
        <v>3.3117807235898851</v>
      </c>
      <c r="EL89" s="19">
        <v>3.2419489294649608</v>
      </c>
      <c r="EM89" s="19">
        <v>3.3651169021783001</v>
      </c>
      <c r="EN89" s="19">
        <v>3.3594094636802341</v>
      </c>
      <c r="EO89" s="19">
        <v>3.9216351532099694</v>
      </c>
      <c r="EP89" s="19">
        <v>3.5299568046932337</v>
      </c>
      <c r="EQ89" s="19">
        <v>2.9255665171174083</v>
      </c>
      <c r="ER89" s="19"/>
      <c r="ES89" s="16">
        <f t="shared" si="6"/>
        <v>3.8442210610459271</v>
      </c>
      <c r="ET89" s="16">
        <f t="shared" si="6"/>
        <v>3.2109386113491607</v>
      </c>
      <c r="EU89" s="16">
        <f t="shared" si="6"/>
        <v>4.5956168687898087</v>
      </c>
      <c r="EV89" s="16">
        <f t="shared" si="6"/>
        <v>3.2793492025477704</v>
      </c>
      <c r="EW89" s="16">
        <f t="shared" si="6"/>
        <v>3.3842566006369426</v>
      </c>
      <c r="EX89" s="16" t="str">
        <f t="shared" si="6"/>
        <v>.</v>
      </c>
      <c r="EY89" s="16">
        <f t="shared" si="6"/>
        <v>102.399580828219</v>
      </c>
      <c r="EZ89" s="16">
        <f t="shared" si="6"/>
        <v>4.1296984885350323</v>
      </c>
      <c r="FA89" s="16">
        <f t="shared" si="6"/>
        <v>4.5029981929936298</v>
      </c>
      <c r="FB89" s="16">
        <f t="shared" si="6"/>
        <v>3.1027343191082801</v>
      </c>
    </row>
    <row r="90" spans="1:158" x14ac:dyDescent="0.25">
      <c r="A90" s="17">
        <v>87</v>
      </c>
      <c r="B90" s="17" t="s">
        <v>112</v>
      </c>
      <c r="C90" s="17" t="s">
        <v>112</v>
      </c>
      <c r="D90" s="17" t="s">
        <v>9</v>
      </c>
      <c r="E90" s="16">
        <v>1</v>
      </c>
      <c r="F90" s="18">
        <v>4.4071551013581907</v>
      </c>
      <c r="G90" s="18">
        <v>4.242192711415024</v>
      </c>
      <c r="H90" s="18">
        <v>4.2291193662152473</v>
      </c>
      <c r="I90" s="18">
        <v>4.1588240526315792</v>
      </c>
      <c r="J90" s="18">
        <v>4.1747130737825868</v>
      </c>
      <c r="K90" s="18">
        <v>4.1438461118727048</v>
      </c>
      <c r="L90" s="18">
        <v>4.0663226075187966</v>
      </c>
      <c r="M90" s="18">
        <v>3.907480890569865</v>
      </c>
      <c r="N90" s="18">
        <v>4.0540200649453935</v>
      </c>
      <c r="O90" s="18">
        <v>4.1827321203356007</v>
      </c>
      <c r="P90" s="18">
        <v>4.1130350213151434</v>
      </c>
      <c r="Q90" s="18">
        <v>3.7536352779294129</v>
      </c>
      <c r="R90" s="18">
        <v>4.1019363404720055</v>
      </c>
      <c r="S90" s="18">
        <v>4.2068367343615058</v>
      </c>
      <c r="T90" s="18">
        <v>3.512042178688612</v>
      </c>
      <c r="U90" s="18">
        <v>2.8146640645765442</v>
      </c>
      <c r="V90" s="18">
        <v>3.0448182954802618</v>
      </c>
      <c r="W90" s="18">
        <v>2.9076437175682774</v>
      </c>
      <c r="X90" s="18">
        <v>2.6515590095238095</v>
      </c>
      <c r="Y90" s="18">
        <v>2.6760058320234728</v>
      </c>
      <c r="Z90" s="18">
        <v>2.6761102356677871</v>
      </c>
      <c r="AA90" s="18">
        <v>2.7332869365992178</v>
      </c>
      <c r="AB90" s="18">
        <v>2.7534244752685542</v>
      </c>
      <c r="AC90" s="18">
        <v>3.1031199933992144</v>
      </c>
      <c r="AD90" s="19">
        <v>3.3963237754031548</v>
      </c>
      <c r="AE90" s="19">
        <v>2.5143120362666842</v>
      </c>
      <c r="AF90" s="19">
        <v>3.4346306784953406</v>
      </c>
      <c r="AG90" s="19">
        <v>3.1153984649000241</v>
      </c>
      <c r="AH90" s="19">
        <v>4.0899453523004814</v>
      </c>
      <c r="AI90" s="19">
        <v>3.0973419232618795</v>
      </c>
      <c r="AJ90" s="19">
        <v>4.5594043333333332</v>
      </c>
      <c r="AK90" s="19">
        <v>4.5226626781931456</v>
      </c>
      <c r="AL90" s="19">
        <v>4.5047991627906967</v>
      </c>
      <c r="AM90" s="19">
        <v>4.2514261982683985</v>
      </c>
      <c r="AN90" s="19">
        <v>4.0019594658115176</v>
      </c>
      <c r="AO90" s="19">
        <v>4.0734732966454326</v>
      </c>
      <c r="AP90" s="19">
        <v>4.1005060679266556</v>
      </c>
      <c r="AQ90" s="19">
        <v>4.224389450412561</v>
      </c>
      <c r="AR90" s="19">
        <v>4.2631989437563709</v>
      </c>
      <c r="AS90" s="19">
        <v>3.9314164122984985</v>
      </c>
      <c r="AT90" s="19">
        <v>3.6649672345640054</v>
      </c>
      <c r="AU90" s="19">
        <v>3.2857910373666908</v>
      </c>
      <c r="AV90" s="19">
        <v>2.7171588560400819</v>
      </c>
      <c r="AW90" s="19">
        <v>3.280107284781197</v>
      </c>
      <c r="AX90" s="19">
        <v>2.8969018433387439</v>
      </c>
      <c r="AY90" s="19">
        <v>3.078217</v>
      </c>
      <c r="AZ90" s="19">
        <v>3.0088663897196257</v>
      </c>
      <c r="BA90" s="19">
        <v>3.0063208558139536</v>
      </c>
      <c r="BB90" s="19">
        <v>2.9244997272727273</v>
      </c>
      <c r="BC90" s="19">
        <v>2.5690023708764187</v>
      </c>
      <c r="BD90" s="19">
        <v>2.9231554031372071</v>
      </c>
      <c r="BE90" s="19">
        <v>3.0378493024591813</v>
      </c>
      <c r="BF90" s="19">
        <v>4.2650844072003098</v>
      </c>
      <c r="BG90" s="19">
        <v>3.058361268869473</v>
      </c>
      <c r="BH90" s="19">
        <v>4.0152820466429873</v>
      </c>
      <c r="BI90" s="19">
        <v>4.3636503266834419</v>
      </c>
      <c r="BJ90" s="19">
        <v>4.1313851265124555</v>
      </c>
      <c r="BK90" s="19">
        <v>4.0605748439817582</v>
      </c>
      <c r="BL90" s="19">
        <v>3.6645761167317024</v>
      </c>
      <c r="BM90" s="19">
        <v>4.1068549389645259</v>
      </c>
      <c r="BN90" s="19">
        <v>4.1078539999999997</v>
      </c>
      <c r="BO90" s="19">
        <v>4.2109794317757006</v>
      </c>
      <c r="BP90" s="19">
        <v>4.0913777023255813</v>
      </c>
      <c r="BQ90" s="19">
        <v>3.5176512727272726</v>
      </c>
      <c r="BR90" s="19">
        <v>3.2794139543506677</v>
      </c>
      <c r="BS90" s="19">
        <v>3.5543525363459727</v>
      </c>
      <c r="BT90" s="19">
        <v>3.7246408331463905</v>
      </c>
      <c r="BU90" s="19">
        <v>3.2984243358667795</v>
      </c>
      <c r="BV90" s="19">
        <v>3.0939091696678562</v>
      </c>
      <c r="BW90" s="19">
        <v>2.5236014249008063</v>
      </c>
      <c r="BX90" s="19">
        <v>2.5473006823717079</v>
      </c>
      <c r="BY90" s="19">
        <v>3.5670303188278298</v>
      </c>
      <c r="BZ90" s="19">
        <v>1</v>
      </c>
      <c r="CA90" s="19">
        <v>1</v>
      </c>
      <c r="CB90" s="19">
        <v>41.824888619197402</v>
      </c>
      <c r="CC90" s="19">
        <v>53.511377764496103</v>
      </c>
      <c r="CD90" s="19">
        <v>53.427006045562599</v>
      </c>
      <c r="CE90" s="19">
        <v>79.695991739647525</v>
      </c>
      <c r="CF90" s="19">
        <v>91.062103758814771</v>
      </c>
      <c r="CG90" s="19">
        <v>112.08287535756135</v>
      </c>
      <c r="CH90" s="19">
        <v>118.6932646241126</v>
      </c>
      <c r="CI90" s="19">
        <v>147.02782780100159</v>
      </c>
      <c r="CJ90" s="19">
        <v>15.3</v>
      </c>
      <c r="CK90" s="19">
        <v>4.42</v>
      </c>
      <c r="CL90" s="19">
        <v>46.59</v>
      </c>
      <c r="CM90" s="19">
        <v>36.1307182312012</v>
      </c>
      <c r="CN90" s="19">
        <v>68.000000946163993</v>
      </c>
      <c r="CO90" s="19">
        <v>78.649482732916894</v>
      </c>
      <c r="CP90" s="19">
        <v>93.2027469645613</v>
      </c>
      <c r="CQ90" s="19">
        <v>80.563674066061395</v>
      </c>
      <c r="CR90" s="19">
        <v>88.347784516606595</v>
      </c>
      <c r="CS90" s="19">
        <v>87.066232074250095</v>
      </c>
      <c r="CT90" s="19">
        <v>110.71614487247436</v>
      </c>
      <c r="CU90" s="19">
        <v>118.26450691319707</v>
      </c>
      <c r="CV90" s="19">
        <v>126.71611270466698</v>
      </c>
      <c r="CW90" s="19">
        <v>138.11632340080604</v>
      </c>
      <c r="CX90" s="19">
        <v>143.03156225615547</v>
      </c>
      <c r="CY90" s="19">
        <v>4.2611206498407217</v>
      </c>
      <c r="CZ90" s="19">
        <v>4.7421700032264829</v>
      </c>
      <c r="DA90" s="19">
        <v>4.5981183132866894</v>
      </c>
      <c r="DB90" s="19">
        <v>4.6262780000000001</v>
      </c>
      <c r="DC90" s="19">
        <v>4.4566048607476638</v>
      </c>
      <c r="DD90" s="19">
        <v>4.2940032232558139</v>
      </c>
      <c r="DE90" s="19">
        <v>3.9237465974025971</v>
      </c>
      <c r="DF90" s="19">
        <v>3.527888069171742</v>
      </c>
      <c r="DG90" s="19">
        <v>4.0656894654938665</v>
      </c>
      <c r="DH90" s="19">
        <v>4.2919952749508861</v>
      </c>
      <c r="DI90" s="19">
        <v>3.8966098302409113</v>
      </c>
      <c r="DJ90" s="19">
        <v>3.4941156428901321</v>
      </c>
      <c r="DK90" s="19">
        <v>4.0248626067361783</v>
      </c>
      <c r="DL90" s="19">
        <v>3.6572678820344739</v>
      </c>
      <c r="DM90" s="19">
        <v>3.3974884185703402</v>
      </c>
      <c r="DN90" s="19">
        <v>2.5066302685384185</v>
      </c>
      <c r="DO90" s="19">
        <v>1.6100102114524355</v>
      </c>
      <c r="DP90" s="19">
        <v>1.8771091736291061</v>
      </c>
      <c r="DQ90" s="19">
        <v>2.5044919999999999</v>
      </c>
      <c r="DR90" s="19">
        <v>2.4856974514018688</v>
      </c>
      <c r="DS90" s="19">
        <v>2.4329883674418604</v>
      </c>
      <c r="DT90" s="19">
        <v>2.3356635324675326</v>
      </c>
      <c r="DU90" s="19">
        <v>2.2788213894627436</v>
      </c>
      <c r="DV90" s="19">
        <v>2.3560607014280377</v>
      </c>
      <c r="DW90" s="19">
        <v>2.339315053036338</v>
      </c>
      <c r="DX90" s="19">
        <v>2.3828140911669635</v>
      </c>
      <c r="DY90" s="19">
        <v>1.8009868155334039</v>
      </c>
      <c r="DZ90" s="19">
        <v>2.81825406549798</v>
      </c>
      <c r="EA90" s="19">
        <v>2.0643689640514071</v>
      </c>
      <c r="EB90" s="19">
        <v>3.2975595756304759</v>
      </c>
      <c r="EC90" s="19">
        <v>2.8653596935846304</v>
      </c>
      <c r="ED90" s="19">
        <v>3.5449414103702601</v>
      </c>
      <c r="EE90" s="19">
        <v>3.0613629962519817</v>
      </c>
      <c r="EF90" s="19">
        <v>2.9641489999999999</v>
      </c>
      <c r="EG90" s="19">
        <v>2.8522892700934577</v>
      </c>
      <c r="EH90" s="19">
        <v>2.766427469767442</v>
      </c>
      <c r="EI90" s="19">
        <v>2.7356284025974027</v>
      </c>
      <c r="EJ90" s="19">
        <v>2.7687662327060556</v>
      </c>
      <c r="EK90" s="19">
        <v>2.7904612237756901</v>
      </c>
      <c r="EL90" s="19">
        <v>2.765236873236316</v>
      </c>
      <c r="EM90" s="19">
        <v>2.870985950916721</v>
      </c>
      <c r="EN90" s="19">
        <v>2.7489246213227108</v>
      </c>
      <c r="EO90" s="19">
        <v>1.7516991374755728</v>
      </c>
      <c r="EP90" s="19">
        <v>1.8089432553855438</v>
      </c>
      <c r="EQ90" s="19">
        <v>2.8975747390049951</v>
      </c>
      <c r="ER90" s="19"/>
      <c r="ES90" s="16">
        <f t="shared" si="6"/>
        <v>4.1747130737825868</v>
      </c>
      <c r="ET90" s="16">
        <f t="shared" si="6"/>
        <v>2.6760058320234728</v>
      </c>
      <c r="EU90" s="16">
        <f t="shared" si="6"/>
        <v>4.5226626781931456</v>
      </c>
      <c r="EV90" s="16">
        <f t="shared" si="6"/>
        <v>3.0088663897196257</v>
      </c>
      <c r="EW90" s="16">
        <f t="shared" si="6"/>
        <v>4.2109794317757006</v>
      </c>
      <c r="EX90" s="16" t="str">
        <f t="shared" si="6"/>
        <v>.</v>
      </c>
      <c r="EY90" s="16">
        <f t="shared" si="6"/>
        <v>68.000000946163993</v>
      </c>
      <c r="EZ90" s="16">
        <f t="shared" si="6"/>
        <v>4.4566048607476638</v>
      </c>
      <c r="FA90" s="16">
        <f t="shared" si="6"/>
        <v>2.4856974514018688</v>
      </c>
      <c r="FB90" s="16">
        <f t="shared" si="6"/>
        <v>2.8522892700934577</v>
      </c>
    </row>
    <row r="91" spans="1:158" x14ac:dyDescent="0.25">
      <c r="A91" s="17">
        <v>88</v>
      </c>
      <c r="B91" s="17" t="s">
        <v>113</v>
      </c>
      <c r="C91" s="17" t="s">
        <v>113</v>
      </c>
      <c r="D91" s="17" t="s">
        <v>14</v>
      </c>
      <c r="E91" s="16">
        <v>1</v>
      </c>
      <c r="F91" s="18">
        <v>2.89752803696837</v>
      </c>
      <c r="G91" s="18">
        <v>3.2168398227098138</v>
      </c>
      <c r="H91" s="18">
        <v>3.4296338221611724</v>
      </c>
      <c r="I91" s="18">
        <v>3.2789462479283311</v>
      </c>
      <c r="J91" s="18">
        <v>2.9980972575096279</v>
      </c>
      <c r="K91" s="18">
        <v>3.1088763282268168</v>
      </c>
      <c r="L91" s="18">
        <v>3.1975886377192979</v>
      </c>
      <c r="M91" s="18">
        <v>3.3716330036753077</v>
      </c>
      <c r="N91" s="18">
        <v>3.5754270448133703</v>
      </c>
      <c r="O91" s="18">
        <v>3.5009036646063301</v>
      </c>
      <c r="P91" s="18">
        <v>3.4403041457926693</v>
      </c>
      <c r="Q91" s="18">
        <v>4.5522185337831118</v>
      </c>
      <c r="R91" s="18">
        <v>3.7047258900255118</v>
      </c>
      <c r="S91" s="18">
        <v>3.7801143977507206</v>
      </c>
      <c r="T91" s="18">
        <v>3.8881998506457363</v>
      </c>
      <c r="U91" s="18">
        <v>2.3079741638788946</v>
      </c>
      <c r="V91" s="18">
        <v>2.9059231037013027</v>
      </c>
      <c r="W91" s="18">
        <v>2.8824880599999996</v>
      </c>
      <c r="X91" s="18">
        <v>2.6483417703546102</v>
      </c>
      <c r="Y91" s="18">
        <v>2.3816145817886181</v>
      </c>
      <c r="Z91" s="18">
        <v>2.3257058057271123</v>
      </c>
      <c r="AA91" s="18">
        <v>2.4731904771326163</v>
      </c>
      <c r="AB91" s="18">
        <v>2.8701132138787333</v>
      </c>
      <c r="AC91" s="18">
        <v>3.2786406836618438</v>
      </c>
      <c r="AD91" s="19">
        <v>2.9476502746564375</v>
      </c>
      <c r="AE91" s="19">
        <v>2.9085118841943043</v>
      </c>
      <c r="AF91" s="19">
        <v>2.5583659942549564</v>
      </c>
      <c r="AG91" s="19">
        <v>3.2391077949077181</v>
      </c>
      <c r="AH91" s="19">
        <v>3.3032294006677554</v>
      </c>
      <c r="AI91" s="19">
        <v>4.2421742086125631</v>
      </c>
      <c r="AJ91" s="19">
        <v>3.9860685241134752</v>
      </c>
      <c r="AK91" s="19">
        <v>3.9009417311653114</v>
      </c>
      <c r="AL91" s="19">
        <v>3.8250228605158729</v>
      </c>
      <c r="AM91" s="19">
        <v>3.6191181258064518</v>
      </c>
      <c r="AN91" s="19">
        <v>3.4813619093192916</v>
      </c>
      <c r="AO91" s="19">
        <v>3.5497474552651234</v>
      </c>
      <c r="AP91" s="19">
        <v>3.3757731678309266</v>
      </c>
      <c r="AQ91" s="19">
        <v>3.1121967549676217</v>
      </c>
      <c r="AR91" s="19">
        <v>3.5708054097534547</v>
      </c>
      <c r="AS91" s="19">
        <v>3.325186129170643</v>
      </c>
      <c r="AT91" s="19">
        <v>2.7543155897959672</v>
      </c>
      <c r="AU91" s="19">
        <v>2.8994756960218648</v>
      </c>
      <c r="AV91" s="19">
        <v>2.4170237930237932</v>
      </c>
      <c r="AW91" s="19">
        <v>3.1207105358315372</v>
      </c>
      <c r="AX91" s="19">
        <v>3.5130501285714288</v>
      </c>
      <c r="AY91" s="19">
        <v>3.3879145425531916</v>
      </c>
      <c r="AZ91" s="19">
        <v>3.0510233333333332</v>
      </c>
      <c r="BA91" s="19">
        <v>3.028631106547619</v>
      </c>
      <c r="BB91" s="19">
        <v>3.7809636419354842</v>
      </c>
      <c r="BC91" s="19">
        <v>3.9393986766997116</v>
      </c>
      <c r="BD91" s="19">
        <v>4.4259627834781181</v>
      </c>
      <c r="BE91" s="19">
        <v>4.2306133190790813</v>
      </c>
      <c r="BF91" s="19">
        <v>3.5973990960389912</v>
      </c>
      <c r="BG91" s="19">
        <v>2.6999213016136658</v>
      </c>
      <c r="BH91" s="19">
        <v>4.2019509040128655</v>
      </c>
      <c r="BI91" s="19">
        <v>4.4331960077844563</v>
      </c>
      <c r="BJ91" s="19">
        <v>3.7519057222032348</v>
      </c>
      <c r="BK91" s="19">
        <v>2.6496851102114265</v>
      </c>
      <c r="BL91" s="19">
        <v>3.246293258960284</v>
      </c>
      <c r="BM91" s="19">
        <v>3.2075872142857142</v>
      </c>
      <c r="BN91" s="19">
        <v>2.7004942148936171</v>
      </c>
      <c r="BO91" s="19">
        <v>2.7350807430894308</v>
      </c>
      <c r="BP91" s="19">
        <v>2.9928071422619049</v>
      </c>
      <c r="BQ91" s="19">
        <v>3.194615393010753</v>
      </c>
      <c r="BR91" s="19">
        <v>3.5592846487452747</v>
      </c>
      <c r="BS91" s="19">
        <v>3.7168268920301077</v>
      </c>
      <c r="BT91" s="19">
        <v>3.7947333210044438</v>
      </c>
      <c r="BU91" s="19">
        <v>3.8504653333302539</v>
      </c>
      <c r="BV91" s="19">
        <v>3.556828014088095</v>
      </c>
      <c r="BW91" s="19">
        <v>3.8747155931921715</v>
      </c>
      <c r="BX91" s="19">
        <v>3.8953594988894396</v>
      </c>
      <c r="BY91" s="19">
        <v>4.5691208274900683</v>
      </c>
      <c r="BZ91" s="19">
        <v>1.7301473114486201</v>
      </c>
      <c r="CA91" s="19">
        <v>1.7301473114486201</v>
      </c>
      <c r="CB91" s="19">
        <v>7.4007997242662604</v>
      </c>
      <c r="CC91" s="19">
        <v>32.796967453329202</v>
      </c>
      <c r="CD91" s="19">
        <v>37.703125678028897</v>
      </c>
      <c r="CE91" s="19">
        <v>50.433154693694718</v>
      </c>
      <c r="CF91" s="19">
        <v>63.544718849409229</v>
      </c>
      <c r="CG91" s="19">
        <v>67.066983143494141</v>
      </c>
      <c r="CH91" s="19">
        <v>73.410336732585947</v>
      </c>
      <c r="CI91" s="19">
        <v>90.501978832737777</v>
      </c>
      <c r="CJ91" s="19">
        <v>13.9156545961003</v>
      </c>
      <c r="CK91" s="19">
        <v>19.988439559936499</v>
      </c>
      <c r="CL91" s="19">
        <v>28.761293411254901</v>
      </c>
      <c r="CM91" s="19">
        <v>31.979967117309599</v>
      </c>
      <c r="CN91" s="19">
        <v>32.183217750693402</v>
      </c>
      <c r="CO91" s="19">
        <v>47.906800988037901</v>
      </c>
      <c r="CP91" s="19">
        <v>59.170895640210198</v>
      </c>
      <c r="CQ91" s="19">
        <v>86.301528345862707</v>
      </c>
      <c r="CR91" s="19">
        <v>101.898392904733</v>
      </c>
      <c r="CS91" s="19">
        <v>105.524037363993</v>
      </c>
      <c r="CT91" s="19">
        <v>113.2448768386769</v>
      </c>
      <c r="CU91" s="19">
        <v>121.6352777628578</v>
      </c>
      <c r="CV91" s="19">
        <v>134.28680968508735</v>
      </c>
      <c r="CW91" s="19">
        <v>145.33150997641974</v>
      </c>
      <c r="CX91" s="19">
        <v>153.56671132415897</v>
      </c>
      <c r="CY91" s="19">
        <v>3.0198629765296436</v>
      </c>
      <c r="CZ91" s="19">
        <v>3.3716976106339471</v>
      </c>
      <c r="DA91" s="19">
        <v>3.891538385714286</v>
      </c>
      <c r="DB91" s="19">
        <v>3.6633667340425538</v>
      </c>
      <c r="DC91" s="19">
        <v>3.4468139837398373</v>
      </c>
      <c r="DD91" s="19">
        <v>3.277418744047619</v>
      </c>
      <c r="DE91" s="19">
        <v>3.2756078349462365</v>
      </c>
      <c r="DF91" s="19">
        <v>3.5962594824280707</v>
      </c>
      <c r="DG91" s="19">
        <v>4.43330191216626</v>
      </c>
      <c r="DH91" s="19">
        <v>4.21778836912579</v>
      </c>
      <c r="DI91" s="19">
        <v>4.6218114027642514</v>
      </c>
      <c r="DJ91" s="19">
        <v>3.0900905369311458</v>
      </c>
      <c r="DK91" s="19">
        <v>5.0333601252213596</v>
      </c>
      <c r="DL91" s="19">
        <v>4.4317717034428465</v>
      </c>
      <c r="DM91" s="19">
        <v>3.6751459225761449</v>
      </c>
      <c r="DN91" s="19">
        <v>1.9478111458457896</v>
      </c>
      <c r="DO91" s="19">
        <v>2.2093547969002261</v>
      </c>
      <c r="DP91" s="19">
        <v>2.9495632999999999</v>
      </c>
      <c r="DQ91" s="19">
        <v>3.428807185106383</v>
      </c>
      <c r="DR91" s="19">
        <v>3.2220807609756097</v>
      </c>
      <c r="DS91" s="19">
        <v>3.4001070839285714</v>
      </c>
      <c r="DT91" s="19">
        <v>3.4330317510752688</v>
      </c>
      <c r="DU91" s="19">
        <v>3.5994161937372393</v>
      </c>
      <c r="DV91" s="19">
        <v>3.7668402479245113</v>
      </c>
      <c r="DW91" s="19">
        <v>3.3993058423201243</v>
      </c>
      <c r="DX91" s="19">
        <v>4.5615042038427838</v>
      </c>
      <c r="DY91" s="19">
        <v>4.7970528927466329</v>
      </c>
      <c r="DZ91" s="19">
        <v>4.7554970517411785</v>
      </c>
      <c r="EA91" s="19">
        <v>4.8085795701796386</v>
      </c>
      <c r="EB91" s="19">
        <v>4.6806082436500231</v>
      </c>
      <c r="EC91" s="19">
        <v>2.0548463417550695</v>
      </c>
      <c r="ED91" s="19">
        <v>2.0050432068453343</v>
      </c>
      <c r="EE91" s="19">
        <v>2.5474367571428571</v>
      </c>
      <c r="EF91" s="19">
        <v>2.8638396553191492</v>
      </c>
      <c r="EG91" s="19">
        <v>2.7193718552845527</v>
      </c>
      <c r="EH91" s="19">
        <v>2.8993670767857145</v>
      </c>
      <c r="EI91" s="19">
        <v>2.8659725655913979</v>
      </c>
      <c r="EJ91" s="19">
        <v>3.3316734332670275</v>
      </c>
      <c r="EK91" s="19">
        <v>3.6214602571267349</v>
      </c>
      <c r="EL91" s="19">
        <v>3.1997639695803324</v>
      </c>
      <c r="EM91" s="19">
        <v>3.3468991822506693</v>
      </c>
      <c r="EN91" s="19">
        <v>4.1360673066494842</v>
      </c>
      <c r="EO91" s="19">
        <v>4.8595095716022714</v>
      </c>
      <c r="EP91" s="19">
        <v>3.904052618332245</v>
      </c>
      <c r="EQ91" s="19">
        <v>4.5942275302663047</v>
      </c>
      <c r="ER91" s="19"/>
      <c r="ES91" s="16">
        <f t="shared" si="6"/>
        <v>2.9980972575096279</v>
      </c>
      <c r="ET91" s="16">
        <f t="shared" si="6"/>
        <v>2.3816145817886181</v>
      </c>
      <c r="EU91" s="16">
        <f t="shared" si="6"/>
        <v>3.9009417311653114</v>
      </c>
      <c r="EV91" s="16">
        <f t="shared" si="6"/>
        <v>3.0510233333333332</v>
      </c>
      <c r="EW91" s="16">
        <f t="shared" si="6"/>
        <v>2.7350807430894308</v>
      </c>
      <c r="EX91" s="16" t="str">
        <f t="shared" si="6"/>
        <v>.</v>
      </c>
      <c r="EY91" s="16">
        <f t="shared" si="6"/>
        <v>32.183217750693402</v>
      </c>
      <c r="EZ91" s="16">
        <f t="shared" si="6"/>
        <v>3.4468139837398373</v>
      </c>
      <c r="FA91" s="16">
        <f t="shared" si="6"/>
        <v>3.2220807609756097</v>
      </c>
      <c r="FB91" s="16">
        <f t="shared" si="6"/>
        <v>2.7193718552845527</v>
      </c>
    </row>
    <row r="92" spans="1:158" x14ac:dyDescent="0.25">
      <c r="A92" s="17">
        <v>89</v>
      </c>
      <c r="B92" s="17" t="s">
        <v>114</v>
      </c>
      <c r="C92" s="17" t="s">
        <v>114</v>
      </c>
      <c r="D92" s="17" t="s">
        <v>14</v>
      </c>
      <c r="E92" s="16">
        <v>1</v>
      </c>
      <c r="F92" s="18">
        <v>4.0799965239739286</v>
      </c>
      <c r="G92" s="18">
        <v>3.8564543489374605</v>
      </c>
      <c r="H92" s="18">
        <v>3.9043867732545077</v>
      </c>
      <c r="I92" s="18">
        <v>3.7117759513543787</v>
      </c>
      <c r="J92" s="18">
        <v>4.0769509281875269</v>
      </c>
      <c r="K92" s="18">
        <v>3.9936353157894744</v>
      </c>
      <c r="L92" s="18">
        <v>3.5558978672830732</v>
      </c>
      <c r="M92" s="18">
        <v>3.5477929280885765</v>
      </c>
      <c r="N92" s="18">
        <v>3.6938925643567533</v>
      </c>
      <c r="O92" s="18">
        <v>3.6691563600376118</v>
      </c>
      <c r="P92" s="18">
        <v>4.2900045849605748</v>
      </c>
      <c r="Q92" s="18">
        <v>3.2734889339288267</v>
      </c>
      <c r="R92" s="18">
        <v>3.7361910266564324</v>
      </c>
      <c r="S92" s="18">
        <v>3.9039546953027053</v>
      </c>
      <c r="T92" s="18">
        <v>2.7652680320475591</v>
      </c>
      <c r="U92" s="18">
        <v>2.8733099326049421</v>
      </c>
      <c r="V92" s="18">
        <v>2.5055806011243726</v>
      </c>
      <c r="W92" s="18">
        <v>3.2222108414992623</v>
      </c>
      <c r="X92" s="18">
        <v>3.2592657456965948</v>
      </c>
      <c r="Y92" s="18">
        <v>3.2784028497068936</v>
      </c>
      <c r="Z92" s="18">
        <v>3.3440426666666667</v>
      </c>
      <c r="AA92" s="18">
        <v>2.8824653016216213</v>
      </c>
      <c r="AB92" s="18">
        <v>3.0562152896866968</v>
      </c>
      <c r="AC92" s="18">
        <v>3.034502488046853</v>
      </c>
      <c r="AD92" s="19">
        <v>3.1610614943877695</v>
      </c>
      <c r="AE92" s="19">
        <v>2.8578698324765335</v>
      </c>
      <c r="AF92" s="19">
        <v>2.9429493412756402</v>
      </c>
      <c r="AG92" s="19">
        <v>3.1608913161296721</v>
      </c>
      <c r="AH92" s="19">
        <v>2.8414140163270813</v>
      </c>
      <c r="AI92" s="19">
        <v>2.6880392061782477</v>
      </c>
      <c r="AJ92" s="19">
        <v>4.3499467497945101</v>
      </c>
      <c r="AK92" s="19">
        <v>4.2728155556354919</v>
      </c>
      <c r="AL92" s="19">
        <v>4.0856916666666665</v>
      </c>
      <c r="AM92" s="19">
        <v>3.7268279990990991</v>
      </c>
      <c r="AN92" s="19">
        <v>3.4963878723055837</v>
      </c>
      <c r="AO92" s="19">
        <v>3.5259093847128651</v>
      </c>
      <c r="AP92" s="19">
        <v>3.4428410074588172</v>
      </c>
      <c r="AQ92" s="19">
        <v>3.1479235596558399</v>
      </c>
      <c r="AR92" s="19">
        <v>3.199313893992946</v>
      </c>
      <c r="AS92" s="19">
        <v>2.3513518674233569</v>
      </c>
      <c r="AT92" s="19">
        <v>2.5117548343523364</v>
      </c>
      <c r="AU92" s="19">
        <v>2.4111704579157358</v>
      </c>
      <c r="AV92" s="19">
        <v>3.6332323555513466</v>
      </c>
      <c r="AW92" s="19">
        <v>3.3023797676087776</v>
      </c>
      <c r="AX92" s="19">
        <v>4.1865077486701257</v>
      </c>
      <c r="AY92" s="19">
        <v>4.675087476023748</v>
      </c>
      <c r="AZ92" s="19">
        <v>4.204306822192649</v>
      </c>
      <c r="BA92" s="19">
        <v>4.3334080000000004</v>
      </c>
      <c r="BB92" s="19">
        <v>4.1450483</v>
      </c>
      <c r="BC92" s="19">
        <v>3.8213307000747858</v>
      </c>
      <c r="BD92" s="19">
        <v>3.986842155456543</v>
      </c>
      <c r="BE92" s="19">
        <v>3.9145011940258456</v>
      </c>
      <c r="BF92" s="19">
        <v>3.7841039638241458</v>
      </c>
      <c r="BG92" s="19">
        <v>3.1927961457719762</v>
      </c>
      <c r="BH92" s="19">
        <v>2.6579080984488228</v>
      </c>
      <c r="BI92" s="19">
        <v>1.9909910125310024</v>
      </c>
      <c r="BJ92" s="19">
        <v>2.6248016971636692</v>
      </c>
      <c r="BK92" s="19">
        <v>3.4389141344489795</v>
      </c>
      <c r="BL92" s="19">
        <v>3.2639135861133521</v>
      </c>
      <c r="BM92" s="19">
        <v>3.4683615839227935</v>
      </c>
      <c r="BN92" s="19">
        <v>3.3816392241183415</v>
      </c>
      <c r="BO92" s="19">
        <v>4.1144117499069459</v>
      </c>
      <c r="BP92" s="19">
        <v>3.915454</v>
      </c>
      <c r="BQ92" s="19">
        <v>3.4179131486486485</v>
      </c>
      <c r="BR92" s="19">
        <v>3.7203781264472253</v>
      </c>
      <c r="BS92" s="19">
        <v>3.6624999046325684</v>
      </c>
      <c r="BT92" s="19">
        <v>3.3494364316031433</v>
      </c>
      <c r="BU92" s="19">
        <v>3.6567290339284995</v>
      </c>
      <c r="BV92" s="19">
        <v>4.5849901370099104</v>
      </c>
      <c r="BW92" s="19">
        <v>3.8398791749203833</v>
      </c>
      <c r="BX92" s="19">
        <v>4.7018604598388123</v>
      </c>
      <c r="BY92" s="19">
        <v>3.6165901566606102</v>
      </c>
      <c r="BZ92" s="19">
        <v>1</v>
      </c>
      <c r="CA92" s="19">
        <v>1</v>
      </c>
      <c r="CB92" s="19">
        <v>9.3806106012695896</v>
      </c>
      <c r="CC92" s="19">
        <v>7.6319920998400503</v>
      </c>
      <c r="CD92" s="19">
        <v>20.517653286743801</v>
      </c>
      <c r="CE92" s="19">
        <v>25.77597198942248</v>
      </c>
      <c r="CF92" s="19">
        <v>24.816253454156058</v>
      </c>
      <c r="CG92" s="19">
        <v>28.960855914908702</v>
      </c>
      <c r="CH92" s="19">
        <v>34.11297001992088</v>
      </c>
      <c r="CI92" s="19">
        <v>39.126164248357114</v>
      </c>
      <c r="CJ92" s="19">
        <v>30.3</v>
      </c>
      <c r="CK92" s="19">
        <v>46.225000000000001</v>
      </c>
      <c r="CL92" s="19">
        <v>62.15</v>
      </c>
      <c r="CM92" s="19">
        <v>37.03</v>
      </c>
      <c r="CN92" s="19">
        <v>51.4</v>
      </c>
      <c r="CO92" s="19">
        <v>49.167750980242097</v>
      </c>
      <c r="CP92" s="19">
        <v>56.391335609435203</v>
      </c>
      <c r="CQ92" s="19">
        <v>65.849999999999994</v>
      </c>
      <c r="CR92" s="19">
        <v>73.353449144426094</v>
      </c>
      <c r="CS92" s="19">
        <v>81.093582038082502</v>
      </c>
      <c r="CT92" s="19">
        <v>78.607711169830651</v>
      </c>
      <c r="CU92" s="19">
        <v>84.273760875535018</v>
      </c>
      <c r="CV92" s="19">
        <v>84.68576715339951</v>
      </c>
      <c r="CW92" s="19">
        <v>88.36781239461456</v>
      </c>
      <c r="CX92" s="19">
        <v>90.590940575963927</v>
      </c>
      <c r="CY92" s="19">
        <v>4.3960786948787964</v>
      </c>
      <c r="CZ92" s="19">
        <v>4.7843311132524047</v>
      </c>
      <c r="DA92" s="19">
        <v>4.5875396441818443</v>
      </c>
      <c r="DB92" s="19">
        <v>4.1373813964766768</v>
      </c>
      <c r="DC92" s="19">
        <v>4.270485130942328</v>
      </c>
      <c r="DD92" s="19">
        <v>4.3713769999999998</v>
      </c>
      <c r="DE92" s="19">
        <v>3.7618943756756753</v>
      </c>
      <c r="DF92" s="19">
        <v>3.8363159804961224</v>
      </c>
      <c r="DG92" s="19">
        <v>4.4000000953674316</v>
      </c>
      <c r="DH92" s="19">
        <v>4.1873825950110515</v>
      </c>
      <c r="DI92" s="19">
        <v>3.9649064550306292</v>
      </c>
      <c r="DJ92" s="19">
        <v>3.4418086825677201</v>
      </c>
      <c r="DK92" s="19">
        <v>3.5064662537739384</v>
      </c>
      <c r="DL92" s="19">
        <v>3.6406743009134024</v>
      </c>
      <c r="DM92" s="19">
        <v>3.8181504219632516</v>
      </c>
      <c r="DN92" s="19">
        <v>3.9830408600450058</v>
      </c>
      <c r="DO92" s="19">
        <v>4.1404415684914371</v>
      </c>
      <c r="DP92" s="19">
        <v>4.710838101223251</v>
      </c>
      <c r="DQ92" s="19">
        <v>4.5454738185204491</v>
      </c>
      <c r="DR92" s="19">
        <v>4.3636207023007607</v>
      </c>
      <c r="DS92" s="19">
        <v>4.1851099999999999</v>
      </c>
      <c r="DT92" s="19">
        <v>3.5417333621621623</v>
      </c>
      <c r="DU92" s="19">
        <v>3.5000581404410749</v>
      </c>
      <c r="DV92" s="19">
        <v>3.0405404567718506</v>
      </c>
      <c r="DW92" s="19">
        <v>2.9276323750515112</v>
      </c>
      <c r="DX92" s="19">
        <v>3.4266871768057845</v>
      </c>
      <c r="DY92" s="19">
        <v>3.1152619283172154</v>
      </c>
      <c r="DZ92" s="19">
        <v>2.159293203827084</v>
      </c>
      <c r="EA92" s="19">
        <v>3.0017940402339769</v>
      </c>
      <c r="EB92" s="19">
        <v>2.5675302220052689</v>
      </c>
      <c r="EC92" s="19">
        <v>3.4054809636122103</v>
      </c>
      <c r="ED92" s="19">
        <v>3.5925301313064164</v>
      </c>
      <c r="EE92" s="19">
        <v>4.2742868632199373</v>
      </c>
      <c r="EF92" s="19">
        <v>4.2704618408059138</v>
      </c>
      <c r="EG92" s="19">
        <v>4.5502993074139262</v>
      </c>
      <c r="EH92" s="19">
        <v>3.7537370000000001</v>
      </c>
      <c r="EI92" s="19">
        <v>2.9203406054054053</v>
      </c>
      <c r="EJ92" s="19">
        <v>2.3569383115490794</v>
      </c>
      <c r="EK92" s="19">
        <v>2.6624999046325684</v>
      </c>
      <c r="EL92" s="19">
        <v>3.1192230973467732</v>
      </c>
      <c r="EM92" s="19">
        <v>4.5098665126193902</v>
      </c>
      <c r="EN92" s="19">
        <v>4.9179877309494673</v>
      </c>
      <c r="EO92" s="19">
        <v>3.9306671581610764</v>
      </c>
      <c r="EP92" s="19">
        <v>1.4673758618794903</v>
      </c>
      <c r="EQ92" s="19">
        <v>1.6233638026920014</v>
      </c>
      <c r="ER92" s="19"/>
      <c r="ES92" s="16">
        <f t="shared" si="6"/>
        <v>4.0769509281875269</v>
      </c>
      <c r="ET92" s="16">
        <f t="shared" si="6"/>
        <v>3.2784028497068936</v>
      </c>
      <c r="EU92" s="16">
        <f t="shared" si="6"/>
        <v>4.2728155556354919</v>
      </c>
      <c r="EV92" s="16">
        <f t="shared" si="6"/>
        <v>4.204306822192649</v>
      </c>
      <c r="EW92" s="16">
        <f t="shared" si="6"/>
        <v>4.1144117499069459</v>
      </c>
      <c r="EX92" s="16" t="str">
        <f t="shared" si="6"/>
        <v>.</v>
      </c>
      <c r="EY92" s="16">
        <f t="shared" si="6"/>
        <v>51.4</v>
      </c>
      <c r="EZ92" s="16">
        <f t="shared" si="6"/>
        <v>4.270485130942328</v>
      </c>
      <c r="FA92" s="16">
        <f t="shared" si="6"/>
        <v>4.3636207023007607</v>
      </c>
      <c r="FB92" s="16">
        <f t="shared" si="6"/>
        <v>4.5502993074139262</v>
      </c>
    </row>
    <row r="93" spans="1:158" x14ac:dyDescent="0.25">
      <c r="A93" s="17">
        <v>90</v>
      </c>
      <c r="B93" s="17" t="s">
        <v>115</v>
      </c>
      <c r="C93" s="17" t="s">
        <v>115</v>
      </c>
      <c r="D93" s="17" t="s">
        <v>9</v>
      </c>
      <c r="E93" s="16">
        <v>1</v>
      </c>
      <c r="F93" s="18">
        <v>3.4624322518489299</v>
      </c>
      <c r="G93" s="18">
        <v>3.5083839643744654</v>
      </c>
      <c r="H93" s="18">
        <v>3.3519545315485173</v>
      </c>
      <c r="I93" s="18">
        <v>2.8631792584795321</v>
      </c>
      <c r="J93" s="18">
        <v>2.9915556607305871</v>
      </c>
      <c r="K93" s="18">
        <v>3.3528904210526318</v>
      </c>
      <c r="L93" s="18">
        <v>3.228248315789473</v>
      </c>
      <c r="M93" s="18">
        <v>3.006120551668757</v>
      </c>
      <c r="N93" s="18">
        <v>1.3914390846929761</v>
      </c>
      <c r="O93" s="18">
        <v>3.7494169070901862</v>
      </c>
      <c r="P93" s="18">
        <v>3.0736573387347828</v>
      </c>
      <c r="Q93" s="18">
        <v>1.1335423270911966</v>
      </c>
      <c r="R93" s="18">
        <v>3.8885338006969103</v>
      </c>
      <c r="S93" s="18">
        <v>1.304120150822998</v>
      </c>
      <c r="T93" s="18">
        <v>2.9089760161627716</v>
      </c>
      <c r="U93" s="18">
        <v>2.6467939011829142</v>
      </c>
      <c r="V93" s="18">
        <v>2.8215749218344515</v>
      </c>
      <c r="W93" s="18">
        <v>2.7336600275163403</v>
      </c>
      <c r="X93" s="18">
        <v>2.3751710262433861</v>
      </c>
      <c r="Y93" s="18">
        <v>2.2291126682723119</v>
      </c>
      <c r="Z93" s="18">
        <v>2.4963442359693317</v>
      </c>
      <c r="AA93" s="18">
        <v>2.1938461916406644</v>
      </c>
      <c r="AB93" s="18">
        <v>1.9789517608781826</v>
      </c>
      <c r="AC93" s="18">
        <v>2.20447340974874</v>
      </c>
      <c r="AD93" s="19">
        <v>2.5532697945824836</v>
      </c>
      <c r="AE93" s="19">
        <v>1.997165942173428</v>
      </c>
      <c r="AF93" s="19">
        <v>2.1140318542711749</v>
      </c>
      <c r="AG93" s="19">
        <v>1.4957623220678773</v>
      </c>
      <c r="AH93" s="19">
        <v>2.0242868481123248</v>
      </c>
      <c r="AI93" s="19">
        <v>1.7002211058655703</v>
      </c>
      <c r="AJ93" s="19">
        <v>4.1287372063492063</v>
      </c>
      <c r="AK93" s="19">
        <v>4.0656758697959257</v>
      </c>
      <c r="AL93" s="19">
        <v>3.9276196666666667</v>
      </c>
      <c r="AM93" s="19">
        <v>3.3420754888888884</v>
      </c>
      <c r="AN93" s="19">
        <v>2.9893414113883012</v>
      </c>
      <c r="AO93" s="19">
        <v>3.704669616026715</v>
      </c>
      <c r="AP93" s="19">
        <v>4.3985771887806528</v>
      </c>
      <c r="AQ93" s="19">
        <v>3.5180953408556386</v>
      </c>
      <c r="AR93" s="19">
        <v>3.9505964078613003</v>
      </c>
      <c r="AS93" s="19">
        <v>1.9866103623415423</v>
      </c>
      <c r="AT93" s="19">
        <v>3.1455681772813437</v>
      </c>
      <c r="AU93" s="19">
        <v>3.7834908178987519</v>
      </c>
      <c r="AV93" s="19">
        <v>2.7037037037037037</v>
      </c>
      <c r="AW93" s="19">
        <v>2.976828914366596</v>
      </c>
      <c r="AX93" s="19">
        <v>3.1379147607843141</v>
      </c>
      <c r="AY93" s="19">
        <v>2.798471326984127</v>
      </c>
      <c r="AZ93" s="19">
        <v>3.1031614271335508</v>
      </c>
      <c r="BA93" s="19">
        <v>3.446027</v>
      </c>
      <c r="BB93" s="19">
        <v>2.8602734000000001</v>
      </c>
      <c r="BC93" s="19">
        <v>2.4546604540694745</v>
      </c>
      <c r="BD93" s="19">
        <v>2.8099978382881678</v>
      </c>
      <c r="BE93" s="19">
        <v>2.7745733084146322</v>
      </c>
      <c r="BF93" s="19">
        <v>3.0968693661291615</v>
      </c>
      <c r="BG93" s="19">
        <v>3.1733985576127455</v>
      </c>
      <c r="BH93" s="19">
        <v>4.386679994350259</v>
      </c>
      <c r="BI93" s="19">
        <v>3.1491999473754984</v>
      </c>
      <c r="BJ93" s="19">
        <v>3.144328739305541</v>
      </c>
      <c r="BK93" s="19">
        <v>2.7654320987654319</v>
      </c>
      <c r="BL93" s="19">
        <v>2.6047292748289688</v>
      </c>
      <c r="BM93" s="19">
        <v>2.8350468882352939</v>
      </c>
      <c r="BN93" s="19">
        <v>2.7059568126984126</v>
      </c>
      <c r="BO93" s="19">
        <v>3.0237436492937673</v>
      </c>
      <c r="BP93" s="19">
        <v>3.025369</v>
      </c>
      <c r="BQ93" s="19">
        <v>2.6228841999999997</v>
      </c>
      <c r="BR93" s="19">
        <v>2.2636434790399793</v>
      </c>
      <c r="BS93" s="19">
        <v>2.8037300314238505</v>
      </c>
      <c r="BT93" s="19">
        <v>2.9526309492976623</v>
      </c>
      <c r="BU93" s="19">
        <v>2.5722175564171921</v>
      </c>
      <c r="BV93" s="19">
        <v>2.3871120639054531</v>
      </c>
      <c r="BW93" s="19">
        <v>3.219730187742404</v>
      </c>
      <c r="BX93" s="19">
        <v>3.0742662350547469</v>
      </c>
      <c r="BY93" s="19">
        <v>2.3551386814362845</v>
      </c>
      <c r="BZ93" s="19">
        <v>1.6</v>
      </c>
      <c r="CA93" s="19">
        <v>13.8156026658641</v>
      </c>
      <c r="CB93" s="19">
        <v>119.29429813814451</v>
      </c>
      <c r="CC93" s="19">
        <v>21.122723925594222</v>
      </c>
      <c r="CD93" s="19">
        <v>9.7802162087954443</v>
      </c>
      <c r="CE93" s="19">
        <v>38.77186603120402</v>
      </c>
      <c r="CF93" s="19">
        <v>27.776428051363951</v>
      </c>
      <c r="CG93" s="19">
        <v>36.946947748024591</v>
      </c>
      <c r="CH93" s="19">
        <v>62.100929208449827</v>
      </c>
      <c r="CI93" s="19">
        <v>52.597508621364057</v>
      </c>
      <c r="CJ93" s="19">
        <v>4.1491429581198096</v>
      </c>
      <c r="CK93" s="19">
        <v>65.805946350097699</v>
      </c>
      <c r="CL93" s="19">
        <v>73.046241760253906</v>
      </c>
      <c r="CM93" s="19">
        <v>77.944839477539105</v>
      </c>
      <c r="CN93" s="19">
        <v>132.69</v>
      </c>
      <c r="CO93" s="19">
        <v>155.69601411976001</v>
      </c>
      <c r="CP93" s="19">
        <v>148.187718457865</v>
      </c>
      <c r="CQ93" s="19">
        <v>165.044994606968</v>
      </c>
      <c r="CR93" s="19">
        <v>173.69</v>
      </c>
      <c r="CS93" s="19">
        <v>183.37</v>
      </c>
      <c r="CT93" s="19">
        <v>200</v>
      </c>
      <c r="CU93" s="19">
        <v>200</v>
      </c>
      <c r="CV93" s="19">
        <v>200</v>
      </c>
      <c r="CW93" s="19">
        <v>200</v>
      </c>
      <c r="CX93" s="19">
        <v>200</v>
      </c>
      <c r="CY93" s="19">
        <v>3.8148148148148149</v>
      </c>
      <c r="CZ93" s="19">
        <v>3.7569307262561926</v>
      </c>
      <c r="DA93" s="19">
        <v>3.8620690254901962</v>
      </c>
      <c r="DB93" s="19">
        <v>3.488750682539683</v>
      </c>
      <c r="DC93" s="19">
        <v>3.8427511101549268</v>
      </c>
      <c r="DD93" s="19">
        <v>3.7433619999999999</v>
      </c>
      <c r="DE93" s="19">
        <v>3.4422110666666668</v>
      </c>
      <c r="DF93" s="19">
        <v>2.9668493048543692</v>
      </c>
      <c r="DG93" s="19">
        <v>2.2644482329025908</v>
      </c>
      <c r="DH93" s="19">
        <v>2.4915428852753703</v>
      </c>
      <c r="DI93" s="19">
        <v>1.8504719115268551</v>
      </c>
      <c r="DJ93" s="19">
        <v>2.6054819305171675</v>
      </c>
      <c r="DK93" s="19">
        <v>2.9214274608388564</v>
      </c>
      <c r="DL93" s="19">
        <v>1.7094223560664918</v>
      </c>
      <c r="DM93" s="19">
        <v>1</v>
      </c>
      <c r="DN93" s="19">
        <v>2.2823529411764705</v>
      </c>
      <c r="DO93" s="19">
        <v>2.3522104753091044</v>
      </c>
      <c r="DP93" s="19">
        <v>2.8833783833333335</v>
      </c>
      <c r="DQ93" s="19">
        <v>3.1906831412698411</v>
      </c>
      <c r="DR93" s="19">
        <v>2.9392024246025512</v>
      </c>
      <c r="DS93" s="19">
        <v>2.903648</v>
      </c>
      <c r="DT93" s="19">
        <v>2.2553498666666667</v>
      </c>
      <c r="DU93" s="19">
        <v>1.8548986601306803</v>
      </c>
      <c r="DV93" s="19">
        <v>2.3759438613631958</v>
      </c>
      <c r="DW93" s="19">
        <v>2.5493550476426305</v>
      </c>
      <c r="DX93" s="19">
        <v>1.6587337664400397</v>
      </c>
      <c r="DY93" s="19">
        <v>2.0370853129672941</v>
      </c>
      <c r="DZ93" s="19">
        <v>1.9448810318760343</v>
      </c>
      <c r="EA93" s="19">
        <v>2.1099200540603404</v>
      </c>
      <c r="EB93" s="19">
        <v>3.1156594793739383</v>
      </c>
      <c r="EC93" s="19">
        <v>2.7647058823529411</v>
      </c>
      <c r="ED93" s="19">
        <v>3.0463203850131135</v>
      </c>
      <c r="EE93" s="19">
        <v>3.2809554225490194</v>
      </c>
      <c r="EF93" s="19">
        <v>3.1110264761904762</v>
      </c>
      <c r="EG93" s="19">
        <v>3.0936172740742203</v>
      </c>
      <c r="EH93" s="19">
        <v>3.111453</v>
      </c>
      <c r="EI93" s="19">
        <v>2.5009708666666666</v>
      </c>
      <c r="EJ93" s="19">
        <v>2.1099176237001736</v>
      </c>
      <c r="EK93" s="19">
        <v>2.5598267833957928</v>
      </c>
      <c r="EL93" s="19">
        <v>2.9137107595955447</v>
      </c>
      <c r="EM93" s="19">
        <v>3.4744042852506536</v>
      </c>
      <c r="EN93" s="19">
        <v>2.8362538448955377</v>
      </c>
      <c r="EO93" s="19">
        <v>2.6712903920182658</v>
      </c>
      <c r="EP93" s="19">
        <v>2.0918028487354761</v>
      </c>
      <c r="EQ93" s="19">
        <v>2.9589799692511907</v>
      </c>
      <c r="ER93" s="19"/>
      <c r="ES93" s="16">
        <f t="shared" si="6"/>
        <v>2.9915556607305871</v>
      </c>
      <c r="ET93" s="16">
        <f t="shared" si="6"/>
        <v>2.2291126682723119</v>
      </c>
      <c r="EU93" s="16">
        <f t="shared" si="6"/>
        <v>4.0656758697959257</v>
      </c>
      <c r="EV93" s="16">
        <f t="shared" si="6"/>
        <v>3.1031614271335508</v>
      </c>
      <c r="EW93" s="16">
        <f t="shared" si="6"/>
        <v>3.0237436492937673</v>
      </c>
      <c r="EX93" s="16" t="str">
        <f t="shared" si="6"/>
        <v>.</v>
      </c>
      <c r="EY93" s="16">
        <f t="shared" si="6"/>
        <v>132.69</v>
      </c>
      <c r="EZ93" s="16">
        <f t="shared" si="6"/>
        <v>3.8427511101549268</v>
      </c>
      <c r="FA93" s="16">
        <f t="shared" si="6"/>
        <v>2.9392024246025512</v>
      </c>
      <c r="FB93" s="16">
        <f t="shared" si="6"/>
        <v>3.0936172740742203</v>
      </c>
    </row>
    <row r="94" spans="1:158" x14ac:dyDescent="0.25">
      <c r="A94" s="17">
        <v>91</v>
      </c>
      <c r="B94" s="17" t="s">
        <v>116</v>
      </c>
      <c r="C94" s="17" t="s">
        <v>116</v>
      </c>
      <c r="D94" s="17" t="s">
        <v>7</v>
      </c>
      <c r="E94" s="16">
        <v>0</v>
      </c>
      <c r="F94" s="18">
        <v>2.65</v>
      </c>
      <c r="G94" s="18">
        <v>4.32</v>
      </c>
      <c r="H94" s="18">
        <v>4.53</v>
      </c>
      <c r="I94" s="18">
        <v>3.89</v>
      </c>
      <c r="J94" s="18">
        <v>4.13</v>
      </c>
      <c r="K94" s="18">
        <v>3.69</v>
      </c>
      <c r="L94" s="18">
        <v>3.63</v>
      </c>
      <c r="M94" s="18">
        <v>4.49</v>
      </c>
      <c r="N94" s="18">
        <v>3.29</v>
      </c>
      <c r="O94" s="18">
        <v>3.31</v>
      </c>
      <c r="P94" s="18">
        <v>3.49</v>
      </c>
      <c r="Q94" s="18">
        <v>4.9400000000000004</v>
      </c>
      <c r="R94" s="18">
        <v>5.17</v>
      </c>
      <c r="S94" s="18">
        <v>3.92</v>
      </c>
      <c r="T94" s="18">
        <v>4.3600000000000003</v>
      </c>
      <c r="U94" s="18">
        <v>2.5</v>
      </c>
      <c r="V94" s="18">
        <v>2.85</v>
      </c>
      <c r="W94" s="18">
        <v>1</v>
      </c>
      <c r="X94" s="18">
        <v>4.43</v>
      </c>
      <c r="Y94" s="18">
        <v>2.66</v>
      </c>
      <c r="Z94" s="18">
        <v>3.32</v>
      </c>
      <c r="AA94" s="18">
        <v>2.35</v>
      </c>
      <c r="AB94" s="18">
        <v>4.17</v>
      </c>
      <c r="AC94" s="18">
        <v>3.57</v>
      </c>
      <c r="AD94" s="19">
        <v>3.54</v>
      </c>
      <c r="AE94" s="19">
        <v>4.83</v>
      </c>
      <c r="AF94" s="19">
        <v>2.9</v>
      </c>
      <c r="AG94" s="19">
        <v>4.43</v>
      </c>
      <c r="AH94" s="19">
        <v>3.88</v>
      </c>
      <c r="AI94" s="19">
        <v>2.74</v>
      </c>
      <c r="AJ94" s="19">
        <v>4.0999999999999996</v>
      </c>
      <c r="AK94" s="19">
        <v>4.32</v>
      </c>
      <c r="AL94" s="19">
        <v>4.34</v>
      </c>
      <c r="AM94" s="19">
        <v>6.65</v>
      </c>
      <c r="AN94" s="19">
        <v>5</v>
      </c>
      <c r="AO94" s="19">
        <v>5.0199999999999996</v>
      </c>
      <c r="AP94" s="19">
        <v>3.27</v>
      </c>
      <c r="AQ94" s="19">
        <v>4.04</v>
      </c>
      <c r="AR94" s="19">
        <v>4.0599999999999996</v>
      </c>
      <c r="AS94" s="19">
        <v>5.83</v>
      </c>
      <c r="AT94" s="19">
        <v>4.03</v>
      </c>
      <c r="AU94" s="19">
        <v>5.74</v>
      </c>
      <c r="AV94" s="19">
        <v>3.99</v>
      </c>
      <c r="AW94" s="19">
        <v>3.32</v>
      </c>
      <c r="AX94" s="19">
        <v>2.06</v>
      </c>
      <c r="AY94" s="19">
        <v>2.96</v>
      </c>
      <c r="AZ94" s="19">
        <v>3.78</v>
      </c>
      <c r="BA94" s="19">
        <v>3.59</v>
      </c>
      <c r="BB94" s="19">
        <v>3.61</v>
      </c>
      <c r="BC94" s="19">
        <v>2.83</v>
      </c>
      <c r="BD94" s="19">
        <v>3.22</v>
      </c>
      <c r="BE94" s="19">
        <v>3.3</v>
      </c>
      <c r="BF94" s="19">
        <v>5.66</v>
      </c>
      <c r="BG94" s="19">
        <v>5.0199999999999996</v>
      </c>
      <c r="BH94" s="19">
        <v>5.5</v>
      </c>
      <c r="BI94" s="19">
        <v>3.94</v>
      </c>
      <c r="BJ94" s="19">
        <v>5.82</v>
      </c>
      <c r="BK94" s="19">
        <v>4.8899999999999997</v>
      </c>
      <c r="BL94" s="19">
        <v>4.08</v>
      </c>
      <c r="BM94" s="19">
        <v>3.12</v>
      </c>
      <c r="BN94" s="19">
        <v>2.85</v>
      </c>
      <c r="BO94" s="19">
        <v>2.8</v>
      </c>
      <c r="BP94" s="19">
        <v>3.51</v>
      </c>
      <c r="BQ94" s="19">
        <v>3.52</v>
      </c>
      <c r="BR94" s="19">
        <v>3.51</v>
      </c>
      <c r="BS94" s="19">
        <v>2.86</v>
      </c>
      <c r="BT94" s="19">
        <v>2.77</v>
      </c>
      <c r="BU94" s="19">
        <v>2.16</v>
      </c>
      <c r="BV94" s="19">
        <v>2.78</v>
      </c>
      <c r="BW94" s="19">
        <v>3.42</v>
      </c>
      <c r="BX94" s="19">
        <v>2.16</v>
      </c>
      <c r="BY94" s="19">
        <v>2.87</v>
      </c>
      <c r="BZ94" s="19">
        <v>1</v>
      </c>
      <c r="CA94" s="19">
        <v>1</v>
      </c>
      <c r="CB94" s="19">
        <v>200</v>
      </c>
      <c r="CC94" s="19">
        <v>42.3</v>
      </c>
      <c r="CD94" s="19">
        <v>82.28</v>
      </c>
      <c r="CE94" s="19">
        <v>136.69999999999999</v>
      </c>
      <c r="CF94" s="19">
        <v>97.67</v>
      </c>
      <c r="CG94" s="19">
        <v>98.33</v>
      </c>
      <c r="CH94" s="19">
        <v>28.57</v>
      </c>
      <c r="CI94" s="19">
        <v>200</v>
      </c>
      <c r="CJ94" s="19">
        <v>19.100000000000001</v>
      </c>
      <c r="CK94" s="19">
        <v>63.42</v>
      </c>
      <c r="CL94" s="19">
        <v>113.02</v>
      </c>
      <c r="CM94" s="19">
        <v>188.23</v>
      </c>
      <c r="CN94" s="19">
        <v>1</v>
      </c>
      <c r="CO94" s="19">
        <v>38.979999999999997</v>
      </c>
      <c r="CP94" s="19">
        <v>80.540000000000006</v>
      </c>
      <c r="CQ94" s="19">
        <v>86.95</v>
      </c>
      <c r="CR94" s="19">
        <v>171.69</v>
      </c>
      <c r="CS94" s="19">
        <v>69.510000000000005</v>
      </c>
      <c r="CT94" s="19">
        <v>147.68</v>
      </c>
      <c r="CU94" s="19">
        <v>150.05000000000001</v>
      </c>
      <c r="CV94" s="19">
        <v>174.58</v>
      </c>
      <c r="CW94" s="19">
        <v>120.85</v>
      </c>
      <c r="CX94" s="19">
        <v>186.03</v>
      </c>
      <c r="CY94" s="19">
        <v>4.2699999999999996</v>
      </c>
      <c r="CZ94" s="19">
        <v>3.94</v>
      </c>
      <c r="DA94" s="19">
        <v>3.8</v>
      </c>
      <c r="DB94" s="19">
        <v>4.3</v>
      </c>
      <c r="DC94" s="19">
        <v>3.5</v>
      </c>
      <c r="DD94" s="19">
        <v>5.07</v>
      </c>
      <c r="DE94" s="19">
        <v>6.12</v>
      </c>
      <c r="DF94" s="19">
        <v>4.72</v>
      </c>
      <c r="DG94" s="19">
        <v>7</v>
      </c>
      <c r="DH94" s="19">
        <v>4.71</v>
      </c>
      <c r="DI94" s="19">
        <v>4.7699999999999996</v>
      </c>
      <c r="DJ94" s="19">
        <v>4.43</v>
      </c>
      <c r="DK94" s="19">
        <v>4.3499999999999996</v>
      </c>
      <c r="DL94" s="19">
        <v>3.42</v>
      </c>
      <c r="DM94" s="19">
        <v>3.79</v>
      </c>
      <c r="DN94" s="19">
        <v>2.25</v>
      </c>
      <c r="DO94" s="19">
        <v>2.76</v>
      </c>
      <c r="DP94" s="19">
        <v>4</v>
      </c>
      <c r="DQ94" s="19">
        <v>4.3899999999999997</v>
      </c>
      <c r="DR94" s="19">
        <v>4.76</v>
      </c>
      <c r="DS94" s="19">
        <v>3.91</v>
      </c>
      <c r="DT94" s="19">
        <v>4.76</v>
      </c>
      <c r="DU94" s="19">
        <v>3.87</v>
      </c>
      <c r="DV94" s="19">
        <v>2.72</v>
      </c>
      <c r="DW94" s="19">
        <v>2.77</v>
      </c>
      <c r="DX94" s="19">
        <v>3.91</v>
      </c>
      <c r="DY94" s="19">
        <v>4.37</v>
      </c>
      <c r="DZ94" s="19">
        <v>7</v>
      </c>
      <c r="EA94" s="19">
        <v>5.37</v>
      </c>
      <c r="EB94" s="19">
        <v>4.5999999999999996</v>
      </c>
      <c r="EC94" s="19">
        <v>3.49</v>
      </c>
      <c r="ED94" s="19">
        <v>3.55</v>
      </c>
      <c r="EE94" s="19">
        <v>2.33</v>
      </c>
      <c r="EF94" s="19">
        <v>3.49</v>
      </c>
      <c r="EG94" s="19">
        <v>4.7699999999999996</v>
      </c>
      <c r="EH94" s="19">
        <v>5.81</v>
      </c>
      <c r="EI94" s="19">
        <v>4.8099999999999996</v>
      </c>
      <c r="EJ94" s="19">
        <v>1.83</v>
      </c>
      <c r="EK94" s="19">
        <v>1.39</v>
      </c>
      <c r="EL94" s="19">
        <v>4.3499999999999996</v>
      </c>
      <c r="EM94" s="19">
        <v>2.14</v>
      </c>
      <c r="EN94" s="19">
        <v>4.1900000000000004</v>
      </c>
      <c r="EO94" s="19">
        <v>2.79</v>
      </c>
      <c r="EP94" s="19">
        <v>3.31</v>
      </c>
      <c r="EQ94" s="19">
        <v>4.12</v>
      </c>
      <c r="ER94" s="19"/>
      <c r="ES94" s="16">
        <f t="shared" si="6"/>
        <v>4.13</v>
      </c>
      <c r="ET94" s="16">
        <f t="shared" si="6"/>
        <v>2.66</v>
      </c>
      <c r="EU94" s="16">
        <f t="shared" si="6"/>
        <v>4.32</v>
      </c>
      <c r="EV94" s="16">
        <f t="shared" si="6"/>
        <v>3.78</v>
      </c>
      <c r="EW94" s="16">
        <f t="shared" si="6"/>
        <v>2.8</v>
      </c>
      <c r="EX94" s="16" t="str">
        <f t="shared" si="6"/>
        <v>.</v>
      </c>
      <c r="EY94" s="16">
        <f t="shared" si="6"/>
        <v>1</v>
      </c>
      <c r="EZ94" s="16">
        <f t="shared" si="6"/>
        <v>3.5</v>
      </c>
      <c r="FA94" s="16">
        <f t="shared" si="6"/>
        <v>4.76</v>
      </c>
      <c r="FB94" s="16">
        <f t="shared" si="6"/>
        <v>4.7699999999999996</v>
      </c>
    </row>
    <row r="95" spans="1:158" x14ac:dyDescent="0.25">
      <c r="A95" s="17">
        <v>92</v>
      </c>
      <c r="B95" s="17" t="s">
        <v>117</v>
      </c>
      <c r="C95" s="17" t="s">
        <v>117</v>
      </c>
      <c r="D95" s="17" t="s">
        <v>23</v>
      </c>
      <c r="E95" s="16">
        <v>1</v>
      </c>
      <c r="F95" s="18">
        <v>4.4328287487242743</v>
      </c>
      <c r="G95" s="18">
        <v>4.3899907162727851</v>
      </c>
      <c r="H95" s="18">
        <v>4.2249117207680156</v>
      </c>
      <c r="I95" s="18">
        <v>4.2072720524994498</v>
      </c>
      <c r="J95" s="18">
        <v>4.1290234828738503</v>
      </c>
      <c r="K95" s="18">
        <v>4.159885015996184</v>
      </c>
      <c r="L95" s="18">
        <v>4.2911758871643393</v>
      </c>
      <c r="M95" s="18">
        <v>4.3125530289986918</v>
      </c>
      <c r="N95" s="18">
        <v>4.3163023512118235</v>
      </c>
      <c r="O95" s="18">
        <v>4.2753732356639276</v>
      </c>
      <c r="P95" s="18">
        <v>3.7114794339786874</v>
      </c>
      <c r="Q95" s="18">
        <v>4.6730221413921553</v>
      </c>
      <c r="R95" s="18">
        <v>3.8399114725453649</v>
      </c>
      <c r="S95" s="18">
        <v>4.2262074527199465</v>
      </c>
      <c r="T95" s="18">
        <v>4.16770669931197</v>
      </c>
      <c r="U95" s="18">
        <v>3.4486888947737055</v>
      </c>
      <c r="V95" s="18">
        <v>3.3486143908927986</v>
      </c>
      <c r="W95" s="18">
        <v>3.2769410605780127</v>
      </c>
      <c r="X95" s="18">
        <v>3.3764395071231137</v>
      </c>
      <c r="Y95" s="18">
        <v>3.4261497924001927</v>
      </c>
      <c r="Z95" s="18">
        <v>3.5096275281582399</v>
      </c>
      <c r="AA95" s="18">
        <v>3.5759720836381117</v>
      </c>
      <c r="AB95" s="18">
        <v>3.6175104949817602</v>
      </c>
      <c r="AC95" s="18">
        <v>3.7282047394290987</v>
      </c>
      <c r="AD95" s="19">
        <v>3.7463000919121785</v>
      </c>
      <c r="AE95" s="19">
        <v>4.0704707912423599</v>
      </c>
      <c r="AF95" s="19">
        <v>3.7277235117447987</v>
      </c>
      <c r="AG95" s="19">
        <v>3.7845257066127593</v>
      </c>
      <c r="AH95" s="19">
        <v>4.0325947484604656</v>
      </c>
      <c r="AI95" s="19">
        <v>4.2670090673868906</v>
      </c>
      <c r="AJ95" s="19">
        <v>5.1607567991631802</v>
      </c>
      <c r="AK95" s="19">
        <v>5.2496222619047614</v>
      </c>
      <c r="AL95" s="19">
        <v>5.2832859218529711</v>
      </c>
      <c r="AM95" s="19">
        <v>5.4147301714285705</v>
      </c>
      <c r="AN95" s="19">
        <v>5.5401501800254751</v>
      </c>
      <c r="AO95" s="19">
        <v>5.4819541685018978</v>
      </c>
      <c r="AP95" s="19">
        <v>5.36357888669981</v>
      </c>
      <c r="AQ95" s="19">
        <v>4.9036447285380946</v>
      </c>
      <c r="AR95" s="19">
        <v>5.471878753632418</v>
      </c>
      <c r="AS95" s="19">
        <v>5.6754362662278943</v>
      </c>
      <c r="AT95" s="19">
        <v>5.3392025752544932</v>
      </c>
      <c r="AU95" s="19">
        <v>5.7609668417841355</v>
      </c>
      <c r="AV95" s="19">
        <v>3.4805174364271307</v>
      </c>
      <c r="AW95" s="19">
        <v>3.4565560631313135</v>
      </c>
      <c r="AX95" s="19">
        <v>2.86962412985782</v>
      </c>
      <c r="AY95" s="19">
        <v>2.6833544158995815</v>
      </c>
      <c r="AZ95" s="19">
        <v>2.7654552888888886</v>
      </c>
      <c r="BA95" s="19">
        <v>2.9445773897280967</v>
      </c>
      <c r="BB95" s="19">
        <v>3.0471203795918367</v>
      </c>
      <c r="BC95" s="19">
        <v>3.0131659790548184</v>
      </c>
      <c r="BD95" s="19">
        <v>3.0579006493091585</v>
      </c>
      <c r="BE95" s="19">
        <v>3.1786376364560307</v>
      </c>
      <c r="BF95" s="19">
        <v>6.7817124823141857</v>
      </c>
      <c r="BG95" s="19">
        <v>6.105424728839024</v>
      </c>
      <c r="BH95" s="19">
        <v>6.2851342660322107</v>
      </c>
      <c r="BI95" s="19">
        <v>6.7111889052837261</v>
      </c>
      <c r="BJ95" s="19">
        <v>6.8540888770053598</v>
      </c>
      <c r="BK95" s="19">
        <v>3.9870490572043908</v>
      </c>
      <c r="BL95" s="19">
        <v>3.651148906367041</v>
      </c>
      <c r="BM95" s="19">
        <v>3.2152401047393364</v>
      </c>
      <c r="BN95" s="19">
        <v>2.9959659079497909</v>
      </c>
      <c r="BO95" s="19">
        <v>2.9389734222222219</v>
      </c>
      <c r="BP95" s="19">
        <v>2.9976460090634438</v>
      </c>
      <c r="BQ95" s="19">
        <v>3.0727305683673469</v>
      </c>
      <c r="BR95" s="19">
        <v>3.1637354041710939</v>
      </c>
      <c r="BS95" s="19">
        <v>3.2472032998547409</v>
      </c>
      <c r="BT95" s="19">
        <v>3.1931337394474939</v>
      </c>
      <c r="BU95" s="19">
        <v>2.2293952965968895</v>
      </c>
      <c r="BV95" s="19">
        <v>2.4064072949828379</v>
      </c>
      <c r="BW95" s="19">
        <v>3.2464208202228626</v>
      </c>
      <c r="BX95" s="19">
        <v>3.1666868610611609</v>
      </c>
      <c r="BY95" s="19">
        <v>3.1479851385721727</v>
      </c>
      <c r="BZ95" s="19">
        <v>17.233659089802799</v>
      </c>
      <c r="CA95" s="19">
        <v>8.5510078500717093</v>
      </c>
      <c r="CB95" s="19">
        <v>49.929912265204401</v>
      </c>
      <c r="CC95" s="19">
        <v>58.562065388043102</v>
      </c>
      <c r="CD95" s="19">
        <v>74.219706839250406</v>
      </c>
      <c r="CE95" s="19">
        <v>89.22420424178506</v>
      </c>
      <c r="CF95" s="19">
        <v>106.85374962520235</v>
      </c>
      <c r="CG95" s="19">
        <v>124.67800687347207</v>
      </c>
      <c r="CH95" s="19">
        <v>135.54947618528718</v>
      </c>
      <c r="CI95" s="19">
        <v>155.97449148420895</v>
      </c>
      <c r="CJ95" s="19">
        <v>127.096809038624</v>
      </c>
      <c r="CK95" s="19">
        <v>138.06446838378901</v>
      </c>
      <c r="CL95" s="19">
        <v>148.98983764648401</v>
      </c>
      <c r="CM95" s="19">
        <v>150.96388244628901</v>
      </c>
      <c r="CN95" s="19">
        <v>147.15858745202101</v>
      </c>
      <c r="CO95" s="19">
        <v>151.29792128813401</v>
      </c>
      <c r="CP95" s="19">
        <v>151.77934148814199</v>
      </c>
      <c r="CQ95" s="19">
        <v>151.344958605312</v>
      </c>
      <c r="CR95" s="19">
        <v>147.04325086004101</v>
      </c>
      <c r="CS95" s="19">
        <v>139.51638046275201</v>
      </c>
      <c r="CT95" s="19">
        <v>151.53060458428055</v>
      </c>
      <c r="CU95" s="19">
        <v>152.07686956317224</v>
      </c>
      <c r="CV95" s="19">
        <v>157.19924645683619</v>
      </c>
      <c r="CW95" s="19">
        <v>158.71597046418654</v>
      </c>
      <c r="CX95" s="19">
        <v>156.28973211051652</v>
      </c>
      <c r="CY95" s="19">
        <v>5.131286965428048</v>
      </c>
      <c r="CZ95" s="19">
        <v>5.1222414230837794</v>
      </c>
      <c r="DA95" s="19">
        <v>4.5263747009478674</v>
      </c>
      <c r="DB95" s="19">
        <v>4.3352178468619247</v>
      </c>
      <c r="DC95" s="19">
        <v>4.3480646603174602</v>
      </c>
      <c r="DD95" s="19">
        <v>4.2941396193353469</v>
      </c>
      <c r="DE95" s="19">
        <v>4.2434303030612242</v>
      </c>
      <c r="DF95" s="19">
        <v>4.2482458127538809</v>
      </c>
      <c r="DG95" s="19">
        <v>4.2866062760353092</v>
      </c>
      <c r="DH95" s="19">
        <v>4.3718007339094473</v>
      </c>
      <c r="DI95" s="19">
        <v>4.1909680399044751</v>
      </c>
      <c r="DJ95" s="19">
        <v>4.3055338045710929</v>
      </c>
      <c r="DK95" s="19">
        <v>4.4709629613426456</v>
      </c>
      <c r="DL95" s="19">
        <v>3.534026766546682</v>
      </c>
      <c r="DM95" s="19">
        <v>3.8537850602558525</v>
      </c>
      <c r="DN95" s="19">
        <v>4.2793565369538635</v>
      </c>
      <c r="DO95" s="19">
        <v>4.4679419898195443</v>
      </c>
      <c r="DP95" s="19">
        <v>4.8832255791469201</v>
      </c>
      <c r="DQ95" s="19">
        <v>5.0967350309623427</v>
      </c>
      <c r="DR95" s="19">
        <v>5.0772626444444438</v>
      </c>
      <c r="DS95" s="19">
        <v>5.1271483951661629</v>
      </c>
      <c r="DT95" s="19">
        <v>5.0582258663265307</v>
      </c>
      <c r="DU95" s="19">
        <v>4.9216132935515509</v>
      </c>
      <c r="DV95" s="19">
        <v>4.9452026811513035</v>
      </c>
      <c r="DW95" s="19">
        <v>5.0521517011411019</v>
      </c>
      <c r="DX95" s="19">
        <v>5.9969060910237317</v>
      </c>
      <c r="DY95" s="19">
        <v>4.8348458645607773</v>
      </c>
      <c r="DZ95" s="19">
        <v>4.4068777769450049</v>
      </c>
      <c r="EA95" s="19">
        <v>5.2691787605565512</v>
      </c>
      <c r="EB95" s="19">
        <v>6.3259152275855097</v>
      </c>
      <c r="EC95" s="19">
        <v>4.9741426581094128</v>
      </c>
      <c r="ED95" s="19">
        <v>5.2123623937407775</v>
      </c>
      <c r="EE95" s="19">
        <v>5.277732356872038</v>
      </c>
      <c r="EF95" s="19">
        <v>5.2705969246861919</v>
      </c>
      <c r="EG95" s="19">
        <v>5.2258763761904756</v>
      </c>
      <c r="EH95" s="19">
        <v>5.169722195770392</v>
      </c>
      <c r="EI95" s="19">
        <v>5.0200712591836734</v>
      </c>
      <c r="EJ95" s="19">
        <v>4.9403760980681088</v>
      </c>
      <c r="EK95" s="19">
        <v>4.9632958329085142</v>
      </c>
      <c r="EL95" s="19">
        <v>4.8719421626134896</v>
      </c>
      <c r="EM95" s="19">
        <v>5.0348260115059702</v>
      </c>
      <c r="EN95" s="19">
        <v>5.4550816236688675</v>
      </c>
      <c r="EO95" s="19">
        <v>4.9745381601347587</v>
      </c>
      <c r="EP95" s="19">
        <v>5.1121199566040092</v>
      </c>
      <c r="EQ95" s="19">
        <v>4.9584438722373996</v>
      </c>
      <c r="ER95" s="19"/>
      <c r="ES95" s="16">
        <f t="shared" si="6"/>
        <v>4.1290234828738503</v>
      </c>
      <c r="ET95" s="16">
        <f t="shared" si="6"/>
        <v>3.4261497924001927</v>
      </c>
      <c r="EU95" s="16">
        <f t="shared" si="6"/>
        <v>5.2496222619047614</v>
      </c>
      <c r="EV95" s="16">
        <f t="shared" si="6"/>
        <v>2.7654552888888886</v>
      </c>
      <c r="EW95" s="16">
        <f t="shared" si="6"/>
        <v>2.9389734222222219</v>
      </c>
      <c r="EX95" s="16" t="str">
        <f t="shared" si="6"/>
        <v>.</v>
      </c>
      <c r="EY95" s="16">
        <f t="shared" si="6"/>
        <v>147.15858745202101</v>
      </c>
      <c r="EZ95" s="16">
        <f t="shared" si="6"/>
        <v>4.3480646603174602</v>
      </c>
      <c r="FA95" s="16">
        <f t="shared" si="6"/>
        <v>5.0772626444444438</v>
      </c>
      <c r="FB95" s="16">
        <f t="shared" si="6"/>
        <v>5.2258763761904756</v>
      </c>
    </row>
    <row r="96" spans="1:158" x14ac:dyDescent="0.25">
      <c r="A96" s="17">
        <v>93</v>
      </c>
      <c r="B96" s="17" t="s">
        <v>118</v>
      </c>
      <c r="C96" s="17" t="s">
        <v>118</v>
      </c>
      <c r="D96" s="17" t="s">
        <v>23</v>
      </c>
      <c r="E96" s="16">
        <v>1</v>
      </c>
      <c r="F96" s="18">
        <v>4.9552915435694569</v>
      </c>
      <c r="G96" s="18">
        <v>4.8662048421328388</v>
      </c>
      <c r="H96" s="18">
        <v>4.8530228737961227</v>
      </c>
      <c r="I96" s="18">
        <v>4.9845604389228892</v>
      </c>
      <c r="J96" s="18">
        <v>4.9812671562460373</v>
      </c>
      <c r="K96" s="18">
        <v>4.9578462516447361</v>
      </c>
      <c r="L96" s="18">
        <v>4.9823285153250767</v>
      </c>
      <c r="M96" s="18">
        <v>5.0017163251650238</v>
      </c>
      <c r="N96" s="18">
        <v>5.0953148274557281</v>
      </c>
      <c r="O96" s="18">
        <v>5.2073697037089062</v>
      </c>
      <c r="P96" s="18">
        <v>5.0081209500261945</v>
      </c>
      <c r="Q96" s="18">
        <v>4.8937011376809627</v>
      </c>
      <c r="R96" s="18">
        <v>5.882983282644842</v>
      </c>
      <c r="S96" s="18">
        <v>5.1327563609491298</v>
      </c>
      <c r="T96" s="18">
        <v>5.5006893992222743</v>
      </c>
      <c r="U96" s="18">
        <v>4.1763295157041034</v>
      </c>
      <c r="V96" s="18">
        <v>4.1540902376675355</v>
      </c>
      <c r="W96" s="18">
        <v>4.3072097309962798</v>
      </c>
      <c r="X96" s="18">
        <v>4.5305857055813954</v>
      </c>
      <c r="Y96" s="18">
        <v>4.5215529267469883</v>
      </c>
      <c r="Z96" s="18">
        <v>4.8208931194361622</v>
      </c>
      <c r="AA96" s="18">
        <v>4.701334170520977</v>
      </c>
      <c r="AB96" s="18">
        <v>4.8487696844140098</v>
      </c>
      <c r="AC96" s="18">
        <v>4.9761597875025805</v>
      </c>
      <c r="AD96" s="19">
        <v>4.9277764568769884</v>
      </c>
      <c r="AE96" s="19">
        <v>5.5988306465482118</v>
      </c>
      <c r="AF96" s="19">
        <v>5.3695517316846821</v>
      </c>
      <c r="AG96" s="19">
        <v>4.9446648547194201</v>
      </c>
      <c r="AH96" s="19">
        <v>5.0607041441980893</v>
      </c>
      <c r="AI96" s="19">
        <v>4.9622873302277215</v>
      </c>
      <c r="AJ96" s="19">
        <v>5.8169096558139524</v>
      </c>
      <c r="AK96" s="19">
        <v>5.7584887180722895</v>
      </c>
      <c r="AL96" s="19">
        <v>5.8856287229166666</v>
      </c>
      <c r="AM96" s="19">
        <v>5.9149386303921574</v>
      </c>
      <c r="AN96" s="19">
        <v>5.8655090920622088</v>
      </c>
      <c r="AO96" s="19">
        <v>5.8815649431030765</v>
      </c>
      <c r="AP96" s="19">
        <v>5.8446932427517995</v>
      </c>
      <c r="AQ96" s="19">
        <v>5.4386077541499818</v>
      </c>
      <c r="AR96" s="19">
        <v>5.8550941193917385</v>
      </c>
      <c r="AS96" s="19">
        <v>6.131941030582758</v>
      </c>
      <c r="AT96" s="19">
        <v>6.2181702755531907</v>
      </c>
      <c r="AU96" s="19">
        <v>5.9669247920191779</v>
      </c>
      <c r="AV96" s="19">
        <v>3.8966011648705177</v>
      </c>
      <c r="AW96" s="19">
        <v>3.7762868323312535</v>
      </c>
      <c r="AX96" s="19">
        <v>4.1816494097560977</v>
      </c>
      <c r="AY96" s="19">
        <v>3.9815204581395349</v>
      </c>
      <c r="AZ96" s="19">
        <v>3.5947813590361446</v>
      </c>
      <c r="BA96" s="19">
        <v>3.8469607312500003</v>
      </c>
      <c r="BB96" s="19">
        <v>4.2177687205882348</v>
      </c>
      <c r="BC96" s="19">
        <v>4.3199035602142333</v>
      </c>
      <c r="BD96" s="19">
        <v>4.3555519952612407</v>
      </c>
      <c r="BE96" s="19">
        <v>4.5333800998893947</v>
      </c>
      <c r="BF96" s="19">
        <v>6.41249161747767</v>
      </c>
      <c r="BG96" s="19">
        <v>5.7141751788197439</v>
      </c>
      <c r="BH96" s="19">
        <v>7</v>
      </c>
      <c r="BI96" s="19">
        <v>5.4540803193194991</v>
      </c>
      <c r="BJ96" s="19">
        <v>6.3812792543235544</v>
      </c>
      <c r="BK96" s="19">
        <v>5.3095694563255407</v>
      </c>
      <c r="BL96" s="19">
        <v>4.8919868519001701</v>
      </c>
      <c r="BM96" s="19">
        <v>4.9228086975609759</v>
      </c>
      <c r="BN96" s="19">
        <v>4.9345192232558137</v>
      </c>
      <c r="BO96" s="19">
        <v>5.0680326578313259</v>
      </c>
      <c r="BP96" s="19">
        <v>4.9767154937500004</v>
      </c>
      <c r="BQ96" s="19">
        <v>4.7422211647058816</v>
      </c>
      <c r="BR96" s="19">
        <v>4.7411844014811919</v>
      </c>
      <c r="BS96" s="19">
        <v>4.8014238951569892</v>
      </c>
      <c r="BT96" s="19">
        <v>4.8719545278463272</v>
      </c>
      <c r="BU96" s="19">
        <v>5.1043471197503134</v>
      </c>
      <c r="BV96" s="19">
        <v>4.9398572881878513</v>
      </c>
      <c r="BW96" s="19">
        <v>4.7475603201107814</v>
      </c>
      <c r="BX96" s="19">
        <v>4.8494417238999965</v>
      </c>
      <c r="BY96" s="19">
        <v>4.4075399064034375</v>
      </c>
      <c r="BZ96" s="19">
        <v>66.668863300261094</v>
      </c>
      <c r="CA96" s="19">
        <v>72.569273275476604</v>
      </c>
      <c r="CB96" s="19">
        <v>80.546023605716698</v>
      </c>
      <c r="CC96" s="19">
        <v>111.278576498665</v>
      </c>
      <c r="CD96" s="19">
        <v>83.333793517296499</v>
      </c>
      <c r="CE96" s="19">
        <v>105.63101523333643</v>
      </c>
      <c r="CF96" s="19">
        <v>110.9575585743338</v>
      </c>
      <c r="CG96" s="19">
        <v>120.13903697074893</v>
      </c>
      <c r="CH96" s="19">
        <v>127.41804370140292</v>
      </c>
      <c r="CI96" s="19">
        <v>130.71990586162173</v>
      </c>
      <c r="CJ96" s="19">
        <v>154.82795698924701</v>
      </c>
      <c r="CK96" s="19">
        <v>116.82243347168</v>
      </c>
      <c r="CL96" s="19">
        <v>149.76719665527301</v>
      </c>
      <c r="CM96" s="19">
        <v>147.88639831543</v>
      </c>
      <c r="CN96" s="19">
        <v>143.26591098989499</v>
      </c>
      <c r="CO96" s="19">
        <v>148.26753446615001</v>
      </c>
      <c r="CP96" s="19">
        <v>145.46604453513999</v>
      </c>
      <c r="CQ96" s="19">
        <v>148.64267129228099</v>
      </c>
      <c r="CR96" s="19">
        <v>148.37143533155401</v>
      </c>
      <c r="CS96" s="19">
        <v>148.51056858489699</v>
      </c>
      <c r="CT96" s="19">
        <v>153.93352735390545</v>
      </c>
      <c r="CU96" s="19">
        <v>155.08114376428654</v>
      </c>
      <c r="CV96" s="19">
        <v>148.04312980456564</v>
      </c>
      <c r="CW96" s="19">
        <v>153.27454404594988</v>
      </c>
      <c r="CX96" s="19">
        <v>156.50579937150698</v>
      </c>
      <c r="CY96" s="19">
        <v>5.9970049504950502</v>
      </c>
      <c r="CZ96" s="19">
        <v>6.0930371674418611</v>
      </c>
      <c r="DA96" s="19">
        <v>6.3159321170731708</v>
      </c>
      <c r="DB96" s="19">
        <v>6.2379833976744186</v>
      </c>
      <c r="DC96" s="19">
        <v>6.2929546289156626</v>
      </c>
      <c r="DD96" s="19">
        <v>6.2451641875000004</v>
      </c>
      <c r="DE96" s="19">
        <v>6.0252078441176469</v>
      </c>
      <c r="DF96" s="19">
        <v>6.1103035581758771</v>
      </c>
      <c r="DG96" s="19">
        <v>6.2329362651049074</v>
      </c>
      <c r="DH96" s="19">
        <v>6.3232593441868685</v>
      </c>
      <c r="DI96" s="19">
        <v>6.1395169354482757</v>
      </c>
      <c r="DJ96" s="19">
        <v>6.1051863798081403</v>
      </c>
      <c r="DK96" s="19">
        <v>6.3287232487052165</v>
      </c>
      <c r="DL96" s="19">
        <v>6.2516701802126429</v>
      </c>
      <c r="DM96" s="19">
        <v>6.9149838182670376</v>
      </c>
      <c r="DN96" s="19">
        <v>5.8811509601323326</v>
      </c>
      <c r="DO96" s="19">
        <v>5.8863052133997797</v>
      </c>
      <c r="DP96" s="19">
        <v>6.0650287268292686</v>
      </c>
      <c r="DQ96" s="19">
        <v>5.9586863627906972</v>
      </c>
      <c r="DR96" s="19">
        <v>5.9329343156626502</v>
      </c>
      <c r="DS96" s="19">
        <v>6.1572097000000001</v>
      </c>
      <c r="DT96" s="19">
        <v>6.0284072000000002</v>
      </c>
      <c r="DU96" s="19">
        <v>5.8739491145130707</v>
      </c>
      <c r="DV96" s="19">
        <v>5.6007990336014046</v>
      </c>
      <c r="DW96" s="19">
        <v>5.5584958467397607</v>
      </c>
      <c r="DX96" s="19">
        <v>5.0156128808046354</v>
      </c>
      <c r="DY96" s="19">
        <v>6.1362413597541643</v>
      </c>
      <c r="DZ96" s="19">
        <v>5.900911198756746</v>
      </c>
      <c r="EA96" s="19">
        <v>5.9045019931007658</v>
      </c>
      <c r="EB96" s="19">
        <v>5.3285150344112573</v>
      </c>
      <c r="EC96" s="19">
        <v>5.8135940833792823</v>
      </c>
      <c r="ED96" s="19">
        <v>5.7364224159468442</v>
      </c>
      <c r="EE96" s="19">
        <v>5.7844544487804885</v>
      </c>
      <c r="EF96" s="19">
        <v>5.8998498627906972</v>
      </c>
      <c r="EG96" s="19">
        <v>5.8888290530120475</v>
      </c>
      <c r="EH96" s="19">
        <v>5.8919182437500002</v>
      </c>
      <c r="EI96" s="19">
        <v>5.790633344117647</v>
      </c>
      <c r="EJ96" s="19">
        <v>5.7113993165277392</v>
      </c>
      <c r="EK96" s="19">
        <v>5.5704342914839913</v>
      </c>
      <c r="EL96" s="19">
        <v>5.5719666197493272</v>
      </c>
      <c r="EM96" s="19">
        <v>5.4360856635653159</v>
      </c>
      <c r="EN96" s="19">
        <v>6.2527607122515363</v>
      </c>
      <c r="EO96" s="19">
        <v>5.212009000297579</v>
      </c>
      <c r="EP96" s="19">
        <v>6.0330680487058048</v>
      </c>
      <c r="EQ96" s="19">
        <v>5.2161333510082661</v>
      </c>
      <c r="ER96" s="19"/>
      <c r="ES96" s="16">
        <f t="shared" si="6"/>
        <v>4.9812671562460373</v>
      </c>
      <c r="ET96" s="16">
        <f t="shared" si="6"/>
        <v>4.5215529267469883</v>
      </c>
      <c r="EU96" s="16">
        <f t="shared" si="6"/>
        <v>5.7584887180722895</v>
      </c>
      <c r="EV96" s="16">
        <f t="shared" si="6"/>
        <v>3.5947813590361446</v>
      </c>
      <c r="EW96" s="16">
        <f t="shared" si="6"/>
        <v>5.0680326578313259</v>
      </c>
      <c r="EX96" s="16" t="str">
        <f t="shared" si="6"/>
        <v>.</v>
      </c>
      <c r="EY96" s="16">
        <f t="shared" si="6"/>
        <v>143.26591098989499</v>
      </c>
      <c r="EZ96" s="16">
        <f t="shared" si="6"/>
        <v>6.2929546289156626</v>
      </c>
      <c r="FA96" s="16">
        <f t="shared" si="6"/>
        <v>5.9329343156626502</v>
      </c>
      <c r="FB96" s="16">
        <f t="shared" si="6"/>
        <v>5.8888290530120475</v>
      </c>
    </row>
    <row r="97" spans="1:158" x14ac:dyDescent="0.25">
      <c r="A97" s="17">
        <v>94</v>
      </c>
      <c r="B97" s="17" t="s">
        <v>119</v>
      </c>
      <c r="C97" s="17" t="s">
        <v>119</v>
      </c>
      <c r="D97" s="17" t="s">
        <v>14</v>
      </c>
      <c r="E97" s="16">
        <v>1</v>
      </c>
      <c r="F97" s="18">
        <v>3.4091383436903095</v>
      </c>
      <c r="G97" s="18">
        <v>3.486411870710354</v>
      </c>
      <c r="H97" s="18">
        <v>3.4412701225028703</v>
      </c>
      <c r="I97" s="18">
        <v>3.1581392603832952</v>
      </c>
      <c r="J97" s="18">
        <v>3.0325838118966049</v>
      </c>
      <c r="K97" s="18">
        <v>3.2794827111768186</v>
      </c>
      <c r="L97" s="18">
        <v>3.5286143072923273</v>
      </c>
      <c r="M97" s="18">
        <v>3.4601727510646905</v>
      </c>
      <c r="N97" s="18">
        <v>3.3698177340402036</v>
      </c>
      <c r="O97" s="18">
        <v>3.3153577176691518</v>
      </c>
      <c r="P97" s="18">
        <v>3.6310462365862053</v>
      </c>
      <c r="Q97" s="18">
        <v>3.7258646134090228</v>
      </c>
      <c r="R97" s="18">
        <v>3.6765167875959186</v>
      </c>
      <c r="S97" s="18">
        <v>3.0955580357041423</v>
      </c>
      <c r="T97" s="18">
        <v>3.7212735710706646</v>
      </c>
      <c r="U97" s="18">
        <v>2.9913013394648038</v>
      </c>
      <c r="V97" s="18">
        <v>2.9607805037256685</v>
      </c>
      <c r="W97" s="18">
        <v>2.9542013286898841</v>
      </c>
      <c r="X97" s="18">
        <v>2.8031176889130429</v>
      </c>
      <c r="Y97" s="18">
        <v>2.7759607503353059</v>
      </c>
      <c r="Z97" s="18">
        <v>2.8802017566292135</v>
      </c>
      <c r="AA97" s="18">
        <v>3.0884421333908949</v>
      </c>
      <c r="AB97" s="18">
        <v>3.0871610306107957</v>
      </c>
      <c r="AC97" s="18">
        <v>3.0305968629502034</v>
      </c>
      <c r="AD97" s="19">
        <v>3.1102921586419972</v>
      </c>
      <c r="AE97" s="19">
        <v>2.7212768582970268</v>
      </c>
      <c r="AF97" s="19">
        <v>3.0409951885848705</v>
      </c>
      <c r="AG97" s="19">
        <v>2.9292401218109716</v>
      </c>
      <c r="AH97" s="19">
        <v>3.2448258834058525</v>
      </c>
      <c r="AI97" s="19">
        <v>3.0058387404295654</v>
      </c>
      <c r="AJ97" s="19">
        <v>4.2563647554347819</v>
      </c>
      <c r="AK97" s="19">
        <v>3.8702577932938858</v>
      </c>
      <c r="AL97" s="19">
        <v>3.8477046955056182</v>
      </c>
      <c r="AM97" s="19">
        <v>4.2236509108433733</v>
      </c>
      <c r="AN97" s="19">
        <v>4.2638792645546557</v>
      </c>
      <c r="AO97" s="19">
        <v>4.0443790883149644</v>
      </c>
      <c r="AP97" s="19">
        <v>3.9394906208595111</v>
      </c>
      <c r="AQ97" s="19">
        <v>3.6955509817165595</v>
      </c>
      <c r="AR97" s="19">
        <v>3.982322643723323</v>
      </c>
      <c r="AS97" s="19">
        <v>4.1816559946438545</v>
      </c>
      <c r="AT97" s="19">
        <v>4.1236684883288905</v>
      </c>
      <c r="AU97" s="19">
        <v>3.3723036595837992</v>
      </c>
      <c r="AV97" s="19">
        <v>2.784155983165884</v>
      </c>
      <c r="AW97" s="19">
        <v>2.9020752942760941</v>
      </c>
      <c r="AX97" s="19">
        <v>2.966467448756219</v>
      </c>
      <c r="AY97" s="19">
        <v>3.0068361315217391</v>
      </c>
      <c r="AZ97" s="19">
        <v>2.9258816893491124</v>
      </c>
      <c r="BA97" s="19">
        <v>2.8526969269662921</v>
      </c>
      <c r="BB97" s="19">
        <v>3.3132403927710845</v>
      </c>
      <c r="BC97" s="19">
        <v>3.4959033021561856</v>
      </c>
      <c r="BD97" s="19">
        <v>3.2426324962273885</v>
      </c>
      <c r="BE97" s="19">
        <v>3.1585857838568603</v>
      </c>
      <c r="BF97" s="19">
        <v>4.0120471965716629</v>
      </c>
      <c r="BG97" s="19">
        <v>4.127224840410153</v>
      </c>
      <c r="BH97" s="19">
        <v>4.1696289704718277</v>
      </c>
      <c r="BI97" s="19">
        <v>4.1911081422775984</v>
      </c>
      <c r="BJ97" s="19">
        <v>4.6144787607390443</v>
      </c>
      <c r="BK97" s="19">
        <v>2.4502924868225353</v>
      </c>
      <c r="BL97" s="19">
        <v>2.6758931746277836</v>
      </c>
      <c r="BM97" s="19">
        <v>2.4789674726368158</v>
      </c>
      <c r="BN97" s="19">
        <v>2.2868073684782608</v>
      </c>
      <c r="BO97" s="19">
        <v>1.7881016266272187</v>
      </c>
      <c r="BP97" s="19">
        <v>2.0882996404494381</v>
      </c>
      <c r="BQ97" s="19">
        <v>2.7425383349397592</v>
      </c>
      <c r="BR97" s="19">
        <v>2.536391533398032</v>
      </c>
      <c r="BS97" s="19">
        <v>2.2685775229464404</v>
      </c>
      <c r="BT97" s="19">
        <v>2.3552338364561636</v>
      </c>
      <c r="BU97" s="19">
        <v>1.8153521730128548</v>
      </c>
      <c r="BV97" s="19">
        <v>1.3958935404892552</v>
      </c>
      <c r="BW97" s="19">
        <v>1.5848661488492932</v>
      </c>
      <c r="BX97" s="19">
        <v>1.3440760797074831</v>
      </c>
      <c r="BY97" s="19">
        <v>3.2530950176652818</v>
      </c>
      <c r="BZ97" s="19">
        <v>1</v>
      </c>
      <c r="CA97" s="19">
        <v>1</v>
      </c>
      <c r="CB97" s="19">
        <v>1</v>
      </c>
      <c r="CC97" s="19">
        <v>6.0938923963987399</v>
      </c>
      <c r="CD97" s="19">
        <v>9.0116148326888901</v>
      </c>
      <c r="CE97" s="19">
        <v>8.3524879848750277</v>
      </c>
      <c r="CF97" s="19">
        <v>12.403828599150069</v>
      </c>
      <c r="CG97" s="19">
        <v>14.613468813422925</v>
      </c>
      <c r="CH97" s="19">
        <v>18.139551782219257</v>
      </c>
      <c r="CI97" s="19">
        <v>19.91119457123126</v>
      </c>
      <c r="CJ97" s="19">
        <v>2.7425086884976002</v>
      </c>
      <c r="CK97" s="19">
        <v>5.4744777679443404</v>
      </c>
      <c r="CL97" s="19">
        <v>23.918828964233398</v>
      </c>
      <c r="CM97" s="19">
        <v>30.560136795043899</v>
      </c>
      <c r="CN97" s="19">
        <v>39.791020670789898</v>
      </c>
      <c r="CO97" s="19">
        <v>38.280775608505401</v>
      </c>
      <c r="CP97" s="19">
        <v>39.054367467970202</v>
      </c>
      <c r="CQ97" s="19">
        <v>36.133696136127597</v>
      </c>
      <c r="CR97" s="19">
        <v>38.218910245994799</v>
      </c>
      <c r="CS97" s="19">
        <v>46.015351929554299</v>
      </c>
      <c r="CT97" s="19">
        <v>55.87822668850503</v>
      </c>
      <c r="CU97" s="19">
        <v>58.830657770287999</v>
      </c>
      <c r="CV97" s="19">
        <v>63.026259499674239</v>
      </c>
      <c r="CW97" s="19">
        <v>69.34810598931476</v>
      </c>
      <c r="CX97" s="19">
        <v>73.526637986074746</v>
      </c>
      <c r="CY97" s="19">
        <v>3.5882548895283621</v>
      </c>
      <c r="CZ97" s="19">
        <v>3.6487060565407767</v>
      </c>
      <c r="DA97" s="19">
        <v>3.3794434378109459</v>
      </c>
      <c r="DB97" s="19">
        <v>3.0055870755434784</v>
      </c>
      <c r="DC97" s="19">
        <v>2.7810891899408281</v>
      </c>
      <c r="DD97" s="19">
        <v>2.5841910213483148</v>
      </c>
      <c r="DE97" s="19">
        <v>2.9481298353413656</v>
      </c>
      <c r="DF97" s="19">
        <v>3.0642941284045873</v>
      </c>
      <c r="DG97" s="19">
        <v>3.068350083154181</v>
      </c>
      <c r="DH97" s="19">
        <v>3.1796615920828644</v>
      </c>
      <c r="DI97" s="19">
        <v>2.7655888432129156</v>
      </c>
      <c r="DJ97" s="19">
        <v>2.816362452286465</v>
      </c>
      <c r="DK97" s="19">
        <v>2.8112760175847611</v>
      </c>
      <c r="DL97" s="19">
        <v>2.4490709291870294</v>
      </c>
      <c r="DM97" s="19">
        <v>2.8812173316178136</v>
      </c>
      <c r="DN97" s="19">
        <v>2.4373358467688853</v>
      </c>
      <c r="DO97" s="19">
        <v>2.5807751363295877</v>
      </c>
      <c r="DP97" s="19">
        <v>2.9230946945273635</v>
      </c>
      <c r="DQ97" s="19">
        <v>3.2298392358695649</v>
      </c>
      <c r="DR97" s="19">
        <v>3.0022345917159763</v>
      </c>
      <c r="DS97" s="19">
        <v>3.0000545932584268</v>
      </c>
      <c r="DT97" s="19">
        <v>3.1635027815261045</v>
      </c>
      <c r="DU97" s="19">
        <v>3.088530904667139</v>
      </c>
      <c r="DV97" s="19">
        <v>2.6411792025617933</v>
      </c>
      <c r="DW97" s="19">
        <v>2.7488792423665878</v>
      </c>
      <c r="DX97" s="19">
        <v>2.7978210933690471</v>
      </c>
      <c r="DY97" s="19">
        <v>2.85954753685284</v>
      </c>
      <c r="DZ97" s="19">
        <v>3.0653443641168319</v>
      </c>
      <c r="EA97" s="19">
        <v>3.1469903738828267</v>
      </c>
      <c r="EB97" s="19">
        <v>2.791377689590306</v>
      </c>
      <c r="EC97" s="19">
        <v>2.7178199781715193</v>
      </c>
      <c r="ED97" s="19">
        <v>2.9141974301706197</v>
      </c>
      <c r="EE97" s="19">
        <v>2.9527322318407965</v>
      </c>
      <c r="EF97" s="19">
        <v>2.926926039673913</v>
      </c>
      <c r="EG97" s="19">
        <v>2.7143846704142014</v>
      </c>
      <c r="EH97" s="19">
        <v>2.5303938213483148</v>
      </c>
      <c r="EI97" s="19">
        <v>2.613387507630522</v>
      </c>
      <c r="EJ97" s="19">
        <v>2.5997245226900931</v>
      </c>
      <c r="EK97" s="19">
        <v>2.1933331470126691</v>
      </c>
      <c r="EL97" s="19">
        <v>2.0326043705968462</v>
      </c>
      <c r="EM97" s="19">
        <v>1.3162615369170427</v>
      </c>
      <c r="EN97" s="19">
        <v>2.375833241212054</v>
      </c>
      <c r="EO97" s="19">
        <v>1.9945242633383733</v>
      </c>
      <c r="EP97" s="19">
        <v>1.6878100146099906</v>
      </c>
      <c r="EQ97" s="19">
        <v>1.5942700767337039</v>
      </c>
      <c r="ER97" s="19"/>
      <c r="ES97" s="16">
        <f t="shared" si="6"/>
        <v>3.0325838118966049</v>
      </c>
      <c r="ET97" s="16">
        <f t="shared" si="6"/>
        <v>2.7759607503353059</v>
      </c>
      <c r="EU97" s="16">
        <f t="shared" si="6"/>
        <v>3.8702577932938858</v>
      </c>
      <c r="EV97" s="16">
        <f t="shared" si="6"/>
        <v>2.9258816893491124</v>
      </c>
      <c r="EW97" s="16">
        <f t="shared" si="6"/>
        <v>1.7881016266272187</v>
      </c>
      <c r="EX97" s="16" t="str">
        <f t="shared" si="6"/>
        <v>.</v>
      </c>
      <c r="EY97" s="16">
        <f t="shared" si="6"/>
        <v>39.791020670789898</v>
      </c>
      <c r="EZ97" s="16">
        <f t="shared" si="6"/>
        <v>2.7810891899408281</v>
      </c>
      <c r="FA97" s="16">
        <f t="shared" si="6"/>
        <v>3.0022345917159763</v>
      </c>
      <c r="FB97" s="16">
        <f t="shared" si="6"/>
        <v>2.7143846704142014</v>
      </c>
    </row>
    <row r="98" spans="1:158" x14ac:dyDescent="0.25">
      <c r="A98" s="17">
        <v>95</v>
      </c>
      <c r="B98" s="17" t="s">
        <v>120</v>
      </c>
      <c r="C98" s="17" t="s">
        <v>120</v>
      </c>
      <c r="D98" s="17" t="s">
        <v>14</v>
      </c>
      <c r="E98" s="16">
        <v>1</v>
      </c>
      <c r="F98" s="18">
        <v>3.5378026630063624</v>
      </c>
      <c r="G98" s="18">
        <v>3.4575151538461535</v>
      </c>
      <c r="H98" s="18">
        <v>3.519764741332799</v>
      </c>
      <c r="I98" s="18">
        <v>3.5853348343123002</v>
      </c>
      <c r="J98" s="18">
        <v>3.5369692733333333</v>
      </c>
      <c r="K98" s="18">
        <v>3.3763230551578949</v>
      </c>
      <c r="L98" s="18">
        <v>3.5048624461433762</v>
      </c>
      <c r="M98" s="18">
        <v>3.5403906189152297</v>
      </c>
      <c r="N98" s="18">
        <v>3.3664656535644593</v>
      </c>
      <c r="O98" s="18">
        <v>3.2807395763744616</v>
      </c>
      <c r="P98" s="18">
        <v>2.7716645127831874</v>
      </c>
      <c r="Q98" s="18">
        <v>3.3398777823264871</v>
      </c>
      <c r="R98" s="18">
        <v>3.5154054140959232</v>
      </c>
      <c r="S98" s="18">
        <v>3.4746353414019882</v>
      </c>
      <c r="T98" s="18">
        <v>2.9704320534493096</v>
      </c>
      <c r="U98" s="18">
        <v>2.9511696190942813</v>
      </c>
      <c r="V98" s="18">
        <v>2.933592</v>
      </c>
      <c r="W98" s="18">
        <v>2.8924962578125002</v>
      </c>
      <c r="X98" s="18">
        <v>3.0604292293922652</v>
      </c>
      <c r="Y98" s="18">
        <v>3.1702219253333328</v>
      </c>
      <c r="Z98" s="18">
        <v>2.9360352666666665</v>
      </c>
      <c r="AA98" s="18">
        <v>2.8997093618261562</v>
      </c>
      <c r="AB98" s="18">
        <v>2.7992766561075726</v>
      </c>
      <c r="AC98" s="18">
        <v>2.7422171927609984</v>
      </c>
      <c r="AD98" s="19">
        <v>2.8143330553632473</v>
      </c>
      <c r="AE98" s="19">
        <v>2.2258588170589135</v>
      </c>
      <c r="AF98" s="19">
        <v>2.8003355188774735</v>
      </c>
      <c r="AG98" s="19">
        <v>2.3710959592523921</v>
      </c>
      <c r="AH98" s="19">
        <v>2.4864313714241013</v>
      </c>
      <c r="AI98" s="19">
        <v>3.0075738088682744</v>
      </c>
      <c r="AJ98" s="19">
        <v>4.2933574300184167</v>
      </c>
      <c r="AK98" s="19">
        <v>4.2678525311111111</v>
      </c>
      <c r="AL98" s="19">
        <v>3.9453185333333338</v>
      </c>
      <c r="AM98" s="19">
        <v>3.7834070034482763</v>
      </c>
      <c r="AN98" s="19">
        <v>3.8075331769053187</v>
      </c>
      <c r="AO98" s="19">
        <v>3.7399236384474617</v>
      </c>
      <c r="AP98" s="19">
        <v>3.3349352224157491</v>
      </c>
      <c r="AQ98" s="19">
        <v>2.9422700465865312</v>
      </c>
      <c r="AR98" s="19">
        <v>2.7789032356059518</v>
      </c>
      <c r="AS98" s="19">
        <v>3.8314929402986482</v>
      </c>
      <c r="AT98" s="19">
        <v>2.6282554014719506</v>
      </c>
      <c r="AU98" s="19">
        <v>2.581850393195861</v>
      </c>
      <c r="AV98" s="19">
        <v>3.8845961467402659</v>
      </c>
      <c r="AW98" s="19">
        <v>3.7625289999999998</v>
      </c>
      <c r="AX98" s="19">
        <v>3.8234426609374994</v>
      </c>
      <c r="AY98" s="19">
        <v>3.6526940187845307</v>
      </c>
      <c r="AZ98" s="19">
        <v>3.35043252</v>
      </c>
      <c r="BA98" s="19">
        <v>3.2901631040000003</v>
      </c>
      <c r="BB98" s="19">
        <v>3.7011467163793101</v>
      </c>
      <c r="BC98" s="19">
        <v>3.6960964189785037</v>
      </c>
      <c r="BD98" s="19">
        <v>3.3982930790294299</v>
      </c>
      <c r="BE98" s="19">
        <v>3.3966404381148312</v>
      </c>
      <c r="BF98" s="19">
        <v>3.6578879222545053</v>
      </c>
      <c r="BG98" s="19">
        <v>3.4505640390029586</v>
      </c>
      <c r="BH98" s="19">
        <v>3.4888900928718862</v>
      </c>
      <c r="BI98" s="19">
        <v>3.622898090085926</v>
      </c>
      <c r="BJ98" s="19">
        <v>3.3836991552012465</v>
      </c>
      <c r="BK98" s="19">
        <v>2.8089543256298382</v>
      </c>
      <c r="BL98" s="19">
        <v>2.7334209999999999</v>
      </c>
      <c r="BM98" s="19">
        <v>2.6145244354166666</v>
      </c>
      <c r="BN98" s="19">
        <v>2.6404110425414364</v>
      </c>
      <c r="BO98" s="19">
        <v>2.767937953333333</v>
      </c>
      <c r="BP98" s="19">
        <v>2.7239962160000002</v>
      </c>
      <c r="BQ98" s="19">
        <v>2.9501232215517241</v>
      </c>
      <c r="BR98" s="19">
        <v>2.8759247415929208</v>
      </c>
      <c r="BS98" s="19">
        <v>2.439954530109059</v>
      </c>
      <c r="BT98" s="19">
        <v>2.4084480613743491</v>
      </c>
      <c r="BU98" s="19">
        <v>2.750809500448395</v>
      </c>
      <c r="BV98" s="19">
        <v>2.6950920197540609</v>
      </c>
      <c r="BW98" s="19">
        <v>2.2179973707402185</v>
      </c>
      <c r="BX98" s="19">
        <v>2.452195427522097</v>
      </c>
      <c r="BY98" s="19">
        <v>1.6876426788631942</v>
      </c>
      <c r="BZ98" s="19">
        <v>3.0796921478135699</v>
      </c>
      <c r="CA98" s="19">
        <v>3.46271111260819</v>
      </c>
      <c r="CB98" s="19">
        <v>3.89899702167759</v>
      </c>
      <c r="CC98" s="19">
        <v>4.0935890738114802</v>
      </c>
      <c r="CD98" s="19">
        <v>16.590208903796</v>
      </c>
      <c r="CE98" s="19">
        <v>15.372953379019117</v>
      </c>
      <c r="CF98" s="19">
        <v>15.985175451440197</v>
      </c>
      <c r="CG98" s="19">
        <v>18.078214902788361</v>
      </c>
      <c r="CH98" s="19">
        <v>22.915836441407727</v>
      </c>
      <c r="CI98" s="19">
        <v>27.357843757659534</v>
      </c>
      <c r="CJ98" s="19">
        <v>5.32</v>
      </c>
      <c r="CK98" s="19">
        <v>5.3168458938598597</v>
      </c>
      <c r="CL98" s="19">
        <v>12.464679718017599</v>
      </c>
      <c r="CM98" s="19">
        <v>15.7238712310791</v>
      </c>
      <c r="CN98" s="19">
        <v>20.384547422524701</v>
      </c>
      <c r="CO98" s="19">
        <v>25.068513599474901</v>
      </c>
      <c r="CP98" s="19">
        <v>27.826295275743</v>
      </c>
      <c r="CQ98" s="19">
        <v>32.330159442586201</v>
      </c>
      <c r="CR98" s="19">
        <v>30.4977721980393</v>
      </c>
      <c r="CS98" s="19">
        <v>35.336422148765202</v>
      </c>
      <c r="CT98" s="19">
        <v>38.466215097580864</v>
      </c>
      <c r="CU98" s="19">
        <v>41.869387727118635</v>
      </c>
      <c r="CV98" s="19">
        <v>46.91464427472323</v>
      </c>
      <c r="CW98" s="19">
        <v>51.943803136559232</v>
      </c>
      <c r="CX98" s="19">
        <v>55.702681167270804</v>
      </c>
      <c r="CY98" s="19">
        <v>4.1185127314461596</v>
      </c>
      <c r="CZ98" s="19">
        <v>4.2620459999999998</v>
      </c>
      <c r="DA98" s="19">
        <v>4.2546435661458331</v>
      </c>
      <c r="DB98" s="19">
        <v>4.1847393558011046</v>
      </c>
      <c r="DC98" s="19">
        <v>4.0189997266666664</v>
      </c>
      <c r="DD98" s="19">
        <v>3.9212374400000005</v>
      </c>
      <c r="DE98" s="19">
        <v>3.8266272129310348</v>
      </c>
      <c r="DF98" s="19">
        <v>3.8739177584165319</v>
      </c>
      <c r="DG98" s="19">
        <v>4.1561189651489254</v>
      </c>
      <c r="DH98" s="19">
        <v>3.9945660809858126</v>
      </c>
      <c r="DI98" s="19">
        <v>3.770736945539209</v>
      </c>
      <c r="DJ98" s="19">
        <v>3.7134017949740223</v>
      </c>
      <c r="DK98" s="19">
        <v>4.3994751321647563</v>
      </c>
      <c r="DL98" s="19">
        <v>3.7319922075425036</v>
      </c>
      <c r="DM98" s="19">
        <v>3.804694950488102</v>
      </c>
      <c r="DN98" s="19">
        <v>2.2124477082873715</v>
      </c>
      <c r="DO98" s="19">
        <v>2.3170130000000002</v>
      </c>
      <c r="DP98" s="19">
        <v>2.9099341026041667</v>
      </c>
      <c r="DQ98" s="19">
        <v>3.4273734685082875</v>
      </c>
      <c r="DR98" s="19">
        <v>3.4516063266666666</v>
      </c>
      <c r="DS98" s="19">
        <v>3.2323827440000001</v>
      </c>
      <c r="DT98" s="19">
        <v>3.2184261344827583</v>
      </c>
      <c r="DU98" s="19">
        <v>3.131065402559952</v>
      </c>
      <c r="DV98" s="19">
        <v>2.7533868421207774</v>
      </c>
      <c r="DW98" s="19">
        <v>2.4985892164597816</v>
      </c>
      <c r="DX98" s="19">
        <v>1.7577332350496435</v>
      </c>
      <c r="DY98" s="19">
        <v>2.990811726332915</v>
      </c>
      <c r="DZ98" s="19">
        <v>3.0055181671167475</v>
      </c>
      <c r="EA98" s="19">
        <v>3.9275249934340835</v>
      </c>
      <c r="EB98" s="19">
        <v>2.6042720578828389</v>
      </c>
      <c r="EC98" s="19">
        <v>2.5671636609757362</v>
      </c>
      <c r="ED98" s="19">
        <v>2.52868</v>
      </c>
      <c r="EE98" s="19">
        <v>3.0849786791666665</v>
      </c>
      <c r="EF98" s="19">
        <v>3.6411156425414362</v>
      </c>
      <c r="EG98" s="19">
        <v>3.6538622666666667</v>
      </c>
      <c r="EH98" s="19">
        <v>3.4162240879999999</v>
      </c>
      <c r="EI98" s="19">
        <v>3.3230792206896549</v>
      </c>
      <c r="EJ98" s="19">
        <v>3.3042058780375658</v>
      </c>
      <c r="EK98" s="19">
        <v>3.2108486652374264</v>
      </c>
      <c r="EL98" s="19">
        <v>2.9478456370327448</v>
      </c>
      <c r="EM98" s="19">
        <v>3.0738614697256104</v>
      </c>
      <c r="EN98" s="19">
        <v>3.0512146379779037</v>
      </c>
      <c r="EO98" s="19">
        <v>4.953858762759956</v>
      </c>
      <c r="EP98" s="19">
        <v>2.8857616380931987</v>
      </c>
      <c r="EQ98" s="19">
        <v>2.5801559702975281</v>
      </c>
      <c r="ER98" s="19"/>
      <c r="ES98" s="16">
        <f t="shared" si="6"/>
        <v>3.5369692733333333</v>
      </c>
      <c r="ET98" s="16">
        <f t="shared" si="6"/>
        <v>3.1702219253333328</v>
      </c>
      <c r="EU98" s="16">
        <f t="shared" si="6"/>
        <v>4.2678525311111111</v>
      </c>
      <c r="EV98" s="16">
        <f t="shared" si="6"/>
        <v>3.35043252</v>
      </c>
      <c r="EW98" s="16">
        <f t="shared" si="6"/>
        <v>2.767937953333333</v>
      </c>
      <c r="EX98" s="16" t="str">
        <f t="shared" si="6"/>
        <v>.</v>
      </c>
      <c r="EY98" s="16">
        <f t="shared" si="6"/>
        <v>20.384547422524701</v>
      </c>
      <c r="EZ98" s="16">
        <f t="shared" si="6"/>
        <v>4.0189997266666664</v>
      </c>
      <c r="FA98" s="16">
        <f t="shared" si="6"/>
        <v>3.4516063266666666</v>
      </c>
      <c r="FB98" s="16">
        <f t="shared" si="6"/>
        <v>3.6538622666666667</v>
      </c>
    </row>
    <row r="99" spans="1:158" x14ac:dyDescent="0.25">
      <c r="A99" s="17">
        <v>96</v>
      </c>
      <c r="B99" s="17" t="s">
        <v>121</v>
      </c>
      <c r="C99" s="17" t="s">
        <v>121</v>
      </c>
      <c r="D99" s="17" t="s">
        <v>25</v>
      </c>
      <c r="E99" s="16">
        <v>1</v>
      </c>
      <c r="F99" s="18">
        <v>5.1680307968608048</v>
      </c>
      <c r="G99" s="18">
        <v>4.9876093032642714</v>
      </c>
      <c r="H99" s="18">
        <v>4.8029268493125237</v>
      </c>
      <c r="I99" s="18">
        <v>4.7947191761088108</v>
      </c>
      <c r="J99" s="18">
        <v>4.9856494977290939</v>
      </c>
      <c r="K99" s="18">
        <v>5.0193045839568802</v>
      </c>
      <c r="L99" s="18">
        <v>5.0171907654338552</v>
      </c>
      <c r="M99" s="18">
        <v>5.238160913991023</v>
      </c>
      <c r="N99" s="18">
        <v>5.2891480946363005</v>
      </c>
      <c r="O99" s="18">
        <v>5.1556368883013963</v>
      </c>
      <c r="P99" s="18">
        <v>5.3827118363669104</v>
      </c>
      <c r="Q99" s="18">
        <v>5.8235391818939952</v>
      </c>
      <c r="R99" s="18">
        <v>5.2599462411978983</v>
      </c>
      <c r="S99" s="18">
        <v>4.8671935751067128</v>
      </c>
      <c r="T99" s="18">
        <v>5.4097161573172379</v>
      </c>
      <c r="U99" s="18">
        <v>4.4962951023200741</v>
      </c>
      <c r="V99" s="18">
        <v>4.2773655324569022</v>
      </c>
      <c r="W99" s="18">
        <v>4.0619998299194853</v>
      </c>
      <c r="X99" s="18">
        <v>4.1043862631256385</v>
      </c>
      <c r="Y99" s="18">
        <v>4.319441390354724</v>
      </c>
      <c r="Z99" s="18">
        <v>4.3788133856451035</v>
      </c>
      <c r="AA99" s="18">
        <v>4.3866184239190895</v>
      </c>
      <c r="AB99" s="18">
        <v>4.6698252158116018</v>
      </c>
      <c r="AC99" s="18">
        <v>4.8164871333830597</v>
      </c>
      <c r="AD99" s="19">
        <v>4.7220283852749647</v>
      </c>
      <c r="AE99" s="19">
        <v>5.0136251502566367</v>
      </c>
      <c r="AF99" s="19">
        <v>4.335437091056396</v>
      </c>
      <c r="AG99" s="19">
        <v>4.1793419934951093</v>
      </c>
      <c r="AH99" s="19">
        <v>4.6508408726687742</v>
      </c>
      <c r="AI99" s="19">
        <v>4.6068088253561577</v>
      </c>
      <c r="AJ99" s="19">
        <v>5.4796312554307116</v>
      </c>
      <c r="AK99" s="19">
        <v>5.5867096240270726</v>
      </c>
      <c r="AL99" s="19">
        <v>5.5658927702811241</v>
      </c>
      <c r="AM99" s="19">
        <v>5.4765853099099102</v>
      </c>
      <c r="AN99" s="19">
        <v>5.6044293286131506</v>
      </c>
      <c r="AO99" s="19">
        <v>5.6042406326252587</v>
      </c>
      <c r="AP99" s="19">
        <v>5.4725230614344271</v>
      </c>
      <c r="AQ99" s="19">
        <v>5.3233564573167191</v>
      </c>
      <c r="AR99" s="19">
        <v>5.3312752287328458</v>
      </c>
      <c r="AS99" s="19">
        <v>5.5339704328119019</v>
      </c>
      <c r="AT99" s="19">
        <v>5.7123793433535965</v>
      </c>
      <c r="AU99" s="19">
        <v>5.2850954895942754</v>
      </c>
      <c r="AV99" s="19">
        <v>4.6159085223690921</v>
      </c>
      <c r="AW99" s="19">
        <v>4.3342687905871387</v>
      </c>
      <c r="AX99" s="19">
        <v>4.0506421536231887</v>
      </c>
      <c r="AY99" s="19">
        <v>4.0404374382022477</v>
      </c>
      <c r="AZ99" s="19">
        <v>4.4265965096446704</v>
      </c>
      <c r="BA99" s="19">
        <v>4.6068730469879515</v>
      </c>
      <c r="BB99" s="19">
        <v>4.6264977702702703</v>
      </c>
      <c r="BC99" s="19">
        <v>4.9660214801980196</v>
      </c>
      <c r="BD99" s="19">
        <v>4.9914328153968466</v>
      </c>
      <c r="BE99" s="19">
        <v>4.9092222213745114</v>
      </c>
      <c r="BF99" s="19">
        <v>5.3880102212028804</v>
      </c>
      <c r="BG99" s="19">
        <v>5.597070363632672</v>
      </c>
      <c r="BH99" s="19">
        <v>6.1929781757967834</v>
      </c>
      <c r="BI99" s="19">
        <v>6.2047218023785691</v>
      </c>
      <c r="BJ99" s="19">
        <v>6.615569807066306</v>
      </c>
      <c r="BK99" s="19">
        <v>5.0435525525525531</v>
      </c>
      <c r="BL99" s="19">
        <v>4.6354549586206897</v>
      </c>
      <c r="BM99" s="19">
        <v>4.2941970434782615</v>
      </c>
      <c r="BN99" s="19">
        <v>4.14548077752809</v>
      </c>
      <c r="BO99" s="19">
        <v>4.3774464974619285</v>
      </c>
      <c r="BP99" s="19">
        <v>4.4534380072289155</v>
      </c>
      <c r="BQ99" s="19">
        <v>4.5638400378378376</v>
      </c>
      <c r="BR99" s="19">
        <v>4.9163767878143307</v>
      </c>
      <c r="BS99" s="19">
        <v>4.9571988299413379</v>
      </c>
      <c r="BT99" s="19">
        <v>4.5265000581741335</v>
      </c>
      <c r="BU99" s="19">
        <v>4.2859032744609653</v>
      </c>
      <c r="BV99" s="19">
        <v>3.3391933575376855</v>
      </c>
      <c r="BW99" s="19">
        <v>4.6333511924928841</v>
      </c>
      <c r="BX99" s="19">
        <v>5.1459524801275718</v>
      </c>
      <c r="BY99" s="19">
        <v>5.0154832156845766</v>
      </c>
      <c r="BZ99" s="19">
        <v>12.2633532500641</v>
      </c>
      <c r="CA99" s="19">
        <v>13.5196347781947</v>
      </c>
      <c r="CB99" s="19">
        <v>12.488152811029</v>
      </c>
      <c r="CC99" s="19">
        <v>58.338282336735197</v>
      </c>
      <c r="CD99" s="19">
        <v>89.941230966146307</v>
      </c>
      <c r="CE99" s="19">
        <v>90.952129289479018</v>
      </c>
      <c r="CF99" s="19">
        <v>120.31685438539748</v>
      </c>
      <c r="CG99" s="19">
        <v>133.58818410212641</v>
      </c>
      <c r="CH99" s="19">
        <v>149.32245068192319</v>
      </c>
      <c r="CI99" s="19">
        <v>181.50455671832526</v>
      </c>
      <c r="CJ99" s="19">
        <v>75.173076923076906</v>
      </c>
      <c r="CK99" s="19">
        <v>75.452186584472699</v>
      </c>
      <c r="CL99" s="19">
        <v>100.364151000977</v>
      </c>
      <c r="CM99" s="19">
        <v>110.598442077637</v>
      </c>
      <c r="CN99" s="19">
        <v>121.319599224211</v>
      </c>
      <c r="CO99" s="19">
        <v>127.03512029493299</v>
      </c>
      <c r="CP99" s="19">
        <v>140.93508181183199</v>
      </c>
      <c r="CQ99" s="19">
        <v>144.68503092425499</v>
      </c>
      <c r="CR99" s="19">
        <v>148.82984889042899</v>
      </c>
      <c r="CS99" s="19">
        <v>143.91290565817101</v>
      </c>
      <c r="CT99" s="19">
        <v>163.90235735957617</v>
      </c>
      <c r="CU99" s="19">
        <v>176.49180142843625</v>
      </c>
      <c r="CV99" s="19">
        <v>187.98494209738453</v>
      </c>
      <c r="CW99" s="19">
        <v>191.16671797210043</v>
      </c>
      <c r="CX99" s="19">
        <v>200</v>
      </c>
      <c r="CY99" s="19">
        <v>5.7111298110767521</v>
      </c>
      <c r="CZ99" s="19">
        <v>5.4592060675956535</v>
      </c>
      <c r="DA99" s="19">
        <v>5.2094979579710143</v>
      </c>
      <c r="DB99" s="19">
        <v>5.0925865213483146</v>
      </c>
      <c r="DC99" s="19">
        <v>5.3139218345177657</v>
      </c>
      <c r="DD99" s="19">
        <v>5.3722089855421684</v>
      </c>
      <c r="DE99" s="19">
        <v>5.1998029108108108</v>
      </c>
      <c r="DF99" s="19">
        <v>5.2959833286132216</v>
      </c>
      <c r="DG99" s="19">
        <v>5.3508225329636314</v>
      </c>
      <c r="DH99" s="19">
        <v>5.2910298347473148</v>
      </c>
      <c r="DI99" s="19">
        <v>5.2149254221923869</v>
      </c>
      <c r="DJ99" s="19">
        <v>5.3270812889054389</v>
      </c>
      <c r="DK99" s="19">
        <v>5.035804625574209</v>
      </c>
      <c r="DL99" s="19">
        <v>5.2034258159454021</v>
      </c>
      <c r="DM99" s="19">
        <v>4.6569425313156199</v>
      </c>
      <c r="DN99" s="19">
        <v>5.6929954320517702</v>
      </c>
      <c r="DO99" s="19">
        <v>5.5948016402298855</v>
      </c>
      <c r="DP99" s="19">
        <v>5.3920336028985512</v>
      </c>
      <c r="DQ99" s="19">
        <v>5.4676701280898881</v>
      </c>
      <c r="DR99" s="19">
        <v>5.6675735045685283</v>
      </c>
      <c r="DS99" s="19">
        <v>5.4439061421686752</v>
      </c>
      <c r="DT99" s="19">
        <v>5.518469521621622</v>
      </c>
      <c r="DU99" s="19">
        <v>5.6257431316140654</v>
      </c>
      <c r="DV99" s="19">
        <v>5.6258638851533682</v>
      </c>
      <c r="DW99" s="19">
        <v>5.4841404199600223</v>
      </c>
      <c r="DX99" s="19">
        <v>5.6930368645087146</v>
      </c>
      <c r="DY99" s="19">
        <v>5.4677583874062421</v>
      </c>
      <c r="DZ99" s="19">
        <v>5.5341021650162432</v>
      </c>
      <c r="EA99" s="19">
        <v>6.0432552975410685</v>
      </c>
      <c r="EB99" s="19">
        <v>6.1824191342179722</v>
      </c>
      <c r="EC99" s="19">
        <v>5.7583235838578304</v>
      </c>
      <c r="ED99" s="19">
        <v>5.7324709252873562</v>
      </c>
      <c r="EE99" s="19">
        <v>5.5495044072463777</v>
      </c>
      <c r="EF99" s="19">
        <v>5.6643600404494379</v>
      </c>
      <c r="EG99" s="19">
        <v>5.7261298020304565</v>
      </c>
      <c r="EH99" s="19">
        <v>5.4487889463855419</v>
      </c>
      <c r="EI99" s="19">
        <v>5.4396923324324327</v>
      </c>
      <c r="EJ99" s="19">
        <v>5.5884294434736503</v>
      </c>
      <c r="EK99" s="19">
        <v>5.6927919271633716</v>
      </c>
      <c r="EL99" s="19">
        <v>5.4640000104904178</v>
      </c>
      <c r="EM99" s="19">
        <v>5.8097359019965777</v>
      </c>
      <c r="EN99" s="19">
        <v>5.3598484981912655</v>
      </c>
      <c r="EO99" s="19">
        <v>5.4911769081956452</v>
      </c>
      <c r="EP99" s="19">
        <v>5.4775858090875502</v>
      </c>
      <c r="EQ99" s="19">
        <v>5.3026422663664361</v>
      </c>
      <c r="ER99" s="19"/>
      <c r="ES99" s="16">
        <f t="shared" si="6"/>
        <v>4.9856494977290939</v>
      </c>
      <c r="ET99" s="16">
        <f t="shared" si="6"/>
        <v>4.319441390354724</v>
      </c>
      <c r="EU99" s="16">
        <f t="shared" si="6"/>
        <v>5.5867096240270726</v>
      </c>
      <c r="EV99" s="16">
        <f t="shared" si="6"/>
        <v>4.4265965096446704</v>
      </c>
      <c r="EW99" s="16">
        <f t="shared" si="6"/>
        <v>4.3774464974619285</v>
      </c>
      <c r="EX99" s="16" t="str">
        <f t="shared" si="6"/>
        <v>.</v>
      </c>
      <c r="EY99" s="16">
        <f t="shared" si="6"/>
        <v>121.319599224211</v>
      </c>
      <c r="EZ99" s="16">
        <f t="shared" si="6"/>
        <v>5.3139218345177657</v>
      </c>
      <c r="FA99" s="16">
        <f t="shared" si="6"/>
        <v>5.6675735045685283</v>
      </c>
      <c r="FB99" s="16">
        <f t="shared" si="6"/>
        <v>5.7261298020304565</v>
      </c>
    </row>
    <row r="100" spans="1:158" x14ac:dyDescent="0.25">
      <c r="A100" s="17">
        <v>97</v>
      </c>
      <c r="B100" s="17" t="s">
        <v>122</v>
      </c>
      <c r="C100" s="17" t="s">
        <v>122</v>
      </c>
      <c r="D100" s="17" t="s">
        <v>25</v>
      </c>
      <c r="E100" s="16">
        <v>0</v>
      </c>
      <c r="F100" s="18">
        <v>3.07</v>
      </c>
      <c r="G100" s="18">
        <v>3.46</v>
      </c>
      <c r="H100" s="18">
        <v>4.41</v>
      </c>
      <c r="I100" s="18">
        <v>3.5</v>
      </c>
      <c r="J100" s="18">
        <v>3.32</v>
      </c>
      <c r="K100" s="18">
        <v>4.49</v>
      </c>
      <c r="L100" s="18">
        <v>3.65</v>
      </c>
      <c r="M100" s="18">
        <v>3.46</v>
      </c>
      <c r="N100" s="18">
        <v>4.25</v>
      </c>
      <c r="O100" s="18">
        <v>4.3499999999999996</v>
      </c>
      <c r="P100" s="18">
        <v>3.36</v>
      </c>
      <c r="Q100" s="18">
        <v>3.86</v>
      </c>
      <c r="R100" s="18">
        <v>4.72</v>
      </c>
      <c r="S100" s="18">
        <v>3.67</v>
      </c>
      <c r="T100" s="18">
        <v>4.1399999999999997</v>
      </c>
      <c r="U100" s="18">
        <v>1.93</v>
      </c>
      <c r="V100" s="18">
        <v>3.35</v>
      </c>
      <c r="W100" s="18">
        <v>2.0699999999999998</v>
      </c>
      <c r="X100" s="18">
        <v>2.81</v>
      </c>
      <c r="Y100" s="18">
        <v>3.4</v>
      </c>
      <c r="Z100" s="18">
        <v>2.96</v>
      </c>
      <c r="AA100" s="18">
        <v>3.5</v>
      </c>
      <c r="AB100" s="18">
        <v>2.91</v>
      </c>
      <c r="AC100" s="18">
        <v>2.9</v>
      </c>
      <c r="AD100" s="19">
        <v>3.12</v>
      </c>
      <c r="AE100" s="19">
        <v>2.99</v>
      </c>
      <c r="AF100" s="19">
        <v>3.36</v>
      </c>
      <c r="AG100" s="19">
        <v>3.13</v>
      </c>
      <c r="AH100" s="19">
        <v>3.3</v>
      </c>
      <c r="AI100" s="19">
        <v>2.99</v>
      </c>
      <c r="AJ100" s="19">
        <v>4.9800000000000004</v>
      </c>
      <c r="AK100" s="19">
        <v>4.53</v>
      </c>
      <c r="AL100" s="19">
        <v>4.03</v>
      </c>
      <c r="AM100" s="19">
        <v>4.5199999999999996</v>
      </c>
      <c r="AN100" s="19">
        <v>4.66</v>
      </c>
      <c r="AO100" s="19">
        <v>4.71</v>
      </c>
      <c r="AP100" s="19">
        <v>4.5599999999999996</v>
      </c>
      <c r="AQ100" s="19">
        <v>3.55</v>
      </c>
      <c r="AR100" s="19">
        <v>4.96</v>
      </c>
      <c r="AS100" s="19">
        <v>3.42</v>
      </c>
      <c r="AT100" s="19">
        <v>3</v>
      </c>
      <c r="AU100" s="19">
        <v>5.65</v>
      </c>
      <c r="AV100" s="19">
        <v>1.78</v>
      </c>
      <c r="AW100" s="19">
        <v>3.51</v>
      </c>
      <c r="AX100" s="19">
        <v>3.54</v>
      </c>
      <c r="AY100" s="19">
        <v>3.3</v>
      </c>
      <c r="AZ100" s="19">
        <v>3.23</v>
      </c>
      <c r="BA100" s="19">
        <v>2.6</v>
      </c>
      <c r="BB100" s="19">
        <v>2.39</v>
      </c>
      <c r="BC100" s="19">
        <v>2.39</v>
      </c>
      <c r="BD100" s="19">
        <v>2.9</v>
      </c>
      <c r="BE100" s="19">
        <v>3.76</v>
      </c>
      <c r="BF100" s="19">
        <v>4.8600000000000003</v>
      </c>
      <c r="BG100" s="19">
        <v>5.82</v>
      </c>
      <c r="BH100" s="19">
        <v>5.0199999999999996</v>
      </c>
      <c r="BI100" s="19">
        <v>7</v>
      </c>
      <c r="BJ100" s="19">
        <v>4.8499999999999996</v>
      </c>
      <c r="BK100" s="19">
        <v>4.34</v>
      </c>
      <c r="BL100" s="19">
        <v>2.69</v>
      </c>
      <c r="BM100" s="19">
        <v>3.3</v>
      </c>
      <c r="BN100" s="19">
        <v>3.5</v>
      </c>
      <c r="BO100" s="19">
        <v>3.68</v>
      </c>
      <c r="BP100" s="19">
        <v>3.36</v>
      </c>
      <c r="BQ100" s="19">
        <v>3.54</v>
      </c>
      <c r="BR100" s="19">
        <v>3.1</v>
      </c>
      <c r="BS100" s="19">
        <v>3.81</v>
      </c>
      <c r="BT100" s="19">
        <v>3.81</v>
      </c>
      <c r="BU100" s="19">
        <v>3.35</v>
      </c>
      <c r="BV100" s="19">
        <v>2.63</v>
      </c>
      <c r="BW100" s="19">
        <v>3.89</v>
      </c>
      <c r="BX100" s="19">
        <v>3.14</v>
      </c>
      <c r="BY100" s="19">
        <v>4.34</v>
      </c>
      <c r="BZ100" s="19">
        <v>4.8</v>
      </c>
      <c r="CA100" s="19">
        <v>56.57</v>
      </c>
      <c r="CB100" s="19">
        <v>1</v>
      </c>
      <c r="CC100" s="19">
        <v>6.25</v>
      </c>
      <c r="CD100" s="19">
        <v>48.07</v>
      </c>
      <c r="CE100" s="19">
        <v>97.71</v>
      </c>
      <c r="CF100" s="19">
        <v>125.51</v>
      </c>
      <c r="CG100" s="19">
        <v>1</v>
      </c>
      <c r="CH100" s="19">
        <v>117.17</v>
      </c>
      <c r="CI100" s="19">
        <v>118.34</v>
      </c>
      <c r="CJ100" s="19">
        <v>22.03</v>
      </c>
      <c r="CK100" s="19">
        <v>51.21</v>
      </c>
      <c r="CL100" s="19">
        <v>86.99</v>
      </c>
      <c r="CM100" s="19">
        <v>77.64</v>
      </c>
      <c r="CN100" s="19">
        <v>100.56</v>
      </c>
      <c r="CO100" s="19">
        <v>128.05000000000001</v>
      </c>
      <c r="CP100" s="19">
        <v>145.84</v>
      </c>
      <c r="CQ100" s="19">
        <v>153.27000000000001</v>
      </c>
      <c r="CR100" s="19">
        <v>138.97999999999999</v>
      </c>
      <c r="CS100" s="19">
        <v>144.63999999999999</v>
      </c>
      <c r="CT100" s="19">
        <v>133.53</v>
      </c>
      <c r="CU100" s="19">
        <v>169.41</v>
      </c>
      <c r="CV100" s="19">
        <v>164.41</v>
      </c>
      <c r="CW100" s="19">
        <v>200</v>
      </c>
      <c r="CX100" s="19">
        <v>183.53</v>
      </c>
      <c r="CY100" s="19">
        <v>3.81</v>
      </c>
      <c r="CZ100" s="19">
        <v>3.87</v>
      </c>
      <c r="DA100" s="19">
        <v>4.8600000000000003</v>
      </c>
      <c r="DB100" s="19">
        <v>4.9000000000000004</v>
      </c>
      <c r="DC100" s="19">
        <v>3.31</v>
      </c>
      <c r="DD100" s="19">
        <v>3.99</v>
      </c>
      <c r="DE100" s="19">
        <v>4.18</v>
      </c>
      <c r="DF100" s="19">
        <v>4.62</v>
      </c>
      <c r="DG100" s="19">
        <v>4.42</v>
      </c>
      <c r="DH100" s="19">
        <v>4.1900000000000004</v>
      </c>
      <c r="DI100" s="19">
        <v>5.26</v>
      </c>
      <c r="DJ100" s="19">
        <v>3.49</v>
      </c>
      <c r="DK100" s="19">
        <v>4.54</v>
      </c>
      <c r="DL100" s="19">
        <v>4.5199999999999996</v>
      </c>
      <c r="DM100" s="19">
        <v>4.59</v>
      </c>
      <c r="DN100" s="19">
        <v>4.0599999999999996</v>
      </c>
      <c r="DO100" s="19">
        <v>4.2</v>
      </c>
      <c r="DP100" s="19">
        <v>4.8099999999999996</v>
      </c>
      <c r="DQ100" s="19">
        <v>4.21</v>
      </c>
      <c r="DR100" s="19">
        <v>4.82</v>
      </c>
      <c r="DS100" s="19">
        <v>5.18</v>
      </c>
      <c r="DT100" s="19">
        <v>3.83</v>
      </c>
      <c r="DU100" s="19">
        <v>4.2699999999999996</v>
      </c>
      <c r="DV100" s="19">
        <v>4.45</v>
      </c>
      <c r="DW100" s="19">
        <v>3.84</v>
      </c>
      <c r="DX100" s="19">
        <v>5.23</v>
      </c>
      <c r="DY100" s="19">
        <v>5.73</v>
      </c>
      <c r="DZ100" s="19">
        <v>4.0599999999999996</v>
      </c>
      <c r="EA100" s="19">
        <v>6.97</v>
      </c>
      <c r="EB100" s="19">
        <v>5.85</v>
      </c>
      <c r="EC100" s="19">
        <v>4.59</v>
      </c>
      <c r="ED100" s="19">
        <v>1.83</v>
      </c>
      <c r="EE100" s="19">
        <v>4.7699999999999996</v>
      </c>
      <c r="EF100" s="19">
        <v>2.52</v>
      </c>
      <c r="EG100" s="19">
        <v>3.65</v>
      </c>
      <c r="EH100" s="19">
        <v>3.54</v>
      </c>
      <c r="EI100" s="19">
        <v>4.03</v>
      </c>
      <c r="EJ100" s="19">
        <v>4.26</v>
      </c>
      <c r="EK100" s="19">
        <v>2.27</v>
      </c>
      <c r="EL100" s="19">
        <v>3.93</v>
      </c>
      <c r="EM100" s="19">
        <v>4.62</v>
      </c>
      <c r="EN100" s="19">
        <v>3.84</v>
      </c>
      <c r="EO100" s="19">
        <v>5.48</v>
      </c>
      <c r="EP100" s="19">
        <v>4.67</v>
      </c>
      <c r="EQ100" s="19">
        <v>2.91</v>
      </c>
      <c r="ER100" s="19"/>
      <c r="ES100" s="16">
        <f t="shared" si="6"/>
        <v>3.32</v>
      </c>
      <c r="ET100" s="16">
        <f t="shared" si="6"/>
        <v>3.4</v>
      </c>
      <c r="EU100" s="16">
        <f t="shared" si="6"/>
        <v>4.53</v>
      </c>
      <c r="EV100" s="16">
        <f t="shared" si="6"/>
        <v>3.23</v>
      </c>
      <c r="EW100" s="16">
        <f t="shared" si="6"/>
        <v>3.68</v>
      </c>
      <c r="EX100" s="16" t="str">
        <f t="shared" si="6"/>
        <v>.</v>
      </c>
      <c r="EY100" s="16">
        <f t="shared" si="6"/>
        <v>100.56</v>
      </c>
      <c r="EZ100" s="16">
        <f t="shared" si="6"/>
        <v>3.31</v>
      </c>
      <c r="FA100" s="16">
        <f t="shared" si="6"/>
        <v>4.82</v>
      </c>
      <c r="FB100" s="16">
        <f t="shared" si="6"/>
        <v>3.65</v>
      </c>
    </row>
    <row r="101" spans="1:158" x14ac:dyDescent="0.25">
      <c r="A101" s="17">
        <v>98</v>
      </c>
      <c r="B101" s="17" t="s">
        <v>123</v>
      </c>
      <c r="C101" s="17" t="s">
        <v>123</v>
      </c>
      <c r="D101" s="17" t="s">
        <v>14</v>
      </c>
      <c r="E101" s="16">
        <v>1</v>
      </c>
      <c r="F101" s="18">
        <v>3.3506014522620617</v>
      </c>
      <c r="G101" s="18">
        <v>3.4094013126132454</v>
      </c>
      <c r="H101" s="18">
        <v>3.304120489610197</v>
      </c>
      <c r="I101" s="18">
        <v>3.0765223419153553</v>
      </c>
      <c r="J101" s="18">
        <v>3.056246145901639</v>
      </c>
      <c r="K101" s="18">
        <v>3.2226532375939847</v>
      </c>
      <c r="L101" s="18">
        <v>3.5239044308270677</v>
      </c>
      <c r="M101" s="18">
        <v>3.6189218311790445</v>
      </c>
      <c r="N101" s="18">
        <v>3.4334591993844081</v>
      </c>
      <c r="O101" s="18">
        <v>3.3775124933605212</v>
      </c>
      <c r="P101" s="18">
        <v>2.6106033658387342</v>
      </c>
      <c r="Q101" s="18">
        <v>4.5403049324711819</v>
      </c>
      <c r="R101" s="18">
        <v>3.869348773353547</v>
      </c>
      <c r="S101" s="18">
        <v>4.2425756230996186</v>
      </c>
      <c r="T101" s="18">
        <v>3.5658135310073256</v>
      </c>
      <c r="U101" s="18">
        <v>2.9847759605911999</v>
      </c>
      <c r="V101" s="18">
        <v>3.0121272498510909</v>
      </c>
      <c r="W101" s="18">
        <v>2.9686896525626207</v>
      </c>
      <c r="X101" s="18">
        <v>2.9153591461855668</v>
      </c>
      <c r="Y101" s="18">
        <v>2.978865138688525</v>
      </c>
      <c r="Z101" s="18">
        <v>2.9937263703896102</v>
      </c>
      <c r="AA101" s="18">
        <v>3.0043494144217684</v>
      </c>
      <c r="AB101" s="18">
        <v>3.1040666336343827</v>
      </c>
      <c r="AC101" s="18">
        <v>3.0992924055311812</v>
      </c>
      <c r="AD101" s="19">
        <v>3.1582770000492131</v>
      </c>
      <c r="AE101" s="19">
        <v>3.1953056654512193</v>
      </c>
      <c r="AF101" s="19">
        <v>3.1416611555976233</v>
      </c>
      <c r="AG101" s="19">
        <v>3.2226986464034959</v>
      </c>
      <c r="AH101" s="19">
        <v>3.1328416541601674</v>
      </c>
      <c r="AI101" s="19">
        <v>3.2790010524048299</v>
      </c>
      <c r="AJ101" s="19">
        <v>4.1357857207903788</v>
      </c>
      <c r="AK101" s="19">
        <v>4.1285410883879772</v>
      </c>
      <c r="AL101" s="19">
        <v>4.4446893095238096</v>
      </c>
      <c r="AM101" s="19">
        <v>4.4749536639455778</v>
      </c>
      <c r="AN101" s="19">
        <v>4.2320072191382501</v>
      </c>
      <c r="AO101" s="19">
        <v>4.0437990483187001</v>
      </c>
      <c r="AP101" s="19">
        <v>3.9183133462527855</v>
      </c>
      <c r="AQ101" s="19">
        <v>4.2993407216544552</v>
      </c>
      <c r="AR101" s="19">
        <v>4.3024440596753557</v>
      </c>
      <c r="AS101" s="19">
        <v>4.2708142579187669</v>
      </c>
      <c r="AT101" s="19">
        <v>2.9898737872709202</v>
      </c>
      <c r="AU101" s="19">
        <v>3.8479940678820772</v>
      </c>
      <c r="AV101" s="19">
        <v>3.5850467289719621</v>
      </c>
      <c r="AW101" s="19">
        <v>3.634427667741936</v>
      </c>
      <c r="AX101" s="19">
        <v>3.5074195329479769</v>
      </c>
      <c r="AY101" s="19">
        <v>3.4436591427835053</v>
      </c>
      <c r="AZ101" s="19">
        <v>3.4225016213114756</v>
      </c>
      <c r="BA101" s="19">
        <v>3.5171695922077921</v>
      </c>
      <c r="BB101" s="19">
        <v>3.3512844163265303</v>
      </c>
      <c r="BC101" s="19">
        <v>3.1787338863301877</v>
      </c>
      <c r="BD101" s="19">
        <v>3.3589553073395129</v>
      </c>
      <c r="BE101" s="19">
        <v>3.4196208986076151</v>
      </c>
      <c r="BF101" s="19">
        <v>4.4965981884525696</v>
      </c>
      <c r="BG101" s="19">
        <v>3.8975980875195249</v>
      </c>
      <c r="BH101" s="19">
        <v>3.6737696516443181</v>
      </c>
      <c r="BI101" s="19">
        <v>4.2890483999688955</v>
      </c>
      <c r="BJ101" s="19">
        <v>5.3560198947466278</v>
      </c>
      <c r="BK101" s="19">
        <v>2.6135931147367861</v>
      </c>
      <c r="BL101" s="19">
        <v>2.668890876927283</v>
      </c>
      <c r="BM101" s="19">
        <v>2.3347872404624281</v>
      </c>
      <c r="BN101" s="19">
        <v>2.1981883664948456</v>
      </c>
      <c r="BO101" s="19">
        <v>2.361036980327869</v>
      </c>
      <c r="BP101" s="19">
        <v>2.3045922012987012</v>
      </c>
      <c r="BQ101" s="19">
        <v>2.6206053857142853</v>
      </c>
      <c r="BR101" s="19">
        <v>2.9146229199190961</v>
      </c>
      <c r="BS101" s="19">
        <v>2.6958010485005932</v>
      </c>
      <c r="BT101" s="19">
        <v>2.6395668596834749</v>
      </c>
      <c r="BU101" s="19">
        <v>2.413371755657761</v>
      </c>
      <c r="BV101" s="19">
        <v>2.3565376466988202</v>
      </c>
      <c r="BW101" s="19">
        <v>2.0680852658604785</v>
      </c>
      <c r="BX101" s="19">
        <v>3.3847972466621332</v>
      </c>
      <c r="BY101" s="19">
        <v>1.930652494965754</v>
      </c>
      <c r="BZ101" s="19">
        <v>1</v>
      </c>
      <c r="CA101" s="19">
        <v>1</v>
      </c>
      <c r="CB101" s="19">
        <v>1.83909578378802</v>
      </c>
      <c r="CC101" s="19">
        <v>11.29742741527</v>
      </c>
      <c r="CD101" s="19">
        <v>18.840419527232001</v>
      </c>
      <c r="CE101" s="19">
        <v>22.13438861472433</v>
      </c>
      <c r="CF101" s="19">
        <v>24.413270082870607</v>
      </c>
      <c r="CG101" s="19">
        <v>33.240285216093476</v>
      </c>
      <c r="CH101" s="19">
        <v>35.223516140045383</v>
      </c>
      <c r="CI101" s="19">
        <v>39.592769482310693</v>
      </c>
      <c r="CJ101" s="19">
        <v>7.6648391361833399</v>
      </c>
      <c r="CK101" s="19">
        <v>10.8702850341797</v>
      </c>
      <c r="CL101" s="19">
        <v>25.6934108734131</v>
      </c>
      <c r="CM101" s="19">
        <v>28.762027740478501</v>
      </c>
      <c r="CN101" s="19">
        <v>47.663812868461797</v>
      </c>
      <c r="CO101" s="19">
        <v>68.322257884036802</v>
      </c>
      <c r="CP101" s="19">
        <v>89.545482148701595</v>
      </c>
      <c r="CQ101" s="19">
        <v>129.06693722572399</v>
      </c>
      <c r="CR101" s="19">
        <v>149.023888354728</v>
      </c>
      <c r="CS101" s="19">
        <v>139.611855568999</v>
      </c>
      <c r="CT101" s="19">
        <v>163.18620825709391</v>
      </c>
      <c r="CU101" s="19">
        <v>178.63291608828575</v>
      </c>
      <c r="CV101" s="19">
        <v>200</v>
      </c>
      <c r="CW101" s="19">
        <v>200</v>
      </c>
      <c r="CX101" s="19">
        <v>200</v>
      </c>
      <c r="CY101" s="19">
        <v>4.1405966576124484</v>
      </c>
      <c r="CZ101" s="19">
        <v>4.0557136038932144</v>
      </c>
      <c r="DA101" s="19">
        <v>3.8522366138728321</v>
      </c>
      <c r="DB101" s="19">
        <v>3.5318217541237114</v>
      </c>
      <c r="DC101" s="19">
        <v>3.463453271311475</v>
      </c>
      <c r="DD101" s="19">
        <v>3.6028165870129865</v>
      </c>
      <c r="DE101" s="19">
        <v>3.2650212622448977</v>
      </c>
      <c r="DF101" s="19">
        <v>3.40117125602388</v>
      </c>
      <c r="DG101" s="19">
        <v>3.7485497634078184</v>
      </c>
      <c r="DH101" s="19">
        <v>3.7437396500561686</v>
      </c>
      <c r="DI101" s="19">
        <v>3.2919799282954463</v>
      </c>
      <c r="DJ101" s="19">
        <v>3.2430706966971616</v>
      </c>
      <c r="DK101" s="19">
        <v>3.0109408464366125</v>
      </c>
      <c r="DL101" s="19">
        <v>3.1940831691594376</v>
      </c>
      <c r="DM101" s="19">
        <v>4.4388400900772744</v>
      </c>
      <c r="DN101" s="19">
        <v>2.6766313355711238</v>
      </c>
      <c r="DO101" s="19">
        <v>2.573151691856161</v>
      </c>
      <c r="DP101" s="19">
        <v>3.0089308265895953</v>
      </c>
      <c r="DQ101" s="19">
        <v>3.4130253891752576</v>
      </c>
      <c r="DR101" s="19">
        <v>3.5879527504098361</v>
      </c>
      <c r="DS101" s="19">
        <v>3.774556381818182</v>
      </c>
      <c r="DT101" s="19">
        <v>3.7581724142857142</v>
      </c>
      <c r="DU101" s="19">
        <v>3.5913047275603738</v>
      </c>
      <c r="DV101" s="19">
        <v>3.2097473258195923</v>
      </c>
      <c r="DW101" s="19">
        <v>2.4019077584550188</v>
      </c>
      <c r="DX101" s="19">
        <v>2.3934781620899499</v>
      </c>
      <c r="DY101" s="19">
        <v>4.6647009232292795</v>
      </c>
      <c r="DZ101" s="19">
        <v>4.9011995129539487</v>
      </c>
      <c r="EA101" s="19">
        <v>3.30365044318807</v>
      </c>
      <c r="EB101" s="19">
        <v>4.4799489445845406</v>
      </c>
      <c r="EC101" s="19">
        <v>2.6920034727541999</v>
      </c>
      <c r="ED101" s="19">
        <v>2.7774527921734533</v>
      </c>
      <c r="EE101" s="19">
        <v>2.8086186520231213</v>
      </c>
      <c r="EF101" s="19">
        <v>2.9350283850515462</v>
      </c>
      <c r="EG101" s="19">
        <v>3.2597052500000001</v>
      </c>
      <c r="EH101" s="19">
        <v>3.5868495883116882</v>
      </c>
      <c r="EI101" s="19">
        <v>3.487603920408163</v>
      </c>
      <c r="EJ101" s="19">
        <v>3.3508586897682058</v>
      </c>
      <c r="EK101" s="19">
        <v>3.1570116479729498</v>
      </c>
      <c r="EL101" s="19">
        <v>3.2301294739181934</v>
      </c>
      <c r="EM101" s="19">
        <v>3.2087075073287186</v>
      </c>
      <c r="EN101" s="19">
        <v>3.9285738578442833</v>
      </c>
      <c r="EO101" s="19">
        <v>3.0368454274318299</v>
      </c>
      <c r="EP101" s="19">
        <v>3.4031595272226918</v>
      </c>
      <c r="EQ101" s="19">
        <v>3.6029041426357695</v>
      </c>
      <c r="ER101" s="19"/>
      <c r="ES101" s="16">
        <f t="shared" ref="ES101:FB116" si="7">IF(SUMIF($F$2:$EQ$2,ES$2&amp;"_"&amp;ES$3,$F101:$EQ101)=0,".",SUMIF($F$2:$EQ$2,ES$2&amp;"_"&amp;ES$3,$F101:$EQ101))</f>
        <v>3.056246145901639</v>
      </c>
      <c r="ET101" s="16">
        <f t="shared" si="7"/>
        <v>2.978865138688525</v>
      </c>
      <c r="EU101" s="16">
        <f t="shared" si="7"/>
        <v>4.1285410883879772</v>
      </c>
      <c r="EV101" s="16">
        <f t="shared" si="7"/>
        <v>3.4225016213114756</v>
      </c>
      <c r="EW101" s="16">
        <f t="shared" si="7"/>
        <v>2.361036980327869</v>
      </c>
      <c r="EX101" s="16" t="str">
        <f t="shared" si="7"/>
        <v>.</v>
      </c>
      <c r="EY101" s="16">
        <f t="shared" si="7"/>
        <v>47.663812868461797</v>
      </c>
      <c r="EZ101" s="16">
        <f t="shared" si="7"/>
        <v>3.463453271311475</v>
      </c>
      <c r="FA101" s="16">
        <f t="shared" si="7"/>
        <v>3.5879527504098361</v>
      </c>
      <c r="FB101" s="16">
        <f t="shared" si="7"/>
        <v>3.2597052500000001</v>
      </c>
    </row>
    <row r="102" spans="1:158" x14ac:dyDescent="0.25">
      <c r="A102" s="17">
        <v>99</v>
      </c>
      <c r="B102" s="17" t="s">
        <v>124</v>
      </c>
      <c r="C102" s="17" t="s">
        <v>124</v>
      </c>
      <c r="D102" s="17" t="s">
        <v>23</v>
      </c>
      <c r="E102" s="16">
        <v>1</v>
      </c>
      <c r="F102" s="18">
        <v>4.1519256367096382</v>
      </c>
      <c r="G102" s="18">
        <v>4.231601073291964</v>
      </c>
      <c r="H102" s="18">
        <v>4.3306514763621795</v>
      </c>
      <c r="I102" s="18">
        <v>4.3396856342105261</v>
      </c>
      <c r="J102" s="18">
        <v>4.2849307093567246</v>
      </c>
      <c r="K102" s="18">
        <v>4.2704639291866027</v>
      </c>
      <c r="L102" s="18">
        <v>4.4442107278947365</v>
      </c>
      <c r="M102" s="18">
        <v>4.4505647351096913</v>
      </c>
      <c r="N102" s="18">
        <v>4.2238993944392407</v>
      </c>
      <c r="O102" s="18">
        <v>4.3210577349076074</v>
      </c>
      <c r="P102" s="18">
        <v>4.532160189535432</v>
      </c>
      <c r="Q102" s="18">
        <v>4.6543402246221905</v>
      </c>
      <c r="R102" s="18">
        <v>4.4507394070071467</v>
      </c>
      <c r="S102" s="18">
        <v>4.477504742204216</v>
      </c>
      <c r="T102" s="18">
        <v>4.5436072407117605</v>
      </c>
      <c r="U102" s="18">
        <v>3.2448212946133075</v>
      </c>
      <c r="V102" s="18">
        <v>3.2485908006373427</v>
      </c>
      <c r="W102" s="18">
        <v>3.325790106292017</v>
      </c>
      <c r="X102" s="18">
        <v>3.4277985833333338</v>
      </c>
      <c r="Y102" s="18">
        <v>3.3814414659259255</v>
      </c>
      <c r="Z102" s="18">
        <v>3.4304444176509037</v>
      </c>
      <c r="AA102" s="18">
        <v>3.6116739831002698</v>
      </c>
      <c r="AB102" s="18">
        <v>3.602523448678729</v>
      </c>
      <c r="AC102" s="18">
        <v>3.4950197873890514</v>
      </c>
      <c r="AD102" s="19">
        <v>3.7096067110378752</v>
      </c>
      <c r="AE102" s="19">
        <v>3.6095973151111762</v>
      </c>
      <c r="AF102" s="19">
        <v>3.2668891026430935</v>
      </c>
      <c r="AG102" s="19">
        <v>4.2758912498344213</v>
      </c>
      <c r="AH102" s="19">
        <v>3.6118027701144482</v>
      </c>
      <c r="AI102" s="19">
        <v>4.189521913448333</v>
      </c>
      <c r="AJ102" s="19">
        <v>5.5560485666666679</v>
      </c>
      <c r="AK102" s="19">
        <v>5.6333290740740738</v>
      </c>
      <c r="AL102" s="19">
        <v>5.6477681696969695</v>
      </c>
      <c r="AM102" s="19">
        <v>5.5906723833333345</v>
      </c>
      <c r="AN102" s="19">
        <v>5.3878194738958483</v>
      </c>
      <c r="AO102" s="19">
        <v>5.2185083191427308</v>
      </c>
      <c r="AP102" s="19">
        <v>5.3126956241337338</v>
      </c>
      <c r="AQ102" s="19">
        <v>5.05876613010994</v>
      </c>
      <c r="AR102" s="19">
        <v>5.1869711718835934</v>
      </c>
      <c r="AS102" s="19">
        <v>5.1558588156588039</v>
      </c>
      <c r="AT102" s="19">
        <v>5.4385187450507662</v>
      </c>
      <c r="AU102" s="19">
        <v>5.2129872471566214</v>
      </c>
      <c r="AV102" s="19">
        <v>2.721919378698225</v>
      </c>
      <c r="AW102" s="19">
        <v>2.7975010483321991</v>
      </c>
      <c r="AX102" s="19">
        <v>2.9838328303571426</v>
      </c>
      <c r="AY102" s="19">
        <v>2.9588093000000004</v>
      </c>
      <c r="AZ102" s="19">
        <v>2.8317006777777776</v>
      </c>
      <c r="BA102" s="19">
        <v>3.0053512909090907</v>
      </c>
      <c r="BB102" s="19">
        <v>3.3656634899999998</v>
      </c>
      <c r="BC102" s="19">
        <v>3.4284311732515702</v>
      </c>
      <c r="BD102" s="19">
        <v>3.4894117559705462</v>
      </c>
      <c r="BE102" s="19">
        <v>3.4609554606159838</v>
      </c>
      <c r="BF102" s="19">
        <v>5.2177656826621073</v>
      </c>
      <c r="BG102" s="19">
        <v>3.5279074163760291</v>
      </c>
      <c r="BH102" s="19">
        <v>5.6091499045267588</v>
      </c>
      <c r="BI102" s="19">
        <v>5.8826670764078806</v>
      </c>
      <c r="BJ102" s="19">
        <v>7</v>
      </c>
      <c r="BK102" s="19">
        <v>4.0934553349875937</v>
      </c>
      <c r="BL102" s="19">
        <v>3.8080091469026547</v>
      </c>
      <c r="BM102" s="19">
        <v>3.5944663901785718</v>
      </c>
      <c r="BN102" s="19">
        <v>3.5534742000000001</v>
      </c>
      <c r="BO102" s="19">
        <v>3.6796141888888885</v>
      </c>
      <c r="BP102" s="19">
        <v>3.5692300545454545</v>
      </c>
      <c r="BQ102" s="19">
        <v>3.9050870799999999</v>
      </c>
      <c r="BR102" s="19">
        <v>3.8609259886340852</v>
      </c>
      <c r="BS102" s="19">
        <v>3.4276556650797527</v>
      </c>
      <c r="BT102" s="19">
        <v>3.4688289593523884</v>
      </c>
      <c r="BU102" s="19">
        <v>3.1706329395565649</v>
      </c>
      <c r="BV102" s="19">
        <v>3.0246117767452843</v>
      </c>
      <c r="BW102" s="19">
        <v>4.4219598446018962</v>
      </c>
      <c r="BX102" s="19">
        <v>3.7796819577077319</v>
      </c>
      <c r="BY102" s="19">
        <v>2.6853295649646065</v>
      </c>
      <c r="BZ102" s="19">
        <v>32.638834045302801</v>
      </c>
      <c r="CA102" s="19">
        <v>57.640287014684702</v>
      </c>
      <c r="CB102" s="19">
        <v>40.586101761288901</v>
      </c>
      <c r="CC102" s="19">
        <v>49.7275343720504</v>
      </c>
      <c r="CD102" s="19">
        <v>63.171002622675601</v>
      </c>
      <c r="CE102" s="19">
        <v>66.131196511653144</v>
      </c>
      <c r="CF102" s="19">
        <v>66.643059876586847</v>
      </c>
      <c r="CG102" s="19">
        <v>72.875561005330482</v>
      </c>
      <c r="CH102" s="19">
        <v>74.673724546998017</v>
      </c>
      <c r="CI102" s="19">
        <v>86.341751344707347</v>
      </c>
      <c r="CJ102" s="19">
        <v>80.793017456359095</v>
      </c>
      <c r="CK102" s="19">
        <v>85.962074279785199</v>
      </c>
      <c r="CL102" s="19">
        <v>94.469543457031307</v>
      </c>
      <c r="CM102" s="19">
        <v>103.27149963378901</v>
      </c>
      <c r="CN102" s="19">
        <v>109.339159454041</v>
      </c>
      <c r="CO102" s="19">
        <v>124.86340955594601</v>
      </c>
      <c r="CP102" s="19">
        <v>128.68238504623</v>
      </c>
      <c r="CQ102" s="19">
        <v>129.754501123533</v>
      </c>
      <c r="CR102" s="19">
        <v>126.98339633519799</v>
      </c>
      <c r="CS102" s="19">
        <v>129.29790672921499</v>
      </c>
      <c r="CT102" s="19">
        <v>148.32460246486065</v>
      </c>
      <c r="CU102" s="19">
        <v>147.58225007433472</v>
      </c>
      <c r="CV102" s="19">
        <v>158.40709210044449</v>
      </c>
      <c r="CW102" s="19">
        <v>165.01297792039648</v>
      </c>
      <c r="CX102" s="19">
        <v>164.00452539680654</v>
      </c>
      <c r="CY102" s="19">
        <v>5.3363265971316824</v>
      </c>
      <c r="CZ102" s="19">
        <v>5.5842098548672574</v>
      </c>
      <c r="DA102" s="19">
        <v>5.4743633035714279</v>
      </c>
      <c r="DB102" s="19">
        <v>5.31296605</v>
      </c>
      <c r="DC102" s="19">
        <v>5.2514482999999998</v>
      </c>
      <c r="DD102" s="19">
        <v>5.5602055999999997</v>
      </c>
      <c r="DE102" s="19">
        <v>5.5317717500000008</v>
      </c>
      <c r="DF102" s="19">
        <v>5.0427952072502631</v>
      </c>
      <c r="DG102" s="19">
        <v>4.9303573018028626</v>
      </c>
      <c r="DH102" s="19">
        <v>5.0167632095457062</v>
      </c>
      <c r="DI102" s="19">
        <v>4.9737038979447874</v>
      </c>
      <c r="DJ102" s="19">
        <v>4.896697628816451</v>
      </c>
      <c r="DK102" s="19">
        <v>5.0497325984634935</v>
      </c>
      <c r="DL102" s="19">
        <v>3.9480446773055253</v>
      </c>
      <c r="DM102" s="19">
        <v>4.8474459560991772</v>
      </c>
      <c r="DN102" s="19">
        <v>4.375677447552448</v>
      </c>
      <c r="DO102" s="19">
        <v>4.6344067098954138</v>
      </c>
      <c r="DP102" s="19">
        <v>4.7706386116071435</v>
      </c>
      <c r="DQ102" s="19">
        <v>4.6527884000000004</v>
      </c>
      <c r="DR102" s="19">
        <v>4.8717800111111105</v>
      </c>
      <c r="DS102" s="19">
        <v>5.2469461818181822</v>
      </c>
      <c r="DT102" s="19">
        <v>5.1829005700000002</v>
      </c>
      <c r="DU102" s="19">
        <v>4.8904220458957113</v>
      </c>
      <c r="DV102" s="19">
        <v>4.4119622003464478</v>
      </c>
      <c r="DW102" s="19">
        <v>4.2185257660122364</v>
      </c>
      <c r="DX102" s="19">
        <v>5.0068171172439913</v>
      </c>
      <c r="DY102" s="19">
        <v>4.8387838010154214</v>
      </c>
      <c r="DZ102" s="19">
        <v>6.0609160495731764</v>
      </c>
      <c r="EA102" s="19">
        <v>4.4343004792511707</v>
      </c>
      <c r="EB102" s="19">
        <v>5.4424533240081541</v>
      </c>
      <c r="EC102" s="19">
        <v>3.1720935314685317</v>
      </c>
      <c r="ED102" s="19">
        <v>3.2776172599624567</v>
      </c>
      <c r="EE102" s="19">
        <v>2.8973346973214289</v>
      </c>
      <c r="EF102" s="19">
        <v>2.8346458999999999</v>
      </c>
      <c r="EG102" s="19">
        <v>2.9913975777777777</v>
      </c>
      <c r="EH102" s="19">
        <v>3.0618078000000004</v>
      </c>
      <c r="EI102" s="19">
        <v>3.4334189999999998</v>
      </c>
      <c r="EJ102" s="19">
        <v>3.6540876548010317</v>
      </c>
      <c r="EK102" s="19">
        <v>3.3728868961334229</v>
      </c>
      <c r="EL102" s="19">
        <v>3.1901234200620276</v>
      </c>
      <c r="EM102" s="19">
        <v>3.772623792398984</v>
      </c>
      <c r="EN102" s="19">
        <v>3.3057899195385043</v>
      </c>
      <c r="EO102" s="19">
        <v>2.790017445049739</v>
      </c>
      <c r="EP102" s="19">
        <v>3.2731386396436868</v>
      </c>
      <c r="EQ102" s="19">
        <v>3.6211948542912675</v>
      </c>
      <c r="ER102" s="19"/>
      <c r="ES102" s="16">
        <f t="shared" si="7"/>
        <v>4.2849307093567246</v>
      </c>
      <c r="ET102" s="16">
        <f t="shared" si="7"/>
        <v>3.3814414659259255</v>
      </c>
      <c r="EU102" s="16">
        <f t="shared" si="7"/>
        <v>5.6333290740740738</v>
      </c>
      <c r="EV102" s="16">
        <f t="shared" si="7"/>
        <v>2.8317006777777776</v>
      </c>
      <c r="EW102" s="16">
        <f t="shared" si="7"/>
        <v>3.6796141888888885</v>
      </c>
      <c r="EX102" s="16" t="str">
        <f t="shared" si="7"/>
        <v>.</v>
      </c>
      <c r="EY102" s="16">
        <f t="shared" si="7"/>
        <v>109.339159454041</v>
      </c>
      <c r="EZ102" s="16">
        <f t="shared" si="7"/>
        <v>5.2514482999999998</v>
      </c>
      <c r="FA102" s="16">
        <f t="shared" si="7"/>
        <v>4.8717800111111105</v>
      </c>
      <c r="FB102" s="16">
        <f t="shared" si="7"/>
        <v>2.9913975777777777</v>
      </c>
    </row>
    <row r="103" spans="1:158" x14ac:dyDescent="0.25">
      <c r="A103" s="17">
        <v>100</v>
      </c>
      <c r="B103" s="17" t="s">
        <v>125</v>
      </c>
      <c r="C103" s="17" t="s">
        <v>11</v>
      </c>
      <c r="D103" s="17" t="s">
        <v>16</v>
      </c>
      <c r="E103" s="16">
        <v>0</v>
      </c>
      <c r="F103" s="18">
        <v>3.43</v>
      </c>
      <c r="G103" s="18">
        <v>4.03</v>
      </c>
      <c r="H103" s="18">
        <v>4.88</v>
      </c>
      <c r="I103" s="18">
        <v>2.5</v>
      </c>
      <c r="J103" s="18">
        <v>4.6399999999999997</v>
      </c>
      <c r="K103" s="18">
        <v>3.91</v>
      </c>
      <c r="L103" s="18">
        <v>4.2</v>
      </c>
      <c r="M103" s="18">
        <v>3.34</v>
      </c>
      <c r="N103" s="18">
        <v>4.01</v>
      </c>
      <c r="O103" s="18">
        <v>4.63</v>
      </c>
      <c r="P103" s="18">
        <v>3.88</v>
      </c>
      <c r="Q103" s="18">
        <v>3.67</v>
      </c>
      <c r="R103" s="18">
        <v>3.03</v>
      </c>
      <c r="S103" s="18">
        <v>4.5599999999999996</v>
      </c>
      <c r="T103" s="18">
        <v>3.25</v>
      </c>
      <c r="U103" s="18">
        <v>4.0999999999999996</v>
      </c>
      <c r="V103" s="18">
        <v>3.85</v>
      </c>
      <c r="W103" s="18">
        <v>2.73</v>
      </c>
      <c r="X103" s="18">
        <v>4.2</v>
      </c>
      <c r="Y103" s="18">
        <v>3</v>
      </c>
      <c r="Z103" s="18">
        <v>5.16</v>
      </c>
      <c r="AA103" s="18">
        <v>3.42</v>
      </c>
      <c r="AB103" s="18">
        <v>3.3</v>
      </c>
      <c r="AC103" s="18">
        <v>3.65</v>
      </c>
      <c r="AD103" s="19">
        <v>2.37</v>
      </c>
      <c r="AE103" s="19">
        <v>3.93</v>
      </c>
      <c r="AF103" s="19">
        <v>3.63</v>
      </c>
      <c r="AG103" s="19">
        <v>2.82</v>
      </c>
      <c r="AH103" s="19">
        <v>2.4900000000000002</v>
      </c>
      <c r="AI103" s="19">
        <v>5.28</v>
      </c>
      <c r="AJ103" s="19">
        <v>3.86</v>
      </c>
      <c r="AK103" s="19">
        <v>4.82</v>
      </c>
      <c r="AL103" s="19">
        <v>5.09</v>
      </c>
      <c r="AM103" s="19">
        <v>2.98</v>
      </c>
      <c r="AN103" s="19">
        <v>3.39</v>
      </c>
      <c r="AO103" s="19">
        <v>4.4000000000000004</v>
      </c>
      <c r="AP103" s="19">
        <v>5.83</v>
      </c>
      <c r="AQ103" s="19">
        <v>5.37</v>
      </c>
      <c r="AR103" s="19">
        <v>5.47</v>
      </c>
      <c r="AS103" s="19">
        <v>4.95</v>
      </c>
      <c r="AT103" s="19">
        <v>4.97</v>
      </c>
      <c r="AU103" s="19">
        <v>4.43</v>
      </c>
      <c r="AV103" s="19">
        <v>2.19</v>
      </c>
      <c r="AW103" s="19">
        <v>3.01</v>
      </c>
      <c r="AX103" s="19">
        <v>3.66</v>
      </c>
      <c r="AY103" s="19">
        <v>1.98</v>
      </c>
      <c r="AZ103" s="19">
        <v>3.08</v>
      </c>
      <c r="BA103" s="19">
        <v>2.6</v>
      </c>
      <c r="BB103" s="19">
        <v>2.83</v>
      </c>
      <c r="BC103" s="19">
        <v>4.29</v>
      </c>
      <c r="BD103" s="19">
        <v>3.84</v>
      </c>
      <c r="BE103" s="19">
        <v>3.64</v>
      </c>
      <c r="BF103" s="19">
        <v>5.74</v>
      </c>
      <c r="BG103" s="19">
        <v>4.18</v>
      </c>
      <c r="BH103" s="19">
        <v>3.5</v>
      </c>
      <c r="BI103" s="19">
        <v>4.29</v>
      </c>
      <c r="BJ103" s="19">
        <v>6.57</v>
      </c>
      <c r="BK103" s="19">
        <v>3.02</v>
      </c>
      <c r="BL103" s="19">
        <v>3.41</v>
      </c>
      <c r="BM103" s="19">
        <v>4.33</v>
      </c>
      <c r="BN103" s="19">
        <v>4.2699999999999996</v>
      </c>
      <c r="BO103" s="19">
        <v>2.87</v>
      </c>
      <c r="BP103" s="19">
        <v>3.79</v>
      </c>
      <c r="BQ103" s="19">
        <v>2.74</v>
      </c>
      <c r="BR103" s="19">
        <v>4.5599999999999996</v>
      </c>
      <c r="BS103" s="19">
        <v>3.41</v>
      </c>
      <c r="BT103" s="19">
        <v>3.52</v>
      </c>
      <c r="BU103" s="19">
        <v>1.43</v>
      </c>
      <c r="BV103" s="19">
        <v>2.56</v>
      </c>
      <c r="BW103" s="19">
        <v>3.65</v>
      </c>
      <c r="BX103" s="19">
        <v>3.52</v>
      </c>
      <c r="BY103" s="19">
        <v>3.17</v>
      </c>
      <c r="BZ103" s="19">
        <v>47.59</v>
      </c>
      <c r="CA103" s="19">
        <v>57.38</v>
      </c>
      <c r="CB103" s="19">
        <v>200</v>
      </c>
      <c r="CC103" s="19">
        <v>22.42</v>
      </c>
      <c r="CD103" s="19">
        <v>67.53</v>
      </c>
      <c r="CE103" s="19">
        <v>85.68</v>
      </c>
      <c r="CF103" s="19">
        <v>200</v>
      </c>
      <c r="CG103" s="19">
        <v>49.38</v>
      </c>
      <c r="CH103" s="19">
        <v>85.46</v>
      </c>
      <c r="CI103" s="19">
        <v>34.520000000000003</v>
      </c>
      <c r="CJ103" s="19">
        <v>11.71</v>
      </c>
      <c r="CK103" s="19">
        <v>84.46</v>
      </c>
      <c r="CL103" s="19">
        <v>48.47</v>
      </c>
      <c r="CM103" s="19">
        <v>163.11000000000001</v>
      </c>
      <c r="CN103" s="19">
        <v>123.89</v>
      </c>
      <c r="CO103" s="19">
        <v>34.590000000000003</v>
      </c>
      <c r="CP103" s="19">
        <v>71.09</v>
      </c>
      <c r="CQ103" s="19">
        <v>149.29</v>
      </c>
      <c r="CR103" s="19">
        <v>112.78</v>
      </c>
      <c r="CS103" s="19">
        <v>178.14</v>
      </c>
      <c r="CT103" s="19">
        <v>155.87</v>
      </c>
      <c r="CU103" s="19">
        <v>162.81</v>
      </c>
      <c r="CV103" s="19">
        <v>148.86000000000001</v>
      </c>
      <c r="CW103" s="19">
        <v>195.02</v>
      </c>
      <c r="CX103" s="19">
        <v>153.53</v>
      </c>
      <c r="CY103" s="19">
        <v>3.91</v>
      </c>
      <c r="CZ103" s="19">
        <v>4.8899999999999997</v>
      </c>
      <c r="DA103" s="19">
        <v>4.13</v>
      </c>
      <c r="DB103" s="19">
        <v>3.45</v>
      </c>
      <c r="DC103" s="19">
        <v>5.01</v>
      </c>
      <c r="DD103" s="19">
        <v>3.01</v>
      </c>
      <c r="DE103" s="19">
        <v>3.99</v>
      </c>
      <c r="DF103" s="19">
        <v>4.71</v>
      </c>
      <c r="DG103" s="19">
        <v>4.2</v>
      </c>
      <c r="DH103" s="19">
        <v>3.48</v>
      </c>
      <c r="DI103" s="19">
        <v>3.21</v>
      </c>
      <c r="DJ103" s="19">
        <v>5.17</v>
      </c>
      <c r="DK103" s="19">
        <v>3.54</v>
      </c>
      <c r="DL103" s="19">
        <v>3.92</v>
      </c>
      <c r="DM103" s="19">
        <v>3.58</v>
      </c>
      <c r="DN103" s="19">
        <v>4.7</v>
      </c>
      <c r="DO103" s="19">
        <v>5.43</v>
      </c>
      <c r="DP103" s="19">
        <v>4.01</v>
      </c>
      <c r="DQ103" s="19">
        <v>3.43</v>
      </c>
      <c r="DR103" s="19">
        <v>4.8499999999999996</v>
      </c>
      <c r="DS103" s="19">
        <v>4.75</v>
      </c>
      <c r="DT103" s="19">
        <v>4.0599999999999996</v>
      </c>
      <c r="DU103" s="19">
        <v>2.02</v>
      </c>
      <c r="DV103" s="19">
        <v>4.1399999999999997</v>
      </c>
      <c r="DW103" s="19">
        <v>3.04</v>
      </c>
      <c r="DX103" s="19">
        <v>3.54</v>
      </c>
      <c r="DY103" s="19">
        <v>4.91</v>
      </c>
      <c r="DZ103" s="19">
        <v>4.17</v>
      </c>
      <c r="EA103" s="19">
        <v>2.35</v>
      </c>
      <c r="EB103" s="19">
        <v>3.43</v>
      </c>
      <c r="EC103" s="19">
        <v>1.19</v>
      </c>
      <c r="ED103" s="19">
        <v>1</v>
      </c>
      <c r="EE103" s="19">
        <v>3.14</v>
      </c>
      <c r="EF103" s="19">
        <v>2.75</v>
      </c>
      <c r="EG103" s="19">
        <v>1.89</v>
      </c>
      <c r="EH103" s="19">
        <v>4.76</v>
      </c>
      <c r="EI103" s="19">
        <v>7</v>
      </c>
      <c r="EJ103" s="19">
        <v>2.72</v>
      </c>
      <c r="EK103" s="19">
        <v>5.13</v>
      </c>
      <c r="EL103" s="19">
        <v>4.7300000000000004</v>
      </c>
      <c r="EM103" s="19">
        <v>4.7</v>
      </c>
      <c r="EN103" s="19">
        <v>2.14</v>
      </c>
      <c r="EO103" s="19">
        <v>5.68</v>
      </c>
      <c r="EP103" s="19">
        <v>4.3600000000000003</v>
      </c>
      <c r="EQ103" s="19">
        <v>4.97</v>
      </c>
      <c r="ER103" s="19"/>
      <c r="ES103" s="16">
        <f t="shared" si="7"/>
        <v>4.6399999999999997</v>
      </c>
      <c r="ET103" s="16">
        <f t="shared" si="7"/>
        <v>3</v>
      </c>
      <c r="EU103" s="16">
        <f t="shared" si="7"/>
        <v>4.82</v>
      </c>
      <c r="EV103" s="16">
        <f t="shared" si="7"/>
        <v>3.08</v>
      </c>
      <c r="EW103" s="16">
        <f t="shared" si="7"/>
        <v>2.87</v>
      </c>
      <c r="EX103" s="16" t="str">
        <f t="shared" si="7"/>
        <v>.</v>
      </c>
      <c r="EY103" s="16">
        <f t="shared" si="7"/>
        <v>123.89</v>
      </c>
      <c r="EZ103" s="16">
        <f t="shared" si="7"/>
        <v>5.01</v>
      </c>
      <c r="FA103" s="16">
        <f t="shared" si="7"/>
        <v>4.8499999999999996</v>
      </c>
      <c r="FB103" s="16">
        <f t="shared" si="7"/>
        <v>1.89</v>
      </c>
    </row>
    <row r="104" spans="1:158" x14ac:dyDescent="0.25">
      <c r="A104" s="17">
        <v>101</v>
      </c>
      <c r="B104" s="17" t="s">
        <v>126</v>
      </c>
      <c r="C104" s="17" t="s">
        <v>126</v>
      </c>
      <c r="D104" s="17" t="s">
        <v>14</v>
      </c>
      <c r="E104" s="16">
        <v>1</v>
      </c>
      <c r="F104" s="18">
        <v>3.4319678858710301</v>
      </c>
      <c r="G104" s="18">
        <v>3.3809517072551016</v>
      </c>
      <c r="H104" s="18">
        <v>3.2083172909270217</v>
      </c>
      <c r="I104" s="18">
        <v>2.9038742742194472</v>
      </c>
      <c r="J104" s="18">
        <v>2.9257145725190847</v>
      </c>
      <c r="K104" s="18">
        <v>3.3508322027519775</v>
      </c>
      <c r="L104" s="18">
        <v>3.1752885588235298</v>
      </c>
      <c r="M104" s="18">
        <v>2.850675645126262</v>
      </c>
      <c r="N104" s="18">
        <v>2.7195393468877112</v>
      </c>
      <c r="O104" s="18">
        <v>2.55522902089792</v>
      </c>
      <c r="P104" s="18">
        <v>2.5422464879551345</v>
      </c>
      <c r="Q104" s="18">
        <v>2.7654110097970976</v>
      </c>
      <c r="R104" s="18">
        <v>1.9866040623299765</v>
      </c>
      <c r="S104" s="18">
        <v>2.7491131213804829</v>
      </c>
      <c r="T104" s="18">
        <v>1.7304145372388158</v>
      </c>
      <c r="U104" s="18">
        <v>2.5601969319137923</v>
      </c>
      <c r="V104" s="18">
        <v>2.4840045445120156</v>
      </c>
      <c r="W104" s="18">
        <v>2.4598793898575502</v>
      </c>
      <c r="X104" s="18">
        <v>2.3620818155932204</v>
      </c>
      <c r="Y104" s="18">
        <v>2.4111342903816797</v>
      </c>
      <c r="Z104" s="18">
        <v>2.6757073461873637</v>
      </c>
      <c r="AA104" s="18">
        <v>2.5001068607843138</v>
      </c>
      <c r="AB104" s="18">
        <v>2.4147141719091012</v>
      </c>
      <c r="AC104" s="18">
        <v>2.2261396285664299</v>
      </c>
      <c r="AD104" s="19">
        <v>2.1994981684189678</v>
      </c>
      <c r="AE104" s="19">
        <v>2.095438599942208</v>
      </c>
      <c r="AF104" s="19">
        <v>2.2608014875833393</v>
      </c>
      <c r="AG104" s="19">
        <v>2.2193326460367655</v>
      </c>
      <c r="AH104" s="19">
        <v>2.0543113653779841</v>
      </c>
      <c r="AI104" s="19">
        <v>1.7940485582856835</v>
      </c>
      <c r="AJ104" s="19">
        <v>3.7542704412429386</v>
      </c>
      <c r="AK104" s="19">
        <v>3.5923155358778627</v>
      </c>
      <c r="AL104" s="19">
        <v>4.0000298435729853</v>
      </c>
      <c r="AM104" s="19">
        <v>3.9692683823529413</v>
      </c>
      <c r="AN104" s="19">
        <v>4.040446382501746</v>
      </c>
      <c r="AO104" s="19">
        <v>3.9058417559472267</v>
      </c>
      <c r="AP104" s="19">
        <v>3.0111234770446527</v>
      </c>
      <c r="AQ104" s="19">
        <v>3.2765014675763133</v>
      </c>
      <c r="AR104" s="19">
        <v>4.1377593800661048</v>
      </c>
      <c r="AS104" s="19">
        <v>3.1865423888743383</v>
      </c>
      <c r="AT104" s="19">
        <v>3.6348516933290242</v>
      </c>
      <c r="AU104" s="19">
        <v>3.5053573453558586</v>
      </c>
      <c r="AV104" s="19">
        <v>4.103026874115983</v>
      </c>
      <c r="AW104" s="19">
        <v>3.9967491941964286</v>
      </c>
      <c r="AX104" s="19">
        <v>4.3988202427350434</v>
      </c>
      <c r="AY104" s="19">
        <v>4.3327505101694914</v>
      </c>
      <c r="AZ104" s="19">
        <v>3.9301174351145036</v>
      </c>
      <c r="BA104" s="19">
        <v>4.1300846967320259</v>
      </c>
      <c r="BB104" s="19">
        <v>3.3421530294117643</v>
      </c>
      <c r="BC104" s="19">
        <v>3.1271102300456386</v>
      </c>
      <c r="BD104" s="19">
        <v>3.1695296313311605</v>
      </c>
      <c r="BE104" s="19">
        <v>3.1841815717884749</v>
      </c>
      <c r="BF104" s="19">
        <v>2.4933219967774436</v>
      </c>
      <c r="BG104" s="19">
        <v>2.3090026178825549</v>
      </c>
      <c r="BH104" s="19">
        <v>1.9845496115466068</v>
      </c>
      <c r="BI104" s="19">
        <v>2.132680199892139</v>
      </c>
      <c r="BJ104" s="19">
        <v>2.9113463622813285</v>
      </c>
      <c r="BK104" s="19">
        <v>2.6502766453115898</v>
      </c>
      <c r="BL104" s="19">
        <v>2.5165423770833337</v>
      </c>
      <c r="BM104" s="19">
        <v>2.4620574282051284</v>
      </c>
      <c r="BN104" s="19">
        <v>2.3998487983050847</v>
      </c>
      <c r="BO104" s="19">
        <v>2.2537399664122137</v>
      </c>
      <c r="BP104" s="19">
        <v>2.3180367633986929</v>
      </c>
      <c r="BQ104" s="19">
        <v>2.4904484117647057</v>
      </c>
      <c r="BR104" s="19">
        <v>2.513605762380358</v>
      </c>
      <c r="BS104" s="19">
        <v>2.1388331935212417</v>
      </c>
      <c r="BT104" s="19">
        <v>1.8981224196856139</v>
      </c>
      <c r="BU104" s="19">
        <v>2.2886029254636844</v>
      </c>
      <c r="BV104" s="19">
        <v>2.0299623815007113</v>
      </c>
      <c r="BW104" s="19">
        <v>1.4763323854453743</v>
      </c>
      <c r="BX104" s="19">
        <v>1.6783213848953298</v>
      </c>
      <c r="BY104" s="19">
        <v>2.7927807714170072</v>
      </c>
      <c r="BZ104" s="19">
        <v>1</v>
      </c>
      <c r="CA104" s="19">
        <v>3.2276361793571602</v>
      </c>
      <c r="CB104" s="19">
        <v>5.3533528026571497</v>
      </c>
      <c r="CC104" s="19">
        <v>14.423822367765499</v>
      </c>
      <c r="CD104" s="19">
        <v>23.096428039244898</v>
      </c>
      <c r="CE104" s="19">
        <v>25.406072198919713</v>
      </c>
      <c r="CF104" s="19">
        <v>30.325204695039115</v>
      </c>
      <c r="CG104" s="19">
        <v>35.370134680647794</v>
      </c>
      <c r="CH104" s="19">
        <v>43.916558804080012</v>
      </c>
      <c r="CI104" s="19">
        <v>43.216022632584348</v>
      </c>
      <c r="CJ104" s="19">
        <v>24.2950472466602</v>
      </c>
      <c r="CK104" s="19">
        <v>33.571537017822301</v>
      </c>
      <c r="CL104" s="19">
        <v>65.300308227539105</v>
      </c>
      <c r="CM104" s="19">
        <v>66.317054748535199</v>
      </c>
      <c r="CN104" s="19">
        <v>79.339829520607296</v>
      </c>
      <c r="CO104" s="19">
        <v>92.710261637592694</v>
      </c>
      <c r="CP104" s="19">
        <v>111.06236031798301</v>
      </c>
      <c r="CQ104" s="19">
        <v>102.527455859821</v>
      </c>
      <c r="CR104" s="19">
        <v>94.199284871188198</v>
      </c>
      <c r="CS104" s="19">
        <v>89.320659846126105</v>
      </c>
      <c r="CT104" s="19">
        <v>123.46875431304255</v>
      </c>
      <c r="CU104" s="19">
        <v>134.06954198197226</v>
      </c>
      <c r="CV104" s="19">
        <v>134.31608374290289</v>
      </c>
      <c r="CW104" s="19">
        <v>143.67179756908021</v>
      </c>
      <c r="CX104" s="19">
        <v>166.03007301603898</v>
      </c>
      <c r="CY104" s="19">
        <v>4.0667389037125332</v>
      </c>
      <c r="CZ104" s="19">
        <v>3.8894278563725493</v>
      </c>
      <c r="DA104" s="19">
        <v>3.3842059811965814</v>
      </c>
      <c r="DB104" s="19">
        <v>3.5356584067796613</v>
      </c>
      <c r="DC104" s="19">
        <v>3.5618987755725189</v>
      </c>
      <c r="DD104" s="19">
        <v>3.4341457954248367</v>
      </c>
      <c r="DE104" s="19">
        <v>2.7712928529411762</v>
      </c>
      <c r="DF104" s="19">
        <v>2.5272288782970143</v>
      </c>
      <c r="DG104" s="19">
        <v>2.4790417516553722</v>
      </c>
      <c r="DH104" s="19">
        <v>2.7451110054234991</v>
      </c>
      <c r="DI104" s="19">
        <v>2.7580668288705827</v>
      </c>
      <c r="DJ104" s="19">
        <v>1.6359318566534604</v>
      </c>
      <c r="DK104" s="19">
        <v>2.3730439049574086</v>
      </c>
      <c r="DL104" s="19">
        <v>1.4560056337135481</v>
      </c>
      <c r="DM104" s="19">
        <v>1.6873761387545632</v>
      </c>
      <c r="DN104" s="19">
        <v>2.0658238705226455</v>
      </c>
      <c r="DO104" s="19">
        <v>2.1187135724537036</v>
      </c>
      <c r="DP104" s="19">
        <v>2.7581245358974362</v>
      </c>
      <c r="DQ104" s="19">
        <v>2.8211980067796611</v>
      </c>
      <c r="DR104" s="19">
        <v>2.5755869267175573</v>
      </c>
      <c r="DS104" s="19">
        <v>2.8145531287581695</v>
      </c>
      <c r="DT104" s="19">
        <v>2.6166082941176469</v>
      </c>
      <c r="DU104" s="19">
        <v>2.6381591303912422</v>
      </c>
      <c r="DV104" s="19">
        <v>2.4023061056394832</v>
      </c>
      <c r="DW104" s="19">
        <v>1.5557542111052842</v>
      </c>
      <c r="DX104" s="19">
        <v>3.1463739957494798</v>
      </c>
      <c r="DY104" s="19">
        <v>2.6947413652568897</v>
      </c>
      <c r="DZ104" s="19">
        <v>2.6751638498410881</v>
      </c>
      <c r="EA104" s="19">
        <v>2.8910210609660107</v>
      </c>
      <c r="EB104" s="19">
        <v>2.5350545816416536</v>
      </c>
      <c r="EC104" s="19">
        <v>2.1096231657064011</v>
      </c>
      <c r="ED104" s="19">
        <v>2.1081977099537039</v>
      </c>
      <c r="EE104" s="19">
        <v>2.5433230102564104</v>
      </c>
      <c r="EF104" s="19">
        <v>2.4034393169491528</v>
      </c>
      <c r="EG104" s="19">
        <v>2.3259082458015268</v>
      </c>
      <c r="EH104" s="19">
        <v>2.7274115640522876</v>
      </c>
      <c r="EI104" s="19">
        <v>2.7275860882352942</v>
      </c>
      <c r="EJ104" s="19">
        <v>2.3105720230015256</v>
      </c>
      <c r="EK104" s="19">
        <v>2.3471309842290107</v>
      </c>
      <c r="EL104" s="19">
        <v>2.279927592981057</v>
      </c>
      <c r="EM104" s="19">
        <v>3.5649853586999498</v>
      </c>
      <c r="EN104" s="19">
        <v>3.6774454988258003</v>
      </c>
      <c r="EO104" s="19">
        <v>2.6048268416887872</v>
      </c>
      <c r="EP104" s="19">
        <v>2.6085549457285264</v>
      </c>
      <c r="EQ104" s="19">
        <v>3.1732875218434717</v>
      </c>
      <c r="ER104" s="19"/>
      <c r="ES104" s="16">
        <f t="shared" si="7"/>
        <v>2.9257145725190847</v>
      </c>
      <c r="ET104" s="16">
        <f t="shared" si="7"/>
        <v>2.4111342903816797</v>
      </c>
      <c r="EU104" s="16">
        <f t="shared" si="7"/>
        <v>3.5923155358778627</v>
      </c>
      <c r="EV104" s="16">
        <f t="shared" si="7"/>
        <v>3.9301174351145036</v>
      </c>
      <c r="EW104" s="16">
        <f t="shared" si="7"/>
        <v>2.2537399664122137</v>
      </c>
      <c r="EX104" s="16" t="str">
        <f t="shared" si="7"/>
        <v>.</v>
      </c>
      <c r="EY104" s="16">
        <f t="shared" si="7"/>
        <v>79.339829520607296</v>
      </c>
      <c r="EZ104" s="16">
        <f t="shared" si="7"/>
        <v>3.5618987755725189</v>
      </c>
      <c r="FA104" s="16">
        <f t="shared" si="7"/>
        <v>2.5755869267175573</v>
      </c>
      <c r="FB104" s="16">
        <f t="shared" si="7"/>
        <v>2.3259082458015268</v>
      </c>
    </row>
    <row r="105" spans="1:158" x14ac:dyDescent="0.25">
      <c r="A105" s="17">
        <v>102</v>
      </c>
      <c r="B105" s="17" t="s">
        <v>127</v>
      </c>
      <c r="C105" s="17" t="s">
        <v>127</v>
      </c>
      <c r="D105" s="17" t="s">
        <v>14</v>
      </c>
      <c r="E105" s="16">
        <v>1</v>
      </c>
      <c r="F105" s="18">
        <v>4.1903339665142543</v>
      </c>
      <c r="G105" s="18">
        <v>4.288453701592851</v>
      </c>
      <c r="H105" s="18">
        <v>4.2321435951734534</v>
      </c>
      <c r="I105" s="18">
        <v>4.2439290748895147</v>
      </c>
      <c r="J105" s="18">
        <v>4.2685268935776932</v>
      </c>
      <c r="K105" s="18">
        <v>4.3046668228070182</v>
      </c>
      <c r="L105" s="18">
        <v>4.4025253896929826</v>
      </c>
      <c r="M105" s="18">
        <v>4.4754553490823001</v>
      </c>
      <c r="N105" s="18">
        <v>4.3559113111471159</v>
      </c>
      <c r="O105" s="18">
        <v>4.3569820466270812</v>
      </c>
      <c r="P105" s="18">
        <v>4.6301865499545656</v>
      </c>
      <c r="Q105" s="18">
        <v>4.6287228214228371</v>
      </c>
      <c r="R105" s="18">
        <v>4.3927009993974027</v>
      </c>
      <c r="S105" s="18">
        <v>4.12595260088787</v>
      </c>
      <c r="T105" s="18">
        <v>4.6441952550488335</v>
      </c>
      <c r="U105" s="18">
        <v>3.0065319865319866</v>
      </c>
      <c r="V105" s="18">
        <v>3.010394205281385</v>
      </c>
      <c r="W105" s="18">
        <v>2.9507664015686275</v>
      </c>
      <c r="X105" s="18">
        <v>2.9758900028498734</v>
      </c>
      <c r="Y105" s="18">
        <v>2.9617862553571426</v>
      </c>
      <c r="Z105" s="18">
        <v>2.9495436960500814</v>
      </c>
      <c r="AA105" s="18">
        <v>3.1089193099251031</v>
      </c>
      <c r="AB105" s="18">
        <v>3.2172988550656982</v>
      </c>
      <c r="AC105" s="18">
        <v>3.2298711171062235</v>
      </c>
      <c r="AD105" s="19">
        <v>3.3350687101339305</v>
      </c>
      <c r="AE105" s="19">
        <v>3.2204949847046911</v>
      </c>
      <c r="AF105" s="19">
        <v>3.1446000683885429</v>
      </c>
      <c r="AG105" s="19">
        <v>3.1633592344602226</v>
      </c>
      <c r="AH105" s="19">
        <v>3.1661116431300842</v>
      </c>
      <c r="AI105" s="19">
        <v>3.6923274116761169</v>
      </c>
      <c r="AJ105" s="19">
        <v>5.1272798422391856</v>
      </c>
      <c r="AK105" s="19">
        <v>5.0346554031746029</v>
      </c>
      <c r="AL105" s="19">
        <v>5.0542533163082437</v>
      </c>
      <c r="AM105" s="19">
        <v>5.0733766430555551</v>
      </c>
      <c r="AN105" s="19">
        <v>5.0000961570161522</v>
      </c>
      <c r="AO105" s="19">
        <v>4.8295754864142326</v>
      </c>
      <c r="AP105" s="19">
        <v>4.732586116464728</v>
      </c>
      <c r="AQ105" s="19">
        <v>4.7567444707152013</v>
      </c>
      <c r="AR105" s="19">
        <v>4.6169485649130815</v>
      </c>
      <c r="AS105" s="19">
        <v>4.4055405302833774</v>
      </c>
      <c r="AT105" s="19">
        <v>4.2938606831360389</v>
      </c>
      <c r="AU105" s="19">
        <v>4.3587293049087661</v>
      </c>
      <c r="AV105" s="19">
        <v>3.0842592592592588</v>
      </c>
      <c r="AW105" s="19">
        <v>3.7609416761904759</v>
      </c>
      <c r="AX105" s="19">
        <v>3.7476279450980394</v>
      </c>
      <c r="AY105" s="19">
        <v>3.7651246687022901</v>
      </c>
      <c r="AZ105" s="19">
        <v>3.5654139255952382</v>
      </c>
      <c r="BA105" s="19">
        <v>3.6983099854838715</v>
      </c>
      <c r="BB105" s="19">
        <v>3.847330204166667</v>
      </c>
      <c r="BC105" s="19">
        <v>3.8955978356768157</v>
      </c>
      <c r="BD105" s="19">
        <v>3.9375060213023221</v>
      </c>
      <c r="BE105" s="19">
        <v>3.8014651738680323</v>
      </c>
      <c r="BF105" s="19">
        <v>5.0062641651888935</v>
      </c>
      <c r="BG105" s="19">
        <v>4.1559484424956645</v>
      </c>
      <c r="BH105" s="19">
        <v>4.8506265382962725</v>
      </c>
      <c r="BI105" s="19">
        <v>5.1630165181888925</v>
      </c>
      <c r="BJ105" s="19">
        <v>4.795724354647966</v>
      </c>
      <c r="BK105" s="19">
        <v>3.8628787878787878</v>
      </c>
      <c r="BL105" s="19">
        <v>3.8023679277056273</v>
      </c>
      <c r="BM105" s="19">
        <v>3.5777022666666665</v>
      </c>
      <c r="BN105" s="19">
        <v>3.4737157526717559</v>
      </c>
      <c r="BO105" s="19">
        <v>3.5686252654761903</v>
      </c>
      <c r="BP105" s="19">
        <v>3.698969608064516</v>
      </c>
      <c r="BQ105" s="19">
        <v>3.8630512125000003</v>
      </c>
      <c r="BR105" s="19">
        <v>3.8473378306613322</v>
      </c>
      <c r="BS105" s="19">
        <v>3.7403143701882202</v>
      </c>
      <c r="BT105" s="19">
        <v>3.8361035701556081</v>
      </c>
      <c r="BU105" s="19">
        <v>3.4534951908097815</v>
      </c>
      <c r="BV105" s="19">
        <v>3.6027327283377191</v>
      </c>
      <c r="BW105" s="19">
        <v>3.3121797737541421</v>
      </c>
      <c r="BX105" s="19">
        <v>4.1220336126639445</v>
      </c>
      <c r="BY105" s="19">
        <v>3.2514432763592751</v>
      </c>
      <c r="BZ105" s="19">
        <v>12.3603907261098</v>
      </c>
      <c r="CA105" s="19">
        <v>21.498656952374098</v>
      </c>
      <c r="CB105" s="19">
        <v>28.768815247150599</v>
      </c>
      <c r="CC105" s="19">
        <v>31.781586053247398</v>
      </c>
      <c r="CD105" s="19">
        <v>37.029916694653203</v>
      </c>
      <c r="CE105" s="19">
        <v>41.079110957822529</v>
      </c>
      <c r="CF105" s="19">
        <v>48.575485165228542</v>
      </c>
      <c r="CG105" s="19">
        <v>56.051625774806361</v>
      </c>
      <c r="CH105" s="19">
        <v>61.945596874530651</v>
      </c>
      <c r="CI105" s="19">
        <v>70.80176540729272</v>
      </c>
      <c r="CJ105" s="19">
        <v>52.757269076305199</v>
      </c>
      <c r="CK105" s="19">
        <v>61.501312255859403</v>
      </c>
      <c r="CL105" s="19">
        <v>81.260566711425795</v>
      </c>
      <c r="CM105" s="19">
        <v>84.360504150390597</v>
      </c>
      <c r="CN105" s="19">
        <v>91.666076547216207</v>
      </c>
      <c r="CO105" s="19">
        <v>99.043849155781501</v>
      </c>
      <c r="CP105" s="19">
        <v>113.091536554567</v>
      </c>
      <c r="CQ105" s="19">
        <v>123.23981861181601</v>
      </c>
      <c r="CR105" s="19">
        <v>132.249824080515</v>
      </c>
      <c r="CS105" s="19">
        <v>140.57328565126599</v>
      </c>
      <c r="CT105" s="19">
        <v>155.14956056463564</v>
      </c>
      <c r="CU105" s="19">
        <v>159.65046434897246</v>
      </c>
      <c r="CV105" s="19">
        <v>169.09621744348345</v>
      </c>
      <c r="CW105" s="19">
        <v>181.25545450535765</v>
      </c>
      <c r="CX105" s="19">
        <v>187.21103189468346</v>
      </c>
      <c r="CY105" s="19">
        <v>5.6459498834498838</v>
      </c>
      <c r="CZ105" s="19">
        <v>5.9215057887445877</v>
      </c>
      <c r="DA105" s="19">
        <v>5.4170256666666656</v>
      </c>
      <c r="DB105" s="19">
        <v>5.2941113694656492</v>
      </c>
      <c r="DC105" s="19">
        <v>5.2352314696428568</v>
      </c>
      <c r="DD105" s="19">
        <v>5.1744907397849467</v>
      </c>
      <c r="DE105" s="19">
        <v>5.0797594458333339</v>
      </c>
      <c r="DF105" s="19">
        <v>5.1084631671108855</v>
      </c>
      <c r="DG105" s="19">
        <v>5.0944263162284065</v>
      </c>
      <c r="DH105" s="19">
        <v>4.9569423259832917</v>
      </c>
      <c r="DI105" s="19">
        <v>5.1600061232285199</v>
      </c>
      <c r="DJ105" s="19">
        <v>4.2352912485567114</v>
      </c>
      <c r="DK105" s="19">
        <v>4.951260043011974</v>
      </c>
      <c r="DL105" s="19">
        <v>4.0713442764307333</v>
      </c>
      <c r="DM105" s="19">
        <v>4.3002188947576823</v>
      </c>
      <c r="DN105" s="19">
        <v>4.4817340067340066</v>
      </c>
      <c r="DO105" s="19">
        <v>4.5191652883116884</v>
      </c>
      <c r="DP105" s="19">
        <v>4.4316361999999998</v>
      </c>
      <c r="DQ105" s="19">
        <v>4.5890833114503824</v>
      </c>
      <c r="DR105" s="19">
        <v>4.5592523446428563</v>
      </c>
      <c r="DS105" s="19">
        <v>4.696902390860215</v>
      </c>
      <c r="DT105" s="19">
        <v>4.8253857125000001</v>
      </c>
      <c r="DU105" s="19">
        <v>4.7461748223660116</v>
      </c>
      <c r="DV105" s="19">
        <v>4.579701052040889</v>
      </c>
      <c r="DW105" s="19">
        <v>4.5781951830937313</v>
      </c>
      <c r="DX105" s="19">
        <v>4.7284345922546329</v>
      </c>
      <c r="DY105" s="19">
        <v>4.5038756983715693</v>
      </c>
      <c r="DZ105" s="19">
        <v>4.6272281582049528</v>
      </c>
      <c r="EA105" s="19">
        <v>4.9598052494845808</v>
      </c>
      <c r="EB105" s="19">
        <v>4.7159373913453511</v>
      </c>
      <c r="EC105" s="19">
        <v>4.3906565656565659</v>
      </c>
      <c r="ED105" s="19">
        <v>4.4692505419913413</v>
      </c>
      <c r="EE105" s="19">
        <v>4.1250561333333335</v>
      </c>
      <c r="EF105" s="19">
        <v>4.1074153496183206</v>
      </c>
      <c r="EG105" s="19">
        <v>4.1355242940476185</v>
      </c>
      <c r="EH105" s="19">
        <v>4.3370929844086019</v>
      </c>
      <c r="EI105" s="19">
        <v>4.5478862666666657</v>
      </c>
      <c r="EJ105" s="19">
        <v>4.8021410223756487</v>
      </c>
      <c r="EK105" s="19">
        <v>4.7801479799994109</v>
      </c>
      <c r="EL105" s="19">
        <v>4.670638818007248</v>
      </c>
      <c r="EM105" s="19">
        <v>5.0528296286462009</v>
      </c>
      <c r="EN105" s="19">
        <v>4.8656800398537792</v>
      </c>
      <c r="EO105" s="19">
        <v>4.8321220341699433</v>
      </c>
      <c r="EP105" s="19">
        <v>4.3393816556366147</v>
      </c>
      <c r="EQ105" s="19">
        <v>4.7260123721971317</v>
      </c>
      <c r="ER105" s="19"/>
      <c r="ES105" s="16">
        <f t="shared" si="7"/>
        <v>4.2685268935776932</v>
      </c>
      <c r="ET105" s="16">
        <f t="shared" si="7"/>
        <v>2.9617862553571426</v>
      </c>
      <c r="EU105" s="16">
        <f t="shared" si="7"/>
        <v>5.0346554031746029</v>
      </c>
      <c r="EV105" s="16">
        <f t="shared" si="7"/>
        <v>3.5654139255952382</v>
      </c>
      <c r="EW105" s="16">
        <f t="shared" si="7"/>
        <v>3.5686252654761903</v>
      </c>
      <c r="EX105" s="16" t="str">
        <f t="shared" si="7"/>
        <v>.</v>
      </c>
      <c r="EY105" s="16">
        <f t="shared" si="7"/>
        <v>91.666076547216207</v>
      </c>
      <c r="EZ105" s="16">
        <f t="shared" si="7"/>
        <v>5.2352314696428568</v>
      </c>
      <c r="FA105" s="16">
        <f t="shared" si="7"/>
        <v>4.5592523446428563</v>
      </c>
      <c r="FB105" s="16">
        <f t="shared" si="7"/>
        <v>4.1355242940476185</v>
      </c>
    </row>
    <row r="106" spans="1:158" x14ac:dyDescent="0.25">
      <c r="A106" s="17">
        <v>103</v>
      </c>
      <c r="B106" s="17" t="s">
        <v>128</v>
      </c>
      <c r="C106" s="17" t="s">
        <v>128</v>
      </c>
      <c r="D106" s="17" t="s">
        <v>33</v>
      </c>
      <c r="E106" s="16">
        <v>1</v>
      </c>
      <c r="F106" s="18">
        <v>4.2163048946381556</v>
      </c>
      <c r="G106" s="18">
        <v>4.2435960175224672</v>
      </c>
      <c r="H106" s="18">
        <v>4.1470432380605438</v>
      </c>
      <c r="I106" s="18">
        <v>3.9062427696519522</v>
      </c>
      <c r="J106" s="18">
        <v>4.1105720874530078</v>
      </c>
      <c r="K106" s="18">
        <v>4.2634622512491678</v>
      </c>
      <c r="L106" s="18">
        <v>4.2396262899489523</v>
      </c>
      <c r="M106" s="18">
        <v>4.1432844735307173</v>
      </c>
      <c r="N106" s="18">
        <v>4.1811866696628197</v>
      </c>
      <c r="O106" s="18">
        <v>4.2434068551052446</v>
      </c>
      <c r="P106" s="18">
        <v>4.5126157101653899</v>
      </c>
      <c r="Q106" s="18">
        <v>4.5455405743686876</v>
      </c>
      <c r="R106" s="18">
        <v>4.5480809269995204</v>
      </c>
      <c r="S106" s="18">
        <v>4.3784941948228875</v>
      </c>
      <c r="T106" s="18">
        <v>3.4146044104459983</v>
      </c>
      <c r="U106" s="18">
        <v>3.111591627930411</v>
      </c>
      <c r="V106" s="18">
        <v>2.9480009594941916</v>
      </c>
      <c r="W106" s="18">
        <v>2.9870782517792507</v>
      </c>
      <c r="X106" s="18">
        <v>3.0122217227423276</v>
      </c>
      <c r="Y106" s="18">
        <v>3.1929938106732219</v>
      </c>
      <c r="Z106" s="18">
        <v>3.3260640789584444</v>
      </c>
      <c r="AA106" s="18">
        <v>3.3496291944462224</v>
      </c>
      <c r="AB106" s="18">
        <v>3.3146465170951149</v>
      </c>
      <c r="AC106" s="18">
        <v>3.378953613753457</v>
      </c>
      <c r="AD106" s="19">
        <v>3.4077291473405142</v>
      </c>
      <c r="AE106" s="19">
        <v>3.16877251088717</v>
      </c>
      <c r="AF106" s="19">
        <v>3.5479428966552629</v>
      </c>
      <c r="AG106" s="19">
        <v>3.4003716166195441</v>
      </c>
      <c r="AH106" s="19">
        <v>3.8326909266259679</v>
      </c>
      <c r="AI106" s="19">
        <v>3.8398406752597469</v>
      </c>
      <c r="AJ106" s="19">
        <v>4.8302073645161281</v>
      </c>
      <c r="AK106" s="19">
        <v>4.9911546276785712</v>
      </c>
      <c r="AL106" s="19">
        <v>5.1347024592827006</v>
      </c>
      <c r="AM106" s="19">
        <v>5.0407710259754746</v>
      </c>
      <c r="AN106" s="19">
        <v>4.8737792753911187</v>
      </c>
      <c r="AO106" s="19">
        <v>4.8779547623646566</v>
      </c>
      <c r="AP106" s="19">
        <v>4.8924546171979211</v>
      </c>
      <c r="AQ106" s="19">
        <v>5.5689720351971532</v>
      </c>
      <c r="AR106" s="19">
        <v>5.1407493836816442</v>
      </c>
      <c r="AS106" s="19">
        <v>4.0830822970164213</v>
      </c>
      <c r="AT106" s="19">
        <v>5.2597271121484992</v>
      </c>
      <c r="AU106" s="19">
        <v>5.4150186175405954</v>
      </c>
      <c r="AV106" s="19">
        <v>2.5870894372921693</v>
      </c>
      <c r="AW106" s="19">
        <v>2.4111439475799834</v>
      </c>
      <c r="AX106" s="19">
        <v>2.5832827149779738</v>
      </c>
      <c r="AY106" s="19">
        <v>2.6780625798387097</v>
      </c>
      <c r="AZ106" s="19">
        <v>2.8921464361607141</v>
      </c>
      <c r="BA106" s="19">
        <v>3.0486198905063291</v>
      </c>
      <c r="BB106" s="19">
        <v>3.0197585474916391</v>
      </c>
      <c r="BC106" s="19">
        <v>2.8508853189109109</v>
      </c>
      <c r="BD106" s="19">
        <v>2.7619167727076332</v>
      </c>
      <c r="BE106" s="19">
        <v>2.7097957328083071</v>
      </c>
      <c r="BF106" s="19">
        <v>3.96295176038414</v>
      </c>
      <c r="BG106" s="19">
        <v>6.5934435611731743</v>
      </c>
      <c r="BH106" s="19">
        <v>5.4682190617705837</v>
      </c>
      <c r="BI106" s="19">
        <v>3.630241212161561</v>
      </c>
      <c r="BJ106" s="19">
        <v>5.0520964198875209</v>
      </c>
      <c r="BK106" s="19">
        <v>4.0428355957767721</v>
      </c>
      <c r="BL106" s="19">
        <v>3.8326573528301888</v>
      </c>
      <c r="BM106" s="19">
        <v>3.5665526052863434</v>
      </c>
      <c r="BN106" s="19">
        <v>3.3003904266129034</v>
      </c>
      <c r="BO106" s="19">
        <v>3.4495426816964283</v>
      </c>
      <c r="BP106" s="19">
        <v>3.6889671167721518</v>
      </c>
      <c r="BQ106" s="19">
        <v>3.6657398976588631</v>
      </c>
      <c r="BR106" s="19">
        <v>3.4769911399776579</v>
      </c>
      <c r="BS106" s="19">
        <v>3.4214933076029368</v>
      </c>
      <c r="BT106" s="19">
        <v>3.4324036976186241</v>
      </c>
      <c r="BU106" s="19">
        <v>3.1252656776722105</v>
      </c>
      <c r="BV106" s="19">
        <v>2.8335560972467109</v>
      </c>
      <c r="BW106" s="19">
        <v>3.0805159150148453</v>
      </c>
      <c r="BX106" s="19">
        <v>3.1720015784742013</v>
      </c>
      <c r="BY106" s="19">
        <v>2.9763201064125249</v>
      </c>
      <c r="BZ106" s="19">
        <v>4.60914540330349</v>
      </c>
      <c r="CA106" s="19">
        <v>9.7242593956639407</v>
      </c>
      <c r="CB106" s="19">
        <v>6.26995114904686</v>
      </c>
      <c r="CC106" s="19">
        <v>37.486659345941703</v>
      </c>
      <c r="CD106" s="19">
        <v>50.362847742311502</v>
      </c>
      <c r="CE106" s="19">
        <v>58.155900097524643</v>
      </c>
      <c r="CF106" s="19">
        <v>67.936484248220182</v>
      </c>
      <c r="CG106" s="19">
        <v>87.981470462552281</v>
      </c>
      <c r="CH106" s="19">
        <v>97.12133365499264</v>
      </c>
      <c r="CI106" s="19">
        <v>110.74149874940997</v>
      </c>
      <c r="CJ106" s="19">
        <v>44.044613659721598</v>
      </c>
      <c r="CK106" s="19">
        <v>52.633625030517599</v>
      </c>
      <c r="CL106" s="19">
        <v>69.854103088378906</v>
      </c>
      <c r="CM106" s="19">
        <v>76.204582214355497</v>
      </c>
      <c r="CN106" s="19">
        <v>80.550430813236702</v>
      </c>
      <c r="CO106" s="19">
        <v>82.378737456556806</v>
      </c>
      <c r="CP106" s="19">
        <v>86.774620366534904</v>
      </c>
      <c r="CQ106" s="19">
        <v>85.836401360852904</v>
      </c>
      <c r="CR106" s="19">
        <v>82.543249567454893</v>
      </c>
      <c r="CS106" s="19">
        <v>85.304416707049896</v>
      </c>
      <c r="CT106" s="19">
        <v>97.027138205670894</v>
      </c>
      <c r="CU106" s="19">
        <v>101.72205380263755</v>
      </c>
      <c r="CV106" s="19">
        <v>105.70985112245886</v>
      </c>
      <c r="CW106" s="19">
        <v>110.75208823630257</v>
      </c>
      <c r="CX106" s="19">
        <v>111.60295898703528</v>
      </c>
      <c r="CY106" s="19">
        <v>4.3031723423979571</v>
      </c>
      <c r="CZ106" s="19">
        <v>4.0919248082809228</v>
      </c>
      <c r="DA106" s="19">
        <v>3.954057365638767</v>
      </c>
      <c r="DB106" s="19">
        <v>3.9260669338709677</v>
      </c>
      <c r="DC106" s="19">
        <v>4.0323939928571422</v>
      </c>
      <c r="DD106" s="19">
        <v>4.2155839971518985</v>
      </c>
      <c r="DE106" s="19">
        <v>4.1921843729096988</v>
      </c>
      <c r="DF106" s="19">
        <v>3.9644595160455873</v>
      </c>
      <c r="DG106" s="19">
        <v>4.0017494634549191</v>
      </c>
      <c r="DH106" s="19">
        <v>4.0799049315413809</v>
      </c>
      <c r="DI106" s="19">
        <v>4.8797344611713998</v>
      </c>
      <c r="DJ106" s="19">
        <v>4.0904705302098838</v>
      </c>
      <c r="DK106" s="19">
        <v>3.5146815059429972</v>
      </c>
      <c r="DL106" s="19">
        <v>4.5016397721364081</v>
      </c>
      <c r="DM106" s="19">
        <v>4.172256794908642</v>
      </c>
      <c r="DN106" s="19">
        <v>3.4460880164646568</v>
      </c>
      <c r="DO106" s="19">
        <v>3.3394644083785803</v>
      </c>
      <c r="DP106" s="19">
        <v>3.7691894237885464</v>
      </c>
      <c r="DQ106" s="19">
        <v>3.8953872040322581</v>
      </c>
      <c r="DR106" s="19">
        <v>4.188206373660714</v>
      </c>
      <c r="DS106" s="19">
        <v>4.4103828503164557</v>
      </c>
      <c r="DT106" s="19">
        <v>4.4063604795986624</v>
      </c>
      <c r="DU106" s="19">
        <v>4.2216458015410456</v>
      </c>
      <c r="DV106" s="19">
        <v>4.1171689267898302</v>
      </c>
      <c r="DW106" s="19">
        <v>4.0846683401402419</v>
      </c>
      <c r="DX106" s="19">
        <v>4.3268572652901645</v>
      </c>
      <c r="DY106" s="19">
        <v>5.0839024031241911</v>
      </c>
      <c r="DZ106" s="19">
        <v>4.4783858990728147</v>
      </c>
      <c r="EA106" s="19">
        <v>4.1759064998253379</v>
      </c>
      <c r="EB106" s="19">
        <v>5.1159167834794053</v>
      </c>
      <c r="EC106" s="19">
        <v>3.6067822298001326</v>
      </c>
      <c r="ED106" s="19">
        <v>3.5445816102132897</v>
      </c>
      <c r="EE106" s="19">
        <v>3.9671856845814975</v>
      </c>
      <c r="EF106" s="19">
        <v>4.0541931830645161</v>
      </c>
      <c r="EG106" s="19">
        <v>4.2801291839285707</v>
      </c>
      <c r="EH106" s="19">
        <v>4.5032041958860756</v>
      </c>
      <c r="EI106" s="19">
        <v>4.5625336387959869</v>
      </c>
      <c r="EJ106" s="19">
        <v>4.4227574303030313</v>
      </c>
      <c r="EK106" s="19">
        <v>4.3190609622843983</v>
      </c>
      <c r="EL106" s="19">
        <v>4.3251712768058468</v>
      </c>
      <c r="EM106" s="19">
        <v>5.6035144882839223</v>
      </c>
      <c r="EN106" s="19">
        <v>4.5932868175093882</v>
      </c>
      <c r="EO106" s="19">
        <v>5.5361781404362169</v>
      </c>
      <c r="EP106" s="19">
        <v>4.341333668689515</v>
      </c>
      <c r="EQ106" s="19">
        <v>4.3774351140878469</v>
      </c>
      <c r="ER106" s="19"/>
      <c r="ES106" s="16">
        <f t="shared" si="7"/>
        <v>4.1105720874530078</v>
      </c>
      <c r="ET106" s="16">
        <f t="shared" si="7"/>
        <v>3.1929938106732219</v>
      </c>
      <c r="EU106" s="16">
        <f t="shared" si="7"/>
        <v>4.9911546276785712</v>
      </c>
      <c r="EV106" s="16">
        <f t="shared" si="7"/>
        <v>2.8921464361607141</v>
      </c>
      <c r="EW106" s="16">
        <f t="shared" si="7"/>
        <v>3.4495426816964283</v>
      </c>
      <c r="EX106" s="16" t="str">
        <f t="shared" si="7"/>
        <v>.</v>
      </c>
      <c r="EY106" s="16">
        <f t="shared" si="7"/>
        <v>80.550430813236702</v>
      </c>
      <c r="EZ106" s="16">
        <f t="shared" si="7"/>
        <v>4.0323939928571422</v>
      </c>
      <c r="FA106" s="16">
        <f t="shared" si="7"/>
        <v>4.188206373660714</v>
      </c>
      <c r="FB106" s="16">
        <f t="shared" si="7"/>
        <v>4.2801291839285707</v>
      </c>
    </row>
    <row r="107" spans="1:158" x14ac:dyDescent="0.25">
      <c r="A107" s="17">
        <v>104</v>
      </c>
      <c r="B107" s="17" t="s">
        <v>129</v>
      </c>
      <c r="C107" s="17" t="s">
        <v>129</v>
      </c>
      <c r="D107" s="17" t="s">
        <v>7</v>
      </c>
      <c r="E107" s="16">
        <v>1</v>
      </c>
      <c r="F107" s="18">
        <v>3.2956538491006633</v>
      </c>
      <c r="G107" s="18">
        <v>3.5730265127173495</v>
      </c>
      <c r="H107" s="18">
        <v>3.4140136198540167</v>
      </c>
      <c r="I107" s="18">
        <v>3.2810096315789474</v>
      </c>
      <c r="J107" s="18">
        <v>3.2744576020014819</v>
      </c>
      <c r="K107" s="18">
        <v>3.3034373531100476</v>
      </c>
      <c r="L107" s="18">
        <v>3.3185572307692306</v>
      </c>
      <c r="M107" s="18">
        <v>3.3548767760380525</v>
      </c>
      <c r="N107" s="18">
        <v>3.2911829098445473</v>
      </c>
      <c r="O107" s="18">
        <v>3.2004600854728089</v>
      </c>
      <c r="P107" s="18">
        <v>3.1240367627709884</v>
      </c>
      <c r="Q107" s="18">
        <v>3.0736355783001454</v>
      </c>
      <c r="R107" s="18">
        <v>2.9111229453698018</v>
      </c>
      <c r="S107" s="18">
        <v>2.6677415735952499</v>
      </c>
      <c r="T107" s="18">
        <v>2.9508837223452247</v>
      </c>
      <c r="U107" s="18">
        <v>2.7154876890496791</v>
      </c>
      <c r="V107" s="18">
        <v>2.4009965748702937</v>
      </c>
      <c r="W107" s="18">
        <v>2.4836211285798644</v>
      </c>
      <c r="X107" s="18">
        <v>2.4913299333333332</v>
      </c>
      <c r="Y107" s="18">
        <v>2.4367554809389675</v>
      </c>
      <c r="Z107" s="18">
        <v>2.3968781760046278</v>
      </c>
      <c r="AA107" s="18">
        <v>2.4235763070358018</v>
      </c>
      <c r="AB107" s="18">
        <v>2.5328800353511767</v>
      </c>
      <c r="AC107" s="18">
        <v>2.5627663279281516</v>
      </c>
      <c r="AD107" s="19">
        <v>2.5072140721386993</v>
      </c>
      <c r="AE107" s="19">
        <v>2.9548523758786347</v>
      </c>
      <c r="AF107" s="19">
        <v>2.869086974599028</v>
      </c>
      <c r="AG107" s="19">
        <v>2.875268405981485</v>
      </c>
      <c r="AH107" s="19">
        <v>2.7125181959083928</v>
      </c>
      <c r="AI107" s="19">
        <v>2.4728832242634473</v>
      </c>
      <c r="AJ107" s="19">
        <v>3.982877666666667</v>
      </c>
      <c r="AK107" s="19">
        <v>4.0852975258215958</v>
      </c>
      <c r="AL107" s="19">
        <v>4.0794443636363633</v>
      </c>
      <c r="AM107" s="19">
        <v>4.037485907122508</v>
      </c>
      <c r="AN107" s="19">
        <v>4.218356644851613</v>
      </c>
      <c r="AO107" s="19">
        <v>4.1607858249704988</v>
      </c>
      <c r="AP107" s="19">
        <v>4.0710518257290715</v>
      </c>
      <c r="AQ107" s="19">
        <v>3.9934548324203045</v>
      </c>
      <c r="AR107" s="19">
        <v>4.3237917655361287</v>
      </c>
      <c r="AS107" s="19">
        <v>4.2930025326167254</v>
      </c>
      <c r="AT107" s="19">
        <v>4.2806034744500838</v>
      </c>
      <c r="AU107" s="19">
        <v>4.3636426405408608</v>
      </c>
      <c r="AV107" s="19">
        <v>2.6692189532497825</v>
      </c>
      <c r="AW107" s="19">
        <v>2.6683572897176964</v>
      </c>
      <c r="AX107" s="19">
        <v>2.9838004732586123</v>
      </c>
      <c r="AY107" s="19">
        <v>2.8494039999999998</v>
      </c>
      <c r="AZ107" s="19">
        <v>2.9331307126760562</v>
      </c>
      <c r="BA107" s="19">
        <v>3.003607309090909</v>
      </c>
      <c r="BB107" s="19">
        <v>2.8418791692307694</v>
      </c>
      <c r="BC107" s="19">
        <v>2.9126472410320403</v>
      </c>
      <c r="BD107" s="19">
        <v>2.9887386057313403</v>
      </c>
      <c r="BE107" s="19">
        <v>2.8047735088011798</v>
      </c>
      <c r="BF107" s="19">
        <v>4.7555644962858086</v>
      </c>
      <c r="BG107" s="19">
        <v>5.0055427640707384</v>
      </c>
      <c r="BH107" s="19">
        <v>4.1281629457787758</v>
      </c>
      <c r="BI107" s="19">
        <v>4.1521318963593901</v>
      </c>
      <c r="BJ107" s="19">
        <v>3.9968677966843495</v>
      </c>
      <c r="BK107" s="19">
        <v>3.958523441664815</v>
      </c>
      <c r="BL107" s="19">
        <v>2.723502260663659</v>
      </c>
      <c r="BM107" s="19">
        <v>3.1334101558497012</v>
      </c>
      <c r="BN107" s="19">
        <v>3.0767820000000001</v>
      </c>
      <c r="BO107" s="19">
        <v>2.9659205746478872</v>
      </c>
      <c r="BP107" s="19">
        <v>3.0276343727272725</v>
      </c>
      <c r="BQ107" s="19">
        <v>3.0569859401709403</v>
      </c>
      <c r="BR107" s="19">
        <v>3.0436671132593038</v>
      </c>
      <c r="BS107" s="19">
        <v>2.9384902616870718</v>
      </c>
      <c r="BT107" s="19">
        <v>2.8586309068343221</v>
      </c>
      <c r="BU107" s="19">
        <v>3.3036469695432968</v>
      </c>
      <c r="BV107" s="19">
        <v>3.9124552239960178</v>
      </c>
      <c r="BW107" s="19">
        <v>3.363342834351347</v>
      </c>
      <c r="BX107" s="19">
        <v>3.041221059483505</v>
      </c>
      <c r="BY107" s="19">
        <v>2.4316421352196333</v>
      </c>
      <c r="BZ107" s="19">
        <v>3.5209531310651099</v>
      </c>
      <c r="CA107" s="19">
        <v>5.0709153556451803</v>
      </c>
      <c r="CB107" s="19">
        <v>47.2373282434868</v>
      </c>
      <c r="CC107" s="19">
        <v>49.356903893822697</v>
      </c>
      <c r="CD107" s="19">
        <v>51.941761414886102</v>
      </c>
      <c r="CE107" s="19">
        <v>69.831073854647414</v>
      </c>
      <c r="CF107" s="19">
        <v>88.933026234829157</v>
      </c>
      <c r="CG107" s="19">
        <v>103.22534094747108</v>
      </c>
      <c r="CH107" s="19">
        <v>118.74584330166822</v>
      </c>
      <c r="CI107" s="19">
        <v>128.24816967953498</v>
      </c>
      <c r="CJ107" s="19">
        <v>66.78</v>
      </c>
      <c r="CK107" s="19">
        <v>78.81</v>
      </c>
      <c r="CL107" s="19">
        <v>46.73</v>
      </c>
      <c r="CM107" s="19">
        <v>77.281181335449205</v>
      </c>
      <c r="CN107" s="19">
        <v>88.585330902058104</v>
      </c>
      <c r="CO107" s="19">
        <v>104.79851977396</v>
      </c>
      <c r="CP107" s="19">
        <v>115.93732897712199</v>
      </c>
      <c r="CQ107" s="19">
        <v>106.011406272762</v>
      </c>
      <c r="CR107" s="19">
        <v>107.99522155903099</v>
      </c>
      <c r="CS107" s="19">
        <v>108.03965167881501</v>
      </c>
      <c r="CT107" s="19">
        <v>122.11565036105249</v>
      </c>
      <c r="CU107" s="19">
        <v>134.96466858196342</v>
      </c>
      <c r="CV107" s="19">
        <v>127.8392661584008</v>
      </c>
      <c r="CW107" s="19">
        <v>143.47763787261945</v>
      </c>
      <c r="CX107" s="19">
        <v>148.06999194211414</v>
      </c>
      <c r="CY107" s="19">
        <v>3.9127031151099918</v>
      </c>
      <c r="CZ107" s="19">
        <v>3.4898607248049545</v>
      </c>
      <c r="DA107" s="19">
        <v>3.3865592237797659</v>
      </c>
      <c r="DB107" s="19">
        <v>3.3132480000000002</v>
      </c>
      <c r="DC107" s="19">
        <v>3.3177746957746477</v>
      </c>
      <c r="DD107" s="19">
        <v>3.3343335999999999</v>
      </c>
      <c r="DE107" s="19">
        <v>3.1717327418803416</v>
      </c>
      <c r="DF107" s="19">
        <v>3.1625855346239211</v>
      </c>
      <c r="DG107" s="19">
        <v>3.232900262694848</v>
      </c>
      <c r="DH107" s="19">
        <v>3.1396425205118517</v>
      </c>
      <c r="DI107" s="19">
        <v>2.7822802414830874</v>
      </c>
      <c r="DJ107" s="19">
        <v>2.9774946662609074</v>
      </c>
      <c r="DK107" s="19">
        <v>3.4026051195479208</v>
      </c>
      <c r="DL107" s="19">
        <v>2.4379550442458049</v>
      </c>
      <c r="DM107" s="19">
        <v>1.7642478431221491</v>
      </c>
      <c r="DN107" s="19">
        <v>1.3761640200794734</v>
      </c>
      <c r="DO107" s="19">
        <v>2.2566090014233464</v>
      </c>
      <c r="DP107" s="19">
        <v>2.6961627493881077</v>
      </c>
      <c r="DQ107" s="19">
        <v>3.0774560000000002</v>
      </c>
      <c r="DR107" s="19">
        <v>3.2067375014084503</v>
      </c>
      <c r="DS107" s="19">
        <v>3.3454064727272721</v>
      </c>
      <c r="DT107" s="19">
        <v>3.4762216034188036</v>
      </c>
      <c r="DU107" s="19">
        <v>3.8100981487619405</v>
      </c>
      <c r="DV107" s="19">
        <v>3.5021435353239228</v>
      </c>
      <c r="DW107" s="19">
        <v>3.1146787026349236</v>
      </c>
      <c r="DX107" s="19">
        <v>4.2216822615473193</v>
      </c>
      <c r="DY107" s="19">
        <v>5.0068360076797829</v>
      </c>
      <c r="DZ107" s="19">
        <v>4.5824453924646766</v>
      </c>
      <c r="EA107" s="19">
        <v>3.944736731886346</v>
      </c>
      <c r="EB107" s="19">
        <v>4.5655800559289883</v>
      </c>
      <c r="EC107" s="19">
        <v>1.2577239366766069</v>
      </c>
      <c r="ED107" s="19">
        <v>1.1877637068693936</v>
      </c>
      <c r="EE107" s="19">
        <v>1.4847248420757346</v>
      </c>
      <c r="EF107" s="19">
        <v>1.329337</v>
      </c>
      <c r="EG107" s="19">
        <v>1.3223631873239436</v>
      </c>
      <c r="EH107" s="19">
        <v>1.5161824909090909</v>
      </c>
      <c r="EI107" s="19">
        <v>1.7395193846153845</v>
      </c>
      <c r="EJ107" s="19">
        <v>2.1422628395509364</v>
      </c>
      <c r="EK107" s="19">
        <v>2.4200720583984605</v>
      </c>
      <c r="EL107" s="19">
        <v>2.4559305303237018</v>
      </c>
      <c r="EM107" s="19">
        <v>2.5762099926689346</v>
      </c>
      <c r="EN107" s="19">
        <v>2.1601807033823786</v>
      </c>
      <c r="EO107" s="19">
        <v>2.9499011178586239</v>
      </c>
      <c r="EP107" s="19">
        <v>4.0224890466290368</v>
      </c>
      <c r="EQ107" s="19">
        <v>3.211647889286374</v>
      </c>
      <c r="ER107" s="19"/>
      <c r="ES107" s="16">
        <f t="shared" si="7"/>
        <v>3.2744576020014819</v>
      </c>
      <c r="ET107" s="16">
        <f t="shared" si="7"/>
        <v>2.4367554809389675</v>
      </c>
      <c r="EU107" s="16">
        <f t="shared" si="7"/>
        <v>4.0852975258215958</v>
      </c>
      <c r="EV107" s="16">
        <f t="shared" si="7"/>
        <v>2.9331307126760562</v>
      </c>
      <c r="EW107" s="16">
        <f t="shared" si="7"/>
        <v>2.9659205746478872</v>
      </c>
      <c r="EX107" s="16" t="str">
        <f t="shared" si="7"/>
        <v>.</v>
      </c>
      <c r="EY107" s="16">
        <f t="shared" si="7"/>
        <v>88.585330902058104</v>
      </c>
      <c r="EZ107" s="16">
        <f t="shared" si="7"/>
        <v>3.3177746957746477</v>
      </c>
      <c r="FA107" s="16">
        <f t="shared" si="7"/>
        <v>3.2067375014084503</v>
      </c>
      <c r="FB107" s="16">
        <f t="shared" si="7"/>
        <v>1.3223631873239436</v>
      </c>
    </row>
    <row r="108" spans="1:158" x14ac:dyDescent="0.25">
      <c r="A108" s="17">
        <v>105</v>
      </c>
      <c r="B108" s="17" t="s">
        <v>130</v>
      </c>
      <c r="C108" s="17" t="s">
        <v>11</v>
      </c>
      <c r="D108" s="17" t="s">
        <v>7</v>
      </c>
      <c r="E108" s="16">
        <v>0</v>
      </c>
      <c r="F108" s="18">
        <v>3.37</v>
      </c>
      <c r="G108" s="18">
        <v>4.12</v>
      </c>
      <c r="H108" s="18">
        <v>3.44</v>
      </c>
      <c r="I108" s="18">
        <v>3.86</v>
      </c>
      <c r="J108" s="18">
        <v>3.31</v>
      </c>
      <c r="K108" s="18">
        <v>5.01</v>
      </c>
      <c r="L108" s="18">
        <v>2.99</v>
      </c>
      <c r="M108" s="18">
        <v>4.71</v>
      </c>
      <c r="N108" s="18">
        <v>3.52</v>
      </c>
      <c r="O108" s="18">
        <v>3.81</v>
      </c>
      <c r="P108" s="18">
        <v>4.97</v>
      </c>
      <c r="Q108" s="18">
        <v>4.37</v>
      </c>
      <c r="R108" s="18">
        <v>2.59</v>
      </c>
      <c r="S108" s="18">
        <v>5.9</v>
      </c>
      <c r="T108" s="18">
        <v>2.84</v>
      </c>
      <c r="U108" s="18">
        <v>2.6</v>
      </c>
      <c r="V108" s="18">
        <v>2.91</v>
      </c>
      <c r="W108" s="18">
        <v>3.46</v>
      </c>
      <c r="X108" s="18">
        <v>2.84</v>
      </c>
      <c r="Y108" s="18">
        <v>3.09</v>
      </c>
      <c r="Z108" s="18">
        <v>2.72</v>
      </c>
      <c r="AA108" s="18">
        <v>3.53</v>
      </c>
      <c r="AB108" s="18">
        <v>3.41</v>
      </c>
      <c r="AC108" s="18">
        <v>4.01</v>
      </c>
      <c r="AD108" s="19">
        <v>3.41</v>
      </c>
      <c r="AE108" s="19">
        <v>2.29</v>
      </c>
      <c r="AF108" s="19">
        <v>2.0099999999999998</v>
      </c>
      <c r="AG108" s="19">
        <v>3.28</v>
      </c>
      <c r="AH108" s="19">
        <v>3.43</v>
      </c>
      <c r="AI108" s="19">
        <v>4.01</v>
      </c>
      <c r="AJ108" s="19">
        <v>5.83</v>
      </c>
      <c r="AK108" s="19">
        <v>4.49</v>
      </c>
      <c r="AL108" s="19">
        <v>4.33</v>
      </c>
      <c r="AM108" s="19">
        <v>4.08</v>
      </c>
      <c r="AN108" s="19">
        <v>5.67</v>
      </c>
      <c r="AO108" s="19">
        <v>5.23</v>
      </c>
      <c r="AP108" s="19">
        <v>3.76</v>
      </c>
      <c r="AQ108" s="19">
        <v>4.16</v>
      </c>
      <c r="AR108" s="19">
        <v>3.79</v>
      </c>
      <c r="AS108" s="19">
        <v>5.66</v>
      </c>
      <c r="AT108" s="19">
        <v>2.39</v>
      </c>
      <c r="AU108" s="19">
        <v>4.1900000000000004</v>
      </c>
      <c r="AV108" s="19">
        <v>3.36</v>
      </c>
      <c r="AW108" s="19">
        <v>3.94</v>
      </c>
      <c r="AX108" s="19">
        <v>3.81</v>
      </c>
      <c r="AY108" s="19">
        <v>3.43</v>
      </c>
      <c r="AZ108" s="19">
        <v>4.22</v>
      </c>
      <c r="BA108" s="19">
        <v>3.34</v>
      </c>
      <c r="BB108" s="19">
        <v>3.21</v>
      </c>
      <c r="BC108" s="19">
        <v>3.67</v>
      </c>
      <c r="BD108" s="19">
        <v>3.32</v>
      </c>
      <c r="BE108" s="19">
        <v>2.92</v>
      </c>
      <c r="BF108" s="19">
        <v>6.09</v>
      </c>
      <c r="BG108" s="19">
        <v>4.21</v>
      </c>
      <c r="BH108" s="19">
        <v>5.08</v>
      </c>
      <c r="BI108" s="19">
        <v>5.0999999999999996</v>
      </c>
      <c r="BJ108" s="19">
        <v>6.21</v>
      </c>
      <c r="BK108" s="19">
        <v>2.0499999999999998</v>
      </c>
      <c r="BL108" s="19">
        <v>3.08</v>
      </c>
      <c r="BM108" s="19">
        <v>5.01</v>
      </c>
      <c r="BN108" s="19">
        <v>3.17</v>
      </c>
      <c r="BO108" s="19">
        <v>4.18</v>
      </c>
      <c r="BP108" s="19">
        <v>4.67</v>
      </c>
      <c r="BQ108" s="19">
        <v>3.23</v>
      </c>
      <c r="BR108" s="19">
        <v>4.05</v>
      </c>
      <c r="BS108" s="19">
        <v>3.82</v>
      </c>
      <c r="BT108" s="19">
        <v>3.7</v>
      </c>
      <c r="BU108" s="19">
        <v>2.2599999999999998</v>
      </c>
      <c r="BV108" s="19">
        <v>2.21</v>
      </c>
      <c r="BW108" s="19">
        <v>3.57</v>
      </c>
      <c r="BX108" s="19">
        <v>3.25</v>
      </c>
      <c r="BY108" s="19">
        <v>3.22</v>
      </c>
      <c r="BZ108" s="19">
        <v>41.13</v>
      </c>
      <c r="CA108" s="19">
        <v>26.25</v>
      </c>
      <c r="CB108" s="19">
        <v>200</v>
      </c>
      <c r="CC108" s="19">
        <v>1</v>
      </c>
      <c r="CD108" s="19">
        <v>7.42</v>
      </c>
      <c r="CE108" s="19">
        <v>14.24</v>
      </c>
      <c r="CF108" s="19">
        <v>65.400000000000006</v>
      </c>
      <c r="CG108" s="19">
        <v>187.87</v>
      </c>
      <c r="CH108" s="19">
        <v>16.73</v>
      </c>
      <c r="CI108" s="19">
        <v>100.76</v>
      </c>
      <c r="CJ108" s="19">
        <v>36.83</v>
      </c>
      <c r="CK108" s="19">
        <v>43.71</v>
      </c>
      <c r="CL108" s="19">
        <v>110.11</v>
      </c>
      <c r="CM108" s="19">
        <v>182.5</v>
      </c>
      <c r="CN108" s="19">
        <v>125.21</v>
      </c>
      <c r="CO108" s="19">
        <v>98.99</v>
      </c>
      <c r="CP108" s="19">
        <v>59</v>
      </c>
      <c r="CQ108" s="19">
        <v>139.72999999999999</v>
      </c>
      <c r="CR108" s="19">
        <v>151.03</v>
      </c>
      <c r="CS108" s="19">
        <v>63.35</v>
      </c>
      <c r="CT108" s="19">
        <v>200</v>
      </c>
      <c r="CU108" s="19">
        <v>117.73</v>
      </c>
      <c r="CV108" s="19">
        <v>155.63999999999999</v>
      </c>
      <c r="CW108" s="19">
        <v>138.80000000000001</v>
      </c>
      <c r="CX108" s="19">
        <v>125</v>
      </c>
      <c r="CY108" s="19">
        <v>3.27</v>
      </c>
      <c r="CZ108" s="19">
        <v>3.99</v>
      </c>
      <c r="DA108" s="19">
        <v>4.51</v>
      </c>
      <c r="DB108" s="19">
        <v>3.71</v>
      </c>
      <c r="DC108" s="19">
        <v>5.19</v>
      </c>
      <c r="DD108" s="19">
        <v>5.81</v>
      </c>
      <c r="DE108" s="19">
        <v>2.21</v>
      </c>
      <c r="DF108" s="19">
        <v>4.16</v>
      </c>
      <c r="DG108" s="19">
        <v>3.28</v>
      </c>
      <c r="DH108" s="19">
        <v>4.12</v>
      </c>
      <c r="DI108" s="19">
        <v>5.13</v>
      </c>
      <c r="DJ108" s="19">
        <v>5.44</v>
      </c>
      <c r="DK108" s="19">
        <v>2.65</v>
      </c>
      <c r="DL108" s="19">
        <v>6.49</v>
      </c>
      <c r="DM108" s="19">
        <v>3.28</v>
      </c>
      <c r="DN108" s="19">
        <v>5.35</v>
      </c>
      <c r="DO108" s="19">
        <v>3.84</v>
      </c>
      <c r="DP108" s="19">
        <v>1.66</v>
      </c>
      <c r="DQ108" s="19">
        <v>3.44</v>
      </c>
      <c r="DR108" s="19">
        <v>6.27</v>
      </c>
      <c r="DS108" s="19">
        <v>3.61</v>
      </c>
      <c r="DT108" s="19">
        <v>4.3</v>
      </c>
      <c r="DU108" s="19">
        <v>5.27</v>
      </c>
      <c r="DV108" s="19">
        <v>4.13</v>
      </c>
      <c r="DW108" s="19">
        <v>3.23</v>
      </c>
      <c r="DX108" s="19">
        <v>5.46</v>
      </c>
      <c r="DY108" s="19">
        <v>6.03</v>
      </c>
      <c r="DZ108" s="19">
        <v>5.3</v>
      </c>
      <c r="EA108" s="19">
        <v>5.48</v>
      </c>
      <c r="EB108" s="19">
        <v>2.33</v>
      </c>
      <c r="EC108" s="19">
        <v>3.38</v>
      </c>
      <c r="ED108" s="19">
        <v>4.29</v>
      </c>
      <c r="EE108" s="19">
        <v>2.93</v>
      </c>
      <c r="EF108" s="19">
        <v>5.41</v>
      </c>
      <c r="EG108" s="19">
        <v>4.8099999999999996</v>
      </c>
      <c r="EH108" s="19">
        <v>3.46</v>
      </c>
      <c r="EI108" s="19">
        <v>2.75</v>
      </c>
      <c r="EJ108" s="19">
        <v>4.0199999999999996</v>
      </c>
      <c r="EK108" s="19">
        <v>3.49</v>
      </c>
      <c r="EL108" s="19">
        <v>3.81</v>
      </c>
      <c r="EM108" s="19">
        <v>3.65</v>
      </c>
      <c r="EN108" s="19">
        <v>3.53</v>
      </c>
      <c r="EO108" s="19">
        <v>5.63</v>
      </c>
      <c r="EP108" s="19">
        <v>3.06</v>
      </c>
      <c r="EQ108" s="19">
        <v>4.1399999999999997</v>
      </c>
      <c r="ER108" s="19"/>
      <c r="ES108" s="16">
        <f t="shared" si="7"/>
        <v>3.31</v>
      </c>
      <c r="ET108" s="16">
        <f t="shared" si="7"/>
        <v>3.09</v>
      </c>
      <c r="EU108" s="16">
        <f t="shared" si="7"/>
        <v>4.49</v>
      </c>
      <c r="EV108" s="16">
        <f t="shared" si="7"/>
        <v>4.22</v>
      </c>
      <c r="EW108" s="16">
        <f t="shared" si="7"/>
        <v>4.18</v>
      </c>
      <c r="EX108" s="16" t="str">
        <f t="shared" si="7"/>
        <v>.</v>
      </c>
      <c r="EY108" s="16">
        <f t="shared" si="7"/>
        <v>125.21</v>
      </c>
      <c r="EZ108" s="16">
        <f t="shared" si="7"/>
        <v>5.19</v>
      </c>
      <c r="FA108" s="16">
        <f t="shared" si="7"/>
        <v>6.27</v>
      </c>
      <c r="FB108" s="16">
        <f t="shared" si="7"/>
        <v>4.8099999999999996</v>
      </c>
    </row>
    <row r="109" spans="1:158" x14ac:dyDescent="0.25">
      <c r="A109" s="17">
        <v>106</v>
      </c>
      <c r="B109" s="17" t="s">
        <v>131</v>
      </c>
      <c r="C109" s="17" t="s">
        <v>131</v>
      </c>
      <c r="D109" s="17" t="s">
        <v>25</v>
      </c>
      <c r="E109" s="16">
        <v>1</v>
      </c>
      <c r="F109" s="18">
        <v>3.0328120707660653</v>
      </c>
      <c r="G109" s="18">
        <v>3.0562516794693728</v>
      </c>
      <c r="H109" s="18">
        <v>3.0515022077470286</v>
      </c>
      <c r="I109" s="18">
        <v>3.0996882286906295</v>
      </c>
      <c r="J109" s="18">
        <v>3.2411068244019132</v>
      </c>
      <c r="K109" s="18">
        <v>3.2950285874182499</v>
      </c>
      <c r="L109" s="18">
        <v>3.2617815951985234</v>
      </c>
      <c r="M109" s="18">
        <v>3.4696364247852816</v>
      </c>
      <c r="N109" s="18">
        <v>3.4629861740720638</v>
      </c>
      <c r="O109" s="18">
        <v>3.2653025355176091</v>
      </c>
      <c r="P109" s="18">
        <v>3.9126093615297033</v>
      </c>
      <c r="Q109" s="18">
        <v>3.7574687747688849</v>
      </c>
      <c r="R109" s="18">
        <v>3.9186947272315846</v>
      </c>
      <c r="S109" s="18">
        <v>3.7226606910888234</v>
      </c>
      <c r="T109" s="18">
        <v>3.7126520601882644</v>
      </c>
      <c r="U109" s="18">
        <v>2.8618666092959417</v>
      </c>
      <c r="V109" s="18">
        <v>2.8170538477616942</v>
      </c>
      <c r="W109" s="18">
        <v>2.8024921517479675</v>
      </c>
      <c r="X109" s="18">
        <v>2.8084828424390245</v>
      </c>
      <c r="Y109" s="18">
        <v>2.8465388890909087</v>
      </c>
      <c r="Z109" s="18">
        <v>2.9331652197418951</v>
      </c>
      <c r="AA109" s="18">
        <v>2.8943479035540296</v>
      </c>
      <c r="AB109" s="18">
        <v>2.937306548387971</v>
      </c>
      <c r="AC109" s="18">
        <v>3.0985402224481362</v>
      </c>
      <c r="AD109" s="19">
        <v>3.0929332548097972</v>
      </c>
      <c r="AE109" s="19">
        <v>2.5582178490008332</v>
      </c>
      <c r="AF109" s="19">
        <v>3.3913481163009944</v>
      </c>
      <c r="AG109" s="19">
        <v>3.4971353421399383</v>
      </c>
      <c r="AH109" s="19">
        <v>3.2775020922580396</v>
      </c>
      <c r="AI109" s="19">
        <v>3.1533886659981394</v>
      </c>
      <c r="AJ109" s="19">
        <v>4.3340473961382111</v>
      </c>
      <c r="AK109" s="19">
        <v>4.3735024909090905</v>
      </c>
      <c r="AL109" s="19">
        <v>4.5375144481262319</v>
      </c>
      <c r="AM109" s="19">
        <v>4.6288129522417156</v>
      </c>
      <c r="AN109" s="19">
        <v>4.7012787271681002</v>
      </c>
      <c r="AO109" s="19">
        <v>4.4775931222799743</v>
      </c>
      <c r="AP109" s="19">
        <v>4.2465323871213698</v>
      </c>
      <c r="AQ109" s="19">
        <v>5.1063800181587418</v>
      </c>
      <c r="AR109" s="19">
        <v>4.8530453387241534</v>
      </c>
      <c r="AS109" s="19">
        <v>4.38800240903538</v>
      </c>
      <c r="AT109" s="19">
        <v>3.9967077587924504</v>
      </c>
      <c r="AU109" s="19">
        <v>4.1401946768680746</v>
      </c>
      <c r="AV109" s="19">
        <v>2.8003105590062112</v>
      </c>
      <c r="AW109" s="19">
        <v>2.6200951341991341</v>
      </c>
      <c r="AX109" s="19">
        <v>2.6848299463414631</v>
      </c>
      <c r="AY109" s="19">
        <v>2.6967625865853657</v>
      </c>
      <c r="AZ109" s="19">
        <v>2.697454263636363</v>
      </c>
      <c r="BA109" s="19">
        <v>3.0116149692307692</v>
      </c>
      <c r="BB109" s="19">
        <v>2.8652147578947371</v>
      </c>
      <c r="BC109" s="19">
        <v>2.8812004192493186</v>
      </c>
      <c r="BD109" s="19">
        <v>3.1734567523002628</v>
      </c>
      <c r="BE109" s="19">
        <v>3.3321542018688985</v>
      </c>
      <c r="BF109" s="19">
        <v>5.1069183485959782</v>
      </c>
      <c r="BG109" s="19">
        <v>5.0913462794968511</v>
      </c>
      <c r="BH109" s="19">
        <v>4.5727609843167141</v>
      </c>
      <c r="BI109" s="19">
        <v>4.0208572021433779</v>
      </c>
      <c r="BJ109" s="19">
        <v>4.4239672637973992</v>
      </c>
      <c r="BK109" s="19">
        <v>3.140652644456992</v>
      </c>
      <c r="BL109" s="19">
        <v>3.1725567186147181</v>
      </c>
      <c r="BM109" s="19">
        <v>3.026402723780488</v>
      </c>
      <c r="BN109" s="19">
        <v>2.8084232225609753</v>
      </c>
      <c r="BO109" s="19">
        <v>3.039880227272727</v>
      </c>
      <c r="BP109" s="19">
        <v>3.1044681988165679</v>
      </c>
      <c r="BQ109" s="19">
        <v>2.9368138222222222</v>
      </c>
      <c r="BR109" s="19">
        <v>3.0067799937914272</v>
      </c>
      <c r="BS109" s="19">
        <v>3.1407407760620121</v>
      </c>
      <c r="BT109" s="19">
        <v>3.0082093751208383</v>
      </c>
      <c r="BU109" s="19">
        <v>2.9142496884462803</v>
      </c>
      <c r="BV109" s="19">
        <v>2.9006376181211562</v>
      </c>
      <c r="BW109" s="19">
        <v>3.0951032589544862</v>
      </c>
      <c r="BX109" s="19">
        <v>3.5408844383721267</v>
      </c>
      <c r="BY109" s="19">
        <v>3.5733120521482986</v>
      </c>
      <c r="BZ109" s="19">
        <v>12.669484171001599</v>
      </c>
      <c r="CA109" s="19">
        <v>26.679121707072401</v>
      </c>
      <c r="CB109" s="19">
        <v>18.1782552662558</v>
      </c>
      <c r="CC109" s="19">
        <v>57.619572328178997</v>
      </c>
      <c r="CD109" s="19">
        <v>76.020321239800893</v>
      </c>
      <c r="CE109" s="19">
        <v>85.309290372498438</v>
      </c>
      <c r="CF109" s="19">
        <v>100.86378649216734</v>
      </c>
      <c r="CG109" s="19">
        <v>120.37280164652353</v>
      </c>
      <c r="CH109" s="19">
        <v>139.21975410619496</v>
      </c>
      <c r="CI109" s="19">
        <v>152.28497933177772</v>
      </c>
      <c r="CJ109" s="19">
        <v>21.0505100113336</v>
      </c>
      <c r="CK109" s="19">
        <v>28.9404201507568</v>
      </c>
      <c r="CL109" s="19">
        <v>34.360137939453097</v>
      </c>
      <c r="CM109" s="19">
        <v>84.202606201171903</v>
      </c>
      <c r="CN109" s="19">
        <v>91.091040968417602</v>
      </c>
      <c r="CO109" s="19">
        <v>105.07832895375</v>
      </c>
      <c r="CP109" s="19">
        <v>117.622592760255</v>
      </c>
      <c r="CQ109" s="19">
        <v>124.184126297563</v>
      </c>
      <c r="CR109" s="19">
        <v>105.060985661559</v>
      </c>
      <c r="CS109" s="19">
        <v>104.964198354459</v>
      </c>
      <c r="CT109" s="19">
        <v>141.18439762063318</v>
      </c>
      <c r="CU109" s="19">
        <v>170.11398616204997</v>
      </c>
      <c r="CV109" s="19">
        <v>164.48327337165614</v>
      </c>
      <c r="CW109" s="19">
        <v>173.53407076421661</v>
      </c>
      <c r="CX109" s="19">
        <v>191.27675258504286</v>
      </c>
      <c r="CY109" s="19">
        <v>4.0515376458112407</v>
      </c>
      <c r="CZ109" s="19">
        <v>3.7991488070953436</v>
      </c>
      <c r="DA109" s="19">
        <v>3.403061825</v>
      </c>
      <c r="DB109" s="19">
        <v>3.3618863164634143</v>
      </c>
      <c r="DC109" s="19">
        <v>3.3044164090909085</v>
      </c>
      <c r="DD109" s="19">
        <v>3.4332770213017754</v>
      </c>
      <c r="DE109" s="19">
        <v>3.5568545976608186</v>
      </c>
      <c r="DF109" s="19">
        <v>3.627235902149863</v>
      </c>
      <c r="DG109" s="19">
        <v>3.6784027695655825</v>
      </c>
      <c r="DH109" s="19">
        <v>3.7807731295224301</v>
      </c>
      <c r="DI109" s="19">
        <v>2.8515745386233626</v>
      </c>
      <c r="DJ109" s="19">
        <v>2.846159730232511</v>
      </c>
      <c r="DK109" s="19">
        <v>4.2521975516799815</v>
      </c>
      <c r="DL109" s="19">
        <v>3.965075552157276</v>
      </c>
      <c r="DM109" s="19">
        <v>4.975949016260091</v>
      </c>
      <c r="DN109" s="19">
        <v>1.926114906832298</v>
      </c>
      <c r="DO109" s="19">
        <v>1.6811743463203461</v>
      </c>
      <c r="DP109" s="19">
        <v>1.8685442274390245</v>
      </c>
      <c r="DQ109" s="19">
        <v>2.3062518804878045</v>
      </c>
      <c r="DR109" s="19">
        <v>2.4849122545454545</v>
      </c>
      <c r="DS109" s="19">
        <v>2.6899063313609468</v>
      </c>
      <c r="DT109" s="19">
        <v>2.8353191309941521</v>
      </c>
      <c r="DU109" s="19">
        <v>3.110126527424284</v>
      </c>
      <c r="DV109" s="19">
        <v>3.2662499785423282</v>
      </c>
      <c r="DW109" s="19">
        <v>3.2443405888835835</v>
      </c>
      <c r="DX109" s="19">
        <v>3.94471074712501</v>
      </c>
      <c r="DY109" s="19">
        <v>4.6159604432785706</v>
      </c>
      <c r="DZ109" s="19">
        <v>4.260251342583131</v>
      </c>
      <c r="EA109" s="19">
        <v>3.351232896452264</v>
      </c>
      <c r="EB109" s="19">
        <v>4.175753651871732</v>
      </c>
      <c r="EC109" s="19">
        <v>1.6037888198757764</v>
      </c>
      <c r="ED109" s="19">
        <v>1.444083922077922</v>
      </c>
      <c r="EE109" s="19">
        <v>1.3961734219512194</v>
      </c>
      <c r="EF109" s="19">
        <v>1.6582227908536584</v>
      </c>
      <c r="EG109" s="19">
        <v>1.8059656636363632</v>
      </c>
      <c r="EH109" s="19">
        <v>1.9617412130177514</v>
      </c>
      <c r="EI109" s="19">
        <v>2.2665965853801167</v>
      </c>
      <c r="EJ109" s="19">
        <v>2.576765695897469</v>
      </c>
      <c r="EK109" s="19">
        <v>2.7913194537162784</v>
      </c>
      <c r="EL109" s="19">
        <v>3.0113120856492417</v>
      </c>
      <c r="EM109" s="19">
        <v>3.3445439047682783</v>
      </c>
      <c r="EN109" s="19">
        <v>2.6527557744606587</v>
      </c>
      <c r="EO109" s="19">
        <v>3.2486596555727054</v>
      </c>
      <c r="EP109" s="19">
        <v>2.9331971708736773</v>
      </c>
      <c r="EQ109" s="19">
        <v>3.5417957802907636</v>
      </c>
      <c r="ER109" s="19"/>
      <c r="ES109" s="16">
        <f t="shared" si="7"/>
        <v>3.2411068244019132</v>
      </c>
      <c r="ET109" s="16">
        <f t="shared" si="7"/>
        <v>2.8465388890909087</v>
      </c>
      <c r="EU109" s="16">
        <f t="shared" si="7"/>
        <v>4.3735024909090905</v>
      </c>
      <c r="EV109" s="16">
        <f t="shared" si="7"/>
        <v>2.697454263636363</v>
      </c>
      <c r="EW109" s="16">
        <f t="shared" si="7"/>
        <v>3.039880227272727</v>
      </c>
      <c r="EX109" s="16" t="str">
        <f t="shared" si="7"/>
        <v>.</v>
      </c>
      <c r="EY109" s="16">
        <f t="shared" si="7"/>
        <v>91.091040968417602</v>
      </c>
      <c r="EZ109" s="16">
        <f t="shared" si="7"/>
        <v>3.3044164090909085</v>
      </c>
      <c r="FA109" s="16">
        <f t="shared" si="7"/>
        <v>2.4849122545454545</v>
      </c>
      <c r="FB109" s="16">
        <f t="shared" si="7"/>
        <v>1.8059656636363632</v>
      </c>
    </row>
    <row r="110" spans="1:158" x14ac:dyDescent="0.25">
      <c r="A110" s="17">
        <v>107</v>
      </c>
      <c r="B110" s="17" t="s">
        <v>132</v>
      </c>
      <c r="C110" s="17" t="s">
        <v>132</v>
      </c>
      <c r="D110" s="17" t="s">
        <v>7</v>
      </c>
      <c r="E110" s="16">
        <v>1</v>
      </c>
      <c r="F110" s="18">
        <v>3.6759304401910033</v>
      </c>
      <c r="G110" s="18">
        <v>3.7071725011148167</v>
      </c>
      <c r="H110" s="18">
        <v>3.8202942758848515</v>
      </c>
      <c r="I110" s="18">
        <v>3.8562081960117673</v>
      </c>
      <c r="J110" s="18">
        <v>3.8459589695943679</v>
      </c>
      <c r="K110" s="18">
        <v>3.8309797987696514</v>
      </c>
      <c r="L110" s="18">
        <v>3.7876761537935746</v>
      </c>
      <c r="M110" s="18">
        <v>3.6852727908426384</v>
      </c>
      <c r="N110" s="18">
        <v>3.6154791064858141</v>
      </c>
      <c r="O110" s="18">
        <v>3.5703127471070615</v>
      </c>
      <c r="P110" s="18">
        <v>3.9149318001383353</v>
      </c>
      <c r="Q110" s="18">
        <v>3.1066365576147308</v>
      </c>
      <c r="R110" s="18">
        <v>3.4887938951890352</v>
      </c>
      <c r="S110" s="18">
        <v>3.4200002400194141</v>
      </c>
      <c r="T110" s="18">
        <v>3.2935227659075288</v>
      </c>
      <c r="U110" s="18">
        <v>2.6861111111111109</v>
      </c>
      <c r="V110" s="18">
        <v>2.9565750483660129</v>
      </c>
      <c r="W110" s="18">
        <v>3.2936021652351739</v>
      </c>
      <c r="X110" s="18">
        <v>3.4775606957349896</v>
      </c>
      <c r="Y110" s="18">
        <v>3.3881992288322715</v>
      </c>
      <c r="Z110" s="18">
        <v>3.3071538785281387</v>
      </c>
      <c r="AA110" s="18">
        <v>3.4242186049193757</v>
      </c>
      <c r="AB110" s="18">
        <v>3.3710703240703821</v>
      </c>
      <c r="AC110" s="18">
        <v>3.2799565440101408</v>
      </c>
      <c r="AD110" s="19">
        <v>3.1334804013536837</v>
      </c>
      <c r="AE110" s="19">
        <v>3.1761011031675306</v>
      </c>
      <c r="AF110" s="19">
        <v>4.3357336117912508</v>
      </c>
      <c r="AG110" s="19">
        <v>3.2093365858703917</v>
      </c>
      <c r="AH110" s="19">
        <v>4.130890152380176</v>
      </c>
      <c r="AI110" s="19">
        <v>3.8131114861528488</v>
      </c>
      <c r="AJ110" s="19">
        <v>4.7132955751552794</v>
      </c>
      <c r="AK110" s="19">
        <v>4.6091572541401282</v>
      </c>
      <c r="AL110" s="19">
        <v>4.5760927783549787</v>
      </c>
      <c r="AM110" s="19">
        <v>4.5783847212121209</v>
      </c>
      <c r="AN110" s="19">
        <v>4.55831176806723</v>
      </c>
      <c r="AO110" s="19">
        <v>4.4676736150097707</v>
      </c>
      <c r="AP110" s="19">
        <v>4.3081038167921157</v>
      </c>
      <c r="AQ110" s="19">
        <v>4.5652858854094003</v>
      </c>
      <c r="AR110" s="19">
        <v>3.9924273336789113</v>
      </c>
      <c r="AS110" s="19">
        <v>4.8312112746279903</v>
      </c>
      <c r="AT110" s="19">
        <v>3.6326491098440972</v>
      </c>
      <c r="AU110" s="19">
        <v>3.8933455242442316</v>
      </c>
      <c r="AV110" s="19">
        <v>2.6944444444444446</v>
      </c>
      <c r="AW110" s="19">
        <v>2.9997800993464052</v>
      </c>
      <c r="AX110" s="19">
        <v>3.2758456386503063</v>
      </c>
      <c r="AY110" s="19">
        <v>3.6960963726708078</v>
      </c>
      <c r="AZ110" s="19">
        <v>4.0337376859872611</v>
      </c>
      <c r="BA110" s="19">
        <v>3.9196707987012989</v>
      </c>
      <c r="BB110" s="19">
        <v>3.5900171896103896</v>
      </c>
      <c r="BC110" s="19">
        <v>3.5921685034715067</v>
      </c>
      <c r="BD110" s="19">
        <v>3.6388239174581773</v>
      </c>
      <c r="BE110" s="19">
        <v>3.5544903448072533</v>
      </c>
      <c r="BF110" s="19">
        <v>4.5991125616808457</v>
      </c>
      <c r="BG110" s="19">
        <v>3.3728265311539456</v>
      </c>
      <c r="BH110" s="19">
        <v>4.4881757183921751</v>
      </c>
      <c r="BI110" s="19">
        <v>4.3829936352950831</v>
      </c>
      <c r="BJ110" s="19">
        <v>5.8436425710267468</v>
      </c>
      <c r="BK110" s="19">
        <v>3.6056338028169015</v>
      </c>
      <c r="BL110" s="19">
        <v>3.6893284082850042</v>
      </c>
      <c r="BM110" s="19">
        <v>3.6492021576687113</v>
      </c>
      <c r="BN110" s="19">
        <v>3.5684710981366461</v>
      </c>
      <c r="BO110" s="19">
        <v>3.6171026859872608</v>
      </c>
      <c r="BP110" s="19">
        <v>3.2001821246753246</v>
      </c>
      <c r="BQ110" s="19">
        <v>2.8602552753246755</v>
      </c>
      <c r="BR110" s="19">
        <v>2.9167680357927268</v>
      </c>
      <c r="BS110" s="19">
        <v>3.0414642282038429</v>
      </c>
      <c r="BT110" s="19">
        <v>3.021255231307725</v>
      </c>
      <c r="BU110" s="19">
        <v>2.725132039824341</v>
      </c>
      <c r="BV110" s="19">
        <v>2.2751420164241303</v>
      </c>
      <c r="BW110" s="19">
        <v>3.3224313485463393</v>
      </c>
      <c r="BX110" s="19">
        <v>2.7506688578122436</v>
      </c>
      <c r="BY110" s="19">
        <v>2.3217907397096851</v>
      </c>
      <c r="BZ110" s="19">
        <v>15.3316431030856</v>
      </c>
      <c r="CA110" s="19">
        <v>26.991321057655199</v>
      </c>
      <c r="CB110" s="19">
        <v>23.0756232468542</v>
      </c>
      <c r="CC110" s="19">
        <v>30.959774238908999</v>
      </c>
      <c r="CD110" s="19">
        <v>43.653830065191201</v>
      </c>
      <c r="CE110" s="19">
        <v>44.113652484570487</v>
      </c>
      <c r="CF110" s="19">
        <v>53.642429542646425</v>
      </c>
      <c r="CG110" s="19">
        <v>55.277545361412464</v>
      </c>
      <c r="CH110" s="19">
        <v>70.604904653260235</v>
      </c>
      <c r="CI110" s="19">
        <v>72.297525685817334</v>
      </c>
      <c r="CJ110" s="19">
        <v>54.3</v>
      </c>
      <c r="CK110" s="19">
        <v>87.6</v>
      </c>
      <c r="CL110" s="19">
        <v>107.280166625977</v>
      </c>
      <c r="CM110" s="19">
        <v>120.47169494628901</v>
      </c>
      <c r="CN110" s="19">
        <v>185.27609304977099</v>
      </c>
      <c r="CO110" s="19">
        <v>185.27609304977099</v>
      </c>
      <c r="CP110" s="19">
        <v>177.94044210140399</v>
      </c>
      <c r="CQ110" s="19">
        <v>159.949982538949</v>
      </c>
      <c r="CR110" s="19">
        <v>163.029368892207</v>
      </c>
      <c r="CS110" s="19">
        <v>162.155944114448</v>
      </c>
      <c r="CT110" s="19">
        <v>200</v>
      </c>
      <c r="CU110" s="19">
        <v>200</v>
      </c>
      <c r="CV110" s="19">
        <v>200</v>
      </c>
      <c r="CW110" s="19">
        <v>200</v>
      </c>
      <c r="CX110" s="19">
        <v>200</v>
      </c>
      <c r="CY110" s="19">
        <v>4.6857142857142859</v>
      </c>
      <c r="CZ110" s="19">
        <v>4.6907727596638651</v>
      </c>
      <c r="DA110" s="19">
        <v>4.6758531171779136</v>
      </c>
      <c r="DB110" s="19">
        <v>4.751487804968944</v>
      </c>
      <c r="DC110" s="19">
        <v>4.7199472681528665</v>
      </c>
      <c r="DD110" s="19">
        <v>4.5873433740259735</v>
      </c>
      <c r="DE110" s="19">
        <v>4.2246742415584411</v>
      </c>
      <c r="DF110" s="19">
        <v>4.1035439979278738</v>
      </c>
      <c r="DG110" s="19">
        <v>4.0649567008684464</v>
      </c>
      <c r="DH110" s="19">
        <v>3.8885961960938018</v>
      </c>
      <c r="DI110" s="19">
        <v>3.7076469253483646</v>
      </c>
      <c r="DJ110" s="19">
        <v>4.0074449153751672</v>
      </c>
      <c r="DK110" s="19">
        <v>3.5473274532532946</v>
      </c>
      <c r="DL110" s="19">
        <v>3.8817491345493438</v>
      </c>
      <c r="DM110" s="19">
        <v>3.6774127425771477</v>
      </c>
      <c r="DN110" s="19">
        <v>2.6666666666666665</v>
      </c>
      <c r="DO110" s="19">
        <v>2.5895144784313722</v>
      </c>
      <c r="DP110" s="19">
        <v>2.739934680981595</v>
      </c>
      <c r="DQ110" s="19">
        <v>3.097232534161491</v>
      </c>
      <c r="DR110" s="19">
        <v>3.4849760847133755</v>
      </c>
      <c r="DS110" s="19">
        <v>3.7222831467532465</v>
      </c>
      <c r="DT110" s="19">
        <v>3.7975794025974023</v>
      </c>
      <c r="DU110" s="19">
        <v>3.7330062554907295</v>
      </c>
      <c r="DV110" s="19">
        <v>3.5275639197013899</v>
      </c>
      <c r="DW110" s="19">
        <v>3.4042149180072849</v>
      </c>
      <c r="DX110" s="19">
        <v>3.2607306227600916</v>
      </c>
      <c r="DY110" s="19">
        <v>4.8077177889782376</v>
      </c>
      <c r="DZ110" s="19">
        <v>2.9755193977813352</v>
      </c>
      <c r="EA110" s="19">
        <v>4.6175961385244593</v>
      </c>
      <c r="EB110" s="19">
        <v>4.9738498027843763</v>
      </c>
      <c r="EC110" s="19">
        <v>2.4027777777777777</v>
      </c>
      <c r="ED110" s="19">
        <v>2.2031413856209152</v>
      </c>
      <c r="EE110" s="19">
        <v>2.3444237251533742</v>
      </c>
      <c r="EF110" s="19">
        <v>2.841120390062112</v>
      </c>
      <c r="EG110" s="19">
        <v>3.1436298643312104</v>
      </c>
      <c r="EH110" s="19">
        <v>3.245930698701299</v>
      </c>
      <c r="EI110" s="19">
        <v>3.3355174701298704</v>
      </c>
      <c r="EJ110" s="19">
        <v>3.3166728361435025</v>
      </c>
      <c r="EK110" s="19">
        <v>3.1879326817709641</v>
      </c>
      <c r="EL110" s="19">
        <v>3.1695400092561368</v>
      </c>
      <c r="EM110" s="19">
        <v>2.9149107314404019</v>
      </c>
      <c r="EN110" s="19">
        <v>3.0874490799785477</v>
      </c>
      <c r="EO110" s="19">
        <v>3.940033293340258</v>
      </c>
      <c r="EP110" s="19">
        <v>3.5860879354324977</v>
      </c>
      <c r="EQ110" s="19">
        <v>4.4004926871822398</v>
      </c>
      <c r="ER110" s="19"/>
      <c r="ES110" s="16">
        <f t="shared" si="7"/>
        <v>3.8459589695943679</v>
      </c>
      <c r="ET110" s="16">
        <f t="shared" si="7"/>
        <v>3.3881992288322715</v>
      </c>
      <c r="EU110" s="16">
        <f t="shared" si="7"/>
        <v>4.6091572541401282</v>
      </c>
      <c r="EV110" s="16">
        <f t="shared" si="7"/>
        <v>4.0337376859872611</v>
      </c>
      <c r="EW110" s="16">
        <f t="shared" si="7"/>
        <v>3.6171026859872608</v>
      </c>
      <c r="EX110" s="16" t="str">
        <f t="shared" si="7"/>
        <v>.</v>
      </c>
      <c r="EY110" s="16">
        <f t="shared" si="7"/>
        <v>185.27609304977099</v>
      </c>
      <c r="EZ110" s="16">
        <f t="shared" si="7"/>
        <v>4.7199472681528665</v>
      </c>
      <c r="FA110" s="16">
        <f t="shared" si="7"/>
        <v>3.4849760847133755</v>
      </c>
      <c r="FB110" s="16">
        <f t="shared" si="7"/>
        <v>3.1436298643312104</v>
      </c>
    </row>
    <row r="111" spans="1:158" x14ac:dyDescent="0.25">
      <c r="A111" s="17">
        <v>108</v>
      </c>
      <c r="B111" s="17" t="s">
        <v>133</v>
      </c>
      <c r="C111" s="17" t="s">
        <v>133</v>
      </c>
      <c r="D111" s="17" t="s">
        <v>9</v>
      </c>
      <c r="E111" s="16">
        <v>1</v>
      </c>
      <c r="F111" s="18">
        <v>3.9321979202557045</v>
      </c>
      <c r="G111" s="18">
        <v>3.994206284098468</v>
      </c>
      <c r="H111" s="18">
        <v>3.8290460771832953</v>
      </c>
      <c r="I111" s="18">
        <v>3.7481387904889134</v>
      </c>
      <c r="J111" s="18">
        <v>3.7753011578947366</v>
      </c>
      <c r="K111" s="18">
        <v>3.8006443648075421</v>
      </c>
      <c r="L111" s="18">
        <v>3.7497858267471962</v>
      </c>
      <c r="M111" s="18">
        <v>3.8842962148590399</v>
      </c>
      <c r="N111" s="18">
        <v>3.7657366401509962</v>
      </c>
      <c r="O111" s="18">
        <v>3.8162124049565898</v>
      </c>
      <c r="P111" s="18">
        <v>3.6232709080252854</v>
      </c>
      <c r="Q111" s="18">
        <v>3.8812791161389106</v>
      </c>
      <c r="R111" s="18">
        <v>3.4445810987862946</v>
      </c>
      <c r="S111" s="18">
        <v>3.6009557168019724</v>
      </c>
      <c r="T111" s="18">
        <v>4.1104990602956564</v>
      </c>
      <c r="U111" s="18">
        <v>3.2496956525226213</v>
      </c>
      <c r="V111" s="18">
        <v>3.01642150080351</v>
      </c>
      <c r="W111" s="18">
        <v>2.8759097174637591</v>
      </c>
      <c r="X111" s="18">
        <v>2.9759112330964466</v>
      </c>
      <c r="Y111" s="18">
        <v>3.0220766090534981</v>
      </c>
      <c r="Z111" s="18">
        <v>2.9531248492945621</v>
      </c>
      <c r="AA111" s="18">
        <v>2.9394688588560132</v>
      </c>
      <c r="AB111" s="18">
        <v>3.1100936108675183</v>
      </c>
      <c r="AC111" s="18">
        <v>3.0664135191127446</v>
      </c>
      <c r="AD111" s="19">
        <v>3.1108670382723158</v>
      </c>
      <c r="AE111" s="19">
        <v>2.7488899205398933</v>
      </c>
      <c r="AF111" s="19">
        <v>3.1872906096791622</v>
      </c>
      <c r="AG111" s="19">
        <v>3.2716044060336662</v>
      </c>
      <c r="AH111" s="19">
        <v>2.7092340878147327</v>
      </c>
      <c r="AI111" s="19">
        <v>2.6763332438638727</v>
      </c>
      <c r="AJ111" s="19">
        <v>4.9286011157360408</v>
      </c>
      <c r="AK111" s="19">
        <v>4.9148160000000001</v>
      </c>
      <c r="AL111" s="19">
        <v>4.9482855527363183</v>
      </c>
      <c r="AM111" s="19">
        <v>4.7245756644808745</v>
      </c>
      <c r="AN111" s="19">
        <v>4.8196028643544446</v>
      </c>
      <c r="AO111" s="19">
        <v>4.7352162023823494</v>
      </c>
      <c r="AP111" s="19">
        <v>4.7171139584647284</v>
      </c>
      <c r="AQ111" s="19">
        <v>4.8487233701153389</v>
      </c>
      <c r="AR111" s="19">
        <v>4.7693277556613651</v>
      </c>
      <c r="AS111" s="19">
        <v>4.7798304507367</v>
      </c>
      <c r="AT111" s="19">
        <v>4.4637640327467567</v>
      </c>
      <c r="AU111" s="19">
        <v>4.2652622851896789</v>
      </c>
      <c r="AV111" s="19">
        <v>3.4620318622377644</v>
      </c>
      <c r="AW111" s="19">
        <v>3.4846548862231184</v>
      </c>
      <c r="AX111" s="19">
        <v>3.3954161123762381</v>
      </c>
      <c r="AY111" s="19">
        <v>3.3912188725888326</v>
      </c>
      <c r="AZ111" s="19">
        <v>3.3146640000000001</v>
      </c>
      <c r="BA111" s="19">
        <v>3.4382447164179104</v>
      </c>
      <c r="BB111" s="19">
        <v>3.540618747540984</v>
      </c>
      <c r="BC111" s="19">
        <v>3.613004665253845</v>
      </c>
      <c r="BD111" s="19">
        <v>3.528000274726323</v>
      </c>
      <c r="BE111" s="19">
        <v>3.5575473857648445</v>
      </c>
      <c r="BF111" s="19">
        <v>4.9612306677170714</v>
      </c>
      <c r="BG111" s="19">
        <v>4.6101602553437724</v>
      </c>
      <c r="BH111" s="19">
        <v>6.2731780766299581</v>
      </c>
      <c r="BI111" s="19">
        <v>4.8414618497598241</v>
      </c>
      <c r="BJ111" s="19">
        <v>4.3702685348231336</v>
      </c>
      <c r="BK111" s="19">
        <v>3.4451776317939666</v>
      </c>
      <c r="BL111" s="19">
        <v>3.941701836643146</v>
      </c>
      <c r="BM111" s="19">
        <v>3.3545179896039605</v>
      </c>
      <c r="BN111" s="19">
        <v>3.0660474568527922</v>
      </c>
      <c r="BO111" s="19">
        <v>3.2960060000000002</v>
      </c>
      <c r="BP111" s="19">
        <v>3.320869947761194</v>
      </c>
      <c r="BQ111" s="19">
        <v>3.121943773770492</v>
      </c>
      <c r="BR111" s="19">
        <v>3.0701806920266561</v>
      </c>
      <c r="BS111" s="19">
        <v>3.0792737024171011</v>
      </c>
      <c r="BT111" s="19">
        <v>3.1758494467446301</v>
      </c>
      <c r="BU111" s="19">
        <v>3.0884854692896972</v>
      </c>
      <c r="BV111" s="19">
        <v>2.7357118067319552</v>
      </c>
      <c r="BW111" s="19">
        <v>2.8142673867754668</v>
      </c>
      <c r="BX111" s="19">
        <v>3.0444124575394036</v>
      </c>
      <c r="BY111" s="19">
        <v>2.7178637580232601</v>
      </c>
      <c r="BZ111" s="19">
        <v>8.0269453940005704</v>
      </c>
      <c r="CA111" s="19">
        <v>10.0420552628498</v>
      </c>
      <c r="CB111" s="19">
        <v>14.9614595183311</v>
      </c>
      <c r="CC111" s="19">
        <v>26.8247825233694</v>
      </c>
      <c r="CD111" s="19">
        <v>39.278531387735903</v>
      </c>
      <c r="CE111" s="19">
        <v>44.011552508996566</v>
      </c>
      <c r="CF111" s="19">
        <v>54.83971670368458</v>
      </c>
      <c r="CG111" s="19">
        <v>59.912971855286258</v>
      </c>
      <c r="CH111" s="19">
        <v>67.319209643392497</v>
      </c>
      <c r="CI111" s="19">
        <v>74.265104180220689</v>
      </c>
      <c r="CJ111" s="19">
        <v>40.886593526032399</v>
      </c>
      <c r="CK111" s="19">
        <v>52.0740966796875</v>
      </c>
      <c r="CL111" s="19">
        <v>72.188735961914105</v>
      </c>
      <c r="CM111" s="19">
        <v>79.114440917968807</v>
      </c>
      <c r="CN111" s="19">
        <v>100.096606059225</v>
      </c>
      <c r="CO111" s="19">
        <v>113.264872955309</v>
      </c>
      <c r="CP111" s="19">
        <v>119.687387188185</v>
      </c>
      <c r="CQ111" s="19">
        <v>128.525209683063</v>
      </c>
      <c r="CR111" s="19">
        <v>131.71305603822</v>
      </c>
      <c r="CS111" s="19">
        <v>126.872321632911</v>
      </c>
      <c r="CT111" s="19">
        <v>159.84835050261836</v>
      </c>
      <c r="CU111" s="19">
        <v>160.92422838588232</v>
      </c>
      <c r="CV111" s="19">
        <v>177.29115954281085</v>
      </c>
      <c r="CW111" s="19">
        <v>185.84438377004713</v>
      </c>
      <c r="CX111" s="19">
        <v>196.41850230489067</v>
      </c>
      <c r="CY111" s="19">
        <v>4.6730496453900709</v>
      </c>
      <c r="CZ111" s="19">
        <v>4.6645155094840121</v>
      </c>
      <c r="DA111" s="19">
        <v>4.5814555227722771</v>
      </c>
      <c r="DB111" s="19">
        <v>4.4207705086294418</v>
      </c>
      <c r="DC111" s="19">
        <v>4.3727790000000004</v>
      </c>
      <c r="DD111" s="19">
        <v>4.6084831149253729</v>
      </c>
      <c r="DE111" s="19">
        <v>4.8101639868852457</v>
      </c>
      <c r="DF111" s="19">
        <v>4.8539232090622066</v>
      </c>
      <c r="DG111" s="19">
        <v>4.6903349637985228</v>
      </c>
      <c r="DH111" s="19">
        <v>4.665134372855678</v>
      </c>
      <c r="DI111" s="19">
        <v>4.5986029479006394</v>
      </c>
      <c r="DJ111" s="19">
        <v>4.9729136582318318</v>
      </c>
      <c r="DK111" s="19">
        <v>4.6627737734061059</v>
      </c>
      <c r="DL111" s="19">
        <v>4.9407266908333787</v>
      </c>
      <c r="DM111" s="19">
        <v>4.6421381768092465</v>
      </c>
      <c r="DN111" s="19">
        <v>3.5325226108750134</v>
      </c>
      <c r="DO111" s="19">
        <v>3.5470222379755438</v>
      </c>
      <c r="DP111" s="19">
        <v>3.7447460475247523</v>
      </c>
      <c r="DQ111" s="19">
        <v>4.073894970558376</v>
      </c>
      <c r="DR111" s="19">
        <v>4.2870910000000002</v>
      </c>
      <c r="DS111" s="19">
        <v>4.7533754910447765</v>
      </c>
      <c r="DT111" s="19">
        <v>4.8857369311475409</v>
      </c>
      <c r="DU111" s="19">
        <v>4.59524683849705</v>
      </c>
      <c r="DV111" s="19">
        <v>4.3563213161059791</v>
      </c>
      <c r="DW111" s="19">
        <v>4.489664288723108</v>
      </c>
      <c r="DX111" s="19">
        <v>5.4139850411826878</v>
      </c>
      <c r="DY111" s="19">
        <v>4.0494889827812308</v>
      </c>
      <c r="DZ111" s="19">
        <v>5.2309306704932581</v>
      </c>
      <c r="EA111" s="19">
        <v>5.0484306565756976</v>
      </c>
      <c r="EB111" s="19">
        <v>5.7171817559885323</v>
      </c>
      <c r="EC111" s="19">
        <v>3.4598550138787827</v>
      </c>
      <c r="ED111" s="19">
        <v>3.6357886782762101</v>
      </c>
      <c r="EE111" s="19">
        <v>3.568194641089109</v>
      </c>
      <c r="EF111" s="19">
        <v>3.3566599375634518</v>
      </c>
      <c r="EG111" s="19">
        <v>3.3573230000000001</v>
      </c>
      <c r="EH111" s="19">
        <v>4.0031472522388061</v>
      </c>
      <c r="EI111" s="19">
        <v>4.520074498360656</v>
      </c>
      <c r="EJ111" s="19">
        <v>4.4648834422392145</v>
      </c>
      <c r="EK111" s="19">
        <v>4.3143889904022217</v>
      </c>
      <c r="EL111" s="19">
        <v>4.356218335845254</v>
      </c>
      <c r="EM111" s="19">
        <v>4.5024932192382732</v>
      </c>
      <c r="EN111" s="19">
        <v>4.5192818930982055</v>
      </c>
      <c r="EO111" s="19">
        <v>5.4102451217498384</v>
      </c>
      <c r="EP111" s="19">
        <v>4.7092956895450149</v>
      </c>
      <c r="EQ111" s="19">
        <v>5.2345995137800339</v>
      </c>
      <c r="ER111" s="19"/>
      <c r="ES111" s="16">
        <f t="shared" si="7"/>
        <v>3.7753011578947366</v>
      </c>
      <c r="ET111" s="16">
        <f t="shared" si="7"/>
        <v>3.0220766090534981</v>
      </c>
      <c r="EU111" s="16">
        <f t="shared" si="7"/>
        <v>4.9148160000000001</v>
      </c>
      <c r="EV111" s="16">
        <f t="shared" si="7"/>
        <v>3.3146640000000001</v>
      </c>
      <c r="EW111" s="16">
        <f t="shared" si="7"/>
        <v>3.2960060000000002</v>
      </c>
      <c r="EX111" s="16" t="str">
        <f t="shared" si="7"/>
        <v>.</v>
      </c>
      <c r="EY111" s="16">
        <f t="shared" si="7"/>
        <v>100.096606059225</v>
      </c>
      <c r="EZ111" s="16">
        <f t="shared" si="7"/>
        <v>4.3727790000000004</v>
      </c>
      <c r="FA111" s="16">
        <f t="shared" si="7"/>
        <v>4.2870910000000002</v>
      </c>
      <c r="FB111" s="16">
        <f t="shared" si="7"/>
        <v>3.3573230000000001</v>
      </c>
    </row>
    <row r="112" spans="1:158" x14ac:dyDescent="0.25">
      <c r="A112" s="17">
        <v>109</v>
      </c>
      <c r="B112" s="17" t="s">
        <v>134</v>
      </c>
      <c r="C112" s="17" t="s">
        <v>134</v>
      </c>
      <c r="D112" s="17" t="s">
        <v>14</v>
      </c>
      <c r="E112" s="16">
        <v>1</v>
      </c>
      <c r="F112" s="18">
        <v>2.9998623960426194</v>
      </c>
      <c r="G112" s="18">
        <v>3.142156635823254</v>
      </c>
      <c r="H112" s="18">
        <v>3.2324554830546264</v>
      </c>
      <c r="I112" s="18">
        <v>3.3133959056445459</v>
      </c>
      <c r="J112" s="18">
        <v>3.2554200054069597</v>
      </c>
      <c r="K112" s="18">
        <v>3.1433210526315789</v>
      </c>
      <c r="L112" s="18">
        <v>3.1995332912182142</v>
      </c>
      <c r="M112" s="18">
        <v>3.3428874711995378</v>
      </c>
      <c r="N112" s="18">
        <v>3.3686354620369232</v>
      </c>
      <c r="O112" s="18">
        <v>3.1944053954302727</v>
      </c>
      <c r="P112" s="18">
        <v>3.6344658045244462</v>
      </c>
      <c r="Q112" s="18">
        <v>3.1125238149626502</v>
      </c>
      <c r="R112" s="18">
        <v>3.3058691774628488</v>
      </c>
      <c r="S112" s="18">
        <v>3.7316943547369115</v>
      </c>
      <c r="T112" s="18">
        <v>2.9426781930213339</v>
      </c>
      <c r="U112" s="18">
        <v>2.556311247512383</v>
      </c>
      <c r="V112" s="18">
        <v>2.5455749400953054</v>
      </c>
      <c r="W112" s="18">
        <v>2.7587548429813666</v>
      </c>
      <c r="X112" s="18">
        <v>2.964610604154589</v>
      </c>
      <c r="Y112" s="18">
        <v>2.7918673575591981</v>
      </c>
      <c r="Z112" s="18">
        <v>2.6323699540229883</v>
      </c>
      <c r="AA112" s="18">
        <v>2.6260087825468164</v>
      </c>
      <c r="AB112" s="18">
        <v>2.7620137634723476</v>
      </c>
      <c r="AC112" s="18">
        <v>3.1840920302720486</v>
      </c>
      <c r="AD112" s="19">
        <v>2.8408984621365865</v>
      </c>
      <c r="AE112" s="19">
        <v>2.6292262788895404</v>
      </c>
      <c r="AF112" s="19">
        <v>3.3053307082216543</v>
      </c>
      <c r="AG112" s="19">
        <v>3.3743303163211524</v>
      </c>
      <c r="AH112" s="19">
        <v>3.8499699986790201</v>
      </c>
      <c r="AI112" s="19">
        <v>3.1052747054963841</v>
      </c>
      <c r="AJ112" s="19">
        <v>4.6459185978260873</v>
      </c>
      <c r="AK112" s="19">
        <v>4.5084330805100175</v>
      </c>
      <c r="AL112" s="19">
        <v>4.4926404229885053</v>
      </c>
      <c r="AM112" s="19">
        <v>4.5047506580524344</v>
      </c>
      <c r="AN112" s="19">
        <v>4.3588431438382749</v>
      </c>
      <c r="AO112" s="19">
        <v>4.1371008504510476</v>
      </c>
      <c r="AP112" s="19">
        <v>3.8344314455986024</v>
      </c>
      <c r="AQ112" s="19">
        <v>4.019948204996429</v>
      </c>
      <c r="AR112" s="19">
        <v>4.2264045070545642</v>
      </c>
      <c r="AS112" s="19">
        <v>3.3567297467166757</v>
      </c>
      <c r="AT112" s="19">
        <v>3.4965795879845873</v>
      </c>
      <c r="AU112" s="19">
        <v>3.5880644805225477</v>
      </c>
      <c r="AV112" s="19">
        <v>2.8702107279693485</v>
      </c>
      <c r="AW112" s="19">
        <v>3.2316395714285715</v>
      </c>
      <c r="AX112" s="19">
        <v>3.1501711999999999</v>
      </c>
      <c r="AY112" s="19">
        <v>3.414314706521739</v>
      </c>
      <c r="AZ112" s="19">
        <v>3.5972063486338794</v>
      </c>
      <c r="BA112" s="19">
        <v>3.4043088482758619</v>
      </c>
      <c r="BB112" s="19">
        <v>3.4357699387640448</v>
      </c>
      <c r="BC112" s="19">
        <v>3.5233182975580983</v>
      </c>
      <c r="BD112" s="19">
        <v>3.3757687014371607</v>
      </c>
      <c r="BE112" s="19">
        <v>3.1941713333129882</v>
      </c>
      <c r="BF112" s="19">
        <v>3.8597018597739252</v>
      </c>
      <c r="BG112" s="19">
        <v>4.9033260248692958</v>
      </c>
      <c r="BH112" s="19">
        <v>2.8913756641661434</v>
      </c>
      <c r="BI112" s="19">
        <v>4.7679096332341855</v>
      </c>
      <c r="BJ112" s="19">
        <v>5.0007690787940273</v>
      </c>
      <c r="BK112" s="19">
        <v>2.4528311362209667</v>
      </c>
      <c r="BL112" s="19">
        <v>2.4381015357142859</v>
      </c>
      <c r="BM112" s="19">
        <v>2.6310184298136647</v>
      </c>
      <c r="BN112" s="19">
        <v>2.89067425</v>
      </c>
      <c r="BO112" s="19">
        <v>2.690821808743169</v>
      </c>
      <c r="BP112" s="19">
        <v>2.7327987103448272</v>
      </c>
      <c r="BQ112" s="19">
        <v>2.7516071174157304</v>
      </c>
      <c r="BR112" s="19">
        <v>2.6513531613278656</v>
      </c>
      <c r="BS112" s="19">
        <v>2.7654205583678886</v>
      </c>
      <c r="BT112" s="19">
        <v>2.8759259581565857</v>
      </c>
      <c r="BU112" s="19">
        <v>2.9516630073694454</v>
      </c>
      <c r="BV112" s="19">
        <v>3.4546958109523391</v>
      </c>
      <c r="BW112" s="19">
        <v>3.1016066677584995</v>
      </c>
      <c r="BX112" s="19">
        <v>3.8575215355250334</v>
      </c>
      <c r="BY112" s="19">
        <v>3.133578072726003</v>
      </c>
      <c r="BZ112" s="19">
        <v>1.0447264964537</v>
      </c>
      <c r="CA112" s="19">
        <v>1.83696254647462</v>
      </c>
      <c r="CB112" s="19">
        <v>1.78388665495264</v>
      </c>
      <c r="CC112" s="19">
        <v>2.9793626912454898</v>
      </c>
      <c r="CD112" s="19">
        <v>9.3725249408898605</v>
      </c>
      <c r="CE112" s="19">
        <v>8.8863998042175627</v>
      </c>
      <c r="CF112" s="19">
        <v>9.5556623790922295</v>
      </c>
      <c r="CG112" s="19">
        <v>12.540012707914833</v>
      </c>
      <c r="CH112" s="19">
        <v>14.720414940157829</v>
      </c>
      <c r="CI112" s="19">
        <v>17.314033811717355</v>
      </c>
      <c r="CJ112" s="19">
        <v>6.1641067097817297</v>
      </c>
      <c r="CK112" s="19">
        <v>11.6048488616943</v>
      </c>
      <c r="CL112" s="19">
        <v>20.194822311401399</v>
      </c>
      <c r="CM112" s="19">
        <v>26.079778671264599</v>
      </c>
      <c r="CN112" s="19">
        <v>30.884735920351499</v>
      </c>
      <c r="CO112" s="19">
        <v>32.826748241140301</v>
      </c>
      <c r="CP112" s="19">
        <v>33.129390722505597</v>
      </c>
      <c r="CQ112" s="19">
        <v>48.004215570390201</v>
      </c>
      <c r="CR112" s="19">
        <v>69.671873321991697</v>
      </c>
      <c r="CS112" s="19">
        <v>74.2388482899769</v>
      </c>
      <c r="CT112" s="19">
        <v>73.947206767404126</v>
      </c>
      <c r="CU112" s="19">
        <v>82.566881416282257</v>
      </c>
      <c r="CV112" s="19">
        <v>95.597633463444211</v>
      </c>
      <c r="CW112" s="19">
        <v>95.804335949939272</v>
      </c>
      <c r="CX112" s="19">
        <v>103.98798921057796</v>
      </c>
      <c r="CY112" s="19">
        <v>3.8312349687349689</v>
      </c>
      <c r="CZ112" s="19">
        <v>3.5400861850649354</v>
      </c>
      <c r="DA112" s="19">
        <v>3.2329632099378882</v>
      </c>
      <c r="DB112" s="19">
        <v>3.3315362746376813</v>
      </c>
      <c r="DC112" s="19">
        <v>3.5010619994535519</v>
      </c>
      <c r="DD112" s="19">
        <v>3.5395778758620686</v>
      </c>
      <c r="DE112" s="19">
        <v>3.459583470224719</v>
      </c>
      <c r="DF112" s="19">
        <v>3.3567502398282789</v>
      </c>
      <c r="DG112" s="19">
        <v>3.5194415122724427</v>
      </c>
      <c r="DH112" s="19">
        <v>3.6413123428821565</v>
      </c>
      <c r="DI112" s="19">
        <v>2.9008948694279799</v>
      </c>
      <c r="DJ112" s="19">
        <v>3.2018789634774563</v>
      </c>
      <c r="DK112" s="19">
        <v>3.3646310769154826</v>
      </c>
      <c r="DL112" s="19">
        <v>3.068804066002619</v>
      </c>
      <c r="DM112" s="19">
        <v>3.4191281566126621</v>
      </c>
      <c r="DN112" s="19">
        <v>2.1786905944692831</v>
      </c>
      <c r="DO112" s="19">
        <v>2.0631992051948052</v>
      </c>
      <c r="DP112" s="19">
        <v>2.742604267080746</v>
      </c>
      <c r="DQ112" s="19">
        <v>3.269201925362319</v>
      </c>
      <c r="DR112" s="19">
        <v>3.1085740169398903</v>
      </c>
      <c r="DS112" s="19">
        <v>2.9987577862068964</v>
      </c>
      <c r="DT112" s="19">
        <v>3.1249389769662921</v>
      </c>
      <c r="DU112" s="19">
        <v>2.9622287236856915</v>
      </c>
      <c r="DV112" s="19">
        <v>2.6670295574943426</v>
      </c>
      <c r="DW112" s="19">
        <v>2.5861321210861208</v>
      </c>
      <c r="DX112" s="19">
        <v>2.9727996778364898</v>
      </c>
      <c r="DY112" s="19">
        <v>2.5881545268824948</v>
      </c>
      <c r="DZ112" s="19">
        <v>1.8740791603847056</v>
      </c>
      <c r="EA112" s="19">
        <v>1.7471210520323945</v>
      </c>
      <c r="EB112" s="19">
        <v>3.8677602397814961</v>
      </c>
      <c r="EC112" s="19">
        <v>1.9567791240991526</v>
      </c>
      <c r="ED112" s="19">
        <v>2.0487020829192546</v>
      </c>
      <c r="EE112" s="19">
        <v>2.32716279378882</v>
      </c>
      <c r="EF112" s="19">
        <v>2.3795178405797097</v>
      </c>
      <c r="EG112" s="19">
        <v>2.33538023715847</v>
      </c>
      <c r="EH112" s="19">
        <v>2.384686544827586</v>
      </c>
      <c r="EI112" s="19">
        <v>2.2570704179775278</v>
      </c>
      <c r="EJ112" s="19">
        <v>2.1342117325324148</v>
      </c>
      <c r="EK112" s="19">
        <v>2.27997278380515</v>
      </c>
      <c r="EL112" s="19">
        <v>2.4324560523033143</v>
      </c>
      <c r="EM112" s="19">
        <v>2.001768275744177</v>
      </c>
      <c r="EN112" s="19">
        <v>2.3297256557216692</v>
      </c>
      <c r="EO112" s="19">
        <v>2.8849518597428014</v>
      </c>
      <c r="EP112" s="19">
        <v>2.2363096730641687</v>
      </c>
      <c r="EQ112" s="19">
        <v>2.2253526489886362</v>
      </c>
      <c r="ER112" s="19"/>
      <c r="ES112" s="16">
        <f t="shared" si="7"/>
        <v>3.2554200054069597</v>
      </c>
      <c r="ET112" s="16">
        <f t="shared" si="7"/>
        <v>2.7918673575591981</v>
      </c>
      <c r="EU112" s="16">
        <f t="shared" si="7"/>
        <v>4.5084330805100175</v>
      </c>
      <c r="EV112" s="16">
        <f t="shared" si="7"/>
        <v>3.5972063486338794</v>
      </c>
      <c r="EW112" s="16">
        <f t="shared" si="7"/>
        <v>2.690821808743169</v>
      </c>
      <c r="EX112" s="16" t="str">
        <f t="shared" si="7"/>
        <v>.</v>
      </c>
      <c r="EY112" s="16">
        <f t="shared" si="7"/>
        <v>30.884735920351499</v>
      </c>
      <c r="EZ112" s="16">
        <f t="shared" si="7"/>
        <v>3.5010619994535519</v>
      </c>
      <c r="FA112" s="16">
        <f t="shared" si="7"/>
        <v>3.1085740169398903</v>
      </c>
      <c r="FB112" s="16">
        <f t="shared" si="7"/>
        <v>2.33538023715847</v>
      </c>
    </row>
    <row r="113" spans="1:158" x14ac:dyDescent="0.25">
      <c r="A113" s="17">
        <v>110</v>
      </c>
      <c r="B113" s="17" t="s">
        <v>135</v>
      </c>
      <c r="C113" s="17" t="s">
        <v>135</v>
      </c>
      <c r="D113" s="17" t="s">
        <v>14</v>
      </c>
      <c r="E113" s="16">
        <v>1</v>
      </c>
      <c r="F113" s="18">
        <v>3.3935481967770418</v>
      </c>
      <c r="G113" s="18">
        <v>3.6312362454534659</v>
      </c>
      <c r="H113" s="18">
        <v>3.7492710851125062</v>
      </c>
      <c r="I113" s="18">
        <v>3.595574504069452</v>
      </c>
      <c r="J113" s="18">
        <v>3.5595611257759781</v>
      </c>
      <c r="K113" s="18">
        <v>3.571180453804895</v>
      </c>
      <c r="L113" s="18">
        <v>3.6502921438378557</v>
      </c>
      <c r="M113" s="18">
        <v>3.7238468869709673</v>
      </c>
      <c r="N113" s="18">
        <v>3.8073328043496537</v>
      </c>
      <c r="O113" s="18">
        <v>3.7289549720132213</v>
      </c>
      <c r="P113" s="18">
        <v>3.8978820054249685</v>
      </c>
      <c r="Q113" s="18">
        <v>3.808319903104981</v>
      </c>
      <c r="R113" s="18">
        <v>3.6688434447460656</v>
      </c>
      <c r="S113" s="18">
        <v>4.0844273287315094</v>
      </c>
      <c r="T113" s="18">
        <v>4.6109650097009132</v>
      </c>
      <c r="U113" s="18">
        <v>2.6600523662388875</v>
      </c>
      <c r="V113" s="18">
        <v>2.6839706206185534</v>
      </c>
      <c r="W113" s="18">
        <v>2.778945656462585</v>
      </c>
      <c r="X113" s="18">
        <v>2.8861318995189</v>
      </c>
      <c r="Y113" s="18">
        <v>2.9373507719658121</v>
      </c>
      <c r="Z113" s="18">
        <v>2.9318476011440349</v>
      </c>
      <c r="AA113" s="18">
        <v>3.0233209908818894</v>
      </c>
      <c r="AB113" s="18">
        <v>3.1046314227127727</v>
      </c>
      <c r="AC113" s="18">
        <v>3.2420789497233229</v>
      </c>
      <c r="AD113" s="19">
        <v>3.2874775025410208</v>
      </c>
      <c r="AE113" s="19">
        <v>3.2897401627940832</v>
      </c>
      <c r="AF113" s="19">
        <v>3.6177772479912145</v>
      </c>
      <c r="AG113" s="19">
        <v>3.1537257953151525</v>
      </c>
      <c r="AH113" s="19">
        <v>3.6851052093979533</v>
      </c>
      <c r="AI113" s="19">
        <v>3.9372176611726024</v>
      </c>
      <c r="AJ113" s="19">
        <v>5.233214983505154</v>
      </c>
      <c r="AK113" s="19">
        <v>5.0006879094017096</v>
      </c>
      <c r="AL113" s="19">
        <v>4.7940263605095543</v>
      </c>
      <c r="AM113" s="19">
        <v>4.879700264182194</v>
      </c>
      <c r="AN113" s="19">
        <v>4.902898822745736</v>
      </c>
      <c r="AO113" s="19">
        <v>4.8386804661431748</v>
      </c>
      <c r="AP113" s="19">
        <v>4.6420661299836405</v>
      </c>
      <c r="AQ113" s="19">
        <v>4.1159191465957239</v>
      </c>
      <c r="AR113" s="19">
        <v>4.1206382143554432</v>
      </c>
      <c r="AS113" s="19">
        <v>4.9455532699739999</v>
      </c>
      <c r="AT113" s="19">
        <v>4.4709678024802066</v>
      </c>
      <c r="AU113" s="19">
        <v>4.2227286026292932</v>
      </c>
      <c r="AV113" s="19">
        <v>2.9787315000362149</v>
      </c>
      <c r="AW113" s="19">
        <v>3.4321038483516482</v>
      </c>
      <c r="AX113" s="19">
        <v>3.7094548142857144</v>
      </c>
      <c r="AY113" s="19">
        <v>3.6403690350515463</v>
      </c>
      <c r="AZ113" s="19">
        <v>3.389376851282051</v>
      </c>
      <c r="BA113" s="19">
        <v>3.4191679171974521</v>
      </c>
      <c r="BB113" s="19">
        <v>3.5259946745341613</v>
      </c>
      <c r="BC113" s="19">
        <v>3.45585428224501</v>
      </c>
      <c r="BD113" s="19">
        <v>3.6398321007427414</v>
      </c>
      <c r="BE113" s="19">
        <v>3.9778587023417158</v>
      </c>
      <c r="BF113" s="19">
        <v>4.5575412458632201</v>
      </c>
      <c r="BG113" s="19">
        <v>4.5810413264953178</v>
      </c>
      <c r="BH113" s="19">
        <v>4.9853736114023679</v>
      </c>
      <c r="BI113" s="19">
        <v>5.3792095369447948</v>
      </c>
      <c r="BJ113" s="19">
        <v>6.0936601406594644</v>
      </c>
      <c r="BK113" s="19">
        <v>3.7026481067984225</v>
      </c>
      <c r="BL113" s="19">
        <v>3.5539615456043956</v>
      </c>
      <c r="BM113" s="19">
        <v>3.5515795357142856</v>
      </c>
      <c r="BN113" s="19">
        <v>3.5238442814432984</v>
      </c>
      <c r="BO113" s="19">
        <v>3.4981665897435903</v>
      </c>
      <c r="BP113" s="19">
        <v>3.4906879636942678</v>
      </c>
      <c r="BQ113" s="19">
        <v>3.501684557763975</v>
      </c>
      <c r="BR113" s="19">
        <v>3.3409633087404691</v>
      </c>
      <c r="BS113" s="19">
        <v>3.5421889432166749</v>
      </c>
      <c r="BT113" s="19">
        <v>3.564497751348159</v>
      </c>
      <c r="BU113" s="19">
        <v>3.8112134718380659</v>
      </c>
      <c r="BV113" s="19">
        <v>4.0074391392078592</v>
      </c>
      <c r="BW113" s="19">
        <v>3.394971365315457</v>
      </c>
      <c r="BX113" s="19">
        <v>3.50213057924188</v>
      </c>
      <c r="BY113" s="19">
        <v>3.5069727695367563</v>
      </c>
      <c r="BZ113" s="19">
        <v>3.6278767162190801</v>
      </c>
      <c r="CA113" s="19">
        <v>28.8228932687033</v>
      </c>
      <c r="CB113" s="19">
        <v>34.212211529903598</v>
      </c>
      <c r="CC113" s="19">
        <v>35.458188031625397</v>
      </c>
      <c r="CD113" s="19">
        <v>62.0699557342719</v>
      </c>
      <c r="CE113" s="19">
        <v>70.696498622716874</v>
      </c>
      <c r="CF113" s="19">
        <v>83.079258698798512</v>
      </c>
      <c r="CG113" s="19">
        <v>97.928479804949674</v>
      </c>
      <c r="CH113" s="19">
        <v>108.65839876374984</v>
      </c>
      <c r="CI113" s="19">
        <v>120.04888016621074</v>
      </c>
      <c r="CJ113" s="19">
        <v>24.3722304283604</v>
      </c>
      <c r="CK113" s="19">
        <v>29.666521072387699</v>
      </c>
      <c r="CL113" s="19">
        <v>50.044239044189503</v>
      </c>
      <c r="CM113" s="19">
        <v>56.053577423095703</v>
      </c>
      <c r="CN113" s="19">
        <v>67.206910732719294</v>
      </c>
      <c r="CO113" s="19">
        <v>104.96027545563599</v>
      </c>
      <c r="CP113" s="19">
        <v>103.003214724207</v>
      </c>
      <c r="CQ113" s="19">
        <v>110.214364947912</v>
      </c>
      <c r="CR113" s="19">
        <v>113.756245772977</v>
      </c>
      <c r="CS113" s="19">
        <v>102.10126360053</v>
      </c>
      <c r="CT113" s="19">
        <v>136.89440099387889</v>
      </c>
      <c r="CU113" s="19">
        <v>146.72090695358165</v>
      </c>
      <c r="CV113" s="19">
        <v>158.14908102170639</v>
      </c>
      <c r="CW113" s="19">
        <v>165.12525487773505</v>
      </c>
      <c r="CX113" s="19">
        <v>180.67842230879512</v>
      </c>
      <c r="CY113" s="19">
        <v>5.4117298824211106</v>
      </c>
      <c r="CZ113" s="19">
        <v>5.7897812990842485</v>
      </c>
      <c r="DA113" s="19">
        <v>5.8355841785714286</v>
      </c>
      <c r="DB113" s="19">
        <v>5.6416754608247421</v>
      </c>
      <c r="DC113" s="19">
        <v>5.3677588205128206</v>
      </c>
      <c r="DD113" s="19">
        <v>5.0772665643312109</v>
      </c>
      <c r="DE113" s="19">
        <v>5.088623842236025</v>
      </c>
      <c r="DF113" s="19">
        <v>5.0718338905607574</v>
      </c>
      <c r="DG113" s="19">
        <v>5.0788147314598682</v>
      </c>
      <c r="DH113" s="19">
        <v>5.2391289150013645</v>
      </c>
      <c r="DI113" s="19">
        <v>4.7135157666373324</v>
      </c>
      <c r="DJ113" s="19">
        <v>4.9564464493792215</v>
      </c>
      <c r="DK113" s="19">
        <v>5.3034046579803666</v>
      </c>
      <c r="DL113" s="19">
        <v>4.8568730764287773</v>
      </c>
      <c r="DM113" s="19">
        <v>4.7654772869297037</v>
      </c>
      <c r="DN113" s="19">
        <v>4.8338391372511751</v>
      </c>
      <c r="DO113" s="19">
        <v>5.1476230985347984</v>
      </c>
      <c r="DP113" s="19">
        <v>5.5092630255102035</v>
      </c>
      <c r="DQ113" s="19">
        <v>5.6193387298969064</v>
      </c>
      <c r="DR113" s="19">
        <v>5.2941686000000008</v>
      </c>
      <c r="DS113" s="19">
        <v>5.1308594133757968</v>
      </c>
      <c r="DT113" s="19">
        <v>5.2219175490683227</v>
      </c>
      <c r="DU113" s="19">
        <v>4.9789852601286668</v>
      </c>
      <c r="DV113" s="19">
        <v>4.707376809496628</v>
      </c>
      <c r="DW113" s="19">
        <v>4.5322733720143642</v>
      </c>
      <c r="DX113" s="19">
        <v>4.6559387523042091</v>
      </c>
      <c r="DY113" s="19">
        <v>4.5570160947097955</v>
      </c>
      <c r="DZ113" s="19">
        <v>4.0593507706832721</v>
      </c>
      <c r="EA113" s="19">
        <v>4.0486444625106461</v>
      </c>
      <c r="EB113" s="19">
        <v>4.3094538937378664</v>
      </c>
      <c r="EC113" s="19">
        <v>4.8666368948643637</v>
      </c>
      <c r="ED113" s="19">
        <v>5.4270789928571421</v>
      </c>
      <c r="EE113" s="19">
        <v>5.6900284918367348</v>
      </c>
      <c r="EF113" s="19">
        <v>5.8271776556701038</v>
      </c>
      <c r="EG113" s="19">
        <v>5.3515087692307697</v>
      </c>
      <c r="EH113" s="19">
        <v>5.0836133866242044</v>
      </c>
      <c r="EI113" s="19">
        <v>5.2847336832298133</v>
      </c>
      <c r="EJ113" s="19">
        <v>5.2035780345302101</v>
      </c>
      <c r="EK113" s="19">
        <v>5.1759039583959074</v>
      </c>
      <c r="EL113" s="19">
        <v>5.1509606875625309</v>
      </c>
      <c r="EM113" s="19">
        <v>4.7486158494348816</v>
      </c>
      <c r="EN113" s="19">
        <v>5.3048327470229868</v>
      </c>
      <c r="EO113" s="19">
        <v>5.3642495511158073</v>
      </c>
      <c r="EP113" s="19">
        <v>4.7519638157716457</v>
      </c>
      <c r="EQ113" s="19">
        <v>5.28586840522523</v>
      </c>
      <c r="ER113" s="19"/>
      <c r="ES113" s="16">
        <f t="shared" si="7"/>
        <v>3.5595611257759781</v>
      </c>
      <c r="ET113" s="16">
        <f t="shared" si="7"/>
        <v>2.9373507719658121</v>
      </c>
      <c r="EU113" s="16">
        <f t="shared" si="7"/>
        <v>5.0006879094017096</v>
      </c>
      <c r="EV113" s="16">
        <f t="shared" si="7"/>
        <v>3.389376851282051</v>
      </c>
      <c r="EW113" s="16">
        <f t="shared" si="7"/>
        <v>3.4981665897435903</v>
      </c>
      <c r="EX113" s="16" t="str">
        <f t="shared" si="7"/>
        <v>.</v>
      </c>
      <c r="EY113" s="16">
        <f t="shared" si="7"/>
        <v>67.206910732719294</v>
      </c>
      <c r="EZ113" s="16">
        <f t="shared" si="7"/>
        <v>5.3677588205128206</v>
      </c>
      <c r="FA113" s="16">
        <f t="shared" si="7"/>
        <v>5.2941686000000008</v>
      </c>
      <c r="FB113" s="16">
        <f t="shared" si="7"/>
        <v>5.3515087692307697</v>
      </c>
    </row>
    <row r="114" spans="1:158" x14ac:dyDescent="0.25">
      <c r="A114" s="17">
        <v>111</v>
      </c>
      <c r="B114" s="17" t="s">
        <v>136</v>
      </c>
      <c r="C114" s="17" t="s">
        <v>136</v>
      </c>
      <c r="D114" s="17" t="s">
        <v>25</v>
      </c>
      <c r="E114" s="16">
        <v>1</v>
      </c>
      <c r="F114" s="18">
        <v>3.2852802038130831</v>
      </c>
      <c r="G114" s="18">
        <v>3.3357084926578491</v>
      </c>
      <c r="H114" s="18">
        <v>3.2077539361858975</v>
      </c>
      <c r="I114" s="18">
        <v>3.0442049406506211</v>
      </c>
      <c r="J114" s="18">
        <v>3.1452822892105265</v>
      </c>
      <c r="K114" s="18">
        <v>3.2095695668016195</v>
      </c>
      <c r="L114" s="18">
        <v>3.2544707500000003</v>
      </c>
      <c r="M114" s="18">
        <v>3.3389023453920834</v>
      </c>
      <c r="N114" s="18">
        <v>3.3086950835124989</v>
      </c>
      <c r="O114" s="18">
        <v>3.2549683140122614</v>
      </c>
      <c r="P114" s="18">
        <v>3.1779287755975272</v>
      </c>
      <c r="Q114" s="18">
        <v>4.2351686946540976</v>
      </c>
      <c r="R114" s="18">
        <v>3.3792295936611976</v>
      </c>
      <c r="S114" s="18">
        <v>3.2319952544798585</v>
      </c>
      <c r="T114" s="18">
        <v>2.7854265071200626</v>
      </c>
      <c r="U114" s="18">
        <v>2.4898805782506623</v>
      </c>
      <c r="V114" s="18">
        <v>2.4748571213150981</v>
      </c>
      <c r="W114" s="18">
        <v>2.3354955934999997</v>
      </c>
      <c r="X114" s="18">
        <v>2.2915874308542716</v>
      </c>
      <c r="Y114" s="18">
        <v>2.3190477279999997</v>
      </c>
      <c r="Z114" s="18">
        <v>2.4245208431350838</v>
      </c>
      <c r="AA114" s="18">
        <v>2.5605676690304571</v>
      </c>
      <c r="AB114" s="18">
        <v>2.6219157346878252</v>
      </c>
      <c r="AC114" s="18">
        <v>2.6614379393134167</v>
      </c>
      <c r="AD114" s="19">
        <v>2.629622486180752</v>
      </c>
      <c r="AE114" s="19">
        <v>2.7704805475841923</v>
      </c>
      <c r="AF114" s="19">
        <v>2.139123973321857</v>
      </c>
      <c r="AG114" s="19">
        <v>2.6860928730528513</v>
      </c>
      <c r="AH114" s="19">
        <v>2.5930115985492308</v>
      </c>
      <c r="AI114" s="19">
        <v>2.2282086363043296</v>
      </c>
      <c r="AJ114" s="19">
        <v>3.8408486758793967</v>
      </c>
      <c r="AK114" s="19">
        <v>4.0009822299999991</v>
      </c>
      <c r="AL114" s="19">
        <v>4.0350254102564103</v>
      </c>
      <c r="AM114" s="19">
        <v>3.8985190833333334</v>
      </c>
      <c r="AN114" s="19">
        <v>3.8738013085235079</v>
      </c>
      <c r="AO114" s="19">
        <v>3.7315969411475165</v>
      </c>
      <c r="AP114" s="19">
        <v>3.4511922084588775</v>
      </c>
      <c r="AQ114" s="19">
        <v>3.258464688588806</v>
      </c>
      <c r="AR114" s="19">
        <v>3.7732745055216554</v>
      </c>
      <c r="AS114" s="19">
        <v>3.4773705378876718</v>
      </c>
      <c r="AT114" s="19">
        <v>3.4802248166302685</v>
      </c>
      <c r="AU114" s="19">
        <v>3.6119303897376636</v>
      </c>
      <c r="AV114" s="19">
        <v>2.8559752810466108</v>
      </c>
      <c r="AW114" s="19">
        <v>2.9595025009887936</v>
      </c>
      <c r="AX114" s="19">
        <v>2.9332095699999998</v>
      </c>
      <c r="AY114" s="19">
        <v>2.6859292336683414</v>
      </c>
      <c r="AZ114" s="19">
        <v>2.8768049599999994</v>
      </c>
      <c r="BA114" s="19">
        <v>3.1919214615384615</v>
      </c>
      <c r="BB114" s="19">
        <v>3.0878027500000003</v>
      </c>
      <c r="BC114" s="19">
        <v>2.9980756948195637</v>
      </c>
      <c r="BD114" s="19">
        <v>2.9802050510598295</v>
      </c>
      <c r="BE114" s="19">
        <v>3.1007100977848485</v>
      </c>
      <c r="BF114" s="19">
        <v>3.0457735991835007</v>
      </c>
      <c r="BG114" s="19">
        <v>3.1256269374974845</v>
      </c>
      <c r="BH114" s="19">
        <v>3.1388186602194712</v>
      </c>
      <c r="BI114" s="19">
        <v>4.6343643951952744</v>
      </c>
      <c r="BJ114" s="19">
        <v>5.087035927626709</v>
      </c>
      <c r="BK114" s="19">
        <v>2.7547876081193987</v>
      </c>
      <c r="BL114" s="19">
        <v>2.964448412319296</v>
      </c>
      <c r="BM114" s="19">
        <v>2.7624873750000001</v>
      </c>
      <c r="BN114" s="19">
        <v>2.6634085743718594</v>
      </c>
      <c r="BO114" s="19">
        <v>2.8393166149999995</v>
      </c>
      <c r="BP114" s="19">
        <v>2.9064726153846157</v>
      </c>
      <c r="BQ114" s="19">
        <v>2.8827717000000002</v>
      </c>
      <c r="BR114" s="19">
        <v>3.1556538081050292</v>
      </c>
      <c r="BS114" s="19">
        <v>3.1063387068956256</v>
      </c>
      <c r="BT114" s="19">
        <v>2.9730967309057101</v>
      </c>
      <c r="BU114" s="19">
        <v>3.4572875800322183</v>
      </c>
      <c r="BV114" s="19">
        <v>3.5229973376505588</v>
      </c>
      <c r="BW114" s="19">
        <v>3.4932832650081203</v>
      </c>
      <c r="BX114" s="19">
        <v>3.0456328109808313</v>
      </c>
      <c r="BY114" s="19">
        <v>3.3778515949957684</v>
      </c>
      <c r="BZ114" s="19">
        <v>1</v>
      </c>
      <c r="CA114" s="19">
        <v>1</v>
      </c>
      <c r="CB114" s="19">
        <v>12.9508249621539</v>
      </c>
      <c r="CC114" s="19">
        <v>17.424861507911999</v>
      </c>
      <c r="CD114" s="19">
        <v>21.096579825994699</v>
      </c>
      <c r="CE114" s="19">
        <v>29.487798098394201</v>
      </c>
      <c r="CF114" s="19">
        <v>34.202769043432497</v>
      </c>
      <c r="CG114" s="19">
        <v>38.832276994174606</v>
      </c>
      <c r="CH114" s="19">
        <v>46.350049990072989</v>
      </c>
      <c r="CI114" s="19">
        <v>52.676139372418</v>
      </c>
      <c r="CJ114" s="19">
        <v>1</v>
      </c>
      <c r="CK114" s="19">
        <v>4.1806445121765101</v>
      </c>
      <c r="CL114" s="19">
        <v>11.5934734344482</v>
      </c>
      <c r="CM114" s="19">
        <v>25.972171783447301</v>
      </c>
      <c r="CN114" s="19">
        <v>30.693448632621202</v>
      </c>
      <c r="CO114" s="19">
        <v>43.805568087802698</v>
      </c>
      <c r="CP114" s="19">
        <v>52.819733762099702</v>
      </c>
      <c r="CQ114" s="19">
        <v>71.462850000991097</v>
      </c>
      <c r="CR114" s="19">
        <v>82.487288741334694</v>
      </c>
      <c r="CS114" s="19">
        <v>96.749108467326806</v>
      </c>
      <c r="CT114" s="19">
        <v>99.618521429810002</v>
      </c>
      <c r="CU114" s="19">
        <v>112.70953932897302</v>
      </c>
      <c r="CV114" s="19">
        <v>124.7323271995985</v>
      </c>
      <c r="CW114" s="19">
        <v>136.30529740223932</v>
      </c>
      <c r="CX114" s="19">
        <v>143.83297152698452</v>
      </c>
      <c r="CY114" s="19">
        <v>3.954298546130115</v>
      </c>
      <c r="CZ114" s="19">
        <v>3.6026605807514835</v>
      </c>
      <c r="DA114" s="19">
        <v>3.2054683600000002</v>
      </c>
      <c r="DB114" s="19">
        <v>3.048474290452261</v>
      </c>
      <c r="DC114" s="19">
        <v>3.1900784599999996</v>
      </c>
      <c r="DD114" s="19">
        <v>3.5114740769230766</v>
      </c>
      <c r="DE114" s="19">
        <v>3.4607517000000003</v>
      </c>
      <c r="DF114" s="19">
        <v>3.3373472461933202</v>
      </c>
      <c r="DG114" s="19">
        <v>3.7289630959153843</v>
      </c>
      <c r="DH114" s="19">
        <v>4.0745753974029704</v>
      </c>
      <c r="DI114" s="19">
        <v>3.2787634239435226</v>
      </c>
      <c r="DJ114" s="19">
        <v>3.1725628160523391</v>
      </c>
      <c r="DK114" s="19">
        <v>4.2507697607391615</v>
      </c>
      <c r="DL114" s="19">
        <v>3.6243697553549108</v>
      </c>
      <c r="DM114" s="19">
        <v>3.8407753508943223</v>
      </c>
      <c r="DN114" s="19">
        <v>1.9184390895942016</v>
      </c>
      <c r="DO114" s="19">
        <v>1.8589406467630423</v>
      </c>
      <c r="DP114" s="19">
        <v>2.1633728524999998</v>
      </c>
      <c r="DQ114" s="19">
        <v>2.4489356065326633</v>
      </c>
      <c r="DR114" s="19">
        <v>2.6713154549999993</v>
      </c>
      <c r="DS114" s="19">
        <v>2.8975007692307693</v>
      </c>
      <c r="DT114" s="19">
        <v>2.8658694000000002</v>
      </c>
      <c r="DU114" s="19">
        <v>2.9321712349552218</v>
      </c>
      <c r="DV114" s="19">
        <v>2.7409298643719548</v>
      </c>
      <c r="DW114" s="19">
        <v>2.5778363956618557</v>
      </c>
      <c r="DX114" s="19">
        <v>3.1627767693501321</v>
      </c>
      <c r="DY114" s="19">
        <v>3.8561723302544308</v>
      </c>
      <c r="DZ114" s="19">
        <v>4.2234709438951041</v>
      </c>
      <c r="EA114" s="19">
        <v>3.2931035560374107</v>
      </c>
      <c r="EB114" s="19">
        <v>3.8113785388522032</v>
      </c>
      <c r="EC114" s="19">
        <v>2.1265665666869031</v>
      </c>
      <c r="ED114" s="19">
        <v>1.9267732445003143</v>
      </c>
      <c r="EE114" s="19">
        <v>2.1119254949999999</v>
      </c>
      <c r="EF114" s="19">
        <v>2.3060703025125626</v>
      </c>
      <c r="EG114" s="19">
        <v>2.4562263199999999</v>
      </c>
      <c r="EH114" s="19">
        <v>2.5671783846153846</v>
      </c>
      <c r="EI114" s="19">
        <v>2.7127750000000002</v>
      </c>
      <c r="EJ114" s="19">
        <v>2.8989427510866843</v>
      </c>
      <c r="EK114" s="19">
        <v>2.8137212113961159</v>
      </c>
      <c r="EL114" s="19">
        <v>2.8456666226239546</v>
      </c>
      <c r="EM114" s="19">
        <v>2.7025927520440653</v>
      </c>
      <c r="EN114" s="19">
        <v>2.7761126536423673</v>
      </c>
      <c r="EO114" s="19">
        <v>3.6219700233966723</v>
      </c>
      <c r="EP114" s="19">
        <v>2.9988491116021891</v>
      </c>
      <c r="EQ114" s="19">
        <v>3.7535345426947173</v>
      </c>
      <c r="ER114" s="19"/>
      <c r="ES114" s="16">
        <f t="shared" si="7"/>
        <v>3.1452822892105265</v>
      </c>
      <c r="ET114" s="16">
        <f t="shared" si="7"/>
        <v>2.3190477279999997</v>
      </c>
      <c r="EU114" s="16">
        <f t="shared" si="7"/>
        <v>4.0009822299999991</v>
      </c>
      <c r="EV114" s="16">
        <f t="shared" si="7"/>
        <v>2.8768049599999994</v>
      </c>
      <c r="EW114" s="16">
        <f t="shared" si="7"/>
        <v>2.8393166149999995</v>
      </c>
      <c r="EX114" s="16" t="str">
        <f t="shared" si="7"/>
        <v>.</v>
      </c>
      <c r="EY114" s="16">
        <f t="shared" si="7"/>
        <v>30.693448632621202</v>
      </c>
      <c r="EZ114" s="16">
        <f t="shared" si="7"/>
        <v>3.1900784599999996</v>
      </c>
      <c r="FA114" s="16">
        <f t="shared" si="7"/>
        <v>2.6713154549999993</v>
      </c>
      <c r="FB114" s="16">
        <f t="shared" si="7"/>
        <v>2.4562263199999999</v>
      </c>
    </row>
    <row r="115" spans="1:158" x14ac:dyDescent="0.25">
      <c r="A115" s="17">
        <v>112</v>
      </c>
      <c r="B115" s="17" t="s">
        <v>137</v>
      </c>
      <c r="C115" s="17" t="s">
        <v>137</v>
      </c>
      <c r="D115" s="17" t="s">
        <v>23</v>
      </c>
      <c r="E115" s="16">
        <v>1</v>
      </c>
      <c r="F115" s="18">
        <v>5.5444865019371008</v>
      </c>
      <c r="G115" s="18">
        <v>5.5806793704199862</v>
      </c>
      <c r="H115" s="18">
        <v>5.544811667769971</v>
      </c>
      <c r="I115" s="18">
        <v>5.5545786963302746</v>
      </c>
      <c r="J115" s="18">
        <v>5.5775980903225806</v>
      </c>
      <c r="K115" s="18">
        <v>5.6268442007785735</v>
      </c>
      <c r="L115" s="18">
        <v>5.5611920913734032</v>
      </c>
      <c r="M115" s="18">
        <v>5.570402757462535</v>
      </c>
      <c r="N115" s="18">
        <v>5.5585231391265397</v>
      </c>
      <c r="O115" s="18">
        <v>5.6050366277399695</v>
      </c>
      <c r="P115" s="18">
        <v>5.7327706753303938</v>
      </c>
      <c r="Q115" s="18">
        <v>5.5311350366063072</v>
      </c>
      <c r="R115" s="18">
        <v>5.4724496827805158</v>
      </c>
      <c r="S115" s="18">
        <v>5.8141416477779275</v>
      </c>
      <c r="T115" s="18">
        <v>5.6040417672202647</v>
      </c>
      <c r="U115" s="18">
        <v>4.8807707903210513</v>
      </c>
      <c r="V115" s="18">
        <v>4.82496462181334</v>
      </c>
      <c r="W115" s="18">
        <v>4.7922626491113052</v>
      </c>
      <c r="X115" s="18">
        <v>4.766747173244906</v>
      </c>
      <c r="Y115" s="18">
        <v>5.0251982055598479</v>
      </c>
      <c r="Z115" s="18">
        <v>5.3086191502169617</v>
      </c>
      <c r="AA115" s="18">
        <v>5.1638208467104203</v>
      </c>
      <c r="AB115" s="18">
        <v>5.2515548594803469</v>
      </c>
      <c r="AC115" s="18">
        <v>5.3653290895909089</v>
      </c>
      <c r="AD115" s="19">
        <v>5.4421525080596345</v>
      </c>
      <c r="AE115" s="19">
        <v>5.8505883402526528</v>
      </c>
      <c r="AF115" s="19">
        <v>5.5110145258553036</v>
      </c>
      <c r="AG115" s="19">
        <v>5.669646976068405</v>
      </c>
      <c r="AH115" s="19">
        <v>5.8894477401855889</v>
      </c>
      <c r="AI115" s="19">
        <v>5.6625434823723442</v>
      </c>
      <c r="AJ115" s="19">
        <v>5.6833190463302747</v>
      </c>
      <c r="AK115" s="19">
        <v>5.749637510752688</v>
      </c>
      <c r="AL115" s="19">
        <v>5.763841436291913</v>
      </c>
      <c r="AM115" s="19">
        <v>5.6688296299802756</v>
      </c>
      <c r="AN115" s="19">
        <v>5.628963894255139</v>
      </c>
      <c r="AO115" s="19">
        <v>5.7013418838973777</v>
      </c>
      <c r="AP115" s="19">
        <v>5.8108883669607749</v>
      </c>
      <c r="AQ115" s="19">
        <v>5.5876768221785325</v>
      </c>
      <c r="AR115" s="19">
        <v>5.7876271303649522</v>
      </c>
      <c r="AS115" s="19">
        <v>5.8841524874898363</v>
      </c>
      <c r="AT115" s="19">
        <v>5.7885091659692494</v>
      </c>
      <c r="AU115" s="19">
        <v>6.0656469427438502</v>
      </c>
      <c r="AV115" s="19">
        <v>3.2191176470588241</v>
      </c>
      <c r="AW115" s="19">
        <v>3.0069570879518075</v>
      </c>
      <c r="AX115" s="19">
        <v>2.9394374187499999</v>
      </c>
      <c r="AY115" s="19">
        <v>3.127373403211009</v>
      </c>
      <c r="AZ115" s="19">
        <v>3.4900151580645158</v>
      </c>
      <c r="BA115" s="19">
        <v>3.89906175147929</v>
      </c>
      <c r="BB115" s="19">
        <v>3.9923175609467454</v>
      </c>
      <c r="BC115" s="19">
        <v>3.9440787517003955</v>
      </c>
      <c r="BD115" s="19">
        <v>3.9372116370507846</v>
      </c>
      <c r="BE115" s="19">
        <v>3.9780988365789005</v>
      </c>
      <c r="BF115" s="19">
        <v>6.3453130474659885</v>
      </c>
      <c r="BG115" s="19">
        <v>6.0131671294778197</v>
      </c>
      <c r="BH115" s="19">
        <v>6.1493041447778669</v>
      </c>
      <c r="BI115" s="19">
        <v>7</v>
      </c>
      <c r="BJ115" s="19">
        <v>7</v>
      </c>
      <c r="BK115" s="19">
        <v>5.340162957074722</v>
      </c>
      <c r="BL115" s="19">
        <v>4.8755317940084666</v>
      </c>
      <c r="BM115" s="19">
        <v>4.679998490384615</v>
      </c>
      <c r="BN115" s="19">
        <v>4.5761564238532104</v>
      </c>
      <c r="BO115" s="19">
        <v>4.4708396564516129</v>
      </c>
      <c r="BP115" s="19">
        <v>4.5124788917159764</v>
      </c>
      <c r="BQ115" s="19">
        <v>4.4547847739644961</v>
      </c>
      <c r="BR115" s="19">
        <v>4.3053910311611503</v>
      </c>
      <c r="BS115" s="19">
        <v>4.3227107326886802</v>
      </c>
      <c r="BT115" s="19">
        <v>4.3995564180084425</v>
      </c>
      <c r="BU115" s="19">
        <v>3.9595143825735528</v>
      </c>
      <c r="BV115" s="19">
        <v>3.472155590538931</v>
      </c>
      <c r="BW115" s="19">
        <v>3.5682182353987266</v>
      </c>
      <c r="BX115" s="19">
        <v>4.2880712467157052</v>
      </c>
      <c r="BY115" s="19">
        <v>3.9020870496214983</v>
      </c>
      <c r="BZ115" s="19">
        <v>49.187668386904903</v>
      </c>
      <c r="CA115" s="19">
        <v>60.977988334250298</v>
      </c>
      <c r="CB115" s="19">
        <v>62.342008692643297</v>
      </c>
      <c r="CC115" s="19">
        <v>69.097012741524907</v>
      </c>
      <c r="CD115" s="19">
        <v>70.537309737865201</v>
      </c>
      <c r="CE115" s="19">
        <v>74.37764444738994</v>
      </c>
      <c r="CF115" s="19">
        <v>80.930029448802884</v>
      </c>
      <c r="CG115" s="19">
        <v>90.233823731841483</v>
      </c>
      <c r="CH115" s="19">
        <v>91.545894062007989</v>
      </c>
      <c r="CI115" s="19">
        <v>96.067480916355819</v>
      </c>
      <c r="CJ115" s="19">
        <v>97.147064237069799</v>
      </c>
      <c r="CK115" s="19">
        <v>105.91404724121099</v>
      </c>
      <c r="CL115" s="19">
        <v>121.13662719726599</v>
      </c>
      <c r="CM115" s="19">
        <v>127.662147521973</v>
      </c>
      <c r="CN115" s="19">
        <v>116.23435832253701</v>
      </c>
      <c r="CO115" s="19">
        <v>115.445818657065</v>
      </c>
      <c r="CP115" s="19">
        <v>117.522628026852</v>
      </c>
      <c r="CQ115" s="19">
        <v>113.72990368471</v>
      </c>
      <c r="CR115" s="19">
        <v>116.423407687313</v>
      </c>
      <c r="CS115" s="19">
        <v>123.538429708276</v>
      </c>
      <c r="CT115" s="19">
        <v>120.28063940364694</v>
      </c>
      <c r="CU115" s="19">
        <v>126.29435868385167</v>
      </c>
      <c r="CV115" s="19">
        <v>130.8726191847116</v>
      </c>
      <c r="CW115" s="19">
        <v>128.55533750194485</v>
      </c>
      <c r="CX115" s="19">
        <v>130.95794681955422</v>
      </c>
      <c r="CY115" s="19">
        <v>6.4042051282051284</v>
      </c>
      <c r="CZ115" s="19">
        <v>6.3173307897590369</v>
      </c>
      <c r="DA115" s="19">
        <v>6.1083325437500005</v>
      </c>
      <c r="DB115" s="19">
        <v>5.8400350422018343</v>
      </c>
      <c r="DC115" s="19">
        <v>5.833594783870967</v>
      </c>
      <c r="DD115" s="19">
        <v>6.0340993887573955</v>
      </c>
      <c r="DE115" s="19">
        <v>5.9663551704142002</v>
      </c>
      <c r="DF115" s="19">
        <v>5.8445183223497663</v>
      </c>
      <c r="DG115" s="19">
        <v>6.0072193497105646</v>
      </c>
      <c r="DH115" s="19">
        <v>6.1846444135979759</v>
      </c>
      <c r="DI115" s="19">
        <v>5.2220574136225215</v>
      </c>
      <c r="DJ115" s="19">
        <v>4.9517034962555169</v>
      </c>
      <c r="DK115" s="19">
        <v>5.7516017604035756</v>
      </c>
      <c r="DL115" s="19">
        <v>5.1314089971996815</v>
      </c>
      <c r="DM115" s="19">
        <v>5.5591077549699914</v>
      </c>
      <c r="DN115" s="19">
        <v>5.8496562261268146</v>
      </c>
      <c r="DO115" s="19">
        <v>5.6459850621733692</v>
      </c>
      <c r="DP115" s="19">
        <v>5.8070761360576917</v>
      </c>
      <c r="DQ115" s="19">
        <v>5.9168422399082559</v>
      </c>
      <c r="DR115" s="19">
        <v>6.0027253548387094</v>
      </c>
      <c r="DS115" s="19">
        <v>6.2146345893491119</v>
      </c>
      <c r="DT115" s="19">
        <v>6.1965088390532532</v>
      </c>
      <c r="DU115" s="19">
        <v>6.2632375513290839</v>
      </c>
      <c r="DV115" s="19">
        <v>6.311317348480225</v>
      </c>
      <c r="DW115" s="19">
        <v>6.2110641808449465</v>
      </c>
      <c r="DX115" s="19">
        <v>5.395647838000122</v>
      </c>
      <c r="DY115" s="19">
        <v>6.2870847407640769</v>
      </c>
      <c r="DZ115" s="19">
        <v>6.7191449838235817</v>
      </c>
      <c r="EA115" s="19">
        <v>6.1016708690329944</v>
      </c>
      <c r="EB115" s="19">
        <v>6.5546500740605635</v>
      </c>
      <c r="EC115" s="19">
        <v>5.6840295062306447</v>
      </c>
      <c r="ED115" s="19">
        <v>5.2864858591691437</v>
      </c>
      <c r="EE115" s="19">
        <v>5.3513722966346151</v>
      </c>
      <c r="EF115" s="19">
        <v>5.4475954922018346</v>
      </c>
      <c r="EG115" s="19">
        <v>5.6468130112903223</v>
      </c>
      <c r="EH115" s="19">
        <v>6.0127277414201181</v>
      </c>
      <c r="EI115" s="19">
        <v>6.0456547704142007</v>
      </c>
      <c r="EJ115" s="19">
        <v>6.1394704794255723</v>
      </c>
      <c r="EK115" s="19">
        <v>6.2214197950753549</v>
      </c>
      <c r="EL115" s="19">
        <v>6.1380566500410243</v>
      </c>
      <c r="EM115" s="19">
        <v>5.9711152859215471</v>
      </c>
      <c r="EN115" s="19">
        <v>6.3237975683751149</v>
      </c>
      <c r="EO115" s="19">
        <v>7</v>
      </c>
      <c r="EP115" s="19">
        <v>5.8110255513866544</v>
      </c>
      <c r="EQ115" s="19">
        <v>6.9105908963954485</v>
      </c>
      <c r="ER115" s="19"/>
      <c r="ES115" s="16">
        <f t="shared" si="7"/>
        <v>5.5775980903225806</v>
      </c>
      <c r="ET115" s="16">
        <f t="shared" si="7"/>
        <v>5.0251982055598479</v>
      </c>
      <c r="EU115" s="16">
        <f t="shared" si="7"/>
        <v>5.749637510752688</v>
      </c>
      <c r="EV115" s="16">
        <f t="shared" si="7"/>
        <v>3.4900151580645158</v>
      </c>
      <c r="EW115" s="16">
        <f t="shared" si="7"/>
        <v>4.4708396564516129</v>
      </c>
      <c r="EX115" s="16" t="str">
        <f t="shared" si="7"/>
        <v>.</v>
      </c>
      <c r="EY115" s="16">
        <f t="shared" si="7"/>
        <v>116.23435832253701</v>
      </c>
      <c r="EZ115" s="16">
        <f t="shared" si="7"/>
        <v>5.833594783870967</v>
      </c>
      <c r="FA115" s="16">
        <f t="shared" si="7"/>
        <v>6.0027253548387094</v>
      </c>
      <c r="FB115" s="16">
        <f t="shared" si="7"/>
        <v>5.6468130112903223</v>
      </c>
    </row>
    <row r="116" spans="1:158" x14ac:dyDescent="0.25">
      <c r="A116" s="17">
        <v>113</v>
      </c>
      <c r="B116" s="17" t="s">
        <v>138</v>
      </c>
      <c r="C116" s="17" t="s">
        <v>139</v>
      </c>
      <c r="D116" s="17" t="s">
        <v>21</v>
      </c>
      <c r="E116" s="16">
        <v>1</v>
      </c>
      <c r="F116" s="18">
        <v>4.753180709375286</v>
      </c>
      <c r="G116" s="18">
        <v>4.5686468565077778</v>
      </c>
      <c r="H116" s="18">
        <v>4.6367422490028485</v>
      </c>
      <c r="I116" s="18">
        <v>4.5863267225146203</v>
      </c>
      <c r="J116" s="18">
        <v>4.6231897245800662</v>
      </c>
      <c r="K116" s="18">
        <v>4.7815037836643492</v>
      </c>
      <c r="L116" s="18">
        <v>4.7523562559496559</v>
      </c>
      <c r="M116" s="18">
        <v>4.7964041550500243</v>
      </c>
      <c r="N116" s="18">
        <v>4.8162728776417314</v>
      </c>
      <c r="O116" s="18">
        <v>4.8274061065007814</v>
      </c>
      <c r="P116" s="18">
        <v>4.9696915169571598</v>
      </c>
      <c r="Q116" s="18">
        <v>4.7584821701312254</v>
      </c>
      <c r="R116" s="18">
        <v>4.7368048124809512</v>
      </c>
      <c r="S116" s="18">
        <v>4.7511509481381866</v>
      </c>
      <c r="T116" s="18">
        <v>5.4191225630946578</v>
      </c>
      <c r="U116" s="18">
        <v>4.0916928888330606</v>
      </c>
      <c r="V116" s="18">
        <v>3.9505048161976997</v>
      </c>
      <c r="W116" s="18">
        <v>4.097307941481481</v>
      </c>
      <c r="X116" s="18">
        <v>4.0052476796985355</v>
      </c>
      <c r="Y116" s="18">
        <v>4.0508534018885047</v>
      </c>
      <c r="Z116" s="18">
        <v>4.4267587692346684</v>
      </c>
      <c r="AA116" s="18">
        <v>4.3442120104568129</v>
      </c>
      <c r="AB116" s="18">
        <v>4.4172287021731282</v>
      </c>
      <c r="AC116" s="18">
        <v>4.5066117793043547</v>
      </c>
      <c r="AD116" s="19">
        <v>4.6261762181646207</v>
      </c>
      <c r="AE116" s="19">
        <v>4.6807816286025128</v>
      </c>
      <c r="AF116" s="19">
        <v>4.4028472969171828</v>
      </c>
      <c r="AG116" s="19">
        <v>4.5557437220570653</v>
      </c>
      <c r="AH116" s="19">
        <v>4.5375634855773175</v>
      </c>
      <c r="AI116" s="19">
        <v>5.6337328700702587</v>
      </c>
      <c r="AJ116" s="19">
        <v>5.6030652425925922</v>
      </c>
      <c r="AK116" s="19">
        <v>5.6040097230496455</v>
      </c>
      <c r="AL116" s="19">
        <v>5.6833832172955967</v>
      </c>
      <c r="AM116" s="19">
        <v>5.6640906887681153</v>
      </c>
      <c r="AN116" s="19">
        <v>5.6616591824537865</v>
      </c>
      <c r="AO116" s="19">
        <v>5.5393612339160931</v>
      </c>
      <c r="AP116" s="19">
        <v>5.487641802021102</v>
      </c>
      <c r="AQ116" s="19">
        <v>5.6551075303976956</v>
      </c>
      <c r="AR116" s="19">
        <v>5.4841063579572049</v>
      </c>
      <c r="AS116" s="19">
        <v>5.6617995979497469</v>
      </c>
      <c r="AT116" s="19">
        <v>5.4285489974017214</v>
      </c>
      <c r="AU116" s="19">
        <v>5.5408116940385099</v>
      </c>
      <c r="AV116" s="19">
        <v>3.2565882675224045</v>
      </c>
      <c r="AW116" s="19">
        <v>3.2753810314471243</v>
      </c>
      <c r="AX116" s="19">
        <v>3.7238568111111112</v>
      </c>
      <c r="AY116" s="19">
        <v>3.8514946888888888</v>
      </c>
      <c r="AZ116" s="19">
        <v>4.0059329404255317</v>
      </c>
      <c r="BA116" s="19">
        <v>4.3352817490566036</v>
      </c>
      <c r="BB116" s="19">
        <v>4.2931933956521737</v>
      </c>
      <c r="BC116" s="19">
        <v>4.0564193243589743</v>
      </c>
      <c r="BD116" s="19">
        <v>3.8556269034572033</v>
      </c>
      <c r="BE116" s="19">
        <v>4.0460035941180061</v>
      </c>
      <c r="BF116" s="19">
        <v>4.7888094058027271</v>
      </c>
      <c r="BG116" s="19">
        <v>6.3151695170553879</v>
      </c>
      <c r="BH116" s="19">
        <v>5.4301862472928839</v>
      </c>
      <c r="BI116" s="19">
        <v>6.5996737978622777</v>
      </c>
      <c r="BJ116" s="19">
        <v>5.1588713682318614</v>
      </c>
      <c r="BK116" s="19">
        <v>5.1151828718556844</v>
      </c>
      <c r="BL116" s="19">
        <v>4.5317484770119369</v>
      </c>
      <c r="BM116" s="19">
        <v>4.1919231166666666</v>
      </c>
      <c r="BN116" s="19">
        <v>4.0328765777777775</v>
      </c>
      <c r="BO116" s="19">
        <v>4.2211588659574462</v>
      </c>
      <c r="BP116" s="19">
        <v>4.3297562773584906</v>
      </c>
      <c r="BQ116" s="19">
        <v>4.1164725728260869</v>
      </c>
      <c r="BR116" s="19">
        <v>4.4546599029069167</v>
      </c>
      <c r="BS116" s="19">
        <v>4.2465228785043481</v>
      </c>
      <c r="BT116" s="19">
        <v>4.0173375185798195</v>
      </c>
      <c r="BU116" s="19">
        <v>4.16526204886065</v>
      </c>
      <c r="BV116" s="19">
        <v>3.3783438889527755</v>
      </c>
      <c r="BW116" s="19">
        <v>3.0264208814414055</v>
      </c>
      <c r="BX116" s="19">
        <v>3.775076944921905</v>
      </c>
      <c r="BY116" s="19">
        <v>4.1175573579327347</v>
      </c>
      <c r="BZ116" s="19">
        <v>53.007027508608502</v>
      </c>
      <c r="CA116" s="19">
        <v>65.228252934094598</v>
      </c>
      <c r="CB116" s="19">
        <v>81.273729343389505</v>
      </c>
      <c r="CC116" s="19">
        <v>92.719762865910795</v>
      </c>
      <c r="CD116" s="19">
        <v>114.219923609715</v>
      </c>
      <c r="CE116" s="19">
        <v>128.9699822178809</v>
      </c>
      <c r="CF116" s="19">
        <v>140.50411344855434</v>
      </c>
      <c r="CG116" s="19">
        <v>155.79346281550795</v>
      </c>
      <c r="CH116" s="19">
        <v>171.00070269401976</v>
      </c>
      <c r="CI116" s="19">
        <v>187.06455290149168</v>
      </c>
      <c r="CJ116" s="19">
        <v>87.614792752544105</v>
      </c>
      <c r="CK116" s="19">
        <v>93.985992431640597</v>
      </c>
      <c r="CL116" s="19">
        <v>109.61338043212901</v>
      </c>
      <c r="CM116" s="19">
        <v>110.160606384277</v>
      </c>
      <c r="CN116" s="19">
        <v>114.92316173306</v>
      </c>
      <c r="CO116" s="19">
        <v>109.18541563738999</v>
      </c>
      <c r="CP116" s="19">
        <v>110.327649808115</v>
      </c>
      <c r="CQ116" s="19">
        <v>105.775694716164</v>
      </c>
      <c r="CR116" s="19">
        <v>112.054689719466</v>
      </c>
      <c r="CS116" s="19">
        <v>121.83458518369601</v>
      </c>
      <c r="CT116" s="19">
        <v>121.23028937089074</v>
      </c>
      <c r="CU116" s="19">
        <v>125.73676207936974</v>
      </c>
      <c r="CV116" s="19">
        <v>129.17327733704462</v>
      </c>
      <c r="CW116" s="19">
        <v>130.88697234558484</v>
      </c>
      <c r="CX116" s="19">
        <v>130.52518180024512</v>
      </c>
      <c r="CY116" s="19">
        <v>6.0732798497241038</v>
      </c>
      <c r="CZ116" s="19">
        <v>6.1764955251391465</v>
      </c>
      <c r="DA116" s="19">
        <v>6.2470517555555558</v>
      </c>
      <c r="DB116" s="19">
        <v>5.7273257444444443</v>
      </c>
      <c r="DC116" s="19">
        <v>5.8444853234042551</v>
      </c>
      <c r="DD116" s="19">
        <v>6.1153568424528295</v>
      </c>
      <c r="DE116" s="19">
        <v>5.9394053989130438</v>
      </c>
      <c r="DF116" s="19">
        <v>5.9571985778509671</v>
      </c>
      <c r="DG116" s="19">
        <v>6.096499300551141</v>
      </c>
      <c r="DH116" s="19">
        <v>6.1509802481707405</v>
      </c>
      <c r="DI116" s="19">
        <v>6.2403695506367933</v>
      </c>
      <c r="DJ116" s="19">
        <v>6.072282874353955</v>
      </c>
      <c r="DK116" s="19">
        <v>5.5160321069380931</v>
      </c>
      <c r="DL116" s="19">
        <v>6.0221823813642281</v>
      </c>
      <c r="DM116" s="19">
        <v>5.8235610319340738</v>
      </c>
      <c r="DN116" s="19">
        <v>4.5510319727624946</v>
      </c>
      <c r="DO116" s="19">
        <v>4.2588032448051951</v>
      </c>
      <c r="DP116" s="19">
        <v>4.6736421999999997</v>
      </c>
      <c r="DQ116" s="19">
        <v>4.8132714444444442</v>
      </c>
      <c r="DR116" s="19">
        <v>4.6707488468085101</v>
      </c>
      <c r="DS116" s="19">
        <v>4.9386790971698113</v>
      </c>
      <c r="DT116" s="19">
        <v>5.0646619380434785</v>
      </c>
      <c r="DU116" s="19">
        <v>5.1189114280705379</v>
      </c>
      <c r="DV116" s="19">
        <v>4.9595861906292793</v>
      </c>
      <c r="DW116" s="19">
        <v>4.7979016865001007</v>
      </c>
      <c r="DX116" s="19">
        <v>4.4714865376034938</v>
      </c>
      <c r="DY116" s="19">
        <v>5.3783385625934832</v>
      </c>
      <c r="DZ116" s="19">
        <v>5.2942812060161764</v>
      </c>
      <c r="EA116" s="19">
        <v>5.6353472105520366</v>
      </c>
      <c r="EB116" s="19">
        <v>5.4929564456902167</v>
      </c>
      <c r="EC116" s="19">
        <v>4.1755613822251796</v>
      </c>
      <c r="ED116" s="19">
        <v>4.0715277792207791</v>
      </c>
      <c r="EE116" s="19">
        <v>4.6275347833333331</v>
      </c>
      <c r="EF116" s="19">
        <v>4.7313750333333333</v>
      </c>
      <c r="EG116" s="19">
        <v>4.6674034393617019</v>
      </c>
      <c r="EH116" s="19">
        <v>4.9037171518867924</v>
      </c>
      <c r="EI116" s="19">
        <v>4.998799983695652</v>
      </c>
      <c r="EJ116" s="19">
        <v>4.947071157118577</v>
      </c>
      <c r="EK116" s="19">
        <v>4.675315431616772</v>
      </c>
      <c r="EL116" s="19">
        <v>4.5339366968940285</v>
      </c>
      <c r="EM116" s="19">
        <v>4.8412982651429584</v>
      </c>
      <c r="EN116" s="19">
        <v>6.0961565100123591</v>
      </c>
      <c r="EO116" s="19">
        <v>5.4789891580928298</v>
      </c>
      <c r="EP116" s="19">
        <v>5.0503152598882064</v>
      </c>
      <c r="EQ116" s="19">
        <v>5.6729874817357411</v>
      </c>
      <c r="ER116" s="19"/>
      <c r="ES116" s="16">
        <f t="shared" si="7"/>
        <v>4.6231897245800662</v>
      </c>
      <c r="ET116" s="16">
        <f t="shared" si="7"/>
        <v>4.0508534018885047</v>
      </c>
      <c r="EU116" s="16">
        <f t="shared" si="7"/>
        <v>5.6040097230496455</v>
      </c>
      <c r="EV116" s="16">
        <f t="shared" si="7"/>
        <v>4.0059329404255317</v>
      </c>
      <c r="EW116" s="16">
        <f t="shared" si="7"/>
        <v>4.2211588659574462</v>
      </c>
      <c r="EX116" s="16" t="str">
        <f t="shared" si="7"/>
        <v>.</v>
      </c>
      <c r="EY116" s="16">
        <f t="shared" si="7"/>
        <v>114.92316173306</v>
      </c>
      <c r="EZ116" s="16">
        <f t="shared" si="7"/>
        <v>5.8444853234042551</v>
      </c>
      <c r="FA116" s="16">
        <f t="shared" si="7"/>
        <v>4.6707488468085101</v>
      </c>
      <c r="FB116" s="16">
        <f t="shared" si="7"/>
        <v>4.6674034393617019</v>
      </c>
    </row>
    <row r="117" spans="1:158" x14ac:dyDescent="0.25">
      <c r="A117" s="17">
        <v>114</v>
      </c>
      <c r="B117" s="17" t="s">
        <v>140</v>
      </c>
      <c r="C117" s="17" t="s">
        <v>140</v>
      </c>
      <c r="D117" s="17" t="s">
        <v>33</v>
      </c>
      <c r="E117" s="16">
        <v>1</v>
      </c>
      <c r="F117" s="18">
        <v>3.3076284019498643</v>
      </c>
      <c r="G117" s="18">
        <v>3.3041441690448234</v>
      </c>
      <c r="H117" s="18">
        <v>3.354598937484365</v>
      </c>
      <c r="I117" s="18">
        <v>3.2371409815789476</v>
      </c>
      <c r="J117" s="18">
        <v>3.2148926926136365</v>
      </c>
      <c r="K117" s="18">
        <v>3.3864308006191957</v>
      </c>
      <c r="L117" s="18">
        <v>3.5022523145998563</v>
      </c>
      <c r="M117" s="18">
        <v>3.2811142628131611</v>
      </c>
      <c r="N117" s="18">
        <v>3.1181224932469838</v>
      </c>
      <c r="O117" s="18">
        <v>3.1181224932469838</v>
      </c>
      <c r="P117" s="18">
        <v>2.727134120703933</v>
      </c>
      <c r="Q117" s="18">
        <v>2.4299644051217011</v>
      </c>
      <c r="R117" s="18">
        <v>3.3409877536105177</v>
      </c>
      <c r="S117" s="18">
        <v>3.2173141375133798</v>
      </c>
      <c r="T117" s="18">
        <v>3.7439901754105818</v>
      </c>
      <c r="U117" s="18">
        <v>2.4841282452185243</v>
      </c>
      <c r="V117" s="18">
        <v>2.4204305011748501</v>
      </c>
      <c r="W117" s="18">
        <v>2.5743315539430891</v>
      </c>
      <c r="X117" s="18">
        <v>2.5229414100000001</v>
      </c>
      <c r="Y117" s="18">
        <v>2.3975495075</v>
      </c>
      <c r="Z117" s="18">
        <v>2.7072070031372548</v>
      </c>
      <c r="AA117" s="18">
        <v>3.0022937578082187</v>
      </c>
      <c r="AB117" s="18">
        <v>2.6752895147138287</v>
      </c>
      <c r="AC117" s="18">
        <v>2.4236459443361613</v>
      </c>
      <c r="AD117" s="19">
        <v>2.4232911634798193</v>
      </c>
      <c r="AE117" s="19">
        <v>2.3985416971256237</v>
      </c>
      <c r="AF117" s="19">
        <v>1.6921024471865809</v>
      </c>
      <c r="AG117" s="19">
        <v>2.1389593844432326</v>
      </c>
      <c r="AH117" s="19">
        <v>2.9266965212649318</v>
      </c>
      <c r="AI117" s="19">
        <v>3.3456855665289096</v>
      </c>
      <c r="AJ117" s="19">
        <v>3.9507365333333335</v>
      </c>
      <c r="AK117" s="19">
        <v>4.0944471600378796</v>
      </c>
      <c r="AL117" s="19">
        <v>4.0577105529411766</v>
      </c>
      <c r="AM117" s="19">
        <v>3.8975246025114156</v>
      </c>
      <c r="AN117" s="19">
        <v>3.9416012213224136</v>
      </c>
      <c r="AO117" s="19">
        <v>3.9794275182640924</v>
      </c>
      <c r="AP117" s="19">
        <v>3.9794275182640924</v>
      </c>
      <c r="AQ117" s="19">
        <v>3.8209994814245505</v>
      </c>
      <c r="AR117" s="19">
        <v>4.2062076873710934</v>
      </c>
      <c r="AS117" s="19">
        <v>3.5888148365162551</v>
      </c>
      <c r="AT117" s="19">
        <v>4.2843616405930733</v>
      </c>
      <c r="AU117" s="19">
        <v>3.8640272011439785</v>
      </c>
      <c r="AV117" s="19">
        <v>3.1355085243974132</v>
      </c>
      <c r="AW117" s="19">
        <v>3.3093122303229339</v>
      </c>
      <c r="AX117" s="19">
        <v>3.31378825</v>
      </c>
      <c r="AY117" s="19">
        <v>3.3613506500000003</v>
      </c>
      <c r="AZ117" s="19">
        <v>3.243832691477273</v>
      </c>
      <c r="BA117" s="19">
        <v>3.2866301764705885</v>
      </c>
      <c r="BB117" s="19">
        <v>3.605851412328767</v>
      </c>
      <c r="BC117" s="19">
        <v>3.3312794647665838</v>
      </c>
      <c r="BD117" s="19">
        <v>2.7774698098500572</v>
      </c>
      <c r="BE117" s="19">
        <v>2.7774698098500572</v>
      </c>
      <c r="BF117" s="19">
        <v>3.2521991249371967</v>
      </c>
      <c r="BG117" s="19">
        <v>4.4599727778969616</v>
      </c>
      <c r="BH117" s="19">
        <v>2.8784984787581429</v>
      </c>
      <c r="BI117" s="19">
        <v>3.401585226979039</v>
      </c>
      <c r="BJ117" s="19">
        <v>3.2327442917155826</v>
      </c>
      <c r="BK117" s="19">
        <v>2.9244791666666665</v>
      </c>
      <c r="BL117" s="19">
        <v>3.0577772068965521</v>
      </c>
      <c r="BM117" s="19">
        <v>3.2354228487804879</v>
      </c>
      <c r="BN117" s="19">
        <v>3.0648116999999999</v>
      </c>
      <c r="BO117" s="19">
        <v>2.9686634284090907</v>
      </c>
      <c r="BP117" s="19">
        <v>3.3102664294117652</v>
      </c>
      <c r="BQ117" s="19">
        <v>3.4661358452054793</v>
      </c>
      <c r="BR117" s="19">
        <v>2.9690629499108452</v>
      </c>
      <c r="BS117" s="19">
        <v>2.5099645296732582</v>
      </c>
      <c r="BT117" s="19">
        <v>2.5099645296732582</v>
      </c>
      <c r="BU117" s="19">
        <v>3.4096504227283404</v>
      </c>
      <c r="BV117" s="19">
        <v>2.2522234846568718</v>
      </c>
      <c r="BW117" s="19">
        <v>3.4607619806284724</v>
      </c>
      <c r="BX117" s="19">
        <v>2.7654253503899664</v>
      </c>
      <c r="BY117" s="19">
        <v>2.2049090964145215</v>
      </c>
      <c r="BZ117" s="19">
        <v>1</v>
      </c>
      <c r="CA117" s="19">
        <v>1.0193289624776101</v>
      </c>
      <c r="CB117" s="19">
        <v>1.2660846729484101</v>
      </c>
      <c r="CC117" s="19">
        <v>1.36452146923728</v>
      </c>
      <c r="CD117" s="19">
        <v>7.2203193154010803</v>
      </c>
      <c r="CE117" s="19">
        <v>4.4289413282131296</v>
      </c>
      <c r="CF117" s="19">
        <v>8.3822562156572715</v>
      </c>
      <c r="CG117" s="19">
        <v>10.006973209911571</v>
      </c>
      <c r="CH117" s="19">
        <v>10.767819617406118</v>
      </c>
      <c r="CI117" s="19">
        <v>13.920604498432182</v>
      </c>
      <c r="CJ117" s="19">
        <v>19.167448630136999</v>
      </c>
      <c r="CK117" s="19">
        <v>32.683666229247997</v>
      </c>
      <c r="CL117" s="19">
        <v>53.5383911132813</v>
      </c>
      <c r="CM117" s="19">
        <v>55.797988891601598</v>
      </c>
      <c r="CN117" s="19">
        <v>65.141738406468505</v>
      </c>
      <c r="CO117" s="19">
        <v>82.152245905736393</v>
      </c>
      <c r="CP117" s="19">
        <v>89.774837453135206</v>
      </c>
      <c r="CQ117" s="19">
        <v>111.980176558488</v>
      </c>
      <c r="CR117" s="19">
        <v>114.565599263057</v>
      </c>
      <c r="CS117" s="19">
        <v>116.10548053147799</v>
      </c>
      <c r="CT117" s="19">
        <v>136.29804238755017</v>
      </c>
      <c r="CU117" s="19">
        <v>147.011642126537</v>
      </c>
      <c r="CV117" s="19">
        <v>160.04719782879354</v>
      </c>
      <c r="CW117" s="19">
        <v>168.63156050553798</v>
      </c>
      <c r="CX117" s="19">
        <v>180.24376277158734</v>
      </c>
      <c r="CY117" s="19">
        <v>3.5997350786972104</v>
      </c>
      <c r="CZ117" s="19">
        <v>3.4582608311457177</v>
      </c>
      <c r="DA117" s="19">
        <v>3.0207715841463414</v>
      </c>
      <c r="DB117" s="19">
        <v>3.0791063000000003</v>
      </c>
      <c r="DC117" s="19">
        <v>3.2136376897727272</v>
      </c>
      <c r="DD117" s="19">
        <v>3.3274402470588238</v>
      </c>
      <c r="DE117" s="19">
        <v>3.334142714383562</v>
      </c>
      <c r="DF117" s="19">
        <v>3.0975779850524905</v>
      </c>
      <c r="DG117" s="19">
        <v>3.2461805661519367</v>
      </c>
      <c r="DH117" s="19">
        <v>3.2461805661519367</v>
      </c>
      <c r="DI117" s="19">
        <v>3.0494621611674124</v>
      </c>
      <c r="DJ117" s="19">
        <v>2.5645268574208568</v>
      </c>
      <c r="DK117" s="19">
        <v>3.8310319990101451</v>
      </c>
      <c r="DL117" s="19">
        <v>3.1736682542121577</v>
      </c>
      <c r="DM117" s="19">
        <v>2.5903111646233299</v>
      </c>
      <c r="DN117" s="19">
        <v>2.4473012845592068</v>
      </c>
      <c r="DO117" s="19">
        <v>2.0960998827586206</v>
      </c>
      <c r="DP117" s="19">
        <v>2.7086705128048778</v>
      </c>
      <c r="DQ117" s="19">
        <v>3.195303</v>
      </c>
      <c r="DR117" s="19">
        <v>3.1259645113636365</v>
      </c>
      <c r="DS117" s="19">
        <v>3.3961830823529411</v>
      </c>
      <c r="DT117" s="19">
        <v>3.4955921623287671</v>
      </c>
      <c r="DU117" s="19">
        <v>3.3082889684637884</v>
      </c>
      <c r="DV117" s="19">
        <v>3.2273348967234297</v>
      </c>
      <c r="DW117" s="19">
        <v>3.2273348967234297</v>
      </c>
      <c r="DX117" s="19">
        <v>2.250598925295928</v>
      </c>
      <c r="DY117" s="19">
        <v>4.3280352986397936</v>
      </c>
      <c r="DZ117" s="19">
        <v>3.8083753950252812</v>
      </c>
      <c r="EA117" s="19">
        <v>4.3509385135699619</v>
      </c>
      <c r="EB117" s="19">
        <v>4.4178672979926183</v>
      </c>
      <c r="EC117" s="19">
        <v>2.5126132955138232</v>
      </c>
      <c r="ED117" s="19">
        <v>2.4524459379310342</v>
      </c>
      <c r="EE117" s="19">
        <v>2.9020369262195116</v>
      </c>
      <c r="EF117" s="19">
        <v>3.1920258500000003</v>
      </c>
      <c r="EG117" s="19">
        <v>3.3450144602272731</v>
      </c>
      <c r="EH117" s="19">
        <v>3.783274517647059</v>
      </c>
      <c r="EI117" s="19">
        <v>3.7370806630136983</v>
      </c>
      <c r="EJ117" s="19">
        <v>3.5501282625342232</v>
      </c>
      <c r="EK117" s="19">
        <v>3.5745369911193849</v>
      </c>
      <c r="EL117" s="19">
        <v>3.5745369911193849</v>
      </c>
      <c r="EM117" s="19">
        <v>4.2467524670738106</v>
      </c>
      <c r="EN117" s="19">
        <v>4.0443663718721261</v>
      </c>
      <c r="EO117" s="19">
        <v>4.8305306247341981</v>
      </c>
      <c r="EP117" s="19">
        <v>5.3475787663640917</v>
      </c>
      <c r="EQ117" s="19">
        <v>4.5336303589222888</v>
      </c>
      <c r="ER117" s="19"/>
      <c r="ES117" s="16">
        <f t="shared" ref="ES117:FB132" si="8">IF(SUMIF($F$2:$EQ$2,ES$2&amp;"_"&amp;ES$3,$F117:$EQ117)=0,".",SUMIF($F$2:$EQ$2,ES$2&amp;"_"&amp;ES$3,$F117:$EQ117))</f>
        <v>3.2148926926136365</v>
      </c>
      <c r="ET117" s="16">
        <f t="shared" si="8"/>
        <v>2.3975495075</v>
      </c>
      <c r="EU117" s="16">
        <f t="shared" si="8"/>
        <v>4.0944471600378796</v>
      </c>
      <c r="EV117" s="16">
        <f t="shared" si="8"/>
        <v>3.243832691477273</v>
      </c>
      <c r="EW117" s="16">
        <f t="shared" si="8"/>
        <v>2.9686634284090907</v>
      </c>
      <c r="EX117" s="16" t="str">
        <f t="shared" si="8"/>
        <v>.</v>
      </c>
      <c r="EY117" s="16">
        <f t="shared" si="8"/>
        <v>65.141738406468505</v>
      </c>
      <c r="EZ117" s="16">
        <f t="shared" si="8"/>
        <v>3.2136376897727272</v>
      </c>
      <c r="FA117" s="16">
        <f t="shared" si="8"/>
        <v>3.1259645113636365</v>
      </c>
      <c r="FB117" s="16">
        <f t="shared" si="8"/>
        <v>3.3450144602272731</v>
      </c>
    </row>
    <row r="118" spans="1:158" x14ac:dyDescent="0.25">
      <c r="A118" s="17">
        <v>115</v>
      </c>
      <c r="B118" s="17" t="s">
        <v>141</v>
      </c>
      <c r="C118" s="17" t="s">
        <v>141</v>
      </c>
      <c r="D118" s="17" t="s">
        <v>14</v>
      </c>
      <c r="E118" s="16">
        <v>0</v>
      </c>
      <c r="F118" s="18">
        <v>3.67</v>
      </c>
      <c r="G118" s="18">
        <v>2.75</v>
      </c>
      <c r="H118" s="18">
        <v>4.2</v>
      </c>
      <c r="I118" s="18">
        <v>3.52</v>
      </c>
      <c r="J118" s="18">
        <v>3.68</v>
      </c>
      <c r="K118" s="18">
        <v>3.59</v>
      </c>
      <c r="L118" s="18">
        <v>3.47</v>
      </c>
      <c r="M118" s="18">
        <v>3.51</v>
      </c>
      <c r="N118" s="18">
        <v>3.77</v>
      </c>
      <c r="O118" s="18">
        <v>3.85</v>
      </c>
      <c r="P118" s="18">
        <v>3.56</v>
      </c>
      <c r="Q118" s="18">
        <v>2.44</v>
      </c>
      <c r="R118" s="18">
        <v>2.92</v>
      </c>
      <c r="S118" s="18">
        <v>4.0599999999999996</v>
      </c>
      <c r="T118" s="18">
        <v>3.39</v>
      </c>
      <c r="U118" s="18">
        <v>3.5</v>
      </c>
      <c r="V118" s="18">
        <v>2.41</v>
      </c>
      <c r="W118" s="18">
        <v>2.56</v>
      </c>
      <c r="X118" s="18">
        <v>2.46</v>
      </c>
      <c r="Y118" s="18">
        <v>2.56</v>
      </c>
      <c r="Z118" s="18">
        <v>1.9</v>
      </c>
      <c r="AA118" s="18">
        <v>2.69</v>
      </c>
      <c r="AB118" s="18">
        <v>3.33</v>
      </c>
      <c r="AC118" s="18">
        <v>2.9</v>
      </c>
      <c r="AD118" s="19">
        <v>2.4500000000000002</v>
      </c>
      <c r="AE118" s="19">
        <v>2.65</v>
      </c>
      <c r="AF118" s="19">
        <v>2.96</v>
      </c>
      <c r="AG118" s="19">
        <v>3.71</v>
      </c>
      <c r="AH118" s="19">
        <v>2.36</v>
      </c>
      <c r="AI118" s="19">
        <v>3.09</v>
      </c>
      <c r="AJ118" s="19">
        <v>3.93</v>
      </c>
      <c r="AK118" s="19">
        <v>4.26</v>
      </c>
      <c r="AL118" s="19">
        <v>3.9</v>
      </c>
      <c r="AM118" s="19">
        <v>4.5599999999999996</v>
      </c>
      <c r="AN118" s="19">
        <v>4.5599999999999996</v>
      </c>
      <c r="AO118" s="19">
        <v>3.74</v>
      </c>
      <c r="AP118" s="19">
        <v>5.23</v>
      </c>
      <c r="AQ118" s="19">
        <v>4.3600000000000003</v>
      </c>
      <c r="AR118" s="19">
        <v>4.47</v>
      </c>
      <c r="AS118" s="19">
        <v>5.35</v>
      </c>
      <c r="AT118" s="19">
        <v>3.97</v>
      </c>
      <c r="AU118" s="19">
        <v>3.12</v>
      </c>
      <c r="AV118" s="19">
        <v>3.03</v>
      </c>
      <c r="AW118" s="19">
        <v>4.13</v>
      </c>
      <c r="AX118" s="19">
        <v>4.1399999999999997</v>
      </c>
      <c r="AY118" s="19">
        <v>3.01</v>
      </c>
      <c r="AZ118" s="19">
        <v>2.5099999999999998</v>
      </c>
      <c r="BA118" s="19">
        <v>2.48</v>
      </c>
      <c r="BB118" s="19">
        <v>2.78</v>
      </c>
      <c r="BC118" s="19">
        <v>4.3</v>
      </c>
      <c r="BD118" s="19">
        <v>2.5499999999999998</v>
      </c>
      <c r="BE118" s="19">
        <v>3.62</v>
      </c>
      <c r="BF118" s="19">
        <v>4.01</v>
      </c>
      <c r="BG118" s="19">
        <v>3.74</v>
      </c>
      <c r="BH118" s="19">
        <v>4.88</v>
      </c>
      <c r="BI118" s="19">
        <v>4.1900000000000004</v>
      </c>
      <c r="BJ118" s="19">
        <v>4.4800000000000004</v>
      </c>
      <c r="BK118" s="19">
        <v>3.88</v>
      </c>
      <c r="BL118" s="19">
        <v>2.62</v>
      </c>
      <c r="BM118" s="19">
        <v>2.95</v>
      </c>
      <c r="BN118" s="19">
        <v>2.5299999999999998</v>
      </c>
      <c r="BO118" s="19">
        <v>2.56</v>
      </c>
      <c r="BP118" s="19">
        <v>2.2999999999999998</v>
      </c>
      <c r="BQ118" s="19">
        <v>3.12</v>
      </c>
      <c r="BR118" s="19">
        <v>2.92</v>
      </c>
      <c r="BS118" s="19">
        <v>2.95</v>
      </c>
      <c r="BT118" s="19">
        <v>2.81</v>
      </c>
      <c r="BU118" s="19">
        <v>3.26</v>
      </c>
      <c r="BV118" s="19">
        <v>1.54</v>
      </c>
      <c r="BW118" s="19">
        <v>1.37</v>
      </c>
      <c r="BX118" s="19">
        <v>2.3199999999999998</v>
      </c>
      <c r="BY118" s="19">
        <v>2.61</v>
      </c>
      <c r="BZ118" s="19">
        <v>1</v>
      </c>
      <c r="CA118" s="19">
        <v>15</v>
      </c>
      <c r="CB118" s="19">
        <v>200</v>
      </c>
      <c r="CC118" s="19">
        <v>36.299999999999997</v>
      </c>
      <c r="CD118" s="19">
        <v>48.07</v>
      </c>
      <c r="CE118" s="19">
        <v>40.159999999999997</v>
      </c>
      <c r="CF118" s="19">
        <v>200</v>
      </c>
      <c r="CG118" s="19">
        <v>34.229999999999997</v>
      </c>
      <c r="CH118" s="19">
        <v>136.58000000000001</v>
      </c>
      <c r="CI118" s="19">
        <v>50.76</v>
      </c>
      <c r="CJ118" s="19">
        <v>39.590000000000003</v>
      </c>
      <c r="CK118" s="19">
        <v>16.46</v>
      </c>
      <c r="CL118" s="19">
        <v>20.64</v>
      </c>
      <c r="CM118" s="19">
        <v>1</v>
      </c>
      <c r="CN118" s="19">
        <v>49.52</v>
      </c>
      <c r="CO118" s="19">
        <v>59.73</v>
      </c>
      <c r="CP118" s="19">
        <v>17.3</v>
      </c>
      <c r="CQ118" s="19">
        <v>57.67</v>
      </c>
      <c r="CR118" s="19">
        <v>137.03</v>
      </c>
      <c r="CS118" s="19">
        <v>82.93</v>
      </c>
      <c r="CT118" s="19">
        <v>121.97</v>
      </c>
      <c r="CU118" s="19">
        <v>92.69</v>
      </c>
      <c r="CV118" s="19">
        <v>103.95</v>
      </c>
      <c r="CW118" s="19">
        <v>91.3</v>
      </c>
      <c r="CX118" s="19">
        <v>131.99</v>
      </c>
      <c r="CY118" s="19">
        <v>4.08</v>
      </c>
      <c r="CZ118" s="19">
        <v>5.28</v>
      </c>
      <c r="DA118" s="19">
        <v>3.98</v>
      </c>
      <c r="DB118" s="19">
        <v>4.79</v>
      </c>
      <c r="DC118" s="19">
        <v>3.97</v>
      </c>
      <c r="DD118" s="19">
        <v>4.2300000000000004</v>
      </c>
      <c r="DE118" s="19">
        <v>4.09</v>
      </c>
      <c r="DF118" s="19">
        <v>3.61</v>
      </c>
      <c r="DG118" s="19">
        <v>5.0199999999999996</v>
      </c>
      <c r="DH118" s="19">
        <v>4.37</v>
      </c>
      <c r="DI118" s="19">
        <v>3.81</v>
      </c>
      <c r="DJ118" s="19">
        <v>2.9</v>
      </c>
      <c r="DK118" s="19">
        <v>4.37</v>
      </c>
      <c r="DL118" s="19">
        <v>3.35</v>
      </c>
      <c r="DM118" s="19">
        <v>3.48</v>
      </c>
      <c r="DN118" s="19">
        <v>2.79</v>
      </c>
      <c r="DO118" s="19">
        <v>4.29</v>
      </c>
      <c r="DP118" s="19">
        <v>3.3</v>
      </c>
      <c r="DQ118" s="19">
        <v>3.31</v>
      </c>
      <c r="DR118" s="19">
        <v>1.69</v>
      </c>
      <c r="DS118" s="19">
        <v>5.35</v>
      </c>
      <c r="DT118" s="19">
        <v>3.2</v>
      </c>
      <c r="DU118" s="19">
        <v>2.84</v>
      </c>
      <c r="DV118" s="19">
        <v>3.27</v>
      </c>
      <c r="DW118" s="19">
        <v>3.1</v>
      </c>
      <c r="DX118" s="19">
        <v>3.58</v>
      </c>
      <c r="DY118" s="19">
        <v>6.01</v>
      </c>
      <c r="DZ118" s="19">
        <v>2.79</v>
      </c>
      <c r="EA118" s="19">
        <v>3.34</v>
      </c>
      <c r="EB118" s="19">
        <v>4.83</v>
      </c>
      <c r="EC118" s="19">
        <v>3.93</v>
      </c>
      <c r="ED118" s="19">
        <v>3.14</v>
      </c>
      <c r="EE118" s="19">
        <v>3.5</v>
      </c>
      <c r="EF118" s="19">
        <v>2.95</v>
      </c>
      <c r="EG118" s="19">
        <v>2.36</v>
      </c>
      <c r="EH118" s="19">
        <v>2.98</v>
      </c>
      <c r="EI118" s="19">
        <v>5.0199999999999996</v>
      </c>
      <c r="EJ118" s="19">
        <v>3.36</v>
      </c>
      <c r="EK118" s="19">
        <v>2.36</v>
      </c>
      <c r="EL118" s="19">
        <v>4.37</v>
      </c>
      <c r="EM118" s="19">
        <v>2.57</v>
      </c>
      <c r="EN118" s="19">
        <v>3.05</v>
      </c>
      <c r="EO118" s="19">
        <v>3.17</v>
      </c>
      <c r="EP118" s="19">
        <v>2.38</v>
      </c>
      <c r="EQ118" s="19">
        <v>5.45</v>
      </c>
      <c r="ER118" s="19"/>
      <c r="ES118" s="16">
        <f t="shared" si="8"/>
        <v>3.68</v>
      </c>
      <c r="ET118" s="16">
        <f t="shared" si="8"/>
        <v>2.56</v>
      </c>
      <c r="EU118" s="16">
        <f t="shared" si="8"/>
        <v>4.26</v>
      </c>
      <c r="EV118" s="16">
        <f t="shared" si="8"/>
        <v>2.5099999999999998</v>
      </c>
      <c r="EW118" s="16">
        <f t="shared" si="8"/>
        <v>2.56</v>
      </c>
      <c r="EX118" s="16" t="str">
        <f t="shared" si="8"/>
        <v>.</v>
      </c>
      <c r="EY118" s="16">
        <f t="shared" si="8"/>
        <v>49.52</v>
      </c>
      <c r="EZ118" s="16">
        <f t="shared" si="8"/>
        <v>3.97</v>
      </c>
      <c r="FA118" s="16">
        <f t="shared" si="8"/>
        <v>1.69</v>
      </c>
      <c r="FB118" s="16">
        <f t="shared" si="8"/>
        <v>2.36</v>
      </c>
    </row>
    <row r="119" spans="1:158" x14ac:dyDescent="0.25">
      <c r="A119" s="17">
        <v>116</v>
      </c>
      <c r="B119" s="17" t="s">
        <v>142</v>
      </c>
      <c r="C119" s="17" t="s">
        <v>142</v>
      </c>
      <c r="D119" s="17" t="s">
        <v>14</v>
      </c>
      <c r="E119" s="16">
        <v>1</v>
      </c>
      <c r="F119" s="18">
        <v>3.9793191616212247</v>
      </c>
      <c r="G119" s="18">
        <v>4.2266485395467406</v>
      </c>
      <c r="H119" s="18">
        <v>4.003096480128205</v>
      </c>
      <c r="I119" s="18">
        <v>3.7871215205741628</v>
      </c>
      <c r="J119" s="18">
        <v>3.9581364756674295</v>
      </c>
      <c r="K119" s="18">
        <v>3.9630882387604531</v>
      </c>
      <c r="L119" s="18">
        <v>3.8876138271806275</v>
      </c>
      <c r="M119" s="18">
        <v>3.7813031251691349</v>
      </c>
      <c r="N119" s="18">
        <v>3.654390178203681</v>
      </c>
      <c r="O119" s="18">
        <v>3.6136188504175633</v>
      </c>
      <c r="P119" s="18">
        <v>3.7785843237054415</v>
      </c>
      <c r="Q119" s="18">
        <v>3.5867214417623923</v>
      </c>
      <c r="R119" s="18">
        <v>2.7133643158978464</v>
      </c>
      <c r="S119" s="18">
        <v>2.9660056934490808</v>
      </c>
      <c r="T119" s="18">
        <v>3.0715227466238013</v>
      </c>
      <c r="U119" s="18">
        <v>3.2163309929200685</v>
      </c>
      <c r="V119" s="18">
        <v>3.1622047620080012</v>
      </c>
      <c r="W119" s="18">
        <v>3.0588303783545503</v>
      </c>
      <c r="X119" s="18">
        <v>2.8685016730303032</v>
      </c>
      <c r="Y119" s="18">
        <v>3.014513053172303</v>
      </c>
      <c r="Z119" s="18">
        <v>3.0983630342838504</v>
      </c>
      <c r="AA119" s="18">
        <v>3.0003741822892183</v>
      </c>
      <c r="AB119" s="18">
        <v>2.8211181725264032</v>
      </c>
      <c r="AC119" s="18">
        <v>2.776267719110467</v>
      </c>
      <c r="AD119" s="19">
        <v>2.8985683812806058</v>
      </c>
      <c r="AE119" s="19">
        <v>2.8281230866404696</v>
      </c>
      <c r="AF119" s="19">
        <v>2.8280406320165548</v>
      </c>
      <c r="AG119" s="19">
        <v>2.5552630566703671</v>
      </c>
      <c r="AH119" s="19">
        <v>2.5568132570083995</v>
      </c>
      <c r="AI119" s="19">
        <v>2.8985948516704267</v>
      </c>
      <c r="AJ119" s="19">
        <v>4.4240030606060614</v>
      </c>
      <c r="AK119" s="19">
        <v>4.4577558909822868</v>
      </c>
      <c r="AL119" s="19">
        <v>4.5989406629283485</v>
      </c>
      <c r="AM119" s="19">
        <v>4.5894349111111108</v>
      </c>
      <c r="AN119" s="19">
        <v>4.4181464898253449</v>
      </c>
      <c r="AO119" s="19">
        <v>4.3245742937829688</v>
      </c>
      <c r="AP119" s="19">
        <v>4.315875182549159</v>
      </c>
      <c r="AQ119" s="19">
        <v>4.4185047939051207</v>
      </c>
      <c r="AR119" s="19">
        <v>4.9372133389524011</v>
      </c>
      <c r="AS119" s="19">
        <v>4.1511365093266264</v>
      </c>
      <c r="AT119" s="19">
        <v>4.604136880711148</v>
      </c>
      <c r="AU119" s="19">
        <v>3.9259945960297995</v>
      </c>
      <c r="AV119" s="19">
        <v>3.3297475382359103</v>
      </c>
      <c r="AW119" s="19">
        <v>3.3600893217040211</v>
      </c>
      <c r="AX119" s="19">
        <v>3.1318935000000003</v>
      </c>
      <c r="AY119" s="19">
        <v>3.0646597863636362</v>
      </c>
      <c r="AZ119" s="19">
        <v>3.6254650227053142</v>
      </c>
      <c r="BA119" s="19">
        <v>3.8830039242990653</v>
      </c>
      <c r="BB119" s="19">
        <v>3.545361249765258</v>
      </c>
      <c r="BC119" s="19">
        <v>3.1066961953589862</v>
      </c>
      <c r="BD119" s="19">
        <v>2.9815967252621283</v>
      </c>
      <c r="BE119" s="19">
        <v>2.9691429770909821</v>
      </c>
      <c r="BF119" s="19">
        <v>3.7693207785099925</v>
      </c>
      <c r="BG119" s="19">
        <v>5.3899658540499544</v>
      </c>
      <c r="BH119" s="19">
        <v>4.9198812947645356</v>
      </c>
      <c r="BI119" s="19">
        <v>5.115906795900564</v>
      </c>
      <c r="BJ119" s="19">
        <v>5.3622271922768263</v>
      </c>
      <c r="BK119" s="19">
        <v>3.4326113042039057</v>
      </c>
      <c r="BL119" s="19">
        <v>3.7057606381578947</v>
      </c>
      <c r="BM119" s="19">
        <v>3.483018642857143</v>
      </c>
      <c r="BN119" s="19">
        <v>3.2598948590909096</v>
      </c>
      <c r="BO119" s="19">
        <v>3.3696492555555553</v>
      </c>
      <c r="BP119" s="19">
        <v>3.1742052242990653</v>
      </c>
      <c r="BQ119" s="19">
        <v>3.2470654779342722</v>
      </c>
      <c r="BR119" s="19">
        <v>3.2556488478304839</v>
      </c>
      <c r="BS119" s="19">
        <v>2.9921271078861675</v>
      </c>
      <c r="BT119" s="19">
        <v>3.0492436745992073</v>
      </c>
      <c r="BU119" s="19">
        <v>2.5833168165499343</v>
      </c>
      <c r="BV119" s="19">
        <v>3.302063825966032</v>
      </c>
      <c r="BW119" s="19">
        <v>2.6517389718090261</v>
      </c>
      <c r="BX119" s="19">
        <v>3.1586263383768429</v>
      </c>
      <c r="BY119" s="19">
        <v>2.640857377873373</v>
      </c>
      <c r="BZ119" s="19">
        <v>2.8312790875073102</v>
      </c>
      <c r="CA119" s="19">
        <v>10.192419664663801</v>
      </c>
      <c r="CB119" s="19">
        <v>10.0980595926011</v>
      </c>
      <c r="CC119" s="19">
        <v>11.7085690663782</v>
      </c>
      <c r="CD119" s="19">
        <v>20.950452801035201</v>
      </c>
      <c r="CE119" s="19">
        <v>23.937588824710669</v>
      </c>
      <c r="CF119" s="19">
        <v>27.990488301011585</v>
      </c>
      <c r="CG119" s="19">
        <v>29.861035472171459</v>
      </c>
      <c r="CH119" s="19">
        <v>33.885844215416519</v>
      </c>
      <c r="CI119" s="19">
        <v>38.04238852408097</v>
      </c>
      <c r="CJ119" s="19">
        <v>14.1314843114446</v>
      </c>
      <c r="CK119" s="19">
        <v>24.053731918335</v>
      </c>
      <c r="CL119" s="19">
        <v>41.582565307617202</v>
      </c>
      <c r="CM119" s="19">
        <v>47.243476867675803</v>
      </c>
      <c r="CN119" s="19">
        <v>55.104175978487802</v>
      </c>
      <c r="CO119" s="19">
        <v>58.575045424949401</v>
      </c>
      <c r="CP119" s="19">
        <v>67.681811556608807</v>
      </c>
      <c r="CQ119" s="19">
        <v>73.291961606273901</v>
      </c>
      <c r="CR119" s="19">
        <v>77.841547151187399</v>
      </c>
      <c r="CS119" s="19">
        <v>82.185739094068396</v>
      </c>
      <c r="CT119" s="19">
        <v>95.267696806696421</v>
      </c>
      <c r="CU119" s="19">
        <v>99.32613297694148</v>
      </c>
      <c r="CV119" s="19">
        <v>110.87773086661949</v>
      </c>
      <c r="CW119" s="19">
        <v>115.47127056622118</v>
      </c>
      <c r="CX119" s="19">
        <v>125.27265147710006</v>
      </c>
      <c r="CY119" s="19">
        <v>3.8066614854290912</v>
      </c>
      <c r="CZ119" s="19">
        <v>4.1580774903922206</v>
      </c>
      <c r="DA119" s="19">
        <v>3.8902674642857145</v>
      </c>
      <c r="DB119" s="19">
        <v>3.329553406818182</v>
      </c>
      <c r="DC119" s="19">
        <v>3.212556158454106</v>
      </c>
      <c r="DD119" s="19">
        <v>3.3712293691588782</v>
      </c>
      <c r="DE119" s="19">
        <v>3.44022641314554</v>
      </c>
      <c r="DF119" s="19">
        <v>3.395712310224666</v>
      </c>
      <c r="DG119" s="19">
        <v>3.8137562641730671</v>
      </c>
      <c r="DH119" s="19">
        <v>3.9947603083573857</v>
      </c>
      <c r="DI119" s="19">
        <v>3.4723652199598698</v>
      </c>
      <c r="DJ119" s="19">
        <v>1.8914768394660992</v>
      </c>
      <c r="DK119" s="19">
        <v>3.9020071548881519</v>
      </c>
      <c r="DL119" s="19">
        <v>1.853113531840096</v>
      </c>
      <c r="DM119" s="19">
        <v>2.6360706914598562</v>
      </c>
      <c r="DN119" s="19">
        <v>2.3455458748221907</v>
      </c>
      <c r="DO119" s="19">
        <v>2.3799701585044928</v>
      </c>
      <c r="DP119" s="19">
        <v>2.4263693642857143</v>
      </c>
      <c r="DQ119" s="19">
        <v>2.422496765909091</v>
      </c>
      <c r="DR119" s="19">
        <v>3.0346697473429951</v>
      </c>
      <c r="DS119" s="19">
        <v>3.2322142691588782</v>
      </c>
      <c r="DT119" s="19">
        <v>2.9754345521126759</v>
      </c>
      <c r="DU119" s="19">
        <v>2.6746281800430651</v>
      </c>
      <c r="DV119" s="19">
        <v>2.4480359742274649</v>
      </c>
      <c r="DW119" s="19">
        <v>2.3167788886106928</v>
      </c>
      <c r="DX119" s="19">
        <v>2.6047495621680543</v>
      </c>
      <c r="DY119" s="19">
        <v>2.5661412881498933</v>
      </c>
      <c r="DZ119" s="19">
        <v>1.5575875962894183</v>
      </c>
      <c r="EA119" s="19">
        <v>2.6575348384205233</v>
      </c>
      <c r="EB119" s="19">
        <v>2.1602004998655753</v>
      </c>
      <c r="EC119" s="19">
        <v>2.2120807495807497</v>
      </c>
      <c r="ED119" s="19">
        <v>2.31892206765917</v>
      </c>
      <c r="EE119" s="19">
        <v>2.5540232500000002</v>
      </c>
      <c r="EF119" s="19">
        <v>2.3898514590909095</v>
      </c>
      <c r="EG119" s="19">
        <v>2.72469075942029</v>
      </c>
      <c r="EH119" s="19">
        <v>2.7703128467289719</v>
      </c>
      <c r="EI119" s="19">
        <v>2.6594082450704226</v>
      </c>
      <c r="EJ119" s="19">
        <v>2.6771201232253672</v>
      </c>
      <c r="EK119" s="19">
        <v>2.7072891251398965</v>
      </c>
      <c r="EL119" s="19">
        <v>2.6226791225946866</v>
      </c>
      <c r="EM119" s="19">
        <v>2.7915788132102324</v>
      </c>
      <c r="EN119" s="19">
        <v>2.887897247826305</v>
      </c>
      <c r="EO119" s="19">
        <v>2.915464911627887</v>
      </c>
      <c r="EP119" s="19">
        <v>3.6029222814452848</v>
      </c>
      <c r="EQ119" s="19">
        <v>3.5822765714048668</v>
      </c>
      <c r="ER119" s="19"/>
      <c r="ES119" s="16">
        <f t="shared" si="8"/>
        <v>3.9581364756674295</v>
      </c>
      <c r="ET119" s="16">
        <f t="shared" si="8"/>
        <v>3.014513053172303</v>
      </c>
      <c r="EU119" s="16">
        <f t="shared" si="8"/>
        <v>4.4577558909822868</v>
      </c>
      <c r="EV119" s="16">
        <f t="shared" si="8"/>
        <v>3.6254650227053142</v>
      </c>
      <c r="EW119" s="16">
        <f t="shared" si="8"/>
        <v>3.3696492555555553</v>
      </c>
      <c r="EX119" s="16" t="str">
        <f t="shared" si="8"/>
        <v>.</v>
      </c>
      <c r="EY119" s="16">
        <f t="shared" si="8"/>
        <v>55.104175978487802</v>
      </c>
      <c r="EZ119" s="16">
        <f t="shared" si="8"/>
        <v>3.212556158454106</v>
      </c>
      <c r="FA119" s="16">
        <f t="shared" si="8"/>
        <v>3.0346697473429951</v>
      </c>
      <c r="FB119" s="16">
        <f t="shared" si="8"/>
        <v>2.72469075942029</v>
      </c>
    </row>
    <row r="120" spans="1:158" x14ac:dyDescent="0.25">
      <c r="A120" s="17">
        <v>117</v>
      </c>
      <c r="B120" s="17" t="s">
        <v>143</v>
      </c>
      <c r="C120" s="17" t="s">
        <v>143</v>
      </c>
      <c r="D120" s="17" t="s">
        <v>7</v>
      </c>
      <c r="E120" s="16">
        <v>1</v>
      </c>
      <c r="F120" s="18">
        <v>5.1908824581612212</v>
      </c>
      <c r="G120" s="18">
        <v>5.2160818411413841</v>
      </c>
      <c r="H120" s="18">
        <v>5.1238905937043988</v>
      </c>
      <c r="I120" s="18">
        <v>5.1662198218520983</v>
      </c>
      <c r="J120" s="18">
        <v>5.0352869209199467</v>
      </c>
      <c r="K120" s="18">
        <v>5.0524547636324426</v>
      </c>
      <c r="L120" s="18">
        <v>5.2403578093853511</v>
      </c>
      <c r="M120" s="18">
        <v>5.3042883463309156</v>
      </c>
      <c r="N120" s="18">
        <v>5.3358012339832284</v>
      </c>
      <c r="O120" s="18">
        <v>5.3675928845051519</v>
      </c>
      <c r="P120" s="18">
        <v>4.9900904788437508</v>
      </c>
      <c r="Q120" s="18">
        <v>5.3618652185305224</v>
      </c>
      <c r="R120" s="18">
        <v>5.0044927643439348</v>
      </c>
      <c r="S120" s="18">
        <v>5.150552671483096</v>
      </c>
      <c r="T120" s="18">
        <v>5.0430262786755868</v>
      </c>
      <c r="U120" s="18">
        <v>4.5989056243176361</v>
      </c>
      <c r="V120" s="18">
        <v>4.5960947923780697</v>
      </c>
      <c r="W120" s="18">
        <v>4.5311726482419425</v>
      </c>
      <c r="X120" s="18">
        <v>4.4944760717299577</v>
      </c>
      <c r="Y120" s="18">
        <v>4.5345415240336129</v>
      </c>
      <c r="Z120" s="18">
        <v>4.9573219571584701</v>
      </c>
      <c r="AA120" s="18">
        <v>4.8960700394558421</v>
      </c>
      <c r="AB120" s="18">
        <v>4.8528333176907612</v>
      </c>
      <c r="AC120" s="18">
        <v>4.9941654144951677</v>
      </c>
      <c r="AD120" s="19">
        <v>5.0511381027420832</v>
      </c>
      <c r="AE120" s="19">
        <v>4.7526194750610182</v>
      </c>
      <c r="AF120" s="19">
        <v>4.7521546706479807</v>
      </c>
      <c r="AG120" s="19">
        <v>5.0503361386725096</v>
      </c>
      <c r="AH120" s="19">
        <v>4.7185433825756107</v>
      </c>
      <c r="AI120" s="19">
        <v>5.2403780776520517</v>
      </c>
      <c r="AJ120" s="19">
        <v>5.8362314894514755</v>
      </c>
      <c r="AK120" s="19">
        <v>5.8679694436974792</v>
      </c>
      <c r="AL120" s="19">
        <v>5.7838011699453551</v>
      </c>
      <c r="AM120" s="19">
        <v>5.7585543025641028</v>
      </c>
      <c r="AN120" s="19">
        <v>5.7323194083584879</v>
      </c>
      <c r="AO120" s="19">
        <v>5.7886717113416424</v>
      </c>
      <c r="AP120" s="19">
        <v>5.9216263541468868</v>
      </c>
      <c r="AQ120" s="19">
        <v>5.5227902911367002</v>
      </c>
      <c r="AR120" s="19">
        <v>5.7213790198066921</v>
      </c>
      <c r="AS120" s="19">
        <v>5.9137548951722207</v>
      </c>
      <c r="AT120" s="19">
        <v>5.3924387603385702</v>
      </c>
      <c r="AU120" s="19">
        <v>5.8250150727935814</v>
      </c>
      <c r="AV120" s="19">
        <v>3.6467539217539215</v>
      </c>
      <c r="AW120" s="19">
        <v>3.446568306756757</v>
      </c>
      <c r="AX120" s="19">
        <v>3.4815334691056918</v>
      </c>
      <c r="AY120" s="19">
        <v>3.4077770417721518</v>
      </c>
      <c r="AZ120" s="19">
        <v>3.2706746638655462</v>
      </c>
      <c r="BA120" s="19">
        <v>3.4304565090163934</v>
      </c>
      <c r="BB120" s="19">
        <v>3.5705866853146855</v>
      </c>
      <c r="BC120" s="19">
        <v>3.8486071821054435</v>
      </c>
      <c r="BD120" s="19">
        <v>4.1289888979896672</v>
      </c>
      <c r="BE120" s="19">
        <v>4.1748834027184376</v>
      </c>
      <c r="BF120" s="19">
        <v>5.6962631285625065</v>
      </c>
      <c r="BG120" s="19">
        <v>5.4853479625519688</v>
      </c>
      <c r="BH120" s="19">
        <v>7</v>
      </c>
      <c r="BI120" s="19">
        <v>6.997182692229571</v>
      </c>
      <c r="BJ120" s="19">
        <v>7</v>
      </c>
      <c r="BK120" s="19">
        <v>5.2028283737238965</v>
      </c>
      <c r="BL120" s="19">
        <v>4.8565577635135142</v>
      </c>
      <c r="BM120" s="19">
        <v>4.5690368463414641</v>
      </c>
      <c r="BN120" s="19">
        <v>4.5398348278481011</v>
      </c>
      <c r="BO120" s="19">
        <v>4.3193054487394953</v>
      </c>
      <c r="BP120" s="19">
        <v>4.388892781967213</v>
      </c>
      <c r="BQ120" s="19">
        <v>4.5167667195804189</v>
      </c>
      <c r="BR120" s="19">
        <v>4.2699625168617938</v>
      </c>
      <c r="BS120" s="19">
        <v>4.4633775953262571</v>
      </c>
      <c r="BT120" s="19">
        <v>4.6256085077921547</v>
      </c>
      <c r="BU120" s="19">
        <v>4.3601542656184753</v>
      </c>
      <c r="BV120" s="19">
        <v>4.6790562409652416</v>
      </c>
      <c r="BW120" s="19">
        <v>4.4169186645921918</v>
      </c>
      <c r="BX120" s="19">
        <v>3.4922815736614736</v>
      </c>
      <c r="BY120" s="19">
        <v>3.6710606434444446</v>
      </c>
      <c r="BZ120" s="19">
        <v>24.366234247229599</v>
      </c>
      <c r="CA120" s="19">
        <v>84.625344875760007</v>
      </c>
      <c r="CB120" s="19">
        <v>85.655022903536604</v>
      </c>
      <c r="CC120" s="19">
        <v>93.020771716152893</v>
      </c>
      <c r="CD120" s="19">
        <v>92.825114985060793</v>
      </c>
      <c r="CE120" s="19">
        <v>116.31902829985182</v>
      </c>
      <c r="CF120" s="19">
        <v>131.93627848559461</v>
      </c>
      <c r="CG120" s="19">
        <v>148.00989862868124</v>
      </c>
      <c r="CH120" s="19">
        <v>158.53197280868417</v>
      </c>
      <c r="CI120" s="19">
        <v>186.42792973681003</v>
      </c>
      <c r="CJ120" s="19">
        <v>102.904112850426</v>
      </c>
      <c r="CK120" s="19">
        <v>107.86743927002</v>
      </c>
      <c r="CL120" s="19">
        <v>110.50359344482401</v>
      </c>
      <c r="CM120" s="19">
        <v>110.885063171387</v>
      </c>
      <c r="CN120" s="19">
        <v>113.14790919149701</v>
      </c>
      <c r="CO120" s="19">
        <v>116.754872434642</v>
      </c>
      <c r="CP120" s="19">
        <v>115.548851905924</v>
      </c>
      <c r="CQ120" s="19">
        <v>116.477239938913</v>
      </c>
      <c r="CR120" s="19">
        <v>116.513149057213</v>
      </c>
      <c r="CS120" s="19">
        <v>113.577045532412</v>
      </c>
      <c r="CT120" s="19">
        <v>119.06531901942199</v>
      </c>
      <c r="CU120" s="19">
        <v>122.25370406874659</v>
      </c>
      <c r="CV120" s="19">
        <v>121.25924226914812</v>
      </c>
      <c r="CW120" s="19">
        <v>122.0436224339505</v>
      </c>
      <c r="CX120" s="19">
        <v>123.5754793774196</v>
      </c>
      <c r="CY120" s="19">
        <v>6.310844943680765</v>
      </c>
      <c r="CZ120" s="19">
        <v>6.3720701959459465</v>
      </c>
      <c r="DA120" s="19">
        <v>6.2669648691056921</v>
      </c>
      <c r="DB120" s="19">
        <v>6.0652646556962022</v>
      </c>
      <c r="DC120" s="19">
        <v>5.9335984638655459</v>
      </c>
      <c r="DD120" s="19">
        <v>5.9307456844262294</v>
      </c>
      <c r="DE120" s="19">
        <v>5.9630561034965037</v>
      </c>
      <c r="DF120" s="19">
        <v>5.9918928467532471</v>
      </c>
      <c r="DG120" s="19">
        <v>5.9885317022838294</v>
      </c>
      <c r="DH120" s="19">
        <v>6.173360241783989</v>
      </c>
      <c r="DI120" s="19">
        <v>6.6875796174519095</v>
      </c>
      <c r="DJ120" s="19">
        <v>5.9868639308644278</v>
      </c>
      <c r="DK120" s="19">
        <v>6.1885554686199278</v>
      </c>
      <c r="DL120" s="19">
        <v>6.0455866589468759</v>
      </c>
      <c r="DM120" s="19">
        <v>5.8229326985842684</v>
      </c>
      <c r="DN120" s="19">
        <v>5.306154777050299</v>
      </c>
      <c r="DO120" s="19">
        <v>5.1299089608108108</v>
      </c>
      <c r="DP120" s="19">
        <v>5.1902331243902449</v>
      </c>
      <c r="DQ120" s="19">
        <v>5.1220197696202527</v>
      </c>
      <c r="DR120" s="19">
        <v>5.0106054420168071</v>
      </c>
      <c r="DS120" s="19">
        <v>5.2007859975409838</v>
      </c>
      <c r="DT120" s="19">
        <v>5.3062514321678318</v>
      </c>
      <c r="DU120" s="19">
        <v>5.3064249428255952</v>
      </c>
      <c r="DV120" s="19">
        <v>5.0450100156995994</v>
      </c>
      <c r="DW120" s="19">
        <v>4.8466462665134005</v>
      </c>
      <c r="DX120" s="19">
        <v>5.3553687392015679</v>
      </c>
      <c r="DY120" s="19">
        <v>5.174721210133348</v>
      </c>
      <c r="DZ120" s="19">
        <v>5.2565873549342177</v>
      </c>
      <c r="EA120" s="19">
        <v>5.0945032499134291</v>
      </c>
      <c r="EB120" s="19">
        <v>4.6789663213346282</v>
      </c>
      <c r="EC120" s="19">
        <v>4.3553646786855751</v>
      </c>
      <c r="ED120" s="19">
        <v>4.1499652851351359</v>
      </c>
      <c r="EE120" s="19">
        <v>3.8411747528455287</v>
      </c>
      <c r="EF120" s="19">
        <v>3.5826302734177213</v>
      </c>
      <c r="EG120" s="19">
        <v>3.4611074436974789</v>
      </c>
      <c r="EH120" s="19">
        <v>3.5652033229508193</v>
      </c>
      <c r="EI120" s="19">
        <v>3.6504081930069932</v>
      </c>
      <c r="EJ120" s="19">
        <v>3.8607439286187506</v>
      </c>
      <c r="EK120" s="19">
        <v>4.0418082025316027</v>
      </c>
      <c r="EL120" s="19">
        <v>4.0693909380171034</v>
      </c>
      <c r="EM120" s="19">
        <v>2.9381569465986344</v>
      </c>
      <c r="EN120" s="19">
        <v>3.5727320043942523</v>
      </c>
      <c r="EO120" s="19">
        <v>4.2433234024180342</v>
      </c>
      <c r="EP120" s="19">
        <v>2.777524398022273</v>
      </c>
      <c r="EQ120" s="19">
        <v>4.7199729596748234</v>
      </c>
      <c r="ER120" s="19"/>
      <c r="ES120" s="16">
        <f t="shared" si="8"/>
        <v>5.0352869209199467</v>
      </c>
      <c r="ET120" s="16">
        <f t="shared" si="8"/>
        <v>4.5345415240336129</v>
      </c>
      <c r="EU120" s="16">
        <f t="shared" si="8"/>
        <v>5.8679694436974792</v>
      </c>
      <c r="EV120" s="16">
        <f t="shared" si="8"/>
        <v>3.2706746638655462</v>
      </c>
      <c r="EW120" s="16">
        <f t="shared" si="8"/>
        <v>4.3193054487394953</v>
      </c>
      <c r="EX120" s="16" t="str">
        <f t="shared" si="8"/>
        <v>.</v>
      </c>
      <c r="EY120" s="16">
        <f t="shared" si="8"/>
        <v>113.14790919149701</v>
      </c>
      <c r="EZ120" s="16">
        <f t="shared" si="8"/>
        <v>5.9335984638655459</v>
      </c>
      <c r="FA120" s="16">
        <f t="shared" si="8"/>
        <v>5.0106054420168071</v>
      </c>
      <c r="FB120" s="16">
        <f t="shared" si="8"/>
        <v>3.4611074436974789</v>
      </c>
    </row>
    <row r="121" spans="1:158" x14ac:dyDescent="0.25">
      <c r="A121" s="17">
        <v>118</v>
      </c>
      <c r="B121" s="17" t="s">
        <v>144</v>
      </c>
      <c r="C121" s="17" t="s">
        <v>144</v>
      </c>
      <c r="D121" s="17" t="s">
        <v>9</v>
      </c>
      <c r="E121" s="16">
        <v>1</v>
      </c>
      <c r="F121" s="18">
        <v>4.3276678965815361</v>
      </c>
      <c r="G121" s="18">
        <v>4.2942761876091957</v>
      </c>
      <c r="H121" s="18">
        <v>4.2077036408602151</v>
      </c>
      <c r="I121" s="18">
        <v>4.268939965721998</v>
      </c>
      <c r="J121" s="18">
        <v>4.3017580800915338</v>
      </c>
      <c r="K121" s="18">
        <v>4.3781563272403972</v>
      </c>
      <c r="L121" s="18">
        <v>4.5359708421052636</v>
      </c>
      <c r="M121" s="18">
        <v>4.2258681250779491</v>
      </c>
      <c r="N121" s="18">
        <v>3.8713237335598807</v>
      </c>
      <c r="O121" s="18">
        <v>3.9425958189998176</v>
      </c>
      <c r="P121" s="18">
        <v>4.4436665450024249</v>
      </c>
      <c r="Q121" s="18">
        <v>3.8974384645915441</v>
      </c>
      <c r="R121" s="18">
        <v>3.8667678909573757</v>
      </c>
      <c r="S121" s="18">
        <v>3.7535269721878888</v>
      </c>
      <c r="T121" s="18">
        <v>4.2995608019659555</v>
      </c>
      <c r="U121" s="18">
        <v>3.6691056063965761</v>
      </c>
      <c r="V121" s="18">
        <v>3.452559294828653</v>
      </c>
      <c r="W121" s="18">
        <v>3.3022722966547198</v>
      </c>
      <c r="X121" s="18">
        <v>3.4641559635653238</v>
      </c>
      <c r="Y121" s="18">
        <v>3.4411202261514697</v>
      </c>
      <c r="Z121" s="18">
        <v>3.439043086383113</v>
      </c>
      <c r="AA121" s="18">
        <v>3.5725341343271824</v>
      </c>
      <c r="AB121" s="18">
        <v>3.2886984173190679</v>
      </c>
      <c r="AC121" s="18">
        <v>3.0360178133158398</v>
      </c>
      <c r="AD121" s="19">
        <v>3.2625170355109647</v>
      </c>
      <c r="AE121" s="19">
        <v>2.5678899769318031</v>
      </c>
      <c r="AF121" s="19">
        <v>3.3591498228532126</v>
      </c>
      <c r="AG121" s="19">
        <v>2.6477782236111675</v>
      </c>
      <c r="AH121" s="19">
        <v>2.6013641438273178</v>
      </c>
      <c r="AI121" s="19">
        <v>3.6797048958804082</v>
      </c>
      <c r="AJ121" s="19">
        <v>5.0935908837606831</v>
      </c>
      <c r="AK121" s="19">
        <v>5.1951037113306988</v>
      </c>
      <c r="AL121" s="19">
        <v>5.0935922378378375</v>
      </c>
      <c r="AM121" s="19">
        <v>5.0036853333333333</v>
      </c>
      <c r="AN121" s="19">
        <v>4.8833115492077308</v>
      </c>
      <c r="AO121" s="19">
        <v>4.6135390588082501</v>
      </c>
      <c r="AP121" s="19">
        <v>4.5528471097964021</v>
      </c>
      <c r="AQ121" s="19">
        <v>4.3766319058962582</v>
      </c>
      <c r="AR121" s="19">
        <v>4.6068923770600314</v>
      </c>
      <c r="AS121" s="19">
        <v>3.9539538996203736</v>
      </c>
      <c r="AT121" s="19">
        <v>4.2308808734172061</v>
      </c>
      <c r="AU121" s="19">
        <v>3.9470544931056852</v>
      </c>
      <c r="AV121" s="19">
        <v>4.3312883435582821</v>
      </c>
      <c r="AW121" s="19">
        <v>4.5676889189710614</v>
      </c>
      <c r="AX121" s="19">
        <v>4.5551704645161291</v>
      </c>
      <c r="AY121" s="19">
        <v>4.3437778974358974</v>
      </c>
      <c r="AZ121" s="19">
        <v>4.2544129561264832</v>
      </c>
      <c r="BA121" s="19">
        <v>4.4818647635135127</v>
      </c>
      <c r="BB121" s="19">
        <v>4.7130039999999997</v>
      </c>
      <c r="BC121" s="19">
        <v>4.1613840628914716</v>
      </c>
      <c r="BD121" s="19">
        <v>3.5036957040600392</v>
      </c>
      <c r="BE121" s="19">
        <v>3.7095140220074172</v>
      </c>
      <c r="BF121" s="19">
        <v>5.2062544279450726</v>
      </c>
      <c r="BG121" s="19">
        <v>2.9991481706480601</v>
      </c>
      <c r="BH121" s="19">
        <v>4.6164105369905233</v>
      </c>
      <c r="BI121" s="19">
        <v>4.8923597633763443</v>
      </c>
      <c r="BJ121" s="19">
        <v>4.1763747608373452</v>
      </c>
      <c r="BK121" s="19">
        <v>4.127272727272727</v>
      </c>
      <c r="BL121" s="19">
        <v>4.0475805035077457</v>
      </c>
      <c r="BM121" s="19">
        <v>3.6864698806451619</v>
      </c>
      <c r="BN121" s="19">
        <v>3.8188867863247862</v>
      </c>
      <c r="BO121" s="19">
        <v>3.7776681640316205</v>
      </c>
      <c r="BP121" s="19">
        <v>3.6110246729729725</v>
      </c>
      <c r="BQ121" s="19">
        <v>3.7952630000000003</v>
      </c>
      <c r="BR121" s="19">
        <v>3.5339286164075201</v>
      </c>
      <c r="BS121" s="19">
        <v>3.1540830091498364</v>
      </c>
      <c r="BT121" s="19">
        <v>3.3129878841089395</v>
      </c>
      <c r="BU121" s="19">
        <v>2.7290953787569334</v>
      </c>
      <c r="BV121" s="19">
        <v>3.0908735380679544</v>
      </c>
      <c r="BW121" s="19">
        <v>3.7589619803036838</v>
      </c>
      <c r="BX121" s="19">
        <v>2.90838109053067</v>
      </c>
      <c r="BY121" s="19">
        <v>2.2802557685393259</v>
      </c>
      <c r="BZ121" s="19">
        <v>37.814447261119902</v>
      </c>
      <c r="CA121" s="19">
        <v>56.683093225051898</v>
      </c>
      <c r="CB121" s="19">
        <v>67.263142941776906</v>
      </c>
      <c r="CC121" s="19">
        <v>73.693286526497403</v>
      </c>
      <c r="CD121" s="19">
        <v>78.261636069030104</v>
      </c>
      <c r="CE121" s="19">
        <v>90.141883006276856</v>
      </c>
      <c r="CF121" s="19">
        <v>100.76434746693333</v>
      </c>
      <c r="CG121" s="19">
        <v>116.61726359488958</v>
      </c>
      <c r="CH121" s="19">
        <v>119.62511165993867</v>
      </c>
      <c r="CI121" s="19">
        <v>129.86033805733027</v>
      </c>
      <c r="CJ121" s="19">
        <v>51.937086092715198</v>
      </c>
      <c r="CK121" s="19">
        <v>69.592102050781307</v>
      </c>
      <c r="CL121" s="19">
        <v>121.44728851318401</v>
      </c>
      <c r="CM121" s="19">
        <v>139.54249572753901</v>
      </c>
      <c r="CN121" s="19">
        <v>165.543238206822</v>
      </c>
      <c r="CO121" s="19">
        <v>168.97410356815999</v>
      </c>
      <c r="CP121" s="19">
        <v>181.732911805187</v>
      </c>
      <c r="CQ121" s="19">
        <v>154.645907824044</v>
      </c>
      <c r="CR121" s="19">
        <v>157.75325659647299</v>
      </c>
      <c r="CS121" s="19">
        <v>159.860555493156</v>
      </c>
      <c r="CT121" s="19">
        <v>189.57043639889486</v>
      </c>
      <c r="CU121" s="19">
        <v>200</v>
      </c>
      <c r="CV121" s="19">
        <v>200</v>
      </c>
      <c r="CW121" s="19">
        <v>200</v>
      </c>
      <c r="CX121" s="19">
        <v>200</v>
      </c>
      <c r="CY121" s="19">
        <v>4.7701863354037268</v>
      </c>
      <c r="CZ121" s="19">
        <v>5.4221248601406007</v>
      </c>
      <c r="DA121" s="19">
        <v>5.6113047000000007</v>
      </c>
      <c r="DB121" s="19">
        <v>5.5136468820512823</v>
      </c>
      <c r="DC121" s="19">
        <v>5.5245049648221354</v>
      </c>
      <c r="DD121" s="19">
        <v>5.4879172716216207</v>
      </c>
      <c r="DE121" s="19">
        <v>5.6024570000000002</v>
      </c>
      <c r="DF121" s="19">
        <v>5.2424603710873292</v>
      </c>
      <c r="DG121" s="19">
        <v>5.0850978062070649</v>
      </c>
      <c r="DH121" s="19">
        <v>5.4488804064439922</v>
      </c>
      <c r="DI121" s="19">
        <v>5.4094666678833772</v>
      </c>
      <c r="DJ121" s="19">
        <v>5.3449254761778837</v>
      </c>
      <c r="DK121" s="19">
        <v>5.1835637611153125</v>
      </c>
      <c r="DL121" s="19">
        <v>5.6480343913602065</v>
      </c>
      <c r="DM121" s="19">
        <v>5.574201713836076</v>
      </c>
      <c r="DN121" s="19">
        <v>4.5508982035928147</v>
      </c>
      <c r="DO121" s="19">
        <v>5.050777412112752</v>
      </c>
      <c r="DP121" s="19">
        <v>5.6217895129032263</v>
      </c>
      <c r="DQ121" s="19">
        <v>5.7952848478632477</v>
      </c>
      <c r="DR121" s="19">
        <v>5.8520104343873527</v>
      </c>
      <c r="DS121" s="19">
        <v>5.7927364635135135</v>
      </c>
      <c r="DT121" s="19">
        <v>5.7525880000000003</v>
      </c>
      <c r="DU121" s="19">
        <v>5.4437387312135908</v>
      </c>
      <c r="DV121" s="19">
        <v>4.8936870479035655</v>
      </c>
      <c r="DW121" s="19">
        <v>4.8769686669446113</v>
      </c>
      <c r="DX121" s="19">
        <v>5.2981276276524332</v>
      </c>
      <c r="DY121" s="19">
        <v>6.5516005777262256</v>
      </c>
      <c r="DZ121" s="19">
        <v>4.6648733434848424</v>
      </c>
      <c r="EA121" s="19">
        <v>5.9970016554589378</v>
      </c>
      <c r="EB121" s="19">
        <v>6.1202261361813024</v>
      </c>
      <c r="EC121" s="19">
        <v>5.0301204819277112</v>
      </c>
      <c r="ED121" s="19">
        <v>5.5524235877774766</v>
      </c>
      <c r="EE121" s="19">
        <v>5.9486210516129034</v>
      </c>
      <c r="EF121" s="19">
        <v>6.1673303264957262</v>
      </c>
      <c r="EG121" s="19">
        <v>6.3682536134387355</v>
      </c>
      <c r="EH121" s="19">
        <v>6.3748513162162155</v>
      </c>
      <c r="EI121" s="19">
        <v>6.3916219999999999</v>
      </c>
      <c r="EJ121" s="19">
        <v>6.0087611025772709</v>
      </c>
      <c r="EK121" s="19">
        <v>5.5795261128195399</v>
      </c>
      <c r="EL121" s="19">
        <v>5.5111420162608118</v>
      </c>
      <c r="EM121" s="19">
        <v>6.7826300983741756</v>
      </c>
      <c r="EN121" s="19">
        <v>6.8685547922773562</v>
      </c>
      <c r="EO121" s="19">
        <v>7</v>
      </c>
      <c r="EP121" s="19">
        <v>5.4904328483477123</v>
      </c>
      <c r="EQ121" s="19">
        <v>6.51243889371663</v>
      </c>
      <c r="ER121" s="19"/>
      <c r="ES121" s="16">
        <f t="shared" si="8"/>
        <v>4.3017580800915338</v>
      </c>
      <c r="ET121" s="16">
        <f t="shared" si="8"/>
        <v>3.4411202261514697</v>
      </c>
      <c r="EU121" s="16">
        <f t="shared" si="8"/>
        <v>5.1951037113306988</v>
      </c>
      <c r="EV121" s="16">
        <f t="shared" si="8"/>
        <v>4.2544129561264832</v>
      </c>
      <c r="EW121" s="16">
        <f t="shared" si="8"/>
        <v>3.7776681640316205</v>
      </c>
      <c r="EX121" s="16" t="str">
        <f t="shared" si="8"/>
        <v>.</v>
      </c>
      <c r="EY121" s="16">
        <f t="shared" si="8"/>
        <v>165.543238206822</v>
      </c>
      <c r="EZ121" s="16">
        <f t="shared" si="8"/>
        <v>5.5245049648221354</v>
      </c>
      <c r="FA121" s="16">
        <f t="shared" si="8"/>
        <v>5.8520104343873527</v>
      </c>
      <c r="FB121" s="16">
        <f t="shared" si="8"/>
        <v>6.3682536134387355</v>
      </c>
    </row>
    <row r="122" spans="1:158" x14ac:dyDescent="0.25">
      <c r="A122" s="17">
        <v>119</v>
      </c>
      <c r="B122" s="17" t="s">
        <v>145</v>
      </c>
      <c r="C122" s="17" t="s">
        <v>145</v>
      </c>
      <c r="D122" s="17" t="s">
        <v>25</v>
      </c>
      <c r="E122" s="16">
        <v>1</v>
      </c>
      <c r="F122" s="18">
        <v>3.8531305833691976</v>
      </c>
      <c r="G122" s="18">
        <v>3.7872221129069299</v>
      </c>
      <c r="H122" s="18">
        <v>3.7993041409361954</v>
      </c>
      <c r="I122" s="18">
        <v>3.7306867066856326</v>
      </c>
      <c r="J122" s="18">
        <v>3.7973614158802187</v>
      </c>
      <c r="K122" s="18">
        <v>3.8243978625000001</v>
      </c>
      <c r="L122" s="18">
        <v>3.8278404804824562</v>
      </c>
      <c r="M122" s="18">
        <v>3.8502641129863333</v>
      </c>
      <c r="N122" s="18">
        <v>3.7292841701765203</v>
      </c>
      <c r="O122" s="18">
        <v>3.6536111853214792</v>
      </c>
      <c r="P122" s="18">
        <v>3.3762801996978169</v>
      </c>
      <c r="Q122" s="18">
        <v>3.7258460706700345</v>
      </c>
      <c r="R122" s="18">
        <v>3.6350265844959715</v>
      </c>
      <c r="S122" s="18">
        <v>3.6261254698006735</v>
      </c>
      <c r="T122" s="18">
        <v>3.7992172881026125</v>
      </c>
      <c r="U122" s="18">
        <v>3.1483137027688946</v>
      </c>
      <c r="V122" s="18">
        <v>2.9852783751137766</v>
      </c>
      <c r="W122" s="18">
        <v>2.9814016482254093</v>
      </c>
      <c r="X122" s="18">
        <v>3.0336735657612102</v>
      </c>
      <c r="Y122" s="18">
        <v>3.1021881583335822</v>
      </c>
      <c r="Z122" s="18">
        <v>3.1076083953965576</v>
      </c>
      <c r="AA122" s="18">
        <v>3.1342189168170056</v>
      </c>
      <c r="AB122" s="18">
        <v>3.1155862307842153</v>
      </c>
      <c r="AC122" s="18">
        <v>3.142018485547788</v>
      </c>
      <c r="AD122" s="19">
        <v>3.2788787564639277</v>
      </c>
      <c r="AE122" s="19">
        <v>3.0264171340827799</v>
      </c>
      <c r="AF122" s="19">
        <v>3.5837169603925538</v>
      </c>
      <c r="AG122" s="19">
        <v>2.8559642958649358</v>
      </c>
      <c r="AH122" s="19">
        <v>3.0834474350902044</v>
      </c>
      <c r="AI122" s="19">
        <v>3.2826555663876791</v>
      </c>
      <c r="AJ122" s="19">
        <v>4.443660459202059</v>
      </c>
      <c r="AK122" s="19">
        <v>4.3178023042145597</v>
      </c>
      <c r="AL122" s="19">
        <v>4.3849958388888881</v>
      </c>
      <c r="AM122" s="19">
        <v>4.4607400763888885</v>
      </c>
      <c r="AN122" s="19">
        <v>4.4076993464191405</v>
      </c>
      <c r="AO122" s="19">
        <v>4.4446614560967506</v>
      </c>
      <c r="AP122" s="19">
        <v>4.0895638847351075</v>
      </c>
      <c r="AQ122" s="19">
        <v>4.9323382380138217</v>
      </c>
      <c r="AR122" s="19">
        <v>3.8939951721430601</v>
      </c>
      <c r="AS122" s="19">
        <v>3.541055776309916</v>
      </c>
      <c r="AT122" s="19">
        <v>4.1395556092858907</v>
      </c>
      <c r="AU122" s="19">
        <v>4.0989689785782808</v>
      </c>
      <c r="AV122" s="19">
        <v>2.9944688107197277</v>
      </c>
      <c r="AW122" s="19">
        <v>3.0577226430260041</v>
      </c>
      <c r="AX122" s="19">
        <v>3.2861572930232557</v>
      </c>
      <c r="AY122" s="19">
        <v>3.2377125328185326</v>
      </c>
      <c r="AZ122" s="19">
        <v>3.1716979298850578</v>
      </c>
      <c r="BA122" s="19">
        <v>3.4427523041666666</v>
      </c>
      <c r="BB122" s="19">
        <v>3.3891554458333335</v>
      </c>
      <c r="BC122" s="19">
        <v>3.0560227701421434</v>
      </c>
      <c r="BD122" s="19">
        <v>3.2655576565686393</v>
      </c>
      <c r="BE122" s="19">
        <v>3.4024193232400082</v>
      </c>
      <c r="BF122" s="19">
        <v>4.4616719718250035</v>
      </c>
      <c r="BG122" s="19">
        <v>3.672117549094482</v>
      </c>
      <c r="BH122" s="19">
        <v>3.4378541350352902</v>
      </c>
      <c r="BI122" s="19">
        <v>5.1110103352383369</v>
      </c>
      <c r="BJ122" s="19">
        <v>5.2236122165202694</v>
      </c>
      <c r="BK122" s="19">
        <v>3.2190187670768431</v>
      </c>
      <c r="BL122" s="19">
        <v>3.1597254391812859</v>
      </c>
      <c r="BM122" s="19">
        <v>3.4076965651162787</v>
      </c>
      <c r="BN122" s="19">
        <v>3.5233824555984556</v>
      </c>
      <c r="BO122" s="19">
        <v>3.5185018402298853</v>
      </c>
      <c r="BP122" s="19">
        <v>3.3184446249999997</v>
      </c>
      <c r="BQ122" s="19">
        <v>3.2408298041666663</v>
      </c>
      <c r="BR122" s="19">
        <v>3.3458094218026444</v>
      </c>
      <c r="BS122" s="19">
        <v>3.2991138458251954</v>
      </c>
      <c r="BT122" s="19">
        <v>3.148844537734985</v>
      </c>
      <c r="BU122" s="19">
        <v>3.2379691461020967</v>
      </c>
      <c r="BV122" s="19">
        <v>3.362860293289708</v>
      </c>
      <c r="BW122" s="19">
        <v>3.2169756771658751</v>
      </c>
      <c r="BX122" s="19">
        <v>2.8934813745374579</v>
      </c>
      <c r="BY122" s="19">
        <v>3.5367146016636659</v>
      </c>
      <c r="BZ122" s="19">
        <v>1</v>
      </c>
      <c r="CA122" s="19">
        <v>1</v>
      </c>
      <c r="CB122" s="19">
        <v>1</v>
      </c>
      <c r="CC122" s="19">
        <v>5.0646306967567698</v>
      </c>
      <c r="CD122" s="19">
        <v>13.019613058165399</v>
      </c>
      <c r="CE122" s="19">
        <v>11.912311940981372</v>
      </c>
      <c r="CF122" s="19">
        <v>14.238492703214664</v>
      </c>
      <c r="CG122" s="19">
        <v>20.393746016074232</v>
      </c>
      <c r="CH122" s="19">
        <v>22.358734106354657</v>
      </c>
      <c r="CI122" s="19">
        <v>22.244924922508449</v>
      </c>
      <c r="CJ122" s="19">
        <v>8.2951435437776002</v>
      </c>
      <c r="CK122" s="19">
        <v>21.9786987304688</v>
      </c>
      <c r="CL122" s="19">
        <v>52.718650817871101</v>
      </c>
      <c r="CM122" s="19">
        <v>56.955413818359403</v>
      </c>
      <c r="CN122" s="19">
        <v>59.205820650433402</v>
      </c>
      <c r="CO122" s="19">
        <v>61.6109614054714</v>
      </c>
      <c r="CP122" s="19">
        <v>66.768811245096899</v>
      </c>
      <c r="CQ122" s="19">
        <v>70.1303759844334</v>
      </c>
      <c r="CR122" s="19">
        <v>73.3321910549828</v>
      </c>
      <c r="CS122" s="19">
        <v>66.916623029887106</v>
      </c>
      <c r="CT122" s="19">
        <v>88.880787939602868</v>
      </c>
      <c r="CU122" s="19">
        <v>91.69317615666894</v>
      </c>
      <c r="CV122" s="19">
        <v>104.75408796949871</v>
      </c>
      <c r="CW122" s="19">
        <v>103.795510745773</v>
      </c>
      <c r="CX122" s="19">
        <v>110.10639070445549</v>
      </c>
      <c r="CY122" s="19">
        <v>3.9762247412650931</v>
      </c>
      <c r="CZ122" s="19">
        <v>4.0341833820330963</v>
      </c>
      <c r="DA122" s="19">
        <v>3.7750529860465116</v>
      </c>
      <c r="DB122" s="19">
        <v>3.5673335729729727</v>
      </c>
      <c r="DC122" s="19">
        <v>3.4463026637931033</v>
      </c>
      <c r="DD122" s="19">
        <v>3.4688536583333334</v>
      </c>
      <c r="DE122" s="19">
        <v>3.3437723875000001</v>
      </c>
      <c r="DF122" s="19">
        <v>3.2766475794084942</v>
      </c>
      <c r="DG122" s="19">
        <v>3.4690614167381737</v>
      </c>
      <c r="DH122" s="19">
        <v>3.4841278518949235</v>
      </c>
      <c r="DI122" s="19">
        <v>3.0505649390920913</v>
      </c>
      <c r="DJ122" s="19">
        <v>2.7790492988301798</v>
      </c>
      <c r="DK122" s="19">
        <v>3.2494707967426857</v>
      </c>
      <c r="DL122" s="19">
        <v>3.0092383085685306</v>
      </c>
      <c r="DM122" s="19">
        <v>2.1897147620989039</v>
      </c>
      <c r="DN122" s="19">
        <v>3.4381581938932211</v>
      </c>
      <c r="DO122" s="19">
        <v>3.0717559719298242</v>
      </c>
      <c r="DP122" s="19">
        <v>3.2134935186046509</v>
      </c>
      <c r="DQ122" s="19">
        <v>3.4913115467181468</v>
      </c>
      <c r="DR122" s="19">
        <v>3.4700489201149427</v>
      </c>
      <c r="DS122" s="19">
        <v>3.3976455374999999</v>
      </c>
      <c r="DT122" s="19">
        <v>3.3128906166666665</v>
      </c>
      <c r="DU122" s="19">
        <v>3.3186713709236066</v>
      </c>
      <c r="DV122" s="19">
        <v>3.4843101164873911</v>
      </c>
      <c r="DW122" s="19">
        <v>3.453185032435826</v>
      </c>
      <c r="DX122" s="19">
        <v>3.6594960462801591</v>
      </c>
      <c r="DY122" s="19">
        <v>4.1251419713228916</v>
      </c>
      <c r="DZ122" s="19">
        <v>3.5611648275098493</v>
      </c>
      <c r="EA122" s="19">
        <v>3.6418735831404181</v>
      </c>
      <c r="EB122" s="19">
        <v>3.9854971660971517</v>
      </c>
      <c r="EC122" s="19">
        <v>3.5628044171251023</v>
      </c>
      <c r="ED122" s="19">
        <v>3.4723354374269002</v>
      </c>
      <c r="EE122" s="19">
        <v>3.7264891674418603</v>
      </c>
      <c r="EF122" s="19">
        <v>3.759242515057915</v>
      </c>
      <c r="EG122" s="19">
        <v>3.7130434724137933</v>
      </c>
      <c r="EH122" s="19">
        <v>3.9203657000000005</v>
      </c>
      <c r="EI122" s="19">
        <v>4.0373184041666672</v>
      </c>
      <c r="EJ122" s="19">
        <v>3.809281376344086</v>
      </c>
      <c r="EK122" s="19">
        <v>3.7558042806737566</v>
      </c>
      <c r="EL122" s="19">
        <v>3.8318265669686453</v>
      </c>
      <c r="EM122" s="19">
        <v>3.5581920434854073</v>
      </c>
      <c r="EN122" s="19">
        <v>3.3666051425773986</v>
      </c>
      <c r="EO122" s="19">
        <v>4.3867090106771069</v>
      </c>
      <c r="EP122" s="19">
        <v>3.8205907582431147</v>
      </c>
      <c r="EQ122" s="19">
        <v>4.3607263364542561</v>
      </c>
      <c r="ER122" s="19"/>
      <c r="ES122" s="16">
        <f t="shared" si="8"/>
        <v>3.7973614158802187</v>
      </c>
      <c r="ET122" s="16">
        <f t="shared" si="8"/>
        <v>3.1021881583335822</v>
      </c>
      <c r="EU122" s="16">
        <f t="shared" si="8"/>
        <v>4.3178023042145597</v>
      </c>
      <c r="EV122" s="16">
        <f t="shared" si="8"/>
        <v>3.1716979298850578</v>
      </c>
      <c r="EW122" s="16">
        <f t="shared" si="8"/>
        <v>3.5185018402298853</v>
      </c>
      <c r="EX122" s="16" t="str">
        <f t="shared" si="8"/>
        <v>.</v>
      </c>
      <c r="EY122" s="16">
        <f t="shared" si="8"/>
        <v>59.205820650433402</v>
      </c>
      <c r="EZ122" s="16">
        <f t="shared" si="8"/>
        <v>3.4463026637931033</v>
      </c>
      <c r="FA122" s="16">
        <f t="shared" si="8"/>
        <v>3.4700489201149427</v>
      </c>
      <c r="FB122" s="16">
        <f t="shared" si="8"/>
        <v>3.7130434724137933</v>
      </c>
    </row>
    <row r="123" spans="1:158" x14ac:dyDescent="0.25">
      <c r="A123" s="17">
        <v>120</v>
      </c>
      <c r="B123" s="17" t="s">
        <v>146</v>
      </c>
      <c r="C123" s="17" t="s">
        <v>146</v>
      </c>
      <c r="D123" s="17" t="s">
        <v>33</v>
      </c>
      <c r="E123" s="16">
        <v>1</v>
      </c>
      <c r="F123" s="18">
        <v>4.2656966296312726</v>
      </c>
      <c r="G123" s="18">
        <v>4.3584561709934571</v>
      </c>
      <c r="H123" s="18">
        <v>4.3324425620428748</v>
      </c>
      <c r="I123" s="18">
        <v>4.2511659766081875</v>
      </c>
      <c r="J123" s="18">
        <v>4.2091460087719295</v>
      </c>
      <c r="K123" s="18">
        <v>4.2064530314212494</v>
      </c>
      <c r="L123" s="18">
        <v>4.2575729207924757</v>
      </c>
      <c r="M123" s="18">
        <v>4.24374703763106</v>
      </c>
      <c r="N123" s="18">
        <v>4.2282773262028543</v>
      </c>
      <c r="O123" s="18">
        <v>4.3402157654563478</v>
      </c>
      <c r="P123" s="18">
        <v>4.0219868316091514</v>
      </c>
      <c r="Q123" s="18">
        <v>3.6907386624139509</v>
      </c>
      <c r="R123" s="18">
        <v>4.1802510990088262</v>
      </c>
      <c r="S123" s="18">
        <v>4.3594199901659429</v>
      </c>
      <c r="T123" s="18">
        <v>3.9450560549299292</v>
      </c>
      <c r="U123" s="18">
        <v>2.9708337324648904</v>
      </c>
      <c r="V123" s="18">
        <v>3.0687547442513798</v>
      </c>
      <c r="W123" s="18">
        <v>3.1243184775570549</v>
      </c>
      <c r="X123" s="18">
        <v>3.110494935026455</v>
      </c>
      <c r="Y123" s="18">
        <v>3.1410840327749101</v>
      </c>
      <c r="Z123" s="18">
        <v>3.4570048585747624</v>
      </c>
      <c r="AA123" s="18">
        <v>3.7212737690787523</v>
      </c>
      <c r="AB123" s="18">
        <v>3.6475047180366249</v>
      </c>
      <c r="AC123" s="18">
        <v>3.5911121421677832</v>
      </c>
      <c r="AD123" s="19">
        <v>3.5292601512625685</v>
      </c>
      <c r="AE123" s="19">
        <v>3.9645177542311454</v>
      </c>
      <c r="AF123" s="19">
        <v>3.1200564382707126</v>
      </c>
      <c r="AG123" s="19">
        <v>3.7129770307897338</v>
      </c>
      <c r="AH123" s="19">
        <v>4.0397775326280962</v>
      </c>
      <c r="AI123" s="19">
        <v>3.9172441734891983</v>
      </c>
      <c r="AJ123" s="19">
        <v>5.4812172222222229</v>
      </c>
      <c r="AK123" s="19">
        <v>5.8009166781793864</v>
      </c>
      <c r="AL123" s="19">
        <v>5.862451386267165</v>
      </c>
      <c r="AM123" s="19">
        <v>5.7596533092522177</v>
      </c>
      <c r="AN123" s="19">
        <v>5.5440968806893638</v>
      </c>
      <c r="AO123" s="19">
        <v>5.4536579400690117</v>
      </c>
      <c r="AP123" s="19">
        <v>5.4961480284730593</v>
      </c>
      <c r="AQ123" s="19">
        <v>5.1548514156985341</v>
      </c>
      <c r="AR123" s="19">
        <v>5.7616580039836203</v>
      </c>
      <c r="AS123" s="19">
        <v>5.1505678302157074</v>
      </c>
      <c r="AT123" s="19">
        <v>5.3634280160551189</v>
      </c>
      <c r="AU123" s="19">
        <v>4.3718258024098926</v>
      </c>
      <c r="AV123" s="19">
        <v>3.2544778000539321</v>
      </c>
      <c r="AW123" s="19">
        <v>3.626444956108597</v>
      </c>
      <c r="AX123" s="19">
        <v>3.7060820999999997</v>
      </c>
      <c r="AY123" s="19">
        <v>3.6225369111111112</v>
      </c>
      <c r="AZ123" s="19">
        <v>3.4288527751004021</v>
      </c>
      <c r="BA123" s="19">
        <v>3.7684728000000001</v>
      </c>
      <c r="BB123" s="19">
        <v>4.0505068133079849</v>
      </c>
      <c r="BC123" s="19">
        <v>3.9842720885110783</v>
      </c>
      <c r="BD123" s="19">
        <v>3.8191526587089797</v>
      </c>
      <c r="BE123" s="19">
        <v>3.7549143463373182</v>
      </c>
      <c r="BF123" s="19">
        <v>6.496316183042496</v>
      </c>
      <c r="BG123" s="19">
        <v>5.3521897594654826</v>
      </c>
      <c r="BH123" s="19">
        <v>5.3611278595701286</v>
      </c>
      <c r="BI123" s="19">
        <v>7</v>
      </c>
      <c r="BJ123" s="19">
        <v>5.644187177552328</v>
      </c>
      <c r="BK123" s="19">
        <v>4.2554206259362175</v>
      </c>
      <c r="BL123" s="19">
        <v>3.8169382899478776</v>
      </c>
      <c r="BM123" s="19">
        <v>3.79878318852459</v>
      </c>
      <c r="BN123" s="19">
        <v>3.7659730444444439</v>
      </c>
      <c r="BO123" s="19">
        <v>3.5143937718875504</v>
      </c>
      <c r="BP123" s="19">
        <v>3.4612652239700372</v>
      </c>
      <c r="BQ123" s="19">
        <v>3.7359830288973388</v>
      </c>
      <c r="BR123" s="19">
        <v>3.8288352898094669</v>
      </c>
      <c r="BS123" s="19">
        <v>3.6952710791920009</v>
      </c>
      <c r="BT123" s="19">
        <v>3.5683279894292355</v>
      </c>
      <c r="BU123" s="19">
        <v>3.8725356893397489</v>
      </c>
      <c r="BV123" s="19">
        <v>3.832105185869862</v>
      </c>
      <c r="BW123" s="19">
        <v>2.7620208223047382</v>
      </c>
      <c r="BX123" s="19">
        <v>2.6264204342063073</v>
      </c>
      <c r="BY123" s="19">
        <v>3.2101281815751115</v>
      </c>
      <c r="BZ123" s="19">
        <v>14.511149660406801</v>
      </c>
      <c r="CA123" s="19">
        <v>15.010547612394101</v>
      </c>
      <c r="CB123" s="19">
        <v>25.223088011138199</v>
      </c>
      <c r="CC123" s="19">
        <v>29.496229894063099</v>
      </c>
      <c r="CD123" s="19">
        <v>32.660149563701502</v>
      </c>
      <c r="CE123" s="19">
        <v>36.804577097462563</v>
      </c>
      <c r="CF123" s="19">
        <v>45.451830946537221</v>
      </c>
      <c r="CG123" s="19">
        <v>47.383535819210515</v>
      </c>
      <c r="CH123" s="19">
        <v>52.847669415321157</v>
      </c>
      <c r="CI123" s="19">
        <v>60.320907778889861</v>
      </c>
      <c r="CJ123" s="19">
        <v>41.8787517200062</v>
      </c>
      <c r="CK123" s="19">
        <v>66.142997741699205</v>
      </c>
      <c r="CL123" s="19">
        <v>111.93967437744099</v>
      </c>
      <c r="CM123" s="19">
        <v>164.36811828613301</v>
      </c>
      <c r="CN123" s="19">
        <v>184.71673273013701</v>
      </c>
      <c r="CO123" s="19">
        <v>200</v>
      </c>
      <c r="CP123" s="19">
        <v>186.73442223718601</v>
      </c>
      <c r="CQ123" s="19">
        <v>162.97429978494699</v>
      </c>
      <c r="CR123" s="19">
        <v>158.054282495466</v>
      </c>
      <c r="CS123" s="19">
        <v>174.19431846506399</v>
      </c>
      <c r="CT123" s="19">
        <v>200</v>
      </c>
      <c r="CU123" s="19">
        <v>200</v>
      </c>
      <c r="CV123" s="19">
        <v>200</v>
      </c>
      <c r="CW123" s="19">
        <v>200</v>
      </c>
      <c r="CX123" s="19">
        <v>200</v>
      </c>
      <c r="CY123" s="19">
        <v>5.1228178162334546</v>
      </c>
      <c r="CZ123" s="19">
        <v>5.234583294570136</v>
      </c>
      <c r="DA123" s="19">
        <v>4.8542439464480882</v>
      </c>
      <c r="DB123" s="19">
        <v>4.7442891111111107</v>
      </c>
      <c r="DC123" s="19">
        <v>4.7512912951807227</v>
      </c>
      <c r="DD123" s="19">
        <v>4.8914060973782778</v>
      </c>
      <c r="DE123" s="19">
        <v>4.8369497676806086</v>
      </c>
      <c r="DF123" s="19">
        <v>4.5014815111111108</v>
      </c>
      <c r="DG123" s="19">
        <v>4.6557516321260835</v>
      </c>
      <c r="DH123" s="19">
        <v>4.9103352591395382</v>
      </c>
      <c r="DI123" s="19">
        <v>4.3945577103692495</v>
      </c>
      <c r="DJ123" s="19">
        <v>4.721127294996756</v>
      </c>
      <c r="DK123" s="19">
        <v>5.0393371432726024</v>
      </c>
      <c r="DL123" s="19">
        <v>4.5970556106525775</v>
      </c>
      <c r="DM123" s="19">
        <v>4.7520873185353949</v>
      </c>
      <c r="DN123" s="19">
        <v>4.2436562115269538</v>
      </c>
      <c r="DO123" s="19">
        <v>4.0577290555845122</v>
      </c>
      <c r="DP123" s="19">
        <v>3.9739426180327868</v>
      </c>
      <c r="DQ123" s="19">
        <v>4.3472550666666665</v>
      </c>
      <c r="DR123" s="19">
        <v>4.5773728783132537</v>
      </c>
      <c r="DS123" s="19">
        <v>5.0560479325842689</v>
      </c>
      <c r="DT123" s="19">
        <v>5.2394600589353608</v>
      </c>
      <c r="DU123" s="19">
        <v>5.0105493362408282</v>
      </c>
      <c r="DV123" s="19">
        <v>4.7736991198321856</v>
      </c>
      <c r="DW123" s="19">
        <v>4.693264250457287</v>
      </c>
      <c r="DX123" s="19">
        <v>5.8573635356637634</v>
      </c>
      <c r="DY123" s="19">
        <v>5.0645042218300818</v>
      </c>
      <c r="DZ123" s="19">
        <v>5.5293196882907694</v>
      </c>
      <c r="EA123" s="19">
        <v>5.4531934385482304</v>
      </c>
      <c r="EB123" s="19">
        <v>5.4526189791638471</v>
      </c>
      <c r="EC123" s="19">
        <v>3.9642597547635114</v>
      </c>
      <c r="ED123" s="19">
        <v>3.8195396383469844</v>
      </c>
      <c r="EE123" s="19">
        <v>3.8314079852459013</v>
      </c>
      <c r="EF123" s="19">
        <v>4.0995448222222217</v>
      </c>
      <c r="EG123" s="19">
        <v>4.1866664369477915</v>
      </c>
      <c r="EH123" s="19">
        <v>4.5281274554307114</v>
      </c>
      <c r="EI123" s="19">
        <v>4.7501130836501906</v>
      </c>
      <c r="EJ123" s="19">
        <v>4.7424393595533347</v>
      </c>
      <c r="EK123" s="19">
        <v>4.6084339065051712</v>
      </c>
      <c r="EL123" s="19">
        <v>4.5091451987624174</v>
      </c>
      <c r="EM123" s="19">
        <v>5.1453446806755352</v>
      </c>
      <c r="EN123" s="19">
        <v>4.2135684899272592</v>
      </c>
      <c r="EO123" s="19">
        <v>3.932578908615989</v>
      </c>
      <c r="EP123" s="19">
        <v>4.7638228016541557</v>
      </c>
      <c r="EQ123" s="19">
        <v>5.3084737772170252</v>
      </c>
      <c r="ER123" s="19"/>
      <c r="ES123" s="16">
        <f t="shared" si="8"/>
        <v>4.2091460087719295</v>
      </c>
      <c r="ET123" s="16">
        <f t="shared" si="8"/>
        <v>3.1410840327749101</v>
      </c>
      <c r="EU123" s="16">
        <f t="shared" si="8"/>
        <v>5.8009166781793864</v>
      </c>
      <c r="EV123" s="16">
        <f t="shared" si="8"/>
        <v>3.4288527751004021</v>
      </c>
      <c r="EW123" s="16">
        <f t="shared" si="8"/>
        <v>3.5143937718875504</v>
      </c>
      <c r="EX123" s="16" t="str">
        <f t="shared" si="8"/>
        <v>.</v>
      </c>
      <c r="EY123" s="16">
        <f t="shared" si="8"/>
        <v>184.71673273013701</v>
      </c>
      <c r="EZ123" s="16">
        <f t="shared" si="8"/>
        <v>4.7512912951807227</v>
      </c>
      <c r="FA123" s="16">
        <f t="shared" si="8"/>
        <v>4.5773728783132537</v>
      </c>
      <c r="FB123" s="16">
        <f t="shared" si="8"/>
        <v>4.1866664369477915</v>
      </c>
    </row>
    <row r="124" spans="1:158" x14ac:dyDescent="0.25">
      <c r="A124" s="17">
        <v>121</v>
      </c>
      <c r="B124" s="17" t="s">
        <v>147</v>
      </c>
      <c r="C124" s="17" t="s">
        <v>148</v>
      </c>
      <c r="D124" s="17" t="s">
        <v>21</v>
      </c>
      <c r="E124" s="16">
        <v>0</v>
      </c>
      <c r="F124" s="18">
        <v>3.47</v>
      </c>
      <c r="G124" s="18">
        <v>2.98</v>
      </c>
      <c r="H124" s="18">
        <v>3.06</v>
      </c>
      <c r="I124" s="18">
        <v>4.03</v>
      </c>
      <c r="J124" s="18">
        <v>3.98</v>
      </c>
      <c r="K124" s="18">
        <v>3.16</v>
      </c>
      <c r="L124" s="18">
        <v>3.31</v>
      </c>
      <c r="M124" s="18">
        <v>3.94</v>
      </c>
      <c r="N124" s="18">
        <v>3.32</v>
      </c>
      <c r="O124" s="18">
        <v>3.54</v>
      </c>
      <c r="P124" s="18">
        <v>3.7</v>
      </c>
      <c r="Q124" s="18">
        <v>3.97</v>
      </c>
      <c r="R124" s="18">
        <v>3.89</v>
      </c>
      <c r="S124" s="18">
        <v>2.95</v>
      </c>
      <c r="T124" s="18">
        <v>2.66</v>
      </c>
      <c r="U124" s="18">
        <v>3.3</v>
      </c>
      <c r="V124" s="18">
        <v>2.68</v>
      </c>
      <c r="W124" s="18">
        <v>2.23</v>
      </c>
      <c r="X124" s="18">
        <v>2.48</v>
      </c>
      <c r="Y124" s="18">
        <v>2.88</v>
      </c>
      <c r="Z124" s="18">
        <v>3.08</v>
      </c>
      <c r="AA124" s="18">
        <v>2.95</v>
      </c>
      <c r="AB124" s="18">
        <v>3.1</v>
      </c>
      <c r="AC124" s="18">
        <v>3.23</v>
      </c>
      <c r="AD124" s="19">
        <v>1.86</v>
      </c>
      <c r="AE124" s="19">
        <v>2.62</v>
      </c>
      <c r="AF124" s="19">
        <v>2.95</v>
      </c>
      <c r="AG124" s="19">
        <v>2.87</v>
      </c>
      <c r="AH124" s="19">
        <v>2.87</v>
      </c>
      <c r="AI124" s="19">
        <v>2.83</v>
      </c>
      <c r="AJ124" s="19">
        <v>4.0999999999999996</v>
      </c>
      <c r="AK124" s="19">
        <v>4.01</v>
      </c>
      <c r="AL124" s="19">
        <v>4.46</v>
      </c>
      <c r="AM124" s="19">
        <v>3.93</v>
      </c>
      <c r="AN124" s="19">
        <v>3.94</v>
      </c>
      <c r="AO124" s="19">
        <v>4.5</v>
      </c>
      <c r="AP124" s="19">
        <v>3.91</v>
      </c>
      <c r="AQ124" s="19">
        <v>4.0199999999999996</v>
      </c>
      <c r="AR124" s="19">
        <v>4.68</v>
      </c>
      <c r="AS124" s="19">
        <v>3.56</v>
      </c>
      <c r="AT124" s="19">
        <v>3.9</v>
      </c>
      <c r="AU124" s="19">
        <v>5.45</v>
      </c>
      <c r="AV124" s="19">
        <v>2.16</v>
      </c>
      <c r="AW124" s="19">
        <v>2.99</v>
      </c>
      <c r="AX124" s="19">
        <v>2.4900000000000002</v>
      </c>
      <c r="AY124" s="19">
        <v>2.63</v>
      </c>
      <c r="AZ124" s="19">
        <v>3.63</v>
      </c>
      <c r="BA124" s="19">
        <v>2.57</v>
      </c>
      <c r="BB124" s="19">
        <v>4.4000000000000004</v>
      </c>
      <c r="BC124" s="19">
        <v>3.82</v>
      </c>
      <c r="BD124" s="19">
        <v>2.44</v>
      </c>
      <c r="BE124" s="19">
        <v>2.85</v>
      </c>
      <c r="BF124" s="19">
        <v>4.7300000000000004</v>
      </c>
      <c r="BG124" s="19">
        <v>3.94</v>
      </c>
      <c r="BH124" s="19">
        <v>2.95</v>
      </c>
      <c r="BI124" s="19">
        <v>4.32</v>
      </c>
      <c r="BJ124" s="19">
        <v>4.03</v>
      </c>
      <c r="BK124" s="19">
        <v>3.25</v>
      </c>
      <c r="BL124" s="19">
        <v>3.4</v>
      </c>
      <c r="BM124" s="19">
        <v>3.2</v>
      </c>
      <c r="BN124" s="19">
        <v>3.33</v>
      </c>
      <c r="BO124" s="19">
        <v>2.84</v>
      </c>
      <c r="BP124" s="19">
        <v>2.61</v>
      </c>
      <c r="BQ124" s="19">
        <v>2.86</v>
      </c>
      <c r="BR124" s="19">
        <v>3.09</v>
      </c>
      <c r="BS124" s="19">
        <v>2.99</v>
      </c>
      <c r="BT124" s="19">
        <v>2.75</v>
      </c>
      <c r="BU124" s="19">
        <v>2.39</v>
      </c>
      <c r="BV124" s="19">
        <v>3.19</v>
      </c>
      <c r="BW124" s="19">
        <v>1.01</v>
      </c>
      <c r="BX124" s="19">
        <v>4.16</v>
      </c>
      <c r="BY124" s="19">
        <v>3.07</v>
      </c>
      <c r="BZ124" s="19">
        <v>21.13</v>
      </c>
      <c r="CA124" s="19">
        <v>6.28</v>
      </c>
      <c r="CB124" s="19">
        <v>30.65</v>
      </c>
      <c r="CC124" s="19">
        <v>1.47</v>
      </c>
      <c r="CD124" s="19">
        <v>19.55</v>
      </c>
      <c r="CE124" s="19">
        <v>1</v>
      </c>
      <c r="CF124" s="19">
        <v>1</v>
      </c>
      <c r="CG124" s="19">
        <v>1</v>
      </c>
      <c r="CH124" s="19">
        <v>83.99</v>
      </c>
      <c r="CI124" s="19">
        <v>1</v>
      </c>
      <c r="CJ124" s="19">
        <v>66.739999999999995</v>
      </c>
      <c r="CK124" s="19">
        <v>1</v>
      </c>
      <c r="CL124" s="19">
        <v>105.12</v>
      </c>
      <c r="CM124" s="19">
        <v>63.29</v>
      </c>
      <c r="CN124" s="19">
        <v>68.17</v>
      </c>
      <c r="CO124" s="19">
        <v>64.53</v>
      </c>
      <c r="CP124" s="19">
        <v>126.76</v>
      </c>
      <c r="CQ124" s="19">
        <v>93.18</v>
      </c>
      <c r="CR124" s="19">
        <v>163.36000000000001</v>
      </c>
      <c r="CS124" s="19">
        <v>146.66</v>
      </c>
      <c r="CT124" s="19">
        <v>107.33</v>
      </c>
      <c r="CU124" s="19">
        <v>115.2</v>
      </c>
      <c r="CV124" s="19">
        <v>184.24</v>
      </c>
      <c r="CW124" s="19">
        <v>168.06</v>
      </c>
      <c r="CX124" s="19">
        <v>200</v>
      </c>
      <c r="CY124" s="19">
        <v>4.08</v>
      </c>
      <c r="CZ124" s="19">
        <v>2.81</v>
      </c>
      <c r="DA124" s="19">
        <v>2.0499999999999998</v>
      </c>
      <c r="DB124" s="19">
        <v>3.14</v>
      </c>
      <c r="DC124" s="19">
        <v>4.88</v>
      </c>
      <c r="DD124" s="19">
        <v>3.27</v>
      </c>
      <c r="DE124" s="19">
        <v>2.72</v>
      </c>
      <c r="DF124" s="19">
        <v>2.98</v>
      </c>
      <c r="DG124" s="19">
        <v>3.32</v>
      </c>
      <c r="DH124" s="19">
        <v>3.32</v>
      </c>
      <c r="DI124" s="19">
        <v>3.87</v>
      </c>
      <c r="DJ124" s="19">
        <v>4.01</v>
      </c>
      <c r="DK124" s="19">
        <v>3.52</v>
      </c>
      <c r="DL124" s="19">
        <v>4.5599999999999996</v>
      </c>
      <c r="DM124" s="19">
        <v>2.3199999999999998</v>
      </c>
      <c r="DN124" s="19">
        <v>3.08</v>
      </c>
      <c r="DO124" s="19">
        <v>2.0099999999999998</v>
      </c>
      <c r="DP124" s="19">
        <v>3.4</v>
      </c>
      <c r="DQ124" s="19">
        <v>3.4</v>
      </c>
      <c r="DR124" s="19">
        <v>3.69</v>
      </c>
      <c r="DS124" s="19">
        <v>4.58</v>
      </c>
      <c r="DT124" s="19">
        <v>2.68</v>
      </c>
      <c r="DU124" s="19">
        <v>2.27</v>
      </c>
      <c r="DV124" s="19">
        <v>2.86</v>
      </c>
      <c r="DW124" s="19">
        <v>2.84</v>
      </c>
      <c r="DX124" s="19">
        <v>3.26</v>
      </c>
      <c r="DY124" s="19">
        <v>3.36</v>
      </c>
      <c r="DZ124" s="19">
        <v>5.38</v>
      </c>
      <c r="EA124" s="19">
        <v>3.65</v>
      </c>
      <c r="EB124" s="19">
        <v>5.8</v>
      </c>
      <c r="EC124" s="19">
        <v>1.36</v>
      </c>
      <c r="ED124" s="19">
        <v>2.15</v>
      </c>
      <c r="EE124" s="19">
        <v>1</v>
      </c>
      <c r="EF124" s="19">
        <v>3.97</v>
      </c>
      <c r="EG124" s="19">
        <v>3.06</v>
      </c>
      <c r="EH124" s="19">
        <v>3.31</v>
      </c>
      <c r="EI124" s="19">
        <v>2.37</v>
      </c>
      <c r="EJ124" s="19">
        <v>2.48</v>
      </c>
      <c r="EK124" s="19">
        <v>3.53</v>
      </c>
      <c r="EL124" s="19">
        <v>3.3</v>
      </c>
      <c r="EM124" s="19">
        <v>2.74</v>
      </c>
      <c r="EN124" s="19">
        <v>3.84</v>
      </c>
      <c r="EO124" s="19">
        <v>5.09</v>
      </c>
      <c r="EP124" s="19">
        <v>3.56</v>
      </c>
      <c r="EQ124" s="19">
        <v>4.45</v>
      </c>
      <c r="ER124" s="19"/>
      <c r="ES124" s="16">
        <f t="shared" si="8"/>
        <v>3.98</v>
      </c>
      <c r="ET124" s="16">
        <f t="shared" si="8"/>
        <v>2.88</v>
      </c>
      <c r="EU124" s="16">
        <f t="shared" si="8"/>
        <v>4.01</v>
      </c>
      <c r="EV124" s="16">
        <f t="shared" si="8"/>
        <v>3.63</v>
      </c>
      <c r="EW124" s="16">
        <f t="shared" si="8"/>
        <v>2.84</v>
      </c>
      <c r="EX124" s="16" t="str">
        <f t="shared" si="8"/>
        <v>.</v>
      </c>
      <c r="EY124" s="16">
        <f t="shared" si="8"/>
        <v>68.17</v>
      </c>
      <c r="EZ124" s="16">
        <f t="shared" si="8"/>
        <v>4.88</v>
      </c>
      <c r="FA124" s="16">
        <f t="shared" si="8"/>
        <v>3.69</v>
      </c>
      <c r="FB124" s="16">
        <f t="shared" si="8"/>
        <v>3.06</v>
      </c>
    </row>
    <row r="125" spans="1:158" x14ac:dyDescent="0.25">
      <c r="A125" s="17">
        <v>122</v>
      </c>
      <c r="B125" s="17" t="s">
        <v>149</v>
      </c>
      <c r="C125" s="17" t="s">
        <v>149</v>
      </c>
      <c r="D125" s="17" t="s">
        <v>18</v>
      </c>
      <c r="E125" s="16">
        <v>1</v>
      </c>
      <c r="F125" s="18">
        <v>3.1781114360137885</v>
      </c>
      <c r="G125" s="18">
        <v>3.3200825965123073</v>
      </c>
      <c r="H125" s="18">
        <v>3.265273676068376</v>
      </c>
      <c r="I125" s="18">
        <v>3.2127422915250734</v>
      </c>
      <c r="J125" s="18">
        <v>3.3887784751021393</v>
      </c>
      <c r="K125" s="18">
        <v>3.50688376878403</v>
      </c>
      <c r="L125" s="18">
        <v>3.4887454039664387</v>
      </c>
      <c r="M125" s="18">
        <v>3.3945944142050823</v>
      </c>
      <c r="N125" s="18">
        <v>3.3385308036335823</v>
      </c>
      <c r="O125" s="18">
        <v>3.3790939198463841</v>
      </c>
      <c r="P125" s="18">
        <v>3.340717171318071</v>
      </c>
      <c r="Q125" s="18">
        <v>3.6045342903219888</v>
      </c>
      <c r="R125" s="18">
        <v>3.7519112419561473</v>
      </c>
      <c r="S125" s="18">
        <v>3.8809297406390426</v>
      </c>
      <c r="T125" s="18">
        <v>3.5207894137504407</v>
      </c>
      <c r="U125" s="18">
        <v>2.1135651929567727</v>
      </c>
      <c r="V125" s="18">
        <v>2.0634755493084516</v>
      </c>
      <c r="W125" s="18">
        <v>2.1389147830452675</v>
      </c>
      <c r="X125" s="18">
        <v>2.205408895091864</v>
      </c>
      <c r="Y125" s="18">
        <v>2.3354944404308631</v>
      </c>
      <c r="Z125" s="18">
        <v>2.4257277033262943</v>
      </c>
      <c r="AA125" s="18">
        <v>2.453233569611899</v>
      </c>
      <c r="AB125" s="18">
        <v>2.4390894044321905</v>
      </c>
      <c r="AC125" s="18">
        <v>2.4608452602340161</v>
      </c>
      <c r="AD125" s="19">
        <v>2.5395737485300032</v>
      </c>
      <c r="AE125" s="19">
        <v>2.5783263085740291</v>
      </c>
      <c r="AF125" s="19">
        <v>2.7641917035752912</v>
      </c>
      <c r="AG125" s="19">
        <v>2.8995986964250253</v>
      </c>
      <c r="AH125" s="19">
        <v>2.7109771020772144</v>
      </c>
      <c r="AI125" s="19">
        <v>2.7726959602158354</v>
      </c>
      <c r="AJ125" s="19">
        <v>3.9306430933070868</v>
      </c>
      <c r="AK125" s="19">
        <v>4.0957567989345511</v>
      </c>
      <c r="AL125" s="19">
        <v>4.2683261796934859</v>
      </c>
      <c r="AM125" s="19">
        <v>4.1731708357487927</v>
      </c>
      <c r="AN125" s="19">
        <v>4.0803117573492589</v>
      </c>
      <c r="AO125" s="19">
        <v>4.0549538264110314</v>
      </c>
      <c r="AP125" s="19">
        <v>3.9397879685749082</v>
      </c>
      <c r="AQ125" s="19">
        <v>4.1027627988617654</v>
      </c>
      <c r="AR125" s="19">
        <v>4.679836719501437</v>
      </c>
      <c r="AS125" s="19">
        <v>4.9011079796723296</v>
      </c>
      <c r="AT125" s="19">
        <v>4.2025803499077927</v>
      </c>
      <c r="AU125" s="19">
        <v>4.3552081661355668</v>
      </c>
      <c r="AV125" s="19">
        <v>2.9860053648359388</v>
      </c>
      <c r="AW125" s="19">
        <v>3.3368066098557696</v>
      </c>
      <c r="AX125" s="19">
        <v>3.4559836469135803</v>
      </c>
      <c r="AY125" s="19">
        <v>3.4119228374015753</v>
      </c>
      <c r="AZ125" s="19">
        <v>3.5021102365296803</v>
      </c>
      <c r="BA125" s="19">
        <v>3.8354152655172413</v>
      </c>
      <c r="BB125" s="19">
        <v>3.7914228550724638</v>
      </c>
      <c r="BC125" s="19">
        <v>3.8184646155600523</v>
      </c>
      <c r="BD125" s="19">
        <v>3.779819592923829</v>
      </c>
      <c r="BE125" s="19">
        <v>3.4531812948615928</v>
      </c>
      <c r="BF125" s="19">
        <v>4.4157388882127524</v>
      </c>
      <c r="BG125" s="19">
        <v>3.6571496871259939</v>
      </c>
      <c r="BH125" s="19">
        <v>3.8102648177605083</v>
      </c>
      <c r="BI125" s="19">
        <v>4.3611781332049384</v>
      </c>
      <c r="BJ125" s="19">
        <v>4.1069492427932994</v>
      </c>
      <c r="BK125" s="19">
        <v>2.7448654415307319</v>
      </c>
      <c r="BL125" s="19">
        <v>2.6638874843750004</v>
      </c>
      <c r="BM125" s="19">
        <v>2.6696496444444442</v>
      </c>
      <c r="BN125" s="19">
        <v>2.9014580795275591</v>
      </c>
      <c r="BO125" s="19">
        <v>3.0749908689497714</v>
      </c>
      <c r="BP125" s="19">
        <v>2.9615561275862068</v>
      </c>
      <c r="BQ125" s="19">
        <v>2.7734170028985505</v>
      </c>
      <c r="BR125" s="19">
        <v>2.7959560745106753</v>
      </c>
      <c r="BS125" s="19">
        <v>2.8947995357441174</v>
      </c>
      <c r="BT125" s="19">
        <v>2.9339649622377597</v>
      </c>
      <c r="BU125" s="19">
        <v>2.928679537698653</v>
      </c>
      <c r="BV125" s="19">
        <v>2.6351077196489472</v>
      </c>
      <c r="BW125" s="19">
        <v>2.8319845876916396</v>
      </c>
      <c r="BX125" s="19">
        <v>2.8452040295718617</v>
      </c>
      <c r="BY125" s="19">
        <v>3.5340809682175163</v>
      </c>
      <c r="BZ125" s="19">
        <v>4.4765532581539498</v>
      </c>
      <c r="CA125" s="19">
        <v>5.4805195854580804</v>
      </c>
      <c r="CB125" s="19">
        <v>4.7588203687137902</v>
      </c>
      <c r="CC125" s="19">
        <v>4.1751456687375699</v>
      </c>
      <c r="CD125" s="19">
        <v>39.232756362842203</v>
      </c>
      <c r="CE125" s="19">
        <v>21.456274560512028</v>
      </c>
      <c r="CF125" s="19">
        <v>38.149100008956729</v>
      </c>
      <c r="CG125" s="19">
        <v>47.109886939375961</v>
      </c>
      <c r="CH125" s="19">
        <v>51.703560725552521</v>
      </c>
      <c r="CI125" s="19">
        <v>55.984065558416418</v>
      </c>
      <c r="CJ125" s="19">
        <v>30.643065930496899</v>
      </c>
      <c r="CK125" s="19">
        <v>51.308437347412102</v>
      </c>
      <c r="CL125" s="19">
        <v>92.824783325195298</v>
      </c>
      <c r="CM125" s="19">
        <v>88.497596740722699</v>
      </c>
      <c r="CN125" s="19">
        <v>91.636331467362197</v>
      </c>
      <c r="CO125" s="19">
        <v>99.402629908240996</v>
      </c>
      <c r="CP125" s="19">
        <v>101.657353653922</v>
      </c>
      <c r="CQ125" s="19">
        <v>103.689328381083</v>
      </c>
      <c r="CR125" s="19">
        <v>105.604533030992</v>
      </c>
      <c r="CS125" s="19">
        <v>105.389551058433</v>
      </c>
      <c r="CT125" s="19">
        <v>126.83119725061646</v>
      </c>
      <c r="CU125" s="19">
        <v>129.38365811373743</v>
      </c>
      <c r="CV125" s="19">
        <v>133.67357774585258</v>
      </c>
      <c r="CW125" s="19">
        <v>148.32127118858259</v>
      </c>
      <c r="CX125" s="19">
        <v>153.26060996142337</v>
      </c>
      <c r="CY125" s="19">
        <v>3.0567807774449447</v>
      </c>
      <c r="CZ125" s="19">
        <v>3.0920230125428088</v>
      </c>
      <c r="DA125" s="19">
        <v>2.9404665728395063</v>
      </c>
      <c r="DB125" s="19">
        <v>2.9333128519685041</v>
      </c>
      <c r="DC125" s="19">
        <v>3.0348679365296807</v>
      </c>
      <c r="DD125" s="19">
        <v>2.9997461137931034</v>
      </c>
      <c r="DE125" s="19">
        <v>3.0627770028985504</v>
      </c>
      <c r="DF125" s="19">
        <v>3.2158579772505282</v>
      </c>
      <c r="DG125" s="19">
        <v>3.620149674018224</v>
      </c>
      <c r="DH125" s="19">
        <v>3.7679237914712806</v>
      </c>
      <c r="DI125" s="19">
        <v>3.5281484577147433</v>
      </c>
      <c r="DJ125" s="19">
        <v>4.1769075476520605</v>
      </c>
      <c r="DK125" s="19">
        <v>4.3305870463450944</v>
      </c>
      <c r="DL125" s="19">
        <v>4.146037206266076</v>
      </c>
      <c r="DM125" s="19">
        <v>3.9931242869170376</v>
      </c>
      <c r="DN125" s="19">
        <v>1.8717505548343873</v>
      </c>
      <c r="DO125" s="19">
        <v>1.7847933259615385</v>
      </c>
      <c r="DP125" s="19">
        <v>2.2069165753086422</v>
      </c>
      <c r="DQ125" s="19">
        <v>2.3815479141732285</v>
      </c>
      <c r="DR125" s="19">
        <v>2.481678185844749</v>
      </c>
      <c r="DS125" s="19">
        <v>2.599695003448276</v>
      </c>
      <c r="DT125" s="19">
        <v>2.5822847855072464</v>
      </c>
      <c r="DU125" s="19">
        <v>2.6784127077831039</v>
      </c>
      <c r="DV125" s="19">
        <v>2.5459817373391349</v>
      </c>
      <c r="DW125" s="19">
        <v>2.3894145691081095</v>
      </c>
      <c r="DX125" s="19">
        <v>3.3876897133682951</v>
      </c>
      <c r="DY125" s="19">
        <v>2.7562598692654952</v>
      </c>
      <c r="DZ125" s="19">
        <v>2.6883558021208938</v>
      </c>
      <c r="EA125" s="19">
        <v>3.1217760051655827</v>
      </c>
      <c r="EB125" s="19">
        <v>2.8052468738633785</v>
      </c>
      <c r="EC125" s="19">
        <v>1.8838914827687283</v>
      </c>
      <c r="ED125" s="19">
        <v>1.7641264576923077</v>
      </c>
      <c r="EE125" s="19">
        <v>1.9724922123456792</v>
      </c>
      <c r="EF125" s="19">
        <v>2.2110776779527557</v>
      </c>
      <c r="EG125" s="19">
        <v>2.4367379954337895</v>
      </c>
      <c r="EH125" s="19">
        <v>2.5058023126436781</v>
      </c>
      <c r="EI125" s="19">
        <v>2.5352314724637681</v>
      </c>
      <c r="EJ125" s="19">
        <v>2.4502092267071589</v>
      </c>
      <c r="EK125" s="19">
        <v>2.2491003018437006</v>
      </c>
      <c r="EL125" s="19">
        <v>2.2406457571606886</v>
      </c>
      <c r="EM125" s="19">
        <v>2.280443157235013</v>
      </c>
      <c r="EN125" s="19">
        <v>3.4004760334841073</v>
      </c>
      <c r="EO125" s="19">
        <v>3.0727641798752736</v>
      </c>
      <c r="EP125" s="19">
        <v>2.7114099567578651</v>
      </c>
      <c r="EQ125" s="19">
        <v>2.7837381292961569</v>
      </c>
      <c r="ER125" s="19"/>
      <c r="ES125" s="16">
        <f t="shared" si="8"/>
        <v>3.3887784751021393</v>
      </c>
      <c r="ET125" s="16">
        <f t="shared" si="8"/>
        <v>2.3354944404308631</v>
      </c>
      <c r="EU125" s="16">
        <f t="shared" si="8"/>
        <v>4.0957567989345511</v>
      </c>
      <c r="EV125" s="16">
        <f t="shared" si="8"/>
        <v>3.5021102365296803</v>
      </c>
      <c r="EW125" s="16">
        <f t="shared" si="8"/>
        <v>3.0749908689497714</v>
      </c>
      <c r="EX125" s="16" t="str">
        <f t="shared" si="8"/>
        <v>.</v>
      </c>
      <c r="EY125" s="16">
        <f t="shared" si="8"/>
        <v>91.636331467362197</v>
      </c>
      <c r="EZ125" s="16">
        <f t="shared" si="8"/>
        <v>3.0348679365296807</v>
      </c>
      <c r="FA125" s="16">
        <f t="shared" si="8"/>
        <v>2.481678185844749</v>
      </c>
      <c r="FB125" s="16">
        <f t="shared" si="8"/>
        <v>2.4367379954337895</v>
      </c>
    </row>
    <row r="126" spans="1:158" x14ac:dyDescent="0.25">
      <c r="A126" s="17">
        <v>123</v>
      </c>
      <c r="B126" s="17" t="s">
        <v>150</v>
      </c>
      <c r="C126" s="17" t="s">
        <v>150</v>
      </c>
      <c r="D126" s="17" t="s">
        <v>18</v>
      </c>
      <c r="E126" s="16">
        <v>1</v>
      </c>
      <c r="F126" s="18">
        <v>4.1102832789387014</v>
      </c>
      <c r="G126" s="18">
        <v>4.1204717660351688</v>
      </c>
      <c r="H126" s="18">
        <v>4.02310471479176</v>
      </c>
      <c r="I126" s="18">
        <v>3.8476770305263162</v>
      </c>
      <c r="J126" s="18">
        <v>3.9250380949788264</v>
      </c>
      <c r="K126" s="18">
        <v>3.9356184721452747</v>
      </c>
      <c r="L126" s="18">
        <v>3.9467473793697208</v>
      </c>
      <c r="M126" s="18">
        <v>3.9258083717637988</v>
      </c>
      <c r="N126" s="18">
        <v>3.7856514810806114</v>
      </c>
      <c r="O126" s="18">
        <v>3.7832060606988427</v>
      </c>
      <c r="P126" s="18">
        <v>3.7430832323368461</v>
      </c>
      <c r="Q126" s="18">
        <v>3.3115479712228297</v>
      </c>
      <c r="R126" s="18">
        <v>3.5472386591872276</v>
      </c>
      <c r="S126" s="18">
        <v>3.619053334162269</v>
      </c>
      <c r="T126" s="18">
        <v>3.4403591791282051</v>
      </c>
      <c r="U126" s="18">
        <v>2.7798654321989136</v>
      </c>
      <c r="V126" s="18">
        <v>2.6848958632161399</v>
      </c>
      <c r="W126" s="18">
        <v>2.7101465563005784</v>
      </c>
      <c r="X126" s="18">
        <v>2.7328402661108933</v>
      </c>
      <c r="Y126" s="18">
        <v>2.7198184417650495</v>
      </c>
      <c r="Z126" s="18">
        <v>2.6902897390639375</v>
      </c>
      <c r="AA126" s="18">
        <v>2.7603397481992222</v>
      </c>
      <c r="AB126" s="18">
        <v>2.7641604905386794</v>
      </c>
      <c r="AC126" s="18">
        <v>2.7828757751202167</v>
      </c>
      <c r="AD126" s="19">
        <v>2.8172844069323539</v>
      </c>
      <c r="AE126" s="19">
        <v>2.6526080533608041</v>
      </c>
      <c r="AF126" s="19">
        <v>2.9649984176676085</v>
      </c>
      <c r="AG126" s="19">
        <v>2.8652348182800624</v>
      </c>
      <c r="AH126" s="19">
        <v>2.6855178867946261</v>
      </c>
      <c r="AI126" s="19">
        <v>3.0446564601288837</v>
      </c>
      <c r="AJ126" s="19">
        <v>4.9447034552380948</v>
      </c>
      <c r="AK126" s="19">
        <v>5.0132603068965516</v>
      </c>
      <c r="AL126" s="19">
        <v>4.853421513450292</v>
      </c>
      <c r="AM126" s="19">
        <v>4.7825566740740744</v>
      </c>
      <c r="AN126" s="19">
        <v>4.729033968061394</v>
      </c>
      <c r="AO126" s="19">
        <v>4.6050088984895874</v>
      </c>
      <c r="AP126" s="19">
        <v>4.3999311457799131</v>
      </c>
      <c r="AQ126" s="19">
        <v>4.343478389426684</v>
      </c>
      <c r="AR126" s="19">
        <v>4.5719471310684145</v>
      </c>
      <c r="AS126" s="19">
        <v>4.2048053069626548</v>
      </c>
      <c r="AT126" s="19">
        <v>4.3860661988940901</v>
      </c>
      <c r="AU126" s="19">
        <v>4.2155503556426153</v>
      </c>
      <c r="AV126" s="19">
        <v>2.2542984189723319</v>
      </c>
      <c r="AW126" s="19">
        <v>2.3588326239316242</v>
      </c>
      <c r="AX126" s="19">
        <v>2.522786475144509</v>
      </c>
      <c r="AY126" s="19">
        <v>2.6559177457142855</v>
      </c>
      <c r="AZ126" s="19">
        <v>2.6323107264367813</v>
      </c>
      <c r="BA126" s="19">
        <v>2.6796903228070175</v>
      </c>
      <c r="BB126" s="19">
        <v>2.9357690586419753</v>
      </c>
      <c r="BC126" s="19">
        <v>2.7126899895111642</v>
      </c>
      <c r="BD126" s="19">
        <v>2.3787936323068362</v>
      </c>
      <c r="BE126" s="19">
        <v>2.2129718408904262</v>
      </c>
      <c r="BF126" s="19">
        <v>4.6944513101995229</v>
      </c>
      <c r="BG126" s="19">
        <v>3.8912042039404655</v>
      </c>
      <c r="BH126" s="19">
        <v>4.6450266957822413</v>
      </c>
      <c r="BI126" s="19">
        <v>4.7704144798227581</v>
      </c>
      <c r="BJ126" s="19">
        <v>5.790950499529707</v>
      </c>
      <c r="BK126" s="19">
        <v>3.8444067028985507</v>
      </c>
      <c r="BL126" s="19">
        <v>3.8624405162393156</v>
      </c>
      <c r="BM126" s="19">
        <v>3.6610443791907517</v>
      </c>
      <c r="BN126" s="19">
        <v>3.5035972800000001</v>
      </c>
      <c r="BO126" s="19">
        <v>3.5351236494252873</v>
      </c>
      <c r="BP126" s="19">
        <v>3.6407228350877192</v>
      </c>
      <c r="BQ126" s="19">
        <v>3.7210513716049389</v>
      </c>
      <c r="BR126" s="19">
        <v>3.8108809062115458</v>
      </c>
      <c r="BS126" s="19">
        <v>3.546707864783027</v>
      </c>
      <c r="BT126" s="19">
        <v>3.4091619895157201</v>
      </c>
      <c r="BU126" s="19">
        <v>3.4047798119365109</v>
      </c>
      <c r="BV126" s="19">
        <v>3.0415110694117518</v>
      </c>
      <c r="BW126" s="19">
        <v>3.3986913292628067</v>
      </c>
      <c r="BX126" s="19">
        <v>3.1894078196975681</v>
      </c>
      <c r="BY126" s="19">
        <v>3.0096045082610487</v>
      </c>
      <c r="BZ126" s="19">
        <v>1.38266506896965</v>
      </c>
      <c r="CA126" s="19">
        <v>2.7763124621453898</v>
      </c>
      <c r="CB126" s="19">
        <v>2.9064937410460598</v>
      </c>
      <c r="CC126" s="19">
        <v>13.650068216215899</v>
      </c>
      <c r="CD126" s="19">
        <v>36.7120236543131</v>
      </c>
      <c r="CE126" s="19">
        <v>33.158279646638597</v>
      </c>
      <c r="CF126" s="19">
        <v>42.18896163469644</v>
      </c>
      <c r="CG126" s="19">
        <v>51.346530832395587</v>
      </c>
      <c r="CH126" s="19">
        <v>63.33726350528908</v>
      </c>
      <c r="CI126" s="19">
        <v>70.984534549809496</v>
      </c>
      <c r="CJ126" s="19">
        <v>19.963372425629299</v>
      </c>
      <c r="CK126" s="19">
        <v>30.909307479858398</v>
      </c>
      <c r="CL126" s="19">
        <v>74.240699768066406</v>
      </c>
      <c r="CM126" s="19">
        <v>84.692131042480497</v>
      </c>
      <c r="CN126" s="19">
        <v>100.132880450035</v>
      </c>
      <c r="CO126" s="19">
        <v>110.41366345919801</v>
      </c>
      <c r="CP126" s="19">
        <v>98.837176335412394</v>
      </c>
      <c r="CQ126" s="19">
        <v>98.082981266248495</v>
      </c>
      <c r="CR126" s="19">
        <v>102.915807321747</v>
      </c>
      <c r="CS126" s="19">
        <v>109.86690581902801</v>
      </c>
      <c r="CT126" s="19">
        <v>136.02653731455482</v>
      </c>
      <c r="CU126" s="19">
        <v>143.40757834033789</v>
      </c>
      <c r="CV126" s="19">
        <v>143.13823695864366</v>
      </c>
      <c r="CW126" s="19">
        <v>157.80106462642945</v>
      </c>
      <c r="CX126" s="19">
        <v>169.24276513415006</v>
      </c>
      <c r="CY126" s="19">
        <v>3.5888432028329724</v>
      </c>
      <c r="CZ126" s="19">
        <v>3.7947256687782804</v>
      </c>
      <c r="DA126" s="19">
        <v>3.9509877664739887</v>
      </c>
      <c r="DB126" s="19">
        <v>3.8264859428571429</v>
      </c>
      <c r="DC126" s="19">
        <v>3.8695241896551726</v>
      </c>
      <c r="DD126" s="19">
        <v>3.7739552584795319</v>
      </c>
      <c r="DE126" s="19">
        <v>3.7011147703703706</v>
      </c>
      <c r="DF126" s="19">
        <v>3.5373209023806034</v>
      </c>
      <c r="DG126" s="19">
        <v>3.7537419057705192</v>
      </c>
      <c r="DH126" s="19">
        <v>4.0054637753097708</v>
      </c>
      <c r="DI126" s="19">
        <v>3.2924275304108601</v>
      </c>
      <c r="DJ126" s="19">
        <v>3.2486657334004985</v>
      </c>
      <c r="DK126" s="19">
        <v>4.0397001229967593</v>
      </c>
      <c r="DL126" s="19">
        <v>3.5126606769681286</v>
      </c>
      <c r="DM126" s="19">
        <v>3.5492557838515912</v>
      </c>
      <c r="DN126" s="19">
        <v>2.5009716732542815</v>
      </c>
      <c r="DO126" s="19">
        <v>2.3826749623931622</v>
      </c>
      <c r="DP126" s="19">
        <v>3.0011246046242777</v>
      </c>
      <c r="DQ126" s="19">
        <v>3.6439778257142859</v>
      </c>
      <c r="DR126" s="19">
        <v>3.537512375862069</v>
      </c>
      <c r="DS126" s="19">
        <v>3.3660592865497074</v>
      </c>
      <c r="DT126" s="19">
        <v>3.5616586481481485</v>
      </c>
      <c r="DU126" s="19">
        <v>3.4984207950743511</v>
      </c>
      <c r="DV126" s="19">
        <v>3.1529276087880138</v>
      </c>
      <c r="DW126" s="19">
        <v>3.0039758573031294</v>
      </c>
      <c r="DX126" s="19">
        <v>4.4618809940913344</v>
      </c>
      <c r="DY126" s="19">
        <v>2.5335288586469353</v>
      </c>
      <c r="DZ126" s="19">
        <v>3.6210007662614538</v>
      </c>
      <c r="EA126" s="19">
        <v>4.3543672001912093</v>
      </c>
      <c r="EB126" s="19">
        <v>2.9879962968806355</v>
      </c>
      <c r="EC126" s="19">
        <v>2.6222002635046113</v>
      </c>
      <c r="ED126" s="19">
        <v>2.6114201401709405</v>
      </c>
      <c r="EE126" s="19">
        <v>2.9320781271676304</v>
      </c>
      <c r="EF126" s="19">
        <v>3.28082144</v>
      </c>
      <c r="EG126" s="19">
        <v>3.177049309195402</v>
      </c>
      <c r="EH126" s="19">
        <v>3.1483438877192977</v>
      </c>
      <c r="EI126" s="19">
        <v>3.2953892030864198</v>
      </c>
      <c r="EJ126" s="19">
        <v>3.2331615037326902</v>
      </c>
      <c r="EK126" s="19">
        <v>3.0178736140782187</v>
      </c>
      <c r="EL126" s="19">
        <v>3.0092466115951537</v>
      </c>
      <c r="EM126" s="19">
        <v>3.0999127928825478</v>
      </c>
      <c r="EN126" s="19">
        <v>2.9377569813434627</v>
      </c>
      <c r="EO126" s="19">
        <v>3.7762612383655858</v>
      </c>
      <c r="EP126" s="19">
        <v>3.6847043407387265</v>
      </c>
      <c r="EQ126" s="19">
        <v>3.6820671666148019</v>
      </c>
      <c r="ER126" s="19"/>
      <c r="ES126" s="16">
        <f t="shared" si="8"/>
        <v>3.9250380949788264</v>
      </c>
      <c r="ET126" s="16">
        <f t="shared" si="8"/>
        <v>2.7198184417650495</v>
      </c>
      <c r="EU126" s="16">
        <f t="shared" si="8"/>
        <v>5.0132603068965516</v>
      </c>
      <c r="EV126" s="16">
        <f t="shared" si="8"/>
        <v>2.6323107264367813</v>
      </c>
      <c r="EW126" s="16">
        <f t="shared" si="8"/>
        <v>3.5351236494252873</v>
      </c>
      <c r="EX126" s="16" t="str">
        <f t="shared" si="8"/>
        <v>.</v>
      </c>
      <c r="EY126" s="16">
        <f t="shared" si="8"/>
        <v>100.132880450035</v>
      </c>
      <c r="EZ126" s="16">
        <f t="shared" si="8"/>
        <v>3.8695241896551726</v>
      </c>
      <c r="FA126" s="16">
        <f t="shared" si="8"/>
        <v>3.537512375862069</v>
      </c>
      <c r="FB126" s="16">
        <f t="shared" si="8"/>
        <v>3.177049309195402</v>
      </c>
    </row>
    <row r="127" spans="1:158" x14ac:dyDescent="0.25">
      <c r="A127" s="17">
        <v>124</v>
      </c>
      <c r="B127" s="17" t="s">
        <v>151</v>
      </c>
      <c r="C127" s="17" t="s">
        <v>151</v>
      </c>
      <c r="D127" s="17" t="s">
        <v>25</v>
      </c>
      <c r="E127" s="16">
        <v>1</v>
      </c>
      <c r="F127" s="18">
        <v>4.1989002292916755</v>
      </c>
      <c r="G127" s="18">
        <v>4.2639437934572797</v>
      </c>
      <c r="H127" s="18">
        <v>4.0580674036368389</v>
      </c>
      <c r="I127" s="18">
        <v>4.0387482553719023</v>
      </c>
      <c r="J127" s="18">
        <v>4.1100004448120302</v>
      </c>
      <c r="K127" s="18">
        <v>4.2295526831578947</v>
      </c>
      <c r="L127" s="18">
        <v>4.2867972415488058</v>
      </c>
      <c r="M127" s="18">
        <v>4.3254290524642771</v>
      </c>
      <c r="N127" s="18">
        <v>4.264667914442442</v>
      </c>
      <c r="O127" s="18">
        <v>4.1495642137830462</v>
      </c>
      <c r="P127" s="18">
        <v>4.045486223191614</v>
      </c>
      <c r="Q127" s="18">
        <v>5.0409651495041503</v>
      </c>
      <c r="R127" s="18">
        <v>3.9805804928958568</v>
      </c>
      <c r="S127" s="18">
        <v>4.5759992886097116</v>
      </c>
      <c r="T127" s="18">
        <v>4.4946337488406991</v>
      </c>
      <c r="U127" s="18">
        <v>3.0253574356985098</v>
      </c>
      <c r="V127" s="18">
        <v>3.0415975350614484</v>
      </c>
      <c r="W127" s="18">
        <v>2.8405165516540398</v>
      </c>
      <c r="X127" s="18">
        <v>2.7260028203305788</v>
      </c>
      <c r="Y127" s="18">
        <v>2.7851263196320715</v>
      </c>
      <c r="Z127" s="18">
        <v>2.9718852878998794</v>
      </c>
      <c r="AA127" s="18">
        <v>3.2144777813106389</v>
      </c>
      <c r="AB127" s="18">
        <v>3.4755991732460263</v>
      </c>
      <c r="AC127" s="18">
        <v>3.5010202176575409</v>
      </c>
      <c r="AD127" s="19">
        <v>3.3802371661263915</v>
      </c>
      <c r="AE127" s="19">
        <v>3.3600929431574822</v>
      </c>
      <c r="AF127" s="19">
        <v>3.9671767937051636</v>
      </c>
      <c r="AG127" s="19">
        <v>4.4437541144912123</v>
      </c>
      <c r="AH127" s="19">
        <v>3.6189556403557912</v>
      </c>
      <c r="AI127" s="19">
        <v>3.6839856821163073</v>
      </c>
      <c r="AJ127" s="19">
        <v>4.8504672151515154</v>
      </c>
      <c r="AK127" s="19">
        <v>4.9719862876190479</v>
      </c>
      <c r="AL127" s="19">
        <v>5.1188529022222218</v>
      </c>
      <c r="AM127" s="19">
        <v>5.1480899386196768</v>
      </c>
      <c r="AN127" s="19">
        <v>5.0508727013007828</v>
      </c>
      <c r="AO127" s="19">
        <v>4.8181517966608558</v>
      </c>
      <c r="AP127" s="19">
        <v>4.5796114361546119</v>
      </c>
      <c r="AQ127" s="19">
        <v>4.690962918899336</v>
      </c>
      <c r="AR127" s="19">
        <v>4.6383083445227973</v>
      </c>
      <c r="AS127" s="19">
        <v>4.3280609564179651</v>
      </c>
      <c r="AT127" s="19">
        <v>4.0723990426950261</v>
      </c>
      <c r="AU127" s="19">
        <v>3.9645023311699132</v>
      </c>
      <c r="AV127" s="19">
        <v>2.5235208478919171</v>
      </c>
      <c r="AW127" s="19">
        <v>2.7038116873842593</v>
      </c>
      <c r="AX127" s="19">
        <v>2.6652978479591836</v>
      </c>
      <c r="AY127" s="19">
        <v>2.5353843983471074</v>
      </c>
      <c r="AZ127" s="19">
        <v>2.5719269942857141</v>
      </c>
      <c r="BA127" s="19">
        <v>2.9668993266666668</v>
      </c>
      <c r="BB127" s="19">
        <v>3.196422851982379</v>
      </c>
      <c r="BC127" s="19">
        <v>3.4469255511865304</v>
      </c>
      <c r="BD127" s="19">
        <v>3.0895786380767825</v>
      </c>
      <c r="BE127" s="19">
        <v>2.7199297833665508</v>
      </c>
      <c r="BF127" s="19">
        <v>4.5924067442324752</v>
      </c>
      <c r="BG127" s="19">
        <v>5.152275498971612</v>
      </c>
      <c r="BH127" s="19">
        <v>4.9548895734728804</v>
      </c>
      <c r="BI127" s="19">
        <v>5.537017057574066</v>
      </c>
      <c r="BJ127" s="19">
        <v>6.9829403656849003</v>
      </c>
      <c r="BK127" s="19">
        <v>4.1139299677035526</v>
      </c>
      <c r="BL127" s="19">
        <v>3.8554840102759007</v>
      </c>
      <c r="BM127" s="19">
        <v>3.4444269428571426</v>
      </c>
      <c r="BN127" s="19">
        <v>3.5475281586776859</v>
      </c>
      <c r="BO127" s="19">
        <v>3.5813396914285711</v>
      </c>
      <c r="BP127" s="19">
        <v>3.60838372</v>
      </c>
      <c r="BQ127" s="19">
        <v>3.7016030960352424</v>
      </c>
      <c r="BR127" s="19">
        <v>3.7162151034547315</v>
      </c>
      <c r="BS127" s="19">
        <v>3.6283990859985353</v>
      </c>
      <c r="BT127" s="19">
        <v>3.3916577833835211</v>
      </c>
      <c r="BU127" s="19">
        <v>3.1219864601155694</v>
      </c>
      <c r="BV127" s="19">
        <v>2.9209622632259595</v>
      </c>
      <c r="BW127" s="19">
        <v>3.4530884161303064</v>
      </c>
      <c r="BX127" s="19">
        <v>3.4238919768444509</v>
      </c>
      <c r="BY127" s="19">
        <v>3.0390860246231259</v>
      </c>
      <c r="BZ127" s="19">
        <v>3.3631330821280301</v>
      </c>
      <c r="CA127" s="19">
        <v>3.8249653957246501</v>
      </c>
      <c r="CB127" s="19">
        <v>20.326530673639301</v>
      </c>
      <c r="CC127" s="19">
        <v>27.974965277505799</v>
      </c>
      <c r="CD127" s="19">
        <v>41.580427145030903</v>
      </c>
      <c r="CE127" s="19">
        <v>50.609805865109983</v>
      </c>
      <c r="CF127" s="19">
        <v>58.307132477995566</v>
      </c>
      <c r="CG127" s="19">
        <v>66.865137305809711</v>
      </c>
      <c r="CH127" s="19">
        <v>79.49753606048921</v>
      </c>
      <c r="CI127" s="19">
        <v>95.372069057840775</v>
      </c>
      <c r="CJ127" s="19">
        <v>41.297971479542497</v>
      </c>
      <c r="CK127" s="19">
        <v>50.746433258056598</v>
      </c>
      <c r="CL127" s="19">
        <v>75.963180541992202</v>
      </c>
      <c r="CM127" s="19">
        <v>80.981178283691406</v>
      </c>
      <c r="CN127" s="19">
        <v>85.669056788469703</v>
      </c>
      <c r="CO127" s="19">
        <v>91.992083880545295</v>
      </c>
      <c r="CP127" s="19">
        <v>106.76732676413</v>
      </c>
      <c r="CQ127" s="19">
        <v>104.502321462578</v>
      </c>
      <c r="CR127" s="19">
        <v>111.218723380687</v>
      </c>
      <c r="CS127" s="19">
        <v>118.125543735547</v>
      </c>
      <c r="CT127" s="19">
        <v>132.59441408923504</v>
      </c>
      <c r="CU127" s="19">
        <v>142.6950392950271</v>
      </c>
      <c r="CV127" s="19">
        <v>150.07941454387523</v>
      </c>
      <c r="CW127" s="19">
        <v>158.85531620460267</v>
      </c>
      <c r="CX127" s="19">
        <v>162.9016655298299</v>
      </c>
      <c r="CY127" s="19">
        <v>4.3456731889121825</v>
      </c>
      <c r="CZ127" s="19">
        <v>4.0442250762731478</v>
      </c>
      <c r="DA127" s="19">
        <v>3.8120968489795919</v>
      </c>
      <c r="DB127" s="19">
        <v>3.6686416520661158</v>
      </c>
      <c r="DC127" s="19">
        <v>3.6098378000000002</v>
      </c>
      <c r="DD127" s="19">
        <v>4.1013765199999996</v>
      </c>
      <c r="DE127" s="19">
        <v>4.3452726158590309</v>
      </c>
      <c r="DF127" s="19">
        <v>4.2799168306415645</v>
      </c>
      <c r="DG127" s="19">
        <v>4.1168547630310064</v>
      </c>
      <c r="DH127" s="19">
        <v>4.1174892920199957</v>
      </c>
      <c r="DI127" s="19">
        <v>3.222697601971968</v>
      </c>
      <c r="DJ127" s="19">
        <v>4.01325408357485</v>
      </c>
      <c r="DK127" s="19">
        <v>3.4695080061543626</v>
      </c>
      <c r="DL127" s="19">
        <v>3.9308339716056726</v>
      </c>
      <c r="DM127" s="19">
        <v>4.3310348922268904</v>
      </c>
      <c r="DN127" s="19">
        <v>2.6417497625830961</v>
      </c>
      <c r="DO127" s="19">
        <v>2.8510629123842595</v>
      </c>
      <c r="DP127" s="19">
        <v>3.1151841877551019</v>
      </c>
      <c r="DQ127" s="19">
        <v>3.2138511603305782</v>
      </c>
      <c r="DR127" s="19">
        <v>3.3829841485714285</v>
      </c>
      <c r="DS127" s="19">
        <v>3.6416607333333331</v>
      </c>
      <c r="DT127" s="19">
        <v>3.725394475770925</v>
      </c>
      <c r="DU127" s="19">
        <v>3.6574877615311023</v>
      </c>
      <c r="DV127" s="19">
        <v>3.305024700164795</v>
      </c>
      <c r="DW127" s="19">
        <v>3.0396672841544463</v>
      </c>
      <c r="DX127" s="19">
        <v>4.5742345488458955</v>
      </c>
      <c r="DY127" s="19">
        <v>3.3861614029993188</v>
      </c>
      <c r="DZ127" s="19">
        <v>3.0148372843323266</v>
      </c>
      <c r="EA127" s="19">
        <v>4.779228943729481</v>
      </c>
      <c r="EB127" s="19">
        <v>3.6849309172683844</v>
      </c>
      <c r="EC127" s="19">
        <v>2.6904442178027081</v>
      </c>
      <c r="ED127" s="19">
        <v>2.820235280518018</v>
      </c>
      <c r="EE127" s="19">
        <v>2.7765832122448981</v>
      </c>
      <c r="EF127" s="19">
        <v>2.8036893561983471</v>
      </c>
      <c r="EG127" s="19">
        <v>3.1129835428571431</v>
      </c>
      <c r="EH127" s="19">
        <v>3.4290541933333332</v>
      </c>
      <c r="EI127" s="19">
        <v>3.5565281242290752</v>
      </c>
      <c r="EJ127" s="19">
        <v>3.5695530257229828</v>
      </c>
      <c r="EK127" s="19">
        <v>3.2992479133605959</v>
      </c>
      <c r="EL127" s="19">
        <v>3.0690980507948691</v>
      </c>
      <c r="EM127" s="19">
        <v>2.7318290675252861</v>
      </c>
      <c r="EN127" s="19">
        <v>3.4662381941495974</v>
      </c>
      <c r="EO127" s="19">
        <v>3.7277003391159611</v>
      </c>
      <c r="EP127" s="19">
        <v>3.4409404918915705</v>
      </c>
      <c r="EQ127" s="19">
        <v>4.6622771928423363</v>
      </c>
      <c r="ER127" s="19"/>
      <c r="ES127" s="16">
        <f t="shared" si="8"/>
        <v>4.1100004448120302</v>
      </c>
      <c r="ET127" s="16">
        <f t="shared" si="8"/>
        <v>2.7851263196320715</v>
      </c>
      <c r="EU127" s="16">
        <f t="shared" si="8"/>
        <v>4.9719862876190479</v>
      </c>
      <c r="EV127" s="16">
        <f t="shared" si="8"/>
        <v>2.5719269942857141</v>
      </c>
      <c r="EW127" s="16">
        <f t="shared" si="8"/>
        <v>3.5813396914285711</v>
      </c>
      <c r="EX127" s="16" t="str">
        <f t="shared" si="8"/>
        <v>.</v>
      </c>
      <c r="EY127" s="16">
        <f t="shared" si="8"/>
        <v>85.669056788469703</v>
      </c>
      <c r="EZ127" s="16">
        <f t="shared" si="8"/>
        <v>3.6098378000000002</v>
      </c>
      <c r="FA127" s="16">
        <f t="shared" si="8"/>
        <v>3.3829841485714285</v>
      </c>
      <c r="FB127" s="16">
        <f t="shared" si="8"/>
        <v>3.1129835428571431</v>
      </c>
    </row>
    <row r="128" spans="1:158" x14ac:dyDescent="0.25">
      <c r="A128" s="17">
        <v>125</v>
      </c>
      <c r="B128" s="17" t="s">
        <v>152</v>
      </c>
      <c r="C128" s="17" t="s">
        <v>152</v>
      </c>
      <c r="D128" s="17" t="s">
        <v>23</v>
      </c>
      <c r="E128" s="16">
        <v>1</v>
      </c>
      <c r="F128" s="18">
        <v>4.0404596808401054</v>
      </c>
      <c r="G128" s="18">
        <v>4.2252838060049331</v>
      </c>
      <c r="H128" s="18">
        <v>4.3457961338575934</v>
      </c>
      <c r="I128" s="18">
        <v>4.2007737001594894</v>
      </c>
      <c r="J128" s="18">
        <v>4.0587280040016553</v>
      </c>
      <c r="K128" s="18">
        <v>4.0601586692808755</v>
      </c>
      <c r="L128" s="18">
        <v>4.0566940009661829</v>
      </c>
      <c r="M128" s="18">
        <v>4.0616973061758248</v>
      </c>
      <c r="N128" s="18">
        <v>4.0873772899091954</v>
      </c>
      <c r="O128" s="18">
        <v>4.099067588890418</v>
      </c>
      <c r="P128" s="18">
        <v>4.3134871557449221</v>
      </c>
      <c r="Q128" s="18">
        <v>3.7243363931468227</v>
      </c>
      <c r="R128" s="18">
        <v>4.7524800691170954</v>
      </c>
      <c r="S128" s="18">
        <v>3.8540161461791747</v>
      </c>
      <c r="T128" s="18">
        <v>4.1787066702323044</v>
      </c>
      <c r="U128" s="18">
        <v>3.2806918683475534</v>
      </c>
      <c r="V128" s="18">
        <v>3.1684697955410721</v>
      </c>
      <c r="W128" s="18">
        <v>3.3308415766973192</v>
      </c>
      <c r="X128" s="18">
        <v>3.3123637820292164</v>
      </c>
      <c r="Y128" s="18">
        <v>3.229877387694482</v>
      </c>
      <c r="Z128" s="18">
        <v>3.2517965421511161</v>
      </c>
      <c r="AA128" s="18">
        <v>3.2447324963013133</v>
      </c>
      <c r="AB128" s="18">
        <v>3.262696771902553</v>
      </c>
      <c r="AC128" s="18">
        <v>3.3217532855848249</v>
      </c>
      <c r="AD128" s="19">
        <v>3.3852079801527952</v>
      </c>
      <c r="AE128" s="19">
        <v>3.3149903539509356</v>
      </c>
      <c r="AF128" s="19">
        <v>3.8856217544118814</v>
      </c>
      <c r="AG128" s="19">
        <v>3.1607355843589473</v>
      </c>
      <c r="AH128" s="19">
        <v>3.5726641983421583</v>
      </c>
      <c r="AI128" s="19">
        <v>3.2283505675344619</v>
      </c>
      <c r="AJ128" s="19">
        <v>4.7509315077441077</v>
      </c>
      <c r="AK128" s="19">
        <v>4.6518254436149311</v>
      </c>
      <c r="AL128" s="19">
        <v>4.5275674133663371</v>
      </c>
      <c r="AM128" s="19">
        <v>4.3848599801932373</v>
      </c>
      <c r="AN128" s="19">
        <v>4.425472057664499</v>
      </c>
      <c r="AO128" s="19">
        <v>4.4519050700765854</v>
      </c>
      <c r="AP128" s="19">
        <v>4.7121623667459636</v>
      </c>
      <c r="AQ128" s="19">
        <v>4.7023651119705772</v>
      </c>
      <c r="AR128" s="19">
        <v>4.1493311010678067</v>
      </c>
      <c r="AS128" s="19">
        <v>4.2970398631478872</v>
      </c>
      <c r="AT128" s="19">
        <v>4.1814596008647298</v>
      </c>
      <c r="AU128" s="19">
        <v>3.9283061856694652</v>
      </c>
      <c r="AV128" s="19">
        <v>2.7721896372566941</v>
      </c>
      <c r="AW128" s="19">
        <v>2.258759704237288</v>
      </c>
      <c r="AX128" s="19">
        <v>2.6711716382899628</v>
      </c>
      <c r="AY128" s="19">
        <v>2.7132175898989899</v>
      </c>
      <c r="AZ128" s="19">
        <v>2.6064698703339886</v>
      </c>
      <c r="BA128" s="19">
        <v>2.6032436856435641</v>
      </c>
      <c r="BB128" s="19">
        <v>2.6638035357487926</v>
      </c>
      <c r="BC128" s="19">
        <v>2.8533529885135422</v>
      </c>
      <c r="BD128" s="19">
        <v>2.7764688938712152</v>
      </c>
      <c r="BE128" s="19">
        <v>2.7014636391685123</v>
      </c>
      <c r="BF128" s="19">
        <v>4.2421251890365417</v>
      </c>
      <c r="BG128" s="19">
        <v>4.3044722833053441</v>
      </c>
      <c r="BH128" s="19">
        <v>4.9041858720339997</v>
      </c>
      <c r="BI128" s="19">
        <v>4.188028804718348</v>
      </c>
      <c r="BJ128" s="19">
        <v>5.1291779854839081</v>
      </c>
      <c r="BK128" s="19">
        <v>3.6314827032697585</v>
      </c>
      <c r="BL128" s="19">
        <v>3.7067201249411488</v>
      </c>
      <c r="BM128" s="19">
        <v>3.8540656951672858</v>
      </c>
      <c r="BN128" s="19">
        <v>3.641670676767677</v>
      </c>
      <c r="BO128" s="19">
        <v>3.4994461280943026</v>
      </c>
      <c r="BP128" s="19">
        <v>3.3014883351485151</v>
      </c>
      <c r="BQ128" s="19">
        <v>3.1808118347826086</v>
      </c>
      <c r="BR128" s="19">
        <v>3.1640600626059738</v>
      </c>
      <c r="BS128" s="19">
        <v>3.1804734914199164</v>
      </c>
      <c r="BT128" s="19">
        <v>3.324924650078728</v>
      </c>
      <c r="BU128" s="19">
        <v>2.4902812314894613</v>
      </c>
      <c r="BV128" s="19">
        <v>2.7221617018639312</v>
      </c>
      <c r="BW128" s="19">
        <v>2.8695876956820157</v>
      </c>
      <c r="BX128" s="19">
        <v>3.0076708376834618</v>
      </c>
      <c r="BY128" s="19">
        <v>2.7380167784193534</v>
      </c>
      <c r="BZ128" s="19">
        <v>48.421976279296899</v>
      </c>
      <c r="CA128" s="19">
        <v>49.254784222914601</v>
      </c>
      <c r="CB128" s="19">
        <v>58.516766043134702</v>
      </c>
      <c r="CC128" s="19">
        <v>62.280538505169801</v>
      </c>
      <c r="CD128" s="19">
        <v>60.175423394279001</v>
      </c>
      <c r="CE128" s="19">
        <v>68.104193830015646</v>
      </c>
      <c r="CF128" s="19">
        <v>70.253466072327498</v>
      </c>
      <c r="CG128" s="19">
        <v>74.298724064753287</v>
      </c>
      <c r="CH128" s="19">
        <v>75.288206232817828</v>
      </c>
      <c r="CI128" s="19">
        <v>81.476166145247234</v>
      </c>
      <c r="CJ128" s="19">
        <v>75.699839082249696</v>
      </c>
      <c r="CK128" s="19">
        <v>95.446205139160199</v>
      </c>
      <c r="CL128" s="19">
        <v>108.683387756348</v>
      </c>
      <c r="CM128" s="19">
        <v>117.01800537109401</v>
      </c>
      <c r="CN128" s="19">
        <v>120.177674854598</v>
      </c>
      <c r="CO128" s="19">
        <v>128.46305521334301</v>
      </c>
      <c r="CP128" s="19">
        <v>132.68230964303399</v>
      </c>
      <c r="CQ128" s="19">
        <v>150.018440922389</v>
      </c>
      <c r="CR128" s="19">
        <v>156.449373312148</v>
      </c>
      <c r="CS128" s="19">
        <v>148.70655282104499</v>
      </c>
      <c r="CT128" s="19">
        <v>170.16045022497534</v>
      </c>
      <c r="CU128" s="19">
        <v>176.00811874688077</v>
      </c>
      <c r="CV128" s="19">
        <v>181.38250892552696</v>
      </c>
      <c r="CW128" s="19">
        <v>199.02406777356637</v>
      </c>
      <c r="CX128" s="19">
        <v>200</v>
      </c>
      <c r="CY128" s="19">
        <v>4.0071273862294463</v>
      </c>
      <c r="CZ128" s="19">
        <v>3.9604288107371799</v>
      </c>
      <c r="DA128" s="19">
        <v>4.2502445330855023</v>
      </c>
      <c r="DB128" s="19">
        <v>4.5875117636363631</v>
      </c>
      <c r="DC128" s="19">
        <v>4.5372303819253439</v>
      </c>
      <c r="DD128" s="19">
        <v>4.3644549094059411</v>
      </c>
      <c r="DE128" s="19">
        <v>4.2915842140096618</v>
      </c>
      <c r="DF128" s="19">
        <v>4.3242297124070106</v>
      </c>
      <c r="DG128" s="19">
        <v>4.2971825415385521</v>
      </c>
      <c r="DH128" s="19">
        <v>4.2326500177383419</v>
      </c>
      <c r="DI128" s="19">
        <v>4.3696291003545005</v>
      </c>
      <c r="DJ128" s="19">
        <v>4.3736433182493712</v>
      </c>
      <c r="DK128" s="19">
        <v>4.0949454802412646</v>
      </c>
      <c r="DL128" s="19">
        <v>4.4644891444909174</v>
      </c>
      <c r="DM128" s="19">
        <v>4.668971099653529</v>
      </c>
      <c r="DN128" s="19">
        <v>2.8280342269240011</v>
      </c>
      <c r="DO128" s="19">
        <v>2.4775071817325802</v>
      </c>
      <c r="DP128" s="19">
        <v>2.6421161423791824</v>
      </c>
      <c r="DQ128" s="19">
        <v>3.3548561595959594</v>
      </c>
      <c r="DR128" s="19">
        <v>3.7508114286836935</v>
      </c>
      <c r="DS128" s="19">
        <v>3.9858041742574257</v>
      </c>
      <c r="DT128" s="19">
        <v>3.9788781888888893</v>
      </c>
      <c r="DU128" s="19">
        <v>3.9905808626118979</v>
      </c>
      <c r="DV128" s="19">
        <v>4.1023195169974063</v>
      </c>
      <c r="DW128" s="19">
        <v>4.176301868756612</v>
      </c>
      <c r="DX128" s="19">
        <v>4.9405801480118345</v>
      </c>
      <c r="DY128" s="19">
        <v>3.9198047729644774</v>
      </c>
      <c r="DZ128" s="19">
        <v>5.1612189674668949</v>
      </c>
      <c r="EA128" s="19">
        <v>5.8088963561968194</v>
      </c>
      <c r="EB128" s="19">
        <v>5.8387919634441428</v>
      </c>
      <c r="EC128" s="19">
        <v>2.5686543055397566</v>
      </c>
      <c r="ED128" s="19">
        <v>1.9076286828272129</v>
      </c>
      <c r="EE128" s="19">
        <v>2.0595201286245355</v>
      </c>
      <c r="EF128" s="19">
        <v>2.2329831050505051</v>
      </c>
      <c r="EG128" s="19">
        <v>2.3252414453831043</v>
      </c>
      <c r="EH128" s="19">
        <v>2.6226836727722773</v>
      </c>
      <c r="EI128" s="19">
        <v>3.0494606048309181</v>
      </c>
      <c r="EJ128" s="19">
        <v>3.5483136439343017</v>
      </c>
      <c r="EK128" s="19">
        <v>3.8052761275987121</v>
      </c>
      <c r="EL128" s="19">
        <v>3.9747923164140611</v>
      </c>
      <c r="EM128" s="19">
        <v>4.32648686231299</v>
      </c>
      <c r="EN128" s="19">
        <v>3.5350029778159016</v>
      </c>
      <c r="EO128" s="19">
        <v>3.52160104747772</v>
      </c>
      <c r="EP128" s="19">
        <v>4.1610368162999407</v>
      </c>
      <c r="EQ128" s="19">
        <v>3.7101960222153618</v>
      </c>
      <c r="ER128" s="19"/>
      <c r="ES128" s="16">
        <f t="shared" si="8"/>
        <v>4.0587280040016553</v>
      </c>
      <c r="ET128" s="16">
        <f t="shared" si="8"/>
        <v>3.229877387694482</v>
      </c>
      <c r="EU128" s="16">
        <f t="shared" si="8"/>
        <v>4.6518254436149311</v>
      </c>
      <c r="EV128" s="16">
        <f t="shared" si="8"/>
        <v>2.6064698703339886</v>
      </c>
      <c r="EW128" s="16">
        <f t="shared" si="8"/>
        <v>3.4994461280943026</v>
      </c>
      <c r="EX128" s="16" t="str">
        <f t="shared" si="8"/>
        <v>.</v>
      </c>
      <c r="EY128" s="16">
        <f t="shared" si="8"/>
        <v>120.177674854598</v>
      </c>
      <c r="EZ128" s="16">
        <f t="shared" si="8"/>
        <v>4.5372303819253439</v>
      </c>
      <c r="FA128" s="16">
        <f t="shared" si="8"/>
        <v>3.7508114286836935</v>
      </c>
      <c r="FB128" s="16">
        <f t="shared" si="8"/>
        <v>2.3252414453831043</v>
      </c>
    </row>
    <row r="129" spans="1:158" x14ac:dyDescent="0.25">
      <c r="A129" s="17">
        <v>126</v>
      </c>
      <c r="B129" s="17" t="s">
        <v>153</v>
      </c>
      <c r="C129" s="17" t="s">
        <v>153</v>
      </c>
      <c r="D129" s="17" t="s">
        <v>23</v>
      </c>
      <c r="E129" s="16">
        <v>1</v>
      </c>
      <c r="F129" s="18">
        <v>4.3655735910488458</v>
      </c>
      <c r="G129" s="18">
        <v>4.3928746983571356</v>
      </c>
      <c r="H129" s="18">
        <v>4.2754801716222879</v>
      </c>
      <c r="I129" s="18">
        <v>4.1880050573512584</v>
      </c>
      <c r="J129" s="18">
        <v>4.1872498597445498</v>
      </c>
      <c r="K129" s="18">
        <v>4.1710456909624654</v>
      </c>
      <c r="L129" s="18">
        <v>4.1816553423500613</v>
      </c>
      <c r="M129" s="18">
        <v>4.2900839421634345</v>
      </c>
      <c r="N129" s="18">
        <v>4.2708863759004423</v>
      </c>
      <c r="O129" s="18">
        <v>4.2386231567966348</v>
      </c>
      <c r="P129" s="18">
        <v>3.7572390101736945</v>
      </c>
      <c r="Q129" s="18">
        <v>3.9846007414536793</v>
      </c>
      <c r="R129" s="18">
        <v>4.2527291966387573</v>
      </c>
      <c r="S129" s="18">
        <v>4.1693024608160671</v>
      </c>
      <c r="T129" s="18">
        <v>3.9537287716145983</v>
      </c>
      <c r="U129" s="18">
        <v>3.7075832744201729</v>
      </c>
      <c r="V129" s="18">
        <v>3.6578885531103822</v>
      </c>
      <c r="W129" s="18">
        <v>3.6941093620968126</v>
      </c>
      <c r="X129" s="18">
        <v>3.7658526752231478</v>
      </c>
      <c r="Y129" s="18">
        <v>3.7711409090822356</v>
      </c>
      <c r="Z129" s="18">
        <v>3.8587647667913338</v>
      </c>
      <c r="AA129" s="18">
        <v>3.9305618661112853</v>
      </c>
      <c r="AB129" s="18">
        <v>4.0824618258071457</v>
      </c>
      <c r="AC129" s="18">
        <v>4.0491581756370376</v>
      </c>
      <c r="AD129" s="19">
        <v>3.9118139365317832</v>
      </c>
      <c r="AE129" s="19">
        <v>3.8059841470301339</v>
      </c>
      <c r="AF129" s="19">
        <v>4.1059976935628306</v>
      </c>
      <c r="AG129" s="19">
        <v>4.3273418087357323</v>
      </c>
      <c r="AH129" s="19">
        <v>4.4090782621860232</v>
      </c>
      <c r="AI129" s="19">
        <v>4.3476009244572165</v>
      </c>
      <c r="AJ129" s="19">
        <v>5.7105203340579713</v>
      </c>
      <c r="AK129" s="19">
        <v>5.7444150324965149</v>
      </c>
      <c r="AL129" s="19">
        <v>5.6936658804780871</v>
      </c>
      <c r="AM129" s="19">
        <v>5.6227642317829458</v>
      </c>
      <c r="AN129" s="19">
        <v>5.7112690271236843</v>
      </c>
      <c r="AO129" s="19">
        <v>5.6446337665504691</v>
      </c>
      <c r="AP129" s="19">
        <v>5.4700312602810754</v>
      </c>
      <c r="AQ129" s="19">
        <v>5.9283261052308731</v>
      </c>
      <c r="AR129" s="19">
        <v>5.8432342179314887</v>
      </c>
      <c r="AS129" s="19">
        <v>4.9063442513034108</v>
      </c>
      <c r="AT129" s="19">
        <v>5.2689627786746813</v>
      </c>
      <c r="AU129" s="19">
        <v>5.5354880569472904</v>
      </c>
      <c r="AV129" s="19">
        <v>3.129092965857672</v>
      </c>
      <c r="AW129" s="19">
        <v>3.096496883101151</v>
      </c>
      <c r="AX129" s="19">
        <v>2.818256017307692</v>
      </c>
      <c r="AY129" s="19">
        <v>2.521699841847826</v>
      </c>
      <c r="AZ129" s="19">
        <v>2.4890494066945608</v>
      </c>
      <c r="BA129" s="19">
        <v>2.610610894820717</v>
      </c>
      <c r="BB129" s="19">
        <v>2.6813340325581398</v>
      </c>
      <c r="BC129" s="19">
        <v>2.9784036532128653</v>
      </c>
      <c r="BD129" s="19">
        <v>2.9378639365687516</v>
      </c>
      <c r="BE129" s="19">
        <v>2.8330483837825495</v>
      </c>
      <c r="BF129" s="19">
        <v>4.866865799294815</v>
      </c>
      <c r="BG129" s="19">
        <v>6.2837344911136572</v>
      </c>
      <c r="BH129" s="19">
        <v>7</v>
      </c>
      <c r="BI129" s="19">
        <v>5.8194911880706748</v>
      </c>
      <c r="BJ129" s="19">
        <v>6.4574278411554111</v>
      </c>
      <c r="BK129" s="19">
        <v>4.1614960039960041</v>
      </c>
      <c r="BL129" s="19">
        <v>3.7525633812235006</v>
      </c>
      <c r="BM129" s="19">
        <v>3.5050563269230768</v>
      </c>
      <c r="BN129" s="19">
        <v>3.5721479364130433</v>
      </c>
      <c r="BO129" s="19">
        <v>3.5848422732217573</v>
      </c>
      <c r="BP129" s="19">
        <v>3.468714825498008</v>
      </c>
      <c r="BQ129" s="19">
        <v>3.2917921093023255</v>
      </c>
      <c r="BR129" s="19">
        <v>3.4681489962821956</v>
      </c>
      <c r="BS129" s="19">
        <v>3.5488727598479297</v>
      </c>
      <c r="BT129" s="19">
        <v>3.5547843369042007</v>
      </c>
      <c r="BU129" s="19">
        <v>3.7018134723940461</v>
      </c>
      <c r="BV129" s="19">
        <v>3.1672013524049452</v>
      </c>
      <c r="BW129" s="19">
        <v>2.3948520491200993</v>
      </c>
      <c r="BX129" s="19">
        <v>3.9361069615436337</v>
      </c>
      <c r="BY129" s="19">
        <v>2.6124605923450175</v>
      </c>
      <c r="BZ129" s="19">
        <v>27.357925128228999</v>
      </c>
      <c r="CA129" s="19">
        <v>32.469080081907897</v>
      </c>
      <c r="CB129" s="19">
        <v>36.741512851055397</v>
      </c>
      <c r="CC129" s="19">
        <v>45.280295456190501</v>
      </c>
      <c r="CD129" s="19">
        <v>52.041929445144902</v>
      </c>
      <c r="CE129" s="19">
        <v>57.927676903640481</v>
      </c>
      <c r="CF129" s="19">
        <v>64.850314249665502</v>
      </c>
      <c r="CG129" s="19">
        <v>71.216252460067111</v>
      </c>
      <c r="CH129" s="19">
        <v>77.07596245257929</v>
      </c>
      <c r="CI129" s="19">
        <v>82.759734953354851</v>
      </c>
      <c r="CJ129" s="19">
        <v>109.084362492853</v>
      </c>
      <c r="CK129" s="19">
        <v>115.945365905762</v>
      </c>
      <c r="CL129" s="19">
        <v>139.84346008300801</v>
      </c>
      <c r="CM129" s="19">
        <v>141.75601196289099</v>
      </c>
      <c r="CN129" s="19">
        <v>142.33330073554799</v>
      </c>
      <c r="CO129" s="19">
        <v>114.92031133254601</v>
      </c>
      <c r="CP129" s="19">
        <v>115.06935058475101</v>
      </c>
      <c r="CQ129" s="19">
        <v>113.035602040543</v>
      </c>
      <c r="CR129" s="19">
        <v>111.79626898531799</v>
      </c>
      <c r="CS129" s="19">
        <v>110.411663924289</v>
      </c>
      <c r="CT129" s="19">
        <v>109.31923866941713</v>
      </c>
      <c r="CU129" s="19">
        <v>113.46884840732631</v>
      </c>
      <c r="CV129" s="19">
        <v>111.33757169374819</v>
      </c>
      <c r="CW129" s="19">
        <v>114.23083392653385</v>
      </c>
      <c r="CX129" s="19">
        <v>105.446227129094</v>
      </c>
      <c r="CY129" s="19">
        <v>5.5779350649350654</v>
      </c>
      <c r="CZ129" s="19">
        <v>5.5540873763779519</v>
      </c>
      <c r="DA129" s="19">
        <v>5.1953238019230774</v>
      </c>
      <c r="DB129" s="19">
        <v>5.0385549271739123</v>
      </c>
      <c r="DC129" s="19">
        <v>4.7861720736401674</v>
      </c>
      <c r="DD129" s="19">
        <v>4.8132372039840634</v>
      </c>
      <c r="DE129" s="19">
        <v>4.846099279069767</v>
      </c>
      <c r="DF129" s="19">
        <v>4.8460320190544124</v>
      </c>
      <c r="DG129" s="19">
        <v>4.6963528430823125</v>
      </c>
      <c r="DH129" s="19">
        <v>4.4881844183293786</v>
      </c>
      <c r="DI129" s="19">
        <v>3.8971844719087945</v>
      </c>
      <c r="DJ129" s="19">
        <v>4.588389935988415</v>
      </c>
      <c r="DK129" s="19">
        <v>3.8413577071538638</v>
      </c>
      <c r="DL129" s="19">
        <v>3.8019352668427739</v>
      </c>
      <c r="DM129" s="19">
        <v>3.6983635567642494</v>
      </c>
      <c r="DN129" s="19">
        <v>5.2409015984015976</v>
      </c>
      <c r="DO129" s="19">
        <v>5.3827586909751668</v>
      </c>
      <c r="DP129" s="19">
        <v>5.7186076269230766</v>
      </c>
      <c r="DQ129" s="19">
        <v>5.9883603570652166</v>
      </c>
      <c r="DR129" s="19">
        <v>6.0676875552301253</v>
      </c>
      <c r="DS129" s="19">
        <v>6.1703097505976086</v>
      </c>
      <c r="DT129" s="19">
        <v>6.1073691581395346</v>
      </c>
      <c r="DU129" s="19">
        <v>6.0134090878227235</v>
      </c>
      <c r="DV129" s="19">
        <v>5.711661624908448</v>
      </c>
      <c r="DW129" s="19">
        <v>5.5506503872755104</v>
      </c>
      <c r="DX129" s="19">
        <v>5.8040425681484908</v>
      </c>
      <c r="DY129" s="19">
        <v>6.8530533571789132</v>
      </c>
      <c r="DZ129" s="19">
        <v>7</v>
      </c>
      <c r="EA129" s="19">
        <v>6.5988854479038741</v>
      </c>
      <c r="EB129" s="19">
        <v>6.373876294165929</v>
      </c>
      <c r="EC129" s="19">
        <v>5.6085164835164836</v>
      </c>
      <c r="ED129" s="19">
        <v>5.7921336729255</v>
      </c>
      <c r="EE129" s="19">
        <v>5.9781820461538455</v>
      </c>
      <c r="EF129" s="19">
        <v>6.1675716695652172</v>
      </c>
      <c r="EG129" s="19">
        <v>6.2936537376569035</v>
      </c>
      <c r="EH129" s="19">
        <v>6.3866194215139434</v>
      </c>
      <c r="EI129" s="19">
        <v>6.3493576186046514</v>
      </c>
      <c r="EJ129" s="19">
        <v>6.3439925736803691</v>
      </c>
      <c r="EK129" s="19">
        <v>6.1621215791413277</v>
      </c>
      <c r="EL129" s="19">
        <v>5.9084744197566348</v>
      </c>
      <c r="EM129" s="19">
        <v>7</v>
      </c>
      <c r="EN129" s="19">
        <v>7</v>
      </c>
      <c r="EO129" s="19">
        <v>6.4519211541601393</v>
      </c>
      <c r="EP129" s="19">
        <v>6.6898431816793371</v>
      </c>
      <c r="EQ129" s="19">
        <v>6.6571980476457648</v>
      </c>
      <c r="ER129" s="19"/>
      <c r="ES129" s="16">
        <f t="shared" si="8"/>
        <v>4.1872498597445498</v>
      </c>
      <c r="ET129" s="16">
        <f t="shared" si="8"/>
        <v>3.7711409090822356</v>
      </c>
      <c r="EU129" s="16">
        <f t="shared" si="8"/>
        <v>5.7444150324965149</v>
      </c>
      <c r="EV129" s="16">
        <f t="shared" si="8"/>
        <v>2.4890494066945608</v>
      </c>
      <c r="EW129" s="16">
        <f t="shared" si="8"/>
        <v>3.5848422732217573</v>
      </c>
      <c r="EX129" s="16" t="str">
        <f t="shared" si="8"/>
        <v>.</v>
      </c>
      <c r="EY129" s="16">
        <f t="shared" si="8"/>
        <v>142.33330073554799</v>
      </c>
      <c r="EZ129" s="16">
        <f t="shared" si="8"/>
        <v>4.7861720736401674</v>
      </c>
      <c r="FA129" s="16">
        <f t="shared" si="8"/>
        <v>6.0676875552301253</v>
      </c>
      <c r="FB129" s="16">
        <f t="shared" si="8"/>
        <v>6.2936537376569035</v>
      </c>
    </row>
    <row r="130" spans="1:158" x14ac:dyDescent="0.25">
      <c r="A130" s="17">
        <v>127</v>
      </c>
      <c r="B130" s="17" t="s">
        <v>154</v>
      </c>
      <c r="C130" s="17" t="s">
        <v>11</v>
      </c>
      <c r="D130" s="17" t="s">
        <v>16</v>
      </c>
      <c r="E130" s="16">
        <v>1</v>
      </c>
      <c r="F130" s="18">
        <v>4.8203586688483178</v>
      </c>
      <c r="G130" s="18">
        <v>4.8450005587378513</v>
      </c>
      <c r="H130" s="18">
        <v>4.7221172394023236</v>
      </c>
      <c r="I130" s="18">
        <v>4.7440316578947357</v>
      </c>
      <c r="J130" s="18">
        <v>4.8463416534139405</v>
      </c>
      <c r="K130" s="18">
        <v>4.9193978103299294</v>
      </c>
      <c r="L130" s="18">
        <v>5.0316000882812499</v>
      </c>
      <c r="M130" s="18">
        <v>5.0816088567176552</v>
      </c>
      <c r="N130" s="18">
        <v>4.9878540204168367</v>
      </c>
      <c r="O130" s="18">
        <v>4.5053130823940846</v>
      </c>
      <c r="P130" s="18">
        <v>5.020552797030077</v>
      </c>
      <c r="Q130" s="18">
        <v>5.2572166688804547</v>
      </c>
      <c r="R130" s="18">
        <v>4.3726843017832442</v>
      </c>
      <c r="S130" s="18">
        <v>4.4920682268512495</v>
      </c>
      <c r="T130" s="18">
        <v>5.2922110414628776</v>
      </c>
      <c r="U130" s="18">
        <v>3.8385321261462639</v>
      </c>
      <c r="V130" s="18">
        <v>3.8003235076451536</v>
      </c>
      <c r="W130" s="18">
        <v>3.699555084892086</v>
      </c>
      <c r="X130" s="18">
        <v>3.7396963777777774</v>
      </c>
      <c r="Y130" s="18">
        <v>3.8019653302252245</v>
      </c>
      <c r="Z130" s="18">
        <v>4.3513722880022963</v>
      </c>
      <c r="AA130" s="18">
        <v>4.3944720422475969</v>
      </c>
      <c r="AB130" s="18">
        <v>3.9579865151397797</v>
      </c>
      <c r="AC130" s="18">
        <v>3.9281762097249842</v>
      </c>
      <c r="AD130" s="19">
        <v>4.0490672756814119</v>
      </c>
      <c r="AE130" s="19">
        <v>4.0492335046568169</v>
      </c>
      <c r="AF130" s="19">
        <v>3.944788070412149</v>
      </c>
      <c r="AG130" s="19">
        <v>4.259112463270907</v>
      </c>
      <c r="AH130" s="19">
        <v>3.2158861854506924</v>
      </c>
      <c r="AI130" s="19">
        <v>3.9372545205321883</v>
      </c>
      <c r="AJ130" s="19">
        <v>5.5252162222222223</v>
      </c>
      <c r="AK130" s="19">
        <v>5.4630330351351359</v>
      </c>
      <c r="AL130" s="19">
        <v>5.4783919203980105</v>
      </c>
      <c r="AM130" s="19">
        <v>5.5515767669270843</v>
      </c>
      <c r="AN130" s="19">
        <v>5.6350818988883686</v>
      </c>
      <c r="AO130" s="19">
        <v>5.5453308618296839</v>
      </c>
      <c r="AP130" s="19">
        <v>5.4674388915047061</v>
      </c>
      <c r="AQ130" s="19">
        <v>5.610506741089436</v>
      </c>
      <c r="AR130" s="19">
        <v>5.9273942061846343</v>
      </c>
      <c r="AS130" s="19">
        <v>5.7089622206398127</v>
      </c>
      <c r="AT130" s="19">
        <v>5.5914536297978312</v>
      </c>
      <c r="AU130" s="19">
        <v>5.7315557207133541</v>
      </c>
      <c r="AV130" s="19">
        <v>1.8305084745762712</v>
      </c>
      <c r="AW130" s="19">
        <v>1.8818571633363068</v>
      </c>
      <c r="AX130" s="19">
        <v>1.8940863309352518</v>
      </c>
      <c r="AY130" s="19">
        <v>2.0005807499999997</v>
      </c>
      <c r="AZ130" s="19">
        <v>2.1430122999999996</v>
      </c>
      <c r="BA130" s="19">
        <v>2.75722545</v>
      </c>
      <c r="BB130" s="19">
        <v>2.9016832984374998</v>
      </c>
      <c r="BC130" s="19">
        <v>2.4316436940845914</v>
      </c>
      <c r="BD130" s="19">
        <v>2.1519774116454546</v>
      </c>
      <c r="BE130" s="19">
        <v>2.2466683261520961</v>
      </c>
      <c r="BF130" s="19">
        <v>4.4529575076076249</v>
      </c>
      <c r="BG130" s="19">
        <v>5.4004187892975732</v>
      </c>
      <c r="BH130" s="19">
        <v>5.9083425572067645</v>
      </c>
      <c r="BI130" s="19">
        <v>6.4816594071006612</v>
      </c>
      <c r="BJ130" s="19">
        <v>4.932191685261925</v>
      </c>
      <c r="BK130" s="19">
        <v>4.5423728813559325</v>
      </c>
      <c r="BL130" s="19">
        <v>4.3303960762711862</v>
      </c>
      <c r="BM130" s="19">
        <v>3.9675204402877693</v>
      </c>
      <c r="BN130" s="19">
        <v>4.0397204999999996</v>
      </c>
      <c r="BO130" s="19">
        <v>4.0967504628378375</v>
      </c>
      <c r="BP130" s="19">
        <v>4.132349017164179</v>
      </c>
      <c r="BQ130" s="19">
        <v>4.136601609375</v>
      </c>
      <c r="BR130" s="19">
        <v>4.0465205166763303</v>
      </c>
      <c r="BS130" s="19">
        <v>3.4212738036692127</v>
      </c>
      <c r="BT130" s="19">
        <v>3.6260314971831216</v>
      </c>
      <c r="BU130" s="19">
        <v>3.7432179261475595</v>
      </c>
      <c r="BV130" s="19">
        <v>3.0951100809352399</v>
      </c>
      <c r="BW130" s="19">
        <v>3.1926455714418394</v>
      </c>
      <c r="BX130" s="19">
        <v>3.0937134810574101</v>
      </c>
      <c r="BY130" s="19">
        <v>3.2164137679787803</v>
      </c>
      <c r="BZ130" s="19">
        <v>14.6677929882211</v>
      </c>
      <c r="CA130" s="19">
        <v>14.7017001083426</v>
      </c>
      <c r="CB130" s="19">
        <v>15.8222257408391</v>
      </c>
      <c r="CC130" s="19">
        <v>33.472158636245922</v>
      </c>
      <c r="CD130" s="19">
        <v>39.568197085193894</v>
      </c>
      <c r="CE130" s="19">
        <v>45.536954001614163</v>
      </c>
      <c r="CF130" s="19">
        <v>48.053679479984154</v>
      </c>
      <c r="CG130" s="19">
        <v>57.271957048627165</v>
      </c>
      <c r="CH130" s="19">
        <v>62.825132747058355</v>
      </c>
      <c r="CI130" s="19">
        <v>77.135576781747133</v>
      </c>
      <c r="CJ130" s="19">
        <v>68.822170900692797</v>
      </c>
      <c r="CK130" s="19">
        <v>84.798988342285199</v>
      </c>
      <c r="CL130" s="19">
        <v>111</v>
      </c>
      <c r="CM130" s="19">
        <v>68.212860107421903</v>
      </c>
      <c r="CN130" s="19">
        <v>78.260361604893504</v>
      </c>
      <c r="CO130" s="19">
        <v>82.988931327669306</v>
      </c>
      <c r="CP130" s="19">
        <v>81.747324610378897</v>
      </c>
      <c r="CQ130" s="19">
        <v>83.646420943096601</v>
      </c>
      <c r="CR130" s="19">
        <v>81.209999999999994</v>
      </c>
      <c r="CS130" s="19">
        <v>78.19</v>
      </c>
      <c r="CT130" s="19">
        <v>78.554677910223617</v>
      </c>
      <c r="CU130" s="19">
        <v>78.458280692862601</v>
      </c>
      <c r="CV130" s="19">
        <v>81.433236058083381</v>
      </c>
      <c r="CW130" s="19">
        <v>83.311970747661334</v>
      </c>
      <c r="CX130" s="19">
        <v>78.135105515084931</v>
      </c>
      <c r="CY130" s="19">
        <v>5.9137931034482758</v>
      </c>
      <c r="CZ130" s="19">
        <v>5.9769568534093853</v>
      </c>
      <c r="DA130" s="19">
        <v>5.9629051741007189</v>
      </c>
      <c r="DB130" s="19">
        <v>5.9001865833333333</v>
      </c>
      <c r="DC130" s="19">
        <v>5.617981558783784</v>
      </c>
      <c r="DD130" s="19">
        <v>5.7643202753731355</v>
      </c>
      <c r="DE130" s="19">
        <v>5.9602252968750005</v>
      </c>
      <c r="DF130" s="19">
        <v>5.9204198471948413</v>
      </c>
      <c r="DG130" s="19">
        <v>5.626452403327824</v>
      </c>
      <c r="DH130" s="19">
        <v>5.6839019325673643</v>
      </c>
      <c r="DI130" s="19">
        <v>5.3088981908409218</v>
      </c>
      <c r="DJ130" s="19">
        <v>5.8724487654199287</v>
      </c>
      <c r="DK130" s="19">
        <v>5.8758074670978875</v>
      </c>
      <c r="DL130" s="19">
        <v>6.0446134318657752</v>
      </c>
      <c r="DM130" s="19">
        <v>5.7719587041618832</v>
      </c>
      <c r="DN130" s="19">
        <v>4.8813559322033901</v>
      </c>
      <c r="DO130" s="19">
        <v>5.064521942079776</v>
      </c>
      <c r="DP130" s="19">
        <v>5.0914560762589929</v>
      </c>
      <c r="DQ130" s="19">
        <v>5.0744208333333329</v>
      </c>
      <c r="DR130" s="19">
        <v>5.0910837256756754</v>
      </c>
      <c r="DS130" s="19">
        <v>5.008014764925373</v>
      </c>
      <c r="DT130" s="19">
        <v>4.9755344929687499</v>
      </c>
      <c r="DU130" s="19">
        <v>4.9062065472238334</v>
      </c>
      <c r="DV130" s="19">
        <v>4.8694436143260837</v>
      </c>
      <c r="DW130" s="19">
        <v>4.1616532359300615</v>
      </c>
      <c r="DX130" s="19">
        <v>4.5911266839989668</v>
      </c>
      <c r="DY130" s="19">
        <v>4.2108003832607626</v>
      </c>
      <c r="DZ130" s="19">
        <v>4.720254110696593</v>
      </c>
      <c r="EA130" s="19">
        <v>3.7608239025319352</v>
      </c>
      <c r="EB130" s="19">
        <v>4.501749528101473</v>
      </c>
      <c r="EC130" s="19">
        <v>5</v>
      </c>
      <c r="ED130" s="19">
        <v>5.1016242172932333</v>
      </c>
      <c r="EE130" s="19">
        <v>5.1270527035971218</v>
      </c>
      <c r="EF130" s="19">
        <v>5.0770652499999995</v>
      </c>
      <c r="EG130" s="19">
        <v>5.0452707979729734</v>
      </c>
      <c r="EH130" s="19">
        <v>5.0329095208955223</v>
      </c>
      <c r="EI130" s="19">
        <v>5.1325300054687499</v>
      </c>
      <c r="EJ130" s="19">
        <v>5.1852911404181583</v>
      </c>
      <c r="EK130" s="19">
        <v>5.0808288062879585</v>
      </c>
      <c r="EL130" s="19">
        <v>5.3779239937172001</v>
      </c>
      <c r="EM130" s="19">
        <v>5.0344463175760001</v>
      </c>
      <c r="EN130" s="19">
        <v>5.2759746653482518</v>
      </c>
      <c r="EO130" s="19">
        <v>5.5021596298096851</v>
      </c>
      <c r="EP130" s="19">
        <v>5.4289474343954947</v>
      </c>
      <c r="EQ130" s="19">
        <v>4.8435593749581773</v>
      </c>
      <c r="ER130" s="19"/>
      <c r="ES130" s="16">
        <f t="shared" si="8"/>
        <v>4.8463416534139405</v>
      </c>
      <c r="ET130" s="16">
        <f t="shared" si="8"/>
        <v>3.8019653302252245</v>
      </c>
      <c r="EU130" s="16">
        <f t="shared" si="8"/>
        <v>5.4630330351351359</v>
      </c>
      <c r="EV130" s="16">
        <f t="shared" si="8"/>
        <v>2.1430122999999996</v>
      </c>
      <c r="EW130" s="16">
        <f t="shared" si="8"/>
        <v>4.0967504628378375</v>
      </c>
      <c r="EX130" s="16" t="str">
        <f t="shared" si="8"/>
        <v>.</v>
      </c>
      <c r="EY130" s="16">
        <f t="shared" si="8"/>
        <v>78.260361604893504</v>
      </c>
      <c r="EZ130" s="16">
        <f t="shared" si="8"/>
        <v>5.617981558783784</v>
      </c>
      <c r="FA130" s="16">
        <f t="shared" si="8"/>
        <v>5.0910837256756754</v>
      </c>
      <c r="FB130" s="16">
        <f t="shared" si="8"/>
        <v>5.0452707979729734</v>
      </c>
    </row>
    <row r="131" spans="1:158" x14ac:dyDescent="0.25">
      <c r="A131" s="17">
        <v>128</v>
      </c>
      <c r="B131" s="17" t="s">
        <v>155</v>
      </c>
      <c r="C131" s="17" t="s">
        <v>155</v>
      </c>
      <c r="D131" s="17" t="s">
        <v>9</v>
      </c>
      <c r="E131" s="16">
        <v>1</v>
      </c>
      <c r="F131" s="18">
        <v>4.3041838812283988</v>
      </c>
      <c r="G131" s="18">
        <v>4.4674001617392571</v>
      </c>
      <c r="H131" s="18">
        <v>4.5500960148201903</v>
      </c>
      <c r="I131" s="18">
        <v>4.8475126662139223</v>
      </c>
      <c r="J131" s="18">
        <v>5.2711801052631584</v>
      </c>
      <c r="K131" s="18">
        <v>5.3295898775917072</v>
      </c>
      <c r="L131" s="18">
        <v>5.3649619634566772</v>
      </c>
      <c r="M131" s="18">
        <v>5.3123167470536261</v>
      </c>
      <c r="N131" s="18">
        <v>5.378357874963795</v>
      </c>
      <c r="O131" s="18">
        <v>5.1963811394658661</v>
      </c>
      <c r="P131" s="18">
        <v>6.0898391275330859</v>
      </c>
      <c r="Q131" s="18">
        <v>5.4900354269324252</v>
      </c>
      <c r="R131" s="18">
        <v>5.7880307327585196</v>
      </c>
      <c r="S131" s="18">
        <v>6.077687328848639</v>
      </c>
      <c r="T131" s="18">
        <v>5.8373590175876027</v>
      </c>
      <c r="U131" s="18">
        <v>3.5384843246007365</v>
      </c>
      <c r="V131" s="18">
        <v>3.814022334803735</v>
      </c>
      <c r="W131" s="18">
        <v>3.6513632259593645</v>
      </c>
      <c r="X131" s="18">
        <v>4.107092418617512</v>
      </c>
      <c r="Y131" s="18">
        <v>4.6927411333333335</v>
      </c>
      <c r="Z131" s="18">
        <v>4.7071828892400172</v>
      </c>
      <c r="AA131" s="18">
        <v>4.7968652825431386</v>
      </c>
      <c r="AB131" s="18">
        <v>4.8767613700677996</v>
      </c>
      <c r="AC131" s="18">
        <v>4.9776136601324996</v>
      </c>
      <c r="AD131" s="19">
        <v>4.8742157003407369</v>
      </c>
      <c r="AE131" s="19">
        <v>5.7966014208615748</v>
      </c>
      <c r="AF131" s="19">
        <v>5.5076082510058599</v>
      </c>
      <c r="AG131" s="19">
        <v>6.421656589939289</v>
      </c>
      <c r="AH131" s="19">
        <v>5.8603491336104954</v>
      </c>
      <c r="AI131" s="19">
        <v>6.8024544846051134</v>
      </c>
      <c r="AJ131" s="19">
        <v>6.0722010795698926</v>
      </c>
      <c r="AK131" s="19">
        <v>6.0234176666666661</v>
      </c>
      <c r="AL131" s="19">
        <v>6.0696814560606063</v>
      </c>
      <c r="AM131" s="19">
        <v>5.9420100909752556</v>
      </c>
      <c r="AN131" s="19">
        <v>5.7674905396183673</v>
      </c>
      <c r="AO131" s="19">
        <v>5.8467624019126587</v>
      </c>
      <c r="AP131" s="19">
        <v>5.7026436982331452</v>
      </c>
      <c r="AQ131" s="19">
        <v>5.5967487578799995</v>
      </c>
      <c r="AR131" s="19">
        <v>5.1837180125273727</v>
      </c>
      <c r="AS131" s="19">
        <v>5.9753857760156937</v>
      </c>
      <c r="AT131" s="19">
        <v>5.6430363197302311</v>
      </c>
      <c r="AU131" s="19">
        <v>5.5404005108699277</v>
      </c>
      <c r="AV131" s="19">
        <v>4.1893989171572752</v>
      </c>
      <c r="AW131" s="19">
        <v>4.5059320059904353</v>
      </c>
      <c r="AX131" s="19">
        <v>4.2949387283018865</v>
      </c>
      <c r="AY131" s="19">
        <v>4.5239597096774204</v>
      </c>
      <c r="AZ131" s="19">
        <v>4.8902510000000001</v>
      </c>
      <c r="BA131" s="19">
        <v>5.1127686712121214</v>
      </c>
      <c r="BB131" s="19">
        <v>5.2026338240174681</v>
      </c>
      <c r="BC131" s="19">
        <v>5.2035646243182754</v>
      </c>
      <c r="BD131" s="19">
        <v>5.2741604464065626</v>
      </c>
      <c r="BE131" s="19">
        <v>5.052711317274305</v>
      </c>
      <c r="BF131" s="19">
        <v>6.2532289917525841</v>
      </c>
      <c r="BG131" s="19">
        <v>6.1031626786998716</v>
      </c>
      <c r="BH131" s="19">
        <v>6.2523087800968078</v>
      </c>
      <c r="BI131" s="19">
        <v>5.2228514915270203</v>
      </c>
      <c r="BJ131" s="19">
        <v>6.0069121409175068</v>
      </c>
      <c r="BK131" s="19">
        <v>4.2488608011586191</v>
      </c>
      <c r="BL131" s="19">
        <v>4.1471892113714945</v>
      </c>
      <c r="BM131" s="19">
        <v>3.6262646930817608</v>
      </c>
      <c r="BN131" s="19">
        <v>3.8515881548387103</v>
      </c>
      <c r="BO131" s="19">
        <v>4.3948600000000004</v>
      </c>
      <c r="BP131" s="19">
        <v>4.4030628818181823</v>
      </c>
      <c r="BQ131" s="19">
        <v>4.9217351397379918</v>
      </c>
      <c r="BR131" s="19">
        <v>5.1587957346484314</v>
      </c>
      <c r="BS131" s="19">
        <v>5.2146909861173034</v>
      </c>
      <c r="BT131" s="19">
        <v>4.9621233728196881</v>
      </c>
      <c r="BU131" s="19">
        <v>5.2339734503459772</v>
      </c>
      <c r="BV131" s="19">
        <v>4.9872966547390165</v>
      </c>
      <c r="BW131" s="19">
        <v>5.6921595677758638</v>
      </c>
      <c r="BX131" s="19">
        <v>4.4571354728334054</v>
      </c>
      <c r="BY131" s="19">
        <v>5.2778813659628305</v>
      </c>
      <c r="BZ131" s="19">
        <v>60.996202757051897</v>
      </c>
      <c r="CA131" s="19">
        <v>72.108168442205695</v>
      </c>
      <c r="CB131" s="19">
        <v>76.794380711153806</v>
      </c>
      <c r="CC131" s="19">
        <v>106.31037481106</v>
      </c>
      <c r="CD131" s="19">
        <v>80.029303792433197</v>
      </c>
      <c r="CE131" s="19">
        <v>101.46776647259917</v>
      </c>
      <c r="CF131" s="19">
        <v>111.97424492836466</v>
      </c>
      <c r="CG131" s="19">
        <v>115.64068647094885</v>
      </c>
      <c r="CH131" s="19">
        <v>122.59144389847441</v>
      </c>
      <c r="CI131" s="19">
        <v>132.66139720238431</v>
      </c>
      <c r="CJ131" s="19">
        <v>92.152609925430696</v>
      </c>
      <c r="CK131" s="19">
        <v>109.60116577148401</v>
      </c>
      <c r="CL131" s="19">
        <v>196.63369750976599</v>
      </c>
      <c r="CM131" s="19">
        <v>175.400146484375</v>
      </c>
      <c r="CN131" s="19">
        <v>132.43485731407799</v>
      </c>
      <c r="CO131" s="19">
        <v>123.114412999501</v>
      </c>
      <c r="CP131" s="19">
        <v>134.10675103700601</v>
      </c>
      <c r="CQ131" s="19">
        <v>152.64417457127001</v>
      </c>
      <c r="CR131" s="19">
        <v>145.76474613698201</v>
      </c>
      <c r="CS131" s="19">
        <v>153.586927990014</v>
      </c>
      <c r="CT131" s="19">
        <v>157.08959130087544</v>
      </c>
      <c r="CU131" s="19">
        <v>161.23901888522917</v>
      </c>
      <c r="CV131" s="19">
        <v>167.58248875741651</v>
      </c>
      <c r="CW131" s="19">
        <v>163.20112762930802</v>
      </c>
      <c r="CX131" s="19">
        <v>174.88161169070983</v>
      </c>
      <c r="CY131" s="19">
        <v>5.4294483284272506</v>
      </c>
      <c r="CZ131" s="19">
        <v>5.5949995649131639</v>
      </c>
      <c r="DA131" s="19">
        <v>6.0197846471698107</v>
      </c>
      <c r="DB131" s="19">
        <v>5.4930839612903224</v>
      </c>
      <c r="DC131" s="19">
        <v>4.7933839999999996</v>
      </c>
      <c r="DD131" s="19">
        <v>5.5346078560606058</v>
      </c>
      <c r="DE131" s="19">
        <v>5.9791496305676857</v>
      </c>
      <c r="DF131" s="19">
        <v>5.9961842935543368</v>
      </c>
      <c r="DG131" s="19">
        <v>5.985757132544034</v>
      </c>
      <c r="DH131" s="19">
        <v>5.7629376729329422</v>
      </c>
      <c r="DI131" s="19">
        <v>6.88450420102685</v>
      </c>
      <c r="DJ131" s="19">
        <v>4.8629726202961079</v>
      </c>
      <c r="DK131" s="19">
        <v>6.1087473355119615</v>
      </c>
      <c r="DL131" s="19">
        <v>6.6459726847863898</v>
      </c>
      <c r="DM131" s="19">
        <v>5.5621953979195684</v>
      </c>
      <c r="DN131" s="19">
        <v>4.668989670268056</v>
      </c>
      <c r="DO131" s="19">
        <v>4.6918417858041774</v>
      </c>
      <c r="DP131" s="19">
        <v>4.5662010025157231</v>
      </c>
      <c r="DQ131" s="19">
        <v>5.1152010774193553</v>
      </c>
      <c r="DR131" s="19">
        <v>5.5837199999999996</v>
      </c>
      <c r="DS131" s="19">
        <v>5.5298492803030301</v>
      </c>
      <c r="DT131" s="19">
        <v>5.3856668615720533</v>
      </c>
      <c r="DU131" s="19">
        <v>5.4206099864120265</v>
      </c>
      <c r="DV131" s="19">
        <v>5.5941964057332658</v>
      </c>
      <c r="DW131" s="19">
        <v>5.0741963386535645</v>
      </c>
      <c r="DX131" s="19">
        <v>5.0615527590561777</v>
      </c>
      <c r="DY131" s="19">
        <v>5.9141777335383034</v>
      </c>
      <c r="DZ131" s="19">
        <v>5.7121819860512328</v>
      </c>
      <c r="EA131" s="19">
        <v>5.6678693238541591</v>
      </c>
      <c r="EB131" s="19">
        <v>6.4453351656447477</v>
      </c>
      <c r="EC131" s="19">
        <v>4.3055180298570228</v>
      </c>
      <c r="ED131" s="19">
        <v>4.3381866740498367</v>
      </c>
      <c r="EE131" s="19">
        <v>4.4642808069182394</v>
      </c>
      <c r="EF131" s="19">
        <v>4.8652239032258073</v>
      </c>
      <c r="EG131" s="19">
        <v>4.9733340000000004</v>
      </c>
      <c r="EH131" s="19">
        <v>5.0975953863636363</v>
      </c>
      <c r="EI131" s="19">
        <v>4.9983348606986908</v>
      </c>
      <c r="EJ131" s="19">
        <v>5.0256365944737773</v>
      </c>
      <c r="EK131" s="19">
        <v>5.4290335857925793</v>
      </c>
      <c r="EL131" s="19">
        <v>5.1407313664754231</v>
      </c>
      <c r="EM131" s="19">
        <v>5.5859575262368031</v>
      </c>
      <c r="EN131" s="19">
        <v>5.5259837610588267</v>
      </c>
      <c r="EO131" s="19">
        <v>5.6713537019180604</v>
      </c>
      <c r="EP131" s="19">
        <v>5.4780293442414596</v>
      </c>
      <c r="EQ131" s="19">
        <v>6.0126232902027175</v>
      </c>
      <c r="ER131" s="19"/>
      <c r="ES131" s="16">
        <f t="shared" si="8"/>
        <v>5.2711801052631584</v>
      </c>
      <c r="ET131" s="16">
        <f t="shared" si="8"/>
        <v>4.6927411333333335</v>
      </c>
      <c r="EU131" s="16">
        <f t="shared" si="8"/>
        <v>6.0234176666666661</v>
      </c>
      <c r="EV131" s="16">
        <f t="shared" si="8"/>
        <v>4.8902510000000001</v>
      </c>
      <c r="EW131" s="16">
        <f t="shared" si="8"/>
        <v>4.3948600000000004</v>
      </c>
      <c r="EX131" s="16" t="str">
        <f t="shared" si="8"/>
        <v>.</v>
      </c>
      <c r="EY131" s="16">
        <f t="shared" si="8"/>
        <v>132.43485731407799</v>
      </c>
      <c r="EZ131" s="16">
        <f t="shared" si="8"/>
        <v>4.7933839999999996</v>
      </c>
      <c r="FA131" s="16">
        <f t="shared" si="8"/>
        <v>5.5837199999999996</v>
      </c>
      <c r="FB131" s="16">
        <f t="shared" si="8"/>
        <v>4.9733340000000004</v>
      </c>
    </row>
    <row r="132" spans="1:158" x14ac:dyDescent="0.25">
      <c r="A132" s="17">
        <v>129</v>
      </c>
      <c r="B132" s="17" t="s">
        <v>156</v>
      </c>
      <c r="C132" s="17" t="s">
        <v>156</v>
      </c>
      <c r="D132" s="17" t="s">
        <v>23</v>
      </c>
      <c r="E132" s="16">
        <v>1</v>
      </c>
      <c r="F132" s="18">
        <v>3.98936823883919</v>
      </c>
      <c r="G132" s="18">
        <v>3.933728045590053</v>
      </c>
      <c r="H132" s="18">
        <v>3.7857245397349857</v>
      </c>
      <c r="I132" s="18">
        <v>3.5481884067150644</v>
      </c>
      <c r="J132" s="18">
        <v>3.4820548949538797</v>
      </c>
      <c r="K132" s="18">
        <v>3.473890910471491</v>
      </c>
      <c r="L132" s="18">
        <v>3.6229996127782145</v>
      </c>
      <c r="M132" s="18">
        <v>3.7688478002460815</v>
      </c>
      <c r="N132" s="18">
        <v>3.7119119537397416</v>
      </c>
      <c r="O132" s="18">
        <v>3.5599911260366128</v>
      </c>
      <c r="P132" s="18">
        <v>3.1575190196176637</v>
      </c>
      <c r="Q132" s="18">
        <v>3.1875529405103076</v>
      </c>
      <c r="R132" s="18">
        <v>4.1127816324828128</v>
      </c>
      <c r="S132" s="18">
        <v>3.2417750903104179</v>
      </c>
      <c r="T132" s="18">
        <v>3.4220344675510175</v>
      </c>
      <c r="U132" s="18">
        <v>3.0939321539795257</v>
      </c>
      <c r="V132" s="18">
        <v>3.1361116002512568</v>
      </c>
      <c r="W132" s="18">
        <v>3.101631441216246</v>
      </c>
      <c r="X132" s="18">
        <v>2.9415454131649672</v>
      </c>
      <c r="Y132" s="18">
        <v>2.9146926034182714</v>
      </c>
      <c r="Z132" s="18">
        <v>2.9188040803135911</v>
      </c>
      <c r="AA132" s="18">
        <v>3.0090824763080599</v>
      </c>
      <c r="AB132" s="18">
        <v>3.2838546382840947</v>
      </c>
      <c r="AC132" s="18">
        <v>3.2397134674254704</v>
      </c>
      <c r="AD132" s="19">
        <v>3.1361226474872779</v>
      </c>
      <c r="AE132" s="19">
        <v>2.9660693159823137</v>
      </c>
      <c r="AF132" s="19">
        <v>3.0142669718965491</v>
      </c>
      <c r="AG132" s="19">
        <v>3.4175870998857345</v>
      </c>
      <c r="AH132" s="19">
        <v>3.4492133981999644</v>
      </c>
      <c r="AI132" s="19">
        <v>3.014715433282122</v>
      </c>
      <c r="AJ132" s="19">
        <v>4.4149810275862071</v>
      </c>
      <c r="AK132" s="19">
        <v>4.2608815285223365</v>
      </c>
      <c r="AL132" s="19">
        <v>4.1859121909722221</v>
      </c>
      <c r="AM132" s="19">
        <v>4.3272169744610274</v>
      </c>
      <c r="AN132" s="19">
        <v>4.6159569999891588</v>
      </c>
      <c r="AO132" s="19">
        <v>4.6115565683491111</v>
      </c>
      <c r="AP132" s="19">
        <v>4.4847063023111096</v>
      </c>
      <c r="AQ132" s="19">
        <v>5.170939774813446</v>
      </c>
      <c r="AR132" s="19">
        <v>4.657173353762059</v>
      </c>
      <c r="AS132" s="19">
        <v>4.9251776851278617</v>
      </c>
      <c r="AT132" s="19">
        <v>4.8736047097150088</v>
      </c>
      <c r="AU132" s="19">
        <v>5.6516188485232721</v>
      </c>
      <c r="AV132" s="19">
        <v>3.469443704146951</v>
      </c>
      <c r="AW132" s="19">
        <v>3.4083613619789053</v>
      </c>
      <c r="AX132" s="19">
        <v>2.9895585624161076</v>
      </c>
      <c r="AY132" s="19">
        <v>2.9191684758620693</v>
      </c>
      <c r="AZ132" s="19">
        <v>2.8469961938144328</v>
      </c>
      <c r="BA132" s="19">
        <v>2.8026410302083336</v>
      </c>
      <c r="BB132" s="19">
        <v>2.8001875601990047</v>
      </c>
      <c r="BC132" s="19">
        <v>3.2050795541586741</v>
      </c>
      <c r="BD132" s="19">
        <v>3.121227264937076</v>
      </c>
      <c r="BE132" s="19">
        <v>2.6778167556449413</v>
      </c>
      <c r="BF132" s="19">
        <v>4.5626343382726464</v>
      </c>
      <c r="BG132" s="19">
        <v>5.4860750757978121</v>
      </c>
      <c r="BH132" s="19">
        <v>4.1594189914113535</v>
      </c>
      <c r="BI132" s="19">
        <v>5.65543992880876</v>
      </c>
      <c r="BJ132" s="19">
        <v>5.3405877536616897</v>
      </c>
      <c r="BK132" s="19">
        <v>3.6593820914413864</v>
      </c>
      <c r="BL132" s="19">
        <v>3.5931652957738396</v>
      </c>
      <c r="BM132" s="19">
        <v>3.7830098577181208</v>
      </c>
      <c r="BN132" s="19">
        <v>3.5748609103448281</v>
      </c>
      <c r="BO132" s="19">
        <v>3.2257525649484533</v>
      </c>
      <c r="BP132" s="19">
        <v>3.0340527531250001</v>
      </c>
      <c r="BQ132" s="19">
        <v>2.863058525373134</v>
      </c>
      <c r="BR132" s="19">
        <v>2.9913273655237251</v>
      </c>
      <c r="BS132" s="19">
        <v>2.9837522482738814</v>
      </c>
      <c r="BT132" s="19">
        <v>2.6961416291729838</v>
      </c>
      <c r="BU132" s="19">
        <v>1.8714169317344185</v>
      </c>
      <c r="BV132" s="19">
        <v>2.6558003252425784</v>
      </c>
      <c r="BW132" s="19">
        <v>2.3827885014515542</v>
      </c>
      <c r="BX132" s="19">
        <v>2.2515985078360385</v>
      </c>
      <c r="BY132" s="19">
        <v>1.4596165404962058</v>
      </c>
      <c r="BZ132" s="19">
        <v>14.088124014676801</v>
      </c>
      <c r="CA132" s="19">
        <v>23.705416575472501</v>
      </c>
      <c r="CB132" s="19">
        <v>37.578487260805304</v>
      </c>
      <c r="CC132" s="19">
        <v>49.4127402338096</v>
      </c>
      <c r="CD132" s="19">
        <v>63.532848134645903</v>
      </c>
      <c r="CE132" s="19">
        <v>74.814455450837343</v>
      </c>
      <c r="CF132" s="19">
        <v>85.989346872215208</v>
      </c>
      <c r="CG132" s="19">
        <v>100.24062478708713</v>
      </c>
      <c r="CH132" s="19">
        <v>111.95480162811272</v>
      </c>
      <c r="CI132" s="19">
        <v>126.11946366137374</v>
      </c>
      <c r="CJ132" s="19">
        <v>61.795531739641497</v>
      </c>
      <c r="CK132" s="19">
        <v>80.446434020996094</v>
      </c>
      <c r="CL132" s="19">
        <v>114.631050109863</v>
      </c>
      <c r="CM132" s="19">
        <v>119.282356262207</v>
      </c>
      <c r="CN132" s="19">
        <v>114.677345932452</v>
      </c>
      <c r="CO132" s="19">
        <v>109.159636405112</v>
      </c>
      <c r="CP132" s="19">
        <v>106.13667776395</v>
      </c>
      <c r="CQ132" s="19">
        <v>105.582921651343</v>
      </c>
      <c r="CR132" s="19">
        <v>105.914150019538</v>
      </c>
      <c r="CS132" s="19">
        <v>107.140204125259</v>
      </c>
      <c r="CT132" s="19">
        <v>114.59090255529458</v>
      </c>
      <c r="CU132" s="19">
        <v>123.76505278044809</v>
      </c>
      <c r="CV132" s="19">
        <v>123.13396502040727</v>
      </c>
      <c r="CW132" s="19">
        <v>123.77335145623294</v>
      </c>
      <c r="CX132" s="19">
        <v>122.77594074125349</v>
      </c>
      <c r="CY132" s="19">
        <v>4.1298778103468656</v>
      </c>
      <c r="CZ132" s="19">
        <v>4.1698890818551897</v>
      </c>
      <c r="DA132" s="19">
        <v>4.0981484791946308</v>
      </c>
      <c r="DB132" s="19">
        <v>4.1721451758620693</v>
      </c>
      <c r="DC132" s="19">
        <v>3.9326407051546388</v>
      </c>
      <c r="DD132" s="19">
        <v>3.8506382822916665</v>
      </c>
      <c r="DE132" s="19">
        <v>3.9425351233830845</v>
      </c>
      <c r="DF132" s="19">
        <v>3.9551993597222896</v>
      </c>
      <c r="DG132" s="19">
        <v>3.8872012756390282</v>
      </c>
      <c r="DH132" s="19">
        <v>3.9495921682044504</v>
      </c>
      <c r="DI132" s="19">
        <v>4.06317679829833</v>
      </c>
      <c r="DJ132" s="19">
        <v>3.7891423616231861</v>
      </c>
      <c r="DK132" s="19">
        <v>3.590160007613989</v>
      </c>
      <c r="DL132" s="19">
        <v>4.0858604516886619</v>
      </c>
      <c r="DM132" s="19">
        <v>3.8405530600226259</v>
      </c>
      <c r="DN132" s="19">
        <v>2.366834017799226</v>
      </c>
      <c r="DO132" s="19">
        <v>2.3054497261534044</v>
      </c>
      <c r="DP132" s="19">
        <v>2.3719479758389266</v>
      </c>
      <c r="DQ132" s="19">
        <v>2.3618952448275863</v>
      </c>
      <c r="DR132" s="19">
        <v>2.3481216247422676</v>
      </c>
      <c r="DS132" s="19">
        <v>2.8269746427083335</v>
      </c>
      <c r="DT132" s="19">
        <v>3.4480385343283579</v>
      </c>
      <c r="DU132" s="19">
        <v>3.7934755921559358</v>
      </c>
      <c r="DV132" s="19">
        <v>3.6136924626440976</v>
      </c>
      <c r="DW132" s="19">
        <v>3.3508977090678931</v>
      </c>
      <c r="DX132" s="19">
        <v>3.8041137569529893</v>
      </c>
      <c r="DY132" s="19">
        <v>4.8366125321622473</v>
      </c>
      <c r="DZ132" s="19">
        <v>3.9690194244413655</v>
      </c>
      <c r="EA132" s="19">
        <v>4.9366920047106797</v>
      </c>
      <c r="EB132" s="19">
        <v>4.9182338295452954</v>
      </c>
      <c r="EC132" s="19">
        <v>1.9953599031092255</v>
      </c>
      <c r="ED132" s="19">
        <v>1.910779827896965</v>
      </c>
      <c r="EE132" s="19">
        <v>1.9762067355704698</v>
      </c>
      <c r="EF132" s="19">
        <v>2.1131250448275862</v>
      </c>
      <c r="EG132" s="19">
        <v>2.0969641134020618</v>
      </c>
      <c r="EH132" s="19">
        <v>1.9412009343749999</v>
      </c>
      <c r="EI132" s="19">
        <v>2.0797214388059699</v>
      </c>
      <c r="EJ132" s="19">
        <v>2.7548789212734546</v>
      </c>
      <c r="EK132" s="19">
        <v>2.7526938044159106</v>
      </c>
      <c r="EL132" s="19">
        <v>2.5982735882634698</v>
      </c>
      <c r="EM132" s="19">
        <v>2.5075276156858988</v>
      </c>
      <c r="EN132" s="19">
        <v>2.8699489791304962</v>
      </c>
      <c r="EO132" s="19">
        <v>3.1106378022440841</v>
      </c>
      <c r="EP132" s="19">
        <v>2.5291023034372522</v>
      </c>
      <c r="EQ132" s="19">
        <v>2.5140810143568806</v>
      </c>
      <c r="ER132" s="19"/>
      <c r="ES132" s="16">
        <f t="shared" si="8"/>
        <v>3.4820548949538797</v>
      </c>
      <c r="ET132" s="16">
        <f t="shared" si="8"/>
        <v>2.9146926034182714</v>
      </c>
      <c r="EU132" s="16">
        <f t="shared" si="8"/>
        <v>4.2608815285223365</v>
      </c>
      <c r="EV132" s="16">
        <f t="shared" si="8"/>
        <v>2.8469961938144328</v>
      </c>
      <c r="EW132" s="16">
        <f t="shared" si="8"/>
        <v>3.2257525649484533</v>
      </c>
      <c r="EX132" s="16" t="str">
        <f t="shared" si="8"/>
        <v>.</v>
      </c>
      <c r="EY132" s="16">
        <f t="shared" si="8"/>
        <v>114.677345932452</v>
      </c>
      <c r="EZ132" s="16">
        <f t="shared" si="8"/>
        <v>3.9326407051546388</v>
      </c>
      <c r="FA132" s="16">
        <f t="shared" si="8"/>
        <v>2.3481216247422676</v>
      </c>
      <c r="FB132" s="16">
        <f t="shared" si="8"/>
        <v>2.0969641134020618</v>
      </c>
    </row>
    <row r="133" spans="1:158" x14ac:dyDescent="0.25">
      <c r="A133" s="17">
        <v>130</v>
      </c>
      <c r="B133" s="17" t="s">
        <v>157</v>
      </c>
      <c r="C133" s="17" t="s">
        <v>158</v>
      </c>
      <c r="D133" s="17" t="s">
        <v>7</v>
      </c>
      <c r="E133" s="16">
        <v>1</v>
      </c>
      <c r="F133" s="18">
        <v>3.696054179388935</v>
      </c>
      <c r="G133" s="18">
        <v>3.7041763065858211</v>
      </c>
      <c r="H133" s="18">
        <v>3.5875675724494211</v>
      </c>
      <c r="I133" s="18">
        <v>3.4703132957688334</v>
      </c>
      <c r="J133" s="18">
        <v>3.3371332705248604</v>
      </c>
      <c r="K133" s="18">
        <v>3.3050060443475942</v>
      </c>
      <c r="L133" s="18">
        <v>3.563598125602141</v>
      </c>
      <c r="M133" s="18">
        <v>3.7862735036595145</v>
      </c>
      <c r="N133" s="18">
        <v>3.7862735036595145</v>
      </c>
      <c r="O133" s="18">
        <v>3.8451938271293171</v>
      </c>
      <c r="P133" s="18">
        <v>3.8882468312170122</v>
      </c>
      <c r="Q133" s="18">
        <v>3.3126410368662023</v>
      </c>
      <c r="R133" s="18">
        <v>3.9877198342943325</v>
      </c>
      <c r="S133" s="18">
        <v>3.1917632446196236</v>
      </c>
      <c r="T133" s="18">
        <v>3.4052198042618236</v>
      </c>
      <c r="U133" s="18">
        <v>3.3136356942170839</v>
      </c>
      <c r="V133" s="18">
        <v>3.4088296683597226</v>
      </c>
      <c r="W133" s="18">
        <v>3.3511730289706585</v>
      </c>
      <c r="X133" s="18">
        <v>3.2492600289045677</v>
      </c>
      <c r="Y133" s="18">
        <v>3.1413370079902903</v>
      </c>
      <c r="Z133" s="18">
        <v>3.0074705166064972</v>
      </c>
      <c r="AA133" s="18">
        <v>3.1315287300984438</v>
      </c>
      <c r="AB133" s="18">
        <v>3.2862306552777958</v>
      </c>
      <c r="AC133" s="18">
        <v>3.2884766648372699</v>
      </c>
      <c r="AD133" s="19">
        <v>3.4019907588051592</v>
      </c>
      <c r="AE133" s="19">
        <v>2.7786162960656053</v>
      </c>
      <c r="AF133" s="19">
        <v>3.6399712578339631</v>
      </c>
      <c r="AG133" s="19">
        <v>3.35087006273899</v>
      </c>
      <c r="AH133" s="19">
        <v>2.9078569385802182</v>
      </c>
      <c r="AI133" s="19">
        <v>2.800871169645526</v>
      </c>
      <c r="AJ133" s="19">
        <v>4.0198216072829132</v>
      </c>
      <c r="AK133" s="19">
        <v>3.8616962013831255</v>
      </c>
      <c r="AL133" s="19">
        <v>3.6932939955330806</v>
      </c>
      <c r="AM133" s="19">
        <v>3.8801443971751417</v>
      </c>
      <c r="AN133" s="19">
        <v>4.0800122172629374</v>
      </c>
      <c r="AO133" s="19">
        <v>4.0800122172629374</v>
      </c>
      <c r="AP133" s="19">
        <v>4.1408444567737908</v>
      </c>
      <c r="AQ133" s="19">
        <v>3.6290378389004698</v>
      </c>
      <c r="AR133" s="19">
        <v>4.5495713384999421</v>
      </c>
      <c r="AS133" s="19">
        <v>3.99273351290099</v>
      </c>
      <c r="AT133" s="19">
        <v>3.4902123049911324</v>
      </c>
      <c r="AU133" s="19">
        <v>3.5734756031953565</v>
      </c>
      <c r="AV133" s="19">
        <v>2.4668797690775115</v>
      </c>
      <c r="AW133" s="19">
        <v>2.5044765213532028</v>
      </c>
      <c r="AX133" s="19">
        <v>2.4335604877637129</v>
      </c>
      <c r="AY133" s="19">
        <v>2.4689371002801117</v>
      </c>
      <c r="AZ133" s="19">
        <v>2.41619592780083</v>
      </c>
      <c r="BA133" s="19">
        <v>2.6103449026548673</v>
      </c>
      <c r="BB133" s="19">
        <v>2.8605438093220337</v>
      </c>
      <c r="BC133" s="19">
        <v>2.9061172265031514</v>
      </c>
      <c r="BD133" s="19">
        <v>2.9061172265031514</v>
      </c>
      <c r="BE133" s="19">
        <v>3.0085886726479956</v>
      </c>
      <c r="BF133" s="19">
        <v>4.7248602272088078</v>
      </c>
      <c r="BG133" s="19">
        <v>3.2547750021939028</v>
      </c>
      <c r="BH133" s="19">
        <v>3.4365905691937408</v>
      </c>
      <c r="BI133" s="19">
        <v>4.3727239033512895</v>
      </c>
      <c r="BJ133" s="19">
        <v>5.0115502297814833</v>
      </c>
      <c r="BK133" s="19">
        <v>3.9519891325292313</v>
      </c>
      <c r="BL133" s="19">
        <v>3.5467085913041814</v>
      </c>
      <c r="BM133" s="19">
        <v>3.5835795609001408</v>
      </c>
      <c r="BN133" s="19">
        <v>3.677988277310924</v>
      </c>
      <c r="BO133" s="19">
        <v>3.5915561289073308</v>
      </c>
      <c r="BP133" s="19">
        <v>3.544628812515803</v>
      </c>
      <c r="BQ133" s="19">
        <v>3.6400870601694915</v>
      </c>
      <c r="BR133" s="19">
        <v>3.7477457128087899</v>
      </c>
      <c r="BS133" s="19">
        <v>3.7477457128087899</v>
      </c>
      <c r="BT133" s="19">
        <v>3.6841042598228251</v>
      </c>
      <c r="BU133" s="19">
        <v>3.6856077795464492</v>
      </c>
      <c r="BV133" s="19">
        <v>3.9541805041293512</v>
      </c>
      <c r="BW133" s="19">
        <v>3.4129050221185446</v>
      </c>
      <c r="BX133" s="19">
        <v>3.9798923788159697</v>
      </c>
      <c r="BY133" s="19">
        <v>3.0578570226063069</v>
      </c>
      <c r="BZ133" s="19">
        <v>47.883513317114897</v>
      </c>
      <c r="CA133" s="19">
        <v>52.866544719840498</v>
      </c>
      <c r="CB133" s="19">
        <v>60.1281200543662</v>
      </c>
      <c r="CC133" s="19">
        <v>65.912084842333797</v>
      </c>
      <c r="CD133" s="19">
        <v>71.292538584301397</v>
      </c>
      <c r="CE133" s="19">
        <v>76.945983040058081</v>
      </c>
      <c r="CF133" s="19">
        <v>83.115131717976197</v>
      </c>
      <c r="CG133" s="19">
        <v>90.095797405154627</v>
      </c>
      <c r="CH133" s="19">
        <v>94.90095364671798</v>
      </c>
      <c r="CI133" s="19">
        <v>101.94169140478273</v>
      </c>
      <c r="CJ133" s="19">
        <v>83.623693379790893</v>
      </c>
      <c r="CK133" s="19">
        <v>105.70847320556599</v>
      </c>
      <c r="CL133" s="19">
        <v>132.24711608886699</v>
      </c>
      <c r="CM133" s="19">
        <v>163.62179565429699</v>
      </c>
      <c r="CN133" s="19">
        <v>166.26488292057201</v>
      </c>
      <c r="CO133" s="19">
        <v>179.308702934644</v>
      </c>
      <c r="CP133" s="19">
        <v>183.51821393525901</v>
      </c>
      <c r="CQ133" s="19">
        <v>152.83535244965901</v>
      </c>
      <c r="CR133" s="19">
        <v>155.14423902447899</v>
      </c>
      <c r="CS133" s="19">
        <v>159.95148592408401</v>
      </c>
      <c r="CT133" s="19">
        <v>179.16845913292204</v>
      </c>
      <c r="CU133" s="19">
        <v>193.21156541843729</v>
      </c>
      <c r="CV133" s="19">
        <v>200</v>
      </c>
      <c r="CW133" s="19">
        <v>200</v>
      </c>
      <c r="CX133" s="19">
        <v>200</v>
      </c>
      <c r="CY133" s="19">
        <v>3.1580841435683462</v>
      </c>
      <c r="CZ133" s="19">
        <v>3.2725018449761492</v>
      </c>
      <c r="DA133" s="19">
        <v>3.0704903541490864</v>
      </c>
      <c r="DB133" s="19">
        <v>2.9388778431372549</v>
      </c>
      <c r="DC133" s="19">
        <v>2.8105857947441217</v>
      </c>
      <c r="DD133" s="19">
        <v>2.7924693857142859</v>
      </c>
      <c r="DE133" s="19">
        <v>3.0329135389830504</v>
      </c>
      <c r="DF133" s="19">
        <v>3.3337661298419352</v>
      </c>
      <c r="DG133" s="19">
        <v>3.3337661298419352</v>
      </c>
      <c r="DH133" s="19">
        <v>3.4827876715333268</v>
      </c>
      <c r="DI133" s="19">
        <v>3.0823992568130238</v>
      </c>
      <c r="DJ133" s="19">
        <v>2.5385701218073535</v>
      </c>
      <c r="DK133" s="19">
        <v>3.8078929941628701</v>
      </c>
      <c r="DL133" s="19">
        <v>2.9201805625440809</v>
      </c>
      <c r="DM133" s="19">
        <v>3.6131560570610497</v>
      </c>
      <c r="DN133" s="19">
        <v>3.0164714068406022</v>
      </c>
      <c r="DO133" s="19">
        <v>3.2501088270054463</v>
      </c>
      <c r="DP133" s="19">
        <v>3.342106201547117</v>
      </c>
      <c r="DQ133" s="19">
        <v>3.6140175305322129</v>
      </c>
      <c r="DR133" s="19">
        <v>3.5813763883817424</v>
      </c>
      <c r="DS133" s="19">
        <v>3.4999703053097346</v>
      </c>
      <c r="DT133" s="19">
        <v>3.7741946110169495</v>
      </c>
      <c r="DU133" s="19">
        <v>4.1293064800694523</v>
      </c>
      <c r="DV133" s="19">
        <v>4.1293064800694523</v>
      </c>
      <c r="DW133" s="19">
        <v>3.9952904283895645</v>
      </c>
      <c r="DX133" s="19">
        <v>4.2414239056435132</v>
      </c>
      <c r="DY133" s="19">
        <v>4.7535456586884797</v>
      </c>
      <c r="DZ133" s="19">
        <v>4.8390630879113488</v>
      </c>
      <c r="EA133" s="19">
        <v>4.6838130212475182</v>
      </c>
      <c r="EB133" s="19">
        <v>5.2134993016442328</v>
      </c>
      <c r="EC133" s="19">
        <v>2.4174606276770736</v>
      </c>
      <c r="ED133" s="19">
        <v>2.5489244117743661</v>
      </c>
      <c r="EE133" s="19">
        <v>2.4163655066104082</v>
      </c>
      <c r="EF133" s="19">
        <v>2.4433012319327729</v>
      </c>
      <c r="EG133" s="19">
        <v>2.4070303053941906</v>
      </c>
      <c r="EH133" s="19">
        <v>2.3414379512010113</v>
      </c>
      <c r="EI133" s="19">
        <v>2.4526419101694916</v>
      </c>
      <c r="EJ133" s="19">
        <v>2.7171675602710126</v>
      </c>
      <c r="EK133" s="19">
        <v>2.7171675602710126</v>
      </c>
      <c r="EL133" s="19">
        <v>2.7744710666643089</v>
      </c>
      <c r="EM133" s="19">
        <v>3.3014501467350508</v>
      </c>
      <c r="EN133" s="19">
        <v>2.6429423103949512</v>
      </c>
      <c r="EO133" s="19">
        <v>2.8713638384589348</v>
      </c>
      <c r="EP133" s="19">
        <v>2.7658906978689641</v>
      </c>
      <c r="EQ133" s="19">
        <v>3.4052718218908828</v>
      </c>
      <c r="ER133" s="19"/>
      <c r="ES133" s="16">
        <f t="shared" ref="ES133:FB148" si="9">IF(SUMIF($F$2:$EQ$2,ES$2&amp;"_"&amp;ES$3,$F133:$EQ133)=0,".",SUMIF($F$2:$EQ$2,ES$2&amp;"_"&amp;ES$3,$F133:$EQ133))</f>
        <v>3.3371332705248604</v>
      </c>
      <c r="ET133" s="16">
        <f t="shared" si="9"/>
        <v>3.1413370079902903</v>
      </c>
      <c r="EU133" s="16">
        <f t="shared" si="9"/>
        <v>3.8616962013831255</v>
      </c>
      <c r="EV133" s="16">
        <f t="shared" si="9"/>
        <v>2.41619592780083</v>
      </c>
      <c r="EW133" s="16">
        <f t="shared" si="9"/>
        <v>3.5915561289073308</v>
      </c>
      <c r="EX133" s="16" t="str">
        <f t="shared" si="9"/>
        <v>.</v>
      </c>
      <c r="EY133" s="16">
        <f t="shared" si="9"/>
        <v>166.26488292057201</v>
      </c>
      <c r="EZ133" s="16">
        <f t="shared" si="9"/>
        <v>2.8105857947441217</v>
      </c>
      <c r="FA133" s="16">
        <f t="shared" si="9"/>
        <v>3.5813763883817424</v>
      </c>
      <c r="FB133" s="16">
        <f t="shared" si="9"/>
        <v>2.4070303053941906</v>
      </c>
    </row>
    <row r="134" spans="1:158" x14ac:dyDescent="0.25">
      <c r="A134" s="17">
        <v>131</v>
      </c>
      <c r="B134" s="17" t="s">
        <v>159</v>
      </c>
      <c r="C134" s="17" t="s">
        <v>159</v>
      </c>
      <c r="D134" s="17" t="s">
        <v>14</v>
      </c>
      <c r="E134" s="16">
        <v>1</v>
      </c>
      <c r="F134" s="18">
        <v>3.8314873342283855</v>
      </c>
      <c r="G134" s="18">
        <v>3.5883492624770872</v>
      </c>
      <c r="H134" s="18">
        <v>3.8534104895171888</v>
      </c>
      <c r="I134" s="18">
        <v>3.5324312631578949</v>
      </c>
      <c r="J134" s="18">
        <v>3.7487111483777937</v>
      </c>
      <c r="K134" s="18">
        <v>3.9092434736842105</v>
      </c>
      <c r="L134" s="18">
        <v>3.8595130851674639</v>
      </c>
      <c r="M134" s="18">
        <v>3.8308922105263159</v>
      </c>
      <c r="N134" s="18">
        <v>3.9122711312165444</v>
      </c>
      <c r="O134" s="18">
        <v>3.965743494878764</v>
      </c>
      <c r="P134" s="18">
        <v>3.9909238960931903</v>
      </c>
      <c r="Q134" s="18">
        <v>3.528062469080993</v>
      </c>
      <c r="R134" s="18">
        <v>4.0656226739064358</v>
      </c>
      <c r="S134" s="18">
        <v>3.9305343541102049</v>
      </c>
      <c r="T134" s="18">
        <v>4.5277023428411391</v>
      </c>
      <c r="U134" s="18">
        <v>2.9215251249330989</v>
      </c>
      <c r="V134" s="18">
        <v>3.2248780947436519</v>
      </c>
      <c r="W134" s="18">
        <v>3.1218344287348119</v>
      </c>
      <c r="X134" s="18">
        <v>3.0736571333333336</v>
      </c>
      <c r="Y134" s="18">
        <v>3.2633628463013702</v>
      </c>
      <c r="Z134" s="18">
        <v>3.4041706666666665</v>
      </c>
      <c r="AA134" s="18">
        <v>3.4375521357575756</v>
      </c>
      <c r="AB134" s="18">
        <v>3.4567638666666665</v>
      </c>
      <c r="AC134" s="18">
        <v>3.5748872270549215</v>
      </c>
      <c r="AD134" s="19">
        <v>3.5637888382224379</v>
      </c>
      <c r="AE134" s="19">
        <v>3.3063954876644219</v>
      </c>
      <c r="AF134" s="19">
        <v>3.6835883155846743</v>
      </c>
      <c r="AG134" s="19">
        <v>3.8201829584833158</v>
      </c>
      <c r="AH134" s="19">
        <v>3.9113217494620796</v>
      </c>
      <c r="AI134" s="19">
        <v>3.9656220618355809</v>
      </c>
      <c r="AJ134" s="19">
        <v>5.0093350000000001</v>
      </c>
      <c r="AK134" s="19">
        <v>4.8368062972602743</v>
      </c>
      <c r="AL134" s="19">
        <v>4.7087480000000008</v>
      </c>
      <c r="AM134" s="19">
        <v>4.9747859504132226</v>
      </c>
      <c r="AN134" s="19">
        <v>5.1278963333333332</v>
      </c>
      <c r="AO134" s="19">
        <v>5.0004905855691355</v>
      </c>
      <c r="AP134" s="19">
        <v>4.8899643706155071</v>
      </c>
      <c r="AQ134" s="19">
        <v>5.3175369426809498</v>
      </c>
      <c r="AR134" s="19">
        <v>4.7123021142096153</v>
      </c>
      <c r="AS134" s="19">
        <v>5.1942489357258932</v>
      </c>
      <c r="AT134" s="19">
        <v>5.4754467177745143</v>
      </c>
      <c r="AU134" s="19">
        <v>5.002800122634028</v>
      </c>
      <c r="AV134" s="19">
        <v>4.3057239634146693</v>
      </c>
      <c r="AW134" s="19">
        <v>5.2726509683687075</v>
      </c>
      <c r="AX134" s="19">
        <v>5.1588349477401039</v>
      </c>
      <c r="AY134" s="19">
        <v>5.0308710000000003</v>
      </c>
      <c r="AZ134" s="19">
        <v>5.1834248821917814</v>
      </c>
      <c r="BA134" s="19">
        <v>5.2966569999999997</v>
      </c>
      <c r="BB134" s="19">
        <v>4.9790083917355368</v>
      </c>
      <c r="BC134" s="19">
        <v>4.796195</v>
      </c>
      <c r="BD134" s="19">
        <v>5.2248148166158961</v>
      </c>
      <c r="BE134" s="19">
        <v>5.4690310018178128</v>
      </c>
      <c r="BF134" s="19">
        <v>5.4257454162683647</v>
      </c>
      <c r="BG134" s="19">
        <v>5.0124016252455617</v>
      </c>
      <c r="BH134" s="19">
        <v>5.3287086047384999</v>
      </c>
      <c r="BI134" s="19">
        <v>6.3142967714058873</v>
      </c>
      <c r="BJ134" s="19">
        <v>4.969357747483139</v>
      </c>
      <c r="BK134" s="19">
        <v>3.2497536276335568</v>
      </c>
      <c r="BL134" s="19">
        <v>3.5850257345952983</v>
      </c>
      <c r="BM134" s="19">
        <v>2.7350650308809645</v>
      </c>
      <c r="BN134" s="19">
        <v>2.5815160000000001</v>
      </c>
      <c r="BO134" s="19">
        <v>2.8429094369863015</v>
      </c>
      <c r="BP134" s="19">
        <v>3.0369270000000004</v>
      </c>
      <c r="BQ134" s="19">
        <v>3.3285480247933883</v>
      </c>
      <c r="BR134" s="19">
        <v>3.4963820000000005</v>
      </c>
      <c r="BS134" s="19">
        <v>3.2913419645324629</v>
      </c>
      <c r="BT134" s="19">
        <v>3.0934126466381393</v>
      </c>
      <c r="BU134" s="19">
        <v>2.8447205163434326</v>
      </c>
      <c r="BV134" s="19">
        <v>3.3874827616743834</v>
      </c>
      <c r="BW134" s="19">
        <v>3.6392298349530385</v>
      </c>
      <c r="BX134" s="19">
        <v>3.2868713483095968</v>
      </c>
      <c r="BY134" s="19">
        <v>3.5071799678769002</v>
      </c>
      <c r="BZ134" s="19">
        <v>6.4017563819628203</v>
      </c>
      <c r="CA134" s="19">
        <v>3.2452621084183102</v>
      </c>
      <c r="CB134" s="19">
        <v>5.8315179982680796</v>
      </c>
      <c r="CC134" s="19">
        <v>11.117665721849599</v>
      </c>
      <c r="CD134" s="19">
        <v>25.878015015281999</v>
      </c>
      <c r="CE134" s="19">
        <v>24.126464388530113</v>
      </c>
      <c r="CF134" s="19">
        <v>28.173954890025534</v>
      </c>
      <c r="CG134" s="19">
        <v>33.758991444038955</v>
      </c>
      <c r="CH134" s="19">
        <v>33.803850041448939</v>
      </c>
      <c r="CI134" s="19">
        <v>42.558175939942657</v>
      </c>
      <c r="CJ134" s="19">
        <v>12.74</v>
      </c>
      <c r="CK134" s="19">
        <v>17.420000000000002</v>
      </c>
      <c r="CL134" s="19">
        <v>22.1</v>
      </c>
      <c r="CM134" s="19">
        <v>24.298316955566399</v>
      </c>
      <c r="CN134" s="19">
        <v>33.4032316438104</v>
      </c>
      <c r="CO134" s="19">
        <v>40.630670888563003</v>
      </c>
      <c r="CP134" s="19">
        <v>50.486684186516698</v>
      </c>
      <c r="CQ134" s="19">
        <v>56.800793986543702</v>
      </c>
      <c r="CR134" s="19">
        <v>64.024691139680499</v>
      </c>
      <c r="CS134" s="19">
        <v>70.482905341605502</v>
      </c>
      <c r="CT134" s="19">
        <v>76.40929150327392</v>
      </c>
      <c r="CU134" s="19">
        <v>83.692238357948753</v>
      </c>
      <c r="CV134" s="19">
        <v>90.174688484794103</v>
      </c>
      <c r="CW134" s="19">
        <v>95.706732877846463</v>
      </c>
      <c r="CX134" s="19">
        <v>103.55728429715479</v>
      </c>
      <c r="CY134" s="19">
        <v>4.6559095496422067</v>
      </c>
      <c r="CZ134" s="19">
        <v>4.5486391922012199</v>
      </c>
      <c r="DA134" s="19">
        <v>4.9249547450303677</v>
      </c>
      <c r="DB134" s="19">
        <v>4.9554070000000001</v>
      </c>
      <c r="DC134" s="19">
        <v>5.093705124657534</v>
      </c>
      <c r="DD134" s="19">
        <v>5.1963559999999998</v>
      </c>
      <c r="DE134" s="19">
        <v>5.2394928462809922</v>
      </c>
      <c r="DF134" s="19">
        <v>5.2643190000000004</v>
      </c>
      <c r="DG134" s="19">
        <v>5.5707194313901862</v>
      </c>
      <c r="DH134" s="19">
        <v>5.7055340609361416</v>
      </c>
      <c r="DI134" s="19">
        <v>5.52956808096621</v>
      </c>
      <c r="DJ134" s="19">
        <v>6.0739539118721</v>
      </c>
      <c r="DK134" s="19">
        <v>6.2436812899771077</v>
      </c>
      <c r="DL134" s="19">
        <v>6.3104696332291113</v>
      </c>
      <c r="DM134" s="19">
        <v>5.7332983174854473</v>
      </c>
      <c r="DN134" s="19">
        <v>3.2446053465682341</v>
      </c>
      <c r="DO134" s="19">
        <v>4.3005168449044495</v>
      </c>
      <c r="DP134" s="19">
        <v>4.4790658113014254</v>
      </c>
      <c r="DQ134" s="19">
        <v>4.3139849999999997</v>
      </c>
      <c r="DR134" s="19">
        <v>4.6486758863013691</v>
      </c>
      <c r="DS134" s="19">
        <v>4.8970979999999997</v>
      </c>
      <c r="DT134" s="19">
        <v>4.4926419074380162</v>
      </c>
      <c r="DU134" s="19">
        <v>4.2598690000000001</v>
      </c>
      <c r="DV134" s="19">
        <v>4.4552282146701732</v>
      </c>
      <c r="DW134" s="19">
        <v>4.6184352876856467</v>
      </c>
      <c r="DX134" s="19">
        <v>5.2638696136962508</v>
      </c>
      <c r="DY134" s="19">
        <v>5.1998818393697626</v>
      </c>
      <c r="DZ134" s="19">
        <v>4.64015394381956</v>
      </c>
      <c r="EA134" s="19">
        <v>5.0304635453383373</v>
      </c>
      <c r="EB134" s="19">
        <v>5.633594477329706</v>
      </c>
      <c r="EC134" s="19">
        <v>2.9399670242799378</v>
      </c>
      <c r="ED134" s="19">
        <v>3.6666144424831097</v>
      </c>
      <c r="EE134" s="19">
        <v>3.8835297144446046</v>
      </c>
      <c r="EF134" s="19">
        <v>4.1499050000000004</v>
      </c>
      <c r="EG134" s="19">
        <v>4.6144043821917808</v>
      </c>
      <c r="EH134" s="19">
        <v>4.9591760000000003</v>
      </c>
      <c r="EI134" s="19">
        <v>4.7797959537190078</v>
      </c>
      <c r="EJ134" s="19">
        <v>4.676559000000001</v>
      </c>
      <c r="EK134" s="19">
        <v>4.8712552803209501</v>
      </c>
      <c r="EL134" s="19">
        <v>4.9899628920702153</v>
      </c>
      <c r="EM134" s="19">
        <v>5.4047486981962409</v>
      </c>
      <c r="EN134" s="19">
        <v>6.2916525432559736</v>
      </c>
      <c r="EO134" s="19">
        <v>6.4273796501110265</v>
      </c>
      <c r="EP134" s="19">
        <v>6.2446155971433281</v>
      </c>
      <c r="EQ134" s="19">
        <v>6.5392562742278013</v>
      </c>
      <c r="ER134" s="19"/>
      <c r="ES134" s="16">
        <f t="shared" si="9"/>
        <v>3.7487111483777937</v>
      </c>
      <c r="ET134" s="16">
        <f t="shared" si="9"/>
        <v>3.2633628463013702</v>
      </c>
      <c r="EU134" s="16">
        <f t="shared" si="9"/>
        <v>4.8368062972602743</v>
      </c>
      <c r="EV134" s="16">
        <f t="shared" si="9"/>
        <v>5.1834248821917814</v>
      </c>
      <c r="EW134" s="16">
        <f t="shared" si="9"/>
        <v>2.8429094369863015</v>
      </c>
      <c r="EX134" s="16" t="str">
        <f t="shared" si="9"/>
        <v>.</v>
      </c>
      <c r="EY134" s="16">
        <f t="shared" si="9"/>
        <v>33.4032316438104</v>
      </c>
      <c r="EZ134" s="16">
        <f t="shared" si="9"/>
        <v>5.093705124657534</v>
      </c>
      <c r="FA134" s="16">
        <f t="shared" si="9"/>
        <v>4.6486758863013691</v>
      </c>
      <c r="FB134" s="16">
        <f t="shared" si="9"/>
        <v>4.6144043821917808</v>
      </c>
    </row>
    <row r="135" spans="1:158" x14ac:dyDescent="0.25">
      <c r="A135" s="17">
        <v>132</v>
      </c>
      <c r="B135" s="17" t="s">
        <v>160</v>
      </c>
      <c r="C135" s="17" t="s">
        <v>161</v>
      </c>
      <c r="D135" s="17" t="s">
        <v>16</v>
      </c>
      <c r="E135" s="16">
        <v>0</v>
      </c>
      <c r="F135" s="18">
        <v>4.04</v>
      </c>
      <c r="G135" s="18">
        <v>5.05</v>
      </c>
      <c r="H135" s="18">
        <v>3.76</v>
      </c>
      <c r="I135" s="18">
        <v>4.25</v>
      </c>
      <c r="J135" s="18">
        <v>4.92</v>
      </c>
      <c r="K135" s="18">
        <v>4.75</v>
      </c>
      <c r="L135" s="18">
        <v>3.49</v>
      </c>
      <c r="M135" s="18">
        <v>4.34</v>
      </c>
      <c r="N135" s="18">
        <v>5.01</v>
      </c>
      <c r="O135" s="18">
        <v>4.6100000000000003</v>
      </c>
      <c r="P135" s="18">
        <v>3.03</v>
      </c>
      <c r="Q135" s="18">
        <v>4.4800000000000004</v>
      </c>
      <c r="R135" s="18">
        <v>5.08</v>
      </c>
      <c r="S135" s="18">
        <v>5.13</v>
      </c>
      <c r="T135" s="18">
        <v>5.13</v>
      </c>
      <c r="U135" s="18">
        <v>2.31</v>
      </c>
      <c r="V135" s="18">
        <v>2.91</v>
      </c>
      <c r="W135" s="18">
        <v>4.63</v>
      </c>
      <c r="X135" s="18">
        <v>3.64</v>
      </c>
      <c r="Y135" s="18">
        <v>3.56</v>
      </c>
      <c r="Z135" s="18">
        <v>4.21</v>
      </c>
      <c r="AA135" s="18">
        <v>3.92</v>
      </c>
      <c r="AB135" s="18">
        <v>3.34</v>
      </c>
      <c r="AC135" s="18">
        <v>5.82</v>
      </c>
      <c r="AD135" s="19">
        <v>2.78</v>
      </c>
      <c r="AE135" s="19">
        <v>3.08</v>
      </c>
      <c r="AF135" s="19">
        <v>4.13</v>
      </c>
      <c r="AG135" s="19">
        <v>4.2300000000000004</v>
      </c>
      <c r="AH135" s="19">
        <v>4.62</v>
      </c>
      <c r="AI135" s="19">
        <v>3.6</v>
      </c>
      <c r="AJ135" s="19">
        <v>4.55</v>
      </c>
      <c r="AK135" s="19">
        <v>4.13</v>
      </c>
      <c r="AL135" s="19">
        <v>4.32</v>
      </c>
      <c r="AM135" s="19">
        <v>4.38</v>
      </c>
      <c r="AN135" s="19">
        <v>5.18</v>
      </c>
      <c r="AO135" s="19">
        <v>4.1900000000000004</v>
      </c>
      <c r="AP135" s="19">
        <v>3.29</v>
      </c>
      <c r="AQ135" s="19">
        <v>3.8</v>
      </c>
      <c r="AR135" s="19">
        <v>4.62</v>
      </c>
      <c r="AS135" s="19">
        <v>2.12</v>
      </c>
      <c r="AT135" s="19">
        <v>3.27</v>
      </c>
      <c r="AU135" s="19">
        <v>3.38</v>
      </c>
      <c r="AV135" s="19">
        <v>2.2400000000000002</v>
      </c>
      <c r="AW135" s="19">
        <v>2.62</v>
      </c>
      <c r="AX135" s="19">
        <v>3.43</v>
      </c>
      <c r="AY135" s="19">
        <v>4</v>
      </c>
      <c r="AZ135" s="19">
        <v>3.93</v>
      </c>
      <c r="BA135" s="19">
        <v>2.23</v>
      </c>
      <c r="BB135" s="19">
        <v>3.8</v>
      </c>
      <c r="BC135" s="19">
        <v>3.18</v>
      </c>
      <c r="BD135" s="19">
        <v>3.74</v>
      </c>
      <c r="BE135" s="19">
        <v>4.41</v>
      </c>
      <c r="BF135" s="19">
        <v>5.42</v>
      </c>
      <c r="BG135" s="19">
        <v>5.44</v>
      </c>
      <c r="BH135" s="19">
        <v>4.07</v>
      </c>
      <c r="BI135" s="19">
        <v>7</v>
      </c>
      <c r="BJ135" s="19">
        <v>5.63</v>
      </c>
      <c r="BK135" s="19">
        <v>4.8899999999999997</v>
      </c>
      <c r="BL135" s="19">
        <v>3.41</v>
      </c>
      <c r="BM135" s="19">
        <v>4.54</v>
      </c>
      <c r="BN135" s="19">
        <v>3.12</v>
      </c>
      <c r="BO135" s="19">
        <v>4.7300000000000004</v>
      </c>
      <c r="BP135" s="19">
        <v>4.16</v>
      </c>
      <c r="BQ135" s="19">
        <v>3.56</v>
      </c>
      <c r="BR135" s="19">
        <v>3.69</v>
      </c>
      <c r="BS135" s="19">
        <v>2.96</v>
      </c>
      <c r="BT135" s="19">
        <v>3.43</v>
      </c>
      <c r="BU135" s="19">
        <v>2.98</v>
      </c>
      <c r="BV135" s="19">
        <v>3.46</v>
      </c>
      <c r="BW135" s="19">
        <v>2.46</v>
      </c>
      <c r="BX135" s="19">
        <v>3.3</v>
      </c>
      <c r="BY135" s="19">
        <v>3.03</v>
      </c>
      <c r="BZ135" s="19">
        <v>29.27</v>
      </c>
      <c r="CA135" s="19">
        <v>2.02</v>
      </c>
      <c r="CB135" s="19">
        <v>1</v>
      </c>
      <c r="CC135" s="19">
        <v>48.03</v>
      </c>
      <c r="CD135" s="19">
        <v>1</v>
      </c>
      <c r="CE135" s="19">
        <v>66.37</v>
      </c>
      <c r="CF135" s="19">
        <v>28.4</v>
      </c>
      <c r="CG135" s="19">
        <v>132.93</v>
      </c>
      <c r="CH135" s="19">
        <v>119.27</v>
      </c>
      <c r="CI135" s="19">
        <v>31.94</v>
      </c>
      <c r="CJ135" s="19">
        <v>59.6</v>
      </c>
      <c r="CK135" s="19">
        <v>95.77</v>
      </c>
      <c r="CL135" s="19">
        <v>51.95</v>
      </c>
      <c r="CM135" s="19">
        <v>54.86</v>
      </c>
      <c r="CN135" s="19">
        <v>32.03</v>
      </c>
      <c r="CO135" s="19">
        <v>112</v>
      </c>
      <c r="CP135" s="19">
        <v>95.32</v>
      </c>
      <c r="CQ135" s="19">
        <v>117.92</v>
      </c>
      <c r="CR135" s="19">
        <v>72.8</v>
      </c>
      <c r="CS135" s="19">
        <v>189.99</v>
      </c>
      <c r="CT135" s="19">
        <v>196.8</v>
      </c>
      <c r="CU135" s="19">
        <v>167.32</v>
      </c>
      <c r="CV135" s="19">
        <v>148.93</v>
      </c>
      <c r="CW135" s="19">
        <v>132.65</v>
      </c>
      <c r="CX135" s="19">
        <v>93.05</v>
      </c>
      <c r="CY135" s="19">
        <v>5.66</v>
      </c>
      <c r="CZ135" s="19">
        <v>5</v>
      </c>
      <c r="DA135" s="19">
        <v>5.77</v>
      </c>
      <c r="DB135" s="19">
        <v>5.4</v>
      </c>
      <c r="DC135" s="19">
        <v>3.87</v>
      </c>
      <c r="DD135" s="19">
        <v>4.5</v>
      </c>
      <c r="DE135" s="19">
        <v>4.0199999999999996</v>
      </c>
      <c r="DF135" s="19">
        <v>3.96</v>
      </c>
      <c r="DG135" s="19">
        <v>3.74</v>
      </c>
      <c r="DH135" s="19">
        <v>2.94</v>
      </c>
      <c r="DI135" s="19">
        <v>4.26</v>
      </c>
      <c r="DJ135" s="19">
        <v>4.87</v>
      </c>
      <c r="DK135" s="19">
        <v>1.95</v>
      </c>
      <c r="DL135" s="19">
        <v>4.3</v>
      </c>
      <c r="DM135" s="19">
        <v>5.45</v>
      </c>
      <c r="DN135" s="19">
        <v>2.65</v>
      </c>
      <c r="DO135" s="19">
        <v>4.5</v>
      </c>
      <c r="DP135" s="19">
        <v>2.89</v>
      </c>
      <c r="DQ135" s="19">
        <v>2.25</v>
      </c>
      <c r="DR135" s="19">
        <v>3.15</v>
      </c>
      <c r="DS135" s="19">
        <v>3.57</v>
      </c>
      <c r="DT135" s="19">
        <v>2.98</v>
      </c>
      <c r="DU135" s="19">
        <v>6.65</v>
      </c>
      <c r="DV135" s="19">
        <v>6.07</v>
      </c>
      <c r="DW135" s="19">
        <v>2.91</v>
      </c>
      <c r="DX135" s="19">
        <v>4.53</v>
      </c>
      <c r="DY135" s="19">
        <v>5.17</v>
      </c>
      <c r="DZ135" s="19">
        <v>7</v>
      </c>
      <c r="EA135" s="19">
        <v>6.03</v>
      </c>
      <c r="EB135" s="19">
        <v>2.89</v>
      </c>
      <c r="EC135" s="19">
        <v>5.85</v>
      </c>
      <c r="ED135" s="19">
        <v>4.68</v>
      </c>
      <c r="EE135" s="19">
        <v>4.12</v>
      </c>
      <c r="EF135" s="19">
        <v>5.26</v>
      </c>
      <c r="EG135" s="19">
        <v>3.66</v>
      </c>
      <c r="EH135" s="19">
        <v>5.15</v>
      </c>
      <c r="EI135" s="19">
        <v>4.3899999999999997</v>
      </c>
      <c r="EJ135" s="19">
        <v>3.4</v>
      </c>
      <c r="EK135" s="19">
        <v>5.47</v>
      </c>
      <c r="EL135" s="19">
        <v>3.61</v>
      </c>
      <c r="EM135" s="19">
        <v>3.47</v>
      </c>
      <c r="EN135" s="19">
        <v>6.72</v>
      </c>
      <c r="EO135" s="19">
        <v>4.24</v>
      </c>
      <c r="EP135" s="19">
        <v>5.62</v>
      </c>
      <c r="EQ135" s="19">
        <v>5.94</v>
      </c>
      <c r="ER135" s="19"/>
      <c r="ES135" s="16">
        <f t="shared" si="9"/>
        <v>4.92</v>
      </c>
      <c r="ET135" s="16">
        <f t="shared" si="9"/>
        <v>3.56</v>
      </c>
      <c r="EU135" s="16">
        <f t="shared" si="9"/>
        <v>4.13</v>
      </c>
      <c r="EV135" s="16">
        <f t="shared" si="9"/>
        <v>3.93</v>
      </c>
      <c r="EW135" s="16">
        <f t="shared" si="9"/>
        <v>4.7300000000000004</v>
      </c>
      <c r="EX135" s="16" t="str">
        <f t="shared" si="9"/>
        <v>.</v>
      </c>
      <c r="EY135" s="16">
        <f t="shared" si="9"/>
        <v>32.03</v>
      </c>
      <c r="EZ135" s="16">
        <f t="shared" si="9"/>
        <v>3.87</v>
      </c>
      <c r="FA135" s="16">
        <f t="shared" si="9"/>
        <v>3.15</v>
      </c>
      <c r="FB135" s="16">
        <f t="shared" si="9"/>
        <v>3.66</v>
      </c>
    </row>
    <row r="136" spans="1:158" x14ac:dyDescent="0.25">
      <c r="A136" s="17">
        <v>133</v>
      </c>
      <c r="B136" s="17" t="s">
        <v>162</v>
      </c>
      <c r="C136" s="17" t="s">
        <v>162</v>
      </c>
      <c r="D136" s="17" t="s">
        <v>21</v>
      </c>
      <c r="E136" s="16">
        <v>0</v>
      </c>
      <c r="F136" s="18">
        <v>3.54</v>
      </c>
      <c r="G136" s="18">
        <v>3.88</v>
      </c>
      <c r="H136" s="18">
        <v>3.93</v>
      </c>
      <c r="I136" s="18">
        <v>3.81</v>
      </c>
      <c r="J136" s="18">
        <v>4.12</v>
      </c>
      <c r="K136" s="18">
        <v>3.9</v>
      </c>
      <c r="L136" s="18">
        <v>4.2699999999999996</v>
      </c>
      <c r="M136" s="18">
        <v>3.73</v>
      </c>
      <c r="N136" s="18">
        <v>3.51</v>
      </c>
      <c r="O136" s="18">
        <v>3.69</v>
      </c>
      <c r="P136" s="18">
        <v>5.08</v>
      </c>
      <c r="Q136" s="18">
        <v>3.68</v>
      </c>
      <c r="R136" s="18">
        <v>3.47</v>
      </c>
      <c r="S136" s="18">
        <v>3.58</v>
      </c>
      <c r="T136" s="18">
        <v>3.47</v>
      </c>
      <c r="U136" s="18">
        <v>3.05</v>
      </c>
      <c r="V136" s="18">
        <v>3.26</v>
      </c>
      <c r="W136" s="18">
        <v>3.32</v>
      </c>
      <c r="X136" s="18">
        <v>3.79</v>
      </c>
      <c r="Y136" s="18">
        <v>3.1</v>
      </c>
      <c r="Z136" s="18">
        <v>2.44</v>
      </c>
      <c r="AA136" s="18">
        <v>3.58</v>
      </c>
      <c r="AB136" s="18">
        <v>2.7</v>
      </c>
      <c r="AC136" s="18">
        <v>2.64</v>
      </c>
      <c r="AD136" s="19">
        <v>3.23</v>
      </c>
      <c r="AE136" s="19">
        <v>3.03</v>
      </c>
      <c r="AF136" s="19">
        <v>3.45</v>
      </c>
      <c r="AG136" s="19">
        <v>4.07</v>
      </c>
      <c r="AH136" s="19">
        <v>3.17</v>
      </c>
      <c r="AI136" s="19">
        <v>3.52</v>
      </c>
      <c r="AJ136" s="19">
        <v>3.9</v>
      </c>
      <c r="AK136" s="19">
        <v>5.1100000000000003</v>
      </c>
      <c r="AL136" s="19">
        <v>4.54</v>
      </c>
      <c r="AM136" s="19">
        <v>3.76</v>
      </c>
      <c r="AN136" s="19">
        <v>4.68</v>
      </c>
      <c r="AO136" s="19">
        <v>3.78</v>
      </c>
      <c r="AP136" s="19">
        <v>4.1500000000000004</v>
      </c>
      <c r="AQ136" s="19">
        <v>4.6100000000000003</v>
      </c>
      <c r="AR136" s="19">
        <v>4.92</v>
      </c>
      <c r="AS136" s="19">
        <v>3.28</v>
      </c>
      <c r="AT136" s="19">
        <v>3.7</v>
      </c>
      <c r="AU136" s="19">
        <v>4.3899999999999997</v>
      </c>
      <c r="AV136" s="19">
        <v>2.52</v>
      </c>
      <c r="AW136" s="19">
        <v>3.77</v>
      </c>
      <c r="AX136" s="19">
        <v>2.2999999999999998</v>
      </c>
      <c r="AY136" s="19">
        <v>3.64</v>
      </c>
      <c r="AZ136" s="19">
        <v>2.86</v>
      </c>
      <c r="BA136" s="19">
        <v>3.3</v>
      </c>
      <c r="BB136" s="19">
        <v>4.42</v>
      </c>
      <c r="BC136" s="19">
        <v>3.18</v>
      </c>
      <c r="BD136" s="19">
        <v>3.8</v>
      </c>
      <c r="BE136" s="19">
        <v>2.52</v>
      </c>
      <c r="BF136" s="19">
        <v>5.46</v>
      </c>
      <c r="BG136" s="19">
        <v>4.88</v>
      </c>
      <c r="BH136" s="19">
        <v>5.1100000000000003</v>
      </c>
      <c r="BI136" s="19">
        <v>4.2699999999999996</v>
      </c>
      <c r="BJ136" s="19">
        <v>3.78</v>
      </c>
      <c r="BK136" s="19">
        <v>3.92</v>
      </c>
      <c r="BL136" s="19">
        <v>4.1399999999999997</v>
      </c>
      <c r="BM136" s="19">
        <v>2.52</v>
      </c>
      <c r="BN136" s="19">
        <v>2.96</v>
      </c>
      <c r="BO136" s="19">
        <v>3.18</v>
      </c>
      <c r="BP136" s="19">
        <v>2.66</v>
      </c>
      <c r="BQ136" s="19">
        <v>3.65</v>
      </c>
      <c r="BR136" s="19">
        <v>2.1</v>
      </c>
      <c r="BS136" s="19">
        <v>2.63</v>
      </c>
      <c r="BT136" s="19">
        <v>2.56</v>
      </c>
      <c r="BU136" s="19">
        <v>1.6</v>
      </c>
      <c r="BV136" s="19">
        <v>2.93</v>
      </c>
      <c r="BW136" s="19">
        <v>2.79</v>
      </c>
      <c r="BX136" s="19">
        <v>2.7</v>
      </c>
      <c r="BY136" s="19">
        <v>2.97</v>
      </c>
      <c r="BZ136" s="19">
        <v>2.64</v>
      </c>
      <c r="CA136" s="19">
        <v>9.1</v>
      </c>
      <c r="CB136" s="19">
        <v>1</v>
      </c>
      <c r="CC136" s="19">
        <v>20.81</v>
      </c>
      <c r="CD136" s="19">
        <v>50.55</v>
      </c>
      <c r="CE136" s="19">
        <v>74.290000000000006</v>
      </c>
      <c r="CF136" s="19">
        <v>1</v>
      </c>
      <c r="CG136" s="19">
        <v>73.91</v>
      </c>
      <c r="CH136" s="19">
        <v>1</v>
      </c>
      <c r="CI136" s="19">
        <v>1</v>
      </c>
      <c r="CJ136" s="19">
        <v>8.9600000000000009</v>
      </c>
      <c r="CK136" s="19">
        <v>4.32</v>
      </c>
      <c r="CL136" s="19">
        <v>28.16</v>
      </c>
      <c r="CM136" s="19">
        <v>80.63</v>
      </c>
      <c r="CN136" s="19">
        <v>92.23</v>
      </c>
      <c r="CO136" s="19">
        <v>64.06</v>
      </c>
      <c r="CP136" s="19">
        <v>90.61</v>
      </c>
      <c r="CQ136" s="19">
        <v>130.25</v>
      </c>
      <c r="CR136" s="19">
        <v>73.81</v>
      </c>
      <c r="CS136" s="19">
        <v>102.07</v>
      </c>
      <c r="CT136" s="19">
        <v>164.38</v>
      </c>
      <c r="CU136" s="19">
        <v>118.07</v>
      </c>
      <c r="CV136" s="19">
        <v>135.16</v>
      </c>
      <c r="CW136" s="19">
        <v>148.49</v>
      </c>
      <c r="CX136" s="19">
        <v>200</v>
      </c>
      <c r="CY136" s="19">
        <v>3.85</v>
      </c>
      <c r="CZ136" s="19">
        <v>4.8099999999999996</v>
      </c>
      <c r="DA136" s="19">
        <v>5.85</v>
      </c>
      <c r="DB136" s="19">
        <v>5.03</v>
      </c>
      <c r="DC136" s="19">
        <v>3.83</v>
      </c>
      <c r="DD136" s="19">
        <v>3.6</v>
      </c>
      <c r="DE136" s="19">
        <v>3.86</v>
      </c>
      <c r="DF136" s="19">
        <v>2.73</v>
      </c>
      <c r="DG136" s="19">
        <v>4.34</v>
      </c>
      <c r="DH136" s="19">
        <v>3.34</v>
      </c>
      <c r="DI136" s="19">
        <v>1.56</v>
      </c>
      <c r="DJ136" s="19">
        <v>4.1399999999999997</v>
      </c>
      <c r="DK136" s="19">
        <v>4.59</v>
      </c>
      <c r="DL136" s="19">
        <v>3.22</v>
      </c>
      <c r="DM136" s="19">
        <v>3.2</v>
      </c>
      <c r="DN136" s="19">
        <v>2.4500000000000002</v>
      </c>
      <c r="DO136" s="19">
        <v>3.41</v>
      </c>
      <c r="DP136" s="19">
        <v>2.6</v>
      </c>
      <c r="DQ136" s="19">
        <v>3.93</v>
      </c>
      <c r="DR136" s="19">
        <v>3.75</v>
      </c>
      <c r="DS136" s="19">
        <v>3.44</v>
      </c>
      <c r="DT136" s="19">
        <v>3.14</v>
      </c>
      <c r="DU136" s="19">
        <v>3.35</v>
      </c>
      <c r="DV136" s="19">
        <v>4.04</v>
      </c>
      <c r="DW136" s="19">
        <v>3.27</v>
      </c>
      <c r="DX136" s="19">
        <v>4.88</v>
      </c>
      <c r="DY136" s="19">
        <v>2.83</v>
      </c>
      <c r="DZ136" s="19">
        <v>2</v>
      </c>
      <c r="EA136" s="19">
        <v>4.46</v>
      </c>
      <c r="EB136" s="19">
        <v>2.46</v>
      </c>
      <c r="EC136" s="19">
        <v>3.87</v>
      </c>
      <c r="ED136" s="19">
        <v>4.13</v>
      </c>
      <c r="EE136" s="19">
        <v>1.84</v>
      </c>
      <c r="EF136" s="19">
        <v>4.9000000000000004</v>
      </c>
      <c r="EG136" s="19">
        <v>2.69</v>
      </c>
      <c r="EH136" s="19">
        <v>2.7</v>
      </c>
      <c r="EI136" s="19">
        <v>4.08</v>
      </c>
      <c r="EJ136" s="19">
        <v>3.33</v>
      </c>
      <c r="EK136" s="19">
        <v>2.7</v>
      </c>
      <c r="EL136" s="19">
        <v>2.52</v>
      </c>
      <c r="EM136" s="19">
        <v>4.22</v>
      </c>
      <c r="EN136" s="19">
        <v>3.03</v>
      </c>
      <c r="EO136" s="19">
        <v>3.05</v>
      </c>
      <c r="EP136" s="19">
        <v>4.18</v>
      </c>
      <c r="EQ136" s="19">
        <v>3.32</v>
      </c>
      <c r="ER136" s="19"/>
      <c r="ES136" s="16">
        <f t="shared" si="9"/>
        <v>4.12</v>
      </c>
      <c r="ET136" s="16">
        <f t="shared" si="9"/>
        <v>3.1</v>
      </c>
      <c r="EU136" s="16">
        <f t="shared" si="9"/>
        <v>5.1100000000000003</v>
      </c>
      <c r="EV136" s="16">
        <f t="shared" si="9"/>
        <v>2.86</v>
      </c>
      <c r="EW136" s="16">
        <f t="shared" si="9"/>
        <v>3.18</v>
      </c>
      <c r="EX136" s="16" t="str">
        <f t="shared" si="9"/>
        <v>.</v>
      </c>
      <c r="EY136" s="16">
        <f t="shared" si="9"/>
        <v>92.23</v>
      </c>
      <c r="EZ136" s="16">
        <f t="shared" si="9"/>
        <v>3.83</v>
      </c>
      <c r="FA136" s="16">
        <f t="shared" si="9"/>
        <v>3.75</v>
      </c>
      <c r="FB136" s="16">
        <f t="shared" si="9"/>
        <v>2.69</v>
      </c>
    </row>
    <row r="137" spans="1:158" x14ac:dyDescent="0.25">
      <c r="A137" s="17">
        <v>134</v>
      </c>
      <c r="B137" s="17" t="s">
        <v>163</v>
      </c>
      <c r="C137" s="17" t="s">
        <v>164</v>
      </c>
      <c r="D137" s="17" t="s">
        <v>9</v>
      </c>
      <c r="E137" s="16">
        <v>1</v>
      </c>
      <c r="F137" s="18">
        <v>4.4171019566838972</v>
      </c>
      <c r="G137" s="18">
        <v>4.5104555487893609</v>
      </c>
      <c r="H137" s="18">
        <v>4.6094043825492692</v>
      </c>
      <c r="I137" s="18">
        <v>4.9069715968749996</v>
      </c>
      <c r="J137" s="18">
        <v>5.1086397368421048</v>
      </c>
      <c r="K137" s="18">
        <v>4.9127179101214571</v>
      </c>
      <c r="L137" s="18">
        <v>4.7377374005623025</v>
      </c>
      <c r="M137" s="18">
        <v>4.5710303437038693</v>
      </c>
      <c r="N137" s="18">
        <v>4.5426270030331271</v>
      </c>
      <c r="O137" s="18">
        <v>4.5156880308333909</v>
      </c>
      <c r="P137" s="18">
        <v>4.276467776874858</v>
      </c>
      <c r="Q137" s="18">
        <v>4.9217717567860255</v>
      </c>
      <c r="R137" s="18">
        <v>4.0803240934151095</v>
      </c>
      <c r="S137" s="18">
        <v>4.2913152222287536</v>
      </c>
      <c r="T137" s="18">
        <v>4.3470117531661341</v>
      </c>
      <c r="U137" s="18">
        <v>3.4370375096225838</v>
      </c>
      <c r="V137" s="18">
        <v>3.6769678765199361</v>
      </c>
      <c r="W137" s="18">
        <v>3.6978765887339806</v>
      </c>
      <c r="X137" s="18">
        <v>3.9156145040969523</v>
      </c>
      <c r="Y137" s="18">
        <v>4.163631749109415</v>
      </c>
      <c r="Z137" s="18">
        <v>4.0325713164225148</v>
      </c>
      <c r="AA137" s="18">
        <v>3.9254333463974707</v>
      </c>
      <c r="AB137" s="18">
        <v>3.7999989715362377</v>
      </c>
      <c r="AC137" s="18">
        <v>3.8261246914664055</v>
      </c>
      <c r="AD137" s="19">
        <v>3.6875228597897931</v>
      </c>
      <c r="AE137" s="19">
        <v>4.0349408174245385</v>
      </c>
      <c r="AF137" s="19">
        <v>3.5689505251983511</v>
      </c>
      <c r="AG137" s="19">
        <v>4.1463405455311566</v>
      </c>
      <c r="AH137" s="19">
        <v>4.1574577991438524</v>
      </c>
      <c r="AI137" s="19">
        <v>3.844541086419031</v>
      </c>
      <c r="AJ137" s="19">
        <v>5.5463497177083338</v>
      </c>
      <c r="AK137" s="19">
        <v>5.6652553333333335</v>
      </c>
      <c r="AL137" s="19">
        <v>5.7505945743589741</v>
      </c>
      <c r="AM137" s="19">
        <v>5.7037607142450142</v>
      </c>
      <c r="AN137" s="19">
        <v>5.4386457693722887</v>
      </c>
      <c r="AO137" s="19">
        <v>5.3154330899500968</v>
      </c>
      <c r="AP137" s="19">
        <v>5.0426135108584447</v>
      </c>
      <c r="AQ137" s="19">
        <v>5.680380352665563</v>
      </c>
      <c r="AR137" s="19">
        <v>4.8416547320961145</v>
      </c>
      <c r="AS137" s="19">
        <v>5.0289474452255751</v>
      </c>
      <c r="AT137" s="19">
        <v>5.1857310800126974</v>
      </c>
      <c r="AU137" s="19">
        <v>5.2477259411955437</v>
      </c>
      <c r="AV137" s="19">
        <v>3.9368421052631577</v>
      </c>
      <c r="AW137" s="19">
        <v>4.244664401619433</v>
      </c>
      <c r="AX137" s="19">
        <v>3.9729593280991735</v>
      </c>
      <c r="AY137" s="19">
        <v>4.0367753906250003</v>
      </c>
      <c r="AZ137" s="19">
        <v>4.3861860000000004</v>
      </c>
      <c r="BA137" s="19">
        <v>4.0695848923076925</v>
      </c>
      <c r="BB137" s="19">
        <v>3.8172181632478632</v>
      </c>
      <c r="BC137" s="19">
        <v>3.6923056575369118</v>
      </c>
      <c r="BD137" s="19">
        <v>3.7918020709521238</v>
      </c>
      <c r="BE137" s="19">
        <v>4.0381530087569661</v>
      </c>
      <c r="BF137" s="19">
        <v>5.0567794230969056</v>
      </c>
      <c r="BG137" s="19">
        <v>5.7798946511437332</v>
      </c>
      <c r="BH137" s="19">
        <v>6.0969732095303311</v>
      </c>
      <c r="BI137" s="19">
        <v>5.5894437073359464</v>
      </c>
      <c r="BJ137" s="19">
        <v>4.9942430666989148</v>
      </c>
      <c r="BK137" s="19">
        <v>3.4375</v>
      </c>
      <c r="BL137" s="19">
        <v>3.7501669948717948</v>
      </c>
      <c r="BM137" s="19">
        <v>3.9999181512396698</v>
      </c>
      <c r="BN137" s="19">
        <v>4.3190368281250002</v>
      </c>
      <c r="BO137" s="19">
        <v>4.5111400000000001</v>
      </c>
      <c r="BP137" s="19">
        <v>4.145621723076923</v>
      </c>
      <c r="BQ137" s="19">
        <v>3.7679413064102567</v>
      </c>
      <c r="BR137" s="19">
        <v>3.5917048008919714</v>
      </c>
      <c r="BS137" s="19">
        <v>3.8000840827822686</v>
      </c>
      <c r="BT137" s="19">
        <v>3.979021879135094</v>
      </c>
      <c r="BU137" s="19">
        <v>3.8132138621422693</v>
      </c>
      <c r="BV137" s="19">
        <v>4.1494888553459548</v>
      </c>
      <c r="BW137" s="19">
        <v>3.4126458911445283</v>
      </c>
      <c r="BX137" s="19">
        <v>5.6020497776473537</v>
      </c>
      <c r="BY137" s="19">
        <v>4.717338901186241</v>
      </c>
      <c r="BZ137" s="19">
        <v>40.3708268422006</v>
      </c>
      <c r="CA137" s="19">
        <v>42.780724966506902</v>
      </c>
      <c r="CB137" s="19">
        <v>49.497576561273497</v>
      </c>
      <c r="CC137" s="19">
        <v>99.034628798354504</v>
      </c>
      <c r="CD137" s="19">
        <v>111.672614328956</v>
      </c>
      <c r="CE137" s="19">
        <v>126.1609687247211</v>
      </c>
      <c r="CF137" s="19">
        <v>155.01643004058957</v>
      </c>
      <c r="CG137" s="19">
        <v>167.83465169138415</v>
      </c>
      <c r="CH137" s="19">
        <v>192.40906900859974</v>
      </c>
      <c r="CI137" s="19">
        <v>200</v>
      </c>
      <c r="CJ137" s="19">
        <v>54.124445529646401</v>
      </c>
      <c r="CK137" s="19">
        <v>78.048889160156307</v>
      </c>
      <c r="CL137" s="19">
        <v>142.92596435546901</v>
      </c>
      <c r="CM137" s="19">
        <v>174.42962646484401</v>
      </c>
      <c r="CN137" s="19">
        <v>187.861459629644</v>
      </c>
      <c r="CO137" s="19">
        <v>191.24269417073</v>
      </c>
      <c r="CP137" s="19">
        <v>184.67889349267301</v>
      </c>
      <c r="CQ137" s="19">
        <v>176.497802376576</v>
      </c>
      <c r="CR137" s="19">
        <v>179.56117156929301</v>
      </c>
      <c r="CS137" s="19">
        <v>176.588813181571</v>
      </c>
      <c r="CT137" s="19">
        <v>200</v>
      </c>
      <c r="CU137" s="19">
        <v>200</v>
      </c>
      <c r="CV137" s="19">
        <v>200</v>
      </c>
      <c r="CW137" s="19">
        <v>200</v>
      </c>
      <c r="CX137" s="19">
        <v>200</v>
      </c>
      <c r="CY137" s="19">
        <v>5.166666666666667</v>
      </c>
      <c r="CZ137" s="19">
        <v>5.3455870495726501</v>
      </c>
      <c r="DA137" s="19">
        <v>5.3127867454545452</v>
      </c>
      <c r="DB137" s="19">
        <v>5.4208901093750006</v>
      </c>
      <c r="DC137" s="19">
        <v>5.5923170000000004</v>
      </c>
      <c r="DD137" s="19">
        <v>5.5742128769230774</v>
      </c>
      <c r="DE137" s="19">
        <v>5.3372808542735042</v>
      </c>
      <c r="DF137" s="19">
        <v>5.1208743490135671</v>
      </c>
      <c r="DG137" s="19">
        <v>5.3385651893085901</v>
      </c>
      <c r="DH137" s="19">
        <v>5.2819331469794211</v>
      </c>
      <c r="DI137" s="19">
        <v>4.3669391378731577</v>
      </c>
      <c r="DJ137" s="19">
        <v>4.8714665176523679</v>
      </c>
      <c r="DK137" s="19">
        <v>4.6579057704652156</v>
      </c>
      <c r="DL137" s="19">
        <v>5.4302350093691132</v>
      </c>
      <c r="DM137" s="19">
        <v>5.6585159602432524</v>
      </c>
      <c r="DN137" s="19">
        <v>4.302083333333333</v>
      </c>
      <c r="DO137" s="19">
        <v>4.7277109299145295</v>
      </c>
      <c r="DP137" s="19">
        <v>5.1663401024793387</v>
      </c>
      <c r="DQ137" s="19">
        <v>5.4574825468750001</v>
      </c>
      <c r="DR137" s="19">
        <v>5.5594510000000001</v>
      </c>
      <c r="DS137" s="19">
        <v>5.7552939538461541</v>
      </c>
      <c r="DT137" s="19">
        <v>5.6758098576923075</v>
      </c>
      <c r="DU137" s="19">
        <v>5.2389012211677066</v>
      </c>
      <c r="DV137" s="19">
        <v>4.9423511928982204</v>
      </c>
      <c r="DW137" s="19">
        <v>4.8909109425662187</v>
      </c>
      <c r="DX137" s="19">
        <v>5.8518889960947051</v>
      </c>
      <c r="DY137" s="19">
        <v>5.4051250325698446</v>
      </c>
      <c r="DZ137" s="19">
        <v>5.8610293452501612</v>
      </c>
      <c r="EA137" s="19">
        <v>5.8107993006815013</v>
      </c>
      <c r="EB137" s="19">
        <v>4.5783233818651752</v>
      </c>
      <c r="EC137" s="19">
        <v>4.729166666666667</v>
      </c>
      <c r="ED137" s="19">
        <v>4.9254775316239314</v>
      </c>
      <c r="EE137" s="19">
        <v>4.9810740586776863</v>
      </c>
      <c r="EF137" s="19">
        <v>5.4648413250000001</v>
      </c>
      <c r="EG137" s="19">
        <v>5.8412730000000002</v>
      </c>
      <c r="EH137" s="19">
        <v>5.9615481999999993</v>
      </c>
      <c r="EI137" s="19">
        <v>5.7699256709401716</v>
      </c>
      <c r="EJ137" s="19">
        <v>5.2679279329102995</v>
      </c>
      <c r="EK137" s="19">
        <v>5.0085121394859424</v>
      </c>
      <c r="EL137" s="19">
        <v>4.8708441053118019</v>
      </c>
      <c r="EM137" s="19">
        <v>4.5238356549723227</v>
      </c>
      <c r="EN137" s="19">
        <v>5.8014552875489853</v>
      </c>
      <c r="EO137" s="19">
        <v>5.3335580840771719</v>
      </c>
      <c r="EP137" s="19">
        <v>4.0821682294652675</v>
      </c>
      <c r="EQ137" s="19">
        <v>5.6659560876272685</v>
      </c>
      <c r="ER137" s="19"/>
      <c r="ES137" s="16">
        <f t="shared" si="9"/>
        <v>5.1086397368421048</v>
      </c>
      <c r="ET137" s="16">
        <f t="shared" si="9"/>
        <v>4.163631749109415</v>
      </c>
      <c r="EU137" s="16">
        <f t="shared" si="9"/>
        <v>5.6652553333333335</v>
      </c>
      <c r="EV137" s="16">
        <f t="shared" si="9"/>
        <v>4.3861860000000004</v>
      </c>
      <c r="EW137" s="16">
        <f t="shared" si="9"/>
        <v>4.5111400000000001</v>
      </c>
      <c r="EX137" s="16" t="str">
        <f t="shared" si="9"/>
        <v>.</v>
      </c>
      <c r="EY137" s="16">
        <f t="shared" si="9"/>
        <v>187.861459629644</v>
      </c>
      <c r="EZ137" s="16">
        <f t="shared" si="9"/>
        <v>5.5923170000000004</v>
      </c>
      <c r="FA137" s="16">
        <f t="shared" si="9"/>
        <v>5.5594510000000001</v>
      </c>
      <c r="FB137" s="16">
        <f t="shared" si="9"/>
        <v>5.8412730000000002</v>
      </c>
    </row>
    <row r="138" spans="1:158" x14ac:dyDescent="0.25">
      <c r="A138" s="17">
        <v>135</v>
      </c>
      <c r="B138" s="17" t="s">
        <v>165</v>
      </c>
      <c r="C138" s="17" t="s">
        <v>165</v>
      </c>
      <c r="D138" s="17" t="s">
        <v>14</v>
      </c>
      <c r="E138" s="16">
        <v>1</v>
      </c>
      <c r="F138" s="18">
        <v>3.8226763387196177</v>
      </c>
      <c r="G138" s="18">
        <v>4.1531329407560342</v>
      </c>
      <c r="H138" s="18">
        <v>4.06733124227482</v>
      </c>
      <c r="I138" s="18">
        <v>3.6586159183284845</v>
      </c>
      <c r="J138" s="18">
        <v>3.7210954284375855</v>
      </c>
      <c r="K138" s="18">
        <v>3.8874782880434786</v>
      </c>
      <c r="L138" s="18">
        <v>3.8482413718201762</v>
      </c>
      <c r="M138" s="18">
        <v>3.8973236672673766</v>
      </c>
      <c r="N138" s="18">
        <v>3.9532109708938692</v>
      </c>
      <c r="O138" s="18">
        <v>3.8564994307723395</v>
      </c>
      <c r="P138" s="18">
        <v>3.2313506995146843</v>
      </c>
      <c r="Q138" s="18">
        <v>4.1233249684158579</v>
      </c>
      <c r="R138" s="18">
        <v>3.6360342345641765</v>
      </c>
      <c r="S138" s="18">
        <v>3.9893742597204178</v>
      </c>
      <c r="T138" s="18">
        <v>3.5507161911351228</v>
      </c>
      <c r="U138" s="18">
        <v>3.1049860217265328</v>
      </c>
      <c r="V138" s="18">
        <v>3.2729794471460285</v>
      </c>
      <c r="W138" s="18">
        <v>3.3099653615384619</v>
      </c>
      <c r="X138" s="18">
        <v>3.3032921685762142</v>
      </c>
      <c r="Y138" s="18">
        <v>3.3519106676090753</v>
      </c>
      <c r="Z138" s="18">
        <v>3.294061423822872</v>
      </c>
      <c r="AA138" s="18">
        <v>3.1769831789096616</v>
      </c>
      <c r="AB138" s="18">
        <v>3.3939270581836416</v>
      </c>
      <c r="AC138" s="18">
        <v>3.5486668313855434</v>
      </c>
      <c r="AD138" s="19">
        <v>3.4817957781231592</v>
      </c>
      <c r="AE138" s="19">
        <v>3.8580378060640297</v>
      </c>
      <c r="AF138" s="19">
        <v>3.3457179934243273</v>
      </c>
      <c r="AG138" s="19">
        <v>3.4150231353673344</v>
      </c>
      <c r="AH138" s="19">
        <v>3.8818281605576352</v>
      </c>
      <c r="AI138" s="19">
        <v>3.3877691453942567</v>
      </c>
      <c r="AJ138" s="19">
        <v>5.09352831758794</v>
      </c>
      <c r="AK138" s="19">
        <v>5.2838630345549733</v>
      </c>
      <c r="AL138" s="19">
        <v>5.18411362826087</v>
      </c>
      <c r="AM138" s="19">
        <v>4.985673056944445</v>
      </c>
      <c r="AN138" s="19">
        <v>4.8296777519868073</v>
      </c>
      <c r="AO138" s="19">
        <v>4.5721606801018622</v>
      </c>
      <c r="AP138" s="19">
        <v>4.5105083102271664</v>
      </c>
      <c r="AQ138" s="19">
        <v>4.6724044805350324</v>
      </c>
      <c r="AR138" s="19">
        <v>4.3266297629760535</v>
      </c>
      <c r="AS138" s="19">
        <v>4.3592913027072431</v>
      </c>
      <c r="AT138" s="19">
        <v>3.6263609793734424</v>
      </c>
      <c r="AU138" s="19">
        <v>4.0880050188312573</v>
      </c>
      <c r="AV138" s="19">
        <v>2.6375000000000002</v>
      </c>
      <c r="AW138" s="19">
        <v>3.0538883706214683</v>
      </c>
      <c r="AX138" s="19">
        <v>3.1859692307692313</v>
      </c>
      <c r="AY138" s="19">
        <v>3.4204814783919595</v>
      </c>
      <c r="AZ138" s="19">
        <v>3.2276963455497381</v>
      </c>
      <c r="BA138" s="19">
        <v>3.1005653467391303</v>
      </c>
      <c r="BB138" s="19">
        <v>3.6822991614583334</v>
      </c>
      <c r="BC138" s="19">
        <v>3.9559892675370496</v>
      </c>
      <c r="BD138" s="19">
        <v>3.7876798830534284</v>
      </c>
      <c r="BE138" s="19">
        <v>3.6551811059315997</v>
      </c>
      <c r="BF138" s="19">
        <v>4.7287788783691171</v>
      </c>
      <c r="BG138" s="19">
        <v>4.9542080994088886</v>
      </c>
      <c r="BH138" s="19">
        <v>5.1058579869376084</v>
      </c>
      <c r="BI138" s="19">
        <v>4.346517237795906</v>
      </c>
      <c r="BJ138" s="19">
        <v>6.0429325061632655</v>
      </c>
      <c r="BK138" s="19">
        <v>2.5750000000000002</v>
      </c>
      <c r="BL138" s="19">
        <v>2.5494490350282484</v>
      </c>
      <c r="BM138" s="19">
        <v>2.309390923076923</v>
      </c>
      <c r="BN138" s="19">
        <v>2.3211338060301507</v>
      </c>
      <c r="BO138" s="19">
        <v>2.3071877078534029</v>
      </c>
      <c r="BP138" s="19">
        <v>2.4662020043478261</v>
      </c>
      <c r="BQ138" s="19">
        <v>2.7762733333333331</v>
      </c>
      <c r="BR138" s="19">
        <v>3.1721535586696894</v>
      </c>
      <c r="BS138" s="19">
        <v>3.0925120303505347</v>
      </c>
      <c r="BT138" s="19">
        <v>2.7200406392415362</v>
      </c>
      <c r="BU138" s="19">
        <v>2.8308316832201408</v>
      </c>
      <c r="BV138" s="19">
        <v>3.9523223808943895</v>
      </c>
      <c r="BW138" s="19">
        <v>2.7665715344664243</v>
      </c>
      <c r="BX138" s="19">
        <v>2.830105913040077</v>
      </c>
      <c r="BY138" s="19">
        <v>3.2990722961387164</v>
      </c>
      <c r="BZ138" s="19">
        <v>1.4753254264167699</v>
      </c>
      <c r="CA138" s="19">
        <v>3.7508167756273001</v>
      </c>
      <c r="CB138" s="19">
        <v>15.255899550564299</v>
      </c>
      <c r="CC138" s="19">
        <v>23.736337715579499</v>
      </c>
      <c r="CD138" s="19">
        <v>26.416116684169101</v>
      </c>
      <c r="CE138" s="19">
        <v>38.95252669187127</v>
      </c>
      <c r="CF138" s="19">
        <v>41.743063276106668</v>
      </c>
      <c r="CG138" s="19">
        <v>48.529498904323759</v>
      </c>
      <c r="CH138" s="19">
        <v>57.965619836515408</v>
      </c>
      <c r="CI138" s="19">
        <v>61.208569023589952</v>
      </c>
      <c r="CJ138" s="19">
        <v>14.8405043746783</v>
      </c>
      <c r="CK138" s="19">
        <v>24.989301681518601</v>
      </c>
      <c r="CL138" s="19">
        <v>42.475521087646499</v>
      </c>
      <c r="CM138" s="19">
        <v>55.061164855957003</v>
      </c>
      <c r="CN138" s="19">
        <v>67.105513326332996</v>
      </c>
      <c r="CO138" s="19">
        <v>73.254959680615499</v>
      </c>
      <c r="CP138" s="19">
        <v>87.509109932945293</v>
      </c>
      <c r="CQ138" s="19">
        <v>92.927982747104707</v>
      </c>
      <c r="CR138" s="19">
        <v>98.8421774805919</v>
      </c>
      <c r="CS138" s="19">
        <v>99.946757783525698</v>
      </c>
      <c r="CT138" s="19">
        <v>125.09160032466038</v>
      </c>
      <c r="CU138" s="19">
        <v>129.28780366317937</v>
      </c>
      <c r="CV138" s="19">
        <v>140.91563061749432</v>
      </c>
      <c r="CW138" s="19">
        <v>153.13447493298315</v>
      </c>
      <c r="CX138" s="19">
        <v>157.10309887759533</v>
      </c>
      <c r="CY138" s="19">
        <v>3.8701298701298703</v>
      </c>
      <c r="CZ138" s="19">
        <v>4.3703710339423285</v>
      </c>
      <c r="DA138" s="19">
        <v>4.2384887435897438</v>
      </c>
      <c r="DB138" s="19">
        <v>4.042232580904523</v>
      </c>
      <c r="DC138" s="19">
        <v>4.0996929251308902</v>
      </c>
      <c r="DD138" s="19">
        <v>4.0737200815217394</v>
      </c>
      <c r="DE138" s="19">
        <v>4.0064552677083336</v>
      </c>
      <c r="DF138" s="19">
        <v>3.9462586718568899</v>
      </c>
      <c r="DG138" s="19">
        <v>4.152652092983848</v>
      </c>
      <c r="DH138" s="19">
        <v>4.1756708008902415</v>
      </c>
      <c r="DI138" s="19">
        <v>4.3198568503777794</v>
      </c>
      <c r="DJ138" s="19">
        <v>4.323757032944255</v>
      </c>
      <c r="DK138" s="19">
        <v>3.777900870633867</v>
      </c>
      <c r="DL138" s="19">
        <v>4.3000617883861851</v>
      </c>
      <c r="DM138" s="19">
        <v>4.0887620199603427</v>
      </c>
      <c r="DN138" s="19">
        <v>2.8354430379746836</v>
      </c>
      <c r="DO138" s="19">
        <v>3.2914731811485369</v>
      </c>
      <c r="DP138" s="19">
        <v>3.717952461538462</v>
      </c>
      <c r="DQ138" s="19">
        <v>3.8644054824120606</v>
      </c>
      <c r="DR138" s="19">
        <v>3.6349923565445028</v>
      </c>
      <c r="DS138" s="19">
        <v>3.3809327402173914</v>
      </c>
      <c r="DT138" s="19">
        <v>3.3570565947916666</v>
      </c>
      <c r="DU138" s="19">
        <v>3.6199998607343731</v>
      </c>
      <c r="DV138" s="19">
        <v>3.7582951570812027</v>
      </c>
      <c r="DW138" s="19">
        <v>2.8170686358497257</v>
      </c>
      <c r="DX138" s="19">
        <v>3.0132968122746235</v>
      </c>
      <c r="DY138" s="19">
        <v>4.0610100609843034</v>
      </c>
      <c r="DZ138" s="19">
        <v>3.6791414829666671</v>
      </c>
      <c r="EA138" s="19">
        <v>3.4794497787599696</v>
      </c>
      <c r="EB138" s="19">
        <v>3.5240107058093897</v>
      </c>
      <c r="EC138" s="19">
        <v>2.6025641025641026</v>
      </c>
      <c r="ED138" s="19">
        <v>3.2055743939736345</v>
      </c>
      <c r="EE138" s="19">
        <v>3.335129320512821</v>
      </c>
      <c r="EF138" s="19">
        <v>3.3071066281407036</v>
      </c>
      <c r="EG138" s="19">
        <v>3.327375671727749</v>
      </c>
      <c r="EH138" s="19">
        <v>3.1916766010869564</v>
      </c>
      <c r="EI138" s="19">
        <v>3.3090885593749997</v>
      </c>
      <c r="EJ138" s="19">
        <v>3.3603295294145679</v>
      </c>
      <c r="EK138" s="19">
        <v>3.7318093299865724</v>
      </c>
      <c r="EL138" s="19">
        <v>4.0286642256237215</v>
      </c>
      <c r="EM138" s="19">
        <v>3.6847809171780517</v>
      </c>
      <c r="EN138" s="19">
        <v>4.3695601907289081</v>
      </c>
      <c r="EO138" s="19">
        <v>3.5748917880988049</v>
      </c>
      <c r="EP138" s="19">
        <v>3.9183854924318879</v>
      </c>
      <c r="EQ138" s="19">
        <v>4.4145880734163807</v>
      </c>
      <c r="ER138" s="19"/>
      <c r="ES138" s="16">
        <f t="shared" si="9"/>
        <v>3.7210954284375855</v>
      </c>
      <c r="ET138" s="16">
        <f t="shared" si="9"/>
        <v>3.3519106676090753</v>
      </c>
      <c r="EU138" s="16">
        <f t="shared" si="9"/>
        <v>5.2838630345549733</v>
      </c>
      <c r="EV138" s="16">
        <f t="shared" si="9"/>
        <v>3.2276963455497381</v>
      </c>
      <c r="EW138" s="16">
        <f t="shared" si="9"/>
        <v>2.3071877078534029</v>
      </c>
      <c r="EX138" s="16" t="str">
        <f t="shared" si="9"/>
        <v>.</v>
      </c>
      <c r="EY138" s="16">
        <f t="shared" si="9"/>
        <v>67.105513326332996</v>
      </c>
      <c r="EZ138" s="16">
        <f t="shared" si="9"/>
        <v>4.0996929251308902</v>
      </c>
      <c r="FA138" s="16">
        <f t="shared" si="9"/>
        <v>3.6349923565445028</v>
      </c>
      <c r="FB138" s="16">
        <f t="shared" si="9"/>
        <v>3.327375671727749</v>
      </c>
    </row>
    <row r="139" spans="1:158" x14ac:dyDescent="0.25">
      <c r="A139" s="17">
        <v>136</v>
      </c>
      <c r="B139" s="17" t="s">
        <v>166</v>
      </c>
      <c r="C139" s="17" t="s">
        <v>166</v>
      </c>
      <c r="D139" s="17" t="s">
        <v>7</v>
      </c>
      <c r="E139" s="16">
        <v>1</v>
      </c>
      <c r="F139" s="18">
        <v>3.5293679189028024</v>
      </c>
      <c r="G139" s="18">
        <v>3.5137048595640366</v>
      </c>
      <c r="H139" s="18">
        <v>3.4450843319838063</v>
      </c>
      <c r="I139" s="18">
        <v>3.1518368912058627</v>
      </c>
      <c r="J139" s="18">
        <v>3.0815359758744694</v>
      </c>
      <c r="K139" s="18">
        <v>3.1148521144736838</v>
      </c>
      <c r="L139" s="18">
        <v>3.1763776330600373</v>
      </c>
      <c r="M139" s="18">
        <v>3.2133059927421566</v>
      </c>
      <c r="N139" s="18">
        <v>3.1400740359952919</v>
      </c>
      <c r="O139" s="18">
        <v>3.2223565377239831</v>
      </c>
      <c r="P139" s="18">
        <v>3.0062198647642475</v>
      </c>
      <c r="Q139" s="18">
        <v>3.0356246770008002</v>
      </c>
      <c r="R139" s="18">
        <v>2.2018428296490207</v>
      </c>
      <c r="S139" s="18">
        <v>2.9196781106898428</v>
      </c>
      <c r="T139" s="18">
        <v>2.8870051305412905</v>
      </c>
      <c r="U139" s="18">
        <v>3.0790697674418603</v>
      </c>
      <c r="V139" s="18">
        <v>3.0877603783562422</v>
      </c>
      <c r="W139" s="18">
        <v>2.9792279419670389</v>
      </c>
      <c r="X139" s="18">
        <v>2.9316515895179647</v>
      </c>
      <c r="Y139" s="18">
        <v>2.9021173208298299</v>
      </c>
      <c r="Z139" s="18">
        <v>2.8050443733333332</v>
      </c>
      <c r="AA139" s="18">
        <v>2.8516665867362434</v>
      </c>
      <c r="AB139" s="18">
        <v>2.8912887452508644</v>
      </c>
      <c r="AC139" s="18">
        <v>2.9031336636703751</v>
      </c>
      <c r="AD139" s="19">
        <v>2.9709111547760303</v>
      </c>
      <c r="AE139" s="19">
        <v>2.4851325612455462</v>
      </c>
      <c r="AF139" s="19">
        <v>3.1328181143547167</v>
      </c>
      <c r="AG139" s="19">
        <v>2.2929757740970924</v>
      </c>
      <c r="AH139" s="19">
        <v>2.62105408023668</v>
      </c>
      <c r="AI139" s="19">
        <v>3.105731072927826</v>
      </c>
      <c r="AJ139" s="19">
        <v>3.958049683122363</v>
      </c>
      <c r="AK139" s="19">
        <v>3.8829754070393374</v>
      </c>
      <c r="AL139" s="19">
        <v>3.7489222166666667</v>
      </c>
      <c r="AM139" s="19">
        <v>3.9023779262981577</v>
      </c>
      <c r="AN139" s="19">
        <v>4.0412442411443079</v>
      </c>
      <c r="AO139" s="19">
        <v>3.8933328949079757</v>
      </c>
      <c r="AP139" s="19">
        <v>3.9050505558649697</v>
      </c>
      <c r="AQ139" s="19">
        <v>4.1448154552656646</v>
      </c>
      <c r="AR139" s="19">
        <v>3.8685069614233867</v>
      </c>
      <c r="AS139" s="19">
        <v>3.5319802226095249</v>
      </c>
      <c r="AT139" s="19">
        <v>4.0782976004514788</v>
      </c>
      <c r="AU139" s="19">
        <v>4.6473241932260807</v>
      </c>
      <c r="AV139" s="19">
        <v>1.8488372093023255</v>
      </c>
      <c r="AW139" s="19">
        <v>1.8766344994362227</v>
      </c>
      <c r="AX139" s="19">
        <v>2.1552090631578946</v>
      </c>
      <c r="AY139" s="19">
        <v>2.3299613556962027</v>
      </c>
      <c r="AZ139" s="19">
        <v>2.3389139590062111</v>
      </c>
      <c r="BA139" s="19">
        <v>2.3678642249999999</v>
      </c>
      <c r="BB139" s="19">
        <v>2.3052848663316583</v>
      </c>
      <c r="BC139" s="19">
        <v>2.2123484255493167</v>
      </c>
      <c r="BD139" s="19">
        <v>2.1968617664509682</v>
      </c>
      <c r="BE139" s="19">
        <v>2.4399092316627504</v>
      </c>
      <c r="BF139" s="19">
        <v>2.8656518151951031</v>
      </c>
      <c r="BG139" s="19">
        <v>3.37384891716493</v>
      </c>
      <c r="BH139" s="19">
        <v>3.5840911302496434</v>
      </c>
      <c r="BI139" s="19">
        <v>3.9934466978493761</v>
      </c>
      <c r="BJ139" s="19">
        <v>6.2513012583438083</v>
      </c>
      <c r="BK139" s="19">
        <v>2.9767441860465116</v>
      </c>
      <c r="BL139" s="19">
        <v>3.0334556008456657</v>
      </c>
      <c r="BM139" s="19">
        <v>2.816906947368421</v>
      </c>
      <c r="BN139" s="19">
        <v>2.3940795405063291</v>
      </c>
      <c r="BO139" s="19">
        <v>2.150678829813665</v>
      </c>
      <c r="BP139" s="19">
        <v>2.2090511500000001</v>
      </c>
      <c r="BQ139" s="19">
        <v>2.3401431015075378</v>
      </c>
      <c r="BR139" s="19">
        <v>2.3510031835906986</v>
      </c>
      <c r="BS139" s="19">
        <v>2.2837636300666846</v>
      </c>
      <c r="BT139" s="19">
        <v>2.2795918345451356</v>
      </c>
      <c r="BU139" s="19">
        <v>1.5420843927377699</v>
      </c>
      <c r="BV139" s="19">
        <v>1.73697804676638</v>
      </c>
      <c r="BW139" s="19">
        <v>1.7805766167644577</v>
      </c>
      <c r="BX139" s="19">
        <v>2.6525793540103608</v>
      </c>
      <c r="BY139" s="19">
        <v>2.0629750455881166</v>
      </c>
      <c r="BZ139" s="19">
        <v>34.477174349025603</v>
      </c>
      <c r="CA139" s="19">
        <v>40.161215333401998</v>
      </c>
      <c r="CB139" s="19">
        <v>54.756392014020598</v>
      </c>
      <c r="CC139" s="19">
        <v>61.125125090064202</v>
      </c>
      <c r="CD139" s="19">
        <v>71.754353379627403</v>
      </c>
      <c r="CE139" s="19">
        <v>80.551224298410091</v>
      </c>
      <c r="CF139" s="19">
        <v>91.558872388476615</v>
      </c>
      <c r="CG139" s="19">
        <v>101.49578165622904</v>
      </c>
      <c r="CH139" s="19">
        <v>108.36887144247677</v>
      </c>
      <c r="CI139" s="19">
        <v>121.05844060167647</v>
      </c>
      <c r="CJ139" s="19">
        <v>70</v>
      </c>
      <c r="CK139" s="19">
        <v>73</v>
      </c>
      <c r="CL139" s="19">
        <v>97.359931945800795</v>
      </c>
      <c r="CM139" s="19">
        <v>100.63445281982401</v>
      </c>
      <c r="CN139" s="19">
        <v>129.18732364399401</v>
      </c>
      <c r="CO139" s="19">
        <v>125.392874001382</v>
      </c>
      <c r="CP139" s="19">
        <v>92.802700470071699</v>
      </c>
      <c r="CQ139" s="19">
        <v>119.391710437835</v>
      </c>
      <c r="CR139" s="19">
        <v>122.132822025314</v>
      </c>
      <c r="CS139" s="19">
        <v>120.520024289178</v>
      </c>
      <c r="CT139" s="19">
        <v>132.83126149591601</v>
      </c>
      <c r="CU139" s="19">
        <v>142.55050503935749</v>
      </c>
      <c r="CV139" s="19">
        <v>141.50926119905989</v>
      </c>
      <c r="CW139" s="19">
        <v>155.98705780121711</v>
      </c>
      <c r="CX139" s="19">
        <v>155.32288305331659</v>
      </c>
      <c r="CY139" s="19">
        <v>3.441860465116279</v>
      </c>
      <c r="CZ139" s="19">
        <v>3.6441348293868923</v>
      </c>
      <c r="DA139" s="19">
        <v>3.4152359894736843</v>
      </c>
      <c r="DB139" s="19">
        <v>3.2091746860759498</v>
      </c>
      <c r="DC139" s="19">
        <v>3.1231451105590065</v>
      </c>
      <c r="DD139" s="19">
        <v>3.1107578249999999</v>
      </c>
      <c r="DE139" s="19">
        <v>3.1810638422110551</v>
      </c>
      <c r="DF139" s="19">
        <v>3.1457255024520876</v>
      </c>
      <c r="DG139" s="19">
        <v>3.1064885527644321</v>
      </c>
      <c r="DH139" s="19">
        <v>3.1929293632507325</v>
      </c>
      <c r="DI139" s="19">
        <v>3.0699003738233381</v>
      </c>
      <c r="DJ139" s="19">
        <v>2.844102374935642</v>
      </c>
      <c r="DK139" s="19">
        <v>3.3270140398421919</v>
      </c>
      <c r="DL139" s="19">
        <v>2.7193519029849682</v>
      </c>
      <c r="DM139" s="19">
        <v>2.7344937539936791</v>
      </c>
      <c r="DN139" s="19">
        <v>2.4651162790697674</v>
      </c>
      <c r="DO139" s="19">
        <v>2.2936328820765794</v>
      </c>
      <c r="DP139" s="19">
        <v>2.5912982526315789</v>
      </c>
      <c r="DQ139" s="19">
        <v>3.0282154506329118</v>
      </c>
      <c r="DR139" s="19">
        <v>3.1104699602484471</v>
      </c>
      <c r="DS139" s="19">
        <v>3.2245302750000002</v>
      </c>
      <c r="DT139" s="19">
        <v>3.3541765276381907</v>
      </c>
      <c r="DU139" s="19">
        <v>3.3491029790191655</v>
      </c>
      <c r="DV139" s="19">
        <v>3.1474928860688332</v>
      </c>
      <c r="DW139" s="19">
        <v>3.2025252342224126</v>
      </c>
      <c r="DX139" s="19">
        <v>4.1237883263253723</v>
      </c>
      <c r="DY139" s="19">
        <v>4.5248702202286522</v>
      </c>
      <c r="DZ139" s="19">
        <v>4.2034380618048122</v>
      </c>
      <c r="EA139" s="19">
        <v>4.5238240993680607</v>
      </c>
      <c r="EB139" s="19">
        <v>4.160769275864113</v>
      </c>
      <c r="EC139" s="19">
        <v>2.558139534883721</v>
      </c>
      <c r="ED139" s="19">
        <v>2.3559479322292693</v>
      </c>
      <c r="EE139" s="19">
        <v>2.4699096315789477</v>
      </c>
      <c r="EF139" s="19">
        <v>2.4551951126582283</v>
      </c>
      <c r="EG139" s="19">
        <v>2.4000163006211181</v>
      </c>
      <c r="EH139" s="19">
        <v>2.6871253500000001</v>
      </c>
      <c r="EI139" s="19">
        <v>2.7955381281407035</v>
      </c>
      <c r="EJ139" s="19">
        <v>2.9277033447395322</v>
      </c>
      <c r="EK139" s="19">
        <v>2.8558491968030304</v>
      </c>
      <c r="EL139" s="19">
        <v>2.905725586414337</v>
      </c>
      <c r="EM139" s="19">
        <v>2.7160693350224143</v>
      </c>
      <c r="EN139" s="19">
        <v>3.3801017448018209</v>
      </c>
      <c r="EO139" s="19">
        <v>2.6892796992953945</v>
      </c>
      <c r="EP139" s="19">
        <v>3.4696945731494511</v>
      </c>
      <c r="EQ139" s="19">
        <v>3.9483702992535017</v>
      </c>
      <c r="ER139" s="19"/>
      <c r="ES139" s="16">
        <f t="shared" si="9"/>
        <v>3.0815359758744694</v>
      </c>
      <c r="ET139" s="16">
        <f t="shared" si="9"/>
        <v>2.9021173208298299</v>
      </c>
      <c r="EU139" s="16">
        <f t="shared" si="9"/>
        <v>3.8829754070393374</v>
      </c>
      <c r="EV139" s="16">
        <f t="shared" si="9"/>
        <v>2.3389139590062111</v>
      </c>
      <c r="EW139" s="16">
        <f t="shared" si="9"/>
        <v>2.150678829813665</v>
      </c>
      <c r="EX139" s="16" t="str">
        <f t="shared" si="9"/>
        <v>.</v>
      </c>
      <c r="EY139" s="16">
        <f t="shared" si="9"/>
        <v>129.18732364399401</v>
      </c>
      <c r="EZ139" s="16">
        <f t="shared" si="9"/>
        <v>3.1231451105590065</v>
      </c>
      <c r="FA139" s="16">
        <f t="shared" si="9"/>
        <v>3.1104699602484471</v>
      </c>
      <c r="FB139" s="16">
        <f t="shared" si="9"/>
        <v>2.4000163006211181</v>
      </c>
    </row>
    <row r="140" spans="1:158" x14ac:dyDescent="0.25">
      <c r="A140" s="17">
        <v>137</v>
      </c>
      <c r="B140" s="17" t="s">
        <v>167</v>
      </c>
      <c r="C140" s="17" t="s">
        <v>167</v>
      </c>
      <c r="D140" s="17" t="s">
        <v>14</v>
      </c>
      <c r="E140" s="16">
        <v>1</v>
      </c>
      <c r="F140" s="18">
        <v>3.9201182504739154</v>
      </c>
      <c r="G140" s="18">
        <v>3.9355583765120761</v>
      </c>
      <c r="H140" s="18">
        <v>3.9012967283923663</v>
      </c>
      <c r="I140" s="18">
        <v>3.7581225977228314</v>
      </c>
      <c r="J140" s="18">
        <v>3.8593158141035362</v>
      </c>
      <c r="K140" s="18">
        <v>3.7350791578947362</v>
      </c>
      <c r="L140" s="18">
        <v>4.0578914305764409</v>
      </c>
      <c r="M140" s="18">
        <v>3.9909599307999053</v>
      </c>
      <c r="N140" s="18">
        <v>3.9909599307999053</v>
      </c>
      <c r="O140" s="18">
        <v>4.184653028616931</v>
      </c>
      <c r="P140" s="18">
        <v>4.4246597752171546</v>
      </c>
      <c r="Q140" s="18">
        <v>4.2188937644199838</v>
      </c>
      <c r="R140" s="18">
        <v>4.035315583639921</v>
      </c>
      <c r="S140" s="18">
        <v>3.7398052083745776</v>
      </c>
      <c r="T140" s="18">
        <v>4.1744979407852174</v>
      </c>
      <c r="U140" s="18">
        <v>2.8333848326327082</v>
      </c>
      <c r="V140" s="18">
        <v>2.7114650810648824</v>
      </c>
      <c r="W140" s="18">
        <v>2.7430156494745135</v>
      </c>
      <c r="X140" s="18">
        <v>2.632794294176465</v>
      </c>
      <c r="Y140" s="18">
        <v>2.9014218840148005</v>
      </c>
      <c r="Z140" s="18">
        <v>2.9751171060790811</v>
      </c>
      <c r="AA140" s="18">
        <v>3.3199531335877168</v>
      </c>
      <c r="AB140" s="18">
        <v>3.2512407487530783</v>
      </c>
      <c r="AC140" s="18">
        <v>3.1518670042180434</v>
      </c>
      <c r="AD140" s="19">
        <v>2.9332901497796064</v>
      </c>
      <c r="AE140" s="19">
        <v>3.5676030131308614</v>
      </c>
      <c r="AF140" s="19">
        <v>2.5335920171566673</v>
      </c>
      <c r="AG140" s="19">
        <v>3.1263364769934898</v>
      </c>
      <c r="AH140" s="19">
        <v>3.3981155582383846</v>
      </c>
      <c r="AI140" s="19">
        <v>3.9364313200084289</v>
      </c>
      <c r="AJ140" s="19">
        <v>5.0589314987262286</v>
      </c>
      <c r="AK140" s="19">
        <v>4.6433256387049031</v>
      </c>
      <c r="AL140" s="19">
        <v>4.7899536666666664</v>
      </c>
      <c r="AM140" s="19">
        <v>4.7725412603174595</v>
      </c>
      <c r="AN140" s="19">
        <v>4.6160083998099086</v>
      </c>
      <c r="AO140" s="19">
        <v>4.6160083998099086</v>
      </c>
      <c r="AP140" s="19">
        <v>4.2775231541513561</v>
      </c>
      <c r="AQ140" s="19">
        <v>3.9303339635034433</v>
      </c>
      <c r="AR140" s="19">
        <v>4.2723571011188435</v>
      </c>
      <c r="AS140" s="19">
        <v>3.4890697913826854</v>
      </c>
      <c r="AT140" s="19">
        <v>3.9779513078133752</v>
      </c>
      <c r="AU140" s="19">
        <v>3.7365589050927932</v>
      </c>
      <c r="AV140" s="19">
        <v>3.3034294367658421</v>
      </c>
      <c r="AW140" s="19">
        <v>4.1169067032508444</v>
      </c>
      <c r="AX140" s="19">
        <v>3.4680110554075174</v>
      </c>
      <c r="AY140" s="19">
        <v>4.4776205843746224</v>
      </c>
      <c r="AZ140" s="19">
        <v>3.8314962971926101</v>
      </c>
      <c r="BA140" s="19">
        <v>4.2448030000000001</v>
      </c>
      <c r="BB140" s="19">
        <v>4.0929319142857139</v>
      </c>
      <c r="BC140" s="19">
        <v>4.196068656651371</v>
      </c>
      <c r="BD140" s="19">
        <v>4.196068656651371</v>
      </c>
      <c r="BE140" s="19">
        <v>4.1993540828994886</v>
      </c>
      <c r="BF140" s="19">
        <v>5.0433285948895028</v>
      </c>
      <c r="BG140" s="19">
        <v>5.053194285600628</v>
      </c>
      <c r="BH140" s="19">
        <v>4.8104178377671287</v>
      </c>
      <c r="BI140" s="19">
        <v>4.3473980524278</v>
      </c>
      <c r="BJ140" s="19">
        <v>4.7985697878302425</v>
      </c>
      <c r="BK140" s="19">
        <v>3.3337613325077129</v>
      </c>
      <c r="BL140" s="19">
        <v>3.4540760388071696</v>
      </c>
      <c r="BM140" s="19">
        <v>3.3721402164589436</v>
      </c>
      <c r="BN140" s="19">
        <v>3.4974795029318835</v>
      </c>
      <c r="BO140" s="19">
        <v>3.2717967082505091</v>
      </c>
      <c r="BP140" s="19">
        <v>3.1725819999999998</v>
      </c>
      <c r="BQ140" s="19">
        <v>3.8181318539682536</v>
      </c>
      <c r="BR140" s="19">
        <v>3.5548584974852542</v>
      </c>
      <c r="BS140" s="19">
        <v>3.5548584974852542</v>
      </c>
      <c r="BT140" s="19">
        <v>3.685994979375157</v>
      </c>
      <c r="BU140" s="19">
        <v>3.0543948729174577</v>
      </c>
      <c r="BV140" s="19">
        <v>3.9988415641951289</v>
      </c>
      <c r="BW140" s="19">
        <v>4.5231095197884361</v>
      </c>
      <c r="BX140" s="19">
        <v>3.6470065487825383</v>
      </c>
      <c r="BY140" s="19">
        <v>4.3746627277670473</v>
      </c>
      <c r="BZ140" s="19">
        <v>4.7065458856570599</v>
      </c>
      <c r="CA140" s="19">
        <v>8.6739551904920305</v>
      </c>
      <c r="CB140" s="19">
        <v>9.9118895279949992</v>
      </c>
      <c r="CC140" s="19">
        <v>12.665852142413099</v>
      </c>
      <c r="CD140" s="19">
        <v>19.15182351964766</v>
      </c>
      <c r="CE140" s="19">
        <v>18.516628734194281</v>
      </c>
      <c r="CF140" s="19">
        <v>26.016315931994026</v>
      </c>
      <c r="CG140" s="19">
        <v>25.862589854754546</v>
      </c>
      <c r="CH140" s="19">
        <v>32.042523459491463</v>
      </c>
      <c r="CI140" s="19">
        <v>33.29505449087744</v>
      </c>
      <c r="CJ140" s="19">
        <v>87.4</v>
      </c>
      <c r="CK140" s="19">
        <v>57.03</v>
      </c>
      <c r="CL140" s="19">
        <v>112.57</v>
      </c>
      <c r="CM140" s="19">
        <v>90.61</v>
      </c>
      <c r="CN140" s="19">
        <v>157.69999999999999</v>
      </c>
      <c r="CO140" s="19">
        <v>145.71300314230101</v>
      </c>
      <c r="CP140" s="19">
        <v>158.62519932544799</v>
      </c>
      <c r="CQ140" s="19">
        <v>147.34268295310099</v>
      </c>
      <c r="CR140" s="19">
        <v>162.19321372687699</v>
      </c>
      <c r="CS140" s="19">
        <v>178.54</v>
      </c>
      <c r="CT140" s="19">
        <v>193.34248645058196</v>
      </c>
      <c r="CU140" s="19">
        <v>200</v>
      </c>
      <c r="CV140" s="19">
        <v>200</v>
      </c>
      <c r="CW140" s="19">
        <v>200</v>
      </c>
      <c r="CX140" s="19">
        <v>200</v>
      </c>
      <c r="CY140" s="19">
        <v>4.4965732420193287</v>
      </c>
      <c r="CZ140" s="19">
        <v>5.6752438587724079</v>
      </c>
      <c r="DA140" s="19">
        <v>4.8250547181592491</v>
      </c>
      <c r="DB140" s="19">
        <v>4.6690439171240774</v>
      </c>
      <c r="DC140" s="19">
        <v>4.7016864372511558</v>
      </c>
      <c r="DD140" s="19">
        <v>4.6996270000000004</v>
      </c>
      <c r="DE140" s="19">
        <v>4.4494090444444439</v>
      </c>
      <c r="DF140" s="19">
        <v>4.1515882341123866</v>
      </c>
      <c r="DG140" s="19">
        <v>4.1515882341123866</v>
      </c>
      <c r="DH140" s="19">
        <v>4.2188120623705263</v>
      </c>
      <c r="DI140" s="19">
        <v>4.1235331287178498</v>
      </c>
      <c r="DJ140" s="19">
        <v>3.802286847645211</v>
      </c>
      <c r="DK140" s="19">
        <v>3.4775671472485472</v>
      </c>
      <c r="DL140" s="19">
        <v>4.1168817044098258</v>
      </c>
      <c r="DM140" s="19">
        <v>3.7532222882429918</v>
      </c>
      <c r="DN140" s="19">
        <v>2.9390269511254381</v>
      </c>
      <c r="DO140" s="19">
        <v>5.0317632494142464</v>
      </c>
      <c r="DP140" s="19">
        <v>5.1022754806558011</v>
      </c>
      <c r="DQ140" s="19">
        <v>3.7250509456061001</v>
      </c>
      <c r="DR140" s="19">
        <v>4.700157061451061</v>
      </c>
      <c r="DS140" s="19">
        <v>4.6706490000000001</v>
      </c>
      <c r="DT140" s="19">
        <v>4.6843014317460314</v>
      </c>
      <c r="DU140" s="19">
        <v>4.6521259922700597</v>
      </c>
      <c r="DV140" s="19">
        <v>4.6521259922700597</v>
      </c>
      <c r="DW140" s="19">
        <v>4.3987338084078713</v>
      </c>
      <c r="DX140" s="19">
        <v>5.3912495034116983</v>
      </c>
      <c r="DY140" s="19">
        <v>4.2656862247232645</v>
      </c>
      <c r="DZ140" s="19">
        <v>5.9897359516888731</v>
      </c>
      <c r="EA140" s="19">
        <v>6.1090494645940066</v>
      </c>
      <c r="EB140" s="19">
        <v>5.7974813110119126</v>
      </c>
      <c r="EC140" s="19">
        <v>4.0234252210486021</v>
      </c>
      <c r="ED140" s="19">
        <v>4.4712092931608405</v>
      </c>
      <c r="EE140" s="19">
        <v>4.3663915919831648</v>
      </c>
      <c r="EF140" s="19">
        <v>4.3117597108875882</v>
      </c>
      <c r="EG140" s="19">
        <v>4.2908030681625542</v>
      </c>
      <c r="EH140" s="19">
        <v>4.2721460000000002</v>
      </c>
      <c r="EI140" s="19">
        <v>4.3201170730158731</v>
      </c>
      <c r="EJ140" s="19">
        <v>4.2030671931124743</v>
      </c>
      <c r="EK140" s="19">
        <v>4.2030671931124743</v>
      </c>
      <c r="EL140" s="19">
        <v>4.1183479649648351</v>
      </c>
      <c r="EM140" s="19">
        <v>4.6043313748424461</v>
      </c>
      <c r="EN140" s="19">
        <v>4.5904032813687925</v>
      </c>
      <c r="EO140" s="19">
        <v>4.0749721022215004</v>
      </c>
      <c r="EP140" s="19">
        <v>4.2253885788031269</v>
      </c>
      <c r="EQ140" s="19">
        <v>4.29165482757442</v>
      </c>
      <c r="ER140" s="19"/>
      <c r="ES140" s="16">
        <f t="shared" si="9"/>
        <v>3.8593158141035362</v>
      </c>
      <c r="ET140" s="16">
        <f t="shared" si="9"/>
        <v>2.9014218840148005</v>
      </c>
      <c r="EU140" s="16">
        <f t="shared" si="9"/>
        <v>4.6433256387049031</v>
      </c>
      <c r="EV140" s="16">
        <f t="shared" si="9"/>
        <v>3.8314962971926101</v>
      </c>
      <c r="EW140" s="16">
        <f t="shared" si="9"/>
        <v>3.2717967082505091</v>
      </c>
      <c r="EX140" s="16" t="str">
        <f t="shared" si="9"/>
        <v>.</v>
      </c>
      <c r="EY140" s="16">
        <f t="shared" si="9"/>
        <v>157.69999999999999</v>
      </c>
      <c r="EZ140" s="16">
        <f t="shared" si="9"/>
        <v>4.7016864372511558</v>
      </c>
      <c r="FA140" s="16">
        <f t="shared" si="9"/>
        <v>4.700157061451061</v>
      </c>
      <c r="FB140" s="16">
        <f t="shared" si="9"/>
        <v>4.2908030681625542</v>
      </c>
    </row>
    <row r="141" spans="1:158" x14ac:dyDescent="0.25">
      <c r="A141" s="17">
        <v>138</v>
      </c>
      <c r="B141" s="17" t="s">
        <v>168</v>
      </c>
      <c r="C141" s="17" t="s">
        <v>169</v>
      </c>
      <c r="D141" s="17" t="s">
        <v>14</v>
      </c>
      <c r="E141" s="16">
        <v>1</v>
      </c>
      <c r="F141" s="18">
        <v>3.3373567613714012</v>
      </c>
      <c r="G141" s="18">
        <v>3.3839120200859534</v>
      </c>
      <c r="H141" s="18">
        <v>2.8197740591381586</v>
      </c>
      <c r="I141" s="18">
        <v>3.1364910195995344</v>
      </c>
      <c r="J141" s="18">
        <v>3.3106549703156509</v>
      </c>
      <c r="K141" s="18">
        <v>3.104581210526316</v>
      </c>
      <c r="L141" s="18">
        <v>3.2972959421052628</v>
      </c>
      <c r="M141" s="18">
        <v>3.2825736724898471</v>
      </c>
      <c r="N141" s="18">
        <v>3.1437769477175279</v>
      </c>
      <c r="O141" s="18">
        <v>3.1483704156466898</v>
      </c>
      <c r="P141" s="18">
        <v>3.3035605338577265</v>
      </c>
      <c r="Q141" s="18">
        <v>3.048552174858389</v>
      </c>
      <c r="R141" s="18">
        <v>2.6413176916889292</v>
      </c>
      <c r="S141" s="18">
        <v>3.751555294708397</v>
      </c>
      <c r="T141" s="18">
        <v>2.870491509430023</v>
      </c>
      <c r="U141" s="18">
        <v>2.4335241266014016</v>
      </c>
      <c r="V141" s="18">
        <v>2.6237968341980666</v>
      </c>
      <c r="W141" s="18">
        <v>2.0558187202851776</v>
      </c>
      <c r="X141" s="18">
        <v>2.3726468970324577</v>
      </c>
      <c r="Y141" s="18">
        <v>2.3423276093902374</v>
      </c>
      <c r="Z141" s="18">
        <v>2.2712717172771613</v>
      </c>
      <c r="AA141" s="18">
        <v>2.5596526252485319</v>
      </c>
      <c r="AB141" s="18">
        <v>2.5792480914377403</v>
      </c>
      <c r="AC141" s="18">
        <v>2.4909284388816273</v>
      </c>
      <c r="AD141" s="19">
        <v>2.5932344420278217</v>
      </c>
      <c r="AE141" s="19">
        <v>2.2334626897219296</v>
      </c>
      <c r="AF141" s="19">
        <v>3.1755727981089521</v>
      </c>
      <c r="AG141" s="19">
        <v>2.7796496870951093</v>
      </c>
      <c r="AH141" s="19">
        <v>2.4966829673641135</v>
      </c>
      <c r="AI141" s="19">
        <v>3.3699749255597129</v>
      </c>
      <c r="AJ141" s="19">
        <v>4.2695507926377649</v>
      </c>
      <c r="AK141" s="19">
        <v>4.0020162420353627</v>
      </c>
      <c r="AL141" s="19">
        <v>3.8896630000000001</v>
      </c>
      <c r="AM141" s="19">
        <v>3.8890347166666666</v>
      </c>
      <c r="AN141" s="19">
        <v>3.700519287678155</v>
      </c>
      <c r="AO141" s="19">
        <v>3.3731341493253151</v>
      </c>
      <c r="AP141" s="19">
        <v>3.3839793865497296</v>
      </c>
      <c r="AQ141" s="19">
        <v>3.4849392457879831</v>
      </c>
      <c r="AR141" s="19">
        <v>3.0283473031590482</v>
      </c>
      <c r="AS141" s="19">
        <v>2.0857301654480809</v>
      </c>
      <c r="AT141" s="19">
        <v>3.0197147693327069</v>
      </c>
      <c r="AU141" s="19">
        <v>2.5860938624519507</v>
      </c>
      <c r="AV141" s="19">
        <v>3.7874008784360362</v>
      </c>
      <c r="AW141" s="19">
        <v>3.7689316650099234</v>
      </c>
      <c r="AX141" s="19">
        <v>3.4840891931664859</v>
      </c>
      <c r="AY141" s="19">
        <v>3.4345225473359258</v>
      </c>
      <c r="AZ141" s="19">
        <v>3.6173481204547735</v>
      </c>
      <c r="BA141" s="19">
        <v>3.8942450000000002</v>
      </c>
      <c r="BB141" s="19">
        <v>3.9160283000000002</v>
      </c>
      <c r="BC141" s="19">
        <v>3.6270962715879671</v>
      </c>
      <c r="BD141" s="19">
        <v>3.5580305325357537</v>
      </c>
      <c r="BE141" s="19">
        <v>3.3504140022473461</v>
      </c>
      <c r="BF141" s="19">
        <v>3.270579370090263</v>
      </c>
      <c r="BG141" s="19">
        <v>4.0374070566895082</v>
      </c>
      <c r="BH141" s="19">
        <v>3.3206020113879822</v>
      </c>
      <c r="BI141" s="19">
        <v>3.1726705529682722</v>
      </c>
      <c r="BJ141" s="19">
        <v>2.9004249139614542</v>
      </c>
      <c r="BK141" s="19">
        <v>2.5147330996524326</v>
      </c>
      <c r="BL141" s="19">
        <v>2.2463785362505115</v>
      </c>
      <c r="BM141" s="19">
        <v>2.526756555316771</v>
      </c>
      <c r="BN141" s="19">
        <v>2.6869266511953458</v>
      </c>
      <c r="BO141" s="19">
        <v>2.2514426862723735</v>
      </c>
      <c r="BP141" s="19">
        <v>2.320592</v>
      </c>
      <c r="BQ141" s="19">
        <v>2.56875695</v>
      </c>
      <c r="BR141" s="19">
        <v>2.6218290894267455</v>
      </c>
      <c r="BS141" s="19">
        <v>2.5298699629934212</v>
      </c>
      <c r="BT141" s="19">
        <v>2.4210531393686932</v>
      </c>
      <c r="BU141" s="19">
        <v>2.4423503684676038</v>
      </c>
      <c r="BV141" s="19">
        <v>2.9673190246727423</v>
      </c>
      <c r="BW141" s="19">
        <v>2.0295697444477172</v>
      </c>
      <c r="BX141" s="19">
        <v>2.4231900679555842</v>
      </c>
      <c r="BY141" s="19">
        <v>2.7731041785316051</v>
      </c>
      <c r="BZ141" s="19">
        <v>1</v>
      </c>
      <c r="CA141" s="19">
        <v>34.090000000000003</v>
      </c>
      <c r="CB141" s="19">
        <v>200</v>
      </c>
      <c r="CC141" s="19">
        <v>13.032235565836199</v>
      </c>
      <c r="CD141" s="19">
        <v>15.2208369766917</v>
      </c>
      <c r="CE141" s="19">
        <v>200</v>
      </c>
      <c r="CF141" s="19">
        <v>200</v>
      </c>
      <c r="CG141" s="19">
        <v>200</v>
      </c>
      <c r="CH141" s="19">
        <v>200</v>
      </c>
      <c r="CI141" s="19">
        <v>200</v>
      </c>
      <c r="CJ141" s="19">
        <v>71.67</v>
      </c>
      <c r="CK141" s="19">
        <v>1</v>
      </c>
      <c r="CL141" s="19">
        <v>10.92</v>
      </c>
      <c r="CM141" s="19">
        <v>35.72</v>
      </c>
      <c r="CN141" s="19">
        <v>31.58</v>
      </c>
      <c r="CO141" s="19">
        <v>35.631596305518698</v>
      </c>
      <c r="CP141" s="19">
        <v>36.073092900456203</v>
      </c>
      <c r="CQ141" s="19">
        <v>44.134387708621396</v>
      </c>
      <c r="CR141" s="19">
        <v>76.656038258402106</v>
      </c>
      <c r="CS141" s="19">
        <v>89.529680347230197</v>
      </c>
      <c r="CT141" s="19">
        <v>71.13488555833348</v>
      </c>
      <c r="CU141" s="19">
        <v>73.277587933248867</v>
      </c>
      <c r="CV141" s="19">
        <v>78.733404931963065</v>
      </c>
      <c r="CW141" s="19">
        <v>82.036234847867803</v>
      </c>
      <c r="CX141" s="19">
        <v>97.427129264859389</v>
      </c>
      <c r="CY141" s="19">
        <v>4.3211238738078617</v>
      </c>
      <c r="CZ141" s="19">
        <v>3.3422439200182228</v>
      </c>
      <c r="DA141" s="19">
        <v>3.3441864054182102</v>
      </c>
      <c r="DB141" s="19">
        <v>4.1900662643608033</v>
      </c>
      <c r="DC141" s="19">
        <v>3.6043712060182926</v>
      </c>
      <c r="DD141" s="19">
        <v>3.5614020000000002</v>
      </c>
      <c r="DE141" s="19">
        <v>3.7188879000000004</v>
      </c>
      <c r="DF141" s="19">
        <v>3.401268898303087</v>
      </c>
      <c r="DG141" s="19">
        <v>3.3146536551023784</v>
      </c>
      <c r="DH141" s="19">
        <v>3.4884847225287023</v>
      </c>
      <c r="DI141" s="19">
        <v>4.0996896135758014</v>
      </c>
      <c r="DJ141" s="19">
        <v>3.593685954827373</v>
      </c>
      <c r="DK141" s="19">
        <v>3.9577009820547113</v>
      </c>
      <c r="DL141" s="19">
        <v>4.0117732608702887</v>
      </c>
      <c r="DM141" s="19">
        <v>3.9509296267873224</v>
      </c>
      <c r="DN141" s="19">
        <v>1.9718324216438121</v>
      </c>
      <c r="DO141" s="19">
        <v>2.0035780487253265</v>
      </c>
      <c r="DP141" s="19">
        <v>1.8352927886595545</v>
      </c>
      <c r="DQ141" s="19">
        <v>3.1787323081616328</v>
      </c>
      <c r="DR141" s="19">
        <v>3.23131271456998</v>
      </c>
      <c r="DS141" s="19">
        <v>2.9171879999999999</v>
      </c>
      <c r="DT141" s="19">
        <v>3.1422490999999999</v>
      </c>
      <c r="DU141" s="19">
        <v>2.9034844301140272</v>
      </c>
      <c r="DV141" s="19">
        <v>2.3769319810365377</v>
      </c>
      <c r="DW141" s="19">
        <v>2.3999692941323305</v>
      </c>
      <c r="DX141" s="19">
        <v>2.9868867150023681</v>
      </c>
      <c r="DY141" s="19">
        <v>3.0795577147363176</v>
      </c>
      <c r="DZ141" s="19">
        <v>3.7345116167532852</v>
      </c>
      <c r="EA141" s="19">
        <v>3.0524406515809006</v>
      </c>
      <c r="EB141" s="19">
        <v>3.424453757563922</v>
      </c>
      <c r="EC141" s="19">
        <v>2.1151847429561186</v>
      </c>
      <c r="ED141" s="19">
        <v>2.5650946318451449</v>
      </c>
      <c r="EE141" s="19">
        <v>2.3367274959254729</v>
      </c>
      <c r="EF141" s="19">
        <v>3.066692285960626</v>
      </c>
      <c r="EG141" s="19">
        <v>2.624229606313965</v>
      </c>
      <c r="EH141" s="19">
        <v>2.7519610000000001</v>
      </c>
      <c r="EI141" s="19">
        <v>3.0297434499999998</v>
      </c>
      <c r="EJ141" s="19">
        <v>3.0357124618645317</v>
      </c>
      <c r="EK141" s="19">
        <v>2.7351353118294162</v>
      </c>
      <c r="EL141" s="19">
        <v>2.7929694053454277</v>
      </c>
      <c r="EM141" s="19">
        <v>3.4171309533211902</v>
      </c>
      <c r="EN141" s="19">
        <v>2.1859831032849266</v>
      </c>
      <c r="EO141" s="19">
        <v>2.7993028343038144</v>
      </c>
      <c r="EP141" s="19">
        <v>3.2966321921624795</v>
      </c>
      <c r="EQ141" s="19">
        <v>3.8906350092563655</v>
      </c>
      <c r="ER141" s="19"/>
      <c r="ES141" s="16">
        <f t="shared" si="9"/>
        <v>3.3106549703156509</v>
      </c>
      <c r="ET141" s="16">
        <f t="shared" si="9"/>
        <v>2.3423276093902374</v>
      </c>
      <c r="EU141" s="16">
        <f t="shared" si="9"/>
        <v>4.0020162420353627</v>
      </c>
      <c r="EV141" s="16">
        <f t="shared" si="9"/>
        <v>3.6173481204547735</v>
      </c>
      <c r="EW141" s="16">
        <f t="shared" si="9"/>
        <v>2.2514426862723735</v>
      </c>
      <c r="EX141" s="16" t="str">
        <f t="shared" si="9"/>
        <v>.</v>
      </c>
      <c r="EY141" s="16">
        <f t="shared" si="9"/>
        <v>31.58</v>
      </c>
      <c r="EZ141" s="16">
        <f t="shared" si="9"/>
        <v>3.6043712060182926</v>
      </c>
      <c r="FA141" s="16">
        <f t="shared" si="9"/>
        <v>3.23131271456998</v>
      </c>
      <c r="FB141" s="16">
        <f t="shared" si="9"/>
        <v>2.624229606313965</v>
      </c>
    </row>
    <row r="142" spans="1:158" x14ac:dyDescent="0.25">
      <c r="A142" s="17">
        <v>139</v>
      </c>
      <c r="B142" s="17" t="s">
        <v>170</v>
      </c>
      <c r="C142" s="17" t="s">
        <v>170</v>
      </c>
      <c r="D142" s="17" t="s">
        <v>25</v>
      </c>
      <c r="E142" s="16">
        <v>1</v>
      </c>
      <c r="F142" s="18">
        <v>5.1930228443441697</v>
      </c>
      <c r="G142" s="18">
        <v>5.251943414187136</v>
      </c>
      <c r="H142" s="18">
        <v>5.2014639677655676</v>
      </c>
      <c r="I142" s="18">
        <v>5.0961049798179658</v>
      </c>
      <c r="J142" s="18">
        <v>5.1272817054168263</v>
      </c>
      <c r="K142" s="18">
        <v>5.1421692446570972</v>
      </c>
      <c r="L142" s="18">
        <v>5.0789134303915278</v>
      </c>
      <c r="M142" s="18">
        <v>5.0731749588140476</v>
      </c>
      <c r="N142" s="18">
        <v>5.134953942207904</v>
      </c>
      <c r="O142" s="18">
        <v>5.1785423734100551</v>
      </c>
      <c r="P142" s="18">
        <v>5.2201997430046063</v>
      </c>
      <c r="Q142" s="18">
        <v>5.1678400585249635</v>
      </c>
      <c r="R142" s="18">
        <v>5.3325838270756494</v>
      </c>
      <c r="S142" s="18">
        <v>5.2692017499927122</v>
      </c>
      <c r="T142" s="18">
        <v>4.8306544043756832</v>
      </c>
      <c r="U142" s="18">
        <v>5.080879530255995</v>
      </c>
      <c r="V142" s="18">
        <v>5.0772500548402677</v>
      </c>
      <c r="W142" s="18">
        <v>5.0930693800000002</v>
      </c>
      <c r="X142" s="18">
        <v>5.0418733253260815</v>
      </c>
      <c r="Y142" s="18">
        <v>5.3281231626763992</v>
      </c>
      <c r="Z142" s="18">
        <v>5.3936745798673904</v>
      </c>
      <c r="AA142" s="18">
        <v>5.1943703939254853</v>
      </c>
      <c r="AB142" s="18">
        <v>5.1838813884460251</v>
      </c>
      <c r="AC142" s="18">
        <v>5.2427132083830461</v>
      </c>
      <c r="AD142" s="19">
        <v>5.328132304667986</v>
      </c>
      <c r="AE142" s="19">
        <v>5.4060643749851343</v>
      </c>
      <c r="AF142" s="19">
        <v>5.322539267693692</v>
      </c>
      <c r="AG142" s="19">
        <v>5.5752297483980442</v>
      </c>
      <c r="AH142" s="19">
        <v>4.7680086912620823</v>
      </c>
      <c r="AI142" s="19">
        <v>5.363303716837974</v>
      </c>
      <c r="AJ142" s="19">
        <v>6.0798946701754382</v>
      </c>
      <c r="AK142" s="19">
        <v>6.0854163834549873</v>
      </c>
      <c r="AL142" s="19">
        <v>6.0543827939393937</v>
      </c>
      <c r="AM142" s="19">
        <v>5.9543918843495938</v>
      </c>
      <c r="AN142" s="19">
        <v>5.9542602584751831</v>
      </c>
      <c r="AO142" s="19">
        <v>5.9621193287418022</v>
      </c>
      <c r="AP142" s="19">
        <v>5.9112700589089018</v>
      </c>
      <c r="AQ142" s="19">
        <v>6.0077595201202412</v>
      </c>
      <c r="AR142" s="19">
        <v>6.2401507188024805</v>
      </c>
      <c r="AS142" s="19">
        <v>5.6555288160284123</v>
      </c>
      <c r="AT142" s="19">
        <v>6.0168415645058477</v>
      </c>
      <c r="AU142" s="19">
        <v>5.5392153766620638</v>
      </c>
      <c r="AV142" s="19">
        <v>5.2991887277750944</v>
      </c>
      <c r="AW142" s="19">
        <v>5.6636008379871825</v>
      </c>
      <c r="AX142" s="19">
        <v>5.5744446142857145</v>
      </c>
      <c r="AY142" s="19">
        <v>5.5344975488721806</v>
      </c>
      <c r="AZ142" s="19">
        <v>5.5589673846715328</v>
      </c>
      <c r="BA142" s="19">
        <v>5.5668767757575761</v>
      </c>
      <c r="BB142" s="19">
        <v>5.4226296548780493</v>
      </c>
      <c r="BC142" s="19">
        <v>5.1984110046058918</v>
      </c>
      <c r="BD142" s="19">
        <v>5.374471061985667</v>
      </c>
      <c r="BE142" s="19">
        <v>5.5892960526935545</v>
      </c>
      <c r="BF142" s="19">
        <v>5.5269112978439452</v>
      </c>
      <c r="BG142" s="19">
        <v>6.1249006113001396</v>
      </c>
      <c r="BH142" s="19">
        <v>5.4306677494812874</v>
      </c>
      <c r="BI142" s="19">
        <v>6.6185337230377694</v>
      </c>
      <c r="BJ142" s="19">
        <v>6.1383771051861951</v>
      </c>
      <c r="BK142" s="19">
        <v>5.2704927497314706</v>
      </c>
      <c r="BL142" s="19">
        <v>5.0503311186412247</v>
      </c>
      <c r="BM142" s="19">
        <v>4.860514485714285</v>
      </c>
      <c r="BN142" s="19">
        <v>4.5620606947368421</v>
      </c>
      <c r="BO142" s="19">
        <v>4.5924406664233572</v>
      </c>
      <c r="BP142" s="19">
        <v>4.6454523818181821</v>
      </c>
      <c r="BQ142" s="19">
        <v>4.5456830414634144</v>
      </c>
      <c r="BR142" s="19">
        <v>4.4877384506062761</v>
      </c>
      <c r="BS142" s="19">
        <v>4.6234430214253868</v>
      </c>
      <c r="BT142" s="19">
        <v>4.7088838626334137</v>
      </c>
      <c r="BU142" s="19">
        <v>4.8754513623580582</v>
      </c>
      <c r="BV142" s="19">
        <v>4.3129581399519603</v>
      </c>
      <c r="BW142" s="19">
        <v>4.1565875213800592</v>
      </c>
      <c r="BX142" s="19">
        <v>4.2575153779521901</v>
      </c>
      <c r="BY142" s="19">
        <v>3.4604789043908961</v>
      </c>
      <c r="BZ142" s="19">
        <v>110.938209880505</v>
      </c>
      <c r="CA142" s="19">
        <v>123.29256557586901</v>
      </c>
      <c r="CB142" s="19">
        <v>135.06199580652199</v>
      </c>
      <c r="CC142" s="19">
        <v>156.14900721429501</v>
      </c>
      <c r="CD142" s="19">
        <v>142.19595199458399</v>
      </c>
      <c r="CE142" s="19">
        <v>166.48426173749735</v>
      </c>
      <c r="CF142" s="19">
        <v>169.53830553611112</v>
      </c>
      <c r="CG142" s="19">
        <v>179.54995051095901</v>
      </c>
      <c r="CH142" s="19">
        <v>187.37057261348292</v>
      </c>
      <c r="CI142" s="19">
        <v>195.39812514415999</v>
      </c>
      <c r="CJ142" s="19">
        <v>100.762972836329</v>
      </c>
      <c r="CK142" s="19">
        <v>109.33625793457</v>
      </c>
      <c r="CL142" s="19">
        <v>141.98962402343801</v>
      </c>
      <c r="CM142" s="19">
        <v>140.43005371093801</v>
      </c>
      <c r="CN142" s="19">
        <v>143.66298640811701</v>
      </c>
      <c r="CO142" s="19">
        <v>149.48535380083001</v>
      </c>
      <c r="CP142" s="19">
        <v>153.39751816779901</v>
      </c>
      <c r="CQ142" s="19">
        <v>155.60068791221701</v>
      </c>
      <c r="CR142" s="19">
        <v>158.130119762151</v>
      </c>
      <c r="CS142" s="19">
        <v>146.13980828160001</v>
      </c>
      <c r="CT142" s="19">
        <v>169.44585672444683</v>
      </c>
      <c r="CU142" s="19">
        <v>174.89296840701385</v>
      </c>
      <c r="CV142" s="19">
        <v>183.14407267461689</v>
      </c>
      <c r="CW142" s="19">
        <v>180.48302551530128</v>
      </c>
      <c r="CX142" s="19">
        <v>191.88491608043861</v>
      </c>
      <c r="CY142" s="19">
        <v>6.410703471606034</v>
      </c>
      <c r="CZ142" s="19">
        <v>6.5226012839598129</v>
      </c>
      <c r="DA142" s="19">
        <v>6.4140327285714287</v>
      </c>
      <c r="DB142" s="19">
        <v>6.3413079218045105</v>
      </c>
      <c r="DC142" s="19">
        <v>6.3841705598540148</v>
      </c>
      <c r="DD142" s="19">
        <v>6.3776469515151515</v>
      </c>
      <c r="DE142" s="19">
        <v>6.3348211018292684</v>
      </c>
      <c r="DF142" s="19">
        <v>6.2374318855536997</v>
      </c>
      <c r="DG142" s="19">
        <v>6.2682947003259892</v>
      </c>
      <c r="DH142" s="19">
        <v>6.3100843838940097</v>
      </c>
      <c r="DI142" s="19">
        <v>6.0788745354852987</v>
      </c>
      <c r="DJ142" s="19">
        <v>6.1113385350774472</v>
      </c>
      <c r="DK142" s="19">
        <v>6.0438353553036084</v>
      </c>
      <c r="DL142" s="19">
        <v>5.9789942447521094</v>
      </c>
      <c r="DM142" s="19">
        <v>6.291808212826707</v>
      </c>
      <c r="DN142" s="19">
        <v>6.6152487244897955</v>
      </c>
      <c r="DO142" s="19">
        <v>6.6715261111553783</v>
      </c>
      <c r="DP142" s="19">
        <v>6.7037655857142866</v>
      </c>
      <c r="DQ142" s="19">
        <v>6.6167061022556393</v>
      </c>
      <c r="DR142" s="19">
        <v>6.5731212554744518</v>
      </c>
      <c r="DS142" s="19">
        <v>6.5378527696969693</v>
      </c>
      <c r="DT142" s="19">
        <v>6.3601631359756094</v>
      </c>
      <c r="DU142" s="19">
        <v>6.2862958330053154</v>
      </c>
      <c r="DV142" s="19">
        <v>6.3876243492452112</v>
      </c>
      <c r="DW142" s="19">
        <v>6.3949084832353993</v>
      </c>
      <c r="DX142" s="19">
        <v>6.1654319815311389</v>
      </c>
      <c r="DY142" s="19">
        <v>6.030485176627721</v>
      </c>
      <c r="DZ142" s="19">
        <v>6.3997132722626766</v>
      </c>
      <c r="EA142" s="19">
        <v>5.9834272816247447</v>
      </c>
      <c r="EB142" s="19">
        <v>6.4559961045426295</v>
      </c>
      <c r="EC142" s="19">
        <v>6.6460534050576747</v>
      </c>
      <c r="ED142" s="19">
        <v>6.6244777922570588</v>
      </c>
      <c r="EE142" s="19">
        <v>6.6595839714285718</v>
      </c>
      <c r="EF142" s="19">
        <v>6.6441469187969915</v>
      </c>
      <c r="EG142" s="19">
        <v>6.527247835036496</v>
      </c>
      <c r="EH142" s="19">
        <v>6.4713367818181817</v>
      </c>
      <c r="EI142" s="19">
        <v>6.2189600054878049</v>
      </c>
      <c r="EJ142" s="19">
        <v>6.053103308420491</v>
      </c>
      <c r="EK142" s="19">
        <v>6.2111507645467432</v>
      </c>
      <c r="EL142" s="19">
        <v>6.2848151493685807</v>
      </c>
      <c r="EM142" s="19">
        <v>6.0512707626764541</v>
      </c>
      <c r="EN142" s="19">
        <v>5.8925188033150748</v>
      </c>
      <c r="EO142" s="19">
        <v>5.8530183923912267</v>
      </c>
      <c r="EP142" s="19">
        <v>5.87863727738221</v>
      </c>
      <c r="EQ142" s="19">
        <v>5.5544932157483053</v>
      </c>
      <c r="ER142" s="19"/>
      <c r="ES142" s="16">
        <f t="shared" si="9"/>
        <v>5.1272817054168263</v>
      </c>
      <c r="ET142" s="16">
        <f t="shared" si="9"/>
        <v>5.3281231626763992</v>
      </c>
      <c r="EU142" s="16">
        <f t="shared" si="9"/>
        <v>6.0854163834549873</v>
      </c>
      <c r="EV142" s="16">
        <f t="shared" si="9"/>
        <v>5.5589673846715328</v>
      </c>
      <c r="EW142" s="16">
        <f t="shared" si="9"/>
        <v>4.5924406664233572</v>
      </c>
      <c r="EX142" s="16" t="str">
        <f t="shared" si="9"/>
        <v>.</v>
      </c>
      <c r="EY142" s="16">
        <f t="shared" si="9"/>
        <v>143.66298640811701</v>
      </c>
      <c r="EZ142" s="16">
        <f t="shared" si="9"/>
        <v>6.3841705598540148</v>
      </c>
      <c r="FA142" s="16">
        <f t="shared" si="9"/>
        <v>6.5731212554744518</v>
      </c>
      <c r="FB142" s="16">
        <f t="shared" si="9"/>
        <v>6.527247835036496</v>
      </c>
    </row>
    <row r="143" spans="1:158" x14ac:dyDescent="0.25">
      <c r="A143" s="17">
        <v>140</v>
      </c>
      <c r="B143" s="17" t="s">
        <v>171</v>
      </c>
      <c r="C143" s="17" t="s">
        <v>171</v>
      </c>
      <c r="D143" s="17" t="s">
        <v>23</v>
      </c>
      <c r="E143" s="16">
        <v>1</v>
      </c>
      <c r="F143" s="18">
        <v>4.255892970307035</v>
      </c>
      <c r="G143" s="18">
        <v>4.3269131051174554</v>
      </c>
      <c r="H143" s="18">
        <v>4.2910778352521657</v>
      </c>
      <c r="I143" s="18">
        <v>4.1197899970161629</v>
      </c>
      <c r="J143" s="18">
        <v>3.9994524639097739</v>
      </c>
      <c r="K143" s="18">
        <v>4.0222991537851485</v>
      </c>
      <c r="L143" s="18">
        <v>3.9505016563331408</v>
      </c>
      <c r="M143" s="18">
        <v>3.9984695483658625</v>
      </c>
      <c r="N143" s="18">
        <v>4.0679424318108985</v>
      </c>
      <c r="O143" s="18">
        <v>4.0984314890675968</v>
      </c>
      <c r="P143" s="18">
        <v>3.9116213622789271</v>
      </c>
      <c r="Q143" s="18">
        <v>4.5846052292987327</v>
      </c>
      <c r="R143" s="18">
        <v>3.6285871930418936</v>
      </c>
      <c r="S143" s="18">
        <v>3.9296793119559692</v>
      </c>
      <c r="T143" s="18">
        <v>3.8388557021021712</v>
      </c>
      <c r="U143" s="18">
        <v>3.4210476730501069</v>
      </c>
      <c r="V143" s="18">
        <v>3.2796683030781013</v>
      </c>
      <c r="W143" s="18">
        <v>3.1219442637920038</v>
      </c>
      <c r="X143" s="18">
        <v>2.9513268304520266</v>
      </c>
      <c r="Y143" s="18">
        <v>2.9134351729805998</v>
      </c>
      <c r="Z143" s="18">
        <v>2.9809291430545457</v>
      </c>
      <c r="AA143" s="18">
        <v>3.022188528449564</v>
      </c>
      <c r="AB143" s="18">
        <v>3.182982547877669</v>
      </c>
      <c r="AC143" s="18">
        <v>3.2947617122348807</v>
      </c>
      <c r="AD143" s="19">
        <v>3.3249036389399422</v>
      </c>
      <c r="AE143" s="19">
        <v>2.4850824152737814</v>
      </c>
      <c r="AF143" s="19">
        <v>2.9934377640168166</v>
      </c>
      <c r="AG143" s="19">
        <v>2.4483532060582558</v>
      </c>
      <c r="AH143" s="19">
        <v>3.3936485764740678</v>
      </c>
      <c r="AI143" s="19">
        <v>3.5885169321666632</v>
      </c>
      <c r="AJ143" s="19">
        <v>5.440111548293963</v>
      </c>
      <c r="AK143" s="19">
        <v>5.3198361476190472</v>
      </c>
      <c r="AL143" s="19">
        <v>5.1842518410958904</v>
      </c>
      <c r="AM143" s="19">
        <v>4.9272155985347981</v>
      </c>
      <c r="AN143" s="19">
        <v>5.056409520174042</v>
      </c>
      <c r="AO143" s="19">
        <v>5.1950230474780446</v>
      </c>
      <c r="AP143" s="19">
        <v>5.2206219882755489</v>
      </c>
      <c r="AQ143" s="19">
        <v>4.1894084027540348</v>
      </c>
      <c r="AR143" s="19">
        <v>4.6477929302797385</v>
      </c>
      <c r="AS143" s="19">
        <v>4.3833347830900804</v>
      </c>
      <c r="AT143" s="19">
        <v>6.0174710424092748</v>
      </c>
      <c r="AU143" s="19">
        <v>4.5340913700158634</v>
      </c>
      <c r="AV143" s="19">
        <v>2.9267399267399266</v>
      </c>
      <c r="AW143" s="19">
        <v>2.7522627341269841</v>
      </c>
      <c r="AX143" s="19">
        <v>2.944362622516556</v>
      </c>
      <c r="AY143" s="19">
        <v>2.8427631346456694</v>
      </c>
      <c r="AZ143" s="19">
        <v>2.6578584928571427</v>
      </c>
      <c r="BA143" s="19">
        <v>2.6031468589041098</v>
      </c>
      <c r="BB143" s="19">
        <v>2.4634954395604396</v>
      </c>
      <c r="BC143" s="19">
        <v>2.4354669518891763</v>
      </c>
      <c r="BD143" s="19">
        <v>2.3879583809949172</v>
      </c>
      <c r="BE143" s="19">
        <v>2.327541513495393</v>
      </c>
      <c r="BF143" s="19">
        <v>4.7732820587299329</v>
      </c>
      <c r="BG143" s="19">
        <v>4.0973800994711862</v>
      </c>
      <c r="BH143" s="19">
        <v>4.995605493788025</v>
      </c>
      <c r="BI143" s="19">
        <v>5.5204095849686903</v>
      </c>
      <c r="BJ143" s="19">
        <v>6.327557342566779</v>
      </c>
      <c r="BK143" s="19">
        <v>3.5606227106227104</v>
      </c>
      <c r="BL143" s="19">
        <v>3.4889743716931223</v>
      </c>
      <c r="BM143" s="19">
        <v>3.4205572768211918</v>
      </c>
      <c r="BN143" s="19">
        <v>3.082543701574803</v>
      </c>
      <c r="BO143" s="19">
        <v>2.7158646571428569</v>
      </c>
      <c r="BP143" s="19">
        <v>2.614278398630137</v>
      </c>
      <c r="BQ143" s="19">
        <v>2.616574140659341</v>
      </c>
      <c r="BR143" s="19">
        <v>2.7093540786067027</v>
      </c>
      <c r="BS143" s="19">
        <v>2.84787647346907</v>
      </c>
      <c r="BT143" s="19">
        <v>2.9153852297709539</v>
      </c>
      <c r="BU143" s="19">
        <v>1.6084584560888122</v>
      </c>
      <c r="BV143" s="19">
        <v>3.0456585529449627</v>
      </c>
      <c r="BW143" s="19">
        <v>2.4507866456473781</v>
      </c>
      <c r="BX143" s="19">
        <v>1.4227991183965165</v>
      </c>
      <c r="BY143" s="19">
        <v>2.5630373075889774</v>
      </c>
      <c r="BZ143" s="19">
        <v>31.918219165413799</v>
      </c>
      <c r="CA143" s="19">
        <v>34.947554272259403</v>
      </c>
      <c r="CB143" s="19">
        <v>53.583055225446699</v>
      </c>
      <c r="CC143" s="19">
        <v>59.5198632088496</v>
      </c>
      <c r="CD143" s="19">
        <v>67.529460566163905</v>
      </c>
      <c r="CE143" s="19">
        <v>79.448211855098265</v>
      </c>
      <c r="CF143" s="19">
        <v>89.43154357924297</v>
      </c>
      <c r="CG143" s="19">
        <v>99.07775282427275</v>
      </c>
      <c r="CH143" s="19">
        <v>109.27486690003212</v>
      </c>
      <c r="CI143" s="19">
        <v>117.9656789783823</v>
      </c>
      <c r="CJ143" s="19">
        <v>84.065432327346798</v>
      </c>
      <c r="CK143" s="19">
        <v>90.603660583496094</v>
      </c>
      <c r="CL143" s="19">
        <v>102.368041992188</v>
      </c>
      <c r="CM143" s="19">
        <v>101.701446533203</v>
      </c>
      <c r="CN143" s="19">
        <v>108.47460481911899</v>
      </c>
      <c r="CO143" s="19">
        <v>109.349480270683</v>
      </c>
      <c r="CP143" s="19">
        <v>111.206145905029</v>
      </c>
      <c r="CQ143" s="19">
        <v>113.911155561892</v>
      </c>
      <c r="CR143" s="19">
        <v>116.940134070288</v>
      </c>
      <c r="CS143" s="19">
        <v>122.310164241156</v>
      </c>
      <c r="CT143" s="19">
        <v>123.97227388051475</v>
      </c>
      <c r="CU143" s="19">
        <v>131.15512067549056</v>
      </c>
      <c r="CV143" s="19">
        <v>138.88430678849346</v>
      </c>
      <c r="CW143" s="19">
        <v>141.36523318542362</v>
      </c>
      <c r="CX143" s="19">
        <v>143.43902645735329</v>
      </c>
      <c r="CY143" s="19">
        <v>5.0491452991452999</v>
      </c>
      <c r="CZ143" s="19">
        <v>4.9070208399470907</v>
      </c>
      <c r="DA143" s="19">
        <v>4.550208358940397</v>
      </c>
      <c r="DB143" s="19">
        <v>4.2473592480314952</v>
      </c>
      <c r="DC143" s="19">
        <v>4.0544803428571425</v>
      </c>
      <c r="DD143" s="19">
        <v>4.0846395328767127</v>
      </c>
      <c r="DE143" s="19">
        <v>3.9368765582417584</v>
      </c>
      <c r="DF143" s="19">
        <v>3.8422903832343174</v>
      </c>
      <c r="DG143" s="19">
        <v>3.9995856248879731</v>
      </c>
      <c r="DH143" s="19">
        <v>4.1730570463033825</v>
      </c>
      <c r="DI143" s="19">
        <v>3.4172057311432855</v>
      </c>
      <c r="DJ143" s="19">
        <v>3.5556179787666817</v>
      </c>
      <c r="DK143" s="19">
        <v>3.5530795687136778</v>
      </c>
      <c r="DL143" s="19">
        <v>2.4854069180251495</v>
      </c>
      <c r="DM143" s="19">
        <v>4.1418222936073814</v>
      </c>
      <c r="DN143" s="19">
        <v>3.8593465674110838</v>
      </c>
      <c r="DO143" s="19">
        <v>3.71035651984127</v>
      </c>
      <c r="DP143" s="19">
        <v>4.1224571231788074</v>
      </c>
      <c r="DQ143" s="19">
        <v>4.374849640157481</v>
      </c>
      <c r="DR143" s="19">
        <v>4.1525952214285713</v>
      </c>
      <c r="DS143" s="19">
        <v>4.2736741753424656</v>
      </c>
      <c r="DT143" s="19">
        <v>4.0732539450549456</v>
      </c>
      <c r="DU143" s="19">
        <v>4.1654185986112822</v>
      </c>
      <c r="DV143" s="19">
        <v>4.4955047009866451</v>
      </c>
      <c r="DW143" s="19">
        <v>4.4224072029302413</v>
      </c>
      <c r="DX143" s="19">
        <v>4.472096955984397</v>
      </c>
      <c r="DY143" s="19">
        <v>4.211938270404076</v>
      </c>
      <c r="DZ143" s="19">
        <v>5.0585366569331898</v>
      </c>
      <c r="EA143" s="19">
        <v>5.0983399175357835</v>
      </c>
      <c r="EB143" s="19">
        <v>5.0450818701920426</v>
      </c>
      <c r="EC143" s="19">
        <v>3.4700854700854702</v>
      </c>
      <c r="ED143" s="19">
        <v>3.1080265806878309</v>
      </c>
      <c r="EE143" s="19">
        <v>3.4695089046357612</v>
      </c>
      <c r="EF143" s="19">
        <v>3.8791348314960636</v>
      </c>
      <c r="EG143" s="19">
        <v>3.5923571000000001</v>
      </c>
      <c r="EH143" s="19">
        <v>3.6965070136986302</v>
      </c>
      <c r="EI143" s="19">
        <v>3.6238110813186815</v>
      </c>
      <c r="EJ143" s="19">
        <v>3.6937355001103391</v>
      </c>
      <c r="EK143" s="19">
        <v>4.0302832517442821</v>
      </c>
      <c r="EL143" s="19">
        <v>4.1005459036145888</v>
      </c>
      <c r="EM143" s="19">
        <v>4.2415735062772857</v>
      </c>
      <c r="EN143" s="19">
        <v>4.2374506879339284</v>
      </c>
      <c r="EO143" s="19">
        <v>4.4732561158670689</v>
      </c>
      <c r="EP143" s="19">
        <v>4.3710497261352899</v>
      </c>
      <c r="EQ143" s="19">
        <v>5.3462056687115069</v>
      </c>
      <c r="ER143" s="19"/>
      <c r="ES143" s="16">
        <f t="shared" si="9"/>
        <v>3.9994524639097739</v>
      </c>
      <c r="ET143" s="16">
        <f t="shared" si="9"/>
        <v>2.9134351729805998</v>
      </c>
      <c r="EU143" s="16">
        <f t="shared" si="9"/>
        <v>5.3198361476190472</v>
      </c>
      <c r="EV143" s="16">
        <f t="shared" si="9"/>
        <v>2.6578584928571427</v>
      </c>
      <c r="EW143" s="16">
        <f t="shared" si="9"/>
        <v>2.7158646571428569</v>
      </c>
      <c r="EX143" s="16" t="str">
        <f t="shared" si="9"/>
        <v>.</v>
      </c>
      <c r="EY143" s="16">
        <f t="shared" si="9"/>
        <v>108.47460481911899</v>
      </c>
      <c r="EZ143" s="16">
        <f t="shared" si="9"/>
        <v>4.0544803428571425</v>
      </c>
      <c r="FA143" s="16">
        <f t="shared" si="9"/>
        <v>4.1525952214285713</v>
      </c>
      <c r="FB143" s="16">
        <f t="shared" si="9"/>
        <v>3.5923571000000001</v>
      </c>
    </row>
    <row r="144" spans="1:158" x14ac:dyDescent="0.25">
      <c r="A144" s="17">
        <v>141</v>
      </c>
      <c r="B144" s="17" t="s">
        <v>172</v>
      </c>
      <c r="C144" s="17" t="s">
        <v>172</v>
      </c>
      <c r="D144" s="17" t="s">
        <v>23</v>
      </c>
      <c r="E144" s="16">
        <v>1</v>
      </c>
      <c r="F144" s="18">
        <v>4.6532324355319332</v>
      </c>
      <c r="G144" s="18">
        <v>4.5915445465685814</v>
      </c>
      <c r="H144" s="18">
        <v>4.6371101183991676</v>
      </c>
      <c r="I144" s="18">
        <v>4.4245063520079828</v>
      </c>
      <c r="J144" s="18">
        <v>4.18875147368421</v>
      </c>
      <c r="K144" s="18">
        <v>4.1799176594662013</v>
      </c>
      <c r="L144" s="18">
        <v>4.1390527506072878</v>
      </c>
      <c r="M144" s="18">
        <v>4.112754894950311</v>
      </c>
      <c r="N144" s="18">
        <v>4.1520712172092473</v>
      </c>
      <c r="O144" s="18">
        <v>4.2287274667612724</v>
      </c>
      <c r="P144" s="18">
        <v>3.4718609651488017</v>
      </c>
      <c r="Q144" s="18">
        <v>3.9696968689443626</v>
      </c>
      <c r="R144" s="18">
        <v>4.3144776640692681</v>
      </c>
      <c r="S144" s="18">
        <v>3.9078887787198786</v>
      </c>
      <c r="T144" s="18">
        <v>4.0833830820854793</v>
      </c>
      <c r="U144" s="18">
        <v>3.751683374827941</v>
      </c>
      <c r="V144" s="18">
        <v>3.7164153263866448</v>
      </c>
      <c r="W144" s="18">
        <v>3.8278022827027032</v>
      </c>
      <c r="X144" s="18">
        <v>3.734696621548184</v>
      </c>
      <c r="Y144" s="18">
        <v>3.5535498666666663</v>
      </c>
      <c r="Z144" s="18">
        <v>3.8527805942649636</v>
      </c>
      <c r="AA144" s="18">
        <v>3.6265124588998621</v>
      </c>
      <c r="AB144" s="18">
        <v>3.6377918995155465</v>
      </c>
      <c r="AC144" s="18">
        <v>3.8261456272040069</v>
      </c>
      <c r="AD144" s="19">
        <v>3.9319790149555272</v>
      </c>
      <c r="AE144" s="19">
        <v>3.0850947445618941</v>
      </c>
      <c r="AF144" s="19">
        <v>4.0017054943401327</v>
      </c>
      <c r="AG144" s="19">
        <v>3.8710117566560331</v>
      </c>
      <c r="AH144" s="19">
        <v>3.9922045340803196</v>
      </c>
      <c r="AI144" s="19">
        <v>3.975210666479974</v>
      </c>
      <c r="AJ144" s="19">
        <v>4.8560245605055297</v>
      </c>
      <c r="AK144" s="19">
        <v>4.665618666666667</v>
      </c>
      <c r="AL144" s="19">
        <v>4.7471916560821485</v>
      </c>
      <c r="AM144" s="19">
        <v>4.7843547317307689</v>
      </c>
      <c r="AN144" s="19">
        <v>4.7857700009908823</v>
      </c>
      <c r="AO144" s="19">
        <v>4.8276828201369257</v>
      </c>
      <c r="AP144" s="19">
        <v>4.8010827475267908</v>
      </c>
      <c r="AQ144" s="19">
        <v>4.3490468400249913</v>
      </c>
      <c r="AR144" s="19">
        <v>4.4924377766751649</v>
      </c>
      <c r="AS144" s="19">
        <v>4.7163662277792193</v>
      </c>
      <c r="AT144" s="19">
        <v>4.5702774502498116</v>
      </c>
      <c r="AU144" s="19">
        <v>4.0810430317567228</v>
      </c>
      <c r="AV144" s="19">
        <v>3.2375546055449389</v>
      </c>
      <c r="AW144" s="19">
        <v>3.5340846656275691</v>
      </c>
      <c r="AX144" s="19">
        <v>3.83166412972973</v>
      </c>
      <c r="AY144" s="19">
        <v>3.4650290350710904</v>
      </c>
      <c r="AZ144" s="19">
        <v>2.995126</v>
      </c>
      <c r="BA144" s="19">
        <v>2.7332260592417059</v>
      </c>
      <c r="BB144" s="19">
        <v>2.6329146278846158</v>
      </c>
      <c r="BC144" s="19">
        <v>2.5315156993061945</v>
      </c>
      <c r="BD144" s="19">
        <v>2.5890553966897434</v>
      </c>
      <c r="BE144" s="19">
        <v>2.7404916929162066</v>
      </c>
      <c r="BF144" s="19">
        <v>5.4989087521676483</v>
      </c>
      <c r="BG144" s="19">
        <v>6.0562129641453932</v>
      </c>
      <c r="BH144" s="19">
        <v>3.9806024035490317</v>
      </c>
      <c r="BI144" s="19">
        <v>2.8280280840057017</v>
      </c>
      <c r="BJ144" s="19">
        <v>6.9291418359729224</v>
      </c>
      <c r="BK144" s="19">
        <v>4.8097384048060121</v>
      </c>
      <c r="BL144" s="19">
        <v>3.9542676025691974</v>
      </c>
      <c r="BM144" s="19">
        <v>3.7816751567567568</v>
      </c>
      <c r="BN144" s="19">
        <v>3.5111444369668252</v>
      </c>
      <c r="BO144" s="19">
        <v>3.0386989999999998</v>
      </c>
      <c r="BP144" s="19">
        <v>3.0166778194312798</v>
      </c>
      <c r="BQ144" s="19">
        <v>2.8662716855769235</v>
      </c>
      <c r="BR144" s="19">
        <v>2.8830728538461541</v>
      </c>
      <c r="BS144" s="19">
        <v>3.2677818751725995</v>
      </c>
      <c r="BT144" s="19">
        <v>3.3575827906961027</v>
      </c>
      <c r="BU144" s="19">
        <v>1.8432074449420683</v>
      </c>
      <c r="BV144" s="19">
        <v>2.0851749632205308</v>
      </c>
      <c r="BW144" s="19">
        <v>1</v>
      </c>
      <c r="BX144" s="19">
        <v>1.9056216159072574</v>
      </c>
      <c r="BY144" s="19">
        <v>1</v>
      </c>
      <c r="BZ144" s="19">
        <v>29.272652937673101</v>
      </c>
      <c r="CA144" s="19">
        <v>37.093375332159802</v>
      </c>
      <c r="CB144" s="19">
        <v>41.785581735880903</v>
      </c>
      <c r="CC144" s="19">
        <v>46.655749299477002</v>
      </c>
      <c r="CD144" s="19">
        <v>52.029618798654198</v>
      </c>
      <c r="CE144" s="19">
        <v>59.885371455255132</v>
      </c>
      <c r="CF144" s="19">
        <v>63.729986939254111</v>
      </c>
      <c r="CG144" s="19">
        <v>68.57535124588847</v>
      </c>
      <c r="CH144" s="19">
        <v>73.580613471930548</v>
      </c>
      <c r="CI144" s="19">
        <v>80.511861738520679</v>
      </c>
      <c r="CJ144" s="19">
        <v>89.437315709201798</v>
      </c>
      <c r="CK144" s="19">
        <v>92.556694030761705</v>
      </c>
      <c r="CL144" s="19">
        <v>102.663948059082</v>
      </c>
      <c r="CM144" s="19">
        <v>103.97549438476599</v>
      </c>
      <c r="CN144" s="19">
        <v>104.54603681368501</v>
      </c>
      <c r="CO144" s="19">
        <v>106.561926907556</v>
      </c>
      <c r="CP144" s="19">
        <v>110.078590941332</v>
      </c>
      <c r="CQ144" s="19">
        <v>110.21121169577</v>
      </c>
      <c r="CR144" s="19">
        <v>112.08301053386199</v>
      </c>
      <c r="CS144" s="19">
        <v>113.21932484722799</v>
      </c>
      <c r="CT144" s="19">
        <v>116.34262422754304</v>
      </c>
      <c r="CU144" s="19">
        <v>119.86659203980919</v>
      </c>
      <c r="CV144" s="19">
        <v>124.99765796466399</v>
      </c>
      <c r="CW144" s="19">
        <v>125.49831063613979</v>
      </c>
      <c r="CX144" s="19">
        <v>127.56758789281372</v>
      </c>
      <c r="CY144" s="19">
        <v>4.9118502680586094</v>
      </c>
      <c r="CZ144" s="19">
        <v>4.863816753322828</v>
      </c>
      <c r="DA144" s="19">
        <v>4.8487728432432426</v>
      </c>
      <c r="DB144" s="19">
        <v>4.6250253364928913</v>
      </c>
      <c r="DC144" s="19">
        <v>4.4072719999999999</v>
      </c>
      <c r="DD144" s="19">
        <v>4.4102687464454977</v>
      </c>
      <c r="DE144" s="19">
        <v>4.2542843942307691</v>
      </c>
      <c r="DF144" s="19">
        <v>4.1793954401106612</v>
      </c>
      <c r="DG144" s="19">
        <v>4.3242406454242648</v>
      </c>
      <c r="DH144" s="19">
        <v>4.3520995953808654</v>
      </c>
      <c r="DI144" s="19">
        <v>4.1262881014870878</v>
      </c>
      <c r="DJ144" s="19">
        <v>3.8959480336635113</v>
      </c>
      <c r="DK144" s="19">
        <v>4.27114919181325</v>
      </c>
      <c r="DL144" s="19">
        <v>3.9065542709335008</v>
      </c>
      <c r="DM144" s="19">
        <v>3.7881945573753524</v>
      </c>
      <c r="DN144" s="19">
        <v>4.5704645002683471</v>
      </c>
      <c r="DO144" s="19">
        <v>4.795721346272952</v>
      </c>
      <c r="DP144" s="19">
        <v>5.2121927486486488</v>
      </c>
      <c r="DQ144" s="19">
        <v>5.324254528909953</v>
      </c>
      <c r="DR144" s="19">
        <v>5.3233180000000004</v>
      </c>
      <c r="DS144" s="19">
        <v>5.405399698104266</v>
      </c>
      <c r="DT144" s="19">
        <v>5.2382201596153841</v>
      </c>
      <c r="DU144" s="19">
        <v>5.0693676761324369</v>
      </c>
      <c r="DV144" s="19">
        <v>4.8517391736390163</v>
      </c>
      <c r="DW144" s="19">
        <v>4.6299729230611222</v>
      </c>
      <c r="DX144" s="19">
        <v>5.2479027719667899</v>
      </c>
      <c r="DY144" s="19">
        <v>5.3649648134081627</v>
      </c>
      <c r="DZ144" s="19">
        <v>4.8925642975581773</v>
      </c>
      <c r="EA144" s="19">
        <v>4.0175319602767114</v>
      </c>
      <c r="EB144" s="19">
        <v>5.2233315507946729</v>
      </c>
      <c r="EC144" s="19">
        <v>4.4623475477394932</v>
      </c>
      <c r="ED144" s="19">
        <v>4.6614107476294873</v>
      </c>
      <c r="EE144" s="19">
        <v>4.9354322567567568</v>
      </c>
      <c r="EF144" s="19">
        <v>4.8351417345971566</v>
      </c>
      <c r="EG144" s="19">
        <v>4.6832079999999996</v>
      </c>
      <c r="EH144" s="19">
        <v>5.005963479146919</v>
      </c>
      <c r="EI144" s="19">
        <v>5.0842747807692303</v>
      </c>
      <c r="EJ144" s="19">
        <v>4.8981580488018324</v>
      </c>
      <c r="EK144" s="19">
        <v>4.6549499261574674</v>
      </c>
      <c r="EL144" s="19">
        <v>4.4195460182169208</v>
      </c>
      <c r="EM144" s="19">
        <v>5.8484685077930321</v>
      </c>
      <c r="EN144" s="19">
        <v>5.0267410509657644</v>
      </c>
      <c r="EO144" s="19">
        <v>4.1396858719464351</v>
      </c>
      <c r="EP144" s="19">
        <v>4.4098168496053178</v>
      </c>
      <c r="EQ144" s="19">
        <v>5.2884747852911431</v>
      </c>
      <c r="ER144" s="19"/>
      <c r="ES144" s="16">
        <f t="shared" si="9"/>
        <v>4.18875147368421</v>
      </c>
      <c r="ET144" s="16">
        <f t="shared" si="9"/>
        <v>3.5535498666666663</v>
      </c>
      <c r="EU144" s="16">
        <f t="shared" si="9"/>
        <v>4.665618666666667</v>
      </c>
      <c r="EV144" s="16">
        <f t="shared" si="9"/>
        <v>2.995126</v>
      </c>
      <c r="EW144" s="16">
        <f t="shared" si="9"/>
        <v>3.0386989999999998</v>
      </c>
      <c r="EX144" s="16" t="str">
        <f t="shared" si="9"/>
        <v>.</v>
      </c>
      <c r="EY144" s="16">
        <f t="shared" si="9"/>
        <v>104.54603681368501</v>
      </c>
      <c r="EZ144" s="16">
        <f t="shared" si="9"/>
        <v>4.4072719999999999</v>
      </c>
      <c r="FA144" s="16">
        <f t="shared" si="9"/>
        <v>5.3233180000000004</v>
      </c>
      <c r="FB144" s="16">
        <f t="shared" si="9"/>
        <v>4.6832079999999996</v>
      </c>
    </row>
    <row r="145" spans="1:158" x14ac:dyDescent="0.25">
      <c r="A145" s="17">
        <v>142</v>
      </c>
      <c r="B145" s="17" t="s">
        <v>173</v>
      </c>
      <c r="C145" s="17" t="s">
        <v>174</v>
      </c>
      <c r="D145" s="17" t="s">
        <v>25</v>
      </c>
      <c r="E145" s="16">
        <v>0</v>
      </c>
      <c r="F145" s="18">
        <v>4.13</v>
      </c>
      <c r="G145" s="18">
        <v>3.63</v>
      </c>
      <c r="H145" s="18">
        <v>4.22</v>
      </c>
      <c r="I145" s="18">
        <v>3.32</v>
      </c>
      <c r="J145" s="18">
        <v>2.88</v>
      </c>
      <c r="K145" s="18">
        <v>2.58</v>
      </c>
      <c r="L145" s="18">
        <v>3.47</v>
      </c>
      <c r="M145" s="18">
        <v>3.78</v>
      </c>
      <c r="N145" s="18">
        <v>3.83</v>
      </c>
      <c r="O145" s="18">
        <v>3.88</v>
      </c>
      <c r="P145" s="18">
        <v>3.95</v>
      </c>
      <c r="Q145" s="18">
        <v>4.62</v>
      </c>
      <c r="R145" s="18">
        <v>3.25</v>
      </c>
      <c r="S145" s="18">
        <v>3.47</v>
      </c>
      <c r="T145" s="18">
        <v>3.09</v>
      </c>
      <c r="U145" s="18">
        <v>3.2</v>
      </c>
      <c r="V145" s="18">
        <v>2.61</v>
      </c>
      <c r="W145" s="18">
        <v>2.0499999999999998</v>
      </c>
      <c r="X145" s="18">
        <v>2.65</v>
      </c>
      <c r="Y145" s="18">
        <v>3.55</v>
      </c>
      <c r="Z145" s="18">
        <v>2.58</v>
      </c>
      <c r="AA145" s="18">
        <v>2.66</v>
      </c>
      <c r="AB145" s="18">
        <v>3.32</v>
      </c>
      <c r="AC145" s="18">
        <v>2.87</v>
      </c>
      <c r="AD145" s="19">
        <v>2.44</v>
      </c>
      <c r="AE145" s="19">
        <v>2.35</v>
      </c>
      <c r="AF145" s="19">
        <v>1.91</v>
      </c>
      <c r="AG145" s="19">
        <v>3.15</v>
      </c>
      <c r="AH145" s="19">
        <v>3.3</v>
      </c>
      <c r="AI145" s="19">
        <v>3.83</v>
      </c>
      <c r="AJ145" s="19">
        <v>4.29</v>
      </c>
      <c r="AK145" s="19">
        <v>4.38</v>
      </c>
      <c r="AL145" s="19">
        <v>3.61</v>
      </c>
      <c r="AM145" s="19">
        <v>4.12</v>
      </c>
      <c r="AN145" s="19">
        <v>4.25</v>
      </c>
      <c r="AO145" s="19">
        <v>4.16</v>
      </c>
      <c r="AP145" s="19">
        <v>3.92</v>
      </c>
      <c r="AQ145" s="19">
        <v>4.53</v>
      </c>
      <c r="AR145" s="19">
        <v>4.21</v>
      </c>
      <c r="AS145" s="19">
        <v>3.53</v>
      </c>
      <c r="AT145" s="19">
        <v>3.11</v>
      </c>
      <c r="AU145" s="19">
        <v>2.97</v>
      </c>
      <c r="AV145" s="19">
        <v>2.5299999999999998</v>
      </c>
      <c r="AW145" s="19">
        <v>2.21</v>
      </c>
      <c r="AX145" s="19">
        <v>2.66</v>
      </c>
      <c r="AY145" s="19">
        <v>3.1</v>
      </c>
      <c r="AZ145" s="19">
        <v>2.95</v>
      </c>
      <c r="BA145" s="19">
        <v>3.09</v>
      </c>
      <c r="BB145" s="19">
        <v>2.83</v>
      </c>
      <c r="BC145" s="19">
        <v>2.68</v>
      </c>
      <c r="BD145" s="19">
        <v>3.02</v>
      </c>
      <c r="BE145" s="19">
        <v>4.57</v>
      </c>
      <c r="BF145" s="19">
        <v>2.89</v>
      </c>
      <c r="BG145" s="19">
        <v>3.38</v>
      </c>
      <c r="BH145" s="19">
        <v>5.23</v>
      </c>
      <c r="BI145" s="19">
        <v>3.41</v>
      </c>
      <c r="BJ145" s="19">
        <v>3.95</v>
      </c>
      <c r="BK145" s="19">
        <v>3.41</v>
      </c>
      <c r="BL145" s="19">
        <v>2.96</v>
      </c>
      <c r="BM145" s="19">
        <v>3.71</v>
      </c>
      <c r="BN145" s="19">
        <v>2.72</v>
      </c>
      <c r="BO145" s="19">
        <v>2.93</v>
      </c>
      <c r="BP145" s="19">
        <v>2.92</v>
      </c>
      <c r="BQ145" s="19">
        <v>2.7</v>
      </c>
      <c r="BR145" s="19">
        <v>3.35</v>
      </c>
      <c r="BS145" s="19">
        <v>2.58</v>
      </c>
      <c r="BT145" s="19">
        <v>3.14</v>
      </c>
      <c r="BU145" s="19">
        <v>2.08</v>
      </c>
      <c r="BV145" s="19">
        <v>3.01</v>
      </c>
      <c r="BW145" s="19">
        <v>2.63</v>
      </c>
      <c r="BX145" s="19">
        <v>3.51</v>
      </c>
      <c r="BY145" s="19">
        <v>3.64</v>
      </c>
      <c r="BZ145" s="19">
        <v>15.2</v>
      </c>
      <c r="CA145" s="19">
        <v>11.16</v>
      </c>
      <c r="CB145" s="19">
        <v>200</v>
      </c>
      <c r="CC145" s="19">
        <v>49.07</v>
      </c>
      <c r="CD145" s="19">
        <v>21.66</v>
      </c>
      <c r="CE145" s="19">
        <v>10.71</v>
      </c>
      <c r="CF145" s="19">
        <v>102.36</v>
      </c>
      <c r="CG145" s="19">
        <v>1</v>
      </c>
      <c r="CH145" s="19">
        <v>24.02</v>
      </c>
      <c r="CI145" s="19">
        <v>94.2</v>
      </c>
      <c r="CJ145" s="19">
        <v>23.68</v>
      </c>
      <c r="CK145" s="19">
        <v>43.48</v>
      </c>
      <c r="CL145" s="19">
        <v>25.87</v>
      </c>
      <c r="CM145" s="19">
        <v>24.06</v>
      </c>
      <c r="CN145" s="19">
        <v>48.79</v>
      </c>
      <c r="CO145" s="19">
        <v>47.15</v>
      </c>
      <c r="CP145" s="19">
        <v>103.6</v>
      </c>
      <c r="CQ145" s="19">
        <v>77.98</v>
      </c>
      <c r="CR145" s="19">
        <v>174.27</v>
      </c>
      <c r="CS145" s="19">
        <v>134.79</v>
      </c>
      <c r="CT145" s="19">
        <v>138.80000000000001</v>
      </c>
      <c r="CU145" s="19">
        <v>172.31</v>
      </c>
      <c r="CV145" s="19">
        <v>102.72</v>
      </c>
      <c r="CW145" s="19">
        <v>183.38</v>
      </c>
      <c r="CX145" s="19">
        <v>164.64</v>
      </c>
      <c r="CY145" s="19">
        <v>4.38</v>
      </c>
      <c r="CZ145" s="19">
        <v>4.45</v>
      </c>
      <c r="DA145" s="19">
        <v>4.2699999999999996</v>
      </c>
      <c r="DB145" s="19">
        <v>3.91</v>
      </c>
      <c r="DC145" s="19">
        <v>4.8899999999999997</v>
      </c>
      <c r="DD145" s="19">
        <v>3.17</v>
      </c>
      <c r="DE145" s="19">
        <v>3.44</v>
      </c>
      <c r="DF145" s="19">
        <v>3.45</v>
      </c>
      <c r="DG145" s="19">
        <v>3.76</v>
      </c>
      <c r="DH145" s="19">
        <v>3.46</v>
      </c>
      <c r="DI145" s="19">
        <v>2.79</v>
      </c>
      <c r="DJ145" s="19">
        <v>3.72</v>
      </c>
      <c r="DK145" s="19">
        <v>2.7</v>
      </c>
      <c r="DL145" s="19">
        <v>2.96</v>
      </c>
      <c r="DM145" s="19">
        <v>4.3899999999999997</v>
      </c>
      <c r="DN145" s="19">
        <v>1.18</v>
      </c>
      <c r="DO145" s="19">
        <v>1</v>
      </c>
      <c r="DP145" s="19">
        <v>3.04</v>
      </c>
      <c r="DQ145" s="19">
        <v>3.45</v>
      </c>
      <c r="DR145" s="19">
        <v>3.21</v>
      </c>
      <c r="DS145" s="19">
        <v>3.21</v>
      </c>
      <c r="DT145" s="19">
        <v>3.27</v>
      </c>
      <c r="DU145" s="19">
        <v>3.28</v>
      </c>
      <c r="DV145" s="19">
        <v>3.25</v>
      </c>
      <c r="DW145" s="19">
        <v>3.67</v>
      </c>
      <c r="DX145" s="19">
        <v>2.84</v>
      </c>
      <c r="DY145" s="19">
        <v>3.2</v>
      </c>
      <c r="DZ145" s="19">
        <v>4.01</v>
      </c>
      <c r="EA145" s="19">
        <v>3.65</v>
      </c>
      <c r="EB145" s="19">
        <v>4.8099999999999996</v>
      </c>
      <c r="EC145" s="19">
        <v>3.07</v>
      </c>
      <c r="ED145" s="19">
        <v>2.17</v>
      </c>
      <c r="EE145" s="19">
        <v>2.39</v>
      </c>
      <c r="EF145" s="19">
        <v>2.66</v>
      </c>
      <c r="EG145" s="19">
        <v>1.31</v>
      </c>
      <c r="EH145" s="19">
        <v>2.36</v>
      </c>
      <c r="EI145" s="19">
        <v>4.67</v>
      </c>
      <c r="EJ145" s="19">
        <v>3.77</v>
      </c>
      <c r="EK145" s="19">
        <v>3.07</v>
      </c>
      <c r="EL145" s="19">
        <v>2.97</v>
      </c>
      <c r="EM145" s="19">
        <v>3.38</v>
      </c>
      <c r="EN145" s="19">
        <v>4.7699999999999996</v>
      </c>
      <c r="EO145" s="19">
        <v>1.88</v>
      </c>
      <c r="EP145" s="19">
        <v>3</v>
      </c>
      <c r="EQ145" s="19">
        <v>3.83</v>
      </c>
      <c r="ER145" s="19"/>
      <c r="ES145" s="16">
        <f t="shared" si="9"/>
        <v>2.88</v>
      </c>
      <c r="ET145" s="16">
        <f t="shared" si="9"/>
        <v>3.55</v>
      </c>
      <c r="EU145" s="16">
        <f t="shared" si="9"/>
        <v>4.38</v>
      </c>
      <c r="EV145" s="16">
        <f t="shared" si="9"/>
        <v>2.95</v>
      </c>
      <c r="EW145" s="16">
        <f t="shared" si="9"/>
        <v>2.93</v>
      </c>
      <c r="EX145" s="16" t="str">
        <f t="shared" si="9"/>
        <v>.</v>
      </c>
      <c r="EY145" s="16">
        <f t="shared" si="9"/>
        <v>48.79</v>
      </c>
      <c r="EZ145" s="16">
        <f t="shared" si="9"/>
        <v>4.8899999999999997</v>
      </c>
      <c r="FA145" s="16">
        <f t="shared" si="9"/>
        <v>3.21</v>
      </c>
      <c r="FB145" s="16">
        <f t="shared" si="9"/>
        <v>1.31</v>
      </c>
    </row>
    <row r="146" spans="1:158" x14ac:dyDescent="0.25">
      <c r="A146" s="17">
        <v>143</v>
      </c>
      <c r="B146" s="17" t="s">
        <v>175</v>
      </c>
      <c r="C146" s="17" t="s">
        <v>175</v>
      </c>
      <c r="D146" s="17" t="s">
        <v>14</v>
      </c>
      <c r="E146" s="16">
        <v>0</v>
      </c>
      <c r="F146" s="18">
        <v>4.3099999999999996</v>
      </c>
      <c r="G146" s="18">
        <v>4.09</v>
      </c>
      <c r="H146" s="18">
        <v>4.74</v>
      </c>
      <c r="I146" s="18">
        <v>3.65</v>
      </c>
      <c r="J146" s="18">
        <v>3.88</v>
      </c>
      <c r="K146" s="18">
        <v>4.0999999999999996</v>
      </c>
      <c r="L146" s="18">
        <v>4.46</v>
      </c>
      <c r="M146" s="18">
        <v>3.05</v>
      </c>
      <c r="N146" s="18">
        <v>3.93</v>
      </c>
      <c r="O146" s="18">
        <v>2.61</v>
      </c>
      <c r="P146" s="18">
        <v>3.64</v>
      </c>
      <c r="Q146" s="18">
        <v>5.4</v>
      </c>
      <c r="R146" s="18">
        <v>3.84</v>
      </c>
      <c r="S146" s="18">
        <v>2.92</v>
      </c>
      <c r="T146" s="18">
        <v>4.3499999999999996</v>
      </c>
      <c r="U146" s="18">
        <v>3.72</v>
      </c>
      <c r="V146" s="18">
        <v>3.03</v>
      </c>
      <c r="W146" s="18">
        <v>2.78</v>
      </c>
      <c r="X146" s="18">
        <v>2.69</v>
      </c>
      <c r="Y146" s="18">
        <v>2.94</v>
      </c>
      <c r="Z146" s="18">
        <v>1.7</v>
      </c>
      <c r="AA146" s="18">
        <v>2.85</v>
      </c>
      <c r="AB146" s="18">
        <v>4.12</v>
      </c>
      <c r="AC146" s="18">
        <v>2.98</v>
      </c>
      <c r="AD146" s="19">
        <v>1.93</v>
      </c>
      <c r="AE146" s="19">
        <v>1.88</v>
      </c>
      <c r="AF146" s="19">
        <v>1</v>
      </c>
      <c r="AG146" s="19">
        <v>2.5499999999999998</v>
      </c>
      <c r="AH146" s="19">
        <v>4.29</v>
      </c>
      <c r="AI146" s="19">
        <v>3.26</v>
      </c>
      <c r="AJ146" s="19">
        <v>3.77</v>
      </c>
      <c r="AK146" s="19">
        <v>4.1500000000000004</v>
      </c>
      <c r="AL146" s="19">
        <v>4.1900000000000004</v>
      </c>
      <c r="AM146" s="19">
        <v>3.53</v>
      </c>
      <c r="AN146" s="19">
        <v>4.46</v>
      </c>
      <c r="AO146" s="19">
        <v>4.71</v>
      </c>
      <c r="AP146" s="19">
        <v>3.71</v>
      </c>
      <c r="AQ146" s="19">
        <v>3.9</v>
      </c>
      <c r="AR146" s="19">
        <v>3.9</v>
      </c>
      <c r="AS146" s="19">
        <v>4.6500000000000004</v>
      </c>
      <c r="AT146" s="19">
        <v>5.58</v>
      </c>
      <c r="AU146" s="19">
        <v>1.94</v>
      </c>
      <c r="AV146" s="19">
        <v>2.82</v>
      </c>
      <c r="AW146" s="19">
        <v>3</v>
      </c>
      <c r="AX146" s="19">
        <v>2</v>
      </c>
      <c r="AY146" s="19">
        <v>2.04</v>
      </c>
      <c r="AZ146" s="19">
        <v>2.94</v>
      </c>
      <c r="BA146" s="19">
        <v>2.19</v>
      </c>
      <c r="BB146" s="19">
        <v>3.49</v>
      </c>
      <c r="BC146" s="19">
        <v>2.36</v>
      </c>
      <c r="BD146" s="19">
        <v>2.33</v>
      </c>
      <c r="BE146" s="19">
        <v>2.46</v>
      </c>
      <c r="BF146" s="19">
        <v>3.17</v>
      </c>
      <c r="BG146" s="19">
        <v>3.43</v>
      </c>
      <c r="BH146" s="19">
        <v>2.31</v>
      </c>
      <c r="BI146" s="19">
        <v>2.41</v>
      </c>
      <c r="BJ146" s="19">
        <v>3.93</v>
      </c>
      <c r="BK146" s="19">
        <v>2.91</v>
      </c>
      <c r="BL146" s="19">
        <v>2.1</v>
      </c>
      <c r="BM146" s="19">
        <v>3.25</v>
      </c>
      <c r="BN146" s="19">
        <v>3.51</v>
      </c>
      <c r="BO146" s="19">
        <v>4.25</v>
      </c>
      <c r="BP146" s="19">
        <v>2.13</v>
      </c>
      <c r="BQ146" s="19">
        <v>2.8</v>
      </c>
      <c r="BR146" s="19">
        <v>3.7</v>
      </c>
      <c r="BS146" s="19">
        <v>2.77</v>
      </c>
      <c r="BT146" s="19">
        <v>3.39</v>
      </c>
      <c r="BU146" s="19">
        <v>4.47</v>
      </c>
      <c r="BV146" s="19">
        <v>1.79</v>
      </c>
      <c r="BW146" s="19">
        <v>3.26</v>
      </c>
      <c r="BX146" s="19">
        <v>1.73</v>
      </c>
      <c r="BY146" s="19">
        <v>3.55</v>
      </c>
      <c r="BZ146" s="19">
        <v>1</v>
      </c>
      <c r="CA146" s="19">
        <v>1</v>
      </c>
      <c r="CB146" s="19">
        <v>200</v>
      </c>
      <c r="CC146" s="19">
        <v>1</v>
      </c>
      <c r="CD146" s="19">
        <v>1</v>
      </c>
      <c r="CE146" s="19">
        <v>1</v>
      </c>
      <c r="CF146" s="19">
        <v>121.17</v>
      </c>
      <c r="CG146" s="19">
        <v>1</v>
      </c>
      <c r="CH146" s="19">
        <v>132.1</v>
      </c>
      <c r="CI146" s="19">
        <v>200</v>
      </c>
      <c r="CJ146" s="19">
        <v>102.07</v>
      </c>
      <c r="CK146" s="19">
        <v>71.239999999999995</v>
      </c>
      <c r="CL146" s="19">
        <v>33.18</v>
      </c>
      <c r="CM146" s="19">
        <v>83.98</v>
      </c>
      <c r="CN146" s="19">
        <v>48.12</v>
      </c>
      <c r="CO146" s="19">
        <v>51.64</v>
      </c>
      <c r="CP146" s="19">
        <v>59.47</v>
      </c>
      <c r="CQ146" s="19">
        <v>117.98</v>
      </c>
      <c r="CR146" s="19">
        <v>138.21</v>
      </c>
      <c r="CS146" s="19">
        <v>51.95</v>
      </c>
      <c r="CT146" s="19">
        <v>114.92</v>
      </c>
      <c r="CU146" s="19">
        <v>110.78</v>
      </c>
      <c r="CV146" s="19">
        <v>99.7</v>
      </c>
      <c r="CW146" s="19">
        <v>175.93</v>
      </c>
      <c r="CX146" s="19">
        <v>191.23</v>
      </c>
      <c r="CY146" s="19">
        <v>4.32</v>
      </c>
      <c r="CZ146" s="19">
        <v>4.51</v>
      </c>
      <c r="DA146" s="19">
        <v>3.1</v>
      </c>
      <c r="DB146" s="19">
        <v>4.57</v>
      </c>
      <c r="DC146" s="19">
        <v>3.98</v>
      </c>
      <c r="DD146" s="19">
        <v>3.85</v>
      </c>
      <c r="DE146" s="19">
        <v>3.5</v>
      </c>
      <c r="DF146" s="19">
        <v>3.8</v>
      </c>
      <c r="DG146" s="19">
        <v>4.6500000000000004</v>
      </c>
      <c r="DH146" s="19">
        <v>4.29</v>
      </c>
      <c r="DI146" s="19">
        <v>1.3</v>
      </c>
      <c r="DJ146" s="19">
        <v>1.02</v>
      </c>
      <c r="DK146" s="19">
        <v>1.46</v>
      </c>
      <c r="DL146" s="19">
        <v>4.08</v>
      </c>
      <c r="DM146" s="19">
        <v>2.65</v>
      </c>
      <c r="DN146" s="19">
        <v>1.07</v>
      </c>
      <c r="DO146" s="19">
        <v>2.12</v>
      </c>
      <c r="DP146" s="19">
        <v>2.48</v>
      </c>
      <c r="DQ146" s="19">
        <v>4.05</v>
      </c>
      <c r="DR146" s="19">
        <v>4.99</v>
      </c>
      <c r="DS146" s="19">
        <v>3.86</v>
      </c>
      <c r="DT146" s="19">
        <v>3.08</v>
      </c>
      <c r="DU146" s="19">
        <v>1.38</v>
      </c>
      <c r="DV146" s="19">
        <v>2.92</v>
      </c>
      <c r="DW146" s="19">
        <v>3.27</v>
      </c>
      <c r="DX146" s="19">
        <v>1.71</v>
      </c>
      <c r="DY146" s="19">
        <v>4.6100000000000003</v>
      </c>
      <c r="DZ146" s="19">
        <v>2.52</v>
      </c>
      <c r="EA146" s="19">
        <v>5.16</v>
      </c>
      <c r="EB146" s="19">
        <v>2.63</v>
      </c>
      <c r="EC146" s="19">
        <v>1.63</v>
      </c>
      <c r="ED146" s="19">
        <v>2.71</v>
      </c>
      <c r="EE146" s="19">
        <v>4.6399999999999997</v>
      </c>
      <c r="EF146" s="19">
        <v>2.69</v>
      </c>
      <c r="EG146" s="19">
        <v>3.56</v>
      </c>
      <c r="EH146" s="19">
        <v>6</v>
      </c>
      <c r="EI146" s="19">
        <v>3.33</v>
      </c>
      <c r="EJ146" s="19">
        <v>4.66</v>
      </c>
      <c r="EK146" s="19">
        <v>5.36</v>
      </c>
      <c r="EL146" s="19">
        <v>4.84</v>
      </c>
      <c r="EM146" s="19">
        <v>2.72</v>
      </c>
      <c r="EN146" s="19">
        <v>1.67</v>
      </c>
      <c r="EO146" s="19">
        <v>3.25</v>
      </c>
      <c r="EP146" s="19">
        <v>2.77</v>
      </c>
      <c r="EQ146" s="19">
        <v>4.5199999999999996</v>
      </c>
      <c r="ER146" s="19"/>
      <c r="ES146" s="16">
        <f t="shared" si="9"/>
        <v>3.88</v>
      </c>
      <c r="ET146" s="16">
        <f t="shared" si="9"/>
        <v>2.94</v>
      </c>
      <c r="EU146" s="16">
        <f t="shared" si="9"/>
        <v>4.1500000000000004</v>
      </c>
      <c r="EV146" s="16">
        <f t="shared" si="9"/>
        <v>2.94</v>
      </c>
      <c r="EW146" s="16">
        <f t="shared" si="9"/>
        <v>4.25</v>
      </c>
      <c r="EX146" s="16" t="str">
        <f t="shared" si="9"/>
        <v>.</v>
      </c>
      <c r="EY146" s="16">
        <f t="shared" si="9"/>
        <v>48.12</v>
      </c>
      <c r="EZ146" s="16">
        <f t="shared" si="9"/>
        <v>3.98</v>
      </c>
      <c r="FA146" s="16">
        <f t="shared" si="9"/>
        <v>4.99</v>
      </c>
      <c r="FB146" s="16">
        <f t="shared" si="9"/>
        <v>3.56</v>
      </c>
    </row>
    <row r="147" spans="1:158" x14ac:dyDescent="0.25">
      <c r="A147" s="17">
        <v>144</v>
      </c>
      <c r="B147" s="17" t="s">
        <v>176</v>
      </c>
      <c r="C147" s="17" t="s">
        <v>177</v>
      </c>
      <c r="D147" s="17" t="s">
        <v>14</v>
      </c>
      <c r="E147" s="16">
        <v>1</v>
      </c>
      <c r="F147" s="18">
        <v>4.6093743089744699</v>
      </c>
      <c r="G147" s="18">
        <v>4.6152013605796034</v>
      </c>
      <c r="H147" s="18">
        <v>4.5667179654000627</v>
      </c>
      <c r="I147" s="18">
        <v>4.3726024113600834</v>
      </c>
      <c r="J147" s="18">
        <v>4.3235643500000007</v>
      </c>
      <c r="K147" s="18">
        <v>4.3424652578947365</v>
      </c>
      <c r="L147" s="18">
        <v>4.4876682992562928</v>
      </c>
      <c r="M147" s="18">
        <v>4.4936539261140283</v>
      </c>
      <c r="N147" s="18">
        <v>4.4226162628086927</v>
      </c>
      <c r="O147" s="18">
        <v>4.518951269340179</v>
      </c>
      <c r="P147" s="18">
        <v>4.3825078901839616</v>
      </c>
      <c r="Q147" s="18">
        <v>4.5590022610856868</v>
      </c>
      <c r="R147" s="18">
        <v>4.2938329826864852</v>
      </c>
      <c r="S147" s="18">
        <v>4.0068915135713903</v>
      </c>
      <c r="T147" s="18">
        <v>4.0423334454618622</v>
      </c>
      <c r="U147" s="18">
        <v>3.7111235141415273</v>
      </c>
      <c r="V147" s="18">
        <v>3.6432410758469951</v>
      </c>
      <c r="W147" s="18">
        <v>3.5424393192046879</v>
      </c>
      <c r="X147" s="18">
        <v>3.4899604456741957</v>
      </c>
      <c r="Y147" s="18">
        <v>3.5272814050825092</v>
      </c>
      <c r="Z147" s="18">
        <v>3.5464690360920978</v>
      </c>
      <c r="AA147" s="18">
        <v>3.6386377871243121</v>
      </c>
      <c r="AB147" s="18">
        <v>3.6374346277875795</v>
      </c>
      <c r="AC147" s="18">
        <v>3.6894960279748563</v>
      </c>
      <c r="AD147" s="19">
        <v>3.8458319286341411</v>
      </c>
      <c r="AE147" s="19">
        <v>4.1100333825735458</v>
      </c>
      <c r="AF147" s="19">
        <v>3.9439104869833166</v>
      </c>
      <c r="AG147" s="19">
        <v>4.1357797148516049</v>
      </c>
      <c r="AH147" s="19">
        <v>3.376031707478901</v>
      </c>
      <c r="AI147" s="19">
        <v>3.6044642763549812</v>
      </c>
      <c r="AJ147" s="19">
        <v>5.2983714858085804</v>
      </c>
      <c r="AK147" s="19">
        <v>5.3933704666666671</v>
      </c>
      <c r="AL147" s="19">
        <v>5.3584393343137258</v>
      </c>
      <c r="AM147" s="19">
        <v>5.3055059775362325</v>
      </c>
      <c r="AN147" s="19">
        <v>5.2363880428081693</v>
      </c>
      <c r="AO147" s="19">
        <v>5.0929775547460485</v>
      </c>
      <c r="AP147" s="19">
        <v>5.1350274160398657</v>
      </c>
      <c r="AQ147" s="19">
        <v>4.4545535306772459</v>
      </c>
      <c r="AR147" s="19">
        <v>5.3346392634163013</v>
      </c>
      <c r="AS147" s="19">
        <v>5.1104439904748489</v>
      </c>
      <c r="AT147" s="19">
        <v>4.9509596795539297</v>
      </c>
      <c r="AU147" s="19">
        <v>5.1547484992764012</v>
      </c>
      <c r="AV147" s="19">
        <v>2.6833884515257762</v>
      </c>
      <c r="AW147" s="19">
        <v>2.8280952486914184</v>
      </c>
      <c r="AX147" s="19">
        <v>3.2341246686746992</v>
      </c>
      <c r="AY147" s="19">
        <v>2.9990608138613863</v>
      </c>
      <c r="AZ147" s="19">
        <v>2.7252034000000003</v>
      </c>
      <c r="BA147" s="19">
        <v>2.7438356500000003</v>
      </c>
      <c r="BB147" s="19">
        <v>2.9219626369565219</v>
      </c>
      <c r="BC147" s="19">
        <v>2.831583151859828</v>
      </c>
      <c r="BD147" s="19">
        <v>2.8911023153199089</v>
      </c>
      <c r="BE147" s="19">
        <v>2.9834160165583832</v>
      </c>
      <c r="BF147" s="19">
        <v>5.1561593952855063</v>
      </c>
      <c r="BG147" s="19">
        <v>6.6579277545388891</v>
      </c>
      <c r="BH147" s="19">
        <v>5.5291107421763552</v>
      </c>
      <c r="BI147" s="19">
        <v>6.9267953291521023</v>
      </c>
      <c r="BJ147" s="19">
        <v>5.3747361939871485</v>
      </c>
      <c r="BK147" s="19">
        <v>4.5481557268699184</v>
      </c>
      <c r="BL147" s="19">
        <v>4.5031552757467139</v>
      </c>
      <c r="BM147" s="19">
        <v>4.3821865156626512</v>
      </c>
      <c r="BN147" s="19">
        <v>4.0862012257425739</v>
      </c>
      <c r="BO147" s="19">
        <v>4.1261715500000005</v>
      </c>
      <c r="BP147" s="19">
        <v>4.1261129529411766</v>
      </c>
      <c r="BQ147" s="19">
        <v>4.2010043641304353</v>
      </c>
      <c r="BR147" s="19">
        <v>3.9785385790369672</v>
      </c>
      <c r="BS147" s="19">
        <v>3.8153908579437816</v>
      </c>
      <c r="BT147" s="19">
        <v>4.1549074989684094</v>
      </c>
      <c r="BU147" s="19">
        <v>4.3339424751824058</v>
      </c>
      <c r="BV147" s="19">
        <v>3.8070628427632358</v>
      </c>
      <c r="BW147" s="19">
        <v>3.8326557999394755</v>
      </c>
      <c r="BX147" s="19">
        <v>3.0864486190043889</v>
      </c>
      <c r="BY147" s="19">
        <v>3.4191198756887111</v>
      </c>
      <c r="BZ147" s="19">
        <v>19.8176860085036</v>
      </c>
      <c r="CA147" s="19">
        <v>26.015873033079298</v>
      </c>
      <c r="CB147" s="19">
        <v>25.197610350262099</v>
      </c>
      <c r="CC147" s="19">
        <v>46.699682767223699</v>
      </c>
      <c r="CD147" s="19">
        <v>59.466581249713897</v>
      </c>
      <c r="CE147" s="19">
        <v>65.756969083011597</v>
      </c>
      <c r="CF147" s="19">
        <v>74.716908615677951</v>
      </c>
      <c r="CG147" s="19">
        <v>86.913116445888846</v>
      </c>
      <c r="CH147" s="19">
        <v>97.397862297097532</v>
      </c>
      <c r="CI147" s="19">
        <v>108.1876850163908</v>
      </c>
      <c r="CJ147" s="19">
        <v>71.597145387080403</v>
      </c>
      <c r="CK147" s="19">
        <v>83.334381103515597</v>
      </c>
      <c r="CL147" s="19">
        <v>92.152435302734403</v>
      </c>
      <c r="CM147" s="19">
        <v>92.668464660644503</v>
      </c>
      <c r="CN147" s="19">
        <v>100.477098663736</v>
      </c>
      <c r="CO147" s="19">
        <v>126.833190454423</v>
      </c>
      <c r="CP147" s="19">
        <v>134.79769850184999</v>
      </c>
      <c r="CQ147" s="19">
        <v>147.46451662901401</v>
      </c>
      <c r="CR147" s="19">
        <v>149.68180560429499</v>
      </c>
      <c r="CS147" s="19">
        <v>159.27283771372799</v>
      </c>
      <c r="CT147" s="19">
        <v>169.99996416495284</v>
      </c>
      <c r="CU147" s="19">
        <v>179.78037589892108</v>
      </c>
      <c r="CV147" s="19">
        <v>197.2521647241735</v>
      </c>
      <c r="CW147" s="19">
        <v>200</v>
      </c>
      <c r="CX147" s="19">
        <v>200</v>
      </c>
      <c r="CY147" s="19">
        <v>5.7777926310696914</v>
      </c>
      <c r="CZ147" s="19">
        <v>6.0206383408399269</v>
      </c>
      <c r="DA147" s="19">
        <v>5.866152542168674</v>
      </c>
      <c r="DB147" s="19">
        <v>5.4038644910891094</v>
      </c>
      <c r="DC147" s="19">
        <v>5.2908642500000003</v>
      </c>
      <c r="DD147" s="19">
        <v>5.4015261411764701</v>
      </c>
      <c r="DE147" s="19">
        <v>5.6247137228260868</v>
      </c>
      <c r="DF147" s="19">
        <v>5.5997798235759912</v>
      </c>
      <c r="DG147" s="19">
        <v>5.4710416626047209</v>
      </c>
      <c r="DH147" s="19">
        <v>5.4344655747109272</v>
      </c>
      <c r="DI147" s="19">
        <v>5.3131097671743577</v>
      </c>
      <c r="DJ147" s="19">
        <v>5.3998913852946178</v>
      </c>
      <c r="DK147" s="19">
        <v>5.4687992411132518</v>
      </c>
      <c r="DL147" s="19">
        <v>4.9112901082472655</v>
      </c>
      <c r="DM147" s="19">
        <v>5.4969131243047515</v>
      </c>
      <c r="DN147" s="19">
        <v>4.4822213762253735</v>
      </c>
      <c r="DO147" s="19">
        <v>4.4878821376344078</v>
      </c>
      <c r="DP147" s="19">
        <v>4.7387836578313252</v>
      </c>
      <c r="DQ147" s="19">
        <v>4.5958854772277231</v>
      </c>
      <c r="DR147" s="19">
        <v>4.5051447000000007</v>
      </c>
      <c r="DS147" s="19">
        <v>4.5134915823529411</v>
      </c>
      <c r="DT147" s="19">
        <v>4.4787377076086958</v>
      </c>
      <c r="DU147" s="19">
        <v>4.4940450523809519</v>
      </c>
      <c r="DV147" s="19">
        <v>4.3101851489808825</v>
      </c>
      <c r="DW147" s="19">
        <v>4.244579587084182</v>
      </c>
      <c r="DX147" s="19">
        <v>4.7017255167146041</v>
      </c>
      <c r="DY147" s="19">
        <v>4.3514838359555847</v>
      </c>
      <c r="DZ147" s="19">
        <v>4.4219990802385167</v>
      </c>
      <c r="EA147" s="19">
        <v>4.3391407223502982</v>
      </c>
      <c r="EB147" s="19">
        <v>4.1488100586930692</v>
      </c>
      <c r="EC147" s="19">
        <v>4.7319173461078856</v>
      </c>
      <c r="ED147" s="19">
        <v>4.7972214377538833</v>
      </c>
      <c r="EE147" s="19">
        <v>4.9613534096385541</v>
      </c>
      <c r="EF147" s="19">
        <v>4.7995637801980191</v>
      </c>
      <c r="EG147" s="19">
        <v>4.7554586500000005</v>
      </c>
      <c r="EH147" s="19">
        <v>4.8927813911764702</v>
      </c>
      <c r="EI147" s="19">
        <v>4.9244266673913044</v>
      </c>
      <c r="EJ147" s="19">
        <v>4.9347543872959676</v>
      </c>
      <c r="EK147" s="19">
        <v>4.9625848575874612</v>
      </c>
      <c r="EL147" s="19">
        <v>5.0299109966196909</v>
      </c>
      <c r="EM147" s="19">
        <v>5.1963849000145741</v>
      </c>
      <c r="EN147" s="19">
        <v>5.1880479137850291</v>
      </c>
      <c r="EO147" s="19">
        <v>4.6527698165914346</v>
      </c>
      <c r="EP147" s="19">
        <v>4.8894645496578422</v>
      </c>
      <c r="EQ147" s="19">
        <v>5.3885547452284817</v>
      </c>
      <c r="ER147" s="19"/>
      <c r="ES147" s="16">
        <f t="shared" si="9"/>
        <v>4.3235643500000007</v>
      </c>
      <c r="ET147" s="16">
        <f t="shared" si="9"/>
        <v>3.5272814050825092</v>
      </c>
      <c r="EU147" s="16">
        <f t="shared" si="9"/>
        <v>5.3933704666666671</v>
      </c>
      <c r="EV147" s="16">
        <f t="shared" si="9"/>
        <v>2.7252034000000003</v>
      </c>
      <c r="EW147" s="16">
        <f t="shared" si="9"/>
        <v>4.1261715500000005</v>
      </c>
      <c r="EX147" s="16" t="str">
        <f t="shared" si="9"/>
        <v>.</v>
      </c>
      <c r="EY147" s="16">
        <f t="shared" si="9"/>
        <v>100.477098663736</v>
      </c>
      <c r="EZ147" s="16">
        <f t="shared" si="9"/>
        <v>5.2908642500000003</v>
      </c>
      <c r="FA147" s="16">
        <f t="shared" si="9"/>
        <v>4.5051447000000007</v>
      </c>
      <c r="FB147" s="16">
        <f t="shared" si="9"/>
        <v>4.7554586500000005</v>
      </c>
    </row>
    <row r="148" spans="1:158" x14ac:dyDescent="0.25">
      <c r="A148" s="17">
        <v>145</v>
      </c>
      <c r="B148" s="17" t="s">
        <v>178</v>
      </c>
      <c r="C148" s="17" t="s">
        <v>179</v>
      </c>
      <c r="D148" s="17" t="s">
        <v>25</v>
      </c>
      <c r="E148" s="16">
        <v>1</v>
      </c>
      <c r="F148" s="18">
        <v>5.4747442044605492</v>
      </c>
      <c r="G148" s="18">
        <v>5.2151613834529664</v>
      </c>
      <c r="H148" s="18">
        <v>4.9122849181188482</v>
      </c>
      <c r="I148" s="18">
        <v>4.8118700122742286</v>
      </c>
      <c r="J148" s="18">
        <v>4.8566836026315796</v>
      </c>
      <c r="K148" s="18">
        <v>4.9863944385964922</v>
      </c>
      <c r="L148" s="18">
        <v>4.8575946687444871</v>
      </c>
      <c r="M148" s="18">
        <v>4.7306869546560923</v>
      </c>
      <c r="N148" s="18">
        <v>4.8047927197530971</v>
      </c>
      <c r="O148" s="18">
        <v>4.8703785726772431</v>
      </c>
      <c r="P148" s="18">
        <v>4.6597196418190174</v>
      </c>
      <c r="Q148" s="18">
        <v>4.2045288959350602</v>
      </c>
      <c r="R148" s="18">
        <v>4.9419863472619108</v>
      </c>
      <c r="S148" s="18">
        <v>4.3612350849372259</v>
      </c>
      <c r="T148" s="18">
        <v>4.79371533282018</v>
      </c>
      <c r="U148" s="18">
        <v>5.3580867991966592</v>
      </c>
      <c r="V148" s="18">
        <v>5.1808605822388705</v>
      </c>
      <c r="W148" s="18">
        <v>4.83804190409254</v>
      </c>
      <c r="X148" s="18">
        <v>4.8079771989091853</v>
      </c>
      <c r="Y148" s="18">
        <v>4.8893003492592584</v>
      </c>
      <c r="Z148" s="18">
        <v>4.9370605777777774</v>
      </c>
      <c r="AA148" s="18">
        <v>4.776256140306951</v>
      </c>
      <c r="AB148" s="18">
        <v>4.827045128953575</v>
      </c>
      <c r="AC148" s="18">
        <v>4.8294510710845566</v>
      </c>
      <c r="AD148" s="19">
        <v>4.750628225008648</v>
      </c>
      <c r="AE148" s="19">
        <v>4.9295453627023536</v>
      </c>
      <c r="AF148" s="19">
        <v>4.7184754402720026</v>
      </c>
      <c r="AG148" s="19">
        <v>4.7446031102735864</v>
      </c>
      <c r="AH148" s="19">
        <v>4.6033522146625341</v>
      </c>
      <c r="AI148" s="19">
        <v>4.2510399795942453</v>
      </c>
      <c r="AJ148" s="19">
        <v>5.5482276353013544</v>
      </c>
      <c r="AK148" s="19">
        <v>5.5403913314814828</v>
      </c>
      <c r="AL148" s="19">
        <v>5.5339938000000002</v>
      </c>
      <c r="AM148" s="19">
        <v>5.378849229050279</v>
      </c>
      <c r="AN148" s="19">
        <v>5.2559144160014171</v>
      </c>
      <c r="AO148" s="19">
        <v>5.1941646193418309</v>
      </c>
      <c r="AP148" s="19">
        <v>5.1719310760498054</v>
      </c>
      <c r="AQ148" s="19">
        <v>4.8854169554768072</v>
      </c>
      <c r="AR148" s="19">
        <v>4.8882838086362161</v>
      </c>
      <c r="AS148" s="19">
        <v>5.0790527191155519</v>
      </c>
      <c r="AT148" s="19">
        <v>5.1228971368161735</v>
      </c>
      <c r="AU148" s="19">
        <v>4.951063715672988</v>
      </c>
      <c r="AV148" s="19">
        <v>4.3473587223587229</v>
      </c>
      <c r="AW148" s="19">
        <v>3.8319112388591798</v>
      </c>
      <c r="AX148" s="19">
        <v>2.8250970701421805</v>
      </c>
      <c r="AY148" s="19">
        <v>2.8050171856088557</v>
      </c>
      <c r="AZ148" s="19">
        <v>2.6356095722222221</v>
      </c>
      <c r="BA148" s="19">
        <v>2.9330972666666666</v>
      </c>
      <c r="BB148" s="19">
        <v>3.246252059217877</v>
      </c>
      <c r="BC148" s="19">
        <v>3.1771099030211225</v>
      </c>
      <c r="BD148" s="19">
        <v>3.1236224651336673</v>
      </c>
      <c r="BE148" s="19">
        <v>2.9903627991676336</v>
      </c>
      <c r="BF148" s="19">
        <v>5.4757570234919397</v>
      </c>
      <c r="BG148" s="19">
        <v>5.1333236903976402</v>
      </c>
      <c r="BH148" s="19">
        <v>6.9220058824058954</v>
      </c>
      <c r="BI148" s="19">
        <v>5.5318800114511353</v>
      </c>
      <c r="BJ148" s="19">
        <v>6.0894303068485947</v>
      </c>
      <c r="BK148" s="19">
        <v>5.665902648337994</v>
      </c>
      <c r="BL148" s="19">
        <v>4.9754460420103674</v>
      </c>
      <c r="BM148" s="19">
        <v>4.6209435905213265</v>
      </c>
      <c r="BN148" s="19">
        <v>4.5607860143911445</v>
      </c>
      <c r="BO148" s="19">
        <v>4.4089432666666664</v>
      </c>
      <c r="BP148" s="19">
        <v>4.3760369333333333</v>
      </c>
      <c r="BQ148" s="19">
        <v>4.2154249821229044</v>
      </c>
      <c r="BR148" s="19">
        <v>4.070930734771526</v>
      </c>
      <c r="BS148" s="19">
        <v>4.5725000858306881</v>
      </c>
      <c r="BT148" s="19">
        <v>5.1417525529861452</v>
      </c>
      <c r="BU148" s="19">
        <v>4.9313755130509023</v>
      </c>
      <c r="BV148" s="19">
        <v>4.5362741140631346</v>
      </c>
      <c r="BW148" s="19">
        <v>4.7974570461048769</v>
      </c>
      <c r="BX148" s="19">
        <v>3.4133956944763661</v>
      </c>
      <c r="BY148" s="19">
        <v>4.1411203183333534</v>
      </c>
      <c r="BZ148" s="19">
        <v>105.052252837868</v>
      </c>
      <c r="CA148" s="19">
        <v>106.037882432912</v>
      </c>
      <c r="CB148" s="19">
        <v>105.33775271504599</v>
      </c>
      <c r="CC148" s="19">
        <v>108.562471267082</v>
      </c>
      <c r="CD148" s="19">
        <v>109.672211793014</v>
      </c>
      <c r="CE148" s="19">
        <v>111.40248964215692</v>
      </c>
      <c r="CF148" s="19">
        <v>112.25521143229578</v>
      </c>
      <c r="CG148" s="19">
        <v>111.12803508175391</v>
      </c>
      <c r="CH148" s="19">
        <v>113.95418347526048</v>
      </c>
      <c r="CI148" s="19">
        <v>115.76248342336466</v>
      </c>
      <c r="CJ148" s="19">
        <v>79.393323910519996</v>
      </c>
      <c r="CK148" s="19">
        <v>83.773658752441406</v>
      </c>
      <c r="CL148" s="19">
        <v>94.252998352050795</v>
      </c>
      <c r="CM148" s="19">
        <v>99.195999145507798</v>
      </c>
      <c r="CN148" s="19">
        <v>105.362110464842</v>
      </c>
      <c r="CO148" s="19">
        <v>108.50451701660801</v>
      </c>
      <c r="CP148" s="19">
        <v>110.364837430291</v>
      </c>
      <c r="CQ148" s="19">
        <v>110.998467846808</v>
      </c>
      <c r="CR148" s="19">
        <v>115.54355905371401</v>
      </c>
      <c r="CS148" s="19">
        <v>118.46191718414801</v>
      </c>
      <c r="CT148" s="19">
        <v>125.61103276564938</v>
      </c>
      <c r="CU148" s="19">
        <v>131.1830940780296</v>
      </c>
      <c r="CV148" s="19">
        <v>133.64706221472792</v>
      </c>
      <c r="CW148" s="19">
        <v>136.72735144028076</v>
      </c>
      <c r="CX148" s="19">
        <v>145.79010987853971</v>
      </c>
      <c r="CY148" s="19">
        <v>5.7094748157248159</v>
      </c>
      <c r="CZ148" s="19">
        <v>5.4433406812834217</v>
      </c>
      <c r="DA148" s="19">
        <v>4.9653480824644545</v>
      </c>
      <c r="DB148" s="19">
        <v>4.7087703778597785</v>
      </c>
      <c r="DC148" s="19">
        <v>4.5523246499999992</v>
      </c>
      <c r="DD148" s="19">
        <v>4.6638394666666665</v>
      </c>
      <c r="DE148" s="19">
        <v>4.5473146458100562</v>
      </c>
      <c r="DF148" s="19">
        <v>4.2132076350653209</v>
      </c>
      <c r="DG148" s="19">
        <v>4.5841667413711544</v>
      </c>
      <c r="DH148" s="19">
        <v>4.8682272672653202</v>
      </c>
      <c r="DI148" s="19">
        <v>4.5459418745566857</v>
      </c>
      <c r="DJ148" s="19">
        <v>3.9061875241990278</v>
      </c>
      <c r="DK148" s="19">
        <v>3.7776829097037075</v>
      </c>
      <c r="DL148" s="19">
        <v>4.0381181213005037</v>
      </c>
      <c r="DM148" s="19">
        <v>2.4618550933010459</v>
      </c>
      <c r="DN148" s="19">
        <v>5.5885749385749381</v>
      </c>
      <c r="DO148" s="19">
        <v>5.6436249525846698</v>
      </c>
      <c r="DP148" s="19">
        <v>5.771659565876778</v>
      </c>
      <c r="DQ148" s="19">
        <v>6.0194080863468633</v>
      </c>
      <c r="DR148" s="19">
        <v>5.8765170222222221</v>
      </c>
      <c r="DS148" s="19">
        <v>5.7569116666666673</v>
      </c>
      <c r="DT148" s="19">
        <v>5.6156790189944141</v>
      </c>
      <c r="DU148" s="19">
        <v>5.4919598094861275</v>
      </c>
      <c r="DV148" s="19">
        <v>5.5594591856002813</v>
      </c>
      <c r="DW148" s="19">
        <v>5.5680272817611698</v>
      </c>
      <c r="DX148" s="19">
        <v>5.9780509703703189</v>
      </c>
      <c r="DY148" s="19">
        <v>5.6520503676463321</v>
      </c>
      <c r="DZ148" s="19">
        <v>4.908020787690119</v>
      </c>
      <c r="EA148" s="19">
        <v>4.6214617178072022</v>
      </c>
      <c r="EB148" s="19">
        <v>5.5704584333432585</v>
      </c>
      <c r="EC148" s="19">
        <v>5.5557457762354669</v>
      </c>
      <c r="ED148" s="19">
        <v>5.7975458320855608</v>
      </c>
      <c r="EE148" s="19">
        <v>5.8097738454976309</v>
      </c>
      <c r="EF148" s="19">
        <v>5.8404819151291516</v>
      </c>
      <c r="EG148" s="19">
        <v>5.7729504555555557</v>
      </c>
      <c r="EH148" s="19">
        <v>5.8266081999999999</v>
      </c>
      <c r="EI148" s="19">
        <v>5.8223906759776547</v>
      </c>
      <c r="EJ148" s="19">
        <v>5.600120735767141</v>
      </c>
      <c r="EK148" s="19">
        <v>5.5887757062911989</v>
      </c>
      <c r="EL148" s="19">
        <v>5.5857144832611088</v>
      </c>
      <c r="EM148" s="19">
        <v>5.7066135704771508</v>
      </c>
      <c r="EN148" s="19">
        <v>5.2394679974635157</v>
      </c>
      <c r="EO148" s="19">
        <v>5.7124372295391863</v>
      </c>
      <c r="EP148" s="19">
        <v>4.9051899813241873</v>
      </c>
      <c r="EQ148" s="19">
        <v>5.4726844163783772</v>
      </c>
      <c r="ER148" s="19"/>
      <c r="ES148" s="16">
        <f t="shared" si="9"/>
        <v>4.8566836026315796</v>
      </c>
      <c r="ET148" s="16">
        <f t="shared" si="9"/>
        <v>4.8893003492592584</v>
      </c>
      <c r="EU148" s="16">
        <f t="shared" si="9"/>
        <v>5.5403913314814828</v>
      </c>
      <c r="EV148" s="16">
        <f t="shared" si="9"/>
        <v>2.6356095722222221</v>
      </c>
      <c r="EW148" s="16">
        <f t="shared" si="9"/>
        <v>4.4089432666666664</v>
      </c>
      <c r="EX148" s="16" t="str">
        <f t="shared" si="9"/>
        <v>.</v>
      </c>
      <c r="EY148" s="16">
        <f t="shared" si="9"/>
        <v>105.362110464842</v>
      </c>
      <c r="EZ148" s="16">
        <f t="shared" si="9"/>
        <v>4.5523246499999992</v>
      </c>
      <c r="FA148" s="16">
        <f t="shared" si="9"/>
        <v>5.8765170222222221</v>
      </c>
      <c r="FB148" s="16">
        <f t="shared" si="9"/>
        <v>5.7729504555555557</v>
      </c>
    </row>
    <row r="149" spans="1:158" x14ac:dyDescent="0.25">
      <c r="A149" s="17">
        <v>146</v>
      </c>
      <c r="B149" s="17" t="s">
        <v>180</v>
      </c>
      <c r="C149" s="17" t="s">
        <v>180</v>
      </c>
      <c r="D149" s="17" t="s">
        <v>23</v>
      </c>
      <c r="E149" s="16">
        <v>1</v>
      </c>
      <c r="F149" s="18">
        <v>4.8142713774950696</v>
      </c>
      <c r="G149" s="18">
        <v>4.8889772299735377</v>
      </c>
      <c r="H149" s="18">
        <v>4.7357382147435896</v>
      </c>
      <c r="I149" s="18">
        <v>4.4614512058270677</v>
      </c>
      <c r="J149" s="18">
        <v>4.5086080969924813</v>
      </c>
      <c r="K149" s="18">
        <v>4.5120057449810087</v>
      </c>
      <c r="L149" s="18">
        <v>4.5240981368421052</v>
      </c>
      <c r="M149" s="18">
        <v>4.4218229203598431</v>
      </c>
      <c r="N149" s="18">
        <v>4.4622694002681529</v>
      </c>
      <c r="O149" s="18">
        <v>4.5398784411641619</v>
      </c>
      <c r="P149" s="18">
        <v>4.3031707296951796</v>
      </c>
      <c r="Q149" s="18">
        <v>4.0964805701021749</v>
      </c>
      <c r="R149" s="18">
        <v>4.2735532271079988</v>
      </c>
      <c r="S149" s="18">
        <v>3.8335956106805735</v>
      </c>
      <c r="T149" s="18">
        <v>3.7966222912366114</v>
      </c>
      <c r="U149" s="18">
        <v>3.5847700141005796</v>
      </c>
      <c r="V149" s="18">
        <v>3.6062481674753699</v>
      </c>
      <c r="W149" s="18">
        <v>3.554255132589347</v>
      </c>
      <c r="X149" s="18">
        <v>3.4652930499973489</v>
      </c>
      <c r="Y149" s="18">
        <v>3.5549026889971613</v>
      </c>
      <c r="Z149" s="18">
        <v>3.7705492868296973</v>
      </c>
      <c r="AA149" s="18">
        <v>3.7522409606612386</v>
      </c>
      <c r="AB149" s="18">
        <v>3.690726168488959</v>
      </c>
      <c r="AC149" s="18">
        <v>3.7180107669319025</v>
      </c>
      <c r="AD149" s="19">
        <v>3.7575793768983585</v>
      </c>
      <c r="AE149" s="19">
        <v>3.9471673655342618</v>
      </c>
      <c r="AF149" s="19">
        <v>3.2052714724708937</v>
      </c>
      <c r="AG149" s="19">
        <v>3.5492962098900667</v>
      </c>
      <c r="AH149" s="19">
        <v>3.9389654725759717</v>
      </c>
      <c r="AI149" s="19">
        <v>4.280810080816722</v>
      </c>
      <c r="AJ149" s="19">
        <v>5.2730090446428575</v>
      </c>
      <c r="AK149" s="19">
        <v>5.3251263976190479</v>
      </c>
      <c r="AL149" s="19">
        <v>5.3007554554982814</v>
      </c>
      <c r="AM149" s="19">
        <v>5.2180809533333337</v>
      </c>
      <c r="AN149" s="19">
        <v>5.0597285223996478</v>
      </c>
      <c r="AO149" s="19">
        <v>5.0752053787995655</v>
      </c>
      <c r="AP149" s="19">
        <v>5.0826515025280896</v>
      </c>
      <c r="AQ149" s="19">
        <v>5.2332297905609435</v>
      </c>
      <c r="AR149" s="19">
        <v>5.1474324204955506</v>
      </c>
      <c r="AS149" s="19">
        <v>4.7435549415564058</v>
      </c>
      <c r="AT149" s="19">
        <v>5.2261383488456694</v>
      </c>
      <c r="AU149" s="19">
        <v>5.0857204697973621</v>
      </c>
      <c r="AV149" s="19">
        <v>3.1372826401222587</v>
      </c>
      <c r="AW149" s="19">
        <v>2.8561421169354837</v>
      </c>
      <c r="AX149" s="19">
        <v>2.7099229659090911</v>
      </c>
      <c r="AY149" s="19">
        <v>2.7573809375000002</v>
      </c>
      <c r="AZ149" s="19">
        <v>2.7676972589285711</v>
      </c>
      <c r="BA149" s="19">
        <v>2.7932382814432994</v>
      </c>
      <c r="BB149" s="19">
        <v>2.8091219199999999</v>
      </c>
      <c r="BC149" s="19">
        <v>2.809304598600006</v>
      </c>
      <c r="BD149" s="19">
        <v>2.7480901777744293</v>
      </c>
      <c r="BE149" s="19">
        <v>2.7976877689361572</v>
      </c>
      <c r="BF149" s="19">
        <v>3.8489734971219738</v>
      </c>
      <c r="BG149" s="19">
        <v>4.5095170929222439</v>
      </c>
      <c r="BH149" s="19">
        <v>5.4535940033744357</v>
      </c>
      <c r="BI149" s="19">
        <v>6.6309571779755938</v>
      </c>
      <c r="BJ149" s="19">
        <v>6.116474110622911</v>
      </c>
      <c r="BK149" s="19">
        <v>4.7054609709539283</v>
      </c>
      <c r="BL149" s="19">
        <v>4.3551922619047616</v>
      </c>
      <c r="BM149" s="19">
        <v>4.0022659431818184</v>
      </c>
      <c r="BN149" s="19">
        <v>3.7754770089285712</v>
      </c>
      <c r="BO149" s="19">
        <v>3.789929057142857</v>
      </c>
      <c r="BP149" s="19">
        <v>3.6868507639175259</v>
      </c>
      <c r="BQ149" s="19">
        <v>3.5187365399999999</v>
      </c>
      <c r="BR149" s="19">
        <v>3.4406921530879977</v>
      </c>
      <c r="BS149" s="19">
        <v>3.3135441541671753</v>
      </c>
      <c r="BT149" s="19">
        <v>3.3058277708418826</v>
      </c>
      <c r="BU149" s="19">
        <v>2.9471778038492218</v>
      </c>
      <c r="BV149" s="19">
        <v>3.0507122716512614</v>
      </c>
      <c r="BW149" s="19">
        <v>2.6060984146015183</v>
      </c>
      <c r="BX149" s="19">
        <v>1.5211488148182222</v>
      </c>
      <c r="BY149" s="19">
        <v>2.5345811833410141</v>
      </c>
      <c r="BZ149" s="19">
        <v>40.915492328634002</v>
      </c>
      <c r="CA149" s="19">
        <v>53.238439842848202</v>
      </c>
      <c r="CB149" s="19">
        <v>67.110469092150694</v>
      </c>
      <c r="CC149" s="19">
        <v>77.055667012745104</v>
      </c>
      <c r="CD149" s="19">
        <v>82.063165271331897</v>
      </c>
      <c r="CE149" s="19">
        <v>95.8941297594194</v>
      </c>
      <c r="CF149" s="19">
        <v>109.24251914994987</v>
      </c>
      <c r="CG149" s="19">
        <v>115.83215199515939</v>
      </c>
      <c r="CH149" s="19">
        <v>131.5776568222368</v>
      </c>
      <c r="CI149" s="19">
        <v>137.35684839537549</v>
      </c>
      <c r="CJ149" s="19">
        <v>96.805267053626196</v>
      </c>
      <c r="CK149" s="19">
        <v>106.393035888672</v>
      </c>
      <c r="CL149" s="19">
        <v>111.411827087402</v>
      </c>
      <c r="CM149" s="19">
        <v>113.55657196044901</v>
      </c>
      <c r="CN149" s="19">
        <v>111.75353059636799</v>
      </c>
      <c r="CO149" s="19">
        <v>114.233016778964</v>
      </c>
      <c r="CP149" s="19">
        <v>108.319012675984</v>
      </c>
      <c r="CQ149" s="19">
        <v>106.905217795577</v>
      </c>
      <c r="CR149" s="19">
        <v>107.849270058927</v>
      </c>
      <c r="CS149" s="19">
        <v>107.895185390203</v>
      </c>
      <c r="CT149" s="19">
        <v>111.6227410749087</v>
      </c>
      <c r="CU149" s="19">
        <v>114.07949290951211</v>
      </c>
      <c r="CV149" s="19">
        <v>108.73306184104602</v>
      </c>
      <c r="CW149" s="19">
        <v>114.99442702049508</v>
      </c>
      <c r="CX149" s="19">
        <v>112.26642480920596</v>
      </c>
      <c r="CY149" s="19">
        <v>5.5407053431701314</v>
      </c>
      <c r="CZ149" s="19">
        <v>5.3741776785714288</v>
      </c>
      <c r="DA149" s="19">
        <v>5.1430532499999995</v>
      </c>
      <c r="DB149" s="19">
        <v>4.9244806517857143</v>
      </c>
      <c r="DC149" s="19">
        <v>4.8932018499999996</v>
      </c>
      <c r="DD149" s="19">
        <v>4.8481722061855663</v>
      </c>
      <c r="DE149" s="19">
        <v>4.7074231800000002</v>
      </c>
      <c r="DF149" s="19">
        <v>4.3220561854549411</v>
      </c>
      <c r="DG149" s="19">
        <v>4.3387712240219116</v>
      </c>
      <c r="DH149" s="19">
        <v>4.655237266865182</v>
      </c>
      <c r="DI149" s="19">
        <v>4.117618121630449</v>
      </c>
      <c r="DJ149" s="19">
        <v>3.7247418764571885</v>
      </c>
      <c r="DK149" s="19">
        <v>4.3813279488138059</v>
      </c>
      <c r="DL149" s="19">
        <v>2.8381752259538713</v>
      </c>
      <c r="DM149" s="19">
        <v>3.9163242765505721</v>
      </c>
      <c r="DN149" s="19">
        <v>5.3325917530499449</v>
      </c>
      <c r="DO149" s="19">
        <v>5.1369461607142854</v>
      </c>
      <c r="DP149" s="19">
        <v>5.247592136363636</v>
      </c>
      <c r="DQ149" s="19">
        <v>5.7937559553571436</v>
      </c>
      <c r="DR149" s="19">
        <v>5.8441314160714279</v>
      </c>
      <c r="DS149" s="19">
        <v>5.8375470365979378</v>
      </c>
      <c r="DT149" s="19">
        <v>6.0361694200000002</v>
      </c>
      <c r="DU149" s="19">
        <v>5.9301460301246642</v>
      </c>
      <c r="DV149" s="19">
        <v>5.7326155304908752</v>
      </c>
      <c r="DW149" s="19">
        <v>5.5070422771129204</v>
      </c>
      <c r="DX149" s="19">
        <v>6.5915925287140027</v>
      </c>
      <c r="DY149" s="19">
        <v>5.6444654972398833</v>
      </c>
      <c r="DZ149" s="19">
        <v>7</v>
      </c>
      <c r="EA149" s="19">
        <v>6.2734867582069231</v>
      </c>
      <c r="EB149" s="19">
        <v>5.8972181434550492</v>
      </c>
      <c r="EC149" s="19">
        <v>5.335158386214724</v>
      </c>
      <c r="ED149" s="19">
        <v>5.0900052380952383</v>
      </c>
      <c r="EE149" s="19">
        <v>5.1735487045454551</v>
      </c>
      <c r="EF149" s="19">
        <v>5.6818550446428571</v>
      </c>
      <c r="EG149" s="19">
        <v>5.9091676500000005</v>
      </c>
      <c r="EH149" s="19">
        <v>5.9326730329896904</v>
      </c>
      <c r="EI149" s="19">
        <v>5.9542126599999996</v>
      </c>
      <c r="EJ149" s="19">
        <v>5.9095487418479919</v>
      </c>
      <c r="EK149" s="19">
        <v>5.7986384034156799</v>
      </c>
      <c r="EL149" s="19">
        <v>5.5197257944878118</v>
      </c>
      <c r="EM149" s="19">
        <v>6.4488823582653847</v>
      </c>
      <c r="EN149" s="19">
        <v>6.3816236891884781</v>
      </c>
      <c r="EO149" s="19">
        <v>6.4025474658560482</v>
      </c>
      <c r="EP149" s="19">
        <v>5.9935456527455742</v>
      </c>
      <c r="EQ149" s="19">
        <v>6.7070029461897231</v>
      </c>
      <c r="ER149" s="19"/>
      <c r="ES149" s="16">
        <f t="shared" ref="ES149:FB164" si="10">IF(SUMIF($F$2:$EQ$2,ES$2&amp;"_"&amp;ES$3,$F149:$EQ149)=0,".",SUMIF($F$2:$EQ$2,ES$2&amp;"_"&amp;ES$3,$F149:$EQ149))</f>
        <v>4.5086080969924813</v>
      </c>
      <c r="ET149" s="16">
        <f t="shared" si="10"/>
        <v>3.5549026889971613</v>
      </c>
      <c r="EU149" s="16">
        <f t="shared" si="10"/>
        <v>5.3251263976190479</v>
      </c>
      <c r="EV149" s="16">
        <f t="shared" si="10"/>
        <v>2.7676972589285711</v>
      </c>
      <c r="EW149" s="16">
        <f t="shared" si="10"/>
        <v>3.789929057142857</v>
      </c>
      <c r="EX149" s="16" t="str">
        <f t="shared" si="10"/>
        <v>.</v>
      </c>
      <c r="EY149" s="16">
        <f t="shared" si="10"/>
        <v>111.75353059636799</v>
      </c>
      <c r="EZ149" s="16">
        <f t="shared" si="10"/>
        <v>4.8932018499999996</v>
      </c>
      <c r="FA149" s="16">
        <f t="shared" si="10"/>
        <v>5.8441314160714279</v>
      </c>
      <c r="FB149" s="16">
        <f t="shared" si="10"/>
        <v>5.9091676500000005</v>
      </c>
    </row>
    <row r="150" spans="1:158" x14ac:dyDescent="0.25">
      <c r="A150" s="17">
        <v>147</v>
      </c>
      <c r="B150" s="17" t="s">
        <v>181</v>
      </c>
      <c r="C150" s="17" t="s">
        <v>182</v>
      </c>
      <c r="D150" s="17" t="s">
        <v>25</v>
      </c>
      <c r="E150" s="16">
        <v>1</v>
      </c>
      <c r="F150" s="18">
        <v>4.259624323257504</v>
      </c>
      <c r="G150" s="18">
        <v>4.6350271917740926</v>
      </c>
      <c r="H150" s="18">
        <v>4.4748086136339964</v>
      </c>
      <c r="I150" s="18">
        <v>4.3559076866560353</v>
      </c>
      <c r="J150" s="18">
        <v>4.5389438620689653</v>
      </c>
      <c r="K150" s="18">
        <v>4.5966856842105255</v>
      </c>
      <c r="L150" s="18">
        <v>4.5074974783055204</v>
      </c>
      <c r="M150" s="18">
        <v>4.4178177878267286</v>
      </c>
      <c r="N150" s="18">
        <v>4.2547445322938655</v>
      </c>
      <c r="O150" s="18">
        <v>4.1395704205994264</v>
      </c>
      <c r="P150" s="18">
        <v>4.0338569687736596</v>
      </c>
      <c r="Q150" s="18">
        <v>3.8062205306278112</v>
      </c>
      <c r="R150" s="18">
        <v>4.071300359883935</v>
      </c>
      <c r="S150" s="18">
        <v>4.51011564069751</v>
      </c>
      <c r="T150" s="18">
        <v>3.3775132028527084</v>
      </c>
      <c r="U150" s="18">
        <v>3.5754517306088265</v>
      </c>
      <c r="V150" s="18">
        <v>3.6493255197261827</v>
      </c>
      <c r="W150" s="18">
        <v>3.43403105150627</v>
      </c>
      <c r="X150" s="18">
        <v>3.5764326934840156</v>
      </c>
      <c r="Y150" s="18">
        <v>3.517883683633086</v>
      </c>
      <c r="Z150" s="18">
        <v>3.3159498387825721</v>
      </c>
      <c r="AA150" s="18">
        <v>3.4853412449859658</v>
      </c>
      <c r="AB150" s="18">
        <v>3.5722771494425762</v>
      </c>
      <c r="AC150" s="18">
        <v>3.6453137424511595</v>
      </c>
      <c r="AD150" s="19">
        <v>3.6511157358615018</v>
      </c>
      <c r="AE150" s="19">
        <v>3.6459111910291488</v>
      </c>
      <c r="AF150" s="19">
        <v>3.7563647623963243</v>
      </c>
      <c r="AG150" s="19">
        <v>3.4734189798218784</v>
      </c>
      <c r="AH150" s="19">
        <v>4.1670895178863097</v>
      </c>
      <c r="AI150" s="19">
        <v>3.7896723970880415</v>
      </c>
      <c r="AJ150" s="19">
        <v>5.0851609622895628</v>
      </c>
      <c r="AK150" s="19">
        <v>5.1039109954022992</v>
      </c>
      <c r="AL150" s="19">
        <v>5.0765289999999998</v>
      </c>
      <c r="AM150" s="19">
        <v>4.9309190650406505</v>
      </c>
      <c r="AN150" s="19">
        <v>4.8340944493463143</v>
      </c>
      <c r="AO150" s="19">
        <v>4.8245627958466342</v>
      </c>
      <c r="AP150" s="19">
        <v>4.5303715785344449</v>
      </c>
      <c r="AQ150" s="19">
        <v>4.3996435921149688</v>
      </c>
      <c r="AR150" s="19">
        <v>4.4040559104972026</v>
      </c>
      <c r="AS150" s="19">
        <v>4.7307953676956185</v>
      </c>
      <c r="AT150" s="19">
        <v>4.342882044092323</v>
      </c>
      <c r="AU150" s="19">
        <v>4.2426822162919597</v>
      </c>
      <c r="AV150" s="19">
        <v>3.3163854003139721</v>
      </c>
      <c r="AW150" s="19">
        <v>3.5061589443645662</v>
      </c>
      <c r="AX150" s="19">
        <v>3.0944921999999995</v>
      </c>
      <c r="AY150" s="19">
        <v>3.325549878787879</v>
      </c>
      <c r="AZ150" s="19">
        <v>3.7162241172413792</v>
      </c>
      <c r="BA150" s="19">
        <v>3.7616010000000006</v>
      </c>
      <c r="BB150" s="19">
        <v>3.4493808756097564</v>
      </c>
      <c r="BC150" s="19">
        <v>3.2785612359625027</v>
      </c>
      <c r="BD150" s="19">
        <v>3.4736966989972262</v>
      </c>
      <c r="BE150" s="19">
        <v>3.5787221908569338</v>
      </c>
      <c r="BF150" s="19">
        <v>4.5316363662708907</v>
      </c>
      <c r="BG150" s="19">
        <v>5.7096676609468817</v>
      </c>
      <c r="BH150" s="19">
        <v>6.3891258368374233</v>
      </c>
      <c r="BI150" s="19">
        <v>5.6026404846405029</v>
      </c>
      <c r="BJ150" s="19">
        <v>4.5547489983221805</v>
      </c>
      <c r="BK150" s="19">
        <v>4.252677645468351</v>
      </c>
      <c r="BL150" s="19">
        <v>4.3296158145020947</v>
      </c>
      <c r="BM150" s="19">
        <v>4.0165266629441625</v>
      </c>
      <c r="BN150" s="19">
        <v>4.0223326747474744</v>
      </c>
      <c r="BO150" s="19">
        <v>4.3556990068965522</v>
      </c>
      <c r="BP150" s="19">
        <v>4.4985320000000009</v>
      </c>
      <c r="BQ150" s="19">
        <v>4.3138526463414628</v>
      </c>
      <c r="BR150" s="19">
        <v>4.111975908785654</v>
      </c>
      <c r="BS150" s="19">
        <v>3.8311504851743043</v>
      </c>
      <c r="BT150" s="19">
        <v>3.6752525091171266</v>
      </c>
      <c r="BU150" s="19">
        <v>3.194158306341973</v>
      </c>
      <c r="BV150" s="19">
        <v>3.3949533952346522</v>
      </c>
      <c r="BW150" s="19">
        <v>4.410230591966112</v>
      </c>
      <c r="BX150" s="19">
        <v>3.6328869096462344</v>
      </c>
      <c r="BY150" s="19">
        <v>3.1858622646242201</v>
      </c>
      <c r="BZ150" s="19">
        <v>2.30454226706328</v>
      </c>
      <c r="CA150" s="19">
        <v>4.4406378763213503</v>
      </c>
      <c r="CB150" s="19">
        <v>7.82205220571133</v>
      </c>
      <c r="CC150" s="19">
        <v>13.010464765204301</v>
      </c>
      <c r="CD150" s="19">
        <v>15.7710203507873</v>
      </c>
      <c r="CE150" s="19">
        <v>18.044808656942749</v>
      </c>
      <c r="CF150" s="19">
        <v>21.663307382576143</v>
      </c>
      <c r="CG150" s="19">
        <v>26.043324705772807</v>
      </c>
      <c r="CH150" s="19">
        <v>29.45126828615108</v>
      </c>
      <c r="CI150" s="19">
        <v>31.819909527378641</v>
      </c>
      <c r="CJ150" s="19">
        <v>16.2067926529432</v>
      </c>
      <c r="CK150" s="19">
        <v>25.882125854492202</v>
      </c>
      <c r="CL150" s="19">
        <v>57.143711090087898</v>
      </c>
      <c r="CM150" s="19">
        <v>69.648849487304702</v>
      </c>
      <c r="CN150" s="19">
        <v>83.218381789907497</v>
      </c>
      <c r="CO150" s="19">
        <v>87.047298805619903</v>
      </c>
      <c r="CP150" s="19">
        <v>95.7618777254512</v>
      </c>
      <c r="CQ150" s="19">
        <v>95.496320539600305</v>
      </c>
      <c r="CR150" s="19">
        <v>103.157848107611</v>
      </c>
      <c r="CS150" s="19">
        <v>112.82954965152901</v>
      </c>
      <c r="CT150" s="19">
        <v>131.06084025736814</v>
      </c>
      <c r="CU150" s="19">
        <v>142.83245493501821</v>
      </c>
      <c r="CV150" s="19">
        <v>150.06598905411917</v>
      </c>
      <c r="CW150" s="19">
        <v>160.53270015454683</v>
      </c>
      <c r="CX150" s="19">
        <v>171.11351558709779</v>
      </c>
      <c r="CY150" s="19">
        <v>4.7248974679437383</v>
      </c>
      <c r="CZ150" s="19">
        <v>4.789235430712214</v>
      </c>
      <c r="DA150" s="19">
        <v>4.4220864796954311</v>
      </c>
      <c r="DB150" s="19">
        <v>4.4175235959595955</v>
      </c>
      <c r="DC150" s="19">
        <v>4.4637750206896545</v>
      </c>
      <c r="DD150" s="19">
        <v>4.3160179999999997</v>
      </c>
      <c r="DE150" s="19">
        <v>4.3713992341463417</v>
      </c>
      <c r="DF150" s="19">
        <v>4.3034090343615539</v>
      </c>
      <c r="DG150" s="19">
        <v>4.3190005329054619</v>
      </c>
      <c r="DH150" s="19">
        <v>4.3555483818054199</v>
      </c>
      <c r="DI150" s="19">
        <v>4.141926532124157</v>
      </c>
      <c r="DJ150" s="19">
        <v>4.345296812155965</v>
      </c>
      <c r="DK150" s="19">
        <v>4.0116869118306919</v>
      </c>
      <c r="DL150" s="19">
        <v>4.2005307796935414</v>
      </c>
      <c r="DM150" s="19">
        <v>3.6133116319323042</v>
      </c>
      <c r="DN150" s="19">
        <v>3.347893772893773</v>
      </c>
      <c r="DO150" s="19">
        <v>3.784788879175653</v>
      </c>
      <c r="DP150" s="19">
        <v>4.1424789817258878</v>
      </c>
      <c r="DQ150" s="19">
        <v>4.4454329595959594</v>
      </c>
      <c r="DR150" s="19">
        <v>4.7227351793103445</v>
      </c>
      <c r="DS150" s="19">
        <v>4.8278169999999996</v>
      </c>
      <c r="DT150" s="19">
        <v>4.8079912121951223</v>
      </c>
      <c r="DU150" s="19">
        <v>5.0475580539633196</v>
      </c>
      <c r="DV150" s="19">
        <v>5.0546618427721981</v>
      </c>
      <c r="DW150" s="19">
        <v>4.3701087117195136</v>
      </c>
      <c r="DX150" s="19">
        <v>5.8270123391821942</v>
      </c>
      <c r="DY150" s="19">
        <v>3.9986865040193544</v>
      </c>
      <c r="DZ150" s="19">
        <v>5.8110338867393496</v>
      </c>
      <c r="EA150" s="19">
        <v>5.3217804136285149</v>
      </c>
      <c r="EB150" s="19">
        <v>5.3564591439703193</v>
      </c>
      <c r="EC150" s="19">
        <v>3.1387899171353055</v>
      </c>
      <c r="ED150" s="19">
        <v>3.6352243530793191</v>
      </c>
      <c r="EE150" s="19">
        <v>3.8874309365482227</v>
      </c>
      <c r="EF150" s="19">
        <v>4.2118224727272722</v>
      </c>
      <c r="EG150" s="19">
        <v>4.5416986965517241</v>
      </c>
      <c r="EH150" s="19">
        <v>4.616791000000001</v>
      </c>
      <c r="EI150" s="19">
        <v>4.7105652195121959</v>
      </c>
      <c r="EJ150" s="19">
        <v>5.0901560951038025</v>
      </c>
      <c r="EK150" s="19">
        <v>5.2083084670420217</v>
      </c>
      <c r="EL150" s="19">
        <v>4.6884182929992679</v>
      </c>
      <c r="EM150" s="19">
        <v>5.6495898629565842</v>
      </c>
      <c r="EN150" s="19">
        <v>5.8392528925961402</v>
      </c>
      <c r="EO150" s="19">
        <v>5.3059643678722042</v>
      </c>
      <c r="EP150" s="19">
        <v>6.4686061867989881</v>
      </c>
      <c r="EQ150" s="19">
        <v>5.7392430038792401</v>
      </c>
      <c r="ER150" s="19"/>
      <c r="ES150" s="16">
        <f t="shared" si="10"/>
        <v>4.5389438620689653</v>
      </c>
      <c r="ET150" s="16">
        <f t="shared" si="10"/>
        <v>3.517883683633086</v>
      </c>
      <c r="EU150" s="16">
        <f t="shared" si="10"/>
        <v>5.1039109954022992</v>
      </c>
      <c r="EV150" s="16">
        <f t="shared" si="10"/>
        <v>3.7162241172413792</v>
      </c>
      <c r="EW150" s="16">
        <f t="shared" si="10"/>
        <v>4.3556990068965522</v>
      </c>
      <c r="EX150" s="16" t="str">
        <f t="shared" si="10"/>
        <v>.</v>
      </c>
      <c r="EY150" s="16">
        <f t="shared" si="10"/>
        <v>83.218381789907497</v>
      </c>
      <c r="EZ150" s="16">
        <f t="shared" si="10"/>
        <v>4.4637750206896545</v>
      </c>
      <c r="FA150" s="16">
        <f t="shared" si="10"/>
        <v>4.7227351793103445</v>
      </c>
      <c r="FB150" s="16">
        <f t="shared" si="10"/>
        <v>4.5416986965517241</v>
      </c>
    </row>
    <row r="151" spans="1:158" x14ac:dyDescent="0.25">
      <c r="A151" s="17">
        <v>148</v>
      </c>
      <c r="B151" s="17" t="s">
        <v>183</v>
      </c>
      <c r="C151" s="17" t="s">
        <v>183</v>
      </c>
      <c r="D151" s="17" t="s">
        <v>18</v>
      </c>
      <c r="E151" s="16">
        <v>1</v>
      </c>
      <c r="F151" s="18">
        <v>3.9297418023659119</v>
      </c>
      <c r="G151" s="18">
        <v>3.5498616995227374</v>
      </c>
      <c r="H151" s="18">
        <v>3.902750728567649</v>
      </c>
      <c r="I151" s="18">
        <v>3.4140322907229024</v>
      </c>
      <c r="J151" s="18">
        <v>3.2374576315789469</v>
      </c>
      <c r="K151" s="18">
        <v>3.4102984103780578</v>
      </c>
      <c r="L151" s="18">
        <v>3.4925290382335148</v>
      </c>
      <c r="M151" s="18">
        <v>3.388656970775028</v>
      </c>
      <c r="N151" s="18">
        <v>2.8732293037225451</v>
      </c>
      <c r="O151" s="18">
        <v>3.4950466646285023</v>
      </c>
      <c r="P151" s="18">
        <v>4.298829352136373</v>
      </c>
      <c r="Q151" s="18">
        <v>3.1282747238261868</v>
      </c>
      <c r="R151" s="18">
        <v>2.8406114746371087</v>
      </c>
      <c r="S151" s="18">
        <v>2.6167772280660735</v>
      </c>
      <c r="T151" s="18">
        <v>3.3766373895538524</v>
      </c>
      <c r="U151" s="18">
        <v>2.9333769608477773</v>
      </c>
      <c r="V151" s="18">
        <v>2.6482565990513516</v>
      </c>
      <c r="W151" s="18">
        <v>2.8023635055469369</v>
      </c>
      <c r="X151" s="18">
        <v>3.0910924045712376</v>
      </c>
      <c r="Y151" s="18">
        <v>2.5900268666666668</v>
      </c>
      <c r="Z151" s="18">
        <v>2.6174797834465324</v>
      </c>
      <c r="AA151" s="18">
        <v>2.7015142897885327</v>
      </c>
      <c r="AB151" s="18">
        <v>2.6047647743744728</v>
      </c>
      <c r="AC151" s="18">
        <v>2.6761801828578431</v>
      </c>
      <c r="AD151" s="19">
        <v>2.760907524281393</v>
      </c>
      <c r="AE151" s="19">
        <v>2.2761649681153324</v>
      </c>
      <c r="AF151" s="19">
        <v>2.6450599670584927</v>
      </c>
      <c r="AG151" s="19">
        <v>2.0104010905600211</v>
      </c>
      <c r="AH151" s="19">
        <v>2.7201165800699858</v>
      </c>
      <c r="AI151" s="19">
        <v>2.2988477720156109</v>
      </c>
      <c r="AJ151" s="19">
        <v>4.1461943099629179</v>
      </c>
      <c r="AK151" s="19">
        <v>3.9934226666666661</v>
      </c>
      <c r="AL151" s="19">
        <v>4.0060921464788732</v>
      </c>
      <c r="AM151" s="19">
        <v>4.1445837685823754</v>
      </c>
      <c r="AN151" s="19">
        <v>3.9953511066329477</v>
      </c>
      <c r="AO151" s="19">
        <v>4.3709151945723743</v>
      </c>
      <c r="AP151" s="19">
        <v>3.9853924843320847</v>
      </c>
      <c r="AQ151" s="19">
        <v>3.7959920106275904</v>
      </c>
      <c r="AR151" s="19">
        <v>4.2191427446669731</v>
      </c>
      <c r="AS151" s="19">
        <v>4.0979813331088693</v>
      </c>
      <c r="AT151" s="19">
        <v>3.930965003595448</v>
      </c>
      <c r="AU151" s="19">
        <v>3.1963254860170411</v>
      </c>
      <c r="AV151" s="19">
        <v>2.5437392724650585</v>
      </c>
      <c r="AW151" s="19">
        <v>3.28348608856234</v>
      </c>
      <c r="AX151" s="19">
        <v>3.0688628945319198</v>
      </c>
      <c r="AY151" s="19">
        <v>2.8228196292249592</v>
      </c>
      <c r="AZ151" s="19">
        <v>2.7920060000000002</v>
      </c>
      <c r="BA151" s="19">
        <v>3.069526354929577</v>
      </c>
      <c r="BB151" s="19">
        <v>3.1828788770114942</v>
      </c>
      <c r="BC151" s="19">
        <v>3.2235836874312644</v>
      </c>
      <c r="BD151" s="19">
        <v>3.0372630804070626</v>
      </c>
      <c r="BE151" s="19">
        <v>3.1730727198045856</v>
      </c>
      <c r="BF151" s="19">
        <v>4.858284156374804</v>
      </c>
      <c r="BG151" s="19">
        <v>4.3398395437598971</v>
      </c>
      <c r="BH151" s="19">
        <v>4.7645398493809887</v>
      </c>
      <c r="BI151" s="19">
        <v>4.2012285484453251</v>
      </c>
      <c r="BJ151" s="19">
        <v>5.0334605089234215</v>
      </c>
      <c r="BK151" s="19">
        <v>2.8824469525927716</v>
      </c>
      <c r="BL151" s="19">
        <v>2.7523941930309466</v>
      </c>
      <c r="BM151" s="19">
        <v>3.4767440061094037</v>
      </c>
      <c r="BN151" s="19">
        <v>3.1625447488667695</v>
      </c>
      <c r="BO151" s="19">
        <v>2.9676680000000002</v>
      </c>
      <c r="BP151" s="19">
        <v>3.1201984169014079</v>
      </c>
      <c r="BQ151" s="19">
        <v>3.0931864195402299</v>
      </c>
      <c r="BR151" s="19">
        <v>3.0388481290836777</v>
      </c>
      <c r="BS151" s="19">
        <v>2.9079829973102935</v>
      </c>
      <c r="BT151" s="19">
        <v>3.3356341333157431</v>
      </c>
      <c r="BU151" s="19">
        <v>3.1821878500237242</v>
      </c>
      <c r="BV151" s="19">
        <v>4.2411403768225906</v>
      </c>
      <c r="BW151" s="19">
        <v>3.668089631866303</v>
      </c>
      <c r="BX151" s="19">
        <v>2.8071149919561611</v>
      </c>
      <c r="BY151" s="19">
        <v>3.2427378989104572</v>
      </c>
      <c r="BZ151" s="19">
        <v>3.6338735818745627</v>
      </c>
      <c r="CA151" s="19">
        <v>3.3133592891940498</v>
      </c>
      <c r="CB151" s="19">
        <v>14.966111112150401</v>
      </c>
      <c r="CC151" s="19">
        <v>9.6957819060172206</v>
      </c>
      <c r="CD151" s="19">
        <v>40.291341157962535</v>
      </c>
      <c r="CE151" s="19">
        <v>30.740006832674958</v>
      </c>
      <c r="CF151" s="19">
        <v>48.02307837197619</v>
      </c>
      <c r="CG151" s="19">
        <v>53.755976661984008</v>
      </c>
      <c r="CH151" s="19">
        <v>60.03225373167556</v>
      </c>
      <c r="CI151" s="19">
        <v>74.558262710466011</v>
      </c>
      <c r="CJ151" s="19">
        <v>108.49</v>
      </c>
      <c r="CK151" s="19">
        <v>154.49</v>
      </c>
      <c r="CL151" s="19">
        <v>148.21</v>
      </c>
      <c r="CM151" s="19">
        <v>133.96</v>
      </c>
      <c r="CN151" s="19">
        <v>169.641427580265</v>
      </c>
      <c r="CO151" s="19">
        <v>178.875333148225</v>
      </c>
      <c r="CP151" s="19">
        <v>182.89886273225099</v>
      </c>
      <c r="CQ151" s="19">
        <v>127.318849717028</v>
      </c>
      <c r="CR151" s="19">
        <v>97.65</v>
      </c>
      <c r="CS151" s="19">
        <v>87.49</v>
      </c>
      <c r="CT151" s="19">
        <v>114.51712120747527</v>
      </c>
      <c r="CU151" s="19">
        <v>113.00831010932005</v>
      </c>
      <c r="CV151" s="19">
        <v>113.89768718857654</v>
      </c>
      <c r="CW151" s="19">
        <v>115.03567460036633</v>
      </c>
      <c r="CX151" s="19">
        <v>110.91709861719465</v>
      </c>
      <c r="CY151" s="19">
        <v>4.4051679521247129</v>
      </c>
      <c r="CZ151" s="19">
        <v>4.4834082208081387</v>
      </c>
      <c r="DA151" s="19">
        <v>3.8502561618129123</v>
      </c>
      <c r="DB151" s="19">
        <v>4.0285196108067076</v>
      </c>
      <c r="DC151" s="19">
        <v>3.6505359999999998</v>
      </c>
      <c r="DD151" s="19">
        <v>3.5942604816901405</v>
      </c>
      <c r="DE151" s="19">
        <v>3.5843972712643679</v>
      </c>
      <c r="DF151" s="19">
        <v>3.2536319143253061</v>
      </c>
      <c r="DG151" s="19">
        <v>2.6575930948971838</v>
      </c>
      <c r="DH151" s="19">
        <v>3.0704902586525975</v>
      </c>
      <c r="DI151" s="19">
        <v>2.5831487880210444</v>
      </c>
      <c r="DJ151" s="19">
        <v>2.4595645663443042</v>
      </c>
      <c r="DK151" s="19">
        <v>1.9284831019871433</v>
      </c>
      <c r="DL151" s="19">
        <v>2.4836086875121994</v>
      </c>
      <c r="DM151" s="19">
        <v>1.8010695273442767</v>
      </c>
      <c r="DN151" s="19">
        <v>3.1739550962047089</v>
      </c>
      <c r="DO151" s="19">
        <v>3.5439099654758</v>
      </c>
      <c r="DP151" s="19">
        <v>4.879754373143232</v>
      </c>
      <c r="DQ151" s="19">
        <v>4.5165801437909989</v>
      </c>
      <c r="DR151" s="19">
        <v>4.2216019999999999</v>
      </c>
      <c r="DS151" s="19">
        <v>4.3175553154929567</v>
      </c>
      <c r="DT151" s="19">
        <v>4.1269216701149425</v>
      </c>
      <c r="DU151" s="19">
        <v>3.9564835299366088</v>
      </c>
      <c r="DV151" s="19">
        <v>4.0246767692952341</v>
      </c>
      <c r="DW151" s="19">
        <v>3.5203931975189438</v>
      </c>
      <c r="DX151" s="19">
        <v>5.8013014613508798</v>
      </c>
      <c r="DY151" s="19">
        <v>4.5330110371017343</v>
      </c>
      <c r="DZ151" s="19">
        <v>4.94425427304071</v>
      </c>
      <c r="EA151" s="19">
        <v>4.2221749251242908</v>
      </c>
      <c r="EB151" s="19">
        <v>4.0298275227032114</v>
      </c>
      <c r="EC151" s="19">
        <v>4.1913770924910061</v>
      </c>
      <c r="ED151" s="19">
        <v>4.5086477128006441</v>
      </c>
      <c r="EE151" s="19">
        <v>4.1997429402200437</v>
      </c>
      <c r="EF151" s="19">
        <v>4.2811504681277857</v>
      </c>
      <c r="EG151" s="19">
        <v>4.2486819999999996</v>
      </c>
      <c r="EH151" s="19">
        <v>4.1494617211267597</v>
      </c>
      <c r="EI151" s="19">
        <v>4.0403067747126435</v>
      </c>
      <c r="EJ151" s="19">
        <v>3.952373418752626</v>
      </c>
      <c r="EK151" s="19">
        <v>4.1855470710629854</v>
      </c>
      <c r="EL151" s="19">
        <v>4.2629956989922642</v>
      </c>
      <c r="EM151" s="19">
        <v>3.919200183226081</v>
      </c>
      <c r="EN151" s="19">
        <v>4.168042365905146</v>
      </c>
      <c r="EO151" s="19">
        <v>3.917281628041446</v>
      </c>
      <c r="EP151" s="19">
        <v>4.7894185604430053</v>
      </c>
      <c r="EQ151" s="19">
        <v>2.8398982671468027</v>
      </c>
      <c r="ER151" s="19"/>
      <c r="ES151" s="16">
        <f t="shared" si="10"/>
        <v>3.2374576315789469</v>
      </c>
      <c r="ET151" s="16">
        <f t="shared" si="10"/>
        <v>2.5900268666666668</v>
      </c>
      <c r="EU151" s="16">
        <f t="shared" si="10"/>
        <v>3.9934226666666661</v>
      </c>
      <c r="EV151" s="16">
        <f t="shared" si="10"/>
        <v>2.7920060000000002</v>
      </c>
      <c r="EW151" s="16">
        <f t="shared" si="10"/>
        <v>2.9676680000000002</v>
      </c>
      <c r="EX151" s="16" t="str">
        <f t="shared" si="10"/>
        <v>.</v>
      </c>
      <c r="EY151" s="16">
        <f t="shared" si="10"/>
        <v>169.641427580265</v>
      </c>
      <c r="EZ151" s="16">
        <f t="shared" si="10"/>
        <v>3.6505359999999998</v>
      </c>
      <c r="FA151" s="16">
        <f t="shared" si="10"/>
        <v>4.2216019999999999</v>
      </c>
      <c r="FB151" s="16">
        <f t="shared" si="10"/>
        <v>4.2486819999999996</v>
      </c>
    </row>
    <row r="152" spans="1:158" x14ac:dyDescent="0.25">
      <c r="A152" s="17">
        <v>149</v>
      </c>
      <c r="B152" s="17" t="s">
        <v>184</v>
      </c>
      <c r="C152" s="17" t="s">
        <v>184</v>
      </c>
      <c r="D152" s="17" t="s">
        <v>14</v>
      </c>
      <c r="E152" s="16">
        <v>1</v>
      </c>
      <c r="F152" s="18">
        <v>3.0807562639011588</v>
      </c>
      <c r="G152" s="18">
        <v>3.3990148723483378</v>
      </c>
      <c r="H152" s="18">
        <v>3.3519036499206405</v>
      </c>
      <c r="I152" s="18">
        <v>3.2207498947368425</v>
      </c>
      <c r="J152" s="18">
        <v>3.1172995828254848</v>
      </c>
      <c r="K152" s="18">
        <v>3.2638124744939274</v>
      </c>
      <c r="L152" s="18">
        <v>3.7247551779327837</v>
      </c>
      <c r="M152" s="18">
        <v>3.6310204433966384</v>
      </c>
      <c r="N152" s="18">
        <v>3.3448132522517957</v>
      </c>
      <c r="O152" s="18">
        <v>3.1956756128548283</v>
      </c>
      <c r="P152" s="18">
        <v>3.1819281913705479</v>
      </c>
      <c r="Q152" s="18">
        <v>3.5800150491390967</v>
      </c>
      <c r="R152" s="18">
        <v>3.0709281025107069</v>
      </c>
      <c r="S152" s="18">
        <v>3.1911816942163624</v>
      </c>
      <c r="T152" s="18">
        <v>4.4880661586742763</v>
      </c>
      <c r="U152" s="18">
        <v>2.3193673454893355</v>
      </c>
      <c r="V152" s="18">
        <v>2.2495664917872067</v>
      </c>
      <c r="W152" s="18">
        <v>2.2535701576343059</v>
      </c>
      <c r="X152" s="18">
        <v>2.3276152666666667</v>
      </c>
      <c r="Y152" s="18">
        <v>2.2238261515789475</v>
      </c>
      <c r="Z152" s="18">
        <v>2.3317063016196276</v>
      </c>
      <c r="AA152" s="18">
        <v>2.8251442670682736</v>
      </c>
      <c r="AB152" s="18">
        <v>2.8620151491482262</v>
      </c>
      <c r="AC152" s="18">
        <v>2.6881100820814652</v>
      </c>
      <c r="AD152" s="19">
        <v>2.866743765182115</v>
      </c>
      <c r="AE152" s="19">
        <v>3.1235922130146196</v>
      </c>
      <c r="AF152" s="19">
        <v>3.1324903060005695</v>
      </c>
      <c r="AG152" s="19">
        <v>2.5679654385601216</v>
      </c>
      <c r="AH152" s="19">
        <v>4.0055416987943193</v>
      </c>
      <c r="AI152" s="19">
        <v>3.5027794263110885</v>
      </c>
      <c r="AJ152" s="19">
        <v>3.5353320000000004</v>
      </c>
      <c r="AK152" s="19">
        <v>3.634126159649123</v>
      </c>
      <c r="AL152" s="19">
        <v>3.9093438102564098</v>
      </c>
      <c r="AM152" s="19">
        <v>4.0030500409638554</v>
      </c>
      <c r="AN152" s="19">
        <v>3.8842197026415506</v>
      </c>
      <c r="AO152" s="19">
        <v>3.7994278370496115</v>
      </c>
      <c r="AP152" s="19">
        <v>3.7847110232371417</v>
      </c>
      <c r="AQ152" s="19">
        <v>4.5384113826200467</v>
      </c>
      <c r="AR152" s="19">
        <v>4.2949305262572564</v>
      </c>
      <c r="AS152" s="19">
        <v>4.36298006270159</v>
      </c>
      <c r="AT152" s="19">
        <v>3.6734358513263667</v>
      </c>
      <c r="AU152" s="19">
        <v>4.2614216833568612</v>
      </c>
      <c r="AV152" s="19">
        <v>2.5662770349451614</v>
      </c>
      <c r="AW152" s="19">
        <v>3.3565958522078576</v>
      </c>
      <c r="AX152" s="19">
        <v>3.1898724756157564</v>
      </c>
      <c r="AY152" s="19">
        <v>3.2490830000000002</v>
      </c>
      <c r="AZ152" s="19">
        <v>3.1474458894736843</v>
      </c>
      <c r="BA152" s="19">
        <v>3.033988835164835</v>
      </c>
      <c r="BB152" s="19">
        <v>3.3711257915662651</v>
      </c>
      <c r="BC152" s="19">
        <v>3.5691601000000004</v>
      </c>
      <c r="BD152" s="19">
        <v>3.4630040407180784</v>
      </c>
      <c r="BE152" s="19">
        <v>3.3750023963740028</v>
      </c>
      <c r="BF152" s="19">
        <v>4.2998837473582201</v>
      </c>
      <c r="BG152" s="19">
        <v>4.2150348715541277</v>
      </c>
      <c r="BH152" s="19">
        <v>4.3294454335730697</v>
      </c>
      <c r="BI152" s="19">
        <v>3.7176742375813019</v>
      </c>
      <c r="BJ152" s="19">
        <v>3.4094032488877168</v>
      </c>
      <c r="BK152" s="19">
        <v>3.2555525371211265</v>
      </c>
      <c r="BL152" s="19">
        <v>2.954370405140998</v>
      </c>
      <c r="BM152" s="19">
        <v>3.1591539833626157</v>
      </c>
      <c r="BN152" s="19">
        <v>2.8266520000000002</v>
      </c>
      <c r="BO152" s="19">
        <v>3.017255978947369</v>
      </c>
      <c r="BP152" s="19">
        <v>3.0579761230769229</v>
      </c>
      <c r="BQ152" s="19">
        <v>3.4555211771084338</v>
      </c>
      <c r="BR152" s="19">
        <v>3.3679736500000002</v>
      </c>
      <c r="BS152" s="19">
        <v>2.9614919185638429</v>
      </c>
      <c r="BT152" s="19">
        <v>2.4520132818996121</v>
      </c>
      <c r="BU152" s="19">
        <v>2.8561186788491368</v>
      </c>
      <c r="BV152" s="19">
        <v>3.2113899941197861</v>
      </c>
      <c r="BW152" s="19">
        <v>3.0304111996329315</v>
      </c>
      <c r="BX152" s="19">
        <v>3.7002981449444663</v>
      </c>
      <c r="BY152" s="19">
        <v>2.7546143876421283</v>
      </c>
      <c r="BZ152" s="19">
        <v>1</v>
      </c>
      <c r="CA152" s="19">
        <v>12.004182207917401</v>
      </c>
      <c r="CB152" s="19">
        <v>1</v>
      </c>
      <c r="CC152" s="19">
        <v>7.9671595261985404</v>
      </c>
      <c r="CD152" s="19">
        <v>40.432288730063235</v>
      </c>
      <c r="CE152" s="19">
        <v>42.514536424696836</v>
      </c>
      <c r="CF152" s="19">
        <v>44.585375700248157</v>
      </c>
      <c r="CG152" s="19">
        <v>51.150856257394345</v>
      </c>
      <c r="CH152" s="19">
        <v>55.606293095240645</v>
      </c>
      <c r="CI152" s="19">
        <v>62.602959961063192</v>
      </c>
      <c r="CJ152" s="19">
        <v>9.98</v>
      </c>
      <c r="CK152" s="19">
        <v>21.31</v>
      </c>
      <c r="CL152" s="19">
        <v>59.49</v>
      </c>
      <c r="CM152" s="19">
        <v>55.361640930175803</v>
      </c>
      <c r="CN152" s="19">
        <v>61.776172457286997</v>
      </c>
      <c r="CO152" s="19">
        <v>63.701561500170399</v>
      </c>
      <c r="CP152" s="19">
        <v>65.961547285825702</v>
      </c>
      <c r="CQ152" s="19">
        <v>71.467786675459394</v>
      </c>
      <c r="CR152" s="19">
        <v>72.319721322958699</v>
      </c>
      <c r="CS152" s="19">
        <v>76.209999999999994</v>
      </c>
      <c r="CT152" s="19">
        <v>90.070367995165441</v>
      </c>
      <c r="CU152" s="19">
        <v>96.612068784181005</v>
      </c>
      <c r="CV152" s="19">
        <v>101.10866770138995</v>
      </c>
      <c r="CW152" s="19">
        <v>105.8111879929653</v>
      </c>
      <c r="CX152" s="19">
        <v>118.81501764869803</v>
      </c>
      <c r="CY152" s="19">
        <v>4.3936172432059424</v>
      </c>
      <c r="CZ152" s="19">
        <v>4.805924402442403</v>
      </c>
      <c r="DA152" s="19">
        <v>4.9826633267227596</v>
      </c>
      <c r="DB152" s="19">
        <v>4.8672079999999998</v>
      </c>
      <c r="DC152" s="19">
        <v>4.3721138736842109</v>
      </c>
      <c r="DD152" s="19">
        <v>4.0366719208791206</v>
      </c>
      <c r="DE152" s="19">
        <v>4.1716856349397595</v>
      </c>
      <c r="DF152" s="19">
        <v>4.2948032366027835</v>
      </c>
      <c r="DG152" s="19">
        <v>4.5133333206176758</v>
      </c>
      <c r="DH152" s="19">
        <v>4.3788382863480972</v>
      </c>
      <c r="DI152" s="19">
        <v>4.242400195537515</v>
      </c>
      <c r="DJ152" s="19">
        <v>3.5031509939881431</v>
      </c>
      <c r="DK152" s="19">
        <v>3.959141619893483</v>
      </c>
      <c r="DL152" s="19">
        <v>3.9967694858616443</v>
      </c>
      <c r="DM152" s="19">
        <v>2.7236074104568182</v>
      </c>
      <c r="DN152" s="19">
        <v>3.5570693864785348</v>
      </c>
      <c r="DO152" s="19">
        <v>3.1560382171692249</v>
      </c>
      <c r="DP152" s="19">
        <v>3.4141824278793464</v>
      </c>
      <c r="DQ152" s="19">
        <v>4.4619809999999998</v>
      </c>
      <c r="DR152" s="19">
        <v>4.2006012263157899</v>
      </c>
      <c r="DS152" s="19">
        <v>4.2222988835164834</v>
      </c>
      <c r="DT152" s="19">
        <v>4.3238202253012048</v>
      </c>
      <c r="DU152" s="19">
        <v>3.9996393432914736</v>
      </c>
      <c r="DV152" s="19">
        <v>3.8351852297782898</v>
      </c>
      <c r="DW152" s="19">
        <v>3.9375311718603254</v>
      </c>
      <c r="DX152" s="19">
        <v>3.2834684830831211</v>
      </c>
      <c r="DY152" s="19">
        <v>4.3919805065318878</v>
      </c>
      <c r="DZ152" s="19">
        <v>3.6418943866555731</v>
      </c>
      <c r="EA152" s="19">
        <v>4.6059579695051927</v>
      </c>
      <c r="EB152" s="19">
        <v>4.3941940269413902</v>
      </c>
      <c r="EC152" s="19">
        <v>4.1863402132776777</v>
      </c>
      <c r="ED152" s="19">
        <v>4.5615648894379826</v>
      </c>
      <c r="EE152" s="19">
        <v>4.8499206981032819</v>
      </c>
      <c r="EF152" s="19">
        <v>5.0684849999999999</v>
      </c>
      <c r="EG152" s="19">
        <v>4.9549791736842108</v>
      </c>
      <c r="EH152" s="19">
        <v>4.638468971428571</v>
      </c>
      <c r="EI152" s="19">
        <v>4.8726700289156621</v>
      </c>
      <c r="EJ152" s="19">
        <v>4.8801586000000006</v>
      </c>
      <c r="EK152" s="19">
        <v>4.4078125000000004</v>
      </c>
      <c r="EL152" s="19">
        <v>4.1813005540560866</v>
      </c>
      <c r="EM152" s="19">
        <v>5.4411043877536329</v>
      </c>
      <c r="EN152" s="19">
        <v>3.8200191816927651</v>
      </c>
      <c r="EO152" s="19">
        <v>4.4263669924563125</v>
      </c>
      <c r="EP152" s="19">
        <v>4.4012030562778133</v>
      </c>
      <c r="EQ152" s="19">
        <v>4.9569557425649613</v>
      </c>
      <c r="ER152" s="19"/>
      <c r="ES152" s="16">
        <f t="shared" si="10"/>
        <v>3.1172995828254848</v>
      </c>
      <c r="ET152" s="16">
        <f t="shared" si="10"/>
        <v>2.2238261515789475</v>
      </c>
      <c r="EU152" s="16">
        <f t="shared" si="10"/>
        <v>3.634126159649123</v>
      </c>
      <c r="EV152" s="16">
        <f t="shared" si="10"/>
        <v>3.1474458894736843</v>
      </c>
      <c r="EW152" s="16">
        <f t="shared" si="10"/>
        <v>3.017255978947369</v>
      </c>
      <c r="EX152" s="16" t="str">
        <f t="shared" si="10"/>
        <v>.</v>
      </c>
      <c r="EY152" s="16">
        <f t="shared" si="10"/>
        <v>61.776172457286997</v>
      </c>
      <c r="EZ152" s="16">
        <f t="shared" si="10"/>
        <v>4.3721138736842109</v>
      </c>
      <c r="FA152" s="16">
        <f t="shared" si="10"/>
        <v>4.2006012263157899</v>
      </c>
      <c r="FB152" s="16">
        <f t="shared" si="10"/>
        <v>4.9549791736842108</v>
      </c>
    </row>
    <row r="153" spans="1:158" x14ac:dyDescent="0.25">
      <c r="A153" s="17">
        <v>150</v>
      </c>
      <c r="B153" s="17" t="s">
        <v>185</v>
      </c>
      <c r="C153" s="17" t="s">
        <v>185</v>
      </c>
      <c r="D153" s="17" t="s">
        <v>23</v>
      </c>
      <c r="E153" s="16">
        <v>1</v>
      </c>
      <c r="F153" s="18">
        <v>5.7039016842601491</v>
      </c>
      <c r="G153" s="18">
        <v>5.6402779317437819</v>
      </c>
      <c r="H153" s="18">
        <v>5.6612529407012673</v>
      </c>
      <c r="I153" s="18">
        <v>5.8754624877192985</v>
      </c>
      <c r="J153" s="18">
        <v>5.8299069344012198</v>
      </c>
      <c r="K153" s="18">
        <v>5.5605596659584746</v>
      </c>
      <c r="L153" s="18">
        <v>5.4834623492666097</v>
      </c>
      <c r="M153" s="18">
        <v>5.3809128637998134</v>
      </c>
      <c r="N153" s="18">
        <v>5.4411896237480217</v>
      </c>
      <c r="O153" s="18">
        <v>5.5927569591875876</v>
      </c>
      <c r="P153" s="18">
        <v>6.0133258208785936</v>
      </c>
      <c r="Q153" s="18">
        <v>5.5466329546943989</v>
      </c>
      <c r="R153" s="18">
        <v>5.7567191511985341</v>
      </c>
      <c r="S153" s="18">
        <v>5.0556551871872184</v>
      </c>
      <c r="T153" s="18">
        <v>5.0976487673139745</v>
      </c>
      <c r="U153" s="18">
        <v>5.5339852291499358</v>
      </c>
      <c r="V153" s="18">
        <v>5.4201489067830746</v>
      </c>
      <c r="W153" s="18">
        <v>5.3888715962214073</v>
      </c>
      <c r="X153" s="18">
        <v>5.4547386158840583</v>
      </c>
      <c r="Y153" s="18">
        <v>5.755762296714976</v>
      </c>
      <c r="Z153" s="18">
        <v>5.5590006058715593</v>
      </c>
      <c r="AA153" s="18">
        <v>5.4288781165573772</v>
      </c>
      <c r="AB153" s="18">
        <v>5.3716892149372617</v>
      </c>
      <c r="AC153" s="18">
        <v>5.4574328069378684</v>
      </c>
      <c r="AD153" s="19">
        <v>5.4857510702206129</v>
      </c>
      <c r="AE153" s="19">
        <v>5.4349013962089581</v>
      </c>
      <c r="AF153" s="19">
        <v>5.4249778343682786</v>
      </c>
      <c r="AG153" s="19">
        <v>5.8256723619297661</v>
      </c>
      <c r="AH153" s="19">
        <v>5.1098037648821517</v>
      </c>
      <c r="AI153" s="19">
        <v>5.2718413924177616</v>
      </c>
      <c r="AJ153" s="19">
        <v>6.1461667111111113</v>
      </c>
      <c r="AK153" s="19">
        <v>6.1987132666666662</v>
      </c>
      <c r="AL153" s="19">
        <v>6.0506686275229358</v>
      </c>
      <c r="AM153" s="19">
        <v>5.9347008836065571</v>
      </c>
      <c r="AN153" s="19">
        <v>5.6695307472993557</v>
      </c>
      <c r="AO153" s="19">
        <v>5.7179700704348475</v>
      </c>
      <c r="AP153" s="19">
        <v>5.8737215391273709</v>
      </c>
      <c r="AQ153" s="19">
        <v>5.3055754363939034</v>
      </c>
      <c r="AR153" s="19">
        <v>5.45417901952099</v>
      </c>
      <c r="AS153" s="19">
        <v>5.8315614812541492</v>
      </c>
      <c r="AT153" s="19">
        <v>5.3303033822510573</v>
      </c>
      <c r="AU153" s="19">
        <v>5.0519437236114806</v>
      </c>
      <c r="AV153" s="19">
        <v>3.231902215431627</v>
      </c>
      <c r="AW153" s="19">
        <v>3.5163316698412697</v>
      </c>
      <c r="AX153" s="19">
        <v>3.9935797180722892</v>
      </c>
      <c r="AY153" s="19">
        <v>4.0407987600000004</v>
      </c>
      <c r="AZ153" s="19">
        <v>3.8564821202898552</v>
      </c>
      <c r="BA153" s="19">
        <v>3.991925875229358</v>
      </c>
      <c r="BB153" s="19">
        <v>4.1479497524590165</v>
      </c>
      <c r="BC153" s="19">
        <v>4.0420899249298525</v>
      </c>
      <c r="BD153" s="19">
        <v>4.0505826785014225</v>
      </c>
      <c r="BE153" s="19">
        <v>4.0948455998154936</v>
      </c>
      <c r="BF153" s="19">
        <v>5.2530805304859038</v>
      </c>
      <c r="BG153" s="19">
        <v>5.4234305043944993</v>
      </c>
      <c r="BH153" s="19">
        <v>6.5514493969707264</v>
      </c>
      <c r="BI153" s="19">
        <v>6.761790614470331</v>
      </c>
      <c r="BJ153" s="19">
        <v>6.3558759043117394</v>
      </c>
      <c r="BK153" s="19">
        <v>5.5331212121212126</v>
      </c>
      <c r="BL153" s="19">
        <v>5.1255349530864196</v>
      </c>
      <c r="BM153" s="19">
        <v>5.05657681566265</v>
      </c>
      <c r="BN153" s="19">
        <v>5.0092297733333329</v>
      </c>
      <c r="BO153" s="19">
        <v>4.9297430014492756</v>
      </c>
      <c r="BP153" s="19">
        <v>4.7652756293577987</v>
      </c>
      <c r="BQ153" s="19">
        <v>4.6497926344262304</v>
      </c>
      <c r="BR153" s="19">
        <v>4.480931193366791</v>
      </c>
      <c r="BS153" s="19">
        <v>4.4167648718907282</v>
      </c>
      <c r="BT153" s="19">
        <v>4.6092093514614412</v>
      </c>
      <c r="BU153" s="19">
        <v>3.9704103686478169</v>
      </c>
      <c r="BV153" s="19">
        <v>3.9244045926039091</v>
      </c>
      <c r="BW153" s="19">
        <v>3.6736162328807747</v>
      </c>
      <c r="BX153" s="19">
        <v>3.8669392016401436</v>
      </c>
      <c r="BY153" s="19">
        <v>4.2880900488825331</v>
      </c>
      <c r="BZ153" s="19">
        <v>91.549958917445807</v>
      </c>
      <c r="CA153" s="19">
        <v>101.27252250354699</v>
      </c>
      <c r="CB153" s="19">
        <v>104.858803406007</v>
      </c>
      <c r="CC153" s="19">
        <v>116.32656409165899</v>
      </c>
      <c r="CD153" s="19">
        <v>122.08938358344101</v>
      </c>
      <c r="CE153" s="19">
        <v>130.06021926561155</v>
      </c>
      <c r="CF153" s="19">
        <v>137.6547482359934</v>
      </c>
      <c r="CG153" s="19">
        <v>147.84097234691748</v>
      </c>
      <c r="CH153" s="19">
        <v>155.06066935435834</v>
      </c>
      <c r="CI153" s="19">
        <v>159.79234747386343</v>
      </c>
      <c r="CJ153" s="19">
        <v>100.50879327508</v>
      </c>
      <c r="CK153" s="19">
        <v>105.92178344726599</v>
      </c>
      <c r="CL153" s="19">
        <v>113.73014831543</v>
      </c>
      <c r="CM153" s="19">
        <v>123.53435516357401</v>
      </c>
      <c r="CN153" s="19">
        <v>113.54323443842</v>
      </c>
      <c r="CO153" s="19">
        <v>118.571125780619</v>
      </c>
      <c r="CP153" s="19">
        <v>122.619487431377</v>
      </c>
      <c r="CQ153" s="19">
        <v>124.39525007823001</v>
      </c>
      <c r="CR153" s="19">
        <v>127.837746272269</v>
      </c>
      <c r="CS153" s="19">
        <v>130.37940523936601</v>
      </c>
      <c r="CT153" s="19">
        <v>135.11957603674011</v>
      </c>
      <c r="CU153" s="19">
        <v>135.92354835756601</v>
      </c>
      <c r="CV153" s="19">
        <v>140.29172456564203</v>
      </c>
      <c r="CW153" s="19">
        <v>138.74030723005899</v>
      </c>
      <c r="CX153" s="19">
        <v>142.31680658574788</v>
      </c>
      <c r="CY153" s="19">
        <v>6.3418738404452686</v>
      </c>
      <c r="CZ153" s="19">
        <v>6.5039492952380948</v>
      </c>
      <c r="DA153" s="19">
        <v>6.4084411361445781</v>
      </c>
      <c r="DB153" s="19">
        <v>6.2823975066666664</v>
      </c>
      <c r="DC153" s="19">
        <v>6.222880881159421</v>
      </c>
      <c r="DD153" s="19">
        <v>5.9037492568807348</v>
      </c>
      <c r="DE153" s="19">
        <v>5.8598194803278689</v>
      </c>
      <c r="DF153" s="19">
        <v>5.6920620897196263</v>
      </c>
      <c r="DG153" s="19">
        <v>5.9280580997467034</v>
      </c>
      <c r="DH153" s="19">
        <v>6.3236561446893411</v>
      </c>
      <c r="DI153" s="19">
        <v>5.3003541787752555</v>
      </c>
      <c r="DJ153" s="19">
        <v>6.3584373189028982</v>
      </c>
      <c r="DK153" s="19">
        <v>5.6789328164148642</v>
      </c>
      <c r="DL153" s="19">
        <v>5.266942493231765</v>
      </c>
      <c r="DM153" s="19">
        <v>6.893502244800727</v>
      </c>
      <c r="DN153" s="19">
        <v>6.0269230769230777</v>
      </c>
      <c r="DO153" s="19">
        <v>5.9656729925925926</v>
      </c>
      <c r="DP153" s="19">
        <v>6.1897670409638561</v>
      </c>
      <c r="DQ153" s="19">
        <v>6.4184448799999991</v>
      </c>
      <c r="DR153" s="19">
        <v>6.0901872246376811</v>
      </c>
      <c r="DS153" s="19">
        <v>5.7971914844036707</v>
      </c>
      <c r="DT153" s="19">
        <v>5.6952070352459021</v>
      </c>
      <c r="DU153" s="19">
        <v>5.6938979885005487</v>
      </c>
      <c r="DV153" s="19">
        <v>5.5616836401132437</v>
      </c>
      <c r="DW153" s="19">
        <v>5.5023515185371767</v>
      </c>
      <c r="DX153" s="19">
        <v>5.9715579811252644</v>
      </c>
      <c r="DY153" s="19">
        <v>4.701842070343706</v>
      </c>
      <c r="DZ153" s="19">
        <v>5.3689118851003892</v>
      </c>
      <c r="EA153" s="19">
        <v>5.1263800555238603</v>
      </c>
      <c r="EB153" s="19">
        <v>5.754027213821451</v>
      </c>
      <c r="EC153" s="19">
        <v>5.6541666666666668</v>
      </c>
      <c r="ED153" s="19">
        <v>5.6326818123456786</v>
      </c>
      <c r="EE153" s="19">
        <v>5.6945317879518074</v>
      </c>
      <c r="EF153" s="19">
        <v>5.7106693333333336</v>
      </c>
      <c r="EG153" s="19">
        <v>5.6597241608695654</v>
      </c>
      <c r="EH153" s="19">
        <v>5.5826032275229363</v>
      </c>
      <c r="EI153" s="19">
        <v>5.5232541803278687</v>
      </c>
      <c r="EJ153" s="19">
        <v>5.5022357628742249</v>
      </c>
      <c r="EK153" s="19">
        <v>5.3593100804549003</v>
      </c>
      <c r="EL153" s="19">
        <v>5.2927195892959347</v>
      </c>
      <c r="EM153" s="19">
        <v>4.8511040456661068</v>
      </c>
      <c r="EN153" s="19">
        <v>5.2386907253218151</v>
      </c>
      <c r="EO153" s="19">
        <v>5.2336907354204669</v>
      </c>
      <c r="EP153" s="19">
        <v>4.6623039006260782</v>
      </c>
      <c r="EQ153" s="19">
        <v>5.2748511564460303</v>
      </c>
      <c r="ER153" s="19"/>
      <c r="ES153" s="16">
        <f t="shared" si="10"/>
        <v>5.8299069344012198</v>
      </c>
      <c r="ET153" s="16">
        <f t="shared" si="10"/>
        <v>5.755762296714976</v>
      </c>
      <c r="EU153" s="16">
        <f t="shared" si="10"/>
        <v>6.1987132666666662</v>
      </c>
      <c r="EV153" s="16">
        <f t="shared" si="10"/>
        <v>3.8564821202898552</v>
      </c>
      <c r="EW153" s="16">
        <f t="shared" si="10"/>
        <v>4.9297430014492756</v>
      </c>
      <c r="EX153" s="16" t="str">
        <f t="shared" si="10"/>
        <v>.</v>
      </c>
      <c r="EY153" s="16">
        <f t="shared" si="10"/>
        <v>113.54323443842</v>
      </c>
      <c r="EZ153" s="16">
        <f t="shared" si="10"/>
        <v>6.222880881159421</v>
      </c>
      <c r="FA153" s="16">
        <f t="shared" si="10"/>
        <v>6.0901872246376811</v>
      </c>
      <c r="FB153" s="16">
        <f t="shared" si="10"/>
        <v>5.6597241608695654</v>
      </c>
    </row>
    <row r="154" spans="1:158" x14ac:dyDescent="0.25">
      <c r="A154" s="17">
        <v>151</v>
      </c>
      <c r="B154" s="17" t="s">
        <v>186</v>
      </c>
      <c r="C154" s="17" t="s">
        <v>186</v>
      </c>
      <c r="D154" s="17" t="s">
        <v>7</v>
      </c>
      <c r="E154" s="16">
        <v>1</v>
      </c>
      <c r="F154" s="18">
        <v>5.7999474399102553</v>
      </c>
      <c r="G154" s="18">
        <v>5.8143916462502014</v>
      </c>
      <c r="H154" s="18">
        <v>5.8068858553525633</v>
      </c>
      <c r="I154" s="18">
        <v>5.8135386280464676</v>
      </c>
      <c r="J154" s="18">
        <v>5.8214705733064713</v>
      </c>
      <c r="K154" s="18">
        <v>5.7856141395826857</v>
      </c>
      <c r="L154" s="18">
        <v>5.748586010877192</v>
      </c>
      <c r="M154" s="18">
        <v>5.7923198467621173</v>
      </c>
      <c r="N154" s="18">
        <v>5.7946296512408892</v>
      </c>
      <c r="O154" s="18">
        <v>5.8027924338060259</v>
      </c>
      <c r="P154" s="18">
        <v>5.5738812808442137</v>
      </c>
      <c r="Q154" s="18">
        <v>5.9223286986385588</v>
      </c>
      <c r="R154" s="18">
        <v>5.9978840175955517</v>
      </c>
      <c r="S154" s="18">
        <v>6.0082910633691258</v>
      </c>
      <c r="T154" s="18">
        <v>5.7647434982750578</v>
      </c>
      <c r="U154" s="18">
        <v>5.7390291536649665</v>
      </c>
      <c r="V154" s="18">
        <v>5.5356876532819745</v>
      </c>
      <c r="W154" s="18">
        <v>5.5559960985000005</v>
      </c>
      <c r="X154" s="18">
        <v>5.5993305976481746</v>
      </c>
      <c r="Y154" s="18">
        <v>5.766307763476874</v>
      </c>
      <c r="Z154" s="18">
        <v>5.7844105625246556</v>
      </c>
      <c r="AA154" s="18">
        <v>5.6992653466666665</v>
      </c>
      <c r="AB154" s="18">
        <v>5.6962538182089011</v>
      </c>
      <c r="AC154" s="18">
        <v>5.7642842829871261</v>
      </c>
      <c r="AD154" s="19">
        <v>5.8024469572534247</v>
      </c>
      <c r="AE154" s="19">
        <v>5.745280428187451</v>
      </c>
      <c r="AF154" s="19">
        <v>5.4439312295058926</v>
      </c>
      <c r="AG154" s="19">
        <v>6.1333788248085952</v>
      </c>
      <c r="AH154" s="19">
        <v>5.6671661799639494</v>
      </c>
      <c r="AI154" s="19">
        <v>5.7007420555864314</v>
      </c>
      <c r="AJ154" s="19">
        <v>5.9558339334834836</v>
      </c>
      <c r="AK154" s="19">
        <v>6.0018081041467299</v>
      </c>
      <c r="AL154" s="19">
        <v>5.9403652745562141</v>
      </c>
      <c r="AM154" s="19">
        <v>5.7809170688888889</v>
      </c>
      <c r="AN154" s="19">
        <v>5.8153507926857699</v>
      </c>
      <c r="AO154" s="19">
        <v>5.9195854919238409</v>
      </c>
      <c r="AP154" s="19">
        <v>5.9628313264312292</v>
      </c>
      <c r="AQ154" s="19">
        <v>6.1501121258234832</v>
      </c>
      <c r="AR154" s="19">
        <v>5.6667907057541154</v>
      </c>
      <c r="AS154" s="19">
        <v>6.209394206763692</v>
      </c>
      <c r="AT154" s="19">
        <v>6.0911725239903936</v>
      </c>
      <c r="AU154" s="19">
        <v>5.225734382781404</v>
      </c>
      <c r="AV154" s="19">
        <v>4.2804297979619212</v>
      </c>
      <c r="AW154" s="19">
        <v>4.450422611695906</v>
      </c>
      <c r="AX154" s="19">
        <v>4.2759518024999998</v>
      </c>
      <c r="AY154" s="19">
        <v>4.2084115531531534</v>
      </c>
      <c r="AZ154" s="19">
        <v>4.1363970382775115</v>
      </c>
      <c r="BA154" s="19">
        <v>4.2917224165680476</v>
      </c>
      <c r="BB154" s="19">
        <v>4.2293610199999998</v>
      </c>
      <c r="BC154" s="19">
        <v>4.2095758084230415</v>
      </c>
      <c r="BD154" s="19">
        <v>4.520114851998283</v>
      </c>
      <c r="BE154" s="19">
        <v>4.8218127993355813</v>
      </c>
      <c r="BF154" s="19">
        <v>5.4291788231825358</v>
      </c>
      <c r="BG154" s="19">
        <v>6.2943902384436274</v>
      </c>
      <c r="BH154" s="19">
        <v>5.5245701571517971</v>
      </c>
      <c r="BI154" s="19">
        <v>6.5008102464806825</v>
      </c>
      <c r="BJ154" s="19">
        <v>5.7998596862677063</v>
      </c>
      <c r="BK154" s="19">
        <v>5.7161064612354835</v>
      </c>
      <c r="BL154" s="19">
        <v>5.3557622745215312</v>
      </c>
      <c r="BM154" s="19">
        <v>5.2382772650000007</v>
      </c>
      <c r="BN154" s="19">
        <v>5.2089752968468472</v>
      </c>
      <c r="BO154" s="19">
        <v>5.1986904569377987</v>
      </c>
      <c r="BP154" s="19">
        <v>5.2248412923076923</v>
      </c>
      <c r="BQ154" s="19">
        <v>5.075740699999999</v>
      </c>
      <c r="BR154" s="19">
        <v>4.9903705452281528</v>
      </c>
      <c r="BS154" s="19">
        <v>4.8816091540810111</v>
      </c>
      <c r="BT154" s="19">
        <v>4.9622519898203628</v>
      </c>
      <c r="BU154" s="19">
        <v>5.1858129179266301</v>
      </c>
      <c r="BV154" s="19">
        <v>5.1403407702160679</v>
      </c>
      <c r="BW154" s="19">
        <v>4.4340943371187134</v>
      </c>
      <c r="BX154" s="19">
        <v>4.443025359948007</v>
      </c>
      <c r="BY154" s="19">
        <v>5.2008043055643016</v>
      </c>
      <c r="BZ154" s="19">
        <v>36.0748874597653</v>
      </c>
      <c r="CA154" s="19">
        <v>41.4031611481632</v>
      </c>
      <c r="CB154" s="19">
        <v>44.306065748078701</v>
      </c>
      <c r="CC154" s="19">
        <v>76.612891363165204</v>
      </c>
      <c r="CD154" s="19">
        <v>97.613553742682299</v>
      </c>
      <c r="CE154" s="19">
        <v>107.09417131615854</v>
      </c>
      <c r="CF154" s="19">
        <v>122.27238795018006</v>
      </c>
      <c r="CG154" s="19">
        <v>138.66635146537993</v>
      </c>
      <c r="CH154" s="19">
        <v>150.30458501804154</v>
      </c>
      <c r="CI154" s="19">
        <v>167.93725031000619</v>
      </c>
      <c r="CJ154" s="19">
        <v>91.596300763972707</v>
      </c>
      <c r="CK154" s="19">
        <v>99.041793823242202</v>
      </c>
      <c r="CL154" s="19">
        <v>116.877792358398</v>
      </c>
      <c r="CM154" s="19">
        <v>122.29670715332</v>
      </c>
      <c r="CN154" s="19">
        <v>123.624828719268</v>
      </c>
      <c r="CO154" s="19">
        <v>130.06236293592701</v>
      </c>
      <c r="CP154" s="19">
        <v>135.252050471514</v>
      </c>
      <c r="CQ154" s="19">
        <v>133.79826000364201</v>
      </c>
      <c r="CR154" s="19">
        <v>140.53868791658999</v>
      </c>
      <c r="CS154" s="19">
        <v>142.01424754903999</v>
      </c>
      <c r="CT154" s="19">
        <v>156.32072736047533</v>
      </c>
      <c r="CU154" s="19">
        <v>156.15058587334974</v>
      </c>
      <c r="CV154" s="19">
        <v>163.51692806889267</v>
      </c>
      <c r="CW154" s="19">
        <v>167.60430325232872</v>
      </c>
      <c r="CX154" s="19">
        <v>173.98482778729371</v>
      </c>
      <c r="CY154" s="19">
        <v>6.5773788048689319</v>
      </c>
      <c r="CZ154" s="19">
        <v>6.66159613247269</v>
      </c>
      <c r="DA154" s="19">
        <v>6.5493016475000001</v>
      </c>
      <c r="DB154" s="19">
        <v>6.4144830108108106</v>
      </c>
      <c r="DC154" s="19">
        <v>6.4424428038277508</v>
      </c>
      <c r="DD154" s="19">
        <v>6.4392822071005913</v>
      </c>
      <c r="DE154" s="19">
        <v>6.2416865733333324</v>
      </c>
      <c r="DF154" s="19">
        <v>6.2361614612573408</v>
      </c>
      <c r="DG154" s="19">
        <v>6.3343437044770567</v>
      </c>
      <c r="DH154" s="19">
        <v>6.491526937062762</v>
      </c>
      <c r="DI154" s="19">
        <v>6.1677110048568569</v>
      </c>
      <c r="DJ154" s="19">
        <v>6.4345956161881812</v>
      </c>
      <c r="DK154" s="19">
        <v>6.0694087987117822</v>
      </c>
      <c r="DL154" s="19">
        <v>5.9874103082272452</v>
      </c>
      <c r="DM154" s="19">
        <v>6.2741514290076639</v>
      </c>
      <c r="DN154" s="19">
        <v>6.7117368510062576</v>
      </c>
      <c r="DO154" s="19">
        <v>6.7585440685672511</v>
      </c>
      <c r="DP154" s="19">
        <v>6.7720962800000004</v>
      </c>
      <c r="DQ154" s="19">
        <v>6.7631037500000009</v>
      </c>
      <c r="DR154" s="19">
        <v>6.6928400143540667</v>
      </c>
      <c r="DS154" s="19">
        <v>6.6359019964497046</v>
      </c>
      <c r="DT154" s="19">
        <v>6.6067039899999997</v>
      </c>
      <c r="DU154" s="19">
        <v>6.6063062237624059</v>
      </c>
      <c r="DV154" s="19">
        <v>6.4724359599026764</v>
      </c>
      <c r="DW154" s="19">
        <v>6.5047269542660331</v>
      </c>
      <c r="DX154" s="19">
        <v>6.473164306650756</v>
      </c>
      <c r="DY154" s="19">
        <v>6.4493646911553482</v>
      </c>
      <c r="DZ154" s="19">
        <v>6.4537879008050369</v>
      </c>
      <c r="EA154" s="19">
        <v>6.5322467766801315</v>
      </c>
      <c r="EB154" s="19">
        <v>6.7095129425392317</v>
      </c>
      <c r="EC154" s="19">
        <v>6.6098702504139482</v>
      </c>
      <c r="ED154" s="19">
        <v>6.6612969852339177</v>
      </c>
      <c r="EE154" s="19">
        <v>6.5341310674999997</v>
      </c>
      <c r="EF154" s="19">
        <v>6.4656330954954946</v>
      </c>
      <c r="EG154" s="19">
        <v>6.4378351516746406</v>
      </c>
      <c r="EH154" s="19">
        <v>6.3629850615384616</v>
      </c>
      <c r="EI154" s="19">
        <v>6.2139492599999997</v>
      </c>
      <c r="EJ154" s="19">
        <v>5.9968193567038846</v>
      </c>
      <c r="EK154" s="19">
        <v>5.8594277131807555</v>
      </c>
      <c r="EL154" s="19">
        <v>6.020692864139523</v>
      </c>
      <c r="EM154" s="19">
        <v>5.3014991120008643</v>
      </c>
      <c r="EN154" s="19">
        <v>5.2239008830794882</v>
      </c>
      <c r="EO154" s="19">
        <v>5.3253206511723539</v>
      </c>
      <c r="EP154" s="19">
        <v>5.2370673487948105</v>
      </c>
      <c r="EQ154" s="19">
        <v>5.594330396222575</v>
      </c>
      <c r="ER154" s="19"/>
      <c r="ES154" s="16">
        <f t="shared" si="10"/>
        <v>5.8214705733064713</v>
      </c>
      <c r="ET154" s="16">
        <f t="shared" si="10"/>
        <v>5.766307763476874</v>
      </c>
      <c r="EU154" s="16">
        <f t="shared" si="10"/>
        <v>6.0018081041467299</v>
      </c>
      <c r="EV154" s="16">
        <f t="shared" si="10"/>
        <v>4.1363970382775115</v>
      </c>
      <c r="EW154" s="16">
        <f t="shared" si="10"/>
        <v>5.1986904569377987</v>
      </c>
      <c r="EX154" s="16" t="str">
        <f t="shared" si="10"/>
        <v>.</v>
      </c>
      <c r="EY154" s="16">
        <f t="shared" si="10"/>
        <v>123.624828719268</v>
      </c>
      <c r="EZ154" s="16">
        <f t="shared" si="10"/>
        <v>6.4424428038277508</v>
      </c>
      <c r="FA154" s="16">
        <f t="shared" si="10"/>
        <v>6.6928400143540667</v>
      </c>
      <c r="FB154" s="16">
        <f t="shared" si="10"/>
        <v>6.4378351516746406</v>
      </c>
    </row>
    <row r="155" spans="1:158" x14ac:dyDescent="0.25">
      <c r="A155" s="17">
        <v>152</v>
      </c>
      <c r="B155" s="17" t="s">
        <v>187</v>
      </c>
      <c r="C155" s="17" t="s">
        <v>187</v>
      </c>
      <c r="D155" s="17" t="s">
        <v>9</v>
      </c>
      <c r="E155" s="16">
        <v>1</v>
      </c>
      <c r="F155" s="18">
        <v>4.0023312958508717</v>
      </c>
      <c r="G155" s="18">
        <v>3.9380503633515214</v>
      </c>
      <c r="H155" s="18">
        <v>3.6411440863769822</v>
      </c>
      <c r="I155" s="18">
        <v>3.4507468371752168</v>
      </c>
      <c r="J155" s="18">
        <v>3.5659697669978518</v>
      </c>
      <c r="K155" s="18">
        <v>3.5886216860034446</v>
      </c>
      <c r="L155" s="18">
        <v>3.4925292081136261</v>
      </c>
      <c r="M155" s="18">
        <v>3.8119881614949107</v>
      </c>
      <c r="N155" s="18">
        <v>3.6467764355212116</v>
      </c>
      <c r="O155" s="18">
        <v>3.1354911839333068</v>
      </c>
      <c r="P155" s="18">
        <v>3.3877958605502001</v>
      </c>
      <c r="Q155" s="18">
        <v>3.597660783835452</v>
      </c>
      <c r="R155" s="18">
        <v>3.6383235997953851</v>
      </c>
      <c r="S155" s="18">
        <v>4.1782845787833613</v>
      </c>
      <c r="T155" s="18">
        <v>3.6720444667768568</v>
      </c>
      <c r="U155" s="18">
        <v>2.8813463486647208</v>
      </c>
      <c r="V155" s="18">
        <v>2.9717548143373165</v>
      </c>
      <c r="W155" s="18">
        <v>2.7050687477862589</v>
      </c>
      <c r="X155" s="18">
        <v>2.4924653286075946</v>
      </c>
      <c r="Y155" s="18">
        <v>2.5488754563605442</v>
      </c>
      <c r="Z155" s="18">
        <v>3.0725948957382729</v>
      </c>
      <c r="AA155" s="18">
        <v>2.6053493419568774</v>
      </c>
      <c r="AB155" s="18">
        <v>2.4126900467311598</v>
      </c>
      <c r="AC155" s="18">
        <v>2.9950674899222305</v>
      </c>
      <c r="AD155" s="19">
        <v>3.2521959719170042</v>
      </c>
      <c r="AE155" s="19">
        <v>3.4195677154831339</v>
      </c>
      <c r="AF155" s="19">
        <v>2.6729139989771049</v>
      </c>
      <c r="AG155" s="19">
        <v>2.3660139358336556</v>
      </c>
      <c r="AH155" s="19">
        <v>2.2790363538904335</v>
      </c>
      <c r="AI155" s="19">
        <v>2.7432195916336144</v>
      </c>
      <c r="AJ155" s="19">
        <v>4.1665274784810125</v>
      </c>
      <c r="AK155" s="19">
        <v>4.3097222433673474</v>
      </c>
      <c r="AL155" s="19">
        <v>4.3402200870391141</v>
      </c>
      <c r="AM155" s="19">
        <v>4.5345913225469108</v>
      </c>
      <c r="AN155" s="19">
        <v>4.133572391527518</v>
      </c>
      <c r="AO155" s="19">
        <v>4.8238293320626386</v>
      </c>
      <c r="AP155" s="19">
        <v>4.3819824320919629</v>
      </c>
      <c r="AQ155" s="19">
        <v>5.403345655687473</v>
      </c>
      <c r="AR155" s="19">
        <v>5.5986165434891486</v>
      </c>
      <c r="AS155" s="19">
        <v>4.1429975979593658</v>
      </c>
      <c r="AT155" s="19">
        <v>4.6146841571217294</v>
      </c>
      <c r="AU155" s="19">
        <v>4.6740579109250548</v>
      </c>
      <c r="AV155" s="19">
        <v>2.9583333333333335</v>
      </c>
      <c r="AW155" s="19">
        <v>3.3033372597701147</v>
      </c>
      <c r="AX155" s="19">
        <v>2.8829949740458019</v>
      </c>
      <c r="AY155" s="19">
        <v>2.3315967417721519</v>
      </c>
      <c r="AZ155" s="19">
        <v>2.4786723617346942</v>
      </c>
      <c r="BA155" s="19">
        <v>2.8512426169093521</v>
      </c>
      <c r="BB155" s="19">
        <v>2.7240374857440903</v>
      </c>
      <c r="BC155" s="19">
        <v>3.2362955710793258</v>
      </c>
      <c r="BD155" s="19">
        <v>2.9096918089433816</v>
      </c>
      <c r="BE155" s="19">
        <v>3.1325885492883261</v>
      </c>
      <c r="BF155" s="19">
        <v>4.2372294799172989</v>
      </c>
      <c r="BG155" s="19">
        <v>5.7207653865553727</v>
      </c>
      <c r="BH155" s="19">
        <v>5.4695207728484627</v>
      </c>
      <c r="BI155" s="19">
        <v>6.3358317228559944</v>
      </c>
      <c r="BJ155" s="19">
        <v>5.0611152135964534</v>
      </c>
      <c r="BK155" s="19">
        <v>2.6526315789473682</v>
      </c>
      <c r="BL155" s="19">
        <v>2.8305919252268605</v>
      </c>
      <c r="BM155" s="19">
        <v>2.7002244137404583</v>
      </c>
      <c r="BN155" s="19">
        <v>2.5488788886075948</v>
      </c>
      <c r="BO155" s="19">
        <v>2.7887030142857143</v>
      </c>
      <c r="BP155" s="19">
        <v>3.1903632825188333</v>
      </c>
      <c r="BQ155" s="19">
        <v>3.0828545227787032</v>
      </c>
      <c r="BR155" s="19">
        <v>2.9567489378419372</v>
      </c>
      <c r="BS155" s="19">
        <v>2.745968095526222</v>
      </c>
      <c r="BT155" s="19">
        <v>2.6753722375025477</v>
      </c>
      <c r="BU155" s="19">
        <v>2.9159991523000883</v>
      </c>
      <c r="BV155" s="19">
        <v>3.1688554943048328</v>
      </c>
      <c r="BW155" s="19">
        <v>3.1361248873972865</v>
      </c>
      <c r="BX155" s="19">
        <v>2.4550089517252696</v>
      </c>
      <c r="BY155" s="19">
        <v>2.2047350974411253</v>
      </c>
      <c r="BZ155" s="19">
        <v>3.9806072548076736</v>
      </c>
      <c r="CA155" s="19">
        <v>3.6159967235338626</v>
      </c>
      <c r="CB155" s="19">
        <v>2.8813393291938141</v>
      </c>
      <c r="CC155" s="19">
        <v>64.638639774152338</v>
      </c>
      <c r="CD155" s="19">
        <v>67.05205583747022</v>
      </c>
      <c r="CE155" s="19">
        <v>93.676930640165338</v>
      </c>
      <c r="CF155" s="19">
        <v>103.50419024573617</v>
      </c>
      <c r="CG155" s="19">
        <v>114.75444344686861</v>
      </c>
      <c r="CH155" s="19">
        <v>134.68105785518202</v>
      </c>
      <c r="CI155" s="19">
        <v>156.1396019051133</v>
      </c>
      <c r="CJ155" s="19">
        <v>15.490443184205001</v>
      </c>
      <c r="CK155" s="19">
        <v>23.959123611450199</v>
      </c>
      <c r="CL155" s="19">
        <v>34.509952545166001</v>
      </c>
      <c r="CM155" s="19">
        <v>44.266372680664098</v>
      </c>
      <c r="CN155" s="19">
        <v>57.304579785627098</v>
      </c>
      <c r="CO155" s="19">
        <v>61.28</v>
      </c>
      <c r="CP155" s="19">
        <v>37.57</v>
      </c>
      <c r="CQ155" s="19">
        <v>90.86</v>
      </c>
      <c r="CR155" s="19">
        <v>72.64</v>
      </c>
      <c r="CS155" s="19">
        <v>66.66</v>
      </c>
      <c r="CT155" s="19">
        <v>90.833025475613141</v>
      </c>
      <c r="CU155" s="19">
        <v>98.048287749772385</v>
      </c>
      <c r="CV155" s="19">
        <v>96.232125444825755</v>
      </c>
      <c r="CW155" s="19">
        <v>110.25279693114183</v>
      </c>
      <c r="CX155" s="19">
        <v>112.69795897326389</v>
      </c>
      <c r="CY155" s="19">
        <v>5.5473684210526315</v>
      </c>
      <c r="CZ155" s="19">
        <v>5.6115757713248637</v>
      </c>
      <c r="DA155" s="19">
        <v>5.0019788625954202</v>
      </c>
      <c r="DB155" s="19">
        <v>4.4339537949367092</v>
      </c>
      <c r="DC155" s="19">
        <v>4.6788723377551023</v>
      </c>
      <c r="DD155" s="19">
        <v>4.5526259504279931</v>
      </c>
      <c r="DE155" s="19">
        <v>4.3692098327116557</v>
      </c>
      <c r="DF155" s="19">
        <v>4.5658372677267653</v>
      </c>
      <c r="DG155" s="19">
        <v>4.2077343709241335</v>
      </c>
      <c r="DH155" s="19">
        <v>4.2679124334686369</v>
      </c>
      <c r="DI155" s="19">
        <v>3.4536053480996851</v>
      </c>
      <c r="DJ155" s="19">
        <v>3.3815296570011424</v>
      </c>
      <c r="DK155" s="19">
        <v>4.2627431493863419</v>
      </c>
      <c r="DL155" s="19">
        <v>3.6130829796359296</v>
      </c>
      <c r="DM155" s="19">
        <v>2.5779849401874659</v>
      </c>
      <c r="DN155" s="19">
        <v>3.3333333333333335</v>
      </c>
      <c r="DO155" s="19">
        <v>3.4957444321839084</v>
      </c>
      <c r="DP155" s="19">
        <v>3.6033368549618321</v>
      </c>
      <c r="DQ155" s="19">
        <v>3.6007919898734171</v>
      </c>
      <c r="DR155" s="19">
        <v>4.0617440081632656</v>
      </c>
      <c r="DS155" s="19">
        <v>4.4111367299716591</v>
      </c>
      <c r="DT155" s="19">
        <v>4.2267181638325848</v>
      </c>
      <c r="DU155" s="19">
        <v>3.5921661404797556</v>
      </c>
      <c r="DV155" s="19">
        <v>3.8809467967747375</v>
      </c>
      <c r="DW155" s="19">
        <v>3.1817792412152994</v>
      </c>
      <c r="DX155" s="19">
        <v>4.2152455978607497</v>
      </c>
      <c r="DY155" s="19">
        <v>4.3847122905064024</v>
      </c>
      <c r="DZ155" s="19">
        <v>2.582525835245046</v>
      </c>
      <c r="EA155" s="19">
        <v>3.9875441879424312</v>
      </c>
      <c r="EB155" s="19">
        <v>4.2770993859028144</v>
      </c>
      <c r="EC155" s="19">
        <v>3.3020833333333335</v>
      </c>
      <c r="ED155" s="19">
        <v>3.5856565701149425</v>
      </c>
      <c r="EE155" s="19">
        <v>3.601535848854962</v>
      </c>
      <c r="EF155" s="19">
        <v>3.4565541544303793</v>
      </c>
      <c r="EG155" s="19">
        <v>3.9469984770408164</v>
      </c>
      <c r="EH155" s="19">
        <v>4.2383818476731676</v>
      </c>
      <c r="EI155" s="19">
        <v>4.0895726923836673</v>
      </c>
      <c r="EJ155" s="19">
        <v>4.0968339466089843</v>
      </c>
      <c r="EK155" s="19">
        <v>4.4094668240450927</v>
      </c>
      <c r="EL155" s="19">
        <v>3.4099618233438176</v>
      </c>
      <c r="EM155" s="19">
        <v>4.2338950115214518</v>
      </c>
      <c r="EN155" s="19">
        <v>4.2157499494819781</v>
      </c>
      <c r="EO155" s="19">
        <v>4.5640785570362841</v>
      </c>
      <c r="EP155" s="19">
        <v>4.4522303531993188</v>
      </c>
      <c r="EQ155" s="19">
        <v>4.7665372310728671</v>
      </c>
      <c r="ER155" s="19"/>
      <c r="ES155" s="16">
        <f t="shared" si="10"/>
        <v>3.5659697669978518</v>
      </c>
      <c r="ET155" s="16">
        <f t="shared" si="10"/>
        <v>2.5488754563605442</v>
      </c>
      <c r="EU155" s="16">
        <f t="shared" si="10"/>
        <v>4.3097222433673474</v>
      </c>
      <c r="EV155" s="16">
        <f t="shared" si="10"/>
        <v>2.4786723617346942</v>
      </c>
      <c r="EW155" s="16">
        <f t="shared" si="10"/>
        <v>2.7887030142857143</v>
      </c>
      <c r="EX155" s="16" t="str">
        <f t="shared" si="10"/>
        <v>.</v>
      </c>
      <c r="EY155" s="16">
        <f t="shared" si="10"/>
        <v>57.304579785627098</v>
      </c>
      <c r="EZ155" s="16">
        <f t="shared" si="10"/>
        <v>4.6788723377551023</v>
      </c>
      <c r="FA155" s="16">
        <f t="shared" si="10"/>
        <v>4.0617440081632656</v>
      </c>
      <c r="FB155" s="16">
        <f t="shared" si="10"/>
        <v>3.9469984770408164</v>
      </c>
    </row>
    <row r="156" spans="1:158" x14ac:dyDescent="0.25">
      <c r="A156" s="17">
        <v>153</v>
      </c>
      <c r="B156" s="17" t="s">
        <v>188</v>
      </c>
      <c r="C156" s="17" t="s">
        <v>188</v>
      </c>
      <c r="D156" s="17" t="s">
        <v>25</v>
      </c>
      <c r="E156" s="16">
        <v>1</v>
      </c>
      <c r="F156" s="18">
        <v>3.1803267994460329</v>
      </c>
      <c r="G156" s="18">
        <v>3.3475174865157253</v>
      </c>
      <c r="H156" s="18">
        <v>3.2486037134615389</v>
      </c>
      <c r="I156" s="18">
        <v>3.1337013587763831</v>
      </c>
      <c r="J156" s="18">
        <v>3.3789254316318433</v>
      </c>
      <c r="K156" s="18">
        <v>3.7094095890749603</v>
      </c>
      <c r="L156" s="18">
        <v>3.7530191768481704</v>
      </c>
      <c r="M156" s="18">
        <v>3.8344094753265381</v>
      </c>
      <c r="N156" s="18">
        <v>3.8036991574927761</v>
      </c>
      <c r="O156" s="18">
        <v>3.8387966732903007</v>
      </c>
      <c r="P156" s="18">
        <v>4.4409923952851376</v>
      </c>
      <c r="Q156" s="18">
        <v>4.5547883460421685</v>
      </c>
      <c r="R156" s="18">
        <v>4.4021476370942194</v>
      </c>
      <c r="S156" s="18">
        <v>3.8747198276778549</v>
      </c>
      <c r="T156" s="18">
        <v>4.528928345897425</v>
      </c>
      <c r="U156" s="18">
        <v>2.8173868080281013</v>
      </c>
      <c r="V156" s="18">
        <v>2.9698208111309166</v>
      </c>
      <c r="W156" s="18">
        <v>2.8713618733333335</v>
      </c>
      <c r="X156" s="18">
        <v>2.7891354156683592</v>
      </c>
      <c r="Y156" s="18">
        <v>3.0101496704187602</v>
      </c>
      <c r="Z156" s="18">
        <v>3.2189328598989904</v>
      </c>
      <c r="AA156" s="18">
        <v>3.2383589398176502</v>
      </c>
      <c r="AB156" s="18">
        <v>3.1705325762430827</v>
      </c>
      <c r="AC156" s="18">
        <v>3.3219570415991324</v>
      </c>
      <c r="AD156" s="19">
        <v>3.5765155570209028</v>
      </c>
      <c r="AE156" s="19">
        <v>3.4551950161426861</v>
      </c>
      <c r="AF156" s="19">
        <v>4.1299788960027568</v>
      </c>
      <c r="AG156" s="19">
        <v>3.411873084345145</v>
      </c>
      <c r="AH156" s="19">
        <v>3.9888186648956192</v>
      </c>
      <c r="AI156" s="19">
        <v>4.1590070889283108</v>
      </c>
      <c r="AJ156" s="19">
        <v>3.9894093307952621</v>
      </c>
      <c r="AK156" s="19">
        <v>4.1687238680067003</v>
      </c>
      <c r="AL156" s="19">
        <v>4.4556806422558921</v>
      </c>
      <c r="AM156" s="19">
        <v>4.3340329708524576</v>
      </c>
      <c r="AN156" s="19">
        <v>4.0991978645324707</v>
      </c>
      <c r="AO156" s="19">
        <v>4.1412215204752654</v>
      </c>
      <c r="AP156" s="19">
        <v>4.1204837458001249</v>
      </c>
      <c r="AQ156" s="19">
        <v>3.2950604430651524</v>
      </c>
      <c r="AR156" s="19">
        <v>3.7865713435173025</v>
      </c>
      <c r="AS156" s="19">
        <v>4.8014276558357372</v>
      </c>
      <c r="AT156" s="19">
        <v>4.0198329839790992</v>
      </c>
      <c r="AU156" s="19">
        <v>4.3226563069887272</v>
      </c>
      <c r="AV156" s="19">
        <v>2.5650410514817299</v>
      </c>
      <c r="AW156" s="19">
        <v>2.7980439791332588</v>
      </c>
      <c r="AX156" s="19">
        <v>3.3100871500000002</v>
      </c>
      <c r="AY156" s="19">
        <v>3.5903112233502537</v>
      </c>
      <c r="AZ156" s="19">
        <v>3.9080579537688442</v>
      </c>
      <c r="BA156" s="19">
        <v>4.2032908106060605</v>
      </c>
      <c r="BB156" s="19">
        <v>4.1094123393920352</v>
      </c>
      <c r="BC156" s="19">
        <v>4.0543479919433594</v>
      </c>
      <c r="BD156" s="19">
        <v>4.1795963694350888</v>
      </c>
      <c r="BE156" s="19">
        <v>4.4793066938718162</v>
      </c>
      <c r="BF156" s="19">
        <v>5.6058305538098638</v>
      </c>
      <c r="BG156" s="19">
        <v>3.9147531689998907</v>
      </c>
      <c r="BH156" s="19">
        <v>4.1735201023231649</v>
      </c>
      <c r="BI156" s="19">
        <v>4.7478806235564877</v>
      </c>
      <c r="BJ156" s="19">
        <v>4.4738602157234437</v>
      </c>
      <c r="BK156" s="19">
        <v>2.8276476246625504</v>
      </c>
      <c r="BL156" s="19">
        <v>2.8417013276968452</v>
      </c>
      <c r="BM156" s="19">
        <v>3.0892382000000005</v>
      </c>
      <c r="BN156" s="19">
        <v>3.0040828335025385</v>
      </c>
      <c r="BO156" s="19">
        <v>3.3136880201005026</v>
      </c>
      <c r="BP156" s="19">
        <v>3.7776936838383834</v>
      </c>
      <c r="BQ156" s="19">
        <v>3.8655180624071872</v>
      </c>
      <c r="BR156" s="19">
        <v>3.6288659572601318</v>
      </c>
      <c r="BS156" s="19">
        <v>3.734954967161622</v>
      </c>
      <c r="BT156" s="19">
        <v>4.0110701328764362</v>
      </c>
      <c r="BU156" s="19">
        <v>4.6069299045677807</v>
      </c>
      <c r="BV156" s="19">
        <v>4.0080237907505527</v>
      </c>
      <c r="BW156" s="19">
        <v>4.4141811555468111</v>
      </c>
      <c r="BX156" s="19">
        <v>4.7067745390378013</v>
      </c>
      <c r="BY156" s="19">
        <v>5.6045202763342523</v>
      </c>
      <c r="BZ156" s="19">
        <v>1</v>
      </c>
      <c r="CA156" s="19">
        <v>8.564638685291623</v>
      </c>
      <c r="CB156" s="19">
        <v>114.61411845249035</v>
      </c>
      <c r="CC156" s="19">
        <v>9.5124871164011395</v>
      </c>
      <c r="CD156" s="19">
        <v>12.0784392426633</v>
      </c>
      <c r="CE156" s="19">
        <v>40.643779561798183</v>
      </c>
      <c r="CF156" s="19">
        <v>26.056366880018437</v>
      </c>
      <c r="CG156" s="19">
        <v>29.744976484751735</v>
      </c>
      <c r="CH156" s="19">
        <v>42.975318772018653</v>
      </c>
      <c r="CI156" s="19">
        <v>35.921132672262594</v>
      </c>
      <c r="CJ156" s="19">
        <v>4.07253726755801</v>
      </c>
      <c r="CK156" s="19">
        <v>4.0725374221801802</v>
      </c>
      <c r="CL156" s="19">
        <v>34.887195587158203</v>
      </c>
      <c r="CM156" s="19">
        <v>70.481056213378906</v>
      </c>
      <c r="CN156" s="19">
        <v>86.366557793353493</v>
      </c>
      <c r="CO156" s="19">
        <v>90.641222148678594</v>
      </c>
      <c r="CP156" s="19">
        <v>91.83</v>
      </c>
      <c r="CQ156" s="19">
        <v>91.828124204266302</v>
      </c>
      <c r="CR156" s="19">
        <v>95.126060373552093</v>
      </c>
      <c r="CS156" s="19">
        <v>98.590260318239004</v>
      </c>
      <c r="CT156" s="19">
        <v>123.74120258264475</v>
      </c>
      <c r="CU156" s="19">
        <v>142.05902874898629</v>
      </c>
      <c r="CV156" s="19">
        <v>152.20705833629574</v>
      </c>
      <c r="CW156" s="19">
        <v>157.01511089760615</v>
      </c>
      <c r="CX156" s="19">
        <v>168.54132270732697</v>
      </c>
      <c r="CY156" s="19">
        <v>4.2107041251778092</v>
      </c>
      <c r="CZ156" s="19">
        <v>4.1182791928143718</v>
      </c>
      <c r="DA156" s="19">
        <v>3.7814924000000003</v>
      </c>
      <c r="DB156" s="19">
        <v>3.672355269035533</v>
      </c>
      <c r="DC156" s="19">
        <v>3.7772326030150754</v>
      </c>
      <c r="DD156" s="19">
        <v>3.8086469040404038</v>
      </c>
      <c r="DE156" s="19">
        <v>3.8444758828364671</v>
      </c>
      <c r="DF156" s="19">
        <v>3.8526315689086914</v>
      </c>
      <c r="DG156" s="19">
        <v>4.2008527440254131</v>
      </c>
      <c r="DH156" s="19">
        <v>4.4541272831459846</v>
      </c>
      <c r="DI156" s="19">
        <v>4.1199185801813529</v>
      </c>
      <c r="DJ156" s="19">
        <v>3.3127682076231646</v>
      </c>
      <c r="DK156" s="19">
        <v>4.2996872675899604</v>
      </c>
      <c r="DL156" s="19">
        <v>3.6124723174699014</v>
      </c>
      <c r="DM156" s="19">
        <v>3.8950872971200621</v>
      </c>
      <c r="DN156" s="19">
        <v>2.8645608108108109</v>
      </c>
      <c r="DO156" s="19">
        <v>3.2033929089820363</v>
      </c>
      <c r="DP156" s="19">
        <v>3.2001737000000006</v>
      </c>
      <c r="DQ156" s="19">
        <v>3.6283987426395941</v>
      </c>
      <c r="DR156" s="19">
        <v>3.818651309547739</v>
      </c>
      <c r="DS156" s="19">
        <v>3.7477651580808082</v>
      </c>
      <c r="DT156" s="19">
        <v>3.5168108856307985</v>
      </c>
      <c r="DU156" s="19">
        <v>3.4255318641662598</v>
      </c>
      <c r="DV156" s="19">
        <v>3.7610423247019451</v>
      </c>
      <c r="DW156" s="19">
        <v>4.1732142336666582</v>
      </c>
      <c r="DX156" s="19">
        <v>4.0140754415775799</v>
      </c>
      <c r="DY156" s="19">
        <v>4.1317187547172116</v>
      </c>
      <c r="DZ156" s="19">
        <v>4.6217575742014549</v>
      </c>
      <c r="EA156" s="19">
        <v>4.6493030762024077</v>
      </c>
      <c r="EB156" s="19">
        <v>3.4254591361692928</v>
      </c>
      <c r="EC156" s="19">
        <v>2.2564441306978624</v>
      </c>
      <c r="ED156" s="19">
        <v>2.5566176103673253</v>
      </c>
      <c r="EE156" s="19">
        <v>2.6427990000000001</v>
      </c>
      <c r="EF156" s="19">
        <v>2.9595718868020304</v>
      </c>
      <c r="EG156" s="19">
        <v>3.3644722562814069</v>
      </c>
      <c r="EH156" s="19">
        <v>3.1759446520202022</v>
      </c>
      <c r="EI156" s="19">
        <v>3.091917971575032</v>
      </c>
      <c r="EJ156" s="19">
        <v>3.0416667461395264</v>
      </c>
      <c r="EK156" s="19">
        <v>3.6285456480401934</v>
      </c>
      <c r="EL156" s="19">
        <v>4.0519456545511883</v>
      </c>
      <c r="EM156" s="19">
        <v>3.0802712218018113</v>
      </c>
      <c r="EN156" s="19">
        <v>5.6437470547593502</v>
      </c>
      <c r="EO156" s="19">
        <v>4.7146862132662113</v>
      </c>
      <c r="EP156" s="19">
        <v>4.3204412108398937</v>
      </c>
      <c r="EQ156" s="19">
        <v>4.6466867250071928</v>
      </c>
      <c r="ER156" s="19"/>
      <c r="ES156" s="16">
        <f t="shared" si="10"/>
        <v>3.3789254316318433</v>
      </c>
      <c r="ET156" s="16">
        <f t="shared" si="10"/>
        <v>3.0101496704187602</v>
      </c>
      <c r="EU156" s="16">
        <f t="shared" si="10"/>
        <v>4.1687238680067003</v>
      </c>
      <c r="EV156" s="16">
        <f t="shared" si="10"/>
        <v>3.9080579537688442</v>
      </c>
      <c r="EW156" s="16">
        <f t="shared" si="10"/>
        <v>3.3136880201005026</v>
      </c>
      <c r="EX156" s="16" t="str">
        <f t="shared" si="10"/>
        <v>.</v>
      </c>
      <c r="EY156" s="16">
        <f t="shared" si="10"/>
        <v>86.366557793353493</v>
      </c>
      <c r="EZ156" s="16">
        <f t="shared" si="10"/>
        <v>3.7772326030150754</v>
      </c>
      <c r="FA156" s="16">
        <f t="shared" si="10"/>
        <v>3.818651309547739</v>
      </c>
      <c r="FB156" s="16">
        <f t="shared" si="10"/>
        <v>3.3644722562814069</v>
      </c>
    </row>
    <row r="157" spans="1:158" x14ac:dyDescent="0.25">
      <c r="A157" s="17">
        <v>154</v>
      </c>
      <c r="B157" s="17" t="s">
        <v>189</v>
      </c>
      <c r="C157" s="17" t="s">
        <v>189</v>
      </c>
      <c r="D157" s="17" t="s">
        <v>14</v>
      </c>
      <c r="E157" s="16">
        <v>1</v>
      </c>
      <c r="F157" s="18">
        <v>3.6094107844598162</v>
      </c>
      <c r="G157" s="18">
        <v>3.413725657548019</v>
      </c>
      <c r="H157" s="18">
        <v>3.5291548493589744</v>
      </c>
      <c r="I157" s="18">
        <v>3.496107857492091</v>
      </c>
      <c r="J157" s="18">
        <v>3.4757061083973979</v>
      </c>
      <c r="K157" s="18">
        <v>3.5108069023973543</v>
      </c>
      <c r="L157" s="18">
        <v>3.4990842209975201</v>
      </c>
      <c r="M157" s="18">
        <v>3.4926716936966029</v>
      </c>
      <c r="N157" s="18">
        <v>3.4340393200556791</v>
      </c>
      <c r="O157" s="18">
        <v>3.5304351854505112</v>
      </c>
      <c r="P157" s="18">
        <v>3.5561084905348062</v>
      </c>
      <c r="Q157" s="18">
        <v>3.602254821936647</v>
      </c>
      <c r="R157" s="18">
        <v>3.6291148132716251</v>
      </c>
      <c r="S157" s="18">
        <v>3.7277637576551466</v>
      </c>
      <c r="T157" s="18">
        <v>3.1061379854025262</v>
      </c>
      <c r="U157" s="18">
        <v>3.1470171500310178</v>
      </c>
      <c r="V157" s="18">
        <v>2.8200737270761973</v>
      </c>
      <c r="W157" s="18">
        <v>2.8928934633333339</v>
      </c>
      <c r="X157" s="18">
        <v>2.9459175145355192</v>
      </c>
      <c r="Y157" s="18">
        <v>3.1072014980524343</v>
      </c>
      <c r="Z157" s="18">
        <v>3.1208980850421413</v>
      </c>
      <c r="AA157" s="18">
        <v>3.056679325128655</v>
      </c>
      <c r="AB157" s="18">
        <v>3.0322288318351291</v>
      </c>
      <c r="AC157" s="18">
        <v>3.0317318792803687</v>
      </c>
      <c r="AD157" s="19">
        <v>3.1959137444060386</v>
      </c>
      <c r="AE157" s="19">
        <v>3.4885384294826203</v>
      </c>
      <c r="AF157" s="19">
        <v>2.9666423614266209</v>
      </c>
      <c r="AG157" s="19">
        <v>3.4395188312573253</v>
      </c>
      <c r="AH157" s="19">
        <v>3.376616629351064</v>
      </c>
      <c r="AI157" s="19">
        <v>3.2717840016928568</v>
      </c>
      <c r="AJ157" s="19">
        <v>4.0038865579234972</v>
      </c>
      <c r="AK157" s="19">
        <v>4.018515303370787</v>
      </c>
      <c r="AL157" s="19">
        <v>4.2295466502617804</v>
      </c>
      <c r="AM157" s="19">
        <v>4.1400944528795813</v>
      </c>
      <c r="AN157" s="19">
        <v>3.9356557826623253</v>
      </c>
      <c r="AO157" s="19">
        <v>3.7917279768399283</v>
      </c>
      <c r="AP157" s="19">
        <v>3.9756982165923236</v>
      </c>
      <c r="AQ157" s="19">
        <v>3.9093769048906837</v>
      </c>
      <c r="AR157" s="19">
        <v>3.1139686053204816</v>
      </c>
      <c r="AS157" s="19">
        <v>3.5034711389038891</v>
      </c>
      <c r="AT157" s="19">
        <v>4.0261167821233927</v>
      </c>
      <c r="AU157" s="19">
        <v>3.6104927222689271</v>
      </c>
      <c r="AV157" s="19">
        <v>3.5884269335466392</v>
      </c>
      <c r="AW157" s="19">
        <v>3.3973753500103454</v>
      </c>
      <c r="AX157" s="19">
        <v>3.2804216500000001</v>
      </c>
      <c r="AY157" s="19">
        <v>3.3398686202185797</v>
      </c>
      <c r="AZ157" s="19">
        <v>3.3706150280898877</v>
      </c>
      <c r="BA157" s="19">
        <v>3.5061948753926702</v>
      </c>
      <c r="BB157" s="19">
        <v>3.6650234827225132</v>
      </c>
      <c r="BC157" s="19">
        <v>3.5679677252116102</v>
      </c>
      <c r="BD157" s="19">
        <v>3.5318978190422059</v>
      </c>
      <c r="BE157" s="19">
        <v>3.521963189803448</v>
      </c>
      <c r="BF157" s="19">
        <v>4.1864071394337854</v>
      </c>
      <c r="BG157" s="19">
        <v>3.337926299272409</v>
      </c>
      <c r="BH157" s="19">
        <v>4.3570278436824905</v>
      </c>
      <c r="BI157" s="19">
        <v>4.2371955721254837</v>
      </c>
      <c r="BJ157" s="19">
        <v>3.8999983161359073</v>
      </c>
      <c r="BK157" s="19">
        <v>3.3765688305709025</v>
      </c>
      <c r="BL157" s="19">
        <v>2.8818730960893855</v>
      </c>
      <c r="BM157" s="19">
        <v>2.7947111000000002</v>
      </c>
      <c r="BN157" s="19">
        <v>2.8827507409836066</v>
      </c>
      <c r="BO157" s="19">
        <v>2.850671820224719</v>
      </c>
      <c r="BP157" s="19">
        <v>2.8284594356020945</v>
      </c>
      <c r="BQ157" s="19">
        <v>2.9922416287958113</v>
      </c>
      <c r="BR157" s="19">
        <v>3.0590125143042055</v>
      </c>
      <c r="BS157" s="19">
        <v>2.9543056368827822</v>
      </c>
      <c r="BT157" s="19">
        <v>2.8426333565072914</v>
      </c>
      <c r="BU157" s="19">
        <v>2.7393259084075279</v>
      </c>
      <c r="BV157" s="19">
        <v>2.6778245249430008</v>
      </c>
      <c r="BW157" s="19">
        <v>2.5720623865261629</v>
      </c>
      <c r="BX157" s="19">
        <v>2.4362342085959403</v>
      </c>
      <c r="BY157" s="19">
        <v>2.0820539873529191</v>
      </c>
      <c r="BZ157" s="19">
        <v>1.23976367378196</v>
      </c>
      <c r="CA157" s="19">
        <v>1.48941273681227</v>
      </c>
      <c r="CB157" s="19">
        <v>2.6993555698373299</v>
      </c>
      <c r="CC157" s="19">
        <v>3.0411293835650799</v>
      </c>
      <c r="CD157" s="19">
        <v>3.1898539085157598</v>
      </c>
      <c r="CE157" s="19">
        <v>4.672144689997169</v>
      </c>
      <c r="CF157" s="19">
        <v>4.8204228402111671</v>
      </c>
      <c r="CG157" s="19">
        <v>6.2098623048147132</v>
      </c>
      <c r="CH157" s="19">
        <v>4.8651524847658241</v>
      </c>
      <c r="CI157" s="19">
        <v>6.6421749371822445</v>
      </c>
      <c r="CJ157" s="19">
        <v>8.8439664274462597</v>
      </c>
      <c r="CK157" s="19">
        <v>14.776670455932599</v>
      </c>
      <c r="CL157" s="19">
        <v>31.368940353393601</v>
      </c>
      <c r="CM157" s="19">
        <v>39.940250396728501</v>
      </c>
      <c r="CN157" s="19">
        <v>46.795894920446599</v>
      </c>
      <c r="CO157" s="19">
        <v>55.532877039719601</v>
      </c>
      <c r="CP157" s="19">
        <v>57.115732300785801</v>
      </c>
      <c r="CQ157" s="19">
        <v>55.717931487231901</v>
      </c>
      <c r="CR157" s="19">
        <v>62.7743323400015</v>
      </c>
      <c r="CS157" s="19">
        <v>75.855796878670603</v>
      </c>
      <c r="CT157" s="19">
        <v>80.748057175388141</v>
      </c>
      <c r="CU157" s="19">
        <v>89.819531739970714</v>
      </c>
      <c r="CV157" s="19">
        <v>101.5003502077696</v>
      </c>
      <c r="CW157" s="19">
        <v>104.75284253643578</v>
      </c>
      <c r="CX157" s="19">
        <v>110.85266843385479</v>
      </c>
      <c r="CY157" s="19">
        <v>3.9515658834719614</v>
      </c>
      <c r="CZ157" s="19">
        <v>3.8031698773528149</v>
      </c>
      <c r="DA157" s="19">
        <v>3.7234183500000002</v>
      </c>
      <c r="DB157" s="19">
        <v>3.6526483098360654</v>
      </c>
      <c r="DC157" s="19">
        <v>3.5353499617977526</v>
      </c>
      <c r="DD157" s="19">
        <v>3.6084297120418847</v>
      </c>
      <c r="DE157" s="19">
        <v>3.7912581183246075</v>
      </c>
      <c r="DF157" s="19">
        <v>3.5478218693090886</v>
      </c>
      <c r="DG157" s="19">
        <v>3.5061256408691408</v>
      </c>
      <c r="DH157" s="19">
        <v>3.938385743701581</v>
      </c>
      <c r="DI157" s="19">
        <v>3.1735510193158061</v>
      </c>
      <c r="DJ157" s="19">
        <v>3.3603499113029134</v>
      </c>
      <c r="DK157" s="19">
        <v>3.5098692447126503</v>
      </c>
      <c r="DL157" s="19">
        <v>3.0425081009136887</v>
      </c>
      <c r="DM157" s="19">
        <v>3.2003890648476689</v>
      </c>
      <c r="DN157" s="19">
        <v>2.7225248033494904</v>
      </c>
      <c r="DO157" s="19">
        <v>2.3844002217740838</v>
      </c>
      <c r="DP157" s="19">
        <v>2.6592273500000001</v>
      </c>
      <c r="DQ157" s="19">
        <v>3.0103391557377046</v>
      </c>
      <c r="DR157" s="19">
        <v>3.1195393044943818</v>
      </c>
      <c r="DS157" s="19">
        <v>3.1029131340314136</v>
      </c>
      <c r="DT157" s="19">
        <v>3.1607504361256544</v>
      </c>
      <c r="DU157" s="19">
        <v>3.1547178094103874</v>
      </c>
      <c r="DV157" s="19">
        <v>3.1287581682205201</v>
      </c>
      <c r="DW157" s="19">
        <v>3.5163104480074852</v>
      </c>
      <c r="DX157" s="19">
        <v>3.676930492900365</v>
      </c>
      <c r="DY157" s="19">
        <v>4.2730874703214781</v>
      </c>
      <c r="DZ157" s="19">
        <v>3.5389708293128459</v>
      </c>
      <c r="EA157" s="19">
        <v>4.1183376793777793</v>
      </c>
      <c r="EB157" s="19">
        <v>4.3980175407770181</v>
      </c>
      <c r="EC157" s="19">
        <v>2.8183098332741241</v>
      </c>
      <c r="ED157" s="19">
        <v>2.4813045038833628</v>
      </c>
      <c r="EE157" s="19">
        <v>2.6611725000000002</v>
      </c>
      <c r="EF157" s="19">
        <v>2.9323244573770491</v>
      </c>
      <c r="EG157" s="19">
        <v>3.1824513089887638</v>
      </c>
      <c r="EH157" s="19">
        <v>3.2223829738219898</v>
      </c>
      <c r="EI157" s="19">
        <v>3.0053068743455498</v>
      </c>
      <c r="EJ157" s="19">
        <v>3.0312064157473628</v>
      </c>
      <c r="EK157" s="19">
        <v>3.3436324834823612</v>
      </c>
      <c r="EL157" s="19">
        <v>3.4426367332025904</v>
      </c>
      <c r="EM157" s="19">
        <v>4.0377811063074107</v>
      </c>
      <c r="EN157" s="19">
        <v>3.5447639592359699</v>
      </c>
      <c r="EO157" s="19">
        <v>4.0862682609838314</v>
      </c>
      <c r="EP157" s="19">
        <v>3.7569368777271244</v>
      </c>
      <c r="EQ157" s="19">
        <v>4.2912076979226503</v>
      </c>
      <c r="ER157" s="19"/>
      <c r="ES157" s="16">
        <f t="shared" si="10"/>
        <v>3.4757061083973979</v>
      </c>
      <c r="ET157" s="16">
        <f t="shared" si="10"/>
        <v>3.1072014980524343</v>
      </c>
      <c r="EU157" s="16">
        <f t="shared" si="10"/>
        <v>4.018515303370787</v>
      </c>
      <c r="EV157" s="16">
        <f t="shared" si="10"/>
        <v>3.3706150280898877</v>
      </c>
      <c r="EW157" s="16">
        <f t="shared" si="10"/>
        <v>2.850671820224719</v>
      </c>
      <c r="EX157" s="16" t="str">
        <f t="shared" si="10"/>
        <v>.</v>
      </c>
      <c r="EY157" s="16">
        <f t="shared" si="10"/>
        <v>46.795894920446599</v>
      </c>
      <c r="EZ157" s="16">
        <f t="shared" si="10"/>
        <v>3.5353499617977526</v>
      </c>
      <c r="FA157" s="16">
        <f t="shared" si="10"/>
        <v>3.1195393044943818</v>
      </c>
      <c r="FB157" s="16">
        <f t="shared" si="10"/>
        <v>3.1824513089887638</v>
      </c>
    </row>
    <row r="158" spans="1:158" x14ac:dyDescent="0.25">
      <c r="A158" s="17">
        <v>155</v>
      </c>
      <c r="B158" s="17" t="s">
        <v>190</v>
      </c>
      <c r="C158" s="17" t="s">
        <v>190</v>
      </c>
      <c r="D158" s="17" t="s">
        <v>25</v>
      </c>
      <c r="E158" s="16">
        <v>1</v>
      </c>
      <c r="F158" s="18">
        <v>4.4520837744730288</v>
      </c>
      <c r="G158" s="18">
        <v>4.4326598432083335</v>
      </c>
      <c r="H158" s="18">
        <v>4.3702739620239717</v>
      </c>
      <c r="I158" s="18">
        <v>4.2252902003629753</v>
      </c>
      <c r="J158" s="18">
        <v>4.2003317308402588</v>
      </c>
      <c r="K158" s="18">
        <v>4.2527475052631569</v>
      </c>
      <c r="L158" s="18">
        <v>4.4175626878064724</v>
      </c>
      <c r="M158" s="18">
        <v>4.402883666731193</v>
      </c>
      <c r="N158" s="18">
        <v>4.3553012801349489</v>
      </c>
      <c r="O158" s="18">
        <v>4.2703952225568784</v>
      </c>
      <c r="P158" s="18">
        <v>3.9781228581684083</v>
      </c>
      <c r="Q158" s="18">
        <v>4.0184080186596978</v>
      </c>
      <c r="R158" s="18">
        <v>3.9355658364552646</v>
      </c>
      <c r="S158" s="18">
        <v>3.9524582844514993</v>
      </c>
      <c r="T158" s="18">
        <v>4.1887931118980211</v>
      </c>
      <c r="U158" s="18">
        <v>3.6199264626945795</v>
      </c>
      <c r="V158" s="18">
        <v>3.3799610759112668</v>
      </c>
      <c r="W158" s="18">
        <v>3.2916587397885282</v>
      </c>
      <c r="X158" s="18">
        <v>3.337193535831553</v>
      </c>
      <c r="Y158" s="18">
        <v>3.296468602820414</v>
      </c>
      <c r="Z158" s="18">
        <v>3.1859740257415203</v>
      </c>
      <c r="AA158" s="18">
        <v>3.2446240857977999</v>
      </c>
      <c r="AB158" s="18">
        <v>3.2836146121706902</v>
      </c>
      <c r="AC158" s="18">
        <v>3.4077342195653464</v>
      </c>
      <c r="AD158" s="19">
        <v>3.42639478593772</v>
      </c>
      <c r="AE158" s="19">
        <v>3.4703143261655534</v>
      </c>
      <c r="AF158" s="19">
        <v>2.6330778974475866</v>
      </c>
      <c r="AG158" s="19">
        <v>3.1525101068950594</v>
      </c>
      <c r="AH158" s="19">
        <v>3.0784023311382867</v>
      </c>
      <c r="AI158" s="19">
        <v>2.8010236884896647</v>
      </c>
      <c r="AJ158" s="19">
        <v>4.9992400413793101</v>
      </c>
      <c r="AK158" s="19">
        <v>4.8407514415204682</v>
      </c>
      <c r="AL158" s="19">
        <v>4.9237708397435886</v>
      </c>
      <c r="AM158" s="19">
        <v>4.9547263900621124</v>
      </c>
      <c r="AN158" s="19">
        <v>4.9299301306239167</v>
      </c>
      <c r="AO158" s="19">
        <v>4.8346012879399778</v>
      </c>
      <c r="AP158" s="19">
        <v>4.8056138971363236</v>
      </c>
      <c r="AQ158" s="19">
        <v>4.7614038724882057</v>
      </c>
      <c r="AR158" s="19">
        <v>4.8757677674461286</v>
      </c>
      <c r="AS158" s="19">
        <v>4.7930174163098132</v>
      </c>
      <c r="AT158" s="19">
        <v>4.9571738382550965</v>
      </c>
      <c r="AU158" s="19">
        <v>4.7028997343883319</v>
      </c>
      <c r="AV158" s="19">
        <v>3.7885031446540882</v>
      </c>
      <c r="AW158" s="19">
        <v>3.4735277021622366</v>
      </c>
      <c r="AX158" s="19">
        <v>3.4600775473372778</v>
      </c>
      <c r="AY158" s="19">
        <v>3.6049118</v>
      </c>
      <c r="AZ158" s="19">
        <v>3.5657331263157896</v>
      </c>
      <c r="BA158" s="19">
        <v>3.3559670923076919</v>
      </c>
      <c r="BB158" s="19">
        <v>3.342577751552795</v>
      </c>
      <c r="BC158" s="19">
        <v>3.3011272630194188</v>
      </c>
      <c r="BD158" s="19">
        <v>3.3240522409502367</v>
      </c>
      <c r="BE158" s="19">
        <v>3.511566971808441</v>
      </c>
      <c r="BF158" s="19">
        <v>4.5031721549378174</v>
      </c>
      <c r="BG158" s="19">
        <v>4.1532938496042702</v>
      </c>
      <c r="BH158" s="19">
        <v>6.0764272086074138</v>
      </c>
      <c r="BI158" s="19">
        <v>5.7779643672864314</v>
      </c>
      <c r="BJ158" s="19">
        <v>6.2122698412781796</v>
      </c>
      <c r="BK158" s="19">
        <v>4.2795410628019326</v>
      </c>
      <c r="BL158" s="19">
        <v>3.9684549449040278</v>
      </c>
      <c r="BM158" s="19">
        <v>3.7844224491124256</v>
      </c>
      <c r="BN158" s="19">
        <v>3.782222124137931</v>
      </c>
      <c r="BO158" s="19">
        <v>3.8252489412280704</v>
      </c>
      <c r="BP158" s="19">
        <v>3.9249484846153839</v>
      </c>
      <c r="BQ158" s="19">
        <v>4.1551920192546588</v>
      </c>
      <c r="BR158" s="19">
        <v>4.1047928493755812</v>
      </c>
      <c r="BS158" s="19">
        <v>4.0889437200898806</v>
      </c>
      <c r="BT158" s="19">
        <v>4.1249988796174986</v>
      </c>
      <c r="BU158" s="19">
        <v>3.7505254126658958</v>
      </c>
      <c r="BV158" s="19">
        <v>4.020388186999174</v>
      </c>
      <c r="BW158" s="19">
        <v>4.3108377588025144</v>
      </c>
      <c r="BX158" s="19">
        <v>3.8696803885623687</v>
      </c>
      <c r="BY158" s="19">
        <v>4.6936739098126061</v>
      </c>
      <c r="BZ158" s="19">
        <v>4.7768003094604889</v>
      </c>
      <c r="CA158" s="19">
        <v>1</v>
      </c>
      <c r="CB158" s="19">
        <v>52.290311151526701</v>
      </c>
      <c r="CC158" s="19">
        <v>79.867043069741101</v>
      </c>
      <c r="CD158" s="19">
        <v>75.281065880190695</v>
      </c>
      <c r="CE158" s="19">
        <v>120.31732248684008</v>
      </c>
      <c r="CF158" s="19">
        <v>133.03597357387181</v>
      </c>
      <c r="CG158" s="19">
        <v>152.98566813976163</v>
      </c>
      <c r="CH158" s="19">
        <v>176.37485497178557</v>
      </c>
      <c r="CI158" s="19">
        <v>200</v>
      </c>
      <c r="CJ158" s="19">
        <v>42.984903945150798</v>
      </c>
      <c r="CK158" s="19">
        <v>62.880901336669901</v>
      </c>
      <c r="CL158" s="19">
        <v>123.76523590087901</v>
      </c>
      <c r="CM158" s="19">
        <v>122.56797027587901</v>
      </c>
      <c r="CN158" s="19">
        <v>100.811367005297</v>
      </c>
      <c r="CO158" s="19">
        <v>113.161025858492</v>
      </c>
      <c r="CP158" s="19">
        <v>120.292544475171</v>
      </c>
      <c r="CQ158" s="19">
        <v>137.98284931517199</v>
      </c>
      <c r="CR158" s="19">
        <v>144.438719549621</v>
      </c>
      <c r="CS158" s="19">
        <v>125.81018020186301</v>
      </c>
      <c r="CT158" s="19">
        <v>155.74336793087812</v>
      </c>
      <c r="CU158" s="19">
        <v>166.61509156086896</v>
      </c>
      <c r="CV158" s="19">
        <v>164.0294161677794</v>
      </c>
      <c r="CW158" s="19">
        <v>182.80912766075093</v>
      </c>
      <c r="CX158" s="19">
        <v>199.91915492213408</v>
      </c>
      <c r="CY158" s="19">
        <v>5.1039119496855347</v>
      </c>
      <c r="CZ158" s="19">
        <v>4.7110161628150395</v>
      </c>
      <c r="DA158" s="19">
        <v>4.2750436958579883</v>
      </c>
      <c r="DB158" s="19">
        <v>3.911373131034483</v>
      </c>
      <c r="DC158" s="19">
        <v>3.5736251298245616</v>
      </c>
      <c r="DD158" s="19">
        <v>3.7214141884615382</v>
      </c>
      <c r="DE158" s="19">
        <v>4.0781466012422358</v>
      </c>
      <c r="DF158" s="19">
        <v>4.0925539221570997</v>
      </c>
      <c r="DG158" s="19">
        <v>4.1014122725663027</v>
      </c>
      <c r="DH158" s="19">
        <v>4.0048683781956518</v>
      </c>
      <c r="DI158" s="19">
        <v>4.2108812655395349</v>
      </c>
      <c r="DJ158" s="19">
        <v>3.3246853484523378</v>
      </c>
      <c r="DK158" s="19">
        <v>2.6276314106086933</v>
      </c>
      <c r="DL158" s="19">
        <v>4.5060125242034532</v>
      </c>
      <c r="DM158" s="19">
        <v>3.8723803833343844</v>
      </c>
      <c r="DN158" s="19">
        <v>5.092584541062803</v>
      </c>
      <c r="DO158" s="19">
        <v>4.8098327989186274</v>
      </c>
      <c r="DP158" s="19">
        <v>4.7740696254437873</v>
      </c>
      <c r="DQ158" s="19">
        <v>4.8888456896551729</v>
      </c>
      <c r="DR158" s="19">
        <v>4.7415009964912276</v>
      </c>
      <c r="DS158" s="19">
        <v>4.8557833884615373</v>
      </c>
      <c r="DT158" s="19">
        <v>4.5323942142857145</v>
      </c>
      <c r="DU158" s="19">
        <v>4.0670348004187762</v>
      </c>
      <c r="DV158" s="19">
        <v>4.0112818569933637</v>
      </c>
      <c r="DW158" s="19">
        <v>4.0339822898539461</v>
      </c>
      <c r="DX158" s="19">
        <v>4.8446777383559958</v>
      </c>
      <c r="DY158" s="19">
        <v>3.8916774643341272</v>
      </c>
      <c r="DZ158" s="19">
        <v>3.6660556928918631</v>
      </c>
      <c r="EA158" s="19">
        <v>3.5504887187882237</v>
      </c>
      <c r="EB158" s="19">
        <v>2.7220345321856834</v>
      </c>
      <c r="EC158" s="19">
        <v>5.1993478260869566</v>
      </c>
      <c r="ED158" s="19">
        <v>5.0395255352798056</v>
      </c>
      <c r="EE158" s="19">
        <v>5.0090724254437866</v>
      </c>
      <c r="EF158" s="19">
        <v>5.1229923103448272</v>
      </c>
      <c r="EG158" s="19">
        <v>4.9910145675438606</v>
      </c>
      <c r="EH158" s="19">
        <v>4.9878843076923065</v>
      </c>
      <c r="EI158" s="19">
        <v>4.8756066242236029</v>
      </c>
      <c r="EJ158" s="19">
        <v>4.4703244356778562</v>
      </c>
      <c r="EK158" s="19">
        <v>4.3773904418493332</v>
      </c>
      <c r="EL158" s="19">
        <v>4.2074246029521145</v>
      </c>
      <c r="EM158" s="19">
        <v>2.9975684879867472</v>
      </c>
      <c r="EN158" s="19">
        <v>3.87909859468314</v>
      </c>
      <c r="EO158" s="19">
        <v>3.6263584916149028</v>
      </c>
      <c r="EP158" s="19">
        <v>3.7614371364012169</v>
      </c>
      <c r="EQ158" s="19">
        <v>3.2325799462727067</v>
      </c>
      <c r="ER158" s="19"/>
      <c r="ES158" s="16">
        <f t="shared" si="10"/>
        <v>4.2003317308402588</v>
      </c>
      <c r="ET158" s="16">
        <f t="shared" si="10"/>
        <v>3.296468602820414</v>
      </c>
      <c r="EU158" s="16">
        <f t="shared" si="10"/>
        <v>4.8407514415204682</v>
      </c>
      <c r="EV158" s="16">
        <f t="shared" si="10"/>
        <v>3.5657331263157896</v>
      </c>
      <c r="EW158" s="16">
        <f t="shared" si="10"/>
        <v>3.8252489412280704</v>
      </c>
      <c r="EX158" s="16" t="str">
        <f t="shared" si="10"/>
        <v>.</v>
      </c>
      <c r="EY158" s="16">
        <f t="shared" si="10"/>
        <v>100.811367005297</v>
      </c>
      <c r="EZ158" s="16">
        <f t="shared" si="10"/>
        <v>3.5736251298245616</v>
      </c>
      <c r="FA158" s="16">
        <f t="shared" si="10"/>
        <v>4.7415009964912276</v>
      </c>
      <c r="FB158" s="16">
        <f t="shared" si="10"/>
        <v>4.9910145675438606</v>
      </c>
    </row>
    <row r="159" spans="1:158" x14ac:dyDescent="0.25">
      <c r="A159" s="17">
        <v>156</v>
      </c>
      <c r="B159" s="17" t="s">
        <v>191</v>
      </c>
      <c r="C159" s="17" t="s">
        <v>191</v>
      </c>
      <c r="D159" s="17" t="s">
        <v>14</v>
      </c>
      <c r="E159" s="16">
        <v>0</v>
      </c>
      <c r="F159" s="18">
        <v>3.27</v>
      </c>
      <c r="G159" s="18">
        <v>4.1500000000000004</v>
      </c>
      <c r="H159" s="18">
        <v>3.74</v>
      </c>
      <c r="I159" s="18">
        <v>2.93</v>
      </c>
      <c r="J159" s="18">
        <v>3.52</v>
      </c>
      <c r="K159" s="18">
        <v>2.97</v>
      </c>
      <c r="L159" s="18">
        <v>3.32</v>
      </c>
      <c r="M159" s="18">
        <v>3.93</v>
      </c>
      <c r="N159" s="18">
        <v>3.93</v>
      </c>
      <c r="O159" s="18">
        <v>3.53</v>
      </c>
      <c r="P159" s="18">
        <v>3.49</v>
      </c>
      <c r="Q159" s="18">
        <v>3.67</v>
      </c>
      <c r="R159" s="18">
        <v>2.35</v>
      </c>
      <c r="S159" s="18">
        <v>4.6399999999999997</v>
      </c>
      <c r="T159" s="18">
        <v>2.66</v>
      </c>
      <c r="U159" s="18">
        <v>2.4900000000000002</v>
      </c>
      <c r="V159" s="18">
        <v>3.14</v>
      </c>
      <c r="W159" s="18">
        <v>3.08</v>
      </c>
      <c r="X159" s="18">
        <v>2.3199999999999998</v>
      </c>
      <c r="Y159" s="18">
        <v>2.76</v>
      </c>
      <c r="Z159" s="18">
        <v>3.35</v>
      </c>
      <c r="AA159" s="18">
        <v>3.26</v>
      </c>
      <c r="AB159" s="18">
        <v>3.51</v>
      </c>
      <c r="AC159" s="18">
        <v>2.59</v>
      </c>
      <c r="AD159" s="19">
        <v>3.37</v>
      </c>
      <c r="AE159" s="19">
        <v>2.72</v>
      </c>
      <c r="AF159" s="19">
        <v>2.94</v>
      </c>
      <c r="AG159" s="19">
        <v>3.81</v>
      </c>
      <c r="AH159" s="19">
        <v>3.49</v>
      </c>
      <c r="AI159" s="19">
        <v>3.62</v>
      </c>
      <c r="AJ159" s="19">
        <v>4.3</v>
      </c>
      <c r="AK159" s="19">
        <v>4.66</v>
      </c>
      <c r="AL159" s="19">
        <v>4.5</v>
      </c>
      <c r="AM159" s="19">
        <v>4.79</v>
      </c>
      <c r="AN159" s="19">
        <v>4.53</v>
      </c>
      <c r="AO159" s="19">
        <v>4.09</v>
      </c>
      <c r="AP159" s="19">
        <v>4.17</v>
      </c>
      <c r="AQ159" s="19">
        <v>4.25</v>
      </c>
      <c r="AR159" s="19">
        <v>4.63</v>
      </c>
      <c r="AS159" s="19">
        <v>3.47</v>
      </c>
      <c r="AT159" s="19">
        <v>3.41</v>
      </c>
      <c r="AU159" s="19">
        <v>4.84</v>
      </c>
      <c r="AV159" s="19">
        <v>3.38</v>
      </c>
      <c r="AW159" s="19">
        <v>3.13</v>
      </c>
      <c r="AX159" s="19">
        <v>4.21</v>
      </c>
      <c r="AY159" s="19">
        <v>2.67</v>
      </c>
      <c r="AZ159" s="19">
        <v>3.81</v>
      </c>
      <c r="BA159" s="19">
        <v>3.13</v>
      </c>
      <c r="BB159" s="19">
        <v>2.4</v>
      </c>
      <c r="BC159" s="19">
        <v>3.06</v>
      </c>
      <c r="BD159" s="19">
        <v>3.22</v>
      </c>
      <c r="BE159" s="19">
        <v>3.8</v>
      </c>
      <c r="BF159" s="19">
        <v>3.31</v>
      </c>
      <c r="BG159" s="19">
        <v>3.62</v>
      </c>
      <c r="BH159" s="19">
        <v>5.46</v>
      </c>
      <c r="BI159" s="19">
        <v>4.53</v>
      </c>
      <c r="BJ159" s="19">
        <v>4.53</v>
      </c>
      <c r="BK159" s="19">
        <v>3.42</v>
      </c>
      <c r="BL159" s="19">
        <v>4.3600000000000003</v>
      </c>
      <c r="BM159" s="19">
        <v>3.69</v>
      </c>
      <c r="BN159" s="19">
        <v>4.0199999999999996</v>
      </c>
      <c r="BO159" s="19">
        <v>2.87</v>
      </c>
      <c r="BP159" s="19">
        <v>2.91</v>
      </c>
      <c r="BQ159" s="19">
        <v>2.8</v>
      </c>
      <c r="BR159" s="19">
        <v>3.2</v>
      </c>
      <c r="BS159" s="19">
        <v>2.02</v>
      </c>
      <c r="BT159" s="19">
        <v>2.4700000000000002</v>
      </c>
      <c r="BU159" s="19">
        <v>2.2999999999999998</v>
      </c>
      <c r="BV159" s="19">
        <v>2.72</v>
      </c>
      <c r="BW159" s="19">
        <v>3.16</v>
      </c>
      <c r="BX159" s="19">
        <v>2.9</v>
      </c>
      <c r="BY159" s="19">
        <v>1.9</v>
      </c>
      <c r="BZ159" s="19">
        <v>1</v>
      </c>
      <c r="CA159" s="19">
        <v>5.66</v>
      </c>
      <c r="CB159" s="19">
        <v>1</v>
      </c>
      <c r="CC159" s="19">
        <v>18.75</v>
      </c>
      <c r="CD159" s="19">
        <v>56.11</v>
      </c>
      <c r="CE159" s="19">
        <v>76.09</v>
      </c>
      <c r="CF159" s="19">
        <v>39.36</v>
      </c>
      <c r="CG159" s="19">
        <v>24.68</v>
      </c>
      <c r="CH159" s="19">
        <v>1</v>
      </c>
      <c r="CI159" s="19">
        <v>100.53</v>
      </c>
      <c r="CJ159" s="19">
        <v>6.88</v>
      </c>
      <c r="CK159" s="19">
        <v>1</v>
      </c>
      <c r="CL159" s="19">
        <v>40.520000000000003</v>
      </c>
      <c r="CM159" s="19">
        <v>52.18</v>
      </c>
      <c r="CN159" s="19">
        <v>39.57</v>
      </c>
      <c r="CO159" s="19">
        <v>9.76</v>
      </c>
      <c r="CP159" s="19">
        <v>87.8</v>
      </c>
      <c r="CQ159" s="19">
        <v>20.97</v>
      </c>
      <c r="CR159" s="19">
        <v>118.51</v>
      </c>
      <c r="CS159" s="19">
        <v>22.02</v>
      </c>
      <c r="CT159" s="19">
        <v>112.46</v>
      </c>
      <c r="CU159" s="19">
        <v>73.45</v>
      </c>
      <c r="CV159" s="19">
        <v>139.33000000000001</v>
      </c>
      <c r="CW159" s="19">
        <v>176.74</v>
      </c>
      <c r="CX159" s="19">
        <v>200</v>
      </c>
      <c r="CY159" s="19">
        <v>3.6</v>
      </c>
      <c r="CZ159" s="19">
        <v>4.09</v>
      </c>
      <c r="DA159" s="19">
        <v>3.87</v>
      </c>
      <c r="DB159" s="19">
        <v>3.31</v>
      </c>
      <c r="DC159" s="19">
        <v>4.26</v>
      </c>
      <c r="DD159" s="19">
        <v>4.05</v>
      </c>
      <c r="DE159" s="19">
        <v>3.36</v>
      </c>
      <c r="DF159" s="19">
        <v>2.58</v>
      </c>
      <c r="DG159" s="19">
        <v>3.87</v>
      </c>
      <c r="DH159" s="19">
        <v>3.32</v>
      </c>
      <c r="DI159" s="19">
        <v>3.23</v>
      </c>
      <c r="DJ159" s="19">
        <v>2.84</v>
      </c>
      <c r="DK159" s="19">
        <v>3.46</v>
      </c>
      <c r="DL159" s="19">
        <v>3.07</v>
      </c>
      <c r="DM159" s="19">
        <v>3.49</v>
      </c>
      <c r="DN159" s="19">
        <v>2.4900000000000002</v>
      </c>
      <c r="DO159" s="19">
        <v>4.01</v>
      </c>
      <c r="DP159" s="19">
        <v>1.24</v>
      </c>
      <c r="DQ159" s="19">
        <v>4.67</v>
      </c>
      <c r="DR159" s="19">
        <v>4.0999999999999996</v>
      </c>
      <c r="DS159" s="19">
        <v>4.05</v>
      </c>
      <c r="DT159" s="19">
        <v>3.83</v>
      </c>
      <c r="DU159" s="19">
        <v>3.91</v>
      </c>
      <c r="DV159" s="19">
        <v>3.81</v>
      </c>
      <c r="DW159" s="19">
        <v>4.25</v>
      </c>
      <c r="DX159" s="19">
        <v>4.3499999999999996</v>
      </c>
      <c r="DY159" s="19">
        <v>3.55</v>
      </c>
      <c r="DZ159" s="19">
        <v>3.58</v>
      </c>
      <c r="EA159" s="19">
        <v>4.8600000000000003</v>
      </c>
      <c r="EB159" s="19">
        <v>3.37</v>
      </c>
      <c r="EC159" s="19">
        <v>4.33</v>
      </c>
      <c r="ED159" s="19">
        <v>2.7</v>
      </c>
      <c r="EE159" s="19">
        <v>3.64</v>
      </c>
      <c r="EF159" s="19">
        <v>3.45</v>
      </c>
      <c r="EG159" s="19">
        <v>2.9</v>
      </c>
      <c r="EH159" s="19">
        <v>4.99</v>
      </c>
      <c r="EI159" s="19">
        <v>4.1900000000000004</v>
      </c>
      <c r="EJ159" s="19">
        <v>2.69</v>
      </c>
      <c r="EK159" s="19">
        <v>2.54</v>
      </c>
      <c r="EL159" s="19">
        <v>2.85</v>
      </c>
      <c r="EM159" s="19">
        <v>4.3899999999999997</v>
      </c>
      <c r="EN159" s="19">
        <v>3.8</v>
      </c>
      <c r="EO159" s="19">
        <v>3.54</v>
      </c>
      <c r="EP159" s="19">
        <v>3.72</v>
      </c>
      <c r="EQ159" s="19">
        <v>5.18</v>
      </c>
      <c r="ER159" s="19"/>
      <c r="ES159" s="16">
        <f t="shared" si="10"/>
        <v>3.52</v>
      </c>
      <c r="ET159" s="16">
        <f t="shared" si="10"/>
        <v>2.76</v>
      </c>
      <c r="EU159" s="16">
        <f t="shared" si="10"/>
        <v>4.66</v>
      </c>
      <c r="EV159" s="16">
        <f t="shared" si="10"/>
        <v>3.81</v>
      </c>
      <c r="EW159" s="16">
        <f t="shared" si="10"/>
        <v>2.87</v>
      </c>
      <c r="EX159" s="16" t="str">
        <f t="shared" si="10"/>
        <v>.</v>
      </c>
      <c r="EY159" s="16">
        <f t="shared" si="10"/>
        <v>39.57</v>
      </c>
      <c r="EZ159" s="16">
        <f t="shared" si="10"/>
        <v>4.26</v>
      </c>
      <c r="FA159" s="16">
        <f t="shared" si="10"/>
        <v>4.0999999999999996</v>
      </c>
      <c r="FB159" s="16">
        <f t="shared" si="10"/>
        <v>2.9</v>
      </c>
    </row>
    <row r="160" spans="1:158" x14ac:dyDescent="0.25">
      <c r="A160" s="17">
        <v>157</v>
      </c>
      <c r="B160" s="17" t="s">
        <v>192</v>
      </c>
      <c r="C160" s="17" t="s">
        <v>192</v>
      </c>
      <c r="D160" s="17" t="s">
        <v>9</v>
      </c>
      <c r="E160" s="16">
        <v>1</v>
      </c>
      <c r="F160" s="18">
        <v>4.6108457936187364</v>
      </c>
      <c r="G160" s="18">
        <v>4.5133685725966561</v>
      </c>
      <c r="H160" s="18">
        <v>4.2411465753936124</v>
      </c>
      <c r="I160" s="18">
        <v>4.337196276847858</v>
      </c>
      <c r="J160" s="18">
        <v>4.1620982864100542</v>
      </c>
      <c r="K160" s="18">
        <v>3.8510978294849925</v>
      </c>
      <c r="L160" s="18">
        <v>3.8867481115033096</v>
      </c>
      <c r="M160" s="18">
        <v>3.7803737316824999</v>
      </c>
      <c r="N160" s="18">
        <v>3.5829132785775619</v>
      </c>
      <c r="O160" s="18">
        <v>3.6105165102766557</v>
      </c>
      <c r="P160" s="18">
        <v>3.9697562663009656</v>
      </c>
      <c r="Q160" s="18">
        <v>3.5235196748662077</v>
      </c>
      <c r="R160" s="18">
        <v>3.5843476977279281</v>
      </c>
      <c r="S160" s="18">
        <v>2.9878120900524299</v>
      </c>
      <c r="T160" s="18">
        <v>3.3385678607575269</v>
      </c>
      <c r="U160" s="18">
        <v>4.0206155752858965</v>
      </c>
      <c r="V160" s="18">
        <v>3.9123488520480674</v>
      </c>
      <c r="W160" s="18">
        <v>3.642564962777028</v>
      </c>
      <c r="X160" s="18">
        <v>3.8473866825500909</v>
      </c>
      <c r="Y160" s="18">
        <v>3.5808318957520102</v>
      </c>
      <c r="Z160" s="18">
        <v>3.2434043215680295</v>
      </c>
      <c r="AA160" s="18">
        <v>3.0569726818725447</v>
      </c>
      <c r="AB160" s="18">
        <v>3.0127930581487856</v>
      </c>
      <c r="AC160" s="18">
        <v>2.9442993346250179</v>
      </c>
      <c r="AD160" s="19">
        <v>3.0317547357330312</v>
      </c>
      <c r="AE160" s="19">
        <v>2.8831768532754722</v>
      </c>
      <c r="AF160" s="19">
        <v>2.7861413614259121</v>
      </c>
      <c r="AG160" s="19">
        <v>2.6157863931708074</v>
      </c>
      <c r="AH160" s="19">
        <v>2.3909892467670097</v>
      </c>
      <c r="AI160" s="19">
        <v>1.7745590349843146</v>
      </c>
      <c r="AJ160" s="19">
        <v>5.4429310868852454</v>
      </c>
      <c r="AK160" s="19">
        <v>5.1761100520729686</v>
      </c>
      <c r="AL160" s="19">
        <v>5.1021736439864851</v>
      </c>
      <c r="AM160" s="19">
        <v>4.7085846946107788</v>
      </c>
      <c r="AN160" s="19">
        <v>4.5076699151873765</v>
      </c>
      <c r="AO160" s="19">
        <v>4.3776700443586769</v>
      </c>
      <c r="AP160" s="19">
        <v>4.3023074780656989</v>
      </c>
      <c r="AQ160" s="19">
        <v>4.5350426081036366</v>
      </c>
      <c r="AR160" s="19">
        <v>4.1208716306767066</v>
      </c>
      <c r="AS160" s="19">
        <v>4.2584735286830906</v>
      </c>
      <c r="AT160" s="19">
        <v>3.4494342736974302</v>
      </c>
      <c r="AU160" s="19">
        <v>2.8301404623721402</v>
      </c>
      <c r="AV160" s="19">
        <v>4.439614859483445</v>
      </c>
      <c r="AW160" s="19">
        <v>4.1874832272727271</v>
      </c>
      <c r="AX160" s="19">
        <v>3.8336424257309938</v>
      </c>
      <c r="AY160" s="19">
        <v>4.1653028819672127</v>
      </c>
      <c r="AZ160" s="19">
        <v>3.8089705243781098</v>
      </c>
      <c r="BA160" s="19">
        <v>3.6751484230933649</v>
      </c>
      <c r="BB160" s="19">
        <v>3.5076772359281434</v>
      </c>
      <c r="BC160" s="19">
        <v>3.5081205189813556</v>
      </c>
      <c r="BD160" s="19">
        <v>3.2745572010216684</v>
      </c>
      <c r="BE160" s="19">
        <v>2.9922904989107058</v>
      </c>
      <c r="BF160" s="19">
        <v>4.3055591038814081</v>
      </c>
      <c r="BG160" s="19">
        <v>3.7628032345323916</v>
      </c>
      <c r="BH160" s="19">
        <v>4.7991652207732942</v>
      </c>
      <c r="BI160" s="19">
        <v>4.4837380214703053</v>
      </c>
      <c r="BJ160" s="19">
        <v>4.1996669222067959</v>
      </c>
      <c r="BK160" s="19">
        <v>4.7282853566958698</v>
      </c>
      <c r="BL160" s="19">
        <v>4.3565291999999998</v>
      </c>
      <c r="BM160" s="19">
        <v>3.7592578339181282</v>
      </c>
      <c r="BN160" s="19">
        <v>3.8291015442622953</v>
      </c>
      <c r="BO160" s="19">
        <v>3.6871994278606968</v>
      </c>
      <c r="BP160" s="19">
        <v>3.5695036841131844</v>
      </c>
      <c r="BQ160" s="19">
        <v>3.4064720640718562</v>
      </c>
      <c r="BR160" s="19">
        <v>3.2313650194767156</v>
      </c>
      <c r="BS160" s="19">
        <v>2.9814546684309233</v>
      </c>
      <c r="BT160" s="19">
        <v>2.965825538947934</v>
      </c>
      <c r="BU160" s="19">
        <v>2.3859659915318039</v>
      </c>
      <c r="BV160" s="19">
        <v>3.0869251208438442</v>
      </c>
      <c r="BW160" s="19">
        <v>1.9980842023980669</v>
      </c>
      <c r="BX160" s="19">
        <v>1.9161946682656594</v>
      </c>
      <c r="BY160" s="19">
        <v>2.4123640240380224</v>
      </c>
      <c r="BZ160" s="19">
        <v>9.2175789433622821</v>
      </c>
      <c r="CA160" s="19">
        <v>5.20458389895962</v>
      </c>
      <c r="CB160" s="19">
        <v>26.127641348190799</v>
      </c>
      <c r="CC160" s="19">
        <v>47.558109505177697</v>
      </c>
      <c r="CD160" s="19">
        <v>62.6329387655706</v>
      </c>
      <c r="CE160" s="19">
        <v>76.847040128472813</v>
      </c>
      <c r="CF160" s="19">
        <v>86.995659102345115</v>
      </c>
      <c r="CG160" s="19">
        <v>100.21685023315426</v>
      </c>
      <c r="CH160" s="19">
        <v>117.31633850067895</v>
      </c>
      <c r="CI160" s="19">
        <v>131.58749606990176</v>
      </c>
      <c r="CJ160" s="19">
        <v>56.322883204441801</v>
      </c>
      <c r="CK160" s="19">
        <v>71.878860473632798</v>
      </c>
      <c r="CL160" s="19">
        <v>82.0802001953125</v>
      </c>
      <c r="CM160" s="19">
        <v>94.961013793945298</v>
      </c>
      <c r="CN160" s="19">
        <v>106.042133267894</v>
      </c>
      <c r="CO160" s="19">
        <v>120.76</v>
      </c>
      <c r="CP160" s="19">
        <v>119.956463123408</v>
      </c>
      <c r="CQ160" s="19">
        <v>115.60357986143801</v>
      </c>
      <c r="CR160" s="19">
        <v>128.48576747886301</v>
      </c>
      <c r="CS160" s="19">
        <v>129.93149772928899</v>
      </c>
      <c r="CT160" s="19">
        <v>147.50577847754312</v>
      </c>
      <c r="CU160" s="19">
        <v>157.39765479116147</v>
      </c>
      <c r="CV160" s="19">
        <v>160.30066969615922</v>
      </c>
      <c r="CW160" s="19">
        <v>167.8972766820047</v>
      </c>
      <c r="CX160" s="19">
        <v>180.91096557085257</v>
      </c>
      <c r="CY160" s="19">
        <v>5.4886364660806848</v>
      </c>
      <c r="CZ160" s="19">
        <v>5.5733111344827586</v>
      </c>
      <c r="DA160" s="19">
        <v>5.1880982573099415</v>
      </c>
      <c r="DB160" s="19">
        <v>5.3842862333333334</v>
      </c>
      <c r="DC160" s="19">
        <v>4.8865445890547274</v>
      </c>
      <c r="DD160" s="19">
        <v>4.7469982355821285</v>
      </c>
      <c r="DE160" s="19">
        <v>4.2510592652694612</v>
      </c>
      <c r="DF160" s="19">
        <v>3.99576712493185</v>
      </c>
      <c r="DG160" s="19">
        <v>4.3511375974368489</v>
      </c>
      <c r="DH160" s="19">
        <v>4.5213384623084565</v>
      </c>
      <c r="DI160" s="19">
        <v>4.0242059171310247</v>
      </c>
      <c r="DJ160" s="19">
        <v>4.0552466901001329</v>
      </c>
      <c r="DK160" s="19">
        <v>3.4607094669753709</v>
      </c>
      <c r="DL160" s="19">
        <v>2.9862894613471127</v>
      </c>
      <c r="DM160" s="19">
        <v>3.0040690236459957</v>
      </c>
      <c r="DN160" s="19">
        <v>4.9830659536541893</v>
      </c>
      <c r="DO160" s="19">
        <v>4.978898286363636</v>
      </c>
      <c r="DP160" s="19">
        <v>5.1184064105263154</v>
      </c>
      <c r="DQ160" s="19">
        <v>5.4558165693989071</v>
      </c>
      <c r="DR160" s="19">
        <v>5.0018715621890548</v>
      </c>
      <c r="DS160" s="19">
        <v>4.5485758035069415</v>
      </c>
      <c r="DT160" s="19">
        <v>4.089808146706587</v>
      </c>
      <c r="DU160" s="19">
        <v>3.9199898493146006</v>
      </c>
      <c r="DV160" s="19">
        <v>3.6739420307854003</v>
      </c>
      <c r="DW160" s="19">
        <v>3.6580278571186171</v>
      </c>
      <c r="DX160" s="19">
        <v>3.6359210128014214</v>
      </c>
      <c r="DY160" s="19">
        <v>3.2811560579285652</v>
      </c>
      <c r="DZ160" s="19">
        <v>3.2315753308601121</v>
      </c>
      <c r="EA160" s="19">
        <v>2.9484655534509487</v>
      </c>
      <c r="EB160" s="19">
        <v>2.7111528170519987</v>
      </c>
      <c r="EC160" s="19">
        <v>4.872727272727273</v>
      </c>
      <c r="ED160" s="19">
        <v>4.8566303090909093</v>
      </c>
      <c r="EE160" s="19">
        <v>4.9616735298245613</v>
      </c>
      <c r="EF160" s="19">
        <v>5.1101304546448088</v>
      </c>
      <c r="EG160" s="19">
        <v>4.6378891422885573</v>
      </c>
      <c r="EH160" s="19">
        <v>4.2046150500716957</v>
      </c>
      <c r="EI160" s="19">
        <v>3.8022111766467064</v>
      </c>
      <c r="EJ160" s="19">
        <v>3.6897304830350075</v>
      </c>
      <c r="EK160" s="19">
        <v>3.4706420032964269</v>
      </c>
      <c r="EL160" s="19">
        <v>3.4999394289131374</v>
      </c>
      <c r="EM160" s="19">
        <v>2.9475665620686891</v>
      </c>
      <c r="EN160" s="19">
        <v>2.8760360360909019</v>
      </c>
      <c r="EO160" s="19">
        <v>3.4527057810743074</v>
      </c>
      <c r="EP160" s="19">
        <v>1.9531981355358754</v>
      </c>
      <c r="EQ160" s="19">
        <v>2.1281274943992425</v>
      </c>
      <c r="ER160" s="19"/>
      <c r="ES160" s="16">
        <f t="shared" si="10"/>
        <v>4.1620982864100542</v>
      </c>
      <c r="ET160" s="16">
        <f t="shared" si="10"/>
        <v>3.5808318957520102</v>
      </c>
      <c r="EU160" s="16">
        <f t="shared" si="10"/>
        <v>5.1761100520729686</v>
      </c>
      <c r="EV160" s="16">
        <f t="shared" si="10"/>
        <v>3.8089705243781098</v>
      </c>
      <c r="EW160" s="16">
        <f t="shared" si="10"/>
        <v>3.6871994278606968</v>
      </c>
      <c r="EX160" s="16" t="str">
        <f t="shared" si="10"/>
        <v>.</v>
      </c>
      <c r="EY160" s="16">
        <f t="shared" si="10"/>
        <v>106.042133267894</v>
      </c>
      <c r="EZ160" s="16">
        <f t="shared" si="10"/>
        <v>4.8865445890547274</v>
      </c>
      <c r="FA160" s="16">
        <f t="shared" si="10"/>
        <v>5.0018715621890548</v>
      </c>
      <c r="FB160" s="16">
        <f t="shared" si="10"/>
        <v>4.6378891422885573</v>
      </c>
    </row>
    <row r="161" spans="1:158" x14ac:dyDescent="0.25">
      <c r="A161" s="17">
        <v>158</v>
      </c>
      <c r="B161" s="17" t="s">
        <v>193</v>
      </c>
      <c r="C161" s="17" t="s">
        <v>193</v>
      </c>
      <c r="D161" s="17" t="s">
        <v>7</v>
      </c>
      <c r="E161" s="16">
        <v>1</v>
      </c>
      <c r="F161" s="18">
        <v>4.4454422313689275</v>
      </c>
      <c r="G161" s="18">
        <v>4.2308261165706922</v>
      </c>
      <c r="H161" s="18">
        <v>4.278438716637023</v>
      </c>
      <c r="I161" s="18">
        <v>4.1619172238136333</v>
      </c>
      <c r="J161" s="18">
        <v>4.0929912751743807</v>
      </c>
      <c r="K161" s="18">
        <v>4.2521989631899864</v>
      </c>
      <c r="L161" s="18">
        <v>4.3592516612172885</v>
      </c>
      <c r="M161" s="18">
        <v>4.3052254374694838</v>
      </c>
      <c r="N161" s="18">
        <v>4.0653552352162183</v>
      </c>
      <c r="O161" s="18">
        <v>3.9538690362036832</v>
      </c>
      <c r="P161" s="18">
        <v>3.8090209082359499</v>
      </c>
      <c r="Q161" s="18">
        <v>4.461201500672793</v>
      </c>
      <c r="R161" s="18">
        <v>3.7038021960571115</v>
      </c>
      <c r="S161" s="18">
        <v>4.292507828342166</v>
      </c>
      <c r="T161" s="18">
        <v>3.5229331493452771</v>
      </c>
      <c r="U161" s="18">
        <v>3.3615990035083527</v>
      </c>
      <c r="V161" s="18">
        <v>3.1610557461247684</v>
      </c>
      <c r="W161" s="18">
        <v>3.1134884188530814</v>
      </c>
      <c r="X161" s="18">
        <v>3.1040277181905847</v>
      </c>
      <c r="Y161" s="18">
        <v>3.1490034406676113</v>
      </c>
      <c r="Z161" s="18">
        <v>3.3314535378589865</v>
      </c>
      <c r="AA161" s="18">
        <v>3.4694392265671588</v>
      </c>
      <c r="AB161" s="18">
        <v>3.415476742310759</v>
      </c>
      <c r="AC161" s="18">
        <v>3.353324911123488</v>
      </c>
      <c r="AD161" s="19">
        <v>3.3080648837037048</v>
      </c>
      <c r="AE161" s="19">
        <v>3.1788561714721006</v>
      </c>
      <c r="AF161" s="19">
        <v>3.2829533521072491</v>
      </c>
      <c r="AG161" s="19">
        <v>3.0453041508664329</v>
      </c>
      <c r="AH161" s="19">
        <v>3.8764210403487027</v>
      </c>
      <c r="AI161" s="19">
        <v>3.1346319430062923</v>
      </c>
      <c r="AJ161" s="19">
        <v>5.1411010109289617</v>
      </c>
      <c r="AK161" s="19">
        <v>5.1036327851405625</v>
      </c>
      <c r="AL161" s="19">
        <v>5.1333827111788617</v>
      </c>
      <c r="AM161" s="19">
        <v>5.2108040664804465</v>
      </c>
      <c r="AN161" s="19">
        <v>5.2033812193039219</v>
      </c>
      <c r="AO161" s="19">
        <v>4.9682107338958623</v>
      </c>
      <c r="AP161" s="19">
        <v>4.7249217274712354</v>
      </c>
      <c r="AQ161" s="19">
        <v>4.4847492806469527</v>
      </c>
      <c r="AR161" s="19">
        <v>4.4552393248161257</v>
      </c>
      <c r="AS161" s="19">
        <v>4.2297938006363349</v>
      </c>
      <c r="AT161" s="19">
        <v>5.1479969873834328</v>
      </c>
      <c r="AU161" s="19">
        <v>4.9720892417300142</v>
      </c>
      <c r="AV161" s="19">
        <v>2.9373301777713543</v>
      </c>
      <c r="AW161" s="19">
        <v>2.7365182122069087</v>
      </c>
      <c r="AX161" s="19">
        <v>2.9238005346820808</v>
      </c>
      <c r="AY161" s="19">
        <v>3.0805666131147538</v>
      </c>
      <c r="AZ161" s="19">
        <v>3.0056942819277106</v>
      </c>
      <c r="BA161" s="19">
        <v>3.2897775914634142</v>
      </c>
      <c r="BB161" s="19">
        <v>3.5011293122905025</v>
      </c>
      <c r="BC161" s="19">
        <v>3.475518688330665</v>
      </c>
      <c r="BD161" s="19">
        <v>3.4701322234862033</v>
      </c>
      <c r="BE161" s="19">
        <v>3.4473620247550123</v>
      </c>
      <c r="BF161" s="19">
        <v>6.5503926223466511</v>
      </c>
      <c r="BG161" s="19">
        <v>5.3891801021832144</v>
      </c>
      <c r="BH161" s="19">
        <v>6.3620766843080405</v>
      </c>
      <c r="BI161" s="19">
        <v>6.4156843841302598</v>
      </c>
      <c r="BJ161" s="19">
        <v>5.425545841401318</v>
      </c>
      <c r="BK161" s="19">
        <v>3.9246106198457689</v>
      </c>
      <c r="BL161" s="19">
        <v>3.4802944284589223</v>
      </c>
      <c r="BM161" s="19">
        <v>3.0528695473988434</v>
      </c>
      <c r="BN161" s="19">
        <v>2.8532322163934429</v>
      </c>
      <c r="BO161" s="19">
        <v>3.0436835277108436</v>
      </c>
      <c r="BP161" s="19">
        <v>3.2828891573170731</v>
      </c>
      <c r="BQ161" s="19">
        <v>3.3037629765363126</v>
      </c>
      <c r="BR161" s="19">
        <v>3.4565022899398805</v>
      </c>
      <c r="BS161" s="19">
        <v>3.5084177806363464</v>
      </c>
      <c r="BT161" s="19">
        <v>3.4332580349794246</v>
      </c>
      <c r="BU161" s="19">
        <v>3.0963270694345408</v>
      </c>
      <c r="BV161" s="19">
        <v>3.8954407630063663</v>
      </c>
      <c r="BW161" s="19">
        <v>2.7102137425967761</v>
      </c>
      <c r="BX161" s="19">
        <v>4.3818448348638341</v>
      </c>
      <c r="BY161" s="19">
        <v>3.7155440579080992</v>
      </c>
      <c r="BZ161" s="19">
        <v>8.7653943674541601</v>
      </c>
      <c r="CA161" s="19">
        <v>16.3227762809294</v>
      </c>
      <c r="CB161" s="19">
        <v>32.259830532331002</v>
      </c>
      <c r="CC161" s="19">
        <v>42.671324638019797</v>
      </c>
      <c r="CD161" s="19">
        <v>50.941836883622699</v>
      </c>
      <c r="CE161" s="19">
        <v>63.7082049408099</v>
      </c>
      <c r="CF161" s="19">
        <v>76.046585490268924</v>
      </c>
      <c r="CG161" s="19">
        <v>86.473460587262821</v>
      </c>
      <c r="CH161" s="19">
        <v>97.372611508102551</v>
      </c>
      <c r="CI161" s="19">
        <v>108.77447965615471</v>
      </c>
      <c r="CJ161" s="19">
        <v>59.580918286021401</v>
      </c>
      <c r="CK161" s="19">
        <v>70.998008728027301</v>
      </c>
      <c r="CL161" s="19">
        <v>86.804962158203097</v>
      </c>
      <c r="CM161" s="19">
        <v>83.912269592285199</v>
      </c>
      <c r="CN161" s="19">
        <v>84.904001349785005</v>
      </c>
      <c r="CO161" s="19">
        <v>88.704648787046594</v>
      </c>
      <c r="CP161" s="19">
        <v>90.835677587541994</v>
      </c>
      <c r="CQ161" s="19">
        <v>92.964971033117607</v>
      </c>
      <c r="CR161" s="19">
        <v>94.793302795916802</v>
      </c>
      <c r="CS161" s="19">
        <v>96.021348613033695</v>
      </c>
      <c r="CT161" s="19">
        <v>101.84583670727932</v>
      </c>
      <c r="CU161" s="19">
        <v>107.07854555076584</v>
      </c>
      <c r="CV161" s="19">
        <v>108.5786803450678</v>
      </c>
      <c r="CW161" s="19">
        <v>110.69430895438418</v>
      </c>
      <c r="CX161" s="19">
        <v>119.59870952969872</v>
      </c>
      <c r="CY161" s="19">
        <v>4.7956838036383491</v>
      </c>
      <c r="CZ161" s="19">
        <v>4.2030537885448362</v>
      </c>
      <c r="DA161" s="19">
        <v>3.8994542358381499</v>
      </c>
      <c r="DB161" s="19">
        <v>4.0473044688524586</v>
      </c>
      <c r="DC161" s="19">
        <v>4.2081331222891567</v>
      </c>
      <c r="DD161" s="19">
        <v>4.5447504085365846</v>
      </c>
      <c r="DE161" s="19">
        <v>4.6751433346368714</v>
      </c>
      <c r="DF161" s="19">
        <v>4.56177933307029</v>
      </c>
      <c r="DG161" s="19">
        <v>4.4295354369091013</v>
      </c>
      <c r="DH161" s="19">
        <v>4.3544893814296257</v>
      </c>
      <c r="DI161" s="19">
        <v>4.7168605500857144</v>
      </c>
      <c r="DJ161" s="19">
        <v>4.5771466820323008</v>
      </c>
      <c r="DK161" s="19">
        <v>3.6298408117786862</v>
      </c>
      <c r="DL161" s="19">
        <v>4.6532652478485836</v>
      </c>
      <c r="DM161" s="19">
        <v>3.7736634980530321</v>
      </c>
      <c r="DN161" s="19">
        <v>3.7323354771884185</v>
      </c>
      <c r="DO161" s="19">
        <v>3.4879151547521032</v>
      </c>
      <c r="DP161" s="19">
        <v>4.1576068728323694</v>
      </c>
      <c r="DQ161" s="19">
        <v>5.0999515737704915</v>
      </c>
      <c r="DR161" s="19">
        <v>5.3102100668674694</v>
      </c>
      <c r="DS161" s="19">
        <v>5.2607655908536586</v>
      </c>
      <c r="DT161" s="19">
        <v>5.127947949162011</v>
      </c>
      <c r="DU161" s="19">
        <v>5.1001250510714016</v>
      </c>
      <c r="DV161" s="19">
        <v>4.893728149146364</v>
      </c>
      <c r="DW161" s="19">
        <v>4.9767904069365523</v>
      </c>
      <c r="DX161" s="19">
        <v>5.6598836917293101</v>
      </c>
      <c r="DY161" s="19">
        <v>5.1275300423459305</v>
      </c>
      <c r="DZ161" s="19">
        <v>6.4888334680668143</v>
      </c>
      <c r="EA161" s="19">
        <v>7</v>
      </c>
      <c r="EB161" s="19">
        <v>4.9972707796586846</v>
      </c>
      <c r="EC161" s="19">
        <v>4.0124400804547866</v>
      </c>
      <c r="ED161" s="19">
        <v>3.9412076236978701</v>
      </c>
      <c r="EE161" s="19">
        <v>4.2694208115606926</v>
      </c>
      <c r="EF161" s="19">
        <v>4.6965334163934429</v>
      </c>
      <c r="EG161" s="19">
        <v>4.755711774096385</v>
      </c>
      <c r="EH161" s="19">
        <v>4.8704807420731697</v>
      </c>
      <c r="EI161" s="19">
        <v>4.8566423642458094</v>
      </c>
      <c r="EJ161" s="19">
        <v>4.8848421706181453</v>
      </c>
      <c r="EK161" s="19">
        <v>4.8744453374405357</v>
      </c>
      <c r="EL161" s="19">
        <v>5.0401892743459555</v>
      </c>
      <c r="EM161" s="19">
        <v>5.3964082104544007</v>
      </c>
      <c r="EN161" s="19">
        <v>5.3992111106290759</v>
      </c>
      <c r="EO161" s="19">
        <v>5.8040644979967446</v>
      </c>
      <c r="EP161" s="19">
        <v>5.0514231319325154</v>
      </c>
      <c r="EQ161" s="19">
        <v>5.6494391789780902</v>
      </c>
      <c r="ER161" s="19"/>
      <c r="ES161" s="16">
        <f t="shared" si="10"/>
        <v>4.0929912751743807</v>
      </c>
      <c r="ET161" s="16">
        <f t="shared" si="10"/>
        <v>3.1490034406676113</v>
      </c>
      <c r="EU161" s="16">
        <f t="shared" si="10"/>
        <v>5.1036327851405625</v>
      </c>
      <c r="EV161" s="16">
        <f t="shared" si="10"/>
        <v>3.0056942819277106</v>
      </c>
      <c r="EW161" s="16">
        <f t="shared" si="10"/>
        <v>3.0436835277108436</v>
      </c>
      <c r="EX161" s="16" t="str">
        <f t="shared" si="10"/>
        <v>.</v>
      </c>
      <c r="EY161" s="16">
        <f t="shared" si="10"/>
        <v>84.904001349785005</v>
      </c>
      <c r="EZ161" s="16">
        <f t="shared" si="10"/>
        <v>4.2081331222891567</v>
      </c>
      <c r="FA161" s="16">
        <f t="shared" si="10"/>
        <v>5.3102100668674694</v>
      </c>
      <c r="FB161" s="16">
        <f t="shared" si="10"/>
        <v>4.755711774096385</v>
      </c>
    </row>
    <row r="162" spans="1:158" x14ac:dyDescent="0.25">
      <c r="A162" s="17">
        <v>159</v>
      </c>
      <c r="B162" s="17" t="s">
        <v>194</v>
      </c>
      <c r="C162" s="17" t="s">
        <v>194</v>
      </c>
      <c r="D162" s="17" t="s">
        <v>25</v>
      </c>
      <c r="E162" s="16">
        <v>0</v>
      </c>
      <c r="F162" s="18">
        <v>4.05</v>
      </c>
      <c r="G162" s="18">
        <v>4.1399999999999997</v>
      </c>
      <c r="H162" s="18">
        <v>4.07</v>
      </c>
      <c r="I162" s="18">
        <v>3.46</v>
      </c>
      <c r="J162" s="18">
        <v>3.41</v>
      </c>
      <c r="K162" s="18">
        <v>3.79</v>
      </c>
      <c r="L162" s="18">
        <v>4.24</v>
      </c>
      <c r="M162" s="18">
        <v>4.08</v>
      </c>
      <c r="N162" s="18">
        <v>3.55</v>
      </c>
      <c r="O162" s="18">
        <v>4.0599999999999996</v>
      </c>
      <c r="P162" s="18">
        <v>4.5</v>
      </c>
      <c r="Q162" s="18">
        <v>4.43</v>
      </c>
      <c r="R162" s="18">
        <v>3.86</v>
      </c>
      <c r="S162" s="18">
        <v>4.26</v>
      </c>
      <c r="T162" s="18">
        <v>3.55</v>
      </c>
      <c r="U162" s="18">
        <v>3.9</v>
      </c>
      <c r="V162" s="18">
        <v>3.18</v>
      </c>
      <c r="W162" s="18">
        <v>3.23</v>
      </c>
      <c r="X162" s="18">
        <v>3.08</v>
      </c>
      <c r="Y162" s="18">
        <v>2.98</v>
      </c>
      <c r="Z162" s="18">
        <v>3.51</v>
      </c>
      <c r="AA162" s="18">
        <v>3.69</v>
      </c>
      <c r="AB162" s="18">
        <v>3.75</v>
      </c>
      <c r="AC162" s="18">
        <v>2.98</v>
      </c>
      <c r="AD162" s="19">
        <v>3.73</v>
      </c>
      <c r="AE162" s="19">
        <v>3.21</v>
      </c>
      <c r="AF162" s="19">
        <v>2.2200000000000002</v>
      </c>
      <c r="AG162" s="19">
        <v>3.54</v>
      </c>
      <c r="AH162" s="19">
        <v>3.72</v>
      </c>
      <c r="AI162" s="19">
        <v>3.38</v>
      </c>
      <c r="AJ162" s="19">
        <v>4.97</v>
      </c>
      <c r="AK162" s="19">
        <v>5.27</v>
      </c>
      <c r="AL162" s="19">
        <v>3.67</v>
      </c>
      <c r="AM162" s="19">
        <v>4.4400000000000004</v>
      </c>
      <c r="AN162" s="19">
        <v>5.17</v>
      </c>
      <c r="AO162" s="19">
        <v>5.38</v>
      </c>
      <c r="AP162" s="19">
        <v>4.5999999999999996</v>
      </c>
      <c r="AQ162" s="19">
        <v>5.58</v>
      </c>
      <c r="AR162" s="19">
        <v>5.39</v>
      </c>
      <c r="AS162" s="19">
        <v>4.71</v>
      </c>
      <c r="AT162" s="19">
        <v>3.9</v>
      </c>
      <c r="AU162" s="19">
        <v>4.74</v>
      </c>
      <c r="AV162" s="19">
        <v>3.83</v>
      </c>
      <c r="AW162" s="19">
        <v>2.48</v>
      </c>
      <c r="AX162" s="19">
        <v>3.12</v>
      </c>
      <c r="AY162" s="19">
        <v>4.54</v>
      </c>
      <c r="AZ162" s="19">
        <v>4.05</v>
      </c>
      <c r="BA162" s="19">
        <v>3.41</v>
      </c>
      <c r="BB162" s="19">
        <v>4.0999999999999996</v>
      </c>
      <c r="BC162" s="19">
        <v>3.8</v>
      </c>
      <c r="BD162" s="19">
        <v>4.3499999999999996</v>
      </c>
      <c r="BE162" s="19">
        <v>4.2699999999999996</v>
      </c>
      <c r="BF162" s="19">
        <v>3.58</v>
      </c>
      <c r="BG162" s="19">
        <v>4.67</v>
      </c>
      <c r="BH162" s="19">
        <v>5.97</v>
      </c>
      <c r="BI162" s="19">
        <v>5.35</v>
      </c>
      <c r="BJ162" s="19">
        <v>5.81</v>
      </c>
      <c r="BK162" s="19">
        <v>2.19</v>
      </c>
      <c r="BL162" s="19">
        <v>3.72</v>
      </c>
      <c r="BM162" s="19">
        <v>3.64</v>
      </c>
      <c r="BN162" s="19">
        <v>3.5</v>
      </c>
      <c r="BO162" s="19">
        <v>4.24</v>
      </c>
      <c r="BP162" s="19">
        <v>2.65</v>
      </c>
      <c r="BQ162" s="19">
        <v>3.59</v>
      </c>
      <c r="BR162" s="19">
        <v>3.09</v>
      </c>
      <c r="BS162" s="19">
        <v>2.46</v>
      </c>
      <c r="BT162" s="19">
        <v>3.38</v>
      </c>
      <c r="BU162" s="19">
        <v>2.87</v>
      </c>
      <c r="BV162" s="19">
        <v>3.77</v>
      </c>
      <c r="BW162" s="19">
        <v>3.27</v>
      </c>
      <c r="BX162" s="19">
        <v>3.63</v>
      </c>
      <c r="BY162" s="19">
        <v>3.26</v>
      </c>
      <c r="BZ162" s="19">
        <v>25.77</v>
      </c>
      <c r="CA162" s="19">
        <v>45.67</v>
      </c>
      <c r="CB162" s="19">
        <v>1</v>
      </c>
      <c r="CC162" s="19">
        <v>41.56</v>
      </c>
      <c r="CD162" s="19">
        <v>57.35</v>
      </c>
      <c r="CE162" s="19">
        <v>67.37</v>
      </c>
      <c r="CF162" s="19">
        <v>1</v>
      </c>
      <c r="CG162" s="19">
        <v>129.99</v>
      </c>
      <c r="CH162" s="19">
        <v>174.47</v>
      </c>
      <c r="CI162" s="19">
        <v>186.57</v>
      </c>
      <c r="CJ162" s="19">
        <v>44.94</v>
      </c>
      <c r="CK162" s="19">
        <v>81.25</v>
      </c>
      <c r="CL162" s="19">
        <v>84.92</v>
      </c>
      <c r="CM162" s="19">
        <v>110.31</v>
      </c>
      <c r="CN162" s="19">
        <v>146.94</v>
      </c>
      <c r="CO162" s="19">
        <v>102.85</v>
      </c>
      <c r="CP162" s="19">
        <v>122.57</v>
      </c>
      <c r="CQ162" s="19">
        <v>118.96</v>
      </c>
      <c r="CR162" s="19">
        <v>123.65</v>
      </c>
      <c r="CS162" s="19">
        <v>114.18</v>
      </c>
      <c r="CT162" s="19">
        <v>150.53</v>
      </c>
      <c r="CU162" s="19">
        <v>110.78</v>
      </c>
      <c r="CV162" s="19">
        <v>175.68</v>
      </c>
      <c r="CW162" s="19">
        <v>42.97</v>
      </c>
      <c r="CX162" s="19">
        <v>200</v>
      </c>
      <c r="CY162" s="19">
        <v>4.01</v>
      </c>
      <c r="CZ162" s="19">
        <v>5.16</v>
      </c>
      <c r="DA162" s="19">
        <v>3.23</v>
      </c>
      <c r="DB162" s="19">
        <v>4.2</v>
      </c>
      <c r="DC162" s="19">
        <v>3.92</v>
      </c>
      <c r="DD162" s="19">
        <v>5.18</v>
      </c>
      <c r="DE162" s="19">
        <v>5.38</v>
      </c>
      <c r="DF162" s="19">
        <v>5.39</v>
      </c>
      <c r="DG162" s="19">
        <v>4.6500000000000004</v>
      </c>
      <c r="DH162" s="19">
        <v>5.34</v>
      </c>
      <c r="DI162" s="19">
        <v>3.62</v>
      </c>
      <c r="DJ162" s="19">
        <v>3.99</v>
      </c>
      <c r="DK162" s="19">
        <v>4.3099999999999996</v>
      </c>
      <c r="DL162" s="19">
        <v>4.88</v>
      </c>
      <c r="DM162" s="19">
        <v>4.6399999999999997</v>
      </c>
      <c r="DN162" s="19">
        <v>4.62</v>
      </c>
      <c r="DO162" s="19">
        <v>3.62</v>
      </c>
      <c r="DP162" s="19">
        <v>4.78</v>
      </c>
      <c r="DQ162" s="19">
        <v>5.61</v>
      </c>
      <c r="DR162" s="19">
        <v>4.57</v>
      </c>
      <c r="DS162" s="19">
        <v>5.0199999999999996</v>
      </c>
      <c r="DT162" s="19">
        <v>4.7</v>
      </c>
      <c r="DU162" s="19">
        <v>5.1100000000000003</v>
      </c>
      <c r="DV162" s="19">
        <v>3.7</v>
      </c>
      <c r="DW162" s="19">
        <v>5.16</v>
      </c>
      <c r="DX162" s="19">
        <v>4.4400000000000004</v>
      </c>
      <c r="DY162" s="19">
        <v>3.01</v>
      </c>
      <c r="DZ162" s="19">
        <v>4.8099999999999996</v>
      </c>
      <c r="EA162" s="19">
        <v>5.08</v>
      </c>
      <c r="EB162" s="19">
        <v>5.36</v>
      </c>
      <c r="EC162" s="19">
        <v>5.0999999999999996</v>
      </c>
      <c r="ED162" s="19">
        <v>3.96</v>
      </c>
      <c r="EE162" s="19">
        <v>4.2699999999999996</v>
      </c>
      <c r="EF162" s="19">
        <v>3.59</v>
      </c>
      <c r="EG162" s="19">
        <v>3.12</v>
      </c>
      <c r="EH162" s="19">
        <v>4.2300000000000004</v>
      </c>
      <c r="EI162" s="19">
        <v>3.57</v>
      </c>
      <c r="EJ162" s="19">
        <v>5.56</v>
      </c>
      <c r="EK162" s="19">
        <v>4.42</v>
      </c>
      <c r="EL162" s="19">
        <v>4.28</v>
      </c>
      <c r="EM162" s="19">
        <v>5.59</v>
      </c>
      <c r="EN162" s="19">
        <v>3.89</v>
      </c>
      <c r="EO162" s="19">
        <v>5.12</v>
      </c>
      <c r="EP162" s="19">
        <v>2.58</v>
      </c>
      <c r="EQ162" s="19">
        <v>4.66</v>
      </c>
      <c r="ER162" s="19"/>
      <c r="ES162" s="16">
        <f t="shared" si="10"/>
        <v>3.41</v>
      </c>
      <c r="ET162" s="16">
        <f t="shared" si="10"/>
        <v>2.98</v>
      </c>
      <c r="EU162" s="16">
        <f t="shared" si="10"/>
        <v>5.27</v>
      </c>
      <c r="EV162" s="16">
        <f t="shared" si="10"/>
        <v>4.05</v>
      </c>
      <c r="EW162" s="16">
        <f t="shared" si="10"/>
        <v>4.24</v>
      </c>
      <c r="EX162" s="16" t="str">
        <f t="shared" si="10"/>
        <v>.</v>
      </c>
      <c r="EY162" s="16">
        <f t="shared" si="10"/>
        <v>146.94</v>
      </c>
      <c r="EZ162" s="16">
        <f t="shared" si="10"/>
        <v>3.92</v>
      </c>
      <c r="FA162" s="16">
        <f t="shared" si="10"/>
        <v>4.57</v>
      </c>
      <c r="FB162" s="16">
        <f t="shared" si="10"/>
        <v>3.12</v>
      </c>
    </row>
    <row r="163" spans="1:158" x14ac:dyDescent="0.25">
      <c r="A163" s="17">
        <v>160</v>
      </c>
      <c r="B163" s="17" t="s">
        <v>195</v>
      </c>
      <c r="C163" s="17" t="s">
        <v>195</v>
      </c>
      <c r="D163" s="17" t="s">
        <v>14</v>
      </c>
      <c r="E163" s="16">
        <v>1</v>
      </c>
      <c r="F163" s="18">
        <v>3.5437908179352542</v>
      </c>
      <c r="G163" s="18">
        <v>3.5654814347106956</v>
      </c>
      <c r="H163" s="18">
        <v>3.4075904903941834</v>
      </c>
      <c r="I163" s="18">
        <v>3.2335293476747426</v>
      </c>
      <c r="J163" s="18">
        <v>3.3253973116252173</v>
      </c>
      <c r="K163" s="18">
        <v>3.5232495419336383</v>
      </c>
      <c r="L163" s="18">
        <v>3.5494945877480584</v>
      </c>
      <c r="M163" s="18">
        <v>3.5267930653017969</v>
      </c>
      <c r="N163" s="18">
        <v>3.5397713299510216</v>
      </c>
      <c r="O163" s="18">
        <v>3.489476245296161</v>
      </c>
      <c r="P163" s="18">
        <v>3.5674590596636246</v>
      </c>
      <c r="Q163" s="18">
        <v>3.369433050044603</v>
      </c>
      <c r="R163" s="18">
        <v>3.0003640892358119</v>
      </c>
      <c r="S163" s="18">
        <v>3.2493602146728207</v>
      </c>
      <c r="T163" s="18">
        <v>3.7152587794277014</v>
      </c>
      <c r="U163" s="18">
        <v>3.1017230769999533</v>
      </c>
      <c r="V163" s="18">
        <v>3.068996648693282</v>
      </c>
      <c r="W163" s="18">
        <v>2.863965098441128</v>
      </c>
      <c r="X163" s="18">
        <v>2.76122436659612</v>
      </c>
      <c r="Y163" s="18">
        <v>2.9545964545054946</v>
      </c>
      <c r="Z163" s="18">
        <v>3.0242522481848511</v>
      </c>
      <c r="AA163" s="18">
        <v>3.0393527395514446</v>
      </c>
      <c r="AB163" s="18">
        <v>3.0635864513522235</v>
      </c>
      <c r="AC163" s="18">
        <v>3.1571216692094666</v>
      </c>
      <c r="AD163" s="19">
        <v>3.2598889970750733</v>
      </c>
      <c r="AE163" s="19">
        <v>3.2871537478829165</v>
      </c>
      <c r="AF163" s="19">
        <v>3.1623688417865239</v>
      </c>
      <c r="AG163" s="19">
        <v>2.5318986823850596</v>
      </c>
      <c r="AH163" s="19">
        <v>3.0235545015492051</v>
      </c>
      <c r="AI163" s="19">
        <v>3.1590482996024716</v>
      </c>
      <c r="AJ163" s="19">
        <v>4.5732162345679015</v>
      </c>
      <c r="AK163" s="19">
        <v>4.6298212637362637</v>
      </c>
      <c r="AL163" s="19">
        <v>4.5149163673913044</v>
      </c>
      <c r="AM163" s="19">
        <v>4.3829833038251369</v>
      </c>
      <c r="AN163" s="19">
        <v>4.3877501263116718</v>
      </c>
      <c r="AO163" s="19">
        <v>4.2706101024539267</v>
      </c>
      <c r="AP163" s="19">
        <v>4.1627731512978441</v>
      </c>
      <c r="AQ163" s="19">
        <v>3.7625405364298716</v>
      </c>
      <c r="AR163" s="19">
        <v>3.9761467378035604</v>
      </c>
      <c r="AS163" s="19">
        <v>4.0355619326993626</v>
      </c>
      <c r="AT163" s="19">
        <v>4.0207447166401993</v>
      </c>
      <c r="AU163" s="19">
        <v>3.9925404084703162</v>
      </c>
      <c r="AV163" s="19">
        <v>3.5516737195388877</v>
      </c>
      <c r="AW163" s="19">
        <v>3.678515324242424</v>
      </c>
      <c r="AX163" s="19">
        <v>3.6996703253731344</v>
      </c>
      <c r="AY163" s="19">
        <v>3.9150356185185187</v>
      </c>
      <c r="AZ163" s="19">
        <v>3.9315896461538462</v>
      </c>
      <c r="BA163" s="19">
        <v>3.8333659510869569</v>
      </c>
      <c r="BB163" s="19">
        <v>3.7850946950819671</v>
      </c>
      <c r="BC163" s="19">
        <v>3.733713050124972</v>
      </c>
      <c r="BD163" s="19">
        <v>3.7160513754813906</v>
      </c>
      <c r="BE163" s="19">
        <v>3.7436029633926471</v>
      </c>
      <c r="BF163" s="19">
        <v>3.7652797845557231</v>
      </c>
      <c r="BG163" s="19">
        <v>4.0356151214318823</v>
      </c>
      <c r="BH163" s="19">
        <v>4.1871769668553869</v>
      </c>
      <c r="BI163" s="19">
        <v>3.9718218947775457</v>
      </c>
      <c r="BJ163" s="19">
        <v>3.7173131574599969</v>
      </c>
      <c r="BK163" s="19">
        <v>2.757447582263242</v>
      </c>
      <c r="BL163" s="19">
        <v>2.4865068424242422</v>
      </c>
      <c r="BM163" s="19">
        <v>2.417316800995025</v>
      </c>
      <c r="BN163" s="19">
        <v>2.4029436650793654</v>
      </c>
      <c r="BO163" s="19">
        <v>2.4885293164835165</v>
      </c>
      <c r="BP163" s="19">
        <v>2.5063729478260868</v>
      </c>
      <c r="BQ163" s="19">
        <v>2.4458124262295078</v>
      </c>
      <c r="BR163" s="19">
        <v>2.4416584144242579</v>
      </c>
      <c r="BS163" s="19">
        <v>2.491785820837944</v>
      </c>
      <c r="BT163" s="19">
        <v>2.5479517110355236</v>
      </c>
      <c r="BU163" s="19">
        <v>2.5033786115510197</v>
      </c>
      <c r="BV163" s="19">
        <v>2.700184388696742</v>
      </c>
      <c r="BW163" s="19">
        <v>2.4914805622227258</v>
      </c>
      <c r="BX163" s="19">
        <v>2.4490497306950938</v>
      </c>
      <c r="BY163" s="19">
        <v>1.8372097175781863</v>
      </c>
      <c r="BZ163" s="19">
        <v>2.8325775687964998</v>
      </c>
      <c r="CA163" s="19">
        <v>7.5593238220276797</v>
      </c>
      <c r="CB163" s="19">
        <v>7.4085604247636496</v>
      </c>
      <c r="CC163" s="19">
        <v>14.660793215555399</v>
      </c>
      <c r="CD163" s="19">
        <v>18.309190179421901</v>
      </c>
      <c r="CE163" s="19">
        <v>21.042488060495614</v>
      </c>
      <c r="CF163" s="19">
        <v>25.084256589488604</v>
      </c>
      <c r="CG163" s="19">
        <v>26.526783575493983</v>
      </c>
      <c r="CH163" s="19">
        <v>33.293965315051707</v>
      </c>
      <c r="CI163" s="19">
        <v>36.782896775785161</v>
      </c>
      <c r="CJ163" s="19">
        <v>4.5644417942403201</v>
      </c>
      <c r="CK163" s="19">
        <v>6.7282433509826696</v>
      </c>
      <c r="CL163" s="19">
        <v>26.8155632019043</v>
      </c>
      <c r="CM163" s="19">
        <v>28.687780380248999</v>
      </c>
      <c r="CN163" s="19">
        <v>38.379613054220997</v>
      </c>
      <c r="CO163" s="19">
        <v>48.384168803656898</v>
      </c>
      <c r="CP163" s="19">
        <v>45.917850596854798</v>
      </c>
      <c r="CQ163" s="19">
        <v>44.090690738062499</v>
      </c>
      <c r="CR163" s="19">
        <v>52.429239629144099</v>
      </c>
      <c r="CS163" s="19">
        <v>50.372788478847497</v>
      </c>
      <c r="CT163" s="19">
        <v>60.739317270247845</v>
      </c>
      <c r="CU163" s="19">
        <v>71.721454481364432</v>
      </c>
      <c r="CV163" s="19">
        <v>72.847758680055861</v>
      </c>
      <c r="CW163" s="19">
        <v>85.239715386713144</v>
      </c>
      <c r="CX163" s="19">
        <v>88.051908478156591</v>
      </c>
      <c r="CY163" s="19">
        <v>3.5868145337808257</v>
      </c>
      <c r="CZ163" s="19">
        <v>3.5790682151515152</v>
      </c>
      <c r="DA163" s="19">
        <v>3.5312734000000003</v>
      </c>
      <c r="DB163" s="19">
        <v>3.8144967132275132</v>
      </c>
      <c r="DC163" s="19">
        <v>4.1190272835164832</v>
      </c>
      <c r="DD163" s="19">
        <v>4.0670052750000005</v>
      </c>
      <c r="DE163" s="19">
        <v>3.662801386885246</v>
      </c>
      <c r="DF163" s="19">
        <v>3.4016665541600464</v>
      </c>
      <c r="DG163" s="19">
        <v>3.8911804752965127</v>
      </c>
      <c r="DH163" s="19">
        <v>4.2367914694141966</v>
      </c>
      <c r="DI163" s="19">
        <v>4.6034575167958263</v>
      </c>
      <c r="DJ163" s="19">
        <v>3.2609482445716793</v>
      </c>
      <c r="DK163" s="19">
        <v>3.0245865613134684</v>
      </c>
      <c r="DL163" s="19">
        <v>4.1537380073319694</v>
      </c>
      <c r="DM163" s="19">
        <v>5.0036191350157395</v>
      </c>
      <c r="DN163" s="19">
        <v>2.6990616125447584</v>
      </c>
      <c r="DO163" s="19">
        <v>2.5661383776223778</v>
      </c>
      <c r="DP163" s="19">
        <v>2.8650687781094533</v>
      </c>
      <c r="DQ163" s="19">
        <v>3.4283987883597886</v>
      </c>
      <c r="DR163" s="19">
        <v>3.5661080065934065</v>
      </c>
      <c r="DS163" s="19">
        <v>3.3781523163043481</v>
      </c>
      <c r="DT163" s="19">
        <v>3.4053117836065576</v>
      </c>
      <c r="DU163" s="19">
        <v>3.5107488918865766</v>
      </c>
      <c r="DV163" s="19">
        <v>3.5394170638053648</v>
      </c>
      <c r="DW163" s="19">
        <v>3.379934608998723</v>
      </c>
      <c r="DX163" s="19">
        <v>3.7875721693244522</v>
      </c>
      <c r="DY163" s="19">
        <v>3.5165868940437846</v>
      </c>
      <c r="DZ163" s="19">
        <v>3.6277224753607338</v>
      </c>
      <c r="EA163" s="19">
        <v>4.1696496950545017</v>
      </c>
      <c r="EB163" s="19">
        <v>4.1563825689815825</v>
      </c>
      <c r="EC163" s="19">
        <v>2.5435250143115313</v>
      </c>
      <c r="ED163" s="19">
        <v>2.4609900286713287</v>
      </c>
      <c r="EE163" s="19">
        <v>2.5049153741293533</v>
      </c>
      <c r="EF163" s="19">
        <v>2.7175329291005292</v>
      </c>
      <c r="EG163" s="19">
        <v>2.9532910065934068</v>
      </c>
      <c r="EH163" s="19">
        <v>2.9064443728260869</v>
      </c>
      <c r="EI163" s="19">
        <v>3.0401992327868852</v>
      </c>
      <c r="EJ163" s="19">
        <v>3.2014189331702561</v>
      </c>
      <c r="EK163" s="19">
        <v>3.4126262710940454</v>
      </c>
      <c r="EL163" s="19">
        <v>3.4758896473190548</v>
      </c>
      <c r="EM163" s="19">
        <v>3.4758404834755305</v>
      </c>
      <c r="EN163" s="19">
        <v>3.1799244589425717</v>
      </c>
      <c r="EO163" s="19">
        <v>3.4151891021006979</v>
      </c>
      <c r="EP163" s="19">
        <v>3.5927418387823371</v>
      </c>
      <c r="EQ163" s="19">
        <v>3.9039456673803294</v>
      </c>
      <c r="ER163" s="19"/>
      <c r="ES163" s="16">
        <f t="shared" si="10"/>
        <v>3.3253973116252173</v>
      </c>
      <c r="ET163" s="16">
        <f t="shared" si="10"/>
        <v>2.9545964545054946</v>
      </c>
      <c r="EU163" s="16">
        <f t="shared" si="10"/>
        <v>4.6298212637362637</v>
      </c>
      <c r="EV163" s="16">
        <f t="shared" si="10"/>
        <v>3.9315896461538462</v>
      </c>
      <c r="EW163" s="16">
        <f t="shared" si="10"/>
        <v>2.4885293164835165</v>
      </c>
      <c r="EX163" s="16" t="str">
        <f t="shared" si="10"/>
        <v>.</v>
      </c>
      <c r="EY163" s="16">
        <f t="shared" si="10"/>
        <v>38.379613054220997</v>
      </c>
      <c r="EZ163" s="16">
        <f t="shared" si="10"/>
        <v>4.1190272835164832</v>
      </c>
      <c r="FA163" s="16">
        <f t="shared" si="10"/>
        <v>3.5661080065934065</v>
      </c>
      <c r="FB163" s="16">
        <f t="shared" si="10"/>
        <v>2.9532910065934068</v>
      </c>
    </row>
    <row r="164" spans="1:158" x14ac:dyDescent="0.25">
      <c r="A164" s="17">
        <v>161</v>
      </c>
      <c r="B164" s="17" t="s">
        <v>196</v>
      </c>
      <c r="C164" s="17" t="s">
        <v>196</v>
      </c>
      <c r="D164" s="17" t="s">
        <v>7</v>
      </c>
      <c r="E164" s="16">
        <v>1</v>
      </c>
      <c r="F164" s="18">
        <v>3.8282909878386828</v>
      </c>
      <c r="G164" s="18">
        <v>3.9146371921519107</v>
      </c>
      <c r="H164" s="18">
        <v>3.6336846757976562</v>
      </c>
      <c r="I164" s="18">
        <v>3.4763799986905064</v>
      </c>
      <c r="J164" s="18">
        <v>3.4762592421052632</v>
      </c>
      <c r="K164" s="18">
        <v>3.6967237337781076</v>
      </c>
      <c r="L164" s="18">
        <v>3.682108904826582</v>
      </c>
      <c r="M164" s="18">
        <v>3.6633552458664771</v>
      </c>
      <c r="N164" s="18">
        <v>3.6960169137721124</v>
      </c>
      <c r="O164" s="18">
        <v>3.6206091800445872</v>
      </c>
      <c r="P164" s="18">
        <v>4.5579798867841728</v>
      </c>
      <c r="Q164" s="18">
        <v>3.7895609936103263</v>
      </c>
      <c r="R164" s="18">
        <v>3.4621902093915895</v>
      </c>
      <c r="S164" s="18">
        <v>3.4375940752640428</v>
      </c>
      <c r="T164" s="18">
        <v>3.340291858945756</v>
      </c>
      <c r="U164" s="18">
        <v>3.218284058359401</v>
      </c>
      <c r="V164" s="18">
        <v>3.3974289176579497</v>
      </c>
      <c r="W164" s="18">
        <v>3.2131818389341378</v>
      </c>
      <c r="X164" s="18">
        <v>3.1144908728520719</v>
      </c>
      <c r="Y164" s="18">
        <v>3.1063705592657853</v>
      </c>
      <c r="Z164" s="18">
        <v>3.1552887936052452</v>
      </c>
      <c r="AA164" s="18">
        <v>3.0315931656677133</v>
      </c>
      <c r="AB164" s="18">
        <v>3.1551900391207917</v>
      </c>
      <c r="AC164" s="18">
        <v>3.4130526026964185</v>
      </c>
      <c r="AD164" s="19">
        <v>3.4425955466364164</v>
      </c>
      <c r="AE164" s="19">
        <v>3.2091023893739181</v>
      </c>
      <c r="AF164" s="19">
        <v>3.7080564688022748</v>
      </c>
      <c r="AG164" s="19">
        <v>3.5275127976947376</v>
      </c>
      <c r="AH164" s="19">
        <v>2.5536059939673175</v>
      </c>
      <c r="AI164" s="19">
        <v>3.7859661834261962</v>
      </c>
      <c r="AJ164" s="19">
        <v>4.2088033572567776</v>
      </c>
      <c r="AK164" s="19">
        <v>4.3315737500000004</v>
      </c>
      <c r="AL164" s="19">
        <v>4.5006158591549292</v>
      </c>
      <c r="AM164" s="19">
        <v>4.0948968626728108</v>
      </c>
      <c r="AN164" s="19">
        <v>4.0137941640729879</v>
      </c>
      <c r="AO164" s="19">
        <v>4.0914197642570249</v>
      </c>
      <c r="AP164" s="19">
        <v>4.1297087694608017</v>
      </c>
      <c r="AQ164" s="19">
        <v>3.7470563024107268</v>
      </c>
      <c r="AR164" s="19">
        <v>3.7595238131685123</v>
      </c>
      <c r="AS164" s="19">
        <v>4.305079080096113</v>
      </c>
      <c r="AT164" s="19">
        <v>4.0454121434863213</v>
      </c>
      <c r="AU164" s="19">
        <v>3.6300531576502038</v>
      </c>
      <c r="AV164" s="19">
        <v>2.67479078249902</v>
      </c>
      <c r="AW164" s="19">
        <v>2.9116600999999998</v>
      </c>
      <c r="AX164" s="19">
        <v>2.6879571837104073</v>
      </c>
      <c r="AY164" s="19">
        <v>2.5911129827751198</v>
      </c>
      <c r="AZ164" s="19">
        <v>2.4680417500000003</v>
      </c>
      <c r="BA164" s="19">
        <v>2.4055431323943663</v>
      </c>
      <c r="BB164" s="19">
        <v>2.5889456769585255</v>
      </c>
      <c r="BC164" s="19">
        <v>2.8713163316945245</v>
      </c>
      <c r="BD164" s="19">
        <v>3.2561905145645147</v>
      </c>
      <c r="BE164" s="19">
        <v>3.4064689013630294</v>
      </c>
      <c r="BF164" s="19">
        <v>3.098652180744879</v>
      </c>
      <c r="BG164" s="19">
        <v>4.3118772189953267</v>
      </c>
      <c r="BH164" s="19">
        <v>4.9617730470714445</v>
      </c>
      <c r="BI164" s="19">
        <v>5.6944365194579536</v>
      </c>
      <c r="BJ164" s="19">
        <v>4.828943290938537</v>
      </c>
      <c r="BK164" s="19">
        <v>3.481496069749082</v>
      </c>
      <c r="BL164" s="19">
        <v>3.4297157522891566</v>
      </c>
      <c r="BM164" s="19">
        <v>3.4716638787330316</v>
      </c>
      <c r="BN164" s="19">
        <v>3.2165667861244018</v>
      </c>
      <c r="BO164" s="19">
        <v>3.1800687000000005</v>
      </c>
      <c r="BP164" s="19">
        <v>3.385772381220657</v>
      </c>
      <c r="BQ164" s="19">
        <v>3.2630318741935485</v>
      </c>
      <c r="BR164" s="19">
        <v>3.3896067222622723</v>
      </c>
      <c r="BS164" s="19">
        <v>3.3919322371482852</v>
      </c>
      <c r="BT164" s="19">
        <v>3.125159191294304</v>
      </c>
      <c r="BU164" s="19">
        <v>3.3441455764346313</v>
      </c>
      <c r="BV164" s="19">
        <v>3.2758424791201839</v>
      </c>
      <c r="BW164" s="19">
        <v>3.0546452574373846</v>
      </c>
      <c r="BX164" s="19">
        <v>2.6391228139990068</v>
      </c>
      <c r="BY164" s="19">
        <v>2.7680291317933974</v>
      </c>
      <c r="BZ164" s="19">
        <v>4.4257402825127103</v>
      </c>
      <c r="CA164" s="19">
        <v>5.4961844019265804</v>
      </c>
      <c r="CB164" s="19">
        <v>5.4250011816399297</v>
      </c>
      <c r="CC164" s="19">
        <v>7.5491513941209796</v>
      </c>
      <c r="CD164" s="19">
        <v>8.0953642926977292</v>
      </c>
      <c r="CE164" s="19">
        <v>8.2381578847106436</v>
      </c>
      <c r="CF164" s="19">
        <v>10.269942130493011</v>
      </c>
      <c r="CG164" s="19">
        <v>10.821511133331908</v>
      </c>
      <c r="CH164" s="19">
        <v>11.792439621864727</v>
      </c>
      <c r="CI164" s="19">
        <v>13.008941968171589</v>
      </c>
      <c r="CJ164" s="19">
        <v>37.0353262514123</v>
      </c>
      <c r="CK164" s="19">
        <v>106.52562713623</v>
      </c>
      <c r="CL164" s="19">
        <v>121.44760894775401</v>
      </c>
      <c r="CM164" s="19">
        <v>121.05784606933599</v>
      </c>
      <c r="CN164" s="19">
        <v>118.659654131618</v>
      </c>
      <c r="CO164" s="19">
        <v>122.962291807645</v>
      </c>
      <c r="CP164" s="19">
        <v>132.05015377300401</v>
      </c>
      <c r="CQ164" s="19">
        <v>138.06465489086199</v>
      </c>
      <c r="CR164" s="19">
        <v>144.082158980983</v>
      </c>
      <c r="CS164" s="19">
        <v>144.023179259947</v>
      </c>
      <c r="CT164" s="19">
        <v>160.34794875651897</v>
      </c>
      <c r="CU164" s="19">
        <v>170.01075740505632</v>
      </c>
      <c r="CV164" s="19">
        <v>177.80837833542623</v>
      </c>
      <c r="CW164" s="19">
        <v>183.45881625282962</v>
      </c>
      <c r="CX164" s="19">
        <v>197.36545647219634</v>
      </c>
      <c r="CY164" s="19">
        <v>3.2948373629808234</v>
      </c>
      <c r="CZ164" s="19">
        <v>3.2690614828571429</v>
      </c>
      <c r="DA164" s="19">
        <v>2.8514242515837105</v>
      </c>
      <c r="DB164" s="19">
        <v>2.5968815909090912</v>
      </c>
      <c r="DC164" s="19">
        <v>2.6663271499999999</v>
      </c>
      <c r="DD164" s="19">
        <v>2.7310986610328638</v>
      </c>
      <c r="DE164" s="19">
        <v>2.5109052917050692</v>
      </c>
      <c r="DF164" s="19">
        <v>2.6977115778432923</v>
      </c>
      <c r="DG164" s="19">
        <v>2.9473901391029358</v>
      </c>
      <c r="DH164" s="19">
        <v>3.0251230551733226</v>
      </c>
      <c r="DI164" s="19">
        <v>3.0014591830284671</v>
      </c>
      <c r="DJ164" s="19">
        <v>2.8476470011632751</v>
      </c>
      <c r="DK164" s="19">
        <v>2.0688255196412633</v>
      </c>
      <c r="DL164" s="19">
        <v>3.2669258341533673</v>
      </c>
      <c r="DM164" s="19">
        <v>2.5546914786586479</v>
      </c>
      <c r="DN164" s="19">
        <v>3.1468101449757637</v>
      </c>
      <c r="DO164" s="19">
        <v>3.0518357514285714</v>
      </c>
      <c r="DP164" s="19">
        <v>3.4870086823529416</v>
      </c>
      <c r="DQ164" s="19">
        <v>4.0846314545454545</v>
      </c>
      <c r="DR164" s="19">
        <v>4.2001764499999998</v>
      </c>
      <c r="DS164" s="19">
        <v>4.5852192760563382</v>
      </c>
      <c r="DT164" s="19">
        <v>4.3719744009216583</v>
      </c>
      <c r="DU164" s="19">
        <v>4.1092219905465992</v>
      </c>
      <c r="DV164" s="19">
        <v>3.8070983052253728</v>
      </c>
      <c r="DW164" s="19">
        <v>3.5562516396644557</v>
      </c>
      <c r="DX164" s="19">
        <v>3.6425689351038084</v>
      </c>
      <c r="DY164" s="19">
        <v>5.4041514722091648</v>
      </c>
      <c r="DZ164" s="19">
        <v>4.1345463981501522</v>
      </c>
      <c r="EA164" s="19">
        <v>5.49135173051328</v>
      </c>
      <c r="EB164" s="19">
        <v>4.0151721874518165</v>
      </c>
      <c r="EC164" s="19">
        <v>2.1507359977997247</v>
      </c>
      <c r="ED164" s="19">
        <v>2.1645157513253013</v>
      </c>
      <c r="EE164" s="19">
        <v>2.1719565447963802</v>
      </c>
      <c r="EF164" s="19">
        <v>1.975359829186603</v>
      </c>
      <c r="EG164" s="19">
        <v>2.0522322499999999</v>
      </c>
      <c r="EH164" s="19">
        <v>2.3303381004694836</v>
      </c>
      <c r="EI164" s="19">
        <v>2.1405581105990783</v>
      </c>
      <c r="EJ164" s="19">
        <v>2.2069087558566238</v>
      </c>
      <c r="EK164" s="19">
        <v>2.4359223604202271</v>
      </c>
      <c r="EL164" s="19">
        <v>2.4101209048411292</v>
      </c>
      <c r="EM164" s="19">
        <v>2.7181750577581312</v>
      </c>
      <c r="EN164" s="19">
        <v>1.735582925663512</v>
      </c>
      <c r="EO164" s="19">
        <v>2.982301489812798</v>
      </c>
      <c r="EP164" s="19">
        <v>2.1321419336303489</v>
      </c>
      <c r="EQ164" s="19">
        <v>2.3401979880029238</v>
      </c>
      <c r="ER164" s="19"/>
      <c r="ES164" s="16">
        <f t="shared" si="10"/>
        <v>3.4762592421052632</v>
      </c>
      <c r="ET164" s="16">
        <f t="shared" si="10"/>
        <v>3.1063705592657853</v>
      </c>
      <c r="EU164" s="16">
        <f t="shared" si="10"/>
        <v>4.3315737500000004</v>
      </c>
      <c r="EV164" s="16">
        <f t="shared" si="10"/>
        <v>2.4680417500000003</v>
      </c>
      <c r="EW164" s="16">
        <f t="shared" si="10"/>
        <v>3.1800687000000005</v>
      </c>
      <c r="EX164" s="16" t="str">
        <f t="shared" si="10"/>
        <v>.</v>
      </c>
      <c r="EY164" s="16">
        <f t="shared" si="10"/>
        <v>118.659654131618</v>
      </c>
      <c r="EZ164" s="16">
        <f t="shared" si="10"/>
        <v>2.6663271499999999</v>
      </c>
      <c r="FA164" s="16">
        <f t="shared" si="10"/>
        <v>4.2001764499999998</v>
      </c>
      <c r="FB164" s="16">
        <f t="shared" si="10"/>
        <v>2.0522322499999999</v>
      </c>
    </row>
    <row r="165" spans="1:158" x14ac:dyDescent="0.25">
      <c r="A165" s="17">
        <v>162</v>
      </c>
      <c r="B165" s="17" t="s">
        <v>197</v>
      </c>
      <c r="C165" s="17" t="s">
        <v>198</v>
      </c>
      <c r="D165" s="17" t="s">
        <v>9</v>
      </c>
      <c r="E165" s="16">
        <v>1</v>
      </c>
      <c r="F165" s="18">
        <v>4.6060475771979146</v>
      </c>
      <c r="G165" s="18">
        <v>4.7556397726906514</v>
      </c>
      <c r="H165" s="18">
        <v>4.9634713078150572</v>
      </c>
      <c r="I165" s="18">
        <v>4.8400017589104349</v>
      </c>
      <c r="J165" s="18">
        <v>4.9096713930152482</v>
      </c>
      <c r="K165" s="18">
        <v>5.0987462912787382</v>
      </c>
      <c r="L165" s="18">
        <v>5.1252841578947379</v>
      </c>
      <c r="M165" s="18">
        <v>5.2513702871948134</v>
      </c>
      <c r="N165" s="18">
        <v>5.2513702871948134</v>
      </c>
      <c r="O165" s="18">
        <v>5.2489527971801833</v>
      </c>
      <c r="P165" s="18">
        <v>5.2806670111313183</v>
      </c>
      <c r="Q165" s="18">
        <v>5.4936193020780131</v>
      </c>
      <c r="R165" s="18">
        <v>5.5524465586248581</v>
      </c>
      <c r="S165" s="18">
        <v>5.6421868520354526</v>
      </c>
      <c r="T165" s="18">
        <v>5.6901417751771159</v>
      </c>
      <c r="U165" s="18">
        <v>3.3682854268607492</v>
      </c>
      <c r="V165" s="18">
        <v>3.4161581213034236</v>
      </c>
      <c r="W165" s="18">
        <v>3.8658874789361701</v>
      </c>
      <c r="X165" s="18">
        <v>3.908977073213832</v>
      </c>
      <c r="Y165" s="18">
        <v>3.9550340101995092</v>
      </c>
      <c r="Z165" s="18">
        <v>4.1849086715536448</v>
      </c>
      <c r="AA165" s="18">
        <v>4.2153538812081797</v>
      </c>
      <c r="AB165" s="18">
        <v>4.4123715066340647</v>
      </c>
      <c r="AC165" s="18">
        <v>4.4123624490762028</v>
      </c>
      <c r="AD165" s="19">
        <v>4.5713754599274061</v>
      </c>
      <c r="AE165" s="19">
        <v>4.300074968484684</v>
      </c>
      <c r="AF165" s="19">
        <v>4.4367924782502444</v>
      </c>
      <c r="AG165" s="19">
        <v>5.397551190739728</v>
      </c>
      <c r="AH165" s="19">
        <v>5.0521248010491382</v>
      </c>
      <c r="AI165" s="19">
        <v>5.8433338354008821</v>
      </c>
      <c r="AJ165" s="19">
        <v>6.102377211988304</v>
      </c>
      <c r="AK165" s="19">
        <v>5.8237563205607472</v>
      </c>
      <c r="AL165" s="19">
        <v>5.94054841058965</v>
      </c>
      <c r="AM165" s="19">
        <v>6.1110830000000007</v>
      </c>
      <c r="AN165" s="19">
        <v>6.069501355618371</v>
      </c>
      <c r="AO165" s="19">
        <v>6.069501355618371</v>
      </c>
      <c r="AP165" s="19">
        <v>5.9207332182286381</v>
      </c>
      <c r="AQ165" s="19">
        <v>5.9794152354098626</v>
      </c>
      <c r="AR165" s="19">
        <v>5.0770953226022932</v>
      </c>
      <c r="AS165" s="19">
        <v>6.1508159228911703</v>
      </c>
      <c r="AT165" s="19">
        <v>5.7927889875027931</v>
      </c>
      <c r="AU165" s="19">
        <v>6.0123670079725864</v>
      </c>
      <c r="AV165" s="19">
        <v>4.5965167030384428</v>
      </c>
      <c r="AW165" s="19">
        <v>4.6767045037685566</v>
      </c>
      <c r="AX165" s="19">
        <v>4.6348685712765967</v>
      </c>
      <c r="AY165" s="19">
        <v>4.3079983052631583</v>
      </c>
      <c r="AZ165" s="19">
        <v>4.3574714747663545</v>
      </c>
      <c r="BA165" s="19">
        <v>4.8212382541516243</v>
      </c>
      <c r="BB165" s="19">
        <v>4.9214060000000011</v>
      </c>
      <c r="BC165" s="19">
        <v>5.1982550799862537</v>
      </c>
      <c r="BD165" s="19">
        <v>5.1982550799862537</v>
      </c>
      <c r="BE165" s="19">
        <v>5.3284073194461072</v>
      </c>
      <c r="BF165" s="19">
        <v>5.9292431204183131</v>
      </c>
      <c r="BG165" s="19">
        <v>6.8853433930038852</v>
      </c>
      <c r="BH165" s="19">
        <v>6.4989623711846161</v>
      </c>
      <c r="BI165" s="19">
        <v>6.7191568385956186</v>
      </c>
      <c r="BJ165" s="19">
        <v>7</v>
      </c>
      <c r="BK165" s="19">
        <v>4.4590256972354165</v>
      </c>
      <c r="BL165" s="19">
        <v>4.269378017840376</v>
      </c>
      <c r="BM165" s="19">
        <v>4.2171239138297878</v>
      </c>
      <c r="BN165" s="19">
        <v>4.254973629824562</v>
      </c>
      <c r="BO165" s="19">
        <v>4.5713320186915887</v>
      </c>
      <c r="BP165" s="19">
        <v>4.4198197660649825</v>
      </c>
      <c r="BQ165" s="19">
        <v>4.2191150000000004</v>
      </c>
      <c r="BR165" s="19">
        <v>4.5235494541008139</v>
      </c>
      <c r="BS165" s="19">
        <v>4.5235494541008139</v>
      </c>
      <c r="BT165" s="19">
        <v>4.7551352150404629</v>
      </c>
      <c r="BU165" s="19">
        <v>4.4227157636566083</v>
      </c>
      <c r="BV165" s="19">
        <v>4.513058877514716</v>
      </c>
      <c r="BW165" s="19">
        <v>4.9913553182558337</v>
      </c>
      <c r="BX165" s="19">
        <v>4.7663114520032588</v>
      </c>
      <c r="BY165" s="19">
        <v>4.5887211971046273</v>
      </c>
      <c r="BZ165" s="19">
        <v>21.713122569676301</v>
      </c>
      <c r="CA165" s="19">
        <v>50.891063800284101</v>
      </c>
      <c r="CB165" s="19">
        <v>89.041077862289299</v>
      </c>
      <c r="CC165" s="19">
        <v>113.95753208046401</v>
      </c>
      <c r="CD165" s="19">
        <v>91.985572292653899</v>
      </c>
      <c r="CE165" s="19">
        <v>132.54179817813096</v>
      </c>
      <c r="CF165" s="19">
        <v>154.96035260881902</v>
      </c>
      <c r="CG165" s="19">
        <v>174.82447824601093</v>
      </c>
      <c r="CH165" s="19">
        <v>188.44397520047036</v>
      </c>
      <c r="CI165" s="19">
        <v>200</v>
      </c>
      <c r="CJ165" s="19">
        <v>100.85587188612099</v>
      </c>
      <c r="CK165" s="19">
        <v>118.51351928710901</v>
      </c>
      <c r="CL165" s="19">
        <v>200</v>
      </c>
      <c r="CM165" s="19">
        <v>200</v>
      </c>
      <c r="CN165" s="19">
        <v>145.453539749377</v>
      </c>
      <c r="CO165" s="19">
        <v>148.61885629617001</v>
      </c>
      <c r="CP165" s="19">
        <v>169.94162134047701</v>
      </c>
      <c r="CQ165" s="19">
        <v>171.87379930236401</v>
      </c>
      <c r="CR165" s="19">
        <v>178.06154468990101</v>
      </c>
      <c r="CS165" s="19">
        <v>187.34813818923601</v>
      </c>
      <c r="CT165" s="19">
        <v>198.54256447220359</v>
      </c>
      <c r="CU165" s="19">
        <v>199.15145698366217</v>
      </c>
      <c r="CV165" s="19">
        <v>197.90380529618662</v>
      </c>
      <c r="CW165" s="19">
        <v>200</v>
      </c>
      <c r="CX165" s="19">
        <v>200</v>
      </c>
      <c r="CY165" s="19">
        <v>5.1847274195719484</v>
      </c>
      <c r="CZ165" s="19">
        <v>5.3526470550037057</v>
      </c>
      <c r="DA165" s="19">
        <v>5.4724583957446811</v>
      </c>
      <c r="DB165" s="19">
        <v>5.0282684754385958</v>
      </c>
      <c r="DC165" s="19">
        <v>4.8080530775700936</v>
      </c>
      <c r="DD165" s="19">
        <v>5.2177060512635371</v>
      </c>
      <c r="DE165" s="19">
        <v>5.3837480000000006</v>
      </c>
      <c r="DF165" s="19">
        <v>5.4596705533078715</v>
      </c>
      <c r="DG165" s="19">
        <v>5.4596705533078715</v>
      </c>
      <c r="DH165" s="19">
        <v>5.7412956061647895</v>
      </c>
      <c r="DI165" s="19">
        <v>5.4672096958379548</v>
      </c>
      <c r="DJ165" s="19">
        <v>5.4704604791471274</v>
      </c>
      <c r="DK165" s="19">
        <v>5.7131958206325972</v>
      </c>
      <c r="DL165" s="19">
        <v>5.6221628728810416</v>
      </c>
      <c r="DM165" s="19">
        <v>5.5117365372031459</v>
      </c>
      <c r="DN165" s="19">
        <v>5.9628648484565456</v>
      </c>
      <c r="DO165" s="19">
        <v>5.9931031873980718</v>
      </c>
      <c r="DP165" s="19">
        <v>6.0756180861702127</v>
      </c>
      <c r="DQ165" s="19">
        <v>6.1998523964912273</v>
      </c>
      <c r="DR165" s="19">
        <v>6.2650539616822432</v>
      </c>
      <c r="DS165" s="19">
        <v>6.3701512642599276</v>
      </c>
      <c r="DT165" s="19">
        <v>6.433999</v>
      </c>
      <c r="DU165" s="19">
        <v>6.4285055783130574</v>
      </c>
      <c r="DV165" s="19">
        <v>6.4285055783130574</v>
      </c>
      <c r="DW165" s="19">
        <v>6.3441396503306144</v>
      </c>
      <c r="DX165" s="19">
        <v>6.5889810061479714</v>
      </c>
      <c r="DY165" s="19">
        <v>6.8621995110273994</v>
      </c>
      <c r="DZ165" s="19">
        <v>6.6935554696479258</v>
      </c>
      <c r="EA165" s="19">
        <v>6.8116519279915888</v>
      </c>
      <c r="EB165" s="19">
        <v>6.4777009091479032</v>
      </c>
      <c r="EC165" s="19">
        <v>6.0605317000942254</v>
      </c>
      <c r="ED165" s="19">
        <v>6.0868480939955525</v>
      </c>
      <c r="EE165" s="19">
        <v>6.1918473478723408</v>
      </c>
      <c r="EF165" s="19">
        <v>6.3323173938596486</v>
      </c>
      <c r="EG165" s="19">
        <v>6.2759138439252338</v>
      </c>
      <c r="EH165" s="19">
        <v>6.4744214274368233</v>
      </c>
      <c r="EI165" s="19">
        <v>6.6458690000000011</v>
      </c>
      <c r="EJ165" s="19">
        <v>6.6061201758526202</v>
      </c>
      <c r="EK165" s="19">
        <v>6.6061201758526202</v>
      </c>
      <c r="EL165" s="19">
        <v>6.5007798755346835</v>
      </c>
      <c r="EM165" s="19">
        <v>7</v>
      </c>
      <c r="EN165" s="19">
        <v>7</v>
      </c>
      <c r="EO165" s="19">
        <v>6.9671707681277013</v>
      </c>
      <c r="EP165" s="19">
        <v>6.7696730104534764</v>
      </c>
      <c r="EQ165" s="19">
        <v>6.4824656001049643</v>
      </c>
      <c r="ER165" s="19"/>
      <c r="ES165" s="16">
        <f t="shared" ref="ES165:FB178" si="11">IF(SUMIF($F$2:$EQ$2,ES$2&amp;"_"&amp;ES$3,$F165:$EQ165)=0,".",SUMIF($F$2:$EQ$2,ES$2&amp;"_"&amp;ES$3,$F165:$EQ165))</f>
        <v>4.9096713930152482</v>
      </c>
      <c r="ET165" s="16">
        <f t="shared" si="11"/>
        <v>3.9550340101995092</v>
      </c>
      <c r="EU165" s="16">
        <f t="shared" si="11"/>
        <v>5.8237563205607472</v>
      </c>
      <c r="EV165" s="16">
        <f t="shared" si="11"/>
        <v>4.3574714747663545</v>
      </c>
      <c r="EW165" s="16">
        <f t="shared" si="11"/>
        <v>4.5713320186915887</v>
      </c>
      <c r="EX165" s="16" t="str">
        <f t="shared" si="11"/>
        <v>.</v>
      </c>
      <c r="EY165" s="16">
        <f t="shared" si="11"/>
        <v>145.453539749377</v>
      </c>
      <c r="EZ165" s="16">
        <f t="shared" si="11"/>
        <v>4.8080530775700936</v>
      </c>
      <c r="FA165" s="16">
        <f t="shared" si="11"/>
        <v>6.2650539616822432</v>
      </c>
      <c r="FB165" s="16">
        <f t="shared" si="11"/>
        <v>6.2759138439252338</v>
      </c>
    </row>
    <row r="166" spans="1:158" x14ac:dyDescent="0.25">
      <c r="A166" s="17">
        <v>163</v>
      </c>
      <c r="B166" s="17" t="s">
        <v>199</v>
      </c>
      <c r="C166" s="17" t="s">
        <v>200</v>
      </c>
      <c r="D166" s="17" t="s">
        <v>36</v>
      </c>
      <c r="E166" s="16">
        <v>1</v>
      </c>
      <c r="F166" s="18">
        <v>5.5970185425865946</v>
      </c>
      <c r="G166" s="18">
        <v>5.7531005612384813</v>
      </c>
      <c r="H166" s="18">
        <v>5.6548277294447269</v>
      </c>
      <c r="I166" s="18">
        <v>5.3991349516615559</v>
      </c>
      <c r="J166" s="18">
        <v>5.3516952756326202</v>
      </c>
      <c r="K166" s="18">
        <v>5.3421242215281799</v>
      </c>
      <c r="L166" s="18">
        <v>5.4877813299391693</v>
      </c>
      <c r="M166" s="18">
        <v>5.5823060751505338</v>
      </c>
      <c r="N166" s="18">
        <v>5.5969092202214181</v>
      </c>
      <c r="O166" s="18">
        <v>5.616794092435236</v>
      </c>
      <c r="P166" s="18">
        <v>4.8457724915406803</v>
      </c>
      <c r="Q166" s="18">
        <v>5.6571548054960035</v>
      </c>
      <c r="R166" s="18">
        <v>5.4022123402650521</v>
      </c>
      <c r="S166" s="18">
        <v>5.1310632301344858</v>
      </c>
      <c r="T166" s="18">
        <v>5.0638965388783888</v>
      </c>
      <c r="U166" s="18">
        <v>5.7692630011624981</v>
      </c>
      <c r="V166" s="18">
        <v>5.8381079245359624</v>
      </c>
      <c r="W166" s="18">
        <v>5.7710531431346563</v>
      </c>
      <c r="X166" s="18">
        <v>5.6534199135949272</v>
      </c>
      <c r="Y166" s="18">
        <v>5.5690386583313938</v>
      </c>
      <c r="Z166" s="18">
        <v>5.5017239602604793</v>
      </c>
      <c r="AA166" s="18">
        <v>5.3661873138777514</v>
      </c>
      <c r="AB166" s="18">
        <v>5.4936581641073507</v>
      </c>
      <c r="AC166" s="18">
        <v>5.581744690961691</v>
      </c>
      <c r="AD166" s="19">
        <v>5.6380596425787122</v>
      </c>
      <c r="AE166" s="19">
        <v>5.4625286260780186</v>
      </c>
      <c r="AF166" s="19">
        <v>5.4163272428058447</v>
      </c>
      <c r="AG166" s="19">
        <v>5.0740718797492352</v>
      </c>
      <c r="AH166" s="19">
        <v>5.7701498189510341</v>
      </c>
      <c r="AI166" s="19">
        <v>5.6335496559419393</v>
      </c>
      <c r="AJ166" s="19">
        <v>5.7869944715814503</v>
      </c>
      <c r="AK166" s="19">
        <v>5.7005586090415212</v>
      </c>
      <c r="AL166" s="19">
        <v>5.700606404314204</v>
      </c>
      <c r="AM166" s="19">
        <v>5.7636815787269677</v>
      </c>
      <c r="AN166" s="19">
        <v>5.8152581943951089</v>
      </c>
      <c r="AO166" s="19">
        <v>5.8226250900773797</v>
      </c>
      <c r="AP166" s="19">
        <v>5.8548020210818974</v>
      </c>
      <c r="AQ166" s="19">
        <v>5.5049448247842481</v>
      </c>
      <c r="AR166" s="19">
        <v>5.8571730224038694</v>
      </c>
      <c r="AS166" s="19">
        <v>5.651665978638313</v>
      </c>
      <c r="AT166" s="19">
        <v>5.9054023964033782</v>
      </c>
      <c r="AU166" s="19">
        <v>5.8706406359681367</v>
      </c>
      <c r="AV166" s="19">
        <v>3.5122320724017104</v>
      </c>
      <c r="AW166" s="19">
        <v>3.4358964506093059</v>
      </c>
      <c r="AX166" s="19">
        <v>3.3931742913907286</v>
      </c>
      <c r="AY166" s="19">
        <v>3.4804771462544593</v>
      </c>
      <c r="AZ166" s="19">
        <v>3.4181904033760189</v>
      </c>
      <c r="BA166" s="19">
        <v>3.3286624805860803</v>
      </c>
      <c r="BB166" s="19">
        <v>3.3976985175879397</v>
      </c>
      <c r="BC166" s="19">
        <v>3.3913643197746746</v>
      </c>
      <c r="BD166" s="19">
        <v>3.6186907164274995</v>
      </c>
      <c r="BE166" s="19">
        <v>4.0356452224868988</v>
      </c>
      <c r="BF166" s="19">
        <v>5.2853465463280269</v>
      </c>
      <c r="BG166" s="19">
        <v>5.9894159038645345</v>
      </c>
      <c r="BH166" s="19">
        <v>5.5253368316243066</v>
      </c>
      <c r="BI166" s="19">
        <v>6.7141734399882607</v>
      </c>
      <c r="BJ166" s="19">
        <v>6.0394015618330616</v>
      </c>
      <c r="BK166" s="19">
        <v>5.3215898600025362</v>
      </c>
      <c r="BL166" s="19">
        <v>5.148162230967384</v>
      </c>
      <c r="BM166" s="19">
        <v>4.736776508609271</v>
      </c>
      <c r="BN166" s="19">
        <v>4.5101894558858504</v>
      </c>
      <c r="BO166" s="19">
        <v>4.555232578230501</v>
      </c>
      <c r="BP166" s="19">
        <v>4.5754314881562888</v>
      </c>
      <c r="BQ166" s="19">
        <v>4.5953869145728641</v>
      </c>
      <c r="BR166" s="19">
        <v>4.5178006158996267</v>
      </c>
      <c r="BS166" s="19">
        <v>4.4545599312419037</v>
      </c>
      <c r="BT166" s="19">
        <v>4.6870082915903781</v>
      </c>
      <c r="BU166" s="19">
        <v>4.7195255874666495</v>
      </c>
      <c r="BV166" s="19">
        <v>4.3207762073106517</v>
      </c>
      <c r="BW166" s="19">
        <v>4.0926220370447313</v>
      </c>
      <c r="BX166" s="19">
        <v>4.3202485798810724</v>
      </c>
      <c r="BY166" s="19">
        <v>3.8915889559814603</v>
      </c>
      <c r="BZ166" s="19">
        <v>65.477346786362205</v>
      </c>
      <c r="CA166" s="19">
        <v>74.690471824421806</v>
      </c>
      <c r="CB166" s="19">
        <v>92.803416818477004</v>
      </c>
      <c r="CC166" s="19">
        <v>97.8904635788532</v>
      </c>
      <c r="CD166" s="19">
        <v>109.22510511671901</v>
      </c>
      <c r="CE166" s="19">
        <v>118.92924677974302</v>
      </c>
      <c r="CF166" s="19">
        <v>132.34670996611138</v>
      </c>
      <c r="CG166" s="19">
        <v>142.94626555813326</v>
      </c>
      <c r="CH166" s="19">
        <v>155.90997500089705</v>
      </c>
      <c r="CI166" s="19">
        <v>163.51874462756146</v>
      </c>
      <c r="CJ166" s="19">
        <v>71.425457642691597</v>
      </c>
      <c r="CK166" s="19">
        <v>80.324462890625</v>
      </c>
      <c r="CL166" s="19">
        <v>87.597640991210895</v>
      </c>
      <c r="CM166" s="19">
        <v>94.834159851074205</v>
      </c>
      <c r="CN166" s="19">
        <v>89.856450952805105</v>
      </c>
      <c r="CO166" s="19">
        <v>105.913600948086</v>
      </c>
      <c r="CP166" s="19">
        <v>98.166103913114995</v>
      </c>
      <c r="CQ166" s="19">
        <v>95.529547260878502</v>
      </c>
      <c r="CR166" s="19">
        <v>98.406857799570503</v>
      </c>
      <c r="CS166" s="19">
        <v>117.586744410658</v>
      </c>
      <c r="CT166" s="19">
        <v>117.40908585021798</v>
      </c>
      <c r="CU166" s="19">
        <v>118.89940559428734</v>
      </c>
      <c r="CV166" s="19">
        <v>121.70620488719139</v>
      </c>
      <c r="CW166" s="19">
        <v>122.22702053709854</v>
      </c>
      <c r="CX166" s="19">
        <v>122.85221584809216</v>
      </c>
      <c r="CY166" s="19">
        <v>5.5476047071934511</v>
      </c>
      <c r="CZ166" s="19">
        <v>5.7896578776007317</v>
      </c>
      <c r="DA166" s="19">
        <v>5.5269631284768215</v>
      </c>
      <c r="DB166" s="19">
        <v>5.0985105526753873</v>
      </c>
      <c r="DC166" s="19">
        <v>5.0566748173457512</v>
      </c>
      <c r="DD166" s="19">
        <v>4.9801910129426119</v>
      </c>
      <c r="DE166" s="19">
        <v>5.1706030201005024</v>
      </c>
      <c r="DF166" s="19">
        <v>5.3493028864441738</v>
      </c>
      <c r="DG166" s="19">
        <v>5.5449371970406176</v>
      </c>
      <c r="DH166" s="19">
        <v>5.6126380565437</v>
      </c>
      <c r="DI166" s="19">
        <v>5.455704156561465</v>
      </c>
      <c r="DJ166" s="19">
        <v>5.6664772719846663</v>
      </c>
      <c r="DK166" s="19">
        <v>5.2851071625997692</v>
      </c>
      <c r="DL166" s="19">
        <v>5.1070664734557081</v>
      </c>
      <c r="DM166" s="19">
        <v>5.6359094269524412</v>
      </c>
      <c r="DN166" s="19">
        <v>6.0643108214849928</v>
      </c>
      <c r="DO166" s="19">
        <v>6.0703086147769412</v>
      </c>
      <c r="DP166" s="19">
        <v>5.8852566105960271</v>
      </c>
      <c r="DQ166" s="19">
        <v>5.753398174791915</v>
      </c>
      <c r="DR166" s="19">
        <v>5.6641611860302676</v>
      </c>
      <c r="DS166" s="19">
        <v>5.6177016822954826</v>
      </c>
      <c r="DT166" s="19">
        <v>5.7341369221105527</v>
      </c>
      <c r="DU166" s="19">
        <v>5.7575113473243187</v>
      </c>
      <c r="DV166" s="19">
        <v>5.7628096416754762</v>
      </c>
      <c r="DW166" s="19">
        <v>5.7077710127400696</v>
      </c>
      <c r="DX166" s="19">
        <v>5.4784334773099257</v>
      </c>
      <c r="DY166" s="19">
        <v>6.0696378894465024</v>
      </c>
      <c r="DZ166" s="19">
        <v>5.607656897506951</v>
      </c>
      <c r="EA166" s="19">
        <v>5.5605853321781691</v>
      </c>
      <c r="EB166" s="19">
        <v>5.0308614534928537</v>
      </c>
      <c r="EC166" s="19">
        <v>6.1519392252643721</v>
      </c>
      <c r="ED166" s="19">
        <v>6.196459154391798</v>
      </c>
      <c r="EE166" s="19">
        <v>5.8960122927152323</v>
      </c>
      <c r="EF166" s="19">
        <v>5.6928148439952446</v>
      </c>
      <c r="EG166" s="19">
        <v>5.6948229661233993</v>
      </c>
      <c r="EH166" s="19">
        <v>5.6637561919413919</v>
      </c>
      <c r="EI166" s="19">
        <v>5.6844528241206032</v>
      </c>
      <c r="EJ166" s="19">
        <v>5.6936391937774946</v>
      </c>
      <c r="EK166" s="19">
        <v>5.7005704642207036</v>
      </c>
      <c r="EL166" s="19">
        <v>5.6133970918989133</v>
      </c>
      <c r="EM166" s="19">
        <v>5.4598222292905714</v>
      </c>
      <c r="EN166" s="19">
        <v>5.4658498082700469</v>
      </c>
      <c r="EO166" s="19">
        <v>5.6253937822507298</v>
      </c>
      <c r="EP166" s="19">
        <v>5.5774466489873085</v>
      </c>
      <c r="EQ166" s="19">
        <v>5.3153528786327016</v>
      </c>
      <c r="ER166" s="19"/>
      <c r="ES166" s="16">
        <f t="shared" si="11"/>
        <v>5.3516952756326202</v>
      </c>
      <c r="ET166" s="16">
        <f t="shared" si="11"/>
        <v>5.5690386583313938</v>
      </c>
      <c r="EU166" s="16">
        <f t="shared" si="11"/>
        <v>5.7005586090415212</v>
      </c>
      <c r="EV166" s="16">
        <f t="shared" si="11"/>
        <v>3.4181904033760189</v>
      </c>
      <c r="EW166" s="16">
        <f t="shared" si="11"/>
        <v>4.555232578230501</v>
      </c>
      <c r="EX166" s="16" t="str">
        <f t="shared" si="11"/>
        <v>.</v>
      </c>
      <c r="EY166" s="16">
        <f t="shared" si="11"/>
        <v>89.856450952805105</v>
      </c>
      <c r="EZ166" s="16">
        <f t="shared" si="11"/>
        <v>5.0566748173457512</v>
      </c>
      <c r="FA166" s="16">
        <f t="shared" si="11"/>
        <v>5.6641611860302676</v>
      </c>
      <c r="FB166" s="16">
        <f t="shared" si="11"/>
        <v>5.6948229661233993</v>
      </c>
    </row>
    <row r="167" spans="1:158" x14ac:dyDescent="0.25">
      <c r="A167" s="17">
        <v>164</v>
      </c>
      <c r="B167" s="17" t="s">
        <v>201</v>
      </c>
      <c r="C167" s="17" t="s">
        <v>201</v>
      </c>
      <c r="D167" s="17" t="s">
        <v>18</v>
      </c>
      <c r="E167" s="16">
        <v>1</v>
      </c>
      <c r="F167" s="18">
        <v>3.716713608744751</v>
      </c>
      <c r="G167" s="18">
        <v>3.8169778001675088</v>
      </c>
      <c r="H167" s="18">
        <v>3.75685556211792</v>
      </c>
      <c r="I167" s="18">
        <v>3.704100073432083</v>
      </c>
      <c r="J167" s="18">
        <v>3.7628952442301413</v>
      </c>
      <c r="K167" s="18">
        <v>3.7326032778172418</v>
      </c>
      <c r="L167" s="18">
        <v>3.7522905026467903</v>
      </c>
      <c r="M167" s="18">
        <v>3.7895129413012847</v>
      </c>
      <c r="N167" s="18">
        <v>3.7505440449631844</v>
      </c>
      <c r="O167" s="18">
        <v>3.7406640735277152</v>
      </c>
      <c r="P167" s="18">
        <v>3.490301384485043</v>
      </c>
      <c r="Q167" s="18">
        <v>3.7794908895276094</v>
      </c>
      <c r="R167" s="18">
        <v>3.9200556961186375</v>
      </c>
      <c r="S167" s="18">
        <v>3.7935876598221165</v>
      </c>
      <c r="T167" s="18">
        <v>3.8081348497230696</v>
      </c>
      <c r="U167" s="18">
        <v>3.0095857373508919</v>
      </c>
      <c r="V167" s="18">
        <v>3.0197463147697552</v>
      </c>
      <c r="W167" s="18">
        <v>3.1228210752630989</v>
      </c>
      <c r="X167" s="18">
        <v>3.2131701193284021</v>
      </c>
      <c r="Y167" s="18">
        <v>3.2664562056996709</v>
      </c>
      <c r="Z167" s="18">
        <v>3.181111471943848</v>
      </c>
      <c r="AA167" s="18">
        <v>3.1064964550272474</v>
      </c>
      <c r="AB167" s="18">
        <v>3.1517908456562855</v>
      </c>
      <c r="AC167" s="18">
        <v>3.2118108782868906</v>
      </c>
      <c r="AD167" s="19">
        <v>3.2246580720065814</v>
      </c>
      <c r="AE167" s="19">
        <v>2.8403135972823126</v>
      </c>
      <c r="AF167" s="19">
        <v>3.2499427131579908</v>
      </c>
      <c r="AG167" s="19">
        <v>3.712623790091353</v>
      </c>
      <c r="AH167" s="19">
        <v>2.7839449383839785</v>
      </c>
      <c r="AI167" s="19">
        <v>3.4759939245533245</v>
      </c>
      <c r="AJ167" s="19">
        <v>5.0107276115768471</v>
      </c>
      <c r="AK167" s="19">
        <v>5.1019231505175986</v>
      </c>
      <c r="AL167" s="19">
        <v>4.9064870323108378</v>
      </c>
      <c r="AM167" s="19">
        <v>4.7259959117533716</v>
      </c>
      <c r="AN167" s="19">
        <v>4.6856390010510616</v>
      </c>
      <c r="AO167" s="19">
        <v>4.7040865919250123</v>
      </c>
      <c r="AP167" s="19">
        <v>4.8490222961440148</v>
      </c>
      <c r="AQ167" s="19">
        <v>4.0965020628860689</v>
      </c>
      <c r="AR167" s="19">
        <v>5.2615747915052129</v>
      </c>
      <c r="AS167" s="19">
        <v>4.0664050383520713</v>
      </c>
      <c r="AT167" s="19">
        <v>5.0397868577649083</v>
      </c>
      <c r="AU167" s="19">
        <v>4.4431832749848601</v>
      </c>
      <c r="AV167" s="19">
        <v>3.121810344827586</v>
      </c>
      <c r="AW167" s="19">
        <v>3.205364895694526</v>
      </c>
      <c r="AX167" s="19">
        <v>3.0469830740112993</v>
      </c>
      <c r="AY167" s="19">
        <v>3.0746011796407187</v>
      </c>
      <c r="AZ167" s="19">
        <v>3.1095594440993786</v>
      </c>
      <c r="BA167" s="19">
        <v>3.1355994245398771</v>
      </c>
      <c r="BB167" s="19">
        <v>3.3163184329479769</v>
      </c>
      <c r="BC167" s="19">
        <v>3.3807108124816896</v>
      </c>
      <c r="BD167" s="19">
        <v>3.2700075373930089</v>
      </c>
      <c r="BE167" s="19">
        <v>3.0926832595113982</v>
      </c>
      <c r="BF167" s="19">
        <v>5.9513066677174375</v>
      </c>
      <c r="BG167" s="19">
        <v>4.1565211279055623</v>
      </c>
      <c r="BH167" s="19">
        <v>4.96047758217059</v>
      </c>
      <c r="BI167" s="19">
        <v>5.9863677350106794</v>
      </c>
      <c r="BJ167" s="19">
        <v>6.327736217309309</v>
      </c>
      <c r="BK167" s="19">
        <v>3.613825757575758</v>
      </c>
      <c r="BL167" s="19">
        <v>3.6844023363122753</v>
      </c>
      <c r="BM167" s="19">
        <v>3.5071809553672315</v>
      </c>
      <c r="BN167" s="19">
        <v>3.3495804143712578</v>
      </c>
      <c r="BO167" s="19">
        <v>3.541055326708074</v>
      </c>
      <c r="BP167" s="19">
        <v>3.6177932822085888</v>
      </c>
      <c r="BQ167" s="19">
        <v>3.6689398612716762</v>
      </c>
      <c r="BR167" s="19">
        <v>3.5725590319358949</v>
      </c>
      <c r="BS167" s="19">
        <v>3.4321428439196415</v>
      </c>
      <c r="BT167" s="19">
        <v>3.5841151366799564</v>
      </c>
      <c r="BU167" s="19">
        <v>3.5127762181031623</v>
      </c>
      <c r="BV167" s="19">
        <v>3.4414681773346274</v>
      </c>
      <c r="BW167" s="19">
        <v>3.6806985002145409</v>
      </c>
      <c r="BX167" s="19">
        <v>3.3307309406094445</v>
      </c>
      <c r="BY167" s="19">
        <v>3.6371431836583095</v>
      </c>
      <c r="BZ167" s="19">
        <v>9.0088544169126195</v>
      </c>
      <c r="CA167" s="19">
        <v>31.976736643089598</v>
      </c>
      <c r="CB167" s="19">
        <v>31.940712518330699</v>
      </c>
      <c r="CC167" s="19">
        <v>59.8389326450393</v>
      </c>
      <c r="CD167" s="19">
        <v>77.710476131611799</v>
      </c>
      <c r="CE167" s="19">
        <v>94.658759700396246</v>
      </c>
      <c r="CF167" s="19">
        <v>113.21257014469329</v>
      </c>
      <c r="CG167" s="19">
        <v>121.88038489389818</v>
      </c>
      <c r="CH167" s="19">
        <v>144.66581608909169</v>
      </c>
      <c r="CI167" s="19">
        <v>157.70814458033422</v>
      </c>
      <c r="CJ167" s="19">
        <v>35.536061538461503</v>
      </c>
      <c r="CK167" s="19">
        <v>66.829513549804702</v>
      </c>
      <c r="CL167" s="19">
        <v>104.696739196777</v>
      </c>
      <c r="CM167" s="19">
        <v>113.126007080078</v>
      </c>
      <c r="CN167" s="19">
        <v>131.71385775172399</v>
      </c>
      <c r="CO167" s="19">
        <v>140.751885794353</v>
      </c>
      <c r="CP167" s="19">
        <v>147.296625492271</v>
      </c>
      <c r="CQ167" s="19">
        <v>154.61846599797701</v>
      </c>
      <c r="CR167" s="19">
        <v>160.79514574864001</v>
      </c>
      <c r="CS167" s="19">
        <v>160.209644498231</v>
      </c>
      <c r="CT167" s="19">
        <v>192.75644483777751</v>
      </c>
      <c r="CU167" s="19">
        <v>200</v>
      </c>
      <c r="CV167" s="19">
        <v>200</v>
      </c>
      <c r="CW167" s="19">
        <v>200</v>
      </c>
      <c r="CX167" s="19">
        <v>200</v>
      </c>
      <c r="CY167" s="19">
        <v>4.7095764119601329</v>
      </c>
      <c r="CZ167" s="19">
        <v>4.8608386825384313</v>
      </c>
      <c r="DA167" s="19">
        <v>4.8234017045197746</v>
      </c>
      <c r="DB167" s="19">
        <v>4.7442972562874246</v>
      </c>
      <c r="DC167" s="19">
        <v>5.0526125111801239</v>
      </c>
      <c r="DD167" s="19">
        <v>5.0054028564417168</v>
      </c>
      <c r="DE167" s="19">
        <v>4.8715783531791903</v>
      </c>
      <c r="DF167" s="19">
        <v>4.8992854815840001</v>
      </c>
      <c r="DG167" s="19">
        <v>5.1256159978754381</v>
      </c>
      <c r="DH167" s="19">
        <v>5.1705659494561669</v>
      </c>
      <c r="DI167" s="19">
        <v>4.912871935737515</v>
      </c>
      <c r="DJ167" s="19">
        <v>5.1611763553937759</v>
      </c>
      <c r="DK167" s="19">
        <v>5.1329867847602531</v>
      </c>
      <c r="DL167" s="19">
        <v>5.4530385416439557</v>
      </c>
      <c r="DM167" s="19">
        <v>5.173921182064384</v>
      </c>
      <c r="DN167" s="19">
        <v>3.6679017285531375</v>
      </c>
      <c r="DO167" s="19">
        <v>3.641773972675912</v>
      </c>
      <c r="DP167" s="19">
        <v>4.1609995107344631</v>
      </c>
      <c r="DQ167" s="19">
        <v>4.4700658215568865</v>
      </c>
      <c r="DR167" s="19">
        <v>4.3409232552795034</v>
      </c>
      <c r="DS167" s="19">
        <v>3.9664006883435583</v>
      </c>
      <c r="DT167" s="19">
        <v>3.8577876589595377</v>
      </c>
      <c r="DU167" s="19">
        <v>3.9892872031413615</v>
      </c>
      <c r="DV167" s="19">
        <v>3.7484761995427749</v>
      </c>
      <c r="DW167" s="19">
        <v>3.5636399797127072</v>
      </c>
      <c r="DX167" s="19">
        <v>4.2826734153947967</v>
      </c>
      <c r="DY167" s="19">
        <v>4.2288658469414777</v>
      </c>
      <c r="DZ167" s="19">
        <v>3.5401862082706868</v>
      </c>
      <c r="EA167" s="19">
        <v>3.9794805335279699</v>
      </c>
      <c r="EB167" s="19">
        <v>4.276408919550807</v>
      </c>
      <c r="EC167" s="19">
        <v>4.1300505050505052</v>
      </c>
      <c r="ED167" s="19">
        <v>4.1393503876733435</v>
      </c>
      <c r="EE167" s="19">
        <v>4.4000264401129945</v>
      </c>
      <c r="EF167" s="19">
        <v>4.4450841520958084</v>
      </c>
      <c r="EG167" s="19">
        <v>4.0165291602484476</v>
      </c>
      <c r="EH167" s="19">
        <v>3.594746952147239</v>
      </c>
      <c r="EI167" s="19">
        <v>3.494187785549133</v>
      </c>
      <c r="EJ167" s="19">
        <v>3.5276762314136128</v>
      </c>
      <c r="EK167" s="19">
        <v>3.3142214803134693</v>
      </c>
      <c r="EL167" s="19">
        <v>3.2111073407749671</v>
      </c>
      <c r="EM167" s="19">
        <v>2.7187837385824127</v>
      </c>
      <c r="EN167" s="19">
        <v>3.7135847979501468</v>
      </c>
      <c r="EO167" s="19">
        <v>3.4419073633095998</v>
      </c>
      <c r="EP167" s="19">
        <v>3.2791806492138571</v>
      </c>
      <c r="EQ167" s="19">
        <v>2.5634071608404665</v>
      </c>
      <c r="ER167" s="19"/>
      <c r="ES167" s="16">
        <f t="shared" si="11"/>
        <v>3.7628952442301413</v>
      </c>
      <c r="ET167" s="16">
        <f t="shared" si="11"/>
        <v>3.2664562056996709</v>
      </c>
      <c r="EU167" s="16">
        <f t="shared" si="11"/>
        <v>5.1019231505175986</v>
      </c>
      <c r="EV167" s="16">
        <f t="shared" si="11"/>
        <v>3.1095594440993786</v>
      </c>
      <c r="EW167" s="16">
        <f t="shared" si="11"/>
        <v>3.541055326708074</v>
      </c>
      <c r="EX167" s="16" t="str">
        <f t="shared" si="11"/>
        <v>.</v>
      </c>
      <c r="EY167" s="16">
        <f t="shared" si="11"/>
        <v>131.71385775172399</v>
      </c>
      <c r="EZ167" s="16">
        <f t="shared" si="11"/>
        <v>5.0526125111801239</v>
      </c>
      <c r="FA167" s="16">
        <f t="shared" si="11"/>
        <v>4.3409232552795034</v>
      </c>
      <c r="FB167" s="16">
        <f t="shared" si="11"/>
        <v>4.0165291602484476</v>
      </c>
    </row>
    <row r="168" spans="1:158" x14ac:dyDescent="0.25">
      <c r="A168" s="17">
        <v>165</v>
      </c>
      <c r="B168" s="17" t="s">
        <v>202</v>
      </c>
      <c r="C168" s="17" t="s">
        <v>202</v>
      </c>
      <c r="D168" s="17" t="s">
        <v>25</v>
      </c>
      <c r="E168" s="16">
        <v>0</v>
      </c>
      <c r="F168" s="18">
        <v>3.28</v>
      </c>
      <c r="G168" s="18">
        <v>4.0199999999999996</v>
      </c>
      <c r="H168" s="18">
        <v>3.8</v>
      </c>
      <c r="I168" s="18">
        <v>3.63</v>
      </c>
      <c r="J168" s="18">
        <v>3.77</v>
      </c>
      <c r="K168" s="18">
        <v>3.31</v>
      </c>
      <c r="L168" s="18">
        <v>3.67</v>
      </c>
      <c r="M168" s="18">
        <v>4.41</v>
      </c>
      <c r="N168" s="18">
        <v>4.12</v>
      </c>
      <c r="O168" s="18">
        <v>3.91</v>
      </c>
      <c r="P168" s="18">
        <v>3.08</v>
      </c>
      <c r="Q168" s="18">
        <v>3.67</v>
      </c>
      <c r="R168" s="18">
        <v>4.6500000000000004</v>
      </c>
      <c r="S168" s="18">
        <v>4.01</v>
      </c>
      <c r="T168" s="18">
        <v>3.64</v>
      </c>
      <c r="U168" s="18">
        <v>2.97</v>
      </c>
      <c r="V168" s="18">
        <v>2.0699999999999998</v>
      </c>
      <c r="W168" s="18">
        <v>3.14</v>
      </c>
      <c r="X168" s="18">
        <v>2.6</v>
      </c>
      <c r="Y168" s="18">
        <v>2.71</v>
      </c>
      <c r="Z168" s="18">
        <v>2.95</v>
      </c>
      <c r="AA168" s="18">
        <v>3.6</v>
      </c>
      <c r="AB168" s="18">
        <v>3.57</v>
      </c>
      <c r="AC168" s="18">
        <v>3.34</v>
      </c>
      <c r="AD168" s="19">
        <v>3.17</v>
      </c>
      <c r="AE168" s="19">
        <v>3.59</v>
      </c>
      <c r="AF168" s="19">
        <v>2.68</v>
      </c>
      <c r="AG168" s="19">
        <v>3.14</v>
      </c>
      <c r="AH168" s="19">
        <v>3.75</v>
      </c>
      <c r="AI168" s="19">
        <v>5.09</v>
      </c>
      <c r="AJ168" s="19">
        <v>4.8499999999999996</v>
      </c>
      <c r="AK168" s="19">
        <v>5.19</v>
      </c>
      <c r="AL168" s="19">
        <v>3.99</v>
      </c>
      <c r="AM168" s="19">
        <v>4.8899999999999997</v>
      </c>
      <c r="AN168" s="19">
        <v>3.84</v>
      </c>
      <c r="AO168" s="19">
        <v>4.68</v>
      </c>
      <c r="AP168" s="19">
        <v>4.8499999999999996</v>
      </c>
      <c r="AQ168" s="19">
        <v>5.69</v>
      </c>
      <c r="AR168" s="19">
        <v>5.14</v>
      </c>
      <c r="AS168" s="19">
        <v>4.82</v>
      </c>
      <c r="AT168" s="19">
        <v>4.92</v>
      </c>
      <c r="AU168" s="19">
        <v>2.44</v>
      </c>
      <c r="AV168" s="19">
        <v>3.76</v>
      </c>
      <c r="AW168" s="19">
        <v>4.21</v>
      </c>
      <c r="AX168" s="19">
        <v>2.8</v>
      </c>
      <c r="AY168" s="19">
        <v>3.11</v>
      </c>
      <c r="AZ168" s="19">
        <v>2.92</v>
      </c>
      <c r="BA168" s="19">
        <v>3.17</v>
      </c>
      <c r="BB168" s="19">
        <v>2.6</v>
      </c>
      <c r="BC168" s="19">
        <v>2.16</v>
      </c>
      <c r="BD168" s="19">
        <v>2.71</v>
      </c>
      <c r="BE168" s="19">
        <v>3.1</v>
      </c>
      <c r="BF168" s="19">
        <v>4.37</v>
      </c>
      <c r="BG168" s="19">
        <v>5.03</v>
      </c>
      <c r="BH168" s="19">
        <v>6.1</v>
      </c>
      <c r="BI168" s="19">
        <v>5.58</v>
      </c>
      <c r="BJ168" s="19">
        <v>4.6900000000000004</v>
      </c>
      <c r="BK168" s="19">
        <v>3.53</v>
      </c>
      <c r="BL168" s="19">
        <v>3.37</v>
      </c>
      <c r="BM168" s="19">
        <v>3.25</v>
      </c>
      <c r="BN168" s="19">
        <v>3.77</v>
      </c>
      <c r="BO168" s="19">
        <v>3.41</v>
      </c>
      <c r="BP168" s="19">
        <v>3.37</v>
      </c>
      <c r="BQ168" s="19">
        <v>3.25</v>
      </c>
      <c r="BR168" s="19">
        <v>3.63</v>
      </c>
      <c r="BS168" s="19">
        <v>3.16</v>
      </c>
      <c r="BT168" s="19">
        <v>3.11</v>
      </c>
      <c r="BU168" s="19">
        <v>3.01</v>
      </c>
      <c r="BV168" s="19">
        <v>3.68</v>
      </c>
      <c r="BW168" s="19">
        <v>3.35</v>
      </c>
      <c r="BX168" s="19">
        <v>3</v>
      </c>
      <c r="BY168" s="19">
        <v>2.61</v>
      </c>
      <c r="BZ168" s="19">
        <v>6.78</v>
      </c>
      <c r="CA168" s="19">
        <v>11.91</v>
      </c>
      <c r="CB168" s="19">
        <v>200</v>
      </c>
      <c r="CC168" s="19">
        <v>61.37</v>
      </c>
      <c r="CD168" s="19">
        <v>32.19</v>
      </c>
      <c r="CE168" s="19">
        <v>18.47</v>
      </c>
      <c r="CF168" s="19">
        <v>118.98</v>
      </c>
      <c r="CG168" s="19">
        <v>45.99</v>
      </c>
      <c r="CH168" s="19">
        <v>110.32</v>
      </c>
      <c r="CI168" s="19">
        <v>11.24</v>
      </c>
      <c r="CJ168" s="19">
        <v>54.18</v>
      </c>
      <c r="CK168" s="19">
        <v>39.32</v>
      </c>
      <c r="CL168" s="19">
        <v>76.75</v>
      </c>
      <c r="CM168" s="19">
        <v>80.91</v>
      </c>
      <c r="CN168" s="19">
        <v>78.510000000000005</v>
      </c>
      <c r="CO168" s="19">
        <v>128.81</v>
      </c>
      <c r="CP168" s="19">
        <v>116.58</v>
      </c>
      <c r="CQ168" s="19">
        <v>108.35</v>
      </c>
      <c r="CR168" s="19">
        <v>49.75</v>
      </c>
      <c r="CS168" s="19">
        <v>116.3</v>
      </c>
      <c r="CT168" s="19">
        <v>143.11000000000001</v>
      </c>
      <c r="CU168" s="19">
        <v>98.46</v>
      </c>
      <c r="CV168" s="19">
        <v>137.69</v>
      </c>
      <c r="CW168" s="19">
        <v>189.84</v>
      </c>
      <c r="CX168" s="19">
        <v>178.71</v>
      </c>
      <c r="CY168" s="19">
        <v>4.5599999999999996</v>
      </c>
      <c r="CZ168" s="19">
        <v>5.43</v>
      </c>
      <c r="DA168" s="19">
        <v>4.5599999999999996</v>
      </c>
      <c r="DB168" s="19">
        <v>3.75</v>
      </c>
      <c r="DC168" s="19">
        <v>4.0999999999999996</v>
      </c>
      <c r="DD168" s="19">
        <v>4.6100000000000003</v>
      </c>
      <c r="DE168" s="19">
        <v>3.9</v>
      </c>
      <c r="DF168" s="19">
        <v>4.93</v>
      </c>
      <c r="DG168" s="19">
        <v>3.13</v>
      </c>
      <c r="DH168" s="19">
        <v>5.05</v>
      </c>
      <c r="DI168" s="19">
        <v>4.6399999999999997</v>
      </c>
      <c r="DJ168" s="19">
        <v>4.3600000000000003</v>
      </c>
      <c r="DK168" s="19">
        <v>4.8499999999999996</v>
      </c>
      <c r="DL168" s="19">
        <v>4.45</v>
      </c>
      <c r="DM168" s="19">
        <v>5.0199999999999996</v>
      </c>
      <c r="DN168" s="19">
        <v>2.5099999999999998</v>
      </c>
      <c r="DO168" s="19">
        <v>2.25</v>
      </c>
      <c r="DP168" s="19">
        <v>4.0199999999999996</v>
      </c>
      <c r="DQ168" s="19">
        <v>4.08</v>
      </c>
      <c r="DR168" s="19">
        <v>3.72</v>
      </c>
      <c r="DS168" s="19">
        <v>3.81</v>
      </c>
      <c r="DT168" s="19">
        <v>4.6500000000000004</v>
      </c>
      <c r="DU168" s="19">
        <v>3.63</v>
      </c>
      <c r="DV168" s="19">
        <v>4.18</v>
      </c>
      <c r="DW168" s="19">
        <v>3.33</v>
      </c>
      <c r="DX168" s="19">
        <v>3.56</v>
      </c>
      <c r="DY168" s="19">
        <v>4.24</v>
      </c>
      <c r="DZ168" s="19">
        <v>3.33</v>
      </c>
      <c r="EA168" s="19">
        <v>5.73</v>
      </c>
      <c r="EB168" s="19">
        <v>3.58</v>
      </c>
      <c r="EC168" s="19">
        <v>3.9</v>
      </c>
      <c r="ED168" s="19">
        <v>3.15</v>
      </c>
      <c r="EE168" s="19">
        <v>3.25</v>
      </c>
      <c r="EF168" s="19">
        <v>4.18</v>
      </c>
      <c r="EG168" s="19">
        <v>3.66</v>
      </c>
      <c r="EH168" s="19">
        <v>3.46</v>
      </c>
      <c r="EI168" s="19">
        <v>4.24</v>
      </c>
      <c r="EJ168" s="19">
        <v>4.13</v>
      </c>
      <c r="EK168" s="19">
        <v>3.62</v>
      </c>
      <c r="EL168" s="19">
        <v>3.69</v>
      </c>
      <c r="EM168" s="19">
        <v>6.21</v>
      </c>
      <c r="EN168" s="19">
        <v>2.35</v>
      </c>
      <c r="EO168" s="19">
        <v>3.64</v>
      </c>
      <c r="EP168" s="19">
        <v>4.92</v>
      </c>
      <c r="EQ168" s="19">
        <v>1.48</v>
      </c>
      <c r="ER168" s="19"/>
      <c r="ES168" s="16">
        <f t="shared" si="11"/>
        <v>3.77</v>
      </c>
      <c r="ET168" s="16">
        <f t="shared" si="11"/>
        <v>2.71</v>
      </c>
      <c r="EU168" s="16">
        <f t="shared" si="11"/>
        <v>5.19</v>
      </c>
      <c r="EV168" s="16">
        <f t="shared" si="11"/>
        <v>2.92</v>
      </c>
      <c r="EW168" s="16">
        <f t="shared" si="11"/>
        <v>3.41</v>
      </c>
      <c r="EX168" s="16" t="str">
        <f t="shared" si="11"/>
        <v>.</v>
      </c>
      <c r="EY168" s="16">
        <f t="shared" si="11"/>
        <v>78.510000000000005</v>
      </c>
      <c r="EZ168" s="16">
        <f t="shared" si="11"/>
        <v>4.0999999999999996</v>
      </c>
      <c r="FA168" s="16">
        <f t="shared" si="11"/>
        <v>3.72</v>
      </c>
      <c r="FB168" s="16">
        <f t="shared" si="11"/>
        <v>3.66</v>
      </c>
    </row>
    <row r="169" spans="1:158" x14ac:dyDescent="0.25">
      <c r="A169" s="17">
        <v>166</v>
      </c>
      <c r="B169" s="17" t="s">
        <v>203</v>
      </c>
      <c r="C169" s="17" t="s">
        <v>203</v>
      </c>
      <c r="D169" s="17" t="s">
        <v>18</v>
      </c>
      <c r="E169" s="16">
        <v>1</v>
      </c>
      <c r="F169" s="18">
        <v>3.5233902143923261</v>
      </c>
      <c r="G169" s="18">
        <v>3.3480660492623326</v>
      </c>
      <c r="H169" s="18">
        <v>3.0100152814102561</v>
      </c>
      <c r="I169" s="18">
        <v>3.0559950250355614</v>
      </c>
      <c r="J169" s="18">
        <v>3.152459392263792</v>
      </c>
      <c r="K169" s="18">
        <v>3.1143514806390975</v>
      </c>
      <c r="L169" s="18">
        <v>3.2080294028862482</v>
      </c>
      <c r="M169" s="18">
        <v>3.0399263066693858</v>
      </c>
      <c r="N169" s="18">
        <v>2.9774815375453478</v>
      </c>
      <c r="O169" s="18">
        <v>3.0445321177987257</v>
      </c>
      <c r="P169" s="18">
        <v>2.0048459887316699</v>
      </c>
      <c r="Q169" s="18">
        <v>3.4791634125322681</v>
      </c>
      <c r="R169" s="18">
        <v>2.9902408363661461</v>
      </c>
      <c r="S169" s="18">
        <v>2.7851242574041106</v>
      </c>
      <c r="T169" s="18">
        <v>3.1761234746798617</v>
      </c>
      <c r="U169" s="18">
        <v>2.7869197678728543</v>
      </c>
      <c r="V169" s="18">
        <v>2.6071624762857581</v>
      </c>
      <c r="W169" s="18">
        <v>2.5075903733956104</v>
      </c>
      <c r="X169" s="18">
        <v>2.527543293731493</v>
      </c>
      <c r="Y169" s="18">
        <v>2.4971154982523194</v>
      </c>
      <c r="Z169" s="18">
        <v>2.4377327647684099</v>
      </c>
      <c r="AA169" s="18">
        <v>2.4513432958180044</v>
      </c>
      <c r="AB169" s="18">
        <v>2.3863187481961359</v>
      </c>
      <c r="AC169" s="18">
        <v>2.434495175400468</v>
      </c>
      <c r="AD169" s="19">
        <v>2.6239785912920168</v>
      </c>
      <c r="AE169" s="19">
        <v>2.175257741008255</v>
      </c>
      <c r="AF169" s="19">
        <v>2.6885387295794874</v>
      </c>
      <c r="AG169" s="19">
        <v>2.4330476491789357</v>
      </c>
      <c r="AH169" s="19">
        <v>2.8898494727027888</v>
      </c>
      <c r="AI169" s="19">
        <v>2.2731858310107529</v>
      </c>
      <c r="AJ169" s="19">
        <v>4.091290875675675</v>
      </c>
      <c r="AK169" s="19">
        <v>4.1587081510040163</v>
      </c>
      <c r="AL169" s="19">
        <v>4.1017690261904765</v>
      </c>
      <c r="AM169" s="19">
        <v>3.848271226881721</v>
      </c>
      <c r="AN169" s="19">
        <v>3.5147375573036896</v>
      </c>
      <c r="AO169" s="19">
        <v>3.2956567527958609</v>
      </c>
      <c r="AP169" s="19">
        <v>3.163393781803272</v>
      </c>
      <c r="AQ169" s="19">
        <v>2.7143236212047968</v>
      </c>
      <c r="AR169" s="19">
        <v>2.4689033299568459</v>
      </c>
      <c r="AS169" s="19">
        <v>1.8604527422902568</v>
      </c>
      <c r="AT169" s="19">
        <v>2.6340539356859658</v>
      </c>
      <c r="AU169" s="19">
        <v>1.9650879649069637</v>
      </c>
      <c r="AV169" s="19">
        <v>1.5613381033076006</v>
      </c>
      <c r="AW169" s="19">
        <v>1.5961784886458541</v>
      </c>
      <c r="AX169" s="19">
        <v>1.8401969624999999</v>
      </c>
      <c r="AY169" s="19">
        <v>2.1262818486486488</v>
      </c>
      <c r="AZ169" s="19">
        <v>2.1797536168674698</v>
      </c>
      <c r="BA169" s="19">
        <v>2.1012094571428568</v>
      </c>
      <c r="BB169" s="19">
        <v>1.8461987645161289</v>
      </c>
      <c r="BC169" s="19">
        <v>1.60234548108079</v>
      </c>
      <c r="BD169" s="19">
        <v>1.3174944748481114</v>
      </c>
      <c r="BE169" s="19">
        <v>1.391426518228319</v>
      </c>
      <c r="BF169" s="19">
        <v>1</v>
      </c>
      <c r="BG169" s="19">
        <v>2.463992837452651</v>
      </c>
      <c r="BH169" s="19">
        <v>2.84962639186418</v>
      </c>
      <c r="BI169" s="19">
        <v>3.2300855362906513</v>
      </c>
      <c r="BJ169" s="19">
        <v>3.5869071020552403</v>
      </c>
      <c r="BK169" s="19">
        <v>3.5210637727301259</v>
      </c>
      <c r="BL169" s="19">
        <v>3.2905225726784648</v>
      </c>
      <c r="BM169" s="19">
        <v>3.1553388874999997</v>
      </c>
      <c r="BN169" s="19">
        <v>3.2189672594594594</v>
      </c>
      <c r="BO169" s="19">
        <v>3.1570245879518071</v>
      </c>
      <c r="BP169" s="19">
        <v>3.0178955642857144</v>
      </c>
      <c r="BQ169" s="19">
        <v>2.9669425161290324</v>
      </c>
      <c r="BR169" s="19">
        <v>2.7843960414209894</v>
      </c>
      <c r="BS169" s="19">
        <v>2.7461304724216462</v>
      </c>
      <c r="BT169" s="19">
        <v>2.7299429204728867</v>
      </c>
      <c r="BU169" s="19">
        <v>2.4281936967486617</v>
      </c>
      <c r="BV169" s="19">
        <v>1.8585589462941692</v>
      </c>
      <c r="BW169" s="19">
        <v>1.9441047713198629</v>
      </c>
      <c r="BX169" s="19">
        <v>2.1601682973103267</v>
      </c>
      <c r="BY169" s="19">
        <v>2.5917715843249756</v>
      </c>
      <c r="BZ169" s="19">
        <v>4.1851634399842004</v>
      </c>
      <c r="CA169" s="19">
        <v>4.7498194588590001</v>
      </c>
      <c r="CB169" s="19">
        <v>3.7335512960000599</v>
      </c>
      <c r="CC169" s="19">
        <v>43.853293517886698</v>
      </c>
      <c r="CD169" s="19">
        <v>42.974432185498102</v>
      </c>
      <c r="CE169" s="19">
        <v>48.560425126655375</v>
      </c>
      <c r="CF169" s="19">
        <v>62.52987020991344</v>
      </c>
      <c r="CG169" s="19">
        <v>75.203798278993034</v>
      </c>
      <c r="CH169" s="19">
        <v>88.324769700628678</v>
      </c>
      <c r="CI169" s="19">
        <v>98.391631121151704</v>
      </c>
      <c r="CJ169" s="19">
        <v>46.714722045683899</v>
      </c>
      <c r="CK169" s="19">
        <v>69.037292480468807</v>
      </c>
      <c r="CL169" s="19">
        <v>96.309440612792997</v>
      </c>
      <c r="CM169" s="19">
        <v>98.391387939453097</v>
      </c>
      <c r="CN169" s="19">
        <v>96.204491278200607</v>
      </c>
      <c r="CO169" s="19">
        <v>97.7752677753911</v>
      </c>
      <c r="CP169" s="19">
        <v>102.10008171774101</v>
      </c>
      <c r="CQ169" s="19">
        <v>101.614434001387</v>
      </c>
      <c r="CR169" s="19">
        <v>98.952003483284301</v>
      </c>
      <c r="CS169" s="19">
        <v>92.972211220367001</v>
      </c>
      <c r="CT169" s="19">
        <v>113.35258565670112</v>
      </c>
      <c r="CU169" s="19">
        <v>113.04857845771994</v>
      </c>
      <c r="CV169" s="19">
        <v>124.34376582737271</v>
      </c>
      <c r="CW169" s="19">
        <v>119.03409959612418</v>
      </c>
      <c r="CX169" s="19">
        <v>128.99648221728182</v>
      </c>
      <c r="CY169" s="19">
        <v>2.289349050334045</v>
      </c>
      <c r="CZ169" s="19">
        <v>2.2480093295814711</v>
      </c>
      <c r="DA169" s="19">
        <v>2.0806596500000003</v>
      </c>
      <c r="DB169" s="19">
        <v>1.7538508054054054</v>
      </c>
      <c r="DC169" s="19">
        <v>1.7470167421686749</v>
      </c>
      <c r="DD169" s="19">
        <v>1.7921330750000002</v>
      </c>
      <c r="DE169" s="19">
        <v>1.6102978612903227</v>
      </c>
      <c r="DF169" s="19">
        <v>1.5219756978623411</v>
      </c>
      <c r="DG169" s="19">
        <v>1.5941975315411885</v>
      </c>
      <c r="DH169" s="19">
        <v>1.6481965753767225</v>
      </c>
      <c r="DI169" s="19">
        <v>1.579335803551515</v>
      </c>
      <c r="DJ169" s="19">
        <v>1.119673186458525</v>
      </c>
      <c r="DK169" s="19">
        <v>1</v>
      </c>
      <c r="DL169" s="19">
        <v>1</v>
      </c>
      <c r="DM169" s="19">
        <v>1.3525572706726186</v>
      </c>
      <c r="DN169" s="19">
        <v>2.490493715159503</v>
      </c>
      <c r="DO169" s="19">
        <v>2.5540338371445612</v>
      </c>
      <c r="DP169" s="19">
        <v>2.9750092749999997</v>
      </c>
      <c r="DQ169" s="19">
        <v>3.1359098108108108</v>
      </c>
      <c r="DR169" s="19">
        <v>2.9479966481927713</v>
      </c>
      <c r="DS169" s="19">
        <v>2.7881806392857142</v>
      </c>
      <c r="DT169" s="19">
        <v>2.6301735096774195</v>
      </c>
      <c r="DU169" s="19">
        <v>2.5982128287059054</v>
      </c>
      <c r="DV169" s="19">
        <v>2.5682764987150826</v>
      </c>
      <c r="DW169" s="19">
        <v>2.4640666749742293</v>
      </c>
      <c r="DX169" s="19">
        <v>2.8251011083478432</v>
      </c>
      <c r="DY169" s="19">
        <v>2.8580068074804887</v>
      </c>
      <c r="DZ169" s="19">
        <v>2.5098036992238866</v>
      </c>
      <c r="EA169" s="19">
        <v>2.1856269134258444</v>
      </c>
      <c r="EB169" s="19">
        <v>2.7519343752273975</v>
      </c>
      <c r="EC169" s="19">
        <v>2.6842836194747326</v>
      </c>
      <c r="ED169" s="19">
        <v>2.9925075575064621</v>
      </c>
      <c r="EE169" s="19">
        <v>3.1206911874999999</v>
      </c>
      <c r="EF169" s="19">
        <v>3.1608019675675676</v>
      </c>
      <c r="EG169" s="19">
        <v>2.8736036746987952</v>
      </c>
      <c r="EH169" s="19">
        <v>2.5542611142857146</v>
      </c>
      <c r="EI169" s="19">
        <v>2.6486486677419356</v>
      </c>
      <c r="EJ169" s="19">
        <v>2.6443654978723403</v>
      </c>
      <c r="EK169" s="19">
        <v>2.6584821025530498</v>
      </c>
      <c r="EL169" s="19">
        <v>2.8359523561265734</v>
      </c>
      <c r="EM169" s="19">
        <v>2.285235687090978</v>
      </c>
      <c r="EN169" s="19">
        <v>2.8193652834519773</v>
      </c>
      <c r="EO169" s="19">
        <v>3.1943938429425947</v>
      </c>
      <c r="EP169" s="19">
        <v>1.8531534061211354</v>
      </c>
      <c r="EQ169" s="19">
        <v>2.7494126788361002</v>
      </c>
      <c r="ER169" s="19"/>
      <c r="ES169" s="16">
        <f t="shared" si="11"/>
        <v>3.152459392263792</v>
      </c>
      <c r="ET169" s="16">
        <f t="shared" si="11"/>
        <v>2.4971154982523194</v>
      </c>
      <c r="EU169" s="16">
        <f t="shared" si="11"/>
        <v>4.1587081510040163</v>
      </c>
      <c r="EV169" s="16">
        <f t="shared" si="11"/>
        <v>2.1797536168674698</v>
      </c>
      <c r="EW169" s="16">
        <f t="shared" si="11"/>
        <v>3.1570245879518071</v>
      </c>
      <c r="EX169" s="16" t="str">
        <f t="shared" si="11"/>
        <v>.</v>
      </c>
      <c r="EY169" s="16">
        <f t="shared" si="11"/>
        <v>96.204491278200607</v>
      </c>
      <c r="EZ169" s="16">
        <f t="shared" si="11"/>
        <v>1.7470167421686749</v>
      </c>
      <c r="FA169" s="16">
        <f t="shared" si="11"/>
        <v>2.9479966481927713</v>
      </c>
      <c r="FB169" s="16">
        <f t="shared" si="11"/>
        <v>2.8736036746987952</v>
      </c>
    </row>
    <row r="170" spans="1:158" x14ac:dyDescent="0.25">
      <c r="A170" s="17">
        <v>167</v>
      </c>
      <c r="B170" s="17" t="s">
        <v>204</v>
      </c>
      <c r="C170" s="17" t="s">
        <v>204</v>
      </c>
      <c r="D170" s="17" t="s">
        <v>25</v>
      </c>
      <c r="E170" s="16">
        <v>1</v>
      </c>
      <c r="F170" s="18">
        <v>3.8072599369544049</v>
      </c>
      <c r="G170" s="18">
        <v>3.8439608648119274</v>
      </c>
      <c r="H170" s="18">
        <v>3.9958368263148043</v>
      </c>
      <c r="I170" s="18">
        <v>3.9810548546689306</v>
      </c>
      <c r="J170" s="18">
        <v>3.717470896842106</v>
      </c>
      <c r="K170" s="18">
        <v>3.5747842315789469</v>
      </c>
      <c r="L170" s="18">
        <v>3.6806866431322214</v>
      </c>
      <c r="M170" s="18">
        <v>3.5844690091912885</v>
      </c>
      <c r="N170" s="18">
        <v>3.6331783934665736</v>
      </c>
      <c r="O170" s="18">
        <v>3.6430400963097056</v>
      </c>
      <c r="P170" s="18">
        <v>3.600191978961047</v>
      </c>
      <c r="Q170" s="18">
        <v>3.3524422391195285</v>
      </c>
      <c r="R170" s="18">
        <v>2.8744275852682168</v>
      </c>
      <c r="S170" s="18">
        <v>3.0740992662949345</v>
      </c>
      <c r="T170" s="18">
        <v>3.5832435664185391</v>
      </c>
      <c r="U170" s="18">
        <v>3.219906953909228</v>
      </c>
      <c r="V170" s="18">
        <v>3.3451819950945536</v>
      </c>
      <c r="W170" s="18">
        <v>3.4529376702676395</v>
      </c>
      <c r="X170" s="18">
        <v>3.404855205902384</v>
      </c>
      <c r="Y170" s="18">
        <v>3.1631811768539326</v>
      </c>
      <c r="Z170" s="18">
        <v>3.0652833134156228</v>
      </c>
      <c r="AA170" s="18">
        <v>3.1408275529151366</v>
      </c>
      <c r="AB170" s="18">
        <v>3.1176730797702863</v>
      </c>
      <c r="AC170" s="18">
        <v>3.2465447241119207</v>
      </c>
      <c r="AD170" s="19">
        <v>3.2913466906041835</v>
      </c>
      <c r="AE170" s="19">
        <v>3.6813040318053027</v>
      </c>
      <c r="AF170" s="19">
        <v>3.2880672818469048</v>
      </c>
      <c r="AG170" s="19">
        <v>2.9184052648330225</v>
      </c>
      <c r="AH170" s="19">
        <v>3.1024947069040714</v>
      </c>
      <c r="AI170" s="19">
        <v>3.691054255634842</v>
      </c>
      <c r="AJ170" s="19">
        <v>4.7742233419354845</v>
      </c>
      <c r="AK170" s="19">
        <v>4.3870276266666668</v>
      </c>
      <c r="AL170" s="19">
        <v>3.9358018833333333</v>
      </c>
      <c r="AM170" s="19">
        <v>3.8580987788617889</v>
      </c>
      <c r="AN170" s="19">
        <v>3.993610722382559</v>
      </c>
      <c r="AO170" s="19">
        <v>4.0422026975893575</v>
      </c>
      <c r="AP170" s="19">
        <v>4.2135191541729542</v>
      </c>
      <c r="AQ170" s="19">
        <v>4.2973418822793077</v>
      </c>
      <c r="AR170" s="19">
        <v>3.3489464027974876</v>
      </c>
      <c r="AS170" s="19">
        <v>3.6319165411428909</v>
      </c>
      <c r="AT170" s="19">
        <v>3.3226293467506749</v>
      </c>
      <c r="AU170" s="19">
        <v>3.5793313439311074</v>
      </c>
      <c r="AV170" s="19">
        <v>2.6206305787775506</v>
      </c>
      <c r="AW170" s="19">
        <v>2.735076179096374</v>
      </c>
      <c r="AX170" s="19">
        <v>2.70913470729927</v>
      </c>
      <c r="AY170" s="19">
        <v>2.6213645096774192</v>
      </c>
      <c r="AZ170" s="19">
        <v>2.7081299000000003</v>
      </c>
      <c r="BA170" s="19">
        <v>2.9396352000000001</v>
      </c>
      <c r="BB170" s="19">
        <v>3.0559863219512198</v>
      </c>
      <c r="BC170" s="19">
        <v>3.0820040784443723</v>
      </c>
      <c r="BD170" s="19">
        <v>3.2371151641357776</v>
      </c>
      <c r="BE170" s="19">
        <v>3.2397053545171559</v>
      </c>
      <c r="BF170" s="19">
        <v>5.0593306766224648</v>
      </c>
      <c r="BG170" s="19">
        <v>4.1570583282401081</v>
      </c>
      <c r="BH170" s="19">
        <v>4.6096403788212061</v>
      </c>
      <c r="BI170" s="19">
        <v>5.5145033033210229</v>
      </c>
      <c r="BJ170" s="19">
        <v>4.4831536709085835</v>
      </c>
      <c r="BK170" s="19">
        <v>4.0139923986622934</v>
      </c>
      <c r="BL170" s="19">
        <v>3.9380728239750447</v>
      </c>
      <c r="BM170" s="19">
        <v>3.8016814802919705</v>
      </c>
      <c r="BN170" s="19">
        <v>3.7885423999999999</v>
      </c>
      <c r="BO170" s="19">
        <v>3.4988314800000002</v>
      </c>
      <c r="BP170" s="19">
        <v>3.3900649500000002</v>
      </c>
      <c r="BQ170" s="19">
        <v>3.5427325024390246</v>
      </c>
      <c r="BR170" s="19">
        <v>3.3185511471502638</v>
      </c>
      <c r="BS170" s="19">
        <v>3.3730370721151663</v>
      </c>
      <c r="BT170" s="19">
        <v>3.4884647412733596</v>
      </c>
      <c r="BU170" s="19">
        <v>3.2197177883272183</v>
      </c>
      <c r="BV170" s="19">
        <v>3.2949761356023362</v>
      </c>
      <c r="BW170" s="19">
        <v>3.0680191597239408</v>
      </c>
      <c r="BX170" s="19">
        <v>2.7579116022147097</v>
      </c>
      <c r="BY170" s="19">
        <v>3.1595585427873072</v>
      </c>
      <c r="BZ170" s="19">
        <v>18.036525499438</v>
      </c>
      <c r="CA170" s="19">
        <v>18.988574580748502</v>
      </c>
      <c r="CB170" s="19">
        <v>18.765742267131401</v>
      </c>
      <c r="CC170" s="19">
        <v>31.044121675335902</v>
      </c>
      <c r="CD170" s="19">
        <v>38.9777423170747</v>
      </c>
      <c r="CE170" s="19">
        <v>39.93965713070709</v>
      </c>
      <c r="CF170" s="19">
        <v>47.449554584397504</v>
      </c>
      <c r="CG170" s="19">
        <v>54.618203221282677</v>
      </c>
      <c r="CH170" s="19">
        <v>59.882175737556089</v>
      </c>
      <c r="CI170" s="19">
        <v>63.878874031849712</v>
      </c>
      <c r="CJ170" s="19">
        <v>11.3881783676108</v>
      </c>
      <c r="CK170" s="19">
        <v>18.168106079101602</v>
      </c>
      <c r="CL170" s="19">
        <v>79.062744140625</v>
      </c>
      <c r="CM170" s="19">
        <v>100.564445495605</v>
      </c>
      <c r="CN170" s="19">
        <v>175.30190773439401</v>
      </c>
      <c r="CO170" s="19">
        <v>143.38910119781499</v>
      </c>
      <c r="CP170" s="19">
        <v>149.409997343817</v>
      </c>
      <c r="CQ170" s="19">
        <v>130.89043354871001</v>
      </c>
      <c r="CR170" s="19">
        <v>147.11088766419999</v>
      </c>
      <c r="CS170" s="19">
        <v>130.63968578799799</v>
      </c>
      <c r="CT170" s="19">
        <v>183.09916509941559</v>
      </c>
      <c r="CU170" s="19">
        <v>193.3472696097495</v>
      </c>
      <c r="CV170" s="19">
        <v>200</v>
      </c>
      <c r="CW170" s="19">
        <v>200</v>
      </c>
      <c r="CX170" s="19">
        <v>200</v>
      </c>
      <c r="CY170" s="19">
        <v>4.2323257618727794</v>
      </c>
      <c r="CZ170" s="19">
        <v>4.390649294606888</v>
      </c>
      <c r="DA170" s="19">
        <v>4.4264917992700727</v>
      </c>
      <c r="DB170" s="19">
        <v>4.0813330129032259</v>
      </c>
      <c r="DC170" s="19">
        <v>3.7133898200000006</v>
      </c>
      <c r="DD170" s="19">
        <v>3.5205063000000001</v>
      </c>
      <c r="DE170" s="19">
        <v>3.5062046829268296</v>
      </c>
      <c r="DF170" s="19">
        <v>3.6052742293709548</v>
      </c>
      <c r="DG170" s="19">
        <v>3.9097538959148319</v>
      </c>
      <c r="DH170" s="19">
        <v>3.9755556886846364</v>
      </c>
      <c r="DI170" s="19">
        <v>3.3446439783462525</v>
      </c>
      <c r="DJ170" s="19">
        <v>3.7061451366923954</v>
      </c>
      <c r="DK170" s="19">
        <v>3.1411499995219518</v>
      </c>
      <c r="DL170" s="19">
        <v>2.2693587073712824</v>
      </c>
      <c r="DM170" s="19">
        <v>4.22992915088596</v>
      </c>
      <c r="DN170" s="19">
        <v>2.8046971324415679</v>
      </c>
      <c r="DO170" s="19">
        <v>2.7469481281200028</v>
      </c>
      <c r="DP170" s="19">
        <v>2.8322357445255473</v>
      </c>
      <c r="DQ170" s="19">
        <v>3.025999690322581</v>
      </c>
      <c r="DR170" s="19">
        <v>3.0756506799999999</v>
      </c>
      <c r="DS170" s="19">
        <v>3.22606225</v>
      </c>
      <c r="DT170" s="19">
        <v>3.4080475756097566</v>
      </c>
      <c r="DU170" s="19">
        <v>3.3294429975360198</v>
      </c>
      <c r="DV170" s="19">
        <v>3.4670711195746131</v>
      </c>
      <c r="DW170" s="19">
        <v>3.628890692103993</v>
      </c>
      <c r="DX170" s="19">
        <v>3.789385783721074</v>
      </c>
      <c r="DY170" s="19">
        <v>4.2225924407490973</v>
      </c>
      <c r="DZ170" s="19">
        <v>3.4112414992637898</v>
      </c>
      <c r="EA170" s="19">
        <v>3.9419609147278303</v>
      </c>
      <c r="EB170" s="19">
        <v>4.0179235162750402</v>
      </c>
      <c r="EC170" s="19">
        <v>2.5785151224498195</v>
      </c>
      <c r="ED170" s="19">
        <v>2.5623492172648596</v>
      </c>
      <c r="EE170" s="19">
        <v>2.7860707182481752</v>
      </c>
      <c r="EF170" s="19">
        <v>2.7455914129032259</v>
      </c>
      <c r="EG170" s="19">
        <v>2.563275</v>
      </c>
      <c r="EH170" s="19">
        <v>2.7264470000000003</v>
      </c>
      <c r="EI170" s="19">
        <v>3.0803081902439029</v>
      </c>
      <c r="EJ170" s="19">
        <v>3.2039151511206612</v>
      </c>
      <c r="EK170" s="19">
        <v>3.3412257449571472</v>
      </c>
      <c r="EL170" s="19">
        <v>3.4703499013727361</v>
      </c>
      <c r="EM170" s="19">
        <v>4.3203463125656114</v>
      </c>
      <c r="EN170" s="19">
        <v>3.4758379755955309</v>
      </c>
      <c r="EO170" s="19">
        <v>3.5781912413009791</v>
      </c>
      <c r="EP170" s="19">
        <v>3.8673095540489246</v>
      </c>
      <c r="EQ170" s="19">
        <v>4.4691369438308035</v>
      </c>
      <c r="ER170" s="19"/>
      <c r="ES170" s="16">
        <f t="shared" si="11"/>
        <v>3.717470896842106</v>
      </c>
      <c r="ET170" s="16">
        <f t="shared" si="11"/>
        <v>3.1631811768539326</v>
      </c>
      <c r="EU170" s="16">
        <f t="shared" si="11"/>
        <v>4.3870276266666668</v>
      </c>
      <c r="EV170" s="16">
        <f t="shared" si="11"/>
        <v>2.7081299000000003</v>
      </c>
      <c r="EW170" s="16">
        <f t="shared" si="11"/>
        <v>3.4988314800000002</v>
      </c>
      <c r="EX170" s="16" t="str">
        <f t="shared" si="11"/>
        <v>.</v>
      </c>
      <c r="EY170" s="16">
        <f t="shared" si="11"/>
        <v>175.30190773439401</v>
      </c>
      <c r="EZ170" s="16">
        <f t="shared" si="11"/>
        <v>3.7133898200000006</v>
      </c>
      <c r="FA170" s="16">
        <f t="shared" si="11"/>
        <v>3.0756506799999999</v>
      </c>
      <c r="FB170" s="16">
        <f t="shared" si="11"/>
        <v>2.563275</v>
      </c>
    </row>
    <row r="171" spans="1:158" x14ac:dyDescent="0.25">
      <c r="A171" s="17">
        <v>168</v>
      </c>
      <c r="B171" s="17" t="s">
        <v>205</v>
      </c>
      <c r="C171" s="17" t="s">
        <v>205</v>
      </c>
      <c r="D171" s="17" t="s">
        <v>9</v>
      </c>
      <c r="E171" s="16">
        <v>1</v>
      </c>
      <c r="F171" s="18">
        <v>3.5297370031361233</v>
      </c>
      <c r="G171" s="18">
        <v>3.2874752106301139</v>
      </c>
      <c r="H171" s="18">
        <v>3.3709815260229758</v>
      </c>
      <c r="I171" s="18">
        <v>3.1341474422585178</v>
      </c>
      <c r="J171" s="18">
        <v>2.9765362105263162</v>
      </c>
      <c r="K171" s="18">
        <v>3.1108155137844617</v>
      </c>
      <c r="L171" s="18">
        <v>3.346451884842105</v>
      </c>
      <c r="M171" s="18">
        <v>3.4275908566603621</v>
      </c>
      <c r="N171" s="18">
        <v>3.5266360034619328</v>
      </c>
      <c r="O171" s="18">
        <v>3.1801571652949217</v>
      </c>
      <c r="P171" s="18">
        <v>4.2763807783474084</v>
      </c>
      <c r="Q171" s="18">
        <v>3.9599700371332105</v>
      </c>
      <c r="R171" s="18">
        <v>2.6705259248183459</v>
      </c>
      <c r="S171" s="18">
        <v>2.7728653371455456</v>
      </c>
      <c r="T171" s="18">
        <v>3.6435858416500935</v>
      </c>
      <c r="U171" s="18">
        <v>2.0395170819903865</v>
      </c>
      <c r="V171" s="18">
        <v>1.9493638625435721</v>
      </c>
      <c r="W171" s="18">
        <v>1.7849665681696019</v>
      </c>
      <c r="X171" s="18">
        <v>1.9625979675297458</v>
      </c>
      <c r="Y171" s="18">
        <v>1.6762055999999999</v>
      </c>
      <c r="Z171" s="18">
        <v>1.8862304653547239</v>
      </c>
      <c r="AA171" s="18">
        <v>2.1215721347823204</v>
      </c>
      <c r="AB171" s="18">
        <v>2.1056267962255211</v>
      </c>
      <c r="AC171" s="18">
        <v>2.1241904976163104</v>
      </c>
      <c r="AD171" s="19">
        <v>2.156657864772356</v>
      </c>
      <c r="AE171" s="19">
        <v>2.415988404707976</v>
      </c>
      <c r="AF171" s="19">
        <v>2.0353276915892415</v>
      </c>
      <c r="AG171" s="19">
        <v>2.8161460687657796</v>
      </c>
      <c r="AH171" s="19">
        <v>2.2559559826772801</v>
      </c>
      <c r="AI171" s="19">
        <v>1.995065456566532</v>
      </c>
      <c r="AJ171" s="19">
        <v>3.4653208595423499</v>
      </c>
      <c r="AK171" s="19">
        <v>3.379956</v>
      </c>
      <c r="AL171" s="19">
        <v>3.6478303809523811</v>
      </c>
      <c r="AM171" s="19">
        <v>3.6488276599999998</v>
      </c>
      <c r="AN171" s="19">
        <v>3.4340952868020835</v>
      </c>
      <c r="AO171" s="19">
        <v>3.1995730691758055</v>
      </c>
      <c r="AP171" s="19">
        <v>2.986922843334002</v>
      </c>
      <c r="AQ171" s="19">
        <v>2.7643838015515332</v>
      </c>
      <c r="AR171" s="19">
        <v>2.4920286724626082</v>
      </c>
      <c r="AS171" s="19">
        <v>2.7344789899568815</v>
      </c>
      <c r="AT171" s="19">
        <v>2.4771832072746558</v>
      </c>
      <c r="AU171" s="19">
        <v>2.2770110849563969</v>
      </c>
      <c r="AV171" s="19">
        <v>2.113479736107319</v>
      </c>
      <c r="AW171" s="19">
        <v>2.2099138490421755</v>
      </c>
      <c r="AX171" s="19">
        <v>2.6160219861351153</v>
      </c>
      <c r="AY171" s="19">
        <v>2.8290354902633501</v>
      </c>
      <c r="AZ171" s="19">
        <v>2.5721340000000001</v>
      </c>
      <c r="BA171" s="19">
        <v>2.7978561904761907</v>
      </c>
      <c r="BB171" s="19">
        <v>3.0035922199999998</v>
      </c>
      <c r="BC171" s="19">
        <v>2.97943931621875</v>
      </c>
      <c r="BD171" s="19">
        <v>3.1582940846981913</v>
      </c>
      <c r="BE171" s="19">
        <v>3.066045260429382</v>
      </c>
      <c r="BF171" s="19">
        <v>3.0520215604166077</v>
      </c>
      <c r="BG171" s="19">
        <v>3.6016148336298897</v>
      </c>
      <c r="BH171" s="19">
        <v>3.7847536867985698</v>
      </c>
      <c r="BI171" s="19">
        <v>3.1055670760764524</v>
      </c>
      <c r="BJ171" s="19">
        <v>3.3060472655619622</v>
      </c>
      <c r="BK171" s="19">
        <v>2.8069006105792531</v>
      </c>
      <c r="BL171" s="19">
        <v>2.5941634042576944</v>
      </c>
      <c r="BM171" s="19">
        <v>2.8184609518699939</v>
      </c>
      <c r="BN171" s="19">
        <v>2.8273890108012245</v>
      </c>
      <c r="BO171" s="19">
        <v>2.4606089999999998</v>
      </c>
      <c r="BP171" s="19">
        <v>2.3829392666666669</v>
      </c>
      <c r="BQ171" s="19">
        <v>2.3719515639999997</v>
      </c>
      <c r="BR171" s="19">
        <v>2.2299962347031248</v>
      </c>
      <c r="BS171" s="19">
        <v>2.1876290045364768</v>
      </c>
      <c r="BT171" s="19">
        <v>2.305447773520763</v>
      </c>
      <c r="BU171" s="19">
        <v>2.246501503012551</v>
      </c>
      <c r="BV171" s="19">
        <v>2.6457723607406161</v>
      </c>
      <c r="BW171" s="19">
        <v>1.7364825166629976</v>
      </c>
      <c r="BX171" s="19">
        <v>1.7822801524550811</v>
      </c>
      <c r="BY171" s="19">
        <v>1.6134308808587448</v>
      </c>
      <c r="BZ171" s="19">
        <v>1</v>
      </c>
      <c r="CA171" s="19">
        <v>1</v>
      </c>
      <c r="CB171" s="19">
        <v>1</v>
      </c>
      <c r="CC171" s="19">
        <v>1</v>
      </c>
      <c r="CD171" s="19">
        <v>5.8507733242018496</v>
      </c>
      <c r="CE171" s="19">
        <v>4.4113931954123826</v>
      </c>
      <c r="CF171" s="19">
        <v>4.4716378156412349</v>
      </c>
      <c r="CG171" s="19">
        <v>8.0701784416367648</v>
      </c>
      <c r="CH171" s="19">
        <v>7.7143705714943751</v>
      </c>
      <c r="CI171" s="19">
        <v>10.025735138259835</v>
      </c>
      <c r="CJ171" s="19">
        <v>29.18</v>
      </c>
      <c r="CK171" s="19">
        <v>33.72</v>
      </c>
      <c r="CL171" s="19">
        <v>68.89</v>
      </c>
      <c r="CM171" s="19">
        <v>21.22</v>
      </c>
      <c r="CN171" s="19">
        <v>46.086658550536498</v>
      </c>
      <c r="CO171" s="19">
        <v>47.048614751361697</v>
      </c>
      <c r="CP171" s="19">
        <v>54.362145674672</v>
      </c>
      <c r="CQ171" s="19">
        <v>69.014778767127893</v>
      </c>
      <c r="CR171" s="19">
        <v>72.36</v>
      </c>
      <c r="CS171" s="19">
        <v>67.980973316479094</v>
      </c>
      <c r="CT171" s="19">
        <v>78.597278669733811</v>
      </c>
      <c r="CU171" s="19">
        <v>85.523751687343051</v>
      </c>
      <c r="CV171" s="19">
        <v>81.563375274613932</v>
      </c>
      <c r="CW171" s="19">
        <v>81.484734779091823</v>
      </c>
      <c r="CX171" s="19">
        <v>92.980310950371006</v>
      </c>
      <c r="CY171" s="19">
        <v>4.2925799635420674</v>
      </c>
      <c r="CZ171" s="19">
        <v>4.0102121695941975</v>
      </c>
      <c r="DA171" s="19">
        <v>3.9345644549722749</v>
      </c>
      <c r="DB171" s="19">
        <v>3.4035593423246273</v>
      </c>
      <c r="DC171" s="19">
        <v>3.3245070000000001</v>
      </c>
      <c r="DD171" s="19">
        <v>3.3185512285714287</v>
      </c>
      <c r="DE171" s="19">
        <v>3.229070052</v>
      </c>
      <c r="DF171" s="19">
        <v>3.082839952</v>
      </c>
      <c r="DG171" s="19">
        <v>3.1566529123848746</v>
      </c>
      <c r="DH171" s="19">
        <v>3.0113581297489311</v>
      </c>
      <c r="DI171" s="19">
        <v>2.4040070688818647</v>
      </c>
      <c r="DJ171" s="19">
        <v>2.1055065946925864</v>
      </c>
      <c r="DK171" s="19">
        <v>2.5523450728828241</v>
      </c>
      <c r="DL171" s="19">
        <v>2.7601921983268767</v>
      </c>
      <c r="DM171" s="19">
        <v>1.7460125622218006</v>
      </c>
      <c r="DN171" s="19">
        <v>1.5256854593100786</v>
      </c>
      <c r="DO171" s="19">
        <v>2.4433727273463997</v>
      </c>
      <c r="DP171" s="19">
        <v>3.1279549587513822</v>
      </c>
      <c r="DQ171" s="19">
        <v>2.9233505030505396</v>
      </c>
      <c r="DR171" s="19">
        <v>2.9606780000000001</v>
      </c>
      <c r="DS171" s="19">
        <v>2.846909066666667</v>
      </c>
      <c r="DT171" s="19">
        <v>2.631994932</v>
      </c>
      <c r="DU171" s="19">
        <v>2.4571960451875001</v>
      </c>
      <c r="DV171" s="19">
        <v>2.3668611821751391</v>
      </c>
      <c r="DW171" s="19">
        <v>2.0882393322311916</v>
      </c>
      <c r="DX171" s="19">
        <v>1.5412682028367095</v>
      </c>
      <c r="DY171" s="19">
        <v>3.530364185051492</v>
      </c>
      <c r="DZ171" s="19">
        <v>2.3369652924994271</v>
      </c>
      <c r="EA171" s="19">
        <v>1.5260607673996482</v>
      </c>
      <c r="EB171" s="19">
        <v>3.220031431202385</v>
      </c>
      <c r="EC171" s="19">
        <v>2.767437651777874</v>
      </c>
      <c r="ED171" s="19">
        <v>2.6838181030717871</v>
      </c>
      <c r="EE171" s="19">
        <v>3.4315750582472049</v>
      </c>
      <c r="EF171" s="19">
        <v>2.9026872787454732</v>
      </c>
      <c r="EG171" s="19">
        <v>2.8529450000000001</v>
      </c>
      <c r="EH171" s="19">
        <v>2.7361523333333335</v>
      </c>
      <c r="EI171" s="19">
        <v>2.449406872</v>
      </c>
      <c r="EJ171" s="19">
        <v>2.4608243031718748</v>
      </c>
      <c r="EK171" s="19">
        <v>2.5625483833420577</v>
      </c>
      <c r="EL171" s="19">
        <v>2.5164811709752448</v>
      </c>
      <c r="EM171" s="19">
        <v>2.8535371124838416</v>
      </c>
      <c r="EN171" s="19">
        <v>2.959060801195974</v>
      </c>
      <c r="EO171" s="19">
        <v>2.4037155418343237</v>
      </c>
      <c r="EP171" s="19">
        <v>1.8302881298059233</v>
      </c>
      <c r="EQ171" s="19">
        <v>2.6156915489643544</v>
      </c>
      <c r="ER171" s="19"/>
      <c r="ES171" s="16">
        <f t="shared" si="11"/>
        <v>2.9765362105263162</v>
      </c>
      <c r="ET171" s="16">
        <f t="shared" si="11"/>
        <v>1.6762055999999999</v>
      </c>
      <c r="EU171" s="16">
        <f t="shared" si="11"/>
        <v>3.379956</v>
      </c>
      <c r="EV171" s="16">
        <f t="shared" si="11"/>
        <v>2.5721340000000001</v>
      </c>
      <c r="EW171" s="16">
        <f t="shared" si="11"/>
        <v>2.4606089999999998</v>
      </c>
      <c r="EX171" s="16" t="str">
        <f t="shared" si="11"/>
        <v>.</v>
      </c>
      <c r="EY171" s="16">
        <f t="shared" si="11"/>
        <v>46.086658550536498</v>
      </c>
      <c r="EZ171" s="16">
        <f t="shared" si="11"/>
        <v>3.3245070000000001</v>
      </c>
      <c r="FA171" s="16">
        <f t="shared" si="11"/>
        <v>2.9606780000000001</v>
      </c>
      <c r="FB171" s="16">
        <f t="shared" si="11"/>
        <v>2.8529450000000001</v>
      </c>
    </row>
    <row r="172" spans="1:158" x14ac:dyDescent="0.25">
      <c r="A172" s="17">
        <v>169</v>
      </c>
      <c r="B172" s="17" t="s">
        <v>206</v>
      </c>
      <c r="C172" s="17" t="s">
        <v>206</v>
      </c>
      <c r="D172" s="17" t="s">
        <v>14</v>
      </c>
      <c r="E172" s="16">
        <v>1</v>
      </c>
      <c r="F172" s="18">
        <v>3.2147455513142358</v>
      </c>
      <c r="G172" s="18">
        <v>3.6439874676308057</v>
      </c>
      <c r="H172" s="18">
        <v>3.6205285992715623</v>
      </c>
      <c r="I172" s="18">
        <v>3.5703685465700765</v>
      </c>
      <c r="J172" s="18">
        <v>3.6107954645112774</v>
      </c>
      <c r="K172" s="18">
        <v>3.839857752689416</v>
      </c>
      <c r="L172" s="18">
        <v>4.0481131716553946</v>
      </c>
      <c r="M172" s="18">
        <v>4.1004625175272986</v>
      </c>
      <c r="N172" s="18">
        <v>3.7374626155920949</v>
      </c>
      <c r="O172" s="18">
        <v>3.5493188526567785</v>
      </c>
      <c r="P172" s="18">
        <v>3.8761702327903462</v>
      </c>
      <c r="Q172" s="18">
        <v>4.4996200231559369</v>
      </c>
      <c r="R172" s="18">
        <v>4.3942241480825075</v>
      </c>
      <c r="S172" s="18">
        <v>3.982771242654235</v>
      </c>
      <c r="T172" s="18">
        <v>4.9701680210122943</v>
      </c>
      <c r="U172" s="18">
        <v>2.5809464301183302</v>
      </c>
      <c r="V172" s="18">
        <v>2.9433376050700826</v>
      </c>
      <c r="W172" s="18">
        <v>2.9085753042803035</v>
      </c>
      <c r="X172" s="18">
        <v>2.9982308031835205</v>
      </c>
      <c r="Y172" s="18">
        <v>3.1800433864761906</v>
      </c>
      <c r="Z172" s="18">
        <v>3.3043420590737513</v>
      </c>
      <c r="AA172" s="18">
        <v>3.3637083844320297</v>
      </c>
      <c r="AB172" s="18">
        <v>3.4174650464354275</v>
      </c>
      <c r="AC172" s="18">
        <v>3.4194242680466131</v>
      </c>
      <c r="AD172" s="19">
        <v>3.3375002548725319</v>
      </c>
      <c r="AE172" s="19">
        <v>3.5757809657539763</v>
      </c>
      <c r="AF172" s="19">
        <v>3.5351899456744733</v>
      </c>
      <c r="AG172" s="19">
        <v>4.0835321595245482</v>
      </c>
      <c r="AH172" s="19">
        <v>4.1167914367796579</v>
      </c>
      <c r="AI172" s="19">
        <v>3.8966677137436116</v>
      </c>
      <c r="AJ172" s="19">
        <v>4.6134688445692884</v>
      </c>
      <c r="AK172" s="19">
        <v>4.6451399076190478</v>
      </c>
      <c r="AL172" s="19">
        <v>4.6066752930402926</v>
      </c>
      <c r="AM172" s="19">
        <v>4.5700922294227189</v>
      </c>
      <c r="AN172" s="19">
        <v>4.6553184538559824</v>
      </c>
      <c r="AO172" s="19">
        <v>4.6722085906190403</v>
      </c>
      <c r="AP172" s="19">
        <v>4.196763816153168</v>
      </c>
      <c r="AQ172" s="19">
        <v>4.6475443778383214</v>
      </c>
      <c r="AR172" s="19">
        <v>4.8427016715107998</v>
      </c>
      <c r="AS172" s="19">
        <v>4.553428046058321</v>
      </c>
      <c r="AT172" s="19">
        <v>4.9660715936747684</v>
      </c>
      <c r="AU172" s="19">
        <v>3.9738328134420389</v>
      </c>
      <c r="AV172" s="19">
        <v>3.9806716842704448</v>
      </c>
      <c r="AW172" s="19">
        <v>3.772496533480501</v>
      </c>
      <c r="AX172" s="19">
        <v>3.7457938926136367</v>
      </c>
      <c r="AY172" s="19">
        <v>3.7899050662921345</v>
      </c>
      <c r="AZ172" s="19">
        <v>3.7986146199999999</v>
      </c>
      <c r="BA172" s="19">
        <v>4.2042049384615385</v>
      </c>
      <c r="BB172" s="19">
        <v>4.3183856201117319</v>
      </c>
      <c r="BC172" s="19">
        <v>3.9037039936272371</v>
      </c>
      <c r="BD172" s="19">
        <v>3.6328781387432905</v>
      </c>
      <c r="BE172" s="19">
        <v>3.684727237179021</v>
      </c>
      <c r="BF172" s="19">
        <v>4.2020545844761719</v>
      </c>
      <c r="BG172" s="19">
        <v>3.7690869730726799</v>
      </c>
      <c r="BH172" s="19">
        <v>3.241426223556787</v>
      </c>
      <c r="BI172" s="19">
        <v>4.0924287330949083</v>
      </c>
      <c r="BJ172" s="19">
        <v>6.4563742744790984</v>
      </c>
      <c r="BK172" s="19">
        <v>2.372385450865623</v>
      </c>
      <c r="BL172" s="19">
        <v>3.0980697111378688</v>
      </c>
      <c r="BM172" s="19">
        <v>3.1442160005681821</v>
      </c>
      <c r="BN172" s="19">
        <v>2.9357664786516855</v>
      </c>
      <c r="BO172" s="19">
        <v>2.876263994285714</v>
      </c>
      <c r="BP172" s="19">
        <v>3.3892889010989014</v>
      </c>
      <c r="BQ172" s="19">
        <v>3.5410063564245808</v>
      </c>
      <c r="BR172" s="19">
        <v>3.3842801090289267</v>
      </c>
      <c r="BS172" s="19">
        <v>2.9660600391374965</v>
      </c>
      <c r="BT172" s="19">
        <v>2.6813627264302244</v>
      </c>
      <c r="BU172" s="19">
        <v>2.7663049724672999</v>
      </c>
      <c r="BV172" s="19">
        <v>4.5033880957971899</v>
      </c>
      <c r="BW172" s="19">
        <v>2.9345576490135015</v>
      </c>
      <c r="BX172" s="19">
        <v>3.6122787935664258</v>
      </c>
      <c r="BY172" s="19">
        <v>3.0547222837701065</v>
      </c>
      <c r="BZ172" s="19">
        <v>1</v>
      </c>
      <c r="CA172" s="19">
        <v>1</v>
      </c>
      <c r="CB172" s="19">
        <v>1</v>
      </c>
      <c r="CC172" s="19">
        <v>1.00156434304449</v>
      </c>
      <c r="CD172" s="19">
        <v>13.790268102201599</v>
      </c>
      <c r="CE172" s="19">
        <v>8.7422452749486723</v>
      </c>
      <c r="CF172" s="19">
        <v>13.081331156190625</v>
      </c>
      <c r="CG172" s="19">
        <v>17.147755367577904</v>
      </c>
      <c r="CH172" s="19">
        <v>22.012719679307391</v>
      </c>
      <c r="CI172" s="19">
        <v>24.254196236699762</v>
      </c>
      <c r="CJ172" s="19">
        <v>8.1121094245794492</v>
      </c>
      <c r="CK172" s="19">
        <v>14.0237417221069</v>
      </c>
      <c r="CL172" s="19">
        <v>29.117872238159201</v>
      </c>
      <c r="CM172" s="19">
        <v>34.066925048828097</v>
      </c>
      <c r="CN172" s="19">
        <v>37.795572778386003</v>
      </c>
      <c r="CO172" s="19">
        <v>60.590559125263397</v>
      </c>
      <c r="CP172" s="19">
        <v>75.806659911923305</v>
      </c>
      <c r="CQ172" s="19">
        <v>71.504631794996001</v>
      </c>
      <c r="CR172" s="19">
        <v>67.3381642582832</v>
      </c>
      <c r="CS172" s="19">
        <v>74.471777759277899</v>
      </c>
      <c r="CT172" s="19">
        <v>94.420953833823319</v>
      </c>
      <c r="CU172" s="19">
        <v>96.515472776232059</v>
      </c>
      <c r="CV172" s="19">
        <v>108.1583008968814</v>
      </c>
      <c r="CW172" s="19">
        <v>117.24700268833648</v>
      </c>
      <c r="CX172" s="19">
        <v>128.02021688382203</v>
      </c>
      <c r="CY172" s="19">
        <v>4.552521662133957</v>
      </c>
      <c r="CZ172" s="19">
        <v>4.6834245619969437</v>
      </c>
      <c r="DA172" s="19">
        <v>4.4651191267045451</v>
      </c>
      <c r="DB172" s="19">
        <v>4.1430239522471908</v>
      </c>
      <c r="DC172" s="19">
        <v>4.1377394914285714</v>
      </c>
      <c r="DD172" s="19">
        <v>4.4690451340659338</v>
      </c>
      <c r="DE172" s="19">
        <v>4.6554815899441335</v>
      </c>
      <c r="DF172" s="19">
        <v>4.6140769901315792</v>
      </c>
      <c r="DG172" s="19">
        <v>4.5498654835889134</v>
      </c>
      <c r="DH172" s="19">
        <v>4.4789476084861022</v>
      </c>
      <c r="DI172" s="19">
        <v>4.6518374456298019</v>
      </c>
      <c r="DJ172" s="19">
        <v>4.7905339588223939</v>
      </c>
      <c r="DK172" s="19">
        <v>4.5144651261554891</v>
      </c>
      <c r="DL172" s="19">
        <v>3.8052688657604659</v>
      </c>
      <c r="DM172" s="19">
        <v>4.1454655008368668</v>
      </c>
      <c r="DN172" s="19">
        <v>1.9886671546755903</v>
      </c>
      <c r="DO172" s="19">
        <v>2.2971931029500303</v>
      </c>
      <c r="DP172" s="19">
        <v>2.889643013636364</v>
      </c>
      <c r="DQ172" s="19">
        <v>3.4404966528089886</v>
      </c>
      <c r="DR172" s="19">
        <v>3.6544018628571426</v>
      </c>
      <c r="DS172" s="19">
        <v>3.8748852967032965</v>
      </c>
      <c r="DT172" s="19">
        <v>3.7663062837988823</v>
      </c>
      <c r="DU172" s="19">
        <v>3.6843277488906363</v>
      </c>
      <c r="DV172" s="19">
        <v>3.5810993903348232</v>
      </c>
      <c r="DW172" s="19">
        <v>3.3210137349025457</v>
      </c>
      <c r="DX172" s="19">
        <v>3.9106572208577566</v>
      </c>
      <c r="DY172" s="19">
        <v>3.9005285166659092</v>
      </c>
      <c r="DZ172" s="19">
        <v>4.7064152275036442</v>
      </c>
      <c r="EA172" s="19">
        <v>5.4420843655588618</v>
      </c>
      <c r="EB172" s="19">
        <v>3.7429041000667391</v>
      </c>
      <c r="EC172" s="19">
        <v>2.3230377585225472</v>
      </c>
      <c r="ED172" s="19">
        <v>2.5109348794701987</v>
      </c>
      <c r="EE172" s="19">
        <v>2.6200980062500001</v>
      </c>
      <c r="EF172" s="19">
        <v>2.8482594073033707</v>
      </c>
      <c r="EG172" s="19">
        <v>2.9227034999999999</v>
      </c>
      <c r="EH172" s="19">
        <v>3.1918301208791209</v>
      </c>
      <c r="EI172" s="19">
        <v>3.3672250357541897</v>
      </c>
      <c r="EJ172" s="19">
        <v>3.5811192755287071</v>
      </c>
      <c r="EK172" s="19">
        <v>3.708642889366669</v>
      </c>
      <c r="EL172" s="19">
        <v>3.545300302080288</v>
      </c>
      <c r="EM172" s="19">
        <v>3.5545641024477179</v>
      </c>
      <c r="EN172" s="19">
        <v>4.0261479153554118</v>
      </c>
      <c r="EO172" s="19">
        <v>4.5543773158389147</v>
      </c>
      <c r="EP172" s="19">
        <v>4.5300133432942626</v>
      </c>
      <c r="EQ172" s="19">
        <v>4.1993752798923865</v>
      </c>
      <c r="ER172" s="19"/>
      <c r="ES172" s="16">
        <f t="shared" si="11"/>
        <v>3.6107954645112774</v>
      </c>
      <c r="ET172" s="16">
        <f t="shared" si="11"/>
        <v>3.1800433864761906</v>
      </c>
      <c r="EU172" s="16">
        <f t="shared" si="11"/>
        <v>4.6451399076190478</v>
      </c>
      <c r="EV172" s="16">
        <f t="shared" si="11"/>
        <v>3.7986146199999999</v>
      </c>
      <c r="EW172" s="16">
        <f t="shared" si="11"/>
        <v>2.876263994285714</v>
      </c>
      <c r="EX172" s="16" t="str">
        <f t="shared" si="11"/>
        <v>.</v>
      </c>
      <c r="EY172" s="16">
        <f t="shared" si="11"/>
        <v>37.795572778386003</v>
      </c>
      <c r="EZ172" s="16">
        <f t="shared" si="11"/>
        <v>4.1377394914285714</v>
      </c>
      <c r="FA172" s="16">
        <f t="shared" si="11"/>
        <v>3.6544018628571426</v>
      </c>
      <c r="FB172" s="16">
        <f t="shared" si="11"/>
        <v>2.9227034999999999</v>
      </c>
    </row>
    <row r="173" spans="1:158" x14ac:dyDescent="0.25">
      <c r="A173" s="17">
        <v>170</v>
      </c>
      <c r="B173" s="17" t="s">
        <v>207</v>
      </c>
      <c r="C173" s="17" t="s">
        <v>207</v>
      </c>
      <c r="D173" s="17" t="s">
        <v>14</v>
      </c>
      <c r="E173" s="16">
        <v>1</v>
      </c>
      <c r="F173" s="18">
        <v>3.2963187710981829</v>
      </c>
      <c r="G173" s="18">
        <v>3.2553759151043398</v>
      </c>
      <c r="H173" s="18">
        <v>3.25001658969521</v>
      </c>
      <c r="I173" s="18">
        <v>3.2368947745528875</v>
      </c>
      <c r="J173" s="18">
        <v>3.2392089508771931</v>
      </c>
      <c r="K173" s="18">
        <v>3.2053525175438597</v>
      </c>
      <c r="L173" s="18">
        <v>3.2979548774249676</v>
      </c>
      <c r="M173" s="18">
        <v>3.2780353399816402</v>
      </c>
      <c r="N173" s="18">
        <v>3.1757957186105408</v>
      </c>
      <c r="O173" s="18">
        <v>3.1705987162887714</v>
      </c>
      <c r="P173" s="18">
        <v>3.2451131899361823</v>
      </c>
      <c r="Q173" s="18">
        <v>3.4054507090944162</v>
      </c>
      <c r="R173" s="18">
        <v>3.0896787755655235</v>
      </c>
      <c r="S173" s="18">
        <v>3.261300426104341</v>
      </c>
      <c r="T173" s="18">
        <v>3.0809276617675652</v>
      </c>
      <c r="U173" s="18">
        <v>2.6688763052294715</v>
      </c>
      <c r="V173" s="18">
        <v>2.5455955907953487</v>
      </c>
      <c r="W173" s="18">
        <v>2.4793635265408804</v>
      </c>
      <c r="X173" s="18">
        <v>2.5474679616828477</v>
      </c>
      <c r="Y173" s="18">
        <v>2.6278573799999996</v>
      </c>
      <c r="Z173" s="18">
        <v>2.5878383059992762</v>
      </c>
      <c r="AA173" s="18">
        <v>2.6752437904054336</v>
      </c>
      <c r="AB173" s="18">
        <v>2.6270266703910301</v>
      </c>
      <c r="AC173" s="18">
        <v>2.6335823926970243</v>
      </c>
      <c r="AD173" s="19">
        <v>2.6136087524314404</v>
      </c>
      <c r="AE173" s="19">
        <v>2.7457668525346612</v>
      </c>
      <c r="AF173" s="19">
        <v>3.1484850249660123</v>
      </c>
      <c r="AG173" s="19">
        <v>2.6534410189149287</v>
      </c>
      <c r="AH173" s="19">
        <v>2.5011802803520902</v>
      </c>
      <c r="AI173" s="19">
        <v>2.296768856944059</v>
      </c>
      <c r="AJ173" s="19">
        <v>3.653057895145631</v>
      </c>
      <c r="AK173" s="19">
        <v>3.881389688888889</v>
      </c>
      <c r="AL173" s="19">
        <v>3.9808652333333332</v>
      </c>
      <c r="AM173" s="19">
        <v>4.1205192699724522</v>
      </c>
      <c r="AN173" s="19">
        <v>3.9590516949605701</v>
      </c>
      <c r="AO173" s="19">
        <v>3.676238556248586</v>
      </c>
      <c r="AP173" s="19">
        <v>3.5849573413530984</v>
      </c>
      <c r="AQ173" s="19">
        <v>4.1079269287369691</v>
      </c>
      <c r="AR173" s="19">
        <v>3.5799029101554525</v>
      </c>
      <c r="AS173" s="19">
        <v>4.1537271645657627</v>
      </c>
      <c r="AT173" s="19">
        <v>3.4192538539765289</v>
      </c>
      <c r="AU173" s="19">
        <v>3.9128486619027147</v>
      </c>
      <c r="AV173" s="19">
        <v>2.2708333333333335</v>
      </c>
      <c r="AW173" s="19">
        <v>2.3087914757575758</v>
      </c>
      <c r="AX173" s="19">
        <v>2.5789848943396225</v>
      </c>
      <c r="AY173" s="19">
        <v>3.0981038427184462</v>
      </c>
      <c r="AZ173" s="19">
        <v>3.1116985666666666</v>
      </c>
      <c r="BA173" s="19">
        <v>2.9781230333333335</v>
      </c>
      <c r="BB173" s="19">
        <v>3.1106656115702478</v>
      </c>
      <c r="BC173" s="19">
        <v>2.8433110420558148</v>
      </c>
      <c r="BD173" s="19">
        <v>2.5751070056642806</v>
      </c>
      <c r="BE173" s="19">
        <v>2.353923118114472</v>
      </c>
      <c r="BF173" s="19">
        <v>3.2555011534991949</v>
      </c>
      <c r="BG173" s="19">
        <v>3.8527230002038682</v>
      </c>
      <c r="BH173" s="19">
        <v>2.6693811208548111</v>
      </c>
      <c r="BI173" s="19">
        <v>3.609430764282286</v>
      </c>
      <c r="BJ173" s="19">
        <v>2.2448823976849988</v>
      </c>
      <c r="BK173" s="19">
        <v>3.0777777777777779</v>
      </c>
      <c r="BL173" s="19">
        <v>2.9534675646464645</v>
      </c>
      <c r="BM173" s="19">
        <v>2.8360703735849055</v>
      </c>
      <c r="BN173" s="19">
        <v>3.0146146252427179</v>
      </c>
      <c r="BO173" s="19">
        <v>3.1825454666666664</v>
      </c>
      <c r="BP173" s="19">
        <v>3.1536716999999999</v>
      </c>
      <c r="BQ173" s="19">
        <v>3.0968011917355374</v>
      </c>
      <c r="BR173" s="19">
        <v>2.89897850594995</v>
      </c>
      <c r="BS173" s="19">
        <v>2.8960514370276007</v>
      </c>
      <c r="BT173" s="19">
        <v>2.7579999685287477</v>
      </c>
      <c r="BU173" s="19">
        <v>2.1843374437593361</v>
      </c>
      <c r="BV173" s="19">
        <v>3.207757723978784</v>
      </c>
      <c r="BW173" s="19">
        <v>3.131466781678804</v>
      </c>
      <c r="BX173" s="19">
        <v>2.9864840871647371</v>
      </c>
      <c r="BY173" s="19">
        <v>2.7864056818081679</v>
      </c>
      <c r="BZ173" s="19">
        <v>14.896845616462</v>
      </c>
      <c r="CA173" s="19">
        <v>29.662183127629302</v>
      </c>
      <c r="CB173" s="19">
        <v>37.799053375744698</v>
      </c>
      <c r="CC173" s="19">
        <v>39.230019196092996</v>
      </c>
      <c r="CD173" s="19">
        <v>39.027324153458501</v>
      </c>
      <c r="CE173" s="19">
        <v>48.304900351324875</v>
      </c>
      <c r="CF173" s="19">
        <v>53.825886245396553</v>
      </c>
      <c r="CG173" s="19">
        <v>59.402691533106172</v>
      </c>
      <c r="CH173" s="19">
        <v>67.37778028460184</v>
      </c>
      <c r="CI173" s="19">
        <v>73.166110417908271</v>
      </c>
      <c r="CJ173" s="19">
        <v>5.6143697478991603</v>
      </c>
      <c r="CK173" s="19">
        <v>6.4895606040954599</v>
      </c>
      <c r="CL173" s="19">
        <v>12.274254798889199</v>
      </c>
      <c r="CM173" s="19">
        <v>23.884466171264599</v>
      </c>
      <c r="CN173" s="19">
        <v>59.658970235264803</v>
      </c>
      <c r="CO173" s="19">
        <v>72.132094563921498</v>
      </c>
      <c r="CP173" s="19">
        <v>96.928285762103499</v>
      </c>
      <c r="CQ173" s="19">
        <v>96.349866795272902</v>
      </c>
      <c r="CR173" s="19">
        <v>80.816421307149497</v>
      </c>
      <c r="CS173" s="19">
        <v>84.788804435859902</v>
      </c>
      <c r="CT173" s="19">
        <v>119.35177641754659</v>
      </c>
      <c r="CU173" s="19">
        <v>121.81882619890425</v>
      </c>
      <c r="CV173" s="19">
        <v>129.8709541137234</v>
      </c>
      <c r="CW173" s="19">
        <v>149.08419212979638</v>
      </c>
      <c r="CX173" s="19">
        <v>164.97486158666877</v>
      </c>
      <c r="CY173" s="19">
        <v>2.1361111111111111</v>
      </c>
      <c r="CZ173" s="19">
        <v>2.1005806267676768</v>
      </c>
      <c r="DA173" s="19">
        <v>2.0216640566037736</v>
      </c>
      <c r="DB173" s="19">
        <v>2.1705891864077671</v>
      </c>
      <c r="DC173" s="19">
        <v>2.3460974999999999</v>
      </c>
      <c r="DD173" s="19">
        <v>2.6028285999999996</v>
      </c>
      <c r="DE173" s="19">
        <v>2.6466880694214878</v>
      </c>
      <c r="DF173" s="19">
        <v>2.3704516131885711</v>
      </c>
      <c r="DG173" s="19">
        <v>2.3974447143321136</v>
      </c>
      <c r="DH173" s="19">
        <v>2.5819999217987064</v>
      </c>
      <c r="DI173" s="19">
        <v>2.4882503042607045</v>
      </c>
      <c r="DJ173" s="19">
        <v>2.958400336883062</v>
      </c>
      <c r="DK173" s="19">
        <v>2.5196185348875226</v>
      </c>
      <c r="DL173" s="19">
        <v>3.1970561304510881</v>
      </c>
      <c r="DM173" s="19">
        <v>3.0802570508379703</v>
      </c>
      <c r="DN173" s="19">
        <v>3.1305555555555555</v>
      </c>
      <c r="DO173" s="19">
        <v>3.2482206929292925</v>
      </c>
      <c r="DP173" s="19">
        <v>3.1648984075471693</v>
      </c>
      <c r="DQ173" s="19">
        <v>3.1753473689320386</v>
      </c>
      <c r="DR173" s="19">
        <v>3.2195447666666661</v>
      </c>
      <c r="DS173" s="19">
        <v>3.1624148999999999</v>
      </c>
      <c r="DT173" s="19">
        <v>3.1682745438016529</v>
      </c>
      <c r="DU173" s="19">
        <v>3.0896473964096809</v>
      </c>
      <c r="DV173" s="19">
        <v>3.0120597688519224</v>
      </c>
      <c r="DW173" s="19">
        <v>3.0705316662788391</v>
      </c>
      <c r="DX173" s="19">
        <v>2.9590934435735181</v>
      </c>
      <c r="DY173" s="19">
        <v>2.890710757023411</v>
      </c>
      <c r="DZ173" s="19">
        <v>3.5803403678096299</v>
      </c>
      <c r="EA173" s="19">
        <v>3.3987962471571662</v>
      </c>
      <c r="EB173" s="19">
        <v>2.5577889508000879</v>
      </c>
      <c r="EC173" s="19">
        <v>3.3222222222222224</v>
      </c>
      <c r="ED173" s="19">
        <v>3.2735933398989898</v>
      </c>
      <c r="EE173" s="19">
        <v>3.1843323811320756</v>
      </c>
      <c r="EF173" s="19">
        <v>3.1936906485436891</v>
      </c>
      <c r="EG173" s="19">
        <v>3.2599950333333334</v>
      </c>
      <c r="EH173" s="19">
        <v>3.2191377999999999</v>
      </c>
      <c r="EI173" s="19">
        <v>3.2768479024793393</v>
      </c>
      <c r="EJ173" s="19">
        <v>3.2814624991122638</v>
      </c>
      <c r="EK173" s="19">
        <v>3.2821530565923576</v>
      </c>
      <c r="EL173" s="19">
        <v>3.185576856136322</v>
      </c>
      <c r="EM173" s="19">
        <v>3.3428189189278563</v>
      </c>
      <c r="EN173" s="19">
        <v>3.2309869879258231</v>
      </c>
      <c r="EO173" s="19">
        <v>3.0571588477803302</v>
      </c>
      <c r="EP173" s="19">
        <v>2.9545926879520463</v>
      </c>
      <c r="EQ173" s="19">
        <v>3.3257023774081098</v>
      </c>
      <c r="ER173" s="19"/>
      <c r="ES173" s="16">
        <f t="shared" si="11"/>
        <v>3.2392089508771931</v>
      </c>
      <c r="ET173" s="16">
        <f t="shared" si="11"/>
        <v>2.6278573799999996</v>
      </c>
      <c r="EU173" s="16">
        <f t="shared" si="11"/>
        <v>3.881389688888889</v>
      </c>
      <c r="EV173" s="16">
        <f t="shared" si="11"/>
        <v>3.1116985666666666</v>
      </c>
      <c r="EW173" s="16">
        <f t="shared" si="11"/>
        <v>3.1825454666666664</v>
      </c>
      <c r="EX173" s="16" t="str">
        <f t="shared" si="11"/>
        <v>.</v>
      </c>
      <c r="EY173" s="16">
        <f t="shared" si="11"/>
        <v>59.658970235264803</v>
      </c>
      <c r="EZ173" s="16">
        <f t="shared" si="11"/>
        <v>2.3460974999999999</v>
      </c>
      <c r="FA173" s="16">
        <f t="shared" si="11"/>
        <v>3.2195447666666661</v>
      </c>
      <c r="FB173" s="16">
        <f t="shared" si="11"/>
        <v>3.2599950333333334</v>
      </c>
    </row>
    <row r="174" spans="1:158" x14ac:dyDescent="0.25">
      <c r="A174" s="3">
        <v>171</v>
      </c>
      <c r="B174" s="3" t="s">
        <v>208</v>
      </c>
      <c r="C174" s="3">
        <v>0</v>
      </c>
      <c r="D174" s="3" t="s">
        <v>7</v>
      </c>
      <c r="E174" s="3">
        <v>16</v>
      </c>
      <c r="F174" s="19">
        <v>3.2002198030188227</v>
      </c>
      <c r="G174" s="19">
        <v>3.2311881729799614</v>
      </c>
      <c r="H174" s="19">
        <v>3.2881663312576315</v>
      </c>
      <c r="I174" s="19">
        <v>3.2730329434541128</v>
      </c>
      <c r="J174" s="19">
        <v>3.4219971052631579</v>
      </c>
      <c r="K174" s="19">
        <v>3.4812075578947375</v>
      </c>
      <c r="L174" s="19">
        <v>3.529652473684211</v>
      </c>
      <c r="M174" s="19">
        <v>3.529652473684211</v>
      </c>
      <c r="N174" s="19">
        <v>3.5296524736842101</v>
      </c>
      <c r="O174" s="19">
        <v>3.5296524736842101</v>
      </c>
      <c r="P174" s="19">
        <v>3.5296524736842101</v>
      </c>
      <c r="Q174" s="19">
        <v>3.5296524736842101</v>
      </c>
      <c r="R174" s="19">
        <v>3.5296524736842101</v>
      </c>
      <c r="S174" s="19">
        <v>3.5296524736842101</v>
      </c>
      <c r="T174" s="19">
        <v>3.5296524736842101</v>
      </c>
      <c r="U174" s="19">
        <v>2.5264565759139912</v>
      </c>
      <c r="V174" s="19">
        <v>2.3696492309030281</v>
      </c>
      <c r="W174" s="19">
        <v>2.3176155426129426</v>
      </c>
      <c r="X174" s="19">
        <v>2.5932551472908401</v>
      </c>
      <c r="Y174" s="19">
        <v>2.835792333333333</v>
      </c>
      <c r="Z174" s="19">
        <v>3.0865753640741267</v>
      </c>
      <c r="AA174" s="19">
        <v>3.2775590337846716</v>
      </c>
      <c r="AB174" s="19">
        <v>3.5242191421763098</v>
      </c>
      <c r="AC174" s="19">
        <v>3.7545886111985398</v>
      </c>
      <c r="AD174" s="19">
        <v>3.9849580802207698</v>
      </c>
      <c r="AE174" s="19">
        <v>4.2153275492429998</v>
      </c>
      <c r="AF174" s="19">
        <v>4.4456970182652302</v>
      </c>
      <c r="AG174" s="19">
        <v>4.6760664872874598</v>
      </c>
      <c r="AH174" s="19">
        <v>4.9064359563096902</v>
      </c>
      <c r="AI174" s="19">
        <v>5.1368054253319197</v>
      </c>
      <c r="AJ174" s="19">
        <v>4.1304459745393638</v>
      </c>
      <c r="AK174" s="19">
        <v>4.1752416666666674</v>
      </c>
      <c r="AL174" s="19">
        <v>4.4050578833333338</v>
      </c>
      <c r="AM174" s="19">
        <v>4.5930893333333334</v>
      </c>
      <c r="AN174" s="19">
        <v>4.5930893333333334</v>
      </c>
      <c r="AO174" s="19">
        <v>3.9409459059549969</v>
      </c>
      <c r="AP174" s="19">
        <v>4.1057434870872962</v>
      </c>
      <c r="AQ174" s="19">
        <v>4.1057434870872962</v>
      </c>
      <c r="AR174" s="19">
        <v>4.1057434870872962</v>
      </c>
      <c r="AS174" s="19">
        <v>4.1057434870872962</v>
      </c>
      <c r="AT174" s="19">
        <v>4.1057434870872962</v>
      </c>
      <c r="AU174" s="19">
        <v>4.1057434870872962</v>
      </c>
      <c r="AV174" s="19">
        <v>2.2109934226855299</v>
      </c>
      <c r="AW174" s="19">
        <v>2.2093554680672272</v>
      </c>
      <c r="AX174" s="19">
        <v>2.5869355238095237</v>
      </c>
      <c r="AY174" s="19">
        <v>2.8306377798994973</v>
      </c>
      <c r="AZ174" s="19">
        <v>2.7822300000000002</v>
      </c>
      <c r="BA174" s="19">
        <v>3.2183926500000002</v>
      </c>
      <c r="BB174" s="19">
        <v>3.575253</v>
      </c>
      <c r="BC174" s="19">
        <v>3.575253</v>
      </c>
      <c r="BD174" s="19">
        <v>2.5</v>
      </c>
      <c r="BE174" s="19">
        <v>2.5795277295289214</v>
      </c>
      <c r="BF174" s="19">
        <v>2.6590554590578401</v>
      </c>
      <c r="BG174" s="19">
        <v>2.7385831885867602</v>
      </c>
      <c r="BH174" s="19">
        <v>2.81811091811569</v>
      </c>
      <c r="BI174" s="19">
        <v>2.8976386476446101</v>
      </c>
      <c r="BJ174" s="19">
        <v>2.9771663771735302</v>
      </c>
      <c r="BK174" s="19">
        <v>2.8799217658278846</v>
      </c>
      <c r="BL174" s="19">
        <v>2.7180041882352941</v>
      </c>
      <c r="BM174" s="19">
        <v>2.5184846571428574</v>
      </c>
      <c r="BN174" s="19">
        <v>2.7625676432160802</v>
      </c>
      <c r="BO174" s="19">
        <v>3.0049790000000001</v>
      </c>
      <c r="BP174" s="19">
        <v>2.7059341000000003</v>
      </c>
      <c r="BQ174" s="19">
        <v>2.4612609999999999</v>
      </c>
      <c r="BR174" s="19">
        <v>2.4612609999999999</v>
      </c>
      <c r="BS174" s="19">
        <v>2.0588235855102539</v>
      </c>
      <c r="BT174" s="19">
        <v>2.1123569779925875</v>
      </c>
      <c r="BU174" s="19">
        <v>1.8619098324935299</v>
      </c>
      <c r="BV174" s="19">
        <v>1.6874578214898299</v>
      </c>
      <c r="BW174" s="19">
        <v>1.5130058104861199</v>
      </c>
      <c r="BX174" s="19">
        <v>1.3385537994824099</v>
      </c>
      <c r="BY174" s="19">
        <v>1.1641017884787099</v>
      </c>
      <c r="BZ174" s="19">
        <v>9.2258785979956404</v>
      </c>
      <c r="CA174" s="19">
        <v>10.8692696906044</v>
      </c>
      <c r="CB174" s="19">
        <v>12.5126607832132</v>
      </c>
      <c r="CC174" s="19">
        <v>27.7641443379508</v>
      </c>
      <c r="CD174" s="19">
        <v>33.484157328197803</v>
      </c>
      <c r="CE174" s="19">
        <v>45.558484028105198</v>
      </c>
      <c r="CF174" s="19">
        <v>56.0442323005975</v>
      </c>
      <c r="CG174" s="19">
        <v>66.529980573089802</v>
      </c>
      <c r="CH174" s="19">
        <v>77.015728845582103</v>
      </c>
      <c r="CI174" s="19">
        <v>87.501477118074405</v>
      </c>
      <c r="CJ174" s="19">
        <v>40.807960071666201</v>
      </c>
      <c r="CK174" s="19">
        <v>48.254692077636697</v>
      </c>
      <c r="CL174" s="19">
        <v>80.678062438964801</v>
      </c>
      <c r="CM174" s="19">
        <v>86.477386474609403</v>
      </c>
      <c r="CN174" s="19">
        <v>80.148419650391503</v>
      </c>
      <c r="CO174" s="19">
        <v>84.517332102420198</v>
      </c>
      <c r="CP174" s="19">
        <v>89.533135607140096</v>
      </c>
      <c r="CQ174" s="19">
        <v>94.548939111859994</v>
      </c>
      <c r="CR174" s="19">
        <v>91.278950288463605</v>
      </c>
      <c r="CS174" s="19">
        <v>90.151960214509899</v>
      </c>
      <c r="CT174" s="19">
        <v>89.024970140556206</v>
      </c>
      <c r="CU174" s="19">
        <v>87.8979800666025</v>
      </c>
      <c r="CV174" s="19">
        <v>86.770989992648794</v>
      </c>
      <c r="CW174" s="19">
        <v>85.643999918695101</v>
      </c>
      <c r="CX174" s="19">
        <v>84.517009844741395</v>
      </c>
      <c r="CY174" s="19">
        <v>3.1964941502871307</v>
      </c>
      <c r="CZ174" s="19">
        <v>3.3191876176470592</v>
      </c>
      <c r="DA174" s="19">
        <v>2.7786067904761906</v>
      </c>
      <c r="DB174" s="19">
        <v>2.6892288658291457</v>
      </c>
      <c r="DC174" s="19">
        <v>2.930666</v>
      </c>
      <c r="DD174" s="19">
        <v>3.3423553000000004</v>
      </c>
      <c r="DE174" s="19">
        <v>3.6791920000000005</v>
      </c>
      <c r="DF174" s="19">
        <v>4.0160286999999997</v>
      </c>
      <c r="DG174" s="19">
        <v>3.1359224319458008</v>
      </c>
      <c r="DH174" s="19">
        <v>3.1412534104453194</v>
      </c>
      <c r="DI174" s="19">
        <v>2.5562928912423599</v>
      </c>
      <c r="DJ174" s="19">
        <v>2.1189052464650202</v>
      </c>
      <c r="DK174" s="19">
        <v>1.6815176016876801</v>
      </c>
      <c r="DL174" s="19">
        <v>1.2441299569103399</v>
      </c>
      <c r="DM174" s="19">
        <v>1</v>
      </c>
      <c r="DN174" s="19">
        <v>2.1995794530747972</v>
      </c>
      <c r="DO174" s="19">
        <v>2.0583476756302521</v>
      </c>
      <c r="DP174" s="19">
        <v>1.9681346952380951</v>
      </c>
      <c r="DQ174" s="19">
        <v>2.0472640341708543</v>
      </c>
      <c r="DR174" s="19">
        <v>2.1627589999999999</v>
      </c>
      <c r="DS174" s="19">
        <v>2.6823830500000003</v>
      </c>
      <c r="DT174" s="19">
        <v>3.1075300000000006</v>
      </c>
      <c r="DU174" s="19">
        <v>3.5326769499999999</v>
      </c>
      <c r="DV174" s="19">
        <v>3.059406042098999</v>
      </c>
      <c r="DW174" s="19">
        <v>3.2359048852214105</v>
      </c>
      <c r="DX174" s="19">
        <v>3.2118429062709102</v>
      </c>
      <c r="DY174" s="19">
        <v>3.2030282810472301</v>
      </c>
      <c r="DZ174" s="19">
        <v>3.1942136558235599</v>
      </c>
      <c r="EA174" s="19">
        <v>3.1853990305998798</v>
      </c>
      <c r="EB174" s="19">
        <v>3.1765844053761998</v>
      </c>
      <c r="EC174" s="19">
        <v>1.7047124103673026</v>
      </c>
      <c r="ED174" s="19">
        <v>1.6255220075630252</v>
      </c>
      <c r="EE174" s="19">
        <v>1.7145372571428572</v>
      </c>
      <c r="EF174" s="19">
        <v>1.7597950603015076</v>
      </c>
      <c r="EG174" s="19">
        <v>1.729276</v>
      </c>
      <c r="EH174" s="19">
        <v>2.4582047500000002</v>
      </c>
      <c r="EI174" s="19">
        <v>3.0546009999999999</v>
      </c>
      <c r="EJ174" s="19">
        <v>2.8094786635284423</v>
      </c>
      <c r="EK174" s="19">
        <v>2.5643563270568848</v>
      </c>
      <c r="EL174" s="19">
        <v>2.8779014922954418</v>
      </c>
      <c r="EM174" s="19">
        <v>3.034674074914721</v>
      </c>
      <c r="EN174" s="19">
        <v>3.1914466575340001</v>
      </c>
      <c r="EO174" s="19">
        <v>3.5049918227725598</v>
      </c>
      <c r="EP174" s="19">
        <v>3.661764405391835</v>
      </c>
      <c r="EQ174" s="19">
        <v>3.8185369880111102</v>
      </c>
      <c r="ER174" s="19"/>
      <c r="ES174" s="16">
        <f t="shared" si="11"/>
        <v>3.4219971052631579</v>
      </c>
      <c r="ET174" s="16">
        <f t="shared" si="11"/>
        <v>2.835792333333333</v>
      </c>
      <c r="EU174" s="16">
        <f t="shared" si="11"/>
        <v>4.1752416666666674</v>
      </c>
      <c r="EV174" s="16">
        <f t="shared" si="11"/>
        <v>2.7822300000000002</v>
      </c>
      <c r="EW174" s="16">
        <f t="shared" si="11"/>
        <v>3.0049790000000001</v>
      </c>
      <c r="EX174" s="16" t="str">
        <f t="shared" si="11"/>
        <v>.</v>
      </c>
      <c r="EY174" s="16">
        <f t="shared" si="11"/>
        <v>80.148419650391503</v>
      </c>
      <c r="EZ174" s="16">
        <f t="shared" si="11"/>
        <v>2.930666</v>
      </c>
      <c r="FA174" s="16">
        <f t="shared" si="11"/>
        <v>2.1627589999999999</v>
      </c>
      <c r="FB174" s="16">
        <f t="shared" si="11"/>
        <v>1.729276</v>
      </c>
    </row>
    <row r="175" spans="1:158" x14ac:dyDescent="0.25">
      <c r="A175" s="3">
        <v>172</v>
      </c>
      <c r="B175" s="3" t="s">
        <v>209</v>
      </c>
      <c r="C175" s="3">
        <v>0</v>
      </c>
      <c r="D175" s="3" t="s">
        <v>23</v>
      </c>
      <c r="E175" s="3">
        <v>16</v>
      </c>
      <c r="F175" s="18">
        <v>5.0653294234405655</v>
      </c>
      <c r="G175" s="18">
        <v>5.0535169108503695</v>
      </c>
      <c r="H175" s="18">
        <v>4.9693598218416613</v>
      </c>
      <c r="I175" s="18">
        <v>4.8494874225563906</v>
      </c>
      <c r="J175" s="18">
        <v>4.9288703906673916</v>
      </c>
      <c r="K175" s="18">
        <v>5.0864503163584631</v>
      </c>
      <c r="L175" s="18">
        <v>5.04273500179937</v>
      </c>
      <c r="M175" s="18">
        <v>5.04273500179937</v>
      </c>
      <c r="N175" s="18">
        <v>5.04273500179937</v>
      </c>
      <c r="O175" s="18">
        <v>5.04273500179937</v>
      </c>
      <c r="P175" s="18">
        <v>5.04273500179937</v>
      </c>
      <c r="Q175" s="18">
        <v>5.04273500179937</v>
      </c>
      <c r="R175" s="18">
        <v>5.04273500179937</v>
      </c>
      <c r="S175" s="18">
        <v>5.04273500179937</v>
      </c>
      <c r="T175" s="18">
        <v>5.04273500179937</v>
      </c>
      <c r="U175" s="18">
        <v>4.5365667228283968</v>
      </c>
      <c r="V175" s="18">
        <v>4.3945643481505581</v>
      </c>
      <c r="W175" s="18">
        <v>4.2886601913293525</v>
      </c>
      <c r="X175" s="18">
        <v>4.2491996920634927</v>
      </c>
      <c r="Y175" s="18">
        <v>4.3659988011534434</v>
      </c>
      <c r="Z175" s="18">
        <v>4.6587843727355631</v>
      </c>
      <c r="AA175" s="18">
        <v>4.5769824306639553</v>
      </c>
      <c r="AB175" s="18">
        <v>4.7817747709999896</v>
      </c>
      <c r="AC175" s="18">
        <v>4.9093881497383398</v>
      </c>
      <c r="AD175" s="18">
        <v>5.03700152847669</v>
      </c>
      <c r="AE175" s="18">
        <v>5.1646149072150402</v>
      </c>
      <c r="AF175" s="18">
        <v>5.2922282859534002</v>
      </c>
      <c r="AG175" s="18">
        <v>5.4198416646917504</v>
      </c>
      <c r="AH175" s="18">
        <v>5.5474550434300998</v>
      </c>
      <c r="AI175" s="18">
        <v>5.67506842216845</v>
      </c>
      <c r="AJ175" s="18">
        <v>5.8197299825396813</v>
      </c>
      <c r="AK175" s="18">
        <v>5.9312486054982827</v>
      </c>
      <c r="AL175" s="18">
        <v>5.9993654582582581</v>
      </c>
      <c r="AM175" s="18">
        <v>5.9451295230769228</v>
      </c>
      <c r="AN175" s="18">
        <v>5.9877214601064326</v>
      </c>
      <c r="AO175" s="18">
        <v>5.9943862804273955</v>
      </c>
      <c r="AP175" s="18">
        <v>5.8713392966078146</v>
      </c>
      <c r="AQ175" s="18">
        <v>5.8713392966078146</v>
      </c>
      <c r="AR175" s="18">
        <v>5.8713392966078146</v>
      </c>
      <c r="AS175" s="18">
        <v>5.8713392966078146</v>
      </c>
      <c r="AT175" s="18">
        <v>5.8713392966078146</v>
      </c>
      <c r="AU175" s="18">
        <v>5.8713392966078146</v>
      </c>
      <c r="AV175" s="18">
        <v>3.5815508021390374</v>
      </c>
      <c r="AW175" s="18">
        <v>3.3138441892503536</v>
      </c>
      <c r="AX175" s="18">
        <v>3.133005790510949</v>
      </c>
      <c r="AY175" s="18">
        <v>3.0616726999999999</v>
      </c>
      <c r="AZ175" s="18">
        <v>3.4062379896907218</v>
      </c>
      <c r="BA175" s="18">
        <v>3.7522051666666667</v>
      </c>
      <c r="BB175" s="18">
        <v>3.9494719025641025</v>
      </c>
      <c r="BC175" s="18">
        <v>4.0156623075564228</v>
      </c>
      <c r="BD175" s="18">
        <v>4.3451848155573796</v>
      </c>
      <c r="BE175" s="18">
        <v>4.6517885743835823</v>
      </c>
      <c r="BF175" s="18">
        <v>4.9583923332097903</v>
      </c>
      <c r="BG175" s="18">
        <v>5.2649960920359904</v>
      </c>
      <c r="BH175" s="18">
        <v>5.5715998508621896</v>
      </c>
      <c r="BI175" s="18">
        <v>5.8782036096883896</v>
      </c>
      <c r="BJ175" s="18">
        <v>6.1848073685146003</v>
      </c>
      <c r="BK175" s="18">
        <v>5.3583116883116881</v>
      </c>
      <c r="BL175" s="18">
        <v>4.7784348766619518</v>
      </c>
      <c r="BM175" s="18">
        <v>4.3725729167883216</v>
      </c>
      <c r="BN175" s="18">
        <v>4.218679361904762</v>
      </c>
      <c r="BO175" s="18">
        <v>4.2179535237113406</v>
      </c>
      <c r="BP175" s="18">
        <v>4.336528738738739</v>
      </c>
      <c r="BQ175" s="18">
        <v>4.2013263316239318</v>
      </c>
      <c r="BR175" s="18">
        <v>4.2297046104932834</v>
      </c>
      <c r="BS175" s="18">
        <v>4.5634673520138387</v>
      </c>
      <c r="BT175" s="18">
        <v>4.368005203317713</v>
      </c>
      <c r="BU175" s="18">
        <v>4.5253596480993803</v>
      </c>
      <c r="BV175" s="18">
        <v>4.5945099445115902</v>
      </c>
      <c r="BW175" s="18">
        <v>4.6636602409238002</v>
      </c>
      <c r="BX175" s="18">
        <v>4.7328105373360199</v>
      </c>
      <c r="BY175" s="18">
        <v>4.8019608337482396</v>
      </c>
      <c r="BZ175" s="18">
        <v>59.387242305341701</v>
      </c>
      <c r="CA175" s="18">
        <v>64.236036351582598</v>
      </c>
      <c r="CB175" s="18">
        <v>67.150007142590098</v>
      </c>
      <c r="CC175" s="18">
        <v>80.983272543796303</v>
      </c>
      <c r="CD175" s="18">
        <v>95.045882506257897</v>
      </c>
      <c r="CE175" s="18">
        <v>108.95559609454899</v>
      </c>
      <c r="CF175" s="18">
        <v>122.903533776383</v>
      </c>
      <c r="CG175" s="18">
        <v>136.85147145821699</v>
      </c>
      <c r="CH175" s="18">
        <v>150.79940914005101</v>
      </c>
      <c r="CI175" s="18">
        <v>164.747346821885</v>
      </c>
      <c r="CJ175" s="18">
        <v>102.941176470588</v>
      </c>
      <c r="CK175" s="18">
        <v>112.591751098633</v>
      </c>
      <c r="CL175" s="18">
        <v>115.25212097168</v>
      </c>
      <c r="CM175" s="18">
        <v>107.87624359130901</v>
      </c>
      <c r="CN175" s="18">
        <v>105.180742298485</v>
      </c>
      <c r="CO175" s="18">
        <v>108.408454457354</v>
      </c>
      <c r="CP175" s="18">
        <v>107.12842324639099</v>
      </c>
      <c r="CQ175" s="18">
        <v>102.75563502812599</v>
      </c>
      <c r="CR175" s="18">
        <v>104.255495644961</v>
      </c>
      <c r="CS175" s="18">
        <v>103.70548626825099</v>
      </c>
      <c r="CT175" s="18">
        <v>103.155476891541</v>
      </c>
      <c r="CU175" s="18">
        <v>102.60546751483101</v>
      </c>
      <c r="CV175" s="18">
        <v>102.055458138121</v>
      </c>
      <c r="CW175" s="18">
        <v>101.505448761411</v>
      </c>
      <c r="CX175" s="18">
        <v>100.95543938470099</v>
      </c>
      <c r="CY175" s="18">
        <v>6.3245676274944564</v>
      </c>
      <c r="CZ175" s="18">
        <v>6.3671973340255974</v>
      </c>
      <c r="DA175" s="18">
        <v>6.0620788467153286</v>
      </c>
      <c r="DB175" s="18">
        <v>5.8917115619047618</v>
      </c>
      <c r="DC175" s="18">
        <v>5.9878900927835055</v>
      </c>
      <c r="DD175" s="18">
        <v>5.7844716648648653</v>
      </c>
      <c r="DE175" s="18">
        <v>5.7234319025641032</v>
      </c>
      <c r="DF175" s="18">
        <v>5.8749250992944733</v>
      </c>
      <c r="DG175" s="18">
        <v>6.0718297205473242</v>
      </c>
      <c r="DH175" s="18">
        <v>6.189788182576498</v>
      </c>
      <c r="DI175" s="18">
        <v>6.36037741742145</v>
      </c>
      <c r="DJ175" s="18">
        <v>6.5178089590624699</v>
      </c>
      <c r="DK175" s="18">
        <v>6.6752405007034801</v>
      </c>
      <c r="DL175" s="18">
        <v>6.8326720423444902</v>
      </c>
      <c r="DM175" s="18">
        <v>6.9901035839855101</v>
      </c>
      <c r="DN175" s="18">
        <v>3.90961038961039</v>
      </c>
      <c r="DO175" s="18">
        <v>3.7258444537482318</v>
      </c>
      <c r="DP175" s="18">
        <v>4.0552902270072995</v>
      </c>
      <c r="DQ175" s="18">
        <v>4.1968991571428571</v>
      </c>
      <c r="DR175" s="18">
        <v>4.6123489608247423</v>
      </c>
      <c r="DS175" s="18">
        <v>5.2374185909909912</v>
      </c>
      <c r="DT175" s="18">
        <v>5.1927975282051282</v>
      </c>
      <c r="DU175" s="18">
        <v>5.0507598703327785</v>
      </c>
      <c r="DV175" s="18">
        <v>4.9369010674326042</v>
      </c>
      <c r="DW175" s="18">
        <v>4.6801815462701111</v>
      </c>
      <c r="DX175" s="18">
        <v>4.5522333158838499</v>
      </c>
      <c r="DY175" s="18">
        <v>4.3870626410133298</v>
      </c>
      <c r="DZ175" s="18">
        <v>4.2218919661427998</v>
      </c>
      <c r="EA175" s="18">
        <v>4.0567212912722797</v>
      </c>
      <c r="EB175" s="18">
        <v>3.8915506164017599</v>
      </c>
      <c r="EC175" s="18">
        <v>3.5779220779220777</v>
      </c>
      <c r="ED175" s="18">
        <v>3.4644202516737392</v>
      </c>
      <c r="EE175" s="18">
        <v>3.9377751445255473</v>
      </c>
      <c r="EF175" s="18">
        <v>4.3166065952380954</v>
      </c>
      <c r="EG175" s="18">
        <v>4.8116691175257733</v>
      </c>
      <c r="EH175" s="18">
        <v>5.3778834918918923</v>
      </c>
      <c r="EI175" s="18">
        <v>5.2892600273504273</v>
      </c>
      <c r="EJ175" s="18">
        <v>5.2745998628994659</v>
      </c>
      <c r="EK175" s="18">
        <v>5.2655339491994759</v>
      </c>
      <c r="EL175" s="18">
        <v>4.9556471235958144</v>
      </c>
      <c r="EM175" s="18">
        <v>4.8463075725945997</v>
      </c>
      <c r="EN175" s="18">
        <v>4.6868312029427797</v>
      </c>
      <c r="EO175" s="18">
        <v>4.5273548332909499</v>
      </c>
      <c r="EP175" s="18">
        <v>4.3678784636391201</v>
      </c>
      <c r="EQ175" s="18">
        <v>4.2084020939873001</v>
      </c>
      <c r="ER175" s="18"/>
      <c r="ES175" s="16">
        <f t="shared" si="11"/>
        <v>4.9288703906673916</v>
      </c>
      <c r="ET175" s="16">
        <f t="shared" si="11"/>
        <v>4.3659988011534434</v>
      </c>
      <c r="EU175" s="16">
        <f t="shared" si="11"/>
        <v>5.9312486054982827</v>
      </c>
      <c r="EV175" s="16">
        <f t="shared" si="11"/>
        <v>3.4062379896907218</v>
      </c>
      <c r="EW175" s="16">
        <f t="shared" si="11"/>
        <v>4.2179535237113406</v>
      </c>
      <c r="EX175" s="16" t="str">
        <f t="shared" si="11"/>
        <v>.</v>
      </c>
      <c r="EY175" s="16">
        <f t="shared" si="11"/>
        <v>105.180742298485</v>
      </c>
      <c r="EZ175" s="16">
        <f t="shared" si="11"/>
        <v>5.9878900927835055</v>
      </c>
      <c r="FA175" s="16">
        <f t="shared" si="11"/>
        <v>4.6123489608247423</v>
      </c>
      <c r="FB175" s="16">
        <f t="shared" si="11"/>
        <v>4.8116691175257733</v>
      </c>
    </row>
    <row r="176" spans="1:158" x14ac:dyDescent="0.25">
      <c r="A176" s="3">
        <v>173</v>
      </c>
      <c r="B176" s="3" t="s">
        <v>210</v>
      </c>
      <c r="C176" s="3">
        <v>0</v>
      </c>
      <c r="D176" s="3" t="s">
        <v>25</v>
      </c>
      <c r="E176" s="3">
        <v>15</v>
      </c>
      <c r="F176" s="18">
        <v>2.7784724327555037</v>
      </c>
      <c r="G176" s="18">
        <v>2.9170960397255041</v>
      </c>
      <c r="H176" s="18">
        <v>2.9671192380559912</v>
      </c>
      <c r="I176" s="18">
        <v>2.8861733040552204</v>
      </c>
      <c r="J176" s="18">
        <v>2.9194910172562558</v>
      </c>
      <c r="K176" s="18">
        <v>3.0479022618022329</v>
      </c>
      <c r="L176" s="18">
        <v>3.031788435469108</v>
      </c>
      <c r="M176" s="18">
        <v>3.031788435469108</v>
      </c>
      <c r="N176" s="18">
        <v>3.0317884354691098</v>
      </c>
      <c r="O176" s="18">
        <v>3.0317884354691098</v>
      </c>
      <c r="P176" s="18">
        <v>3.0317884354691098</v>
      </c>
      <c r="Q176" s="18">
        <v>3.0317884354691098</v>
      </c>
      <c r="R176" s="18">
        <v>3.0317884354691098</v>
      </c>
      <c r="S176" s="18">
        <v>3.0317884354691098</v>
      </c>
      <c r="T176" s="18">
        <v>3.0317884354691098</v>
      </c>
      <c r="U176" s="18">
        <v>2.1693399672513722</v>
      </c>
      <c r="V176" s="18">
        <v>2.3164641408170836</v>
      </c>
      <c r="W176" s="18">
        <v>2.3994380070068022</v>
      </c>
      <c r="X176" s="18">
        <v>2.3143013284153011</v>
      </c>
      <c r="Y176" s="18">
        <v>2.2550583853551913</v>
      </c>
      <c r="Z176" s="18">
        <v>2.4125961230303026</v>
      </c>
      <c r="AA176" s="18">
        <v>2.4901206224154593</v>
      </c>
      <c r="AB176" s="18">
        <v>2.53926801972296</v>
      </c>
      <c r="AC176" s="18">
        <v>2.6077675816905201</v>
      </c>
      <c r="AD176" s="18">
        <v>2.6762671436580798</v>
      </c>
      <c r="AE176" s="18">
        <v>2.74476670562564</v>
      </c>
      <c r="AF176" s="18">
        <v>2.8132662675931899</v>
      </c>
      <c r="AG176" s="18">
        <v>2.88176582956075</v>
      </c>
      <c r="AH176" s="18">
        <v>2.9502653915283101</v>
      </c>
      <c r="AI176" s="18">
        <v>3.0187649534958698</v>
      </c>
      <c r="AJ176" s="18">
        <v>3.4268113497267758</v>
      </c>
      <c r="AK176" s="18">
        <v>3.5727972371584698</v>
      </c>
      <c r="AL176" s="18">
        <v>3.6016210383838385</v>
      </c>
      <c r="AM176" s="18">
        <v>3.3076038763285021</v>
      </c>
      <c r="AN176" s="18">
        <v>3.2369993746091961</v>
      </c>
      <c r="AO176" s="18">
        <v>3.1663948728898901</v>
      </c>
      <c r="AP176" s="18">
        <v>3.0957903711705801</v>
      </c>
      <c r="AQ176" s="18">
        <v>3.0957903711705801</v>
      </c>
      <c r="AR176" s="18">
        <v>3.0957903711705801</v>
      </c>
      <c r="AS176" s="18">
        <v>3.0957903711705801</v>
      </c>
      <c r="AT176" s="18">
        <v>3.0957903711705801</v>
      </c>
      <c r="AU176" s="18">
        <v>3.0957903711705801</v>
      </c>
      <c r="AV176" s="18">
        <v>2.875</v>
      </c>
      <c r="AW176" s="18">
        <v>3.2875620702623909</v>
      </c>
      <c r="AX176" s="18">
        <v>3.379653694897959</v>
      </c>
      <c r="AY176" s="18">
        <v>3.4583100688524588</v>
      </c>
      <c r="AZ176" s="18">
        <v>3.1334724163934426</v>
      </c>
      <c r="BA176" s="18">
        <v>3.515545154545455</v>
      </c>
      <c r="BB176" s="18">
        <v>3.4377712942028991</v>
      </c>
      <c r="BC176" s="18">
        <v>3.0975231403749621</v>
      </c>
      <c r="BD176" s="18">
        <v>2.7572749865470301</v>
      </c>
      <c r="BE176" s="18">
        <v>2.41702683271909</v>
      </c>
      <c r="BF176" s="18">
        <v>2.07677867889115</v>
      </c>
      <c r="BG176" s="18">
        <v>1.7365305250632099</v>
      </c>
      <c r="BH176" s="18">
        <v>1.3962823712352701</v>
      </c>
      <c r="BI176" s="18">
        <v>1.0560342174073301</v>
      </c>
      <c r="BJ176" s="18">
        <v>1</v>
      </c>
      <c r="BK176" s="18">
        <v>2.318548387096774</v>
      </c>
      <c r="BL176" s="18">
        <v>2.3615944254114551</v>
      </c>
      <c r="BM176" s="18">
        <v>2.4012151806122448</v>
      </c>
      <c r="BN176" s="18">
        <v>2.7451519524590164</v>
      </c>
      <c r="BO176" s="18">
        <v>2.7831482524590165</v>
      </c>
      <c r="BP176" s="18">
        <v>2.4101488984848487</v>
      </c>
      <c r="BQ176" s="18">
        <v>2.477154039130435</v>
      </c>
      <c r="BR176" s="18">
        <v>2.5476470246554812</v>
      </c>
      <c r="BS176" s="18">
        <v>2.6181400101805301</v>
      </c>
      <c r="BT176" s="18">
        <v>2.6886329957055701</v>
      </c>
      <c r="BU176" s="18">
        <v>2.7591259812306301</v>
      </c>
      <c r="BV176" s="18">
        <v>2.8296189667556799</v>
      </c>
      <c r="BW176" s="18">
        <v>2.9001119522807302</v>
      </c>
      <c r="BX176" s="18">
        <v>2.9706049378057702</v>
      </c>
      <c r="BY176" s="18">
        <v>3.04109792333082</v>
      </c>
      <c r="BZ176" s="18">
        <v>0.36592078749694801</v>
      </c>
      <c r="CA176" s="18">
        <v>0.38619073454240399</v>
      </c>
      <c r="CB176" s="18">
        <v>0.40646068158785997</v>
      </c>
      <c r="CC176" s="18">
        <v>0.42673062863331601</v>
      </c>
      <c r="CD176" s="18">
        <v>0.44700057567877199</v>
      </c>
      <c r="CE176" s="18">
        <v>0.46727052272422798</v>
      </c>
      <c r="CF176" s="18">
        <v>0.48754046976968402</v>
      </c>
      <c r="CG176" s="18">
        <v>0.50781041681514005</v>
      </c>
      <c r="CH176" s="18">
        <v>0.52808036386059598</v>
      </c>
      <c r="CI176" s="18">
        <v>0.54835031090605202</v>
      </c>
      <c r="CJ176" s="18">
        <v>2.8</v>
      </c>
      <c r="CK176" s="18">
        <v>2.78</v>
      </c>
      <c r="CL176" s="18">
        <v>6.7731752395629901</v>
      </c>
      <c r="CM176" s="18">
        <v>10.2329406738281</v>
      </c>
      <c r="CN176" s="18">
        <v>53.417292581079799</v>
      </c>
      <c r="CO176" s="18">
        <v>53.226980657529602</v>
      </c>
      <c r="CP176" s="18">
        <v>52.308215843408902</v>
      </c>
      <c r="CQ176" s="18">
        <v>57.375942179173599</v>
      </c>
      <c r="CR176" s="18">
        <v>62.443668514938302</v>
      </c>
      <c r="CS176" s="18">
        <v>67.511394850702999</v>
      </c>
      <c r="CT176" s="18">
        <v>72.579121186467702</v>
      </c>
      <c r="CU176" s="18">
        <v>77.646847522232406</v>
      </c>
      <c r="CV176" s="18">
        <v>82.714573857997095</v>
      </c>
      <c r="CW176" s="18">
        <v>87.782300193761799</v>
      </c>
      <c r="CX176" s="18">
        <v>92.850026529526502</v>
      </c>
      <c r="CY176" s="18">
        <v>2.6521542973155876</v>
      </c>
      <c r="CZ176" s="18">
        <v>2.6281385568136932</v>
      </c>
      <c r="DA176" s="18">
        <v>2.6256898755102038</v>
      </c>
      <c r="DB176" s="18">
        <v>2.8447635868852457</v>
      </c>
      <c r="DC176" s="18">
        <v>2.7544173409836068</v>
      </c>
      <c r="DD176" s="18">
        <v>2.6322600590909095</v>
      </c>
      <c r="DE176" s="18">
        <v>2.8150198724637683</v>
      </c>
      <c r="DF176" s="18">
        <v>2.7984356972972977</v>
      </c>
      <c r="DG176" s="18">
        <v>2.7818515221308302</v>
      </c>
      <c r="DH176" s="18">
        <v>2.7652673469643601</v>
      </c>
      <c r="DI176" s="18">
        <v>2.7486831717979001</v>
      </c>
      <c r="DJ176" s="18">
        <v>2.73209899663143</v>
      </c>
      <c r="DK176" s="18">
        <v>2.7155148214649598</v>
      </c>
      <c r="DL176" s="18">
        <v>2.6989306462984901</v>
      </c>
      <c r="DM176" s="18">
        <v>2.6823464711320302</v>
      </c>
      <c r="DN176" s="18">
        <v>1.6807765289738725</v>
      </c>
      <c r="DO176" s="18">
        <v>1.8119897767281108</v>
      </c>
      <c r="DP176" s="18">
        <v>2.2663673632653056</v>
      </c>
      <c r="DQ176" s="18">
        <v>2.7372960737704917</v>
      </c>
      <c r="DR176" s="18">
        <v>2.4598800557377047</v>
      </c>
      <c r="DS176" s="18">
        <v>2.6838813909090913</v>
      </c>
      <c r="DT176" s="18">
        <v>2.9265553463768117</v>
      </c>
      <c r="DU176" s="18">
        <v>2.8686782875037116</v>
      </c>
      <c r="DV176" s="18">
        <v>3.1020159328232602</v>
      </c>
      <c r="DW176" s="18">
        <v>3.2489227978998398</v>
      </c>
      <c r="DX176" s="18">
        <v>3.3366530911230599</v>
      </c>
      <c r="DY176" s="18">
        <v>3.4566970911119301</v>
      </c>
      <c r="DZ176" s="18">
        <v>3.5767410911007902</v>
      </c>
      <c r="EA176" s="18">
        <v>3.6967850910896498</v>
      </c>
      <c r="EB176" s="18">
        <v>3.8168290910785201</v>
      </c>
      <c r="EC176" s="18">
        <v>1.6286673478324332</v>
      </c>
      <c r="ED176" s="18">
        <v>1.6403101512837392</v>
      </c>
      <c r="EE176" s="18">
        <v>1.8853907459183672</v>
      </c>
      <c r="EF176" s="18">
        <v>2.2235606688524587</v>
      </c>
      <c r="EG176" s="18">
        <v>2.1375078229508198</v>
      </c>
      <c r="EH176" s="18">
        <v>2.2202616212121216</v>
      </c>
      <c r="EI176" s="18">
        <v>1.9517466826086958</v>
      </c>
      <c r="EJ176" s="18">
        <v>1.9172648937292975</v>
      </c>
      <c r="EK176" s="18">
        <v>1.8827831048499</v>
      </c>
      <c r="EL176" s="18">
        <v>1.8483013159705</v>
      </c>
      <c r="EM176" s="18">
        <v>1.8138195270910999</v>
      </c>
      <c r="EN176" s="18">
        <v>1.7793377382117099</v>
      </c>
      <c r="EO176" s="18">
        <v>1.7448559493323099</v>
      </c>
      <c r="EP176" s="18">
        <v>1.7103741604529099</v>
      </c>
      <c r="EQ176" s="18">
        <v>1.6758923715735099</v>
      </c>
      <c r="ER176" s="18"/>
      <c r="ES176" s="16">
        <f t="shared" si="11"/>
        <v>2.9194910172562558</v>
      </c>
      <c r="ET176" s="16">
        <f t="shared" si="11"/>
        <v>2.2550583853551913</v>
      </c>
      <c r="EU176" s="16">
        <f t="shared" si="11"/>
        <v>3.5727972371584698</v>
      </c>
      <c r="EV176" s="16">
        <f t="shared" si="11"/>
        <v>3.1334724163934426</v>
      </c>
      <c r="EW176" s="16">
        <f t="shared" si="11"/>
        <v>2.7831482524590165</v>
      </c>
      <c r="EX176" s="16" t="str">
        <f t="shared" si="11"/>
        <v>.</v>
      </c>
      <c r="EY176" s="16">
        <f t="shared" si="11"/>
        <v>53.417292581079799</v>
      </c>
      <c r="EZ176" s="16">
        <f t="shared" si="11"/>
        <v>2.7544173409836068</v>
      </c>
      <c r="FA176" s="16">
        <f t="shared" si="11"/>
        <v>2.4598800557377047</v>
      </c>
      <c r="FB176" s="16">
        <f t="shared" si="11"/>
        <v>2.1375078229508198</v>
      </c>
    </row>
    <row r="177" spans="1:158" x14ac:dyDescent="0.25">
      <c r="A177" s="3">
        <v>174</v>
      </c>
      <c r="B177" s="3" t="s">
        <v>211</v>
      </c>
      <c r="C177" s="3">
        <v>0</v>
      </c>
      <c r="D177" s="3" t="s">
        <v>16</v>
      </c>
      <c r="E177" s="3">
        <v>14</v>
      </c>
      <c r="F177" s="18">
        <v>3.9312182866940395</v>
      </c>
      <c r="G177" s="18">
        <v>3.9757100942681003</v>
      </c>
      <c r="H177" s="18">
        <v>3.9014901941538462</v>
      </c>
      <c r="I177" s="18">
        <v>3.830369565542763</v>
      </c>
      <c r="J177" s="18">
        <v>3.8892328498746878</v>
      </c>
      <c r="K177" s="18">
        <v>3.7578700997043164</v>
      </c>
      <c r="L177" s="18">
        <v>3.8598521377533941</v>
      </c>
      <c r="M177" s="18">
        <v>3.8598521377533941</v>
      </c>
      <c r="N177" s="18">
        <v>3.8598521377533901</v>
      </c>
      <c r="O177" s="18">
        <v>3.8598521377533901</v>
      </c>
      <c r="P177" s="18">
        <v>3.8598521377533901</v>
      </c>
      <c r="Q177" s="18">
        <v>3.8598521377533901</v>
      </c>
      <c r="R177" s="18">
        <v>3.8598521377533901</v>
      </c>
      <c r="S177" s="18">
        <v>3.8598521377533901</v>
      </c>
      <c r="T177" s="18">
        <v>3.8598521377533901</v>
      </c>
      <c r="U177" s="18">
        <v>3.0000037602634815</v>
      </c>
      <c r="V177" s="18">
        <v>2.9685193893769086</v>
      </c>
      <c r="W177" s="18">
        <v>2.9462320796102568</v>
      </c>
      <c r="X177" s="18">
        <v>2.8975300167788465</v>
      </c>
      <c r="Y177" s="18">
        <v>2.9884953456166055</v>
      </c>
      <c r="Z177" s="18">
        <v>2.8989319670558089</v>
      </c>
      <c r="AA177" s="18">
        <v>2.9233106826422741</v>
      </c>
      <c r="AB177" s="18">
        <v>2.9240116577807602</v>
      </c>
      <c r="AC177" s="18">
        <v>2.9227895196836999</v>
      </c>
      <c r="AD177" s="18">
        <v>2.9215673815866499</v>
      </c>
      <c r="AE177" s="18">
        <v>2.9203452434895998</v>
      </c>
      <c r="AF177" s="18">
        <v>2.9191231053925502</v>
      </c>
      <c r="AG177" s="18">
        <v>2.9179009672955001</v>
      </c>
      <c r="AH177" s="18">
        <v>2.91667882919845</v>
      </c>
      <c r="AI177" s="18">
        <v>2.9154566911013999</v>
      </c>
      <c r="AJ177" s="18">
        <v>4.9228760739583342</v>
      </c>
      <c r="AK177" s="18">
        <v>4.8649836095238097</v>
      </c>
      <c r="AL177" s="18">
        <v>4.7661377965043696</v>
      </c>
      <c r="AM177" s="18">
        <v>4.8586475592461715</v>
      </c>
      <c r="AN177" s="18">
        <v>4.7823495149251301</v>
      </c>
      <c r="AO177" s="18">
        <v>4.6275409289174432</v>
      </c>
      <c r="AP177" s="18">
        <v>4.4668054386421483</v>
      </c>
      <c r="AQ177" s="18">
        <v>4.4668054386421483</v>
      </c>
      <c r="AR177" s="18">
        <v>4.4668054386421483</v>
      </c>
      <c r="AS177" s="18">
        <v>4.4668054386421483</v>
      </c>
      <c r="AT177" s="18">
        <v>4.4668054386421483</v>
      </c>
      <c r="AU177" s="18">
        <v>4.4668054386421483</v>
      </c>
      <c r="AV177" s="18">
        <v>2.9336016764426125</v>
      </c>
      <c r="AW177" s="18">
        <v>2.9752166870614039</v>
      </c>
      <c r="AX177" s="18">
        <v>3.369028836</v>
      </c>
      <c r="AY177" s="18">
        <v>3.4687152515625002</v>
      </c>
      <c r="AZ177" s="18">
        <v>3.4240978047619048</v>
      </c>
      <c r="BA177" s="18">
        <v>3.3151403340823968</v>
      </c>
      <c r="BB177" s="18">
        <v>3.359727466431095</v>
      </c>
      <c r="BC177" s="18">
        <v>3.4852305056640622</v>
      </c>
      <c r="BD177" s="18">
        <v>3.3478152732695303</v>
      </c>
      <c r="BE177" s="18">
        <v>3.245742297172546</v>
      </c>
      <c r="BF177" s="18">
        <v>3.14366932107556</v>
      </c>
      <c r="BG177" s="18">
        <v>3.0415963449785801</v>
      </c>
      <c r="BH177" s="18">
        <v>2.93952336888159</v>
      </c>
      <c r="BI177" s="18">
        <v>2.8374503927846102</v>
      </c>
      <c r="BJ177" s="18">
        <v>2.7353774166876201</v>
      </c>
      <c r="BK177" s="18">
        <v>3.9501986361361361</v>
      </c>
      <c r="BL177" s="18">
        <v>3.5369186163288289</v>
      </c>
      <c r="BM177" s="18">
        <v>3.6391503680000001</v>
      </c>
      <c r="BN177" s="18">
        <v>3.5812753515624998</v>
      </c>
      <c r="BO177" s="18">
        <v>3.5511246714285716</v>
      </c>
      <c r="BP177" s="18">
        <v>3.5034077355805242</v>
      </c>
      <c r="BQ177" s="18">
        <v>3.4882226074204943</v>
      </c>
      <c r="BR177" s="18">
        <v>3.3776789879740394</v>
      </c>
      <c r="BS177" s="18">
        <v>3.3177308374835599</v>
      </c>
      <c r="BT177" s="18">
        <v>3.3615823878182303</v>
      </c>
      <c r="BU177" s="18">
        <v>3.3362341376028</v>
      </c>
      <c r="BV177" s="18">
        <v>3.3281858375249</v>
      </c>
      <c r="BW177" s="18">
        <v>3.3201375374469899</v>
      </c>
      <c r="BX177" s="18">
        <v>3.31208923736909</v>
      </c>
      <c r="BY177" s="18">
        <v>3.3040409372911799</v>
      </c>
      <c r="BZ177" s="18">
        <v>1.1538604374791099</v>
      </c>
      <c r="CA177" s="18">
        <v>1.46965319737468</v>
      </c>
      <c r="CB177" s="18">
        <v>18.874608451993801</v>
      </c>
      <c r="CC177" s="18">
        <v>28.316626185153599</v>
      </c>
      <c r="CD177" s="18">
        <v>32.220685128131997</v>
      </c>
      <c r="CE177" s="18">
        <v>39.816716597898001</v>
      </c>
      <c r="CF177" s="18">
        <v>46.489754935967099</v>
      </c>
      <c r="CG177" s="18">
        <v>53.162793274036197</v>
      </c>
      <c r="CH177" s="18">
        <v>59.835831612105302</v>
      </c>
      <c r="CI177" s="18">
        <v>66.5088699501744</v>
      </c>
      <c r="CJ177" s="18">
        <v>61.255742725880502</v>
      </c>
      <c r="CK177" s="18">
        <v>68.749519348144503</v>
      </c>
      <c r="CL177" s="18">
        <v>113.24037933349599</v>
      </c>
      <c r="CM177" s="18">
        <v>147.170333862305</v>
      </c>
      <c r="CN177" s="18">
        <v>141.20681493740099</v>
      </c>
      <c r="CO177" s="18">
        <v>135.56653173394699</v>
      </c>
      <c r="CP177" s="18">
        <v>139.428896690523</v>
      </c>
      <c r="CQ177" s="18">
        <v>144.940651723781</v>
      </c>
      <c r="CR177" s="18">
        <v>147.33777948052199</v>
      </c>
      <c r="CS177" s="18">
        <v>157.672735589372</v>
      </c>
      <c r="CT177" s="18">
        <v>168.007691698222</v>
      </c>
      <c r="CU177" s="18">
        <v>178.34264780707201</v>
      </c>
      <c r="CV177" s="18">
        <v>188.67760391592199</v>
      </c>
      <c r="CW177" s="18">
        <v>199.012560024772</v>
      </c>
      <c r="CX177" s="18">
        <v>209.34751613362201</v>
      </c>
      <c r="CY177" s="18">
        <v>4.6695525523145216</v>
      </c>
      <c r="CZ177" s="18">
        <v>4.6510241035087718</v>
      </c>
      <c r="DA177" s="18">
        <v>4.5159299879999999</v>
      </c>
      <c r="DB177" s="18">
        <v>4.2174299125000001</v>
      </c>
      <c r="DC177" s="18">
        <v>3.9736358238095235</v>
      </c>
      <c r="DD177" s="18">
        <v>4.0653163760299629</v>
      </c>
      <c r="DE177" s="18">
        <v>4.2242211999999997</v>
      </c>
      <c r="DF177" s="18">
        <v>4.128073045661079</v>
      </c>
      <c r="DG177" s="18">
        <v>4.0253585300137917</v>
      </c>
      <c r="DH177" s="18">
        <v>4.073362202114529</v>
      </c>
      <c r="DI177" s="18">
        <v>4.0208870823832497</v>
      </c>
      <c r="DJ177" s="18">
        <v>3.9935316606099698</v>
      </c>
      <c r="DK177" s="18">
        <v>3.9661762388367001</v>
      </c>
      <c r="DL177" s="18">
        <v>3.9388208170634198</v>
      </c>
      <c r="DM177" s="18">
        <v>3.9114653952901501</v>
      </c>
      <c r="DN177" s="18">
        <v>3.6053043699186995</v>
      </c>
      <c r="DO177" s="18">
        <v>3.8310872180555551</v>
      </c>
      <c r="DP177" s="18">
        <v>4.3829770039999998</v>
      </c>
      <c r="DQ177" s="18">
        <v>4.6956130328125001</v>
      </c>
      <c r="DR177" s="18">
        <v>4.4492473809523814</v>
      </c>
      <c r="DS177" s="18">
        <v>4.4620183692883897</v>
      </c>
      <c r="DT177" s="18">
        <v>4.6723642932862184</v>
      </c>
      <c r="DU177" s="18">
        <v>4.6495520327419708</v>
      </c>
      <c r="DV177" s="18">
        <v>4.3441409180241246</v>
      </c>
      <c r="DW177" s="18">
        <v>4.2256454414791529</v>
      </c>
      <c r="DX177" s="18">
        <v>4.06153375384811</v>
      </c>
      <c r="DY177" s="18">
        <v>3.8969769868342001</v>
      </c>
      <c r="DZ177" s="18">
        <v>3.7324202198203</v>
      </c>
      <c r="EA177" s="18">
        <v>3.5678634528063902</v>
      </c>
      <c r="EB177" s="18">
        <v>3.4033066857924901</v>
      </c>
      <c r="EC177" s="18">
        <v>3.150008023106547</v>
      </c>
      <c r="ED177" s="18">
        <v>3.4189197675438594</v>
      </c>
      <c r="EE177" s="18">
        <v>3.9946509240000001</v>
      </c>
      <c r="EF177" s="18">
        <v>4.0359153546875</v>
      </c>
      <c r="EG177" s="18">
        <v>3.855958171428572</v>
      </c>
      <c r="EH177" s="18">
        <v>3.8074119520599252</v>
      </c>
      <c r="EI177" s="18">
        <v>3.8772403890459364</v>
      </c>
      <c r="EJ177" s="18">
        <v>3.9908922251478405</v>
      </c>
      <c r="EK177" s="18">
        <v>4.0536345297290435</v>
      </c>
      <c r="EL177" s="18">
        <v>4.1030380990770121</v>
      </c>
      <c r="EM177" s="18">
        <v>4.1613341585804697</v>
      </c>
      <c r="EN177" s="18">
        <v>4.2174070955450604</v>
      </c>
      <c r="EO177" s="18">
        <v>4.2734800325096396</v>
      </c>
      <c r="EP177" s="18">
        <v>4.3295529694742303</v>
      </c>
      <c r="EQ177" s="18">
        <v>4.3856259064388103</v>
      </c>
      <c r="ER177" s="18"/>
      <c r="ES177" s="16">
        <f t="shared" si="11"/>
        <v>3.8892328498746878</v>
      </c>
      <c r="ET177" s="16">
        <f t="shared" si="11"/>
        <v>2.9884953456166055</v>
      </c>
      <c r="EU177" s="16">
        <f t="shared" si="11"/>
        <v>4.8649836095238097</v>
      </c>
      <c r="EV177" s="16">
        <f t="shared" si="11"/>
        <v>3.4240978047619048</v>
      </c>
      <c r="EW177" s="16">
        <f t="shared" si="11"/>
        <v>3.5511246714285716</v>
      </c>
      <c r="EX177" s="16" t="str">
        <f t="shared" si="11"/>
        <v>.</v>
      </c>
      <c r="EY177" s="16">
        <f t="shared" si="11"/>
        <v>141.20681493740099</v>
      </c>
      <c r="EZ177" s="16">
        <f t="shared" si="11"/>
        <v>3.9736358238095235</v>
      </c>
      <c r="FA177" s="16">
        <f t="shared" si="11"/>
        <v>4.4492473809523814</v>
      </c>
      <c r="FB177" s="16">
        <f t="shared" si="11"/>
        <v>3.855958171428572</v>
      </c>
    </row>
    <row r="178" spans="1:158" x14ac:dyDescent="0.25">
      <c r="A178" s="3">
        <v>175</v>
      </c>
      <c r="B178" s="3" t="s">
        <v>212</v>
      </c>
      <c r="C178" s="3">
        <v>0</v>
      </c>
      <c r="D178" s="3" t="s">
        <v>23</v>
      </c>
      <c r="E178" s="3">
        <v>16</v>
      </c>
      <c r="F178" s="18">
        <v>5.4118145119208689</v>
      </c>
      <c r="G178" s="18">
        <v>5.2040711091682628</v>
      </c>
      <c r="H178" s="18">
        <v>5.2409492360013861</v>
      </c>
      <c r="I178" s="18">
        <v>5.3189194126409776</v>
      </c>
      <c r="J178" s="18">
        <v>5.4117276437246966</v>
      </c>
      <c r="K178" s="18">
        <v>5.4786169255060724</v>
      </c>
      <c r="L178" s="18">
        <v>5.4027956854066987</v>
      </c>
      <c r="M178" s="18">
        <v>5.4027956854066987</v>
      </c>
      <c r="N178" s="18">
        <v>5.4027956854066996</v>
      </c>
      <c r="O178" s="18">
        <v>5.4027956854066996</v>
      </c>
      <c r="P178" s="18">
        <v>5.4027956854066996</v>
      </c>
      <c r="Q178" s="18">
        <v>5.4027956854066996</v>
      </c>
      <c r="R178" s="18">
        <v>5.4027956854066996</v>
      </c>
      <c r="S178" s="18">
        <v>5.4027956854066996</v>
      </c>
      <c r="T178" s="18">
        <v>5.4027956854066996</v>
      </c>
      <c r="U178" s="18">
        <v>4.7947333544523678</v>
      </c>
      <c r="V178" s="18">
        <v>4.6624970474066565</v>
      </c>
      <c r="W178" s="18">
        <v>4.6034732929286664</v>
      </c>
      <c r="X178" s="18">
        <v>4.6472876126569256</v>
      </c>
      <c r="Y178" s="18">
        <v>4.9372849124891252</v>
      </c>
      <c r="Z178" s="18">
        <v>5.1676500836321395</v>
      </c>
      <c r="AA178" s="18">
        <v>4.9045157947152811</v>
      </c>
      <c r="AB178" s="18">
        <v>5.1646970302028903</v>
      </c>
      <c r="AC178" s="18">
        <v>5.2649020019346997</v>
      </c>
      <c r="AD178" s="18">
        <v>5.3651069736665002</v>
      </c>
      <c r="AE178" s="18">
        <v>5.4653119453983097</v>
      </c>
      <c r="AF178" s="18">
        <v>5.56551691713012</v>
      </c>
      <c r="AG178" s="18">
        <v>5.6657218888619303</v>
      </c>
      <c r="AH178" s="18">
        <v>5.7659268605937397</v>
      </c>
      <c r="AI178" s="18">
        <v>5.86613183232555</v>
      </c>
      <c r="AJ178" s="18">
        <v>5.7602594077380944</v>
      </c>
      <c r="AK178" s="18">
        <v>5.7960710256410257</v>
      </c>
      <c r="AL178" s="18">
        <v>5.7471610769230779</v>
      </c>
      <c r="AM178" s="18">
        <v>5.7479510151515152</v>
      </c>
      <c r="AN178" s="18">
        <v>5.7839761785442318</v>
      </c>
      <c r="AO178" s="18">
        <v>5.7896451110040728</v>
      </c>
      <c r="AP178" s="18">
        <v>5.8295840623778643</v>
      </c>
      <c r="AQ178" s="18">
        <v>5.8295840623778643</v>
      </c>
      <c r="AR178" s="18">
        <v>5.8295840623778643</v>
      </c>
      <c r="AS178" s="18">
        <v>5.8295840623778643</v>
      </c>
      <c r="AT178" s="18">
        <v>5.8295840623778643</v>
      </c>
      <c r="AU178" s="18">
        <v>5.8295840623778643</v>
      </c>
      <c r="AV178" s="18">
        <v>3.163101117322149</v>
      </c>
      <c r="AW178" s="18">
        <v>3.0045086562937064</v>
      </c>
      <c r="AX178" s="18">
        <v>2.9966326810810813</v>
      </c>
      <c r="AY178" s="18">
        <v>3.0598544651785713</v>
      </c>
      <c r="AZ178" s="18">
        <v>3.1009165384615383</v>
      </c>
      <c r="BA178" s="18">
        <v>3.3679217923076923</v>
      </c>
      <c r="BB178" s="18">
        <v>3.744784227272727</v>
      </c>
      <c r="BC178" s="18">
        <v>3.8586757407469614</v>
      </c>
      <c r="BD178" s="18">
        <v>3.920138386568409</v>
      </c>
      <c r="BE178" s="18">
        <v>4.0548616667462003</v>
      </c>
      <c r="BF178" s="18">
        <v>4.1895849469239899</v>
      </c>
      <c r="BG178" s="18">
        <v>4.3243082271017803</v>
      </c>
      <c r="BH178" s="18">
        <v>4.4590315072795699</v>
      </c>
      <c r="BI178" s="18">
        <v>4.5937547874573701</v>
      </c>
      <c r="BJ178" s="18">
        <v>4.7284780676351597</v>
      </c>
      <c r="BK178" s="18">
        <v>5.2839618862084947</v>
      </c>
      <c r="BL178" s="18">
        <v>4.7099041049586781</v>
      </c>
      <c r="BM178" s="18">
        <v>4.6954173513513515</v>
      </c>
      <c r="BN178" s="18">
        <v>4.5936720803571429</v>
      </c>
      <c r="BO178" s="18">
        <v>4.5195152307692315</v>
      </c>
      <c r="BP178" s="18">
        <v>4.6135679846153845</v>
      </c>
      <c r="BQ178" s="18">
        <v>4.5938166363636359</v>
      </c>
      <c r="BR178" s="18">
        <v>4.6048373254207089</v>
      </c>
      <c r="BS178" s="18">
        <v>4.56172881887003</v>
      </c>
      <c r="BT178" s="18">
        <v>4.7503974465048238</v>
      </c>
      <c r="BU178" s="18">
        <v>4.7845479846826402</v>
      </c>
      <c r="BV178" s="18">
        <v>4.8573280452246896</v>
      </c>
      <c r="BW178" s="18">
        <v>4.9301081057667497</v>
      </c>
      <c r="BX178" s="18">
        <v>5.0028881663088098</v>
      </c>
      <c r="BY178" s="18">
        <v>5.0756682268508699</v>
      </c>
      <c r="BZ178" s="18">
        <v>62.273139693942198</v>
      </c>
      <c r="CA178" s="18">
        <v>72.0406647978309</v>
      </c>
      <c r="CB178" s="18">
        <v>87.1905045380812</v>
      </c>
      <c r="CC178" s="18">
        <v>98.659284501684198</v>
      </c>
      <c r="CD178" s="18">
        <v>87.792057860665594</v>
      </c>
      <c r="CE178" s="18">
        <v>91.815502289394701</v>
      </c>
      <c r="CF178" s="18">
        <v>92.116278950686905</v>
      </c>
      <c r="CG178" s="18">
        <v>92.417055611979094</v>
      </c>
      <c r="CH178" s="18">
        <v>92.717832273271299</v>
      </c>
      <c r="CI178" s="18">
        <v>93.018608934563503</v>
      </c>
      <c r="CJ178" s="18">
        <v>109.77408326070901</v>
      </c>
      <c r="CK178" s="18">
        <v>116.571937561035</v>
      </c>
      <c r="CL178" s="18">
        <v>123.839920043945</v>
      </c>
      <c r="CM178" s="18">
        <v>130.55278015136699</v>
      </c>
      <c r="CN178" s="18">
        <v>130.24624421118401</v>
      </c>
      <c r="CO178" s="18">
        <v>130.75193690685501</v>
      </c>
      <c r="CP178" s="18">
        <v>130.750773204138</v>
      </c>
      <c r="CQ178" s="18">
        <v>123.769884075341</v>
      </c>
      <c r="CR178" s="18">
        <v>123.58108462924601</v>
      </c>
      <c r="CS178" s="18">
        <v>125.750842806237</v>
      </c>
      <c r="CT178" s="18">
        <v>127.920600983228</v>
      </c>
      <c r="CU178" s="18">
        <v>130.09035916021901</v>
      </c>
      <c r="CV178" s="18">
        <v>132.26011733721</v>
      </c>
      <c r="CW178" s="18">
        <v>134.429875514201</v>
      </c>
      <c r="CX178" s="18">
        <v>136.599633691192</v>
      </c>
      <c r="CY178" s="18">
        <v>6.0552108718306377</v>
      </c>
      <c r="CZ178" s="18">
        <v>5.4924183858018392</v>
      </c>
      <c r="DA178" s="18">
        <v>5.5921698108108107</v>
      </c>
      <c r="DB178" s="18">
        <v>5.7533372955357134</v>
      </c>
      <c r="DC178" s="18">
        <v>6.0065004615384616</v>
      </c>
      <c r="DD178" s="18">
        <v>6.2042394615384611</v>
      </c>
      <c r="DE178" s="18">
        <v>6.159393249999999</v>
      </c>
      <c r="DF178" s="18">
        <v>6.2189506423551766</v>
      </c>
      <c r="DG178" s="18">
        <v>6.2866638555117174</v>
      </c>
      <c r="DH178" s="18">
        <v>6.2803530826690093</v>
      </c>
      <c r="DI178" s="18">
        <v>6.3233916338257998</v>
      </c>
      <c r="DJ178" s="18">
        <v>6.3540928539827197</v>
      </c>
      <c r="DK178" s="18">
        <v>6.3847940741396298</v>
      </c>
      <c r="DL178" s="18">
        <v>6.4154952942965497</v>
      </c>
      <c r="DM178" s="18">
        <v>6.4461965144534696</v>
      </c>
      <c r="DN178" s="18">
        <v>5.5421603107185931</v>
      </c>
      <c r="DO178" s="18">
        <v>5.284159664235764</v>
      </c>
      <c r="DP178" s="18">
        <v>5.1558825027027027</v>
      </c>
      <c r="DQ178" s="18">
        <v>5.2611656035714294</v>
      </c>
      <c r="DR178" s="18">
        <v>5.5576753846153846</v>
      </c>
      <c r="DS178" s="18">
        <v>5.6261469615384616</v>
      </c>
      <c r="DT178" s="18">
        <v>5.3540610909090907</v>
      </c>
      <c r="DU178" s="18">
        <v>5.3484279200317379</v>
      </c>
      <c r="DV178" s="18">
        <v>5.3124487616533145</v>
      </c>
      <c r="DW178" s="18">
        <v>5.1501874249452237</v>
      </c>
      <c r="DX178" s="18">
        <v>5.1293812603173397</v>
      </c>
      <c r="DY178" s="18">
        <v>5.06462124469033</v>
      </c>
      <c r="DZ178" s="18">
        <v>4.9998612290633302</v>
      </c>
      <c r="EA178" s="18">
        <v>4.9351012134363303</v>
      </c>
      <c r="EB178" s="18">
        <v>4.8703411978093296</v>
      </c>
      <c r="EC178" s="18">
        <v>5.4874772466797008</v>
      </c>
      <c r="ED178" s="18">
        <v>5.3255313606393599</v>
      </c>
      <c r="EE178" s="18">
        <v>5.1474038891891887</v>
      </c>
      <c r="EF178" s="18">
        <v>5.1401746500000005</v>
      </c>
      <c r="EG178" s="18">
        <v>5.4723806923076923</v>
      </c>
      <c r="EH178" s="18">
        <v>5.5942719615384613</v>
      </c>
      <c r="EI178" s="18">
        <v>5.3096195681818177</v>
      </c>
      <c r="EJ178" s="18">
        <v>5.1844091924903211</v>
      </c>
      <c r="EK178" s="18">
        <v>5.1558275845884545</v>
      </c>
      <c r="EL178" s="18">
        <v>5.1264134236961407</v>
      </c>
      <c r="EM178" s="18">
        <v>5.09755429813079</v>
      </c>
      <c r="EN178" s="18">
        <v>5.0685564137336998</v>
      </c>
      <c r="EO178" s="18">
        <v>5.0395585293366096</v>
      </c>
      <c r="EP178" s="18">
        <v>5.0105606449395204</v>
      </c>
      <c r="EQ178" s="18">
        <v>4.9815627605424302</v>
      </c>
      <c r="ER178" s="18"/>
      <c r="ES178" s="16">
        <f t="shared" si="11"/>
        <v>5.4117276437246966</v>
      </c>
      <c r="ET178" s="16">
        <f t="shared" si="11"/>
        <v>4.9372849124891252</v>
      </c>
      <c r="EU178" s="16">
        <f t="shared" si="11"/>
        <v>5.7960710256410257</v>
      </c>
      <c r="EV178" s="16">
        <f t="shared" si="11"/>
        <v>3.1009165384615383</v>
      </c>
      <c r="EW178" s="16">
        <f t="shared" si="11"/>
        <v>4.5195152307692315</v>
      </c>
      <c r="EX178" s="16" t="str">
        <f t="shared" si="11"/>
        <v>.</v>
      </c>
      <c r="EY178" s="16">
        <f t="shared" si="11"/>
        <v>130.24624421118401</v>
      </c>
      <c r="EZ178" s="16">
        <f t="shared" si="11"/>
        <v>6.0065004615384616</v>
      </c>
      <c r="FA178" s="16">
        <f t="shared" si="11"/>
        <v>5.5576753846153846</v>
      </c>
      <c r="FB178" s="16">
        <f t="shared" si="11"/>
        <v>5.4723806923076923</v>
      </c>
    </row>
  </sheetData>
  <autoFilter ref="A3:W173" xr:uid="{00000000-0009-0000-0000-000003000000}"/>
  <conditionalFormatting sqref="E4:E173">
    <cfRule type="cellIs" dxfId="63" priority="4" operator="equal">
      <formula>0</formula>
    </cfRule>
  </conditionalFormatting>
  <conditionalFormatting sqref="F4:H15 F17:H25 F27:H36 F38:H73 K54 N54 V54 F76:H81 F83:H105 F107:H118 F120:H121 F123:H132 F134:H145 F147:H165 F167:H167 F169:H173 J171 L171 N171:O171">
    <cfRule type="cellIs" dxfId="62" priority="5" operator="equal">
      <formula>0</formula>
    </cfRule>
  </conditionalFormatting>
  <conditionalFormatting sqref="F175:ER178">
    <cfRule type="cellIs" dxfId="61" priority="3" operator="equal">
      <formula>0</formula>
    </cfRule>
  </conditionalFormatting>
  <conditionalFormatting sqref="BY174:ER178">
    <cfRule type="cellIs" dxfId="60" priority="1" operator="equal">
      <formula>1</formula>
    </cfRule>
  </conditionalFormatting>
  <conditionalFormatting sqref="CY174:ER178">
    <cfRule type="cellIs" dxfId="59" priority="2" operator="lessThan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tabColor theme="6"/>
  </sheetPr>
  <dimension ref="A1:Y176"/>
  <sheetViews>
    <sheetView showGridLines="0" workbookViewId="0"/>
  </sheetViews>
  <sheetFormatPr defaultRowHeight="15" x14ac:dyDescent="0.25"/>
  <cols>
    <col min="3" max="3" width="21.7109375" customWidth="1"/>
    <col min="7" max="11" width="23.42578125" bestFit="1" customWidth="1"/>
    <col min="12" max="12" width="22.28515625" customWidth="1"/>
    <col min="13" max="13" width="25.28515625" customWidth="1"/>
    <col min="14" max="18" width="24.7109375" customWidth="1"/>
    <col min="19" max="23" width="26.28515625" customWidth="1"/>
    <col min="25" max="25" width="14.7109375" bestFit="1" customWidth="1"/>
  </cols>
  <sheetData>
    <row r="1" spans="1:2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2010</v>
      </c>
      <c r="G1" s="29">
        <v>2011</v>
      </c>
      <c r="H1" s="29">
        <v>2012</v>
      </c>
      <c r="I1" s="29">
        <v>2013</v>
      </c>
      <c r="J1" s="29">
        <v>2014</v>
      </c>
      <c r="K1" s="29">
        <v>2015</v>
      </c>
      <c r="L1" s="29">
        <v>2016</v>
      </c>
      <c r="M1" s="29">
        <v>2017</v>
      </c>
      <c r="N1" s="29">
        <v>2018</v>
      </c>
      <c r="O1" s="29">
        <v>2019</v>
      </c>
      <c r="P1" s="29">
        <v>2020</v>
      </c>
      <c r="Q1" s="29">
        <v>2021</v>
      </c>
      <c r="R1" s="29">
        <v>2022</v>
      </c>
      <c r="S1" s="1" t="s">
        <v>5</v>
      </c>
      <c r="U1" s="15">
        <f>'Config!'!$BA$15</f>
        <v>2012</v>
      </c>
    </row>
    <row r="2" spans="1:25" x14ac:dyDescent="0.25">
      <c r="A2" s="2">
        <v>1</v>
      </c>
      <c r="B2" s="3" t="s">
        <v>6</v>
      </c>
      <c r="C2" t="s">
        <v>6</v>
      </c>
      <c r="D2" t="s">
        <v>7</v>
      </c>
      <c r="E2">
        <v>1</v>
      </c>
      <c r="F2" s="8">
        <v>10</v>
      </c>
      <c r="G2" s="8">
        <v>10</v>
      </c>
      <c r="H2" s="8">
        <v>10</v>
      </c>
      <c r="I2" s="8">
        <v>23</v>
      </c>
      <c r="J2" s="8">
        <v>23</v>
      </c>
      <c r="K2" s="8">
        <v>23</v>
      </c>
      <c r="L2" s="8">
        <v>23</v>
      </c>
      <c r="M2" s="8">
        <v>23</v>
      </c>
      <c r="N2" s="30">
        <v>23</v>
      </c>
      <c r="O2" s="8">
        <v>23</v>
      </c>
      <c r="P2" s="8">
        <v>23</v>
      </c>
      <c r="Q2" s="8">
        <v>23</v>
      </c>
      <c r="R2" s="8">
        <v>23</v>
      </c>
      <c r="S2" s="9">
        <f>COUNT(G2:R2)</f>
        <v>12</v>
      </c>
      <c r="T2" s="8"/>
      <c r="U2" s="16">
        <f>IF(SUMIF($F$1:$R$1,U$1,$F2:$R2)=0,".",SUMIF($F$1:$R$1,U$1,$F2:$R2))</f>
        <v>10</v>
      </c>
      <c r="V2" s="8">
        <f>SUMIF($G$1:$R$1,U$1,G2:R2)</f>
        <v>10</v>
      </c>
      <c r="W2" s="8"/>
      <c r="X2" s="8"/>
      <c r="Y2" s="8"/>
    </row>
    <row r="3" spans="1:25" x14ac:dyDescent="0.25">
      <c r="A3" s="2">
        <v>2</v>
      </c>
      <c r="B3" s="3" t="s">
        <v>8</v>
      </c>
      <c r="C3" t="s">
        <v>8</v>
      </c>
      <c r="D3" t="s">
        <v>9</v>
      </c>
      <c r="E3">
        <v>1</v>
      </c>
      <c r="F3" s="8">
        <v>35</v>
      </c>
      <c r="G3" s="8">
        <v>35</v>
      </c>
      <c r="H3" s="8">
        <v>35</v>
      </c>
      <c r="I3" s="8">
        <v>35</v>
      </c>
      <c r="J3" s="8">
        <v>35</v>
      </c>
      <c r="K3" s="8">
        <v>35</v>
      </c>
      <c r="L3" s="8">
        <v>35</v>
      </c>
      <c r="M3" s="8">
        <v>35</v>
      </c>
      <c r="N3" s="8">
        <v>35</v>
      </c>
      <c r="O3" s="8">
        <v>35</v>
      </c>
      <c r="P3" s="8">
        <v>35</v>
      </c>
      <c r="Q3" s="8">
        <v>35</v>
      </c>
      <c r="R3" s="8">
        <v>35</v>
      </c>
      <c r="S3" s="9">
        <f t="shared" ref="S3:S66" si="0">COUNT(G3:R3)</f>
        <v>12</v>
      </c>
      <c r="T3" s="8"/>
      <c r="U3" s="16">
        <f t="shared" ref="U3:U66" si="1">IF(SUMIF($F$1:$R$1,U$1,$F3:$R3)=0,".",SUMIF($F$1:$R$1,U$1,$F3:$R3))</f>
        <v>35</v>
      </c>
      <c r="V3" s="8"/>
      <c r="W3" s="8"/>
      <c r="X3" s="8"/>
      <c r="Y3" s="8"/>
    </row>
    <row r="4" spans="1:25" x14ac:dyDescent="0.25">
      <c r="A4" s="2">
        <v>3</v>
      </c>
      <c r="B4" s="3" t="s">
        <v>10</v>
      </c>
      <c r="C4" t="s">
        <v>11</v>
      </c>
      <c r="D4" t="s">
        <v>7</v>
      </c>
      <c r="E4">
        <v>0</v>
      </c>
      <c r="F4" s="8">
        <v>3.02</v>
      </c>
      <c r="G4" s="8">
        <v>10.64</v>
      </c>
      <c r="H4" s="8">
        <v>18.260000000000002</v>
      </c>
      <c r="I4" s="8">
        <v>39.130000000000003</v>
      </c>
      <c r="J4" s="8">
        <v>38.82</v>
      </c>
      <c r="K4" s="8">
        <v>36.65</v>
      </c>
      <c r="L4" s="8">
        <v>30.28</v>
      </c>
      <c r="M4" s="8">
        <v>30.57</v>
      </c>
      <c r="N4" s="8">
        <v>17.72</v>
      </c>
      <c r="O4" s="8">
        <v>24.19</v>
      </c>
      <c r="P4" s="8">
        <v>27.83</v>
      </c>
      <c r="Q4" s="8">
        <v>45.5</v>
      </c>
      <c r="R4" s="8">
        <v>24.44</v>
      </c>
      <c r="S4" s="9">
        <f t="shared" si="0"/>
        <v>12</v>
      </c>
      <c r="T4" s="8"/>
      <c r="U4" s="16">
        <f t="shared" si="1"/>
        <v>18.260000000000002</v>
      </c>
      <c r="V4" s="8"/>
      <c r="W4" s="8"/>
      <c r="X4" s="8"/>
      <c r="Y4" s="8"/>
    </row>
    <row r="5" spans="1:25" x14ac:dyDescent="0.25">
      <c r="A5" s="2">
        <v>4</v>
      </c>
      <c r="B5" s="3" t="s">
        <v>13</v>
      </c>
      <c r="C5" t="s">
        <v>13</v>
      </c>
      <c r="D5" t="s">
        <v>14</v>
      </c>
      <c r="E5">
        <v>1</v>
      </c>
      <c r="F5" s="8">
        <v>17</v>
      </c>
      <c r="G5" s="8">
        <v>17</v>
      </c>
      <c r="H5" s="8">
        <v>17</v>
      </c>
      <c r="I5" s="8">
        <v>17</v>
      </c>
      <c r="J5" s="8">
        <v>17</v>
      </c>
      <c r="K5" s="8">
        <v>17</v>
      </c>
      <c r="L5" s="8">
        <v>17</v>
      </c>
      <c r="M5" s="8">
        <v>17</v>
      </c>
      <c r="N5" s="8">
        <v>17</v>
      </c>
      <c r="O5" s="8">
        <v>17</v>
      </c>
      <c r="P5" s="8">
        <v>17</v>
      </c>
      <c r="Q5" s="8">
        <v>17</v>
      </c>
      <c r="R5" s="8">
        <v>17</v>
      </c>
      <c r="S5" s="9">
        <f t="shared" si="0"/>
        <v>12</v>
      </c>
      <c r="T5" s="8"/>
      <c r="U5" s="16">
        <f t="shared" si="1"/>
        <v>17</v>
      </c>
      <c r="V5" s="8"/>
      <c r="W5" s="8"/>
      <c r="X5" s="8"/>
      <c r="Y5" s="8"/>
    </row>
    <row r="6" spans="1:25" x14ac:dyDescent="0.25">
      <c r="A6" s="2">
        <v>5</v>
      </c>
      <c r="B6" s="3" t="s">
        <v>15</v>
      </c>
      <c r="C6" t="s">
        <v>11</v>
      </c>
      <c r="D6" t="s">
        <v>16</v>
      </c>
      <c r="E6">
        <v>0</v>
      </c>
      <c r="F6" s="8">
        <v>9.7799999999999994</v>
      </c>
      <c r="G6" s="8">
        <v>20.76</v>
      </c>
      <c r="H6" s="8">
        <v>31.74</v>
      </c>
      <c r="I6" s="8">
        <v>17.850000000000001</v>
      </c>
      <c r="J6" s="8">
        <v>29.65</v>
      </c>
      <c r="K6" s="8">
        <v>33.979999999999997</v>
      </c>
      <c r="L6" s="8">
        <v>36.590000000000003</v>
      </c>
      <c r="M6" s="8">
        <v>31.34</v>
      </c>
      <c r="N6" s="8">
        <v>35.56</v>
      </c>
      <c r="O6" s="8">
        <v>51.1</v>
      </c>
      <c r="P6" s="8">
        <v>23.44</v>
      </c>
      <c r="Q6" s="8">
        <v>4.9800000000000004</v>
      </c>
      <c r="R6" s="8">
        <v>56.45</v>
      </c>
      <c r="S6" s="9">
        <f t="shared" si="0"/>
        <v>12</v>
      </c>
      <c r="T6" s="8"/>
      <c r="U6" s="16">
        <f t="shared" si="1"/>
        <v>31.74</v>
      </c>
      <c r="V6" s="8"/>
      <c r="W6" s="8"/>
      <c r="X6" s="8"/>
      <c r="Y6" s="8"/>
    </row>
    <row r="7" spans="1:25" x14ac:dyDescent="0.25">
      <c r="A7" s="2">
        <v>6</v>
      </c>
      <c r="B7" s="3" t="s">
        <v>17</v>
      </c>
      <c r="C7" t="s">
        <v>17</v>
      </c>
      <c r="D7" t="s">
        <v>18</v>
      </c>
      <c r="E7">
        <v>1</v>
      </c>
      <c r="F7" s="8">
        <v>35</v>
      </c>
      <c r="G7" s="8">
        <v>35</v>
      </c>
      <c r="H7" s="8">
        <v>35</v>
      </c>
      <c r="I7" s="8">
        <v>35</v>
      </c>
      <c r="J7" s="8">
        <v>35</v>
      </c>
      <c r="K7" s="8">
        <v>35</v>
      </c>
      <c r="L7" s="8">
        <v>35</v>
      </c>
      <c r="M7" s="8">
        <v>35</v>
      </c>
      <c r="N7" s="8">
        <v>35</v>
      </c>
      <c r="O7" s="8">
        <v>35</v>
      </c>
      <c r="P7" s="8">
        <v>35</v>
      </c>
      <c r="Q7" s="8">
        <v>35</v>
      </c>
      <c r="R7" s="8">
        <v>35</v>
      </c>
      <c r="S7" s="9">
        <f t="shared" si="0"/>
        <v>12</v>
      </c>
      <c r="T7" s="8"/>
      <c r="U7" s="16">
        <f t="shared" si="1"/>
        <v>35</v>
      </c>
      <c r="V7" s="8"/>
      <c r="W7" s="8"/>
      <c r="X7" s="8"/>
      <c r="Y7" s="8"/>
    </row>
    <row r="8" spans="1:25" x14ac:dyDescent="0.25">
      <c r="A8" s="2">
        <v>7</v>
      </c>
      <c r="B8" s="3" t="s">
        <v>19</v>
      </c>
      <c r="C8" t="s">
        <v>19</v>
      </c>
      <c r="D8" t="s">
        <v>7</v>
      </c>
      <c r="E8">
        <v>1</v>
      </c>
      <c r="F8" s="8">
        <v>14</v>
      </c>
      <c r="G8" s="8">
        <v>20</v>
      </c>
      <c r="H8" s="8">
        <v>26</v>
      </c>
      <c r="I8" s="8">
        <v>26</v>
      </c>
      <c r="J8" s="8">
        <v>26</v>
      </c>
      <c r="K8" s="8">
        <v>26</v>
      </c>
      <c r="L8" s="8">
        <v>26</v>
      </c>
      <c r="M8" s="8">
        <v>26</v>
      </c>
      <c r="N8" s="8">
        <v>26</v>
      </c>
      <c r="O8" s="8">
        <v>26</v>
      </c>
      <c r="P8" s="8">
        <v>26</v>
      </c>
      <c r="Q8" s="8">
        <v>26</v>
      </c>
      <c r="R8" s="8">
        <v>26</v>
      </c>
      <c r="S8" s="9">
        <f t="shared" si="0"/>
        <v>12</v>
      </c>
      <c r="T8" s="8"/>
      <c r="U8" s="16">
        <f t="shared" si="1"/>
        <v>26</v>
      </c>
      <c r="V8" s="8"/>
      <c r="W8" s="8"/>
      <c r="X8" s="8"/>
      <c r="Y8" s="8"/>
    </row>
    <row r="9" spans="1:25" x14ac:dyDescent="0.25">
      <c r="A9" s="2">
        <v>8</v>
      </c>
      <c r="B9" s="3" t="s">
        <v>20</v>
      </c>
      <c r="C9" t="s">
        <v>20</v>
      </c>
      <c r="D9" t="s">
        <v>21</v>
      </c>
      <c r="E9">
        <v>1</v>
      </c>
      <c r="F9" s="8">
        <v>45</v>
      </c>
      <c r="G9" s="8">
        <v>45</v>
      </c>
      <c r="H9" s="8">
        <v>45</v>
      </c>
      <c r="I9" s="8">
        <v>45</v>
      </c>
      <c r="J9" s="8">
        <v>45</v>
      </c>
      <c r="K9" s="8">
        <v>45</v>
      </c>
      <c r="L9" s="8">
        <v>45</v>
      </c>
      <c r="M9" s="8">
        <v>45</v>
      </c>
      <c r="N9" s="8">
        <v>45</v>
      </c>
      <c r="O9" s="8">
        <v>45</v>
      </c>
      <c r="P9" s="8">
        <v>45</v>
      </c>
      <c r="Q9" s="8">
        <v>45</v>
      </c>
      <c r="R9" s="8">
        <v>45</v>
      </c>
      <c r="S9" s="9">
        <f t="shared" si="0"/>
        <v>12</v>
      </c>
      <c r="T9" s="8"/>
      <c r="U9" s="16">
        <f t="shared" si="1"/>
        <v>45</v>
      </c>
      <c r="V9" s="8"/>
      <c r="W9" s="8"/>
      <c r="X9" s="8"/>
      <c r="Y9" s="8"/>
    </row>
    <row r="10" spans="1:25" x14ac:dyDescent="0.25">
      <c r="A10" s="2">
        <v>9</v>
      </c>
      <c r="B10" s="3" t="s">
        <v>22</v>
      </c>
      <c r="C10" t="s">
        <v>22</v>
      </c>
      <c r="D10" t="s">
        <v>23</v>
      </c>
      <c r="E10">
        <v>1</v>
      </c>
      <c r="F10" s="8">
        <v>50</v>
      </c>
      <c r="G10" s="8">
        <v>50</v>
      </c>
      <c r="H10" s="8">
        <v>50</v>
      </c>
      <c r="I10" s="8">
        <v>50</v>
      </c>
      <c r="J10" s="8">
        <v>50</v>
      </c>
      <c r="K10" s="8">
        <v>50</v>
      </c>
      <c r="L10" s="8">
        <v>50</v>
      </c>
      <c r="M10" s="8">
        <v>50</v>
      </c>
      <c r="N10" s="8">
        <v>50</v>
      </c>
      <c r="O10" s="8">
        <v>50</v>
      </c>
      <c r="P10" s="8">
        <v>50</v>
      </c>
      <c r="Q10" s="8">
        <v>50</v>
      </c>
      <c r="R10" s="8">
        <v>50</v>
      </c>
      <c r="S10" s="9">
        <f t="shared" si="0"/>
        <v>12</v>
      </c>
      <c r="T10" s="8"/>
      <c r="U10" s="16">
        <f t="shared" si="1"/>
        <v>50</v>
      </c>
      <c r="V10" s="8"/>
      <c r="W10" s="8"/>
      <c r="X10" s="8"/>
      <c r="Y10" s="8"/>
    </row>
    <row r="11" spans="1:25" x14ac:dyDescent="0.25">
      <c r="A11" s="2">
        <v>10</v>
      </c>
      <c r="B11" s="3" t="s">
        <v>24</v>
      </c>
      <c r="C11" t="s">
        <v>24</v>
      </c>
      <c r="D11" t="s">
        <v>25</v>
      </c>
      <c r="E11">
        <v>1</v>
      </c>
      <c r="F11" s="8">
        <v>35</v>
      </c>
      <c r="G11" s="8">
        <v>30</v>
      </c>
      <c r="H11" s="8">
        <v>25</v>
      </c>
      <c r="I11" s="8">
        <v>25</v>
      </c>
      <c r="J11" s="8">
        <v>25</v>
      </c>
      <c r="K11" s="8">
        <v>25</v>
      </c>
      <c r="L11" s="8">
        <v>25</v>
      </c>
      <c r="M11" s="8">
        <v>25</v>
      </c>
      <c r="N11" s="8">
        <v>25</v>
      </c>
      <c r="O11" s="8">
        <v>25</v>
      </c>
      <c r="P11" s="8">
        <v>25</v>
      </c>
      <c r="Q11" s="8">
        <v>25</v>
      </c>
      <c r="R11" s="8">
        <v>25</v>
      </c>
      <c r="S11" s="9">
        <f t="shared" si="0"/>
        <v>12</v>
      </c>
      <c r="T11" s="8"/>
      <c r="U11" s="16">
        <f t="shared" si="1"/>
        <v>25</v>
      </c>
      <c r="V11" s="8"/>
      <c r="W11" s="8"/>
      <c r="X11" s="8"/>
      <c r="Y11" s="8"/>
    </row>
    <row r="12" spans="1:25" x14ac:dyDescent="0.25">
      <c r="A12" s="2">
        <v>11</v>
      </c>
      <c r="B12" s="3" t="s">
        <v>26</v>
      </c>
      <c r="C12" t="s">
        <v>26</v>
      </c>
      <c r="D12" t="s">
        <v>16</v>
      </c>
      <c r="E12">
        <v>0</v>
      </c>
      <c r="F12" s="8">
        <v>37.799999999999997</v>
      </c>
      <c r="G12" s="8">
        <v>31.18</v>
      </c>
      <c r="H12" s="8">
        <v>24.56</v>
      </c>
      <c r="I12" s="8">
        <v>42.11</v>
      </c>
      <c r="J12" s="8">
        <v>37.770000000000003</v>
      </c>
      <c r="K12" s="8">
        <v>54.95</v>
      </c>
      <c r="L12" s="8">
        <v>36.97</v>
      </c>
      <c r="M12" s="8">
        <v>36.6</v>
      </c>
      <c r="N12" s="8">
        <v>38.520000000000003</v>
      </c>
      <c r="O12" s="8">
        <v>35.590000000000003</v>
      </c>
      <c r="P12" s="8">
        <v>53.82</v>
      </c>
      <c r="Q12" s="8">
        <v>41.16</v>
      </c>
      <c r="R12" s="8">
        <v>31.17</v>
      </c>
      <c r="S12" s="9">
        <f t="shared" si="0"/>
        <v>12</v>
      </c>
      <c r="T12" s="8"/>
      <c r="U12" s="16">
        <f t="shared" si="1"/>
        <v>24.56</v>
      </c>
      <c r="V12" s="8"/>
      <c r="W12" s="8"/>
      <c r="X12" s="8"/>
      <c r="Y12" s="8"/>
    </row>
    <row r="13" spans="1:25" x14ac:dyDescent="0.25">
      <c r="A13" s="2">
        <v>12</v>
      </c>
      <c r="B13" s="3" t="s">
        <v>27</v>
      </c>
      <c r="C13" t="s">
        <v>27</v>
      </c>
      <c r="D13" t="s">
        <v>9</v>
      </c>
      <c r="E13">
        <v>1</v>
      </c>
      <c r="F13" s="8">
        <v>20.010000000000002</v>
      </c>
      <c r="G13" s="8">
        <v>16.79</v>
      </c>
      <c r="H13" s="8">
        <v>13.57</v>
      </c>
      <c r="I13" s="8">
        <v>11.77</v>
      </c>
      <c r="J13" s="8">
        <v>23.33</v>
      </c>
      <c r="K13" s="8">
        <v>0.31</v>
      </c>
      <c r="L13" s="8">
        <v>16.649999999999999</v>
      </c>
      <c r="M13" s="8">
        <v>10.48</v>
      </c>
      <c r="N13" s="8">
        <v>32.200000000000003</v>
      </c>
      <c r="O13" s="8">
        <v>37.840000000000003</v>
      </c>
      <c r="P13" s="8">
        <v>23.05</v>
      </c>
      <c r="Q13" s="8">
        <v>20.7</v>
      </c>
      <c r="R13" s="8">
        <v>20.29</v>
      </c>
      <c r="S13" s="9">
        <f t="shared" si="0"/>
        <v>12</v>
      </c>
      <c r="T13" s="8"/>
      <c r="U13" s="16">
        <f t="shared" si="1"/>
        <v>13.57</v>
      </c>
      <c r="V13" s="8"/>
      <c r="W13" s="8"/>
      <c r="X13" s="8"/>
      <c r="Y13" s="8"/>
    </row>
    <row r="14" spans="1:25" x14ac:dyDescent="0.25">
      <c r="A14" s="2">
        <v>13</v>
      </c>
      <c r="B14" s="3" t="s">
        <v>28</v>
      </c>
      <c r="C14" t="s">
        <v>28</v>
      </c>
      <c r="D14" t="s">
        <v>25</v>
      </c>
      <c r="E14">
        <v>1</v>
      </c>
      <c r="F14" s="8">
        <v>25</v>
      </c>
      <c r="G14" s="8">
        <v>25</v>
      </c>
      <c r="H14" s="8">
        <v>25</v>
      </c>
      <c r="I14" s="8">
        <v>25</v>
      </c>
      <c r="J14" s="8">
        <v>25</v>
      </c>
      <c r="K14" s="8">
        <v>25</v>
      </c>
      <c r="L14" s="8">
        <v>25</v>
      </c>
      <c r="M14" s="8">
        <v>25</v>
      </c>
      <c r="N14" s="8">
        <v>25</v>
      </c>
      <c r="O14" s="8">
        <v>25</v>
      </c>
      <c r="P14" s="8">
        <v>25</v>
      </c>
      <c r="Q14" s="8">
        <v>25</v>
      </c>
      <c r="R14" s="8">
        <v>25</v>
      </c>
      <c r="S14" s="9">
        <f t="shared" si="0"/>
        <v>12</v>
      </c>
      <c r="T14" s="8"/>
      <c r="U14" s="16">
        <f t="shared" si="1"/>
        <v>25</v>
      </c>
      <c r="V14" s="8"/>
      <c r="W14" s="8"/>
      <c r="X14" s="8"/>
      <c r="Y14" s="8"/>
    </row>
    <row r="15" spans="1:25" x14ac:dyDescent="0.25">
      <c r="A15" s="2">
        <v>14</v>
      </c>
      <c r="B15" s="3" t="s">
        <v>29</v>
      </c>
      <c r="C15" t="s">
        <v>29</v>
      </c>
      <c r="D15" t="s">
        <v>16</v>
      </c>
      <c r="E15">
        <v>1</v>
      </c>
      <c r="F15" s="8">
        <v>35</v>
      </c>
      <c r="G15" s="8">
        <v>35</v>
      </c>
      <c r="H15" s="8">
        <v>35</v>
      </c>
      <c r="I15" s="8">
        <v>35</v>
      </c>
      <c r="J15" s="8">
        <v>35</v>
      </c>
      <c r="K15" s="8">
        <v>35</v>
      </c>
      <c r="L15" s="8">
        <v>35</v>
      </c>
      <c r="M15" s="8">
        <v>35</v>
      </c>
      <c r="N15" s="8">
        <v>35</v>
      </c>
      <c r="O15" s="8">
        <v>35</v>
      </c>
      <c r="P15" s="8">
        <v>35</v>
      </c>
      <c r="Q15" s="8">
        <v>35</v>
      </c>
      <c r="R15" s="8">
        <v>35</v>
      </c>
      <c r="S15" s="9">
        <f t="shared" si="0"/>
        <v>12</v>
      </c>
      <c r="T15" s="8"/>
      <c r="U15" s="16">
        <f t="shared" si="1"/>
        <v>35</v>
      </c>
      <c r="V15" s="8"/>
      <c r="W15" s="8"/>
      <c r="X15" s="8"/>
      <c r="Y15" s="8"/>
    </row>
    <row r="16" spans="1:25" x14ac:dyDescent="0.25">
      <c r="A16" s="2">
        <v>15</v>
      </c>
      <c r="B16" s="3" t="s">
        <v>30</v>
      </c>
      <c r="C16" t="s">
        <v>30</v>
      </c>
      <c r="D16" t="s">
        <v>7</v>
      </c>
      <c r="E16">
        <v>0</v>
      </c>
      <c r="F16" s="8">
        <v>12</v>
      </c>
      <c r="G16" s="8">
        <v>12</v>
      </c>
      <c r="H16" s="8">
        <v>12</v>
      </c>
      <c r="I16" s="8">
        <v>12</v>
      </c>
      <c r="J16" s="8">
        <v>13</v>
      </c>
      <c r="K16" s="8">
        <v>13</v>
      </c>
      <c r="L16" s="8">
        <v>13</v>
      </c>
      <c r="M16" s="8">
        <v>13</v>
      </c>
      <c r="N16" s="8">
        <v>16.64</v>
      </c>
      <c r="O16" s="8">
        <v>15.27</v>
      </c>
      <c r="P16" s="8">
        <v>15.57</v>
      </c>
      <c r="Q16" s="8">
        <v>14.13</v>
      </c>
      <c r="R16" s="8">
        <v>12.58</v>
      </c>
      <c r="S16" s="9">
        <f t="shared" si="0"/>
        <v>12</v>
      </c>
      <c r="T16" s="8"/>
      <c r="U16" s="16">
        <f t="shared" si="1"/>
        <v>12</v>
      </c>
      <c r="V16" s="8"/>
      <c r="W16" s="8"/>
      <c r="X16" s="8"/>
      <c r="Y16" s="8"/>
    </row>
    <row r="17" spans="1:25" x14ac:dyDescent="0.25">
      <c r="A17" s="2">
        <v>16</v>
      </c>
      <c r="B17" s="3" t="s">
        <v>31</v>
      </c>
      <c r="C17" t="s">
        <v>31</v>
      </c>
      <c r="D17" t="s">
        <v>23</v>
      </c>
      <c r="E17">
        <v>1</v>
      </c>
      <c r="F17" s="8">
        <v>50</v>
      </c>
      <c r="G17" s="8">
        <v>50</v>
      </c>
      <c r="H17" s="8">
        <v>50</v>
      </c>
      <c r="I17" s="8">
        <v>50</v>
      </c>
      <c r="J17" s="8">
        <v>50</v>
      </c>
      <c r="K17" s="8">
        <v>50</v>
      </c>
      <c r="L17" s="8">
        <v>50</v>
      </c>
      <c r="M17" s="8">
        <v>50</v>
      </c>
      <c r="N17" s="8">
        <v>50</v>
      </c>
      <c r="O17" s="8">
        <v>50</v>
      </c>
      <c r="P17" s="8">
        <v>50</v>
      </c>
      <c r="Q17" s="8">
        <v>50</v>
      </c>
      <c r="R17" s="8">
        <v>50</v>
      </c>
      <c r="S17" s="9">
        <f t="shared" si="0"/>
        <v>12</v>
      </c>
      <c r="T17" s="8"/>
      <c r="U17" s="16">
        <f t="shared" si="1"/>
        <v>50</v>
      </c>
      <c r="V17" s="8"/>
      <c r="W17" s="8"/>
      <c r="X17" s="8"/>
      <c r="Y17" s="8"/>
    </row>
    <row r="18" spans="1:25" x14ac:dyDescent="0.25">
      <c r="A18" s="2">
        <v>17</v>
      </c>
      <c r="B18" s="3" t="s">
        <v>32</v>
      </c>
      <c r="C18" t="s">
        <v>32</v>
      </c>
      <c r="D18" t="s">
        <v>33</v>
      </c>
      <c r="E18">
        <v>1</v>
      </c>
      <c r="F18" s="8">
        <v>25</v>
      </c>
      <c r="G18" s="8">
        <v>25</v>
      </c>
      <c r="H18" s="8">
        <v>25</v>
      </c>
      <c r="I18" s="8">
        <v>25</v>
      </c>
      <c r="J18" s="8">
        <v>25</v>
      </c>
      <c r="K18" s="8">
        <v>25</v>
      </c>
      <c r="L18" s="8">
        <v>25</v>
      </c>
      <c r="M18" s="8">
        <v>25</v>
      </c>
      <c r="N18" s="8">
        <v>25</v>
      </c>
      <c r="O18" s="8">
        <v>25</v>
      </c>
      <c r="P18" s="8">
        <v>25</v>
      </c>
      <c r="Q18" s="8">
        <v>25</v>
      </c>
      <c r="R18" s="8">
        <v>25</v>
      </c>
      <c r="S18" s="9">
        <f t="shared" si="0"/>
        <v>12</v>
      </c>
      <c r="T18" s="8"/>
      <c r="U18" s="16">
        <f t="shared" si="1"/>
        <v>25</v>
      </c>
      <c r="V18" s="8"/>
      <c r="W18" s="8"/>
      <c r="X18" s="8"/>
      <c r="Y18" s="8"/>
    </row>
    <row r="19" spans="1:25" x14ac:dyDescent="0.25">
      <c r="A19" s="2">
        <v>18</v>
      </c>
      <c r="B19" s="3" t="s">
        <v>34</v>
      </c>
      <c r="C19" t="s">
        <v>34</v>
      </c>
      <c r="D19" t="s">
        <v>14</v>
      </c>
      <c r="E19">
        <v>1</v>
      </c>
      <c r="F19" s="8">
        <v>25</v>
      </c>
      <c r="G19" s="8">
        <v>35</v>
      </c>
      <c r="H19" s="8">
        <v>45</v>
      </c>
      <c r="I19" s="8">
        <v>45</v>
      </c>
      <c r="J19" s="8">
        <v>45</v>
      </c>
      <c r="K19" s="8">
        <v>45</v>
      </c>
      <c r="L19" s="8">
        <v>45</v>
      </c>
      <c r="M19" s="8">
        <v>45</v>
      </c>
      <c r="N19" s="8">
        <v>45</v>
      </c>
      <c r="O19" s="8">
        <v>45</v>
      </c>
      <c r="P19" s="8">
        <v>45</v>
      </c>
      <c r="Q19" s="8">
        <v>45</v>
      </c>
      <c r="R19" s="8">
        <v>45</v>
      </c>
      <c r="S19" s="9">
        <f t="shared" si="0"/>
        <v>12</v>
      </c>
      <c r="T19" s="8"/>
      <c r="U19" s="16">
        <f t="shared" si="1"/>
        <v>45</v>
      </c>
      <c r="V19" s="8"/>
      <c r="W19" s="8"/>
      <c r="X19" s="8"/>
      <c r="Y19" s="8"/>
    </row>
    <row r="20" spans="1:25" x14ac:dyDescent="0.25">
      <c r="A20" s="2">
        <v>19</v>
      </c>
      <c r="B20" s="3" t="s">
        <v>35</v>
      </c>
      <c r="C20" t="s">
        <v>11</v>
      </c>
      <c r="D20" t="s">
        <v>36</v>
      </c>
      <c r="E20">
        <v>0</v>
      </c>
      <c r="F20" s="8">
        <v>51.14</v>
      </c>
      <c r="G20" s="8">
        <v>38.020000000000003</v>
      </c>
      <c r="H20" s="8">
        <v>24.9</v>
      </c>
      <c r="I20" s="8">
        <v>26.98</v>
      </c>
      <c r="J20" s="8">
        <v>15.12</v>
      </c>
      <c r="K20" s="8">
        <v>7.36</v>
      </c>
      <c r="L20" s="8">
        <v>42.22</v>
      </c>
      <c r="M20" s="8">
        <v>19.68</v>
      </c>
      <c r="N20" s="8">
        <v>34.93</v>
      </c>
      <c r="O20" s="8">
        <v>39.340000000000003</v>
      </c>
      <c r="P20" s="8">
        <v>56.06</v>
      </c>
      <c r="Q20" s="8">
        <v>31.41</v>
      </c>
      <c r="R20" s="8">
        <v>27.67</v>
      </c>
      <c r="S20" s="9">
        <f t="shared" si="0"/>
        <v>12</v>
      </c>
      <c r="T20" s="8"/>
      <c r="U20" s="16">
        <f t="shared" si="1"/>
        <v>24.9</v>
      </c>
      <c r="V20" s="8"/>
      <c r="W20" s="8"/>
      <c r="X20" s="8"/>
      <c r="Y20" s="8"/>
    </row>
    <row r="21" spans="1:25" x14ac:dyDescent="0.25">
      <c r="A21" s="2">
        <v>20</v>
      </c>
      <c r="B21" s="3" t="s">
        <v>37</v>
      </c>
      <c r="C21" t="s">
        <v>37</v>
      </c>
      <c r="D21" t="s">
        <v>25</v>
      </c>
      <c r="E21">
        <v>1</v>
      </c>
      <c r="F21" s="8">
        <v>25</v>
      </c>
      <c r="G21" s="8">
        <v>25</v>
      </c>
      <c r="H21" s="8">
        <v>25</v>
      </c>
      <c r="I21" s="8">
        <v>25</v>
      </c>
      <c r="J21" s="8">
        <v>25</v>
      </c>
      <c r="K21" s="8">
        <v>25</v>
      </c>
      <c r="L21" s="8">
        <v>25</v>
      </c>
      <c r="M21" s="8">
        <v>25</v>
      </c>
      <c r="N21" s="8">
        <v>25</v>
      </c>
      <c r="O21" s="8">
        <v>25</v>
      </c>
      <c r="P21" s="8">
        <v>25</v>
      </c>
      <c r="Q21" s="8">
        <v>25</v>
      </c>
      <c r="R21" s="8">
        <v>25</v>
      </c>
      <c r="S21" s="9">
        <f t="shared" si="0"/>
        <v>12</v>
      </c>
      <c r="T21" s="8"/>
      <c r="U21" s="16">
        <f t="shared" si="1"/>
        <v>25</v>
      </c>
      <c r="V21" s="8"/>
      <c r="W21" s="8"/>
      <c r="X21" s="8"/>
      <c r="Y21" s="8"/>
    </row>
    <row r="22" spans="1:25" x14ac:dyDescent="0.25">
      <c r="A22" s="2">
        <v>21</v>
      </c>
      <c r="B22" s="3" t="s">
        <v>38</v>
      </c>
      <c r="C22" t="s">
        <v>38</v>
      </c>
      <c r="D22" t="s">
        <v>18</v>
      </c>
      <c r="E22">
        <v>1</v>
      </c>
      <c r="F22" s="8">
        <v>13</v>
      </c>
      <c r="G22" s="8">
        <v>13</v>
      </c>
      <c r="H22" s="8">
        <v>13</v>
      </c>
      <c r="I22" s="8">
        <v>13</v>
      </c>
      <c r="J22" s="8">
        <v>13</v>
      </c>
      <c r="K22" s="8">
        <v>13</v>
      </c>
      <c r="L22" s="8">
        <v>13</v>
      </c>
      <c r="M22" s="8">
        <v>13</v>
      </c>
      <c r="N22" s="8">
        <v>13</v>
      </c>
      <c r="O22" s="8">
        <v>13</v>
      </c>
      <c r="P22" s="8">
        <v>13</v>
      </c>
      <c r="Q22" s="8">
        <v>13</v>
      </c>
      <c r="R22" s="8">
        <v>13</v>
      </c>
      <c r="S22" s="9">
        <f t="shared" si="0"/>
        <v>12</v>
      </c>
      <c r="T22" s="8"/>
      <c r="U22" s="16">
        <f t="shared" si="1"/>
        <v>13</v>
      </c>
      <c r="V22" s="8"/>
      <c r="W22" s="8"/>
      <c r="X22" s="8"/>
      <c r="Y22" s="8"/>
    </row>
    <row r="23" spans="1:25" x14ac:dyDescent="0.25">
      <c r="A23" s="2">
        <v>22</v>
      </c>
      <c r="B23" s="3" t="s">
        <v>39</v>
      </c>
      <c r="C23" t="s">
        <v>39</v>
      </c>
      <c r="D23" t="s">
        <v>14</v>
      </c>
      <c r="E23">
        <v>1</v>
      </c>
      <c r="F23" s="8">
        <v>25</v>
      </c>
      <c r="G23" s="8">
        <v>25</v>
      </c>
      <c r="H23" s="8">
        <v>25</v>
      </c>
      <c r="I23" s="8">
        <v>25</v>
      </c>
      <c r="J23" s="8">
        <v>25</v>
      </c>
      <c r="K23" s="8">
        <v>25</v>
      </c>
      <c r="L23" s="8">
        <v>25</v>
      </c>
      <c r="M23" s="8">
        <v>25</v>
      </c>
      <c r="N23" s="8">
        <v>25</v>
      </c>
      <c r="O23" s="8">
        <v>25</v>
      </c>
      <c r="P23" s="8">
        <v>25</v>
      </c>
      <c r="Q23" s="8">
        <v>25</v>
      </c>
      <c r="R23" s="8">
        <v>25</v>
      </c>
      <c r="S23" s="9">
        <f t="shared" si="0"/>
        <v>12</v>
      </c>
      <c r="T23" s="8"/>
      <c r="U23" s="16">
        <f t="shared" si="1"/>
        <v>25</v>
      </c>
      <c r="V23" s="8"/>
      <c r="W23" s="8"/>
      <c r="X23" s="8"/>
      <c r="Y23" s="8"/>
    </row>
    <row r="24" spans="1:25" x14ac:dyDescent="0.25">
      <c r="A24" s="2">
        <v>23</v>
      </c>
      <c r="B24" s="3" t="s">
        <v>40</v>
      </c>
      <c r="C24" t="s">
        <v>40</v>
      </c>
      <c r="D24" t="s">
        <v>18</v>
      </c>
      <c r="E24">
        <v>1</v>
      </c>
      <c r="F24" s="8">
        <v>27.5</v>
      </c>
      <c r="G24" s="8">
        <v>27.5</v>
      </c>
      <c r="H24" s="8">
        <v>27.5</v>
      </c>
      <c r="I24" s="8">
        <v>27.5</v>
      </c>
      <c r="J24" s="8">
        <v>27.5</v>
      </c>
      <c r="K24" s="8">
        <v>27.5</v>
      </c>
      <c r="L24" s="8">
        <v>27.5</v>
      </c>
      <c r="M24" s="8">
        <v>27.5</v>
      </c>
      <c r="N24" s="8">
        <v>27.5</v>
      </c>
      <c r="O24" s="8">
        <v>27.5</v>
      </c>
      <c r="P24" s="8">
        <v>27.5</v>
      </c>
      <c r="Q24" s="8">
        <v>27.5</v>
      </c>
      <c r="R24" s="8">
        <v>27.5</v>
      </c>
      <c r="S24" s="9">
        <f t="shared" si="0"/>
        <v>12</v>
      </c>
      <c r="T24" s="8"/>
      <c r="U24" s="16">
        <f t="shared" si="1"/>
        <v>27.5</v>
      </c>
      <c r="V24" s="8"/>
      <c r="W24" s="8"/>
      <c r="X24" s="8"/>
      <c r="Y24" s="8"/>
    </row>
    <row r="25" spans="1:25" x14ac:dyDescent="0.25">
      <c r="A25" s="2">
        <v>24</v>
      </c>
      <c r="B25" s="3" t="s">
        <v>41</v>
      </c>
      <c r="C25" t="s">
        <v>41</v>
      </c>
      <c r="D25" t="s">
        <v>23</v>
      </c>
      <c r="E25">
        <v>1</v>
      </c>
      <c r="F25" s="8">
        <v>10</v>
      </c>
      <c r="G25" s="8">
        <v>10</v>
      </c>
      <c r="H25" s="8">
        <v>10</v>
      </c>
      <c r="I25" s="8">
        <v>10</v>
      </c>
      <c r="J25" s="8">
        <v>10</v>
      </c>
      <c r="K25" s="8">
        <v>10</v>
      </c>
      <c r="L25" s="8">
        <v>10</v>
      </c>
      <c r="M25" s="8">
        <v>10</v>
      </c>
      <c r="N25" s="8">
        <v>10</v>
      </c>
      <c r="O25" s="8">
        <v>10</v>
      </c>
      <c r="P25" s="8">
        <v>10</v>
      </c>
      <c r="Q25" s="8">
        <v>10</v>
      </c>
      <c r="R25" s="8">
        <v>10</v>
      </c>
      <c r="S25" s="9">
        <f t="shared" si="0"/>
        <v>12</v>
      </c>
      <c r="T25" s="8"/>
      <c r="U25" s="16">
        <f t="shared" si="1"/>
        <v>10</v>
      </c>
      <c r="V25" s="8"/>
      <c r="W25" s="8"/>
      <c r="X25" s="8"/>
      <c r="Y25" s="8"/>
    </row>
    <row r="26" spans="1:25" x14ac:dyDescent="0.25">
      <c r="A26" s="2">
        <v>25</v>
      </c>
      <c r="B26" s="3" t="s">
        <v>42</v>
      </c>
      <c r="C26" t="s">
        <v>43</v>
      </c>
      <c r="D26" t="s">
        <v>14</v>
      </c>
      <c r="E26">
        <v>1</v>
      </c>
      <c r="F26" s="8">
        <v>32.5</v>
      </c>
      <c r="G26" s="8">
        <v>30</v>
      </c>
      <c r="H26" s="8">
        <v>27.5</v>
      </c>
      <c r="I26" s="8">
        <v>27.5</v>
      </c>
      <c r="J26" s="8">
        <v>27.5</v>
      </c>
      <c r="K26" s="8">
        <v>27.5</v>
      </c>
      <c r="L26" s="8">
        <v>27.5</v>
      </c>
      <c r="M26" s="8">
        <v>27.5</v>
      </c>
      <c r="N26" s="8">
        <v>27.5</v>
      </c>
      <c r="O26" s="8">
        <v>27.5</v>
      </c>
      <c r="P26" s="8">
        <v>27.5</v>
      </c>
      <c r="Q26" s="8">
        <v>27.5</v>
      </c>
      <c r="R26" s="8">
        <v>27.5</v>
      </c>
      <c r="S26" s="9">
        <f t="shared" si="0"/>
        <v>12</v>
      </c>
      <c r="T26" s="8"/>
      <c r="U26" s="16">
        <f t="shared" si="1"/>
        <v>27.5</v>
      </c>
      <c r="V26" s="8"/>
      <c r="W26" s="8"/>
      <c r="X26" s="8"/>
      <c r="Y26" s="8"/>
    </row>
    <row r="27" spans="1:25" x14ac:dyDescent="0.25">
      <c r="A27" s="2">
        <v>26</v>
      </c>
      <c r="B27" s="3" t="s">
        <v>44</v>
      </c>
      <c r="C27" t="s">
        <v>44</v>
      </c>
      <c r="D27" t="s">
        <v>14</v>
      </c>
      <c r="E27">
        <v>1</v>
      </c>
      <c r="F27" s="8">
        <v>35</v>
      </c>
      <c r="G27" s="8">
        <v>35</v>
      </c>
      <c r="H27" s="8">
        <v>35</v>
      </c>
      <c r="I27" s="8">
        <v>35</v>
      </c>
      <c r="J27" s="8">
        <v>35</v>
      </c>
      <c r="K27" s="8">
        <v>35</v>
      </c>
      <c r="L27" s="8">
        <v>35</v>
      </c>
      <c r="M27" s="8">
        <v>35</v>
      </c>
      <c r="N27" s="8">
        <v>35</v>
      </c>
      <c r="O27" s="8">
        <v>35</v>
      </c>
      <c r="P27" s="8">
        <v>35</v>
      </c>
      <c r="Q27" s="8">
        <v>35</v>
      </c>
      <c r="R27" s="8">
        <v>35</v>
      </c>
      <c r="S27" s="9">
        <f t="shared" si="0"/>
        <v>12</v>
      </c>
      <c r="T27" s="8"/>
      <c r="U27" s="16">
        <f t="shared" si="1"/>
        <v>35</v>
      </c>
      <c r="V27" s="8"/>
      <c r="W27" s="8"/>
      <c r="X27" s="8"/>
      <c r="Y27" s="8"/>
    </row>
    <row r="28" spans="1:25" x14ac:dyDescent="0.25">
      <c r="A28" s="2">
        <v>27</v>
      </c>
      <c r="B28" s="3" t="s">
        <v>45</v>
      </c>
      <c r="C28" t="s">
        <v>45</v>
      </c>
      <c r="D28" t="s">
        <v>25</v>
      </c>
      <c r="E28">
        <v>1</v>
      </c>
      <c r="F28" s="8">
        <v>20</v>
      </c>
      <c r="G28" s="8">
        <v>20</v>
      </c>
      <c r="H28" s="8">
        <v>20</v>
      </c>
      <c r="I28" s="8">
        <v>20</v>
      </c>
      <c r="J28" s="8">
        <v>20</v>
      </c>
      <c r="K28" s="8">
        <v>20</v>
      </c>
      <c r="L28" s="8">
        <v>20</v>
      </c>
      <c r="M28" s="8">
        <v>20</v>
      </c>
      <c r="N28" s="8">
        <v>20</v>
      </c>
      <c r="O28" s="8">
        <v>20</v>
      </c>
      <c r="P28" s="8">
        <v>20</v>
      </c>
      <c r="Q28" s="8">
        <v>20</v>
      </c>
      <c r="R28" s="8">
        <v>20</v>
      </c>
      <c r="S28" s="9">
        <f t="shared" si="0"/>
        <v>12</v>
      </c>
      <c r="T28" s="8"/>
      <c r="U28" s="16">
        <f t="shared" si="1"/>
        <v>20</v>
      </c>
      <c r="V28" s="8"/>
      <c r="W28" s="8"/>
      <c r="X28" s="8"/>
      <c r="Y28" s="8"/>
    </row>
    <row r="29" spans="1:25" x14ac:dyDescent="0.25">
      <c r="A29" s="2">
        <v>28</v>
      </c>
      <c r="B29" s="3" t="s">
        <v>46</v>
      </c>
      <c r="C29" t="s">
        <v>46</v>
      </c>
      <c r="D29" t="s">
        <v>14</v>
      </c>
      <c r="E29">
        <v>1</v>
      </c>
      <c r="F29" s="8">
        <v>42</v>
      </c>
      <c r="G29" s="8">
        <v>38.5</v>
      </c>
      <c r="H29" s="8">
        <v>35</v>
      </c>
      <c r="I29" s="8">
        <v>35</v>
      </c>
      <c r="J29" s="8">
        <v>35</v>
      </c>
      <c r="K29" s="8">
        <v>35</v>
      </c>
      <c r="L29" s="8">
        <v>35</v>
      </c>
      <c r="M29" s="8">
        <v>35</v>
      </c>
      <c r="N29" s="8">
        <v>35</v>
      </c>
      <c r="O29" s="8">
        <v>35</v>
      </c>
      <c r="P29" s="8">
        <v>35</v>
      </c>
      <c r="Q29" s="8">
        <v>35</v>
      </c>
      <c r="R29" s="8">
        <v>35</v>
      </c>
      <c r="S29" s="9">
        <f t="shared" si="0"/>
        <v>12</v>
      </c>
      <c r="T29" s="8"/>
      <c r="U29" s="16">
        <f t="shared" si="1"/>
        <v>35</v>
      </c>
      <c r="V29" s="8"/>
      <c r="W29" s="8"/>
      <c r="X29" s="8"/>
      <c r="Y29" s="8"/>
    </row>
    <row r="30" spans="1:25" x14ac:dyDescent="0.25">
      <c r="A30" s="2">
        <v>29</v>
      </c>
      <c r="B30" s="3" t="s">
        <v>47</v>
      </c>
      <c r="C30" t="s">
        <v>47</v>
      </c>
      <c r="D30" t="s">
        <v>36</v>
      </c>
      <c r="E30">
        <v>1</v>
      </c>
      <c r="F30" s="8">
        <v>29</v>
      </c>
      <c r="G30" s="8">
        <v>29</v>
      </c>
      <c r="H30" s="8">
        <v>29</v>
      </c>
      <c r="I30" s="8">
        <v>29</v>
      </c>
      <c r="J30" s="8">
        <v>29</v>
      </c>
      <c r="K30" s="8">
        <v>33</v>
      </c>
      <c r="L30" s="8">
        <v>33</v>
      </c>
      <c r="M30" s="8">
        <v>33</v>
      </c>
      <c r="N30" s="8">
        <v>37.369012358949931</v>
      </c>
      <c r="O30" s="8">
        <v>35.36467198786977</v>
      </c>
      <c r="P30" s="8">
        <v>37.270657178921283</v>
      </c>
      <c r="Q30" s="8">
        <v>40.593064627685635</v>
      </c>
      <c r="R30" s="8">
        <v>38.610357539278539</v>
      </c>
      <c r="S30" s="9">
        <f t="shared" si="0"/>
        <v>12</v>
      </c>
      <c r="T30" s="8"/>
      <c r="U30" s="16">
        <f t="shared" si="1"/>
        <v>29</v>
      </c>
      <c r="V30" s="8"/>
      <c r="W30" s="8"/>
      <c r="X30" s="8"/>
      <c r="Y30" s="8"/>
    </row>
    <row r="31" spans="1:25" x14ac:dyDescent="0.25">
      <c r="A31" s="2">
        <v>30</v>
      </c>
      <c r="B31" s="3" t="s">
        <v>48</v>
      </c>
      <c r="C31" t="s">
        <v>11</v>
      </c>
      <c r="D31" t="s">
        <v>16</v>
      </c>
      <c r="E31">
        <v>0</v>
      </c>
      <c r="F31" s="8">
        <v>9.44</v>
      </c>
      <c r="G31" s="8">
        <v>19.489999999999998</v>
      </c>
      <c r="H31" s="8">
        <v>29.54</v>
      </c>
      <c r="I31" s="8">
        <v>20.63</v>
      </c>
      <c r="J31" s="8">
        <v>9.31</v>
      </c>
      <c r="K31" s="8">
        <v>40.76</v>
      </c>
      <c r="L31" s="8">
        <v>28.52</v>
      </c>
      <c r="M31" s="8">
        <v>37.869999999999997</v>
      </c>
      <c r="N31" s="8">
        <v>46.78</v>
      </c>
      <c r="O31" s="8">
        <v>45.66</v>
      </c>
      <c r="P31" s="8">
        <v>28.89</v>
      </c>
      <c r="Q31" s="8">
        <v>29.34</v>
      </c>
      <c r="R31" s="8">
        <v>19.46</v>
      </c>
      <c r="S31" s="9">
        <f t="shared" si="0"/>
        <v>12</v>
      </c>
      <c r="T31" s="8"/>
      <c r="U31" s="16">
        <f t="shared" si="1"/>
        <v>29.54</v>
      </c>
      <c r="V31" s="8"/>
      <c r="W31" s="8"/>
      <c r="X31" s="8"/>
      <c r="Y31" s="8"/>
    </row>
    <row r="32" spans="1:25" x14ac:dyDescent="0.25">
      <c r="A32" s="2">
        <v>31</v>
      </c>
      <c r="B32" s="3" t="s">
        <v>49</v>
      </c>
      <c r="C32" t="s">
        <v>50</v>
      </c>
      <c r="D32" t="s">
        <v>14</v>
      </c>
      <c r="E32">
        <v>0</v>
      </c>
      <c r="F32" s="8">
        <v>50</v>
      </c>
      <c r="G32" s="8">
        <v>50</v>
      </c>
      <c r="H32" s="8">
        <v>50</v>
      </c>
      <c r="I32" s="8">
        <v>50</v>
      </c>
      <c r="J32" s="8">
        <v>50</v>
      </c>
      <c r="K32" s="8">
        <v>50</v>
      </c>
      <c r="L32" s="8">
        <v>50</v>
      </c>
      <c r="M32" s="8">
        <v>50</v>
      </c>
      <c r="N32" s="8">
        <v>46.07</v>
      </c>
      <c r="O32" s="8">
        <v>45.23</v>
      </c>
      <c r="P32" s="8">
        <v>45.92</v>
      </c>
      <c r="Q32" s="8">
        <v>46.29</v>
      </c>
      <c r="R32" s="8">
        <v>45.92</v>
      </c>
      <c r="S32" s="9">
        <f t="shared" si="0"/>
        <v>12</v>
      </c>
      <c r="T32" s="8"/>
      <c r="U32" s="16">
        <f t="shared" si="1"/>
        <v>50</v>
      </c>
      <c r="V32" s="8"/>
      <c r="W32" s="8"/>
      <c r="X32" s="8"/>
      <c r="Y32" s="8"/>
    </row>
    <row r="33" spans="1:25" x14ac:dyDescent="0.25">
      <c r="A33" s="2">
        <v>32</v>
      </c>
      <c r="B33" s="3" t="s">
        <v>51</v>
      </c>
      <c r="C33" t="s">
        <v>51</v>
      </c>
      <c r="D33" t="s">
        <v>14</v>
      </c>
      <c r="E33">
        <v>1</v>
      </c>
      <c r="F33" s="8">
        <v>60</v>
      </c>
      <c r="G33" s="8">
        <v>60</v>
      </c>
      <c r="H33" s="8">
        <v>60</v>
      </c>
      <c r="I33" s="8">
        <v>60</v>
      </c>
      <c r="J33" s="8">
        <v>60</v>
      </c>
      <c r="K33" s="8">
        <v>60</v>
      </c>
      <c r="L33" s="8">
        <v>60</v>
      </c>
      <c r="M33" s="8">
        <v>60</v>
      </c>
      <c r="N33" s="8">
        <v>60</v>
      </c>
      <c r="O33" s="8">
        <v>60</v>
      </c>
      <c r="P33" s="8">
        <v>60</v>
      </c>
      <c r="Q33" s="8">
        <v>60</v>
      </c>
      <c r="R33" s="8">
        <v>60</v>
      </c>
      <c r="S33" s="9">
        <f t="shared" si="0"/>
        <v>12</v>
      </c>
      <c r="T33" s="8"/>
      <c r="U33" s="16">
        <f t="shared" si="1"/>
        <v>60</v>
      </c>
      <c r="V33" s="8"/>
      <c r="W33" s="8"/>
      <c r="X33" s="8"/>
      <c r="Y33" s="8"/>
    </row>
    <row r="34" spans="1:25" x14ac:dyDescent="0.25">
      <c r="A34" s="2">
        <v>33</v>
      </c>
      <c r="B34" s="3" t="s">
        <v>52</v>
      </c>
      <c r="C34" t="s">
        <v>52</v>
      </c>
      <c r="D34" t="s">
        <v>18</v>
      </c>
      <c r="E34">
        <v>1</v>
      </c>
      <c r="F34" s="8">
        <v>40</v>
      </c>
      <c r="G34" s="8">
        <v>40</v>
      </c>
      <c r="H34" s="8">
        <v>40</v>
      </c>
      <c r="I34" s="8">
        <v>40</v>
      </c>
      <c r="J34" s="8">
        <v>40</v>
      </c>
      <c r="K34" s="8">
        <v>35</v>
      </c>
      <c r="L34" s="8">
        <v>35</v>
      </c>
      <c r="M34" s="8">
        <v>35</v>
      </c>
      <c r="N34" s="8">
        <v>34.857165429397355</v>
      </c>
      <c r="O34" s="8">
        <v>27.374185044437581</v>
      </c>
      <c r="P34" s="8">
        <v>28.510325686677788</v>
      </c>
      <c r="Q34" s="8">
        <v>29.361486013359354</v>
      </c>
      <c r="R34" s="8">
        <v>27.222951459159049</v>
      </c>
      <c r="S34" s="9">
        <f t="shared" si="0"/>
        <v>12</v>
      </c>
      <c r="T34" s="8"/>
      <c r="U34" s="16">
        <f t="shared" si="1"/>
        <v>40</v>
      </c>
      <c r="V34" s="8"/>
      <c r="W34" s="8"/>
      <c r="X34" s="8"/>
      <c r="Y34" s="8"/>
    </row>
    <row r="35" spans="1:25" x14ac:dyDescent="0.25">
      <c r="A35" s="2">
        <v>34</v>
      </c>
      <c r="B35" s="3" t="s">
        <v>53</v>
      </c>
      <c r="C35" t="s">
        <v>53</v>
      </c>
      <c r="D35" t="s">
        <v>25</v>
      </c>
      <c r="E35">
        <v>1</v>
      </c>
      <c r="F35" s="8">
        <v>45</v>
      </c>
      <c r="G35" s="8">
        <v>45</v>
      </c>
      <c r="H35" s="8">
        <v>45</v>
      </c>
      <c r="I35" s="8">
        <v>45</v>
      </c>
      <c r="J35" s="8">
        <v>45</v>
      </c>
      <c r="K35" s="8">
        <v>45</v>
      </c>
      <c r="L35" s="8">
        <v>45</v>
      </c>
      <c r="M35" s="8">
        <v>45</v>
      </c>
      <c r="N35" s="8">
        <v>45</v>
      </c>
      <c r="O35" s="8">
        <v>45</v>
      </c>
      <c r="P35" s="8">
        <v>45</v>
      </c>
      <c r="Q35" s="8">
        <v>45</v>
      </c>
      <c r="R35" s="8">
        <v>45</v>
      </c>
      <c r="S35" s="9">
        <f t="shared" si="0"/>
        <v>12</v>
      </c>
      <c r="T35" s="8"/>
      <c r="U35" s="16">
        <f t="shared" si="1"/>
        <v>45</v>
      </c>
      <c r="V35" s="8"/>
      <c r="W35" s="8"/>
      <c r="X35" s="8"/>
      <c r="Y35" s="8"/>
    </row>
    <row r="36" spans="1:25" x14ac:dyDescent="0.25">
      <c r="A36" s="2">
        <v>35</v>
      </c>
      <c r="B36" s="3" t="s">
        <v>54</v>
      </c>
      <c r="C36" t="s">
        <v>54</v>
      </c>
      <c r="D36" t="s">
        <v>18</v>
      </c>
      <c r="E36">
        <v>1</v>
      </c>
      <c r="F36" s="8">
        <v>33</v>
      </c>
      <c r="G36" s="8">
        <v>33</v>
      </c>
      <c r="H36" s="8">
        <v>33</v>
      </c>
      <c r="I36" s="8">
        <v>33</v>
      </c>
      <c r="J36" s="8">
        <v>33</v>
      </c>
      <c r="K36" s="8">
        <v>33</v>
      </c>
      <c r="L36" s="8">
        <v>33</v>
      </c>
      <c r="M36" s="8">
        <v>33</v>
      </c>
      <c r="N36" s="8">
        <v>33</v>
      </c>
      <c r="O36" s="8">
        <v>33</v>
      </c>
      <c r="P36" s="8">
        <v>33</v>
      </c>
      <c r="Q36" s="8">
        <v>33</v>
      </c>
      <c r="R36" s="8">
        <v>33</v>
      </c>
      <c r="S36" s="9">
        <f t="shared" si="0"/>
        <v>12</v>
      </c>
      <c r="T36" s="8"/>
      <c r="U36" s="16">
        <f t="shared" si="1"/>
        <v>33</v>
      </c>
      <c r="V36" s="8"/>
      <c r="W36" s="8"/>
      <c r="X36" s="8"/>
      <c r="Y36" s="8"/>
    </row>
    <row r="37" spans="1:25" x14ac:dyDescent="0.25">
      <c r="A37" s="2">
        <v>36</v>
      </c>
      <c r="B37" s="3" t="s">
        <v>55</v>
      </c>
      <c r="C37" t="s">
        <v>55</v>
      </c>
      <c r="D37" t="s">
        <v>14</v>
      </c>
      <c r="E37">
        <v>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32.229999999999997</v>
      </c>
      <c r="O37" s="8">
        <v>30.02</v>
      </c>
      <c r="P37" s="8">
        <v>29.07</v>
      </c>
      <c r="Q37" s="8">
        <v>29.23</v>
      </c>
      <c r="R37" s="8">
        <v>27.72</v>
      </c>
      <c r="S37" s="9">
        <f t="shared" si="0"/>
        <v>12</v>
      </c>
      <c r="T37" s="8"/>
      <c r="U37" s="16">
        <f t="shared" si="1"/>
        <v>30</v>
      </c>
      <c r="V37" s="8"/>
      <c r="W37" s="8"/>
      <c r="X37" s="8"/>
      <c r="Y37" s="8"/>
    </row>
    <row r="38" spans="1:25" x14ac:dyDescent="0.25">
      <c r="A38" s="2">
        <v>37</v>
      </c>
      <c r="B38" s="3" t="s">
        <v>56</v>
      </c>
      <c r="C38" t="s">
        <v>57</v>
      </c>
      <c r="D38" t="s">
        <v>33</v>
      </c>
      <c r="E38">
        <v>1</v>
      </c>
      <c r="F38" s="8">
        <v>25</v>
      </c>
      <c r="G38" s="8">
        <v>25</v>
      </c>
      <c r="H38" s="8">
        <v>25</v>
      </c>
      <c r="I38" s="8">
        <v>25</v>
      </c>
      <c r="J38" s="8">
        <v>25</v>
      </c>
      <c r="K38" s="8">
        <v>25</v>
      </c>
      <c r="L38" s="8">
        <v>25</v>
      </c>
      <c r="M38" s="8">
        <v>25</v>
      </c>
      <c r="N38" s="8">
        <v>25</v>
      </c>
      <c r="O38" s="8">
        <v>25</v>
      </c>
      <c r="P38" s="8">
        <v>25</v>
      </c>
      <c r="Q38" s="8">
        <v>25</v>
      </c>
      <c r="R38" s="8">
        <v>25</v>
      </c>
      <c r="S38" s="9">
        <f t="shared" si="0"/>
        <v>12</v>
      </c>
      <c r="T38" s="8"/>
      <c r="U38" s="16">
        <f t="shared" si="1"/>
        <v>25</v>
      </c>
      <c r="V38" s="8"/>
      <c r="W38" s="8"/>
      <c r="X38" s="8"/>
      <c r="Y38" s="8"/>
    </row>
    <row r="39" spans="1:25" x14ac:dyDescent="0.25">
      <c r="A39" s="2">
        <v>38</v>
      </c>
      <c r="B39" s="3" t="s">
        <v>58</v>
      </c>
      <c r="C39" t="s">
        <v>58</v>
      </c>
      <c r="D39" t="s">
        <v>7</v>
      </c>
      <c r="E39">
        <v>1</v>
      </c>
      <c r="F39" s="8">
        <v>40</v>
      </c>
      <c r="G39" s="8">
        <v>40</v>
      </c>
      <c r="H39" s="8">
        <v>40</v>
      </c>
      <c r="I39" s="8">
        <v>40</v>
      </c>
      <c r="J39" s="8">
        <v>40</v>
      </c>
      <c r="K39" s="8">
        <v>40</v>
      </c>
      <c r="L39" s="8">
        <v>40</v>
      </c>
      <c r="M39" s="8">
        <v>40</v>
      </c>
      <c r="N39" s="8">
        <v>40</v>
      </c>
      <c r="O39" s="8">
        <v>40</v>
      </c>
      <c r="P39" s="8">
        <v>40</v>
      </c>
      <c r="Q39" s="8">
        <v>40</v>
      </c>
      <c r="R39" s="8">
        <v>40</v>
      </c>
      <c r="S39" s="9">
        <f t="shared" si="0"/>
        <v>12</v>
      </c>
      <c r="T39" s="8"/>
      <c r="U39" s="16">
        <f t="shared" si="1"/>
        <v>40</v>
      </c>
      <c r="V39" s="8"/>
      <c r="W39" s="8"/>
      <c r="X39" s="8"/>
      <c r="Y39" s="8"/>
    </row>
    <row r="40" spans="1:25" x14ac:dyDescent="0.25">
      <c r="A40" s="2">
        <v>39</v>
      </c>
      <c r="B40" s="3" t="s">
        <v>59</v>
      </c>
      <c r="C40" t="s">
        <v>59</v>
      </c>
      <c r="D40" t="s">
        <v>16</v>
      </c>
      <c r="E40">
        <v>0</v>
      </c>
      <c r="F40" s="8">
        <v>50</v>
      </c>
      <c r="G40" s="8">
        <v>50</v>
      </c>
      <c r="H40" s="8">
        <v>50</v>
      </c>
      <c r="I40" s="8">
        <v>50</v>
      </c>
      <c r="J40" s="8">
        <v>50</v>
      </c>
      <c r="K40" s="8">
        <v>50</v>
      </c>
      <c r="L40" s="8">
        <v>50</v>
      </c>
      <c r="M40" s="8">
        <v>50</v>
      </c>
      <c r="N40" s="8">
        <v>45.99</v>
      </c>
      <c r="O40" s="8">
        <v>50.58</v>
      </c>
      <c r="P40" s="8">
        <v>45.67</v>
      </c>
      <c r="Q40" s="8">
        <v>48.14</v>
      </c>
      <c r="R40" s="8">
        <v>47.47</v>
      </c>
      <c r="S40" s="9">
        <f t="shared" si="0"/>
        <v>12</v>
      </c>
      <c r="T40" s="8"/>
      <c r="U40" s="16">
        <f t="shared" si="1"/>
        <v>50</v>
      </c>
      <c r="V40" s="8"/>
      <c r="W40" s="8"/>
      <c r="X40" s="8"/>
      <c r="Y40" s="8"/>
    </row>
    <row r="41" spans="1:25" x14ac:dyDescent="0.25">
      <c r="A41" s="2">
        <v>40</v>
      </c>
      <c r="B41" s="3" t="s">
        <v>60</v>
      </c>
      <c r="C41" t="s">
        <v>60</v>
      </c>
      <c r="D41" t="s">
        <v>23</v>
      </c>
      <c r="E41">
        <v>1</v>
      </c>
      <c r="F41" s="8">
        <v>35</v>
      </c>
      <c r="G41" s="8">
        <v>35</v>
      </c>
      <c r="H41" s="8">
        <v>35</v>
      </c>
      <c r="I41" s="8">
        <v>35</v>
      </c>
      <c r="J41" s="8">
        <v>35</v>
      </c>
      <c r="K41" s="8">
        <v>35</v>
      </c>
      <c r="L41" s="8">
        <v>35</v>
      </c>
      <c r="M41" s="8">
        <v>35</v>
      </c>
      <c r="N41" s="8">
        <v>35</v>
      </c>
      <c r="O41" s="8">
        <v>35</v>
      </c>
      <c r="P41" s="8">
        <v>35</v>
      </c>
      <c r="Q41" s="8">
        <v>35</v>
      </c>
      <c r="R41" s="8">
        <v>35</v>
      </c>
      <c r="S41" s="9">
        <f t="shared" si="0"/>
        <v>12</v>
      </c>
      <c r="T41" s="8"/>
      <c r="U41" s="16">
        <f t="shared" si="1"/>
        <v>35</v>
      </c>
      <c r="V41" s="8"/>
      <c r="W41" s="8"/>
      <c r="X41" s="8"/>
      <c r="Y41" s="8"/>
    </row>
    <row r="42" spans="1:25" x14ac:dyDescent="0.25">
      <c r="A42" s="2">
        <v>41</v>
      </c>
      <c r="B42" s="3" t="s">
        <v>61</v>
      </c>
      <c r="C42" t="s">
        <v>62</v>
      </c>
      <c r="D42" t="s">
        <v>23</v>
      </c>
      <c r="E42">
        <v>1</v>
      </c>
      <c r="F42" s="8">
        <v>15</v>
      </c>
      <c r="G42" s="8">
        <v>15</v>
      </c>
      <c r="H42" s="8">
        <v>15</v>
      </c>
      <c r="I42" s="8">
        <v>15</v>
      </c>
      <c r="J42" s="8">
        <v>15</v>
      </c>
      <c r="K42" s="8">
        <v>15</v>
      </c>
      <c r="L42" s="8">
        <v>15</v>
      </c>
      <c r="M42" s="8">
        <v>15</v>
      </c>
      <c r="N42" s="8">
        <v>15</v>
      </c>
      <c r="O42" s="8">
        <v>15</v>
      </c>
      <c r="P42" s="8">
        <v>15</v>
      </c>
      <c r="Q42" s="8">
        <v>15</v>
      </c>
      <c r="R42" s="8">
        <v>15</v>
      </c>
      <c r="S42" s="9">
        <f t="shared" si="0"/>
        <v>12</v>
      </c>
      <c r="T42" s="8"/>
      <c r="U42" s="16">
        <f t="shared" si="1"/>
        <v>15</v>
      </c>
      <c r="V42" s="8"/>
      <c r="W42" s="8"/>
      <c r="X42" s="8"/>
      <c r="Y42" s="8"/>
    </row>
    <row r="43" spans="1:25" x14ac:dyDescent="0.25">
      <c r="A43" s="2">
        <v>42</v>
      </c>
      <c r="B43" s="3" t="s">
        <v>63</v>
      </c>
      <c r="C43" t="s">
        <v>64</v>
      </c>
      <c r="D43" t="s">
        <v>14</v>
      </c>
      <c r="E43">
        <v>0</v>
      </c>
      <c r="F43" s="8">
        <v>40.07</v>
      </c>
      <c r="G43" s="8">
        <v>41.99</v>
      </c>
      <c r="H43" s="8">
        <v>43.91</v>
      </c>
      <c r="I43" s="8">
        <v>26.92</v>
      </c>
      <c r="J43" s="8">
        <v>27.04</v>
      </c>
      <c r="K43" s="8">
        <v>17.02</v>
      </c>
      <c r="L43" s="8">
        <v>38.71</v>
      </c>
      <c r="M43" s="8">
        <v>38.1</v>
      </c>
      <c r="N43" s="8">
        <v>37.520000000000003</v>
      </c>
      <c r="O43" s="8">
        <v>5.7</v>
      </c>
      <c r="P43" s="8">
        <v>38.18</v>
      </c>
      <c r="Q43" s="8">
        <v>38.61</v>
      </c>
      <c r="R43" s="8">
        <v>35.44</v>
      </c>
      <c r="S43" s="9">
        <f t="shared" si="0"/>
        <v>12</v>
      </c>
      <c r="T43" s="8"/>
      <c r="U43" s="16">
        <f t="shared" si="1"/>
        <v>43.91</v>
      </c>
      <c r="V43" s="8"/>
      <c r="W43" s="8"/>
      <c r="X43" s="8"/>
      <c r="Y43" s="8"/>
    </row>
    <row r="44" spans="1:25" x14ac:dyDescent="0.25">
      <c r="A44" s="2">
        <v>43</v>
      </c>
      <c r="B44" s="3" t="s">
        <v>65</v>
      </c>
      <c r="C44" t="s">
        <v>65</v>
      </c>
      <c r="D44" t="s">
        <v>23</v>
      </c>
      <c r="E44">
        <v>1</v>
      </c>
      <c r="F44" s="8">
        <v>54.8</v>
      </c>
      <c r="G44" s="8">
        <v>55.4</v>
      </c>
      <c r="H44" s="8">
        <v>56</v>
      </c>
      <c r="I44" s="8">
        <v>56</v>
      </c>
      <c r="J44" s="8">
        <v>56</v>
      </c>
      <c r="K44" s="8">
        <v>56</v>
      </c>
      <c r="L44" s="8">
        <v>56</v>
      </c>
      <c r="M44" s="8">
        <v>56</v>
      </c>
      <c r="N44" s="8">
        <v>56</v>
      </c>
      <c r="O44" s="8">
        <v>56</v>
      </c>
      <c r="P44" s="8">
        <v>56</v>
      </c>
      <c r="Q44" s="8">
        <v>56</v>
      </c>
      <c r="R44" s="8">
        <v>56</v>
      </c>
      <c r="S44" s="9">
        <f t="shared" si="0"/>
        <v>12</v>
      </c>
      <c r="T44" s="8"/>
      <c r="U44" s="16">
        <f t="shared" si="1"/>
        <v>56</v>
      </c>
      <c r="V44" s="8"/>
      <c r="W44" s="8"/>
      <c r="X44" s="8"/>
      <c r="Y44" s="8"/>
    </row>
    <row r="45" spans="1:25" x14ac:dyDescent="0.25">
      <c r="A45" s="2">
        <v>44</v>
      </c>
      <c r="B45" s="3" t="s">
        <v>66</v>
      </c>
      <c r="C45" t="s">
        <v>66</v>
      </c>
      <c r="D45" t="s">
        <v>14</v>
      </c>
      <c r="E45">
        <v>0</v>
      </c>
      <c r="F45" s="8">
        <v>30</v>
      </c>
      <c r="G45" s="8">
        <v>30</v>
      </c>
      <c r="H45" s="8">
        <v>30</v>
      </c>
      <c r="I45" s="8">
        <v>30</v>
      </c>
      <c r="J45" s="8">
        <v>30</v>
      </c>
      <c r="K45" s="8">
        <v>30</v>
      </c>
      <c r="L45" s="8">
        <v>30</v>
      </c>
      <c r="M45" s="8">
        <v>30</v>
      </c>
      <c r="N45" s="8">
        <v>31.66</v>
      </c>
      <c r="O45" s="8">
        <v>29.86</v>
      </c>
      <c r="P45" s="8">
        <v>30.58</v>
      </c>
      <c r="Q45" s="8">
        <v>29.97</v>
      </c>
      <c r="R45" s="8">
        <v>32.29</v>
      </c>
      <c r="S45" s="9">
        <f t="shared" si="0"/>
        <v>12</v>
      </c>
      <c r="T45" s="8"/>
      <c r="U45" s="16">
        <f t="shared" si="1"/>
        <v>30</v>
      </c>
      <c r="V45" s="8"/>
      <c r="W45" s="8"/>
      <c r="X45" s="8"/>
      <c r="Y45" s="8"/>
    </row>
    <row r="46" spans="1:25" x14ac:dyDescent="0.25">
      <c r="A46" s="2">
        <v>45</v>
      </c>
      <c r="B46" s="3" t="s">
        <v>67</v>
      </c>
      <c r="C46" t="s">
        <v>67</v>
      </c>
      <c r="D46" t="s">
        <v>16</v>
      </c>
      <c r="E46">
        <v>0</v>
      </c>
      <c r="F46" s="8">
        <v>35</v>
      </c>
      <c r="G46" s="8">
        <v>35</v>
      </c>
      <c r="H46" s="8">
        <v>35</v>
      </c>
      <c r="I46" s="8">
        <v>35</v>
      </c>
      <c r="J46" s="8">
        <v>35</v>
      </c>
      <c r="K46" s="8">
        <v>35</v>
      </c>
      <c r="L46" s="8">
        <v>35</v>
      </c>
      <c r="M46" s="8">
        <v>35</v>
      </c>
      <c r="N46" s="8">
        <v>34.28</v>
      </c>
      <c r="O46" s="8">
        <v>33.700000000000003</v>
      </c>
      <c r="P46" s="8">
        <v>33.520000000000003</v>
      </c>
      <c r="Q46" s="8">
        <v>34.72</v>
      </c>
      <c r="R46" s="8">
        <v>34.82</v>
      </c>
      <c r="S46" s="9">
        <f t="shared" si="0"/>
        <v>12</v>
      </c>
      <c r="T46" s="8"/>
      <c r="U46" s="16">
        <f t="shared" si="1"/>
        <v>35</v>
      </c>
      <c r="V46" s="8"/>
      <c r="W46" s="8"/>
      <c r="X46" s="8"/>
      <c r="Y46" s="8"/>
    </row>
    <row r="47" spans="1:25" x14ac:dyDescent="0.25">
      <c r="A47" s="2">
        <v>46</v>
      </c>
      <c r="B47" s="3" t="s">
        <v>68</v>
      </c>
      <c r="C47" t="s">
        <v>69</v>
      </c>
      <c r="D47" t="s">
        <v>16</v>
      </c>
      <c r="E47">
        <v>1</v>
      </c>
      <c r="F47" s="8">
        <v>25</v>
      </c>
      <c r="G47" s="8">
        <v>25</v>
      </c>
      <c r="H47" s="8">
        <v>25</v>
      </c>
      <c r="I47" s="8">
        <v>25</v>
      </c>
      <c r="J47" s="8">
        <v>25</v>
      </c>
      <c r="K47" s="8">
        <v>25</v>
      </c>
      <c r="L47" s="8">
        <v>25</v>
      </c>
      <c r="M47" s="8">
        <v>25</v>
      </c>
      <c r="N47" s="8">
        <v>25</v>
      </c>
      <c r="O47" s="8">
        <v>25</v>
      </c>
      <c r="P47" s="8">
        <v>25</v>
      </c>
      <c r="Q47" s="8">
        <v>25</v>
      </c>
      <c r="R47" s="8">
        <v>25</v>
      </c>
      <c r="S47" s="9">
        <f t="shared" si="0"/>
        <v>12</v>
      </c>
      <c r="T47" s="8"/>
      <c r="U47" s="16">
        <f t="shared" si="1"/>
        <v>25</v>
      </c>
      <c r="V47" s="8"/>
      <c r="W47" s="8"/>
      <c r="X47" s="8"/>
      <c r="Y47" s="8"/>
    </row>
    <row r="48" spans="1:25" x14ac:dyDescent="0.25">
      <c r="A48" s="2">
        <v>47</v>
      </c>
      <c r="B48" s="3" t="s">
        <v>70</v>
      </c>
      <c r="C48" t="s">
        <v>70</v>
      </c>
      <c r="D48" t="s">
        <v>18</v>
      </c>
      <c r="E48">
        <v>1</v>
      </c>
      <c r="F48" s="8">
        <v>35</v>
      </c>
      <c r="G48" s="8">
        <v>35</v>
      </c>
      <c r="H48" s="8">
        <v>35</v>
      </c>
      <c r="I48" s="8">
        <v>35</v>
      </c>
      <c r="J48" s="8">
        <v>35</v>
      </c>
      <c r="K48" s="8">
        <v>35</v>
      </c>
      <c r="L48" s="8">
        <v>35</v>
      </c>
      <c r="M48" s="8">
        <v>35</v>
      </c>
      <c r="N48" s="8">
        <v>35</v>
      </c>
      <c r="O48" s="8">
        <v>35</v>
      </c>
      <c r="P48" s="8">
        <v>35</v>
      </c>
      <c r="Q48" s="8">
        <v>35</v>
      </c>
      <c r="R48" s="8">
        <v>35</v>
      </c>
      <c r="S48" s="9">
        <f t="shared" si="0"/>
        <v>12</v>
      </c>
      <c r="T48" s="8"/>
      <c r="U48" s="16">
        <f t="shared" si="1"/>
        <v>35</v>
      </c>
      <c r="V48" s="8"/>
      <c r="W48" s="8"/>
      <c r="X48" s="8"/>
      <c r="Y48" s="8"/>
    </row>
    <row r="49" spans="1:25" x14ac:dyDescent="0.25">
      <c r="A49" s="2">
        <v>48</v>
      </c>
      <c r="B49" s="3" t="s">
        <v>71</v>
      </c>
      <c r="C49" t="s">
        <v>71</v>
      </c>
      <c r="D49" t="s">
        <v>9</v>
      </c>
      <c r="E49">
        <v>1</v>
      </c>
      <c r="F49" s="8">
        <v>25</v>
      </c>
      <c r="G49" s="8">
        <v>25</v>
      </c>
      <c r="H49" s="8">
        <v>25</v>
      </c>
      <c r="I49" s="8">
        <v>25</v>
      </c>
      <c r="J49" s="8">
        <v>25</v>
      </c>
      <c r="K49" s="8">
        <v>25</v>
      </c>
      <c r="L49" s="8">
        <v>25</v>
      </c>
      <c r="M49" s="8">
        <v>25</v>
      </c>
      <c r="N49" s="8">
        <v>25</v>
      </c>
      <c r="O49" s="8">
        <v>25</v>
      </c>
      <c r="P49" s="8">
        <v>25</v>
      </c>
      <c r="Q49" s="8">
        <v>25</v>
      </c>
      <c r="R49" s="8">
        <v>25</v>
      </c>
      <c r="S49" s="9">
        <f t="shared" si="0"/>
        <v>12</v>
      </c>
      <c r="T49" s="8"/>
      <c r="U49" s="16">
        <f t="shared" si="1"/>
        <v>25</v>
      </c>
      <c r="V49" s="8"/>
      <c r="W49" s="8"/>
      <c r="X49" s="8"/>
      <c r="Y49" s="8"/>
    </row>
    <row r="50" spans="1:25" x14ac:dyDescent="0.25">
      <c r="A50" s="2">
        <v>49</v>
      </c>
      <c r="B50" s="3" t="s">
        <v>72</v>
      </c>
      <c r="C50" t="s">
        <v>73</v>
      </c>
      <c r="D50" t="s">
        <v>33</v>
      </c>
      <c r="E50">
        <v>1</v>
      </c>
      <c r="F50" s="8">
        <v>20</v>
      </c>
      <c r="G50" s="8">
        <v>25</v>
      </c>
      <c r="H50" s="8">
        <v>30</v>
      </c>
      <c r="I50" s="8">
        <v>30</v>
      </c>
      <c r="J50" s="8">
        <v>30</v>
      </c>
      <c r="K50" s="8">
        <v>30</v>
      </c>
      <c r="L50" s="8">
        <v>30</v>
      </c>
      <c r="M50" s="8">
        <v>30</v>
      </c>
      <c r="N50" s="8">
        <v>30</v>
      </c>
      <c r="O50" s="8">
        <v>30</v>
      </c>
      <c r="P50" s="8">
        <v>30</v>
      </c>
      <c r="Q50" s="8">
        <v>30</v>
      </c>
      <c r="R50" s="8">
        <v>30</v>
      </c>
      <c r="S50" s="9">
        <f t="shared" si="0"/>
        <v>12</v>
      </c>
      <c r="T50" s="8"/>
      <c r="U50" s="16">
        <f t="shared" si="1"/>
        <v>30</v>
      </c>
      <c r="V50" s="8"/>
      <c r="W50" s="8"/>
      <c r="X50" s="8"/>
      <c r="Y50" s="8"/>
    </row>
    <row r="51" spans="1:25" x14ac:dyDescent="0.25">
      <c r="A51" s="2">
        <v>50</v>
      </c>
      <c r="B51" s="3" t="s">
        <v>74</v>
      </c>
      <c r="C51" t="s">
        <v>75</v>
      </c>
      <c r="D51" t="s">
        <v>14</v>
      </c>
      <c r="E51">
        <v>0</v>
      </c>
      <c r="F51" s="8">
        <v>35</v>
      </c>
      <c r="G51" s="8">
        <v>35</v>
      </c>
      <c r="H51" s="8">
        <v>35</v>
      </c>
      <c r="I51" s="8">
        <v>35</v>
      </c>
      <c r="J51" s="8">
        <v>35</v>
      </c>
      <c r="K51" s="8">
        <v>35</v>
      </c>
      <c r="L51" s="8">
        <v>35</v>
      </c>
      <c r="M51" s="8">
        <v>35</v>
      </c>
      <c r="N51" s="8">
        <v>35.54</v>
      </c>
      <c r="O51" s="8">
        <v>36.090000000000003</v>
      </c>
      <c r="P51" s="8">
        <v>36.79</v>
      </c>
      <c r="Q51" s="8">
        <v>35.979999999999997</v>
      </c>
      <c r="R51" s="8">
        <v>36.409999999999997</v>
      </c>
      <c r="S51" s="9">
        <f t="shared" si="0"/>
        <v>12</v>
      </c>
      <c r="T51" s="8"/>
      <c r="U51" s="16">
        <f t="shared" si="1"/>
        <v>35</v>
      </c>
      <c r="V51" s="8"/>
      <c r="W51" s="8"/>
      <c r="X51" s="8"/>
      <c r="Y51" s="8"/>
    </row>
    <row r="52" spans="1:25" x14ac:dyDescent="0.25">
      <c r="A52" s="2">
        <v>51</v>
      </c>
      <c r="B52" s="3" t="s">
        <v>76</v>
      </c>
      <c r="C52" t="s">
        <v>76</v>
      </c>
      <c r="D52" t="s">
        <v>14</v>
      </c>
      <c r="E52">
        <v>0</v>
      </c>
      <c r="F52" s="8">
        <v>30</v>
      </c>
      <c r="G52" s="8">
        <v>30</v>
      </c>
      <c r="H52" s="8">
        <v>30</v>
      </c>
      <c r="I52" s="8">
        <v>30</v>
      </c>
      <c r="J52" s="8">
        <v>30</v>
      </c>
      <c r="K52" s="8">
        <v>30</v>
      </c>
      <c r="L52" s="8">
        <v>30</v>
      </c>
      <c r="M52" s="8">
        <v>30</v>
      </c>
      <c r="N52" s="8">
        <v>29.81</v>
      </c>
      <c r="O52" s="8">
        <v>25.72</v>
      </c>
      <c r="P52" s="8">
        <v>26.93</v>
      </c>
      <c r="Q52" s="8">
        <v>28.16</v>
      </c>
      <c r="R52" s="8">
        <v>28.55</v>
      </c>
      <c r="S52" s="9">
        <f t="shared" si="0"/>
        <v>12</v>
      </c>
      <c r="T52" s="8"/>
      <c r="U52" s="16">
        <f t="shared" si="1"/>
        <v>30</v>
      </c>
      <c r="V52" s="8"/>
      <c r="W52" s="8"/>
      <c r="X52" s="8"/>
      <c r="Y52" s="8"/>
    </row>
    <row r="53" spans="1:25" x14ac:dyDescent="0.25">
      <c r="A53" s="2">
        <v>52</v>
      </c>
      <c r="B53" s="3" t="s">
        <v>77</v>
      </c>
      <c r="C53" t="s">
        <v>77</v>
      </c>
      <c r="D53" t="s">
        <v>23</v>
      </c>
      <c r="E53">
        <v>1</v>
      </c>
      <c r="F53" s="8">
        <v>21</v>
      </c>
      <c r="G53" s="8">
        <v>21</v>
      </c>
      <c r="H53" s="8">
        <v>21</v>
      </c>
      <c r="I53" s="8">
        <v>21</v>
      </c>
      <c r="J53" s="8">
        <v>20</v>
      </c>
      <c r="K53" s="8">
        <v>20</v>
      </c>
      <c r="L53" s="8">
        <v>20</v>
      </c>
      <c r="M53" s="8">
        <v>20</v>
      </c>
      <c r="N53" s="8">
        <v>19.624195414622818</v>
      </c>
      <c r="O53" s="8">
        <v>19.287738459161744</v>
      </c>
      <c r="P53" s="8">
        <v>19.156820962696543</v>
      </c>
      <c r="Q53" s="8">
        <v>18.903477252387233</v>
      </c>
      <c r="R53" s="8">
        <v>18.795493077729759</v>
      </c>
      <c r="S53" s="9">
        <f t="shared" si="0"/>
        <v>12</v>
      </c>
      <c r="T53" s="8"/>
      <c r="U53" s="16">
        <f t="shared" si="1"/>
        <v>21</v>
      </c>
      <c r="V53" s="8"/>
      <c r="W53" s="8"/>
      <c r="X53" s="8"/>
      <c r="Y53" s="8"/>
    </row>
    <row r="54" spans="1:25" x14ac:dyDescent="0.25">
      <c r="A54" s="2">
        <v>53</v>
      </c>
      <c r="B54" s="3" t="s">
        <v>78</v>
      </c>
      <c r="C54" t="s">
        <v>78</v>
      </c>
      <c r="D54" t="s">
        <v>14</v>
      </c>
      <c r="E54">
        <v>1</v>
      </c>
      <c r="F54" s="8">
        <v>35</v>
      </c>
      <c r="G54" s="8">
        <v>35</v>
      </c>
      <c r="H54" s="8">
        <v>35</v>
      </c>
      <c r="I54" s="8">
        <v>35</v>
      </c>
      <c r="J54" s="8">
        <v>35</v>
      </c>
      <c r="K54" s="8">
        <v>35</v>
      </c>
      <c r="L54" s="8">
        <v>35</v>
      </c>
      <c r="M54" s="8">
        <v>35</v>
      </c>
      <c r="N54" s="8">
        <v>35</v>
      </c>
      <c r="O54" s="8">
        <v>35</v>
      </c>
      <c r="P54" s="8">
        <v>35</v>
      </c>
      <c r="Q54" s="8">
        <v>35</v>
      </c>
      <c r="R54" s="8">
        <v>35</v>
      </c>
      <c r="S54" s="9">
        <f t="shared" si="0"/>
        <v>12</v>
      </c>
      <c r="T54" s="8"/>
      <c r="U54" s="16">
        <f t="shared" si="1"/>
        <v>35</v>
      </c>
      <c r="V54" s="8"/>
      <c r="W54" s="8"/>
      <c r="X54" s="8"/>
      <c r="Y54" s="8"/>
    </row>
    <row r="55" spans="1:25" x14ac:dyDescent="0.25">
      <c r="A55" s="2">
        <v>54</v>
      </c>
      <c r="B55" s="3" t="s">
        <v>79</v>
      </c>
      <c r="C55" t="s">
        <v>79</v>
      </c>
      <c r="D55" t="s">
        <v>21</v>
      </c>
      <c r="E55">
        <v>0</v>
      </c>
      <c r="F55" s="8">
        <v>33</v>
      </c>
      <c r="G55" s="8">
        <v>31</v>
      </c>
      <c r="H55" s="8">
        <v>29</v>
      </c>
      <c r="I55" s="8">
        <v>29</v>
      </c>
      <c r="J55" s="8">
        <v>29</v>
      </c>
      <c r="K55" s="8">
        <v>29</v>
      </c>
      <c r="L55" s="8">
        <v>29</v>
      </c>
      <c r="M55" s="8">
        <v>29</v>
      </c>
      <c r="N55" s="8">
        <v>30.36</v>
      </c>
      <c r="O55" s="8">
        <v>29.89</v>
      </c>
      <c r="P55" s="8">
        <v>28.63</v>
      </c>
      <c r="Q55" s="8">
        <v>28.09</v>
      </c>
      <c r="R55" s="8">
        <v>27.41</v>
      </c>
      <c r="S55" s="9">
        <f t="shared" si="0"/>
        <v>12</v>
      </c>
      <c r="T55" s="8"/>
      <c r="U55" s="16">
        <f t="shared" si="1"/>
        <v>29</v>
      </c>
      <c r="V55" s="8"/>
      <c r="W55" s="8"/>
      <c r="X55" s="8"/>
      <c r="Y55" s="8"/>
    </row>
    <row r="56" spans="1:25" x14ac:dyDescent="0.25">
      <c r="A56" s="2">
        <v>55</v>
      </c>
      <c r="B56" s="3" t="s">
        <v>80</v>
      </c>
      <c r="C56" t="s">
        <v>80</v>
      </c>
      <c r="D56" t="s">
        <v>23</v>
      </c>
      <c r="E56">
        <v>1</v>
      </c>
      <c r="F56" s="8">
        <v>29.25</v>
      </c>
      <c r="G56" s="8">
        <v>30.5</v>
      </c>
      <c r="H56" s="8">
        <v>31.75</v>
      </c>
      <c r="I56" s="8">
        <v>31.8</v>
      </c>
      <c r="J56" s="8">
        <v>31.8</v>
      </c>
      <c r="K56" s="8">
        <v>31.8</v>
      </c>
      <c r="L56" s="8">
        <v>31.8</v>
      </c>
      <c r="M56" s="8">
        <v>31.25</v>
      </c>
      <c r="N56" s="8">
        <v>31.455827053103519</v>
      </c>
      <c r="O56" s="8">
        <v>31.151012596314075</v>
      </c>
      <c r="P56" s="8">
        <v>31.201787421968163</v>
      </c>
      <c r="Q56" s="8">
        <v>31.008072962628944</v>
      </c>
      <c r="R56" s="8">
        <v>30.95543926277702</v>
      </c>
      <c r="S56" s="9">
        <f t="shared" si="0"/>
        <v>12</v>
      </c>
      <c r="T56" s="8"/>
      <c r="U56" s="16">
        <f t="shared" si="1"/>
        <v>31.75</v>
      </c>
      <c r="V56" s="8"/>
      <c r="W56" s="8"/>
      <c r="X56" s="8"/>
      <c r="Y56" s="8"/>
    </row>
    <row r="57" spans="1:25" x14ac:dyDescent="0.25">
      <c r="A57" s="2">
        <v>56</v>
      </c>
      <c r="B57" s="3" t="s">
        <v>81</v>
      </c>
      <c r="C57" t="s">
        <v>81</v>
      </c>
      <c r="D57" t="s">
        <v>23</v>
      </c>
      <c r="E57">
        <v>1</v>
      </c>
      <c r="F57" s="8">
        <v>37</v>
      </c>
      <c r="G57" s="8">
        <v>41</v>
      </c>
      <c r="H57" s="8">
        <v>45</v>
      </c>
      <c r="I57" s="8">
        <v>45</v>
      </c>
      <c r="J57" s="8">
        <v>45</v>
      </c>
      <c r="K57" s="8">
        <v>45</v>
      </c>
      <c r="L57" s="8">
        <v>45</v>
      </c>
      <c r="M57" s="8">
        <v>45</v>
      </c>
      <c r="N57" s="8">
        <v>45</v>
      </c>
      <c r="O57" s="8">
        <v>45</v>
      </c>
      <c r="P57" s="8">
        <v>45</v>
      </c>
      <c r="Q57" s="8">
        <v>45</v>
      </c>
      <c r="R57" s="8">
        <v>45</v>
      </c>
      <c r="S57" s="9">
        <f t="shared" si="0"/>
        <v>12</v>
      </c>
      <c r="T57" s="8"/>
      <c r="U57" s="16">
        <f t="shared" si="1"/>
        <v>45</v>
      </c>
      <c r="V57" s="8"/>
      <c r="W57" s="8"/>
      <c r="X57" s="8"/>
      <c r="Y57" s="8"/>
    </row>
    <row r="58" spans="1:25" x14ac:dyDescent="0.25">
      <c r="A58" s="2">
        <v>57</v>
      </c>
      <c r="B58" s="3" t="s">
        <v>82</v>
      </c>
      <c r="C58" t="s">
        <v>82</v>
      </c>
      <c r="D58" t="s">
        <v>14</v>
      </c>
      <c r="E58">
        <v>1</v>
      </c>
      <c r="F58" s="8">
        <v>35</v>
      </c>
      <c r="G58" s="8">
        <v>35</v>
      </c>
      <c r="H58" s="8">
        <v>35</v>
      </c>
      <c r="I58" s="8">
        <v>35</v>
      </c>
      <c r="J58" s="8">
        <v>35</v>
      </c>
      <c r="K58" s="8">
        <v>35</v>
      </c>
      <c r="L58" s="8">
        <v>35</v>
      </c>
      <c r="M58" s="8">
        <v>35</v>
      </c>
      <c r="N58" s="8">
        <v>35</v>
      </c>
      <c r="O58" s="8">
        <v>35</v>
      </c>
      <c r="P58" s="8">
        <v>35</v>
      </c>
      <c r="Q58" s="8">
        <v>35</v>
      </c>
      <c r="R58" s="8">
        <v>35</v>
      </c>
      <c r="S58" s="9">
        <f t="shared" si="0"/>
        <v>12</v>
      </c>
      <c r="T58" s="8"/>
      <c r="U58" s="16">
        <f t="shared" si="1"/>
        <v>35</v>
      </c>
      <c r="V58" s="8"/>
      <c r="W58" s="8"/>
      <c r="X58" s="8"/>
      <c r="Y58" s="8"/>
    </row>
    <row r="59" spans="1:25" x14ac:dyDescent="0.25">
      <c r="A59" s="2">
        <v>58</v>
      </c>
      <c r="B59" s="3" t="s">
        <v>83</v>
      </c>
      <c r="C59" t="s">
        <v>83</v>
      </c>
      <c r="D59" t="s">
        <v>14</v>
      </c>
      <c r="E59">
        <v>0</v>
      </c>
      <c r="F59" s="8">
        <v>29.74</v>
      </c>
      <c r="G59" s="8">
        <v>32</v>
      </c>
      <c r="H59" s="8">
        <v>34.26</v>
      </c>
      <c r="I59" s="8">
        <v>33.700000000000003</v>
      </c>
      <c r="J59" s="8">
        <v>39.090000000000003</v>
      </c>
      <c r="K59" s="8">
        <v>35</v>
      </c>
      <c r="L59" s="8">
        <v>35</v>
      </c>
      <c r="M59" s="8">
        <v>35</v>
      </c>
      <c r="N59" s="8">
        <v>37.31</v>
      </c>
      <c r="O59" s="8">
        <v>34.1</v>
      </c>
      <c r="P59" s="8">
        <v>35.65</v>
      </c>
      <c r="Q59" s="8">
        <v>34.74</v>
      </c>
      <c r="R59" s="8">
        <v>36.520000000000003</v>
      </c>
      <c r="S59" s="9">
        <f t="shared" si="0"/>
        <v>12</v>
      </c>
      <c r="T59" s="8"/>
      <c r="U59" s="16">
        <f t="shared" si="1"/>
        <v>34.26</v>
      </c>
      <c r="V59" s="8"/>
      <c r="W59" s="8"/>
      <c r="X59" s="8"/>
      <c r="Y59" s="8"/>
    </row>
    <row r="60" spans="1:25" x14ac:dyDescent="0.25">
      <c r="A60" s="2">
        <v>59</v>
      </c>
      <c r="B60" s="3" t="s">
        <v>84</v>
      </c>
      <c r="C60" t="s">
        <v>84</v>
      </c>
      <c r="D60" t="s">
        <v>7</v>
      </c>
      <c r="E60">
        <v>1</v>
      </c>
      <c r="F60" s="8">
        <v>20</v>
      </c>
      <c r="G60" s="8">
        <v>20</v>
      </c>
      <c r="H60" s="8">
        <v>20</v>
      </c>
      <c r="I60" s="8">
        <v>20</v>
      </c>
      <c r="J60" s="8">
        <v>20</v>
      </c>
      <c r="K60" s="8">
        <v>20</v>
      </c>
      <c r="L60" s="8">
        <v>20</v>
      </c>
      <c r="M60" s="8">
        <v>20</v>
      </c>
      <c r="N60" s="8">
        <v>20</v>
      </c>
      <c r="O60" s="8">
        <v>20</v>
      </c>
      <c r="P60" s="8">
        <v>20</v>
      </c>
      <c r="Q60" s="8">
        <v>20</v>
      </c>
      <c r="R60" s="8">
        <v>20</v>
      </c>
      <c r="S60" s="9">
        <f t="shared" si="0"/>
        <v>12</v>
      </c>
      <c r="T60" s="8"/>
      <c r="U60" s="16">
        <f t="shared" si="1"/>
        <v>20</v>
      </c>
      <c r="V60" s="8"/>
      <c r="W60" s="8"/>
      <c r="X60" s="8"/>
      <c r="Y60" s="8"/>
    </row>
    <row r="61" spans="1:25" x14ac:dyDescent="0.25">
      <c r="A61" s="2">
        <v>60</v>
      </c>
      <c r="B61" s="3" t="s">
        <v>85</v>
      </c>
      <c r="C61" t="s">
        <v>85</v>
      </c>
      <c r="D61" t="s">
        <v>23</v>
      </c>
      <c r="E61">
        <v>1</v>
      </c>
      <c r="F61" s="8">
        <v>47.5</v>
      </c>
      <c r="G61" s="8">
        <v>47.5</v>
      </c>
      <c r="H61" s="8">
        <v>47.5</v>
      </c>
      <c r="I61" s="8">
        <v>47.5</v>
      </c>
      <c r="J61" s="8">
        <v>47.5</v>
      </c>
      <c r="K61" s="8">
        <v>45</v>
      </c>
      <c r="L61" s="8">
        <v>47.5</v>
      </c>
      <c r="M61" s="8">
        <v>47.5</v>
      </c>
      <c r="N61" s="8">
        <v>47</v>
      </c>
      <c r="O61" s="8">
        <v>47</v>
      </c>
      <c r="P61" s="8">
        <v>47</v>
      </c>
      <c r="Q61" s="8">
        <v>47</v>
      </c>
      <c r="R61" s="8">
        <v>47</v>
      </c>
      <c r="S61" s="9">
        <f t="shared" si="0"/>
        <v>12</v>
      </c>
      <c r="T61" s="8"/>
      <c r="U61" s="16">
        <f t="shared" si="1"/>
        <v>47.5</v>
      </c>
      <c r="V61" s="8"/>
      <c r="W61" s="8"/>
      <c r="X61" s="8"/>
      <c r="Y61" s="8"/>
    </row>
    <row r="62" spans="1:25" x14ac:dyDescent="0.25">
      <c r="A62" s="2">
        <v>61</v>
      </c>
      <c r="B62" s="3" t="s">
        <v>86</v>
      </c>
      <c r="C62" t="s">
        <v>86</v>
      </c>
      <c r="D62" t="s">
        <v>14</v>
      </c>
      <c r="E62">
        <v>1</v>
      </c>
      <c r="F62" s="8">
        <v>25</v>
      </c>
      <c r="G62" s="8">
        <v>25</v>
      </c>
      <c r="H62" s="8">
        <v>25</v>
      </c>
      <c r="I62" s="8">
        <v>25</v>
      </c>
      <c r="J62" s="8">
        <v>25</v>
      </c>
      <c r="K62" s="8">
        <v>25</v>
      </c>
      <c r="L62" s="8">
        <v>25</v>
      </c>
      <c r="M62" s="8">
        <v>35</v>
      </c>
      <c r="N62" s="8">
        <v>30.419385583481017</v>
      </c>
      <c r="O62" s="8">
        <v>33.366681831168535</v>
      </c>
      <c r="P62" s="8">
        <v>29.884225006809174</v>
      </c>
      <c r="Q62" s="8">
        <v>40.968464993584348</v>
      </c>
      <c r="R62" s="8">
        <v>47.991111809389167</v>
      </c>
      <c r="S62" s="9">
        <f t="shared" si="0"/>
        <v>12</v>
      </c>
      <c r="T62" s="8"/>
      <c r="U62" s="16">
        <f t="shared" si="1"/>
        <v>25</v>
      </c>
      <c r="V62" s="8"/>
      <c r="W62" s="8"/>
      <c r="X62" s="8"/>
      <c r="Y62" s="8"/>
    </row>
    <row r="63" spans="1:25" x14ac:dyDescent="0.25">
      <c r="A63" s="2">
        <v>62</v>
      </c>
      <c r="B63" s="3" t="s">
        <v>87</v>
      </c>
      <c r="C63" t="s">
        <v>87</v>
      </c>
      <c r="D63" t="s">
        <v>23</v>
      </c>
      <c r="E63">
        <v>1</v>
      </c>
      <c r="F63" s="8">
        <v>48</v>
      </c>
      <c r="G63" s="8">
        <v>45</v>
      </c>
      <c r="H63" s="8">
        <v>42</v>
      </c>
      <c r="I63" s="8">
        <v>42</v>
      </c>
      <c r="J63" s="8">
        <v>42</v>
      </c>
      <c r="K63" s="8">
        <v>42</v>
      </c>
      <c r="L63" s="8">
        <v>42</v>
      </c>
      <c r="M63" s="8">
        <v>42</v>
      </c>
      <c r="N63" s="8">
        <v>42</v>
      </c>
      <c r="O63" s="8">
        <v>42</v>
      </c>
      <c r="P63" s="8">
        <v>42</v>
      </c>
      <c r="Q63" s="8">
        <v>42</v>
      </c>
      <c r="R63" s="8">
        <v>42</v>
      </c>
      <c r="S63" s="9">
        <f t="shared" si="0"/>
        <v>12</v>
      </c>
      <c r="T63" s="8"/>
      <c r="U63" s="16">
        <f t="shared" si="1"/>
        <v>42</v>
      </c>
      <c r="V63" s="8"/>
      <c r="W63" s="8"/>
      <c r="X63" s="8"/>
      <c r="Y63" s="8"/>
    </row>
    <row r="64" spans="1:25" x14ac:dyDescent="0.25">
      <c r="A64" s="2">
        <v>63</v>
      </c>
      <c r="B64" s="3" t="s">
        <v>88</v>
      </c>
      <c r="C64" t="s">
        <v>11</v>
      </c>
      <c r="D64" t="s">
        <v>16</v>
      </c>
      <c r="E64">
        <v>0</v>
      </c>
      <c r="F64" s="8">
        <v>4.57</v>
      </c>
      <c r="G64" s="8">
        <v>26.83</v>
      </c>
      <c r="H64" s="8">
        <v>49.09</v>
      </c>
      <c r="I64" s="8">
        <v>15.75</v>
      </c>
      <c r="J64" s="8">
        <v>25.24</v>
      </c>
      <c r="K64" s="8">
        <v>30.5</v>
      </c>
      <c r="L64" s="8">
        <v>45.54</v>
      </c>
      <c r="M64" s="8">
        <v>28.3</v>
      </c>
      <c r="N64" s="8">
        <v>26.27</v>
      </c>
      <c r="O64" s="8">
        <v>15.68</v>
      </c>
      <c r="P64" s="8">
        <v>41.87</v>
      </c>
      <c r="Q64" s="8">
        <v>31.42</v>
      </c>
      <c r="R64" s="8">
        <v>35.880000000000003</v>
      </c>
      <c r="S64" s="9">
        <f t="shared" si="0"/>
        <v>12</v>
      </c>
      <c r="T64" s="8"/>
      <c r="U64" s="16">
        <f t="shared" si="1"/>
        <v>49.09</v>
      </c>
      <c r="V64" s="8"/>
      <c r="W64" s="8"/>
      <c r="X64" s="8"/>
      <c r="Y64" s="8"/>
    </row>
    <row r="65" spans="1:25" x14ac:dyDescent="0.25">
      <c r="A65" s="2">
        <v>64</v>
      </c>
      <c r="B65" s="3" t="s">
        <v>89</v>
      </c>
      <c r="C65" t="s">
        <v>89</v>
      </c>
      <c r="D65" t="s">
        <v>33</v>
      </c>
      <c r="E65">
        <v>1</v>
      </c>
      <c r="F65" s="8">
        <v>31</v>
      </c>
      <c r="G65" s="8">
        <v>31</v>
      </c>
      <c r="H65" s="8">
        <v>31</v>
      </c>
      <c r="I65" s="8">
        <v>31</v>
      </c>
      <c r="J65" s="8">
        <v>31</v>
      </c>
      <c r="K65" s="8">
        <v>31</v>
      </c>
      <c r="L65" s="8">
        <v>31</v>
      </c>
      <c r="M65" s="8">
        <v>31</v>
      </c>
      <c r="N65" s="8">
        <v>31</v>
      </c>
      <c r="O65" s="8">
        <v>31</v>
      </c>
      <c r="P65" s="8">
        <v>31</v>
      </c>
      <c r="Q65" s="8">
        <v>31</v>
      </c>
      <c r="R65" s="8">
        <v>31</v>
      </c>
      <c r="S65" s="9">
        <f t="shared" si="0"/>
        <v>12</v>
      </c>
      <c r="T65" s="8"/>
      <c r="U65" s="16">
        <f t="shared" si="1"/>
        <v>31</v>
      </c>
      <c r="V65" s="8"/>
      <c r="W65" s="8"/>
      <c r="X65" s="8"/>
      <c r="Y65" s="8"/>
    </row>
    <row r="66" spans="1:25" x14ac:dyDescent="0.25">
      <c r="A66" s="2">
        <v>65</v>
      </c>
      <c r="B66" s="3" t="s">
        <v>90</v>
      </c>
      <c r="C66" t="s">
        <v>90</v>
      </c>
      <c r="D66" t="s">
        <v>14</v>
      </c>
      <c r="E66">
        <v>1</v>
      </c>
      <c r="F66" s="8">
        <v>40</v>
      </c>
      <c r="G66" s="8">
        <v>40</v>
      </c>
      <c r="H66" s="8">
        <v>40</v>
      </c>
      <c r="I66" s="8">
        <v>40</v>
      </c>
      <c r="J66" s="8">
        <v>40</v>
      </c>
      <c r="K66" s="8">
        <v>40</v>
      </c>
      <c r="L66" s="8">
        <v>40</v>
      </c>
      <c r="M66" s="8">
        <v>40</v>
      </c>
      <c r="N66" s="8">
        <v>40</v>
      </c>
      <c r="O66" s="8">
        <v>40</v>
      </c>
      <c r="P66" s="8">
        <v>40</v>
      </c>
      <c r="Q66" s="8">
        <v>40</v>
      </c>
      <c r="R66" s="8">
        <v>40</v>
      </c>
      <c r="S66" s="9">
        <f t="shared" si="0"/>
        <v>12</v>
      </c>
      <c r="T66" s="8"/>
      <c r="U66" s="16">
        <f t="shared" si="1"/>
        <v>40</v>
      </c>
      <c r="V66" s="8"/>
      <c r="W66" s="8"/>
      <c r="X66" s="8"/>
      <c r="Y66" s="8"/>
    </row>
    <row r="67" spans="1:25" x14ac:dyDescent="0.25">
      <c r="A67" s="2">
        <v>66</v>
      </c>
      <c r="B67" s="3" t="s">
        <v>91</v>
      </c>
      <c r="C67" t="s">
        <v>91</v>
      </c>
      <c r="D67" t="s">
        <v>18</v>
      </c>
      <c r="E67">
        <v>1</v>
      </c>
      <c r="F67" s="8">
        <v>33.270000000000003</v>
      </c>
      <c r="G67" s="8">
        <v>33.299999999999997</v>
      </c>
      <c r="H67" s="8">
        <v>33.33</v>
      </c>
      <c r="I67" s="8">
        <v>33.299999999999997</v>
      </c>
      <c r="J67" s="8">
        <v>33.299999999999997</v>
      </c>
      <c r="K67" s="8">
        <v>33.299999999999997</v>
      </c>
      <c r="L67" s="8">
        <v>33.299999999999997</v>
      </c>
      <c r="M67" s="8">
        <v>33.299999999999997</v>
      </c>
      <c r="N67" s="8">
        <v>33.299999999999997</v>
      </c>
      <c r="O67" s="8">
        <v>33.299999999999997</v>
      </c>
      <c r="P67" s="8">
        <v>33.299999999999997</v>
      </c>
      <c r="Q67" s="8">
        <v>33.299999999999997</v>
      </c>
      <c r="R67" s="8">
        <v>33.299999999999997</v>
      </c>
      <c r="S67" s="9">
        <f t="shared" ref="S67:S130" si="2">COUNT(G67:R67)</f>
        <v>12</v>
      </c>
      <c r="T67" s="8"/>
      <c r="U67" s="16">
        <f t="shared" ref="U67:U130" si="3">IF(SUMIF($F$1:$R$1,U$1,$F67:$R67)=0,".",SUMIF($F$1:$R$1,U$1,$F67:$R67))</f>
        <v>33.33</v>
      </c>
      <c r="V67" s="8"/>
      <c r="W67" s="8"/>
      <c r="X67" s="8"/>
      <c r="Y67" s="8"/>
    </row>
    <row r="68" spans="1:25" x14ac:dyDescent="0.25">
      <c r="A68" s="2">
        <v>67</v>
      </c>
      <c r="B68" s="3" t="s">
        <v>92</v>
      </c>
      <c r="C68" t="s">
        <v>92</v>
      </c>
      <c r="D68" t="s">
        <v>16</v>
      </c>
      <c r="E68">
        <v>1</v>
      </c>
      <c r="F68" s="8">
        <v>30</v>
      </c>
      <c r="G68" s="8">
        <v>30</v>
      </c>
      <c r="H68" s="8">
        <v>30</v>
      </c>
      <c r="I68" s="8">
        <v>30</v>
      </c>
      <c r="J68" s="8">
        <v>30</v>
      </c>
      <c r="K68" s="8">
        <v>30</v>
      </c>
      <c r="L68" s="8">
        <v>30</v>
      </c>
      <c r="M68" s="8">
        <v>30</v>
      </c>
      <c r="N68" s="8">
        <v>30</v>
      </c>
      <c r="O68" s="8">
        <v>30</v>
      </c>
      <c r="P68" s="8">
        <v>30</v>
      </c>
      <c r="Q68" s="8">
        <v>30</v>
      </c>
      <c r="R68" s="8">
        <v>30</v>
      </c>
      <c r="S68" s="9">
        <f t="shared" si="2"/>
        <v>12</v>
      </c>
      <c r="T68" s="8"/>
      <c r="U68" s="16">
        <f t="shared" si="3"/>
        <v>30</v>
      </c>
      <c r="V68" s="8"/>
      <c r="W68" s="8"/>
      <c r="X68" s="8"/>
      <c r="Y68" s="8"/>
    </row>
    <row r="69" spans="1:25" x14ac:dyDescent="0.25">
      <c r="A69" s="2">
        <v>68</v>
      </c>
      <c r="B69" s="3" t="s">
        <v>93</v>
      </c>
      <c r="C69" t="s">
        <v>93</v>
      </c>
      <c r="D69" t="s">
        <v>33</v>
      </c>
      <c r="E69">
        <v>1</v>
      </c>
      <c r="F69" s="8">
        <v>25</v>
      </c>
      <c r="G69" s="8">
        <v>25</v>
      </c>
      <c r="H69" s="8">
        <v>25</v>
      </c>
      <c r="I69" s="8">
        <v>25</v>
      </c>
      <c r="J69" s="8">
        <v>25</v>
      </c>
      <c r="K69" s="8">
        <v>25</v>
      </c>
      <c r="L69" s="8">
        <v>25</v>
      </c>
      <c r="M69" s="8">
        <v>25</v>
      </c>
      <c r="N69" s="8">
        <v>25</v>
      </c>
      <c r="O69" s="8">
        <v>25</v>
      </c>
      <c r="P69" s="8">
        <v>25</v>
      </c>
      <c r="Q69" s="8">
        <v>25</v>
      </c>
      <c r="R69" s="8">
        <v>25</v>
      </c>
      <c r="S69" s="9">
        <f t="shared" si="2"/>
        <v>12</v>
      </c>
      <c r="T69" s="8"/>
      <c r="U69" s="16">
        <f t="shared" si="3"/>
        <v>25</v>
      </c>
      <c r="V69" s="8"/>
      <c r="W69" s="8"/>
      <c r="X69" s="8"/>
      <c r="Y69" s="8"/>
    </row>
    <row r="70" spans="1:25" x14ac:dyDescent="0.25">
      <c r="A70" s="2">
        <v>69</v>
      </c>
      <c r="B70" s="3" t="s">
        <v>94</v>
      </c>
      <c r="C70" t="s">
        <v>94</v>
      </c>
      <c r="D70" t="s">
        <v>23</v>
      </c>
      <c r="E70">
        <v>1</v>
      </c>
      <c r="F70" s="8">
        <v>16</v>
      </c>
      <c r="G70" s="8">
        <v>16</v>
      </c>
      <c r="H70" s="8">
        <v>16</v>
      </c>
      <c r="I70" s="8">
        <v>16</v>
      </c>
      <c r="J70" s="8">
        <v>16</v>
      </c>
      <c r="K70" s="8">
        <v>15</v>
      </c>
      <c r="L70" s="8">
        <v>15</v>
      </c>
      <c r="M70" s="8">
        <v>15</v>
      </c>
      <c r="N70" s="8">
        <v>14.520022223843398</v>
      </c>
      <c r="O70" s="8">
        <v>14.186440425441333</v>
      </c>
      <c r="P70" s="8">
        <v>13.88804486282686</v>
      </c>
      <c r="Q70" s="8">
        <v>13.633645484124827</v>
      </c>
      <c r="R70" s="8">
        <v>13.344137581810287</v>
      </c>
      <c r="S70" s="9">
        <f t="shared" si="2"/>
        <v>12</v>
      </c>
      <c r="T70" s="8"/>
      <c r="U70" s="16">
        <f t="shared" si="3"/>
        <v>16</v>
      </c>
      <c r="V70" s="8"/>
      <c r="W70" s="8"/>
      <c r="X70" s="8"/>
      <c r="Y70" s="8"/>
    </row>
    <row r="71" spans="1:25" x14ac:dyDescent="0.25">
      <c r="A71" s="2">
        <v>70</v>
      </c>
      <c r="B71" s="3" t="s">
        <v>95</v>
      </c>
      <c r="C71" t="s">
        <v>95</v>
      </c>
      <c r="D71" t="s">
        <v>7</v>
      </c>
      <c r="E71">
        <v>1</v>
      </c>
      <c r="F71" s="8">
        <v>31.8</v>
      </c>
      <c r="G71" s="8">
        <v>31.8</v>
      </c>
      <c r="H71" s="8">
        <v>31.8</v>
      </c>
      <c r="I71" s="8">
        <v>31.8</v>
      </c>
      <c r="J71" s="8">
        <v>31.8</v>
      </c>
      <c r="K71" s="8">
        <v>31.8</v>
      </c>
      <c r="L71" s="8">
        <v>31.8</v>
      </c>
      <c r="M71" s="8">
        <v>31.8</v>
      </c>
      <c r="N71" s="8">
        <v>31.8</v>
      </c>
      <c r="O71" s="8">
        <v>31.8</v>
      </c>
      <c r="P71" s="8">
        <v>31.8</v>
      </c>
      <c r="Q71" s="8">
        <v>31.8</v>
      </c>
      <c r="R71" s="8">
        <v>31.8</v>
      </c>
      <c r="S71" s="9">
        <f t="shared" si="2"/>
        <v>12</v>
      </c>
      <c r="T71" s="8"/>
      <c r="U71" s="16">
        <f t="shared" si="3"/>
        <v>31.8</v>
      </c>
      <c r="V71" s="8"/>
      <c r="W71" s="8"/>
      <c r="X71" s="8"/>
      <c r="Y71" s="8"/>
    </row>
    <row r="72" spans="1:25" x14ac:dyDescent="0.25">
      <c r="A72" s="2">
        <v>71</v>
      </c>
      <c r="B72" s="3" t="s">
        <v>96</v>
      </c>
      <c r="C72" t="s">
        <v>96</v>
      </c>
      <c r="D72" t="s">
        <v>25</v>
      </c>
      <c r="E72">
        <v>1</v>
      </c>
      <c r="F72" s="8">
        <v>30.9</v>
      </c>
      <c r="G72" s="8">
        <v>30.9</v>
      </c>
      <c r="H72" s="8">
        <v>30.9</v>
      </c>
      <c r="I72" s="8">
        <v>30.9</v>
      </c>
      <c r="J72" s="8">
        <v>30.9</v>
      </c>
      <c r="K72" s="8">
        <v>30.9</v>
      </c>
      <c r="L72" s="8">
        <v>30.9</v>
      </c>
      <c r="M72" s="8">
        <v>30.9</v>
      </c>
      <c r="N72" s="8">
        <v>30.9</v>
      </c>
      <c r="O72" s="8">
        <v>30.9</v>
      </c>
      <c r="P72" s="8">
        <v>30.9</v>
      </c>
      <c r="Q72" s="8">
        <v>30.9</v>
      </c>
      <c r="R72" s="8">
        <v>30.9</v>
      </c>
      <c r="S72" s="9">
        <f t="shared" si="2"/>
        <v>12</v>
      </c>
      <c r="T72" s="8"/>
      <c r="U72" s="16">
        <f t="shared" si="3"/>
        <v>30.9</v>
      </c>
      <c r="V72" s="8"/>
      <c r="W72" s="8"/>
      <c r="X72" s="8"/>
      <c r="Y72" s="8"/>
    </row>
    <row r="73" spans="1:25" x14ac:dyDescent="0.25">
      <c r="A73" s="2">
        <v>72</v>
      </c>
      <c r="B73" s="3" t="s">
        <v>97</v>
      </c>
      <c r="C73" t="s">
        <v>97</v>
      </c>
      <c r="D73" t="s">
        <v>25</v>
      </c>
      <c r="E73">
        <v>1</v>
      </c>
      <c r="F73" s="8">
        <v>30</v>
      </c>
      <c r="G73" s="8">
        <v>30</v>
      </c>
      <c r="H73" s="8">
        <v>30</v>
      </c>
      <c r="I73" s="8">
        <v>30</v>
      </c>
      <c r="J73" s="8">
        <v>30</v>
      </c>
      <c r="K73" s="8">
        <v>30</v>
      </c>
      <c r="L73" s="8">
        <v>30</v>
      </c>
      <c r="M73" s="8">
        <v>30</v>
      </c>
      <c r="N73" s="8">
        <v>30</v>
      </c>
      <c r="O73" s="8">
        <v>30</v>
      </c>
      <c r="P73" s="8">
        <v>30</v>
      </c>
      <c r="Q73" s="8">
        <v>30</v>
      </c>
      <c r="R73" s="8">
        <v>30</v>
      </c>
      <c r="S73" s="9">
        <f t="shared" si="2"/>
        <v>12</v>
      </c>
      <c r="T73" s="8"/>
      <c r="U73" s="16">
        <f t="shared" si="3"/>
        <v>30</v>
      </c>
      <c r="V73" s="8"/>
      <c r="W73" s="8"/>
      <c r="X73" s="8"/>
      <c r="Y73" s="8"/>
    </row>
    <row r="74" spans="1:25" x14ac:dyDescent="0.25">
      <c r="A74" s="2">
        <v>73</v>
      </c>
      <c r="B74" s="3" t="s">
        <v>98</v>
      </c>
      <c r="C74" t="s">
        <v>98</v>
      </c>
      <c r="D74" t="s">
        <v>9</v>
      </c>
      <c r="E74">
        <v>0</v>
      </c>
      <c r="F74" s="8">
        <v>35</v>
      </c>
      <c r="G74" s="8">
        <v>35</v>
      </c>
      <c r="H74" s="8">
        <v>35</v>
      </c>
      <c r="I74" s="8">
        <v>35</v>
      </c>
      <c r="J74" s="8">
        <v>35</v>
      </c>
      <c r="K74" s="8">
        <v>35</v>
      </c>
      <c r="L74" s="8">
        <v>35</v>
      </c>
      <c r="M74" s="8">
        <v>35</v>
      </c>
      <c r="N74" s="8">
        <v>32.840000000000003</v>
      </c>
      <c r="O74" s="8">
        <v>28.81</v>
      </c>
      <c r="P74" s="8">
        <v>33.79</v>
      </c>
      <c r="Q74" s="8">
        <v>33.64</v>
      </c>
      <c r="R74" s="8">
        <v>32.71</v>
      </c>
      <c r="S74" s="9">
        <f t="shared" si="2"/>
        <v>12</v>
      </c>
      <c r="T74" s="8"/>
      <c r="U74" s="16">
        <f t="shared" si="3"/>
        <v>35</v>
      </c>
      <c r="V74" s="8"/>
      <c r="W74" s="8"/>
      <c r="X74" s="8"/>
      <c r="Y74" s="8"/>
    </row>
    <row r="75" spans="1:25" x14ac:dyDescent="0.25">
      <c r="A75" s="2">
        <v>74</v>
      </c>
      <c r="B75" s="3" t="s">
        <v>99</v>
      </c>
      <c r="C75" t="s">
        <v>99</v>
      </c>
      <c r="D75" t="s">
        <v>9</v>
      </c>
      <c r="E75">
        <v>0</v>
      </c>
      <c r="F75" s="8">
        <v>15</v>
      </c>
      <c r="G75" s="8">
        <v>15</v>
      </c>
      <c r="H75" s="8">
        <v>15</v>
      </c>
      <c r="I75" s="8">
        <v>15</v>
      </c>
      <c r="J75" s="8">
        <v>15</v>
      </c>
      <c r="K75" s="8">
        <v>15</v>
      </c>
      <c r="L75" s="8">
        <v>15</v>
      </c>
      <c r="M75" s="8">
        <v>15</v>
      </c>
      <c r="N75" s="8">
        <v>16.059999999999999</v>
      </c>
      <c r="O75" s="8">
        <v>10.77</v>
      </c>
      <c r="P75" s="8">
        <v>16.600000000000001</v>
      </c>
      <c r="Q75" s="8">
        <v>16.04</v>
      </c>
      <c r="R75" s="8">
        <v>18.41</v>
      </c>
      <c r="S75" s="9">
        <f t="shared" si="2"/>
        <v>12</v>
      </c>
      <c r="T75" s="8"/>
      <c r="U75" s="16">
        <f t="shared" si="3"/>
        <v>15</v>
      </c>
      <c r="V75" s="8"/>
      <c r="W75" s="8"/>
      <c r="X75" s="8"/>
      <c r="Y75" s="8"/>
    </row>
    <row r="76" spans="1:25" x14ac:dyDescent="0.25">
      <c r="A76" s="2">
        <v>75</v>
      </c>
      <c r="B76" s="3" t="s">
        <v>100</v>
      </c>
      <c r="C76" t="s">
        <v>100</v>
      </c>
      <c r="D76" t="s">
        <v>9</v>
      </c>
      <c r="E76">
        <v>1</v>
      </c>
      <c r="F76" s="8">
        <v>48</v>
      </c>
      <c r="G76" s="8">
        <v>48</v>
      </c>
      <c r="H76" s="8">
        <v>48</v>
      </c>
      <c r="I76" s="8">
        <v>48</v>
      </c>
      <c r="J76" s="8">
        <v>48</v>
      </c>
      <c r="K76" s="8">
        <v>48</v>
      </c>
      <c r="L76" s="8">
        <v>48</v>
      </c>
      <c r="M76" s="8">
        <v>48</v>
      </c>
      <c r="N76" s="8">
        <v>48</v>
      </c>
      <c r="O76" s="8">
        <v>48</v>
      </c>
      <c r="P76" s="8">
        <v>48</v>
      </c>
      <c r="Q76" s="8">
        <v>48</v>
      </c>
      <c r="R76" s="8">
        <v>48</v>
      </c>
      <c r="S76" s="9">
        <f t="shared" si="2"/>
        <v>12</v>
      </c>
      <c r="T76" s="8"/>
      <c r="U76" s="16">
        <f t="shared" si="3"/>
        <v>48</v>
      </c>
      <c r="V76" s="8"/>
      <c r="W76" s="8"/>
      <c r="X76" s="8"/>
      <c r="Y76" s="8"/>
    </row>
    <row r="77" spans="1:25" x14ac:dyDescent="0.25">
      <c r="A77" s="2">
        <v>76</v>
      </c>
      <c r="B77" s="3" t="s">
        <v>101</v>
      </c>
      <c r="C77" t="s">
        <v>101</v>
      </c>
      <c r="D77" t="s">
        <v>23</v>
      </c>
      <c r="E77">
        <v>1</v>
      </c>
      <c r="F77" s="8">
        <v>43</v>
      </c>
      <c r="G77" s="8">
        <v>43</v>
      </c>
      <c r="H77" s="8">
        <v>43</v>
      </c>
      <c r="I77" s="8">
        <v>43</v>
      </c>
      <c r="J77" s="8">
        <v>43</v>
      </c>
      <c r="K77" s="8">
        <v>43</v>
      </c>
      <c r="L77" s="8">
        <v>43</v>
      </c>
      <c r="M77" s="8">
        <v>43</v>
      </c>
      <c r="N77" s="8">
        <v>43</v>
      </c>
      <c r="O77" s="8">
        <v>43</v>
      </c>
      <c r="P77" s="8">
        <v>43</v>
      </c>
      <c r="Q77" s="8">
        <v>43</v>
      </c>
      <c r="R77" s="8">
        <v>43</v>
      </c>
      <c r="S77" s="9">
        <f t="shared" si="2"/>
        <v>12</v>
      </c>
      <c r="T77" s="8"/>
      <c r="U77" s="16">
        <f t="shared" si="3"/>
        <v>43</v>
      </c>
      <c r="V77" s="8"/>
      <c r="W77" s="8"/>
      <c r="X77" s="8"/>
      <c r="Y77" s="8"/>
    </row>
    <row r="78" spans="1:25" x14ac:dyDescent="0.25">
      <c r="A78" s="2">
        <v>77</v>
      </c>
      <c r="B78" s="3" t="s">
        <v>102</v>
      </c>
      <c r="C78" t="s">
        <v>11</v>
      </c>
      <c r="D78" t="s">
        <v>14</v>
      </c>
      <c r="E78">
        <v>0</v>
      </c>
      <c r="F78" s="8">
        <v>21.47</v>
      </c>
      <c r="G78" s="8">
        <v>24.55</v>
      </c>
      <c r="H78" s="8">
        <v>27.63</v>
      </c>
      <c r="I78" s="8">
        <v>45.83</v>
      </c>
      <c r="J78" s="8">
        <v>17.55</v>
      </c>
      <c r="K78" s="8">
        <v>33.82</v>
      </c>
      <c r="L78" s="8">
        <v>46.1</v>
      </c>
      <c r="M78" s="8">
        <v>17.559999999999999</v>
      </c>
      <c r="N78" s="8">
        <v>29.01</v>
      </c>
      <c r="O78" s="8">
        <v>43.68</v>
      </c>
      <c r="P78" s="8">
        <v>32.880000000000003</v>
      </c>
      <c r="Q78" s="8">
        <v>35.85</v>
      </c>
      <c r="R78" s="8">
        <v>29.51</v>
      </c>
      <c r="S78" s="9">
        <f t="shared" si="2"/>
        <v>12</v>
      </c>
      <c r="T78" s="8"/>
      <c r="U78" s="16">
        <f t="shared" si="3"/>
        <v>27.63</v>
      </c>
      <c r="V78" s="8"/>
      <c r="W78" s="8"/>
      <c r="X78" s="8"/>
      <c r="Y78" s="8"/>
    </row>
    <row r="79" spans="1:25" x14ac:dyDescent="0.25">
      <c r="A79" s="2">
        <v>78</v>
      </c>
      <c r="B79" s="3" t="s">
        <v>103</v>
      </c>
      <c r="C79" t="s">
        <v>103</v>
      </c>
      <c r="D79" t="s">
        <v>16</v>
      </c>
      <c r="E79">
        <v>1</v>
      </c>
      <c r="F79" s="8">
        <v>25</v>
      </c>
      <c r="G79" s="8">
        <v>25</v>
      </c>
      <c r="H79" s="8">
        <v>25</v>
      </c>
      <c r="I79" s="8">
        <v>25</v>
      </c>
      <c r="J79" s="8">
        <v>25</v>
      </c>
      <c r="K79" s="8">
        <v>25</v>
      </c>
      <c r="L79" s="8">
        <v>25</v>
      </c>
      <c r="M79" s="8">
        <v>25</v>
      </c>
      <c r="N79" s="8">
        <v>25</v>
      </c>
      <c r="O79" s="8">
        <v>25</v>
      </c>
      <c r="P79" s="8">
        <v>25</v>
      </c>
      <c r="Q79" s="8">
        <v>25</v>
      </c>
      <c r="R79" s="8">
        <v>25</v>
      </c>
      <c r="S79" s="9">
        <f t="shared" si="2"/>
        <v>12</v>
      </c>
      <c r="T79" s="8"/>
      <c r="U79" s="16">
        <f t="shared" si="3"/>
        <v>25</v>
      </c>
      <c r="V79" s="8"/>
      <c r="W79" s="8"/>
      <c r="X79" s="8"/>
      <c r="Y79" s="8"/>
    </row>
    <row r="80" spans="1:25" x14ac:dyDescent="0.25">
      <c r="A80" s="2">
        <v>79</v>
      </c>
      <c r="B80" s="3" t="s">
        <v>104</v>
      </c>
      <c r="C80" t="s">
        <v>104</v>
      </c>
      <c r="D80" t="s">
        <v>25</v>
      </c>
      <c r="E80">
        <v>1</v>
      </c>
      <c r="F80" s="8">
        <v>39.200000000000003</v>
      </c>
      <c r="G80" s="8">
        <v>40</v>
      </c>
      <c r="H80" s="8">
        <v>40.799999999999997</v>
      </c>
      <c r="I80" s="8">
        <v>40.799999999999997</v>
      </c>
      <c r="J80" s="8">
        <v>40.799999999999997</v>
      </c>
      <c r="K80" s="8">
        <v>40.799999999999997</v>
      </c>
      <c r="L80" s="8">
        <v>40.799999999999997</v>
      </c>
      <c r="M80" s="8">
        <v>40.799999999999997</v>
      </c>
      <c r="N80" s="8">
        <v>40.799999999999997</v>
      </c>
      <c r="O80" s="8">
        <v>40.799999999999997</v>
      </c>
      <c r="P80" s="8">
        <v>40.799999999999997</v>
      </c>
      <c r="Q80" s="8">
        <v>40.799999999999997</v>
      </c>
      <c r="R80" s="8">
        <v>40.799999999999997</v>
      </c>
      <c r="S80" s="9">
        <f t="shared" si="2"/>
        <v>12</v>
      </c>
      <c r="T80" s="8"/>
      <c r="U80" s="16">
        <f t="shared" si="3"/>
        <v>40.799999999999997</v>
      </c>
      <c r="V80" s="8"/>
      <c r="W80" s="8"/>
      <c r="X80" s="8"/>
      <c r="Y80" s="8"/>
    </row>
    <row r="81" spans="1:25" x14ac:dyDescent="0.25">
      <c r="A81" s="2">
        <v>80</v>
      </c>
      <c r="B81" s="3" t="s">
        <v>105</v>
      </c>
      <c r="C81" t="s">
        <v>105</v>
      </c>
      <c r="D81" t="s">
        <v>9</v>
      </c>
      <c r="E81">
        <v>1</v>
      </c>
      <c r="F81" s="8">
        <v>14</v>
      </c>
      <c r="G81" s="8">
        <v>14</v>
      </c>
      <c r="H81" s="8">
        <v>14</v>
      </c>
      <c r="I81" s="8">
        <v>14</v>
      </c>
      <c r="J81" s="8">
        <v>14</v>
      </c>
      <c r="K81" s="8">
        <v>14</v>
      </c>
      <c r="L81" s="8">
        <v>14</v>
      </c>
      <c r="M81" s="8">
        <v>14</v>
      </c>
      <c r="N81" s="8">
        <v>14</v>
      </c>
      <c r="O81" s="8">
        <v>14</v>
      </c>
      <c r="P81" s="8">
        <v>14</v>
      </c>
      <c r="Q81" s="8">
        <v>14</v>
      </c>
      <c r="R81" s="8">
        <v>14</v>
      </c>
      <c r="S81" s="9">
        <f t="shared" si="2"/>
        <v>12</v>
      </c>
      <c r="T81" s="8"/>
      <c r="U81" s="16">
        <f t="shared" si="3"/>
        <v>14</v>
      </c>
      <c r="V81" s="8"/>
      <c r="W81" s="8"/>
      <c r="X81" s="8"/>
      <c r="Y81" s="8"/>
    </row>
    <row r="82" spans="1:25" x14ac:dyDescent="0.25">
      <c r="A82" s="2">
        <v>81</v>
      </c>
      <c r="B82" s="3" t="s">
        <v>106</v>
      </c>
      <c r="C82" t="s">
        <v>106</v>
      </c>
      <c r="D82" t="s">
        <v>25</v>
      </c>
      <c r="E82">
        <v>1</v>
      </c>
      <c r="F82" s="8">
        <v>10</v>
      </c>
      <c r="G82" s="8">
        <v>10</v>
      </c>
      <c r="H82" s="8">
        <v>10</v>
      </c>
      <c r="I82" s="8">
        <v>10</v>
      </c>
      <c r="J82" s="8">
        <v>10</v>
      </c>
      <c r="K82" s="8">
        <v>10</v>
      </c>
      <c r="L82" s="8">
        <v>10</v>
      </c>
      <c r="M82" s="8">
        <v>10</v>
      </c>
      <c r="N82" s="8">
        <v>10</v>
      </c>
      <c r="O82" s="8">
        <v>10</v>
      </c>
      <c r="P82" s="8">
        <v>10</v>
      </c>
      <c r="Q82" s="8">
        <v>10</v>
      </c>
      <c r="R82" s="8">
        <v>10</v>
      </c>
      <c r="S82" s="9">
        <f t="shared" si="2"/>
        <v>12</v>
      </c>
      <c r="T82" s="8"/>
      <c r="U82" s="16">
        <f t="shared" si="3"/>
        <v>10</v>
      </c>
      <c r="V82" s="8"/>
      <c r="W82" s="8"/>
      <c r="X82" s="8"/>
      <c r="Y82" s="8"/>
    </row>
    <row r="83" spans="1:25" x14ac:dyDescent="0.25">
      <c r="A83" s="2">
        <v>82</v>
      </c>
      <c r="B83" s="3" t="s">
        <v>107</v>
      </c>
      <c r="C83" t="s">
        <v>107</v>
      </c>
      <c r="D83" t="s">
        <v>14</v>
      </c>
      <c r="E83">
        <v>1</v>
      </c>
      <c r="F83" s="8">
        <v>30</v>
      </c>
      <c r="G83" s="8">
        <v>30</v>
      </c>
      <c r="H83" s="8">
        <v>30</v>
      </c>
      <c r="I83" s="8">
        <v>30</v>
      </c>
      <c r="J83" s="8">
        <v>30</v>
      </c>
      <c r="K83" s="8">
        <v>30</v>
      </c>
      <c r="L83" s="8">
        <v>30</v>
      </c>
      <c r="M83" s="8">
        <v>30</v>
      </c>
      <c r="N83" s="8">
        <v>30</v>
      </c>
      <c r="O83" s="8">
        <v>30</v>
      </c>
      <c r="P83" s="8">
        <v>30</v>
      </c>
      <c r="Q83" s="8">
        <v>30</v>
      </c>
      <c r="R83" s="8">
        <v>30</v>
      </c>
      <c r="S83" s="9">
        <f t="shared" si="2"/>
        <v>12</v>
      </c>
      <c r="T83" s="8"/>
      <c r="U83" s="16">
        <f t="shared" si="3"/>
        <v>30</v>
      </c>
      <c r="V83" s="8"/>
      <c r="W83" s="8"/>
      <c r="X83" s="8"/>
      <c r="Y83" s="8"/>
    </row>
    <row r="84" spans="1:25" x14ac:dyDescent="0.25">
      <c r="A84" s="2">
        <v>83</v>
      </c>
      <c r="B84" s="3" t="s">
        <v>108</v>
      </c>
      <c r="C84" t="s">
        <v>108</v>
      </c>
      <c r="D84" t="s">
        <v>7</v>
      </c>
      <c r="E84">
        <v>0</v>
      </c>
      <c r="F84" s="8">
        <v>10</v>
      </c>
      <c r="G84" s="8">
        <v>10</v>
      </c>
      <c r="H84" s="8">
        <v>10</v>
      </c>
      <c r="I84" s="8">
        <v>10</v>
      </c>
      <c r="J84" s="8">
        <v>10</v>
      </c>
      <c r="K84" s="8">
        <v>10</v>
      </c>
      <c r="L84" s="8">
        <v>10</v>
      </c>
      <c r="M84" s="8">
        <v>10</v>
      </c>
      <c r="N84" s="8">
        <v>7.67</v>
      </c>
      <c r="O84" s="8">
        <v>13.42</v>
      </c>
      <c r="P84" s="8">
        <v>12.58</v>
      </c>
      <c r="Q84" s="8">
        <v>12.47</v>
      </c>
      <c r="R84" s="8">
        <v>16.600000000000001</v>
      </c>
      <c r="S84" s="9">
        <f t="shared" si="2"/>
        <v>12</v>
      </c>
      <c r="T84" s="8"/>
      <c r="U84" s="16">
        <f t="shared" si="3"/>
        <v>10</v>
      </c>
      <c r="V84" s="8"/>
      <c r="W84" s="8"/>
      <c r="X84" s="8"/>
      <c r="Y84" s="8"/>
    </row>
    <row r="85" spans="1:25" x14ac:dyDescent="0.25">
      <c r="A85" s="2">
        <v>84</v>
      </c>
      <c r="B85" s="3" t="s">
        <v>109</v>
      </c>
      <c r="C85" t="s">
        <v>109</v>
      </c>
      <c r="D85" t="s">
        <v>9</v>
      </c>
      <c r="E85">
        <v>1</v>
      </c>
      <c r="F85" s="8">
        <v>11.45</v>
      </c>
      <c r="G85" s="8">
        <v>28.02</v>
      </c>
      <c r="H85" s="8">
        <v>44.59</v>
      </c>
      <c r="I85" s="8">
        <v>32.869999999999997</v>
      </c>
      <c r="J85" s="8">
        <v>53.14</v>
      </c>
      <c r="K85" s="8">
        <v>33.99</v>
      </c>
      <c r="L85" s="8">
        <v>35.880000000000003</v>
      </c>
      <c r="M85" s="8">
        <v>37.590000000000003</v>
      </c>
      <c r="N85" s="8">
        <v>28.59</v>
      </c>
      <c r="O85" s="8">
        <v>28.11</v>
      </c>
      <c r="P85" s="8">
        <v>31.07</v>
      </c>
      <c r="Q85" s="8">
        <v>22.7</v>
      </c>
      <c r="R85" s="8">
        <v>26.66</v>
      </c>
      <c r="S85" s="9">
        <f t="shared" si="2"/>
        <v>12</v>
      </c>
      <c r="T85" s="8"/>
      <c r="U85" s="16">
        <f t="shared" si="3"/>
        <v>44.59</v>
      </c>
      <c r="V85" s="8"/>
      <c r="W85" s="8"/>
      <c r="X85" s="8"/>
      <c r="Y85" s="8"/>
    </row>
    <row r="86" spans="1:25" x14ac:dyDescent="0.25">
      <c r="A86" s="2">
        <v>85</v>
      </c>
      <c r="B86" s="3" t="s">
        <v>110</v>
      </c>
      <c r="C86" t="s">
        <v>110</v>
      </c>
      <c r="D86" t="s">
        <v>25</v>
      </c>
      <c r="E86">
        <v>0</v>
      </c>
      <c r="F86" s="8">
        <v>26</v>
      </c>
      <c r="G86" s="8">
        <v>25</v>
      </c>
      <c r="H86" s="8">
        <v>24</v>
      </c>
      <c r="I86" s="8">
        <v>24</v>
      </c>
      <c r="J86" s="8">
        <v>24</v>
      </c>
      <c r="K86" s="8">
        <v>24.28</v>
      </c>
      <c r="L86" s="8">
        <v>23.83</v>
      </c>
      <c r="M86" s="8">
        <v>24.18</v>
      </c>
      <c r="N86" s="8">
        <v>26.2</v>
      </c>
      <c r="O86" s="8">
        <v>24.45</v>
      </c>
      <c r="P86" s="8">
        <v>21.87</v>
      </c>
      <c r="Q86" s="8">
        <v>28.69</v>
      </c>
      <c r="R86" s="8">
        <v>19.27</v>
      </c>
      <c r="S86" s="9">
        <f t="shared" si="2"/>
        <v>12</v>
      </c>
      <c r="T86" s="8"/>
      <c r="U86" s="16">
        <f t="shared" si="3"/>
        <v>24</v>
      </c>
      <c r="V86" s="8"/>
      <c r="W86" s="8"/>
      <c r="X86" s="8"/>
      <c r="Y86" s="8"/>
    </row>
    <row r="87" spans="1:25" x14ac:dyDescent="0.25">
      <c r="A87" s="2">
        <v>86</v>
      </c>
      <c r="B87" s="3" t="s">
        <v>111</v>
      </c>
      <c r="C87" t="s">
        <v>111</v>
      </c>
      <c r="D87" t="s">
        <v>23</v>
      </c>
      <c r="E87">
        <v>1</v>
      </c>
      <c r="F87" s="8">
        <v>26</v>
      </c>
      <c r="G87" s="8">
        <v>25</v>
      </c>
      <c r="H87" s="8">
        <v>24</v>
      </c>
      <c r="I87" s="8">
        <v>24</v>
      </c>
      <c r="J87" s="8">
        <v>23</v>
      </c>
      <c r="K87" s="8">
        <v>23</v>
      </c>
      <c r="L87" s="8">
        <v>23</v>
      </c>
      <c r="M87" s="8">
        <v>31.4</v>
      </c>
      <c r="N87" s="8">
        <v>33.110882824872988</v>
      </c>
      <c r="O87" s="8">
        <v>28.559881857305754</v>
      </c>
      <c r="P87" s="8">
        <v>34.556811574479525</v>
      </c>
      <c r="Q87" s="8">
        <v>32.864403035095165</v>
      </c>
      <c r="R87" s="8">
        <v>31.670950863473081</v>
      </c>
      <c r="S87" s="9">
        <f t="shared" si="2"/>
        <v>12</v>
      </c>
      <c r="T87" s="8"/>
      <c r="U87" s="16">
        <f t="shared" si="3"/>
        <v>24</v>
      </c>
      <c r="V87" s="8"/>
      <c r="W87" s="8"/>
      <c r="X87" s="8"/>
      <c r="Y87" s="8"/>
    </row>
    <row r="88" spans="1:25" x14ac:dyDescent="0.25">
      <c r="A88" s="2">
        <v>87</v>
      </c>
      <c r="B88" s="3" t="s">
        <v>112</v>
      </c>
      <c r="C88" t="s">
        <v>112</v>
      </c>
      <c r="D88" t="s">
        <v>9</v>
      </c>
      <c r="E88">
        <v>1</v>
      </c>
      <c r="F88" s="8">
        <v>20</v>
      </c>
      <c r="G88" s="8">
        <v>20</v>
      </c>
      <c r="H88" s="8">
        <v>20</v>
      </c>
      <c r="I88" s="8">
        <v>20</v>
      </c>
      <c r="J88" s="8">
        <v>20</v>
      </c>
      <c r="K88" s="8">
        <v>20</v>
      </c>
      <c r="L88" s="8">
        <v>20</v>
      </c>
      <c r="M88" s="8">
        <v>20</v>
      </c>
      <c r="N88" s="8">
        <v>20</v>
      </c>
      <c r="O88" s="8">
        <v>20</v>
      </c>
      <c r="P88" s="8">
        <v>20</v>
      </c>
      <c r="Q88" s="8">
        <v>20</v>
      </c>
      <c r="R88" s="8">
        <v>20</v>
      </c>
      <c r="S88" s="9">
        <f t="shared" si="2"/>
        <v>12</v>
      </c>
      <c r="T88" s="8"/>
      <c r="U88" s="16">
        <f t="shared" si="3"/>
        <v>20</v>
      </c>
      <c r="V88" s="8"/>
      <c r="W88" s="8"/>
      <c r="X88" s="8"/>
      <c r="Y88" s="8"/>
    </row>
    <row r="89" spans="1:25" x14ac:dyDescent="0.25">
      <c r="A89" s="2">
        <v>88</v>
      </c>
      <c r="B89" s="3" t="s">
        <v>113</v>
      </c>
      <c r="C89" t="s">
        <v>113</v>
      </c>
      <c r="D89" t="s">
        <v>14</v>
      </c>
      <c r="E89">
        <v>1</v>
      </c>
      <c r="F89" s="8">
        <v>35</v>
      </c>
      <c r="G89" s="8">
        <v>35</v>
      </c>
      <c r="H89" s="8">
        <v>35</v>
      </c>
      <c r="I89" s="8">
        <v>35</v>
      </c>
      <c r="J89" s="8">
        <v>35</v>
      </c>
      <c r="K89" s="8">
        <v>35</v>
      </c>
      <c r="L89" s="8">
        <v>35</v>
      </c>
      <c r="M89" s="8">
        <v>35</v>
      </c>
      <c r="N89" s="8">
        <v>35</v>
      </c>
      <c r="O89" s="8">
        <v>35</v>
      </c>
      <c r="P89" s="8">
        <v>35</v>
      </c>
      <c r="Q89" s="8">
        <v>35</v>
      </c>
      <c r="R89" s="8">
        <v>35</v>
      </c>
      <c r="S89" s="9">
        <f t="shared" si="2"/>
        <v>12</v>
      </c>
      <c r="T89" s="8"/>
      <c r="U89" s="16">
        <f t="shared" si="3"/>
        <v>35</v>
      </c>
      <c r="V89" s="8"/>
      <c r="W89" s="8"/>
      <c r="X89" s="8"/>
      <c r="Y89" s="8"/>
    </row>
    <row r="90" spans="1:25" x14ac:dyDescent="0.25">
      <c r="A90" s="2">
        <v>89</v>
      </c>
      <c r="B90" s="3" t="s">
        <v>114</v>
      </c>
      <c r="C90" t="s">
        <v>114</v>
      </c>
      <c r="D90" t="s">
        <v>14</v>
      </c>
      <c r="E90">
        <v>1</v>
      </c>
      <c r="F90" s="8">
        <v>45</v>
      </c>
      <c r="G90" s="8">
        <v>35</v>
      </c>
      <c r="H90" s="8">
        <v>25</v>
      </c>
      <c r="I90" s="8">
        <v>25</v>
      </c>
      <c r="J90" s="8">
        <v>25</v>
      </c>
      <c r="K90" s="8">
        <v>25</v>
      </c>
      <c r="L90" s="8">
        <v>25</v>
      </c>
      <c r="M90" s="8">
        <v>25</v>
      </c>
      <c r="N90" s="8">
        <v>25</v>
      </c>
      <c r="O90" s="8">
        <v>25</v>
      </c>
      <c r="P90" s="8">
        <v>25</v>
      </c>
      <c r="Q90" s="8">
        <v>25</v>
      </c>
      <c r="R90" s="8">
        <v>25</v>
      </c>
      <c r="S90" s="9">
        <f t="shared" si="2"/>
        <v>12</v>
      </c>
      <c r="T90" s="8"/>
      <c r="U90" s="16">
        <f t="shared" si="3"/>
        <v>25</v>
      </c>
      <c r="V90" s="8"/>
      <c r="W90" s="8"/>
      <c r="X90" s="8"/>
      <c r="Y90" s="8"/>
    </row>
    <row r="91" spans="1:25" x14ac:dyDescent="0.25">
      <c r="A91" s="2">
        <v>90</v>
      </c>
      <c r="B91" s="3" t="s">
        <v>115</v>
      </c>
      <c r="C91" t="s">
        <v>115</v>
      </c>
      <c r="D91" t="s">
        <v>9</v>
      </c>
      <c r="E91">
        <v>1</v>
      </c>
      <c r="F91" s="8">
        <v>20</v>
      </c>
      <c r="G91" s="8">
        <v>15</v>
      </c>
      <c r="H91" s="8">
        <v>10</v>
      </c>
      <c r="I91" s="8">
        <v>10</v>
      </c>
      <c r="J91" s="8">
        <v>10</v>
      </c>
      <c r="K91" s="8">
        <v>10</v>
      </c>
      <c r="L91" s="8">
        <v>10</v>
      </c>
      <c r="M91" s="8">
        <v>10</v>
      </c>
      <c r="N91" s="8">
        <v>10</v>
      </c>
      <c r="O91" s="8">
        <v>10</v>
      </c>
      <c r="P91" s="8">
        <v>10</v>
      </c>
      <c r="Q91" s="8">
        <v>10</v>
      </c>
      <c r="R91" s="8">
        <v>10</v>
      </c>
      <c r="S91" s="9">
        <f t="shared" si="2"/>
        <v>12</v>
      </c>
      <c r="T91" s="8"/>
      <c r="U91" s="16">
        <f t="shared" si="3"/>
        <v>10</v>
      </c>
      <c r="V91" s="8"/>
      <c r="W91" s="8"/>
      <c r="X91" s="8"/>
      <c r="Y91" s="8"/>
    </row>
    <row r="92" spans="1:25" x14ac:dyDescent="0.25">
      <c r="A92" s="2">
        <v>91</v>
      </c>
      <c r="B92" s="3" t="s">
        <v>116</v>
      </c>
      <c r="C92" t="s">
        <v>116</v>
      </c>
      <c r="D92" t="s">
        <v>7</v>
      </c>
      <c r="E92">
        <v>0</v>
      </c>
      <c r="F92" s="8">
        <v>14.1</v>
      </c>
      <c r="G92" s="8">
        <v>10.55</v>
      </c>
      <c r="H92" s="8">
        <v>7</v>
      </c>
      <c r="I92" s="8">
        <v>7</v>
      </c>
      <c r="J92" s="8">
        <v>7</v>
      </c>
      <c r="K92" s="8">
        <v>7</v>
      </c>
      <c r="L92" s="8">
        <v>7</v>
      </c>
      <c r="M92" s="8">
        <v>7</v>
      </c>
      <c r="N92" s="8">
        <v>12.09</v>
      </c>
      <c r="O92" s="8">
        <v>6.52</v>
      </c>
      <c r="P92" s="8">
        <v>8.92</v>
      </c>
      <c r="Q92" s="8">
        <v>8.14</v>
      </c>
      <c r="R92" s="8">
        <v>2.87</v>
      </c>
      <c r="S92" s="9">
        <f t="shared" si="2"/>
        <v>12</v>
      </c>
      <c r="T92" s="8"/>
      <c r="U92" s="16">
        <f t="shared" si="3"/>
        <v>7</v>
      </c>
      <c r="V92" s="8"/>
      <c r="W92" s="8"/>
      <c r="X92" s="8"/>
      <c r="Y92" s="8"/>
    </row>
    <row r="93" spans="1:25" x14ac:dyDescent="0.25">
      <c r="A93" s="2">
        <v>92</v>
      </c>
      <c r="B93" s="3" t="s">
        <v>117</v>
      </c>
      <c r="C93" t="s">
        <v>117</v>
      </c>
      <c r="D93" t="s">
        <v>23</v>
      </c>
      <c r="E93">
        <v>1</v>
      </c>
      <c r="F93" s="8">
        <v>15</v>
      </c>
      <c r="G93" s="8">
        <v>15</v>
      </c>
      <c r="H93" s="8">
        <v>15</v>
      </c>
      <c r="I93" s="8">
        <v>15</v>
      </c>
      <c r="J93" s="8">
        <v>15</v>
      </c>
      <c r="K93" s="8">
        <v>15</v>
      </c>
      <c r="L93" s="8">
        <v>15</v>
      </c>
      <c r="M93" s="8">
        <v>15</v>
      </c>
      <c r="N93" s="8">
        <v>15</v>
      </c>
      <c r="O93" s="8">
        <v>15</v>
      </c>
      <c r="P93" s="8">
        <v>15</v>
      </c>
      <c r="Q93" s="8">
        <v>15</v>
      </c>
      <c r="R93" s="8">
        <v>15</v>
      </c>
      <c r="S93" s="9">
        <f t="shared" si="2"/>
        <v>12</v>
      </c>
      <c r="T93" s="8"/>
      <c r="U93" s="16">
        <f t="shared" si="3"/>
        <v>15</v>
      </c>
      <c r="V93" s="8"/>
      <c r="W93" s="8"/>
      <c r="X93" s="8"/>
      <c r="Y93" s="8"/>
    </row>
    <row r="94" spans="1:25" x14ac:dyDescent="0.25">
      <c r="A94" s="2">
        <v>93</v>
      </c>
      <c r="B94" s="3" t="s">
        <v>118</v>
      </c>
      <c r="C94" t="s">
        <v>118</v>
      </c>
      <c r="D94" t="s">
        <v>23</v>
      </c>
      <c r="E94">
        <v>1</v>
      </c>
      <c r="F94" s="8">
        <v>38.4</v>
      </c>
      <c r="G94" s="8">
        <v>41</v>
      </c>
      <c r="H94" s="8">
        <v>43.6</v>
      </c>
      <c r="I94" s="8">
        <v>43.6</v>
      </c>
      <c r="J94" s="8">
        <v>43.6</v>
      </c>
      <c r="K94" s="8">
        <v>42</v>
      </c>
      <c r="L94" s="8">
        <v>42</v>
      </c>
      <c r="M94" s="8">
        <v>42</v>
      </c>
      <c r="N94" s="8">
        <v>41.605201516842612</v>
      </c>
      <c r="O94" s="8">
        <v>41.075658339202278</v>
      </c>
      <c r="P94" s="8">
        <v>39.694647255551217</v>
      </c>
      <c r="Q94" s="8">
        <v>39.288541517354702</v>
      </c>
      <c r="R94" s="8">
        <v>38.990267090294992</v>
      </c>
      <c r="S94" s="9">
        <f t="shared" si="2"/>
        <v>12</v>
      </c>
      <c r="T94" s="8"/>
      <c r="U94" s="16">
        <f t="shared" si="3"/>
        <v>43.6</v>
      </c>
      <c r="V94" s="8"/>
      <c r="W94" s="8"/>
      <c r="X94" s="8"/>
      <c r="Y94" s="8"/>
    </row>
    <row r="95" spans="1:25" x14ac:dyDescent="0.25">
      <c r="A95" s="2">
        <v>94</v>
      </c>
      <c r="B95" s="3" t="s">
        <v>119</v>
      </c>
      <c r="C95" t="s">
        <v>119</v>
      </c>
      <c r="D95" t="s">
        <v>14</v>
      </c>
      <c r="E95">
        <v>1</v>
      </c>
      <c r="F95" s="8">
        <v>22</v>
      </c>
      <c r="G95" s="8">
        <v>21</v>
      </c>
      <c r="H95" s="8">
        <v>20</v>
      </c>
      <c r="I95" s="8">
        <v>20</v>
      </c>
      <c r="J95" s="8">
        <v>20</v>
      </c>
      <c r="K95" s="8">
        <v>20</v>
      </c>
      <c r="L95" s="8">
        <v>20</v>
      </c>
      <c r="M95" s="8">
        <v>20</v>
      </c>
      <c r="N95" s="8">
        <v>20</v>
      </c>
      <c r="O95" s="8">
        <v>20</v>
      </c>
      <c r="P95" s="8">
        <v>20</v>
      </c>
      <c r="Q95" s="8">
        <v>20</v>
      </c>
      <c r="R95" s="8">
        <v>20</v>
      </c>
      <c r="S95" s="9">
        <f t="shared" si="2"/>
        <v>12</v>
      </c>
      <c r="T95" s="8"/>
      <c r="U95" s="16">
        <f t="shared" si="3"/>
        <v>20</v>
      </c>
      <c r="V95" s="8"/>
      <c r="W95" s="8"/>
      <c r="X95" s="8"/>
      <c r="Y95" s="8"/>
    </row>
    <row r="96" spans="1:25" x14ac:dyDescent="0.25">
      <c r="A96" s="2">
        <v>95</v>
      </c>
      <c r="B96" s="3" t="s">
        <v>120</v>
      </c>
      <c r="C96" t="s">
        <v>120</v>
      </c>
      <c r="D96" t="s">
        <v>14</v>
      </c>
      <c r="E96">
        <v>1</v>
      </c>
      <c r="F96" s="8">
        <v>30</v>
      </c>
      <c r="G96" s="8">
        <v>30</v>
      </c>
      <c r="H96" s="8">
        <v>30</v>
      </c>
      <c r="I96" s="8">
        <v>30</v>
      </c>
      <c r="J96" s="8">
        <v>30</v>
      </c>
      <c r="K96" s="8">
        <v>30</v>
      </c>
      <c r="L96" s="8">
        <v>30</v>
      </c>
      <c r="M96" s="8">
        <v>30</v>
      </c>
      <c r="N96" s="8">
        <v>30</v>
      </c>
      <c r="O96" s="8">
        <v>30</v>
      </c>
      <c r="P96" s="8">
        <v>30</v>
      </c>
      <c r="Q96" s="8">
        <v>30</v>
      </c>
      <c r="R96" s="8">
        <v>30</v>
      </c>
      <c r="S96" s="9">
        <f t="shared" si="2"/>
        <v>12</v>
      </c>
      <c r="T96" s="8"/>
      <c r="U96" s="16">
        <f t="shared" si="3"/>
        <v>30</v>
      </c>
      <c r="V96" s="8"/>
      <c r="W96" s="8"/>
      <c r="X96" s="8"/>
      <c r="Y96" s="8"/>
    </row>
    <row r="97" spans="1:25" x14ac:dyDescent="0.25">
      <c r="A97" s="2">
        <v>96</v>
      </c>
      <c r="B97" s="3" t="s">
        <v>121</v>
      </c>
      <c r="C97" t="s">
        <v>121</v>
      </c>
      <c r="D97" t="s">
        <v>25</v>
      </c>
      <c r="E97">
        <v>1</v>
      </c>
      <c r="F97" s="8">
        <v>26</v>
      </c>
      <c r="G97" s="8">
        <v>26</v>
      </c>
      <c r="H97" s="8">
        <v>26</v>
      </c>
      <c r="I97" s="8">
        <v>26</v>
      </c>
      <c r="J97" s="8">
        <v>25</v>
      </c>
      <c r="K97" s="8">
        <v>28</v>
      </c>
      <c r="L97" s="8">
        <v>25</v>
      </c>
      <c r="M97" s="8">
        <v>25</v>
      </c>
      <c r="N97" s="8">
        <v>25.192116861180637</v>
      </c>
      <c r="O97" s="8">
        <v>24.909797023161389</v>
      </c>
      <c r="P97" s="8">
        <v>24.873156537274838</v>
      </c>
      <c r="Q97" s="8">
        <v>24.312691775955784</v>
      </c>
      <c r="R97" s="8">
        <v>24.342143612264294</v>
      </c>
      <c r="S97" s="9">
        <f t="shared" si="2"/>
        <v>12</v>
      </c>
      <c r="T97" s="8"/>
      <c r="U97" s="16">
        <f t="shared" si="3"/>
        <v>26</v>
      </c>
      <c r="V97" s="8"/>
      <c r="W97" s="8"/>
      <c r="X97" s="8"/>
      <c r="Y97" s="8"/>
    </row>
    <row r="98" spans="1:25" x14ac:dyDescent="0.25">
      <c r="A98" s="2">
        <v>97</v>
      </c>
      <c r="B98" s="3" t="s">
        <v>122</v>
      </c>
      <c r="C98" t="s">
        <v>122</v>
      </c>
      <c r="D98" t="s">
        <v>25</v>
      </c>
      <c r="E98">
        <v>0</v>
      </c>
      <c r="F98" s="8">
        <v>57.44</v>
      </c>
      <c r="G98" s="8">
        <v>37.79</v>
      </c>
      <c r="H98" s="8">
        <v>18.14</v>
      </c>
      <c r="I98" s="8">
        <v>45.26</v>
      </c>
      <c r="J98" s="8">
        <v>28.29</v>
      </c>
      <c r="K98" s="8">
        <v>24.79</v>
      </c>
      <c r="L98" s="8">
        <v>23.37</v>
      </c>
      <c r="M98" s="8">
        <v>15.22</v>
      </c>
      <c r="N98" s="8">
        <v>34.61</v>
      </c>
      <c r="O98" s="8">
        <v>22.39</v>
      </c>
      <c r="P98" s="8">
        <v>43.84</v>
      </c>
      <c r="Q98" s="8">
        <v>38.14</v>
      </c>
      <c r="R98" s="8">
        <v>36.22</v>
      </c>
      <c r="S98" s="9">
        <f t="shared" si="2"/>
        <v>12</v>
      </c>
      <c r="T98" s="8"/>
      <c r="U98" s="16">
        <f t="shared" si="3"/>
        <v>18.14</v>
      </c>
      <c r="V98" s="8"/>
      <c r="W98" s="8"/>
      <c r="X98" s="8"/>
      <c r="Y98" s="8"/>
    </row>
    <row r="99" spans="1:25" x14ac:dyDescent="0.25">
      <c r="A99" s="2">
        <v>98</v>
      </c>
      <c r="B99" s="3" t="s">
        <v>123</v>
      </c>
      <c r="C99" t="s">
        <v>123</v>
      </c>
      <c r="D99" t="s">
        <v>14</v>
      </c>
      <c r="E99">
        <v>1</v>
      </c>
      <c r="F99" s="8">
        <v>40</v>
      </c>
      <c r="G99" s="8">
        <v>40</v>
      </c>
      <c r="H99" s="8">
        <v>40</v>
      </c>
      <c r="I99" s="8">
        <v>40</v>
      </c>
      <c r="J99" s="8">
        <v>40</v>
      </c>
      <c r="K99" s="8">
        <v>40</v>
      </c>
      <c r="L99" s="8">
        <v>40</v>
      </c>
      <c r="M99" s="8">
        <v>40</v>
      </c>
      <c r="N99" s="8">
        <v>40</v>
      </c>
      <c r="O99" s="8">
        <v>40</v>
      </c>
      <c r="P99" s="8">
        <v>40</v>
      </c>
      <c r="Q99" s="8">
        <v>40</v>
      </c>
      <c r="R99" s="8">
        <v>40</v>
      </c>
      <c r="S99" s="9">
        <f t="shared" si="2"/>
        <v>12</v>
      </c>
      <c r="T99" s="8"/>
      <c r="U99" s="16">
        <f t="shared" si="3"/>
        <v>40</v>
      </c>
      <c r="V99" s="8"/>
      <c r="W99" s="8"/>
      <c r="X99" s="8"/>
      <c r="Y99" s="8"/>
    </row>
    <row r="100" spans="1:25" x14ac:dyDescent="0.25">
      <c r="A100" s="2">
        <v>99</v>
      </c>
      <c r="B100" s="3" t="s">
        <v>124</v>
      </c>
      <c r="C100" t="s">
        <v>124</v>
      </c>
      <c r="D100" t="s">
        <v>23</v>
      </c>
      <c r="E100">
        <v>1</v>
      </c>
      <c r="F100" s="8">
        <v>35</v>
      </c>
      <c r="G100" s="8">
        <v>35</v>
      </c>
      <c r="H100" s="8">
        <v>35</v>
      </c>
      <c r="I100" s="8">
        <v>35</v>
      </c>
      <c r="J100" s="8">
        <v>35</v>
      </c>
      <c r="K100" s="8">
        <v>35</v>
      </c>
      <c r="L100" s="8">
        <v>35</v>
      </c>
      <c r="M100" s="8">
        <v>35</v>
      </c>
      <c r="N100" s="8">
        <v>35</v>
      </c>
      <c r="O100" s="8">
        <v>35</v>
      </c>
      <c r="P100" s="8">
        <v>35</v>
      </c>
      <c r="Q100" s="8">
        <v>35</v>
      </c>
      <c r="R100" s="8">
        <v>35</v>
      </c>
      <c r="S100" s="9">
        <f t="shared" si="2"/>
        <v>12</v>
      </c>
      <c r="T100" s="8"/>
      <c r="U100" s="16">
        <f t="shared" si="3"/>
        <v>35</v>
      </c>
      <c r="V100" s="8"/>
      <c r="W100" s="8"/>
      <c r="X100" s="8"/>
      <c r="Y100" s="8"/>
    </row>
    <row r="101" spans="1:25" x14ac:dyDescent="0.25">
      <c r="A101" s="2">
        <v>100</v>
      </c>
      <c r="B101" s="3" t="s">
        <v>125</v>
      </c>
      <c r="C101" t="s">
        <v>11</v>
      </c>
      <c r="D101" t="s">
        <v>16</v>
      </c>
      <c r="E101">
        <v>0</v>
      </c>
      <c r="F101" s="8">
        <v>89.45</v>
      </c>
      <c r="G101" s="8">
        <v>61.81</v>
      </c>
      <c r="H101" s="8">
        <v>34.17</v>
      </c>
      <c r="I101" s="8">
        <v>41.81</v>
      </c>
      <c r="J101" s="8">
        <v>6.44</v>
      </c>
      <c r="K101" s="8">
        <v>35.130000000000003</v>
      </c>
      <c r="L101" s="8">
        <v>25.05</v>
      </c>
      <c r="M101" s="8">
        <v>33.64</v>
      </c>
      <c r="N101" s="8">
        <v>42.43</v>
      </c>
      <c r="O101" s="8">
        <v>21.5</v>
      </c>
      <c r="P101" s="8">
        <v>25.43</v>
      </c>
      <c r="Q101" s="8">
        <v>21.52</v>
      </c>
      <c r="R101" s="8">
        <v>46.42</v>
      </c>
      <c r="S101" s="9">
        <f t="shared" si="2"/>
        <v>12</v>
      </c>
      <c r="T101" s="8"/>
      <c r="U101" s="16">
        <f t="shared" si="3"/>
        <v>34.17</v>
      </c>
      <c r="V101" s="8"/>
      <c r="W101" s="8"/>
      <c r="X101" s="8"/>
      <c r="Y101" s="8"/>
    </row>
    <row r="102" spans="1:25" x14ac:dyDescent="0.25">
      <c r="A102" s="2">
        <v>101</v>
      </c>
      <c r="B102" s="3" t="s">
        <v>126</v>
      </c>
      <c r="C102" t="s">
        <v>126</v>
      </c>
      <c r="D102" t="s">
        <v>14</v>
      </c>
      <c r="E102">
        <v>1</v>
      </c>
      <c r="F102" s="8">
        <v>36</v>
      </c>
      <c r="G102" s="8">
        <v>33</v>
      </c>
      <c r="H102" s="8">
        <v>30</v>
      </c>
      <c r="I102" s="8">
        <v>30</v>
      </c>
      <c r="J102" s="8">
        <v>30</v>
      </c>
      <c r="K102" s="8">
        <v>30</v>
      </c>
      <c r="L102" s="8">
        <v>30</v>
      </c>
      <c r="M102" s="8">
        <v>30</v>
      </c>
      <c r="N102" s="8">
        <v>30</v>
      </c>
      <c r="O102" s="8">
        <v>30</v>
      </c>
      <c r="P102" s="8">
        <v>30</v>
      </c>
      <c r="Q102" s="8">
        <v>30</v>
      </c>
      <c r="R102" s="8">
        <v>30</v>
      </c>
      <c r="S102" s="9">
        <f t="shared" si="2"/>
        <v>12</v>
      </c>
      <c r="T102" s="8"/>
      <c r="U102" s="16">
        <f t="shared" si="3"/>
        <v>30</v>
      </c>
      <c r="V102" s="8"/>
      <c r="W102" s="8"/>
      <c r="X102" s="8"/>
      <c r="Y102" s="8"/>
    </row>
    <row r="103" spans="1:25" x14ac:dyDescent="0.25">
      <c r="A103" s="2">
        <v>102</v>
      </c>
      <c r="B103" s="3" t="s">
        <v>127</v>
      </c>
      <c r="C103" t="s">
        <v>127</v>
      </c>
      <c r="D103" t="s">
        <v>14</v>
      </c>
      <c r="E103">
        <v>1</v>
      </c>
      <c r="F103" s="8">
        <v>15</v>
      </c>
      <c r="G103" s="8">
        <v>15</v>
      </c>
      <c r="H103" s="8">
        <v>15</v>
      </c>
      <c r="I103" s="8">
        <v>15</v>
      </c>
      <c r="J103" s="8">
        <v>15</v>
      </c>
      <c r="K103" s="8">
        <v>15</v>
      </c>
      <c r="L103" s="8">
        <v>15</v>
      </c>
      <c r="M103" s="8">
        <v>15</v>
      </c>
      <c r="N103" s="8">
        <v>15</v>
      </c>
      <c r="O103" s="8">
        <v>15</v>
      </c>
      <c r="P103" s="8">
        <v>15</v>
      </c>
      <c r="Q103" s="8">
        <v>15</v>
      </c>
      <c r="R103" s="8">
        <v>15</v>
      </c>
      <c r="S103" s="9">
        <f t="shared" si="2"/>
        <v>12</v>
      </c>
      <c r="T103" s="8"/>
      <c r="U103" s="16">
        <f t="shared" si="3"/>
        <v>15</v>
      </c>
      <c r="V103" s="8"/>
      <c r="W103" s="8"/>
      <c r="X103" s="8"/>
      <c r="Y103" s="8"/>
    </row>
    <row r="104" spans="1:25" x14ac:dyDescent="0.25">
      <c r="A104" s="2">
        <v>103</v>
      </c>
      <c r="B104" s="3" t="s">
        <v>128</v>
      </c>
      <c r="C104" t="s">
        <v>128</v>
      </c>
      <c r="D104" t="s">
        <v>33</v>
      </c>
      <c r="E104">
        <v>1</v>
      </c>
      <c r="F104" s="8">
        <v>30</v>
      </c>
      <c r="G104" s="8">
        <v>30</v>
      </c>
      <c r="H104" s="8">
        <v>30</v>
      </c>
      <c r="I104" s="8">
        <v>35</v>
      </c>
      <c r="J104" s="8">
        <v>35</v>
      </c>
      <c r="K104" s="8">
        <v>35</v>
      </c>
      <c r="L104" s="8">
        <v>35</v>
      </c>
      <c r="M104" s="8">
        <v>35</v>
      </c>
      <c r="N104" s="8">
        <v>35</v>
      </c>
      <c r="O104" s="8">
        <v>35</v>
      </c>
      <c r="P104" s="8">
        <v>35</v>
      </c>
      <c r="Q104" s="8">
        <v>35</v>
      </c>
      <c r="R104" s="8">
        <v>35</v>
      </c>
      <c r="S104" s="9">
        <f t="shared" si="2"/>
        <v>12</v>
      </c>
      <c r="T104" s="8"/>
      <c r="U104" s="16">
        <f t="shared" si="3"/>
        <v>30</v>
      </c>
      <c r="V104" s="8"/>
      <c r="W104" s="8"/>
      <c r="X104" s="8"/>
      <c r="Y104" s="8"/>
    </row>
    <row r="105" spans="1:25" x14ac:dyDescent="0.25">
      <c r="A105" s="2">
        <v>104</v>
      </c>
      <c r="B105" s="3" t="s">
        <v>129</v>
      </c>
      <c r="C105" t="s">
        <v>129</v>
      </c>
      <c r="D105" t="s">
        <v>7</v>
      </c>
      <c r="E105">
        <v>1</v>
      </c>
      <c r="F105" s="8">
        <v>18</v>
      </c>
      <c r="G105" s="8">
        <v>18</v>
      </c>
      <c r="H105" s="8">
        <v>18</v>
      </c>
      <c r="I105" s="8">
        <v>18</v>
      </c>
      <c r="J105" s="8">
        <v>18</v>
      </c>
      <c r="K105" s="8">
        <v>18</v>
      </c>
      <c r="L105" s="8">
        <v>18</v>
      </c>
      <c r="M105" s="8">
        <v>18</v>
      </c>
      <c r="N105" s="8">
        <v>18</v>
      </c>
      <c r="O105" s="8">
        <v>18</v>
      </c>
      <c r="P105" s="8">
        <v>18</v>
      </c>
      <c r="Q105" s="8">
        <v>18</v>
      </c>
      <c r="R105" s="8">
        <v>18</v>
      </c>
      <c r="S105" s="9">
        <f t="shared" si="2"/>
        <v>12</v>
      </c>
      <c r="T105" s="8"/>
      <c r="U105" s="16">
        <f t="shared" si="3"/>
        <v>18</v>
      </c>
      <c r="V105" s="8"/>
      <c r="W105" s="8"/>
      <c r="X105" s="8"/>
      <c r="Y105" s="8"/>
    </row>
    <row r="106" spans="1:25" x14ac:dyDescent="0.25">
      <c r="A106" s="2">
        <v>105</v>
      </c>
      <c r="B106" s="3" t="s">
        <v>130</v>
      </c>
      <c r="C106" t="s">
        <v>11</v>
      </c>
      <c r="D106" t="s">
        <v>7</v>
      </c>
      <c r="E106">
        <v>0</v>
      </c>
      <c r="F106" s="8">
        <v>6.98</v>
      </c>
      <c r="G106" s="8">
        <v>31.17</v>
      </c>
      <c r="H106" s="8">
        <v>55.36</v>
      </c>
      <c r="I106" s="8">
        <v>26.62</v>
      </c>
      <c r="J106" s="8">
        <v>19.71</v>
      </c>
      <c r="K106" s="8">
        <v>28.81</v>
      </c>
      <c r="L106" s="8">
        <v>32.68</v>
      </c>
      <c r="M106" s="8">
        <v>14.96</v>
      </c>
      <c r="N106" s="8">
        <v>42.57</v>
      </c>
      <c r="O106" s="8">
        <v>48.83</v>
      </c>
      <c r="P106" s="8">
        <v>31.53</v>
      </c>
      <c r="Q106" s="8">
        <v>5.86</v>
      </c>
      <c r="R106" s="8">
        <v>17.239999999999998</v>
      </c>
      <c r="S106" s="9">
        <f t="shared" si="2"/>
        <v>12</v>
      </c>
      <c r="T106" s="8"/>
      <c r="U106" s="16">
        <f t="shared" si="3"/>
        <v>55.36</v>
      </c>
      <c r="V106" s="8"/>
      <c r="W106" s="8"/>
      <c r="X106" s="8"/>
      <c r="Y106" s="8"/>
    </row>
    <row r="107" spans="1:25" x14ac:dyDescent="0.25">
      <c r="A107" s="2">
        <v>106</v>
      </c>
      <c r="B107" s="3" t="s">
        <v>131</v>
      </c>
      <c r="C107" t="s">
        <v>131</v>
      </c>
      <c r="D107" t="s">
        <v>25</v>
      </c>
      <c r="E107">
        <v>1</v>
      </c>
      <c r="F107" s="8">
        <v>10</v>
      </c>
      <c r="G107" s="8">
        <v>10</v>
      </c>
      <c r="H107" s="8">
        <v>10</v>
      </c>
      <c r="I107" s="8">
        <v>10</v>
      </c>
      <c r="J107" s="8">
        <v>10</v>
      </c>
      <c r="K107" s="8">
        <v>10</v>
      </c>
      <c r="L107" s="8">
        <v>10</v>
      </c>
      <c r="M107" s="8">
        <v>10</v>
      </c>
      <c r="N107" s="8">
        <v>10</v>
      </c>
      <c r="O107" s="8">
        <v>10</v>
      </c>
      <c r="P107" s="8">
        <v>10</v>
      </c>
      <c r="Q107" s="8">
        <v>10</v>
      </c>
      <c r="R107" s="8">
        <v>10</v>
      </c>
      <c r="S107" s="9">
        <f t="shared" si="2"/>
        <v>12</v>
      </c>
      <c r="T107" s="8"/>
      <c r="U107" s="16">
        <f t="shared" si="3"/>
        <v>10</v>
      </c>
      <c r="V107" s="8"/>
      <c r="W107" s="8"/>
      <c r="X107" s="8"/>
      <c r="Y107" s="8"/>
    </row>
    <row r="108" spans="1:25" x14ac:dyDescent="0.25">
      <c r="A108" s="2">
        <v>107</v>
      </c>
      <c r="B108" s="3" t="s">
        <v>132</v>
      </c>
      <c r="C108" t="s">
        <v>132</v>
      </c>
      <c r="D108" t="s">
        <v>7</v>
      </c>
      <c r="E108">
        <v>1</v>
      </c>
      <c r="F108" s="8">
        <v>9</v>
      </c>
      <c r="G108" s="8">
        <v>9</v>
      </c>
      <c r="H108" s="8">
        <v>9</v>
      </c>
      <c r="I108" s="8">
        <v>9</v>
      </c>
      <c r="J108" s="8">
        <v>9</v>
      </c>
      <c r="K108" s="8">
        <v>9</v>
      </c>
      <c r="L108" s="8">
        <v>9</v>
      </c>
      <c r="M108" s="8">
        <v>9</v>
      </c>
      <c r="N108" s="8">
        <v>9</v>
      </c>
      <c r="O108" s="8">
        <v>9</v>
      </c>
      <c r="P108" s="8">
        <v>9</v>
      </c>
      <c r="Q108" s="8">
        <v>9</v>
      </c>
      <c r="R108" s="8">
        <v>9</v>
      </c>
      <c r="S108" s="9">
        <f t="shared" si="2"/>
        <v>12</v>
      </c>
      <c r="T108" s="8"/>
      <c r="U108" s="16">
        <f t="shared" si="3"/>
        <v>9</v>
      </c>
      <c r="V108" s="8"/>
      <c r="W108" s="8"/>
      <c r="X108" s="8"/>
      <c r="Y108" s="8"/>
    </row>
    <row r="109" spans="1:25" x14ac:dyDescent="0.25">
      <c r="A109" s="2">
        <v>108</v>
      </c>
      <c r="B109" s="3" t="s">
        <v>133</v>
      </c>
      <c r="C109" t="s">
        <v>133</v>
      </c>
      <c r="D109" t="s">
        <v>9</v>
      </c>
      <c r="E109">
        <v>1</v>
      </c>
      <c r="F109" s="8">
        <v>38</v>
      </c>
      <c r="G109" s="8">
        <v>38</v>
      </c>
      <c r="H109" s="8">
        <v>38</v>
      </c>
      <c r="I109" s="8">
        <v>38</v>
      </c>
      <c r="J109" s="8">
        <v>38</v>
      </c>
      <c r="K109" s="8">
        <v>38</v>
      </c>
      <c r="L109" s="8">
        <v>38</v>
      </c>
      <c r="M109" s="8">
        <v>38</v>
      </c>
      <c r="N109" s="8">
        <v>38</v>
      </c>
      <c r="O109" s="8">
        <v>38</v>
      </c>
      <c r="P109" s="8">
        <v>38</v>
      </c>
      <c r="Q109" s="8">
        <v>38</v>
      </c>
      <c r="R109" s="8">
        <v>38</v>
      </c>
      <c r="S109" s="9">
        <f t="shared" si="2"/>
        <v>12</v>
      </c>
      <c r="T109" s="8"/>
      <c r="U109" s="16">
        <f t="shared" si="3"/>
        <v>38</v>
      </c>
      <c r="V109" s="8"/>
      <c r="W109" s="8"/>
      <c r="X109" s="8"/>
      <c r="Y109" s="8"/>
    </row>
    <row r="110" spans="1:25" x14ac:dyDescent="0.25">
      <c r="A110" s="2">
        <v>109</v>
      </c>
      <c r="B110" s="3" t="s">
        <v>134</v>
      </c>
      <c r="C110" t="s">
        <v>134</v>
      </c>
      <c r="D110" t="s">
        <v>14</v>
      </c>
      <c r="E110">
        <v>1</v>
      </c>
      <c r="F110" s="8">
        <v>32</v>
      </c>
      <c r="G110" s="8">
        <v>32</v>
      </c>
      <c r="H110" s="8">
        <v>32</v>
      </c>
      <c r="I110" s="8">
        <v>32</v>
      </c>
      <c r="J110" s="8">
        <v>32</v>
      </c>
      <c r="K110" s="8">
        <v>32</v>
      </c>
      <c r="L110" s="8">
        <v>32</v>
      </c>
      <c r="M110" s="8">
        <v>32</v>
      </c>
      <c r="N110" s="8">
        <v>32</v>
      </c>
      <c r="O110" s="8">
        <v>32</v>
      </c>
      <c r="P110" s="8">
        <v>32</v>
      </c>
      <c r="Q110" s="8">
        <v>32</v>
      </c>
      <c r="R110" s="8">
        <v>32</v>
      </c>
      <c r="S110" s="9">
        <f t="shared" si="2"/>
        <v>12</v>
      </c>
      <c r="T110" s="8"/>
      <c r="U110" s="16">
        <f t="shared" si="3"/>
        <v>32</v>
      </c>
      <c r="V110" s="8"/>
      <c r="W110" s="8"/>
      <c r="X110" s="8"/>
      <c r="Y110" s="8"/>
    </row>
    <row r="111" spans="1:25" x14ac:dyDescent="0.25">
      <c r="A111" s="2">
        <v>110</v>
      </c>
      <c r="B111" s="3" t="s">
        <v>135</v>
      </c>
      <c r="C111" t="s">
        <v>135</v>
      </c>
      <c r="D111" t="s">
        <v>14</v>
      </c>
      <c r="E111">
        <v>1</v>
      </c>
      <c r="F111" s="8">
        <v>37</v>
      </c>
      <c r="G111" s="8">
        <v>37</v>
      </c>
      <c r="H111" s="8">
        <v>37</v>
      </c>
      <c r="I111" s="8">
        <v>37</v>
      </c>
      <c r="J111" s="8">
        <v>37</v>
      </c>
      <c r="K111" s="8">
        <v>37</v>
      </c>
      <c r="L111" s="8">
        <v>37</v>
      </c>
      <c r="M111" s="8">
        <v>37</v>
      </c>
      <c r="N111" s="8">
        <v>37</v>
      </c>
      <c r="O111" s="8">
        <v>37</v>
      </c>
      <c r="P111" s="8">
        <v>37</v>
      </c>
      <c r="Q111" s="8">
        <v>37</v>
      </c>
      <c r="R111" s="8">
        <v>37</v>
      </c>
      <c r="S111" s="9">
        <f t="shared" si="2"/>
        <v>12</v>
      </c>
      <c r="T111" s="8"/>
      <c r="U111" s="16">
        <f t="shared" si="3"/>
        <v>37</v>
      </c>
      <c r="V111" s="8"/>
      <c r="W111" s="8"/>
      <c r="X111" s="8"/>
      <c r="Y111" s="8"/>
    </row>
    <row r="112" spans="1:25" x14ac:dyDescent="0.25">
      <c r="A112" s="2">
        <v>111</v>
      </c>
      <c r="B112" s="3" t="s">
        <v>136</v>
      </c>
      <c r="C112" t="s">
        <v>136</v>
      </c>
      <c r="D112" t="s">
        <v>25</v>
      </c>
      <c r="E112">
        <v>1</v>
      </c>
      <c r="F112" s="8">
        <v>25</v>
      </c>
      <c r="G112" s="8">
        <v>25</v>
      </c>
      <c r="H112" s="8">
        <v>25</v>
      </c>
      <c r="I112" s="8">
        <v>25</v>
      </c>
      <c r="J112" s="8">
        <v>25</v>
      </c>
      <c r="K112" s="8">
        <v>25</v>
      </c>
      <c r="L112" s="8">
        <v>25</v>
      </c>
      <c r="M112" s="8">
        <v>25</v>
      </c>
      <c r="N112" s="8">
        <v>25</v>
      </c>
      <c r="O112" s="8">
        <v>25</v>
      </c>
      <c r="P112" s="8">
        <v>25</v>
      </c>
      <c r="Q112" s="8">
        <v>25</v>
      </c>
      <c r="R112" s="8">
        <v>25</v>
      </c>
      <c r="S112" s="9">
        <f t="shared" si="2"/>
        <v>12</v>
      </c>
      <c r="T112" s="8"/>
      <c r="U112" s="16">
        <f t="shared" si="3"/>
        <v>25</v>
      </c>
      <c r="V112" s="8"/>
      <c r="W112" s="8"/>
      <c r="X112" s="8"/>
      <c r="Y112" s="8"/>
    </row>
    <row r="113" spans="1:25" x14ac:dyDescent="0.25">
      <c r="A113" s="2">
        <v>112</v>
      </c>
      <c r="B113" s="3" t="s">
        <v>137</v>
      </c>
      <c r="C113" t="s">
        <v>137</v>
      </c>
      <c r="D113" t="s">
        <v>23</v>
      </c>
      <c r="E113">
        <v>1</v>
      </c>
      <c r="F113" s="8">
        <v>52</v>
      </c>
      <c r="G113" s="8">
        <v>52</v>
      </c>
      <c r="H113" s="8">
        <v>52</v>
      </c>
      <c r="I113" s="8">
        <v>52</v>
      </c>
      <c r="J113" s="8">
        <v>52</v>
      </c>
      <c r="K113" s="8">
        <v>52</v>
      </c>
      <c r="L113" s="8">
        <v>52</v>
      </c>
      <c r="M113" s="8">
        <v>52</v>
      </c>
      <c r="N113" s="8">
        <v>52</v>
      </c>
      <c r="O113" s="8">
        <v>52</v>
      </c>
      <c r="P113" s="8">
        <v>52</v>
      </c>
      <c r="Q113" s="8">
        <v>52</v>
      </c>
      <c r="R113" s="8">
        <v>52</v>
      </c>
      <c r="S113" s="9">
        <f t="shared" si="2"/>
        <v>12</v>
      </c>
      <c r="T113" s="8"/>
      <c r="U113" s="16">
        <f t="shared" si="3"/>
        <v>52</v>
      </c>
      <c r="V113" s="8"/>
      <c r="W113" s="8"/>
      <c r="X113" s="8"/>
      <c r="Y113" s="8"/>
    </row>
    <row r="114" spans="1:25" x14ac:dyDescent="0.25">
      <c r="A114" s="2">
        <v>113</v>
      </c>
      <c r="B114" s="3" t="s">
        <v>138</v>
      </c>
      <c r="C114" t="s">
        <v>139</v>
      </c>
      <c r="D114" t="s">
        <v>21</v>
      </c>
      <c r="E114">
        <v>1</v>
      </c>
      <c r="F114" s="8">
        <v>33</v>
      </c>
      <c r="G114" s="8">
        <v>33</v>
      </c>
      <c r="H114" s="8">
        <v>33</v>
      </c>
      <c r="I114" s="8">
        <v>33</v>
      </c>
      <c r="J114" s="8">
        <v>33</v>
      </c>
      <c r="K114" s="8">
        <v>33</v>
      </c>
      <c r="L114" s="8">
        <v>33</v>
      </c>
      <c r="M114" s="8">
        <v>33</v>
      </c>
      <c r="N114" s="8">
        <v>33</v>
      </c>
      <c r="O114" s="8">
        <v>33</v>
      </c>
      <c r="P114" s="8">
        <v>33</v>
      </c>
      <c r="Q114" s="8">
        <v>33</v>
      </c>
      <c r="R114" s="8">
        <v>33</v>
      </c>
      <c r="S114" s="9">
        <f t="shared" si="2"/>
        <v>12</v>
      </c>
      <c r="T114" s="8"/>
      <c r="U114" s="16">
        <f t="shared" si="3"/>
        <v>33</v>
      </c>
      <c r="V114" s="8"/>
      <c r="W114" s="8"/>
      <c r="X114" s="8"/>
      <c r="Y114" s="8"/>
    </row>
    <row r="115" spans="1:25" x14ac:dyDescent="0.25">
      <c r="A115" s="2">
        <v>114</v>
      </c>
      <c r="B115" s="3" t="s">
        <v>140</v>
      </c>
      <c r="C115" t="s">
        <v>140</v>
      </c>
      <c r="D115" t="s">
        <v>33</v>
      </c>
      <c r="E115">
        <v>1</v>
      </c>
      <c r="F115" s="8">
        <v>30</v>
      </c>
      <c r="G115" s="8">
        <v>30</v>
      </c>
      <c r="H115" s="8">
        <v>30</v>
      </c>
      <c r="I115" s="8">
        <v>30</v>
      </c>
      <c r="J115" s="8">
        <v>30</v>
      </c>
      <c r="K115" s="8">
        <v>30</v>
      </c>
      <c r="L115" s="8">
        <v>30</v>
      </c>
      <c r="M115" s="8">
        <v>30</v>
      </c>
      <c r="N115" s="8">
        <v>30</v>
      </c>
      <c r="O115" s="8">
        <v>30</v>
      </c>
      <c r="P115" s="8">
        <v>30</v>
      </c>
      <c r="Q115" s="8">
        <v>30</v>
      </c>
      <c r="R115" s="8">
        <v>30</v>
      </c>
      <c r="S115" s="9">
        <f t="shared" si="2"/>
        <v>12</v>
      </c>
      <c r="T115" s="8"/>
      <c r="U115" s="16">
        <f t="shared" si="3"/>
        <v>30</v>
      </c>
      <c r="V115" s="8"/>
      <c r="W115" s="8"/>
      <c r="X115" s="8"/>
      <c r="Y115" s="8"/>
    </row>
    <row r="116" spans="1:25" x14ac:dyDescent="0.25">
      <c r="A116" s="2">
        <v>115</v>
      </c>
      <c r="B116" s="3" t="s">
        <v>141</v>
      </c>
      <c r="C116" t="s">
        <v>141</v>
      </c>
      <c r="D116" t="s">
        <v>14</v>
      </c>
      <c r="E116">
        <v>0</v>
      </c>
      <c r="F116" s="8">
        <v>35</v>
      </c>
      <c r="G116" s="8">
        <v>35</v>
      </c>
      <c r="H116" s="8">
        <v>35</v>
      </c>
      <c r="I116" s="8">
        <v>35</v>
      </c>
      <c r="J116" s="8">
        <v>35</v>
      </c>
      <c r="K116" s="8">
        <v>35</v>
      </c>
      <c r="L116" s="8">
        <v>35</v>
      </c>
      <c r="M116" s="8">
        <v>35</v>
      </c>
      <c r="N116" s="8">
        <v>35.96</v>
      </c>
      <c r="O116" s="8">
        <v>32.270000000000003</v>
      </c>
      <c r="P116" s="8">
        <v>33.47</v>
      </c>
      <c r="Q116" s="8">
        <v>35.14</v>
      </c>
      <c r="R116" s="8">
        <v>33.880000000000003</v>
      </c>
      <c r="S116" s="9">
        <f t="shared" si="2"/>
        <v>12</v>
      </c>
      <c r="T116" s="8"/>
      <c r="U116" s="16">
        <f t="shared" si="3"/>
        <v>35</v>
      </c>
      <c r="V116" s="8"/>
      <c r="W116" s="8"/>
      <c r="X116" s="8"/>
      <c r="Y116" s="8"/>
    </row>
    <row r="117" spans="1:25" x14ac:dyDescent="0.25">
      <c r="A117" s="2">
        <v>116</v>
      </c>
      <c r="B117" s="3" t="s">
        <v>142</v>
      </c>
      <c r="C117" t="s">
        <v>142</v>
      </c>
      <c r="D117" t="s">
        <v>14</v>
      </c>
      <c r="E117">
        <v>1</v>
      </c>
      <c r="F117" s="8">
        <v>24</v>
      </c>
      <c r="G117" s="8">
        <v>24</v>
      </c>
      <c r="H117" s="8">
        <v>24</v>
      </c>
      <c r="I117" s="8">
        <v>24</v>
      </c>
      <c r="J117" s="8">
        <v>24</v>
      </c>
      <c r="K117" s="8">
        <v>24</v>
      </c>
      <c r="L117" s="8">
        <v>24</v>
      </c>
      <c r="M117" s="8">
        <v>24</v>
      </c>
      <c r="N117" s="8">
        <v>24</v>
      </c>
      <c r="O117" s="8">
        <v>24</v>
      </c>
      <c r="P117" s="8">
        <v>24</v>
      </c>
      <c r="Q117" s="8">
        <v>24</v>
      </c>
      <c r="R117" s="8">
        <v>24</v>
      </c>
      <c r="S117" s="9">
        <f t="shared" si="2"/>
        <v>12</v>
      </c>
      <c r="T117" s="8"/>
      <c r="U117" s="16">
        <f t="shared" si="3"/>
        <v>24</v>
      </c>
      <c r="V117" s="8"/>
      <c r="W117" s="8"/>
      <c r="X117" s="8"/>
      <c r="Y117" s="8"/>
    </row>
    <row r="118" spans="1:25" x14ac:dyDescent="0.25">
      <c r="A118" s="2">
        <v>117</v>
      </c>
      <c r="B118" s="3" t="s">
        <v>143</v>
      </c>
      <c r="C118" t="s">
        <v>143</v>
      </c>
      <c r="D118" t="s">
        <v>7</v>
      </c>
      <c r="E118">
        <v>1</v>
      </c>
      <c r="F118" s="8">
        <v>47.8</v>
      </c>
      <c r="G118" s="8">
        <v>47.8</v>
      </c>
      <c r="H118" s="8">
        <v>47.8</v>
      </c>
      <c r="I118" s="8">
        <v>47.8</v>
      </c>
      <c r="J118" s="8">
        <v>47.8</v>
      </c>
      <c r="K118" s="8">
        <v>47.8</v>
      </c>
      <c r="L118" s="8">
        <v>47.8</v>
      </c>
      <c r="M118" s="8">
        <v>47.8</v>
      </c>
      <c r="N118" s="8">
        <v>47.8</v>
      </c>
      <c r="O118" s="8">
        <v>47.8</v>
      </c>
      <c r="P118" s="8">
        <v>47.8</v>
      </c>
      <c r="Q118" s="8">
        <v>47.8</v>
      </c>
      <c r="R118" s="8">
        <v>47.8</v>
      </c>
      <c r="S118" s="9">
        <f t="shared" si="2"/>
        <v>12</v>
      </c>
      <c r="T118" s="8"/>
      <c r="U118" s="16">
        <f t="shared" si="3"/>
        <v>47.8</v>
      </c>
      <c r="V118" s="8"/>
      <c r="W118" s="8"/>
      <c r="X118" s="8"/>
      <c r="Y118" s="8"/>
    </row>
    <row r="119" spans="1:25" x14ac:dyDescent="0.25">
      <c r="A119" s="2">
        <v>118</v>
      </c>
      <c r="B119" s="3" t="s">
        <v>144</v>
      </c>
      <c r="C119" t="s">
        <v>144</v>
      </c>
      <c r="D119" t="s">
        <v>9</v>
      </c>
      <c r="E119">
        <v>1</v>
      </c>
      <c r="F119" s="8">
        <v>15.08</v>
      </c>
      <c r="G119" s="8">
        <v>31.18</v>
      </c>
      <c r="H119" s="8">
        <v>47.28</v>
      </c>
      <c r="I119" s="8">
        <v>46.01</v>
      </c>
      <c r="J119" s="8">
        <v>38.82</v>
      </c>
      <c r="K119" s="8">
        <v>33.94</v>
      </c>
      <c r="L119" s="8">
        <v>34.409999999999997</v>
      </c>
      <c r="M119" s="8">
        <v>28.67</v>
      </c>
      <c r="N119" s="8">
        <v>22.98</v>
      </c>
      <c r="O119" s="8">
        <v>32.950000000000003</v>
      </c>
      <c r="P119" s="8">
        <v>31.63</v>
      </c>
      <c r="Q119" s="8">
        <v>27.82</v>
      </c>
      <c r="R119" s="8">
        <v>39.130000000000003</v>
      </c>
      <c r="S119" s="9">
        <f t="shared" si="2"/>
        <v>12</v>
      </c>
      <c r="T119" s="8"/>
      <c r="U119" s="16">
        <f t="shared" si="3"/>
        <v>47.28</v>
      </c>
      <c r="V119" s="8"/>
      <c r="W119" s="8"/>
      <c r="X119" s="8"/>
      <c r="Y119" s="8"/>
    </row>
    <row r="120" spans="1:25" x14ac:dyDescent="0.25">
      <c r="A120" s="2">
        <v>119</v>
      </c>
      <c r="B120" s="3" t="s">
        <v>145</v>
      </c>
      <c r="C120" t="s">
        <v>145</v>
      </c>
      <c r="D120" t="s">
        <v>25</v>
      </c>
      <c r="E120">
        <v>1</v>
      </c>
      <c r="F120" s="8">
        <v>25</v>
      </c>
      <c r="G120" s="8">
        <v>25</v>
      </c>
      <c r="H120" s="8">
        <v>25</v>
      </c>
      <c r="I120" s="8">
        <v>30</v>
      </c>
      <c r="J120" s="8">
        <v>30</v>
      </c>
      <c r="K120" s="8">
        <v>30</v>
      </c>
      <c r="L120" s="8">
        <v>30</v>
      </c>
      <c r="M120" s="8">
        <v>30</v>
      </c>
      <c r="N120" s="8">
        <v>30</v>
      </c>
      <c r="O120" s="8">
        <v>30</v>
      </c>
      <c r="P120" s="8">
        <v>30</v>
      </c>
      <c r="Q120" s="8">
        <v>30</v>
      </c>
      <c r="R120" s="8">
        <v>30</v>
      </c>
      <c r="S120" s="9">
        <f t="shared" si="2"/>
        <v>12</v>
      </c>
      <c r="T120" s="8"/>
      <c r="U120" s="16">
        <f t="shared" si="3"/>
        <v>25</v>
      </c>
      <c r="V120" s="8"/>
      <c r="W120" s="8"/>
      <c r="X120" s="8"/>
      <c r="Y120" s="8"/>
    </row>
    <row r="121" spans="1:25" x14ac:dyDescent="0.25">
      <c r="A121" s="2">
        <v>120</v>
      </c>
      <c r="B121" s="3" t="s">
        <v>146</v>
      </c>
      <c r="C121" t="s">
        <v>146</v>
      </c>
      <c r="D121" t="s">
        <v>33</v>
      </c>
      <c r="E121">
        <v>1</v>
      </c>
      <c r="F121" s="8">
        <v>25</v>
      </c>
      <c r="G121" s="8">
        <v>25</v>
      </c>
      <c r="H121" s="8">
        <v>25</v>
      </c>
      <c r="I121" s="8">
        <v>25</v>
      </c>
      <c r="J121" s="8">
        <v>25</v>
      </c>
      <c r="K121" s="8">
        <v>25</v>
      </c>
      <c r="L121" s="8">
        <v>25</v>
      </c>
      <c r="M121" s="8">
        <v>25</v>
      </c>
      <c r="N121" s="8">
        <v>25</v>
      </c>
      <c r="O121" s="8">
        <v>25</v>
      </c>
      <c r="P121" s="8">
        <v>25</v>
      </c>
      <c r="Q121" s="8">
        <v>25</v>
      </c>
      <c r="R121" s="8">
        <v>25</v>
      </c>
      <c r="S121" s="9">
        <f t="shared" si="2"/>
        <v>12</v>
      </c>
      <c r="T121" s="8"/>
      <c r="U121" s="16">
        <f t="shared" si="3"/>
        <v>25</v>
      </c>
      <c r="V121" s="8"/>
      <c r="W121" s="8"/>
      <c r="X121" s="8"/>
      <c r="Y121" s="8"/>
    </row>
    <row r="122" spans="1:25" x14ac:dyDescent="0.25">
      <c r="A122" s="2">
        <v>121</v>
      </c>
      <c r="B122" s="3" t="s">
        <v>147</v>
      </c>
      <c r="C122" t="s">
        <v>148</v>
      </c>
      <c r="D122" t="s">
        <v>21</v>
      </c>
      <c r="E122">
        <v>0</v>
      </c>
      <c r="F122" s="8">
        <v>42</v>
      </c>
      <c r="G122" s="8">
        <v>42</v>
      </c>
      <c r="H122" s="8">
        <v>42</v>
      </c>
      <c r="I122" s="8">
        <v>42</v>
      </c>
      <c r="J122" s="8">
        <v>42</v>
      </c>
      <c r="K122" s="8">
        <v>42</v>
      </c>
      <c r="L122" s="8">
        <v>42</v>
      </c>
      <c r="M122" s="8">
        <v>42</v>
      </c>
      <c r="N122" s="8">
        <v>41.16</v>
      </c>
      <c r="O122" s="8">
        <v>41.41</v>
      </c>
      <c r="P122" s="8">
        <v>39.72</v>
      </c>
      <c r="Q122" s="8">
        <v>41.36</v>
      </c>
      <c r="R122" s="8">
        <v>41.19</v>
      </c>
      <c r="S122" s="9">
        <f t="shared" si="2"/>
        <v>12</v>
      </c>
      <c r="T122" s="8"/>
      <c r="U122" s="16">
        <f t="shared" si="3"/>
        <v>42</v>
      </c>
      <c r="V122" s="8"/>
      <c r="W122" s="8"/>
      <c r="X122" s="8"/>
      <c r="Y122" s="8"/>
    </row>
    <row r="123" spans="1:25" x14ac:dyDescent="0.25">
      <c r="A123" s="2">
        <v>122</v>
      </c>
      <c r="B123" s="3" t="s">
        <v>149</v>
      </c>
      <c r="C123" t="s">
        <v>149</v>
      </c>
      <c r="D123" t="s">
        <v>18</v>
      </c>
      <c r="E123">
        <v>1</v>
      </c>
      <c r="F123" s="8">
        <v>10</v>
      </c>
      <c r="G123" s="8">
        <v>10</v>
      </c>
      <c r="H123" s="8">
        <v>10</v>
      </c>
      <c r="I123" s="8">
        <v>10</v>
      </c>
      <c r="J123" s="8">
        <v>10</v>
      </c>
      <c r="K123" s="8">
        <v>10</v>
      </c>
      <c r="L123" s="8">
        <v>10</v>
      </c>
      <c r="M123" s="8">
        <v>10</v>
      </c>
      <c r="N123" s="8">
        <v>10</v>
      </c>
      <c r="O123" s="8">
        <v>10</v>
      </c>
      <c r="P123" s="8">
        <v>10</v>
      </c>
      <c r="Q123" s="8">
        <v>10</v>
      </c>
      <c r="R123" s="8">
        <v>10</v>
      </c>
      <c r="S123" s="9">
        <f t="shared" si="2"/>
        <v>12</v>
      </c>
      <c r="T123" s="8"/>
      <c r="U123" s="16">
        <f t="shared" si="3"/>
        <v>10</v>
      </c>
      <c r="V123" s="8"/>
      <c r="W123" s="8"/>
      <c r="X123" s="8"/>
      <c r="Y123" s="8"/>
    </row>
    <row r="124" spans="1:25" x14ac:dyDescent="0.25">
      <c r="A124" s="2">
        <v>123</v>
      </c>
      <c r="B124" s="3" t="s">
        <v>150</v>
      </c>
      <c r="C124" t="s">
        <v>150</v>
      </c>
      <c r="D124" t="s">
        <v>18</v>
      </c>
      <c r="E124">
        <v>1</v>
      </c>
      <c r="F124" s="8">
        <v>30</v>
      </c>
      <c r="G124" s="8">
        <v>30</v>
      </c>
      <c r="H124" s="8">
        <v>30</v>
      </c>
      <c r="I124" s="8">
        <v>30</v>
      </c>
      <c r="J124" s="8">
        <v>30</v>
      </c>
      <c r="K124" s="8">
        <v>30</v>
      </c>
      <c r="L124" s="8">
        <v>30</v>
      </c>
      <c r="M124" s="8">
        <v>30</v>
      </c>
      <c r="N124" s="8">
        <v>30</v>
      </c>
      <c r="O124" s="8">
        <v>30</v>
      </c>
      <c r="P124" s="8">
        <v>30</v>
      </c>
      <c r="Q124" s="8">
        <v>30</v>
      </c>
      <c r="R124" s="8">
        <v>30</v>
      </c>
      <c r="S124" s="9">
        <f t="shared" si="2"/>
        <v>12</v>
      </c>
      <c r="T124" s="8"/>
      <c r="U124" s="16">
        <f t="shared" si="3"/>
        <v>30</v>
      </c>
      <c r="V124" s="8"/>
      <c r="W124" s="8"/>
      <c r="X124" s="8"/>
      <c r="Y124" s="8"/>
    </row>
    <row r="125" spans="1:25" x14ac:dyDescent="0.25">
      <c r="A125" s="2">
        <v>124</v>
      </c>
      <c r="B125" s="3" t="s">
        <v>151</v>
      </c>
      <c r="C125" t="s">
        <v>151</v>
      </c>
      <c r="D125" t="s">
        <v>25</v>
      </c>
      <c r="E125">
        <v>1</v>
      </c>
      <c r="F125" s="8">
        <v>32</v>
      </c>
      <c r="G125" s="8">
        <v>32</v>
      </c>
      <c r="H125" s="8">
        <v>32</v>
      </c>
      <c r="I125" s="8">
        <v>32</v>
      </c>
      <c r="J125" s="8">
        <v>32</v>
      </c>
      <c r="K125" s="8">
        <v>32</v>
      </c>
      <c r="L125" s="8">
        <v>32</v>
      </c>
      <c r="M125" s="8">
        <v>35</v>
      </c>
      <c r="N125" s="8">
        <v>33.522043829744916</v>
      </c>
      <c r="O125" s="8">
        <v>35.041210387086721</v>
      </c>
      <c r="P125" s="8">
        <v>36.408807184190437</v>
      </c>
      <c r="Q125" s="8">
        <v>37.348771418573051</v>
      </c>
      <c r="R125" s="8">
        <v>37.613473009788549</v>
      </c>
      <c r="S125" s="9">
        <f t="shared" si="2"/>
        <v>12</v>
      </c>
      <c r="T125" s="8"/>
      <c r="U125" s="16">
        <f t="shared" si="3"/>
        <v>32</v>
      </c>
      <c r="V125" s="8"/>
      <c r="W125" s="8"/>
      <c r="X125" s="8"/>
      <c r="Y125" s="8"/>
    </row>
    <row r="126" spans="1:25" x14ac:dyDescent="0.25">
      <c r="A126" s="2">
        <v>125</v>
      </c>
      <c r="B126" s="3" t="s">
        <v>152</v>
      </c>
      <c r="C126" t="s">
        <v>152</v>
      </c>
      <c r="D126" t="s">
        <v>23</v>
      </c>
      <c r="E126">
        <v>1</v>
      </c>
      <c r="F126" s="8">
        <v>32</v>
      </c>
      <c r="G126" s="8">
        <v>32</v>
      </c>
      <c r="H126" s="8">
        <v>32</v>
      </c>
      <c r="I126" s="8">
        <v>32</v>
      </c>
      <c r="J126" s="8">
        <v>32</v>
      </c>
      <c r="K126" s="8">
        <v>32</v>
      </c>
      <c r="L126" s="8">
        <v>32</v>
      </c>
      <c r="M126" s="8">
        <v>32</v>
      </c>
      <c r="N126" s="8">
        <v>32</v>
      </c>
      <c r="O126" s="8">
        <v>32</v>
      </c>
      <c r="P126" s="8">
        <v>32</v>
      </c>
      <c r="Q126" s="8">
        <v>32</v>
      </c>
      <c r="R126" s="8">
        <v>32</v>
      </c>
      <c r="S126" s="9">
        <f t="shared" si="2"/>
        <v>12</v>
      </c>
      <c r="T126" s="8"/>
      <c r="U126" s="16">
        <f t="shared" si="3"/>
        <v>32</v>
      </c>
      <c r="V126" s="8"/>
      <c r="W126" s="8"/>
      <c r="X126" s="8"/>
      <c r="Y126" s="8"/>
    </row>
    <row r="127" spans="1:25" x14ac:dyDescent="0.25">
      <c r="A127" s="2">
        <v>126</v>
      </c>
      <c r="B127" s="3" t="s">
        <v>153</v>
      </c>
      <c r="C127" t="s">
        <v>153</v>
      </c>
      <c r="D127" t="s">
        <v>23</v>
      </c>
      <c r="E127">
        <v>1</v>
      </c>
      <c r="F127" s="8">
        <v>45</v>
      </c>
      <c r="G127" s="8">
        <v>46.5</v>
      </c>
      <c r="H127" s="8">
        <v>48</v>
      </c>
      <c r="I127" s="8">
        <v>48</v>
      </c>
      <c r="J127" s="8">
        <v>48</v>
      </c>
      <c r="K127" s="8">
        <v>48</v>
      </c>
      <c r="L127" s="8">
        <v>48</v>
      </c>
      <c r="M127" s="8">
        <v>48</v>
      </c>
      <c r="N127" s="8">
        <v>48</v>
      </c>
      <c r="O127" s="8">
        <v>48</v>
      </c>
      <c r="P127" s="8">
        <v>48</v>
      </c>
      <c r="Q127" s="8">
        <v>48</v>
      </c>
      <c r="R127" s="8">
        <v>48</v>
      </c>
      <c r="S127" s="9">
        <f t="shared" si="2"/>
        <v>12</v>
      </c>
      <c r="T127" s="8"/>
      <c r="U127" s="16">
        <f t="shared" si="3"/>
        <v>48</v>
      </c>
      <c r="V127" s="8"/>
      <c r="W127" s="8"/>
      <c r="X127" s="8"/>
      <c r="Y127" s="8"/>
    </row>
    <row r="128" spans="1:25" x14ac:dyDescent="0.25">
      <c r="A128" s="2">
        <v>127</v>
      </c>
      <c r="B128" s="3" t="s">
        <v>154</v>
      </c>
      <c r="C128" t="s">
        <v>11</v>
      </c>
      <c r="D128" t="s">
        <v>16</v>
      </c>
      <c r="E128">
        <v>1</v>
      </c>
      <c r="F128" s="8">
        <v>32.11</v>
      </c>
      <c r="G128" s="8">
        <v>33.299999999999997</v>
      </c>
      <c r="H128" s="8">
        <v>34.49</v>
      </c>
      <c r="I128" s="8">
        <v>26.23</v>
      </c>
      <c r="J128" s="8">
        <v>29.7</v>
      </c>
      <c r="K128" s="8">
        <v>11.38</v>
      </c>
      <c r="L128" s="8">
        <v>30.08</v>
      </c>
      <c r="M128" s="8">
        <v>36.39</v>
      </c>
      <c r="N128" s="8">
        <v>29.85</v>
      </c>
      <c r="O128" s="8">
        <v>33.26</v>
      </c>
      <c r="P128" s="8">
        <v>48.46</v>
      </c>
      <c r="Q128" s="8">
        <v>35.97</v>
      </c>
      <c r="R128" s="8">
        <v>30.68</v>
      </c>
      <c r="S128" s="9">
        <f t="shared" si="2"/>
        <v>12</v>
      </c>
      <c r="T128" s="8"/>
      <c r="U128" s="16">
        <f t="shared" si="3"/>
        <v>34.49</v>
      </c>
      <c r="V128" s="8"/>
      <c r="W128" s="8"/>
      <c r="X128" s="8"/>
      <c r="Y128" s="8"/>
    </row>
    <row r="129" spans="1:25" x14ac:dyDescent="0.25">
      <c r="A129" s="2">
        <v>128</v>
      </c>
      <c r="B129" s="3" t="s">
        <v>155</v>
      </c>
      <c r="C129" t="s">
        <v>155</v>
      </c>
      <c r="D129" t="s">
        <v>9</v>
      </c>
      <c r="E129">
        <v>1</v>
      </c>
      <c r="F129" s="8">
        <v>38.93</v>
      </c>
      <c r="G129" s="8">
        <v>38.18</v>
      </c>
      <c r="H129" s="8">
        <v>37.43</v>
      </c>
      <c r="I129" s="8">
        <v>40.83</v>
      </c>
      <c r="J129" s="8">
        <v>38.4</v>
      </c>
      <c r="K129" s="8">
        <v>10.1</v>
      </c>
      <c r="L129" s="8">
        <v>47.62</v>
      </c>
      <c r="M129" s="8">
        <v>35.42</v>
      </c>
      <c r="N129" s="8">
        <v>5.01</v>
      </c>
      <c r="O129" s="8">
        <v>8.69</v>
      </c>
      <c r="P129" s="8">
        <v>39.03</v>
      </c>
      <c r="Q129" s="8">
        <v>41.45</v>
      </c>
      <c r="R129" s="8">
        <v>36.03</v>
      </c>
      <c r="S129" s="9">
        <f t="shared" si="2"/>
        <v>12</v>
      </c>
      <c r="T129" s="8"/>
      <c r="U129" s="16">
        <f t="shared" si="3"/>
        <v>37.43</v>
      </c>
      <c r="V129" s="8"/>
      <c r="W129" s="8"/>
      <c r="X129" s="8"/>
      <c r="Y129" s="8"/>
    </row>
    <row r="130" spans="1:25" x14ac:dyDescent="0.25">
      <c r="A130" s="2">
        <v>129</v>
      </c>
      <c r="B130" s="3" t="s">
        <v>156</v>
      </c>
      <c r="C130" t="s">
        <v>156</v>
      </c>
      <c r="D130" t="s">
        <v>23</v>
      </c>
      <c r="E130">
        <v>1</v>
      </c>
      <c r="F130" s="8">
        <v>16</v>
      </c>
      <c r="G130" s="8">
        <v>16</v>
      </c>
      <c r="H130" s="8">
        <v>16</v>
      </c>
      <c r="I130" s="8">
        <v>16</v>
      </c>
      <c r="J130" s="8">
        <v>16</v>
      </c>
      <c r="K130" s="8">
        <v>16</v>
      </c>
      <c r="L130" s="8">
        <v>16</v>
      </c>
      <c r="M130" s="8">
        <v>10</v>
      </c>
      <c r="N130" s="8">
        <v>8.7572237675126416</v>
      </c>
      <c r="O130" s="8">
        <v>10.620354820493958</v>
      </c>
      <c r="P130" s="8">
        <v>7.6976597936331927</v>
      </c>
      <c r="Q130" s="8">
        <v>9.7489040896657571</v>
      </c>
      <c r="R130" s="8">
        <v>5.9342618209739157</v>
      </c>
      <c r="S130" s="9">
        <f t="shared" si="2"/>
        <v>12</v>
      </c>
      <c r="T130" s="8"/>
      <c r="U130" s="16">
        <f t="shared" si="3"/>
        <v>16</v>
      </c>
      <c r="V130" s="8"/>
      <c r="W130" s="8"/>
      <c r="X130" s="8"/>
      <c r="Y130" s="8"/>
    </row>
    <row r="131" spans="1:25" x14ac:dyDescent="0.25">
      <c r="A131" s="2">
        <v>130</v>
      </c>
      <c r="B131" s="3" t="s">
        <v>157</v>
      </c>
      <c r="C131" t="s">
        <v>158</v>
      </c>
      <c r="D131" t="s">
        <v>7</v>
      </c>
      <c r="E131">
        <v>1</v>
      </c>
      <c r="F131" s="8">
        <v>13</v>
      </c>
      <c r="G131" s="8">
        <v>13</v>
      </c>
      <c r="H131" s="8">
        <v>13</v>
      </c>
      <c r="I131" s="8">
        <v>13</v>
      </c>
      <c r="J131" s="8">
        <v>13</v>
      </c>
      <c r="K131" s="8">
        <v>13</v>
      </c>
      <c r="L131" s="8">
        <v>13</v>
      </c>
      <c r="M131" s="8">
        <v>13</v>
      </c>
      <c r="N131" s="8">
        <v>13</v>
      </c>
      <c r="O131" s="8">
        <v>13</v>
      </c>
      <c r="P131" s="8">
        <v>13</v>
      </c>
      <c r="Q131" s="8">
        <v>13</v>
      </c>
      <c r="R131" s="8">
        <v>13</v>
      </c>
      <c r="S131" s="9">
        <f t="shared" ref="S131:S176" si="4">COUNT(G131:R131)</f>
        <v>12</v>
      </c>
      <c r="T131" s="8"/>
      <c r="U131" s="16">
        <f t="shared" ref="U131:U176" si="5">IF(SUMIF($F$1:$R$1,U$1,$F131:$R131)=0,".",SUMIF($F$1:$R$1,U$1,$F131:$R131))</f>
        <v>13</v>
      </c>
      <c r="V131" s="8"/>
      <c r="W131" s="8"/>
      <c r="X131" s="8"/>
      <c r="Y131" s="8"/>
    </row>
    <row r="132" spans="1:25" x14ac:dyDescent="0.25">
      <c r="A132" s="2">
        <v>131</v>
      </c>
      <c r="B132" s="3" t="s">
        <v>159</v>
      </c>
      <c r="C132" t="s">
        <v>159</v>
      </c>
      <c r="D132" t="s">
        <v>14</v>
      </c>
      <c r="E132">
        <v>1</v>
      </c>
      <c r="F132" s="8">
        <v>30</v>
      </c>
      <c r="G132" s="8">
        <v>30</v>
      </c>
      <c r="H132" s="8">
        <v>30</v>
      </c>
      <c r="I132" s="8">
        <v>30</v>
      </c>
      <c r="J132" s="8">
        <v>30</v>
      </c>
      <c r="K132" s="8">
        <v>30</v>
      </c>
      <c r="L132" s="8">
        <v>30</v>
      </c>
      <c r="M132" s="8">
        <v>30</v>
      </c>
      <c r="N132" s="8">
        <v>30</v>
      </c>
      <c r="O132" s="8">
        <v>30</v>
      </c>
      <c r="P132" s="8">
        <v>30</v>
      </c>
      <c r="Q132" s="8">
        <v>30</v>
      </c>
      <c r="R132" s="8">
        <v>30</v>
      </c>
      <c r="S132" s="9">
        <f t="shared" si="4"/>
        <v>12</v>
      </c>
      <c r="T132" s="8"/>
      <c r="U132" s="16">
        <f t="shared" si="5"/>
        <v>30</v>
      </c>
      <c r="V132" s="8"/>
      <c r="W132" s="8"/>
      <c r="X132" s="8"/>
      <c r="Y132" s="8"/>
    </row>
    <row r="133" spans="1:25" x14ac:dyDescent="0.25">
      <c r="A133" s="2">
        <v>132</v>
      </c>
      <c r="B133" s="3" t="s">
        <v>160</v>
      </c>
      <c r="C133" t="s">
        <v>161</v>
      </c>
      <c r="D133" t="s">
        <v>16</v>
      </c>
      <c r="E133">
        <v>0</v>
      </c>
      <c r="F133" s="8">
        <v>25.62</v>
      </c>
      <c r="G133" s="8">
        <v>27.46</v>
      </c>
      <c r="H133" s="8">
        <v>29.3</v>
      </c>
      <c r="I133" s="8">
        <v>29.89</v>
      </c>
      <c r="J133" s="8">
        <v>29.3</v>
      </c>
      <c r="K133" s="8">
        <v>30</v>
      </c>
      <c r="L133" s="8">
        <v>30</v>
      </c>
      <c r="M133" s="8">
        <v>30</v>
      </c>
      <c r="N133" s="8">
        <v>26.17</v>
      </c>
      <c r="O133" s="8">
        <v>23.74</v>
      </c>
      <c r="P133" s="8">
        <v>29.01</v>
      </c>
      <c r="Q133" s="8">
        <v>29.98</v>
      </c>
      <c r="R133" s="8">
        <v>31.12</v>
      </c>
      <c r="S133" s="9">
        <f t="shared" si="4"/>
        <v>12</v>
      </c>
      <c r="T133" s="8"/>
      <c r="U133" s="16">
        <f t="shared" si="5"/>
        <v>29.3</v>
      </c>
      <c r="V133" s="8"/>
      <c r="W133" s="8"/>
      <c r="X133" s="8"/>
      <c r="Y133" s="8"/>
    </row>
    <row r="134" spans="1:25" x14ac:dyDescent="0.25">
      <c r="A134" s="2">
        <v>133</v>
      </c>
      <c r="B134" s="3" t="s">
        <v>162</v>
      </c>
      <c r="C134" t="s">
        <v>162</v>
      </c>
      <c r="D134" t="s">
        <v>21</v>
      </c>
      <c r="E134">
        <v>0</v>
      </c>
      <c r="F134" s="8">
        <v>27</v>
      </c>
      <c r="G134" s="8">
        <v>27</v>
      </c>
      <c r="H134" s="8">
        <v>27</v>
      </c>
      <c r="I134" s="8">
        <v>27</v>
      </c>
      <c r="J134" s="8">
        <v>27</v>
      </c>
      <c r="K134" s="8">
        <v>27</v>
      </c>
      <c r="L134" s="8">
        <v>27</v>
      </c>
      <c r="M134" s="8">
        <v>27</v>
      </c>
      <c r="N134" s="8">
        <v>30.65</v>
      </c>
      <c r="O134" s="8">
        <v>26.38</v>
      </c>
      <c r="P134" s="8">
        <v>25.99</v>
      </c>
      <c r="Q134" s="8">
        <v>27.19</v>
      </c>
      <c r="R134" s="8">
        <v>28.47</v>
      </c>
      <c r="S134" s="9">
        <f t="shared" si="4"/>
        <v>12</v>
      </c>
      <c r="T134" s="8"/>
      <c r="U134" s="16">
        <f t="shared" si="5"/>
        <v>27</v>
      </c>
      <c r="V134" s="8"/>
      <c r="W134" s="8"/>
      <c r="X134" s="8"/>
      <c r="Y134" s="8"/>
    </row>
    <row r="135" spans="1:25" x14ac:dyDescent="0.25">
      <c r="A135" s="2">
        <v>134</v>
      </c>
      <c r="B135" s="3" t="s">
        <v>163</v>
      </c>
      <c r="C135" t="s">
        <v>164</v>
      </c>
      <c r="D135" t="s">
        <v>9</v>
      </c>
      <c r="E135">
        <v>1</v>
      </c>
      <c r="F135" s="8">
        <v>2.5</v>
      </c>
      <c r="G135" s="8">
        <v>2.5</v>
      </c>
      <c r="H135" s="8">
        <v>2.5</v>
      </c>
      <c r="I135" s="8">
        <v>2.5</v>
      </c>
      <c r="J135" s="8">
        <v>2.5</v>
      </c>
      <c r="K135" s="8">
        <v>2.5</v>
      </c>
      <c r="L135" s="8">
        <v>2.5</v>
      </c>
      <c r="M135" s="8">
        <v>2.5</v>
      </c>
      <c r="N135" s="8">
        <v>2.5</v>
      </c>
      <c r="O135" s="8">
        <v>2.5</v>
      </c>
      <c r="P135" s="8">
        <v>2.5</v>
      </c>
      <c r="Q135" s="8">
        <v>2.5</v>
      </c>
      <c r="R135" s="8">
        <v>2.5</v>
      </c>
      <c r="S135" s="9">
        <f t="shared" si="4"/>
        <v>12</v>
      </c>
      <c r="T135" s="8"/>
      <c r="U135" s="16">
        <f t="shared" si="5"/>
        <v>2.5</v>
      </c>
      <c r="V135" s="8"/>
      <c r="W135" s="8"/>
      <c r="X135" s="8"/>
      <c r="Y135" s="8"/>
    </row>
    <row r="136" spans="1:25" x14ac:dyDescent="0.25">
      <c r="A136" s="2">
        <v>135</v>
      </c>
      <c r="B136" s="3" t="s">
        <v>165</v>
      </c>
      <c r="C136" t="s">
        <v>165</v>
      </c>
      <c r="D136" t="s">
        <v>14</v>
      </c>
      <c r="E136">
        <v>1</v>
      </c>
      <c r="F136" s="8">
        <v>50</v>
      </c>
      <c r="G136" s="8">
        <v>50</v>
      </c>
      <c r="H136" s="8">
        <v>50</v>
      </c>
      <c r="I136" s="8">
        <v>40</v>
      </c>
      <c r="J136" s="8">
        <v>40</v>
      </c>
      <c r="K136" s="8">
        <v>40</v>
      </c>
      <c r="L136" s="8">
        <v>40</v>
      </c>
      <c r="M136" s="8">
        <v>40</v>
      </c>
      <c r="N136" s="8">
        <v>40</v>
      </c>
      <c r="O136" s="8">
        <v>40</v>
      </c>
      <c r="P136" s="8">
        <v>40</v>
      </c>
      <c r="Q136" s="8">
        <v>40</v>
      </c>
      <c r="R136" s="8">
        <v>40</v>
      </c>
      <c r="S136" s="9">
        <f t="shared" si="4"/>
        <v>12</v>
      </c>
      <c r="T136" s="8"/>
      <c r="U136" s="16">
        <f t="shared" si="5"/>
        <v>50</v>
      </c>
      <c r="V136" s="8"/>
      <c r="W136" s="8"/>
      <c r="X136" s="8"/>
      <c r="Y136" s="8"/>
    </row>
    <row r="137" spans="1:25" x14ac:dyDescent="0.25">
      <c r="A137" s="2">
        <v>136</v>
      </c>
      <c r="B137" s="3" t="s">
        <v>166</v>
      </c>
      <c r="C137" t="s">
        <v>166</v>
      </c>
      <c r="D137" t="s">
        <v>7</v>
      </c>
      <c r="E137">
        <v>1</v>
      </c>
      <c r="F137" s="8">
        <v>15</v>
      </c>
      <c r="G137" s="8">
        <v>15</v>
      </c>
      <c r="H137" s="8">
        <v>15</v>
      </c>
      <c r="I137" s="8">
        <v>15</v>
      </c>
      <c r="J137" s="8">
        <v>15</v>
      </c>
      <c r="K137" s="8">
        <v>15</v>
      </c>
      <c r="L137" s="8">
        <v>15</v>
      </c>
      <c r="M137" s="8">
        <v>10</v>
      </c>
      <c r="N137" s="8">
        <v>12.322179480038812</v>
      </c>
      <c r="O137" s="8">
        <v>9.8128132192948669</v>
      </c>
      <c r="P137" s="8">
        <v>7.9440857051890816</v>
      </c>
      <c r="Q137" s="8">
        <v>9.8800406103032401</v>
      </c>
      <c r="R137" s="8">
        <v>5.8418053184391283</v>
      </c>
      <c r="S137" s="9">
        <f t="shared" si="4"/>
        <v>12</v>
      </c>
      <c r="T137" s="8"/>
      <c r="U137" s="16">
        <f t="shared" si="5"/>
        <v>15</v>
      </c>
      <c r="V137" s="8"/>
      <c r="W137" s="8"/>
      <c r="X137" s="8"/>
      <c r="Y137" s="8"/>
    </row>
    <row r="138" spans="1:25" x14ac:dyDescent="0.25">
      <c r="A138" s="2">
        <v>137</v>
      </c>
      <c r="B138" s="3" t="s">
        <v>167</v>
      </c>
      <c r="C138" t="s">
        <v>167</v>
      </c>
      <c r="D138" t="s">
        <v>14</v>
      </c>
      <c r="E138">
        <v>1</v>
      </c>
      <c r="F138" s="8">
        <v>15</v>
      </c>
      <c r="G138" s="8">
        <v>15</v>
      </c>
      <c r="H138" s="8">
        <v>15</v>
      </c>
      <c r="I138" s="8">
        <v>15</v>
      </c>
      <c r="J138" s="8">
        <v>15</v>
      </c>
      <c r="K138" s="8">
        <v>15</v>
      </c>
      <c r="L138" s="8">
        <v>15</v>
      </c>
      <c r="M138" s="8">
        <v>15</v>
      </c>
      <c r="N138" s="8">
        <v>15</v>
      </c>
      <c r="O138" s="8">
        <v>15</v>
      </c>
      <c r="P138" s="8">
        <v>15</v>
      </c>
      <c r="Q138" s="8">
        <v>15</v>
      </c>
      <c r="R138" s="8">
        <v>15</v>
      </c>
      <c r="S138" s="9">
        <f t="shared" si="4"/>
        <v>12</v>
      </c>
      <c r="T138" s="8"/>
      <c r="U138" s="16">
        <f t="shared" si="5"/>
        <v>15</v>
      </c>
      <c r="V138" s="8"/>
      <c r="W138" s="8"/>
      <c r="X138" s="8"/>
      <c r="Y138" s="8"/>
    </row>
    <row r="139" spans="1:25" x14ac:dyDescent="0.25">
      <c r="A139" s="2">
        <v>138</v>
      </c>
      <c r="B139" s="3" t="s">
        <v>168</v>
      </c>
      <c r="C139" t="s">
        <v>169</v>
      </c>
      <c r="D139" t="s">
        <v>14</v>
      </c>
      <c r="E139">
        <v>1</v>
      </c>
      <c r="F139" s="8">
        <v>30</v>
      </c>
      <c r="G139" s="8">
        <v>30</v>
      </c>
      <c r="H139" s="8">
        <v>30</v>
      </c>
      <c r="I139" s="8">
        <v>30</v>
      </c>
      <c r="J139" s="8">
        <v>30</v>
      </c>
      <c r="K139" s="8">
        <v>30</v>
      </c>
      <c r="L139" s="8">
        <v>30</v>
      </c>
      <c r="M139" s="8">
        <v>15</v>
      </c>
      <c r="N139" s="8">
        <v>11.567021232571278</v>
      </c>
      <c r="O139" s="8">
        <v>12.498206352756824</v>
      </c>
      <c r="P139" s="8">
        <v>0.78714942748774774</v>
      </c>
      <c r="Q139" s="8">
        <v>5.3015895931112027</v>
      </c>
      <c r="R139" s="8">
        <v>7.5346647090518672</v>
      </c>
      <c r="S139" s="9">
        <f t="shared" si="4"/>
        <v>12</v>
      </c>
      <c r="T139" s="8"/>
      <c r="U139" s="16">
        <f t="shared" si="5"/>
        <v>30</v>
      </c>
      <c r="V139" s="8"/>
      <c r="W139" s="8"/>
      <c r="X139" s="8"/>
      <c r="Y139" s="8"/>
    </row>
    <row r="140" spans="1:25" x14ac:dyDescent="0.25">
      <c r="A140" s="2">
        <v>139</v>
      </c>
      <c r="B140" s="3" t="s">
        <v>170</v>
      </c>
      <c r="C140" t="s">
        <v>170</v>
      </c>
      <c r="D140" t="s">
        <v>25</v>
      </c>
      <c r="E140">
        <v>1</v>
      </c>
      <c r="F140" s="8">
        <v>20</v>
      </c>
      <c r="G140" s="8">
        <v>20</v>
      </c>
      <c r="H140" s="8">
        <v>20</v>
      </c>
      <c r="I140" s="8">
        <v>20</v>
      </c>
      <c r="J140" s="8">
        <v>20</v>
      </c>
      <c r="K140" s="8">
        <v>22</v>
      </c>
      <c r="L140" s="8">
        <v>22</v>
      </c>
      <c r="M140" s="8">
        <v>22</v>
      </c>
      <c r="N140" s="8">
        <v>23.831066302680483</v>
      </c>
      <c r="O140" s="8">
        <v>24.198746247055396</v>
      </c>
      <c r="P140" s="8">
        <v>24.557821127937586</v>
      </c>
      <c r="Q140" s="8">
        <v>24.459332532171175</v>
      </c>
      <c r="R140" s="8">
        <v>25.492776400797084</v>
      </c>
      <c r="S140" s="9">
        <f t="shared" si="4"/>
        <v>12</v>
      </c>
      <c r="T140" s="8"/>
      <c r="U140" s="16">
        <f t="shared" si="5"/>
        <v>20</v>
      </c>
      <c r="V140" s="8"/>
      <c r="W140" s="8"/>
      <c r="X140" s="8"/>
      <c r="Y140" s="8"/>
    </row>
    <row r="141" spans="1:25" x14ac:dyDescent="0.25">
      <c r="A141" s="2">
        <v>140</v>
      </c>
      <c r="B141" s="3" t="s">
        <v>171</v>
      </c>
      <c r="C141" t="s">
        <v>171</v>
      </c>
      <c r="D141" t="s">
        <v>23</v>
      </c>
      <c r="E141">
        <v>0</v>
      </c>
      <c r="F141" s="8">
        <v>13</v>
      </c>
      <c r="G141" s="8">
        <v>19</v>
      </c>
      <c r="H141" s="8">
        <v>25</v>
      </c>
      <c r="I141" s="8">
        <v>25</v>
      </c>
      <c r="J141" s="8">
        <v>25</v>
      </c>
      <c r="K141" s="8">
        <v>24.73</v>
      </c>
      <c r="L141" s="8">
        <v>27.22</v>
      </c>
      <c r="M141" s="8">
        <v>28.37</v>
      </c>
      <c r="N141" s="8">
        <v>30.12</v>
      </c>
      <c r="O141" s="8">
        <v>27.96</v>
      </c>
      <c r="P141" s="8">
        <v>22.4</v>
      </c>
      <c r="Q141" s="8">
        <v>21.98</v>
      </c>
      <c r="R141" s="8">
        <v>20.079999999999998</v>
      </c>
      <c r="S141" s="9">
        <f t="shared" si="4"/>
        <v>12</v>
      </c>
      <c r="T141" s="8"/>
      <c r="U141" s="16">
        <f t="shared" si="5"/>
        <v>25</v>
      </c>
      <c r="V141" s="8"/>
      <c r="W141" s="8"/>
      <c r="X141" s="8"/>
      <c r="Y141" s="8"/>
    </row>
    <row r="142" spans="1:25" x14ac:dyDescent="0.25">
      <c r="A142" s="2">
        <v>141</v>
      </c>
      <c r="B142" s="3" t="s">
        <v>172</v>
      </c>
      <c r="C142" t="s">
        <v>172</v>
      </c>
      <c r="D142" t="s">
        <v>23</v>
      </c>
      <c r="E142">
        <v>1</v>
      </c>
      <c r="F142" s="8">
        <v>32</v>
      </c>
      <c r="G142" s="8">
        <v>41</v>
      </c>
      <c r="H142" s="8">
        <v>50</v>
      </c>
      <c r="I142" s="8">
        <v>50</v>
      </c>
      <c r="J142" s="8">
        <v>50</v>
      </c>
      <c r="K142" s="8">
        <v>50</v>
      </c>
      <c r="L142" s="8">
        <v>50</v>
      </c>
      <c r="M142" s="8">
        <v>50</v>
      </c>
      <c r="N142" s="8">
        <v>50</v>
      </c>
      <c r="O142" s="8">
        <v>50</v>
      </c>
      <c r="P142" s="8">
        <v>50</v>
      </c>
      <c r="Q142" s="8">
        <v>50</v>
      </c>
      <c r="R142" s="8">
        <v>50</v>
      </c>
      <c r="S142" s="9">
        <f t="shared" si="4"/>
        <v>12</v>
      </c>
      <c r="T142" s="8"/>
      <c r="U142" s="16">
        <f t="shared" si="5"/>
        <v>50</v>
      </c>
      <c r="V142" s="8"/>
      <c r="W142" s="8"/>
      <c r="X142" s="8"/>
      <c r="Y142" s="8"/>
    </row>
    <row r="143" spans="1:25" x14ac:dyDescent="0.25">
      <c r="A143" s="2">
        <v>142</v>
      </c>
      <c r="B143" s="3" t="s">
        <v>173</v>
      </c>
      <c r="C143" t="s">
        <v>174</v>
      </c>
      <c r="D143" t="s">
        <v>25</v>
      </c>
      <c r="E143">
        <v>0</v>
      </c>
      <c r="F143" s="8">
        <v>40</v>
      </c>
      <c r="G143" s="8">
        <v>40</v>
      </c>
      <c r="H143" s="8">
        <v>40</v>
      </c>
      <c r="I143" s="8">
        <v>40</v>
      </c>
      <c r="J143" s="8">
        <v>40</v>
      </c>
      <c r="K143" s="8">
        <v>40</v>
      </c>
      <c r="L143" s="8">
        <v>40</v>
      </c>
      <c r="M143" s="8">
        <v>40</v>
      </c>
      <c r="N143" s="8">
        <v>35.01</v>
      </c>
      <c r="O143" s="8">
        <v>39.96</v>
      </c>
      <c r="P143" s="8">
        <v>39.51</v>
      </c>
      <c r="Q143" s="8">
        <v>39.44</v>
      </c>
      <c r="R143" s="8">
        <v>40.1</v>
      </c>
      <c r="S143" s="9">
        <f t="shared" si="4"/>
        <v>12</v>
      </c>
      <c r="T143" s="8"/>
      <c r="U143" s="16">
        <f t="shared" si="5"/>
        <v>40</v>
      </c>
      <c r="V143" s="8"/>
      <c r="W143" s="8"/>
      <c r="X143" s="8"/>
      <c r="Y143" s="8"/>
    </row>
    <row r="144" spans="1:25" x14ac:dyDescent="0.25">
      <c r="A144" s="2">
        <v>143</v>
      </c>
      <c r="B144" s="3" t="s">
        <v>175</v>
      </c>
      <c r="C144" t="s">
        <v>175</v>
      </c>
      <c r="D144" t="s">
        <v>14</v>
      </c>
      <c r="E144">
        <v>0</v>
      </c>
      <c r="F144" s="8">
        <v>23.88</v>
      </c>
      <c r="G144" s="8">
        <v>23.88</v>
      </c>
      <c r="H144" s="8">
        <v>54.56</v>
      </c>
      <c r="I144" s="8">
        <v>36.32</v>
      </c>
      <c r="J144" s="8">
        <v>16.59</v>
      </c>
      <c r="K144" s="8">
        <v>26.94</v>
      </c>
      <c r="L144" s="8">
        <v>25.8</v>
      </c>
      <c r="M144" s="8">
        <v>44.05</v>
      </c>
      <c r="N144" s="8">
        <v>41.49</v>
      </c>
      <c r="O144" s="8">
        <v>40.43</v>
      </c>
      <c r="P144" s="8">
        <v>31.4</v>
      </c>
      <c r="Q144" s="8">
        <v>27.01</v>
      </c>
      <c r="R144" s="8">
        <v>34.1</v>
      </c>
      <c r="S144" s="9">
        <f t="shared" si="4"/>
        <v>12</v>
      </c>
      <c r="T144" s="8"/>
      <c r="U144" s="16">
        <f t="shared" si="5"/>
        <v>54.56</v>
      </c>
      <c r="V144" s="8"/>
      <c r="W144" s="8"/>
      <c r="X144" s="8"/>
      <c r="Y144" s="8"/>
    </row>
    <row r="145" spans="1:25" x14ac:dyDescent="0.25">
      <c r="A145" s="2">
        <v>144</v>
      </c>
      <c r="B145" s="3" t="s">
        <v>176</v>
      </c>
      <c r="C145" t="s">
        <v>177</v>
      </c>
      <c r="D145" t="s">
        <v>14</v>
      </c>
      <c r="E145">
        <v>1</v>
      </c>
      <c r="F145" s="8">
        <v>40</v>
      </c>
      <c r="G145" s="8">
        <v>40</v>
      </c>
      <c r="H145" s="8">
        <v>40</v>
      </c>
      <c r="I145" s="8">
        <v>40</v>
      </c>
      <c r="J145" s="8">
        <v>40</v>
      </c>
      <c r="K145" s="8">
        <v>41</v>
      </c>
      <c r="L145" s="8">
        <v>45</v>
      </c>
      <c r="M145" s="8">
        <v>45</v>
      </c>
      <c r="N145" s="8">
        <v>44.876494172829553</v>
      </c>
      <c r="O145" s="8">
        <v>47.630505208545401</v>
      </c>
      <c r="P145" s="8">
        <v>50.122949779733972</v>
      </c>
      <c r="Q145" s="8">
        <v>48.367589849836804</v>
      </c>
      <c r="R145" s="8">
        <v>48.867446132033365</v>
      </c>
      <c r="S145" s="9">
        <f t="shared" si="4"/>
        <v>12</v>
      </c>
      <c r="T145" s="8"/>
      <c r="U145" s="16">
        <f t="shared" si="5"/>
        <v>40</v>
      </c>
      <c r="V145" s="8"/>
      <c r="W145" s="8"/>
      <c r="X145" s="8"/>
      <c r="Y145" s="8"/>
    </row>
    <row r="146" spans="1:25" x14ac:dyDescent="0.25">
      <c r="A146" s="2">
        <v>145</v>
      </c>
      <c r="B146" s="3" t="s">
        <v>178</v>
      </c>
      <c r="C146" t="s">
        <v>179</v>
      </c>
      <c r="D146" t="s">
        <v>25</v>
      </c>
      <c r="E146">
        <v>0</v>
      </c>
      <c r="F146" s="8">
        <v>38.5</v>
      </c>
      <c r="G146" s="8">
        <v>38.5</v>
      </c>
      <c r="H146" s="8">
        <v>38.5</v>
      </c>
      <c r="I146" s="8">
        <v>38</v>
      </c>
      <c r="J146" s="8">
        <v>38</v>
      </c>
      <c r="K146" s="8">
        <v>35</v>
      </c>
      <c r="L146" s="8">
        <v>38</v>
      </c>
      <c r="M146" s="8">
        <v>46.2</v>
      </c>
      <c r="N146" s="8">
        <v>66.900000000000006</v>
      </c>
      <c r="O146" s="8">
        <v>53.35</v>
      </c>
      <c r="P146" s="8">
        <v>55.9</v>
      </c>
      <c r="Q146" s="8">
        <v>55.18</v>
      </c>
      <c r="R146" s="8">
        <v>52.32</v>
      </c>
      <c r="S146" s="9">
        <f t="shared" si="4"/>
        <v>12</v>
      </c>
      <c r="T146" s="8"/>
      <c r="U146" s="16">
        <f t="shared" si="5"/>
        <v>38.5</v>
      </c>
      <c r="V146" s="8"/>
      <c r="W146" s="8"/>
      <c r="X146" s="8"/>
      <c r="Y146" s="8"/>
    </row>
    <row r="147" spans="1:25" x14ac:dyDescent="0.25">
      <c r="A147" s="2">
        <v>146</v>
      </c>
      <c r="B147" s="3" t="s">
        <v>180</v>
      </c>
      <c r="C147" t="s">
        <v>180</v>
      </c>
      <c r="D147" t="s">
        <v>23</v>
      </c>
      <c r="E147">
        <v>1</v>
      </c>
      <c r="F147" s="8">
        <v>52</v>
      </c>
      <c r="G147" s="8">
        <v>52</v>
      </c>
      <c r="H147" s="8">
        <v>52</v>
      </c>
      <c r="I147" s="8">
        <v>52</v>
      </c>
      <c r="J147" s="8">
        <v>47</v>
      </c>
      <c r="K147" s="8">
        <v>45</v>
      </c>
      <c r="L147" s="8">
        <v>45</v>
      </c>
      <c r="M147" s="8">
        <v>45</v>
      </c>
      <c r="N147" s="8">
        <v>42.490899979038659</v>
      </c>
      <c r="O147" s="8">
        <v>39.541824852733043</v>
      </c>
      <c r="P147" s="8">
        <v>44.916755028993975</v>
      </c>
      <c r="Q147" s="8">
        <v>37.163533266671038</v>
      </c>
      <c r="R147" s="8">
        <v>34.402068001716543</v>
      </c>
      <c r="S147" s="9">
        <f t="shared" si="4"/>
        <v>12</v>
      </c>
      <c r="T147" s="8"/>
      <c r="U147" s="16">
        <f t="shared" si="5"/>
        <v>52</v>
      </c>
      <c r="V147" s="8"/>
      <c r="W147" s="8"/>
      <c r="X147" s="8"/>
      <c r="Y147" s="8"/>
    </row>
    <row r="148" spans="1:25" x14ac:dyDescent="0.25">
      <c r="A148" s="2">
        <v>147</v>
      </c>
      <c r="B148" s="3" t="s">
        <v>181</v>
      </c>
      <c r="C148" t="s">
        <v>182</v>
      </c>
      <c r="D148" t="s">
        <v>25</v>
      </c>
      <c r="E148">
        <v>1</v>
      </c>
      <c r="F148" s="8">
        <v>24</v>
      </c>
      <c r="G148" s="8">
        <v>24</v>
      </c>
      <c r="H148" s="8">
        <v>24</v>
      </c>
      <c r="I148" s="8">
        <v>24</v>
      </c>
      <c r="J148" s="8">
        <v>24</v>
      </c>
      <c r="K148" s="8">
        <v>24</v>
      </c>
      <c r="L148" s="8">
        <v>24</v>
      </c>
      <c r="M148" s="8">
        <v>24</v>
      </c>
      <c r="N148" s="8">
        <v>24</v>
      </c>
      <c r="O148" s="8">
        <v>24</v>
      </c>
      <c r="P148" s="8">
        <v>24</v>
      </c>
      <c r="Q148" s="8">
        <v>24</v>
      </c>
      <c r="R148" s="8">
        <v>24</v>
      </c>
      <c r="S148" s="9">
        <f t="shared" si="4"/>
        <v>12</v>
      </c>
      <c r="T148" s="8"/>
      <c r="U148" s="16">
        <f t="shared" si="5"/>
        <v>24</v>
      </c>
      <c r="V148" s="8"/>
      <c r="W148" s="8"/>
      <c r="X148" s="8"/>
      <c r="Y148" s="8"/>
    </row>
    <row r="149" spans="1:25" x14ac:dyDescent="0.25">
      <c r="A149" s="2">
        <v>148</v>
      </c>
      <c r="B149" s="3" t="s">
        <v>183</v>
      </c>
      <c r="C149" t="s">
        <v>183</v>
      </c>
      <c r="D149" t="s">
        <v>18</v>
      </c>
      <c r="E149">
        <v>1</v>
      </c>
      <c r="F149" s="8">
        <v>38</v>
      </c>
      <c r="G149" s="8">
        <v>38</v>
      </c>
      <c r="H149" s="8">
        <v>38</v>
      </c>
      <c r="I149" s="8">
        <v>38</v>
      </c>
      <c r="J149" s="8">
        <v>38</v>
      </c>
      <c r="K149" s="8">
        <v>38</v>
      </c>
      <c r="L149" s="8">
        <v>38</v>
      </c>
      <c r="M149" s="8">
        <v>38</v>
      </c>
      <c r="N149" s="8">
        <v>38</v>
      </c>
      <c r="O149" s="8">
        <v>38</v>
      </c>
      <c r="P149" s="8">
        <v>38</v>
      </c>
      <c r="Q149" s="8">
        <v>38</v>
      </c>
      <c r="R149" s="8">
        <v>38</v>
      </c>
      <c r="S149" s="9">
        <f t="shared" si="4"/>
        <v>12</v>
      </c>
      <c r="T149" s="8"/>
      <c r="U149" s="16">
        <f t="shared" si="5"/>
        <v>38</v>
      </c>
      <c r="V149" s="8"/>
      <c r="W149" s="8"/>
      <c r="X149" s="8"/>
      <c r="Y149" s="8"/>
    </row>
    <row r="150" spans="1:25" x14ac:dyDescent="0.25">
      <c r="A150" s="2">
        <v>149</v>
      </c>
      <c r="B150" s="3" t="s">
        <v>184</v>
      </c>
      <c r="C150" t="s">
        <v>184</v>
      </c>
      <c r="D150" t="s">
        <v>14</v>
      </c>
      <c r="E150">
        <v>1</v>
      </c>
      <c r="F150" s="8">
        <v>33</v>
      </c>
      <c r="G150" s="8">
        <v>33</v>
      </c>
      <c r="H150" s="8">
        <v>33</v>
      </c>
      <c r="I150" s="8">
        <v>33</v>
      </c>
      <c r="J150" s="8">
        <v>33</v>
      </c>
      <c r="K150" s="8">
        <v>33</v>
      </c>
      <c r="L150" s="8">
        <v>33</v>
      </c>
      <c r="M150" s="8">
        <v>33.26</v>
      </c>
      <c r="N150" s="8">
        <v>24.21</v>
      </c>
      <c r="O150" s="8">
        <v>22.19219027616964</v>
      </c>
      <c r="P150" s="8">
        <v>16.510804643303345</v>
      </c>
      <c r="Q150" s="8">
        <v>29.090852065746731</v>
      </c>
      <c r="R150" s="8">
        <v>21.1</v>
      </c>
      <c r="S150" s="9">
        <f t="shared" si="4"/>
        <v>12</v>
      </c>
      <c r="T150" s="8"/>
      <c r="U150" s="16">
        <f t="shared" si="5"/>
        <v>33</v>
      </c>
      <c r="V150" s="8"/>
      <c r="W150" s="8"/>
      <c r="X150" s="8"/>
      <c r="Y150" s="8"/>
    </row>
    <row r="151" spans="1:25" x14ac:dyDescent="0.25">
      <c r="A151" s="2">
        <v>150</v>
      </c>
      <c r="B151" s="3" t="s">
        <v>185</v>
      </c>
      <c r="C151" t="s">
        <v>185</v>
      </c>
      <c r="D151" t="s">
        <v>23</v>
      </c>
      <c r="E151">
        <v>1</v>
      </c>
      <c r="F151" s="8">
        <v>57</v>
      </c>
      <c r="G151" s="8">
        <v>57</v>
      </c>
      <c r="H151" s="8">
        <v>57</v>
      </c>
      <c r="I151" s="8">
        <v>57</v>
      </c>
      <c r="J151" s="8">
        <v>57</v>
      </c>
      <c r="K151" s="8">
        <v>57</v>
      </c>
      <c r="L151" s="8">
        <v>57</v>
      </c>
      <c r="M151" s="8">
        <v>57</v>
      </c>
      <c r="N151" s="8">
        <v>57</v>
      </c>
      <c r="O151" s="8">
        <v>57</v>
      </c>
      <c r="P151" s="8">
        <v>57</v>
      </c>
      <c r="Q151" s="8">
        <v>57</v>
      </c>
      <c r="R151" s="8">
        <v>57</v>
      </c>
      <c r="S151" s="9">
        <f t="shared" si="4"/>
        <v>12</v>
      </c>
      <c r="T151" s="8"/>
      <c r="U151" s="16">
        <f t="shared" si="5"/>
        <v>57</v>
      </c>
      <c r="V151" s="8"/>
      <c r="W151" s="8"/>
      <c r="X151" s="8"/>
      <c r="Y151" s="8"/>
    </row>
    <row r="152" spans="1:25" x14ac:dyDescent="0.25">
      <c r="A152" s="2">
        <v>151</v>
      </c>
      <c r="B152" s="3" t="s">
        <v>186</v>
      </c>
      <c r="C152" t="s">
        <v>186</v>
      </c>
      <c r="D152" t="s">
        <v>7</v>
      </c>
      <c r="E152">
        <v>1</v>
      </c>
      <c r="F152" s="8">
        <v>41.5</v>
      </c>
      <c r="G152" s="8">
        <v>41.5</v>
      </c>
      <c r="H152" s="8">
        <v>41.5</v>
      </c>
      <c r="I152" s="8">
        <v>40</v>
      </c>
      <c r="J152" s="8">
        <v>40</v>
      </c>
      <c r="K152" s="8">
        <v>11.5</v>
      </c>
      <c r="L152" s="8">
        <v>40</v>
      </c>
      <c r="M152" s="8">
        <v>40</v>
      </c>
      <c r="N152" s="8">
        <v>34.299999999999997</v>
      </c>
      <c r="O152" s="8">
        <v>34.299999999999997</v>
      </c>
      <c r="P152" s="8">
        <v>34.299999999999997</v>
      </c>
      <c r="Q152" s="8">
        <v>34.299999999999997</v>
      </c>
      <c r="R152" s="8">
        <v>34.299999999999997</v>
      </c>
      <c r="S152" s="9">
        <f t="shared" si="4"/>
        <v>12</v>
      </c>
      <c r="T152" s="8"/>
      <c r="U152" s="16">
        <f t="shared" si="5"/>
        <v>41.5</v>
      </c>
      <c r="V152" s="8"/>
      <c r="W152" s="8"/>
      <c r="X152" s="8"/>
      <c r="Y152" s="8"/>
    </row>
    <row r="153" spans="1:25" x14ac:dyDescent="0.25">
      <c r="A153" s="2">
        <v>152</v>
      </c>
      <c r="B153" s="3" t="s">
        <v>187</v>
      </c>
      <c r="C153" t="s">
        <v>187</v>
      </c>
      <c r="D153" t="s">
        <v>9</v>
      </c>
      <c r="E153">
        <v>1</v>
      </c>
      <c r="F153" s="8">
        <v>22</v>
      </c>
      <c r="G153" s="8">
        <v>22</v>
      </c>
      <c r="H153" s="8">
        <v>22</v>
      </c>
      <c r="I153" s="8">
        <v>22</v>
      </c>
      <c r="J153" s="8">
        <v>22</v>
      </c>
      <c r="K153" s="8">
        <v>22</v>
      </c>
      <c r="L153" s="8">
        <v>22</v>
      </c>
      <c r="M153" s="8">
        <v>22</v>
      </c>
      <c r="N153" s="8">
        <v>22</v>
      </c>
      <c r="O153" s="8">
        <v>22</v>
      </c>
      <c r="P153" s="8">
        <v>22</v>
      </c>
      <c r="Q153" s="8">
        <v>22</v>
      </c>
      <c r="R153" s="8">
        <v>22</v>
      </c>
      <c r="S153" s="9">
        <f t="shared" si="4"/>
        <v>12</v>
      </c>
      <c r="T153" s="8"/>
      <c r="U153" s="16">
        <f t="shared" si="5"/>
        <v>22</v>
      </c>
      <c r="V153" s="8"/>
      <c r="W153" s="8"/>
      <c r="X153" s="8"/>
      <c r="Y153" s="8"/>
    </row>
    <row r="154" spans="1:25" x14ac:dyDescent="0.25">
      <c r="A154" s="2">
        <v>153</v>
      </c>
      <c r="B154" s="3" t="s">
        <v>188</v>
      </c>
      <c r="C154" t="s">
        <v>188</v>
      </c>
      <c r="D154" t="s">
        <v>25</v>
      </c>
      <c r="E154">
        <v>1</v>
      </c>
      <c r="F154" s="8">
        <v>13</v>
      </c>
      <c r="G154" s="8">
        <v>13</v>
      </c>
      <c r="H154" s="8">
        <v>13</v>
      </c>
      <c r="I154" s="8">
        <v>13</v>
      </c>
      <c r="J154" s="8">
        <v>13</v>
      </c>
      <c r="K154" s="8">
        <v>13</v>
      </c>
      <c r="L154" s="8">
        <v>13</v>
      </c>
      <c r="M154" s="8">
        <v>13</v>
      </c>
      <c r="N154" s="8">
        <v>13</v>
      </c>
      <c r="O154" s="8">
        <v>13</v>
      </c>
      <c r="P154" s="8">
        <v>13</v>
      </c>
      <c r="Q154" s="8">
        <v>13</v>
      </c>
      <c r="R154" s="8">
        <v>13</v>
      </c>
      <c r="S154" s="9">
        <f t="shared" si="4"/>
        <v>12</v>
      </c>
      <c r="T154" s="8"/>
      <c r="U154" s="16">
        <f t="shared" si="5"/>
        <v>13</v>
      </c>
      <c r="V154" s="8"/>
      <c r="W154" s="8"/>
      <c r="X154" s="8"/>
      <c r="Y154" s="8"/>
    </row>
    <row r="155" spans="1:25" x14ac:dyDescent="0.25">
      <c r="A155" s="2">
        <v>154</v>
      </c>
      <c r="B155" s="3" t="s">
        <v>189</v>
      </c>
      <c r="C155" t="s">
        <v>189</v>
      </c>
      <c r="D155" t="s">
        <v>14</v>
      </c>
      <c r="E155">
        <v>1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  <c r="R155" s="8">
        <v>30</v>
      </c>
      <c r="S155" s="9">
        <f t="shared" si="4"/>
        <v>12</v>
      </c>
      <c r="T155" s="8"/>
      <c r="U155" s="16">
        <f t="shared" si="5"/>
        <v>30</v>
      </c>
      <c r="V155" s="8"/>
      <c r="W155" s="8"/>
      <c r="X155" s="8"/>
      <c r="Y155" s="8"/>
    </row>
    <row r="156" spans="1:25" x14ac:dyDescent="0.25">
      <c r="A156" s="2">
        <v>155</v>
      </c>
      <c r="B156" s="3" t="s">
        <v>190</v>
      </c>
      <c r="C156" t="s">
        <v>190</v>
      </c>
      <c r="D156" t="s">
        <v>25</v>
      </c>
      <c r="E156">
        <v>1</v>
      </c>
      <c r="F156" s="8">
        <v>37</v>
      </c>
      <c r="G156" s="8">
        <v>37</v>
      </c>
      <c r="H156" s="8">
        <v>37</v>
      </c>
      <c r="I156" s="8">
        <v>35</v>
      </c>
      <c r="J156" s="8">
        <v>35</v>
      </c>
      <c r="K156" s="8">
        <v>35</v>
      </c>
      <c r="L156" s="8">
        <v>35</v>
      </c>
      <c r="M156" s="8">
        <v>35</v>
      </c>
      <c r="N156" s="8">
        <v>35</v>
      </c>
      <c r="O156" s="8">
        <v>35</v>
      </c>
      <c r="P156" s="8">
        <v>35</v>
      </c>
      <c r="Q156" s="8">
        <v>35</v>
      </c>
      <c r="R156" s="8">
        <v>35</v>
      </c>
      <c r="S156" s="9">
        <f t="shared" si="4"/>
        <v>12</v>
      </c>
      <c r="T156" s="8"/>
      <c r="U156" s="16">
        <f t="shared" si="5"/>
        <v>37</v>
      </c>
      <c r="V156" s="8"/>
      <c r="W156" s="8"/>
      <c r="X156" s="8"/>
      <c r="Y156" s="8"/>
    </row>
    <row r="157" spans="1:25" x14ac:dyDescent="0.25">
      <c r="A157" s="2">
        <v>156</v>
      </c>
      <c r="B157" s="3" t="s">
        <v>191</v>
      </c>
      <c r="C157" t="s">
        <v>191</v>
      </c>
      <c r="D157" t="s">
        <v>14</v>
      </c>
      <c r="E157">
        <v>0</v>
      </c>
      <c r="F157" s="8">
        <v>45</v>
      </c>
      <c r="G157" s="8">
        <v>45</v>
      </c>
      <c r="H157" s="8">
        <v>45</v>
      </c>
      <c r="I157" s="8">
        <v>45</v>
      </c>
      <c r="J157" s="8">
        <v>45</v>
      </c>
      <c r="K157" s="8">
        <v>45</v>
      </c>
      <c r="L157" s="8">
        <v>45</v>
      </c>
      <c r="M157" s="8">
        <v>45</v>
      </c>
      <c r="N157" s="8">
        <v>44.3</v>
      </c>
      <c r="O157" s="8">
        <v>40.94</v>
      </c>
      <c r="P157" s="8">
        <v>34.659999999999997</v>
      </c>
      <c r="Q157" s="8">
        <v>35.17</v>
      </c>
      <c r="R157" s="8">
        <v>38.200000000000003</v>
      </c>
      <c r="S157" s="9">
        <f t="shared" si="4"/>
        <v>12</v>
      </c>
      <c r="T157" s="8"/>
      <c r="U157" s="16">
        <f t="shared" si="5"/>
        <v>45</v>
      </c>
      <c r="V157" s="8"/>
      <c r="W157" s="8"/>
      <c r="X157" s="8"/>
      <c r="Y157" s="8"/>
    </row>
    <row r="158" spans="1:25" x14ac:dyDescent="0.25">
      <c r="A158" s="2">
        <v>157</v>
      </c>
      <c r="B158" s="3" t="s">
        <v>192</v>
      </c>
      <c r="C158" t="s">
        <v>192</v>
      </c>
      <c r="D158" t="s">
        <v>9</v>
      </c>
      <c r="E158">
        <v>1</v>
      </c>
      <c r="F158" s="8">
        <v>35</v>
      </c>
      <c r="G158" s="8">
        <v>35</v>
      </c>
      <c r="H158" s="8">
        <v>35</v>
      </c>
      <c r="I158" s="8">
        <v>35</v>
      </c>
      <c r="J158" s="8">
        <v>35</v>
      </c>
      <c r="K158" s="8">
        <v>35</v>
      </c>
      <c r="L158" s="8">
        <v>35</v>
      </c>
      <c r="M158" s="8">
        <v>35</v>
      </c>
      <c r="N158" s="8">
        <v>35</v>
      </c>
      <c r="O158" s="8">
        <v>35</v>
      </c>
      <c r="P158" s="8">
        <v>35</v>
      </c>
      <c r="Q158" s="8">
        <v>35</v>
      </c>
      <c r="R158" s="8">
        <v>35</v>
      </c>
      <c r="S158" s="9">
        <f t="shared" si="4"/>
        <v>12</v>
      </c>
      <c r="T158" s="8"/>
      <c r="U158" s="16">
        <f t="shared" si="5"/>
        <v>35</v>
      </c>
      <c r="V158" s="8"/>
      <c r="W158" s="8"/>
      <c r="X158" s="8"/>
      <c r="Y158" s="8"/>
    </row>
    <row r="159" spans="1:25" x14ac:dyDescent="0.25">
      <c r="A159" s="2">
        <v>158</v>
      </c>
      <c r="B159" s="3" t="s">
        <v>193</v>
      </c>
      <c r="C159" t="s">
        <v>193</v>
      </c>
      <c r="D159" t="s">
        <v>7</v>
      </c>
      <c r="E159">
        <v>1</v>
      </c>
      <c r="F159" s="8">
        <v>35</v>
      </c>
      <c r="G159" s="8">
        <v>35</v>
      </c>
      <c r="H159" s="8">
        <v>35</v>
      </c>
      <c r="I159" s="8">
        <v>35</v>
      </c>
      <c r="J159" s="8">
        <v>35</v>
      </c>
      <c r="K159" s="8">
        <v>35</v>
      </c>
      <c r="L159" s="8">
        <v>35</v>
      </c>
      <c r="M159" s="8">
        <v>35</v>
      </c>
      <c r="N159" s="8">
        <v>35</v>
      </c>
      <c r="O159" s="8">
        <v>35</v>
      </c>
      <c r="P159" s="8">
        <v>35</v>
      </c>
      <c r="Q159" s="8">
        <v>35</v>
      </c>
      <c r="R159" s="8">
        <v>35</v>
      </c>
      <c r="S159" s="9">
        <f t="shared" si="4"/>
        <v>12</v>
      </c>
      <c r="T159" s="8"/>
      <c r="U159" s="16">
        <f t="shared" si="5"/>
        <v>35</v>
      </c>
      <c r="V159" s="8"/>
      <c r="W159" s="8"/>
      <c r="X159" s="8"/>
      <c r="Y159" s="8"/>
    </row>
    <row r="160" spans="1:25" x14ac:dyDescent="0.25">
      <c r="A160" s="2">
        <v>159</v>
      </c>
      <c r="B160" s="3" t="s">
        <v>194</v>
      </c>
      <c r="C160" t="s">
        <v>194</v>
      </c>
      <c r="D160" t="s">
        <v>25</v>
      </c>
      <c r="E160">
        <v>0</v>
      </c>
      <c r="F160" s="8">
        <v>10</v>
      </c>
      <c r="G160" s="8">
        <v>10</v>
      </c>
      <c r="H160" s="8">
        <v>10</v>
      </c>
      <c r="I160" s="8">
        <v>10</v>
      </c>
      <c r="J160" s="8">
        <v>10</v>
      </c>
      <c r="K160" s="8">
        <v>10</v>
      </c>
      <c r="L160" s="8">
        <v>10</v>
      </c>
      <c r="M160" s="8">
        <v>10</v>
      </c>
      <c r="N160" s="8">
        <v>12.21</v>
      </c>
      <c r="O160" s="8">
        <v>10.54</v>
      </c>
      <c r="P160" s="8">
        <v>13.3</v>
      </c>
      <c r="Q160" s="8">
        <v>10.54</v>
      </c>
      <c r="R160" s="8">
        <v>8.69</v>
      </c>
      <c r="S160" s="9">
        <f t="shared" si="4"/>
        <v>12</v>
      </c>
      <c r="T160" s="8"/>
      <c r="U160" s="16">
        <f t="shared" si="5"/>
        <v>10</v>
      </c>
      <c r="V160" s="8"/>
      <c r="W160" s="8"/>
      <c r="X160" s="8"/>
      <c r="Y160" s="8"/>
    </row>
    <row r="161" spans="1:25" x14ac:dyDescent="0.25">
      <c r="A161" s="2">
        <v>160</v>
      </c>
      <c r="B161" s="3" t="s">
        <v>195</v>
      </c>
      <c r="C161" t="s">
        <v>195</v>
      </c>
      <c r="D161" t="s">
        <v>14</v>
      </c>
      <c r="E161">
        <v>1</v>
      </c>
      <c r="F161" s="8">
        <v>30</v>
      </c>
      <c r="G161" s="8">
        <v>30</v>
      </c>
      <c r="H161" s="8">
        <v>30</v>
      </c>
      <c r="I161" s="8">
        <v>40</v>
      </c>
      <c r="J161" s="8">
        <v>40</v>
      </c>
      <c r="K161" s="8">
        <v>40</v>
      </c>
      <c r="L161" s="8">
        <v>40</v>
      </c>
      <c r="M161" s="8">
        <v>40</v>
      </c>
      <c r="N161" s="8">
        <v>40</v>
      </c>
      <c r="O161" s="8">
        <v>40</v>
      </c>
      <c r="P161" s="8">
        <v>40</v>
      </c>
      <c r="Q161" s="8">
        <v>40</v>
      </c>
      <c r="R161" s="8">
        <v>40</v>
      </c>
      <c r="S161" s="9">
        <f t="shared" si="4"/>
        <v>12</v>
      </c>
      <c r="T161" s="8"/>
      <c r="U161" s="16">
        <f t="shared" si="5"/>
        <v>30</v>
      </c>
      <c r="V161" s="8"/>
      <c r="W161" s="8"/>
      <c r="X161" s="8"/>
      <c r="Y161" s="8"/>
    </row>
    <row r="162" spans="1:25" x14ac:dyDescent="0.25">
      <c r="A162" s="2">
        <v>161</v>
      </c>
      <c r="B162" s="3" t="s">
        <v>196</v>
      </c>
      <c r="C162" t="s">
        <v>196</v>
      </c>
      <c r="D162" t="s">
        <v>7</v>
      </c>
      <c r="E162">
        <v>1</v>
      </c>
      <c r="F162" s="8">
        <v>17</v>
      </c>
      <c r="G162" s="8">
        <v>17</v>
      </c>
      <c r="H162" s="8">
        <v>17</v>
      </c>
      <c r="I162" s="8">
        <v>17</v>
      </c>
      <c r="J162" s="8">
        <v>20</v>
      </c>
      <c r="K162" s="8">
        <v>20</v>
      </c>
      <c r="L162" s="8">
        <v>20</v>
      </c>
      <c r="M162" s="8">
        <v>20</v>
      </c>
      <c r="N162" s="8">
        <v>20.878872244424656</v>
      </c>
      <c r="O162" s="8">
        <v>20.691073711113859</v>
      </c>
      <c r="P162" s="8">
        <v>22.945312110887699</v>
      </c>
      <c r="Q162" s="8">
        <v>24.53648967543063</v>
      </c>
      <c r="R162" s="8">
        <v>23.587758152196102</v>
      </c>
      <c r="S162" s="9">
        <f t="shared" si="4"/>
        <v>12</v>
      </c>
      <c r="T162" s="8"/>
      <c r="U162" s="16">
        <f t="shared" si="5"/>
        <v>17</v>
      </c>
      <c r="V162" s="8"/>
      <c r="W162" s="8"/>
      <c r="X162" s="8"/>
      <c r="Y162" s="8"/>
    </row>
    <row r="163" spans="1:25" x14ac:dyDescent="0.25">
      <c r="A163" s="2">
        <v>162</v>
      </c>
      <c r="B163" s="3" t="s">
        <v>197</v>
      </c>
      <c r="C163" t="s">
        <v>198</v>
      </c>
      <c r="D163" t="s">
        <v>9</v>
      </c>
      <c r="E163">
        <v>1</v>
      </c>
      <c r="F163" s="8">
        <v>22.48</v>
      </c>
      <c r="G163" s="8">
        <v>17.98</v>
      </c>
      <c r="H163" s="8">
        <v>13.48</v>
      </c>
      <c r="I163" s="8">
        <v>33.08</v>
      </c>
      <c r="J163" s="8">
        <v>6.99</v>
      </c>
      <c r="K163" s="8">
        <v>22.09</v>
      </c>
      <c r="L163" s="8">
        <v>2.44</v>
      </c>
      <c r="M163" s="8">
        <v>15.38</v>
      </c>
      <c r="N163" s="8">
        <v>16.61</v>
      </c>
      <c r="O163" s="8">
        <v>22.33</v>
      </c>
      <c r="P163" s="8">
        <v>11.7</v>
      </c>
      <c r="Q163" s="8">
        <v>1.89</v>
      </c>
      <c r="R163" s="8">
        <v>11.16</v>
      </c>
      <c r="S163" s="9">
        <f t="shared" si="4"/>
        <v>12</v>
      </c>
      <c r="T163" s="8"/>
      <c r="U163" s="16">
        <f t="shared" si="5"/>
        <v>13.48</v>
      </c>
      <c r="V163" s="8"/>
      <c r="W163" s="8"/>
      <c r="X163" s="8"/>
      <c r="Y163" s="8"/>
    </row>
    <row r="164" spans="1:25" x14ac:dyDescent="0.25">
      <c r="A164" s="2">
        <v>163</v>
      </c>
      <c r="B164" s="3" t="s">
        <v>199</v>
      </c>
      <c r="C164" t="s">
        <v>200</v>
      </c>
      <c r="D164" t="s">
        <v>36</v>
      </c>
      <c r="E164">
        <v>1</v>
      </c>
      <c r="F164" s="8">
        <v>30.4</v>
      </c>
      <c r="G164" s="8">
        <v>35</v>
      </c>
      <c r="H164" s="8">
        <v>39.6</v>
      </c>
      <c r="I164" s="8">
        <v>39.6</v>
      </c>
      <c r="J164" s="8">
        <v>39.6</v>
      </c>
      <c r="K164" s="8">
        <v>39.6</v>
      </c>
      <c r="L164" s="8">
        <v>39.6</v>
      </c>
      <c r="M164" s="8">
        <v>37</v>
      </c>
      <c r="N164" s="8">
        <v>37.905241913066902</v>
      </c>
      <c r="O164" s="8">
        <v>36.974698024222562</v>
      </c>
      <c r="P164" s="8">
        <v>36.030740056754894</v>
      </c>
      <c r="Q164" s="8">
        <v>35.703109795263572</v>
      </c>
      <c r="R164" s="8">
        <v>34.58269495114223</v>
      </c>
      <c r="S164" s="9">
        <f t="shared" si="4"/>
        <v>12</v>
      </c>
      <c r="T164" s="8"/>
      <c r="U164" s="16">
        <f t="shared" si="5"/>
        <v>39.6</v>
      </c>
      <c r="V164" s="8"/>
      <c r="W164" s="8"/>
      <c r="X164" s="8"/>
      <c r="Y164" s="8"/>
    </row>
    <row r="165" spans="1:25" x14ac:dyDescent="0.25">
      <c r="A165" s="2">
        <v>164</v>
      </c>
      <c r="B165" s="3" t="s">
        <v>201</v>
      </c>
      <c r="C165" t="s">
        <v>201</v>
      </c>
      <c r="D165" t="s">
        <v>18</v>
      </c>
      <c r="E165">
        <v>1</v>
      </c>
      <c r="F165" s="8">
        <v>20</v>
      </c>
      <c r="G165" s="8">
        <v>25</v>
      </c>
      <c r="H165" s="8">
        <v>30</v>
      </c>
      <c r="I165" s="8">
        <v>30</v>
      </c>
      <c r="J165" s="8">
        <v>30</v>
      </c>
      <c r="K165" s="8">
        <v>30</v>
      </c>
      <c r="L165" s="8">
        <v>30</v>
      </c>
      <c r="M165" s="8">
        <v>30</v>
      </c>
      <c r="N165" s="8">
        <v>30</v>
      </c>
      <c r="O165" s="8">
        <v>30</v>
      </c>
      <c r="P165" s="8">
        <v>30</v>
      </c>
      <c r="Q165" s="8">
        <v>30</v>
      </c>
      <c r="R165" s="8">
        <v>30</v>
      </c>
      <c r="S165" s="9">
        <f t="shared" si="4"/>
        <v>12</v>
      </c>
      <c r="T165" s="8"/>
      <c r="U165" s="16">
        <f t="shared" si="5"/>
        <v>30</v>
      </c>
      <c r="V165" s="8"/>
      <c r="W165" s="8"/>
      <c r="X165" s="8"/>
      <c r="Y165" s="8"/>
    </row>
    <row r="166" spans="1:25" x14ac:dyDescent="0.25">
      <c r="A166" s="2">
        <v>165</v>
      </c>
      <c r="B166" s="3" t="s">
        <v>202</v>
      </c>
      <c r="C166" t="s">
        <v>202</v>
      </c>
      <c r="D166" t="s">
        <v>25</v>
      </c>
      <c r="E166">
        <v>0</v>
      </c>
      <c r="F166" s="8">
        <v>22</v>
      </c>
      <c r="G166" s="8">
        <v>22</v>
      </c>
      <c r="H166" s="8">
        <v>22</v>
      </c>
      <c r="I166" s="8">
        <v>22</v>
      </c>
      <c r="J166" s="8">
        <v>22</v>
      </c>
      <c r="K166" s="8">
        <v>22</v>
      </c>
      <c r="L166" s="8">
        <v>22</v>
      </c>
      <c r="M166" s="8">
        <v>22</v>
      </c>
      <c r="N166" s="8">
        <v>23.24</v>
      </c>
      <c r="O166" s="8">
        <v>20.100000000000001</v>
      </c>
      <c r="P166" s="8">
        <v>23.5</v>
      </c>
      <c r="Q166" s="8">
        <v>22.57</v>
      </c>
      <c r="R166" s="8">
        <v>21.88</v>
      </c>
      <c r="S166" s="9">
        <f t="shared" si="4"/>
        <v>12</v>
      </c>
      <c r="T166" s="8"/>
      <c r="U166" s="16">
        <f t="shared" si="5"/>
        <v>22</v>
      </c>
      <c r="V166" s="8"/>
      <c r="W166" s="8"/>
      <c r="X166" s="8"/>
      <c r="Y166" s="8"/>
    </row>
    <row r="167" spans="1:25" x14ac:dyDescent="0.25">
      <c r="A167" s="2">
        <v>166</v>
      </c>
      <c r="B167" s="3" t="s">
        <v>203</v>
      </c>
      <c r="C167" t="s">
        <v>203</v>
      </c>
      <c r="D167" t="s">
        <v>18</v>
      </c>
      <c r="E167">
        <v>1</v>
      </c>
      <c r="F167" s="8">
        <v>34</v>
      </c>
      <c r="G167" s="8">
        <v>34</v>
      </c>
      <c r="H167" s="8">
        <v>34</v>
      </c>
      <c r="I167" s="8">
        <v>34</v>
      </c>
      <c r="J167" s="8">
        <v>34</v>
      </c>
      <c r="K167" s="8">
        <v>34</v>
      </c>
      <c r="L167" s="8">
        <v>34</v>
      </c>
      <c r="M167" s="8">
        <v>34</v>
      </c>
      <c r="N167" s="8">
        <v>34</v>
      </c>
      <c r="O167" s="8">
        <v>34</v>
      </c>
      <c r="P167" s="8">
        <v>34</v>
      </c>
      <c r="Q167" s="8">
        <v>34</v>
      </c>
      <c r="R167" s="8">
        <v>34</v>
      </c>
      <c r="S167" s="9">
        <f t="shared" si="4"/>
        <v>12</v>
      </c>
      <c r="T167" s="8"/>
      <c r="U167" s="16">
        <f t="shared" si="5"/>
        <v>34</v>
      </c>
      <c r="V167" s="8"/>
      <c r="W167" s="8"/>
      <c r="X167" s="8"/>
      <c r="Y167" s="8"/>
    </row>
    <row r="168" spans="1:25" x14ac:dyDescent="0.25">
      <c r="A168" s="2">
        <v>167</v>
      </c>
      <c r="B168" s="3" t="s">
        <v>204</v>
      </c>
      <c r="C168" t="s">
        <v>204</v>
      </c>
      <c r="D168" t="s">
        <v>25</v>
      </c>
      <c r="E168">
        <v>1</v>
      </c>
      <c r="F168" s="8">
        <v>35</v>
      </c>
      <c r="G168" s="8">
        <v>35</v>
      </c>
      <c r="H168" s="8">
        <v>35</v>
      </c>
      <c r="I168" s="8">
        <v>35</v>
      </c>
      <c r="J168" s="8">
        <v>35</v>
      </c>
      <c r="K168" s="8">
        <v>35</v>
      </c>
      <c r="L168" s="8">
        <v>35</v>
      </c>
      <c r="M168" s="8">
        <v>35</v>
      </c>
      <c r="N168" s="8">
        <v>35</v>
      </c>
      <c r="O168" s="8">
        <v>35</v>
      </c>
      <c r="P168" s="8">
        <v>35</v>
      </c>
      <c r="Q168" s="8">
        <v>35</v>
      </c>
      <c r="R168" s="8">
        <v>35</v>
      </c>
      <c r="S168" s="9">
        <f t="shared" si="4"/>
        <v>12</v>
      </c>
      <c r="T168" s="8"/>
      <c r="U168" s="16">
        <f t="shared" si="5"/>
        <v>35</v>
      </c>
      <c r="V168" s="8"/>
      <c r="W168" s="8"/>
      <c r="X168" s="8"/>
      <c r="Y168" s="8"/>
    </row>
    <row r="169" spans="1:25" x14ac:dyDescent="0.25">
      <c r="A169" s="2">
        <v>168</v>
      </c>
      <c r="B169" s="3" t="s">
        <v>205</v>
      </c>
      <c r="C169" t="s">
        <v>205</v>
      </c>
      <c r="D169" t="s">
        <v>9</v>
      </c>
      <c r="E169">
        <v>1</v>
      </c>
      <c r="F169" s="8">
        <v>20</v>
      </c>
      <c r="G169" s="8">
        <v>20</v>
      </c>
      <c r="H169" s="8">
        <v>20</v>
      </c>
      <c r="I169" s="8">
        <v>20</v>
      </c>
      <c r="J169" s="8">
        <v>20</v>
      </c>
      <c r="K169" s="8">
        <v>20</v>
      </c>
      <c r="L169" s="8">
        <v>20</v>
      </c>
      <c r="M169" s="8">
        <v>17.96</v>
      </c>
      <c r="N169" s="8">
        <v>7.1629587988545609</v>
      </c>
      <c r="O169" s="8">
        <v>3.2860920061375509</v>
      </c>
      <c r="P169" s="8">
        <v>9.58</v>
      </c>
      <c r="Q169" s="8">
        <v>14.99</v>
      </c>
      <c r="R169" s="8">
        <v>4.63</v>
      </c>
      <c r="S169" s="9">
        <f t="shared" si="4"/>
        <v>12</v>
      </c>
      <c r="T169" s="8"/>
      <c r="U169" s="16">
        <f t="shared" si="5"/>
        <v>20</v>
      </c>
      <c r="V169" s="8"/>
      <c r="W169" s="8"/>
      <c r="X169" s="8"/>
      <c r="Y169" s="8"/>
    </row>
    <row r="170" spans="1:25" x14ac:dyDescent="0.25">
      <c r="A170" s="2">
        <v>169</v>
      </c>
      <c r="B170" s="3" t="s">
        <v>206</v>
      </c>
      <c r="C170" t="s">
        <v>206</v>
      </c>
      <c r="D170" t="s">
        <v>14</v>
      </c>
      <c r="E170">
        <v>1</v>
      </c>
      <c r="F170" s="8">
        <v>35</v>
      </c>
      <c r="G170" s="8">
        <v>35</v>
      </c>
      <c r="H170" s="8">
        <v>35</v>
      </c>
      <c r="I170" s="8">
        <v>35</v>
      </c>
      <c r="J170" s="8">
        <v>35</v>
      </c>
      <c r="K170" s="8">
        <v>35</v>
      </c>
      <c r="L170" s="8">
        <v>35</v>
      </c>
      <c r="M170" s="8">
        <v>35</v>
      </c>
      <c r="N170" s="8">
        <v>35</v>
      </c>
      <c r="O170" s="8">
        <v>35</v>
      </c>
      <c r="P170" s="8">
        <v>35</v>
      </c>
      <c r="Q170" s="8">
        <v>35</v>
      </c>
      <c r="R170" s="8">
        <v>35</v>
      </c>
      <c r="S170" s="9">
        <f t="shared" si="4"/>
        <v>12</v>
      </c>
      <c r="T170" s="8"/>
      <c r="U170" s="16">
        <f t="shared" si="5"/>
        <v>35</v>
      </c>
      <c r="V170" s="8"/>
      <c r="W170" s="8"/>
      <c r="X170" s="8"/>
      <c r="Y170" s="8"/>
    </row>
    <row r="171" spans="1:25" x14ac:dyDescent="0.25">
      <c r="A171" s="2">
        <v>170</v>
      </c>
      <c r="B171" s="3" t="s">
        <v>207</v>
      </c>
      <c r="C171" t="s">
        <v>207</v>
      </c>
      <c r="D171" t="s">
        <v>14</v>
      </c>
      <c r="E171">
        <v>1</v>
      </c>
      <c r="F171" s="8">
        <v>43.65</v>
      </c>
      <c r="G171" s="8">
        <v>45</v>
      </c>
      <c r="H171" s="8">
        <v>46.35</v>
      </c>
      <c r="I171" s="8">
        <v>45</v>
      </c>
      <c r="J171" s="8">
        <v>51.5</v>
      </c>
      <c r="K171" s="8">
        <v>51.5</v>
      </c>
      <c r="L171" s="8">
        <v>51.5</v>
      </c>
      <c r="M171" s="8">
        <v>51.5</v>
      </c>
      <c r="N171" s="8">
        <v>52.999691201191126</v>
      </c>
      <c r="O171" s="8">
        <v>56.479974339959881</v>
      </c>
      <c r="P171" s="8">
        <v>56.727582712968797</v>
      </c>
      <c r="Q171" s="8">
        <v>57.306258267370595</v>
      </c>
      <c r="R171" s="8">
        <v>59.356449141892881</v>
      </c>
      <c r="S171" s="9">
        <f t="shared" si="4"/>
        <v>12</v>
      </c>
      <c r="T171" s="8"/>
      <c r="U171" s="16">
        <f t="shared" si="5"/>
        <v>46.35</v>
      </c>
      <c r="V171" s="8"/>
      <c r="W171" s="8"/>
      <c r="X171" s="8"/>
      <c r="Y171" s="8"/>
    </row>
    <row r="172" spans="1:25" x14ac:dyDescent="0.25">
      <c r="A172" s="2">
        <v>171</v>
      </c>
      <c r="B172" s="3" t="s">
        <v>208</v>
      </c>
      <c r="C172">
        <v>0</v>
      </c>
      <c r="D172" t="s">
        <v>7</v>
      </c>
      <c r="E172">
        <v>16</v>
      </c>
      <c r="F172" s="23">
        <v>10</v>
      </c>
      <c r="G172" s="23">
        <v>10</v>
      </c>
      <c r="H172" s="23">
        <v>10</v>
      </c>
      <c r="I172" s="23">
        <v>10</v>
      </c>
      <c r="J172" s="23">
        <v>10</v>
      </c>
      <c r="K172" s="23">
        <v>10</v>
      </c>
      <c r="L172" s="23">
        <v>10</v>
      </c>
      <c r="M172" s="23">
        <v>10</v>
      </c>
      <c r="N172" s="23">
        <v>10</v>
      </c>
      <c r="O172" s="23">
        <v>10</v>
      </c>
      <c r="P172" s="23">
        <v>10</v>
      </c>
      <c r="Q172" s="23">
        <v>10</v>
      </c>
      <c r="R172" s="23">
        <v>10</v>
      </c>
      <c r="S172" s="9">
        <f t="shared" si="4"/>
        <v>12</v>
      </c>
      <c r="U172" s="16">
        <f t="shared" si="5"/>
        <v>10</v>
      </c>
    </row>
    <row r="173" spans="1:25" x14ac:dyDescent="0.25">
      <c r="A173" s="2">
        <v>172</v>
      </c>
      <c r="B173" s="3" t="s">
        <v>209</v>
      </c>
      <c r="C173">
        <v>0</v>
      </c>
      <c r="D173" t="s">
        <v>23</v>
      </c>
      <c r="E173">
        <v>16</v>
      </c>
      <c r="F173" s="23">
        <v>43</v>
      </c>
      <c r="G173" s="23">
        <v>43</v>
      </c>
      <c r="H173" s="23">
        <v>43</v>
      </c>
      <c r="I173" s="23">
        <v>43</v>
      </c>
      <c r="J173" s="23">
        <v>43</v>
      </c>
      <c r="K173" s="23">
        <v>43</v>
      </c>
      <c r="L173" s="23">
        <v>43</v>
      </c>
      <c r="M173" s="23">
        <v>43</v>
      </c>
      <c r="N173" s="23">
        <v>42</v>
      </c>
      <c r="O173" s="23">
        <v>41.6666666666667</v>
      </c>
      <c r="P173" s="23">
        <v>41.1666666666667</v>
      </c>
      <c r="Q173" s="23">
        <v>40.6666666666667</v>
      </c>
      <c r="R173" s="23">
        <v>40.1666666666667</v>
      </c>
      <c r="S173" s="9">
        <f t="shared" si="4"/>
        <v>12</v>
      </c>
      <c r="U173" s="16">
        <f t="shared" si="5"/>
        <v>43</v>
      </c>
    </row>
    <row r="174" spans="1:25" x14ac:dyDescent="0.25">
      <c r="A174" s="2">
        <v>173</v>
      </c>
      <c r="B174" s="3" t="s">
        <v>210</v>
      </c>
      <c r="C174">
        <v>0</v>
      </c>
      <c r="D174" t="s">
        <v>25</v>
      </c>
      <c r="E174">
        <v>15</v>
      </c>
      <c r="F174" s="23">
        <v>25</v>
      </c>
      <c r="G174" s="23">
        <v>25</v>
      </c>
      <c r="H174" s="23">
        <v>25</v>
      </c>
      <c r="I174" s="23">
        <v>25</v>
      </c>
      <c r="J174" s="23">
        <v>25</v>
      </c>
      <c r="K174" s="23">
        <v>25</v>
      </c>
      <c r="L174" s="23">
        <v>25</v>
      </c>
      <c r="M174" s="23">
        <v>25</v>
      </c>
      <c r="N174" s="23">
        <v>10</v>
      </c>
      <c r="O174" s="23">
        <v>10</v>
      </c>
      <c r="P174" s="23">
        <v>10</v>
      </c>
      <c r="Q174" s="23">
        <v>10</v>
      </c>
      <c r="R174" s="23">
        <v>10</v>
      </c>
      <c r="S174" s="9">
        <f t="shared" si="4"/>
        <v>12</v>
      </c>
      <c r="U174" s="16">
        <f t="shared" si="5"/>
        <v>25</v>
      </c>
    </row>
    <row r="175" spans="1:25" x14ac:dyDescent="0.25">
      <c r="A175" s="2">
        <v>174</v>
      </c>
      <c r="B175" s="3" t="s">
        <v>211</v>
      </c>
      <c r="C175">
        <v>0</v>
      </c>
      <c r="D175" t="s">
        <v>16</v>
      </c>
      <c r="E175">
        <v>14</v>
      </c>
      <c r="F175" s="23">
        <v>10</v>
      </c>
      <c r="G175" s="23">
        <v>10</v>
      </c>
      <c r="H175" s="23">
        <v>10</v>
      </c>
      <c r="I175" s="23">
        <v>10</v>
      </c>
      <c r="J175" s="23">
        <v>10</v>
      </c>
      <c r="K175" s="23">
        <v>10</v>
      </c>
      <c r="L175" s="23">
        <v>10</v>
      </c>
      <c r="M175" s="23">
        <v>10</v>
      </c>
      <c r="N175" s="23">
        <v>17</v>
      </c>
      <c r="O175" s="23">
        <v>19.3333333333333</v>
      </c>
      <c r="P175" s="23">
        <v>22.8333333333333</v>
      </c>
      <c r="Q175" s="23">
        <v>26.3333333333333</v>
      </c>
      <c r="R175" s="23">
        <v>29.8333333333333</v>
      </c>
      <c r="S175" s="9">
        <f t="shared" si="4"/>
        <v>12</v>
      </c>
      <c r="U175" s="16">
        <f t="shared" si="5"/>
        <v>10</v>
      </c>
    </row>
    <row r="176" spans="1:25" x14ac:dyDescent="0.25">
      <c r="A176" s="2">
        <v>175</v>
      </c>
      <c r="B176" s="3" t="s">
        <v>212</v>
      </c>
      <c r="C176">
        <v>0</v>
      </c>
      <c r="D176" t="s">
        <v>23</v>
      </c>
      <c r="E176">
        <v>16</v>
      </c>
      <c r="F176" s="23">
        <v>22</v>
      </c>
      <c r="G176" s="23">
        <v>22</v>
      </c>
      <c r="H176" s="23">
        <v>22</v>
      </c>
      <c r="I176" s="23">
        <v>22</v>
      </c>
      <c r="J176" s="23">
        <v>22</v>
      </c>
      <c r="K176" s="23">
        <v>22</v>
      </c>
      <c r="L176" s="23">
        <v>22</v>
      </c>
      <c r="M176" s="23">
        <v>22</v>
      </c>
      <c r="N176" s="23">
        <v>30</v>
      </c>
      <c r="O176" s="23">
        <v>32.6666666666667</v>
      </c>
      <c r="P176" s="23">
        <v>36.6666666666667</v>
      </c>
      <c r="Q176" s="23">
        <v>40.6666666666667</v>
      </c>
      <c r="R176" s="23">
        <v>44.6666666666667</v>
      </c>
      <c r="S176" s="9">
        <f t="shared" si="4"/>
        <v>12</v>
      </c>
      <c r="U176" s="16">
        <f t="shared" si="5"/>
        <v>22</v>
      </c>
    </row>
  </sheetData>
  <conditionalFormatting sqref="F1:F1048576">
    <cfRule type="cellIs" dxfId="58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>
    <tabColor theme="6"/>
  </sheetPr>
  <dimension ref="A1:Y176"/>
  <sheetViews>
    <sheetView showGridLines="0" workbookViewId="0"/>
  </sheetViews>
  <sheetFormatPr defaultRowHeight="15" x14ac:dyDescent="0.25"/>
  <cols>
    <col min="3" max="3" width="21.7109375" customWidth="1"/>
    <col min="7" max="11" width="23.42578125" bestFit="1" customWidth="1"/>
    <col min="12" max="12" width="22.28515625" customWidth="1"/>
    <col min="13" max="13" width="25.28515625" customWidth="1"/>
    <col min="14" max="18" width="24.7109375" customWidth="1"/>
    <col min="19" max="23" width="26.28515625" customWidth="1"/>
    <col min="25" max="25" width="14.7109375" bestFit="1" customWidth="1"/>
  </cols>
  <sheetData>
    <row r="1" spans="1:2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 t="s">
        <v>5</v>
      </c>
      <c r="U1" s="15">
        <f>'Config!'!$BA$15</f>
        <v>2012</v>
      </c>
    </row>
    <row r="2" spans="1:25" x14ac:dyDescent="0.25">
      <c r="A2" s="2">
        <v>1</v>
      </c>
      <c r="B2" s="3" t="s">
        <v>6</v>
      </c>
      <c r="C2" t="s">
        <v>6</v>
      </c>
      <c r="D2" t="s">
        <v>7</v>
      </c>
      <c r="E2">
        <v>1</v>
      </c>
      <c r="F2" s="31">
        <v>5.0999999999999996</v>
      </c>
      <c r="G2" s="31">
        <v>5.0999999999999996</v>
      </c>
      <c r="H2" s="31">
        <v>1.26</v>
      </c>
      <c r="I2" s="31">
        <v>1.1000000000000001</v>
      </c>
      <c r="J2" s="31">
        <v>1.2</v>
      </c>
      <c r="K2" s="31">
        <v>1.1000000000000001</v>
      </c>
      <c r="L2" s="31">
        <v>1.1100000000000001</v>
      </c>
      <c r="M2" s="31">
        <v>1.1000000000000001</v>
      </c>
      <c r="N2" s="32">
        <v>1.0952486681349178</v>
      </c>
      <c r="O2" s="31">
        <v>1.0782261719421626</v>
      </c>
      <c r="P2" s="31">
        <v>1.08334897078295</v>
      </c>
      <c r="Q2" s="31">
        <v>1.0815152522356186</v>
      </c>
      <c r="R2" s="31">
        <v>1.0556364220471615</v>
      </c>
      <c r="S2" s="9">
        <f>COUNT(G2:R2)</f>
        <v>12</v>
      </c>
      <c r="T2" s="8"/>
      <c r="U2" s="16">
        <f>IF(SUMIF($F$1:$R$1,U$1,$F2:$R2)=0,".",SUMIF($F$1:$R$1,U$1,$F2:$R2))</f>
        <v>1.26</v>
      </c>
      <c r="V2" s="8"/>
      <c r="W2" s="8"/>
      <c r="X2" s="8"/>
      <c r="Y2" s="8"/>
    </row>
    <row r="3" spans="1:25" x14ac:dyDescent="0.25">
      <c r="A3" s="2">
        <v>2</v>
      </c>
      <c r="B3" s="3" t="s">
        <v>8</v>
      </c>
      <c r="C3" t="s">
        <v>8</v>
      </c>
      <c r="D3" t="s">
        <v>9</v>
      </c>
      <c r="E3">
        <v>1</v>
      </c>
      <c r="F3" s="31">
        <v>8.6</v>
      </c>
      <c r="G3" s="31">
        <v>8.6</v>
      </c>
      <c r="H3" s="31">
        <v>12.1</v>
      </c>
      <c r="I3" s="31">
        <v>12.1</v>
      </c>
      <c r="J3" s="31">
        <v>12.1</v>
      </c>
      <c r="K3" s="31">
        <v>8.4</v>
      </c>
      <c r="L3" s="31">
        <v>8.27</v>
      </c>
      <c r="M3" s="31">
        <v>8.8000000000000007</v>
      </c>
      <c r="N3" s="31">
        <v>6.5589324915436009</v>
      </c>
      <c r="O3" s="31">
        <v>5.3170695757557951</v>
      </c>
      <c r="P3" s="31">
        <v>3.7488872601693402</v>
      </c>
      <c r="Q3" s="31">
        <v>1.8740601565982615</v>
      </c>
      <c r="R3" s="31">
        <v>0.6396069629286103</v>
      </c>
      <c r="S3" s="9">
        <f t="shared" ref="S3:S66" si="0">COUNT(G3:R3)</f>
        <v>12</v>
      </c>
      <c r="T3" s="8"/>
      <c r="U3" s="16">
        <f t="shared" ref="U3:U66" si="1">IF(SUMIF($F$1:$R$1,U$1,$F3:$R3)=0,".",SUMIF($F$1:$R$1,U$1,$F3:$R3))</f>
        <v>12.1</v>
      </c>
      <c r="V3" s="8"/>
      <c r="W3" s="8"/>
      <c r="X3" s="8"/>
      <c r="Y3" s="8"/>
    </row>
    <row r="4" spans="1:25" x14ac:dyDescent="0.25">
      <c r="A4" s="2">
        <v>3</v>
      </c>
      <c r="B4" s="3" t="s">
        <v>10</v>
      </c>
      <c r="C4" t="s">
        <v>11</v>
      </c>
      <c r="D4" t="s">
        <v>7</v>
      </c>
      <c r="E4" t="s">
        <v>12</v>
      </c>
      <c r="F4" s="31">
        <v>9.4</v>
      </c>
      <c r="G4" s="31">
        <v>9.4</v>
      </c>
      <c r="H4" s="31">
        <v>7.87</v>
      </c>
      <c r="I4" s="31">
        <v>1.88</v>
      </c>
      <c r="J4" s="31">
        <v>9.76</v>
      </c>
      <c r="K4" s="31">
        <v>1.24</v>
      </c>
      <c r="L4" s="31">
        <v>9.81</v>
      </c>
      <c r="M4" s="31">
        <v>2.35</v>
      </c>
      <c r="N4" s="31">
        <v>2.63</v>
      </c>
      <c r="O4" s="31">
        <v>2.16</v>
      </c>
      <c r="P4" s="31">
        <v>0</v>
      </c>
      <c r="Q4" s="31">
        <v>0</v>
      </c>
      <c r="R4" s="31">
        <v>0</v>
      </c>
      <c r="S4" s="9">
        <f t="shared" si="0"/>
        <v>12</v>
      </c>
      <c r="T4" s="8"/>
      <c r="U4" s="16">
        <f t="shared" si="1"/>
        <v>7.87</v>
      </c>
      <c r="V4" s="8"/>
      <c r="W4" s="8"/>
      <c r="X4" s="8"/>
      <c r="Y4" s="8"/>
    </row>
    <row r="5" spans="1:25" x14ac:dyDescent="0.25">
      <c r="A5" s="2">
        <v>4</v>
      </c>
      <c r="B5" s="3" t="s">
        <v>13</v>
      </c>
      <c r="C5" t="s">
        <v>13</v>
      </c>
      <c r="D5" t="s">
        <v>14</v>
      </c>
      <c r="E5">
        <v>1</v>
      </c>
      <c r="F5" s="31">
        <v>7.4</v>
      </c>
      <c r="G5" s="31">
        <v>7.4</v>
      </c>
      <c r="H5" s="31">
        <v>7.44</v>
      </c>
      <c r="I5" s="31">
        <v>7.4</v>
      </c>
      <c r="J5" s="31">
        <v>4.9000000000000004</v>
      </c>
      <c r="K5" s="31">
        <v>11.7</v>
      </c>
      <c r="L5" s="31">
        <v>10.24</v>
      </c>
      <c r="M5" s="31">
        <v>9.4</v>
      </c>
      <c r="N5" s="31">
        <v>13.722454669743456</v>
      </c>
      <c r="O5" s="31">
        <v>12.417562324101254</v>
      </c>
      <c r="P5" s="31">
        <v>13.566413456464261</v>
      </c>
      <c r="Q5" s="31">
        <v>13.548697723736041</v>
      </c>
      <c r="R5" s="31">
        <v>15.25519556745644</v>
      </c>
      <c r="S5" s="9">
        <f t="shared" si="0"/>
        <v>12</v>
      </c>
      <c r="T5" s="8"/>
      <c r="U5" s="16">
        <f t="shared" si="1"/>
        <v>7.44</v>
      </c>
      <c r="V5" s="8"/>
      <c r="W5" s="8"/>
      <c r="X5" s="8"/>
      <c r="Y5" s="8"/>
    </row>
    <row r="6" spans="1:25" x14ac:dyDescent="0.25">
      <c r="A6" s="2">
        <v>5</v>
      </c>
      <c r="B6" s="3" t="s">
        <v>15</v>
      </c>
      <c r="C6" t="s">
        <v>11</v>
      </c>
      <c r="D6" t="s">
        <v>16</v>
      </c>
      <c r="E6" t="s">
        <v>12</v>
      </c>
      <c r="F6" s="31">
        <v>2.81</v>
      </c>
      <c r="G6" s="31">
        <v>2.81</v>
      </c>
      <c r="H6" s="31">
        <v>7.62</v>
      </c>
      <c r="I6" s="31">
        <v>5.19</v>
      </c>
      <c r="J6" s="31">
        <v>0.73</v>
      </c>
      <c r="K6" s="31">
        <v>9.1199999999999992</v>
      </c>
      <c r="L6" s="31">
        <v>1.4</v>
      </c>
      <c r="M6" s="31">
        <v>7.24</v>
      </c>
      <c r="N6" s="31">
        <v>3.22</v>
      </c>
      <c r="O6" s="31">
        <v>0.55000000000000004</v>
      </c>
      <c r="P6" s="31">
        <v>0</v>
      </c>
      <c r="Q6" s="31">
        <v>0</v>
      </c>
      <c r="R6" s="31">
        <v>0</v>
      </c>
      <c r="S6" s="9">
        <f t="shared" si="0"/>
        <v>12</v>
      </c>
      <c r="T6" s="8"/>
      <c r="U6" s="16">
        <f t="shared" si="1"/>
        <v>7.62</v>
      </c>
      <c r="V6" s="8"/>
      <c r="W6" s="8"/>
      <c r="X6" s="8"/>
      <c r="Y6" s="8"/>
    </row>
    <row r="7" spans="1:25" x14ac:dyDescent="0.25">
      <c r="A7" s="2">
        <v>6</v>
      </c>
      <c r="B7" s="3" t="s">
        <v>17</v>
      </c>
      <c r="C7" t="s">
        <v>17</v>
      </c>
      <c r="D7" t="s">
        <v>18</v>
      </c>
      <c r="E7">
        <v>1</v>
      </c>
      <c r="F7" s="31">
        <v>6.2</v>
      </c>
      <c r="G7" s="31">
        <v>6.2</v>
      </c>
      <c r="H7" s="31">
        <v>5.57</v>
      </c>
      <c r="I7" s="31">
        <v>5.6</v>
      </c>
      <c r="J7" s="31">
        <v>6.3</v>
      </c>
      <c r="K7" s="31">
        <v>6.6</v>
      </c>
      <c r="L7" s="31">
        <v>7.35</v>
      </c>
      <c r="M7" s="31">
        <v>7.5</v>
      </c>
      <c r="N7" s="31">
        <v>8.5047591511934115</v>
      </c>
      <c r="O7" s="31">
        <v>8.729715265015102</v>
      </c>
      <c r="P7" s="31">
        <v>8.8219833490795736</v>
      </c>
      <c r="Q7" s="31">
        <v>9.5386000867790699</v>
      </c>
      <c r="R7" s="31">
        <v>9.9874302866012385</v>
      </c>
      <c r="S7" s="9">
        <f t="shared" si="0"/>
        <v>12</v>
      </c>
      <c r="T7" s="8"/>
      <c r="U7" s="16">
        <f t="shared" si="1"/>
        <v>5.57</v>
      </c>
      <c r="V7" s="8"/>
      <c r="W7" s="8"/>
      <c r="X7" s="8"/>
      <c r="Y7" s="8"/>
    </row>
    <row r="8" spans="1:25" x14ac:dyDescent="0.25">
      <c r="A8" s="2">
        <v>7</v>
      </c>
      <c r="B8" s="3" t="s">
        <v>19</v>
      </c>
      <c r="C8" t="s">
        <v>19</v>
      </c>
      <c r="D8" t="s">
        <v>7</v>
      </c>
      <c r="E8">
        <v>1</v>
      </c>
      <c r="F8" s="31">
        <v>2.2999999999999998</v>
      </c>
      <c r="G8" s="31">
        <v>2.2999999999999998</v>
      </c>
      <c r="H8" s="31">
        <v>2.27</v>
      </c>
      <c r="I8" s="31">
        <v>2.2999999999999998</v>
      </c>
      <c r="J8" s="31">
        <v>2.2000000000000002</v>
      </c>
      <c r="K8" s="31">
        <v>2.4</v>
      </c>
      <c r="L8" s="31">
        <v>2.52</v>
      </c>
      <c r="M8" s="31">
        <v>2.1</v>
      </c>
      <c r="N8" s="31">
        <v>2.276936283410457</v>
      </c>
      <c r="O8" s="31">
        <v>2.2697305985865306</v>
      </c>
      <c r="P8" s="31">
        <v>2.2604776432659612</v>
      </c>
      <c r="Q8" s="31">
        <v>2.257433385978068</v>
      </c>
      <c r="R8" s="31">
        <v>2.2445466407598609</v>
      </c>
      <c r="S8" s="9">
        <f t="shared" si="0"/>
        <v>12</v>
      </c>
      <c r="T8" s="8"/>
      <c r="U8" s="16">
        <f t="shared" si="1"/>
        <v>2.27</v>
      </c>
      <c r="V8" s="8"/>
      <c r="W8" s="8"/>
      <c r="X8" s="8"/>
      <c r="Y8" s="8"/>
    </row>
    <row r="9" spans="1:25" x14ac:dyDescent="0.25">
      <c r="A9" s="2">
        <v>8</v>
      </c>
      <c r="B9" s="3" t="s">
        <v>20</v>
      </c>
      <c r="C9" t="s">
        <v>20</v>
      </c>
      <c r="D9" t="s">
        <v>21</v>
      </c>
      <c r="E9">
        <v>1</v>
      </c>
      <c r="F9" s="31">
        <v>1.9</v>
      </c>
      <c r="G9" s="31">
        <v>1.9</v>
      </c>
      <c r="H9" s="31">
        <v>1.81</v>
      </c>
      <c r="I9" s="31">
        <v>1.8</v>
      </c>
      <c r="J9" s="31">
        <v>1.8</v>
      </c>
      <c r="K9" s="31">
        <v>1.9</v>
      </c>
      <c r="L9" s="31">
        <v>1.89</v>
      </c>
      <c r="M9" s="31">
        <v>1.2</v>
      </c>
      <c r="N9" s="31">
        <v>1.4297173647999557</v>
      </c>
      <c r="O9" s="31">
        <v>1.3128152189956097</v>
      </c>
      <c r="P9" s="31">
        <v>1.1207194994970848</v>
      </c>
      <c r="Q9" s="31">
        <v>1.0468411716270509</v>
      </c>
      <c r="R9" s="31">
        <v>0.88790178195037583</v>
      </c>
      <c r="S9" s="9">
        <f t="shared" si="0"/>
        <v>12</v>
      </c>
      <c r="T9" s="8"/>
      <c r="U9" s="16">
        <f t="shared" si="1"/>
        <v>1.81</v>
      </c>
      <c r="V9" s="8"/>
      <c r="W9" s="8"/>
      <c r="X9" s="8"/>
      <c r="Y9" s="8"/>
    </row>
    <row r="10" spans="1:25" x14ac:dyDescent="0.25">
      <c r="A10" s="2">
        <v>9</v>
      </c>
      <c r="B10" s="3" t="s">
        <v>22</v>
      </c>
      <c r="C10" t="s">
        <v>22</v>
      </c>
      <c r="D10" t="s">
        <v>23</v>
      </c>
      <c r="E10">
        <v>1</v>
      </c>
      <c r="F10" s="31">
        <v>1.6</v>
      </c>
      <c r="G10" s="31">
        <v>1.6</v>
      </c>
      <c r="H10" s="31">
        <v>1.0900000000000001</v>
      </c>
      <c r="I10" s="31">
        <v>1</v>
      </c>
      <c r="J10" s="31">
        <v>1</v>
      </c>
      <c r="K10" s="31">
        <v>1.5</v>
      </c>
      <c r="L10" s="31">
        <v>1.57</v>
      </c>
      <c r="M10" s="31">
        <v>2</v>
      </c>
      <c r="N10" s="31">
        <v>2.1486092642528547</v>
      </c>
      <c r="O10" s="31">
        <v>2.4869582484461716</v>
      </c>
      <c r="P10" s="31">
        <v>2.7729701679344316</v>
      </c>
      <c r="Q10" s="31">
        <v>2.8744247442484721</v>
      </c>
      <c r="R10" s="31">
        <v>3.4488136139455037</v>
      </c>
      <c r="S10" s="9">
        <f t="shared" si="0"/>
        <v>12</v>
      </c>
      <c r="T10" s="8"/>
      <c r="U10" s="16">
        <f t="shared" si="1"/>
        <v>1.0900000000000001</v>
      </c>
      <c r="V10" s="8"/>
      <c r="W10" s="8"/>
      <c r="X10" s="8"/>
      <c r="Y10" s="8"/>
    </row>
    <row r="11" spans="1:25" x14ac:dyDescent="0.25">
      <c r="A11" s="2">
        <v>10</v>
      </c>
      <c r="B11" s="3" t="s">
        <v>24</v>
      </c>
      <c r="C11" t="s">
        <v>24</v>
      </c>
      <c r="D11" t="s">
        <v>25</v>
      </c>
      <c r="E11">
        <v>1</v>
      </c>
      <c r="F11" s="31">
        <v>3.9</v>
      </c>
      <c r="G11" s="31">
        <v>3.9</v>
      </c>
      <c r="H11" s="31">
        <v>3.89</v>
      </c>
      <c r="I11" s="31">
        <v>4.5</v>
      </c>
      <c r="J11" s="31">
        <v>4.5999999999999996</v>
      </c>
      <c r="K11" s="31">
        <v>5.3</v>
      </c>
      <c r="L11" s="31">
        <v>5.19</v>
      </c>
      <c r="M11" s="31">
        <v>5.2</v>
      </c>
      <c r="N11" s="31">
        <v>5.570490140704635</v>
      </c>
      <c r="O11" s="31">
        <v>5.6212642365002807</v>
      </c>
      <c r="P11" s="31">
        <v>6.0828094697135953</v>
      </c>
      <c r="Q11" s="31">
        <v>6.0589671935657066</v>
      </c>
      <c r="R11" s="31">
        <v>6.4413428014396459</v>
      </c>
      <c r="S11" s="9">
        <f t="shared" si="0"/>
        <v>12</v>
      </c>
      <c r="T11" s="8"/>
      <c r="U11" s="16">
        <f t="shared" si="1"/>
        <v>3.89</v>
      </c>
      <c r="V11" s="8"/>
      <c r="W11" s="8"/>
      <c r="X11" s="8"/>
      <c r="Y11" s="8"/>
    </row>
    <row r="12" spans="1:25" x14ac:dyDescent="0.25">
      <c r="A12" s="2">
        <v>11</v>
      </c>
      <c r="B12" s="3" t="s">
        <v>26</v>
      </c>
      <c r="C12" t="s">
        <v>26</v>
      </c>
      <c r="D12" t="s">
        <v>16</v>
      </c>
      <c r="E12" t="s">
        <v>12</v>
      </c>
      <c r="F12" s="31">
        <v>21.5</v>
      </c>
      <c r="G12" s="31">
        <v>21.5</v>
      </c>
      <c r="H12" s="31">
        <v>18.899999999999999</v>
      </c>
      <c r="I12" s="31">
        <v>18.899999999999999</v>
      </c>
      <c r="J12" s="31">
        <v>13</v>
      </c>
      <c r="K12" s="31">
        <v>19.7</v>
      </c>
      <c r="L12" s="31">
        <v>18.66</v>
      </c>
      <c r="M12" s="31">
        <v>18.600000000000001</v>
      </c>
      <c r="N12" s="31">
        <v>1.68</v>
      </c>
      <c r="O12" s="31">
        <v>12.22</v>
      </c>
      <c r="P12" s="31">
        <v>0</v>
      </c>
      <c r="Q12" s="31">
        <v>0</v>
      </c>
      <c r="R12" s="31">
        <v>0</v>
      </c>
      <c r="S12" s="9">
        <f t="shared" si="0"/>
        <v>12</v>
      </c>
      <c r="T12" s="8"/>
      <c r="U12" s="16">
        <f t="shared" si="1"/>
        <v>18.899999999999999</v>
      </c>
      <c r="V12" s="8"/>
      <c r="W12" s="8"/>
      <c r="X12" s="8"/>
      <c r="Y12" s="8"/>
    </row>
    <row r="13" spans="1:25" x14ac:dyDescent="0.25">
      <c r="A13" s="2">
        <v>12</v>
      </c>
      <c r="B13" s="3" t="s">
        <v>27</v>
      </c>
      <c r="C13" t="s">
        <v>27</v>
      </c>
      <c r="D13" t="s">
        <v>9</v>
      </c>
      <c r="E13">
        <v>1</v>
      </c>
      <c r="F13" s="31">
        <v>3.6</v>
      </c>
      <c r="G13" s="31">
        <v>3.6</v>
      </c>
      <c r="H13" s="31">
        <v>5.69</v>
      </c>
      <c r="I13" s="31">
        <v>5.7</v>
      </c>
      <c r="J13" s="31">
        <v>3.7</v>
      </c>
      <c r="K13" s="31">
        <v>3.6</v>
      </c>
      <c r="L13" s="31">
        <v>3.29</v>
      </c>
      <c r="M13" s="31">
        <v>3.1</v>
      </c>
      <c r="N13" s="31">
        <v>2.6557087288533694</v>
      </c>
      <c r="O13" s="31">
        <v>1.4616096756935804</v>
      </c>
      <c r="P13" s="31">
        <v>1.2482591999839769</v>
      </c>
      <c r="Q13" s="31">
        <v>0</v>
      </c>
      <c r="R13" s="31">
        <v>0</v>
      </c>
      <c r="S13" s="9">
        <f t="shared" si="0"/>
        <v>12</v>
      </c>
      <c r="T13" s="8"/>
      <c r="U13" s="16">
        <f t="shared" si="1"/>
        <v>5.69</v>
      </c>
      <c r="V13" s="8"/>
      <c r="W13" s="8"/>
      <c r="X13" s="8"/>
      <c r="Y13" s="8"/>
    </row>
    <row r="14" spans="1:25" x14ac:dyDescent="0.25">
      <c r="A14" s="2">
        <v>13</v>
      </c>
      <c r="B14" s="3" t="s">
        <v>28</v>
      </c>
      <c r="C14" t="s">
        <v>28</v>
      </c>
      <c r="D14" t="s">
        <v>25</v>
      </c>
      <c r="E14">
        <v>1</v>
      </c>
      <c r="F14" s="31">
        <v>13</v>
      </c>
      <c r="G14" s="31">
        <v>13</v>
      </c>
      <c r="H14" s="31">
        <v>13</v>
      </c>
      <c r="I14" s="31">
        <v>13</v>
      </c>
      <c r="J14" s="31">
        <v>10.7</v>
      </c>
      <c r="K14" s="31">
        <v>10.7</v>
      </c>
      <c r="L14" s="31">
        <v>11.89</v>
      </c>
      <c r="M14" s="31">
        <v>10.7</v>
      </c>
      <c r="N14" s="31">
        <v>10.145472362964824</v>
      </c>
      <c r="O14" s="31">
        <v>9.739915519544752</v>
      </c>
      <c r="P14" s="31">
        <v>9.4570048511708364</v>
      </c>
      <c r="Q14" s="31">
        <v>9.3846989662068836</v>
      </c>
      <c r="R14" s="31">
        <v>9.3906500233837278</v>
      </c>
      <c r="S14" s="9">
        <f t="shared" si="0"/>
        <v>12</v>
      </c>
      <c r="T14" s="8"/>
      <c r="U14" s="16">
        <f t="shared" si="1"/>
        <v>13</v>
      </c>
      <c r="V14" s="8"/>
      <c r="W14" s="8"/>
      <c r="X14" s="8"/>
      <c r="Y14" s="8"/>
    </row>
    <row r="15" spans="1:25" x14ac:dyDescent="0.25">
      <c r="A15" s="2">
        <v>14</v>
      </c>
      <c r="B15" s="3" t="s">
        <v>29</v>
      </c>
      <c r="C15" t="s">
        <v>29</v>
      </c>
      <c r="D15" t="s">
        <v>16</v>
      </c>
      <c r="E15">
        <v>1</v>
      </c>
      <c r="F15" s="31">
        <v>14.8</v>
      </c>
      <c r="G15" s="31">
        <v>14.8</v>
      </c>
      <c r="H15" s="31">
        <v>14.7</v>
      </c>
      <c r="I15" s="31">
        <v>13.1</v>
      </c>
      <c r="J15" s="31">
        <v>13.9</v>
      </c>
      <c r="K15" s="31">
        <v>13.9</v>
      </c>
      <c r="L15" s="31">
        <v>13.9</v>
      </c>
      <c r="M15" s="31">
        <v>14.2</v>
      </c>
      <c r="N15" s="31">
        <v>14.665176854771573</v>
      </c>
      <c r="O15" s="31">
        <v>14.725375784328548</v>
      </c>
      <c r="P15" s="31">
        <v>14.686520278419778</v>
      </c>
      <c r="Q15" s="31">
        <v>15.169319360579323</v>
      </c>
      <c r="R15" s="31">
        <v>15.330368175872366</v>
      </c>
      <c r="S15" s="9">
        <f t="shared" si="0"/>
        <v>12</v>
      </c>
      <c r="T15" s="8"/>
      <c r="U15" s="16">
        <f t="shared" si="1"/>
        <v>14.7</v>
      </c>
      <c r="V15" s="8"/>
      <c r="W15" s="8"/>
      <c r="X15" s="8"/>
      <c r="Y15" s="8"/>
    </row>
    <row r="16" spans="1:25" x14ac:dyDescent="0.25">
      <c r="A16" s="2">
        <v>15</v>
      </c>
      <c r="B16" s="3" t="s">
        <v>30</v>
      </c>
      <c r="C16" t="s">
        <v>30</v>
      </c>
      <c r="D16" t="s">
        <v>7</v>
      </c>
      <c r="E16" t="s">
        <v>12</v>
      </c>
      <c r="F16" s="31">
        <v>2.1</v>
      </c>
      <c r="G16" s="31">
        <v>2.1</v>
      </c>
      <c r="H16" s="31">
        <v>1.8</v>
      </c>
      <c r="I16" s="31">
        <v>2</v>
      </c>
      <c r="J16" s="31">
        <v>3</v>
      </c>
      <c r="K16" s="31">
        <v>2.2000000000000002</v>
      </c>
      <c r="L16" s="31">
        <v>1.8</v>
      </c>
      <c r="M16" s="31">
        <v>1.8</v>
      </c>
      <c r="N16" s="31">
        <v>1.86</v>
      </c>
      <c r="O16" s="31">
        <v>2.0299999999999998</v>
      </c>
      <c r="P16" s="31">
        <v>0</v>
      </c>
      <c r="Q16" s="31">
        <v>0</v>
      </c>
      <c r="R16" s="31">
        <v>0</v>
      </c>
      <c r="S16" s="9">
        <f t="shared" si="0"/>
        <v>12</v>
      </c>
      <c r="T16" s="8"/>
      <c r="U16" s="16">
        <f t="shared" si="1"/>
        <v>1.8</v>
      </c>
      <c r="V16" s="8"/>
      <c r="W16" s="8"/>
      <c r="X16" s="8"/>
      <c r="Y16" s="8"/>
    </row>
    <row r="17" spans="1:25" x14ac:dyDescent="0.25">
      <c r="A17" s="2">
        <v>16</v>
      </c>
      <c r="B17" s="3" t="s">
        <v>31</v>
      </c>
      <c r="C17" t="s">
        <v>31</v>
      </c>
      <c r="D17" t="s">
        <v>23</v>
      </c>
      <c r="E17">
        <v>1</v>
      </c>
      <c r="F17" s="31">
        <v>1.6</v>
      </c>
      <c r="G17" s="31">
        <v>1.6</v>
      </c>
      <c r="H17" s="31">
        <v>1.0900000000000001</v>
      </c>
      <c r="I17" s="31">
        <v>1</v>
      </c>
      <c r="J17" s="31">
        <v>1</v>
      </c>
      <c r="K17" s="31">
        <v>1.5</v>
      </c>
      <c r="L17" s="31">
        <v>1.57</v>
      </c>
      <c r="M17" s="31">
        <v>2</v>
      </c>
      <c r="N17" s="31">
        <v>2.1285227773935276</v>
      </c>
      <c r="O17" s="31">
        <v>2.3723294442060023</v>
      </c>
      <c r="P17" s="31">
        <v>2.6673017298076047</v>
      </c>
      <c r="Q17" s="31">
        <v>3.0578621311788083</v>
      </c>
      <c r="R17" s="31">
        <v>3.3262782199867615</v>
      </c>
      <c r="S17" s="9">
        <f t="shared" si="0"/>
        <v>12</v>
      </c>
      <c r="T17" s="8"/>
      <c r="U17" s="16">
        <f t="shared" si="1"/>
        <v>1.0900000000000001</v>
      </c>
      <c r="V17" s="8"/>
      <c r="W17" s="8"/>
      <c r="X17" s="8"/>
      <c r="Y17" s="8"/>
    </row>
    <row r="18" spans="1:25" x14ac:dyDescent="0.25">
      <c r="A18" s="2">
        <v>17</v>
      </c>
      <c r="B18" s="3" t="s">
        <v>32</v>
      </c>
      <c r="C18" t="s">
        <v>32</v>
      </c>
      <c r="D18" t="s">
        <v>33</v>
      </c>
      <c r="E18">
        <v>1</v>
      </c>
      <c r="F18" s="31">
        <v>6.4</v>
      </c>
      <c r="G18" s="31">
        <v>6.4</v>
      </c>
      <c r="H18" s="31">
        <v>11.1</v>
      </c>
      <c r="I18" s="31">
        <v>9.8000000000000007</v>
      </c>
      <c r="J18" s="31">
        <v>10</v>
      </c>
      <c r="K18" s="31">
        <v>10</v>
      </c>
      <c r="L18" s="31">
        <v>10.039999999999999</v>
      </c>
      <c r="M18" s="31">
        <v>10.5</v>
      </c>
      <c r="N18" s="31">
        <v>10.518710007189384</v>
      </c>
      <c r="O18" s="31">
        <v>10.484872696175273</v>
      </c>
      <c r="P18" s="31">
        <v>11.044636896068937</v>
      </c>
      <c r="Q18" s="31">
        <v>10.968372280881795</v>
      </c>
      <c r="R18" s="31">
        <v>11.041563200960525</v>
      </c>
      <c r="S18" s="9">
        <f t="shared" si="0"/>
        <v>12</v>
      </c>
      <c r="T18" s="8"/>
      <c r="U18" s="16">
        <f t="shared" si="1"/>
        <v>11.1</v>
      </c>
      <c r="V18" s="8"/>
      <c r="W18" s="8"/>
      <c r="X18" s="8"/>
      <c r="Y18" s="8"/>
    </row>
    <row r="19" spans="1:25" x14ac:dyDescent="0.25">
      <c r="A19" s="2">
        <v>18</v>
      </c>
      <c r="B19" s="3" t="s">
        <v>34</v>
      </c>
      <c r="C19" t="s">
        <v>34</v>
      </c>
      <c r="D19" t="s">
        <v>14</v>
      </c>
      <c r="E19">
        <v>1</v>
      </c>
      <c r="F19" s="31">
        <v>15.4</v>
      </c>
      <c r="G19" s="31">
        <v>15.4</v>
      </c>
      <c r="H19" s="31">
        <v>15</v>
      </c>
      <c r="I19" s="31">
        <v>15.8</v>
      </c>
      <c r="J19" s="31">
        <v>15.6</v>
      </c>
      <c r="K19" s="31">
        <v>10.6</v>
      </c>
      <c r="L19" s="31">
        <v>17.22</v>
      </c>
      <c r="M19" s="31">
        <v>11.6</v>
      </c>
      <c r="N19" s="31">
        <v>10.083218621425203</v>
      </c>
      <c r="O19" s="31">
        <v>11.800902501658129</v>
      </c>
      <c r="P19" s="31">
        <v>10.957593784347409</v>
      </c>
      <c r="Q19" s="31">
        <v>8.4203018791038176</v>
      </c>
      <c r="R19" s="31">
        <v>7.2864919679511786</v>
      </c>
      <c r="S19" s="9">
        <f t="shared" si="0"/>
        <v>12</v>
      </c>
      <c r="T19" s="8"/>
      <c r="U19" s="16">
        <f t="shared" si="1"/>
        <v>15</v>
      </c>
      <c r="V19" s="8"/>
      <c r="W19" s="8"/>
      <c r="X19" s="8"/>
      <c r="Y19" s="8"/>
    </row>
    <row r="20" spans="1:25" x14ac:dyDescent="0.25">
      <c r="A20" s="2">
        <v>19</v>
      </c>
      <c r="B20" s="3" t="s">
        <v>35</v>
      </c>
      <c r="C20" t="s">
        <v>11</v>
      </c>
      <c r="D20" t="s">
        <v>36</v>
      </c>
      <c r="E20" t="s">
        <v>12</v>
      </c>
      <c r="F20" s="31">
        <v>7.03</v>
      </c>
      <c r="G20" s="31">
        <v>7.03</v>
      </c>
      <c r="H20" s="31">
        <v>10.45</v>
      </c>
      <c r="I20" s="31">
        <v>7.58</v>
      </c>
      <c r="J20" s="31">
        <v>4.03</v>
      </c>
      <c r="K20" s="31">
        <v>7.46</v>
      </c>
      <c r="L20" s="31">
        <v>5.8</v>
      </c>
      <c r="M20" s="31">
        <v>8.6300000000000008</v>
      </c>
      <c r="N20" s="31">
        <v>1.66</v>
      </c>
      <c r="O20" s="31">
        <v>1</v>
      </c>
      <c r="P20" s="31">
        <v>0</v>
      </c>
      <c r="Q20" s="31">
        <v>0</v>
      </c>
      <c r="R20" s="31">
        <v>0</v>
      </c>
      <c r="S20" s="9">
        <f t="shared" si="0"/>
        <v>12</v>
      </c>
      <c r="T20" s="8"/>
      <c r="U20" s="16">
        <f t="shared" si="1"/>
        <v>10.45</v>
      </c>
      <c r="V20" s="8"/>
      <c r="W20" s="8"/>
      <c r="X20" s="8"/>
      <c r="Y20" s="8"/>
    </row>
    <row r="21" spans="1:25" x14ac:dyDescent="0.25">
      <c r="A21" s="2">
        <v>20</v>
      </c>
      <c r="B21" s="3" t="s">
        <v>37</v>
      </c>
      <c r="C21" t="s">
        <v>37</v>
      </c>
      <c r="D21" t="s">
        <v>25</v>
      </c>
      <c r="E21">
        <v>1</v>
      </c>
      <c r="F21" s="31">
        <v>17.8</v>
      </c>
      <c r="G21" s="31">
        <v>17.8</v>
      </c>
      <c r="H21" s="31">
        <v>17.8</v>
      </c>
      <c r="I21" s="31">
        <v>17.8</v>
      </c>
      <c r="J21" s="31">
        <v>10</v>
      </c>
      <c r="K21" s="31">
        <v>10</v>
      </c>
      <c r="L21" s="31">
        <v>2.82</v>
      </c>
      <c r="M21" s="31">
        <v>2.8</v>
      </c>
      <c r="N21" s="31">
        <v>2.34</v>
      </c>
      <c r="O21" s="31">
        <v>0.18</v>
      </c>
      <c r="P21" s="31">
        <v>0</v>
      </c>
      <c r="Q21" s="31">
        <v>0</v>
      </c>
      <c r="R21" s="31">
        <v>0</v>
      </c>
      <c r="S21" s="9">
        <f t="shared" si="0"/>
        <v>12</v>
      </c>
      <c r="T21" s="8"/>
      <c r="U21" s="16">
        <f t="shared" si="1"/>
        <v>17.8</v>
      </c>
      <c r="V21" s="8"/>
      <c r="W21" s="8"/>
      <c r="X21" s="8"/>
      <c r="Y21" s="8"/>
    </row>
    <row r="22" spans="1:25" x14ac:dyDescent="0.25">
      <c r="A22" s="2">
        <v>21</v>
      </c>
      <c r="B22" s="3" t="s">
        <v>38</v>
      </c>
      <c r="C22" t="s">
        <v>38</v>
      </c>
      <c r="D22" t="s">
        <v>18</v>
      </c>
      <c r="E22">
        <v>1</v>
      </c>
      <c r="F22" s="31">
        <v>5.4</v>
      </c>
      <c r="G22" s="31">
        <v>5.4</v>
      </c>
      <c r="H22" s="31">
        <v>3.68</v>
      </c>
      <c r="I22" s="31">
        <v>3.7</v>
      </c>
      <c r="J22" s="31">
        <v>4.2</v>
      </c>
      <c r="K22" s="31">
        <v>4.5</v>
      </c>
      <c r="L22" s="31">
        <v>4.75</v>
      </c>
      <c r="M22" s="31">
        <v>4.8</v>
      </c>
      <c r="N22" s="31">
        <v>5.2339095694635489</v>
      </c>
      <c r="O22" s="31">
        <v>5.6197083021327217</v>
      </c>
      <c r="P22" s="31">
        <v>5.8843462008353526</v>
      </c>
      <c r="Q22" s="31">
        <v>6.1734019917996648</v>
      </c>
      <c r="R22" s="31">
        <v>6.5722605232932665</v>
      </c>
      <c r="S22" s="9">
        <f t="shared" si="0"/>
        <v>12</v>
      </c>
      <c r="T22" s="8"/>
      <c r="U22" s="16">
        <f t="shared" si="1"/>
        <v>3.68</v>
      </c>
      <c r="V22" s="8"/>
      <c r="W22" s="8"/>
      <c r="X22" s="8"/>
      <c r="Y22" s="8"/>
    </row>
    <row r="23" spans="1:25" x14ac:dyDescent="0.25">
      <c r="A23" s="2">
        <v>22</v>
      </c>
      <c r="B23" s="3" t="s">
        <v>39</v>
      </c>
      <c r="C23" t="s">
        <v>39</v>
      </c>
      <c r="D23" t="s">
        <v>14</v>
      </c>
      <c r="E23">
        <v>1</v>
      </c>
      <c r="F23" s="31">
        <v>5.2</v>
      </c>
      <c r="G23" s="31">
        <v>5.2</v>
      </c>
      <c r="H23" s="31">
        <v>3.64</v>
      </c>
      <c r="I23" s="31">
        <v>6.4</v>
      </c>
      <c r="J23" s="31">
        <v>0.5</v>
      </c>
      <c r="K23" s="31">
        <v>0.6</v>
      </c>
      <c r="L23" s="31">
        <v>0.54</v>
      </c>
      <c r="M23" s="31">
        <v>0.6</v>
      </c>
      <c r="N23" s="31">
        <v>2.0699999999999998</v>
      </c>
      <c r="O23" s="31">
        <v>0.11</v>
      </c>
      <c r="P23" s="31">
        <v>0</v>
      </c>
      <c r="Q23" s="31">
        <v>0</v>
      </c>
      <c r="R23" s="31">
        <v>0</v>
      </c>
      <c r="S23" s="9">
        <f t="shared" si="0"/>
        <v>12</v>
      </c>
      <c r="T23" s="8"/>
      <c r="U23" s="16">
        <f t="shared" si="1"/>
        <v>3.64</v>
      </c>
      <c r="V23" s="8"/>
      <c r="W23" s="8"/>
      <c r="X23" s="8"/>
      <c r="Y23" s="8"/>
    </row>
    <row r="24" spans="1:25" x14ac:dyDescent="0.25">
      <c r="A24" s="2">
        <v>23</v>
      </c>
      <c r="B24" s="3" t="s">
        <v>40</v>
      </c>
      <c r="C24" t="s">
        <v>40</v>
      </c>
      <c r="D24" t="s">
        <v>18</v>
      </c>
      <c r="E24">
        <v>1</v>
      </c>
      <c r="F24" s="31">
        <v>7.6</v>
      </c>
      <c r="G24" s="31">
        <v>7.6</v>
      </c>
      <c r="H24" s="31">
        <v>7.86</v>
      </c>
      <c r="I24" s="31">
        <v>7.7</v>
      </c>
      <c r="J24" s="31">
        <v>7.8</v>
      </c>
      <c r="K24" s="31">
        <v>7.8</v>
      </c>
      <c r="L24" s="31">
        <v>8.27</v>
      </c>
      <c r="M24" s="31">
        <v>8</v>
      </c>
      <c r="N24" s="31">
        <v>8.2616898083908552</v>
      </c>
      <c r="O24" s="31">
        <v>8.2699731648502564</v>
      </c>
      <c r="P24" s="31">
        <v>8.436562232031747</v>
      </c>
      <c r="Q24" s="31">
        <v>8.5390562306156141</v>
      </c>
      <c r="R24" s="31">
        <v>8.6399080515649871</v>
      </c>
      <c r="S24" s="9">
        <f t="shared" si="0"/>
        <v>12</v>
      </c>
      <c r="T24" s="8"/>
      <c r="U24" s="16">
        <f t="shared" si="1"/>
        <v>7.86</v>
      </c>
      <c r="V24" s="8"/>
      <c r="W24" s="8"/>
      <c r="X24" s="8"/>
      <c r="Y24" s="8"/>
    </row>
    <row r="25" spans="1:25" x14ac:dyDescent="0.25">
      <c r="A25" s="2">
        <v>24</v>
      </c>
      <c r="B25" s="3" t="s">
        <v>41</v>
      </c>
      <c r="C25" t="s">
        <v>41</v>
      </c>
      <c r="D25" t="s">
        <v>23</v>
      </c>
      <c r="E25">
        <v>1</v>
      </c>
      <c r="F25" s="31">
        <v>1.6</v>
      </c>
      <c r="G25" s="31">
        <v>1.6</v>
      </c>
      <c r="H25" s="31">
        <v>1.0900000000000001</v>
      </c>
      <c r="I25" s="31">
        <v>1</v>
      </c>
      <c r="J25" s="31">
        <v>1</v>
      </c>
      <c r="K25" s="31">
        <v>1.5</v>
      </c>
      <c r="L25" s="31">
        <v>1.57</v>
      </c>
      <c r="M25" s="31">
        <v>2</v>
      </c>
      <c r="N25" s="31">
        <v>2.2882607650212776</v>
      </c>
      <c r="O25" s="31">
        <v>2.4404807958686661</v>
      </c>
      <c r="P25" s="31">
        <v>2.5969646341685575</v>
      </c>
      <c r="Q25" s="31">
        <v>2.9506621840441767</v>
      </c>
      <c r="R25" s="31">
        <v>3.1430668776678203</v>
      </c>
      <c r="S25" s="9">
        <f t="shared" si="0"/>
        <v>12</v>
      </c>
      <c r="T25" s="8"/>
      <c r="U25" s="16">
        <f t="shared" si="1"/>
        <v>1.0900000000000001</v>
      </c>
      <c r="V25" s="8"/>
      <c r="W25" s="8"/>
      <c r="X25" s="8"/>
      <c r="Y25" s="8"/>
    </row>
    <row r="26" spans="1:25" x14ac:dyDescent="0.25">
      <c r="A26" s="2">
        <v>25</v>
      </c>
      <c r="B26" s="3" t="s">
        <v>42</v>
      </c>
      <c r="C26" t="s">
        <v>43</v>
      </c>
      <c r="D26" t="s">
        <v>14</v>
      </c>
      <c r="E26">
        <v>1</v>
      </c>
      <c r="F26" s="31">
        <v>8.8000000000000007</v>
      </c>
      <c r="G26" s="31">
        <v>8.8000000000000007</v>
      </c>
      <c r="H26" s="31">
        <v>8.6</v>
      </c>
      <c r="I26" s="31">
        <v>8.4</v>
      </c>
      <c r="J26" s="31">
        <v>8.4</v>
      </c>
      <c r="K26" s="31">
        <v>7.9</v>
      </c>
      <c r="L26" s="31">
        <v>9.59</v>
      </c>
      <c r="M26" s="31">
        <v>7.4</v>
      </c>
      <c r="N26" s="31">
        <v>8.0843697530879979</v>
      </c>
      <c r="O26" s="31">
        <v>8.0463647161341783</v>
      </c>
      <c r="P26" s="31">
        <v>7.931897922985371</v>
      </c>
      <c r="Q26" s="31">
        <v>7.991815891966155</v>
      </c>
      <c r="R26" s="31">
        <v>7.7792255797881182</v>
      </c>
      <c r="S26" s="9">
        <f t="shared" si="0"/>
        <v>12</v>
      </c>
      <c r="T26" s="8"/>
      <c r="U26" s="16">
        <f t="shared" si="1"/>
        <v>8.6</v>
      </c>
      <c r="V26" s="8"/>
      <c r="W26" s="8"/>
      <c r="X26" s="8"/>
      <c r="Y26" s="8"/>
    </row>
    <row r="27" spans="1:25" x14ac:dyDescent="0.25">
      <c r="A27" s="2">
        <v>26</v>
      </c>
      <c r="B27" s="3" t="s">
        <v>44</v>
      </c>
      <c r="C27" t="s">
        <v>44</v>
      </c>
      <c r="D27" t="s">
        <v>14</v>
      </c>
      <c r="E27">
        <v>1</v>
      </c>
      <c r="F27" s="31">
        <v>5.5</v>
      </c>
      <c r="G27" s="31">
        <v>5.5</v>
      </c>
      <c r="H27" s="31">
        <v>6.59</v>
      </c>
      <c r="I27" s="31">
        <v>6.4</v>
      </c>
      <c r="J27" s="31">
        <v>5.4</v>
      </c>
      <c r="K27" s="31">
        <v>5.4</v>
      </c>
      <c r="L27" s="31">
        <v>5.39</v>
      </c>
      <c r="M27" s="31">
        <v>5.9</v>
      </c>
      <c r="N27" s="31">
        <v>5.4373048714099355</v>
      </c>
      <c r="O27" s="31">
        <v>5.1535301638839996</v>
      </c>
      <c r="P27" s="31">
        <v>5.2414777775308039</v>
      </c>
      <c r="Q27" s="31">
        <v>5.1674339221897583</v>
      </c>
      <c r="R27" s="31">
        <v>4.9813374723393054</v>
      </c>
      <c r="S27" s="9">
        <f t="shared" si="0"/>
        <v>12</v>
      </c>
      <c r="T27" s="8"/>
      <c r="U27" s="16">
        <f t="shared" si="1"/>
        <v>6.59</v>
      </c>
      <c r="V27" s="8"/>
      <c r="W27" s="8"/>
      <c r="X27" s="8"/>
      <c r="Y27" s="8"/>
    </row>
    <row r="28" spans="1:25" x14ac:dyDescent="0.25">
      <c r="A28" s="2">
        <v>27</v>
      </c>
      <c r="B28" s="3" t="s">
        <v>45</v>
      </c>
      <c r="C28" t="s">
        <v>45</v>
      </c>
      <c r="D28" t="s">
        <v>25</v>
      </c>
      <c r="E28">
        <v>1</v>
      </c>
      <c r="F28" s="31">
        <v>9.9</v>
      </c>
      <c r="G28" s="31">
        <v>9.9</v>
      </c>
      <c r="H28" s="31">
        <v>9.5</v>
      </c>
      <c r="I28" s="31">
        <v>8.9</v>
      </c>
      <c r="J28" s="31">
        <v>8.9</v>
      </c>
      <c r="K28" s="31">
        <v>4.9000000000000004</v>
      </c>
      <c r="L28" s="31">
        <v>4.8499999999999996</v>
      </c>
      <c r="M28" s="31">
        <v>9.8000000000000007</v>
      </c>
      <c r="N28" s="31">
        <v>7.1390187193562724</v>
      </c>
      <c r="O28" s="31">
        <v>6.3498996235974801</v>
      </c>
      <c r="P28" s="31">
        <v>5.9112059225951157</v>
      </c>
      <c r="Q28" s="31">
        <v>6.0223546221814672</v>
      </c>
      <c r="R28" s="31">
        <v>5.9329036533731028</v>
      </c>
      <c r="S28" s="9">
        <f t="shared" si="0"/>
        <v>12</v>
      </c>
      <c r="T28" s="8"/>
      <c r="U28" s="16">
        <f t="shared" si="1"/>
        <v>9.5</v>
      </c>
      <c r="V28" s="8"/>
      <c r="W28" s="8"/>
      <c r="X28" s="8"/>
      <c r="Y28" s="8"/>
    </row>
    <row r="29" spans="1:25" x14ac:dyDescent="0.25">
      <c r="A29" s="2">
        <v>28</v>
      </c>
      <c r="B29" s="3" t="s">
        <v>46</v>
      </c>
      <c r="C29" t="s">
        <v>46</v>
      </c>
      <c r="D29" t="s">
        <v>14</v>
      </c>
      <c r="E29">
        <v>1</v>
      </c>
      <c r="F29" s="31">
        <v>15</v>
      </c>
      <c r="G29" s="31">
        <v>15</v>
      </c>
      <c r="H29" s="31">
        <v>11.9</v>
      </c>
      <c r="I29" s="31">
        <v>12.7</v>
      </c>
      <c r="J29" s="31">
        <v>11.7</v>
      </c>
      <c r="K29" s="31">
        <v>15.8</v>
      </c>
      <c r="L29" s="31">
        <v>15.78</v>
      </c>
      <c r="M29" s="31">
        <v>15.8</v>
      </c>
      <c r="N29" s="31">
        <v>17.349319971739078</v>
      </c>
      <c r="O29" s="31">
        <v>19.686345120589976</v>
      </c>
      <c r="P29" s="31">
        <v>19.824213957428583</v>
      </c>
      <c r="Q29" s="31">
        <v>20.823440983154796</v>
      </c>
      <c r="R29" s="31">
        <v>22.418282237767016</v>
      </c>
      <c r="S29" s="9">
        <f t="shared" si="0"/>
        <v>12</v>
      </c>
      <c r="T29" s="8"/>
      <c r="U29" s="16">
        <f t="shared" si="1"/>
        <v>11.9</v>
      </c>
      <c r="V29" s="8"/>
      <c r="W29" s="8"/>
      <c r="X29" s="8"/>
      <c r="Y29" s="8"/>
    </row>
    <row r="30" spans="1:25" x14ac:dyDescent="0.25">
      <c r="A30" s="2">
        <v>29</v>
      </c>
      <c r="B30" s="3" t="s">
        <v>47</v>
      </c>
      <c r="C30" t="s">
        <v>47</v>
      </c>
      <c r="D30" t="s">
        <v>36</v>
      </c>
      <c r="E30">
        <v>1</v>
      </c>
      <c r="F30" s="31">
        <v>0.9</v>
      </c>
      <c r="G30" s="31">
        <v>0.9</v>
      </c>
      <c r="H30" s="31">
        <v>0.86</v>
      </c>
      <c r="I30" s="31">
        <v>0.8</v>
      </c>
      <c r="J30" s="31">
        <v>1.5</v>
      </c>
      <c r="K30" s="31">
        <v>0.8</v>
      </c>
      <c r="L30" s="31">
        <v>0.96</v>
      </c>
      <c r="M30" s="31">
        <v>1.6</v>
      </c>
      <c r="N30" s="31">
        <v>1.4389484695096826</v>
      </c>
      <c r="O30" s="31">
        <v>1.5351730124720007</v>
      </c>
      <c r="P30" s="31">
        <v>1.5884522316400478</v>
      </c>
      <c r="Q30" s="31">
        <v>1.7875109165345293</v>
      </c>
      <c r="R30" s="31">
        <v>1.9206720584398056</v>
      </c>
      <c r="S30" s="9">
        <f t="shared" si="0"/>
        <v>12</v>
      </c>
      <c r="T30" s="8"/>
      <c r="U30" s="16">
        <f t="shared" si="1"/>
        <v>0.86</v>
      </c>
      <c r="V30" s="8"/>
      <c r="W30" s="8"/>
      <c r="X30" s="8"/>
      <c r="Y30" s="8"/>
    </row>
    <row r="31" spans="1:25" x14ac:dyDescent="0.25">
      <c r="A31" s="2">
        <v>30</v>
      </c>
      <c r="B31" s="3" t="s">
        <v>48</v>
      </c>
      <c r="C31" t="s">
        <v>11</v>
      </c>
      <c r="D31" t="s">
        <v>16</v>
      </c>
      <c r="E31" t="s">
        <v>12</v>
      </c>
      <c r="F31" s="31">
        <v>7.73</v>
      </c>
      <c r="G31" s="31">
        <v>7.73</v>
      </c>
      <c r="H31" s="31">
        <v>6.55</v>
      </c>
      <c r="I31" s="31">
        <v>4.26</v>
      </c>
      <c r="J31" s="31">
        <v>0.55000000000000004</v>
      </c>
      <c r="K31" s="31">
        <v>0.49</v>
      </c>
      <c r="L31" s="31">
        <v>3.74</v>
      </c>
      <c r="M31" s="31">
        <v>7.28</v>
      </c>
      <c r="N31" s="31">
        <v>2.83</v>
      </c>
      <c r="O31" s="31">
        <v>8.1300000000000008</v>
      </c>
      <c r="P31" s="31">
        <v>0</v>
      </c>
      <c r="Q31" s="31">
        <v>0</v>
      </c>
      <c r="R31" s="31">
        <v>0</v>
      </c>
      <c r="S31" s="9">
        <f t="shared" si="0"/>
        <v>12</v>
      </c>
      <c r="T31" s="8"/>
      <c r="U31" s="16">
        <f t="shared" si="1"/>
        <v>6.55</v>
      </c>
      <c r="V31" s="8"/>
      <c r="W31" s="8"/>
      <c r="X31" s="8"/>
      <c r="Y31" s="8"/>
    </row>
    <row r="32" spans="1:25" x14ac:dyDescent="0.25">
      <c r="A32" s="2">
        <v>31</v>
      </c>
      <c r="B32" s="3" t="s">
        <v>49</v>
      </c>
      <c r="C32" t="s">
        <v>50</v>
      </c>
      <c r="D32" t="s">
        <v>14</v>
      </c>
      <c r="E32" t="s">
        <v>12</v>
      </c>
      <c r="F32" s="31">
        <v>13.6</v>
      </c>
      <c r="G32" s="31">
        <v>13.6</v>
      </c>
      <c r="H32" s="31">
        <v>16.600000000000001</v>
      </c>
      <c r="I32" s="31">
        <v>16.3</v>
      </c>
      <c r="J32" s="31">
        <v>16.399999999999999</v>
      </c>
      <c r="K32" s="31">
        <v>14.9</v>
      </c>
      <c r="L32" s="31">
        <v>13.88</v>
      </c>
      <c r="M32" s="31">
        <v>14.5</v>
      </c>
      <c r="N32" s="31">
        <v>2.64</v>
      </c>
      <c r="O32" s="31">
        <v>11.37</v>
      </c>
      <c r="P32" s="31">
        <v>0</v>
      </c>
      <c r="Q32" s="31">
        <v>0</v>
      </c>
      <c r="R32" s="31">
        <v>0</v>
      </c>
      <c r="S32" s="9">
        <f t="shared" si="0"/>
        <v>12</v>
      </c>
      <c r="T32" s="8"/>
      <c r="U32" s="16">
        <f t="shared" si="1"/>
        <v>16.600000000000001</v>
      </c>
      <c r="V32" s="8"/>
      <c r="W32" s="8"/>
      <c r="X32" s="8"/>
      <c r="Y32" s="8"/>
    </row>
    <row r="33" spans="1:25" x14ac:dyDescent="0.25">
      <c r="A33" s="2">
        <v>32</v>
      </c>
      <c r="B33" s="3" t="s">
        <v>51</v>
      </c>
      <c r="C33" t="s">
        <v>51</v>
      </c>
      <c r="D33" t="s">
        <v>14</v>
      </c>
      <c r="E33">
        <v>1</v>
      </c>
      <c r="F33" s="31">
        <v>14.7</v>
      </c>
      <c r="G33" s="31">
        <v>14.7</v>
      </c>
      <c r="H33" s="31">
        <v>14.9</v>
      </c>
      <c r="I33" s="31">
        <v>14.9</v>
      </c>
      <c r="J33" s="31">
        <v>15.1</v>
      </c>
      <c r="K33" s="31">
        <v>15.1</v>
      </c>
      <c r="L33" s="31">
        <v>13.92</v>
      </c>
      <c r="M33" s="31">
        <v>16.399999999999999</v>
      </c>
      <c r="N33" s="31">
        <v>15.523786392036641</v>
      </c>
      <c r="O33" s="31">
        <v>15.726010176939496</v>
      </c>
      <c r="P33" s="31">
        <v>16.311290054160793</v>
      </c>
      <c r="Q33" s="31">
        <v>16.122574554383334</v>
      </c>
      <c r="R33" s="31">
        <v>16.45416851385221</v>
      </c>
      <c r="S33" s="9">
        <f t="shared" si="0"/>
        <v>12</v>
      </c>
      <c r="T33" s="8"/>
      <c r="U33" s="16">
        <f t="shared" si="1"/>
        <v>14.9</v>
      </c>
      <c r="V33" s="8"/>
      <c r="W33" s="8"/>
      <c r="X33" s="8"/>
      <c r="Y33" s="8"/>
    </row>
    <row r="34" spans="1:25" x14ac:dyDescent="0.25">
      <c r="A34" s="2">
        <v>33</v>
      </c>
      <c r="B34" s="3" t="s">
        <v>52</v>
      </c>
      <c r="C34" t="s">
        <v>52</v>
      </c>
      <c r="D34" t="s">
        <v>18</v>
      </c>
      <c r="E34">
        <v>1</v>
      </c>
      <c r="F34" s="31">
        <v>4</v>
      </c>
      <c r="G34" s="31">
        <v>4</v>
      </c>
      <c r="H34" s="31">
        <v>4.0199999999999996</v>
      </c>
      <c r="I34" s="31">
        <v>4</v>
      </c>
      <c r="J34" s="31">
        <v>1.8</v>
      </c>
      <c r="K34" s="31">
        <v>1.8</v>
      </c>
      <c r="L34" s="31">
        <v>0.64</v>
      </c>
      <c r="M34" s="31">
        <v>0.6</v>
      </c>
      <c r="N34" s="31">
        <v>1.62</v>
      </c>
      <c r="O34" s="31">
        <v>3.5</v>
      </c>
      <c r="P34" s="31">
        <v>0</v>
      </c>
      <c r="Q34" s="31">
        <v>0</v>
      </c>
      <c r="R34" s="31">
        <v>0</v>
      </c>
      <c r="S34" s="9">
        <f t="shared" si="0"/>
        <v>12</v>
      </c>
      <c r="T34" s="8"/>
      <c r="U34" s="16">
        <f t="shared" si="1"/>
        <v>4.0199999999999996</v>
      </c>
      <c r="V34" s="8"/>
      <c r="W34" s="8"/>
      <c r="X34" s="8"/>
      <c r="Y34" s="8"/>
    </row>
    <row r="35" spans="1:25" x14ac:dyDescent="0.25">
      <c r="A35" s="2">
        <v>34</v>
      </c>
      <c r="B35" s="3" t="s">
        <v>53</v>
      </c>
      <c r="C35" t="s">
        <v>53</v>
      </c>
      <c r="D35" t="s">
        <v>25</v>
      </c>
      <c r="E35">
        <v>1</v>
      </c>
      <c r="F35" s="31">
        <v>4</v>
      </c>
      <c r="G35" s="31">
        <v>4</v>
      </c>
      <c r="H35" s="31">
        <v>4.0999999999999996</v>
      </c>
      <c r="I35" s="31">
        <v>4.0999999999999996</v>
      </c>
      <c r="J35" s="31">
        <v>3.6</v>
      </c>
      <c r="K35" s="31">
        <v>3.2</v>
      </c>
      <c r="L35" s="31">
        <v>3.41</v>
      </c>
      <c r="M35" s="31">
        <v>3.5</v>
      </c>
      <c r="N35" s="31">
        <v>3.0655276731579875</v>
      </c>
      <c r="O35" s="31">
        <v>3.0486810313836372</v>
      </c>
      <c r="P35" s="31">
        <v>2.9251726154621451</v>
      </c>
      <c r="Q35" s="31">
        <v>2.753541529743643</v>
      </c>
      <c r="R35" s="31">
        <v>2.630036009336493</v>
      </c>
      <c r="S35" s="9">
        <f t="shared" si="0"/>
        <v>12</v>
      </c>
      <c r="T35" s="8"/>
      <c r="U35" s="16">
        <f t="shared" si="1"/>
        <v>4.0999999999999996</v>
      </c>
      <c r="V35" s="8"/>
      <c r="W35" s="8"/>
      <c r="X35" s="8"/>
      <c r="Y35" s="8"/>
    </row>
    <row r="36" spans="1:25" x14ac:dyDescent="0.25">
      <c r="A36" s="2">
        <v>35</v>
      </c>
      <c r="B36" s="3" t="s">
        <v>54</v>
      </c>
      <c r="C36" t="s">
        <v>54</v>
      </c>
      <c r="D36" t="s">
        <v>18</v>
      </c>
      <c r="E36">
        <v>1</v>
      </c>
      <c r="F36" s="31">
        <v>8.9</v>
      </c>
      <c r="G36" s="31">
        <v>8.9</v>
      </c>
      <c r="H36" s="31">
        <v>5.6</v>
      </c>
      <c r="I36" s="31">
        <v>4.4000000000000004</v>
      </c>
      <c r="J36" s="31">
        <v>4.5</v>
      </c>
      <c r="K36" s="31">
        <v>4.2</v>
      </c>
      <c r="L36" s="31">
        <v>4.21</v>
      </c>
      <c r="M36" s="31">
        <v>7</v>
      </c>
      <c r="N36" s="31">
        <v>5.9793550024669457</v>
      </c>
      <c r="O36" s="31">
        <v>7.0393222565585347</v>
      </c>
      <c r="P36" s="31">
        <v>7.1770139413134757</v>
      </c>
      <c r="Q36" s="31">
        <v>6.9503759278045436</v>
      </c>
      <c r="R36" s="31">
        <v>9.182291475057923</v>
      </c>
      <c r="S36" s="9">
        <f t="shared" si="0"/>
        <v>12</v>
      </c>
      <c r="T36" s="8"/>
      <c r="U36" s="16">
        <f t="shared" si="1"/>
        <v>5.6</v>
      </c>
      <c r="V36" s="8"/>
      <c r="W36" s="8"/>
      <c r="X36" s="8"/>
      <c r="Y36" s="8"/>
    </row>
    <row r="37" spans="1:25" x14ac:dyDescent="0.25">
      <c r="A37" s="2">
        <v>36</v>
      </c>
      <c r="B37" s="3" t="s">
        <v>55</v>
      </c>
      <c r="C37" t="s">
        <v>55</v>
      </c>
      <c r="D37" t="s">
        <v>14</v>
      </c>
      <c r="E37" t="s">
        <v>12</v>
      </c>
      <c r="F37" s="31">
        <v>8.1</v>
      </c>
      <c r="G37" s="31">
        <v>8.1</v>
      </c>
      <c r="H37" s="31">
        <v>6.17</v>
      </c>
      <c r="I37" s="31">
        <v>6</v>
      </c>
      <c r="J37" s="31">
        <v>6.5</v>
      </c>
      <c r="K37" s="31">
        <v>7.4</v>
      </c>
      <c r="L37" s="31">
        <v>5.04</v>
      </c>
      <c r="M37" s="31">
        <v>5</v>
      </c>
      <c r="N37" s="31">
        <v>2.67</v>
      </c>
      <c r="O37" s="31">
        <v>1.71</v>
      </c>
      <c r="P37" s="31">
        <v>0</v>
      </c>
      <c r="Q37" s="31">
        <v>0</v>
      </c>
      <c r="R37" s="31">
        <v>0</v>
      </c>
      <c r="S37" s="9">
        <f t="shared" si="0"/>
        <v>12</v>
      </c>
      <c r="T37" s="8"/>
      <c r="U37" s="16">
        <f t="shared" si="1"/>
        <v>6.17</v>
      </c>
      <c r="V37" s="8"/>
      <c r="W37" s="8"/>
      <c r="X37" s="8"/>
      <c r="Y37" s="8"/>
    </row>
    <row r="38" spans="1:25" x14ac:dyDescent="0.25">
      <c r="A38" s="2">
        <v>37</v>
      </c>
      <c r="B38" s="3" t="s">
        <v>56</v>
      </c>
      <c r="C38" t="s">
        <v>57</v>
      </c>
      <c r="D38" t="s">
        <v>33</v>
      </c>
      <c r="E38">
        <v>1</v>
      </c>
      <c r="F38" s="31">
        <v>2.4</v>
      </c>
      <c r="G38" s="31">
        <v>2.4</v>
      </c>
      <c r="H38" s="31">
        <v>3.09</v>
      </c>
      <c r="I38" s="31">
        <v>3.1</v>
      </c>
      <c r="J38" s="31">
        <v>4.2</v>
      </c>
      <c r="K38" s="31">
        <v>2.7</v>
      </c>
      <c r="L38" s="31">
        <v>2.66</v>
      </c>
      <c r="M38" s="31">
        <v>1.8</v>
      </c>
      <c r="N38" s="31">
        <v>1.7331329041336403</v>
      </c>
      <c r="O38" s="31">
        <v>1.0035181237917641</v>
      </c>
      <c r="P38" s="31">
        <v>0.65459680571450463</v>
      </c>
      <c r="Q38" s="31">
        <v>0</v>
      </c>
      <c r="R38" s="31">
        <v>0</v>
      </c>
      <c r="S38" s="9">
        <f t="shared" si="0"/>
        <v>12</v>
      </c>
      <c r="T38" s="8"/>
      <c r="U38" s="16">
        <f t="shared" si="1"/>
        <v>3.09</v>
      </c>
      <c r="V38" s="8"/>
      <c r="W38" s="8"/>
      <c r="X38" s="8"/>
      <c r="Y38" s="8"/>
    </row>
    <row r="39" spans="1:25" x14ac:dyDescent="0.25">
      <c r="A39" s="2">
        <v>38</v>
      </c>
      <c r="B39" s="3" t="s">
        <v>58</v>
      </c>
      <c r="C39" t="s">
        <v>58</v>
      </c>
      <c r="D39" t="s">
        <v>7</v>
      </c>
      <c r="E39">
        <v>1</v>
      </c>
      <c r="F39" s="31">
        <v>1.2</v>
      </c>
      <c r="G39" s="31">
        <v>1.2</v>
      </c>
      <c r="H39" s="31">
        <v>1.29</v>
      </c>
      <c r="I39" s="31">
        <v>1.4</v>
      </c>
      <c r="J39" s="31">
        <v>1.3</v>
      </c>
      <c r="K39" s="31">
        <v>1.3</v>
      </c>
      <c r="L39" s="31">
        <v>1.3</v>
      </c>
      <c r="M39" s="31">
        <v>2</v>
      </c>
      <c r="N39" s="31">
        <v>1.771669415422167</v>
      </c>
      <c r="O39" s="31">
        <v>1.9115613785830021</v>
      </c>
      <c r="P39" s="31">
        <v>2.0543441966379419</v>
      </c>
      <c r="Q39" s="31">
        <v>2.1726639391863216</v>
      </c>
      <c r="R39" s="31">
        <v>2.4088349728995695</v>
      </c>
      <c r="S39" s="9">
        <f t="shared" si="0"/>
        <v>12</v>
      </c>
      <c r="T39" s="8"/>
      <c r="U39" s="16">
        <f t="shared" si="1"/>
        <v>1.29</v>
      </c>
      <c r="V39" s="8"/>
      <c r="W39" s="8"/>
      <c r="X39" s="8"/>
      <c r="Y39" s="8"/>
    </row>
    <row r="40" spans="1:25" x14ac:dyDescent="0.25">
      <c r="A40" s="2">
        <v>39</v>
      </c>
      <c r="B40" s="3" t="s">
        <v>59</v>
      </c>
      <c r="C40" t="s">
        <v>59</v>
      </c>
      <c r="D40" t="s">
        <v>16</v>
      </c>
      <c r="E40" t="s">
        <v>12</v>
      </c>
      <c r="F40" s="31">
        <v>8.6999999999999993</v>
      </c>
      <c r="G40" s="31">
        <v>8.6999999999999993</v>
      </c>
      <c r="H40" s="31">
        <v>9.98</v>
      </c>
      <c r="I40" s="31">
        <v>8.1</v>
      </c>
      <c r="J40" s="31">
        <v>7.7</v>
      </c>
      <c r="K40" s="31">
        <v>7.7</v>
      </c>
      <c r="L40" s="31">
        <v>7.66</v>
      </c>
      <c r="M40" s="31">
        <v>8</v>
      </c>
      <c r="N40" s="31">
        <v>2.14</v>
      </c>
      <c r="O40" s="31">
        <v>8.33</v>
      </c>
      <c r="P40" s="31">
        <v>0</v>
      </c>
      <c r="Q40" s="31">
        <v>0</v>
      </c>
      <c r="R40" s="31">
        <v>0</v>
      </c>
      <c r="S40" s="9">
        <f t="shared" si="0"/>
        <v>12</v>
      </c>
      <c r="T40" s="8"/>
      <c r="U40" s="16">
        <f t="shared" si="1"/>
        <v>9.98</v>
      </c>
      <c r="V40" s="8"/>
      <c r="W40" s="8"/>
      <c r="X40" s="8"/>
      <c r="Y40" s="8"/>
    </row>
    <row r="41" spans="1:25" x14ac:dyDescent="0.25">
      <c r="A41" s="2">
        <v>40</v>
      </c>
      <c r="B41" s="3" t="s">
        <v>60</v>
      </c>
      <c r="C41" t="s">
        <v>60</v>
      </c>
      <c r="D41" t="s">
        <v>23</v>
      </c>
      <c r="E41">
        <v>1</v>
      </c>
      <c r="F41" s="31">
        <v>1.6</v>
      </c>
      <c r="G41" s="31">
        <v>1.6</v>
      </c>
      <c r="H41" s="31">
        <v>1.0900000000000001</v>
      </c>
      <c r="I41" s="31">
        <v>1</v>
      </c>
      <c r="J41" s="31">
        <v>1</v>
      </c>
      <c r="K41" s="31">
        <v>1.5</v>
      </c>
      <c r="L41" s="31">
        <v>1.57</v>
      </c>
      <c r="M41" s="31">
        <v>2</v>
      </c>
      <c r="N41" s="31">
        <v>2.0412135857538942</v>
      </c>
      <c r="O41" s="31">
        <v>2.5596706318417546</v>
      </c>
      <c r="P41" s="31">
        <v>2.6551771881805735</v>
      </c>
      <c r="Q41" s="31">
        <v>3.1593858526887288</v>
      </c>
      <c r="R41" s="31">
        <v>3.2408180697341322</v>
      </c>
      <c r="S41" s="9">
        <f t="shared" si="0"/>
        <v>12</v>
      </c>
      <c r="T41" s="8"/>
      <c r="U41" s="16">
        <f t="shared" si="1"/>
        <v>1.0900000000000001</v>
      </c>
      <c r="V41" s="8"/>
      <c r="W41" s="8"/>
      <c r="X41" s="8"/>
      <c r="Y41" s="8"/>
    </row>
    <row r="42" spans="1:25" x14ac:dyDescent="0.25">
      <c r="A42" s="2">
        <v>41</v>
      </c>
      <c r="B42" s="3" t="s">
        <v>61</v>
      </c>
      <c r="C42" t="s">
        <v>62</v>
      </c>
      <c r="D42" t="s">
        <v>23</v>
      </c>
      <c r="E42">
        <v>1</v>
      </c>
      <c r="F42" s="31">
        <v>1.6</v>
      </c>
      <c r="G42" s="31">
        <v>1.6</v>
      </c>
      <c r="H42" s="31">
        <v>1.0900000000000001</v>
      </c>
      <c r="I42" s="31">
        <v>1</v>
      </c>
      <c r="J42" s="31">
        <v>1</v>
      </c>
      <c r="K42" s="31">
        <v>1.5</v>
      </c>
      <c r="L42" s="31">
        <v>1.57</v>
      </c>
      <c r="M42" s="31">
        <v>2</v>
      </c>
      <c r="N42" s="31">
        <v>2.2975802202906834</v>
      </c>
      <c r="O42" s="31">
        <v>2.3578423269705127</v>
      </c>
      <c r="P42" s="31">
        <v>2.7191111406881419</v>
      </c>
      <c r="Q42" s="31">
        <v>3.2464224457895625</v>
      </c>
      <c r="R42" s="31">
        <v>3.3743957188797822</v>
      </c>
      <c r="S42" s="9">
        <f t="shared" si="0"/>
        <v>12</v>
      </c>
      <c r="T42" s="8"/>
      <c r="U42" s="16">
        <f t="shared" si="1"/>
        <v>1.0900000000000001</v>
      </c>
      <c r="V42" s="8"/>
      <c r="W42" s="8"/>
      <c r="X42" s="8"/>
      <c r="Y42" s="8"/>
    </row>
    <row r="43" spans="1:25" x14ac:dyDescent="0.25">
      <c r="A43" s="2">
        <v>42</v>
      </c>
      <c r="B43" s="3" t="s">
        <v>63</v>
      </c>
      <c r="C43" t="s">
        <v>64</v>
      </c>
      <c r="D43" t="s">
        <v>14</v>
      </c>
      <c r="E43" t="s">
        <v>12</v>
      </c>
      <c r="F43" s="31">
        <v>5.89</v>
      </c>
      <c r="G43" s="31">
        <v>5.89</v>
      </c>
      <c r="H43" s="31">
        <v>0.89</v>
      </c>
      <c r="I43" s="31">
        <v>1.96</v>
      </c>
      <c r="J43" s="31">
        <v>3.8</v>
      </c>
      <c r="K43" s="31">
        <v>1.36</v>
      </c>
      <c r="L43" s="31">
        <v>1.48</v>
      </c>
      <c r="M43" s="31">
        <v>4.09</v>
      </c>
      <c r="N43" s="31">
        <v>1.45</v>
      </c>
      <c r="O43" s="31">
        <v>3.36</v>
      </c>
      <c r="P43" s="31">
        <v>0</v>
      </c>
      <c r="Q43" s="31">
        <v>0</v>
      </c>
      <c r="R43" s="31">
        <v>0</v>
      </c>
      <c r="S43" s="9">
        <f t="shared" si="0"/>
        <v>12</v>
      </c>
      <c r="T43" s="8"/>
      <c r="U43" s="16">
        <f t="shared" si="1"/>
        <v>0.89</v>
      </c>
      <c r="V43" s="8"/>
      <c r="W43" s="8"/>
      <c r="X43" s="8"/>
      <c r="Y43" s="8"/>
    </row>
    <row r="44" spans="1:25" x14ac:dyDescent="0.25">
      <c r="A44" s="2">
        <v>43</v>
      </c>
      <c r="B44" s="3" t="s">
        <v>65</v>
      </c>
      <c r="C44" t="s">
        <v>65</v>
      </c>
      <c r="D44" t="s">
        <v>23</v>
      </c>
      <c r="E44">
        <v>1</v>
      </c>
      <c r="F44" s="31">
        <v>1.6</v>
      </c>
      <c r="G44" s="31">
        <v>1.6</v>
      </c>
      <c r="H44" s="31">
        <v>1.0900000000000001</v>
      </c>
      <c r="I44" s="31">
        <v>1</v>
      </c>
      <c r="J44" s="31">
        <v>1</v>
      </c>
      <c r="K44" s="31">
        <v>1.5</v>
      </c>
      <c r="L44" s="31">
        <v>1.57</v>
      </c>
      <c r="M44" s="31">
        <v>2</v>
      </c>
      <c r="N44" s="31">
        <v>1.9554092986004434</v>
      </c>
      <c r="O44" s="31">
        <v>2.5294157403204736</v>
      </c>
      <c r="P44" s="31">
        <v>2.4961409225996931</v>
      </c>
      <c r="Q44" s="31">
        <v>3.1465093322126449</v>
      </c>
      <c r="R44" s="31">
        <v>3.2327012479861423</v>
      </c>
      <c r="S44" s="9">
        <f t="shared" si="0"/>
        <v>12</v>
      </c>
      <c r="T44" s="8"/>
      <c r="U44" s="16">
        <f t="shared" si="1"/>
        <v>1.0900000000000001</v>
      </c>
      <c r="V44" s="8"/>
      <c r="W44" s="8"/>
      <c r="X44" s="8"/>
      <c r="Y44" s="8"/>
    </row>
    <row r="45" spans="1:25" x14ac:dyDescent="0.25">
      <c r="A45" s="2">
        <v>44</v>
      </c>
      <c r="B45" s="3" t="s">
        <v>66</v>
      </c>
      <c r="C45" t="s">
        <v>66</v>
      </c>
      <c r="D45" t="s">
        <v>14</v>
      </c>
      <c r="E45" t="s">
        <v>12</v>
      </c>
      <c r="F45" s="31">
        <v>15.2</v>
      </c>
      <c r="G45" s="31">
        <v>15.2</v>
      </c>
      <c r="H45" s="31">
        <v>17.600000000000001</v>
      </c>
      <c r="I45" s="31">
        <v>17.600000000000001</v>
      </c>
      <c r="J45" s="31">
        <v>17.7</v>
      </c>
      <c r="K45" s="31">
        <v>17.600000000000001</v>
      </c>
      <c r="L45" s="31">
        <v>17.559999999999999</v>
      </c>
      <c r="M45" s="31">
        <v>17.3</v>
      </c>
      <c r="N45" s="31">
        <v>2.54</v>
      </c>
      <c r="O45" s="31">
        <v>16.32</v>
      </c>
      <c r="P45" s="31">
        <v>0</v>
      </c>
      <c r="Q45" s="31">
        <v>0</v>
      </c>
      <c r="R45" s="31">
        <v>0</v>
      </c>
      <c r="S45" s="9">
        <f t="shared" si="0"/>
        <v>12</v>
      </c>
      <c r="T45" s="8"/>
      <c r="U45" s="16">
        <f t="shared" si="1"/>
        <v>17.600000000000001</v>
      </c>
      <c r="V45" s="8"/>
      <c r="W45" s="8"/>
      <c r="X45" s="8"/>
      <c r="Y45" s="8"/>
    </row>
    <row r="46" spans="1:25" x14ac:dyDescent="0.25">
      <c r="A46" s="2">
        <v>45</v>
      </c>
      <c r="B46" s="3" t="s">
        <v>67</v>
      </c>
      <c r="C46" t="s">
        <v>67</v>
      </c>
      <c r="D46" t="s">
        <v>16</v>
      </c>
      <c r="E46" t="s">
        <v>12</v>
      </c>
      <c r="F46" s="31">
        <v>7.9</v>
      </c>
      <c r="G46" s="31">
        <v>7.9</v>
      </c>
      <c r="H46" s="31">
        <v>8.6300000000000008</v>
      </c>
      <c r="I46" s="31">
        <v>8.6</v>
      </c>
      <c r="J46" s="31">
        <v>8.6999999999999993</v>
      </c>
      <c r="K46" s="31">
        <v>8.6999999999999993</v>
      </c>
      <c r="L46" s="31">
        <v>13.72</v>
      </c>
      <c r="M46" s="31">
        <v>8.4</v>
      </c>
      <c r="N46" s="31">
        <v>2.25</v>
      </c>
      <c r="O46" s="31">
        <v>10.17</v>
      </c>
      <c r="P46" s="31">
        <v>0</v>
      </c>
      <c r="Q46" s="31">
        <v>0</v>
      </c>
      <c r="R46" s="31">
        <v>0</v>
      </c>
      <c r="S46" s="9">
        <f t="shared" si="0"/>
        <v>12</v>
      </c>
      <c r="T46" s="8"/>
      <c r="U46" s="16">
        <f t="shared" si="1"/>
        <v>8.6300000000000008</v>
      </c>
      <c r="V46" s="8"/>
      <c r="W46" s="8"/>
      <c r="X46" s="8"/>
      <c r="Y46" s="8"/>
    </row>
    <row r="47" spans="1:25" x14ac:dyDescent="0.25">
      <c r="A47" s="2">
        <v>46</v>
      </c>
      <c r="B47" s="3" t="s">
        <v>68</v>
      </c>
      <c r="C47" t="s">
        <v>69</v>
      </c>
      <c r="D47" t="s">
        <v>16</v>
      </c>
      <c r="E47">
        <v>1</v>
      </c>
      <c r="F47" s="31">
        <v>6.1</v>
      </c>
      <c r="G47" s="31">
        <v>6.1</v>
      </c>
      <c r="H47" s="31">
        <v>6.09</v>
      </c>
      <c r="I47" s="31">
        <v>6.1</v>
      </c>
      <c r="J47" s="31">
        <v>6.4</v>
      </c>
      <c r="K47" s="31">
        <v>6.5</v>
      </c>
      <c r="L47" s="31">
        <v>6.3</v>
      </c>
      <c r="M47" s="31">
        <v>4.5999999999999996</v>
      </c>
      <c r="N47" s="31">
        <v>4.9441322705844186</v>
      </c>
      <c r="O47" s="31">
        <v>4.7726244097302697</v>
      </c>
      <c r="P47" s="31">
        <v>4.331157378774833</v>
      </c>
      <c r="Q47" s="31">
        <v>4.1625866744293489</v>
      </c>
      <c r="R47" s="31">
        <v>4.0219890648452292</v>
      </c>
      <c r="S47" s="9">
        <f t="shared" si="0"/>
        <v>12</v>
      </c>
      <c r="T47" s="8"/>
      <c r="U47" s="16">
        <f t="shared" si="1"/>
        <v>6.09</v>
      </c>
      <c r="V47" s="8"/>
      <c r="W47" s="8"/>
      <c r="X47" s="8"/>
      <c r="Y47" s="8"/>
    </row>
    <row r="48" spans="1:25" x14ac:dyDescent="0.25">
      <c r="A48" s="2">
        <v>47</v>
      </c>
      <c r="B48" s="3" t="s">
        <v>70</v>
      </c>
      <c r="C48" t="s">
        <v>70</v>
      </c>
      <c r="D48" t="s">
        <v>18</v>
      </c>
      <c r="E48">
        <v>1</v>
      </c>
      <c r="F48" s="31">
        <v>6</v>
      </c>
      <c r="G48" s="31">
        <v>6</v>
      </c>
      <c r="H48" s="31">
        <v>4.0999999999999996</v>
      </c>
      <c r="I48" s="31">
        <v>4.3</v>
      </c>
      <c r="J48" s="31">
        <v>4.3</v>
      </c>
      <c r="K48" s="31">
        <v>5.2</v>
      </c>
      <c r="L48" s="31">
        <v>5.6</v>
      </c>
      <c r="M48" s="31">
        <v>6.8</v>
      </c>
      <c r="N48" s="31">
        <v>6.4448428420005257</v>
      </c>
      <c r="O48" s="31">
        <v>8.562467611154716</v>
      </c>
      <c r="P48" s="31">
        <v>8.6614986332338049</v>
      </c>
      <c r="Q48" s="31">
        <v>8.0197714220885246</v>
      </c>
      <c r="R48" s="31">
        <v>9.5976352503655562</v>
      </c>
      <c r="S48" s="9">
        <f t="shared" si="0"/>
        <v>12</v>
      </c>
      <c r="T48" s="8"/>
      <c r="U48" s="16">
        <f t="shared" si="1"/>
        <v>4.0999999999999996</v>
      </c>
      <c r="V48" s="8"/>
      <c r="W48" s="8"/>
      <c r="X48" s="8"/>
      <c r="Y48" s="8"/>
    </row>
    <row r="49" spans="1:25" x14ac:dyDescent="0.25">
      <c r="A49" s="2">
        <v>48</v>
      </c>
      <c r="B49" s="3" t="s">
        <v>71</v>
      </c>
      <c r="C49" t="s">
        <v>71</v>
      </c>
      <c r="D49" t="s">
        <v>9</v>
      </c>
      <c r="E49">
        <v>1</v>
      </c>
      <c r="F49" s="31">
        <v>8.1</v>
      </c>
      <c r="G49" s="31">
        <v>8.1</v>
      </c>
      <c r="H49" s="31">
        <v>9.3000000000000007</v>
      </c>
      <c r="I49" s="31">
        <v>10</v>
      </c>
      <c r="J49" s="31">
        <v>9.6999999999999993</v>
      </c>
      <c r="K49" s="31">
        <v>7.4</v>
      </c>
      <c r="L49" s="31">
        <v>7.04</v>
      </c>
      <c r="M49" s="31">
        <v>6.6</v>
      </c>
      <c r="N49" s="31">
        <v>4.2443918201838642</v>
      </c>
      <c r="O49" s="31">
        <v>4.5621935716767439</v>
      </c>
      <c r="P49" s="31">
        <v>5.1206425882785425</v>
      </c>
      <c r="Q49" s="31">
        <v>2.0478981948683668</v>
      </c>
      <c r="R49" s="31">
        <v>2.3999924680699678</v>
      </c>
      <c r="S49" s="9">
        <f t="shared" si="0"/>
        <v>12</v>
      </c>
      <c r="T49" s="8"/>
      <c r="U49" s="16">
        <f t="shared" si="1"/>
        <v>9.3000000000000007</v>
      </c>
      <c r="V49" s="8"/>
      <c r="W49" s="8"/>
      <c r="X49" s="8"/>
      <c r="Y49" s="8"/>
    </row>
    <row r="50" spans="1:25" x14ac:dyDescent="0.25">
      <c r="A50" s="2">
        <v>49</v>
      </c>
      <c r="B50" s="3" t="s">
        <v>72</v>
      </c>
      <c r="C50" t="s">
        <v>73</v>
      </c>
      <c r="D50" t="s">
        <v>33</v>
      </c>
      <c r="E50">
        <v>1</v>
      </c>
      <c r="F50" s="31">
        <v>5.5</v>
      </c>
      <c r="G50" s="31">
        <v>5.5</v>
      </c>
      <c r="H50" s="31">
        <v>5.49</v>
      </c>
      <c r="I50" s="31">
        <v>2.4</v>
      </c>
      <c r="J50" s="31">
        <v>2.1</v>
      </c>
      <c r="K50" s="31">
        <v>1.8</v>
      </c>
      <c r="L50" s="31">
        <v>1.79</v>
      </c>
      <c r="M50" s="31">
        <v>1.8</v>
      </c>
      <c r="N50" s="31">
        <v>1.5652977064008837</v>
      </c>
      <c r="O50" s="31">
        <v>1.4166923219192995</v>
      </c>
      <c r="P50" s="31">
        <v>0.9404888005691987</v>
      </c>
      <c r="Q50" s="31">
        <v>1.1955493126335455</v>
      </c>
      <c r="R50" s="31">
        <v>0.91620891785782987</v>
      </c>
      <c r="S50" s="9">
        <f t="shared" si="0"/>
        <v>12</v>
      </c>
      <c r="T50" s="8"/>
      <c r="U50" s="16">
        <f t="shared" si="1"/>
        <v>5.49</v>
      </c>
      <c r="V50" s="8"/>
      <c r="W50" s="8"/>
      <c r="X50" s="8"/>
      <c r="Y50" s="8"/>
    </row>
    <row r="51" spans="1:25" x14ac:dyDescent="0.25">
      <c r="A51" s="2">
        <v>50</v>
      </c>
      <c r="B51" s="3" t="s">
        <v>74</v>
      </c>
      <c r="C51" t="s">
        <v>75</v>
      </c>
      <c r="D51" t="s">
        <v>14</v>
      </c>
      <c r="E51" t="s">
        <v>12</v>
      </c>
      <c r="F51" s="31">
        <v>15.6</v>
      </c>
      <c r="G51" s="31">
        <v>15.6</v>
      </c>
      <c r="H51" s="31">
        <v>15.6</v>
      </c>
      <c r="I51" s="31">
        <v>15.6</v>
      </c>
      <c r="J51" s="31">
        <v>15.6</v>
      </c>
      <c r="K51" s="31">
        <v>15.6</v>
      </c>
      <c r="L51" s="31">
        <v>15.6</v>
      </c>
      <c r="M51" s="31">
        <v>15.6</v>
      </c>
      <c r="N51" s="31">
        <v>1.34</v>
      </c>
      <c r="O51" s="31">
        <v>11.96</v>
      </c>
      <c r="P51" s="31">
        <v>0</v>
      </c>
      <c r="Q51" s="31">
        <v>0</v>
      </c>
      <c r="R51" s="31">
        <v>0</v>
      </c>
      <c r="S51" s="9">
        <f t="shared" si="0"/>
        <v>12</v>
      </c>
      <c r="T51" s="8"/>
      <c r="U51" s="16">
        <f t="shared" si="1"/>
        <v>15.6</v>
      </c>
      <c r="V51" s="8"/>
      <c r="W51" s="8"/>
      <c r="X51" s="8"/>
      <c r="Y51" s="8"/>
    </row>
    <row r="52" spans="1:25" x14ac:dyDescent="0.25">
      <c r="A52" s="2">
        <v>51</v>
      </c>
      <c r="B52" s="3" t="s">
        <v>76</v>
      </c>
      <c r="C52" t="s">
        <v>76</v>
      </c>
      <c r="D52" t="s">
        <v>14</v>
      </c>
      <c r="E52" t="s">
        <v>12</v>
      </c>
      <c r="F52" s="31">
        <v>5.4</v>
      </c>
      <c r="G52" s="31">
        <v>5.4</v>
      </c>
      <c r="H52" s="31">
        <v>5.43</v>
      </c>
      <c r="I52" s="31">
        <v>5.4</v>
      </c>
      <c r="J52" s="31">
        <v>5.4</v>
      </c>
      <c r="K52" s="31">
        <v>5.4</v>
      </c>
      <c r="L52" s="31">
        <v>5.4</v>
      </c>
      <c r="M52" s="31">
        <v>5.4</v>
      </c>
      <c r="N52" s="31">
        <v>3.99</v>
      </c>
      <c r="O52" s="31">
        <v>6.51</v>
      </c>
      <c r="P52" s="31">
        <v>0</v>
      </c>
      <c r="Q52" s="31">
        <v>0</v>
      </c>
      <c r="R52" s="31">
        <v>0</v>
      </c>
      <c r="S52" s="9">
        <f t="shared" si="0"/>
        <v>12</v>
      </c>
      <c r="T52" s="8"/>
      <c r="U52" s="16">
        <f t="shared" si="1"/>
        <v>5.43</v>
      </c>
      <c r="V52" s="8"/>
      <c r="W52" s="8"/>
      <c r="X52" s="8"/>
      <c r="Y52" s="8"/>
    </row>
    <row r="53" spans="1:25" x14ac:dyDescent="0.25">
      <c r="A53" s="2">
        <v>52</v>
      </c>
      <c r="B53" s="3" t="s">
        <v>77</v>
      </c>
      <c r="C53" t="s">
        <v>77</v>
      </c>
      <c r="D53" t="s">
        <v>23</v>
      </c>
      <c r="E53">
        <v>1</v>
      </c>
      <c r="F53" s="31">
        <v>1.6</v>
      </c>
      <c r="G53" s="31">
        <v>1.6</v>
      </c>
      <c r="H53" s="31">
        <v>1.0900000000000001</v>
      </c>
      <c r="I53" s="31">
        <v>1</v>
      </c>
      <c r="J53" s="31">
        <v>1</v>
      </c>
      <c r="K53" s="31">
        <v>1.5</v>
      </c>
      <c r="L53" s="31">
        <v>1.57</v>
      </c>
      <c r="M53" s="31">
        <v>2</v>
      </c>
      <c r="N53" s="31">
        <v>2.348845514964637</v>
      </c>
      <c r="O53" s="31">
        <v>2.5384607708452904</v>
      </c>
      <c r="P53" s="31">
        <v>2.7116926263073537</v>
      </c>
      <c r="Q53" s="31">
        <v>2.8796818054100868</v>
      </c>
      <c r="R53" s="31">
        <v>3.3971879523077178</v>
      </c>
      <c r="S53" s="9">
        <f t="shared" si="0"/>
        <v>12</v>
      </c>
      <c r="T53" s="8"/>
      <c r="U53" s="16">
        <f t="shared" si="1"/>
        <v>1.0900000000000001</v>
      </c>
      <c r="V53" s="8"/>
      <c r="W53" s="8"/>
      <c r="X53" s="8"/>
      <c r="Y53" s="8"/>
    </row>
    <row r="54" spans="1:25" x14ac:dyDescent="0.25">
      <c r="A54" s="2">
        <v>53</v>
      </c>
      <c r="B54" s="3" t="s">
        <v>78</v>
      </c>
      <c r="C54" t="s">
        <v>78</v>
      </c>
      <c r="D54" t="s">
        <v>14</v>
      </c>
      <c r="E54">
        <v>1</v>
      </c>
      <c r="F54" s="31">
        <v>10.5</v>
      </c>
      <c r="G54" s="31">
        <v>10.5</v>
      </c>
      <c r="H54" s="31">
        <v>10.4</v>
      </c>
      <c r="I54" s="31">
        <v>10.3</v>
      </c>
      <c r="J54" s="31">
        <v>10</v>
      </c>
      <c r="K54" s="31">
        <v>10</v>
      </c>
      <c r="L54" s="31">
        <v>12.14</v>
      </c>
      <c r="M54" s="31">
        <v>12.1</v>
      </c>
      <c r="N54" s="31">
        <v>12.422259634502325</v>
      </c>
      <c r="O54" s="31">
        <v>13.5097918828817</v>
      </c>
      <c r="P54" s="31">
        <v>14.037139188195624</v>
      </c>
      <c r="Q54" s="31">
        <v>14.486761119846506</v>
      </c>
      <c r="R54" s="31">
        <v>15.241254431600055</v>
      </c>
      <c r="S54" s="9">
        <f t="shared" si="0"/>
        <v>12</v>
      </c>
      <c r="T54" s="8"/>
      <c r="U54" s="16">
        <f t="shared" si="1"/>
        <v>10.4</v>
      </c>
      <c r="V54" s="8"/>
      <c r="W54" s="8"/>
      <c r="X54" s="8"/>
      <c r="Y54" s="8"/>
    </row>
    <row r="55" spans="1:25" x14ac:dyDescent="0.25">
      <c r="A55" s="2">
        <v>54</v>
      </c>
      <c r="B55" s="3" t="s">
        <v>79</v>
      </c>
      <c r="C55" t="s">
        <v>79</v>
      </c>
      <c r="D55" t="s">
        <v>21</v>
      </c>
      <c r="E55" t="s">
        <v>12</v>
      </c>
      <c r="F55" s="31">
        <v>11</v>
      </c>
      <c r="G55" s="31">
        <v>11</v>
      </c>
      <c r="H55" s="31">
        <v>9.89</v>
      </c>
      <c r="I55" s="31">
        <v>9.9</v>
      </c>
      <c r="J55" s="31">
        <v>10.6</v>
      </c>
      <c r="K55" s="31">
        <v>10.6</v>
      </c>
      <c r="L55" s="31">
        <v>10.58</v>
      </c>
      <c r="M55" s="31">
        <v>11.1</v>
      </c>
      <c r="N55" s="31">
        <v>2.35</v>
      </c>
      <c r="O55" s="31">
        <v>14.28</v>
      </c>
      <c r="P55" s="31">
        <v>0</v>
      </c>
      <c r="Q55" s="31">
        <v>0</v>
      </c>
      <c r="R55" s="31">
        <v>0</v>
      </c>
      <c r="S55" s="9">
        <f t="shared" si="0"/>
        <v>12</v>
      </c>
      <c r="T55" s="8"/>
      <c r="U55" s="16">
        <f t="shared" si="1"/>
        <v>9.89</v>
      </c>
      <c r="V55" s="8"/>
      <c r="W55" s="8"/>
      <c r="X55" s="8"/>
      <c r="Y55" s="8"/>
    </row>
    <row r="56" spans="1:25" x14ac:dyDescent="0.25">
      <c r="A56" s="2">
        <v>55</v>
      </c>
      <c r="B56" s="3" t="s">
        <v>80</v>
      </c>
      <c r="C56" t="s">
        <v>80</v>
      </c>
      <c r="D56" t="s">
        <v>23</v>
      </c>
      <c r="E56">
        <v>1</v>
      </c>
      <c r="F56" s="31">
        <v>1.6</v>
      </c>
      <c r="G56" s="31">
        <v>1.6</v>
      </c>
      <c r="H56" s="31">
        <v>1.0900000000000001</v>
      </c>
      <c r="I56" s="31">
        <v>1</v>
      </c>
      <c r="J56" s="31">
        <v>1</v>
      </c>
      <c r="K56" s="31">
        <v>1.5</v>
      </c>
      <c r="L56" s="31">
        <v>1.57</v>
      </c>
      <c r="M56" s="31">
        <v>2</v>
      </c>
      <c r="N56" s="31">
        <v>2.1380090029579151</v>
      </c>
      <c r="O56" s="31">
        <v>2.2678125931025761</v>
      </c>
      <c r="P56" s="31">
        <v>2.7743454004179284</v>
      </c>
      <c r="Q56" s="31">
        <v>2.8801303062414263</v>
      </c>
      <c r="R56" s="31">
        <v>3.2551976288327751</v>
      </c>
      <c r="S56" s="9">
        <f t="shared" si="0"/>
        <v>12</v>
      </c>
      <c r="T56" s="8"/>
      <c r="U56" s="16">
        <f t="shared" si="1"/>
        <v>1.0900000000000001</v>
      </c>
      <c r="V56" s="8"/>
      <c r="W56" s="8"/>
      <c r="X56" s="8"/>
      <c r="Y56" s="8"/>
    </row>
    <row r="57" spans="1:25" x14ac:dyDescent="0.25">
      <c r="A57" s="2">
        <v>56</v>
      </c>
      <c r="B57" s="3" t="s">
        <v>81</v>
      </c>
      <c r="C57" t="s">
        <v>81</v>
      </c>
      <c r="D57" t="s">
        <v>23</v>
      </c>
      <c r="E57">
        <v>1</v>
      </c>
      <c r="F57" s="31">
        <v>1.6</v>
      </c>
      <c r="G57" s="31">
        <v>1.6</v>
      </c>
      <c r="H57" s="31">
        <v>1.0900000000000001</v>
      </c>
      <c r="I57" s="31">
        <v>1</v>
      </c>
      <c r="J57" s="31">
        <v>1</v>
      </c>
      <c r="K57" s="31">
        <v>1.5</v>
      </c>
      <c r="L57" s="31">
        <v>1.57</v>
      </c>
      <c r="M57" s="31">
        <v>2</v>
      </c>
      <c r="N57" s="31">
        <v>2.0298388796974223</v>
      </c>
      <c r="O57" s="31">
        <v>2.2270940825155776</v>
      </c>
      <c r="P57" s="31">
        <v>2.4445228324217396</v>
      </c>
      <c r="Q57" s="31">
        <v>3.0637860210972576</v>
      </c>
      <c r="R57" s="31">
        <v>3.3078068141696804</v>
      </c>
      <c r="S57" s="9">
        <f t="shared" si="0"/>
        <v>12</v>
      </c>
      <c r="T57" s="8"/>
      <c r="U57" s="16">
        <f t="shared" si="1"/>
        <v>1.0900000000000001</v>
      </c>
      <c r="V57" s="8"/>
      <c r="W57" s="8"/>
      <c r="X57" s="8"/>
      <c r="Y57" s="8"/>
    </row>
    <row r="58" spans="1:25" x14ac:dyDescent="0.25">
      <c r="A58" s="2">
        <v>57</v>
      </c>
      <c r="B58" s="3" t="s">
        <v>82</v>
      </c>
      <c r="C58" t="s">
        <v>82</v>
      </c>
      <c r="D58" t="s">
        <v>14</v>
      </c>
      <c r="E58">
        <v>1</v>
      </c>
      <c r="F58" s="31">
        <v>14.5</v>
      </c>
      <c r="G58" s="31">
        <v>14.5</v>
      </c>
      <c r="H58" s="31">
        <v>14.5</v>
      </c>
      <c r="I58" s="31">
        <v>14.5</v>
      </c>
      <c r="J58" s="31">
        <v>14.1</v>
      </c>
      <c r="K58" s="31">
        <v>14.1</v>
      </c>
      <c r="L58" s="31">
        <v>14.54</v>
      </c>
      <c r="M58" s="31">
        <v>16.899999999999999</v>
      </c>
      <c r="N58" s="31">
        <v>16.74112851596874</v>
      </c>
      <c r="O58" s="31">
        <v>16.458693305312408</v>
      </c>
      <c r="P58" s="31">
        <v>17.790018357589133</v>
      </c>
      <c r="Q58" s="31">
        <v>18.135511418485066</v>
      </c>
      <c r="R58" s="31">
        <v>17.960472339662601</v>
      </c>
      <c r="S58" s="9">
        <f t="shared" si="0"/>
        <v>12</v>
      </c>
      <c r="T58" s="8"/>
      <c r="U58" s="16">
        <f t="shared" si="1"/>
        <v>14.5</v>
      </c>
      <c r="V58" s="8"/>
      <c r="W58" s="8"/>
      <c r="X58" s="8"/>
      <c r="Y58" s="8"/>
    </row>
    <row r="59" spans="1:25" x14ac:dyDescent="0.25">
      <c r="A59" s="2">
        <v>58</v>
      </c>
      <c r="B59" s="3" t="s">
        <v>83</v>
      </c>
      <c r="C59" t="s">
        <v>83</v>
      </c>
      <c r="D59" t="s">
        <v>14</v>
      </c>
      <c r="E59" t="s">
        <v>12</v>
      </c>
      <c r="F59" s="31">
        <v>13.47</v>
      </c>
      <c r="G59" s="31">
        <v>13.47</v>
      </c>
      <c r="H59" s="31">
        <v>13.66</v>
      </c>
      <c r="I59" s="31">
        <v>14.22</v>
      </c>
      <c r="J59" s="31">
        <v>13.25</v>
      </c>
      <c r="K59" s="31">
        <v>12.5</v>
      </c>
      <c r="L59" s="31">
        <v>12.66</v>
      </c>
      <c r="M59" s="31">
        <v>14.2</v>
      </c>
      <c r="N59" s="31">
        <v>2.4500000000000002</v>
      </c>
      <c r="O59" s="31">
        <v>11.98</v>
      </c>
      <c r="P59" s="31">
        <v>0</v>
      </c>
      <c r="Q59" s="31">
        <v>0</v>
      </c>
      <c r="R59" s="31">
        <v>0</v>
      </c>
      <c r="S59" s="9">
        <f t="shared" si="0"/>
        <v>12</v>
      </c>
      <c r="T59" s="8"/>
      <c r="U59" s="16">
        <f t="shared" si="1"/>
        <v>13.66</v>
      </c>
      <c r="V59" s="8"/>
      <c r="W59" s="8"/>
      <c r="X59" s="8"/>
      <c r="Y59" s="8"/>
    </row>
    <row r="60" spans="1:25" x14ac:dyDescent="0.25">
      <c r="A60" s="2">
        <v>59</v>
      </c>
      <c r="B60" s="3" t="s">
        <v>84</v>
      </c>
      <c r="C60" t="s">
        <v>84</v>
      </c>
      <c r="D60" t="s">
        <v>7</v>
      </c>
      <c r="E60">
        <v>1</v>
      </c>
      <c r="F60" s="31">
        <v>0.4</v>
      </c>
      <c r="G60" s="31">
        <v>0.4</v>
      </c>
      <c r="H60" s="31">
        <v>0.72</v>
      </c>
      <c r="I60" s="31">
        <v>0.7</v>
      </c>
      <c r="J60" s="31">
        <v>0.7</v>
      </c>
      <c r="K60" s="31">
        <v>0.7</v>
      </c>
      <c r="L60" s="31">
        <v>0.3</v>
      </c>
      <c r="M60" s="31">
        <v>0.7</v>
      </c>
      <c r="N60" s="31">
        <v>0.50369437921828819</v>
      </c>
      <c r="O60" s="31">
        <v>0.42548387276973187</v>
      </c>
      <c r="P60" s="31">
        <v>0.41916575405033996</v>
      </c>
      <c r="Q60" s="31">
        <v>0.3702210618355366</v>
      </c>
      <c r="R60" s="31">
        <v>0.32590068350246781</v>
      </c>
      <c r="S60" s="9">
        <f t="shared" si="0"/>
        <v>12</v>
      </c>
      <c r="T60" s="8"/>
      <c r="U60" s="16">
        <f t="shared" si="1"/>
        <v>0.72</v>
      </c>
      <c r="V60" s="8"/>
      <c r="W60" s="8"/>
      <c r="X60" s="8"/>
      <c r="Y60" s="8"/>
    </row>
    <row r="61" spans="1:25" x14ac:dyDescent="0.25">
      <c r="A61" s="2">
        <v>60</v>
      </c>
      <c r="B61" s="3" t="s">
        <v>85</v>
      </c>
      <c r="C61" t="s">
        <v>85</v>
      </c>
      <c r="D61" t="s">
        <v>23</v>
      </c>
      <c r="E61">
        <v>1</v>
      </c>
      <c r="F61" s="31">
        <v>1.6</v>
      </c>
      <c r="G61" s="31">
        <v>1.6</v>
      </c>
      <c r="H61" s="31">
        <v>1.0900000000000001</v>
      </c>
      <c r="I61" s="31">
        <v>1</v>
      </c>
      <c r="J61" s="31">
        <v>1</v>
      </c>
      <c r="K61" s="31">
        <v>1.5</v>
      </c>
      <c r="L61" s="31">
        <v>1.57</v>
      </c>
      <c r="M61" s="31">
        <v>2</v>
      </c>
      <c r="N61" s="31">
        <v>2.381737137296227</v>
      </c>
      <c r="O61" s="31">
        <v>2.4698818085182666</v>
      </c>
      <c r="P61" s="31">
        <v>2.8934941687607534</v>
      </c>
      <c r="Q61" s="31">
        <v>3.1361945778271547</v>
      </c>
      <c r="R61" s="31">
        <v>3.0179954712823474</v>
      </c>
      <c r="S61" s="9">
        <f t="shared" si="0"/>
        <v>12</v>
      </c>
      <c r="T61" s="8"/>
      <c r="U61" s="16">
        <f t="shared" si="1"/>
        <v>1.0900000000000001</v>
      </c>
      <c r="V61" s="8"/>
      <c r="W61" s="8"/>
      <c r="X61" s="8"/>
      <c r="Y61" s="8"/>
    </row>
    <row r="62" spans="1:25" x14ac:dyDescent="0.25">
      <c r="A62" s="2">
        <v>61</v>
      </c>
      <c r="B62" s="3" t="s">
        <v>86</v>
      </c>
      <c r="C62" t="s">
        <v>86</v>
      </c>
      <c r="D62" t="s">
        <v>14</v>
      </c>
      <c r="E62">
        <v>1</v>
      </c>
      <c r="F62" s="31">
        <v>8.6</v>
      </c>
      <c r="G62" s="31">
        <v>8.6</v>
      </c>
      <c r="H62" s="31">
        <v>10.1</v>
      </c>
      <c r="I62" s="31">
        <v>10.1</v>
      </c>
      <c r="J62" s="31">
        <v>10</v>
      </c>
      <c r="K62" s="31">
        <v>10</v>
      </c>
      <c r="L62" s="31">
        <v>9.9600000000000009</v>
      </c>
      <c r="M62" s="31">
        <v>10.8</v>
      </c>
      <c r="N62" s="31">
        <v>10.594172088957635</v>
      </c>
      <c r="O62" s="31">
        <v>10.697986374866957</v>
      </c>
      <c r="P62" s="31">
        <v>11.003620971823011</v>
      </c>
      <c r="Q62" s="31">
        <v>10.940621514669772</v>
      </c>
      <c r="R62" s="31">
        <v>11.14172702812067</v>
      </c>
      <c r="S62" s="9">
        <f t="shared" si="0"/>
        <v>12</v>
      </c>
      <c r="T62" s="8"/>
      <c r="U62" s="16">
        <f t="shared" si="1"/>
        <v>10.1</v>
      </c>
      <c r="V62" s="8"/>
      <c r="W62" s="8"/>
      <c r="X62" s="8"/>
      <c r="Y62" s="8"/>
    </row>
    <row r="63" spans="1:25" x14ac:dyDescent="0.25">
      <c r="A63" s="2">
        <v>62</v>
      </c>
      <c r="B63" s="3" t="s">
        <v>87</v>
      </c>
      <c r="C63" t="s">
        <v>87</v>
      </c>
      <c r="D63" t="s">
        <v>23</v>
      </c>
      <c r="E63">
        <v>1</v>
      </c>
      <c r="F63" s="31">
        <v>1.6</v>
      </c>
      <c r="G63" s="31">
        <v>1.6</v>
      </c>
      <c r="H63" s="31">
        <v>1.0900000000000001</v>
      </c>
      <c r="I63" s="31">
        <v>1</v>
      </c>
      <c r="J63" s="31">
        <v>1</v>
      </c>
      <c r="K63" s="31">
        <v>1.5</v>
      </c>
      <c r="L63" s="31">
        <v>1.57</v>
      </c>
      <c r="M63" s="31">
        <v>2</v>
      </c>
      <c r="N63" s="31">
        <v>2.3654583066036139</v>
      </c>
      <c r="O63" s="31">
        <v>2.3548846850250129</v>
      </c>
      <c r="P63" s="31">
        <v>2.5639646665280225</v>
      </c>
      <c r="Q63" s="31">
        <v>2.9211057905870348</v>
      </c>
      <c r="R63" s="31">
        <v>3.0600223047044892</v>
      </c>
      <c r="S63" s="9">
        <f t="shared" si="0"/>
        <v>12</v>
      </c>
      <c r="T63" s="8"/>
      <c r="U63" s="16">
        <f t="shared" si="1"/>
        <v>1.0900000000000001</v>
      </c>
      <c r="V63" s="8"/>
      <c r="W63" s="8"/>
      <c r="X63" s="8"/>
      <c r="Y63" s="8"/>
    </row>
    <row r="64" spans="1:25" x14ac:dyDescent="0.25">
      <c r="A64" s="2">
        <v>63</v>
      </c>
      <c r="B64" s="3" t="s">
        <v>88</v>
      </c>
      <c r="C64" t="s">
        <v>11</v>
      </c>
      <c r="D64" t="s">
        <v>16</v>
      </c>
      <c r="E64" t="s">
        <v>12</v>
      </c>
      <c r="F64" s="31">
        <v>7.03</v>
      </c>
      <c r="G64" s="31">
        <v>7.03</v>
      </c>
      <c r="H64" s="31">
        <v>6.53</v>
      </c>
      <c r="I64" s="31">
        <v>0.08</v>
      </c>
      <c r="J64" s="31">
        <v>6.82</v>
      </c>
      <c r="K64" s="31">
        <v>1.36</v>
      </c>
      <c r="L64" s="31">
        <v>0.52</v>
      </c>
      <c r="M64" s="31">
        <v>3.02</v>
      </c>
      <c r="N64" s="31">
        <v>1.35</v>
      </c>
      <c r="O64" s="31">
        <v>7.94</v>
      </c>
      <c r="P64" s="31">
        <v>0</v>
      </c>
      <c r="Q64" s="31">
        <v>0</v>
      </c>
      <c r="R64" s="31">
        <v>0</v>
      </c>
      <c r="S64" s="9">
        <f t="shared" si="0"/>
        <v>12</v>
      </c>
      <c r="T64" s="8"/>
      <c r="U64" s="16">
        <f t="shared" si="1"/>
        <v>6.53</v>
      </c>
      <c r="V64" s="8"/>
      <c r="W64" s="8"/>
      <c r="X64" s="8"/>
      <c r="Y64" s="8"/>
    </row>
    <row r="65" spans="1:25" x14ac:dyDescent="0.25">
      <c r="A65" s="2">
        <v>64</v>
      </c>
      <c r="B65" s="3" t="s">
        <v>89</v>
      </c>
      <c r="C65" t="s">
        <v>89</v>
      </c>
      <c r="D65" t="s">
        <v>33</v>
      </c>
      <c r="E65">
        <v>1</v>
      </c>
      <c r="F65" s="31">
        <v>2.4</v>
      </c>
      <c r="G65" s="31">
        <v>2.4</v>
      </c>
      <c r="H65" s="31">
        <v>2.2799999999999998</v>
      </c>
      <c r="I65" s="31">
        <v>2.7</v>
      </c>
      <c r="J65" s="31">
        <v>1.8</v>
      </c>
      <c r="K65" s="31">
        <v>1.5</v>
      </c>
      <c r="L65" s="31">
        <v>1.39</v>
      </c>
      <c r="M65" s="31">
        <v>1.4</v>
      </c>
      <c r="N65" s="31">
        <v>0.78661731092836362</v>
      </c>
      <c r="O65" s="31">
        <v>0.28895418128445272</v>
      </c>
      <c r="P65" s="31">
        <v>0.24371991583063846</v>
      </c>
      <c r="Q65" s="31">
        <v>0</v>
      </c>
      <c r="R65" s="31">
        <v>0</v>
      </c>
      <c r="S65" s="9">
        <f t="shared" si="0"/>
        <v>12</v>
      </c>
      <c r="T65" s="8"/>
      <c r="U65" s="16">
        <f t="shared" si="1"/>
        <v>2.2799999999999998</v>
      </c>
      <c r="V65" s="8"/>
      <c r="W65" s="8"/>
      <c r="X65" s="8"/>
      <c r="Y65" s="8"/>
    </row>
    <row r="66" spans="1:25" x14ac:dyDescent="0.25">
      <c r="A66" s="2">
        <v>65</v>
      </c>
      <c r="B66" s="3" t="s">
        <v>90</v>
      </c>
      <c r="C66" t="s">
        <v>90</v>
      </c>
      <c r="D66" t="s">
        <v>14</v>
      </c>
      <c r="E66">
        <v>1</v>
      </c>
      <c r="F66" s="31">
        <v>11.9</v>
      </c>
      <c r="G66" s="31">
        <v>11.9</v>
      </c>
      <c r="H66" s="31">
        <v>11.9</v>
      </c>
      <c r="I66" s="31">
        <v>11.9</v>
      </c>
      <c r="J66" s="31">
        <v>11.9</v>
      </c>
      <c r="K66" s="31">
        <v>11.9</v>
      </c>
      <c r="L66" s="31">
        <v>11.91</v>
      </c>
      <c r="M66" s="31">
        <v>10.9</v>
      </c>
      <c r="N66" s="31">
        <v>11.079293196069671</v>
      </c>
      <c r="O66" s="31">
        <v>10.859566375591442</v>
      </c>
      <c r="P66" s="31">
        <v>10.677681571154835</v>
      </c>
      <c r="Q66" s="31">
        <v>10.494781290681146</v>
      </c>
      <c r="R66" s="31">
        <v>10.417456859380422</v>
      </c>
      <c r="S66" s="9">
        <f t="shared" si="0"/>
        <v>12</v>
      </c>
      <c r="T66" s="8"/>
      <c r="U66" s="16">
        <f t="shared" si="1"/>
        <v>11.9</v>
      </c>
      <c r="V66" s="8"/>
      <c r="W66" s="8"/>
      <c r="X66" s="8"/>
      <c r="Y66" s="8"/>
    </row>
    <row r="67" spans="1:25" x14ac:dyDescent="0.25">
      <c r="A67" s="2">
        <v>66</v>
      </c>
      <c r="B67" s="3" t="s">
        <v>91</v>
      </c>
      <c r="C67" t="s">
        <v>91</v>
      </c>
      <c r="D67" t="s">
        <v>18</v>
      </c>
      <c r="E67">
        <v>1</v>
      </c>
      <c r="F67" s="31">
        <v>6.9</v>
      </c>
      <c r="G67" s="31">
        <v>6.9</v>
      </c>
      <c r="H67" s="31">
        <v>6.5</v>
      </c>
      <c r="I67" s="31">
        <v>6.5</v>
      </c>
      <c r="J67" s="31">
        <v>7.1</v>
      </c>
      <c r="K67" s="31">
        <v>7.1</v>
      </c>
      <c r="L67" s="31">
        <v>6.73</v>
      </c>
      <c r="M67" s="31">
        <v>6.6</v>
      </c>
      <c r="N67" s="31">
        <v>6.7495241505268027</v>
      </c>
      <c r="O67" s="31">
        <v>6.7490156553765743</v>
      </c>
      <c r="P67" s="31">
        <v>6.717935692242925</v>
      </c>
      <c r="Q67" s="31">
        <v>6.702470615437143</v>
      </c>
      <c r="R67" s="31">
        <v>6.6931500718190051</v>
      </c>
      <c r="S67" s="9">
        <f t="shared" ref="S67:S130" si="2">COUNT(G67:R67)</f>
        <v>12</v>
      </c>
      <c r="T67" s="8"/>
      <c r="U67" s="16">
        <f t="shared" ref="U67:U130" si="3">IF(SUMIF($F$1:$R$1,U$1,$F67:$R67)=0,".",SUMIF($F$1:$R$1,U$1,$F67:$R67))</f>
        <v>6.5</v>
      </c>
      <c r="V67" s="8"/>
      <c r="W67" s="8"/>
      <c r="X67" s="8"/>
      <c r="Y67" s="8"/>
    </row>
    <row r="68" spans="1:25" x14ac:dyDescent="0.25">
      <c r="A68" s="2">
        <v>67</v>
      </c>
      <c r="B68" s="3" t="s">
        <v>92</v>
      </c>
      <c r="C68" t="s">
        <v>92</v>
      </c>
      <c r="D68" t="s">
        <v>16</v>
      </c>
      <c r="E68">
        <v>1</v>
      </c>
      <c r="F68" s="31">
        <v>5.0999999999999996</v>
      </c>
      <c r="G68" s="31">
        <v>5.0999999999999996</v>
      </c>
      <c r="H68" s="31">
        <v>7.29</v>
      </c>
      <c r="I68" s="31">
        <v>3.7</v>
      </c>
      <c r="J68" s="31">
        <v>6.5</v>
      </c>
      <c r="K68" s="31">
        <v>7.2</v>
      </c>
      <c r="L68" s="31">
        <v>6.55</v>
      </c>
      <c r="M68" s="31">
        <v>6.5</v>
      </c>
      <c r="N68" s="31">
        <v>6.6666557962512343</v>
      </c>
      <c r="O68" s="31">
        <v>6.1430590324696368</v>
      </c>
      <c r="P68" s="31">
        <v>9.7284410921411109</v>
      </c>
      <c r="Q68" s="31">
        <v>9.2014321495282729</v>
      </c>
      <c r="R68" s="31">
        <v>10.500860897367829</v>
      </c>
      <c r="S68" s="9">
        <f t="shared" si="2"/>
        <v>12</v>
      </c>
      <c r="T68" s="8"/>
      <c r="U68" s="16">
        <f t="shared" si="3"/>
        <v>7.29</v>
      </c>
      <c r="V68" s="8"/>
      <c r="W68" s="8"/>
      <c r="X68" s="8"/>
      <c r="Y68" s="8"/>
    </row>
    <row r="69" spans="1:25" x14ac:dyDescent="0.25">
      <c r="A69" s="2">
        <v>68</v>
      </c>
      <c r="B69" s="3" t="s">
        <v>93</v>
      </c>
      <c r="C69" t="s">
        <v>93</v>
      </c>
      <c r="D69" t="s">
        <v>33</v>
      </c>
      <c r="E69">
        <v>1</v>
      </c>
      <c r="F69" s="31">
        <v>6.5</v>
      </c>
      <c r="G69" s="31">
        <v>6.5</v>
      </c>
      <c r="H69" s="31">
        <v>7.3</v>
      </c>
      <c r="I69" s="31">
        <v>6.2</v>
      </c>
      <c r="J69" s="31">
        <v>5.8</v>
      </c>
      <c r="K69" s="31">
        <v>5.8</v>
      </c>
      <c r="L69" s="31">
        <v>2.79</v>
      </c>
      <c r="M69" s="31">
        <v>2.8</v>
      </c>
      <c r="N69" s="31">
        <v>1.5856511010317718</v>
      </c>
      <c r="O69" s="31">
        <v>1.9453410706803425</v>
      </c>
      <c r="P69" s="31">
        <v>0</v>
      </c>
      <c r="Q69" s="31">
        <v>0</v>
      </c>
      <c r="R69" s="31">
        <v>0</v>
      </c>
      <c r="S69" s="9">
        <f t="shared" si="2"/>
        <v>12</v>
      </c>
      <c r="T69" s="8"/>
      <c r="U69" s="16">
        <f t="shared" si="3"/>
        <v>7.3</v>
      </c>
      <c r="V69" s="8"/>
      <c r="W69" s="8"/>
      <c r="X69" s="8"/>
      <c r="Y69" s="8"/>
    </row>
    <row r="70" spans="1:25" x14ac:dyDescent="0.25">
      <c r="A70" s="2">
        <v>69</v>
      </c>
      <c r="B70" s="3" t="s">
        <v>94</v>
      </c>
      <c r="C70" t="s">
        <v>94</v>
      </c>
      <c r="D70" t="s">
        <v>23</v>
      </c>
      <c r="E70">
        <v>1</v>
      </c>
      <c r="F70" s="31">
        <v>1.6</v>
      </c>
      <c r="G70" s="31">
        <v>1.6</v>
      </c>
      <c r="H70" s="31">
        <v>1.0900000000000001</v>
      </c>
      <c r="I70" s="31">
        <v>1</v>
      </c>
      <c r="J70" s="31">
        <v>1</v>
      </c>
      <c r="K70" s="31">
        <v>1.5</v>
      </c>
      <c r="L70" s="31">
        <v>1.57</v>
      </c>
      <c r="M70" s="31">
        <v>2</v>
      </c>
      <c r="N70" s="31">
        <v>2.3077996643540928</v>
      </c>
      <c r="O70" s="31">
        <v>2.662798776315185</v>
      </c>
      <c r="P70" s="31">
        <v>2.8331827747125544</v>
      </c>
      <c r="Q70" s="31">
        <v>2.8871777224278503</v>
      </c>
      <c r="R70" s="31">
        <v>3.0673751632559743</v>
      </c>
      <c r="S70" s="9">
        <f t="shared" si="2"/>
        <v>12</v>
      </c>
      <c r="T70" s="8"/>
      <c r="U70" s="16">
        <f t="shared" si="3"/>
        <v>1.0900000000000001</v>
      </c>
      <c r="V70" s="8"/>
      <c r="W70" s="8"/>
      <c r="X70" s="8"/>
      <c r="Y70" s="8"/>
    </row>
    <row r="71" spans="1:25" x14ac:dyDescent="0.25">
      <c r="A71" s="2">
        <v>70</v>
      </c>
      <c r="B71" s="3" t="s">
        <v>95</v>
      </c>
      <c r="C71" t="s">
        <v>95</v>
      </c>
      <c r="D71" t="s">
        <v>7</v>
      </c>
      <c r="E71">
        <v>1</v>
      </c>
      <c r="F71" s="31">
        <v>1.1000000000000001</v>
      </c>
      <c r="G71" s="31">
        <v>1.1000000000000001</v>
      </c>
      <c r="H71" s="31">
        <v>1.04</v>
      </c>
      <c r="I71" s="31">
        <v>1</v>
      </c>
      <c r="J71" s="31">
        <v>1.1000000000000001</v>
      </c>
      <c r="K71" s="31">
        <v>1</v>
      </c>
      <c r="L71" s="31">
        <v>0.77</v>
      </c>
      <c r="M71" s="31">
        <v>1.5</v>
      </c>
      <c r="N71" s="31">
        <v>1.2415980343555759</v>
      </c>
      <c r="O71" s="31">
        <v>1.4197876381662979</v>
      </c>
      <c r="P71" s="31">
        <v>1.3638114141290316</v>
      </c>
      <c r="Q71" s="31">
        <v>1.4782972300511119</v>
      </c>
      <c r="R71" s="31">
        <v>1.5495201417350586</v>
      </c>
      <c r="S71" s="9">
        <f t="shared" si="2"/>
        <v>12</v>
      </c>
      <c r="T71" s="8"/>
      <c r="U71" s="16">
        <f t="shared" si="3"/>
        <v>1.04</v>
      </c>
      <c r="V71" s="8"/>
      <c r="W71" s="8"/>
      <c r="X71" s="8"/>
      <c r="Y71" s="8"/>
    </row>
    <row r="72" spans="1:25" x14ac:dyDescent="0.25">
      <c r="A72" s="2">
        <v>71</v>
      </c>
      <c r="B72" s="3" t="s">
        <v>96</v>
      </c>
      <c r="C72" t="s">
        <v>96</v>
      </c>
      <c r="D72" t="s">
        <v>25</v>
      </c>
      <c r="E72">
        <v>1</v>
      </c>
      <c r="F72" s="31">
        <v>8.1999999999999993</v>
      </c>
      <c r="G72" s="31">
        <v>8.1999999999999993</v>
      </c>
      <c r="H72" s="31">
        <v>7.2</v>
      </c>
      <c r="I72" s="31">
        <v>7.7</v>
      </c>
      <c r="J72" s="31">
        <v>7</v>
      </c>
      <c r="K72" s="31">
        <v>6.2</v>
      </c>
      <c r="L72" s="31">
        <v>6.3</v>
      </c>
      <c r="M72" s="31">
        <v>6.3</v>
      </c>
      <c r="N72" s="31">
        <v>5.4104807764528005</v>
      </c>
      <c r="O72" s="31">
        <v>5.1636774903738569</v>
      </c>
      <c r="P72" s="31">
        <v>5.0874529653989384</v>
      </c>
      <c r="Q72" s="31">
        <v>4.3311755789330846</v>
      </c>
      <c r="R72" s="31">
        <v>4.4129290365971201</v>
      </c>
      <c r="S72" s="9">
        <f t="shared" si="2"/>
        <v>12</v>
      </c>
      <c r="T72" s="8"/>
      <c r="U72" s="16">
        <f t="shared" si="3"/>
        <v>7.2</v>
      </c>
      <c r="V72" s="8"/>
      <c r="W72" s="8"/>
      <c r="X72" s="8"/>
      <c r="Y72" s="8"/>
    </row>
    <row r="73" spans="1:25" x14ac:dyDescent="0.25">
      <c r="A73" s="2">
        <v>72</v>
      </c>
      <c r="B73" s="3" t="s">
        <v>97</v>
      </c>
      <c r="C73" t="s">
        <v>97</v>
      </c>
      <c r="D73" t="s">
        <v>25</v>
      </c>
      <c r="E73">
        <v>1</v>
      </c>
      <c r="F73" s="31">
        <v>2.5</v>
      </c>
      <c r="G73" s="31">
        <v>2.5</v>
      </c>
      <c r="H73" s="31">
        <v>2.59</v>
      </c>
      <c r="I73" s="31">
        <v>2.6</v>
      </c>
      <c r="J73" s="31">
        <v>2.2999999999999998</v>
      </c>
      <c r="K73" s="31">
        <v>2.2999999999999998</v>
      </c>
      <c r="L73" s="31">
        <v>2.27</v>
      </c>
      <c r="M73" s="31">
        <v>2.6</v>
      </c>
      <c r="N73" s="31">
        <v>2.4055325718435041</v>
      </c>
      <c r="O73" s="31">
        <v>2.4022421328898291</v>
      </c>
      <c r="P73" s="31">
        <v>2.3992462450873839</v>
      </c>
      <c r="Q73" s="31">
        <v>2.3939387884614218</v>
      </c>
      <c r="R73" s="31">
        <v>2.3929809135898283</v>
      </c>
      <c r="S73" s="9">
        <f t="shared" si="2"/>
        <v>12</v>
      </c>
      <c r="T73" s="8"/>
      <c r="U73" s="16">
        <f t="shared" si="3"/>
        <v>2.59</v>
      </c>
      <c r="V73" s="8"/>
      <c r="W73" s="8"/>
      <c r="X73" s="8"/>
      <c r="Y73" s="8"/>
    </row>
    <row r="74" spans="1:25" x14ac:dyDescent="0.25">
      <c r="A74" s="2">
        <v>73</v>
      </c>
      <c r="B74" s="3" t="s">
        <v>98</v>
      </c>
      <c r="C74" t="s">
        <v>98</v>
      </c>
      <c r="D74" t="s">
        <v>9</v>
      </c>
      <c r="E74" t="s">
        <v>12</v>
      </c>
      <c r="F74" s="31">
        <v>19.600000000000001</v>
      </c>
      <c r="G74" s="31">
        <v>19.600000000000001</v>
      </c>
      <c r="H74" s="31">
        <v>21.8</v>
      </c>
      <c r="I74" s="31">
        <v>21.8</v>
      </c>
      <c r="J74" s="31">
        <v>15.2</v>
      </c>
      <c r="K74" s="31">
        <v>15.2</v>
      </c>
      <c r="L74" s="31">
        <v>15.23</v>
      </c>
      <c r="M74" s="31">
        <v>15.2</v>
      </c>
      <c r="N74" s="31">
        <v>1.85</v>
      </c>
      <c r="O74" s="31">
        <v>14.55</v>
      </c>
      <c r="P74" s="31">
        <v>0</v>
      </c>
      <c r="Q74" s="31">
        <v>0</v>
      </c>
      <c r="R74" s="31">
        <v>0</v>
      </c>
      <c r="S74" s="9">
        <f t="shared" si="2"/>
        <v>12</v>
      </c>
      <c r="T74" s="8"/>
      <c r="U74" s="16">
        <f t="shared" si="3"/>
        <v>21.8</v>
      </c>
      <c r="V74" s="8"/>
      <c r="W74" s="8"/>
      <c r="X74" s="8"/>
      <c r="Y74" s="8"/>
    </row>
    <row r="75" spans="1:25" x14ac:dyDescent="0.25">
      <c r="A75" s="2">
        <v>74</v>
      </c>
      <c r="B75" s="3" t="s">
        <v>99</v>
      </c>
      <c r="C75" t="s">
        <v>99</v>
      </c>
      <c r="D75" t="s">
        <v>9</v>
      </c>
      <c r="E75" t="s">
        <v>12</v>
      </c>
      <c r="F75" s="31">
        <v>1.86</v>
      </c>
      <c r="G75" s="31">
        <v>1.86</v>
      </c>
      <c r="H75" s="31">
        <v>11.74</v>
      </c>
      <c r="I75" s="31">
        <v>3.46</v>
      </c>
      <c r="J75" s="31">
        <v>0.94</v>
      </c>
      <c r="K75" s="31">
        <v>0.03</v>
      </c>
      <c r="L75" s="31">
        <v>3.8</v>
      </c>
      <c r="M75" s="31">
        <v>5.74</v>
      </c>
      <c r="N75" s="31">
        <v>2.09</v>
      </c>
      <c r="O75" s="31">
        <v>12.29</v>
      </c>
      <c r="P75" s="31">
        <v>0</v>
      </c>
      <c r="Q75" s="31">
        <v>0</v>
      </c>
      <c r="R75" s="31">
        <v>0</v>
      </c>
      <c r="S75" s="9">
        <f t="shared" si="2"/>
        <v>12</v>
      </c>
      <c r="T75" s="8"/>
      <c r="U75" s="16">
        <f t="shared" si="3"/>
        <v>11.74</v>
      </c>
      <c r="V75" s="8"/>
      <c r="W75" s="8"/>
      <c r="X75" s="8"/>
      <c r="Y75" s="8"/>
    </row>
    <row r="76" spans="1:25" x14ac:dyDescent="0.25">
      <c r="A76" s="2">
        <v>75</v>
      </c>
      <c r="B76" s="3" t="s">
        <v>100</v>
      </c>
      <c r="C76" t="s">
        <v>100</v>
      </c>
      <c r="D76" t="s">
        <v>9</v>
      </c>
      <c r="E76">
        <v>1</v>
      </c>
      <c r="F76" s="31">
        <v>3.5</v>
      </c>
      <c r="G76" s="31">
        <v>3.5</v>
      </c>
      <c r="H76" s="31">
        <v>3.54</v>
      </c>
      <c r="I76" s="31">
        <v>0.7</v>
      </c>
      <c r="J76" s="31">
        <v>0.9</v>
      </c>
      <c r="K76" s="31">
        <v>1</v>
      </c>
      <c r="L76" s="31">
        <v>2.23</v>
      </c>
      <c r="M76" s="31">
        <v>2.8</v>
      </c>
      <c r="N76" s="31">
        <v>1.8954694937381191</v>
      </c>
      <c r="O76" s="31">
        <v>3.8328763198940123</v>
      </c>
      <c r="P76" s="31">
        <v>5.284488030690909</v>
      </c>
      <c r="Q76" s="31">
        <v>3.8066157126045255</v>
      </c>
      <c r="R76" s="31">
        <v>5.1958484180333926</v>
      </c>
      <c r="S76" s="9">
        <f t="shared" si="2"/>
        <v>12</v>
      </c>
      <c r="T76" s="8"/>
      <c r="U76" s="16">
        <f t="shared" si="3"/>
        <v>3.54</v>
      </c>
      <c r="V76" s="8"/>
      <c r="W76" s="8"/>
      <c r="X76" s="8"/>
      <c r="Y76" s="8"/>
    </row>
    <row r="77" spans="1:25" x14ac:dyDescent="0.25">
      <c r="A77" s="2">
        <v>76</v>
      </c>
      <c r="B77" s="3" t="s">
        <v>101</v>
      </c>
      <c r="C77" t="s">
        <v>101</v>
      </c>
      <c r="D77" t="s">
        <v>23</v>
      </c>
      <c r="E77">
        <v>1</v>
      </c>
      <c r="F77" s="31">
        <v>1.6</v>
      </c>
      <c r="G77" s="31">
        <v>1.6</v>
      </c>
      <c r="H77" s="31">
        <v>1.0900000000000001</v>
      </c>
      <c r="I77" s="31">
        <v>1</v>
      </c>
      <c r="J77" s="31">
        <v>1</v>
      </c>
      <c r="K77" s="31">
        <v>1.5</v>
      </c>
      <c r="L77" s="31">
        <v>1.57</v>
      </c>
      <c r="M77" s="31">
        <v>2</v>
      </c>
      <c r="N77" s="31">
        <v>2.1576992069452672</v>
      </c>
      <c r="O77" s="31">
        <v>2.6155893022298642</v>
      </c>
      <c r="P77" s="31">
        <v>2.6366311313526012</v>
      </c>
      <c r="Q77" s="31">
        <v>3.1306397418021561</v>
      </c>
      <c r="R77" s="31">
        <v>3.1568628848747267</v>
      </c>
      <c r="S77" s="9">
        <f t="shared" si="2"/>
        <v>12</v>
      </c>
      <c r="T77" s="8"/>
      <c r="U77" s="16">
        <f t="shared" si="3"/>
        <v>1.0900000000000001</v>
      </c>
      <c r="V77" s="8"/>
      <c r="W77" s="8"/>
      <c r="X77" s="8"/>
      <c r="Y77" s="8"/>
    </row>
    <row r="78" spans="1:25" x14ac:dyDescent="0.25">
      <c r="A78" s="2">
        <v>77</v>
      </c>
      <c r="B78" s="3" t="s">
        <v>102</v>
      </c>
      <c r="C78" t="s">
        <v>11</v>
      </c>
      <c r="D78" t="s">
        <v>14</v>
      </c>
      <c r="E78" t="s">
        <v>12</v>
      </c>
      <c r="F78" s="31">
        <v>5.05</v>
      </c>
      <c r="G78" s="31">
        <v>5.05</v>
      </c>
      <c r="H78" s="31">
        <v>12.43</v>
      </c>
      <c r="I78" s="31">
        <v>2.4300000000000002</v>
      </c>
      <c r="J78" s="31">
        <v>10.44</v>
      </c>
      <c r="K78" s="31">
        <v>7.57</v>
      </c>
      <c r="L78" s="31">
        <v>3.17</v>
      </c>
      <c r="M78" s="31">
        <v>6.08</v>
      </c>
      <c r="N78" s="31">
        <v>0.92</v>
      </c>
      <c r="O78" s="31">
        <v>4.22</v>
      </c>
      <c r="P78" s="31">
        <v>0</v>
      </c>
      <c r="Q78" s="31">
        <v>0</v>
      </c>
      <c r="R78" s="31">
        <v>0</v>
      </c>
      <c r="S78" s="9">
        <f t="shared" si="2"/>
        <v>12</v>
      </c>
      <c r="T78" s="8"/>
      <c r="U78" s="16">
        <f t="shared" si="3"/>
        <v>12.43</v>
      </c>
      <c r="V78" s="8"/>
      <c r="W78" s="8"/>
      <c r="X78" s="8"/>
      <c r="Y78" s="8"/>
    </row>
    <row r="79" spans="1:25" x14ac:dyDescent="0.25">
      <c r="A79" s="2">
        <v>78</v>
      </c>
      <c r="B79" s="3" t="s">
        <v>103</v>
      </c>
      <c r="C79" t="s">
        <v>103</v>
      </c>
      <c r="D79" t="s">
        <v>16</v>
      </c>
      <c r="E79">
        <v>1</v>
      </c>
      <c r="F79" s="31">
        <v>7.5</v>
      </c>
      <c r="G79" s="31">
        <v>7.5</v>
      </c>
      <c r="H79" s="31">
        <v>7.45</v>
      </c>
      <c r="I79" s="31">
        <v>7.5</v>
      </c>
      <c r="J79" s="31">
        <v>7.3</v>
      </c>
      <c r="K79" s="31">
        <v>7.3</v>
      </c>
      <c r="L79" s="31">
        <v>9.59</v>
      </c>
      <c r="M79" s="31">
        <v>10.8</v>
      </c>
      <c r="N79" s="31">
        <v>9.9757391842208563</v>
      </c>
      <c r="O79" s="31">
        <v>12.491241793125937</v>
      </c>
      <c r="P79" s="31">
        <v>14.196172295148472</v>
      </c>
      <c r="Q79" s="31">
        <v>14.12693182210819</v>
      </c>
      <c r="R79" s="31">
        <v>15.961155377842942</v>
      </c>
      <c r="S79" s="9">
        <f t="shared" si="2"/>
        <v>12</v>
      </c>
      <c r="T79" s="8"/>
      <c r="U79" s="16">
        <f t="shared" si="3"/>
        <v>7.45</v>
      </c>
      <c r="V79" s="8"/>
      <c r="W79" s="8"/>
      <c r="X79" s="8"/>
      <c r="Y79" s="8"/>
    </row>
    <row r="80" spans="1:25" x14ac:dyDescent="0.25">
      <c r="A80" s="2">
        <v>79</v>
      </c>
      <c r="B80" s="3" t="s">
        <v>104</v>
      </c>
      <c r="C80" t="s">
        <v>104</v>
      </c>
      <c r="D80" t="s">
        <v>25</v>
      </c>
      <c r="E80">
        <v>1</v>
      </c>
      <c r="F80" s="31">
        <v>1.6</v>
      </c>
      <c r="G80" s="31">
        <v>1.6</v>
      </c>
      <c r="H80" s="31">
        <v>1.29</v>
      </c>
      <c r="I80" s="31">
        <v>1.2</v>
      </c>
      <c r="J80" s="31">
        <v>1.2</v>
      </c>
      <c r="K80" s="31">
        <v>1.2</v>
      </c>
      <c r="L80" s="31">
        <v>1.36</v>
      </c>
      <c r="M80" s="31">
        <v>2.5</v>
      </c>
      <c r="N80" s="31">
        <v>2.4327529163828103</v>
      </c>
      <c r="O80" s="31">
        <v>2.7395446685560501</v>
      </c>
      <c r="P80" s="31">
        <v>2.8801690380153104</v>
      </c>
      <c r="Q80" s="31">
        <v>3.3023611271329401</v>
      </c>
      <c r="R80" s="31">
        <v>3.2385261781987538</v>
      </c>
      <c r="S80" s="9">
        <f t="shared" si="2"/>
        <v>12</v>
      </c>
      <c r="T80" s="8"/>
      <c r="U80" s="16">
        <f t="shared" si="3"/>
        <v>1.29</v>
      </c>
      <c r="V80" s="8"/>
      <c r="W80" s="8"/>
      <c r="X80" s="8"/>
      <c r="Y80" s="8"/>
    </row>
    <row r="81" spans="1:25" x14ac:dyDescent="0.25">
      <c r="A81" s="2">
        <v>80</v>
      </c>
      <c r="B81" s="3" t="s">
        <v>105</v>
      </c>
      <c r="C81" t="s">
        <v>105</v>
      </c>
      <c r="D81" t="s">
        <v>9</v>
      </c>
      <c r="E81">
        <v>1</v>
      </c>
      <c r="F81" s="31">
        <v>5.2</v>
      </c>
      <c r="G81" s="31">
        <v>5.2</v>
      </c>
      <c r="H81" s="31">
        <v>5.18</v>
      </c>
      <c r="I81" s="31">
        <v>5.2</v>
      </c>
      <c r="J81" s="31">
        <v>8.3000000000000007</v>
      </c>
      <c r="K81" s="31">
        <v>4</v>
      </c>
      <c r="L81" s="31">
        <v>3.98</v>
      </c>
      <c r="M81" s="31">
        <v>4.3</v>
      </c>
      <c r="N81" s="31">
        <v>3.4866019322469128</v>
      </c>
      <c r="O81" s="31">
        <v>2.8983336034830245</v>
      </c>
      <c r="P81" s="31">
        <v>1.6745465871854321</v>
      </c>
      <c r="Q81" s="31">
        <v>2.5874999110292265</v>
      </c>
      <c r="R81" s="31">
        <v>0.77391348881246813</v>
      </c>
      <c r="S81" s="9">
        <f t="shared" si="2"/>
        <v>12</v>
      </c>
      <c r="T81" s="8"/>
      <c r="U81" s="16">
        <f t="shared" si="3"/>
        <v>5.18</v>
      </c>
      <c r="V81" s="8"/>
      <c r="W81" s="8"/>
      <c r="X81" s="8"/>
      <c r="Y81" s="8"/>
    </row>
    <row r="82" spans="1:25" x14ac:dyDescent="0.25">
      <c r="A82" s="2">
        <v>81</v>
      </c>
      <c r="B82" s="3" t="s">
        <v>106</v>
      </c>
      <c r="C82" t="s">
        <v>106</v>
      </c>
      <c r="D82" t="s">
        <v>25</v>
      </c>
      <c r="E82">
        <v>1</v>
      </c>
      <c r="F82" s="31">
        <v>3.4</v>
      </c>
      <c r="G82" s="31">
        <v>3.4</v>
      </c>
      <c r="H82" s="31">
        <v>3.4</v>
      </c>
      <c r="I82" s="31">
        <v>3</v>
      </c>
      <c r="J82" s="31">
        <v>3.8</v>
      </c>
      <c r="K82" s="31">
        <v>3.3</v>
      </c>
      <c r="L82" s="31">
        <v>4.72</v>
      </c>
      <c r="M82" s="31">
        <v>2.5</v>
      </c>
      <c r="N82" s="31">
        <v>3.4435727463428236</v>
      </c>
      <c r="O82" s="31">
        <v>3.4330312196625172</v>
      </c>
      <c r="P82" s="31">
        <v>3.4394081250292814</v>
      </c>
      <c r="Q82" s="31">
        <v>3.4177249262400764</v>
      </c>
      <c r="R82" s="31">
        <v>3.4109960121707381</v>
      </c>
      <c r="S82" s="9">
        <f t="shared" si="2"/>
        <v>12</v>
      </c>
      <c r="T82" s="8"/>
      <c r="U82" s="16">
        <f t="shared" si="3"/>
        <v>3.4</v>
      </c>
      <c r="V82" s="8"/>
      <c r="W82" s="8"/>
      <c r="X82" s="8"/>
      <c r="Y82" s="8"/>
    </row>
    <row r="83" spans="1:25" x14ac:dyDescent="0.25">
      <c r="A83" s="2">
        <v>82</v>
      </c>
      <c r="B83" s="3" t="s">
        <v>107</v>
      </c>
      <c r="C83" t="s">
        <v>107</v>
      </c>
      <c r="D83" t="s">
        <v>14</v>
      </c>
      <c r="E83">
        <v>1</v>
      </c>
      <c r="F83" s="31">
        <v>9.1999999999999993</v>
      </c>
      <c r="G83" s="31">
        <v>9.1999999999999993</v>
      </c>
      <c r="H83" s="31">
        <v>6.08</v>
      </c>
      <c r="I83" s="31">
        <v>10.5</v>
      </c>
      <c r="J83" s="31">
        <v>9.6999999999999993</v>
      </c>
      <c r="K83" s="31">
        <v>8.9</v>
      </c>
      <c r="L83" s="31">
        <v>7.6</v>
      </c>
      <c r="M83" s="31">
        <v>12.3</v>
      </c>
      <c r="N83" s="31">
        <v>10.088054017663922</v>
      </c>
      <c r="O83" s="31">
        <v>10.245097758531927</v>
      </c>
      <c r="P83" s="31">
        <v>10.192645463840222</v>
      </c>
      <c r="Q83" s="31">
        <v>10.267632122013595</v>
      </c>
      <c r="R83" s="31">
        <v>10.900531236045197</v>
      </c>
      <c r="S83" s="9">
        <f t="shared" si="2"/>
        <v>12</v>
      </c>
      <c r="T83" s="8"/>
      <c r="U83" s="16">
        <f t="shared" si="3"/>
        <v>6.08</v>
      </c>
      <c r="V83" s="8"/>
      <c r="W83" s="8"/>
      <c r="X83" s="8"/>
      <c r="Y83" s="8"/>
    </row>
    <row r="84" spans="1:25" x14ac:dyDescent="0.25">
      <c r="A84" s="2">
        <v>83</v>
      </c>
      <c r="B84" s="3" t="s">
        <v>108</v>
      </c>
      <c r="C84" t="s">
        <v>108</v>
      </c>
      <c r="D84" t="s">
        <v>7</v>
      </c>
      <c r="E84" t="s">
        <v>12</v>
      </c>
      <c r="F84" s="31">
        <v>11.76</v>
      </c>
      <c r="G84" s="31">
        <v>11.76</v>
      </c>
      <c r="H84" s="31">
        <v>6.27</v>
      </c>
      <c r="I84" s="31">
        <v>7.12</v>
      </c>
      <c r="J84" s="31">
        <v>7.1</v>
      </c>
      <c r="K84" s="31">
        <v>7.1</v>
      </c>
      <c r="L84" s="31">
        <v>7.1</v>
      </c>
      <c r="M84" s="31">
        <v>7.1</v>
      </c>
      <c r="N84" s="31">
        <v>2.23</v>
      </c>
      <c r="O84" s="31">
        <v>7.27</v>
      </c>
      <c r="P84" s="31">
        <v>0</v>
      </c>
      <c r="Q84" s="31">
        <v>0</v>
      </c>
      <c r="R84" s="31">
        <v>0</v>
      </c>
      <c r="S84" s="9">
        <f t="shared" si="2"/>
        <v>12</v>
      </c>
      <c r="T84" s="8"/>
      <c r="U84" s="16">
        <f t="shared" si="3"/>
        <v>6.27</v>
      </c>
      <c r="V84" s="8"/>
      <c r="W84" s="8"/>
      <c r="X84" s="8"/>
      <c r="Y84" s="8"/>
    </row>
    <row r="85" spans="1:25" x14ac:dyDescent="0.25">
      <c r="A85" s="2">
        <v>84</v>
      </c>
      <c r="B85" s="3" t="s">
        <v>109</v>
      </c>
      <c r="C85" t="s">
        <v>109</v>
      </c>
      <c r="D85" t="s">
        <v>9</v>
      </c>
      <c r="E85">
        <v>1</v>
      </c>
      <c r="F85" s="31">
        <v>4.0999999999999996</v>
      </c>
      <c r="G85" s="31">
        <v>4.0999999999999996</v>
      </c>
      <c r="H85" s="31">
        <v>4.13</v>
      </c>
      <c r="I85" s="31">
        <v>4.4000000000000004</v>
      </c>
      <c r="J85" s="31">
        <v>3.9</v>
      </c>
      <c r="K85" s="31">
        <v>3.2</v>
      </c>
      <c r="L85" s="31">
        <v>2.96</v>
      </c>
      <c r="M85" s="31">
        <v>3</v>
      </c>
      <c r="N85" s="31">
        <v>2.4085057189771533</v>
      </c>
      <c r="O85" s="31">
        <v>1.7531420544811454</v>
      </c>
      <c r="P85" s="31">
        <v>1.8953708810469152</v>
      </c>
      <c r="Q85" s="31">
        <v>1.2441421482739088</v>
      </c>
      <c r="R85" s="31">
        <v>0.88555370243386733</v>
      </c>
      <c r="S85" s="9">
        <f t="shared" si="2"/>
        <v>12</v>
      </c>
      <c r="T85" s="8"/>
      <c r="U85" s="16">
        <f t="shared" si="3"/>
        <v>4.13</v>
      </c>
      <c r="V85" s="8"/>
      <c r="W85" s="8"/>
      <c r="X85" s="8"/>
      <c r="Y85" s="8"/>
    </row>
    <row r="86" spans="1:25" x14ac:dyDescent="0.25">
      <c r="A86" s="2">
        <v>85</v>
      </c>
      <c r="B86" s="3" t="s">
        <v>110</v>
      </c>
      <c r="C86" t="s">
        <v>110</v>
      </c>
      <c r="D86" t="s">
        <v>25</v>
      </c>
      <c r="E86" t="s">
        <v>12</v>
      </c>
      <c r="F86" s="31">
        <v>13.2</v>
      </c>
      <c r="G86" s="31">
        <v>13.2</v>
      </c>
      <c r="H86" s="31">
        <v>13.2</v>
      </c>
      <c r="I86" s="31">
        <v>13.2</v>
      </c>
      <c r="J86" s="31">
        <v>13.2</v>
      </c>
      <c r="K86" s="31">
        <v>13.54</v>
      </c>
      <c r="L86" s="31">
        <v>12.13</v>
      </c>
      <c r="M86" s="31">
        <v>9.82</v>
      </c>
      <c r="N86" s="31">
        <v>2.37</v>
      </c>
      <c r="O86" s="31">
        <v>7.18</v>
      </c>
      <c r="P86" s="31">
        <v>0</v>
      </c>
      <c r="Q86" s="31">
        <v>0</v>
      </c>
      <c r="R86" s="31">
        <v>0</v>
      </c>
      <c r="S86" s="9">
        <f t="shared" si="2"/>
        <v>12</v>
      </c>
      <c r="T86" s="8"/>
      <c r="U86" s="16">
        <f t="shared" si="3"/>
        <v>13.2</v>
      </c>
      <c r="V86" s="8"/>
      <c r="W86" s="8"/>
      <c r="X86" s="8"/>
      <c r="Y86" s="8"/>
    </row>
    <row r="87" spans="1:25" x14ac:dyDescent="0.25">
      <c r="A87" s="2">
        <v>86</v>
      </c>
      <c r="B87" s="3" t="s">
        <v>111</v>
      </c>
      <c r="C87" t="s">
        <v>111</v>
      </c>
      <c r="D87" t="s">
        <v>23</v>
      </c>
      <c r="E87">
        <v>1</v>
      </c>
      <c r="F87" s="31">
        <v>1.6</v>
      </c>
      <c r="G87" s="31">
        <v>1.6</v>
      </c>
      <c r="H87" s="31">
        <v>1.0900000000000001</v>
      </c>
      <c r="I87" s="31">
        <v>1</v>
      </c>
      <c r="J87" s="31">
        <v>1</v>
      </c>
      <c r="K87" s="31">
        <v>1.5</v>
      </c>
      <c r="L87" s="31">
        <v>1.57</v>
      </c>
      <c r="M87" s="31">
        <v>2</v>
      </c>
      <c r="N87" s="31">
        <v>2.113455884985683</v>
      </c>
      <c r="O87" s="31">
        <v>2.3802052880949987</v>
      </c>
      <c r="P87" s="31">
        <v>2.6223196873247616</v>
      </c>
      <c r="Q87" s="31">
        <v>2.9745595427588114</v>
      </c>
      <c r="R87" s="31">
        <v>3.2432552707072091</v>
      </c>
      <c r="S87" s="9">
        <f t="shared" si="2"/>
        <v>12</v>
      </c>
      <c r="T87" s="8"/>
      <c r="U87" s="16">
        <f t="shared" si="3"/>
        <v>1.0900000000000001</v>
      </c>
      <c r="V87" s="8"/>
      <c r="W87" s="8"/>
      <c r="X87" s="8"/>
      <c r="Y87" s="8"/>
    </row>
    <row r="88" spans="1:25" x14ac:dyDescent="0.25">
      <c r="A88" s="2">
        <v>87</v>
      </c>
      <c r="B88" s="3" t="s">
        <v>112</v>
      </c>
      <c r="C88" t="s">
        <v>112</v>
      </c>
      <c r="D88" t="s">
        <v>9</v>
      </c>
      <c r="E88">
        <v>1</v>
      </c>
      <c r="F88" s="31">
        <v>4.8</v>
      </c>
      <c r="G88" s="31">
        <v>4.8</v>
      </c>
      <c r="H88" s="31">
        <v>7.1</v>
      </c>
      <c r="I88" s="31">
        <v>7.1</v>
      </c>
      <c r="J88" s="31">
        <v>7.1</v>
      </c>
      <c r="K88" s="31">
        <v>2.8</v>
      </c>
      <c r="L88" s="31">
        <v>2.77</v>
      </c>
      <c r="M88" s="31">
        <v>3</v>
      </c>
      <c r="N88" s="31">
        <v>0.7805389270656633</v>
      </c>
      <c r="O88" s="31">
        <v>1.71</v>
      </c>
      <c r="P88" s="31">
        <v>0</v>
      </c>
      <c r="Q88" s="31">
        <v>0</v>
      </c>
      <c r="R88" s="31">
        <v>0</v>
      </c>
      <c r="S88" s="9">
        <f t="shared" si="2"/>
        <v>12</v>
      </c>
      <c r="T88" s="8"/>
      <c r="U88" s="16">
        <f t="shared" si="3"/>
        <v>7.1</v>
      </c>
      <c r="V88" s="8"/>
      <c r="W88" s="8"/>
      <c r="X88" s="8"/>
      <c r="Y88" s="8"/>
    </row>
    <row r="89" spans="1:25" x14ac:dyDescent="0.25">
      <c r="A89" s="2">
        <v>88</v>
      </c>
      <c r="B89" s="3" t="s">
        <v>113</v>
      </c>
      <c r="C89" t="s">
        <v>113</v>
      </c>
      <c r="D89" t="s">
        <v>14</v>
      </c>
      <c r="E89">
        <v>1</v>
      </c>
      <c r="F89" s="31">
        <v>10.5</v>
      </c>
      <c r="G89" s="31">
        <v>10.5</v>
      </c>
      <c r="H89" s="31">
        <v>10.7</v>
      </c>
      <c r="I89" s="31">
        <v>12.7</v>
      </c>
      <c r="J89" s="31">
        <v>2.1</v>
      </c>
      <c r="K89" s="31">
        <v>2.4</v>
      </c>
      <c r="L89" s="31">
        <v>8.24</v>
      </c>
      <c r="M89" s="31">
        <v>2</v>
      </c>
      <c r="N89" s="31">
        <v>0.65582479164322649</v>
      </c>
      <c r="O89" s="31">
        <v>4.2233532283848945</v>
      </c>
      <c r="P89" s="31">
        <v>0</v>
      </c>
      <c r="Q89" s="31">
        <v>0.52291488337732517</v>
      </c>
      <c r="R89" s="31">
        <v>0</v>
      </c>
      <c r="S89" s="9">
        <f t="shared" si="2"/>
        <v>12</v>
      </c>
      <c r="T89" s="8"/>
      <c r="U89" s="16">
        <f t="shared" si="3"/>
        <v>10.7</v>
      </c>
      <c r="V89" s="8"/>
      <c r="W89" s="8"/>
      <c r="X89" s="8"/>
      <c r="Y89" s="8"/>
    </row>
    <row r="90" spans="1:25" x14ac:dyDescent="0.25">
      <c r="A90" s="2">
        <v>89</v>
      </c>
      <c r="B90" s="3" t="s">
        <v>114</v>
      </c>
      <c r="C90" t="s">
        <v>114</v>
      </c>
      <c r="D90" t="s">
        <v>14</v>
      </c>
      <c r="E90">
        <v>1</v>
      </c>
      <c r="F90" s="31">
        <v>11.8</v>
      </c>
      <c r="G90" s="31">
        <v>11.8</v>
      </c>
      <c r="H90" s="31">
        <v>10.44</v>
      </c>
      <c r="I90" s="31">
        <v>5.3</v>
      </c>
      <c r="J90" s="31">
        <v>6.1</v>
      </c>
      <c r="K90" s="31">
        <v>6.1</v>
      </c>
      <c r="L90" s="31">
        <v>12.44</v>
      </c>
      <c r="M90" s="31">
        <v>12.44</v>
      </c>
      <c r="N90" s="31">
        <v>12.852737166212137</v>
      </c>
      <c r="O90" s="31">
        <v>15.687081827914881</v>
      </c>
      <c r="P90" s="31">
        <v>15.857932478318617</v>
      </c>
      <c r="Q90" s="31">
        <v>18.041969686359153</v>
      </c>
      <c r="R90" s="31">
        <v>27.5369121008207</v>
      </c>
      <c r="S90" s="9">
        <f t="shared" si="2"/>
        <v>12</v>
      </c>
      <c r="T90" s="8"/>
      <c r="U90" s="16">
        <f t="shared" si="3"/>
        <v>10.44</v>
      </c>
      <c r="V90" s="8"/>
      <c r="W90" s="8"/>
      <c r="X90" s="8"/>
      <c r="Y90" s="8"/>
    </row>
    <row r="91" spans="1:25" x14ac:dyDescent="0.25">
      <c r="A91" s="2">
        <v>90</v>
      </c>
      <c r="B91" s="3" t="s">
        <v>115</v>
      </c>
      <c r="C91" t="s">
        <v>115</v>
      </c>
      <c r="D91" t="s">
        <v>9</v>
      </c>
      <c r="E91">
        <v>1</v>
      </c>
      <c r="F91" s="31">
        <v>3.43</v>
      </c>
      <c r="G91" s="31">
        <v>3.43</v>
      </c>
      <c r="H91" s="31">
        <v>2.77</v>
      </c>
      <c r="I91" s="31">
        <v>2.3199999999999998</v>
      </c>
      <c r="J91" s="31">
        <v>8.34</v>
      </c>
      <c r="K91" s="31">
        <v>4.66</v>
      </c>
      <c r="L91" s="31">
        <v>3.57</v>
      </c>
      <c r="M91" s="31">
        <v>5.64</v>
      </c>
      <c r="N91" s="31">
        <v>1.91</v>
      </c>
      <c r="O91" s="31">
        <v>14.34</v>
      </c>
      <c r="P91" s="31">
        <v>0</v>
      </c>
      <c r="Q91" s="31">
        <v>0</v>
      </c>
      <c r="R91" s="31">
        <v>0</v>
      </c>
      <c r="S91" s="9">
        <f t="shared" si="2"/>
        <v>12</v>
      </c>
      <c r="T91" s="8"/>
      <c r="U91" s="16">
        <f t="shared" si="3"/>
        <v>2.77</v>
      </c>
      <c r="V91" s="8"/>
      <c r="W91" s="8"/>
      <c r="X91" s="8"/>
      <c r="Y91" s="8"/>
    </row>
    <row r="92" spans="1:25" x14ac:dyDescent="0.25">
      <c r="A92" s="2">
        <v>91</v>
      </c>
      <c r="B92" s="3" t="s">
        <v>116</v>
      </c>
      <c r="C92" t="s">
        <v>116</v>
      </c>
      <c r="D92" t="s">
        <v>7</v>
      </c>
      <c r="E92" t="s">
        <v>12</v>
      </c>
      <c r="F92" s="31">
        <v>4.38</v>
      </c>
      <c r="G92" s="31">
        <v>4.38</v>
      </c>
      <c r="H92" s="31">
        <v>5.97</v>
      </c>
      <c r="I92" s="31">
        <v>15.96</v>
      </c>
      <c r="J92" s="31">
        <v>0.42</v>
      </c>
      <c r="K92" s="31">
        <v>7.37</v>
      </c>
      <c r="L92" s="31">
        <v>2.63</v>
      </c>
      <c r="M92" s="31">
        <v>5.04</v>
      </c>
      <c r="N92" s="31">
        <v>1.71</v>
      </c>
      <c r="O92" s="31">
        <v>1.71</v>
      </c>
      <c r="P92" s="31">
        <v>0</v>
      </c>
      <c r="Q92" s="31">
        <v>0</v>
      </c>
      <c r="R92" s="31">
        <v>0</v>
      </c>
      <c r="S92" s="9">
        <f t="shared" si="2"/>
        <v>12</v>
      </c>
      <c r="T92" s="8"/>
      <c r="U92" s="16">
        <f t="shared" si="3"/>
        <v>5.97</v>
      </c>
      <c r="V92" s="8"/>
      <c r="W92" s="8"/>
      <c r="X92" s="8"/>
      <c r="Y92" s="8"/>
    </row>
    <row r="93" spans="1:25" x14ac:dyDescent="0.25">
      <c r="A93" s="2">
        <v>92</v>
      </c>
      <c r="B93" s="3" t="s">
        <v>117</v>
      </c>
      <c r="C93" t="s">
        <v>117</v>
      </c>
      <c r="D93" t="s">
        <v>23</v>
      </c>
      <c r="E93">
        <v>1</v>
      </c>
      <c r="F93" s="31">
        <v>1.6</v>
      </c>
      <c r="G93" s="31">
        <v>1.6</v>
      </c>
      <c r="H93" s="31">
        <v>1.0900000000000001</v>
      </c>
      <c r="I93" s="31">
        <v>1</v>
      </c>
      <c r="J93" s="31">
        <v>1</v>
      </c>
      <c r="K93" s="31">
        <v>1.5</v>
      </c>
      <c r="L93" s="31">
        <v>1.57</v>
      </c>
      <c r="M93" s="31">
        <v>2</v>
      </c>
      <c r="N93" s="31">
        <v>2.0692310540592871</v>
      </c>
      <c r="O93" s="31">
        <v>2.2942402466946987</v>
      </c>
      <c r="P93" s="31">
        <v>2.6018487304081646</v>
      </c>
      <c r="Q93" s="31">
        <v>3.0191538568875558</v>
      </c>
      <c r="R93" s="31">
        <v>3.1367804580312395</v>
      </c>
      <c r="S93" s="9">
        <f t="shared" si="2"/>
        <v>12</v>
      </c>
      <c r="T93" s="8"/>
      <c r="U93" s="16">
        <f t="shared" si="3"/>
        <v>1.0900000000000001</v>
      </c>
      <c r="V93" s="8"/>
      <c r="W93" s="8"/>
      <c r="X93" s="8"/>
      <c r="Y93" s="8"/>
    </row>
    <row r="94" spans="1:25" x14ac:dyDescent="0.25">
      <c r="A94" s="2">
        <v>93</v>
      </c>
      <c r="B94" s="3" t="s">
        <v>118</v>
      </c>
      <c r="C94" t="s">
        <v>118</v>
      </c>
      <c r="D94" t="s">
        <v>23</v>
      </c>
      <c r="E94">
        <v>1</v>
      </c>
      <c r="F94" s="31">
        <v>1.6</v>
      </c>
      <c r="G94" s="31">
        <v>1.6</v>
      </c>
      <c r="H94" s="31">
        <v>1.0900000000000001</v>
      </c>
      <c r="I94" s="31">
        <v>1</v>
      </c>
      <c r="J94" s="31">
        <v>1</v>
      </c>
      <c r="K94" s="31">
        <v>1.5</v>
      </c>
      <c r="L94" s="31">
        <v>1.57</v>
      </c>
      <c r="M94" s="31">
        <v>2</v>
      </c>
      <c r="N94" s="31">
        <v>2.2074192970383137</v>
      </c>
      <c r="O94" s="31">
        <v>2.6504504127958626</v>
      </c>
      <c r="P94" s="31">
        <v>3.0760820344908097</v>
      </c>
      <c r="Q94" s="31">
        <v>2.8198607035257055</v>
      </c>
      <c r="R94" s="31">
        <v>3.3501703399663256</v>
      </c>
      <c r="S94" s="9">
        <f t="shared" si="2"/>
        <v>12</v>
      </c>
      <c r="T94" s="8"/>
      <c r="U94" s="16">
        <f t="shared" si="3"/>
        <v>1.0900000000000001</v>
      </c>
      <c r="V94" s="8"/>
      <c r="W94" s="8"/>
      <c r="X94" s="8"/>
      <c r="Y94" s="8"/>
    </row>
    <row r="95" spans="1:25" x14ac:dyDescent="0.25">
      <c r="A95" s="2">
        <v>94</v>
      </c>
      <c r="B95" s="3" t="s">
        <v>119</v>
      </c>
      <c r="C95" t="s">
        <v>119</v>
      </c>
      <c r="D95" t="s">
        <v>14</v>
      </c>
      <c r="E95">
        <v>1</v>
      </c>
      <c r="F95" s="31">
        <v>7.7</v>
      </c>
      <c r="G95" s="31">
        <v>7.7</v>
      </c>
      <c r="H95" s="31">
        <v>6.12</v>
      </c>
      <c r="I95" s="31">
        <v>9.1</v>
      </c>
      <c r="J95" s="31">
        <v>6.4</v>
      </c>
      <c r="K95" s="31">
        <v>6</v>
      </c>
      <c r="L95" s="31">
        <v>5.99</v>
      </c>
      <c r="M95" s="31">
        <v>7.9</v>
      </c>
      <c r="N95" s="31">
        <v>6.1747333406309508</v>
      </c>
      <c r="O95" s="31">
        <v>6.0581031045370537</v>
      </c>
      <c r="P95" s="31">
        <v>5.7951010933162479</v>
      </c>
      <c r="Q95" s="31">
        <v>5.6705856523018383</v>
      </c>
      <c r="R95" s="31">
        <v>4.1890543648369203</v>
      </c>
      <c r="S95" s="9">
        <f t="shared" si="2"/>
        <v>12</v>
      </c>
      <c r="T95" s="8"/>
      <c r="U95" s="16">
        <f t="shared" si="3"/>
        <v>6.12</v>
      </c>
      <c r="V95" s="8"/>
      <c r="W95" s="8"/>
      <c r="X95" s="8"/>
      <c r="Y95" s="8"/>
    </row>
    <row r="96" spans="1:25" x14ac:dyDescent="0.25">
      <c r="A96" s="2">
        <v>95</v>
      </c>
      <c r="B96" s="3" t="s">
        <v>120</v>
      </c>
      <c r="C96" t="s">
        <v>120</v>
      </c>
      <c r="D96" t="s">
        <v>14</v>
      </c>
      <c r="E96">
        <v>1</v>
      </c>
      <c r="F96" s="31">
        <v>6.6</v>
      </c>
      <c r="G96" s="31">
        <v>6.6</v>
      </c>
      <c r="H96" s="31">
        <v>6.16</v>
      </c>
      <c r="I96" s="31">
        <v>6.4</v>
      </c>
      <c r="J96" s="31">
        <v>3.8</v>
      </c>
      <c r="K96" s="31">
        <v>4.8</v>
      </c>
      <c r="L96" s="31">
        <v>4.24</v>
      </c>
      <c r="M96" s="31">
        <v>4.8</v>
      </c>
      <c r="N96" s="31">
        <v>3.9524557188922245</v>
      </c>
      <c r="O96" s="31">
        <v>3.7904043930901707</v>
      </c>
      <c r="P96" s="31">
        <v>3.6401468852021708</v>
      </c>
      <c r="Q96" s="31">
        <v>3.243185352916953</v>
      </c>
      <c r="R96" s="31">
        <v>2.8558782999385812</v>
      </c>
      <c r="S96" s="9">
        <f t="shared" si="2"/>
        <v>12</v>
      </c>
      <c r="T96" s="8"/>
      <c r="U96" s="16">
        <f t="shared" si="3"/>
        <v>6.16</v>
      </c>
      <c r="V96" s="8"/>
      <c r="W96" s="8"/>
      <c r="X96" s="8"/>
      <c r="Y96" s="8"/>
    </row>
    <row r="97" spans="1:25" x14ac:dyDescent="0.25">
      <c r="A97" s="2">
        <v>96</v>
      </c>
      <c r="B97" s="3" t="s">
        <v>121</v>
      </c>
      <c r="C97" t="s">
        <v>121</v>
      </c>
      <c r="D97" t="s">
        <v>25</v>
      </c>
      <c r="E97">
        <v>1</v>
      </c>
      <c r="F97" s="31">
        <v>4</v>
      </c>
      <c r="G97" s="31">
        <v>4</v>
      </c>
      <c r="H97" s="31">
        <v>4.3</v>
      </c>
      <c r="I97" s="31">
        <v>5</v>
      </c>
      <c r="J97" s="31">
        <v>4.3</v>
      </c>
      <c r="K97" s="31">
        <v>4.4000000000000004</v>
      </c>
      <c r="L97" s="31">
        <v>1.28</v>
      </c>
      <c r="M97" s="31">
        <v>4</v>
      </c>
      <c r="N97" s="31">
        <v>1.9689852010436653</v>
      </c>
      <c r="O97" s="31">
        <v>1.5691576146338093</v>
      </c>
      <c r="P97" s="31">
        <v>0.60962809991406175</v>
      </c>
      <c r="Q97" s="31">
        <v>0.59634113605238781</v>
      </c>
      <c r="R97" s="31">
        <v>0.25011126438346309</v>
      </c>
      <c r="S97" s="9">
        <f t="shared" si="2"/>
        <v>12</v>
      </c>
      <c r="T97" s="8"/>
      <c r="U97" s="16">
        <f t="shared" si="3"/>
        <v>4.3</v>
      </c>
      <c r="V97" s="8"/>
      <c r="W97" s="8"/>
      <c r="X97" s="8"/>
      <c r="Y97" s="8"/>
    </row>
    <row r="98" spans="1:25" x14ac:dyDescent="0.25">
      <c r="A98" s="2">
        <v>97</v>
      </c>
      <c r="B98" s="3" t="s">
        <v>122</v>
      </c>
      <c r="C98" t="s">
        <v>122</v>
      </c>
      <c r="D98" t="s">
        <v>25</v>
      </c>
      <c r="E98" t="s">
        <v>12</v>
      </c>
      <c r="F98" s="31">
        <v>20.6</v>
      </c>
      <c r="G98" s="31">
        <v>20.6</v>
      </c>
      <c r="H98" s="31">
        <v>20.6</v>
      </c>
      <c r="I98" s="31">
        <v>21.1</v>
      </c>
      <c r="J98" s="31">
        <v>21.1</v>
      </c>
      <c r="K98" s="31">
        <v>21.1</v>
      </c>
      <c r="L98" s="31">
        <v>20.8</v>
      </c>
      <c r="M98" s="31">
        <v>11.2</v>
      </c>
      <c r="N98" s="31">
        <v>2.13</v>
      </c>
      <c r="O98" s="31">
        <v>6.77</v>
      </c>
      <c r="P98" s="31">
        <v>0</v>
      </c>
      <c r="Q98" s="31">
        <v>0</v>
      </c>
      <c r="R98" s="31">
        <v>0</v>
      </c>
      <c r="S98" s="9">
        <f t="shared" si="2"/>
        <v>12</v>
      </c>
      <c r="T98" s="8"/>
      <c r="U98" s="16">
        <f t="shared" si="3"/>
        <v>20.6</v>
      </c>
      <c r="V98" s="8"/>
      <c r="W98" s="8"/>
      <c r="X98" s="8"/>
      <c r="Y98" s="8"/>
    </row>
    <row r="99" spans="1:25" x14ac:dyDescent="0.25">
      <c r="A99" s="2">
        <v>98</v>
      </c>
      <c r="B99" s="3" t="s">
        <v>123</v>
      </c>
      <c r="C99" t="s">
        <v>123</v>
      </c>
      <c r="D99" t="s">
        <v>14</v>
      </c>
      <c r="E99">
        <v>1</v>
      </c>
      <c r="F99" s="31">
        <v>8.4</v>
      </c>
      <c r="G99" s="31">
        <v>8.4</v>
      </c>
      <c r="H99" s="31">
        <v>8.4</v>
      </c>
      <c r="I99" s="31">
        <v>8.4</v>
      </c>
      <c r="J99" s="31">
        <v>7.4</v>
      </c>
      <c r="K99" s="31">
        <v>7.4</v>
      </c>
      <c r="L99" s="31">
        <v>10.64</v>
      </c>
      <c r="M99" s="31">
        <v>7.6</v>
      </c>
      <c r="N99" s="31">
        <v>8.8048994325259855</v>
      </c>
      <c r="O99" s="31">
        <v>9.0586482990839272</v>
      </c>
      <c r="P99" s="31">
        <v>9.3316261445166901</v>
      </c>
      <c r="Q99" s="31">
        <v>9.2531475640869303</v>
      </c>
      <c r="R99" s="31">
        <v>9.6263937813014309</v>
      </c>
      <c r="S99" s="9">
        <f t="shared" si="2"/>
        <v>12</v>
      </c>
      <c r="T99" s="8"/>
      <c r="U99" s="16">
        <f t="shared" si="3"/>
        <v>8.4</v>
      </c>
      <c r="V99" s="8"/>
      <c r="W99" s="8"/>
      <c r="X99" s="8"/>
      <c r="Y99" s="8"/>
    </row>
    <row r="100" spans="1:25" x14ac:dyDescent="0.25">
      <c r="A100" s="2">
        <v>99</v>
      </c>
      <c r="B100" s="3" t="s">
        <v>124</v>
      </c>
      <c r="C100" t="s">
        <v>124</v>
      </c>
      <c r="D100" t="s">
        <v>23</v>
      </c>
      <c r="E100">
        <v>1</v>
      </c>
      <c r="F100" s="31">
        <v>1.6</v>
      </c>
      <c r="G100" s="31">
        <v>1.6</v>
      </c>
      <c r="H100" s="31">
        <v>1.0900000000000001</v>
      </c>
      <c r="I100" s="31">
        <v>1</v>
      </c>
      <c r="J100" s="31">
        <v>1</v>
      </c>
      <c r="K100" s="31">
        <v>1.5</v>
      </c>
      <c r="L100" s="31">
        <v>1.57</v>
      </c>
      <c r="M100" s="31">
        <v>2</v>
      </c>
      <c r="N100" s="31">
        <v>2.0534342379505688</v>
      </c>
      <c r="O100" s="31">
        <v>2.2217378834916417</v>
      </c>
      <c r="P100" s="31">
        <v>2.7765901482943036</v>
      </c>
      <c r="Q100" s="31">
        <v>2.6270881355668507</v>
      </c>
      <c r="R100" s="31">
        <v>3.2195858230238628</v>
      </c>
      <c r="S100" s="9">
        <f t="shared" si="2"/>
        <v>12</v>
      </c>
      <c r="T100" s="8"/>
      <c r="U100" s="16">
        <f t="shared" si="3"/>
        <v>1.0900000000000001</v>
      </c>
      <c r="V100" s="8"/>
      <c r="W100" s="8"/>
      <c r="X100" s="8"/>
      <c r="Y100" s="8"/>
    </row>
    <row r="101" spans="1:25" x14ac:dyDescent="0.25">
      <c r="A101" s="2">
        <v>100</v>
      </c>
      <c r="B101" s="3" t="s">
        <v>125</v>
      </c>
      <c r="C101" t="s">
        <v>11</v>
      </c>
      <c r="D101" t="s">
        <v>16</v>
      </c>
      <c r="E101" t="s">
        <v>12</v>
      </c>
      <c r="F101" s="31">
        <v>10.47</v>
      </c>
      <c r="G101" s="31">
        <v>10.47</v>
      </c>
      <c r="H101" s="31">
        <v>3.43</v>
      </c>
      <c r="I101" s="31">
        <v>0.94</v>
      </c>
      <c r="J101" s="31">
        <v>4.72</v>
      </c>
      <c r="K101" s="31">
        <v>0.61</v>
      </c>
      <c r="L101" s="31">
        <v>6.03</v>
      </c>
      <c r="M101" s="31">
        <v>6.08</v>
      </c>
      <c r="N101" s="31">
        <v>0.81</v>
      </c>
      <c r="O101" s="31">
        <v>7.72</v>
      </c>
      <c r="P101" s="31">
        <v>0</v>
      </c>
      <c r="Q101" s="31">
        <v>0</v>
      </c>
      <c r="R101" s="31">
        <v>0</v>
      </c>
      <c r="S101" s="9">
        <f t="shared" si="2"/>
        <v>12</v>
      </c>
      <c r="T101" s="8"/>
      <c r="U101" s="16">
        <f t="shared" si="3"/>
        <v>3.43</v>
      </c>
      <c r="V101" s="8"/>
      <c r="W101" s="8"/>
      <c r="X101" s="8"/>
      <c r="Y101" s="8"/>
    </row>
    <row r="102" spans="1:25" x14ac:dyDescent="0.25">
      <c r="A102" s="2">
        <v>101</v>
      </c>
      <c r="B102" s="3" t="s">
        <v>126</v>
      </c>
      <c r="C102" t="s">
        <v>126</v>
      </c>
      <c r="D102" t="s">
        <v>14</v>
      </c>
      <c r="E102">
        <v>1</v>
      </c>
      <c r="F102" s="31">
        <v>10.1</v>
      </c>
      <c r="G102" s="31">
        <v>10.1</v>
      </c>
      <c r="H102" s="31">
        <v>8</v>
      </c>
      <c r="I102" s="31">
        <v>8</v>
      </c>
      <c r="J102" s="31">
        <v>8</v>
      </c>
      <c r="K102" s="31">
        <v>11.4</v>
      </c>
      <c r="L102" s="31">
        <v>11.74</v>
      </c>
      <c r="M102" s="31">
        <v>8.6999999999999993</v>
      </c>
      <c r="N102" s="31">
        <v>10.357552507215587</v>
      </c>
      <c r="O102" s="31">
        <v>11.796530296606761</v>
      </c>
      <c r="P102" s="31">
        <v>12.448076153891861</v>
      </c>
      <c r="Q102" s="31">
        <v>12.816986425570121</v>
      </c>
      <c r="R102" s="31">
        <v>13.179645818918971</v>
      </c>
      <c r="S102" s="9">
        <f t="shared" si="2"/>
        <v>12</v>
      </c>
      <c r="T102" s="8"/>
      <c r="U102" s="16">
        <f t="shared" si="3"/>
        <v>8</v>
      </c>
      <c r="V102" s="8"/>
      <c r="W102" s="8"/>
      <c r="X102" s="8"/>
      <c r="Y102" s="8"/>
    </row>
    <row r="103" spans="1:25" x14ac:dyDescent="0.25">
      <c r="A103" s="2">
        <v>102</v>
      </c>
      <c r="B103" s="3" t="s">
        <v>127</v>
      </c>
      <c r="C103" t="s">
        <v>127</v>
      </c>
      <c r="D103" t="s">
        <v>14</v>
      </c>
      <c r="E103">
        <v>1</v>
      </c>
      <c r="F103" s="31">
        <v>1.1000000000000001</v>
      </c>
      <c r="G103" s="31">
        <v>1.1000000000000001</v>
      </c>
      <c r="H103" s="31">
        <v>0.68</v>
      </c>
      <c r="I103" s="31">
        <v>0.8</v>
      </c>
      <c r="J103" s="31">
        <v>0.7</v>
      </c>
      <c r="K103" s="31">
        <v>0.6</v>
      </c>
      <c r="L103" s="31">
        <v>0.63</v>
      </c>
      <c r="M103" s="31">
        <v>0.8</v>
      </c>
      <c r="N103" s="31">
        <v>0.68444914293993619</v>
      </c>
      <c r="O103" s="31">
        <v>0.67622739459991621</v>
      </c>
      <c r="P103" s="31">
        <v>0.67571585755100827</v>
      </c>
      <c r="Q103" s="31">
        <v>0.66577253224941124</v>
      </c>
      <c r="R103" s="31">
        <v>0.65197801548757717</v>
      </c>
      <c r="S103" s="9">
        <f t="shared" si="2"/>
        <v>12</v>
      </c>
      <c r="T103" s="8"/>
      <c r="U103" s="16">
        <f t="shared" si="3"/>
        <v>0.68</v>
      </c>
      <c r="V103" s="8"/>
      <c r="W103" s="8"/>
      <c r="X103" s="8"/>
      <c r="Y103" s="8"/>
    </row>
    <row r="104" spans="1:25" x14ac:dyDescent="0.25">
      <c r="A104" s="2">
        <v>103</v>
      </c>
      <c r="B104" s="3" t="s">
        <v>128</v>
      </c>
      <c r="C104" t="s">
        <v>128</v>
      </c>
      <c r="D104" t="s">
        <v>33</v>
      </c>
      <c r="E104">
        <v>1</v>
      </c>
      <c r="F104" s="31">
        <v>2.2000000000000002</v>
      </c>
      <c r="G104" s="31">
        <v>2.2000000000000002</v>
      </c>
      <c r="H104" s="31">
        <v>2.19</v>
      </c>
      <c r="I104" s="31">
        <v>2.2000000000000002</v>
      </c>
      <c r="J104" s="31">
        <v>5.4</v>
      </c>
      <c r="K104" s="31">
        <v>5</v>
      </c>
      <c r="L104" s="31">
        <v>1.02</v>
      </c>
      <c r="M104" s="31">
        <v>4.3</v>
      </c>
      <c r="N104" s="31">
        <v>3.5255395574835902</v>
      </c>
      <c r="O104" s="31">
        <v>3.5187228520054106</v>
      </c>
      <c r="P104" s="31">
        <v>3.4898172524614637</v>
      </c>
      <c r="Q104" s="31">
        <v>3.4967471864580375</v>
      </c>
      <c r="R104" s="31">
        <v>3.4753091229976931</v>
      </c>
      <c r="S104" s="9">
        <f t="shared" si="2"/>
        <v>12</v>
      </c>
      <c r="T104" s="8"/>
      <c r="U104" s="16">
        <f t="shared" si="3"/>
        <v>2.19</v>
      </c>
      <c r="V104" s="8"/>
      <c r="W104" s="8"/>
      <c r="X104" s="8"/>
      <c r="Y104" s="8"/>
    </row>
    <row r="105" spans="1:25" x14ac:dyDescent="0.25">
      <c r="A105" s="2">
        <v>104</v>
      </c>
      <c r="B105" s="3" t="s">
        <v>129</v>
      </c>
      <c r="C105" t="s">
        <v>129</v>
      </c>
      <c r="D105" t="s">
        <v>7</v>
      </c>
      <c r="E105">
        <v>1</v>
      </c>
      <c r="F105" s="31">
        <v>2.5</v>
      </c>
      <c r="G105" s="31">
        <v>2.5</v>
      </c>
      <c r="H105" s="31">
        <v>2.46</v>
      </c>
      <c r="I105" s="31">
        <v>2.6</v>
      </c>
      <c r="J105" s="31">
        <v>5.7</v>
      </c>
      <c r="K105" s="31">
        <v>2.5</v>
      </c>
      <c r="L105" s="31">
        <v>3.35</v>
      </c>
      <c r="M105" s="31">
        <v>3.5</v>
      </c>
      <c r="N105" s="31">
        <v>3.3259518360456894</v>
      </c>
      <c r="O105" s="31">
        <v>3.2719556409325889</v>
      </c>
      <c r="P105" s="31">
        <v>3.2121038498131469</v>
      </c>
      <c r="Q105" s="31">
        <v>3.1886204806950076</v>
      </c>
      <c r="R105" s="31">
        <v>3.1171618835130488</v>
      </c>
      <c r="S105" s="9">
        <f t="shared" si="2"/>
        <v>12</v>
      </c>
      <c r="T105" s="8"/>
      <c r="U105" s="16">
        <f t="shared" si="3"/>
        <v>2.46</v>
      </c>
      <c r="V105" s="8"/>
      <c r="W105" s="8"/>
      <c r="X105" s="8"/>
      <c r="Y105" s="8"/>
    </row>
    <row r="106" spans="1:25" x14ac:dyDescent="0.25">
      <c r="A106" s="2">
        <v>105</v>
      </c>
      <c r="B106" s="3" t="s">
        <v>130</v>
      </c>
      <c r="C106" t="s">
        <v>11</v>
      </c>
      <c r="D106" t="s">
        <v>7</v>
      </c>
      <c r="E106" t="s">
        <v>12</v>
      </c>
      <c r="F106" s="31">
        <v>1.19</v>
      </c>
      <c r="G106" s="31">
        <v>1.19</v>
      </c>
      <c r="H106" s="31">
        <v>2.74</v>
      </c>
      <c r="I106" s="31">
        <v>0.01</v>
      </c>
      <c r="J106" s="31">
        <v>8.64</v>
      </c>
      <c r="K106" s="31">
        <v>1.41</v>
      </c>
      <c r="L106" s="31">
        <v>1.84</v>
      </c>
      <c r="M106" s="31">
        <v>1.22</v>
      </c>
      <c r="N106" s="31">
        <v>0.84</v>
      </c>
      <c r="O106" s="31">
        <v>4.57</v>
      </c>
      <c r="P106" s="31">
        <v>0</v>
      </c>
      <c r="Q106" s="31">
        <v>0</v>
      </c>
      <c r="R106" s="31">
        <v>0</v>
      </c>
      <c r="S106" s="9">
        <f t="shared" si="2"/>
        <v>12</v>
      </c>
      <c r="T106" s="8"/>
      <c r="U106" s="16">
        <f t="shared" si="3"/>
        <v>2.74</v>
      </c>
      <c r="V106" s="8"/>
      <c r="W106" s="8"/>
      <c r="X106" s="8"/>
      <c r="Y106" s="8"/>
    </row>
    <row r="107" spans="1:25" x14ac:dyDescent="0.25">
      <c r="A107" s="2">
        <v>106</v>
      </c>
      <c r="B107" s="3" t="s">
        <v>131</v>
      </c>
      <c r="C107" t="s">
        <v>131</v>
      </c>
      <c r="D107" t="s">
        <v>25</v>
      </c>
      <c r="E107">
        <v>1</v>
      </c>
      <c r="F107" s="31">
        <v>5.0999999999999996</v>
      </c>
      <c r="G107" s="31">
        <v>5.0999999999999996</v>
      </c>
      <c r="H107" s="31">
        <v>5.13</v>
      </c>
      <c r="I107" s="31">
        <v>5.0999999999999996</v>
      </c>
      <c r="J107" s="31">
        <v>5</v>
      </c>
      <c r="K107" s="31">
        <v>5</v>
      </c>
      <c r="L107" s="31">
        <v>4.57</v>
      </c>
      <c r="M107" s="31">
        <v>4.5999999999999996</v>
      </c>
      <c r="N107" s="31">
        <v>4.3884330602441537</v>
      </c>
      <c r="O107" s="31">
        <v>4.3431796944344114</v>
      </c>
      <c r="P107" s="31">
        <v>4.1447829100008562</v>
      </c>
      <c r="Q107" s="31">
        <v>4.0246718917753697</v>
      </c>
      <c r="R107" s="31">
        <v>3.8640130753085487</v>
      </c>
      <c r="S107" s="9">
        <f t="shared" si="2"/>
        <v>12</v>
      </c>
      <c r="T107" s="8"/>
      <c r="U107" s="16">
        <f t="shared" si="3"/>
        <v>5.13</v>
      </c>
      <c r="V107" s="8"/>
      <c r="W107" s="8"/>
      <c r="X107" s="8"/>
      <c r="Y107" s="8"/>
    </row>
    <row r="108" spans="1:25" x14ac:dyDescent="0.25">
      <c r="A108" s="2">
        <v>107</v>
      </c>
      <c r="B108" s="3" t="s">
        <v>132</v>
      </c>
      <c r="C108" t="s">
        <v>132</v>
      </c>
      <c r="D108" t="s">
        <v>7</v>
      </c>
      <c r="E108">
        <v>1</v>
      </c>
      <c r="F108" s="31">
        <v>3.5</v>
      </c>
      <c r="G108" s="31">
        <v>3.5</v>
      </c>
      <c r="H108" s="31">
        <v>3.47</v>
      </c>
      <c r="I108" s="31">
        <v>2.6</v>
      </c>
      <c r="J108" s="31">
        <v>2.6</v>
      </c>
      <c r="K108" s="31">
        <v>2.6</v>
      </c>
      <c r="L108" s="31">
        <v>2.63</v>
      </c>
      <c r="M108" s="31">
        <v>2.63</v>
      </c>
      <c r="N108" s="31">
        <v>2.6414581515407622</v>
      </c>
      <c r="O108" s="31">
        <v>2.6482488001608058</v>
      </c>
      <c r="P108" s="31">
        <v>2.655217543351581</v>
      </c>
      <c r="Q108" s="31">
        <v>2.669234020169954</v>
      </c>
      <c r="R108" s="31">
        <v>2.6823315167979498</v>
      </c>
      <c r="S108" s="9">
        <f t="shared" si="2"/>
        <v>12</v>
      </c>
      <c r="T108" s="8"/>
      <c r="U108" s="16">
        <f t="shared" si="3"/>
        <v>3.47</v>
      </c>
      <c r="V108" s="8"/>
      <c r="W108" s="8"/>
      <c r="X108" s="8"/>
      <c r="Y108" s="8"/>
    </row>
    <row r="109" spans="1:25" x14ac:dyDescent="0.25">
      <c r="A109" s="2">
        <v>108</v>
      </c>
      <c r="B109" s="3" t="s">
        <v>133</v>
      </c>
      <c r="C109" t="s">
        <v>133</v>
      </c>
      <c r="D109" t="s">
        <v>9</v>
      </c>
      <c r="E109">
        <v>1</v>
      </c>
      <c r="F109" s="31">
        <v>7.1</v>
      </c>
      <c r="G109" s="31">
        <v>7.1</v>
      </c>
      <c r="H109" s="31">
        <v>13.1</v>
      </c>
      <c r="I109" s="31">
        <v>3.4</v>
      </c>
      <c r="J109" s="31">
        <v>4.0999999999999996</v>
      </c>
      <c r="K109" s="31">
        <v>3</v>
      </c>
      <c r="L109" s="31">
        <v>2.79</v>
      </c>
      <c r="M109" s="31">
        <v>3.8</v>
      </c>
      <c r="N109" s="31">
        <v>3.191470307672347</v>
      </c>
      <c r="O109" s="31">
        <v>3.1785256619017872</v>
      </c>
      <c r="P109" s="31">
        <v>3.1624511909760145</v>
      </c>
      <c r="Q109" s="31">
        <v>3.0848384228704617</v>
      </c>
      <c r="R109" s="31">
        <v>3.1557175047930599</v>
      </c>
      <c r="S109" s="9">
        <f t="shared" si="2"/>
        <v>12</v>
      </c>
      <c r="T109" s="8"/>
      <c r="U109" s="16">
        <f t="shared" si="3"/>
        <v>13.1</v>
      </c>
      <c r="V109" s="8"/>
      <c r="W109" s="8"/>
      <c r="X109" s="8"/>
      <c r="Y109" s="8"/>
    </row>
    <row r="110" spans="1:25" x14ac:dyDescent="0.25">
      <c r="A110" s="2">
        <v>109</v>
      </c>
      <c r="B110" s="3" t="s">
        <v>134</v>
      </c>
      <c r="C110" t="s">
        <v>134</v>
      </c>
      <c r="D110" t="s">
        <v>14</v>
      </c>
      <c r="E110">
        <v>1</v>
      </c>
      <c r="F110" s="31">
        <v>4.8</v>
      </c>
      <c r="G110" s="31">
        <v>4.8</v>
      </c>
      <c r="H110" s="31">
        <v>4.75</v>
      </c>
      <c r="I110" s="31">
        <v>4.8</v>
      </c>
      <c r="J110" s="31">
        <v>7.1</v>
      </c>
      <c r="K110" s="31">
        <v>4.2</v>
      </c>
      <c r="L110" s="31">
        <v>4.17</v>
      </c>
      <c r="M110" s="31">
        <v>3.5</v>
      </c>
      <c r="N110" s="31">
        <v>2.7112331925652597</v>
      </c>
      <c r="O110" s="31">
        <v>3.6071153660952859</v>
      </c>
      <c r="P110" s="31">
        <v>1.7953162724945742</v>
      </c>
      <c r="Q110" s="31">
        <v>1.7219665377683668</v>
      </c>
      <c r="R110" s="31">
        <v>0.2296830452157792</v>
      </c>
      <c r="S110" s="9">
        <f t="shared" si="2"/>
        <v>12</v>
      </c>
      <c r="T110" s="8"/>
      <c r="U110" s="16">
        <f t="shared" si="3"/>
        <v>4.75</v>
      </c>
      <c r="V110" s="8"/>
      <c r="W110" s="8"/>
      <c r="X110" s="8"/>
      <c r="Y110" s="8"/>
    </row>
    <row r="111" spans="1:25" x14ac:dyDescent="0.25">
      <c r="A111" s="2">
        <v>110</v>
      </c>
      <c r="B111" s="3" t="s">
        <v>135</v>
      </c>
      <c r="C111" t="s">
        <v>135</v>
      </c>
      <c r="D111" t="s">
        <v>14</v>
      </c>
      <c r="E111">
        <v>1</v>
      </c>
      <c r="F111" s="31">
        <v>1.8</v>
      </c>
      <c r="G111" s="31">
        <v>1.8</v>
      </c>
      <c r="H111" s="31">
        <v>1.05</v>
      </c>
      <c r="I111" s="31">
        <v>6.9</v>
      </c>
      <c r="J111" s="31">
        <v>0.8</v>
      </c>
      <c r="K111" s="31">
        <v>0.8</v>
      </c>
      <c r="L111" s="31">
        <v>0.87</v>
      </c>
      <c r="M111" s="31">
        <v>1</v>
      </c>
      <c r="N111" s="31">
        <v>2.21</v>
      </c>
      <c r="O111" s="31">
        <v>0.16</v>
      </c>
      <c r="P111" s="31">
        <v>0</v>
      </c>
      <c r="Q111" s="31">
        <v>0</v>
      </c>
      <c r="R111" s="31">
        <v>0</v>
      </c>
      <c r="S111" s="9">
        <f t="shared" si="2"/>
        <v>12</v>
      </c>
      <c r="T111" s="8"/>
      <c r="U111" s="16">
        <f t="shared" si="3"/>
        <v>1.05</v>
      </c>
      <c r="V111" s="8"/>
      <c r="W111" s="8"/>
      <c r="X111" s="8"/>
      <c r="Y111" s="8"/>
    </row>
    <row r="112" spans="1:25" x14ac:dyDescent="0.25">
      <c r="A112" s="2">
        <v>111</v>
      </c>
      <c r="B112" s="3" t="s">
        <v>136</v>
      </c>
      <c r="C112" t="s">
        <v>136</v>
      </c>
      <c r="D112" t="s">
        <v>25</v>
      </c>
      <c r="E112">
        <v>1</v>
      </c>
      <c r="F112" s="31">
        <v>12.1</v>
      </c>
      <c r="G112" s="31">
        <v>12.1</v>
      </c>
      <c r="H112" s="31">
        <v>12</v>
      </c>
      <c r="I112" s="31">
        <v>11.6</v>
      </c>
      <c r="J112" s="31">
        <v>14.7</v>
      </c>
      <c r="K112" s="31">
        <v>10.9</v>
      </c>
      <c r="L112" s="31">
        <v>11.72</v>
      </c>
      <c r="M112" s="31">
        <v>12.3</v>
      </c>
      <c r="N112" s="31">
        <v>11.372762053268616</v>
      </c>
      <c r="O112" s="31">
        <v>11.665005960969552</v>
      </c>
      <c r="P112" s="31">
        <v>11.57590452241584</v>
      </c>
      <c r="Q112" s="31">
        <v>11.133588650811987</v>
      </c>
      <c r="R112" s="31">
        <v>11.119351072994561</v>
      </c>
      <c r="S112" s="9">
        <f t="shared" si="2"/>
        <v>12</v>
      </c>
      <c r="T112" s="8"/>
      <c r="U112" s="16">
        <f t="shared" si="3"/>
        <v>12</v>
      </c>
      <c r="V112" s="8"/>
      <c r="W112" s="8"/>
      <c r="X112" s="8"/>
      <c r="Y112" s="8"/>
    </row>
    <row r="113" spans="1:25" x14ac:dyDescent="0.25">
      <c r="A113" s="2">
        <v>112</v>
      </c>
      <c r="B113" s="3" t="s">
        <v>137</v>
      </c>
      <c r="C113" t="s">
        <v>137</v>
      </c>
      <c r="D113" t="s">
        <v>23</v>
      </c>
      <c r="E113">
        <v>1</v>
      </c>
      <c r="F113" s="31">
        <v>1.6</v>
      </c>
      <c r="G113" s="31">
        <v>1.6</v>
      </c>
      <c r="H113" s="31">
        <v>1.0900000000000001</v>
      </c>
      <c r="I113" s="31">
        <v>1</v>
      </c>
      <c r="J113" s="31">
        <v>1</v>
      </c>
      <c r="K113" s="31">
        <v>1.5</v>
      </c>
      <c r="L113" s="31">
        <v>1.57</v>
      </c>
      <c r="M113" s="31">
        <v>2</v>
      </c>
      <c r="N113" s="31">
        <v>2.2547118485144892</v>
      </c>
      <c r="O113" s="31">
        <v>2.4851909997494204</v>
      </c>
      <c r="P113" s="31">
        <v>2.39827464118855</v>
      </c>
      <c r="Q113" s="31">
        <v>3.0750091075072987</v>
      </c>
      <c r="R113" s="31">
        <v>3.232996389678533</v>
      </c>
      <c r="S113" s="9">
        <f t="shared" si="2"/>
        <v>12</v>
      </c>
      <c r="T113" s="8"/>
      <c r="U113" s="16">
        <f t="shared" si="3"/>
        <v>1.0900000000000001</v>
      </c>
      <c r="V113" s="8"/>
      <c r="W113" s="8"/>
      <c r="X113" s="8"/>
      <c r="Y113" s="8"/>
    </row>
    <row r="114" spans="1:25" x14ac:dyDescent="0.25">
      <c r="A114" s="2">
        <v>113</v>
      </c>
      <c r="B114" s="3" t="s">
        <v>138</v>
      </c>
      <c r="C114" t="s">
        <v>139</v>
      </c>
      <c r="D114" t="s">
        <v>21</v>
      </c>
      <c r="E114">
        <v>1</v>
      </c>
      <c r="F114" s="31">
        <v>1.6</v>
      </c>
      <c r="G114" s="31">
        <v>1.6</v>
      </c>
      <c r="H114" s="31">
        <v>1.62</v>
      </c>
      <c r="I114" s="31">
        <v>1.6</v>
      </c>
      <c r="J114" s="31">
        <v>1.4</v>
      </c>
      <c r="K114" s="31">
        <v>1.3</v>
      </c>
      <c r="L114" s="31">
        <v>1.32</v>
      </c>
      <c r="M114" s="31">
        <v>1.3</v>
      </c>
      <c r="N114" s="31">
        <v>1.2057292045745953</v>
      </c>
      <c r="O114" s="31">
        <v>1.1160072478911616</v>
      </c>
      <c r="P114" s="31">
        <v>1.0237848735467594</v>
      </c>
      <c r="Q114" s="31">
        <v>0.94006782226745145</v>
      </c>
      <c r="R114" s="31">
        <v>0.93930501861731841</v>
      </c>
      <c r="S114" s="9">
        <f t="shared" si="2"/>
        <v>12</v>
      </c>
      <c r="T114" s="8"/>
      <c r="U114" s="16">
        <f t="shared" si="3"/>
        <v>1.62</v>
      </c>
      <c r="V114" s="8"/>
      <c r="W114" s="8"/>
      <c r="X114" s="8"/>
      <c r="Y114" s="8"/>
    </row>
    <row r="115" spans="1:25" x14ac:dyDescent="0.25">
      <c r="A115" s="2">
        <v>114</v>
      </c>
      <c r="B115" s="3" t="s">
        <v>140</v>
      </c>
      <c r="C115" t="s">
        <v>140</v>
      </c>
      <c r="D115" t="s">
        <v>33</v>
      </c>
      <c r="E115">
        <v>1</v>
      </c>
      <c r="F115" s="31">
        <v>2.2999999999999998</v>
      </c>
      <c r="G115" s="31">
        <v>2.2999999999999998</v>
      </c>
      <c r="H115" s="31">
        <v>2.2999999999999998</v>
      </c>
      <c r="I115" s="31">
        <v>2.2999999999999998</v>
      </c>
      <c r="J115" s="31">
        <v>1.9</v>
      </c>
      <c r="K115" s="31">
        <v>2</v>
      </c>
      <c r="L115" s="31">
        <v>2</v>
      </c>
      <c r="M115" s="31">
        <v>2</v>
      </c>
      <c r="N115" s="31">
        <v>1.9076517968642435</v>
      </c>
      <c r="O115" s="31">
        <v>1.8125679911201757</v>
      </c>
      <c r="P115" s="31">
        <v>1.7763357655080938</v>
      </c>
      <c r="Q115" s="31">
        <v>1.7500577103261747</v>
      </c>
      <c r="R115" s="31">
        <v>1.6804460117961924</v>
      </c>
      <c r="S115" s="9">
        <f t="shared" si="2"/>
        <v>12</v>
      </c>
      <c r="T115" s="8"/>
      <c r="U115" s="16">
        <f t="shared" si="3"/>
        <v>2.2999999999999998</v>
      </c>
      <c r="V115" s="8"/>
      <c r="W115" s="8"/>
      <c r="X115" s="8"/>
      <c r="Y115" s="8"/>
    </row>
    <row r="116" spans="1:25" x14ac:dyDescent="0.25">
      <c r="A116" s="2">
        <v>115</v>
      </c>
      <c r="B116" s="3" t="s">
        <v>141</v>
      </c>
      <c r="C116" t="s">
        <v>141</v>
      </c>
      <c r="D116" t="s">
        <v>14</v>
      </c>
      <c r="E116" t="s">
        <v>12</v>
      </c>
      <c r="F116" s="31">
        <v>9.1</v>
      </c>
      <c r="G116" s="31">
        <v>9.1</v>
      </c>
      <c r="H116" s="31">
        <v>9.68</v>
      </c>
      <c r="I116" s="31">
        <v>9.6999999999999993</v>
      </c>
      <c r="J116" s="31">
        <v>10.199999999999999</v>
      </c>
      <c r="K116" s="31">
        <v>9.3000000000000007</v>
      </c>
      <c r="L116" s="31">
        <v>11.77</v>
      </c>
      <c r="M116" s="31">
        <v>9.6</v>
      </c>
      <c r="N116" s="31">
        <v>2.68</v>
      </c>
      <c r="O116" s="31">
        <v>6.85</v>
      </c>
      <c r="P116" s="31">
        <v>0</v>
      </c>
      <c r="Q116" s="31">
        <v>0</v>
      </c>
      <c r="R116" s="31">
        <v>0</v>
      </c>
      <c r="S116" s="9">
        <f t="shared" si="2"/>
        <v>12</v>
      </c>
      <c r="T116" s="8"/>
      <c r="U116" s="16">
        <f t="shared" si="3"/>
        <v>9.68</v>
      </c>
      <c r="V116" s="8"/>
      <c r="W116" s="8"/>
      <c r="X116" s="8"/>
      <c r="Y116" s="8"/>
    </row>
    <row r="117" spans="1:25" x14ac:dyDescent="0.25">
      <c r="A117" s="2">
        <v>116</v>
      </c>
      <c r="B117" s="3" t="s">
        <v>142</v>
      </c>
      <c r="C117" t="s">
        <v>142</v>
      </c>
      <c r="D117" t="s">
        <v>14</v>
      </c>
      <c r="E117">
        <v>1</v>
      </c>
      <c r="F117" s="31">
        <v>10.6</v>
      </c>
      <c r="G117" s="31">
        <v>10.6</v>
      </c>
      <c r="H117" s="31">
        <v>10.6</v>
      </c>
      <c r="I117" s="31">
        <v>10.6</v>
      </c>
      <c r="J117" s="31">
        <v>10.1</v>
      </c>
      <c r="K117" s="31">
        <v>11.3</v>
      </c>
      <c r="L117" s="31">
        <v>9.75</v>
      </c>
      <c r="M117" s="31">
        <v>11.3</v>
      </c>
      <c r="N117" s="31">
        <v>10.995011159265175</v>
      </c>
      <c r="O117" s="31">
        <v>11.028396294647195</v>
      </c>
      <c r="P117" s="31">
        <v>11.195730930526594</v>
      </c>
      <c r="Q117" s="31">
        <v>11.324269317271103</v>
      </c>
      <c r="R117" s="31">
        <v>11.240649562084087</v>
      </c>
      <c r="S117" s="9">
        <f t="shared" si="2"/>
        <v>12</v>
      </c>
      <c r="T117" s="8"/>
      <c r="U117" s="16">
        <f t="shared" si="3"/>
        <v>10.6</v>
      </c>
      <c r="V117" s="8"/>
      <c r="W117" s="8"/>
      <c r="X117" s="8"/>
      <c r="Y117" s="8"/>
    </row>
    <row r="118" spans="1:25" x14ac:dyDescent="0.25">
      <c r="A118" s="2">
        <v>117</v>
      </c>
      <c r="B118" s="3" t="s">
        <v>143</v>
      </c>
      <c r="C118" t="s">
        <v>143</v>
      </c>
      <c r="D118" t="s">
        <v>7</v>
      </c>
      <c r="E118">
        <v>1</v>
      </c>
      <c r="F118" s="31">
        <v>0.4</v>
      </c>
      <c r="G118" s="31">
        <v>0.4</v>
      </c>
      <c r="H118" s="31">
        <v>0.45</v>
      </c>
      <c r="I118" s="31">
        <v>0.3</v>
      </c>
      <c r="J118" s="31">
        <v>1.1000000000000001</v>
      </c>
      <c r="K118" s="31">
        <v>1.2</v>
      </c>
      <c r="L118" s="31">
        <v>1.04</v>
      </c>
      <c r="M118" s="31">
        <v>3.4</v>
      </c>
      <c r="N118" s="31">
        <v>3.0951349746546839</v>
      </c>
      <c r="O118" s="31">
        <v>4.8945945575981114</v>
      </c>
      <c r="P118" s="31">
        <v>4.8954419061137742</v>
      </c>
      <c r="Q118" s="31">
        <v>4.4837207952930385</v>
      </c>
      <c r="R118" s="31">
        <v>5.0691516894335109</v>
      </c>
      <c r="S118" s="9">
        <f t="shared" si="2"/>
        <v>12</v>
      </c>
      <c r="T118" s="8"/>
      <c r="U118" s="16">
        <f t="shared" si="3"/>
        <v>0.45</v>
      </c>
      <c r="V118" s="8"/>
      <c r="W118" s="8"/>
      <c r="X118" s="8"/>
      <c r="Y118" s="8"/>
    </row>
    <row r="119" spans="1:25" x14ac:dyDescent="0.25">
      <c r="A119" s="2">
        <v>118</v>
      </c>
      <c r="B119" s="3" t="s">
        <v>144</v>
      </c>
      <c r="C119" t="s">
        <v>144</v>
      </c>
      <c r="D119" t="s">
        <v>9</v>
      </c>
      <c r="E119">
        <v>1</v>
      </c>
      <c r="F119" s="31">
        <v>3.2</v>
      </c>
      <c r="G119" s="31">
        <v>3.2</v>
      </c>
      <c r="H119" s="31">
        <v>3.17</v>
      </c>
      <c r="I119" s="31">
        <v>4.0999999999999996</v>
      </c>
      <c r="J119" s="31">
        <v>2.5</v>
      </c>
      <c r="K119" s="31">
        <v>2.4</v>
      </c>
      <c r="L119" s="31">
        <v>1.9</v>
      </c>
      <c r="M119" s="31">
        <v>1.5</v>
      </c>
      <c r="N119" s="31">
        <v>1.4495234116227493</v>
      </c>
      <c r="O119" s="31">
        <v>1.37</v>
      </c>
      <c r="P119" s="31">
        <v>0</v>
      </c>
      <c r="Q119" s="31">
        <v>0</v>
      </c>
      <c r="R119" s="31">
        <v>0</v>
      </c>
      <c r="S119" s="9">
        <f t="shared" si="2"/>
        <v>12</v>
      </c>
      <c r="T119" s="8"/>
      <c r="U119" s="16">
        <f t="shared" si="3"/>
        <v>3.17</v>
      </c>
      <c r="V119" s="8"/>
      <c r="W119" s="8"/>
      <c r="X119" s="8"/>
      <c r="Y119" s="8"/>
    </row>
    <row r="120" spans="1:25" x14ac:dyDescent="0.25">
      <c r="A120" s="2">
        <v>119</v>
      </c>
      <c r="B120" s="3" t="s">
        <v>145</v>
      </c>
      <c r="C120" t="s">
        <v>145</v>
      </c>
      <c r="D120" t="s">
        <v>25</v>
      </c>
      <c r="E120">
        <v>1</v>
      </c>
      <c r="F120" s="31">
        <v>9.5</v>
      </c>
      <c r="G120" s="31">
        <v>9.5</v>
      </c>
      <c r="H120" s="31">
        <v>10.1</v>
      </c>
      <c r="I120" s="31">
        <v>9.6999999999999993</v>
      </c>
      <c r="J120" s="31">
        <v>10</v>
      </c>
      <c r="K120" s="31">
        <v>8.9</v>
      </c>
      <c r="L120" s="31">
        <v>9.5299999999999994</v>
      </c>
      <c r="M120" s="31">
        <v>10.1</v>
      </c>
      <c r="N120" s="31">
        <v>9.7560434366561992</v>
      </c>
      <c r="O120" s="31">
        <v>9.7531643745713694</v>
      </c>
      <c r="P120" s="31">
        <v>9.7948974746602886</v>
      </c>
      <c r="Q120" s="31">
        <v>9.8426149994100882</v>
      </c>
      <c r="R120" s="31">
        <v>9.871997863558164</v>
      </c>
      <c r="S120" s="9">
        <f t="shared" si="2"/>
        <v>12</v>
      </c>
      <c r="T120" s="8"/>
      <c r="U120" s="16">
        <f t="shared" si="3"/>
        <v>10.1</v>
      </c>
      <c r="V120" s="8"/>
      <c r="W120" s="8"/>
      <c r="X120" s="8"/>
      <c r="Y120" s="8"/>
    </row>
    <row r="121" spans="1:25" x14ac:dyDescent="0.25">
      <c r="A121" s="2">
        <v>120</v>
      </c>
      <c r="B121" s="3" t="s">
        <v>146</v>
      </c>
      <c r="C121" t="s">
        <v>146</v>
      </c>
      <c r="D121" t="s">
        <v>33</v>
      </c>
      <c r="E121">
        <v>1</v>
      </c>
      <c r="F121" s="31">
        <v>7.6</v>
      </c>
      <c r="G121" s="31">
        <v>7.6</v>
      </c>
      <c r="H121" s="31">
        <v>7.9</v>
      </c>
      <c r="I121" s="31">
        <v>5.8</v>
      </c>
      <c r="J121" s="31">
        <v>6.1</v>
      </c>
      <c r="K121" s="31">
        <v>6.1</v>
      </c>
      <c r="L121" s="31">
        <v>6.08</v>
      </c>
      <c r="M121" s="31">
        <v>5.4</v>
      </c>
      <c r="N121" s="31">
        <v>5.7478970266655836</v>
      </c>
      <c r="O121" s="31">
        <v>5.4369798980423525</v>
      </c>
      <c r="P121" s="31">
        <v>5.4391371429244657</v>
      </c>
      <c r="Q121" s="31">
        <v>5.3753157813593475</v>
      </c>
      <c r="R121" s="31">
        <v>5.3274493890307326</v>
      </c>
      <c r="S121" s="9">
        <f t="shared" si="2"/>
        <v>12</v>
      </c>
      <c r="T121" s="8"/>
      <c r="U121" s="16">
        <f t="shared" si="3"/>
        <v>7.9</v>
      </c>
      <c r="V121" s="8"/>
      <c r="W121" s="8"/>
      <c r="X121" s="8"/>
      <c r="Y121" s="8"/>
    </row>
    <row r="122" spans="1:25" x14ac:dyDescent="0.25">
      <c r="A122" s="2">
        <v>121</v>
      </c>
      <c r="B122" s="3" t="s">
        <v>147</v>
      </c>
      <c r="C122" t="s">
        <v>148</v>
      </c>
      <c r="D122" t="s">
        <v>21</v>
      </c>
      <c r="E122" t="s">
        <v>12</v>
      </c>
      <c r="F122" s="31">
        <v>2.5</v>
      </c>
      <c r="G122" s="31">
        <v>2.5</v>
      </c>
      <c r="H122" s="31">
        <v>2.4700000000000002</v>
      </c>
      <c r="I122" s="31">
        <v>2.5</v>
      </c>
      <c r="J122" s="31">
        <v>2.2000000000000002</v>
      </c>
      <c r="K122" s="31">
        <v>2.2999999999999998</v>
      </c>
      <c r="L122" s="31">
        <v>2.0299999999999998</v>
      </c>
      <c r="M122" s="31">
        <v>2</v>
      </c>
      <c r="N122" s="31">
        <v>2.67</v>
      </c>
      <c r="O122" s="31">
        <v>4.0999999999999996</v>
      </c>
      <c r="P122" s="31">
        <v>0</v>
      </c>
      <c r="Q122" s="31">
        <v>0</v>
      </c>
      <c r="R122" s="31">
        <v>0</v>
      </c>
      <c r="S122" s="9">
        <f t="shared" si="2"/>
        <v>12</v>
      </c>
      <c r="T122" s="8"/>
      <c r="U122" s="16">
        <f t="shared" si="3"/>
        <v>2.4700000000000002</v>
      </c>
      <c r="V122" s="8"/>
      <c r="W122" s="8"/>
      <c r="X122" s="8"/>
      <c r="Y122" s="8"/>
    </row>
    <row r="123" spans="1:25" x14ac:dyDescent="0.25">
      <c r="A123" s="2">
        <v>122</v>
      </c>
      <c r="B123" s="3" t="s">
        <v>149</v>
      </c>
      <c r="C123" t="s">
        <v>149</v>
      </c>
      <c r="D123" t="s">
        <v>18</v>
      </c>
      <c r="E123">
        <v>1</v>
      </c>
      <c r="F123" s="31">
        <v>3.7</v>
      </c>
      <c r="G123" s="31">
        <v>3.7</v>
      </c>
      <c r="H123" s="31">
        <v>4.47</v>
      </c>
      <c r="I123" s="31">
        <v>4.3</v>
      </c>
      <c r="J123" s="31">
        <v>4.4000000000000004</v>
      </c>
      <c r="K123" s="31">
        <v>4.2</v>
      </c>
      <c r="L123" s="31">
        <v>4.43</v>
      </c>
      <c r="M123" s="31">
        <v>4.2</v>
      </c>
      <c r="N123" s="31">
        <v>4.2424538118847011</v>
      </c>
      <c r="O123" s="31">
        <v>4.2327851684504765</v>
      </c>
      <c r="P123" s="31">
        <v>4.222455021056426</v>
      </c>
      <c r="Q123" s="31">
        <v>4.2064377098794594</v>
      </c>
      <c r="R123" s="31">
        <v>4.1850466575148886</v>
      </c>
      <c r="S123" s="9">
        <f t="shared" si="2"/>
        <v>12</v>
      </c>
      <c r="T123" s="8"/>
      <c r="U123" s="16">
        <f t="shared" si="3"/>
        <v>4.47</v>
      </c>
      <c r="V123" s="8"/>
      <c r="W123" s="8"/>
      <c r="X123" s="8"/>
      <c r="Y123" s="8"/>
    </row>
    <row r="124" spans="1:25" x14ac:dyDescent="0.25">
      <c r="A124" s="2">
        <v>123</v>
      </c>
      <c r="B124" s="3" t="s">
        <v>150</v>
      </c>
      <c r="C124" t="s">
        <v>150</v>
      </c>
      <c r="D124" t="s">
        <v>18</v>
      </c>
      <c r="E124">
        <v>1</v>
      </c>
      <c r="F124" s="31">
        <v>2.5</v>
      </c>
      <c r="G124" s="31">
        <v>2.5</v>
      </c>
      <c r="H124" s="31">
        <v>1.51</v>
      </c>
      <c r="I124" s="31">
        <v>1.5</v>
      </c>
      <c r="J124" s="31">
        <v>1.5</v>
      </c>
      <c r="K124" s="31">
        <v>1.4</v>
      </c>
      <c r="L124" s="31">
        <v>1.43</v>
      </c>
      <c r="M124" s="31">
        <v>1.8</v>
      </c>
      <c r="N124" s="31">
        <v>1.7024790541469059</v>
      </c>
      <c r="O124" s="31">
        <v>1.7405446499059707</v>
      </c>
      <c r="P124" s="31">
        <v>1.848680608640322</v>
      </c>
      <c r="Q124" s="31">
        <v>1.8455411359716862</v>
      </c>
      <c r="R124" s="31">
        <v>1.9009833477592366</v>
      </c>
      <c r="S124" s="9">
        <f t="shared" si="2"/>
        <v>12</v>
      </c>
      <c r="T124" s="8"/>
      <c r="U124" s="16">
        <f t="shared" si="3"/>
        <v>1.51</v>
      </c>
      <c r="V124" s="8"/>
      <c r="W124" s="8"/>
      <c r="X124" s="8"/>
      <c r="Y124" s="8"/>
    </row>
    <row r="125" spans="1:25" x14ac:dyDescent="0.25">
      <c r="A125" s="2">
        <v>124</v>
      </c>
      <c r="B125" s="3" t="s">
        <v>151</v>
      </c>
      <c r="C125" t="s">
        <v>151</v>
      </c>
      <c r="D125" t="s">
        <v>25</v>
      </c>
      <c r="E125">
        <v>1</v>
      </c>
      <c r="F125" s="31">
        <v>4.8</v>
      </c>
      <c r="G125" s="31">
        <v>4.8</v>
      </c>
      <c r="H125" s="31">
        <v>4.7699999999999996</v>
      </c>
      <c r="I125" s="31">
        <v>4.8</v>
      </c>
      <c r="J125" s="31">
        <v>4.3</v>
      </c>
      <c r="K125" s="31">
        <v>4.3</v>
      </c>
      <c r="L125" s="31">
        <v>2.15</v>
      </c>
      <c r="M125" s="31">
        <v>3.4</v>
      </c>
      <c r="N125" s="31">
        <v>2.4813015117238137</v>
      </c>
      <c r="O125" s="31">
        <v>2.8825682247497753</v>
      </c>
      <c r="P125" s="31">
        <v>1.2741844829503179</v>
      </c>
      <c r="Q125" s="31">
        <v>0.55023892163762866</v>
      </c>
      <c r="R125" s="31">
        <v>0.26654439795186136</v>
      </c>
      <c r="S125" s="9">
        <f t="shared" si="2"/>
        <v>12</v>
      </c>
      <c r="T125" s="8"/>
      <c r="U125" s="16">
        <f t="shared" si="3"/>
        <v>4.7699999999999996</v>
      </c>
      <c r="V125" s="8"/>
      <c r="W125" s="8"/>
      <c r="X125" s="8"/>
      <c r="Y125" s="8"/>
    </row>
    <row r="126" spans="1:25" x14ac:dyDescent="0.25">
      <c r="A126" s="2">
        <v>125</v>
      </c>
      <c r="B126" s="3" t="s">
        <v>152</v>
      </c>
      <c r="C126" t="s">
        <v>152</v>
      </c>
      <c r="D126" t="s">
        <v>23</v>
      </c>
      <c r="E126">
        <v>1</v>
      </c>
      <c r="F126" s="31">
        <v>1.6</v>
      </c>
      <c r="G126" s="31">
        <v>1.6</v>
      </c>
      <c r="H126" s="31">
        <v>1.0900000000000001</v>
      </c>
      <c r="I126" s="31">
        <v>1</v>
      </c>
      <c r="J126" s="31">
        <v>1</v>
      </c>
      <c r="K126" s="31">
        <v>1.5</v>
      </c>
      <c r="L126" s="31">
        <v>1.57</v>
      </c>
      <c r="M126" s="31">
        <v>2</v>
      </c>
      <c r="N126" s="31">
        <v>2.149996912003644</v>
      </c>
      <c r="O126" s="31">
        <v>2.3420756190448628</v>
      </c>
      <c r="P126" s="31">
        <v>2.8977300020465009</v>
      </c>
      <c r="Q126" s="31">
        <v>2.9000048443537025</v>
      </c>
      <c r="R126" s="31">
        <v>3.17038790149752</v>
      </c>
      <c r="S126" s="9">
        <f t="shared" si="2"/>
        <v>12</v>
      </c>
      <c r="T126" s="8"/>
      <c r="U126" s="16">
        <f t="shared" si="3"/>
        <v>1.0900000000000001</v>
      </c>
      <c r="V126" s="8"/>
      <c r="W126" s="8"/>
      <c r="X126" s="8"/>
      <c r="Y126" s="8"/>
    </row>
    <row r="127" spans="1:25" x14ac:dyDescent="0.25">
      <c r="A127" s="2">
        <v>126</v>
      </c>
      <c r="B127" s="3" t="s">
        <v>153</v>
      </c>
      <c r="C127" t="s">
        <v>153</v>
      </c>
      <c r="D127" t="s">
        <v>23</v>
      </c>
      <c r="E127">
        <v>1</v>
      </c>
      <c r="F127" s="31">
        <v>1.6</v>
      </c>
      <c r="G127" s="31">
        <v>1.6</v>
      </c>
      <c r="H127" s="31">
        <v>1.0900000000000001</v>
      </c>
      <c r="I127" s="31">
        <v>1</v>
      </c>
      <c r="J127" s="31">
        <v>1</v>
      </c>
      <c r="K127" s="31">
        <v>1.5</v>
      </c>
      <c r="L127" s="31">
        <v>1.57</v>
      </c>
      <c r="M127" s="31">
        <v>2</v>
      </c>
      <c r="N127" s="31">
        <v>2.3559263836189075</v>
      </c>
      <c r="O127" s="31">
        <v>2.3522449964345924</v>
      </c>
      <c r="P127" s="31">
        <v>2.6773896502569414</v>
      </c>
      <c r="Q127" s="31">
        <v>3.1300505400852217</v>
      </c>
      <c r="R127" s="31">
        <v>3.242475889936145</v>
      </c>
      <c r="S127" s="9">
        <f t="shared" si="2"/>
        <v>12</v>
      </c>
      <c r="T127" s="8"/>
      <c r="U127" s="16">
        <f t="shared" si="3"/>
        <v>1.0900000000000001</v>
      </c>
      <c r="V127" s="8"/>
      <c r="W127" s="8"/>
      <c r="X127" s="8"/>
      <c r="Y127" s="8"/>
    </row>
    <row r="128" spans="1:25" x14ac:dyDescent="0.25">
      <c r="A128" s="2">
        <v>127</v>
      </c>
      <c r="B128" s="3" t="s">
        <v>154</v>
      </c>
      <c r="C128" t="s">
        <v>11</v>
      </c>
      <c r="D128" t="s">
        <v>16</v>
      </c>
      <c r="E128">
        <v>1</v>
      </c>
      <c r="F128" s="31">
        <v>2.1</v>
      </c>
      <c r="G128" s="31">
        <v>2.1</v>
      </c>
      <c r="H128" s="31">
        <v>11.5</v>
      </c>
      <c r="I128" s="31">
        <v>2.4500000000000002</v>
      </c>
      <c r="J128" s="31">
        <v>1.68</v>
      </c>
      <c r="K128" s="31">
        <v>2.12</v>
      </c>
      <c r="L128" s="31">
        <v>0.53</v>
      </c>
      <c r="M128" s="31">
        <v>6.43</v>
      </c>
      <c r="N128" s="31">
        <v>2.59</v>
      </c>
      <c r="O128" s="31">
        <v>7.95</v>
      </c>
      <c r="P128" s="31">
        <v>0</v>
      </c>
      <c r="Q128" s="31">
        <v>0</v>
      </c>
      <c r="R128" s="31">
        <v>0</v>
      </c>
      <c r="S128" s="9">
        <f t="shared" si="2"/>
        <v>12</v>
      </c>
      <c r="T128" s="8"/>
      <c r="U128" s="16">
        <f t="shared" si="3"/>
        <v>11.5</v>
      </c>
      <c r="V128" s="8"/>
      <c r="W128" s="8"/>
      <c r="X128" s="8"/>
      <c r="Y128" s="8"/>
    </row>
    <row r="129" spans="1:25" x14ac:dyDescent="0.25">
      <c r="A129" s="2">
        <v>128</v>
      </c>
      <c r="B129" s="3" t="s">
        <v>155</v>
      </c>
      <c r="C129" t="s">
        <v>155</v>
      </c>
      <c r="D129" t="s">
        <v>9</v>
      </c>
      <c r="E129">
        <v>1</v>
      </c>
      <c r="F129" s="31">
        <v>3.8</v>
      </c>
      <c r="G129" s="31">
        <v>3.8</v>
      </c>
      <c r="H129" s="31">
        <v>5.0999999999999996</v>
      </c>
      <c r="I129" s="31">
        <v>4.0999999999999996</v>
      </c>
      <c r="J129" s="31">
        <v>4.0999999999999996</v>
      </c>
      <c r="K129" s="31">
        <v>3.4</v>
      </c>
      <c r="L129" s="31">
        <v>3.36</v>
      </c>
      <c r="M129" s="31">
        <v>3.4</v>
      </c>
      <c r="N129" s="31">
        <v>3.0627607195175415</v>
      </c>
      <c r="O129" s="31">
        <v>2.7749539338714158</v>
      </c>
      <c r="P129" s="31">
        <v>2.5214362576606391</v>
      </c>
      <c r="Q129" s="31">
        <v>2.4399420247723924</v>
      </c>
      <c r="R129" s="31">
        <v>2.2169087854259146</v>
      </c>
      <c r="S129" s="9">
        <f t="shared" si="2"/>
        <v>12</v>
      </c>
      <c r="T129" s="8"/>
      <c r="U129" s="16">
        <f t="shared" si="3"/>
        <v>5.0999999999999996</v>
      </c>
      <c r="V129" s="8"/>
      <c r="W129" s="8"/>
      <c r="X129" s="8"/>
      <c r="Y129" s="8"/>
    </row>
    <row r="130" spans="1:25" x14ac:dyDescent="0.25">
      <c r="A130" s="2">
        <v>129</v>
      </c>
      <c r="B130" s="3" t="s">
        <v>156</v>
      </c>
      <c r="C130" t="s">
        <v>156</v>
      </c>
      <c r="D130" t="s">
        <v>23</v>
      </c>
      <c r="E130">
        <v>1</v>
      </c>
      <c r="F130" s="31">
        <v>1.6</v>
      </c>
      <c r="G130" s="31">
        <v>1.6</v>
      </c>
      <c r="H130" s="31">
        <v>1.0900000000000001</v>
      </c>
      <c r="I130" s="31">
        <v>1</v>
      </c>
      <c r="J130" s="31">
        <v>1</v>
      </c>
      <c r="K130" s="31">
        <v>1.5</v>
      </c>
      <c r="L130" s="31">
        <v>1.57</v>
      </c>
      <c r="M130" s="31">
        <v>2</v>
      </c>
      <c r="N130" s="31">
        <v>2.1389539006856921</v>
      </c>
      <c r="O130" s="31">
        <v>2.2997822039124003</v>
      </c>
      <c r="P130" s="31">
        <v>2.8077861868609943</v>
      </c>
      <c r="Q130" s="31">
        <v>2.9419741161157162</v>
      </c>
      <c r="R130" s="31">
        <v>3.1623638024666434</v>
      </c>
      <c r="S130" s="9">
        <f t="shared" si="2"/>
        <v>12</v>
      </c>
      <c r="T130" s="8"/>
      <c r="U130" s="16">
        <f t="shared" si="3"/>
        <v>1.0900000000000001</v>
      </c>
      <c r="V130" s="8"/>
      <c r="W130" s="8"/>
      <c r="X130" s="8"/>
      <c r="Y130" s="8"/>
    </row>
    <row r="131" spans="1:25" x14ac:dyDescent="0.25">
      <c r="A131" s="2">
        <v>130</v>
      </c>
      <c r="B131" s="3" t="s">
        <v>157</v>
      </c>
      <c r="C131" t="s">
        <v>158</v>
      </c>
      <c r="D131" t="s">
        <v>7</v>
      </c>
      <c r="E131">
        <v>1</v>
      </c>
      <c r="F131" s="31">
        <v>3.8</v>
      </c>
      <c r="G131" s="31">
        <v>3.8</v>
      </c>
      <c r="H131" s="31">
        <v>5.2</v>
      </c>
      <c r="I131" s="31">
        <v>5</v>
      </c>
      <c r="J131" s="31">
        <v>6.3</v>
      </c>
      <c r="K131" s="31">
        <v>4.9000000000000004</v>
      </c>
      <c r="L131" s="31">
        <v>2.8</v>
      </c>
      <c r="M131" s="31">
        <v>3.6</v>
      </c>
      <c r="N131" s="31">
        <v>1.7472845196839444</v>
      </c>
      <c r="O131" s="31">
        <v>2.3385099792778874</v>
      </c>
      <c r="P131" s="31">
        <v>2.3994865420527276</v>
      </c>
      <c r="Q131" s="31">
        <v>1.8154771775216432</v>
      </c>
      <c r="R131" s="31">
        <v>0.94761159810400386</v>
      </c>
      <c r="S131" s="9">
        <f t="shared" ref="S131:S176" si="4">COUNT(G131:R131)</f>
        <v>12</v>
      </c>
      <c r="T131" s="8"/>
      <c r="U131" s="16">
        <f t="shared" ref="U131:U176" si="5">IF(SUMIF($F$1:$R$1,U$1,$F131:$R131)=0,".",SUMIF($F$1:$R$1,U$1,$F131:$R131))</f>
        <v>5.2</v>
      </c>
      <c r="V131" s="8"/>
      <c r="W131" s="8"/>
      <c r="X131" s="8"/>
      <c r="Y131" s="8"/>
    </row>
    <row r="132" spans="1:25" x14ac:dyDescent="0.25">
      <c r="A132" s="2">
        <v>131</v>
      </c>
      <c r="B132" s="3" t="s">
        <v>159</v>
      </c>
      <c r="C132" t="s">
        <v>159</v>
      </c>
      <c r="D132" t="s">
        <v>14</v>
      </c>
      <c r="E132">
        <v>1</v>
      </c>
      <c r="F132" s="31">
        <v>6</v>
      </c>
      <c r="G132" s="31">
        <v>6</v>
      </c>
      <c r="H132" s="31">
        <v>6.13</v>
      </c>
      <c r="I132" s="31">
        <v>4.5999999999999996</v>
      </c>
      <c r="J132" s="31">
        <v>8.6999999999999993</v>
      </c>
      <c r="K132" s="31">
        <v>7.4</v>
      </c>
      <c r="L132" s="31">
        <v>7.15</v>
      </c>
      <c r="M132" s="31">
        <v>7.3</v>
      </c>
      <c r="N132" s="31">
        <v>8.3914271240242897</v>
      </c>
      <c r="O132" s="31">
        <v>8.2670152514031088</v>
      </c>
      <c r="P132" s="31">
        <v>8.3369663697130818</v>
      </c>
      <c r="Q132" s="31">
        <v>9.6657428910102681</v>
      </c>
      <c r="R132" s="31">
        <v>10.217526186364466</v>
      </c>
      <c r="S132" s="9">
        <f t="shared" si="4"/>
        <v>12</v>
      </c>
      <c r="T132" s="8"/>
      <c r="U132" s="16">
        <f t="shared" si="5"/>
        <v>6.13</v>
      </c>
      <c r="V132" s="8"/>
      <c r="W132" s="8"/>
      <c r="X132" s="8"/>
      <c r="Y132" s="8"/>
    </row>
    <row r="133" spans="1:25" x14ac:dyDescent="0.25">
      <c r="A133" s="2">
        <v>132</v>
      </c>
      <c r="B133" s="3" t="s">
        <v>160</v>
      </c>
      <c r="C133" t="s">
        <v>161</v>
      </c>
      <c r="D133" t="s">
        <v>16</v>
      </c>
      <c r="E133" t="s">
        <v>12</v>
      </c>
      <c r="F133" s="31">
        <v>11.34</v>
      </c>
      <c r="G133" s="31">
        <v>11.34</v>
      </c>
      <c r="H133" s="31">
        <v>7.73</v>
      </c>
      <c r="I133" s="31">
        <v>6.99</v>
      </c>
      <c r="J133" s="31">
        <v>11.58</v>
      </c>
      <c r="K133" s="31">
        <v>9.1999999999999993</v>
      </c>
      <c r="L133" s="31">
        <v>7.84</v>
      </c>
      <c r="M133" s="31">
        <v>5.9</v>
      </c>
      <c r="N133" s="31">
        <v>1.63</v>
      </c>
      <c r="O133" s="31">
        <v>4.71</v>
      </c>
      <c r="P133" s="31">
        <v>0</v>
      </c>
      <c r="Q133" s="31">
        <v>0</v>
      </c>
      <c r="R133" s="31">
        <v>0</v>
      </c>
      <c r="S133" s="9">
        <f t="shared" si="4"/>
        <v>12</v>
      </c>
      <c r="T133" s="8"/>
      <c r="U133" s="16">
        <f t="shared" si="5"/>
        <v>7.73</v>
      </c>
      <c r="V133" s="8"/>
      <c r="W133" s="8"/>
      <c r="X133" s="8"/>
      <c r="Y133" s="8"/>
    </row>
    <row r="134" spans="1:25" x14ac:dyDescent="0.25">
      <c r="A134" s="2">
        <v>133</v>
      </c>
      <c r="B134" s="3" t="s">
        <v>162</v>
      </c>
      <c r="C134" t="s">
        <v>162</v>
      </c>
      <c r="D134" t="s">
        <v>21</v>
      </c>
      <c r="E134" t="s">
        <v>12</v>
      </c>
      <c r="F134" s="31">
        <v>12</v>
      </c>
      <c r="G134" s="31">
        <v>12</v>
      </c>
      <c r="H134" s="31">
        <v>7.12</v>
      </c>
      <c r="I134" s="31">
        <v>7.1</v>
      </c>
      <c r="J134" s="31">
        <v>9.6999999999999993</v>
      </c>
      <c r="K134" s="31">
        <v>9.6999999999999993</v>
      </c>
      <c r="L134" s="31">
        <v>9.9</v>
      </c>
      <c r="M134" s="31">
        <v>10.6</v>
      </c>
      <c r="N134" s="31">
        <v>2.57</v>
      </c>
      <c r="O134" s="31">
        <v>10.64</v>
      </c>
      <c r="P134" s="31">
        <v>0</v>
      </c>
      <c r="Q134" s="31">
        <v>0</v>
      </c>
      <c r="R134" s="31">
        <v>0</v>
      </c>
      <c r="S134" s="9">
        <f t="shared" si="4"/>
        <v>12</v>
      </c>
      <c r="T134" s="8"/>
      <c r="U134" s="16">
        <f t="shared" si="5"/>
        <v>7.12</v>
      </c>
      <c r="V134" s="8"/>
      <c r="W134" s="8"/>
      <c r="X134" s="8"/>
      <c r="Y134" s="8"/>
    </row>
    <row r="135" spans="1:25" x14ac:dyDescent="0.25">
      <c r="A135" s="2">
        <v>134</v>
      </c>
      <c r="B135" s="3" t="s">
        <v>163</v>
      </c>
      <c r="C135" t="s">
        <v>164</v>
      </c>
      <c r="D135" t="s">
        <v>9</v>
      </c>
      <c r="E135">
        <v>1</v>
      </c>
      <c r="F135" s="31">
        <v>3.9</v>
      </c>
      <c r="G135" s="31">
        <v>3.9</v>
      </c>
      <c r="H135" s="31">
        <v>5.5</v>
      </c>
      <c r="I135" s="31">
        <v>4.3</v>
      </c>
      <c r="J135" s="31">
        <v>3.6</v>
      </c>
      <c r="K135" s="31">
        <v>3.4</v>
      </c>
      <c r="L135" s="31">
        <v>3.4</v>
      </c>
      <c r="M135" s="31">
        <v>4.5</v>
      </c>
      <c r="N135" s="31">
        <v>3.9217925733748942</v>
      </c>
      <c r="O135" s="31">
        <v>3.9062550847582216</v>
      </c>
      <c r="P135" s="31">
        <v>3.921076087952919</v>
      </c>
      <c r="Q135" s="31">
        <v>3.9511270178701565</v>
      </c>
      <c r="R135" s="31">
        <v>3.9780612735463237</v>
      </c>
      <c r="S135" s="9">
        <f t="shared" si="4"/>
        <v>12</v>
      </c>
      <c r="T135" s="8"/>
      <c r="U135" s="16">
        <f t="shared" si="5"/>
        <v>5.5</v>
      </c>
      <c r="V135" s="8"/>
      <c r="W135" s="8"/>
      <c r="X135" s="8"/>
      <c r="Y135" s="8"/>
    </row>
    <row r="136" spans="1:25" x14ac:dyDescent="0.25">
      <c r="A136" s="2">
        <v>135</v>
      </c>
      <c r="B136" s="3" t="s">
        <v>165</v>
      </c>
      <c r="C136" t="s">
        <v>165</v>
      </c>
      <c r="D136" t="s">
        <v>14</v>
      </c>
      <c r="E136">
        <v>1</v>
      </c>
      <c r="F136" s="31">
        <v>8.9</v>
      </c>
      <c r="G136" s="31">
        <v>8.9</v>
      </c>
      <c r="H136" s="31">
        <v>8.42</v>
      </c>
      <c r="I136" s="31">
        <v>8</v>
      </c>
      <c r="J136" s="31">
        <v>8.1</v>
      </c>
      <c r="K136" s="31">
        <v>8.5</v>
      </c>
      <c r="L136" s="31">
        <v>11.64</v>
      </c>
      <c r="M136" s="31">
        <v>9</v>
      </c>
      <c r="N136" s="31">
        <v>10.950864337384473</v>
      </c>
      <c r="O136" s="31">
        <v>11.425834252588402</v>
      </c>
      <c r="P136" s="31">
        <v>11.664683638132601</v>
      </c>
      <c r="Q136" s="31">
        <v>12.54073963198357</v>
      </c>
      <c r="R136" s="31">
        <v>13.063850693374889</v>
      </c>
      <c r="S136" s="9">
        <f t="shared" si="4"/>
        <v>12</v>
      </c>
      <c r="T136" s="8"/>
      <c r="U136" s="16">
        <f t="shared" si="5"/>
        <v>8.42</v>
      </c>
      <c r="V136" s="8"/>
      <c r="W136" s="8"/>
      <c r="X136" s="8"/>
      <c r="Y136" s="8"/>
    </row>
    <row r="137" spans="1:25" x14ac:dyDescent="0.25">
      <c r="A137" s="2">
        <v>136</v>
      </c>
      <c r="B137" s="3" t="s">
        <v>166</v>
      </c>
      <c r="C137" t="s">
        <v>166</v>
      </c>
      <c r="D137" t="s">
        <v>7</v>
      </c>
      <c r="E137">
        <v>1</v>
      </c>
      <c r="F137" s="31">
        <v>6</v>
      </c>
      <c r="G137" s="31">
        <v>6</v>
      </c>
      <c r="H137" s="31">
        <v>6.5</v>
      </c>
      <c r="I137" s="31">
        <v>5.9</v>
      </c>
      <c r="J137" s="31">
        <v>6.1</v>
      </c>
      <c r="K137" s="31">
        <v>6.1</v>
      </c>
      <c r="L137" s="31">
        <v>1.2949940658021881</v>
      </c>
      <c r="M137" s="31">
        <v>6.5</v>
      </c>
      <c r="N137" s="31">
        <v>3.9559815680504471</v>
      </c>
      <c r="O137" s="31">
        <v>3.4884133151803098</v>
      </c>
      <c r="P137" s="31">
        <v>3.704834811192427</v>
      </c>
      <c r="Q137" s="31">
        <v>2.8999372376417796</v>
      </c>
      <c r="R137" s="31">
        <v>2.7259503418201803</v>
      </c>
      <c r="S137" s="9">
        <f t="shared" si="4"/>
        <v>12</v>
      </c>
      <c r="T137" s="8"/>
      <c r="U137" s="16">
        <f t="shared" si="5"/>
        <v>6.5</v>
      </c>
      <c r="V137" s="8"/>
      <c r="W137" s="8"/>
      <c r="X137" s="8"/>
      <c r="Y137" s="8"/>
    </row>
    <row r="138" spans="1:25" x14ac:dyDescent="0.25">
      <c r="A138" s="2">
        <v>137</v>
      </c>
      <c r="B138" s="3" t="s">
        <v>167</v>
      </c>
      <c r="C138" t="s">
        <v>167</v>
      </c>
      <c r="D138" t="s">
        <v>14</v>
      </c>
      <c r="E138">
        <v>1</v>
      </c>
      <c r="F138" s="31">
        <v>28.3</v>
      </c>
      <c r="G138" s="31">
        <v>28.3</v>
      </c>
      <c r="H138" s="31">
        <v>28.3</v>
      </c>
      <c r="I138" s="31">
        <v>23</v>
      </c>
      <c r="J138" s="31">
        <v>3.3</v>
      </c>
      <c r="K138" s="31">
        <v>3.3</v>
      </c>
      <c r="L138" s="31">
        <v>1.64</v>
      </c>
      <c r="M138" s="31">
        <v>4.3</v>
      </c>
      <c r="N138" s="31">
        <v>1.63</v>
      </c>
      <c r="O138" s="31">
        <v>2.48</v>
      </c>
      <c r="P138" s="31">
        <v>0</v>
      </c>
      <c r="Q138" s="31">
        <v>0</v>
      </c>
      <c r="R138" s="31">
        <v>0</v>
      </c>
      <c r="S138" s="9">
        <f t="shared" si="4"/>
        <v>12</v>
      </c>
      <c r="T138" s="8"/>
      <c r="U138" s="16">
        <f t="shared" si="5"/>
        <v>28.3</v>
      </c>
      <c r="V138" s="8"/>
      <c r="W138" s="8"/>
      <c r="X138" s="8"/>
      <c r="Y138" s="8"/>
    </row>
    <row r="139" spans="1:25" x14ac:dyDescent="0.25">
      <c r="A139" s="2">
        <v>138</v>
      </c>
      <c r="B139" s="3" t="s">
        <v>168</v>
      </c>
      <c r="C139" t="s">
        <v>169</v>
      </c>
      <c r="D139" t="s">
        <v>14</v>
      </c>
      <c r="E139">
        <v>1</v>
      </c>
      <c r="F139" s="31">
        <v>13.6</v>
      </c>
      <c r="G139" s="31">
        <v>13.6</v>
      </c>
      <c r="H139" s="31">
        <v>9.8800000000000008</v>
      </c>
      <c r="I139" s="31">
        <v>9.9</v>
      </c>
      <c r="J139" s="31">
        <v>10.3</v>
      </c>
      <c r="K139" s="31">
        <v>10.3</v>
      </c>
      <c r="L139" s="31">
        <v>10.31</v>
      </c>
      <c r="M139" s="31">
        <v>10.31</v>
      </c>
      <c r="N139" s="31">
        <v>10.46419039892973</v>
      </c>
      <c r="O139" s="31">
        <v>10.632624513326903</v>
      </c>
      <c r="P139" s="31">
        <v>10.763202611390028</v>
      </c>
      <c r="Q139" s="31">
        <v>10.766399651961422</v>
      </c>
      <c r="R139" s="31">
        <v>10.720688164489985</v>
      </c>
      <c r="S139" s="9">
        <f t="shared" si="4"/>
        <v>12</v>
      </c>
      <c r="T139" s="8"/>
      <c r="U139" s="16">
        <f t="shared" si="5"/>
        <v>9.8800000000000008</v>
      </c>
      <c r="V139" s="8"/>
      <c r="W139" s="8"/>
      <c r="X139" s="8"/>
      <c r="Y139" s="8"/>
    </row>
    <row r="140" spans="1:25" x14ac:dyDescent="0.25">
      <c r="A140" s="2">
        <v>139</v>
      </c>
      <c r="B140" s="3" t="s">
        <v>170</v>
      </c>
      <c r="C140" t="s">
        <v>170</v>
      </c>
      <c r="D140" t="s">
        <v>25</v>
      </c>
      <c r="E140">
        <v>1</v>
      </c>
      <c r="F140" s="31">
        <v>1.35</v>
      </c>
      <c r="G140" s="31">
        <v>1.35</v>
      </c>
      <c r="H140" s="31">
        <v>0.91</v>
      </c>
      <c r="I140" s="31">
        <v>1.51</v>
      </c>
      <c r="J140" s="31">
        <v>3.78</v>
      </c>
      <c r="K140" s="31">
        <v>3.76</v>
      </c>
      <c r="L140" s="31">
        <v>0.45</v>
      </c>
      <c r="M140" s="31">
        <v>0.1</v>
      </c>
      <c r="N140" s="31">
        <v>7.9999974930167639E-2</v>
      </c>
      <c r="O140" s="31">
        <v>0.10320463738773356</v>
      </c>
      <c r="P140" s="31">
        <v>0.11689663137777728</v>
      </c>
      <c r="Q140" s="31">
        <v>0.14032085437659703</v>
      </c>
      <c r="R140" s="31">
        <v>0.16228491500562825</v>
      </c>
      <c r="S140" s="9">
        <f t="shared" si="4"/>
        <v>12</v>
      </c>
      <c r="T140" s="8"/>
      <c r="U140" s="16">
        <f t="shared" si="5"/>
        <v>0.91</v>
      </c>
      <c r="V140" s="8"/>
      <c r="W140" s="8"/>
      <c r="X140" s="8"/>
      <c r="Y140" s="8"/>
    </row>
    <row r="141" spans="1:25" x14ac:dyDescent="0.25">
      <c r="A141" s="2">
        <v>140</v>
      </c>
      <c r="B141" s="3" t="s">
        <v>171</v>
      </c>
      <c r="C141" t="s">
        <v>171</v>
      </c>
      <c r="D141" t="s">
        <v>23</v>
      </c>
      <c r="E141" t="s">
        <v>12</v>
      </c>
      <c r="F141" s="31">
        <v>1.6</v>
      </c>
      <c r="G141" s="31">
        <v>1.6</v>
      </c>
      <c r="H141" s="31">
        <v>1.0900000000000001</v>
      </c>
      <c r="I141" s="31">
        <v>1</v>
      </c>
      <c r="J141" s="31">
        <v>1</v>
      </c>
      <c r="K141" s="31">
        <v>0.63</v>
      </c>
      <c r="L141" s="31">
        <v>0.89</v>
      </c>
      <c r="M141" s="31">
        <v>2.13</v>
      </c>
      <c r="N141" s="31">
        <v>2.17</v>
      </c>
      <c r="O141" s="31">
        <v>4.6900000000000004</v>
      </c>
      <c r="P141" s="31">
        <v>0</v>
      </c>
      <c r="Q141" s="31">
        <v>0</v>
      </c>
      <c r="R141" s="31">
        <v>0</v>
      </c>
      <c r="S141" s="9">
        <f t="shared" si="4"/>
        <v>12</v>
      </c>
      <c r="T141" s="8"/>
      <c r="U141" s="16">
        <f t="shared" si="5"/>
        <v>1.0900000000000001</v>
      </c>
      <c r="V141" s="8"/>
      <c r="W141" s="8"/>
      <c r="X141" s="8"/>
      <c r="Y141" s="8"/>
    </row>
    <row r="142" spans="1:25" x14ac:dyDescent="0.25">
      <c r="A142" s="2">
        <v>141</v>
      </c>
      <c r="B142" s="3" t="s">
        <v>172</v>
      </c>
      <c r="C142" t="s">
        <v>172</v>
      </c>
      <c r="D142" t="s">
        <v>23</v>
      </c>
      <c r="E142">
        <v>1</v>
      </c>
      <c r="F142" s="31">
        <v>1.6</v>
      </c>
      <c r="G142" s="31">
        <v>1.6</v>
      </c>
      <c r="H142" s="31">
        <v>1.0900000000000001</v>
      </c>
      <c r="I142" s="31">
        <v>1</v>
      </c>
      <c r="J142" s="31">
        <v>1</v>
      </c>
      <c r="K142" s="31">
        <v>1.5</v>
      </c>
      <c r="L142" s="31">
        <v>1.57</v>
      </c>
      <c r="M142" s="31">
        <v>2</v>
      </c>
      <c r="N142" s="31">
        <v>2.1347389713210987</v>
      </c>
      <c r="O142" s="31">
        <v>2.2621638777791304</v>
      </c>
      <c r="P142" s="31">
        <v>3.0251577763631303</v>
      </c>
      <c r="Q142" s="31">
        <v>2.9400032552404127</v>
      </c>
      <c r="R142" s="31">
        <v>3.1491040464270554</v>
      </c>
      <c r="S142" s="9">
        <f t="shared" si="4"/>
        <v>12</v>
      </c>
      <c r="T142" s="8"/>
      <c r="U142" s="16">
        <f t="shared" si="5"/>
        <v>1.0900000000000001</v>
      </c>
      <c r="V142" s="8"/>
      <c r="W142" s="8"/>
      <c r="X142" s="8"/>
      <c r="Y142" s="8"/>
    </row>
    <row r="143" spans="1:25" x14ac:dyDescent="0.25">
      <c r="A143" s="2">
        <v>142</v>
      </c>
      <c r="B143" s="3" t="s">
        <v>173</v>
      </c>
      <c r="C143" t="s">
        <v>174</v>
      </c>
      <c r="D143" t="s">
        <v>25</v>
      </c>
      <c r="E143" t="s">
        <v>12</v>
      </c>
      <c r="F143" s="31">
        <v>8.6999999999999993</v>
      </c>
      <c r="G143" s="31">
        <v>8.6999999999999993</v>
      </c>
      <c r="H143" s="31">
        <v>8.5</v>
      </c>
      <c r="I143" s="31">
        <v>8.5</v>
      </c>
      <c r="J143" s="31">
        <v>8.5</v>
      </c>
      <c r="K143" s="31">
        <v>8.5</v>
      </c>
      <c r="L143" s="31">
        <v>7.65</v>
      </c>
      <c r="M143" s="31">
        <v>14.1</v>
      </c>
      <c r="N143" s="31">
        <v>2.7</v>
      </c>
      <c r="O143" s="31">
        <v>13.1</v>
      </c>
      <c r="P143" s="31">
        <v>0</v>
      </c>
      <c r="Q143" s="31">
        <v>0</v>
      </c>
      <c r="R143" s="31">
        <v>0</v>
      </c>
      <c r="S143" s="9">
        <f t="shared" si="4"/>
        <v>12</v>
      </c>
      <c r="T143" s="8"/>
      <c r="U143" s="16">
        <f t="shared" si="5"/>
        <v>8.5</v>
      </c>
      <c r="V143" s="8"/>
      <c r="W143" s="8"/>
      <c r="X143" s="8"/>
      <c r="Y143" s="8"/>
    </row>
    <row r="144" spans="1:25" x14ac:dyDescent="0.25">
      <c r="A144" s="2">
        <v>143</v>
      </c>
      <c r="B144" s="3" t="s">
        <v>175</v>
      </c>
      <c r="C144" t="s">
        <v>175</v>
      </c>
      <c r="D144" t="s">
        <v>14</v>
      </c>
      <c r="E144" t="s">
        <v>12</v>
      </c>
      <c r="F144" s="31">
        <v>4.75</v>
      </c>
      <c r="G144" s="31">
        <v>4.75</v>
      </c>
      <c r="H144" s="31">
        <v>17.95</v>
      </c>
      <c r="I144" s="31">
        <v>10.71</v>
      </c>
      <c r="J144" s="31">
        <v>9.17</v>
      </c>
      <c r="K144" s="31">
        <v>7.25</v>
      </c>
      <c r="L144" s="31">
        <v>7.14</v>
      </c>
      <c r="M144" s="31">
        <v>6.44</v>
      </c>
      <c r="N144" s="31">
        <v>3.34</v>
      </c>
      <c r="O144" s="31">
        <v>3.53</v>
      </c>
      <c r="P144" s="31">
        <v>0</v>
      </c>
      <c r="Q144" s="31">
        <v>0</v>
      </c>
      <c r="R144" s="31">
        <v>0</v>
      </c>
      <c r="S144" s="9">
        <f t="shared" si="4"/>
        <v>12</v>
      </c>
      <c r="T144" s="8"/>
      <c r="U144" s="16">
        <f t="shared" si="5"/>
        <v>17.95</v>
      </c>
      <c r="V144" s="8"/>
      <c r="W144" s="8"/>
      <c r="X144" s="8"/>
      <c r="Y144" s="8"/>
    </row>
    <row r="145" spans="1:25" x14ac:dyDescent="0.25">
      <c r="A145" s="2">
        <v>144</v>
      </c>
      <c r="B145" s="3" t="s">
        <v>176</v>
      </c>
      <c r="C145" t="s">
        <v>177</v>
      </c>
      <c r="D145" t="s">
        <v>14</v>
      </c>
      <c r="E145">
        <v>1</v>
      </c>
      <c r="F145" s="31">
        <v>4.4000000000000004</v>
      </c>
      <c r="G145" s="31">
        <v>4.4000000000000004</v>
      </c>
      <c r="H145" s="31">
        <v>4.46</v>
      </c>
      <c r="I145" s="31">
        <v>4.2</v>
      </c>
      <c r="J145" s="31">
        <v>4</v>
      </c>
      <c r="K145" s="31">
        <v>3.9</v>
      </c>
      <c r="L145" s="31">
        <v>4.22</v>
      </c>
      <c r="M145" s="31">
        <v>4.5</v>
      </c>
      <c r="N145" s="31">
        <v>4.3819310412589232</v>
      </c>
      <c r="O145" s="31">
        <v>4.4746992198353723</v>
      </c>
      <c r="P145" s="31">
        <v>4.6417656418406352</v>
      </c>
      <c r="Q145" s="31">
        <v>4.6898023546718832</v>
      </c>
      <c r="R145" s="31">
        <v>4.7079655952076109</v>
      </c>
      <c r="S145" s="9">
        <f t="shared" si="4"/>
        <v>12</v>
      </c>
      <c r="T145" s="8"/>
      <c r="U145" s="16">
        <f t="shared" si="5"/>
        <v>4.46</v>
      </c>
      <c r="V145" s="8"/>
      <c r="W145" s="8"/>
      <c r="X145" s="8"/>
      <c r="Y145" s="8"/>
    </row>
    <row r="146" spans="1:25" x14ac:dyDescent="0.25">
      <c r="A146" s="2">
        <v>145</v>
      </c>
      <c r="B146" s="3" t="s">
        <v>178</v>
      </c>
      <c r="C146" t="s">
        <v>179</v>
      </c>
      <c r="D146" t="s">
        <v>25</v>
      </c>
      <c r="E146" t="s">
        <v>12</v>
      </c>
      <c r="F146" s="31">
        <v>8.6999999999999993</v>
      </c>
      <c r="G146" s="31">
        <v>8.6999999999999993</v>
      </c>
      <c r="H146" s="31">
        <v>8.7100000000000009</v>
      </c>
      <c r="I146" s="31">
        <v>8.6999999999999993</v>
      </c>
      <c r="J146" s="31">
        <v>7.7</v>
      </c>
      <c r="K146" s="31">
        <v>5.2</v>
      </c>
      <c r="L146" s="31">
        <v>4.78</v>
      </c>
      <c r="M146" s="31">
        <v>4.8</v>
      </c>
      <c r="N146" s="31">
        <v>1.05</v>
      </c>
      <c r="O146" s="31">
        <v>2.95</v>
      </c>
      <c r="P146" s="31">
        <v>0</v>
      </c>
      <c r="Q146" s="31">
        <v>0</v>
      </c>
      <c r="R146" s="31">
        <v>0</v>
      </c>
      <c r="S146" s="9">
        <f t="shared" si="4"/>
        <v>12</v>
      </c>
      <c r="T146" s="8"/>
      <c r="U146" s="16">
        <f t="shared" si="5"/>
        <v>8.7100000000000009</v>
      </c>
      <c r="V146" s="8"/>
      <c r="W146" s="8"/>
      <c r="X146" s="8"/>
      <c r="Y146" s="8"/>
    </row>
    <row r="147" spans="1:25" x14ac:dyDescent="0.25">
      <c r="A147" s="2">
        <v>146</v>
      </c>
      <c r="B147" s="3" t="s">
        <v>180</v>
      </c>
      <c r="C147" t="s">
        <v>180</v>
      </c>
      <c r="D147" t="s">
        <v>23</v>
      </c>
      <c r="E147">
        <v>1</v>
      </c>
      <c r="F147" s="31">
        <v>1.6</v>
      </c>
      <c r="G147" s="31">
        <v>1.6</v>
      </c>
      <c r="H147" s="31">
        <v>1.0900000000000001</v>
      </c>
      <c r="I147" s="31">
        <v>1</v>
      </c>
      <c r="J147" s="31">
        <v>1</v>
      </c>
      <c r="K147" s="31">
        <v>1.5</v>
      </c>
      <c r="L147" s="31">
        <v>1.57</v>
      </c>
      <c r="M147" s="31">
        <v>2</v>
      </c>
      <c r="N147" s="31">
        <v>2.2944037501366665</v>
      </c>
      <c r="O147" s="31">
        <v>2.4059446180896202</v>
      </c>
      <c r="P147" s="31">
        <v>2.6552595270877646</v>
      </c>
      <c r="Q147" s="31">
        <v>2.8228394250548945</v>
      </c>
      <c r="R147" s="31">
        <v>3.2653276252320893</v>
      </c>
      <c r="S147" s="9">
        <f t="shared" si="4"/>
        <v>12</v>
      </c>
      <c r="T147" s="8"/>
      <c r="U147" s="16">
        <f t="shared" si="5"/>
        <v>1.0900000000000001</v>
      </c>
      <c r="V147" s="8"/>
      <c r="W147" s="8"/>
      <c r="X147" s="8"/>
      <c r="Y147" s="8"/>
    </row>
    <row r="148" spans="1:25" x14ac:dyDescent="0.25">
      <c r="A148" s="2">
        <v>147</v>
      </c>
      <c r="B148" s="3" t="s">
        <v>181</v>
      </c>
      <c r="C148" t="s">
        <v>182</v>
      </c>
      <c r="D148" t="s">
        <v>25</v>
      </c>
      <c r="E148">
        <v>1</v>
      </c>
      <c r="F148" s="31">
        <v>6.9</v>
      </c>
      <c r="G148" s="31">
        <v>6.9</v>
      </c>
      <c r="H148" s="31">
        <v>5.7</v>
      </c>
      <c r="I148" s="31">
        <v>6.7</v>
      </c>
      <c r="J148" s="31">
        <v>6.3</v>
      </c>
      <c r="K148" s="31">
        <v>5.3</v>
      </c>
      <c r="L148" s="31">
        <v>5.25</v>
      </c>
      <c r="M148" s="31">
        <v>4.4000000000000004</v>
      </c>
      <c r="N148" s="31">
        <v>3.3853231847824645</v>
      </c>
      <c r="O148" s="31">
        <v>3.7383149896245413</v>
      </c>
      <c r="P148" s="31">
        <v>1.549510720085209</v>
      </c>
      <c r="Q148" s="31">
        <v>3.2506295026078078</v>
      </c>
      <c r="R148" s="31">
        <v>1.522433344992578</v>
      </c>
      <c r="S148" s="9">
        <f t="shared" si="4"/>
        <v>12</v>
      </c>
      <c r="T148" s="8"/>
      <c r="U148" s="16">
        <f t="shared" si="5"/>
        <v>5.7</v>
      </c>
      <c r="V148" s="8"/>
      <c r="W148" s="8"/>
      <c r="X148" s="8"/>
      <c r="Y148" s="8"/>
    </row>
    <row r="149" spans="1:25" x14ac:dyDescent="0.25">
      <c r="A149" s="2">
        <v>148</v>
      </c>
      <c r="B149" s="3" t="s">
        <v>183</v>
      </c>
      <c r="C149" t="s">
        <v>183</v>
      </c>
      <c r="D149" t="s">
        <v>18</v>
      </c>
      <c r="E149">
        <v>1</v>
      </c>
      <c r="F149" s="31">
        <v>11.9</v>
      </c>
      <c r="G149" s="31">
        <v>11.9</v>
      </c>
      <c r="H149" s="31">
        <v>11.9</v>
      </c>
      <c r="I149" s="31">
        <v>11.9</v>
      </c>
      <c r="J149" s="31">
        <v>10.8</v>
      </c>
      <c r="K149" s="31">
        <v>10.8</v>
      </c>
      <c r="L149" s="31">
        <v>7.61</v>
      </c>
      <c r="M149" s="31">
        <v>10.199999999999999</v>
      </c>
      <c r="N149" s="31">
        <v>8.0245618625644966</v>
      </c>
      <c r="O149" s="31">
        <v>6.5913124231440179</v>
      </c>
      <c r="P149" s="31">
        <v>6.9817341465009122</v>
      </c>
      <c r="Q149" s="31">
        <v>6.8571268350126502</v>
      </c>
      <c r="R149" s="31">
        <v>5.3179002121598842</v>
      </c>
      <c r="S149" s="9">
        <f t="shared" si="4"/>
        <v>12</v>
      </c>
      <c r="T149" s="8"/>
      <c r="U149" s="16">
        <f t="shared" si="5"/>
        <v>11.9</v>
      </c>
      <c r="V149" s="8"/>
      <c r="W149" s="8"/>
      <c r="X149" s="8"/>
      <c r="Y149" s="8"/>
    </row>
    <row r="150" spans="1:25" x14ac:dyDescent="0.25">
      <c r="A150" s="2">
        <v>149</v>
      </c>
      <c r="B150" s="3" t="s">
        <v>184</v>
      </c>
      <c r="C150" t="s">
        <v>184</v>
      </c>
      <c r="D150" t="s">
        <v>14</v>
      </c>
      <c r="E150">
        <v>1</v>
      </c>
      <c r="F150" s="31">
        <v>10.199999999999999</v>
      </c>
      <c r="G150" s="31">
        <v>10.199999999999999</v>
      </c>
      <c r="H150" s="31">
        <v>4.24</v>
      </c>
      <c r="I150" s="31">
        <v>7</v>
      </c>
      <c r="J150" s="31">
        <v>0.6</v>
      </c>
      <c r="K150" s="31">
        <v>0.6</v>
      </c>
      <c r="L150" s="31">
        <v>5.17</v>
      </c>
      <c r="M150" s="31">
        <v>1.53</v>
      </c>
      <c r="N150" s="31">
        <v>2.34</v>
      </c>
      <c r="O150" s="31">
        <v>5.39</v>
      </c>
      <c r="P150" s="31">
        <v>0</v>
      </c>
      <c r="Q150" s="31">
        <v>0</v>
      </c>
      <c r="R150" s="31">
        <v>0</v>
      </c>
      <c r="S150" s="9">
        <f t="shared" si="4"/>
        <v>12</v>
      </c>
      <c r="T150" s="8"/>
      <c r="U150" s="16">
        <f t="shared" si="5"/>
        <v>4.24</v>
      </c>
      <c r="V150" s="8"/>
      <c r="W150" s="8"/>
      <c r="X150" s="8"/>
      <c r="Y150" s="8"/>
    </row>
    <row r="151" spans="1:25" x14ac:dyDescent="0.25">
      <c r="A151" s="2">
        <v>150</v>
      </c>
      <c r="B151" s="3" t="s">
        <v>185</v>
      </c>
      <c r="C151" t="s">
        <v>185</v>
      </c>
      <c r="D151" t="s">
        <v>23</v>
      </c>
      <c r="E151">
        <v>1</v>
      </c>
      <c r="F151" s="31">
        <v>1.6</v>
      </c>
      <c r="G151" s="31">
        <v>1.6</v>
      </c>
      <c r="H151" s="31">
        <v>1.0900000000000001</v>
      </c>
      <c r="I151" s="31">
        <v>1</v>
      </c>
      <c r="J151" s="31">
        <v>1</v>
      </c>
      <c r="K151" s="31">
        <v>1.5</v>
      </c>
      <c r="L151" s="31">
        <v>1.57</v>
      </c>
      <c r="M151" s="31">
        <v>2</v>
      </c>
      <c r="N151" s="31">
        <v>2.229956322885414</v>
      </c>
      <c r="O151" s="31">
        <v>2.6559262966122787</v>
      </c>
      <c r="P151" s="31">
        <v>2.3772754305376793</v>
      </c>
      <c r="Q151" s="31">
        <v>2.644756514088499</v>
      </c>
      <c r="R151" s="31">
        <v>3.4341628593255109</v>
      </c>
      <c r="S151" s="9">
        <f t="shared" si="4"/>
        <v>12</v>
      </c>
      <c r="T151" s="8"/>
      <c r="U151" s="16">
        <f t="shared" si="5"/>
        <v>1.0900000000000001</v>
      </c>
      <c r="V151" s="8"/>
      <c r="W151" s="8"/>
      <c r="X151" s="8"/>
      <c r="Y151" s="8"/>
    </row>
    <row r="152" spans="1:25" x14ac:dyDescent="0.25">
      <c r="A152" s="2">
        <v>151</v>
      </c>
      <c r="B152" s="3" t="s">
        <v>186</v>
      </c>
      <c r="C152" t="s">
        <v>186</v>
      </c>
      <c r="D152" t="s">
        <v>7</v>
      </c>
      <c r="E152">
        <v>1</v>
      </c>
      <c r="F152" s="31">
        <v>1.69</v>
      </c>
      <c r="G152" s="31">
        <v>1.69</v>
      </c>
      <c r="H152" s="31">
        <v>3.04</v>
      </c>
      <c r="I152" s="31">
        <v>3.33</v>
      </c>
      <c r="J152" s="31">
        <v>0.75</v>
      </c>
      <c r="K152" s="31">
        <v>0.09</v>
      </c>
      <c r="L152" s="31">
        <v>2.4700000000000002</v>
      </c>
      <c r="M152" s="31">
        <v>1.3</v>
      </c>
      <c r="N152" s="31">
        <v>0.96711400644051082</v>
      </c>
      <c r="O152" s="31">
        <v>1.5712016504426174</v>
      </c>
      <c r="P152" s="31">
        <v>1.5004730553869194</v>
      </c>
      <c r="Q152" s="31">
        <v>1.5776634390963409</v>
      </c>
      <c r="R152" s="31">
        <v>1.8979267942766</v>
      </c>
      <c r="S152" s="9">
        <f t="shared" si="4"/>
        <v>12</v>
      </c>
      <c r="T152" s="8"/>
      <c r="U152" s="16">
        <f t="shared" si="5"/>
        <v>3.04</v>
      </c>
      <c r="V152" s="8"/>
      <c r="W152" s="8"/>
      <c r="X152" s="8"/>
      <c r="Y152" s="8"/>
    </row>
    <row r="153" spans="1:25" x14ac:dyDescent="0.25">
      <c r="A153" s="2">
        <v>152</v>
      </c>
      <c r="B153" s="3" t="s">
        <v>187</v>
      </c>
      <c r="C153" t="s">
        <v>187</v>
      </c>
      <c r="D153" t="s">
        <v>9</v>
      </c>
      <c r="E153">
        <v>1</v>
      </c>
      <c r="F153" s="31">
        <v>6.1</v>
      </c>
      <c r="G153" s="31">
        <v>6.1</v>
      </c>
      <c r="H153" s="31">
        <v>6.2</v>
      </c>
      <c r="I153" s="31">
        <v>4.6900000000000004</v>
      </c>
      <c r="J153" s="31">
        <v>14.2</v>
      </c>
      <c r="K153" s="31">
        <v>14.2</v>
      </c>
      <c r="L153" s="31">
        <v>14.18</v>
      </c>
      <c r="M153" s="31">
        <v>16.5</v>
      </c>
      <c r="N153" s="31">
        <v>16.102914889590465</v>
      </c>
      <c r="O153" s="31">
        <v>25.508702449582415</v>
      </c>
      <c r="P153" s="31">
        <v>25.891310560141392</v>
      </c>
      <c r="Q153" s="31">
        <v>43.314964606597641</v>
      </c>
      <c r="R153" s="31">
        <v>39.574990022111706</v>
      </c>
      <c r="S153" s="9">
        <f t="shared" si="4"/>
        <v>12</v>
      </c>
      <c r="T153" s="8"/>
      <c r="U153" s="16">
        <f t="shared" si="5"/>
        <v>6.2</v>
      </c>
      <c r="V153" s="8"/>
      <c r="W153" s="8"/>
      <c r="X153" s="8"/>
      <c r="Y153" s="8"/>
    </row>
    <row r="154" spans="1:25" x14ac:dyDescent="0.25">
      <c r="A154" s="2">
        <v>153</v>
      </c>
      <c r="B154" s="3" t="s">
        <v>188</v>
      </c>
      <c r="C154" t="s">
        <v>188</v>
      </c>
      <c r="D154" t="s">
        <v>25</v>
      </c>
      <c r="E154">
        <v>1</v>
      </c>
      <c r="F154" s="31">
        <v>5.9</v>
      </c>
      <c r="G154" s="31">
        <v>5.9</v>
      </c>
      <c r="H154" s="31">
        <v>5.9</v>
      </c>
      <c r="I154" s="31">
        <v>5.2</v>
      </c>
      <c r="J154" s="31">
        <v>5.7</v>
      </c>
      <c r="K154" s="31">
        <v>5.6</v>
      </c>
      <c r="L154" s="31">
        <v>7.18</v>
      </c>
      <c r="M154" s="31">
        <v>5.7</v>
      </c>
      <c r="N154" s="31">
        <v>6.2578344637015562</v>
      </c>
      <c r="O154" s="31">
        <v>7.3455014824770046</v>
      </c>
      <c r="P154" s="31">
        <v>7.461451828810084</v>
      </c>
      <c r="Q154" s="31">
        <v>7.4181207919718872</v>
      </c>
      <c r="R154" s="31">
        <v>7.6562938346855844</v>
      </c>
      <c r="S154" s="9">
        <f t="shared" si="4"/>
        <v>12</v>
      </c>
      <c r="T154" s="8"/>
      <c r="U154" s="16">
        <f t="shared" si="5"/>
        <v>5.9</v>
      </c>
      <c r="V154" s="8"/>
      <c r="W154" s="8"/>
      <c r="X154" s="8"/>
      <c r="Y154" s="8"/>
    </row>
    <row r="155" spans="1:25" x14ac:dyDescent="0.25">
      <c r="A155" s="2">
        <v>154</v>
      </c>
      <c r="B155" s="3" t="s">
        <v>189</v>
      </c>
      <c r="C155" t="s">
        <v>189</v>
      </c>
      <c r="D155" t="s">
        <v>14</v>
      </c>
      <c r="E155">
        <v>1</v>
      </c>
      <c r="F155" s="31">
        <v>8.1999999999999993</v>
      </c>
      <c r="G155" s="31">
        <v>8.1999999999999993</v>
      </c>
      <c r="H155" s="31">
        <v>6.61</v>
      </c>
      <c r="I155" s="31">
        <v>11.5</v>
      </c>
      <c r="J155" s="31">
        <v>8.4</v>
      </c>
      <c r="K155" s="31">
        <v>7</v>
      </c>
      <c r="L155" s="31">
        <v>6.54</v>
      </c>
      <c r="M155" s="31">
        <v>8.6</v>
      </c>
      <c r="N155" s="31">
        <v>6.0279544761267516</v>
      </c>
      <c r="O155" s="31">
        <v>4.5164519649974864</v>
      </c>
      <c r="P155" s="31">
        <v>4.6798002511316099</v>
      </c>
      <c r="Q155" s="31">
        <v>3.6390092006831765</v>
      </c>
      <c r="R155" s="31">
        <v>2.491885904452829</v>
      </c>
      <c r="S155" s="9">
        <f t="shared" si="4"/>
        <v>12</v>
      </c>
      <c r="T155" s="8"/>
      <c r="U155" s="16">
        <f t="shared" si="5"/>
        <v>6.61</v>
      </c>
      <c r="V155" s="8"/>
      <c r="W155" s="8"/>
      <c r="X155" s="8"/>
      <c r="Y155" s="8"/>
    </row>
    <row r="156" spans="1:25" x14ac:dyDescent="0.25">
      <c r="A156" s="2">
        <v>155</v>
      </c>
      <c r="B156" s="3" t="s">
        <v>190</v>
      </c>
      <c r="C156" t="s">
        <v>190</v>
      </c>
      <c r="D156" t="s">
        <v>25</v>
      </c>
      <c r="E156">
        <v>1</v>
      </c>
      <c r="F156" s="31">
        <v>4.9000000000000004</v>
      </c>
      <c r="G156" s="31">
        <v>4.9000000000000004</v>
      </c>
      <c r="H156" s="31">
        <v>5</v>
      </c>
      <c r="I156" s="31">
        <v>4.8</v>
      </c>
      <c r="J156" s="31">
        <v>6.2</v>
      </c>
      <c r="K156" s="31">
        <v>3.6</v>
      </c>
      <c r="L156" s="31">
        <v>3.47</v>
      </c>
      <c r="M156" s="31">
        <v>3.5</v>
      </c>
      <c r="N156" s="31">
        <v>2.2125600661433964</v>
      </c>
      <c r="O156" s="31">
        <v>1.7530541499963874</v>
      </c>
      <c r="P156" s="31">
        <v>1.6384447548305161</v>
      </c>
      <c r="Q156" s="31">
        <v>0.85460806588753258</v>
      </c>
      <c r="R156" s="31">
        <v>1.0793871330206457</v>
      </c>
      <c r="S156" s="9">
        <f t="shared" si="4"/>
        <v>12</v>
      </c>
      <c r="T156" s="8"/>
      <c r="U156" s="16">
        <f t="shared" si="5"/>
        <v>5</v>
      </c>
      <c r="V156" s="8"/>
      <c r="W156" s="8"/>
      <c r="X156" s="8"/>
      <c r="Y156" s="8"/>
    </row>
    <row r="157" spans="1:25" x14ac:dyDescent="0.25">
      <c r="A157" s="2">
        <v>156</v>
      </c>
      <c r="B157" s="3" t="s">
        <v>191</v>
      </c>
      <c r="C157" t="s">
        <v>191</v>
      </c>
      <c r="D157" t="s">
        <v>14</v>
      </c>
      <c r="E157" t="s">
        <v>12</v>
      </c>
      <c r="F157" s="31">
        <v>14.2</v>
      </c>
      <c r="G157" s="31">
        <v>14.2</v>
      </c>
      <c r="H157" s="31">
        <v>11.1</v>
      </c>
      <c r="I157" s="31">
        <v>11.1</v>
      </c>
      <c r="J157" s="31">
        <v>9.4</v>
      </c>
      <c r="K157" s="31">
        <v>9.4</v>
      </c>
      <c r="L157" s="31">
        <v>11.41</v>
      </c>
      <c r="M157" s="31">
        <v>10.3</v>
      </c>
      <c r="N157" s="31">
        <v>2.65</v>
      </c>
      <c r="O157" s="31">
        <v>13.86</v>
      </c>
      <c r="P157" s="31">
        <v>0</v>
      </c>
      <c r="Q157" s="31">
        <v>0</v>
      </c>
      <c r="R157" s="31">
        <v>0</v>
      </c>
      <c r="S157" s="9">
        <f t="shared" si="4"/>
        <v>12</v>
      </c>
      <c r="T157" s="8"/>
      <c r="U157" s="16">
        <f t="shared" si="5"/>
        <v>11.1</v>
      </c>
      <c r="V157" s="8"/>
      <c r="W157" s="8"/>
      <c r="X157" s="8"/>
      <c r="Y157" s="8"/>
    </row>
    <row r="158" spans="1:25" x14ac:dyDescent="0.25">
      <c r="A158" s="2">
        <v>157</v>
      </c>
      <c r="B158" s="3" t="s">
        <v>192</v>
      </c>
      <c r="C158" t="s">
        <v>192</v>
      </c>
      <c r="D158" t="s">
        <v>9</v>
      </c>
      <c r="E158">
        <v>1</v>
      </c>
      <c r="F158" s="31">
        <v>16</v>
      </c>
      <c r="G158" s="31">
        <v>16</v>
      </c>
      <c r="H158" s="31">
        <v>14.1</v>
      </c>
      <c r="I158" s="31">
        <v>14.4</v>
      </c>
      <c r="J158" s="31">
        <v>13.9</v>
      </c>
      <c r="K158" s="31">
        <v>13.1</v>
      </c>
      <c r="L158" s="31">
        <v>3.94</v>
      </c>
      <c r="M158" s="31">
        <v>9.3000000000000007</v>
      </c>
      <c r="N158" s="31">
        <v>8.387953611402736</v>
      </c>
      <c r="O158" s="31">
        <v>9.0399999999999991</v>
      </c>
      <c r="P158" s="31">
        <v>3.9140832083821806</v>
      </c>
      <c r="Q158" s="31">
        <v>0</v>
      </c>
      <c r="R158" s="31">
        <v>0.97713204872025017</v>
      </c>
      <c r="S158" s="9">
        <f t="shared" si="4"/>
        <v>12</v>
      </c>
      <c r="T158" s="8"/>
      <c r="U158" s="16">
        <f t="shared" si="5"/>
        <v>14.1</v>
      </c>
      <c r="V158" s="8"/>
      <c r="W158" s="8"/>
      <c r="X158" s="8"/>
      <c r="Y158" s="8"/>
    </row>
    <row r="159" spans="1:25" x14ac:dyDescent="0.25">
      <c r="A159" s="2">
        <v>158</v>
      </c>
      <c r="B159" s="3" t="s">
        <v>193</v>
      </c>
      <c r="C159" t="s">
        <v>193</v>
      </c>
      <c r="D159" t="s">
        <v>7</v>
      </c>
      <c r="E159">
        <v>1</v>
      </c>
      <c r="F159" s="31">
        <v>2.4</v>
      </c>
      <c r="G159" s="31">
        <v>2.4</v>
      </c>
      <c r="H159" s="31">
        <v>2.74</v>
      </c>
      <c r="I159" s="31">
        <v>2.7</v>
      </c>
      <c r="J159" s="31">
        <v>2.8</v>
      </c>
      <c r="K159" s="31">
        <v>2.8</v>
      </c>
      <c r="L159" s="31">
        <v>3.2</v>
      </c>
      <c r="M159" s="31">
        <v>2.7</v>
      </c>
      <c r="N159" s="31">
        <v>2.9375507299724006</v>
      </c>
      <c r="O159" s="31">
        <v>2.9862772323599955</v>
      </c>
      <c r="P159" s="31">
        <v>3.0108669479874095</v>
      </c>
      <c r="Q159" s="31">
        <v>3.0798118088444113</v>
      </c>
      <c r="R159" s="31">
        <v>3.1119560000349367</v>
      </c>
      <c r="S159" s="9">
        <f t="shared" si="4"/>
        <v>12</v>
      </c>
      <c r="T159" s="8"/>
      <c r="U159" s="16">
        <f t="shared" si="5"/>
        <v>2.74</v>
      </c>
      <c r="V159" s="8"/>
      <c r="W159" s="8"/>
      <c r="X159" s="8"/>
      <c r="Y159" s="8"/>
    </row>
    <row r="160" spans="1:25" x14ac:dyDescent="0.25">
      <c r="A160" s="2">
        <v>159</v>
      </c>
      <c r="B160" s="3" t="s">
        <v>194</v>
      </c>
      <c r="C160" t="s">
        <v>194</v>
      </c>
      <c r="D160" t="s">
        <v>25</v>
      </c>
      <c r="E160" t="s">
        <v>12</v>
      </c>
      <c r="F160" s="31">
        <v>2.9</v>
      </c>
      <c r="G160" s="31">
        <v>2.9</v>
      </c>
      <c r="H160" s="31">
        <v>2.9</v>
      </c>
      <c r="I160" s="31">
        <v>4.3600000000000003</v>
      </c>
      <c r="J160" s="31">
        <v>3.62</v>
      </c>
      <c r="K160" s="31">
        <v>1.1399999999999999</v>
      </c>
      <c r="L160" s="31">
        <v>5.2</v>
      </c>
      <c r="M160" s="31">
        <v>2</v>
      </c>
      <c r="N160" s="31">
        <v>1.99</v>
      </c>
      <c r="O160" s="31">
        <v>4.95</v>
      </c>
      <c r="P160" s="31">
        <v>0</v>
      </c>
      <c r="Q160" s="31">
        <v>0</v>
      </c>
      <c r="R160" s="31">
        <v>0</v>
      </c>
      <c r="S160" s="9">
        <f t="shared" si="4"/>
        <v>12</v>
      </c>
      <c r="T160" s="8"/>
      <c r="U160" s="16">
        <f t="shared" si="5"/>
        <v>2.9</v>
      </c>
      <c r="V160" s="8"/>
      <c r="W160" s="8"/>
      <c r="X160" s="8"/>
      <c r="Y160" s="8"/>
    </row>
    <row r="161" spans="1:25" x14ac:dyDescent="0.25">
      <c r="A161" s="2">
        <v>160</v>
      </c>
      <c r="B161" s="3" t="s">
        <v>195</v>
      </c>
      <c r="C161" t="s">
        <v>195</v>
      </c>
      <c r="D161" t="s">
        <v>14</v>
      </c>
      <c r="E161">
        <v>1</v>
      </c>
      <c r="F161" s="31">
        <v>8.1999999999999993</v>
      </c>
      <c r="G161" s="31">
        <v>8.1999999999999993</v>
      </c>
      <c r="H161" s="31">
        <v>7.31</v>
      </c>
      <c r="I161" s="31">
        <v>6.7</v>
      </c>
      <c r="J161" s="31">
        <v>8.6</v>
      </c>
      <c r="K161" s="31">
        <v>5.9</v>
      </c>
      <c r="L161" s="31">
        <v>5.93</v>
      </c>
      <c r="M161" s="31">
        <v>7.3</v>
      </c>
      <c r="N161" s="31">
        <v>6.3197071457155403</v>
      </c>
      <c r="O161" s="31">
        <v>6.1801379935797058</v>
      </c>
      <c r="P161" s="31">
        <v>6.1812370825361427</v>
      </c>
      <c r="Q161" s="31">
        <v>6.0150722826341507</v>
      </c>
      <c r="R161" s="31">
        <v>5.7967636944765673</v>
      </c>
      <c r="S161" s="9">
        <f t="shared" si="4"/>
        <v>12</v>
      </c>
      <c r="T161" s="8"/>
      <c r="U161" s="16">
        <f t="shared" si="5"/>
        <v>7.31</v>
      </c>
      <c r="V161" s="8"/>
      <c r="W161" s="8"/>
      <c r="X161" s="8"/>
      <c r="Y161" s="8"/>
    </row>
    <row r="162" spans="1:25" x14ac:dyDescent="0.25">
      <c r="A162" s="2">
        <v>161</v>
      </c>
      <c r="B162" s="3" t="s">
        <v>196</v>
      </c>
      <c r="C162" t="s">
        <v>196</v>
      </c>
      <c r="D162" t="s">
        <v>7</v>
      </c>
      <c r="E162">
        <v>1</v>
      </c>
      <c r="F162" s="31">
        <v>2.8</v>
      </c>
      <c r="G162" s="31">
        <v>2.8</v>
      </c>
      <c r="H162" s="31">
        <v>1.91</v>
      </c>
      <c r="I162" s="31">
        <v>2.1</v>
      </c>
      <c r="J162" s="31">
        <v>2.1</v>
      </c>
      <c r="K162" s="31">
        <v>2.1</v>
      </c>
      <c r="L162" s="31">
        <v>1.93</v>
      </c>
      <c r="M162" s="31">
        <v>2.5</v>
      </c>
      <c r="N162" s="31">
        <v>2.375223777894476</v>
      </c>
      <c r="O162" s="31">
        <v>2.3733475922190621</v>
      </c>
      <c r="P162" s="31">
        <v>2.4679248410352841</v>
      </c>
      <c r="Q162" s="31">
        <v>2.4901799267678086</v>
      </c>
      <c r="R162" s="31">
        <v>2.5899140236624163</v>
      </c>
      <c r="S162" s="9">
        <f t="shared" si="4"/>
        <v>12</v>
      </c>
      <c r="T162" s="8"/>
      <c r="U162" s="16">
        <f t="shared" si="5"/>
        <v>1.91</v>
      </c>
      <c r="V162" s="8"/>
      <c r="W162" s="8"/>
      <c r="X162" s="8"/>
      <c r="Y162" s="8"/>
    </row>
    <row r="163" spans="1:25" x14ac:dyDescent="0.25">
      <c r="A163" s="2">
        <v>162</v>
      </c>
      <c r="B163" s="3" t="s">
        <v>197</v>
      </c>
      <c r="C163" t="s">
        <v>198</v>
      </c>
      <c r="D163" t="s">
        <v>9</v>
      </c>
      <c r="E163">
        <v>1</v>
      </c>
      <c r="F163" s="31">
        <v>3.7</v>
      </c>
      <c r="G163" s="31">
        <v>3.7</v>
      </c>
      <c r="H163" s="31">
        <v>3.73</v>
      </c>
      <c r="I163" s="31">
        <v>3.8</v>
      </c>
      <c r="J163" s="31">
        <v>3.6</v>
      </c>
      <c r="K163" s="31">
        <v>3.2</v>
      </c>
      <c r="L163" s="31">
        <v>2.83</v>
      </c>
      <c r="M163" s="31">
        <v>2.8</v>
      </c>
      <c r="N163" s="31">
        <v>2.4981531494893261</v>
      </c>
      <c r="O163" s="31">
        <v>2.1832037218239293</v>
      </c>
      <c r="P163" s="31">
        <v>1.863561645982827</v>
      </c>
      <c r="Q163" s="31">
        <v>1.5753503274390823</v>
      </c>
      <c r="R163" s="31">
        <v>1.2799811130232683</v>
      </c>
      <c r="S163" s="9">
        <f t="shared" si="4"/>
        <v>12</v>
      </c>
      <c r="T163" s="8"/>
      <c r="U163" s="16">
        <f t="shared" si="5"/>
        <v>3.73</v>
      </c>
      <c r="V163" s="8"/>
      <c r="W163" s="8"/>
      <c r="X163" s="8"/>
      <c r="Y163" s="8"/>
    </row>
    <row r="164" spans="1:25" x14ac:dyDescent="0.25">
      <c r="A164" s="2">
        <v>163</v>
      </c>
      <c r="B164" s="3" t="s">
        <v>199</v>
      </c>
      <c r="C164" t="s">
        <v>200</v>
      </c>
      <c r="D164" t="s">
        <v>36</v>
      </c>
      <c r="E164">
        <v>1</v>
      </c>
      <c r="F164" s="31">
        <v>1.8</v>
      </c>
      <c r="G164" s="31">
        <v>1.8</v>
      </c>
      <c r="H164" s="31">
        <v>1.58</v>
      </c>
      <c r="I164" s="31">
        <v>1.5</v>
      </c>
      <c r="J164" s="31">
        <v>1.5</v>
      </c>
      <c r="K164" s="31">
        <v>1.4</v>
      </c>
      <c r="L164" s="31">
        <v>1.64</v>
      </c>
      <c r="M164" s="31">
        <v>1.7</v>
      </c>
      <c r="N164" s="31">
        <v>1.6970260458966351</v>
      </c>
      <c r="O164" s="31">
        <v>1.7595715633432576</v>
      </c>
      <c r="P164" s="31">
        <v>1.8344453265783187</v>
      </c>
      <c r="Q164" s="31">
        <v>1.8485535522435441</v>
      </c>
      <c r="R164" s="31">
        <v>1.9411997785967969</v>
      </c>
      <c r="S164" s="9">
        <f t="shared" si="4"/>
        <v>12</v>
      </c>
      <c r="T164" s="8"/>
      <c r="U164" s="16">
        <f t="shared" si="5"/>
        <v>1.58</v>
      </c>
      <c r="V164" s="8"/>
      <c r="W164" s="8"/>
      <c r="X164" s="8"/>
      <c r="Y164" s="8"/>
    </row>
    <row r="165" spans="1:25" x14ac:dyDescent="0.25">
      <c r="A165" s="2">
        <v>164</v>
      </c>
      <c r="B165" s="3" t="s">
        <v>201</v>
      </c>
      <c r="C165" t="s">
        <v>201</v>
      </c>
      <c r="D165" t="s">
        <v>18</v>
      </c>
      <c r="E165">
        <v>1</v>
      </c>
      <c r="F165" s="31">
        <v>3.6</v>
      </c>
      <c r="G165" s="31">
        <v>3.6</v>
      </c>
      <c r="H165" s="31">
        <v>3.75</v>
      </c>
      <c r="I165" s="31">
        <v>4.0999999999999996</v>
      </c>
      <c r="J165" s="31">
        <v>4.7</v>
      </c>
      <c r="K165" s="31">
        <v>4.7</v>
      </c>
      <c r="L165" s="31">
        <v>4.79</v>
      </c>
      <c r="M165" s="31">
        <v>5.7</v>
      </c>
      <c r="N165" s="31">
        <v>5.9993214350226935</v>
      </c>
      <c r="O165" s="31">
        <v>6.1351474976885356</v>
      </c>
      <c r="P165" s="31">
        <v>6.5224305755893965</v>
      </c>
      <c r="Q165" s="31">
        <v>6.7639353159281654</v>
      </c>
      <c r="R165" s="31">
        <v>6.8661035690173549</v>
      </c>
      <c r="S165" s="9">
        <f t="shared" si="4"/>
        <v>12</v>
      </c>
      <c r="T165" s="8"/>
      <c r="U165" s="16">
        <f t="shared" si="5"/>
        <v>3.75</v>
      </c>
      <c r="V165" s="8"/>
      <c r="W165" s="8"/>
      <c r="X165" s="8"/>
      <c r="Y165" s="8"/>
    </row>
    <row r="166" spans="1:25" x14ac:dyDescent="0.25">
      <c r="A166" s="2">
        <v>165</v>
      </c>
      <c r="B166" s="3" t="s">
        <v>202</v>
      </c>
      <c r="C166" t="s">
        <v>202</v>
      </c>
      <c r="D166" t="s">
        <v>25</v>
      </c>
      <c r="E166" t="s">
        <v>12</v>
      </c>
      <c r="F166" s="31">
        <v>6.9</v>
      </c>
      <c r="G166" s="31">
        <v>6.9</v>
      </c>
      <c r="H166" s="31">
        <v>6.93</v>
      </c>
      <c r="I166" s="31">
        <v>5.0999999999999996</v>
      </c>
      <c r="J166" s="31">
        <v>7.2</v>
      </c>
      <c r="K166" s="31">
        <v>6.6</v>
      </c>
      <c r="L166" s="31">
        <v>8.73</v>
      </c>
      <c r="M166" s="31">
        <v>8.6999999999999993</v>
      </c>
      <c r="N166" s="31">
        <v>2.39</v>
      </c>
      <c r="O166" s="31">
        <v>4.6100000000000003</v>
      </c>
      <c r="P166" s="31">
        <v>0</v>
      </c>
      <c r="Q166" s="31">
        <v>0</v>
      </c>
      <c r="R166" s="31">
        <v>0</v>
      </c>
      <c r="S166" s="9">
        <f t="shared" si="4"/>
        <v>12</v>
      </c>
      <c r="T166" s="8"/>
      <c r="U166" s="16">
        <f t="shared" si="5"/>
        <v>6.93</v>
      </c>
      <c r="V166" s="8"/>
      <c r="W166" s="8"/>
      <c r="X166" s="8"/>
      <c r="Y166" s="8"/>
    </row>
    <row r="167" spans="1:25" x14ac:dyDescent="0.25">
      <c r="A167" s="2">
        <v>166</v>
      </c>
      <c r="B167" s="3" t="s">
        <v>203</v>
      </c>
      <c r="C167" t="s">
        <v>203</v>
      </c>
      <c r="D167" t="s">
        <v>18</v>
      </c>
      <c r="E167">
        <v>1</v>
      </c>
      <c r="F167" s="31">
        <v>10.6</v>
      </c>
      <c r="G167" s="31">
        <v>10.6</v>
      </c>
      <c r="H167" s="31">
        <v>8.6300000000000008</v>
      </c>
      <c r="I167" s="31">
        <v>8.6</v>
      </c>
      <c r="J167" s="31">
        <v>8.4</v>
      </c>
      <c r="K167" s="31">
        <v>9.6999999999999993</v>
      </c>
      <c r="L167" s="31">
        <v>10.67</v>
      </c>
      <c r="M167" s="31">
        <v>10</v>
      </c>
      <c r="N167" s="31">
        <v>10.585421125994458</v>
      </c>
      <c r="O167" s="31">
        <v>12.061467237755664</v>
      </c>
      <c r="P167" s="31">
        <v>12.287940493104657</v>
      </c>
      <c r="Q167" s="31">
        <v>12.833154768925169</v>
      </c>
      <c r="R167" s="31">
        <v>12.504715601906014</v>
      </c>
      <c r="S167" s="9">
        <f t="shared" si="4"/>
        <v>12</v>
      </c>
      <c r="T167" s="8"/>
      <c r="U167" s="16">
        <f t="shared" si="5"/>
        <v>8.6300000000000008</v>
      </c>
      <c r="V167" s="8"/>
      <c r="W167" s="8"/>
      <c r="X167" s="8"/>
      <c r="Y167" s="8"/>
    </row>
    <row r="168" spans="1:25" x14ac:dyDescent="0.25">
      <c r="A168" s="2">
        <v>167</v>
      </c>
      <c r="B168" s="3" t="s">
        <v>204</v>
      </c>
      <c r="C168" t="s">
        <v>204</v>
      </c>
      <c r="D168" t="s">
        <v>25</v>
      </c>
      <c r="E168">
        <v>1</v>
      </c>
      <c r="F168" s="31">
        <v>5.7</v>
      </c>
      <c r="G168" s="31">
        <v>5.7</v>
      </c>
      <c r="H168" s="31">
        <v>5.66</v>
      </c>
      <c r="I168" s="31">
        <v>5.7</v>
      </c>
      <c r="J168" s="31">
        <v>3.5</v>
      </c>
      <c r="K168" s="31">
        <v>3.4</v>
      </c>
      <c r="L168" s="31">
        <v>3.14</v>
      </c>
      <c r="M168" s="31">
        <v>2.9</v>
      </c>
      <c r="N168" s="31">
        <v>1.669927185314009</v>
      </c>
      <c r="O168" s="31">
        <v>0.66124068752515086</v>
      </c>
      <c r="P168" s="31">
        <v>1.0065461617368783</v>
      </c>
      <c r="Q168" s="31">
        <v>0</v>
      </c>
      <c r="R168" s="31">
        <v>0</v>
      </c>
      <c r="S168" s="9">
        <f t="shared" si="4"/>
        <v>12</v>
      </c>
      <c r="T168" s="8"/>
      <c r="U168" s="16">
        <f t="shared" si="5"/>
        <v>5.66</v>
      </c>
      <c r="V168" s="8"/>
      <c r="W168" s="8"/>
      <c r="X168" s="8"/>
      <c r="Y168" s="8"/>
    </row>
    <row r="169" spans="1:25" x14ac:dyDescent="0.25">
      <c r="A169" s="2">
        <v>168</v>
      </c>
      <c r="B169" s="3" t="s">
        <v>205</v>
      </c>
      <c r="C169" t="s">
        <v>205</v>
      </c>
      <c r="D169" t="s">
        <v>9</v>
      </c>
      <c r="E169">
        <v>1</v>
      </c>
      <c r="F169" s="31">
        <v>4.2</v>
      </c>
      <c r="G169" s="31">
        <v>4.2</v>
      </c>
      <c r="H169" s="31">
        <v>3.82</v>
      </c>
      <c r="I169" s="31">
        <v>6.2</v>
      </c>
      <c r="J169" s="31">
        <v>2.23</v>
      </c>
      <c r="K169" s="31">
        <v>4.0999999999999996</v>
      </c>
      <c r="L169" s="31">
        <v>5.14</v>
      </c>
      <c r="M169" s="31">
        <v>4.3</v>
      </c>
      <c r="N169" s="31">
        <v>4.3747296521524959</v>
      </c>
      <c r="O169" s="31">
        <v>4.976585160350055</v>
      </c>
      <c r="P169" s="31">
        <v>4.8061044725954503</v>
      </c>
      <c r="Q169" s="31">
        <v>4.6568689120185809</v>
      </c>
      <c r="R169" s="31">
        <v>4.9750604597969641</v>
      </c>
      <c r="S169" s="9">
        <f t="shared" si="4"/>
        <v>12</v>
      </c>
      <c r="T169" s="8"/>
      <c r="U169" s="16">
        <f t="shared" si="5"/>
        <v>3.82</v>
      </c>
      <c r="V169" s="8"/>
      <c r="W169" s="8"/>
      <c r="X169" s="8"/>
      <c r="Y169" s="8"/>
    </row>
    <row r="170" spans="1:25" x14ac:dyDescent="0.25">
      <c r="A170" s="2">
        <v>169</v>
      </c>
      <c r="B170" s="3" t="s">
        <v>206</v>
      </c>
      <c r="C170" t="s">
        <v>206</v>
      </c>
      <c r="D170" t="s">
        <v>14</v>
      </c>
      <c r="E170">
        <v>1</v>
      </c>
      <c r="F170" s="31">
        <v>3.8</v>
      </c>
      <c r="G170" s="31">
        <v>3.8</v>
      </c>
      <c r="H170" s="31">
        <v>2.69</v>
      </c>
      <c r="I170" s="31">
        <v>4.0999999999999996</v>
      </c>
      <c r="J170" s="31">
        <v>3.4</v>
      </c>
      <c r="K170" s="31">
        <v>3.4</v>
      </c>
      <c r="L170" s="31">
        <v>3.35</v>
      </c>
      <c r="M170" s="31">
        <v>6.2</v>
      </c>
      <c r="N170" s="31">
        <v>5.7994646726900783</v>
      </c>
      <c r="O170" s="31">
        <v>6.2514427712966381</v>
      </c>
      <c r="P170" s="31">
        <v>5.9464684555416625</v>
      </c>
      <c r="Q170" s="31">
        <v>5.8327011813055378</v>
      </c>
      <c r="R170" s="31">
        <v>7.0475079322304737</v>
      </c>
      <c r="S170" s="9">
        <f t="shared" si="4"/>
        <v>12</v>
      </c>
      <c r="T170" s="8"/>
      <c r="U170" s="16">
        <f t="shared" si="5"/>
        <v>2.69</v>
      </c>
      <c r="V170" s="8"/>
      <c r="W170" s="8"/>
      <c r="X170" s="8"/>
      <c r="Y170" s="8"/>
    </row>
    <row r="171" spans="1:25" x14ac:dyDescent="0.25">
      <c r="A171" s="2">
        <v>170</v>
      </c>
      <c r="B171" s="3" t="s">
        <v>207</v>
      </c>
      <c r="C171" t="s">
        <v>207</v>
      </c>
      <c r="D171" t="s">
        <v>14</v>
      </c>
      <c r="E171">
        <v>1</v>
      </c>
      <c r="F171" s="31">
        <v>17.3</v>
      </c>
      <c r="G171" s="31">
        <v>17.3</v>
      </c>
      <c r="H171" s="31">
        <v>15.4</v>
      </c>
      <c r="I171" s="31">
        <v>13.3</v>
      </c>
      <c r="J171" s="31">
        <v>14.9</v>
      </c>
      <c r="K171" s="31">
        <v>13.6</v>
      </c>
      <c r="L171" s="31">
        <v>5.43</v>
      </c>
      <c r="M171" s="31">
        <v>5</v>
      </c>
      <c r="N171" s="31">
        <v>5</v>
      </c>
      <c r="O171" s="31">
        <v>5</v>
      </c>
      <c r="P171" s="31">
        <v>5</v>
      </c>
      <c r="Q171" s="31">
        <v>5</v>
      </c>
      <c r="R171" s="31">
        <v>5</v>
      </c>
      <c r="S171" s="9">
        <f t="shared" si="4"/>
        <v>12</v>
      </c>
      <c r="T171" s="8"/>
      <c r="U171" s="16">
        <f t="shared" si="5"/>
        <v>15.4</v>
      </c>
      <c r="V171" s="8"/>
      <c r="W171" s="8"/>
      <c r="X171" s="8"/>
      <c r="Y171" s="8"/>
    </row>
    <row r="172" spans="1:25" x14ac:dyDescent="0.25">
      <c r="A172" s="2">
        <v>171</v>
      </c>
      <c r="B172" s="3" t="s">
        <v>208</v>
      </c>
      <c r="C172">
        <v>0</v>
      </c>
      <c r="D172" t="s">
        <v>7</v>
      </c>
      <c r="E172">
        <v>16</v>
      </c>
      <c r="F172">
        <v>2.34</v>
      </c>
      <c r="G172">
        <v>2.34</v>
      </c>
      <c r="H172">
        <v>2.0699999999999998</v>
      </c>
      <c r="I172">
        <v>1.8</v>
      </c>
      <c r="J172">
        <v>1.53</v>
      </c>
      <c r="K172">
        <v>1.4</v>
      </c>
      <c r="L172">
        <v>1.5</v>
      </c>
      <c r="M172">
        <v>1.7</v>
      </c>
      <c r="N172">
        <v>36.957000000000001</v>
      </c>
      <c r="O172">
        <v>37</v>
      </c>
      <c r="P172">
        <v>37.042999999999999</v>
      </c>
      <c r="Q172">
        <v>37.085999999999999</v>
      </c>
      <c r="R172">
        <v>37.128999999999998</v>
      </c>
      <c r="S172" s="9">
        <f t="shared" si="4"/>
        <v>12</v>
      </c>
      <c r="U172" s="16">
        <f t="shared" si="5"/>
        <v>2.0699999999999998</v>
      </c>
    </row>
    <row r="173" spans="1:25" x14ac:dyDescent="0.25">
      <c r="A173" s="2">
        <v>172</v>
      </c>
      <c r="B173" s="3" t="s">
        <v>209</v>
      </c>
      <c r="C173">
        <v>0</v>
      </c>
      <c r="D173" t="s">
        <v>23</v>
      </c>
      <c r="E173">
        <v>16</v>
      </c>
      <c r="F173">
        <v>2.62</v>
      </c>
      <c r="G173">
        <v>2.62</v>
      </c>
      <c r="H173">
        <v>2.11</v>
      </c>
      <c r="I173">
        <v>1.6</v>
      </c>
      <c r="J173">
        <v>1.0900000000000001</v>
      </c>
      <c r="K173">
        <v>1</v>
      </c>
      <c r="L173">
        <v>1</v>
      </c>
      <c r="M173">
        <v>1.5</v>
      </c>
      <c r="N173">
        <v>18.8</v>
      </c>
      <c r="O173">
        <v>23</v>
      </c>
      <c r="P173">
        <v>27.2</v>
      </c>
      <c r="Q173">
        <v>31.4</v>
      </c>
      <c r="R173">
        <v>35.6</v>
      </c>
      <c r="S173" s="9">
        <f t="shared" si="4"/>
        <v>12</v>
      </c>
      <c r="U173" s="16">
        <f t="shared" si="5"/>
        <v>2.11</v>
      </c>
    </row>
    <row r="174" spans="1:25" x14ac:dyDescent="0.25">
      <c r="A174" s="2">
        <v>173</v>
      </c>
      <c r="B174" s="3" t="s">
        <v>210</v>
      </c>
      <c r="C174">
        <v>0</v>
      </c>
      <c r="D174" t="s">
        <v>25</v>
      </c>
      <c r="E174">
        <v>15</v>
      </c>
      <c r="F174">
        <v>18.600000000000001</v>
      </c>
      <c r="G174">
        <v>18.600000000000001</v>
      </c>
      <c r="H174">
        <v>14.3</v>
      </c>
      <c r="I174">
        <v>10</v>
      </c>
      <c r="J174">
        <v>5.7</v>
      </c>
      <c r="K174">
        <v>5.7</v>
      </c>
      <c r="L174">
        <v>5.7</v>
      </c>
      <c r="M174">
        <v>5.7</v>
      </c>
      <c r="N174">
        <v>9</v>
      </c>
      <c r="O174">
        <v>13.08</v>
      </c>
      <c r="P174">
        <v>17.16</v>
      </c>
      <c r="Q174">
        <v>21.24</v>
      </c>
      <c r="R174">
        <v>25.32</v>
      </c>
      <c r="S174" s="9">
        <f t="shared" si="4"/>
        <v>12</v>
      </c>
      <c r="U174" s="16">
        <f t="shared" si="5"/>
        <v>14.3</v>
      </c>
    </row>
    <row r="175" spans="1:25" x14ac:dyDescent="0.25">
      <c r="A175" s="2">
        <v>174</v>
      </c>
      <c r="B175" s="3" t="s">
        <v>211</v>
      </c>
      <c r="C175">
        <v>0</v>
      </c>
      <c r="D175" t="s">
        <v>16</v>
      </c>
      <c r="E175">
        <v>14</v>
      </c>
      <c r="F175">
        <v>2.9</v>
      </c>
      <c r="G175">
        <v>2.9</v>
      </c>
      <c r="H175">
        <v>2.9</v>
      </c>
      <c r="I175">
        <v>2.9</v>
      </c>
      <c r="J175">
        <v>2.9</v>
      </c>
      <c r="K175">
        <v>0</v>
      </c>
      <c r="L175">
        <v>0</v>
      </c>
      <c r="M175">
        <v>0</v>
      </c>
      <c r="N175">
        <v>24</v>
      </c>
      <c r="O175">
        <v>22.8</v>
      </c>
      <c r="P175">
        <v>21.6</v>
      </c>
      <c r="Q175">
        <v>20.399999999999999</v>
      </c>
      <c r="R175">
        <v>19.2</v>
      </c>
      <c r="S175" s="9">
        <f t="shared" si="4"/>
        <v>12</v>
      </c>
      <c r="U175" s="16">
        <f t="shared" si="5"/>
        <v>2.9</v>
      </c>
    </row>
    <row r="176" spans="1:25" x14ac:dyDescent="0.25">
      <c r="A176" s="2">
        <v>175</v>
      </c>
      <c r="B176" s="3" t="s">
        <v>212</v>
      </c>
      <c r="C176">
        <v>0</v>
      </c>
      <c r="D176" t="s">
        <v>23</v>
      </c>
      <c r="E176">
        <v>16</v>
      </c>
      <c r="F176">
        <v>6.84</v>
      </c>
      <c r="G176">
        <v>6.84</v>
      </c>
      <c r="H176">
        <v>6.87</v>
      </c>
      <c r="I176">
        <v>6.9</v>
      </c>
      <c r="J176">
        <v>6.93</v>
      </c>
      <c r="K176">
        <v>5.0999999999999996</v>
      </c>
      <c r="L176">
        <v>7.2</v>
      </c>
      <c r="M176">
        <v>6.6</v>
      </c>
      <c r="N176">
        <v>38.700000000000003</v>
      </c>
      <c r="O176">
        <v>33.21</v>
      </c>
      <c r="P176">
        <v>27.72</v>
      </c>
      <c r="Q176">
        <v>22.23</v>
      </c>
      <c r="R176">
        <v>16.739999999999998</v>
      </c>
      <c r="S176" s="9">
        <f t="shared" si="4"/>
        <v>12</v>
      </c>
      <c r="U176" s="16">
        <f t="shared" si="5"/>
        <v>6.87</v>
      </c>
    </row>
  </sheetData>
  <conditionalFormatting sqref="F1:F1048576">
    <cfRule type="cellIs" dxfId="57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>
    <tabColor theme="6"/>
  </sheetPr>
  <dimension ref="A1:Y176"/>
  <sheetViews>
    <sheetView showGridLines="0" workbookViewId="0"/>
  </sheetViews>
  <sheetFormatPr defaultRowHeight="15" x14ac:dyDescent="0.25"/>
  <cols>
    <col min="3" max="3" width="21.7109375" customWidth="1"/>
    <col min="7" max="11" width="23.42578125" bestFit="1" customWidth="1"/>
    <col min="12" max="12" width="22.28515625" customWidth="1"/>
    <col min="13" max="13" width="25.28515625" customWidth="1"/>
    <col min="14" max="18" width="24.7109375" customWidth="1"/>
    <col min="19" max="23" width="26.28515625" customWidth="1"/>
    <col min="25" max="25" width="14.7109375" bestFit="1" customWidth="1"/>
  </cols>
  <sheetData>
    <row r="1" spans="1:2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 t="s">
        <v>5</v>
      </c>
      <c r="U1" s="15">
        <f>'Config!'!$BA$15</f>
        <v>2012</v>
      </c>
    </row>
    <row r="2" spans="1:25" x14ac:dyDescent="0.25">
      <c r="A2" s="2">
        <v>1</v>
      </c>
      <c r="B2" s="3" t="s">
        <v>6</v>
      </c>
      <c r="C2" t="s">
        <v>6</v>
      </c>
      <c r="D2" t="s">
        <v>7</v>
      </c>
      <c r="E2">
        <v>1</v>
      </c>
      <c r="F2" s="31">
        <v>10</v>
      </c>
      <c r="G2" s="31">
        <v>10</v>
      </c>
      <c r="H2" s="31">
        <v>10</v>
      </c>
      <c r="I2" s="31">
        <v>15</v>
      </c>
      <c r="J2" s="31">
        <v>15</v>
      </c>
      <c r="K2" s="31">
        <v>15</v>
      </c>
      <c r="L2" s="31">
        <v>15</v>
      </c>
      <c r="M2" s="31">
        <v>15</v>
      </c>
      <c r="N2" s="32">
        <v>15</v>
      </c>
      <c r="O2" s="32">
        <v>15</v>
      </c>
      <c r="P2" s="32">
        <v>15</v>
      </c>
      <c r="Q2" s="32">
        <v>15</v>
      </c>
      <c r="R2" s="32">
        <v>15</v>
      </c>
      <c r="S2" s="9">
        <f>COUNT(G2:R2)</f>
        <v>12</v>
      </c>
      <c r="T2" s="8"/>
      <c r="U2" s="16">
        <f>IF(SUMIF($F$1:$R$1,U$1,$F2:$R2)=0,".",SUMIF($F$1:$R$1,U$1,$F2:$R2))</f>
        <v>10</v>
      </c>
      <c r="V2" s="8"/>
      <c r="W2" s="8"/>
      <c r="X2" s="8"/>
      <c r="Y2" s="8"/>
    </row>
    <row r="3" spans="1:25" x14ac:dyDescent="0.25">
      <c r="A3" s="2">
        <v>2</v>
      </c>
      <c r="B3" s="3" t="s">
        <v>8</v>
      </c>
      <c r="C3" t="s">
        <v>8</v>
      </c>
      <c r="D3" t="s">
        <v>9</v>
      </c>
      <c r="E3">
        <v>1</v>
      </c>
      <c r="F3" s="31">
        <v>25</v>
      </c>
      <c r="G3" s="31">
        <v>25</v>
      </c>
      <c r="H3" s="31">
        <v>25</v>
      </c>
      <c r="I3" s="31">
        <v>25</v>
      </c>
      <c r="J3" s="31">
        <v>23</v>
      </c>
      <c r="K3" s="31">
        <v>23</v>
      </c>
      <c r="L3" s="31">
        <v>23</v>
      </c>
      <c r="M3" s="31">
        <v>23</v>
      </c>
      <c r="N3" s="32">
        <v>22.312416278472483</v>
      </c>
      <c r="O3" s="32">
        <v>22.267254345653555</v>
      </c>
      <c r="P3" s="32">
        <v>21.253401168464165</v>
      </c>
      <c r="Q3" s="32">
        <v>21.31094828919754</v>
      </c>
      <c r="R3" s="32">
        <v>20.552715600186161</v>
      </c>
      <c r="S3" s="9">
        <f t="shared" ref="S3:S66" si="0">COUNT(G3:R3)</f>
        <v>12</v>
      </c>
      <c r="T3" s="8"/>
      <c r="U3" s="16">
        <f t="shared" ref="U3:U66" si="1">IF(SUMIF($F$1:$R$1,U$1,$F3:$R3)=0,".",SUMIF($F$1:$R$1,U$1,$F3:$R3))</f>
        <v>25</v>
      </c>
      <c r="V3" s="8"/>
      <c r="W3" s="8"/>
      <c r="X3" s="8"/>
      <c r="Y3" s="8"/>
    </row>
    <row r="4" spans="1:25" x14ac:dyDescent="0.25">
      <c r="A4" s="2">
        <v>3</v>
      </c>
      <c r="B4" s="3" t="s">
        <v>10</v>
      </c>
      <c r="C4" t="s">
        <v>11</v>
      </c>
      <c r="D4" t="s">
        <v>7</v>
      </c>
      <c r="E4" t="s">
        <v>12</v>
      </c>
      <c r="F4" s="31">
        <v>36.94</v>
      </c>
      <c r="G4" s="31">
        <v>36.94</v>
      </c>
      <c r="H4" s="31">
        <v>29.4</v>
      </c>
      <c r="I4" s="31">
        <v>28.51</v>
      </c>
      <c r="J4" s="31">
        <v>23.69</v>
      </c>
      <c r="K4" s="31">
        <v>22.4</v>
      </c>
      <c r="L4" s="31">
        <v>15.34</v>
      </c>
      <c r="M4" s="31">
        <v>28.94</v>
      </c>
      <c r="N4" s="32">
        <v>30.15</v>
      </c>
      <c r="O4" s="32">
        <v>33.96</v>
      </c>
      <c r="P4" s="32">
        <v>19.989999999999998</v>
      </c>
      <c r="Q4" s="32">
        <v>23.05</v>
      </c>
      <c r="R4" s="32">
        <v>26.14</v>
      </c>
      <c r="S4" s="9">
        <f t="shared" si="0"/>
        <v>12</v>
      </c>
      <c r="T4" s="8"/>
      <c r="U4" s="16">
        <f t="shared" si="1"/>
        <v>29.4</v>
      </c>
      <c r="V4" s="8"/>
      <c r="W4" s="8"/>
      <c r="X4" s="8"/>
      <c r="Y4" s="8"/>
    </row>
    <row r="5" spans="1:25" x14ac:dyDescent="0.25">
      <c r="A5" s="2">
        <v>4</v>
      </c>
      <c r="B5" s="3" t="s">
        <v>13</v>
      </c>
      <c r="C5" t="s">
        <v>13</v>
      </c>
      <c r="D5" t="s">
        <v>14</v>
      </c>
      <c r="E5">
        <v>1</v>
      </c>
      <c r="F5" s="31">
        <v>35</v>
      </c>
      <c r="G5" s="31">
        <v>35</v>
      </c>
      <c r="H5" s="31">
        <v>30</v>
      </c>
      <c r="I5" s="31">
        <v>35</v>
      </c>
      <c r="J5" s="31">
        <v>30</v>
      </c>
      <c r="K5" s="31">
        <v>30</v>
      </c>
      <c r="L5" s="31">
        <v>30</v>
      </c>
      <c r="M5" s="31">
        <v>30</v>
      </c>
      <c r="N5" s="32">
        <v>28.05528393072882</v>
      </c>
      <c r="O5" s="32">
        <v>28.288082871847564</v>
      </c>
      <c r="P5" s="32">
        <v>26.366299516029585</v>
      </c>
      <c r="Q5" s="32">
        <v>24.722193192265422</v>
      </c>
      <c r="R5" s="32">
        <v>25.125472151656595</v>
      </c>
      <c r="S5" s="9">
        <f t="shared" si="0"/>
        <v>12</v>
      </c>
      <c r="T5" s="8"/>
      <c r="U5" s="16">
        <f t="shared" si="1"/>
        <v>30</v>
      </c>
      <c r="V5" s="8"/>
      <c r="W5" s="8"/>
      <c r="X5" s="8"/>
      <c r="Y5" s="8"/>
    </row>
    <row r="6" spans="1:25" x14ac:dyDescent="0.25">
      <c r="A6" s="2">
        <v>5</v>
      </c>
      <c r="B6" s="3" t="s">
        <v>15</v>
      </c>
      <c r="C6" t="s">
        <v>11</v>
      </c>
      <c r="D6" t="s">
        <v>16</v>
      </c>
      <c r="E6" t="s">
        <v>12</v>
      </c>
      <c r="F6" s="31">
        <v>36.49</v>
      </c>
      <c r="G6" s="31">
        <v>36.49</v>
      </c>
      <c r="H6" s="31">
        <v>23.95</v>
      </c>
      <c r="I6" s="31">
        <v>9.9700000000000006</v>
      </c>
      <c r="J6" s="31">
        <v>5.24</v>
      </c>
      <c r="K6" s="31">
        <v>22.3</v>
      </c>
      <c r="L6" s="31">
        <v>35.4</v>
      </c>
      <c r="M6" s="31">
        <v>21.57</v>
      </c>
      <c r="N6" s="32">
        <v>21.18</v>
      </c>
      <c r="O6" s="32">
        <v>20.63</v>
      </c>
      <c r="P6" s="32">
        <v>30.55</v>
      </c>
      <c r="Q6" s="32">
        <v>38.340000000000003</v>
      </c>
      <c r="R6" s="32">
        <v>29.1</v>
      </c>
      <c r="S6" s="9">
        <f t="shared" si="0"/>
        <v>12</v>
      </c>
      <c r="T6" s="8"/>
      <c r="U6" s="16">
        <f t="shared" si="1"/>
        <v>23.95</v>
      </c>
      <c r="V6" s="8"/>
      <c r="W6" s="8"/>
      <c r="X6" s="8"/>
      <c r="Y6" s="8"/>
    </row>
    <row r="7" spans="1:25" x14ac:dyDescent="0.25">
      <c r="A7" s="2">
        <v>6</v>
      </c>
      <c r="B7" s="3" t="s">
        <v>17</v>
      </c>
      <c r="C7" t="s">
        <v>17</v>
      </c>
      <c r="D7" t="s">
        <v>18</v>
      </c>
      <c r="E7">
        <v>1</v>
      </c>
      <c r="F7" s="31">
        <v>35</v>
      </c>
      <c r="G7" s="31">
        <v>35</v>
      </c>
      <c r="H7" s="31">
        <v>35</v>
      </c>
      <c r="I7" s="31">
        <v>35</v>
      </c>
      <c r="J7" s="31">
        <v>35</v>
      </c>
      <c r="K7" s="31">
        <v>35</v>
      </c>
      <c r="L7" s="31">
        <v>35</v>
      </c>
      <c r="M7" s="31">
        <v>30</v>
      </c>
      <c r="N7" s="32">
        <v>29.299300240409821</v>
      </c>
      <c r="O7" s="32">
        <v>29.058791128366465</v>
      </c>
      <c r="P7" s="32">
        <v>28.382819987587027</v>
      </c>
      <c r="Q7" s="32">
        <v>26.821514533600521</v>
      </c>
      <c r="R7" s="32">
        <v>26.47856179489736</v>
      </c>
      <c r="S7" s="9">
        <f t="shared" si="0"/>
        <v>12</v>
      </c>
      <c r="T7" s="8"/>
      <c r="U7" s="16">
        <f t="shared" si="1"/>
        <v>35</v>
      </c>
      <c r="V7" s="8"/>
      <c r="W7" s="8"/>
      <c r="X7" s="8"/>
      <c r="Y7" s="8"/>
    </row>
    <row r="8" spans="1:25" x14ac:dyDescent="0.25">
      <c r="A8" s="2">
        <v>7</v>
      </c>
      <c r="B8" s="3" t="s">
        <v>19</v>
      </c>
      <c r="C8" t="s">
        <v>19</v>
      </c>
      <c r="D8" t="s">
        <v>7</v>
      </c>
      <c r="E8">
        <v>1</v>
      </c>
      <c r="F8" s="31">
        <v>20</v>
      </c>
      <c r="G8" s="31">
        <v>20</v>
      </c>
      <c r="H8" s="31">
        <v>20</v>
      </c>
      <c r="I8" s="31">
        <v>20</v>
      </c>
      <c r="J8" s="31">
        <v>20</v>
      </c>
      <c r="K8" s="31">
        <v>20</v>
      </c>
      <c r="L8" s="31">
        <v>20</v>
      </c>
      <c r="M8" s="31">
        <v>20</v>
      </c>
      <c r="N8" s="32">
        <v>20</v>
      </c>
      <c r="O8" s="32">
        <v>20</v>
      </c>
      <c r="P8" s="32">
        <v>20</v>
      </c>
      <c r="Q8" s="32">
        <v>20</v>
      </c>
      <c r="R8" s="32">
        <v>20</v>
      </c>
      <c r="S8" s="9">
        <f t="shared" si="0"/>
        <v>12</v>
      </c>
      <c r="T8" s="8"/>
      <c r="U8" s="16">
        <f t="shared" si="1"/>
        <v>20</v>
      </c>
      <c r="V8" s="8"/>
      <c r="W8" s="8"/>
      <c r="X8" s="8"/>
      <c r="Y8" s="8"/>
    </row>
    <row r="9" spans="1:25" x14ac:dyDescent="0.25">
      <c r="A9" s="2">
        <v>8</v>
      </c>
      <c r="B9" s="3" t="s">
        <v>20</v>
      </c>
      <c r="C9" t="s">
        <v>20</v>
      </c>
      <c r="D9" t="s">
        <v>21</v>
      </c>
      <c r="E9">
        <v>1</v>
      </c>
      <c r="F9" s="31">
        <v>30</v>
      </c>
      <c r="G9" s="31">
        <v>30</v>
      </c>
      <c r="H9" s="31">
        <v>30</v>
      </c>
      <c r="I9" s="31">
        <v>30</v>
      </c>
      <c r="J9" s="31">
        <v>30</v>
      </c>
      <c r="K9" s="31">
        <v>30</v>
      </c>
      <c r="L9" s="31">
        <v>30</v>
      </c>
      <c r="M9" s="31">
        <v>30</v>
      </c>
      <c r="N9" s="32">
        <v>30</v>
      </c>
      <c r="O9" s="32">
        <v>30</v>
      </c>
      <c r="P9" s="32">
        <v>30</v>
      </c>
      <c r="Q9" s="32">
        <v>30</v>
      </c>
      <c r="R9" s="32">
        <v>30</v>
      </c>
      <c r="S9" s="9">
        <f t="shared" si="0"/>
        <v>12</v>
      </c>
      <c r="T9" s="8"/>
      <c r="U9" s="16">
        <f t="shared" si="1"/>
        <v>30</v>
      </c>
      <c r="V9" s="8"/>
      <c r="W9" s="8"/>
      <c r="X9" s="8"/>
      <c r="Y9" s="8"/>
    </row>
    <row r="10" spans="1:25" x14ac:dyDescent="0.25">
      <c r="A10" s="2">
        <v>9</v>
      </c>
      <c r="B10" s="3" t="s">
        <v>22</v>
      </c>
      <c r="C10" t="s">
        <v>22</v>
      </c>
      <c r="D10" t="s">
        <v>23</v>
      </c>
      <c r="E10">
        <v>1</v>
      </c>
      <c r="F10" s="31">
        <v>25</v>
      </c>
      <c r="G10" s="31">
        <v>25</v>
      </c>
      <c r="H10" s="31">
        <v>25</v>
      </c>
      <c r="I10" s="31">
        <v>25</v>
      </c>
      <c r="J10" s="31">
        <v>25</v>
      </c>
      <c r="K10" s="31">
        <v>25</v>
      </c>
      <c r="L10" s="31">
        <v>25</v>
      </c>
      <c r="M10" s="31">
        <v>25</v>
      </c>
      <c r="N10" s="32">
        <v>25</v>
      </c>
      <c r="O10" s="32">
        <v>25</v>
      </c>
      <c r="P10" s="32">
        <v>25</v>
      </c>
      <c r="Q10" s="32">
        <v>25</v>
      </c>
      <c r="R10" s="32">
        <v>25</v>
      </c>
      <c r="S10" s="9">
        <f t="shared" si="0"/>
        <v>12</v>
      </c>
      <c r="T10" s="8"/>
      <c r="U10" s="16">
        <f t="shared" si="1"/>
        <v>25</v>
      </c>
      <c r="V10" s="8"/>
      <c r="W10" s="8"/>
      <c r="X10" s="8"/>
      <c r="Y10" s="8"/>
    </row>
    <row r="11" spans="1:25" x14ac:dyDescent="0.25">
      <c r="A11" s="2">
        <v>10</v>
      </c>
      <c r="B11" s="3" t="s">
        <v>24</v>
      </c>
      <c r="C11" t="s">
        <v>24</v>
      </c>
      <c r="D11" t="s">
        <v>25</v>
      </c>
      <c r="E11">
        <v>1</v>
      </c>
      <c r="F11" s="31">
        <v>20</v>
      </c>
      <c r="G11" s="31">
        <v>20</v>
      </c>
      <c r="H11" s="31">
        <v>20</v>
      </c>
      <c r="I11" s="31">
        <v>20</v>
      </c>
      <c r="J11" s="31">
        <v>20</v>
      </c>
      <c r="K11" s="31">
        <v>20</v>
      </c>
      <c r="L11" s="31">
        <v>20</v>
      </c>
      <c r="M11" s="31">
        <v>20</v>
      </c>
      <c r="N11" s="32">
        <v>20</v>
      </c>
      <c r="O11" s="32">
        <v>20</v>
      </c>
      <c r="P11" s="32">
        <v>20</v>
      </c>
      <c r="Q11" s="32">
        <v>20</v>
      </c>
      <c r="R11" s="32">
        <v>20</v>
      </c>
      <c r="S11" s="9">
        <f t="shared" si="0"/>
        <v>12</v>
      </c>
      <c r="T11" s="8"/>
      <c r="U11" s="16">
        <f t="shared" si="1"/>
        <v>20</v>
      </c>
      <c r="V11" s="8"/>
      <c r="W11" s="8"/>
      <c r="X11" s="8"/>
      <c r="Y11" s="8"/>
    </row>
    <row r="12" spans="1:25" x14ac:dyDescent="0.25">
      <c r="A12" s="2">
        <v>11</v>
      </c>
      <c r="B12" s="3" t="s">
        <v>26</v>
      </c>
      <c r="C12" t="s">
        <v>26</v>
      </c>
      <c r="D12" t="s">
        <v>16</v>
      </c>
      <c r="E12" t="s">
        <v>12</v>
      </c>
      <c r="F12" s="31">
        <v>24.96</v>
      </c>
      <c r="G12" s="31">
        <v>24.96</v>
      </c>
      <c r="H12" s="31">
        <v>28.64</v>
      </c>
      <c r="I12" s="31">
        <v>19.190000000000001</v>
      </c>
      <c r="J12" s="31">
        <v>25.63</v>
      </c>
      <c r="K12" s="31">
        <v>26.64</v>
      </c>
      <c r="L12" s="31">
        <v>24.97</v>
      </c>
      <c r="M12" s="31">
        <v>31.6</v>
      </c>
      <c r="N12" s="32">
        <v>26.89</v>
      </c>
      <c r="O12" s="32">
        <v>23.3</v>
      </c>
      <c r="P12" s="32">
        <v>28.6</v>
      </c>
      <c r="Q12" s="32">
        <v>21.89</v>
      </c>
      <c r="R12" s="32">
        <v>19.88</v>
      </c>
      <c r="S12" s="9">
        <f t="shared" si="0"/>
        <v>12</v>
      </c>
      <c r="T12" s="8"/>
      <c r="U12" s="16">
        <f t="shared" si="1"/>
        <v>28.64</v>
      </c>
      <c r="V12" s="8"/>
      <c r="W12" s="8"/>
      <c r="X12" s="8"/>
      <c r="Y12" s="8"/>
    </row>
    <row r="13" spans="1:25" x14ac:dyDescent="0.25">
      <c r="A13" s="2">
        <v>12</v>
      </c>
      <c r="B13" s="3" t="s">
        <v>27</v>
      </c>
      <c r="C13" t="s">
        <v>27</v>
      </c>
      <c r="D13" t="s">
        <v>9</v>
      </c>
      <c r="E13">
        <v>1</v>
      </c>
      <c r="F13" s="31">
        <v>30.7</v>
      </c>
      <c r="G13" s="31">
        <v>30.7</v>
      </c>
      <c r="H13" s="31">
        <v>29.02</v>
      </c>
      <c r="I13" s="31">
        <v>18.29</v>
      </c>
      <c r="J13" s="31">
        <v>24.65</v>
      </c>
      <c r="K13" s="31">
        <v>24.55</v>
      </c>
      <c r="L13" s="31">
        <v>22.34</v>
      </c>
      <c r="M13" s="31">
        <v>21.41</v>
      </c>
      <c r="N13" s="32">
        <v>18.8</v>
      </c>
      <c r="O13" s="32">
        <v>19.649999999999999</v>
      </c>
      <c r="P13" s="32">
        <v>19.940000000000001</v>
      </c>
      <c r="Q13" s="32">
        <v>17.440000000000001</v>
      </c>
      <c r="R13" s="32">
        <v>26.66</v>
      </c>
      <c r="S13" s="9">
        <f t="shared" si="0"/>
        <v>12</v>
      </c>
      <c r="T13" s="8"/>
      <c r="U13" s="16">
        <f t="shared" si="1"/>
        <v>29.02</v>
      </c>
      <c r="V13" s="8"/>
      <c r="W13" s="8"/>
      <c r="X13" s="8"/>
      <c r="Y13" s="8"/>
    </row>
    <row r="14" spans="1:25" x14ac:dyDescent="0.25">
      <c r="A14" s="2">
        <v>13</v>
      </c>
      <c r="B14" s="3" t="s">
        <v>28</v>
      </c>
      <c r="C14" t="s">
        <v>28</v>
      </c>
      <c r="D14" t="s">
        <v>25</v>
      </c>
      <c r="E14">
        <v>1</v>
      </c>
      <c r="F14" s="31">
        <v>45</v>
      </c>
      <c r="G14" s="31">
        <v>45</v>
      </c>
      <c r="H14" s="31">
        <v>45</v>
      </c>
      <c r="I14" s="31">
        <v>45</v>
      </c>
      <c r="J14" s="31">
        <v>45</v>
      </c>
      <c r="K14" s="31">
        <v>45</v>
      </c>
      <c r="L14" s="31">
        <v>45</v>
      </c>
      <c r="M14" s="31">
        <v>45</v>
      </c>
      <c r="N14" s="32">
        <v>45</v>
      </c>
      <c r="O14" s="32">
        <v>45</v>
      </c>
      <c r="P14" s="32">
        <v>45</v>
      </c>
      <c r="Q14" s="32">
        <v>45</v>
      </c>
      <c r="R14" s="32">
        <v>45</v>
      </c>
      <c r="S14" s="9">
        <f t="shared" si="0"/>
        <v>12</v>
      </c>
      <c r="T14" s="8"/>
      <c r="U14" s="16">
        <f t="shared" si="1"/>
        <v>45</v>
      </c>
      <c r="V14" s="8"/>
      <c r="W14" s="8"/>
      <c r="X14" s="8"/>
      <c r="Y14" s="8"/>
    </row>
    <row r="15" spans="1:25" x14ac:dyDescent="0.25">
      <c r="A15" s="2">
        <v>14</v>
      </c>
      <c r="B15" s="3" t="s">
        <v>29</v>
      </c>
      <c r="C15" t="s">
        <v>29</v>
      </c>
      <c r="D15" t="s">
        <v>16</v>
      </c>
      <c r="E15">
        <v>1</v>
      </c>
      <c r="F15" s="31">
        <v>25</v>
      </c>
      <c r="G15" s="31">
        <v>25</v>
      </c>
      <c r="H15" s="31">
        <v>25</v>
      </c>
      <c r="I15" s="31">
        <v>25</v>
      </c>
      <c r="J15" s="31">
        <v>25</v>
      </c>
      <c r="K15" s="31">
        <v>25</v>
      </c>
      <c r="L15" s="31">
        <v>25</v>
      </c>
      <c r="M15" s="31">
        <v>25</v>
      </c>
      <c r="N15" s="32">
        <v>25</v>
      </c>
      <c r="O15" s="32">
        <v>25</v>
      </c>
      <c r="P15" s="32">
        <v>25</v>
      </c>
      <c r="Q15" s="32">
        <v>25</v>
      </c>
      <c r="R15" s="32">
        <v>25</v>
      </c>
      <c r="S15" s="9">
        <f t="shared" si="0"/>
        <v>12</v>
      </c>
      <c r="T15" s="8"/>
      <c r="U15" s="16">
        <f t="shared" si="1"/>
        <v>25</v>
      </c>
      <c r="V15" s="8"/>
      <c r="W15" s="8"/>
      <c r="X15" s="8"/>
      <c r="Y15" s="8"/>
    </row>
    <row r="16" spans="1:25" x14ac:dyDescent="0.25">
      <c r="A16" s="2">
        <v>15</v>
      </c>
      <c r="B16" s="3" t="s">
        <v>30</v>
      </c>
      <c r="C16" t="s">
        <v>30</v>
      </c>
      <c r="D16" t="s">
        <v>7</v>
      </c>
      <c r="E16" t="s">
        <v>12</v>
      </c>
      <c r="F16" s="31">
        <v>18</v>
      </c>
      <c r="G16" s="31">
        <v>18</v>
      </c>
      <c r="H16" s="31">
        <v>18</v>
      </c>
      <c r="I16" s="31">
        <v>18</v>
      </c>
      <c r="J16" s="31">
        <v>18</v>
      </c>
      <c r="K16" s="31">
        <v>18</v>
      </c>
      <c r="L16" s="31">
        <v>18</v>
      </c>
      <c r="M16" s="31">
        <v>18</v>
      </c>
      <c r="N16" s="32">
        <v>19.399999999999999</v>
      </c>
      <c r="O16" s="32">
        <v>19.27</v>
      </c>
      <c r="P16" s="32">
        <v>17.32</v>
      </c>
      <c r="Q16" s="32">
        <v>19.100000000000001</v>
      </c>
      <c r="R16" s="32">
        <v>18.64</v>
      </c>
      <c r="S16" s="9">
        <f t="shared" si="0"/>
        <v>12</v>
      </c>
      <c r="T16" s="8"/>
      <c r="U16" s="16">
        <f t="shared" si="1"/>
        <v>18</v>
      </c>
      <c r="V16" s="8"/>
      <c r="W16" s="8"/>
      <c r="X16" s="8"/>
      <c r="Y16" s="8"/>
    </row>
    <row r="17" spans="1:25" x14ac:dyDescent="0.25">
      <c r="A17" s="2">
        <v>16</v>
      </c>
      <c r="B17" s="3" t="s">
        <v>31</v>
      </c>
      <c r="C17" t="s">
        <v>31</v>
      </c>
      <c r="D17" t="s">
        <v>23</v>
      </c>
      <c r="E17">
        <v>1</v>
      </c>
      <c r="F17" s="31">
        <v>33</v>
      </c>
      <c r="G17" s="31">
        <v>33</v>
      </c>
      <c r="H17" s="31">
        <v>33</v>
      </c>
      <c r="I17" s="31">
        <v>33</v>
      </c>
      <c r="J17" s="31">
        <v>33</v>
      </c>
      <c r="K17" s="31">
        <v>33</v>
      </c>
      <c r="L17" s="31">
        <v>33</v>
      </c>
      <c r="M17" s="31">
        <v>29</v>
      </c>
      <c r="N17" s="32">
        <v>30.480553607047796</v>
      </c>
      <c r="O17" s="32">
        <v>28.088595075516423</v>
      </c>
      <c r="P17" s="32">
        <v>28.307370353639726</v>
      </c>
      <c r="Q17" s="32">
        <v>28.466335278204269</v>
      </c>
      <c r="R17" s="32">
        <v>27.173969322993344</v>
      </c>
      <c r="S17" s="9">
        <f t="shared" si="0"/>
        <v>12</v>
      </c>
      <c r="T17" s="8"/>
      <c r="U17" s="16">
        <f t="shared" si="1"/>
        <v>33</v>
      </c>
      <c r="V17" s="8"/>
      <c r="W17" s="8"/>
      <c r="X17" s="8"/>
      <c r="Y17" s="8"/>
    </row>
    <row r="18" spans="1:25" x14ac:dyDescent="0.25">
      <c r="A18" s="2">
        <v>17</v>
      </c>
      <c r="B18" s="3" t="s">
        <v>32</v>
      </c>
      <c r="C18" t="s">
        <v>32</v>
      </c>
      <c r="D18" t="s">
        <v>33</v>
      </c>
      <c r="E18">
        <v>1</v>
      </c>
      <c r="F18" s="31">
        <v>25</v>
      </c>
      <c r="G18" s="31">
        <v>25</v>
      </c>
      <c r="H18" s="31">
        <v>25</v>
      </c>
      <c r="I18" s="31">
        <v>25</v>
      </c>
      <c r="J18" s="31">
        <v>25</v>
      </c>
      <c r="K18" s="31">
        <v>25</v>
      </c>
      <c r="L18" s="31">
        <v>25</v>
      </c>
      <c r="M18" s="31">
        <v>25</v>
      </c>
      <c r="N18" s="32">
        <v>25</v>
      </c>
      <c r="O18" s="32">
        <v>25</v>
      </c>
      <c r="P18" s="32">
        <v>25</v>
      </c>
      <c r="Q18" s="32">
        <v>25</v>
      </c>
      <c r="R18" s="32">
        <v>25</v>
      </c>
      <c r="S18" s="9">
        <f t="shared" si="0"/>
        <v>12</v>
      </c>
      <c r="T18" s="8"/>
      <c r="U18" s="16">
        <f t="shared" si="1"/>
        <v>25</v>
      </c>
      <c r="V18" s="8"/>
      <c r="W18" s="8"/>
      <c r="X18" s="8"/>
      <c r="Y18" s="8"/>
    </row>
    <row r="19" spans="1:25" x14ac:dyDescent="0.25">
      <c r="A19" s="2">
        <v>18</v>
      </c>
      <c r="B19" s="3" t="s">
        <v>34</v>
      </c>
      <c r="C19" t="s">
        <v>34</v>
      </c>
      <c r="D19" t="s">
        <v>14</v>
      </c>
      <c r="E19">
        <v>1</v>
      </c>
      <c r="F19" s="31">
        <v>30</v>
      </c>
      <c r="G19" s="31">
        <v>30</v>
      </c>
      <c r="H19" s="31">
        <v>30</v>
      </c>
      <c r="I19" s="31">
        <v>30</v>
      </c>
      <c r="J19" s="31">
        <v>30</v>
      </c>
      <c r="K19" s="31">
        <v>30</v>
      </c>
      <c r="L19" s="31">
        <v>30</v>
      </c>
      <c r="M19" s="31">
        <v>30</v>
      </c>
      <c r="N19" s="32">
        <v>30</v>
      </c>
      <c r="O19" s="32">
        <v>30</v>
      </c>
      <c r="P19" s="32">
        <v>30</v>
      </c>
      <c r="Q19" s="32">
        <v>30</v>
      </c>
      <c r="R19" s="32">
        <v>30</v>
      </c>
      <c r="S19" s="9">
        <f t="shared" si="0"/>
        <v>12</v>
      </c>
      <c r="T19" s="8"/>
      <c r="U19" s="16">
        <f t="shared" si="1"/>
        <v>30</v>
      </c>
      <c r="V19" s="8"/>
      <c r="W19" s="8"/>
      <c r="X19" s="8"/>
      <c r="Y19" s="8"/>
    </row>
    <row r="20" spans="1:25" x14ac:dyDescent="0.25">
      <c r="A20" s="2">
        <v>19</v>
      </c>
      <c r="B20" s="3" t="s">
        <v>35</v>
      </c>
      <c r="C20" t="s">
        <v>11</v>
      </c>
      <c r="D20" t="s">
        <v>36</v>
      </c>
      <c r="E20" t="s">
        <v>12</v>
      </c>
      <c r="F20" s="31">
        <v>23.76</v>
      </c>
      <c r="G20" s="31">
        <v>23.76</v>
      </c>
      <c r="H20" s="31">
        <v>17.48</v>
      </c>
      <c r="I20" s="31">
        <v>20.94</v>
      </c>
      <c r="J20" s="31">
        <v>25.85</v>
      </c>
      <c r="K20" s="31">
        <v>27.75</v>
      </c>
      <c r="L20" s="31">
        <v>10.78</v>
      </c>
      <c r="M20" s="31">
        <v>24.85</v>
      </c>
      <c r="N20" s="32">
        <v>12.02</v>
      </c>
      <c r="O20" s="32">
        <v>30.93</v>
      </c>
      <c r="P20" s="32">
        <v>36.53</v>
      </c>
      <c r="Q20" s="32">
        <v>24.46</v>
      </c>
      <c r="R20" s="32">
        <v>22.72</v>
      </c>
      <c r="S20" s="9">
        <f t="shared" si="0"/>
        <v>12</v>
      </c>
      <c r="T20" s="8"/>
      <c r="U20" s="16">
        <f t="shared" si="1"/>
        <v>17.48</v>
      </c>
      <c r="V20" s="8"/>
      <c r="W20" s="8"/>
      <c r="X20" s="8"/>
      <c r="Y20" s="8"/>
    </row>
    <row r="21" spans="1:25" x14ac:dyDescent="0.25">
      <c r="A21" s="2">
        <v>20</v>
      </c>
      <c r="B21" s="3" t="s">
        <v>37</v>
      </c>
      <c r="C21" t="s">
        <v>37</v>
      </c>
      <c r="D21" t="s">
        <v>25</v>
      </c>
      <c r="E21">
        <v>1</v>
      </c>
      <c r="F21" s="31">
        <v>30</v>
      </c>
      <c r="G21" s="31">
        <v>30</v>
      </c>
      <c r="H21" s="31">
        <v>30</v>
      </c>
      <c r="I21" s="31">
        <v>30</v>
      </c>
      <c r="J21" s="31">
        <v>30</v>
      </c>
      <c r="K21" s="31">
        <v>30</v>
      </c>
      <c r="L21" s="31">
        <v>30</v>
      </c>
      <c r="M21" s="31">
        <v>30</v>
      </c>
      <c r="N21" s="32">
        <v>30</v>
      </c>
      <c r="O21" s="32">
        <v>30</v>
      </c>
      <c r="P21" s="32">
        <v>30</v>
      </c>
      <c r="Q21" s="32">
        <v>30</v>
      </c>
      <c r="R21" s="32">
        <v>30</v>
      </c>
      <c r="S21" s="9">
        <f t="shared" si="0"/>
        <v>12</v>
      </c>
      <c r="T21" s="8"/>
      <c r="U21" s="16">
        <f t="shared" si="1"/>
        <v>30</v>
      </c>
      <c r="V21" s="8"/>
      <c r="W21" s="8"/>
      <c r="X21" s="8"/>
      <c r="Y21" s="8"/>
    </row>
    <row r="22" spans="1:25" x14ac:dyDescent="0.25">
      <c r="A22" s="2">
        <v>21</v>
      </c>
      <c r="B22" s="3" t="s">
        <v>38</v>
      </c>
      <c r="C22" t="s">
        <v>38</v>
      </c>
      <c r="D22" t="s">
        <v>18</v>
      </c>
      <c r="E22">
        <v>1</v>
      </c>
      <c r="F22" s="31">
        <v>25</v>
      </c>
      <c r="G22" s="31">
        <v>25</v>
      </c>
      <c r="H22" s="31">
        <v>25</v>
      </c>
      <c r="I22" s="31">
        <v>25</v>
      </c>
      <c r="J22" s="31">
        <v>25</v>
      </c>
      <c r="K22" s="31">
        <v>25</v>
      </c>
      <c r="L22" s="31">
        <v>25</v>
      </c>
      <c r="M22" s="31">
        <v>25</v>
      </c>
      <c r="N22" s="32">
        <v>25</v>
      </c>
      <c r="O22" s="32">
        <v>25</v>
      </c>
      <c r="P22" s="32">
        <v>25</v>
      </c>
      <c r="Q22" s="32">
        <v>25</v>
      </c>
      <c r="R22" s="32">
        <v>25</v>
      </c>
      <c r="S22" s="9">
        <f t="shared" si="0"/>
        <v>12</v>
      </c>
      <c r="T22" s="8"/>
      <c r="U22" s="16">
        <f t="shared" si="1"/>
        <v>25</v>
      </c>
      <c r="V22" s="8"/>
      <c r="W22" s="8"/>
      <c r="X22" s="8"/>
      <c r="Y22" s="8"/>
    </row>
    <row r="23" spans="1:25" x14ac:dyDescent="0.25">
      <c r="A23" s="2">
        <v>22</v>
      </c>
      <c r="B23" s="3" t="s">
        <v>39</v>
      </c>
      <c r="C23" t="s">
        <v>39</v>
      </c>
      <c r="D23" t="s">
        <v>14</v>
      </c>
      <c r="E23">
        <v>1</v>
      </c>
      <c r="F23" s="31">
        <v>22</v>
      </c>
      <c r="G23" s="31">
        <v>22</v>
      </c>
      <c r="H23" s="31">
        <v>22</v>
      </c>
      <c r="I23" s="31">
        <v>22</v>
      </c>
      <c r="J23" s="31">
        <v>22</v>
      </c>
      <c r="K23" s="31">
        <v>22</v>
      </c>
      <c r="L23" s="31">
        <v>22</v>
      </c>
      <c r="M23" s="31">
        <v>22</v>
      </c>
      <c r="N23" s="32">
        <v>22</v>
      </c>
      <c r="O23" s="32">
        <v>22</v>
      </c>
      <c r="P23" s="32">
        <v>22</v>
      </c>
      <c r="Q23" s="32">
        <v>22</v>
      </c>
      <c r="R23" s="32">
        <v>22</v>
      </c>
      <c r="S23" s="9">
        <f t="shared" si="0"/>
        <v>12</v>
      </c>
      <c r="T23" s="8"/>
      <c r="U23" s="16">
        <f t="shared" si="1"/>
        <v>22</v>
      </c>
      <c r="V23" s="8"/>
      <c r="W23" s="8"/>
      <c r="X23" s="8"/>
      <c r="Y23" s="8"/>
    </row>
    <row r="24" spans="1:25" x14ac:dyDescent="0.25">
      <c r="A24" s="2">
        <v>23</v>
      </c>
      <c r="B24" s="3" t="s">
        <v>40</v>
      </c>
      <c r="C24" t="s">
        <v>40</v>
      </c>
      <c r="D24" t="s">
        <v>18</v>
      </c>
      <c r="E24">
        <v>1</v>
      </c>
      <c r="F24" s="31">
        <v>34</v>
      </c>
      <c r="G24" s="31">
        <v>34</v>
      </c>
      <c r="H24" s="31">
        <v>34</v>
      </c>
      <c r="I24" s="31">
        <v>34</v>
      </c>
      <c r="J24" s="31">
        <v>34</v>
      </c>
      <c r="K24" s="31">
        <v>34</v>
      </c>
      <c r="L24" s="31">
        <v>34</v>
      </c>
      <c r="M24" s="31">
        <v>34</v>
      </c>
      <c r="N24" s="32">
        <v>34</v>
      </c>
      <c r="O24" s="32">
        <v>34</v>
      </c>
      <c r="P24" s="32">
        <v>34</v>
      </c>
      <c r="Q24" s="32">
        <v>34</v>
      </c>
      <c r="R24" s="32">
        <v>34</v>
      </c>
      <c r="S24" s="9">
        <f t="shared" si="0"/>
        <v>12</v>
      </c>
      <c r="T24" s="8"/>
      <c r="U24" s="16">
        <f t="shared" si="1"/>
        <v>34</v>
      </c>
      <c r="V24" s="8"/>
      <c r="W24" s="8"/>
      <c r="X24" s="8"/>
      <c r="Y24" s="8"/>
    </row>
    <row r="25" spans="1:25" x14ac:dyDescent="0.25">
      <c r="A25" s="2">
        <v>24</v>
      </c>
      <c r="B25" s="3" t="s">
        <v>41</v>
      </c>
      <c r="C25" t="s">
        <v>41</v>
      </c>
      <c r="D25" t="s">
        <v>23</v>
      </c>
      <c r="E25">
        <v>1</v>
      </c>
      <c r="F25" s="31">
        <v>10</v>
      </c>
      <c r="G25" s="31">
        <v>10</v>
      </c>
      <c r="H25" s="31">
        <v>10</v>
      </c>
      <c r="I25" s="31">
        <v>10</v>
      </c>
      <c r="J25" s="31">
        <v>10</v>
      </c>
      <c r="K25" s="31">
        <v>10</v>
      </c>
      <c r="L25" s="31">
        <v>10</v>
      </c>
      <c r="M25" s="31">
        <v>10</v>
      </c>
      <c r="N25" s="32">
        <v>10</v>
      </c>
      <c r="O25" s="32">
        <v>10</v>
      </c>
      <c r="P25" s="32">
        <v>10</v>
      </c>
      <c r="Q25" s="32">
        <v>10</v>
      </c>
      <c r="R25" s="32">
        <v>10</v>
      </c>
      <c r="S25" s="9">
        <f t="shared" si="0"/>
        <v>12</v>
      </c>
      <c r="T25" s="8"/>
      <c r="U25" s="16">
        <f t="shared" si="1"/>
        <v>10</v>
      </c>
      <c r="V25" s="8"/>
      <c r="W25" s="8"/>
      <c r="X25" s="8"/>
      <c r="Y25" s="8"/>
    </row>
    <row r="26" spans="1:25" x14ac:dyDescent="0.25">
      <c r="A26" s="2">
        <v>25</v>
      </c>
      <c r="B26" s="3" t="s">
        <v>42</v>
      </c>
      <c r="C26" t="s">
        <v>43</v>
      </c>
      <c r="D26" t="s">
        <v>14</v>
      </c>
      <c r="E26">
        <v>1</v>
      </c>
      <c r="F26" s="31">
        <v>30</v>
      </c>
      <c r="G26" s="31">
        <v>30</v>
      </c>
      <c r="H26" s="31">
        <v>27.5</v>
      </c>
      <c r="I26" s="31">
        <v>27.5</v>
      </c>
      <c r="J26" s="31">
        <v>27.5</v>
      </c>
      <c r="K26" s="31">
        <v>27.5</v>
      </c>
      <c r="L26" s="31">
        <v>27.5</v>
      </c>
      <c r="M26" s="31">
        <v>28</v>
      </c>
      <c r="N26" s="32">
        <v>28.022645743329974</v>
      </c>
      <c r="O26" s="32">
        <v>28.054725949112481</v>
      </c>
      <c r="P26" s="32">
        <v>28.183786079044864</v>
      </c>
      <c r="Q26" s="32">
        <v>28.169185022955645</v>
      </c>
      <c r="R26" s="32">
        <v>28.18306068261785</v>
      </c>
      <c r="S26" s="9">
        <f t="shared" si="0"/>
        <v>12</v>
      </c>
      <c r="T26" s="8"/>
      <c r="U26" s="16">
        <f t="shared" si="1"/>
        <v>27.5</v>
      </c>
      <c r="V26" s="8"/>
      <c r="W26" s="8"/>
      <c r="X26" s="8"/>
      <c r="Y26" s="8"/>
    </row>
    <row r="27" spans="1:25" x14ac:dyDescent="0.25">
      <c r="A27" s="2">
        <v>26</v>
      </c>
      <c r="B27" s="3" t="s">
        <v>44</v>
      </c>
      <c r="C27" t="s">
        <v>44</v>
      </c>
      <c r="D27" t="s">
        <v>14</v>
      </c>
      <c r="E27">
        <v>1</v>
      </c>
      <c r="F27" s="31">
        <v>35</v>
      </c>
      <c r="G27" s="31">
        <v>35</v>
      </c>
      <c r="H27" s="31">
        <v>35</v>
      </c>
      <c r="I27" s="31">
        <v>35</v>
      </c>
      <c r="J27" s="31">
        <v>35</v>
      </c>
      <c r="K27" s="31">
        <v>35</v>
      </c>
      <c r="L27" s="31">
        <v>35</v>
      </c>
      <c r="M27" s="31">
        <v>35</v>
      </c>
      <c r="N27" s="32">
        <v>35</v>
      </c>
      <c r="O27" s="32">
        <v>35</v>
      </c>
      <c r="P27" s="32">
        <v>35</v>
      </c>
      <c r="Q27" s="32">
        <v>35</v>
      </c>
      <c r="R27" s="32">
        <v>35</v>
      </c>
      <c r="S27" s="9">
        <f t="shared" si="0"/>
        <v>12</v>
      </c>
      <c r="T27" s="8"/>
      <c r="U27" s="16">
        <f t="shared" si="1"/>
        <v>35</v>
      </c>
      <c r="V27" s="8"/>
      <c r="W27" s="8"/>
      <c r="X27" s="8"/>
      <c r="Y27" s="8"/>
    </row>
    <row r="28" spans="1:25" x14ac:dyDescent="0.25">
      <c r="A28" s="2">
        <v>27</v>
      </c>
      <c r="B28" s="3" t="s">
        <v>45</v>
      </c>
      <c r="C28" t="s">
        <v>45</v>
      </c>
      <c r="D28" t="s">
        <v>25</v>
      </c>
      <c r="E28">
        <v>1</v>
      </c>
      <c r="F28" s="31">
        <v>20</v>
      </c>
      <c r="G28" s="31">
        <v>20</v>
      </c>
      <c r="H28" s="31">
        <v>20</v>
      </c>
      <c r="I28" s="31">
        <v>20</v>
      </c>
      <c r="J28" s="31">
        <v>20</v>
      </c>
      <c r="K28" s="31">
        <v>20</v>
      </c>
      <c r="L28" s="31">
        <v>20</v>
      </c>
      <c r="M28" s="31">
        <v>20</v>
      </c>
      <c r="N28" s="32">
        <v>20</v>
      </c>
      <c r="O28" s="32">
        <v>20</v>
      </c>
      <c r="P28" s="32">
        <v>20</v>
      </c>
      <c r="Q28" s="32">
        <v>20</v>
      </c>
      <c r="R28" s="32">
        <v>20</v>
      </c>
      <c r="S28" s="9">
        <f t="shared" si="0"/>
        <v>12</v>
      </c>
      <c r="T28" s="8"/>
      <c r="U28" s="16">
        <f t="shared" si="1"/>
        <v>20</v>
      </c>
      <c r="V28" s="8"/>
      <c r="W28" s="8"/>
      <c r="X28" s="8"/>
      <c r="Y28" s="8"/>
    </row>
    <row r="29" spans="1:25" x14ac:dyDescent="0.25">
      <c r="A29" s="2">
        <v>28</v>
      </c>
      <c r="B29" s="3" t="s">
        <v>46</v>
      </c>
      <c r="C29" t="s">
        <v>46</v>
      </c>
      <c r="D29" t="s">
        <v>14</v>
      </c>
      <c r="E29">
        <v>1</v>
      </c>
      <c r="F29" s="31">
        <v>38.5</v>
      </c>
      <c r="G29" s="31">
        <v>38.5</v>
      </c>
      <c r="H29" s="31">
        <v>38.5</v>
      </c>
      <c r="I29" s="31">
        <v>38.5</v>
      </c>
      <c r="J29" s="31">
        <v>33</v>
      </c>
      <c r="K29" s="31">
        <v>33</v>
      </c>
      <c r="L29" s="31">
        <v>33</v>
      </c>
      <c r="M29" s="31">
        <v>33</v>
      </c>
      <c r="N29" s="32">
        <v>29.784324178794577</v>
      </c>
      <c r="O29" s="32">
        <v>27.641933043099471</v>
      </c>
      <c r="P29" s="32">
        <v>28.882227020797927</v>
      </c>
      <c r="Q29" s="32">
        <v>28.060908135831141</v>
      </c>
      <c r="R29" s="32">
        <v>26.037209322370472</v>
      </c>
      <c r="S29" s="9">
        <f t="shared" si="0"/>
        <v>12</v>
      </c>
      <c r="T29" s="8"/>
      <c r="U29" s="16">
        <f t="shared" si="1"/>
        <v>38.5</v>
      </c>
      <c r="V29" s="8"/>
      <c r="W29" s="8"/>
      <c r="X29" s="8"/>
      <c r="Y29" s="8"/>
    </row>
    <row r="30" spans="1:25" x14ac:dyDescent="0.25">
      <c r="A30" s="2">
        <v>29</v>
      </c>
      <c r="B30" s="3" t="s">
        <v>47</v>
      </c>
      <c r="C30" t="s">
        <v>47</v>
      </c>
      <c r="D30" t="s">
        <v>36</v>
      </c>
      <c r="E30">
        <v>1</v>
      </c>
      <c r="F30" s="31">
        <v>15</v>
      </c>
      <c r="G30" s="31">
        <v>15</v>
      </c>
      <c r="H30" s="31">
        <v>15</v>
      </c>
      <c r="I30" s="31">
        <v>15</v>
      </c>
      <c r="J30" s="31">
        <v>15</v>
      </c>
      <c r="K30" s="31">
        <v>15</v>
      </c>
      <c r="L30" s="31">
        <v>15</v>
      </c>
      <c r="M30" s="31">
        <v>15</v>
      </c>
      <c r="N30" s="32">
        <v>15</v>
      </c>
      <c r="O30" s="32">
        <v>15</v>
      </c>
      <c r="P30" s="32">
        <v>15</v>
      </c>
      <c r="Q30" s="32">
        <v>15</v>
      </c>
      <c r="R30" s="32">
        <v>15</v>
      </c>
      <c r="S30" s="9">
        <f t="shared" si="0"/>
        <v>12</v>
      </c>
      <c r="T30" s="8"/>
      <c r="U30" s="16">
        <f t="shared" si="1"/>
        <v>15</v>
      </c>
      <c r="V30" s="8"/>
      <c r="W30" s="8"/>
      <c r="X30" s="8"/>
      <c r="Y30" s="8"/>
    </row>
    <row r="31" spans="1:25" x14ac:dyDescent="0.25">
      <c r="A31" s="2">
        <v>30</v>
      </c>
      <c r="B31" s="3" t="s">
        <v>48</v>
      </c>
      <c r="C31" t="s">
        <v>11</v>
      </c>
      <c r="D31" t="s">
        <v>16</v>
      </c>
      <c r="E31" t="s">
        <v>12</v>
      </c>
      <c r="F31" s="31">
        <v>20.23</v>
      </c>
      <c r="G31" s="31">
        <v>20.23</v>
      </c>
      <c r="H31" s="31">
        <v>29.99</v>
      </c>
      <c r="I31" s="31">
        <v>31.44</v>
      </c>
      <c r="J31" s="31">
        <v>24.46</v>
      </c>
      <c r="K31" s="31">
        <v>21.98</v>
      </c>
      <c r="L31" s="31">
        <v>38.18</v>
      </c>
      <c r="M31" s="31">
        <v>9.35</v>
      </c>
      <c r="N31" s="32">
        <v>30.33</v>
      </c>
      <c r="O31" s="32">
        <v>27</v>
      </c>
      <c r="P31" s="32">
        <v>15.84</v>
      </c>
      <c r="Q31" s="32">
        <v>19.79</v>
      </c>
      <c r="R31" s="32">
        <v>32.020000000000003</v>
      </c>
      <c r="S31" s="9">
        <f t="shared" si="0"/>
        <v>12</v>
      </c>
      <c r="T31" s="8"/>
      <c r="U31" s="16">
        <f t="shared" si="1"/>
        <v>29.99</v>
      </c>
      <c r="V31" s="8"/>
      <c r="W31" s="8"/>
      <c r="X31" s="8"/>
      <c r="Y31" s="8"/>
    </row>
    <row r="32" spans="1:25" x14ac:dyDescent="0.25">
      <c r="A32" s="2">
        <v>31</v>
      </c>
      <c r="B32" s="3" t="s">
        <v>49</v>
      </c>
      <c r="C32" t="s">
        <v>50</v>
      </c>
      <c r="D32" t="s">
        <v>14</v>
      </c>
      <c r="E32" t="s">
        <v>12</v>
      </c>
      <c r="F32" s="31">
        <v>30</v>
      </c>
      <c r="G32" s="31">
        <v>30</v>
      </c>
      <c r="H32" s="31">
        <v>30</v>
      </c>
      <c r="I32" s="31">
        <v>30</v>
      </c>
      <c r="J32" s="31">
        <v>30</v>
      </c>
      <c r="K32" s="31">
        <v>30</v>
      </c>
      <c r="L32" s="31">
        <v>30</v>
      </c>
      <c r="M32" s="31">
        <v>30</v>
      </c>
      <c r="N32" s="32">
        <v>24.64</v>
      </c>
      <c r="O32" s="32">
        <v>25.14</v>
      </c>
      <c r="P32" s="32">
        <v>32.700000000000003</v>
      </c>
      <c r="Q32" s="32">
        <v>32.04</v>
      </c>
      <c r="R32" s="32">
        <v>28.37</v>
      </c>
      <c r="S32" s="9">
        <f t="shared" si="0"/>
        <v>12</v>
      </c>
      <c r="T32" s="8"/>
      <c r="U32" s="16">
        <f t="shared" si="1"/>
        <v>30</v>
      </c>
      <c r="V32" s="8"/>
      <c r="W32" s="8"/>
      <c r="X32" s="8"/>
      <c r="Y32" s="8"/>
    </row>
    <row r="33" spans="1:25" x14ac:dyDescent="0.25">
      <c r="A33" s="2">
        <v>32</v>
      </c>
      <c r="B33" s="3" t="s">
        <v>51</v>
      </c>
      <c r="C33" t="s">
        <v>51</v>
      </c>
      <c r="D33" t="s">
        <v>14</v>
      </c>
      <c r="E33">
        <v>1</v>
      </c>
      <c r="F33" s="31">
        <v>40</v>
      </c>
      <c r="G33" s="31">
        <v>40</v>
      </c>
      <c r="H33" s="31">
        <v>45</v>
      </c>
      <c r="I33" s="31">
        <v>45</v>
      </c>
      <c r="J33" s="31">
        <v>45</v>
      </c>
      <c r="K33" s="31">
        <v>45</v>
      </c>
      <c r="L33" s="31">
        <v>45</v>
      </c>
      <c r="M33" s="31">
        <v>45</v>
      </c>
      <c r="N33" s="32">
        <v>45</v>
      </c>
      <c r="O33" s="32">
        <v>45</v>
      </c>
      <c r="P33" s="32">
        <v>45</v>
      </c>
      <c r="Q33" s="32">
        <v>45</v>
      </c>
      <c r="R33" s="32">
        <v>45</v>
      </c>
      <c r="S33" s="9">
        <f t="shared" si="0"/>
        <v>12</v>
      </c>
      <c r="T33" s="8"/>
      <c r="U33" s="16">
        <f t="shared" si="1"/>
        <v>45</v>
      </c>
      <c r="V33" s="8"/>
      <c r="W33" s="8"/>
      <c r="X33" s="8"/>
      <c r="Y33" s="8"/>
    </row>
    <row r="34" spans="1:25" x14ac:dyDescent="0.25">
      <c r="A34" s="2">
        <v>33</v>
      </c>
      <c r="B34" s="3" t="s">
        <v>52</v>
      </c>
      <c r="C34" t="s">
        <v>52</v>
      </c>
      <c r="D34" t="s">
        <v>18</v>
      </c>
      <c r="E34">
        <v>1</v>
      </c>
      <c r="F34" s="31">
        <v>18.5</v>
      </c>
      <c r="G34" s="31">
        <v>18.5</v>
      </c>
      <c r="H34" s="31">
        <v>20</v>
      </c>
      <c r="I34" s="31">
        <v>20</v>
      </c>
      <c r="J34" s="31">
        <v>22.5</v>
      </c>
      <c r="K34" s="31">
        <v>25</v>
      </c>
      <c r="L34" s="31">
        <v>25</v>
      </c>
      <c r="M34" s="31">
        <v>25</v>
      </c>
      <c r="N34" s="32">
        <v>28.912407862485452</v>
      </c>
      <c r="O34" s="32">
        <v>27.485270251314887</v>
      </c>
      <c r="P34" s="32">
        <v>28.192246149416405</v>
      </c>
      <c r="Q34" s="32">
        <v>31.13057087685911</v>
      </c>
      <c r="R34" s="32">
        <v>33.475549561400385</v>
      </c>
      <c r="S34" s="9">
        <f t="shared" si="0"/>
        <v>12</v>
      </c>
      <c r="T34" s="8"/>
      <c r="U34" s="16">
        <f t="shared" si="1"/>
        <v>20</v>
      </c>
      <c r="V34" s="8"/>
      <c r="W34" s="8"/>
      <c r="X34" s="8"/>
      <c r="Y34" s="8"/>
    </row>
    <row r="35" spans="1:25" x14ac:dyDescent="0.25">
      <c r="A35" s="2">
        <v>34</v>
      </c>
      <c r="B35" s="3" t="s">
        <v>53</v>
      </c>
      <c r="C35" t="s">
        <v>53</v>
      </c>
      <c r="D35" t="s">
        <v>25</v>
      </c>
      <c r="E35">
        <v>1</v>
      </c>
      <c r="F35" s="31">
        <v>25</v>
      </c>
      <c r="G35" s="31">
        <v>25</v>
      </c>
      <c r="H35" s="31">
        <v>25</v>
      </c>
      <c r="I35" s="31">
        <v>25</v>
      </c>
      <c r="J35" s="31">
        <v>25</v>
      </c>
      <c r="K35" s="31">
        <v>25</v>
      </c>
      <c r="L35" s="31">
        <v>25</v>
      </c>
      <c r="M35" s="31">
        <v>25</v>
      </c>
      <c r="N35" s="32">
        <v>25</v>
      </c>
      <c r="O35" s="32">
        <v>25</v>
      </c>
      <c r="P35" s="32">
        <v>25</v>
      </c>
      <c r="Q35" s="32">
        <v>25</v>
      </c>
      <c r="R35" s="32">
        <v>25</v>
      </c>
      <c r="S35" s="9">
        <f t="shared" si="0"/>
        <v>12</v>
      </c>
      <c r="T35" s="8"/>
      <c r="U35" s="16">
        <f t="shared" si="1"/>
        <v>25</v>
      </c>
      <c r="V35" s="8"/>
      <c r="W35" s="8"/>
      <c r="X35" s="8"/>
      <c r="Y35" s="8"/>
    </row>
    <row r="36" spans="1:25" x14ac:dyDescent="0.25">
      <c r="A36" s="2">
        <v>35</v>
      </c>
      <c r="B36" s="3" t="s">
        <v>54</v>
      </c>
      <c r="C36" t="s">
        <v>54</v>
      </c>
      <c r="D36" t="s">
        <v>18</v>
      </c>
      <c r="E36">
        <v>1</v>
      </c>
      <c r="F36" s="31">
        <v>33</v>
      </c>
      <c r="G36" s="31">
        <v>33</v>
      </c>
      <c r="H36" s="31">
        <v>25</v>
      </c>
      <c r="I36" s="31">
        <v>25</v>
      </c>
      <c r="J36" s="31">
        <v>25</v>
      </c>
      <c r="K36" s="31">
        <v>25</v>
      </c>
      <c r="L36" s="31">
        <v>25</v>
      </c>
      <c r="M36" s="31">
        <v>33</v>
      </c>
      <c r="N36" s="32">
        <v>33.930472859855854</v>
      </c>
      <c r="O36" s="32">
        <v>32.792934072853313</v>
      </c>
      <c r="P36" s="32">
        <v>33.999932218872345</v>
      </c>
      <c r="Q36" s="32">
        <v>31.270333163111445</v>
      </c>
      <c r="R36" s="32">
        <v>37.586133191100998</v>
      </c>
      <c r="S36" s="9">
        <f t="shared" si="0"/>
        <v>12</v>
      </c>
      <c r="T36" s="8"/>
      <c r="U36" s="16">
        <f t="shared" si="1"/>
        <v>25</v>
      </c>
      <c r="V36" s="8"/>
      <c r="W36" s="8"/>
      <c r="X36" s="8"/>
      <c r="Y36" s="8"/>
    </row>
    <row r="37" spans="1:25" x14ac:dyDescent="0.25">
      <c r="A37" s="2">
        <v>36</v>
      </c>
      <c r="B37" s="3" t="s">
        <v>55</v>
      </c>
      <c r="C37" t="s">
        <v>55</v>
      </c>
      <c r="D37" t="s">
        <v>14</v>
      </c>
      <c r="E37" t="s">
        <v>12</v>
      </c>
      <c r="F37" s="31">
        <v>50</v>
      </c>
      <c r="G37" s="31">
        <v>50</v>
      </c>
      <c r="H37" s="31">
        <v>50</v>
      </c>
      <c r="I37" s="31">
        <v>50</v>
      </c>
      <c r="J37" s="31">
        <v>50</v>
      </c>
      <c r="K37" s="31">
        <v>50</v>
      </c>
      <c r="L37" s="31">
        <v>50</v>
      </c>
      <c r="M37" s="31">
        <v>50</v>
      </c>
      <c r="N37" s="32">
        <v>45.58</v>
      </c>
      <c r="O37" s="32">
        <v>44.89</v>
      </c>
      <c r="P37" s="32">
        <v>42.69</v>
      </c>
      <c r="Q37" s="32">
        <v>43.88</v>
      </c>
      <c r="R37" s="32">
        <v>47.63</v>
      </c>
      <c r="S37" s="9">
        <f t="shared" si="0"/>
        <v>12</v>
      </c>
      <c r="T37" s="8"/>
      <c r="U37" s="16">
        <f t="shared" si="1"/>
        <v>50</v>
      </c>
      <c r="V37" s="8"/>
      <c r="W37" s="8"/>
      <c r="X37" s="8"/>
      <c r="Y37" s="8"/>
    </row>
    <row r="38" spans="1:25" x14ac:dyDescent="0.25">
      <c r="A38" s="2">
        <v>37</v>
      </c>
      <c r="B38" s="3" t="s">
        <v>56</v>
      </c>
      <c r="C38" t="s">
        <v>57</v>
      </c>
      <c r="D38" t="s">
        <v>33</v>
      </c>
      <c r="E38">
        <v>1</v>
      </c>
      <c r="F38" s="31">
        <v>30</v>
      </c>
      <c r="G38" s="31">
        <v>30</v>
      </c>
      <c r="H38" s="31">
        <v>30</v>
      </c>
      <c r="I38" s="31">
        <v>30</v>
      </c>
      <c r="J38" s="31">
        <v>30</v>
      </c>
      <c r="K38" s="31">
        <v>30</v>
      </c>
      <c r="L38" s="31">
        <v>30</v>
      </c>
      <c r="M38" s="31">
        <v>30</v>
      </c>
      <c r="N38" s="32">
        <v>30</v>
      </c>
      <c r="O38" s="32">
        <v>30</v>
      </c>
      <c r="P38" s="32">
        <v>30</v>
      </c>
      <c r="Q38" s="32">
        <v>30</v>
      </c>
      <c r="R38" s="32">
        <v>30</v>
      </c>
      <c r="S38" s="9">
        <f t="shared" si="0"/>
        <v>12</v>
      </c>
      <c r="T38" s="8"/>
      <c r="U38" s="16">
        <f t="shared" si="1"/>
        <v>30</v>
      </c>
      <c r="V38" s="8"/>
      <c r="W38" s="8"/>
      <c r="X38" s="8"/>
      <c r="Y38" s="8"/>
    </row>
    <row r="39" spans="1:25" x14ac:dyDescent="0.25">
      <c r="A39" s="2">
        <v>38</v>
      </c>
      <c r="B39" s="3" t="s">
        <v>58</v>
      </c>
      <c r="C39" t="s">
        <v>58</v>
      </c>
      <c r="D39" t="s">
        <v>7</v>
      </c>
      <c r="E39">
        <v>1</v>
      </c>
      <c r="F39" s="31">
        <v>20</v>
      </c>
      <c r="G39" s="31">
        <v>20</v>
      </c>
      <c r="H39" s="31">
        <v>20</v>
      </c>
      <c r="I39" s="31">
        <v>20</v>
      </c>
      <c r="J39" s="31">
        <v>20</v>
      </c>
      <c r="K39" s="31">
        <v>20</v>
      </c>
      <c r="L39" s="31">
        <v>20</v>
      </c>
      <c r="M39" s="31">
        <v>18</v>
      </c>
      <c r="N39" s="32">
        <v>18.199784555605106</v>
      </c>
      <c r="O39" s="32">
        <v>18.658965341018074</v>
      </c>
      <c r="P39" s="32">
        <v>18.04388883561387</v>
      </c>
      <c r="Q39" s="32">
        <v>17.036224775651931</v>
      </c>
      <c r="R39" s="32">
        <v>16.213908263745111</v>
      </c>
      <c r="S39" s="9">
        <f t="shared" si="0"/>
        <v>12</v>
      </c>
      <c r="T39" s="8"/>
      <c r="U39" s="16">
        <f t="shared" si="1"/>
        <v>20</v>
      </c>
      <c r="V39" s="8"/>
      <c r="W39" s="8"/>
      <c r="X39" s="8"/>
      <c r="Y39" s="8"/>
    </row>
    <row r="40" spans="1:25" x14ac:dyDescent="0.25">
      <c r="A40" s="2">
        <v>39</v>
      </c>
      <c r="B40" s="3" t="s">
        <v>59</v>
      </c>
      <c r="C40" t="s">
        <v>59</v>
      </c>
      <c r="D40" t="s">
        <v>16</v>
      </c>
      <c r="E40" t="s">
        <v>12</v>
      </c>
      <c r="F40" s="31">
        <v>30</v>
      </c>
      <c r="G40" s="31">
        <v>30</v>
      </c>
      <c r="H40" s="31">
        <v>30</v>
      </c>
      <c r="I40" s="31">
        <v>30</v>
      </c>
      <c r="J40" s="31">
        <v>30</v>
      </c>
      <c r="K40" s="31">
        <v>30</v>
      </c>
      <c r="L40" s="31">
        <v>30</v>
      </c>
      <c r="M40" s="31">
        <v>30</v>
      </c>
      <c r="N40" s="32">
        <v>28.1</v>
      </c>
      <c r="O40" s="32">
        <v>29.79</v>
      </c>
      <c r="P40" s="32">
        <v>27.64</v>
      </c>
      <c r="Q40" s="32">
        <v>29.36</v>
      </c>
      <c r="R40" s="32">
        <v>29.28</v>
      </c>
      <c r="S40" s="9">
        <f t="shared" si="0"/>
        <v>12</v>
      </c>
      <c r="T40" s="8"/>
      <c r="U40" s="16">
        <f t="shared" si="1"/>
        <v>30</v>
      </c>
      <c r="V40" s="8"/>
      <c r="W40" s="8"/>
      <c r="X40" s="8"/>
      <c r="Y40" s="8"/>
    </row>
    <row r="41" spans="1:25" x14ac:dyDescent="0.25">
      <c r="A41" s="2">
        <v>40</v>
      </c>
      <c r="B41" s="3" t="s">
        <v>60</v>
      </c>
      <c r="C41" t="s">
        <v>60</v>
      </c>
      <c r="D41" t="s">
        <v>23</v>
      </c>
      <c r="E41">
        <v>1</v>
      </c>
      <c r="F41" s="31">
        <v>10</v>
      </c>
      <c r="G41" s="31">
        <v>10</v>
      </c>
      <c r="H41" s="31">
        <v>10</v>
      </c>
      <c r="I41" s="31">
        <v>12.5</v>
      </c>
      <c r="J41" s="31">
        <v>12.5</v>
      </c>
      <c r="K41" s="31">
        <v>12.5</v>
      </c>
      <c r="L41" s="31">
        <v>12.5</v>
      </c>
      <c r="M41" s="31">
        <v>12.5</v>
      </c>
      <c r="N41" s="32">
        <v>12.5</v>
      </c>
      <c r="O41" s="32">
        <v>12.5</v>
      </c>
      <c r="P41" s="32">
        <v>12.5</v>
      </c>
      <c r="Q41" s="32">
        <v>12.5</v>
      </c>
      <c r="R41" s="32">
        <v>12.5</v>
      </c>
      <c r="S41" s="9">
        <f t="shared" si="0"/>
        <v>12</v>
      </c>
      <c r="T41" s="8"/>
      <c r="U41" s="16">
        <f t="shared" si="1"/>
        <v>10</v>
      </c>
      <c r="V41" s="8"/>
      <c r="W41" s="8"/>
      <c r="X41" s="8"/>
      <c r="Y41" s="8"/>
    </row>
    <row r="42" spans="1:25" x14ac:dyDescent="0.25">
      <c r="A42" s="2">
        <v>41</v>
      </c>
      <c r="B42" s="3" t="s">
        <v>61</v>
      </c>
      <c r="C42" t="s">
        <v>62</v>
      </c>
      <c r="D42" t="s">
        <v>23</v>
      </c>
      <c r="E42">
        <v>1</v>
      </c>
      <c r="F42" s="31">
        <v>19</v>
      </c>
      <c r="G42" s="31">
        <v>19</v>
      </c>
      <c r="H42" s="31">
        <v>19</v>
      </c>
      <c r="I42" s="31">
        <v>19</v>
      </c>
      <c r="J42" s="31">
        <v>19</v>
      </c>
      <c r="K42" s="31">
        <v>19</v>
      </c>
      <c r="L42" s="31">
        <v>19</v>
      </c>
      <c r="M42" s="31">
        <v>19</v>
      </c>
      <c r="N42" s="32">
        <v>19</v>
      </c>
      <c r="O42" s="32">
        <v>19</v>
      </c>
      <c r="P42" s="32">
        <v>19</v>
      </c>
      <c r="Q42" s="32">
        <v>19</v>
      </c>
      <c r="R42" s="32">
        <v>19</v>
      </c>
      <c r="S42" s="9">
        <f t="shared" si="0"/>
        <v>12</v>
      </c>
      <c r="T42" s="8"/>
      <c r="U42" s="16">
        <f t="shared" si="1"/>
        <v>19</v>
      </c>
      <c r="V42" s="8"/>
      <c r="W42" s="8"/>
      <c r="X42" s="8"/>
      <c r="Y42" s="8"/>
    </row>
    <row r="43" spans="1:25" x14ac:dyDescent="0.25">
      <c r="A43" s="2">
        <v>42</v>
      </c>
      <c r="B43" s="3" t="s">
        <v>63</v>
      </c>
      <c r="C43" t="s">
        <v>64</v>
      </c>
      <c r="D43" t="s">
        <v>14</v>
      </c>
      <c r="E43" t="s">
        <v>12</v>
      </c>
      <c r="F43" s="31">
        <v>34.24</v>
      </c>
      <c r="G43" s="31">
        <v>34.24</v>
      </c>
      <c r="H43" s="31">
        <v>28.59</v>
      </c>
      <c r="I43" s="31">
        <v>19.21</v>
      </c>
      <c r="J43" s="31">
        <v>24.85</v>
      </c>
      <c r="K43" s="31">
        <v>25.83</v>
      </c>
      <c r="L43" s="31">
        <v>29.24</v>
      </c>
      <c r="M43" s="31">
        <v>6.95</v>
      </c>
      <c r="N43" s="32">
        <v>21.95</v>
      </c>
      <c r="O43" s="32">
        <v>12.86</v>
      </c>
      <c r="P43" s="32">
        <v>29.65</v>
      </c>
      <c r="Q43" s="32">
        <v>18.39</v>
      </c>
      <c r="R43" s="32">
        <v>26.04</v>
      </c>
      <c r="S43" s="9">
        <f t="shared" si="0"/>
        <v>12</v>
      </c>
      <c r="T43" s="8"/>
      <c r="U43" s="16">
        <f t="shared" si="1"/>
        <v>28.59</v>
      </c>
      <c r="V43" s="8"/>
      <c r="W43" s="8"/>
      <c r="X43" s="8"/>
      <c r="Y43" s="8"/>
    </row>
    <row r="44" spans="1:25" x14ac:dyDescent="0.25">
      <c r="A44" s="2">
        <v>43</v>
      </c>
      <c r="B44" s="3" t="s">
        <v>65</v>
      </c>
      <c r="C44" t="s">
        <v>65</v>
      </c>
      <c r="D44" t="s">
        <v>23</v>
      </c>
      <c r="E44">
        <v>1</v>
      </c>
      <c r="F44" s="31">
        <v>25</v>
      </c>
      <c r="G44" s="31">
        <v>25</v>
      </c>
      <c r="H44" s="31">
        <v>25</v>
      </c>
      <c r="I44" s="31">
        <v>24.5</v>
      </c>
      <c r="J44" s="31">
        <v>23.5</v>
      </c>
      <c r="K44" s="31">
        <v>23.5</v>
      </c>
      <c r="L44" s="31">
        <v>23.5</v>
      </c>
      <c r="M44" s="31">
        <v>23.5</v>
      </c>
      <c r="N44" s="32">
        <v>23.175216592929871</v>
      </c>
      <c r="O44" s="32">
        <v>22.827048582610928</v>
      </c>
      <c r="P44" s="32">
        <v>22.765937014840063</v>
      </c>
      <c r="Q44" s="32">
        <v>22.627665413202408</v>
      </c>
      <c r="R44" s="32">
        <v>22.275950840452481</v>
      </c>
      <c r="S44" s="9">
        <f t="shared" si="0"/>
        <v>12</v>
      </c>
      <c r="T44" s="8"/>
      <c r="U44" s="16">
        <f t="shared" si="1"/>
        <v>25</v>
      </c>
      <c r="V44" s="8"/>
      <c r="W44" s="8"/>
      <c r="X44" s="8"/>
      <c r="Y44" s="8"/>
    </row>
    <row r="45" spans="1:25" x14ac:dyDescent="0.25">
      <c r="A45" s="2">
        <v>44</v>
      </c>
      <c r="B45" s="3" t="s">
        <v>66</v>
      </c>
      <c r="C45" t="s">
        <v>66</v>
      </c>
      <c r="D45" t="s">
        <v>14</v>
      </c>
      <c r="E45" t="s">
        <v>12</v>
      </c>
      <c r="F45" s="31">
        <v>25</v>
      </c>
      <c r="G45" s="31">
        <v>25</v>
      </c>
      <c r="H45" s="31">
        <v>25</v>
      </c>
      <c r="I45" s="31">
        <v>25</v>
      </c>
      <c r="J45" s="31">
        <v>25</v>
      </c>
      <c r="K45" s="31">
        <v>25</v>
      </c>
      <c r="L45" s="31">
        <v>25</v>
      </c>
      <c r="M45" s="31">
        <v>25</v>
      </c>
      <c r="N45" s="32">
        <v>27.6</v>
      </c>
      <c r="O45" s="32">
        <v>26.15</v>
      </c>
      <c r="P45" s="32">
        <v>25.34</v>
      </c>
      <c r="Q45" s="32">
        <v>22.54</v>
      </c>
      <c r="R45" s="32">
        <v>25.22</v>
      </c>
      <c r="S45" s="9">
        <f t="shared" si="0"/>
        <v>12</v>
      </c>
      <c r="T45" s="8"/>
      <c r="U45" s="16">
        <f t="shared" si="1"/>
        <v>25</v>
      </c>
      <c r="V45" s="8"/>
      <c r="W45" s="8"/>
      <c r="X45" s="8"/>
      <c r="Y45" s="8"/>
    </row>
    <row r="46" spans="1:25" x14ac:dyDescent="0.25">
      <c r="A46" s="2">
        <v>45</v>
      </c>
      <c r="B46" s="3" t="s">
        <v>67</v>
      </c>
      <c r="C46" t="s">
        <v>67</v>
      </c>
      <c r="D46" t="s">
        <v>16</v>
      </c>
      <c r="E46" t="s">
        <v>12</v>
      </c>
      <c r="F46" s="31">
        <v>30</v>
      </c>
      <c r="G46" s="31">
        <v>30</v>
      </c>
      <c r="H46" s="31">
        <v>30</v>
      </c>
      <c r="I46" s="31">
        <v>30</v>
      </c>
      <c r="J46" s="31">
        <v>30</v>
      </c>
      <c r="K46" s="31">
        <v>30</v>
      </c>
      <c r="L46" s="31">
        <v>30</v>
      </c>
      <c r="M46" s="31">
        <v>30</v>
      </c>
      <c r="N46" s="32">
        <v>30.21</v>
      </c>
      <c r="O46" s="32">
        <v>30.3</v>
      </c>
      <c r="P46" s="32">
        <v>28.45</v>
      </c>
      <c r="Q46" s="32">
        <v>29.53</v>
      </c>
      <c r="R46" s="32">
        <v>29.54</v>
      </c>
      <c r="S46" s="9">
        <f t="shared" si="0"/>
        <v>12</v>
      </c>
      <c r="T46" s="8"/>
      <c r="U46" s="16">
        <f t="shared" si="1"/>
        <v>30</v>
      </c>
      <c r="V46" s="8"/>
      <c r="W46" s="8"/>
      <c r="X46" s="8"/>
      <c r="Y46" s="8"/>
    </row>
    <row r="47" spans="1:25" x14ac:dyDescent="0.25">
      <c r="A47" s="2">
        <v>46</v>
      </c>
      <c r="B47" s="3" t="s">
        <v>68</v>
      </c>
      <c r="C47" t="s">
        <v>69</v>
      </c>
      <c r="D47" t="s">
        <v>16</v>
      </c>
      <c r="E47">
        <v>1</v>
      </c>
      <c r="F47" s="31">
        <v>29</v>
      </c>
      <c r="G47" s="31">
        <v>29</v>
      </c>
      <c r="H47" s="31">
        <v>29</v>
      </c>
      <c r="I47" s="31">
        <v>28</v>
      </c>
      <c r="J47" s="31">
        <v>27</v>
      </c>
      <c r="K47" s="31">
        <v>27</v>
      </c>
      <c r="L47" s="31">
        <v>27</v>
      </c>
      <c r="M47" s="31">
        <v>27</v>
      </c>
      <c r="N47" s="32">
        <v>26.539476031634422</v>
      </c>
      <c r="O47" s="32">
        <v>26.29631039460611</v>
      </c>
      <c r="P47" s="32">
        <v>26.224335551323634</v>
      </c>
      <c r="Q47" s="32">
        <v>25.956542895542441</v>
      </c>
      <c r="R47" s="32">
        <v>25.496010251153223</v>
      </c>
      <c r="S47" s="9">
        <f t="shared" si="0"/>
        <v>12</v>
      </c>
      <c r="T47" s="8"/>
      <c r="U47" s="16">
        <f t="shared" si="1"/>
        <v>29</v>
      </c>
      <c r="V47" s="8"/>
      <c r="W47" s="8"/>
      <c r="X47" s="8"/>
      <c r="Y47" s="8"/>
    </row>
    <row r="48" spans="1:25" x14ac:dyDescent="0.25">
      <c r="A48" s="2">
        <v>47</v>
      </c>
      <c r="B48" s="3" t="s">
        <v>70</v>
      </c>
      <c r="C48" t="s">
        <v>70</v>
      </c>
      <c r="D48" t="s">
        <v>18</v>
      </c>
      <c r="E48">
        <v>1</v>
      </c>
      <c r="F48" s="31">
        <v>23</v>
      </c>
      <c r="G48" s="31">
        <v>23</v>
      </c>
      <c r="H48" s="31">
        <v>22</v>
      </c>
      <c r="I48" s="31">
        <v>22</v>
      </c>
      <c r="J48" s="31">
        <v>22</v>
      </c>
      <c r="K48" s="31">
        <v>22</v>
      </c>
      <c r="L48" s="31">
        <v>22</v>
      </c>
      <c r="M48" s="31">
        <v>25</v>
      </c>
      <c r="N48" s="32">
        <v>24.350936555616499</v>
      </c>
      <c r="O48" s="32">
        <v>25.651560772784705</v>
      </c>
      <c r="P48" s="32">
        <v>25.151580743080103</v>
      </c>
      <c r="Q48" s="32">
        <v>25.749356657646331</v>
      </c>
      <c r="R48" s="32">
        <v>27.766729507196487</v>
      </c>
      <c r="S48" s="9">
        <f t="shared" si="0"/>
        <v>12</v>
      </c>
      <c r="T48" s="8"/>
      <c r="U48" s="16">
        <f t="shared" si="1"/>
        <v>22</v>
      </c>
      <c r="V48" s="8"/>
      <c r="W48" s="8"/>
      <c r="X48" s="8"/>
      <c r="Y48" s="8"/>
    </row>
    <row r="49" spans="1:25" x14ac:dyDescent="0.25">
      <c r="A49" s="2">
        <v>48</v>
      </c>
      <c r="B49" s="3" t="s">
        <v>71</v>
      </c>
      <c r="C49" t="s">
        <v>71</v>
      </c>
      <c r="D49" t="s">
        <v>9</v>
      </c>
      <c r="E49">
        <v>1</v>
      </c>
      <c r="F49" s="31">
        <v>25</v>
      </c>
      <c r="G49" s="31">
        <v>25</v>
      </c>
      <c r="H49" s="31">
        <v>25</v>
      </c>
      <c r="I49" s="31">
        <v>25</v>
      </c>
      <c r="J49" s="31">
        <v>25</v>
      </c>
      <c r="K49" s="31">
        <v>25</v>
      </c>
      <c r="L49" s="31">
        <v>25</v>
      </c>
      <c r="M49" s="31">
        <v>23</v>
      </c>
      <c r="N49" s="32">
        <v>22.994197434825992</v>
      </c>
      <c r="O49" s="32">
        <v>22.983882045765313</v>
      </c>
      <c r="P49" s="32">
        <v>22.279735114895743</v>
      </c>
      <c r="Q49" s="32">
        <v>22.180941351288311</v>
      </c>
      <c r="R49" s="32">
        <v>21.366010196255274</v>
      </c>
      <c r="S49" s="9">
        <f t="shared" si="0"/>
        <v>12</v>
      </c>
      <c r="T49" s="8"/>
      <c r="U49" s="16">
        <f t="shared" si="1"/>
        <v>25</v>
      </c>
      <c r="V49" s="8"/>
      <c r="W49" s="8"/>
      <c r="X49" s="8"/>
      <c r="Y49" s="8"/>
    </row>
    <row r="50" spans="1:25" x14ac:dyDescent="0.25">
      <c r="A50" s="2">
        <v>49</v>
      </c>
      <c r="B50" s="3" t="s">
        <v>72</v>
      </c>
      <c r="C50" t="s">
        <v>73</v>
      </c>
      <c r="D50" t="s">
        <v>33</v>
      </c>
      <c r="E50">
        <v>1</v>
      </c>
      <c r="F50" s="31">
        <v>25</v>
      </c>
      <c r="G50" s="31">
        <v>25</v>
      </c>
      <c r="H50" s="31">
        <v>30</v>
      </c>
      <c r="I50" s="31">
        <v>30</v>
      </c>
      <c r="J50" s="31">
        <v>30</v>
      </c>
      <c r="K50" s="31">
        <v>30</v>
      </c>
      <c r="L50" s="31">
        <v>30</v>
      </c>
      <c r="M50" s="31">
        <v>30</v>
      </c>
      <c r="N50" s="32">
        <v>30</v>
      </c>
      <c r="O50" s="32">
        <v>30</v>
      </c>
      <c r="P50" s="32">
        <v>30</v>
      </c>
      <c r="Q50" s="32">
        <v>30</v>
      </c>
      <c r="R50" s="32">
        <v>30</v>
      </c>
      <c r="S50" s="9">
        <f t="shared" si="0"/>
        <v>12</v>
      </c>
      <c r="T50" s="8"/>
      <c r="U50" s="16">
        <f t="shared" si="1"/>
        <v>30</v>
      </c>
      <c r="V50" s="8"/>
      <c r="W50" s="8"/>
      <c r="X50" s="8"/>
      <c r="Y50" s="8"/>
    </row>
    <row r="51" spans="1:25" x14ac:dyDescent="0.25">
      <c r="A51" s="2">
        <v>50</v>
      </c>
      <c r="B51" s="3" t="s">
        <v>74</v>
      </c>
      <c r="C51" t="s">
        <v>75</v>
      </c>
      <c r="D51" t="s">
        <v>14</v>
      </c>
      <c r="E51" t="s">
        <v>12</v>
      </c>
      <c r="F51" s="31">
        <v>35</v>
      </c>
      <c r="G51" s="31">
        <v>35</v>
      </c>
      <c r="H51" s="31">
        <v>35</v>
      </c>
      <c r="I51" s="31">
        <v>35</v>
      </c>
      <c r="J51" s="31">
        <v>35</v>
      </c>
      <c r="K51" s="31">
        <v>35</v>
      </c>
      <c r="L51" s="31">
        <v>35</v>
      </c>
      <c r="M51" s="31">
        <v>35</v>
      </c>
      <c r="N51" s="32">
        <v>31.59</v>
      </c>
      <c r="O51" s="32">
        <v>31.14</v>
      </c>
      <c r="P51" s="32">
        <v>29.35</v>
      </c>
      <c r="Q51" s="32">
        <v>30.48</v>
      </c>
      <c r="R51" s="32">
        <v>32.9</v>
      </c>
      <c r="S51" s="9">
        <f t="shared" si="0"/>
        <v>12</v>
      </c>
      <c r="T51" s="8"/>
      <c r="U51" s="16">
        <f t="shared" si="1"/>
        <v>35</v>
      </c>
      <c r="V51" s="8"/>
      <c r="W51" s="8"/>
      <c r="X51" s="8"/>
      <c r="Y51" s="8"/>
    </row>
    <row r="52" spans="1:25" x14ac:dyDescent="0.25">
      <c r="A52" s="2">
        <v>51</v>
      </c>
      <c r="B52" s="3" t="s">
        <v>76</v>
      </c>
      <c r="C52" t="s">
        <v>76</v>
      </c>
      <c r="D52" t="s">
        <v>14</v>
      </c>
      <c r="E52" t="s">
        <v>12</v>
      </c>
      <c r="F52" s="31">
        <v>30</v>
      </c>
      <c r="G52" s="31">
        <v>30</v>
      </c>
      <c r="H52" s="31">
        <v>30</v>
      </c>
      <c r="I52" s="31">
        <v>30</v>
      </c>
      <c r="J52" s="31">
        <v>30</v>
      </c>
      <c r="K52" s="31">
        <v>30</v>
      </c>
      <c r="L52" s="31">
        <v>30</v>
      </c>
      <c r="M52" s="31">
        <v>30</v>
      </c>
      <c r="N52" s="32">
        <v>26.76</v>
      </c>
      <c r="O52" s="32">
        <v>26.82</v>
      </c>
      <c r="P52" s="32">
        <v>25.18</v>
      </c>
      <c r="Q52" s="32">
        <v>26.48</v>
      </c>
      <c r="R52" s="32">
        <v>28.58</v>
      </c>
      <c r="S52" s="9">
        <f t="shared" si="0"/>
        <v>12</v>
      </c>
      <c r="T52" s="8"/>
      <c r="U52" s="16">
        <f t="shared" si="1"/>
        <v>30</v>
      </c>
      <c r="V52" s="8"/>
      <c r="W52" s="8"/>
      <c r="X52" s="8"/>
      <c r="Y52" s="8"/>
    </row>
    <row r="53" spans="1:25" x14ac:dyDescent="0.25">
      <c r="A53" s="2">
        <v>52</v>
      </c>
      <c r="B53" s="3" t="s">
        <v>77</v>
      </c>
      <c r="C53" t="s">
        <v>77</v>
      </c>
      <c r="D53" t="s">
        <v>23</v>
      </c>
      <c r="E53">
        <v>1</v>
      </c>
      <c r="F53" s="31">
        <v>21</v>
      </c>
      <c r="G53" s="31">
        <v>21</v>
      </c>
      <c r="H53" s="31">
        <v>21</v>
      </c>
      <c r="I53" s="31">
        <v>21</v>
      </c>
      <c r="J53" s="31">
        <v>20</v>
      </c>
      <c r="K53" s="31">
        <v>20</v>
      </c>
      <c r="L53" s="31">
        <v>20</v>
      </c>
      <c r="M53" s="31">
        <v>20</v>
      </c>
      <c r="N53" s="32">
        <v>19.754504482123878</v>
      </c>
      <c r="O53" s="32">
        <v>19.285124686235292</v>
      </c>
      <c r="P53" s="32">
        <v>19.081646852109657</v>
      </c>
      <c r="Q53" s="32">
        <v>19.051517128194064</v>
      </c>
      <c r="R53" s="32">
        <v>18.907968417877612</v>
      </c>
      <c r="S53" s="9">
        <f t="shared" si="0"/>
        <v>12</v>
      </c>
      <c r="T53" s="8"/>
      <c r="U53" s="16">
        <f t="shared" si="1"/>
        <v>21</v>
      </c>
      <c r="V53" s="8"/>
      <c r="W53" s="8"/>
      <c r="X53" s="8"/>
      <c r="Y53" s="8"/>
    </row>
    <row r="54" spans="1:25" x14ac:dyDescent="0.25">
      <c r="A54" s="2">
        <v>53</v>
      </c>
      <c r="B54" s="3" t="s">
        <v>78</v>
      </c>
      <c r="C54" t="s">
        <v>78</v>
      </c>
      <c r="D54" t="s">
        <v>14</v>
      </c>
      <c r="E54">
        <v>1</v>
      </c>
      <c r="F54" s="31">
        <v>35</v>
      </c>
      <c r="G54" s="31">
        <v>35</v>
      </c>
      <c r="H54" s="31">
        <v>30</v>
      </c>
      <c r="I54" s="31">
        <v>30</v>
      </c>
      <c r="J54" s="31">
        <v>30</v>
      </c>
      <c r="K54" s="31">
        <v>30</v>
      </c>
      <c r="L54" s="31">
        <v>30</v>
      </c>
      <c r="M54" s="31">
        <v>30</v>
      </c>
      <c r="N54" s="32">
        <v>30</v>
      </c>
      <c r="O54" s="32">
        <v>30</v>
      </c>
      <c r="P54" s="32">
        <v>30</v>
      </c>
      <c r="Q54" s="32">
        <v>30</v>
      </c>
      <c r="R54" s="32">
        <v>30</v>
      </c>
      <c r="S54" s="9">
        <f t="shared" si="0"/>
        <v>12</v>
      </c>
      <c r="T54" s="8"/>
      <c r="U54" s="16">
        <f t="shared" si="1"/>
        <v>30</v>
      </c>
      <c r="V54" s="8"/>
      <c r="W54" s="8"/>
      <c r="X54" s="8"/>
      <c r="Y54" s="8"/>
    </row>
    <row r="55" spans="1:25" x14ac:dyDescent="0.25">
      <c r="A55" s="2">
        <v>54</v>
      </c>
      <c r="B55" s="3" t="s">
        <v>79</v>
      </c>
      <c r="C55" t="s">
        <v>79</v>
      </c>
      <c r="D55" t="s">
        <v>21</v>
      </c>
      <c r="E55" t="s">
        <v>12</v>
      </c>
      <c r="F55" s="31">
        <v>28</v>
      </c>
      <c r="G55" s="31">
        <v>28</v>
      </c>
      <c r="H55" s="31">
        <v>20</v>
      </c>
      <c r="I55" s="31">
        <v>20</v>
      </c>
      <c r="J55" s="31">
        <v>20</v>
      </c>
      <c r="K55" s="31">
        <v>20</v>
      </c>
      <c r="L55" s="31">
        <v>20</v>
      </c>
      <c r="M55" s="31">
        <v>20</v>
      </c>
      <c r="N55" s="32">
        <v>19.37</v>
      </c>
      <c r="O55" s="32">
        <v>20.25</v>
      </c>
      <c r="P55" s="32">
        <v>21.6</v>
      </c>
      <c r="Q55" s="32">
        <v>19.989999999999998</v>
      </c>
      <c r="R55" s="32">
        <v>20.010000000000002</v>
      </c>
      <c r="S55" s="9">
        <f t="shared" si="0"/>
        <v>12</v>
      </c>
      <c r="T55" s="8"/>
      <c r="U55" s="16">
        <f t="shared" si="1"/>
        <v>20</v>
      </c>
      <c r="V55" s="8"/>
      <c r="W55" s="8"/>
      <c r="X55" s="8"/>
      <c r="Y55" s="8"/>
    </row>
    <row r="56" spans="1:25" x14ac:dyDescent="0.25">
      <c r="A56" s="2">
        <v>55</v>
      </c>
      <c r="B56" s="3" t="s">
        <v>80</v>
      </c>
      <c r="C56" t="s">
        <v>80</v>
      </c>
      <c r="D56" t="s">
        <v>23</v>
      </c>
      <c r="E56">
        <v>1</v>
      </c>
      <c r="F56" s="31">
        <v>24.5</v>
      </c>
      <c r="G56" s="31">
        <v>24.5</v>
      </c>
      <c r="H56" s="31">
        <v>24.5</v>
      </c>
      <c r="I56" s="31">
        <v>20</v>
      </c>
      <c r="J56" s="31">
        <v>20</v>
      </c>
      <c r="K56" s="31">
        <v>20</v>
      </c>
      <c r="L56" s="31">
        <v>20</v>
      </c>
      <c r="M56" s="31">
        <v>20</v>
      </c>
      <c r="N56" s="32">
        <v>20</v>
      </c>
      <c r="O56" s="32">
        <v>20</v>
      </c>
      <c r="P56" s="32">
        <v>20</v>
      </c>
      <c r="Q56" s="32">
        <v>20</v>
      </c>
      <c r="R56" s="32">
        <v>20</v>
      </c>
      <c r="S56" s="9">
        <f t="shared" si="0"/>
        <v>12</v>
      </c>
      <c r="T56" s="8"/>
      <c r="U56" s="16">
        <f t="shared" si="1"/>
        <v>24.5</v>
      </c>
      <c r="V56" s="8"/>
      <c r="W56" s="8"/>
      <c r="X56" s="8"/>
      <c r="Y56" s="8"/>
    </row>
    <row r="57" spans="1:25" x14ac:dyDescent="0.25">
      <c r="A57" s="2">
        <v>56</v>
      </c>
      <c r="B57" s="3" t="s">
        <v>81</v>
      </c>
      <c r="C57" t="s">
        <v>81</v>
      </c>
      <c r="D57" t="s">
        <v>23</v>
      </c>
      <c r="E57">
        <v>1</v>
      </c>
      <c r="F57" s="31">
        <v>34.43</v>
      </c>
      <c r="G57" s="31">
        <v>34.43</v>
      </c>
      <c r="H57" s="31">
        <v>34.299999999999997</v>
      </c>
      <c r="I57" s="31">
        <v>34.299999999999997</v>
      </c>
      <c r="J57" s="31">
        <v>34.299999999999997</v>
      </c>
      <c r="K57" s="31">
        <v>34.299999999999997</v>
      </c>
      <c r="L57" s="31">
        <v>34.299999999999997</v>
      </c>
      <c r="M57" s="31">
        <v>33</v>
      </c>
      <c r="N57" s="32">
        <v>33.136712481704308</v>
      </c>
      <c r="O57" s="32">
        <v>32.785320604195363</v>
      </c>
      <c r="P57" s="32">
        <v>32.72223608042782</v>
      </c>
      <c r="Q57" s="32">
        <v>32.629329895756655</v>
      </c>
      <c r="R57" s="32">
        <v>32.489729051548125</v>
      </c>
      <c r="S57" s="9">
        <f t="shared" si="0"/>
        <v>12</v>
      </c>
      <c r="T57" s="8"/>
      <c r="U57" s="16">
        <f t="shared" si="1"/>
        <v>34.299999999999997</v>
      </c>
      <c r="V57" s="8"/>
      <c r="W57" s="8"/>
      <c r="X57" s="8"/>
      <c r="Y57" s="8"/>
    </row>
    <row r="58" spans="1:25" x14ac:dyDescent="0.25">
      <c r="A58" s="2">
        <v>57</v>
      </c>
      <c r="B58" s="3" t="s">
        <v>82</v>
      </c>
      <c r="C58" t="s">
        <v>82</v>
      </c>
      <c r="D58" t="s">
        <v>14</v>
      </c>
      <c r="E58">
        <v>1</v>
      </c>
      <c r="F58" s="31">
        <v>35</v>
      </c>
      <c r="G58" s="31">
        <v>35</v>
      </c>
      <c r="H58" s="31">
        <v>35</v>
      </c>
      <c r="I58" s="31">
        <v>30</v>
      </c>
      <c r="J58" s="31">
        <v>30</v>
      </c>
      <c r="K58" s="31">
        <v>30</v>
      </c>
      <c r="L58" s="31">
        <v>30</v>
      </c>
      <c r="M58" s="31">
        <v>30</v>
      </c>
      <c r="N58" s="32">
        <v>30</v>
      </c>
      <c r="O58" s="32">
        <v>30</v>
      </c>
      <c r="P58" s="32">
        <v>30</v>
      </c>
      <c r="Q58" s="32">
        <v>30</v>
      </c>
      <c r="R58" s="32">
        <v>30</v>
      </c>
      <c r="S58" s="9">
        <f t="shared" si="0"/>
        <v>12</v>
      </c>
      <c r="T58" s="8"/>
      <c r="U58" s="16">
        <f t="shared" si="1"/>
        <v>35</v>
      </c>
      <c r="V58" s="8"/>
      <c r="W58" s="8"/>
      <c r="X58" s="8"/>
      <c r="Y58" s="8"/>
    </row>
    <row r="59" spans="1:25" x14ac:dyDescent="0.25">
      <c r="A59" s="2">
        <v>58</v>
      </c>
      <c r="B59" s="3" t="s">
        <v>83</v>
      </c>
      <c r="C59" t="s">
        <v>83</v>
      </c>
      <c r="D59" t="s">
        <v>14</v>
      </c>
      <c r="E59" t="s">
        <v>12</v>
      </c>
      <c r="F59" s="31">
        <v>30.17</v>
      </c>
      <c r="G59" s="31">
        <v>30.17</v>
      </c>
      <c r="H59" s="31">
        <v>31.84</v>
      </c>
      <c r="I59" s="31">
        <v>32.03</v>
      </c>
      <c r="J59" s="31">
        <v>32.15</v>
      </c>
      <c r="K59" s="31">
        <v>32</v>
      </c>
      <c r="L59" s="31">
        <v>32</v>
      </c>
      <c r="M59" s="31">
        <v>32</v>
      </c>
      <c r="N59" s="32">
        <v>28.59</v>
      </c>
      <c r="O59" s="32">
        <v>31.74</v>
      </c>
      <c r="P59" s="32">
        <v>31.71</v>
      </c>
      <c r="Q59" s="32">
        <v>26.29</v>
      </c>
      <c r="R59" s="32">
        <v>32.99</v>
      </c>
      <c r="S59" s="9">
        <f t="shared" si="0"/>
        <v>12</v>
      </c>
      <c r="T59" s="8"/>
      <c r="U59" s="16">
        <f t="shared" si="1"/>
        <v>31.84</v>
      </c>
      <c r="V59" s="8"/>
      <c r="W59" s="8"/>
      <c r="X59" s="8"/>
      <c r="Y59" s="8"/>
    </row>
    <row r="60" spans="1:25" x14ac:dyDescent="0.25">
      <c r="A60" s="2">
        <v>59</v>
      </c>
      <c r="B60" s="3" t="s">
        <v>84</v>
      </c>
      <c r="C60" t="s">
        <v>84</v>
      </c>
      <c r="D60" t="s">
        <v>7</v>
      </c>
      <c r="E60">
        <v>1</v>
      </c>
      <c r="F60" s="31">
        <v>15</v>
      </c>
      <c r="G60" s="31">
        <v>15</v>
      </c>
      <c r="H60" s="31">
        <v>15</v>
      </c>
      <c r="I60" s="31">
        <v>15</v>
      </c>
      <c r="J60" s="31">
        <v>15</v>
      </c>
      <c r="K60" s="31">
        <v>15</v>
      </c>
      <c r="L60" s="31">
        <v>15</v>
      </c>
      <c r="M60" s="31">
        <v>15</v>
      </c>
      <c r="N60" s="32">
        <v>15</v>
      </c>
      <c r="O60" s="32">
        <v>15</v>
      </c>
      <c r="P60" s="32">
        <v>15</v>
      </c>
      <c r="Q60" s="32">
        <v>15</v>
      </c>
      <c r="R60" s="32">
        <v>15</v>
      </c>
      <c r="S60" s="9">
        <f t="shared" si="0"/>
        <v>12</v>
      </c>
      <c r="T60" s="8"/>
      <c r="U60" s="16">
        <f t="shared" si="1"/>
        <v>15</v>
      </c>
      <c r="V60" s="8"/>
      <c r="W60" s="8"/>
      <c r="X60" s="8"/>
      <c r="Y60" s="8"/>
    </row>
    <row r="61" spans="1:25" x14ac:dyDescent="0.25">
      <c r="A61" s="2">
        <v>60</v>
      </c>
      <c r="B61" s="3" t="s">
        <v>85</v>
      </c>
      <c r="C61" t="s">
        <v>85</v>
      </c>
      <c r="D61" t="s">
        <v>23</v>
      </c>
      <c r="E61">
        <v>1</v>
      </c>
      <c r="F61" s="31">
        <v>15.8</v>
      </c>
      <c r="G61" s="31">
        <v>15.8</v>
      </c>
      <c r="H61" s="31">
        <v>15.8</v>
      </c>
      <c r="I61" s="31">
        <v>15.8</v>
      </c>
      <c r="J61" s="31">
        <v>15.8</v>
      </c>
      <c r="K61" s="31">
        <v>15.8</v>
      </c>
      <c r="L61" s="31">
        <v>15.8</v>
      </c>
      <c r="M61" s="31">
        <v>15.8</v>
      </c>
      <c r="N61" s="32">
        <v>15.8</v>
      </c>
      <c r="O61" s="32">
        <v>15.8</v>
      </c>
      <c r="P61" s="32">
        <v>15.8</v>
      </c>
      <c r="Q61" s="32">
        <v>15.8</v>
      </c>
      <c r="R61" s="32">
        <v>15.8</v>
      </c>
      <c r="S61" s="9">
        <f t="shared" si="0"/>
        <v>12</v>
      </c>
      <c r="T61" s="8"/>
      <c r="U61" s="16">
        <f t="shared" si="1"/>
        <v>15.8</v>
      </c>
      <c r="V61" s="8"/>
      <c r="W61" s="8"/>
      <c r="X61" s="8"/>
      <c r="Y61" s="8"/>
    </row>
    <row r="62" spans="1:25" x14ac:dyDescent="0.25">
      <c r="A62" s="2">
        <v>61</v>
      </c>
      <c r="B62" s="3" t="s">
        <v>86</v>
      </c>
      <c r="C62" t="s">
        <v>86</v>
      </c>
      <c r="D62" t="s">
        <v>14</v>
      </c>
      <c r="E62">
        <v>1</v>
      </c>
      <c r="F62" s="31">
        <v>25</v>
      </c>
      <c r="G62" s="31">
        <v>25</v>
      </c>
      <c r="H62" s="31">
        <v>25</v>
      </c>
      <c r="I62" s="31">
        <v>25</v>
      </c>
      <c r="J62" s="31">
        <v>25</v>
      </c>
      <c r="K62" s="31">
        <v>25</v>
      </c>
      <c r="L62" s="31">
        <v>25</v>
      </c>
      <c r="M62" s="31">
        <v>25</v>
      </c>
      <c r="N62" s="32">
        <v>25</v>
      </c>
      <c r="O62" s="32">
        <v>25</v>
      </c>
      <c r="P62" s="32">
        <v>25</v>
      </c>
      <c r="Q62" s="32">
        <v>25</v>
      </c>
      <c r="R62" s="32">
        <v>25</v>
      </c>
      <c r="S62" s="9">
        <f t="shared" si="0"/>
        <v>12</v>
      </c>
      <c r="T62" s="8"/>
      <c r="U62" s="16">
        <f t="shared" si="1"/>
        <v>25</v>
      </c>
      <c r="V62" s="8"/>
      <c r="W62" s="8"/>
      <c r="X62" s="8"/>
      <c r="Y62" s="8"/>
    </row>
    <row r="63" spans="1:25" x14ac:dyDescent="0.25">
      <c r="A63" s="2">
        <v>62</v>
      </c>
      <c r="B63" s="3" t="s">
        <v>87</v>
      </c>
      <c r="C63" t="s">
        <v>87</v>
      </c>
      <c r="D63" t="s">
        <v>23</v>
      </c>
      <c r="E63">
        <v>1</v>
      </c>
      <c r="F63" s="31">
        <v>20</v>
      </c>
      <c r="G63" s="31">
        <v>20</v>
      </c>
      <c r="H63" s="31">
        <v>26</v>
      </c>
      <c r="I63" s="31">
        <v>26</v>
      </c>
      <c r="J63" s="31">
        <v>26</v>
      </c>
      <c r="K63" s="31">
        <v>29</v>
      </c>
      <c r="L63" s="31">
        <v>29</v>
      </c>
      <c r="M63" s="31">
        <v>29</v>
      </c>
      <c r="N63" s="32">
        <v>31.86473637755762</v>
      </c>
      <c r="O63" s="32">
        <v>33.140485436424569</v>
      </c>
      <c r="P63" s="32">
        <v>31.019679836857222</v>
      </c>
      <c r="Q63" s="32">
        <v>32.63252149725804</v>
      </c>
      <c r="R63" s="32">
        <v>33.698280590030436</v>
      </c>
      <c r="S63" s="9">
        <f t="shared" si="0"/>
        <v>12</v>
      </c>
      <c r="T63" s="8"/>
      <c r="U63" s="16">
        <f t="shared" si="1"/>
        <v>26</v>
      </c>
      <c r="V63" s="8"/>
      <c r="W63" s="8"/>
      <c r="X63" s="8"/>
      <c r="Y63" s="8"/>
    </row>
    <row r="64" spans="1:25" x14ac:dyDescent="0.25">
      <c r="A64" s="2">
        <v>63</v>
      </c>
      <c r="B64" s="3" t="s">
        <v>88</v>
      </c>
      <c r="C64" t="s">
        <v>11</v>
      </c>
      <c r="D64" t="s">
        <v>16</v>
      </c>
      <c r="E64" t="s">
        <v>12</v>
      </c>
      <c r="F64" s="31">
        <v>15.74</v>
      </c>
      <c r="G64" s="31">
        <v>15.74</v>
      </c>
      <c r="H64" s="31">
        <v>23.39</v>
      </c>
      <c r="I64" s="31">
        <v>23.28</v>
      </c>
      <c r="J64" s="31">
        <v>41.12</v>
      </c>
      <c r="K64" s="31">
        <v>18</v>
      </c>
      <c r="L64" s="31">
        <v>35.869999999999997</v>
      </c>
      <c r="M64" s="31">
        <v>14.6</v>
      </c>
      <c r="N64" s="32">
        <v>17.87</v>
      </c>
      <c r="O64" s="32">
        <v>19.16</v>
      </c>
      <c r="P64" s="32">
        <v>26.07</v>
      </c>
      <c r="Q64" s="32">
        <v>18.809999999999999</v>
      </c>
      <c r="R64" s="32">
        <v>34.85</v>
      </c>
      <c r="S64" s="9">
        <f t="shared" si="0"/>
        <v>12</v>
      </c>
      <c r="T64" s="8"/>
      <c r="U64" s="16">
        <f t="shared" si="1"/>
        <v>23.39</v>
      </c>
      <c r="V64" s="8"/>
      <c r="W64" s="8"/>
      <c r="X64" s="8"/>
      <c r="Y64" s="8"/>
    </row>
    <row r="65" spans="1:25" x14ac:dyDescent="0.25">
      <c r="A65" s="2">
        <v>64</v>
      </c>
      <c r="B65" s="3" t="s">
        <v>89</v>
      </c>
      <c r="C65" t="s">
        <v>89</v>
      </c>
      <c r="D65" t="s">
        <v>33</v>
      </c>
      <c r="E65">
        <v>1</v>
      </c>
      <c r="F65" s="31">
        <v>31</v>
      </c>
      <c r="G65" s="31">
        <v>31</v>
      </c>
      <c r="H65" s="31">
        <v>31</v>
      </c>
      <c r="I65" s="31">
        <v>31</v>
      </c>
      <c r="J65" s="31">
        <v>31</v>
      </c>
      <c r="K65" s="31">
        <v>31</v>
      </c>
      <c r="L65" s="31">
        <v>31</v>
      </c>
      <c r="M65" s="31">
        <v>31</v>
      </c>
      <c r="N65" s="32">
        <v>31</v>
      </c>
      <c r="O65" s="32">
        <v>31</v>
      </c>
      <c r="P65" s="32">
        <v>31</v>
      </c>
      <c r="Q65" s="32">
        <v>31</v>
      </c>
      <c r="R65" s="32">
        <v>31</v>
      </c>
      <c r="S65" s="9">
        <f t="shared" si="0"/>
        <v>12</v>
      </c>
      <c r="T65" s="8"/>
      <c r="U65" s="16">
        <f t="shared" si="1"/>
        <v>31</v>
      </c>
      <c r="V65" s="8"/>
      <c r="W65" s="8"/>
      <c r="X65" s="8"/>
      <c r="Y65" s="8"/>
    </row>
    <row r="66" spans="1:25" x14ac:dyDescent="0.25">
      <c r="A66" s="2">
        <v>65</v>
      </c>
      <c r="B66" s="3" t="s">
        <v>90</v>
      </c>
      <c r="C66" t="s">
        <v>90</v>
      </c>
      <c r="D66" t="s">
        <v>14</v>
      </c>
      <c r="E66">
        <v>1</v>
      </c>
      <c r="F66" s="31">
        <v>35</v>
      </c>
      <c r="G66" s="31">
        <v>35</v>
      </c>
      <c r="H66" s="31">
        <v>35</v>
      </c>
      <c r="I66" s="31">
        <v>35</v>
      </c>
      <c r="J66" s="31">
        <v>35</v>
      </c>
      <c r="K66" s="31">
        <v>35</v>
      </c>
      <c r="L66" s="31">
        <v>35</v>
      </c>
      <c r="M66" s="31">
        <v>35</v>
      </c>
      <c r="N66" s="32">
        <v>35</v>
      </c>
      <c r="O66" s="32">
        <v>35</v>
      </c>
      <c r="P66" s="32">
        <v>35</v>
      </c>
      <c r="Q66" s="32">
        <v>35</v>
      </c>
      <c r="R66" s="32">
        <v>35</v>
      </c>
      <c r="S66" s="9">
        <f t="shared" si="0"/>
        <v>12</v>
      </c>
      <c r="T66" s="8"/>
      <c r="U66" s="16">
        <f t="shared" si="1"/>
        <v>35</v>
      </c>
      <c r="V66" s="8"/>
      <c r="W66" s="8"/>
      <c r="X66" s="8"/>
      <c r="Y66" s="8"/>
    </row>
    <row r="67" spans="1:25" x14ac:dyDescent="0.25">
      <c r="A67" s="2">
        <v>66</v>
      </c>
      <c r="B67" s="3" t="s">
        <v>91</v>
      </c>
      <c r="C67" t="s">
        <v>91</v>
      </c>
      <c r="D67" t="s">
        <v>18</v>
      </c>
      <c r="E67">
        <v>1</v>
      </c>
      <c r="F67" s="31">
        <v>40</v>
      </c>
      <c r="G67" s="31">
        <v>40</v>
      </c>
      <c r="H67" s="31">
        <v>40</v>
      </c>
      <c r="I67" s="31">
        <v>40</v>
      </c>
      <c r="J67" s="31">
        <v>40</v>
      </c>
      <c r="K67" s="31">
        <v>40</v>
      </c>
      <c r="L67" s="31">
        <v>40</v>
      </c>
      <c r="M67" s="31">
        <v>40</v>
      </c>
      <c r="N67" s="32">
        <v>40</v>
      </c>
      <c r="O67" s="32">
        <v>40</v>
      </c>
      <c r="P67" s="32">
        <v>40</v>
      </c>
      <c r="Q67" s="32">
        <v>40</v>
      </c>
      <c r="R67" s="32">
        <v>40</v>
      </c>
      <c r="S67" s="9">
        <f t="shared" ref="S67:S130" si="2">COUNT(G67:R67)</f>
        <v>12</v>
      </c>
      <c r="T67" s="8"/>
      <c r="U67" s="16">
        <f t="shared" ref="U67:U130" si="3">IF(SUMIF($F$1:$R$1,U$1,$F67:$R67)=0,".",SUMIF($F$1:$R$1,U$1,$F67:$R67))</f>
        <v>40</v>
      </c>
      <c r="V67" s="8"/>
      <c r="W67" s="8"/>
      <c r="X67" s="8"/>
      <c r="Y67" s="8"/>
    </row>
    <row r="68" spans="1:25" x14ac:dyDescent="0.25">
      <c r="A68" s="2">
        <v>67</v>
      </c>
      <c r="B68" s="3" t="s">
        <v>92</v>
      </c>
      <c r="C68" t="s">
        <v>92</v>
      </c>
      <c r="D68" t="s">
        <v>16</v>
      </c>
      <c r="E68">
        <v>1</v>
      </c>
      <c r="F68" s="31">
        <v>30</v>
      </c>
      <c r="G68" s="31">
        <v>30</v>
      </c>
      <c r="H68" s="31">
        <v>30</v>
      </c>
      <c r="I68" s="31">
        <v>30</v>
      </c>
      <c r="J68" s="31">
        <v>30</v>
      </c>
      <c r="K68" s="31">
        <v>30</v>
      </c>
      <c r="L68" s="31">
        <v>30</v>
      </c>
      <c r="M68" s="31">
        <v>30</v>
      </c>
      <c r="N68" s="32">
        <v>30</v>
      </c>
      <c r="O68" s="32">
        <v>30</v>
      </c>
      <c r="P68" s="32">
        <v>30</v>
      </c>
      <c r="Q68" s="32">
        <v>30</v>
      </c>
      <c r="R68" s="32">
        <v>30</v>
      </c>
      <c r="S68" s="9">
        <f t="shared" si="2"/>
        <v>12</v>
      </c>
      <c r="T68" s="8"/>
      <c r="U68" s="16">
        <f t="shared" si="3"/>
        <v>30</v>
      </c>
      <c r="V68" s="8"/>
      <c r="W68" s="8"/>
      <c r="X68" s="8"/>
      <c r="Y68" s="8"/>
    </row>
    <row r="69" spans="1:25" x14ac:dyDescent="0.25">
      <c r="A69" s="2">
        <v>68</v>
      </c>
      <c r="B69" s="3" t="s">
        <v>93</v>
      </c>
      <c r="C69" t="s">
        <v>93</v>
      </c>
      <c r="D69" t="s">
        <v>33</v>
      </c>
      <c r="E69">
        <v>1</v>
      </c>
      <c r="F69" s="31">
        <v>25</v>
      </c>
      <c r="G69" s="31">
        <v>25</v>
      </c>
      <c r="H69" s="31">
        <v>25</v>
      </c>
      <c r="I69" s="31">
        <v>25</v>
      </c>
      <c r="J69" s="31">
        <v>25</v>
      </c>
      <c r="K69" s="31">
        <v>25</v>
      </c>
      <c r="L69" s="31">
        <v>25</v>
      </c>
      <c r="M69" s="31">
        <v>25</v>
      </c>
      <c r="N69" s="32">
        <v>25</v>
      </c>
      <c r="O69" s="32">
        <v>25</v>
      </c>
      <c r="P69" s="32">
        <v>25</v>
      </c>
      <c r="Q69" s="32">
        <v>25</v>
      </c>
      <c r="R69" s="32">
        <v>25</v>
      </c>
      <c r="S69" s="9">
        <f t="shared" si="2"/>
        <v>12</v>
      </c>
      <c r="T69" s="8"/>
      <c r="U69" s="16">
        <f t="shared" si="3"/>
        <v>25</v>
      </c>
      <c r="V69" s="8"/>
      <c r="W69" s="8"/>
      <c r="X69" s="8"/>
      <c r="Y69" s="8"/>
    </row>
    <row r="70" spans="1:25" x14ac:dyDescent="0.25">
      <c r="A70" s="2">
        <v>69</v>
      </c>
      <c r="B70" s="3" t="s">
        <v>94</v>
      </c>
      <c r="C70" t="s">
        <v>94</v>
      </c>
      <c r="D70" t="s">
        <v>23</v>
      </c>
      <c r="E70">
        <v>1</v>
      </c>
      <c r="F70" s="31">
        <v>19</v>
      </c>
      <c r="G70" s="31">
        <v>19</v>
      </c>
      <c r="H70" s="31">
        <v>19</v>
      </c>
      <c r="I70" s="31">
        <v>19</v>
      </c>
      <c r="J70" s="31">
        <v>19</v>
      </c>
      <c r="K70" s="31">
        <v>19</v>
      </c>
      <c r="L70" s="31">
        <v>19</v>
      </c>
      <c r="M70" s="31">
        <v>19</v>
      </c>
      <c r="N70" s="32">
        <v>19</v>
      </c>
      <c r="O70" s="32">
        <v>19</v>
      </c>
      <c r="P70" s="32">
        <v>19</v>
      </c>
      <c r="Q70" s="32">
        <v>19</v>
      </c>
      <c r="R70" s="32">
        <v>19</v>
      </c>
      <c r="S70" s="9">
        <f t="shared" si="2"/>
        <v>12</v>
      </c>
      <c r="T70" s="8"/>
      <c r="U70" s="16">
        <f t="shared" si="3"/>
        <v>19</v>
      </c>
      <c r="V70" s="8"/>
      <c r="W70" s="8"/>
      <c r="X70" s="8"/>
      <c r="Y70" s="8"/>
    </row>
    <row r="71" spans="1:25" x14ac:dyDescent="0.25">
      <c r="A71" s="2">
        <v>70</v>
      </c>
      <c r="B71" s="3" t="s">
        <v>95</v>
      </c>
      <c r="C71" t="s">
        <v>95</v>
      </c>
      <c r="D71" t="s">
        <v>7</v>
      </c>
      <c r="E71">
        <v>1</v>
      </c>
      <c r="F71" s="31">
        <v>20</v>
      </c>
      <c r="G71" s="31">
        <v>20</v>
      </c>
      <c r="H71" s="31">
        <v>20</v>
      </c>
      <c r="I71" s="31">
        <v>20</v>
      </c>
      <c r="J71" s="31">
        <v>20</v>
      </c>
      <c r="K71" s="31">
        <v>20</v>
      </c>
      <c r="L71" s="31">
        <v>20</v>
      </c>
      <c r="M71" s="31">
        <v>20</v>
      </c>
      <c r="N71" s="32">
        <v>20</v>
      </c>
      <c r="O71" s="32">
        <v>20</v>
      </c>
      <c r="P71" s="32">
        <v>20</v>
      </c>
      <c r="Q71" s="32">
        <v>20</v>
      </c>
      <c r="R71" s="32">
        <v>20</v>
      </c>
      <c r="S71" s="9">
        <f t="shared" si="2"/>
        <v>12</v>
      </c>
      <c r="T71" s="8"/>
      <c r="U71" s="16">
        <f t="shared" si="3"/>
        <v>20</v>
      </c>
      <c r="V71" s="8"/>
      <c r="W71" s="8"/>
      <c r="X71" s="8"/>
      <c r="Y71" s="8"/>
    </row>
    <row r="72" spans="1:25" x14ac:dyDescent="0.25">
      <c r="A72" s="2">
        <v>71</v>
      </c>
      <c r="B72" s="3" t="s">
        <v>96</v>
      </c>
      <c r="C72" t="s">
        <v>96</v>
      </c>
      <c r="D72" t="s">
        <v>25</v>
      </c>
      <c r="E72">
        <v>1</v>
      </c>
      <c r="F72" s="31">
        <v>33.99</v>
      </c>
      <c r="G72" s="31">
        <v>33.99</v>
      </c>
      <c r="H72" s="31">
        <v>32.44</v>
      </c>
      <c r="I72" s="31">
        <v>32.44</v>
      </c>
      <c r="J72" s="31">
        <v>32.44</v>
      </c>
      <c r="K72" s="31">
        <v>34.6</v>
      </c>
      <c r="L72" s="31">
        <v>32.44</v>
      </c>
      <c r="M72" s="31">
        <v>32.44</v>
      </c>
      <c r="N72" s="32">
        <v>32.872</v>
      </c>
      <c r="O72" s="32">
        <v>32.872</v>
      </c>
      <c r="P72" s="32">
        <v>32.872</v>
      </c>
      <c r="Q72" s="32">
        <v>32.872</v>
      </c>
      <c r="R72" s="32">
        <v>32.872</v>
      </c>
      <c r="S72" s="9">
        <f t="shared" si="2"/>
        <v>12</v>
      </c>
      <c r="T72" s="8"/>
      <c r="U72" s="16">
        <f t="shared" si="3"/>
        <v>32.44</v>
      </c>
      <c r="V72" s="8"/>
      <c r="W72" s="8"/>
      <c r="X72" s="8"/>
      <c r="Y72" s="8"/>
    </row>
    <row r="73" spans="1:25" x14ac:dyDescent="0.25">
      <c r="A73" s="2">
        <v>72</v>
      </c>
      <c r="B73" s="3" t="s">
        <v>97</v>
      </c>
      <c r="C73" t="s">
        <v>97</v>
      </c>
      <c r="D73" t="s">
        <v>25</v>
      </c>
      <c r="E73">
        <v>1</v>
      </c>
      <c r="F73" s="31">
        <v>25</v>
      </c>
      <c r="G73" s="31">
        <v>25</v>
      </c>
      <c r="H73" s="31">
        <v>25</v>
      </c>
      <c r="I73" s="31">
        <v>25</v>
      </c>
      <c r="J73" s="31">
        <v>25</v>
      </c>
      <c r="K73" s="31">
        <v>25</v>
      </c>
      <c r="L73" s="31">
        <v>25</v>
      </c>
      <c r="M73" s="31">
        <v>25</v>
      </c>
      <c r="N73" s="32">
        <v>25</v>
      </c>
      <c r="O73" s="32">
        <v>25</v>
      </c>
      <c r="P73" s="32">
        <v>25</v>
      </c>
      <c r="Q73" s="32">
        <v>25</v>
      </c>
      <c r="R73" s="32">
        <v>25</v>
      </c>
      <c r="S73" s="9">
        <f t="shared" si="2"/>
        <v>12</v>
      </c>
      <c r="T73" s="8"/>
      <c r="U73" s="16">
        <f t="shared" si="3"/>
        <v>25</v>
      </c>
      <c r="V73" s="8"/>
      <c r="W73" s="8"/>
      <c r="X73" s="8"/>
      <c r="Y73" s="8"/>
    </row>
    <row r="74" spans="1:25" x14ac:dyDescent="0.25">
      <c r="A74" s="2">
        <v>73</v>
      </c>
      <c r="B74" s="3" t="s">
        <v>98</v>
      </c>
      <c r="C74" t="s">
        <v>98</v>
      </c>
      <c r="D74" t="s">
        <v>9</v>
      </c>
      <c r="E74" t="s">
        <v>12</v>
      </c>
      <c r="F74" s="31">
        <v>25</v>
      </c>
      <c r="G74" s="31">
        <v>25</v>
      </c>
      <c r="H74" s="31">
        <v>25</v>
      </c>
      <c r="I74" s="31">
        <v>25</v>
      </c>
      <c r="J74" s="31">
        <v>25</v>
      </c>
      <c r="K74" s="31">
        <v>25</v>
      </c>
      <c r="L74" s="31">
        <v>25</v>
      </c>
      <c r="M74" s="31">
        <v>25</v>
      </c>
      <c r="N74" s="32">
        <v>24.07</v>
      </c>
      <c r="O74" s="32">
        <v>24.94</v>
      </c>
      <c r="P74" s="32">
        <v>21.42</v>
      </c>
      <c r="Q74" s="32">
        <v>24.39</v>
      </c>
      <c r="R74" s="32">
        <v>24.4</v>
      </c>
      <c r="S74" s="9">
        <f t="shared" si="2"/>
        <v>12</v>
      </c>
      <c r="T74" s="8"/>
      <c r="U74" s="16">
        <f t="shared" si="3"/>
        <v>25</v>
      </c>
      <c r="V74" s="8"/>
      <c r="W74" s="8"/>
      <c r="X74" s="8"/>
      <c r="Y74" s="8"/>
    </row>
    <row r="75" spans="1:25" x14ac:dyDescent="0.25">
      <c r="A75" s="2">
        <v>74</v>
      </c>
      <c r="B75" s="3" t="s">
        <v>99</v>
      </c>
      <c r="C75" t="s">
        <v>99</v>
      </c>
      <c r="D75" t="s">
        <v>9</v>
      </c>
      <c r="E75" t="s">
        <v>12</v>
      </c>
      <c r="F75" s="31">
        <v>15</v>
      </c>
      <c r="G75" s="31">
        <v>15</v>
      </c>
      <c r="H75" s="31">
        <v>15</v>
      </c>
      <c r="I75" s="31">
        <v>15</v>
      </c>
      <c r="J75" s="31">
        <v>15</v>
      </c>
      <c r="K75" s="31">
        <v>15</v>
      </c>
      <c r="L75" s="31">
        <v>15</v>
      </c>
      <c r="M75" s="31">
        <v>15</v>
      </c>
      <c r="N75" s="32">
        <v>16.670000000000002</v>
      </c>
      <c r="O75" s="32">
        <v>15.61</v>
      </c>
      <c r="P75" s="32">
        <v>17.940000000000001</v>
      </c>
      <c r="Q75" s="32">
        <v>14.54</v>
      </c>
      <c r="R75" s="32">
        <v>15.65</v>
      </c>
      <c r="S75" s="9">
        <f t="shared" si="2"/>
        <v>12</v>
      </c>
      <c r="T75" s="8"/>
      <c r="U75" s="16">
        <f t="shared" si="3"/>
        <v>15</v>
      </c>
      <c r="V75" s="8"/>
      <c r="W75" s="8"/>
      <c r="X75" s="8"/>
      <c r="Y75" s="8"/>
    </row>
    <row r="76" spans="1:25" x14ac:dyDescent="0.25">
      <c r="A76" s="2">
        <v>75</v>
      </c>
      <c r="B76" s="3" t="s">
        <v>100</v>
      </c>
      <c r="C76" t="s">
        <v>100</v>
      </c>
      <c r="D76" t="s">
        <v>9</v>
      </c>
      <c r="E76">
        <v>1</v>
      </c>
      <c r="F76" s="31">
        <v>25</v>
      </c>
      <c r="G76" s="31">
        <v>25</v>
      </c>
      <c r="H76" s="31">
        <v>25</v>
      </c>
      <c r="I76" s="31">
        <v>26.5</v>
      </c>
      <c r="J76" s="31">
        <v>26.5</v>
      </c>
      <c r="K76" s="31">
        <v>25</v>
      </c>
      <c r="L76" s="31">
        <v>25</v>
      </c>
      <c r="M76" s="31">
        <v>23</v>
      </c>
      <c r="N76" s="32">
        <v>22.426852026923598</v>
      </c>
      <c r="O76" s="32">
        <v>20.808421568758149</v>
      </c>
      <c r="P76" s="32">
        <v>19.369917772223971</v>
      </c>
      <c r="Q76" s="32">
        <v>18.780869109646119</v>
      </c>
      <c r="R76" s="32">
        <v>19.093037809498583</v>
      </c>
      <c r="S76" s="9">
        <f t="shared" si="2"/>
        <v>12</v>
      </c>
      <c r="T76" s="8"/>
      <c r="U76" s="16">
        <f t="shared" si="3"/>
        <v>25</v>
      </c>
      <c r="V76" s="8"/>
      <c r="W76" s="8"/>
      <c r="X76" s="8"/>
      <c r="Y76" s="8"/>
    </row>
    <row r="77" spans="1:25" x14ac:dyDescent="0.25">
      <c r="A77" s="2">
        <v>76</v>
      </c>
      <c r="B77" s="3" t="s">
        <v>101</v>
      </c>
      <c r="C77" t="s">
        <v>101</v>
      </c>
      <c r="D77" t="s">
        <v>23</v>
      </c>
      <c r="E77">
        <v>1</v>
      </c>
      <c r="F77" s="31">
        <v>27.5</v>
      </c>
      <c r="G77" s="31">
        <v>27.5</v>
      </c>
      <c r="H77" s="31">
        <v>27.5</v>
      </c>
      <c r="I77" s="31">
        <v>27.5</v>
      </c>
      <c r="J77" s="31">
        <v>27.5</v>
      </c>
      <c r="K77" s="31">
        <v>27.5</v>
      </c>
      <c r="L77" s="31">
        <v>27.5</v>
      </c>
      <c r="M77" s="31">
        <v>27.5</v>
      </c>
      <c r="N77" s="32">
        <v>27.5</v>
      </c>
      <c r="O77" s="32">
        <v>27.5</v>
      </c>
      <c r="P77" s="32">
        <v>27.5</v>
      </c>
      <c r="Q77" s="32">
        <v>27.5</v>
      </c>
      <c r="R77" s="32">
        <v>27.5</v>
      </c>
      <c r="S77" s="9">
        <f t="shared" si="2"/>
        <v>12</v>
      </c>
      <c r="T77" s="8"/>
      <c r="U77" s="16">
        <f t="shared" si="3"/>
        <v>27.5</v>
      </c>
      <c r="V77" s="8"/>
      <c r="W77" s="8"/>
      <c r="X77" s="8"/>
      <c r="Y77" s="8"/>
    </row>
    <row r="78" spans="1:25" x14ac:dyDescent="0.25">
      <c r="A78" s="2">
        <v>77</v>
      </c>
      <c r="B78" s="3" t="s">
        <v>102</v>
      </c>
      <c r="C78" t="s">
        <v>11</v>
      </c>
      <c r="D78" t="s">
        <v>14</v>
      </c>
      <c r="E78" t="s">
        <v>12</v>
      </c>
      <c r="F78" s="31">
        <v>22.92</v>
      </c>
      <c r="G78" s="31">
        <v>22.92</v>
      </c>
      <c r="H78" s="31">
        <v>38.659999999999997</v>
      </c>
      <c r="I78" s="31">
        <v>17.32</v>
      </c>
      <c r="J78" s="31">
        <v>36.64</v>
      </c>
      <c r="K78" s="31">
        <v>13.76</v>
      </c>
      <c r="L78" s="31">
        <v>33.5</v>
      </c>
      <c r="M78" s="31">
        <v>11.91</v>
      </c>
      <c r="N78" s="32">
        <v>30.38</v>
      </c>
      <c r="O78" s="32">
        <v>22.7</v>
      </c>
      <c r="P78" s="32">
        <v>26.16</v>
      </c>
      <c r="Q78" s="32">
        <v>26.38</v>
      </c>
      <c r="R78" s="32">
        <v>27.17</v>
      </c>
      <c r="S78" s="9">
        <f t="shared" si="2"/>
        <v>12</v>
      </c>
      <c r="T78" s="8"/>
      <c r="U78" s="16">
        <f t="shared" si="3"/>
        <v>38.659999999999997</v>
      </c>
      <c r="V78" s="8"/>
      <c r="W78" s="8"/>
      <c r="X78" s="8"/>
      <c r="Y78" s="8"/>
    </row>
    <row r="79" spans="1:25" x14ac:dyDescent="0.25">
      <c r="A79" s="2">
        <v>78</v>
      </c>
      <c r="B79" s="3" t="s">
        <v>103</v>
      </c>
      <c r="C79" t="s">
        <v>103</v>
      </c>
      <c r="D79" t="s">
        <v>16</v>
      </c>
      <c r="E79">
        <v>1</v>
      </c>
      <c r="F79" s="31">
        <v>33.299999999999997</v>
      </c>
      <c r="G79" s="31">
        <v>33.299999999999997</v>
      </c>
      <c r="H79" s="31">
        <v>33.33</v>
      </c>
      <c r="I79" s="31">
        <v>25</v>
      </c>
      <c r="J79" s="31">
        <v>25</v>
      </c>
      <c r="K79" s="31">
        <v>25</v>
      </c>
      <c r="L79" s="31">
        <v>25</v>
      </c>
      <c r="M79" s="31">
        <v>25</v>
      </c>
      <c r="N79" s="32">
        <v>25</v>
      </c>
      <c r="O79" s="32">
        <v>25</v>
      </c>
      <c r="P79" s="32">
        <v>25</v>
      </c>
      <c r="Q79" s="32">
        <v>25</v>
      </c>
      <c r="R79" s="32">
        <v>25</v>
      </c>
      <c r="S79" s="9">
        <f t="shared" si="2"/>
        <v>12</v>
      </c>
      <c r="T79" s="8"/>
      <c r="U79" s="16">
        <f t="shared" si="3"/>
        <v>33.33</v>
      </c>
      <c r="V79" s="8"/>
      <c r="W79" s="8"/>
      <c r="X79" s="8"/>
      <c r="Y79" s="8"/>
    </row>
    <row r="80" spans="1:25" x14ac:dyDescent="0.25">
      <c r="A80" s="2">
        <v>79</v>
      </c>
      <c r="B80" s="3" t="s">
        <v>104</v>
      </c>
      <c r="C80" t="s">
        <v>104</v>
      </c>
      <c r="D80" t="s">
        <v>25</v>
      </c>
      <c r="E80">
        <v>1</v>
      </c>
      <c r="F80" s="31">
        <v>25.5</v>
      </c>
      <c r="G80" s="31">
        <v>25.5</v>
      </c>
      <c r="H80" s="31">
        <v>25.5</v>
      </c>
      <c r="I80" s="31">
        <v>25.5</v>
      </c>
      <c r="J80" s="31">
        <v>23.9</v>
      </c>
      <c r="K80" s="31">
        <v>23.9</v>
      </c>
      <c r="L80" s="31">
        <v>23.9</v>
      </c>
      <c r="M80" s="31">
        <v>23.9</v>
      </c>
      <c r="N80" s="32">
        <v>23.184917195503317</v>
      </c>
      <c r="O80" s="32">
        <v>22.800252621501727</v>
      </c>
      <c r="P80" s="32">
        <v>22.643320548349152</v>
      </c>
      <c r="Q80" s="32">
        <v>22.423930965075101</v>
      </c>
      <c r="R80" s="32">
        <v>22.407164346435479</v>
      </c>
      <c r="S80" s="9">
        <f t="shared" si="2"/>
        <v>12</v>
      </c>
      <c r="T80" s="8"/>
      <c r="U80" s="16">
        <f t="shared" si="3"/>
        <v>25.5</v>
      </c>
      <c r="V80" s="8"/>
      <c r="W80" s="8"/>
      <c r="X80" s="8"/>
      <c r="Y80" s="8"/>
    </row>
    <row r="81" spans="1:25" x14ac:dyDescent="0.25">
      <c r="A81" s="2">
        <v>80</v>
      </c>
      <c r="B81" s="3" t="s">
        <v>105</v>
      </c>
      <c r="C81" t="s">
        <v>105</v>
      </c>
      <c r="D81" t="s">
        <v>9</v>
      </c>
      <c r="E81">
        <v>1</v>
      </c>
      <c r="F81" s="31">
        <v>14</v>
      </c>
      <c r="G81" s="31">
        <v>14</v>
      </c>
      <c r="H81" s="31">
        <v>14</v>
      </c>
      <c r="I81" s="31">
        <v>14</v>
      </c>
      <c r="J81" s="31">
        <v>20</v>
      </c>
      <c r="K81" s="31">
        <v>20</v>
      </c>
      <c r="L81" s="31">
        <v>20</v>
      </c>
      <c r="M81" s="31">
        <v>20</v>
      </c>
      <c r="N81" s="32">
        <v>20.281049921654812</v>
      </c>
      <c r="O81" s="32">
        <v>24.298284459433944</v>
      </c>
      <c r="P81" s="32">
        <v>23.598205693530417</v>
      </c>
      <c r="Q81" s="32">
        <v>25.495770844784602</v>
      </c>
      <c r="R81" s="32">
        <v>26.618399021730511</v>
      </c>
      <c r="S81" s="9">
        <f t="shared" si="2"/>
        <v>12</v>
      </c>
      <c r="T81" s="8"/>
      <c r="U81" s="16">
        <f t="shared" si="3"/>
        <v>14</v>
      </c>
      <c r="V81" s="8"/>
      <c r="W81" s="8"/>
      <c r="X81" s="8"/>
      <c r="Y81" s="8"/>
    </row>
    <row r="82" spans="1:25" x14ac:dyDescent="0.25">
      <c r="A82" s="2">
        <v>81</v>
      </c>
      <c r="B82" s="3" t="s">
        <v>106</v>
      </c>
      <c r="C82" t="s">
        <v>106</v>
      </c>
      <c r="D82" t="s">
        <v>25</v>
      </c>
      <c r="E82">
        <v>1</v>
      </c>
      <c r="F82" s="31">
        <v>20</v>
      </c>
      <c r="G82" s="31">
        <v>20</v>
      </c>
      <c r="H82" s="31">
        <v>20</v>
      </c>
      <c r="I82" s="31">
        <v>20</v>
      </c>
      <c r="J82" s="31">
        <v>20</v>
      </c>
      <c r="K82" s="31">
        <v>20</v>
      </c>
      <c r="L82" s="31">
        <v>20</v>
      </c>
      <c r="M82" s="31">
        <v>20</v>
      </c>
      <c r="N82" s="32">
        <v>20</v>
      </c>
      <c r="O82" s="32">
        <v>20</v>
      </c>
      <c r="P82" s="32">
        <v>20</v>
      </c>
      <c r="Q82" s="32">
        <v>20</v>
      </c>
      <c r="R82" s="32">
        <v>20</v>
      </c>
      <c r="S82" s="9">
        <f t="shared" si="2"/>
        <v>12</v>
      </c>
      <c r="T82" s="8"/>
      <c r="U82" s="16">
        <f t="shared" si="3"/>
        <v>20</v>
      </c>
      <c r="V82" s="8"/>
      <c r="W82" s="8"/>
      <c r="X82" s="8"/>
      <c r="Y82" s="8"/>
    </row>
    <row r="83" spans="1:25" x14ac:dyDescent="0.25">
      <c r="A83" s="2">
        <v>82</v>
      </c>
      <c r="B83" s="3" t="s">
        <v>107</v>
      </c>
      <c r="C83" t="s">
        <v>107</v>
      </c>
      <c r="D83" t="s">
        <v>14</v>
      </c>
      <c r="E83">
        <v>1</v>
      </c>
      <c r="F83" s="31">
        <v>30</v>
      </c>
      <c r="G83" s="31">
        <v>30</v>
      </c>
      <c r="H83" s="31">
        <v>30</v>
      </c>
      <c r="I83" s="31">
        <v>30</v>
      </c>
      <c r="J83" s="31">
        <v>30</v>
      </c>
      <c r="K83" s="31">
        <v>30</v>
      </c>
      <c r="L83" s="31">
        <v>30</v>
      </c>
      <c r="M83" s="31">
        <v>30</v>
      </c>
      <c r="N83" s="32">
        <v>30</v>
      </c>
      <c r="O83" s="32">
        <v>30</v>
      </c>
      <c r="P83" s="32">
        <v>30</v>
      </c>
      <c r="Q83" s="32">
        <v>30</v>
      </c>
      <c r="R83" s="32">
        <v>30</v>
      </c>
      <c r="S83" s="9">
        <f t="shared" si="2"/>
        <v>12</v>
      </c>
      <c r="T83" s="8"/>
      <c r="U83" s="16">
        <f t="shared" si="3"/>
        <v>30</v>
      </c>
      <c r="V83" s="8"/>
      <c r="W83" s="8"/>
      <c r="X83" s="8"/>
      <c r="Y83" s="8"/>
    </row>
    <row r="84" spans="1:25" x14ac:dyDescent="0.25">
      <c r="A84" s="2">
        <v>83</v>
      </c>
      <c r="B84" s="3" t="s">
        <v>108</v>
      </c>
      <c r="C84" t="s">
        <v>108</v>
      </c>
      <c r="D84" t="s">
        <v>7</v>
      </c>
      <c r="E84" t="s">
        <v>12</v>
      </c>
      <c r="F84" s="31">
        <v>10</v>
      </c>
      <c r="G84" s="31">
        <v>10</v>
      </c>
      <c r="H84" s="31">
        <v>10</v>
      </c>
      <c r="I84" s="31">
        <v>10</v>
      </c>
      <c r="J84" s="31">
        <v>10</v>
      </c>
      <c r="K84" s="31">
        <v>10</v>
      </c>
      <c r="L84" s="31">
        <v>10</v>
      </c>
      <c r="M84" s="31">
        <v>10</v>
      </c>
      <c r="N84" s="32">
        <v>16.149999999999999</v>
      </c>
      <c r="O84" s="32">
        <v>14.72</v>
      </c>
      <c r="P84" s="32">
        <v>17.93</v>
      </c>
      <c r="Q84" s="32">
        <v>15.01</v>
      </c>
      <c r="R84" s="32">
        <v>11.37</v>
      </c>
      <c r="S84" s="9">
        <f t="shared" si="2"/>
        <v>12</v>
      </c>
      <c r="T84" s="8"/>
      <c r="U84" s="16">
        <f t="shared" si="3"/>
        <v>10</v>
      </c>
      <c r="V84" s="8"/>
      <c r="W84" s="8"/>
      <c r="X84" s="8"/>
      <c r="Y84" s="8"/>
    </row>
    <row r="85" spans="1:25" x14ac:dyDescent="0.25">
      <c r="A85" s="2">
        <v>84</v>
      </c>
      <c r="B85" s="3" t="s">
        <v>109</v>
      </c>
      <c r="C85" t="s">
        <v>109</v>
      </c>
      <c r="D85" t="s">
        <v>9</v>
      </c>
      <c r="E85">
        <v>1</v>
      </c>
      <c r="F85" s="31">
        <v>18.21</v>
      </c>
      <c r="G85" s="31">
        <v>18.21</v>
      </c>
      <c r="H85" s="31">
        <v>15</v>
      </c>
      <c r="I85" s="31">
        <v>15</v>
      </c>
      <c r="J85" s="31">
        <v>15</v>
      </c>
      <c r="K85" s="31">
        <v>15</v>
      </c>
      <c r="L85" s="31">
        <v>15</v>
      </c>
      <c r="M85" s="31">
        <v>15</v>
      </c>
      <c r="N85" s="32">
        <v>15</v>
      </c>
      <c r="O85" s="32">
        <v>15</v>
      </c>
      <c r="P85" s="32">
        <v>15</v>
      </c>
      <c r="Q85" s="32">
        <v>15</v>
      </c>
      <c r="R85" s="32">
        <v>15</v>
      </c>
      <c r="S85" s="9">
        <f t="shared" si="2"/>
        <v>12</v>
      </c>
      <c r="T85" s="8"/>
      <c r="U85" s="16">
        <f t="shared" si="3"/>
        <v>15</v>
      </c>
      <c r="V85" s="8"/>
      <c r="W85" s="8"/>
      <c r="X85" s="8"/>
      <c r="Y85" s="8"/>
    </row>
    <row r="86" spans="1:25" x14ac:dyDescent="0.25">
      <c r="A86" s="2">
        <v>85</v>
      </c>
      <c r="B86" s="3" t="s">
        <v>110</v>
      </c>
      <c r="C86" t="s">
        <v>110</v>
      </c>
      <c r="D86" t="s">
        <v>25</v>
      </c>
      <c r="E86" t="s">
        <v>12</v>
      </c>
      <c r="F86" s="31">
        <v>35</v>
      </c>
      <c r="G86" s="31">
        <v>35</v>
      </c>
      <c r="H86" s="31">
        <v>24</v>
      </c>
      <c r="I86" s="31">
        <v>24</v>
      </c>
      <c r="J86" s="31">
        <v>24</v>
      </c>
      <c r="K86" s="31">
        <v>23.91</v>
      </c>
      <c r="L86" s="31">
        <v>22.74</v>
      </c>
      <c r="M86" s="31">
        <v>24.41</v>
      </c>
      <c r="N86" s="32">
        <v>23.15</v>
      </c>
      <c r="O86" s="32">
        <v>19.66</v>
      </c>
      <c r="P86" s="32">
        <v>22.72</v>
      </c>
      <c r="Q86" s="32">
        <v>27.18</v>
      </c>
      <c r="R86" s="32">
        <v>29.44</v>
      </c>
      <c r="S86" s="9">
        <f t="shared" si="2"/>
        <v>12</v>
      </c>
      <c r="T86" s="8"/>
      <c r="U86" s="16">
        <f t="shared" si="3"/>
        <v>24</v>
      </c>
      <c r="V86" s="8"/>
      <c r="W86" s="8"/>
      <c r="X86" s="8"/>
      <c r="Y86" s="8"/>
    </row>
    <row r="87" spans="1:25" x14ac:dyDescent="0.25">
      <c r="A87" s="2">
        <v>86</v>
      </c>
      <c r="B87" s="3" t="s">
        <v>111</v>
      </c>
      <c r="C87" t="s">
        <v>111</v>
      </c>
      <c r="D87" t="s">
        <v>23</v>
      </c>
      <c r="E87">
        <v>1</v>
      </c>
      <c r="F87" s="31">
        <v>15</v>
      </c>
      <c r="G87" s="31">
        <v>15</v>
      </c>
      <c r="H87" s="31">
        <v>15</v>
      </c>
      <c r="I87" s="31">
        <v>15</v>
      </c>
      <c r="J87" s="31">
        <v>15</v>
      </c>
      <c r="K87" s="31">
        <v>15</v>
      </c>
      <c r="L87" s="31">
        <v>15</v>
      </c>
      <c r="M87" s="31">
        <v>20</v>
      </c>
      <c r="N87" s="32">
        <v>20.374362306991316</v>
      </c>
      <c r="O87" s="32">
        <v>20.807751161162741</v>
      </c>
      <c r="P87" s="32">
        <v>21.407368199908433</v>
      </c>
      <c r="Q87" s="32">
        <v>21.49093875006588</v>
      </c>
      <c r="R87" s="32">
        <v>24.198148283753881</v>
      </c>
      <c r="S87" s="9">
        <f t="shared" si="2"/>
        <v>12</v>
      </c>
      <c r="T87" s="8"/>
      <c r="U87" s="16">
        <f t="shared" si="3"/>
        <v>15</v>
      </c>
      <c r="V87" s="8"/>
      <c r="W87" s="8"/>
      <c r="X87" s="8"/>
      <c r="Y87" s="8"/>
    </row>
    <row r="88" spans="1:25" x14ac:dyDescent="0.25">
      <c r="A88" s="2">
        <v>87</v>
      </c>
      <c r="B88" s="3" t="s">
        <v>112</v>
      </c>
      <c r="C88" t="s">
        <v>112</v>
      </c>
      <c r="D88" t="s">
        <v>9</v>
      </c>
      <c r="E88">
        <v>1</v>
      </c>
      <c r="F88" s="31">
        <v>15</v>
      </c>
      <c r="G88" s="31">
        <v>15</v>
      </c>
      <c r="H88" s="31">
        <v>15</v>
      </c>
      <c r="I88" s="31">
        <v>15</v>
      </c>
      <c r="J88" s="31">
        <v>15</v>
      </c>
      <c r="K88" s="31">
        <v>15</v>
      </c>
      <c r="L88" s="31">
        <v>15</v>
      </c>
      <c r="M88" s="31">
        <v>15</v>
      </c>
      <c r="N88" s="32">
        <v>15</v>
      </c>
      <c r="O88" s="32">
        <v>15</v>
      </c>
      <c r="P88" s="32">
        <v>15</v>
      </c>
      <c r="Q88" s="32">
        <v>15</v>
      </c>
      <c r="R88" s="32">
        <v>15</v>
      </c>
      <c r="S88" s="9">
        <f t="shared" si="2"/>
        <v>12</v>
      </c>
      <c r="T88" s="8"/>
      <c r="U88" s="16">
        <f t="shared" si="3"/>
        <v>15</v>
      </c>
      <c r="V88" s="8"/>
      <c r="W88" s="8"/>
      <c r="X88" s="8"/>
      <c r="Y88" s="8"/>
    </row>
    <row r="89" spans="1:25" x14ac:dyDescent="0.25">
      <c r="A89" s="2">
        <v>88</v>
      </c>
      <c r="B89" s="3" t="s">
        <v>113</v>
      </c>
      <c r="C89" t="s">
        <v>113</v>
      </c>
      <c r="D89" t="s">
        <v>14</v>
      </c>
      <c r="E89">
        <v>1</v>
      </c>
      <c r="F89" s="31">
        <v>25</v>
      </c>
      <c r="G89" s="31">
        <v>25</v>
      </c>
      <c r="H89" s="31">
        <v>25</v>
      </c>
      <c r="I89" s="31">
        <v>25</v>
      </c>
      <c r="J89" s="31">
        <v>25</v>
      </c>
      <c r="K89" s="31">
        <v>25</v>
      </c>
      <c r="L89" s="31">
        <v>25</v>
      </c>
      <c r="M89" s="31">
        <v>25</v>
      </c>
      <c r="N89" s="32">
        <v>25</v>
      </c>
      <c r="O89" s="32">
        <v>25</v>
      </c>
      <c r="P89" s="32">
        <v>25</v>
      </c>
      <c r="Q89" s="32">
        <v>25</v>
      </c>
      <c r="R89" s="32">
        <v>25</v>
      </c>
      <c r="S89" s="9">
        <f t="shared" si="2"/>
        <v>12</v>
      </c>
      <c r="T89" s="8"/>
      <c r="U89" s="16">
        <f t="shared" si="3"/>
        <v>25</v>
      </c>
      <c r="V89" s="8"/>
      <c r="W89" s="8"/>
      <c r="X89" s="8"/>
      <c r="Y89" s="8"/>
    </row>
    <row r="90" spans="1:25" x14ac:dyDescent="0.25">
      <c r="A90" s="2">
        <v>89</v>
      </c>
      <c r="B90" s="3" t="s">
        <v>114</v>
      </c>
      <c r="C90" t="s">
        <v>114</v>
      </c>
      <c r="D90" t="s">
        <v>14</v>
      </c>
      <c r="E90">
        <v>1</v>
      </c>
      <c r="F90" s="31">
        <v>25</v>
      </c>
      <c r="G90" s="31">
        <v>25</v>
      </c>
      <c r="H90" s="31">
        <v>25</v>
      </c>
      <c r="I90" s="31">
        <v>25</v>
      </c>
      <c r="J90" s="31">
        <v>25</v>
      </c>
      <c r="K90" s="31">
        <v>25</v>
      </c>
      <c r="L90" s="31">
        <v>25</v>
      </c>
      <c r="M90" s="31">
        <v>25</v>
      </c>
      <c r="N90" s="32">
        <v>25</v>
      </c>
      <c r="O90" s="32">
        <v>25</v>
      </c>
      <c r="P90" s="32">
        <v>25</v>
      </c>
      <c r="Q90" s="32">
        <v>25</v>
      </c>
      <c r="R90" s="32">
        <v>25</v>
      </c>
      <c r="S90" s="9">
        <f t="shared" si="2"/>
        <v>12</v>
      </c>
      <c r="T90" s="8"/>
      <c r="U90" s="16">
        <f t="shared" si="3"/>
        <v>25</v>
      </c>
      <c r="V90" s="8"/>
      <c r="W90" s="8"/>
      <c r="X90" s="8"/>
      <c r="Y90" s="8"/>
    </row>
    <row r="91" spans="1:25" x14ac:dyDescent="0.25">
      <c r="A91" s="2">
        <v>90</v>
      </c>
      <c r="B91" s="3" t="s">
        <v>115</v>
      </c>
      <c r="C91" t="s">
        <v>115</v>
      </c>
      <c r="D91" t="s">
        <v>9</v>
      </c>
      <c r="E91">
        <v>1</v>
      </c>
      <c r="F91" s="31">
        <v>20</v>
      </c>
      <c r="G91" s="31">
        <v>20</v>
      </c>
      <c r="H91" s="31">
        <v>20</v>
      </c>
      <c r="I91" s="31">
        <v>20</v>
      </c>
      <c r="J91" s="31">
        <v>20</v>
      </c>
      <c r="K91" s="31">
        <v>20</v>
      </c>
      <c r="L91" s="31">
        <v>20</v>
      </c>
      <c r="M91" s="31">
        <v>20</v>
      </c>
      <c r="N91" s="32">
        <v>20</v>
      </c>
      <c r="O91" s="32">
        <v>20</v>
      </c>
      <c r="P91" s="32">
        <v>20</v>
      </c>
      <c r="Q91" s="32">
        <v>20</v>
      </c>
      <c r="R91" s="32">
        <v>20</v>
      </c>
      <c r="S91" s="9">
        <f t="shared" si="2"/>
        <v>12</v>
      </c>
      <c r="T91" s="8"/>
      <c r="U91" s="16">
        <f t="shared" si="3"/>
        <v>20</v>
      </c>
      <c r="V91" s="8"/>
      <c r="W91" s="8"/>
      <c r="X91" s="8"/>
      <c r="Y91" s="8"/>
    </row>
    <row r="92" spans="1:25" x14ac:dyDescent="0.25">
      <c r="A92" s="2">
        <v>91</v>
      </c>
      <c r="B92" s="3" t="s">
        <v>116</v>
      </c>
      <c r="C92" t="s">
        <v>116</v>
      </c>
      <c r="D92" t="s">
        <v>7</v>
      </c>
      <c r="E92" t="s">
        <v>12</v>
      </c>
      <c r="F92" s="31">
        <v>12.5</v>
      </c>
      <c r="G92" s="31">
        <v>12.5</v>
      </c>
      <c r="H92" s="31">
        <v>12.5</v>
      </c>
      <c r="I92" s="31">
        <v>12.5</v>
      </c>
      <c r="J92" s="31">
        <v>12.5</v>
      </c>
      <c r="K92" s="31">
        <v>12.5</v>
      </c>
      <c r="L92" s="31">
        <v>12.5</v>
      </c>
      <c r="M92" s="31">
        <v>12.5</v>
      </c>
      <c r="N92" s="32">
        <v>14.42</v>
      </c>
      <c r="O92" s="32">
        <v>15.35</v>
      </c>
      <c r="P92" s="32">
        <v>14.67</v>
      </c>
      <c r="Q92" s="32">
        <v>13.21</v>
      </c>
      <c r="R92" s="32">
        <v>13.65</v>
      </c>
      <c r="S92" s="9">
        <f t="shared" si="2"/>
        <v>12</v>
      </c>
      <c r="T92" s="8"/>
      <c r="U92" s="16">
        <f t="shared" si="3"/>
        <v>12.5</v>
      </c>
      <c r="V92" s="8"/>
      <c r="W92" s="8"/>
      <c r="X92" s="8"/>
      <c r="Y92" s="8"/>
    </row>
    <row r="93" spans="1:25" x14ac:dyDescent="0.25">
      <c r="A93" s="2">
        <v>92</v>
      </c>
      <c r="B93" s="3" t="s">
        <v>117</v>
      </c>
      <c r="C93" t="s">
        <v>117</v>
      </c>
      <c r="D93" t="s">
        <v>23</v>
      </c>
      <c r="E93">
        <v>1</v>
      </c>
      <c r="F93" s="31">
        <v>15</v>
      </c>
      <c r="G93" s="31">
        <v>15</v>
      </c>
      <c r="H93" s="31">
        <v>15</v>
      </c>
      <c r="I93" s="31">
        <v>15</v>
      </c>
      <c r="J93" s="31">
        <v>15</v>
      </c>
      <c r="K93" s="31">
        <v>15</v>
      </c>
      <c r="L93" s="31">
        <v>15</v>
      </c>
      <c r="M93" s="31">
        <v>15</v>
      </c>
      <c r="N93" s="32">
        <v>15</v>
      </c>
      <c r="O93" s="32">
        <v>15</v>
      </c>
      <c r="P93" s="32">
        <v>15</v>
      </c>
      <c r="Q93" s="32">
        <v>15</v>
      </c>
      <c r="R93" s="32">
        <v>15</v>
      </c>
      <c r="S93" s="9">
        <f t="shared" si="2"/>
        <v>12</v>
      </c>
      <c r="T93" s="8"/>
      <c r="U93" s="16">
        <f t="shared" si="3"/>
        <v>15</v>
      </c>
      <c r="V93" s="8"/>
      <c r="W93" s="8"/>
      <c r="X93" s="8"/>
      <c r="Y93" s="8"/>
    </row>
    <row r="94" spans="1:25" x14ac:dyDescent="0.25">
      <c r="A94" s="2">
        <v>93</v>
      </c>
      <c r="B94" s="3" t="s">
        <v>118</v>
      </c>
      <c r="C94" t="s">
        <v>118</v>
      </c>
      <c r="D94" t="s">
        <v>23</v>
      </c>
      <c r="E94">
        <v>1</v>
      </c>
      <c r="F94" s="31">
        <v>21.84</v>
      </c>
      <c r="G94" s="31">
        <v>21.84</v>
      </c>
      <c r="H94" s="31">
        <v>21</v>
      </c>
      <c r="I94" s="31">
        <v>21</v>
      </c>
      <c r="J94" s="31">
        <v>21</v>
      </c>
      <c r="K94" s="31">
        <v>19</v>
      </c>
      <c r="L94" s="31">
        <v>19</v>
      </c>
      <c r="M94" s="31">
        <v>18</v>
      </c>
      <c r="N94" s="32">
        <v>16.970615595579375</v>
      </c>
      <c r="O94" s="32">
        <v>15.770132551233019</v>
      </c>
      <c r="P94" s="32">
        <v>15.607452574251511</v>
      </c>
      <c r="Q94" s="32">
        <v>14.963390298122476</v>
      </c>
      <c r="R94" s="32">
        <v>13.026247494746485</v>
      </c>
      <c r="S94" s="9">
        <f t="shared" si="2"/>
        <v>12</v>
      </c>
      <c r="T94" s="8"/>
      <c r="U94" s="16">
        <f t="shared" si="3"/>
        <v>21</v>
      </c>
      <c r="V94" s="8"/>
      <c r="W94" s="8"/>
      <c r="X94" s="8"/>
      <c r="Y94" s="8"/>
    </row>
    <row r="95" spans="1:25" x14ac:dyDescent="0.25">
      <c r="A95" s="2">
        <v>94</v>
      </c>
      <c r="B95" s="3" t="s">
        <v>119</v>
      </c>
      <c r="C95" t="s">
        <v>119</v>
      </c>
      <c r="D95" t="s">
        <v>14</v>
      </c>
      <c r="E95">
        <v>1</v>
      </c>
      <c r="F95" s="31">
        <v>21</v>
      </c>
      <c r="G95" s="31">
        <v>21</v>
      </c>
      <c r="H95" s="31">
        <v>20</v>
      </c>
      <c r="I95" s="31">
        <v>20</v>
      </c>
      <c r="J95" s="31">
        <v>20</v>
      </c>
      <c r="K95" s="31">
        <v>20</v>
      </c>
      <c r="L95" s="31">
        <v>20</v>
      </c>
      <c r="M95" s="31">
        <v>20</v>
      </c>
      <c r="N95" s="32">
        <v>20</v>
      </c>
      <c r="O95" s="32">
        <v>20</v>
      </c>
      <c r="P95" s="32">
        <v>20</v>
      </c>
      <c r="Q95" s="32">
        <v>20</v>
      </c>
      <c r="R95" s="32">
        <v>20</v>
      </c>
      <c r="S95" s="9">
        <f t="shared" si="2"/>
        <v>12</v>
      </c>
      <c r="T95" s="8"/>
      <c r="U95" s="16">
        <f t="shared" si="3"/>
        <v>20</v>
      </c>
      <c r="V95" s="8"/>
      <c r="W95" s="8"/>
      <c r="X95" s="8"/>
      <c r="Y95" s="8"/>
    </row>
    <row r="96" spans="1:25" x14ac:dyDescent="0.25">
      <c r="A96" s="2">
        <v>95</v>
      </c>
      <c r="B96" s="3" t="s">
        <v>120</v>
      </c>
      <c r="C96" t="s">
        <v>120</v>
      </c>
      <c r="D96" t="s">
        <v>14</v>
      </c>
      <c r="E96">
        <v>1</v>
      </c>
      <c r="F96" s="31">
        <v>30</v>
      </c>
      <c r="G96" s="31">
        <v>30</v>
      </c>
      <c r="H96" s="31">
        <v>30</v>
      </c>
      <c r="I96" s="31">
        <v>30</v>
      </c>
      <c r="J96" s="31">
        <v>30</v>
      </c>
      <c r="K96" s="31">
        <v>30</v>
      </c>
      <c r="L96" s="31">
        <v>30</v>
      </c>
      <c r="M96" s="31">
        <v>30</v>
      </c>
      <c r="N96" s="32">
        <v>30</v>
      </c>
      <c r="O96" s="32">
        <v>30</v>
      </c>
      <c r="P96" s="32">
        <v>30</v>
      </c>
      <c r="Q96" s="32">
        <v>30</v>
      </c>
      <c r="R96" s="32">
        <v>30</v>
      </c>
      <c r="S96" s="9">
        <f t="shared" si="2"/>
        <v>12</v>
      </c>
      <c r="T96" s="8"/>
      <c r="U96" s="16">
        <f t="shared" si="3"/>
        <v>30</v>
      </c>
      <c r="V96" s="8"/>
      <c r="W96" s="8"/>
      <c r="X96" s="8"/>
      <c r="Y96" s="8"/>
    </row>
    <row r="97" spans="1:25" x14ac:dyDescent="0.25">
      <c r="A97" s="2">
        <v>96</v>
      </c>
      <c r="B97" s="3" t="s">
        <v>121</v>
      </c>
      <c r="C97" t="s">
        <v>121</v>
      </c>
      <c r="D97" t="s">
        <v>25</v>
      </c>
      <c r="E97">
        <v>1</v>
      </c>
      <c r="F97" s="31">
        <v>25</v>
      </c>
      <c r="G97" s="31">
        <v>25</v>
      </c>
      <c r="H97" s="31">
        <v>25</v>
      </c>
      <c r="I97" s="31">
        <v>25</v>
      </c>
      <c r="J97" s="31">
        <v>25</v>
      </c>
      <c r="K97" s="31">
        <v>24</v>
      </c>
      <c r="L97" s="31">
        <v>25</v>
      </c>
      <c r="M97" s="31">
        <v>25</v>
      </c>
      <c r="N97" s="32">
        <v>24.8</v>
      </c>
      <c r="O97" s="32">
        <v>24.8</v>
      </c>
      <c r="P97" s="32">
        <v>24.8</v>
      </c>
      <c r="Q97" s="32">
        <v>24.8</v>
      </c>
      <c r="R97" s="32">
        <v>24.8</v>
      </c>
      <c r="S97" s="9">
        <f t="shared" si="2"/>
        <v>12</v>
      </c>
      <c r="T97" s="8"/>
      <c r="U97" s="16">
        <f t="shared" si="3"/>
        <v>25</v>
      </c>
      <c r="V97" s="8"/>
      <c r="W97" s="8"/>
      <c r="X97" s="8"/>
      <c r="Y97" s="8"/>
    </row>
    <row r="98" spans="1:25" x14ac:dyDescent="0.25">
      <c r="A98" s="2">
        <v>97</v>
      </c>
      <c r="B98" s="3" t="s">
        <v>122</v>
      </c>
      <c r="C98" t="s">
        <v>122</v>
      </c>
      <c r="D98" t="s">
        <v>25</v>
      </c>
      <c r="E98" t="s">
        <v>12</v>
      </c>
      <c r="F98" s="31">
        <v>25.34</v>
      </c>
      <c r="G98" s="31">
        <v>25.34</v>
      </c>
      <c r="H98" s="31">
        <v>23.61</v>
      </c>
      <c r="I98" s="31">
        <v>24.93</v>
      </c>
      <c r="J98" s="31">
        <v>25.58</v>
      </c>
      <c r="K98" s="31">
        <v>22.03</v>
      </c>
      <c r="L98" s="31">
        <v>26.86</v>
      </c>
      <c r="M98" s="31">
        <v>21.47</v>
      </c>
      <c r="N98" s="32">
        <v>26.25</v>
      </c>
      <c r="O98" s="32">
        <v>21.87</v>
      </c>
      <c r="P98" s="32">
        <v>29.52</v>
      </c>
      <c r="Q98" s="32">
        <v>29.24</v>
      </c>
      <c r="R98" s="32">
        <v>20.21</v>
      </c>
      <c r="S98" s="9">
        <f t="shared" si="2"/>
        <v>12</v>
      </c>
      <c r="T98" s="8"/>
      <c r="U98" s="16">
        <f t="shared" si="3"/>
        <v>23.61</v>
      </c>
      <c r="V98" s="8"/>
      <c r="W98" s="8"/>
      <c r="X98" s="8"/>
      <c r="Y98" s="8"/>
    </row>
    <row r="99" spans="1:25" x14ac:dyDescent="0.25">
      <c r="A99" s="2">
        <v>98</v>
      </c>
      <c r="B99" s="3" t="s">
        <v>123</v>
      </c>
      <c r="C99" t="s">
        <v>123</v>
      </c>
      <c r="D99" t="s">
        <v>14</v>
      </c>
      <c r="E99">
        <v>1</v>
      </c>
      <c r="F99" s="31">
        <v>35</v>
      </c>
      <c r="G99" s="31">
        <v>35</v>
      </c>
      <c r="H99" s="31">
        <v>35</v>
      </c>
      <c r="I99" s="31">
        <v>35</v>
      </c>
      <c r="J99" s="31">
        <v>35</v>
      </c>
      <c r="K99" s="31">
        <v>35</v>
      </c>
      <c r="L99" s="31">
        <v>35</v>
      </c>
      <c r="M99" s="31">
        <v>35</v>
      </c>
      <c r="N99" s="32">
        <v>35</v>
      </c>
      <c r="O99" s="32">
        <v>35</v>
      </c>
      <c r="P99" s="32">
        <v>35</v>
      </c>
      <c r="Q99" s="32">
        <v>35</v>
      </c>
      <c r="R99" s="32">
        <v>35</v>
      </c>
      <c r="S99" s="9">
        <f t="shared" si="2"/>
        <v>12</v>
      </c>
      <c r="T99" s="8"/>
      <c r="U99" s="16">
        <f t="shared" si="3"/>
        <v>35</v>
      </c>
      <c r="V99" s="8"/>
      <c r="W99" s="8"/>
      <c r="X99" s="8"/>
      <c r="Y99" s="8"/>
    </row>
    <row r="100" spans="1:25" x14ac:dyDescent="0.25">
      <c r="A100" s="2">
        <v>99</v>
      </c>
      <c r="B100" s="3" t="s">
        <v>124</v>
      </c>
      <c r="C100" t="s">
        <v>124</v>
      </c>
      <c r="D100" t="s">
        <v>23</v>
      </c>
      <c r="E100">
        <v>1</v>
      </c>
      <c r="F100" s="31">
        <v>35</v>
      </c>
      <c r="G100" s="31">
        <v>35</v>
      </c>
      <c r="H100" s="31">
        <v>35</v>
      </c>
      <c r="I100" s="31">
        <v>35</v>
      </c>
      <c r="J100" s="31">
        <v>35</v>
      </c>
      <c r="K100" s="31">
        <v>35</v>
      </c>
      <c r="L100" s="31">
        <v>35</v>
      </c>
      <c r="M100" s="31">
        <v>35</v>
      </c>
      <c r="N100" s="32">
        <v>35</v>
      </c>
      <c r="O100" s="32">
        <v>35</v>
      </c>
      <c r="P100" s="32">
        <v>35</v>
      </c>
      <c r="Q100" s="32">
        <v>35</v>
      </c>
      <c r="R100" s="32">
        <v>35</v>
      </c>
      <c r="S100" s="9">
        <f t="shared" si="2"/>
        <v>12</v>
      </c>
      <c r="T100" s="8"/>
      <c r="U100" s="16">
        <f t="shared" si="3"/>
        <v>35</v>
      </c>
      <c r="V100" s="8"/>
      <c r="W100" s="8"/>
      <c r="X100" s="8"/>
      <c r="Y100" s="8"/>
    </row>
    <row r="101" spans="1:25" x14ac:dyDescent="0.25">
      <c r="A101" s="2">
        <v>100</v>
      </c>
      <c r="B101" s="3" t="s">
        <v>125</v>
      </c>
      <c r="C101" t="s">
        <v>11</v>
      </c>
      <c r="D101" t="s">
        <v>16</v>
      </c>
      <c r="E101" t="s">
        <v>12</v>
      </c>
      <c r="F101" s="31">
        <v>34.19</v>
      </c>
      <c r="G101" s="31">
        <v>34.19</v>
      </c>
      <c r="H101" s="31">
        <v>20.48</v>
      </c>
      <c r="I101" s="31">
        <v>26.91</v>
      </c>
      <c r="J101" s="31">
        <v>20.25</v>
      </c>
      <c r="K101" s="31">
        <v>5.63</v>
      </c>
      <c r="L101" s="31">
        <v>29.39</v>
      </c>
      <c r="M101" s="31">
        <v>23.3</v>
      </c>
      <c r="N101" s="32">
        <v>22.65</v>
      </c>
      <c r="O101" s="32">
        <v>13.73</v>
      </c>
      <c r="P101" s="32">
        <v>19.61</v>
      </c>
      <c r="Q101" s="32">
        <v>28.82</v>
      </c>
      <c r="R101" s="32">
        <v>20.059999999999999</v>
      </c>
      <c r="S101" s="9">
        <f t="shared" si="2"/>
        <v>12</v>
      </c>
      <c r="T101" s="8"/>
      <c r="U101" s="16">
        <f t="shared" si="3"/>
        <v>20.48</v>
      </c>
      <c r="V101" s="8"/>
      <c r="W101" s="8"/>
      <c r="X101" s="8"/>
      <c r="Y101" s="8"/>
    </row>
    <row r="102" spans="1:25" x14ac:dyDescent="0.25">
      <c r="A102" s="2">
        <v>101</v>
      </c>
      <c r="B102" s="3" t="s">
        <v>126</v>
      </c>
      <c r="C102" t="s">
        <v>126</v>
      </c>
      <c r="D102" t="s">
        <v>14</v>
      </c>
      <c r="E102">
        <v>1</v>
      </c>
      <c r="F102" s="31">
        <v>25</v>
      </c>
      <c r="G102" s="31">
        <v>25</v>
      </c>
      <c r="H102" s="31">
        <v>25</v>
      </c>
      <c r="I102" s="31">
        <v>25</v>
      </c>
      <c r="J102" s="31">
        <v>25</v>
      </c>
      <c r="K102" s="31">
        <v>25</v>
      </c>
      <c r="L102" s="31">
        <v>25</v>
      </c>
      <c r="M102" s="31">
        <v>25</v>
      </c>
      <c r="N102" s="32">
        <v>25</v>
      </c>
      <c r="O102" s="32">
        <v>25</v>
      </c>
      <c r="P102" s="32">
        <v>25</v>
      </c>
      <c r="Q102" s="32">
        <v>25</v>
      </c>
      <c r="R102" s="32">
        <v>25</v>
      </c>
      <c r="S102" s="9">
        <f t="shared" si="2"/>
        <v>12</v>
      </c>
      <c r="T102" s="8"/>
      <c r="U102" s="16">
        <f t="shared" si="3"/>
        <v>25</v>
      </c>
      <c r="V102" s="8"/>
      <c r="W102" s="8"/>
      <c r="X102" s="8"/>
      <c r="Y102" s="8"/>
    </row>
    <row r="103" spans="1:25" x14ac:dyDescent="0.25">
      <c r="A103" s="2">
        <v>102</v>
      </c>
      <c r="B103" s="3" t="s">
        <v>127</v>
      </c>
      <c r="C103" t="s">
        <v>127</v>
      </c>
      <c r="D103" t="s">
        <v>14</v>
      </c>
      <c r="E103">
        <v>1</v>
      </c>
      <c r="F103" s="31">
        <v>15</v>
      </c>
      <c r="G103" s="31">
        <v>15</v>
      </c>
      <c r="H103" s="31">
        <v>15</v>
      </c>
      <c r="I103" s="31">
        <v>15</v>
      </c>
      <c r="J103" s="31">
        <v>15</v>
      </c>
      <c r="K103" s="31">
        <v>15</v>
      </c>
      <c r="L103" s="31">
        <v>15</v>
      </c>
      <c r="M103" s="31">
        <v>15</v>
      </c>
      <c r="N103" s="32">
        <v>15</v>
      </c>
      <c r="O103" s="32">
        <v>15</v>
      </c>
      <c r="P103" s="32">
        <v>15</v>
      </c>
      <c r="Q103" s="32">
        <v>15</v>
      </c>
      <c r="R103" s="32">
        <v>15</v>
      </c>
      <c r="S103" s="9">
        <f t="shared" si="2"/>
        <v>12</v>
      </c>
      <c r="T103" s="8"/>
      <c r="U103" s="16">
        <f t="shared" si="3"/>
        <v>15</v>
      </c>
      <c r="V103" s="8"/>
      <c r="W103" s="8"/>
      <c r="X103" s="8"/>
      <c r="Y103" s="8"/>
    </row>
    <row r="104" spans="1:25" x14ac:dyDescent="0.25">
      <c r="A104" s="2">
        <v>103</v>
      </c>
      <c r="B104" s="3" t="s">
        <v>128</v>
      </c>
      <c r="C104" t="s">
        <v>128</v>
      </c>
      <c r="D104" t="s">
        <v>33</v>
      </c>
      <c r="E104">
        <v>1</v>
      </c>
      <c r="F104" s="31">
        <v>30</v>
      </c>
      <c r="G104" s="31">
        <v>30</v>
      </c>
      <c r="H104" s="31">
        <v>30</v>
      </c>
      <c r="I104" s="31">
        <v>30</v>
      </c>
      <c r="J104" s="31">
        <v>30</v>
      </c>
      <c r="K104" s="31">
        <v>30</v>
      </c>
      <c r="L104" s="31">
        <v>30</v>
      </c>
      <c r="M104" s="31">
        <v>30</v>
      </c>
      <c r="N104" s="32">
        <v>30</v>
      </c>
      <c r="O104" s="32">
        <v>30</v>
      </c>
      <c r="P104" s="32">
        <v>30</v>
      </c>
      <c r="Q104" s="32">
        <v>30</v>
      </c>
      <c r="R104" s="32">
        <v>30</v>
      </c>
      <c r="S104" s="9">
        <f t="shared" si="2"/>
        <v>12</v>
      </c>
      <c r="T104" s="8"/>
      <c r="U104" s="16">
        <f t="shared" si="3"/>
        <v>30</v>
      </c>
      <c r="V104" s="8"/>
      <c r="W104" s="8"/>
      <c r="X104" s="8"/>
      <c r="Y104" s="8"/>
    </row>
    <row r="105" spans="1:25" x14ac:dyDescent="0.25">
      <c r="A105" s="2">
        <v>104</v>
      </c>
      <c r="B105" s="3" t="s">
        <v>129</v>
      </c>
      <c r="C105" t="s">
        <v>129</v>
      </c>
      <c r="D105" t="s">
        <v>7</v>
      </c>
      <c r="E105">
        <v>1</v>
      </c>
      <c r="F105" s="31">
        <v>16.559999999999999</v>
      </c>
      <c r="G105" s="31">
        <v>16.559999999999999</v>
      </c>
      <c r="H105" s="31">
        <v>12</v>
      </c>
      <c r="I105" s="31">
        <v>12</v>
      </c>
      <c r="J105" s="31">
        <v>12</v>
      </c>
      <c r="K105" s="31">
        <v>12</v>
      </c>
      <c r="L105" s="31">
        <v>12</v>
      </c>
      <c r="M105" s="31">
        <v>12</v>
      </c>
      <c r="N105" s="32">
        <v>12</v>
      </c>
      <c r="O105" s="32">
        <v>12</v>
      </c>
      <c r="P105" s="32">
        <v>12</v>
      </c>
      <c r="Q105" s="32">
        <v>12</v>
      </c>
      <c r="R105" s="32">
        <v>12</v>
      </c>
      <c r="S105" s="9">
        <f t="shared" si="2"/>
        <v>12</v>
      </c>
      <c r="T105" s="8"/>
      <c r="U105" s="16">
        <f t="shared" si="3"/>
        <v>12</v>
      </c>
      <c r="V105" s="8"/>
      <c r="W105" s="8"/>
      <c r="X105" s="8"/>
      <c r="Y105" s="8"/>
    </row>
    <row r="106" spans="1:25" x14ac:dyDescent="0.25">
      <c r="A106" s="2">
        <v>105</v>
      </c>
      <c r="B106" s="3" t="s">
        <v>130</v>
      </c>
      <c r="C106" t="s">
        <v>11</v>
      </c>
      <c r="D106" t="s">
        <v>7</v>
      </c>
      <c r="E106" t="s">
        <v>12</v>
      </c>
      <c r="F106" s="31">
        <v>26.38</v>
      </c>
      <c r="G106" s="31">
        <v>26.38</v>
      </c>
      <c r="H106" s="31">
        <v>16.84</v>
      </c>
      <c r="I106" s="31">
        <v>38.89</v>
      </c>
      <c r="J106" s="31">
        <v>26.51</v>
      </c>
      <c r="K106" s="31">
        <v>23.63</v>
      </c>
      <c r="L106" s="31">
        <v>35.07</v>
      </c>
      <c r="M106" s="31">
        <v>23.8</v>
      </c>
      <c r="N106" s="32">
        <v>39.450000000000003</v>
      </c>
      <c r="O106" s="32">
        <v>27.62</v>
      </c>
      <c r="P106" s="32">
        <v>13.54</v>
      </c>
      <c r="Q106" s="32">
        <v>30.8</v>
      </c>
      <c r="R106" s="32">
        <v>23.38</v>
      </c>
      <c r="S106" s="9">
        <f t="shared" si="2"/>
        <v>12</v>
      </c>
      <c r="T106" s="8"/>
      <c r="U106" s="16">
        <f t="shared" si="3"/>
        <v>16.84</v>
      </c>
      <c r="V106" s="8"/>
      <c r="W106" s="8"/>
      <c r="X106" s="8"/>
      <c r="Y106" s="8"/>
    </row>
    <row r="107" spans="1:25" x14ac:dyDescent="0.25">
      <c r="A107" s="2">
        <v>106</v>
      </c>
      <c r="B107" s="3" t="s">
        <v>131</v>
      </c>
      <c r="C107" t="s">
        <v>131</v>
      </c>
      <c r="D107" t="s">
        <v>25</v>
      </c>
      <c r="E107">
        <v>1</v>
      </c>
      <c r="F107" s="31">
        <v>25</v>
      </c>
      <c r="G107" s="31">
        <v>25</v>
      </c>
      <c r="H107" s="31">
        <v>25</v>
      </c>
      <c r="I107" s="31">
        <v>25</v>
      </c>
      <c r="J107" s="31">
        <v>25</v>
      </c>
      <c r="K107" s="31">
        <v>25</v>
      </c>
      <c r="L107" s="31">
        <v>25</v>
      </c>
      <c r="M107" s="31">
        <v>25</v>
      </c>
      <c r="N107" s="32">
        <v>25</v>
      </c>
      <c r="O107" s="32">
        <v>25</v>
      </c>
      <c r="P107" s="32">
        <v>25</v>
      </c>
      <c r="Q107" s="32">
        <v>25</v>
      </c>
      <c r="R107" s="32">
        <v>25</v>
      </c>
      <c r="S107" s="9">
        <f t="shared" si="2"/>
        <v>12</v>
      </c>
      <c r="T107" s="8"/>
      <c r="U107" s="16">
        <f t="shared" si="3"/>
        <v>25</v>
      </c>
      <c r="V107" s="8"/>
      <c r="W107" s="8"/>
      <c r="X107" s="8"/>
      <c r="Y107" s="8"/>
    </row>
    <row r="108" spans="1:25" x14ac:dyDescent="0.25">
      <c r="A108" s="2">
        <v>107</v>
      </c>
      <c r="B108" s="3" t="s">
        <v>132</v>
      </c>
      <c r="C108" t="s">
        <v>132</v>
      </c>
      <c r="D108" t="s">
        <v>7</v>
      </c>
      <c r="E108">
        <v>1</v>
      </c>
      <c r="F108" s="31">
        <v>9</v>
      </c>
      <c r="G108" s="31">
        <v>9</v>
      </c>
      <c r="H108" s="31">
        <v>9</v>
      </c>
      <c r="I108" s="31">
        <v>9</v>
      </c>
      <c r="J108" s="31">
        <v>9</v>
      </c>
      <c r="K108" s="31">
        <v>9</v>
      </c>
      <c r="L108" s="31">
        <v>9</v>
      </c>
      <c r="M108" s="31">
        <v>9</v>
      </c>
      <c r="N108" s="32">
        <v>9</v>
      </c>
      <c r="O108" s="32">
        <v>9</v>
      </c>
      <c r="P108" s="32">
        <v>9</v>
      </c>
      <c r="Q108" s="32">
        <v>9</v>
      </c>
      <c r="R108" s="32">
        <v>9</v>
      </c>
      <c r="S108" s="9">
        <f t="shared" si="2"/>
        <v>12</v>
      </c>
      <c r="T108" s="8"/>
      <c r="U108" s="16">
        <f t="shared" si="3"/>
        <v>9</v>
      </c>
      <c r="V108" s="8"/>
      <c r="W108" s="8"/>
      <c r="X108" s="8"/>
      <c r="Y108" s="8"/>
    </row>
    <row r="109" spans="1:25" x14ac:dyDescent="0.25">
      <c r="A109" s="2">
        <v>108</v>
      </c>
      <c r="B109" s="3" t="s">
        <v>133</v>
      </c>
      <c r="C109" t="s">
        <v>133</v>
      </c>
      <c r="D109" t="s">
        <v>9</v>
      </c>
      <c r="E109">
        <v>1</v>
      </c>
      <c r="F109" s="31">
        <v>30</v>
      </c>
      <c r="G109" s="31">
        <v>30</v>
      </c>
      <c r="H109" s="31">
        <v>30</v>
      </c>
      <c r="I109" s="31">
        <v>30</v>
      </c>
      <c r="J109" s="31">
        <v>30</v>
      </c>
      <c r="K109" s="31">
        <v>30</v>
      </c>
      <c r="L109" s="31">
        <v>30</v>
      </c>
      <c r="M109" s="31">
        <v>30</v>
      </c>
      <c r="N109" s="32">
        <v>30</v>
      </c>
      <c r="O109" s="32">
        <v>30</v>
      </c>
      <c r="P109" s="32">
        <v>30</v>
      </c>
      <c r="Q109" s="32">
        <v>30</v>
      </c>
      <c r="R109" s="32">
        <v>30</v>
      </c>
      <c r="S109" s="9">
        <f t="shared" si="2"/>
        <v>12</v>
      </c>
      <c r="T109" s="8"/>
      <c r="U109" s="16">
        <f t="shared" si="3"/>
        <v>30</v>
      </c>
      <c r="V109" s="8"/>
      <c r="W109" s="8"/>
      <c r="X109" s="8"/>
      <c r="Y109" s="8"/>
    </row>
    <row r="110" spans="1:25" x14ac:dyDescent="0.25">
      <c r="A110" s="2">
        <v>109</v>
      </c>
      <c r="B110" s="3" t="s">
        <v>134</v>
      </c>
      <c r="C110" t="s">
        <v>134</v>
      </c>
      <c r="D110" t="s">
        <v>14</v>
      </c>
      <c r="E110">
        <v>1</v>
      </c>
      <c r="F110" s="31">
        <v>32</v>
      </c>
      <c r="G110" s="31">
        <v>32</v>
      </c>
      <c r="H110" s="31">
        <v>32</v>
      </c>
      <c r="I110" s="31">
        <v>32</v>
      </c>
      <c r="J110" s="31">
        <v>32</v>
      </c>
      <c r="K110" s="31">
        <v>32</v>
      </c>
      <c r="L110" s="31">
        <v>32</v>
      </c>
      <c r="M110" s="31">
        <v>32</v>
      </c>
      <c r="N110" s="32">
        <v>32</v>
      </c>
      <c r="O110" s="32">
        <v>32</v>
      </c>
      <c r="P110" s="32">
        <v>32</v>
      </c>
      <c r="Q110" s="32">
        <v>32</v>
      </c>
      <c r="R110" s="32">
        <v>32</v>
      </c>
      <c r="S110" s="9">
        <f t="shared" si="2"/>
        <v>12</v>
      </c>
      <c r="T110" s="8"/>
      <c r="U110" s="16">
        <f t="shared" si="3"/>
        <v>32</v>
      </c>
      <c r="V110" s="8"/>
      <c r="W110" s="8"/>
      <c r="X110" s="8"/>
      <c r="Y110" s="8"/>
    </row>
    <row r="111" spans="1:25" x14ac:dyDescent="0.25">
      <c r="A111" s="2">
        <v>110</v>
      </c>
      <c r="B111" s="3" t="s">
        <v>135</v>
      </c>
      <c r="C111" t="s">
        <v>135</v>
      </c>
      <c r="D111" t="s">
        <v>14</v>
      </c>
      <c r="E111">
        <v>1</v>
      </c>
      <c r="F111" s="31">
        <v>34</v>
      </c>
      <c r="G111" s="31">
        <v>34</v>
      </c>
      <c r="H111" s="31">
        <v>34</v>
      </c>
      <c r="I111" s="31">
        <v>34</v>
      </c>
      <c r="J111" s="31">
        <v>34</v>
      </c>
      <c r="K111" s="31">
        <v>34</v>
      </c>
      <c r="L111" s="31">
        <v>34</v>
      </c>
      <c r="M111" s="31">
        <v>34</v>
      </c>
      <c r="N111" s="32">
        <v>34</v>
      </c>
      <c r="O111" s="32">
        <v>34</v>
      </c>
      <c r="P111" s="32">
        <v>34</v>
      </c>
      <c r="Q111" s="32">
        <v>34</v>
      </c>
      <c r="R111" s="32">
        <v>34</v>
      </c>
      <c r="S111" s="9">
        <f t="shared" si="2"/>
        <v>12</v>
      </c>
      <c r="T111" s="8"/>
      <c r="U111" s="16">
        <f t="shared" si="3"/>
        <v>34</v>
      </c>
      <c r="V111" s="8"/>
      <c r="W111" s="8"/>
      <c r="X111" s="8"/>
      <c r="Y111" s="8"/>
    </row>
    <row r="112" spans="1:25" x14ac:dyDescent="0.25">
      <c r="A112" s="2">
        <v>111</v>
      </c>
      <c r="B112" s="3" t="s">
        <v>136</v>
      </c>
      <c r="C112" t="s">
        <v>136</v>
      </c>
      <c r="D112" t="s">
        <v>25</v>
      </c>
      <c r="E112">
        <v>1</v>
      </c>
      <c r="F112" s="31">
        <v>25</v>
      </c>
      <c r="G112" s="31">
        <v>25</v>
      </c>
      <c r="H112" s="31">
        <v>25</v>
      </c>
      <c r="I112" s="31">
        <v>25</v>
      </c>
      <c r="J112" s="31">
        <v>25</v>
      </c>
      <c r="K112" s="31">
        <v>25</v>
      </c>
      <c r="L112" s="31">
        <v>25</v>
      </c>
      <c r="M112" s="31">
        <v>25</v>
      </c>
      <c r="N112" s="32">
        <v>25</v>
      </c>
      <c r="O112" s="32">
        <v>25</v>
      </c>
      <c r="P112" s="32">
        <v>25</v>
      </c>
      <c r="Q112" s="32">
        <v>25</v>
      </c>
      <c r="R112" s="32">
        <v>25</v>
      </c>
      <c r="S112" s="9">
        <f t="shared" si="2"/>
        <v>12</v>
      </c>
      <c r="T112" s="8"/>
      <c r="U112" s="16">
        <f t="shared" si="3"/>
        <v>25</v>
      </c>
      <c r="V112" s="8"/>
      <c r="W112" s="8"/>
      <c r="X112" s="8"/>
      <c r="Y112" s="8"/>
    </row>
    <row r="113" spans="1:25" x14ac:dyDescent="0.25">
      <c r="A113" s="2">
        <v>112</v>
      </c>
      <c r="B113" s="3" t="s">
        <v>137</v>
      </c>
      <c r="C113" t="s">
        <v>137</v>
      </c>
      <c r="D113" t="s">
        <v>23</v>
      </c>
      <c r="E113">
        <v>1</v>
      </c>
      <c r="F113" s="31">
        <v>25</v>
      </c>
      <c r="G113" s="31">
        <v>25</v>
      </c>
      <c r="H113" s="31">
        <v>25</v>
      </c>
      <c r="I113" s="31">
        <v>25</v>
      </c>
      <c r="J113" s="31">
        <v>25</v>
      </c>
      <c r="K113" s="31">
        <v>25</v>
      </c>
      <c r="L113" s="31">
        <v>25</v>
      </c>
      <c r="M113" s="31">
        <v>25</v>
      </c>
      <c r="N113" s="32">
        <v>25</v>
      </c>
      <c r="O113" s="32">
        <v>25</v>
      </c>
      <c r="P113" s="32">
        <v>25</v>
      </c>
      <c r="Q113" s="32">
        <v>25</v>
      </c>
      <c r="R113" s="32">
        <v>25</v>
      </c>
      <c r="S113" s="9">
        <f t="shared" si="2"/>
        <v>12</v>
      </c>
      <c r="T113" s="8"/>
      <c r="U113" s="16">
        <f t="shared" si="3"/>
        <v>25</v>
      </c>
      <c r="V113" s="8"/>
      <c r="W113" s="8"/>
      <c r="X113" s="8"/>
      <c r="Y113" s="8"/>
    </row>
    <row r="114" spans="1:25" x14ac:dyDescent="0.25">
      <c r="A114" s="2">
        <v>113</v>
      </c>
      <c r="B114" s="3" t="s">
        <v>138</v>
      </c>
      <c r="C114" t="s">
        <v>139</v>
      </c>
      <c r="D114" t="s">
        <v>21</v>
      </c>
      <c r="E114">
        <v>1</v>
      </c>
      <c r="F114" s="31">
        <v>28</v>
      </c>
      <c r="G114" s="31">
        <v>28</v>
      </c>
      <c r="H114" s="31">
        <v>28</v>
      </c>
      <c r="I114" s="31">
        <v>28</v>
      </c>
      <c r="J114" s="31">
        <v>28</v>
      </c>
      <c r="K114" s="31">
        <v>28</v>
      </c>
      <c r="L114" s="31">
        <v>28</v>
      </c>
      <c r="M114" s="31">
        <v>28</v>
      </c>
      <c r="N114" s="32">
        <v>28</v>
      </c>
      <c r="O114" s="32">
        <v>28</v>
      </c>
      <c r="P114" s="32">
        <v>28</v>
      </c>
      <c r="Q114" s="32">
        <v>28</v>
      </c>
      <c r="R114" s="32">
        <v>28</v>
      </c>
      <c r="S114" s="9">
        <f t="shared" si="2"/>
        <v>12</v>
      </c>
      <c r="T114" s="8"/>
      <c r="U114" s="16">
        <f t="shared" si="3"/>
        <v>28</v>
      </c>
      <c r="V114" s="8"/>
      <c r="W114" s="8"/>
      <c r="X114" s="8"/>
      <c r="Y114" s="8"/>
    </row>
    <row r="115" spans="1:25" x14ac:dyDescent="0.25">
      <c r="A115" s="2">
        <v>114</v>
      </c>
      <c r="B115" s="3" t="s">
        <v>140</v>
      </c>
      <c r="C115" t="s">
        <v>140</v>
      </c>
      <c r="D115" t="s">
        <v>33</v>
      </c>
      <c r="E115">
        <v>1</v>
      </c>
      <c r="F115" s="31">
        <v>30</v>
      </c>
      <c r="G115" s="31">
        <v>30</v>
      </c>
      <c r="H115" s="31">
        <v>30</v>
      </c>
      <c r="I115" s="31">
        <v>30</v>
      </c>
      <c r="J115" s="31">
        <v>30</v>
      </c>
      <c r="K115" s="31">
        <v>30</v>
      </c>
      <c r="L115" s="31">
        <v>30</v>
      </c>
      <c r="M115" s="31">
        <v>30</v>
      </c>
      <c r="N115" s="32">
        <v>30</v>
      </c>
      <c r="O115" s="32">
        <v>30</v>
      </c>
      <c r="P115" s="32">
        <v>30</v>
      </c>
      <c r="Q115" s="32">
        <v>30</v>
      </c>
      <c r="R115" s="32">
        <v>30</v>
      </c>
      <c r="S115" s="9">
        <f t="shared" si="2"/>
        <v>12</v>
      </c>
      <c r="T115" s="8"/>
      <c r="U115" s="16">
        <f t="shared" si="3"/>
        <v>30</v>
      </c>
      <c r="V115" s="8"/>
      <c r="W115" s="8"/>
      <c r="X115" s="8"/>
      <c r="Y115" s="8"/>
    </row>
    <row r="116" spans="1:25" x14ac:dyDescent="0.25">
      <c r="A116" s="2">
        <v>115</v>
      </c>
      <c r="B116" s="3" t="s">
        <v>141</v>
      </c>
      <c r="C116" t="s">
        <v>141</v>
      </c>
      <c r="D116" t="s">
        <v>14</v>
      </c>
      <c r="E116" t="s">
        <v>12</v>
      </c>
      <c r="F116" s="31">
        <v>30</v>
      </c>
      <c r="G116" s="31">
        <v>30</v>
      </c>
      <c r="H116" s="31">
        <v>30</v>
      </c>
      <c r="I116" s="31">
        <v>30</v>
      </c>
      <c r="J116" s="31">
        <v>30</v>
      </c>
      <c r="K116" s="31">
        <v>30</v>
      </c>
      <c r="L116" s="31">
        <v>30</v>
      </c>
      <c r="M116" s="31">
        <v>30</v>
      </c>
      <c r="N116" s="32">
        <v>26.37</v>
      </c>
      <c r="O116" s="32">
        <v>26.55</v>
      </c>
      <c r="P116" s="32">
        <v>25.89</v>
      </c>
      <c r="Q116" s="32">
        <v>29.92</v>
      </c>
      <c r="R116" s="32">
        <v>29.73</v>
      </c>
      <c r="S116" s="9">
        <f t="shared" si="2"/>
        <v>12</v>
      </c>
      <c r="T116" s="8"/>
      <c r="U116" s="16">
        <f t="shared" si="3"/>
        <v>30</v>
      </c>
      <c r="V116" s="8"/>
      <c r="W116" s="8"/>
      <c r="X116" s="8"/>
      <c r="Y116" s="8"/>
    </row>
    <row r="117" spans="1:25" x14ac:dyDescent="0.25">
      <c r="A117" s="2">
        <v>116</v>
      </c>
      <c r="B117" s="3" t="s">
        <v>142</v>
      </c>
      <c r="C117" t="s">
        <v>142</v>
      </c>
      <c r="D117" t="s">
        <v>14</v>
      </c>
      <c r="E117">
        <v>1</v>
      </c>
      <c r="F117" s="31">
        <v>30</v>
      </c>
      <c r="G117" s="31">
        <v>30</v>
      </c>
      <c r="H117" s="31">
        <v>30</v>
      </c>
      <c r="I117" s="31">
        <v>30</v>
      </c>
      <c r="J117" s="31">
        <v>30</v>
      </c>
      <c r="K117" s="31">
        <v>30</v>
      </c>
      <c r="L117" s="31">
        <v>30</v>
      </c>
      <c r="M117" s="31">
        <v>30</v>
      </c>
      <c r="N117" s="32">
        <v>30</v>
      </c>
      <c r="O117" s="32">
        <v>30</v>
      </c>
      <c r="P117" s="32">
        <v>30</v>
      </c>
      <c r="Q117" s="32">
        <v>30</v>
      </c>
      <c r="R117" s="32">
        <v>30</v>
      </c>
      <c r="S117" s="9">
        <f t="shared" si="2"/>
        <v>12</v>
      </c>
      <c r="T117" s="8"/>
      <c r="U117" s="16">
        <f t="shared" si="3"/>
        <v>30</v>
      </c>
      <c r="V117" s="8"/>
      <c r="W117" s="8"/>
      <c r="X117" s="8"/>
      <c r="Y117" s="8"/>
    </row>
    <row r="118" spans="1:25" x14ac:dyDescent="0.25">
      <c r="A118" s="2">
        <v>117</v>
      </c>
      <c r="B118" s="3" t="s">
        <v>143</v>
      </c>
      <c r="C118" t="s">
        <v>143</v>
      </c>
      <c r="D118" t="s">
        <v>7</v>
      </c>
      <c r="E118">
        <v>1</v>
      </c>
      <c r="F118" s="31">
        <v>28</v>
      </c>
      <c r="G118" s="31">
        <v>28</v>
      </c>
      <c r="H118" s="31">
        <v>28</v>
      </c>
      <c r="I118" s="31">
        <v>27</v>
      </c>
      <c r="J118" s="31">
        <v>27</v>
      </c>
      <c r="K118" s="31">
        <v>25</v>
      </c>
      <c r="L118" s="31">
        <v>25</v>
      </c>
      <c r="M118" s="31">
        <v>23</v>
      </c>
      <c r="N118" s="32">
        <v>22.838803024069193</v>
      </c>
      <c r="O118" s="32">
        <v>21.496852673951935</v>
      </c>
      <c r="P118" s="32">
        <v>19.72391758550566</v>
      </c>
      <c r="Q118" s="32">
        <v>19.617463647781278</v>
      </c>
      <c r="R118" s="32">
        <v>18.14187406415931</v>
      </c>
      <c r="S118" s="9">
        <f t="shared" si="2"/>
        <v>12</v>
      </c>
      <c r="T118" s="8"/>
      <c r="U118" s="16">
        <f t="shared" si="3"/>
        <v>28</v>
      </c>
      <c r="V118" s="8"/>
      <c r="W118" s="8"/>
      <c r="X118" s="8"/>
      <c r="Y118" s="8"/>
    </row>
    <row r="119" spans="1:25" x14ac:dyDescent="0.25">
      <c r="A119" s="2">
        <v>118</v>
      </c>
      <c r="B119" s="3" t="s">
        <v>144</v>
      </c>
      <c r="C119" t="s">
        <v>144</v>
      </c>
      <c r="D119" t="s">
        <v>9</v>
      </c>
      <c r="E119">
        <v>1</v>
      </c>
      <c r="F119" s="31">
        <v>12</v>
      </c>
      <c r="G119" s="31">
        <v>12</v>
      </c>
      <c r="H119" s="31">
        <v>12</v>
      </c>
      <c r="I119" s="31">
        <v>12</v>
      </c>
      <c r="J119" s="31">
        <v>12</v>
      </c>
      <c r="K119" s="31">
        <v>12</v>
      </c>
      <c r="L119" s="31">
        <v>12</v>
      </c>
      <c r="M119" s="31">
        <v>12</v>
      </c>
      <c r="N119" s="32">
        <v>12</v>
      </c>
      <c r="O119" s="32">
        <v>12</v>
      </c>
      <c r="P119" s="32">
        <v>12</v>
      </c>
      <c r="Q119" s="32">
        <v>12</v>
      </c>
      <c r="R119" s="32">
        <v>12</v>
      </c>
      <c r="S119" s="9">
        <f t="shared" si="2"/>
        <v>12</v>
      </c>
      <c r="T119" s="8"/>
      <c r="U119" s="16">
        <f t="shared" si="3"/>
        <v>12</v>
      </c>
      <c r="V119" s="8"/>
      <c r="W119" s="8"/>
      <c r="X119" s="8"/>
      <c r="Y119" s="8"/>
    </row>
    <row r="120" spans="1:25" x14ac:dyDescent="0.25">
      <c r="A120" s="2">
        <v>119</v>
      </c>
      <c r="B120" s="3" t="s">
        <v>145</v>
      </c>
      <c r="C120" t="s">
        <v>145</v>
      </c>
      <c r="D120" t="s">
        <v>25</v>
      </c>
      <c r="E120">
        <v>1</v>
      </c>
      <c r="F120" s="31">
        <v>35</v>
      </c>
      <c r="G120" s="31">
        <v>35</v>
      </c>
      <c r="H120" s="31">
        <v>35</v>
      </c>
      <c r="I120" s="31">
        <v>35</v>
      </c>
      <c r="J120" s="31">
        <v>33</v>
      </c>
      <c r="K120" s="31">
        <v>33</v>
      </c>
      <c r="L120" s="31">
        <v>33</v>
      </c>
      <c r="M120" s="31">
        <v>30</v>
      </c>
      <c r="N120" s="32">
        <v>29.204179966116499</v>
      </c>
      <c r="O120" s="32">
        <v>29.877122231724115</v>
      </c>
      <c r="P120" s="32">
        <v>26.64657449961669</v>
      </c>
      <c r="Q120" s="32">
        <v>26.626775830411361</v>
      </c>
      <c r="R120" s="32">
        <v>25.366370137094009</v>
      </c>
      <c r="S120" s="9">
        <f t="shared" si="2"/>
        <v>12</v>
      </c>
      <c r="T120" s="8"/>
      <c r="U120" s="16">
        <f t="shared" si="3"/>
        <v>35</v>
      </c>
      <c r="V120" s="8"/>
      <c r="W120" s="8"/>
      <c r="X120" s="8"/>
      <c r="Y120" s="8"/>
    </row>
    <row r="121" spans="1:25" x14ac:dyDescent="0.25">
      <c r="A121" s="2">
        <v>120</v>
      </c>
      <c r="B121" s="3" t="s">
        <v>146</v>
      </c>
      <c r="C121" t="s">
        <v>146</v>
      </c>
      <c r="D121" t="s">
        <v>33</v>
      </c>
      <c r="E121">
        <v>1</v>
      </c>
      <c r="F121" s="31">
        <v>25</v>
      </c>
      <c r="G121" s="31">
        <v>25</v>
      </c>
      <c r="H121" s="31">
        <v>25</v>
      </c>
      <c r="I121" s="31">
        <v>25</v>
      </c>
      <c r="J121" s="31">
        <v>25</v>
      </c>
      <c r="K121" s="31">
        <v>25</v>
      </c>
      <c r="L121" s="31">
        <v>25</v>
      </c>
      <c r="M121" s="31">
        <v>25</v>
      </c>
      <c r="N121" s="32">
        <v>25</v>
      </c>
      <c r="O121" s="32">
        <v>25</v>
      </c>
      <c r="P121" s="32">
        <v>25</v>
      </c>
      <c r="Q121" s="32">
        <v>25</v>
      </c>
      <c r="R121" s="32">
        <v>25</v>
      </c>
      <c r="S121" s="9">
        <f t="shared" si="2"/>
        <v>12</v>
      </c>
      <c r="T121" s="8"/>
      <c r="U121" s="16">
        <f t="shared" si="3"/>
        <v>25</v>
      </c>
      <c r="V121" s="8"/>
      <c r="W121" s="8"/>
      <c r="X121" s="8"/>
      <c r="Y121" s="8"/>
    </row>
    <row r="122" spans="1:25" x14ac:dyDescent="0.25">
      <c r="A122" s="2">
        <v>121</v>
      </c>
      <c r="B122" s="3" t="s">
        <v>147</v>
      </c>
      <c r="C122" t="s">
        <v>148</v>
      </c>
      <c r="D122" t="s">
        <v>21</v>
      </c>
      <c r="E122" t="s">
        <v>12</v>
      </c>
      <c r="F122" s="31">
        <v>30</v>
      </c>
      <c r="G122" s="31">
        <v>30</v>
      </c>
      <c r="H122" s="31">
        <v>30</v>
      </c>
      <c r="I122" s="31">
        <v>30</v>
      </c>
      <c r="J122" s="31">
        <v>30</v>
      </c>
      <c r="K122" s="31">
        <v>30</v>
      </c>
      <c r="L122" s="31">
        <v>30</v>
      </c>
      <c r="M122" s="31">
        <v>30</v>
      </c>
      <c r="N122" s="32">
        <v>29.37</v>
      </c>
      <c r="O122" s="32">
        <v>29.41</v>
      </c>
      <c r="P122" s="32">
        <v>30.3</v>
      </c>
      <c r="Q122" s="32">
        <v>29.53</v>
      </c>
      <c r="R122" s="32">
        <v>29.11</v>
      </c>
      <c r="S122" s="9">
        <f t="shared" si="2"/>
        <v>12</v>
      </c>
      <c r="T122" s="8"/>
      <c r="U122" s="16">
        <f t="shared" si="3"/>
        <v>30</v>
      </c>
      <c r="V122" s="8"/>
      <c r="W122" s="8"/>
      <c r="X122" s="8"/>
      <c r="Y122" s="8"/>
    </row>
    <row r="123" spans="1:25" x14ac:dyDescent="0.25">
      <c r="A123" s="2">
        <v>122</v>
      </c>
      <c r="B123" s="3" t="s">
        <v>149</v>
      </c>
      <c r="C123" t="s">
        <v>149</v>
      </c>
      <c r="D123" t="s">
        <v>18</v>
      </c>
      <c r="E123">
        <v>1</v>
      </c>
      <c r="F123" s="31">
        <v>10</v>
      </c>
      <c r="G123" s="31">
        <v>10</v>
      </c>
      <c r="H123" s="31">
        <v>10</v>
      </c>
      <c r="I123" s="31">
        <v>10</v>
      </c>
      <c r="J123" s="31">
        <v>10</v>
      </c>
      <c r="K123" s="31">
        <v>10</v>
      </c>
      <c r="L123" s="31">
        <v>10</v>
      </c>
      <c r="M123" s="31">
        <v>10</v>
      </c>
      <c r="N123" s="32">
        <v>10</v>
      </c>
      <c r="O123" s="32">
        <v>10</v>
      </c>
      <c r="P123" s="32">
        <v>10</v>
      </c>
      <c r="Q123" s="32">
        <v>10</v>
      </c>
      <c r="R123" s="32">
        <v>10</v>
      </c>
      <c r="S123" s="9">
        <f t="shared" si="2"/>
        <v>12</v>
      </c>
      <c r="T123" s="8"/>
      <c r="U123" s="16">
        <f t="shared" si="3"/>
        <v>10</v>
      </c>
      <c r="V123" s="8"/>
      <c r="W123" s="8"/>
      <c r="X123" s="8"/>
      <c r="Y123" s="8"/>
    </row>
    <row r="124" spans="1:25" x14ac:dyDescent="0.25">
      <c r="A124" s="2">
        <v>123</v>
      </c>
      <c r="B124" s="3" t="s">
        <v>150</v>
      </c>
      <c r="C124" t="s">
        <v>150</v>
      </c>
      <c r="D124" t="s">
        <v>18</v>
      </c>
      <c r="E124">
        <v>1</v>
      </c>
      <c r="F124" s="31">
        <v>30</v>
      </c>
      <c r="G124" s="31">
        <v>30</v>
      </c>
      <c r="H124" s="31">
        <v>30</v>
      </c>
      <c r="I124" s="31">
        <v>30</v>
      </c>
      <c r="J124" s="31">
        <v>30</v>
      </c>
      <c r="K124" s="31">
        <v>28</v>
      </c>
      <c r="L124" s="31">
        <v>28</v>
      </c>
      <c r="M124" s="31">
        <v>28</v>
      </c>
      <c r="N124" s="32">
        <v>26.678094154990276</v>
      </c>
      <c r="O124" s="32">
        <v>26.571555659869773</v>
      </c>
      <c r="P124" s="32">
        <v>25.313353089982911</v>
      </c>
      <c r="Q124" s="32">
        <v>25.961900222198665</v>
      </c>
      <c r="R124" s="32">
        <v>24.775117562631976</v>
      </c>
      <c r="S124" s="9">
        <f t="shared" si="2"/>
        <v>12</v>
      </c>
      <c r="T124" s="8"/>
      <c r="U124" s="16">
        <f t="shared" si="3"/>
        <v>30</v>
      </c>
      <c r="V124" s="8"/>
      <c r="W124" s="8"/>
      <c r="X124" s="8"/>
      <c r="Y124" s="8"/>
    </row>
    <row r="125" spans="1:25" x14ac:dyDescent="0.25">
      <c r="A125" s="2">
        <v>124</v>
      </c>
      <c r="B125" s="3" t="s">
        <v>151</v>
      </c>
      <c r="C125" t="s">
        <v>151</v>
      </c>
      <c r="D125" t="s">
        <v>25</v>
      </c>
      <c r="E125">
        <v>1</v>
      </c>
      <c r="F125" s="31">
        <v>30</v>
      </c>
      <c r="G125" s="31">
        <v>30</v>
      </c>
      <c r="H125" s="31">
        <v>30</v>
      </c>
      <c r="I125" s="31">
        <v>30</v>
      </c>
      <c r="J125" s="31">
        <v>30</v>
      </c>
      <c r="K125" s="31">
        <v>30</v>
      </c>
      <c r="L125" s="31">
        <v>30</v>
      </c>
      <c r="M125" s="31">
        <v>30</v>
      </c>
      <c r="N125" s="32">
        <v>30</v>
      </c>
      <c r="O125" s="32">
        <v>30</v>
      </c>
      <c r="P125" s="32">
        <v>30</v>
      </c>
      <c r="Q125" s="32">
        <v>30</v>
      </c>
      <c r="R125" s="32">
        <v>30</v>
      </c>
      <c r="S125" s="9">
        <f t="shared" si="2"/>
        <v>12</v>
      </c>
      <c r="T125" s="8"/>
      <c r="U125" s="16">
        <f t="shared" si="3"/>
        <v>30</v>
      </c>
      <c r="V125" s="8"/>
      <c r="W125" s="8"/>
      <c r="X125" s="8"/>
      <c r="Y125" s="8"/>
    </row>
    <row r="126" spans="1:25" x14ac:dyDescent="0.25">
      <c r="A126" s="2">
        <v>125</v>
      </c>
      <c r="B126" s="3" t="s">
        <v>152</v>
      </c>
      <c r="C126" t="s">
        <v>152</v>
      </c>
      <c r="D126" t="s">
        <v>23</v>
      </c>
      <c r="E126">
        <v>1</v>
      </c>
      <c r="F126" s="31">
        <v>19</v>
      </c>
      <c r="G126" s="31">
        <v>19</v>
      </c>
      <c r="H126" s="31">
        <v>19</v>
      </c>
      <c r="I126" s="31">
        <v>19</v>
      </c>
      <c r="J126" s="31">
        <v>19</v>
      </c>
      <c r="K126" s="31">
        <v>19</v>
      </c>
      <c r="L126" s="31">
        <v>19</v>
      </c>
      <c r="M126" s="31">
        <v>19</v>
      </c>
      <c r="N126" s="32">
        <v>19</v>
      </c>
      <c r="O126" s="32">
        <v>19</v>
      </c>
      <c r="P126" s="32">
        <v>19</v>
      </c>
      <c r="Q126" s="32">
        <v>19</v>
      </c>
      <c r="R126" s="32">
        <v>19</v>
      </c>
      <c r="S126" s="9">
        <f t="shared" si="2"/>
        <v>12</v>
      </c>
      <c r="T126" s="8"/>
      <c r="U126" s="16">
        <f t="shared" si="3"/>
        <v>19</v>
      </c>
      <c r="V126" s="8"/>
      <c r="W126" s="8"/>
      <c r="X126" s="8"/>
      <c r="Y126" s="8"/>
    </row>
    <row r="127" spans="1:25" x14ac:dyDescent="0.25">
      <c r="A127" s="2">
        <v>126</v>
      </c>
      <c r="B127" s="3" t="s">
        <v>153</v>
      </c>
      <c r="C127" t="s">
        <v>153</v>
      </c>
      <c r="D127" t="s">
        <v>23</v>
      </c>
      <c r="E127">
        <v>1</v>
      </c>
      <c r="F127" s="31">
        <v>26.5</v>
      </c>
      <c r="G127" s="31">
        <v>26.5</v>
      </c>
      <c r="H127" s="31">
        <v>26.5</v>
      </c>
      <c r="I127" s="31">
        <v>23</v>
      </c>
      <c r="J127" s="31">
        <v>23</v>
      </c>
      <c r="K127" s="31">
        <v>21</v>
      </c>
      <c r="L127" s="31">
        <v>23</v>
      </c>
      <c r="M127" s="31">
        <v>23</v>
      </c>
      <c r="N127" s="32">
        <v>22.6</v>
      </c>
      <c r="O127" s="32">
        <v>22.6</v>
      </c>
      <c r="P127" s="32">
        <v>22.6</v>
      </c>
      <c r="Q127" s="32">
        <v>22.6</v>
      </c>
      <c r="R127" s="32">
        <v>22.6</v>
      </c>
      <c r="S127" s="9">
        <f t="shared" si="2"/>
        <v>12</v>
      </c>
      <c r="T127" s="8"/>
      <c r="U127" s="16">
        <f t="shared" si="3"/>
        <v>26.5</v>
      </c>
      <c r="V127" s="8"/>
      <c r="W127" s="8"/>
      <c r="X127" s="8"/>
      <c r="Y127" s="8"/>
    </row>
    <row r="128" spans="1:25" x14ac:dyDescent="0.25">
      <c r="A128" s="2">
        <v>127</v>
      </c>
      <c r="B128" s="3" t="s">
        <v>154</v>
      </c>
      <c r="C128" t="s">
        <v>11</v>
      </c>
      <c r="D128" t="s">
        <v>16</v>
      </c>
      <c r="E128">
        <v>1</v>
      </c>
      <c r="F128" s="31">
        <v>17.170000000000002</v>
      </c>
      <c r="G128" s="31">
        <v>17.170000000000002</v>
      </c>
      <c r="H128" s="31">
        <v>32.76</v>
      </c>
      <c r="I128" s="31">
        <v>18.55</v>
      </c>
      <c r="J128" s="31">
        <v>31.25</v>
      </c>
      <c r="K128" s="31">
        <v>20.02</v>
      </c>
      <c r="L128" s="31">
        <v>41.68</v>
      </c>
      <c r="M128" s="31">
        <v>22.42</v>
      </c>
      <c r="N128" s="32">
        <v>38.35</v>
      </c>
      <c r="O128" s="32">
        <v>28</v>
      </c>
      <c r="P128" s="32">
        <v>28.47</v>
      </c>
      <c r="Q128" s="32">
        <v>22.69</v>
      </c>
      <c r="R128" s="32">
        <v>23.88</v>
      </c>
      <c r="S128" s="9">
        <f t="shared" si="2"/>
        <v>12</v>
      </c>
      <c r="T128" s="8"/>
      <c r="U128" s="16">
        <f t="shared" si="3"/>
        <v>32.76</v>
      </c>
      <c r="V128" s="8"/>
      <c r="W128" s="8"/>
      <c r="X128" s="8"/>
      <c r="Y128" s="8"/>
    </row>
    <row r="129" spans="1:25" x14ac:dyDescent="0.25">
      <c r="A129" s="2">
        <v>128</v>
      </c>
      <c r="B129" s="3" t="s">
        <v>155</v>
      </c>
      <c r="C129" t="s">
        <v>155</v>
      </c>
      <c r="D129" t="s">
        <v>9</v>
      </c>
      <c r="E129">
        <v>1</v>
      </c>
      <c r="F129" s="31">
        <v>18.71</v>
      </c>
      <c r="G129" s="31">
        <v>18.71</v>
      </c>
      <c r="H129" s="31">
        <v>28.9</v>
      </c>
      <c r="I129" s="31">
        <v>24.48</v>
      </c>
      <c r="J129" s="31">
        <v>21.17</v>
      </c>
      <c r="K129" s="31">
        <v>11.04</v>
      </c>
      <c r="L129" s="31">
        <v>16.89</v>
      </c>
      <c r="M129" s="31">
        <v>14.43</v>
      </c>
      <c r="N129" s="32">
        <v>15.17</v>
      </c>
      <c r="O129" s="32">
        <v>12.9</v>
      </c>
      <c r="P129" s="32">
        <v>11.99</v>
      </c>
      <c r="Q129" s="32">
        <v>18.309999999999999</v>
      </c>
      <c r="R129" s="32">
        <v>13.19</v>
      </c>
      <c r="S129" s="9">
        <f t="shared" si="2"/>
        <v>12</v>
      </c>
      <c r="T129" s="8"/>
      <c r="U129" s="16">
        <f t="shared" si="3"/>
        <v>28.9</v>
      </c>
      <c r="V129" s="8"/>
      <c r="W129" s="8"/>
      <c r="X129" s="8"/>
      <c r="Y129" s="8"/>
    </row>
    <row r="130" spans="1:25" x14ac:dyDescent="0.25">
      <c r="A130" s="2">
        <v>129</v>
      </c>
      <c r="B130" s="3" t="s">
        <v>156</v>
      </c>
      <c r="C130" t="s">
        <v>156</v>
      </c>
      <c r="D130" t="s">
        <v>23</v>
      </c>
      <c r="E130">
        <v>1</v>
      </c>
      <c r="F130" s="31">
        <v>16</v>
      </c>
      <c r="G130" s="31">
        <v>16</v>
      </c>
      <c r="H130" s="31">
        <v>16</v>
      </c>
      <c r="I130" s="31">
        <v>16</v>
      </c>
      <c r="J130" s="31">
        <v>16</v>
      </c>
      <c r="K130" s="31">
        <v>16</v>
      </c>
      <c r="L130" s="31">
        <v>16</v>
      </c>
      <c r="M130" s="31">
        <v>16</v>
      </c>
      <c r="N130" s="32">
        <v>16</v>
      </c>
      <c r="O130" s="32">
        <v>16</v>
      </c>
      <c r="P130" s="32">
        <v>16</v>
      </c>
      <c r="Q130" s="32">
        <v>16</v>
      </c>
      <c r="R130" s="32">
        <v>16</v>
      </c>
      <c r="S130" s="9">
        <f t="shared" si="2"/>
        <v>12</v>
      </c>
      <c r="T130" s="8"/>
      <c r="U130" s="16">
        <f t="shared" si="3"/>
        <v>16</v>
      </c>
      <c r="V130" s="8"/>
      <c r="W130" s="8"/>
      <c r="X130" s="8"/>
      <c r="Y130" s="8"/>
    </row>
    <row r="131" spans="1:25" x14ac:dyDescent="0.25">
      <c r="A131" s="2">
        <v>130</v>
      </c>
      <c r="B131" s="3" t="s">
        <v>157</v>
      </c>
      <c r="C131" t="s">
        <v>158</v>
      </c>
      <c r="D131" t="s">
        <v>7</v>
      </c>
      <c r="E131">
        <v>1</v>
      </c>
      <c r="F131" s="31">
        <v>20</v>
      </c>
      <c r="G131" s="31">
        <v>20</v>
      </c>
      <c r="H131" s="31">
        <v>20</v>
      </c>
      <c r="I131" s="31">
        <v>20</v>
      </c>
      <c r="J131" s="31">
        <v>20</v>
      </c>
      <c r="K131" s="31">
        <v>20</v>
      </c>
      <c r="L131" s="31">
        <v>20</v>
      </c>
      <c r="M131" s="31">
        <v>20</v>
      </c>
      <c r="N131" s="32">
        <v>20</v>
      </c>
      <c r="O131" s="32">
        <v>20</v>
      </c>
      <c r="P131" s="32">
        <v>20</v>
      </c>
      <c r="Q131" s="32">
        <v>20</v>
      </c>
      <c r="R131" s="32">
        <v>20</v>
      </c>
      <c r="S131" s="9">
        <f t="shared" ref="S131:S176" si="4">COUNT(G131:R131)</f>
        <v>12</v>
      </c>
      <c r="T131" s="8"/>
      <c r="U131" s="16">
        <f t="shared" ref="U131:U176" si="5">IF(SUMIF($F$1:$R$1,U$1,$F131:$R131)=0,".",SUMIF($F$1:$R$1,U$1,$F131:$R131))</f>
        <v>20</v>
      </c>
      <c r="V131" s="8"/>
      <c r="W131" s="8"/>
      <c r="X131" s="8"/>
      <c r="Y131" s="8"/>
    </row>
    <row r="132" spans="1:25" x14ac:dyDescent="0.25">
      <c r="A132" s="2">
        <v>131</v>
      </c>
      <c r="B132" s="3" t="s">
        <v>159</v>
      </c>
      <c r="C132" t="s">
        <v>159</v>
      </c>
      <c r="D132" t="s">
        <v>14</v>
      </c>
      <c r="E132">
        <v>1</v>
      </c>
      <c r="F132" s="31">
        <v>30</v>
      </c>
      <c r="G132" s="31">
        <v>30</v>
      </c>
      <c r="H132" s="31">
        <v>30</v>
      </c>
      <c r="I132" s="31">
        <v>30</v>
      </c>
      <c r="J132" s="31">
        <v>30</v>
      </c>
      <c r="K132" s="31">
        <v>30</v>
      </c>
      <c r="L132" s="31">
        <v>30</v>
      </c>
      <c r="M132" s="31">
        <v>30</v>
      </c>
      <c r="N132" s="32">
        <v>30</v>
      </c>
      <c r="O132" s="32">
        <v>30</v>
      </c>
      <c r="P132" s="32">
        <v>30</v>
      </c>
      <c r="Q132" s="32">
        <v>30</v>
      </c>
      <c r="R132" s="32">
        <v>30</v>
      </c>
      <c r="S132" s="9">
        <f t="shared" si="4"/>
        <v>12</v>
      </c>
      <c r="T132" s="8"/>
      <c r="U132" s="16">
        <f t="shared" si="5"/>
        <v>30</v>
      </c>
      <c r="V132" s="8"/>
      <c r="W132" s="8"/>
      <c r="X132" s="8"/>
      <c r="Y132" s="8"/>
    </row>
    <row r="133" spans="1:25" x14ac:dyDescent="0.25">
      <c r="A133" s="2">
        <v>132</v>
      </c>
      <c r="B133" s="3" t="s">
        <v>160</v>
      </c>
      <c r="C133" t="s">
        <v>161</v>
      </c>
      <c r="D133" t="s">
        <v>16</v>
      </c>
      <c r="E133" t="s">
        <v>12</v>
      </c>
      <c r="F133" s="31">
        <v>32.020000000000003</v>
      </c>
      <c r="G133" s="31">
        <v>32.020000000000003</v>
      </c>
      <c r="H133" s="31">
        <v>29.58</v>
      </c>
      <c r="I133" s="31">
        <v>29.97</v>
      </c>
      <c r="J133" s="31">
        <v>29.36</v>
      </c>
      <c r="K133" s="31">
        <v>30</v>
      </c>
      <c r="L133" s="31">
        <v>30</v>
      </c>
      <c r="M133" s="31">
        <v>30</v>
      </c>
      <c r="N133" s="32">
        <v>30.11</v>
      </c>
      <c r="O133" s="32">
        <v>32.68</v>
      </c>
      <c r="P133" s="32">
        <v>26.62</v>
      </c>
      <c r="Q133" s="32">
        <v>28.61</v>
      </c>
      <c r="R133" s="32">
        <v>27.95</v>
      </c>
      <c r="S133" s="9">
        <f t="shared" si="4"/>
        <v>12</v>
      </c>
      <c r="T133" s="8"/>
      <c r="U133" s="16">
        <f t="shared" si="5"/>
        <v>29.58</v>
      </c>
      <c r="V133" s="8"/>
      <c r="W133" s="8"/>
      <c r="X133" s="8"/>
      <c r="Y133" s="8"/>
    </row>
    <row r="134" spans="1:25" x14ac:dyDescent="0.25">
      <c r="A134" s="2">
        <v>133</v>
      </c>
      <c r="B134" s="3" t="s">
        <v>162</v>
      </c>
      <c r="C134" t="s">
        <v>162</v>
      </c>
      <c r="D134" t="s">
        <v>21</v>
      </c>
      <c r="E134" t="s">
        <v>12</v>
      </c>
      <c r="F134" s="31">
        <v>27</v>
      </c>
      <c r="G134" s="31">
        <v>27</v>
      </c>
      <c r="H134" s="31">
        <v>27</v>
      </c>
      <c r="I134" s="31">
        <v>27</v>
      </c>
      <c r="J134" s="31">
        <v>27</v>
      </c>
      <c r="K134" s="31">
        <v>27</v>
      </c>
      <c r="L134" s="31">
        <v>27</v>
      </c>
      <c r="M134" s="31">
        <v>27</v>
      </c>
      <c r="N134" s="32">
        <v>27.68</v>
      </c>
      <c r="O134" s="32">
        <v>27.82</v>
      </c>
      <c r="P134" s="32">
        <v>25.42</v>
      </c>
      <c r="Q134" s="32">
        <v>26.99</v>
      </c>
      <c r="R134" s="32">
        <v>26.83</v>
      </c>
      <c r="S134" s="9">
        <f t="shared" si="4"/>
        <v>12</v>
      </c>
      <c r="T134" s="8"/>
      <c r="U134" s="16">
        <f t="shared" si="5"/>
        <v>27</v>
      </c>
      <c r="V134" s="8"/>
      <c r="W134" s="8"/>
      <c r="X134" s="8"/>
      <c r="Y134" s="8"/>
    </row>
    <row r="135" spans="1:25" x14ac:dyDescent="0.25">
      <c r="A135" s="2">
        <v>134</v>
      </c>
      <c r="B135" s="3" t="s">
        <v>163</v>
      </c>
      <c r="C135" t="s">
        <v>164</v>
      </c>
      <c r="D135" t="s">
        <v>9</v>
      </c>
      <c r="E135">
        <v>1</v>
      </c>
      <c r="F135" s="31">
        <v>2.5</v>
      </c>
      <c r="G135" s="31">
        <v>2.5</v>
      </c>
      <c r="H135" s="31">
        <v>2.5</v>
      </c>
      <c r="I135" s="31">
        <v>2.5</v>
      </c>
      <c r="J135" s="31">
        <v>2.5</v>
      </c>
      <c r="K135" s="31">
        <v>2.5</v>
      </c>
      <c r="L135" s="31">
        <v>2.5</v>
      </c>
      <c r="M135" s="31">
        <v>2.5</v>
      </c>
      <c r="N135" s="32">
        <v>2.5</v>
      </c>
      <c r="O135" s="32">
        <v>2.5</v>
      </c>
      <c r="P135" s="32">
        <v>2.5</v>
      </c>
      <c r="Q135" s="32">
        <v>2.5</v>
      </c>
      <c r="R135" s="32">
        <v>2.5</v>
      </c>
      <c r="S135" s="9">
        <f t="shared" si="4"/>
        <v>12</v>
      </c>
      <c r="T135" s="8"/>
      <c r="U135" s="16">
        <f t="shared" si="5"/>
        <v>2.5</v>
      </c>
      <c r="V135" s="8"/>
      <c r="W135" s="8"/>
      <c r="X135" s="8"/>
      <c r="Y135" s="8"/>
    </row>
    <row r="136" spans="1:25" x14ac:dyDescent="0.25">
      <c r="A136" s="2">
        <v>135</v>
      </c>
      <c r="B136" s="3" t="s">
        <v>165</v>
      </c>
      <c r="C136" t="s">
        <v>165</v>
      </c>
      <c r="D136" t="s">
        <v>14</v>
      </c>
      <c r="E136">
        <v>1</v>
      </c>
      <c r="F136" s="31">
        <v>25</v>
      </c>
      <c r="G136" s="31">
        <v>25</v>
      </c>
      <c r="H136" s="31">
        <v>25</v>
      </c>
      <c r="I136" s="31">
        <v>30</v>
      </c>
      <c r="J136" s="31">
        <v>30</v>
      </c>
      <c r="K136" s="31">
        <v>30</v>
      </c>
      <c r="L136" s="31">
        <v>30</v>
      </c>
      <c r="M136" s="31">
        <v>30</v>
      </c>
      <c r="N136" s="32">
        <v>30</v>
      </c>
      <c r="O136" s="32">
        <v>30</v>
      </c>
      <c r="P136" s="32">
        <v>30</v>
      </c>
      <c r="Q136" s="32">
        <v>30</v>
      </c>
      <c r="R136" s="32">
        <v>30</v>
      </c>
      <c r="S136" s="9">
        <f t="shared" si="4"/>
        <v>12</v>
      </c>
      <c r="T136" s="8"/>
      <c r="U136" s="16">
        <f t="shared" si="5"/>
        <v>25</v>
      </c>
      <c r="V136" s="8"/>
      <c r="W136" s="8"/>
      <c r="X136" s="8"/>
      <c r="Y136" s="8"/>
    </row>
    <row r="137" spans="1:25" x14ac:dyDescent="0.25">
      <c r="A137" s="2">
        <v>136</v>
      </c>
      <c r="B137" s="3" t="s">
        <v>166</v>
      </c>
      <c r="C137" t="s">
        <v>166</v>
      </c>
      <c r="D137" t="s">
        <v>7</v>
      </c>
      <c r="E137">
        <v>1</v>
      </c>
      <c r="F137" s="31">
        <v>10</v>
      </c>
      <c r="G137" s="31">
        <v>10</v>
      </c>
      <c r="H137" s="31">
        <v>15</v>
      </c>
      <c r="I137" s="31">
        <v>15</v>
      </c>
      <c r="J137" s="31">
        <v>15</v>
      </c>
      <c r="K137" s="31">
        <v>15</v>
      </c>
      <c r="L137" s="31">
        <v>15</v>
      </c>
      <c r="M137" s="31">
        <v>15</v>
      </c>
      <c r="N137" s="32">
        <v>15</v>
      </c>
      <c r="O137" s="32">
        <v>15</v>
      </c>
      <c r="P137" s="32">
        <v>15</v>
      </c>
      <c r="Q137" s="32">
        <v>15</v>
      </c>
      <c r="R137" s="32">
        <v>15</v>
      </c>
      <c r="S137" s="9">
        <f t="shared" si="4"/>
        <v>12</v>
      </c>
      <c r="T137" s="8"/>
      <c r="U137" s="16">
        <f t="shared" si="5"/>
        <v>15</v>
      </c>
      <c r="V137" s="8"/>
      <c r="W137" s="8"/>
      <c r="X137" s="8"/>
      <c r="Y137" s="8"/>
    </row>
    <row r="138" spans="1:25" x14ac:dyDescent="0.25">
      <c r="A138" s="2">
        <v>137</v>
      </c>
      <c r="B138" s="3" t="s">
        <v>167</v>
      </c>
      <c r="C138" t="s">
        <v>167</v>
      </c>
      <c r="D138" t="s">
        <v>14</v>
      </c>
      <c r="E138">
        <v>1</v>
      </c>
      <c r="F138" s="31">
        <v>33</v>
      </c>
      <c r="G138" s="31">
        <v>33</v>
      </c>
      <c r="H138" s="31">
        <v>33</v>
      </c>
      <c r="I138" s="31">
        <v>33</v>
      </c>
      <c r="J138" s="31">
        <v>33</v>
      </c>
      <c r="K138" s="31">
        <v>33</v>
      </c>
      <c r="L138" s="31">
        <v>33</v>
      </c>
      <c r="M138" s="31">
        <v>33</v>
      </c>
      <c r="N138" s="32">
        <v>33</v>
      </c>
      <c r="O138" s="32">
        <v>33</v>
      </c>
      <c r="P138" s="32">
        <v>33</v>
      </c>
      <c r="Q138" s="32">
        <v>33</v>
      </c>
      <c r="R138" s="32">
        <v>33</v>
      </c>
      <c r="S138" s="9">
        <f t="shared" si="4"/>
        <v>12</v>
      </c>
      <c r="T138" s="8"/>
      <c r="U138" s="16">
        <f t="shared" si="5"/>
        <v>33</v>
      </c>
      <c r="V138" s="8"/>
      <c r="W138" s="8"/>
      <c r="X138" s="8"/>
      <c r="Y138" s="8"/>
    </row>
    <row r="139" spans="1:25" x14ac:dyDescent="0.25">
      <c r="A139" s="2">
        <v>138</v>
      </c>
      <c r="B139" s="3" t="s">
        <v>168</v>
      </c>
      <c r="C139" t="s">
        <v>169</v>
      </c>
      <c r="D139" t="s">
        <v>14</v>
      </c>
      <c r="E139">
        <v>1</v>
      </c>
      <c r="F139" s="31">
        <v>30</v>
      </c>
      <c r="G139" s="31">
        <v>30</v>
      </c>
      <c r="H139" s="31">
        <v>30</v>
      </c>
      <c r="I139" s="31">
        <v>30</v>
      </c>
      <c r="J139" s="31">
        <v>30</v>
      </c>
      <c r="K139" s="31">
        <v>30</v>
      </c>
      <c r="L139" s="31">
        <v>30</v>
      </c>
      <c r="M139" s="31">
        <v>30</v>
      </c>
      <c r="N139" s="32">
        <v>30</v>
      </c>
      <c r="O139" s="32">
        <v>30</v>
      </c>
      <c r="P139" s="32">
        <v>30</v>
      </c>
      <c r="Q139" s="32">
        <v>30</v>
      </c>
      <c r="R139" s="32">
        <v>30</v>
      </c>
      <c r="S139" s="9">
        <f t="shared" si="4"/>
        <v>12</v>
      </c>
      <c r="T139" s="8"/>
      <c r="U139" s="16">
        <f t="shared" si="5"/>
        <v>30</v>
      </c>
      <c r="V139" s="8"/>
      <c r="W139" s="8"/>
      <c r="X139" s="8"/>
      <c r="Y139" s="8"/>
    </row>
    <row r="140" spans="1:25" x14ac:dyDescent="0.25">
      <c r="A140" s="2">
        <v>139</v>
      </c>
      <c r="B140" s="3" t="s">
        <v>170</v>
      </c>
      <c r="C140" t="s">
        <v>170</v>
      </c>
      <c r="D140" t="s">
        <v>25</v>
      </c>
      <c r="E140">
        <v>1</v>
      </c>
      <c r="F140" s="31">
        <v>17</v>
      </c>
      <c r="G140" s="31">
        <v>17</v>
      </c>
      <c r="H140" s="31">
        <v>17</v>
      </c>
      <c r="I140" s="31">
        <v>17</v>
      </c>
      <c r="J140" s="31">
        <v>17</v>
      </c>
      <c r="K140" s="31">
        <v>17</v>
      </c>
      <c r="L140" s="31">
        <v>17</v>
      </c>
      <c r="M140" s="31">
        <v>17</v>
      </c>
      <c r="N140" s="32">
        <v>17</v>
      </c>
      <c r="O140" s="32">
        <v>17</v>
      </c>
      <c r="P140" s="32">
        <v>17</v>
      </c>
      <c r="Q140" s="32">
        <v>17</v>
      </c>
      <c r="R140" s="32">
        <v>17</v>
      </c>
      <c r="S140" s="9">
        <f t="shared" si="4"/>
        <v>12</v>
      </c>
      <c r="T140" s="8"/>
      <c r="U140" s="16">
        <f t="shared" si="5"/>
        <v>17</v>
      </c>
      <c r="V140" s="8"/>
      <c r="W140" s="8"/>
      <c r="X140" s="8"/>
      <c r="Y140" s="8"/>
    </row>
    <row r="141" spans="1:25" x14ac:dyDescent="0.25">
      <c r="A141" s="2">
        <v>140</v>
      </c>
      <c r="B141" s="3" t="s">
        <v>171</v>
      </c>
      <c r="C141" t="s">
        <v>171</v>
      </c>
      <c r="D141" t="s">
        <v>23</v>
      </c>
      <c r="E141" t="s">
        <v>12</v>
      </c>
      <c r="F141" s="31">
        <v>19</v>
      </c>
      <c r="G141" s="31">
        <v>19</v>
      </c>
      <c r="H141" s="31">
        <v>23</v>
      </c>
      <c r="I141" s="31">
        <v>22</v>
      </c>
      <c r="J141" s="31">
        <v>22</v>
      </c>
      <c r="K141" s="31">
        <v>20.9</v>
      </c>
      <c r="L141" s="31">
        <v>21.62</v>
      </c>
      <c r="M141" s="31">
        <v>23.04</v>
      </c>
      <c r="N141" s="32">
        <v>20.57</v>
      </c>
      <c r="O141" s="32">
        <v>18.97</v>
      </c>
      <c r="P141" s="32">
        <v>22.68</v>
      </c>
      <c r="Q141" s="32">
        <v>21.54</v>
      </c>
      <c r="R141" s="32">
        <v>17.79</v>
      </c>
      <c r="S141" s="9">
        <f t="shared" si="4"/>
        <v>12</v>
      </c>
      <c r="T141" s="8"/>
      <c r="U141" s="16">
        <f t="shared" si="5"/>
        <v>23</v>
      </c>
      <c r="V141" s="8"/>
      <c r="W141" s="8"/>
      <c r="X141" s="8"/>
      <c r="Y141" s="8"/>
    </row>
    <row r="142" spans="1:25" x14ac:dyDescent="0.25">
      <c r="A142" s="2">
        <v>141</v>
      </c>
      <c r="B142" s="3" t="s">
        <v>172</v>
      </c>
      <c r="C142" t="s">
        <v>172</v>
      </c>
      <c r="D142" t="s">
        <v>23</v>
      </c>
      <c r="E142">
        <v>1</v>
      </c>
      <c r="F142" s="31">
        <v>18</v>
      </c>
      <c r="G142" s="31">
        <v>18</v>
      </c>
      <c r="H142" s="31">
        <v>16</v>
      </c>
      <c r="I142" s="31">
        <v>17</v>
      </c>
      <c r="J142" s="31">
        <v>17</v>
      </c>
      <c r="K142" s="31">
        <v>17</v>
      </c>
      <c r="L142" s="31">
        <v>17</v>
      </c>
      <c r="M142" s="31">
        <v>17</v>
      </c>
      <c r="N142" s="32">
        <v>17</v>
      </c>
      <c r="O142" s="32">
        <v>17</v>
      </c>
      <c r="P142" s="32">
        <v>17</v>
      </c>
      <c r="Q142" s="32">
        <v>17</v>
      </c>
      <c r="R142" s="32">
        <v>17</v>
      </c>
      <c r="S142" s="9">
        <f t="shared" si="4"/>
        <v>12</v>
      </c>
      <c r="T142" s="8"/>
      <c r="U142" s="16">
        <f t="shared" si="5"/>
        <v>16</v>
      </c>
      <c r="V142" s="8"/>
      <c r="W142" s="8"/>
      <c r="X142" s="8"/>
      <c r="Y142" s="8"/>
    </row>
    <row r="143" spans="1:25" x14ac:dyDescent="0.25">
      <c r="A143" s="2">
        <v>142</v>
      </c>
      <c r="B143" s="3" t="s">
        <v>173</v>
      </c>
      <c r="C143" t="s">
        <v>174</v>
      </c>
      <c r="D143" t="s">
        <v>25</v>
      </c>
      <c r="E143" t="s">
        <v>12</v>
      </c>
      <c r="F143" s="31">
        <v>30</v>
      </c>
      <c r="G143" s="31">
        <v>30</v>
      </c>
      <c r="H143" s="31">
        <v>30</v>
      </c>
      <c r="I143" s="31">
        <v>30</v>
      </c>
      <c r="J143" s="31">
        <v>30</v>
      </c>
      <c r="K143" s="31">
        <v>30</v>
      </c>
      <c r="L143" s="31">
        <v>30</v>
      </c>
      <c r="M143" s="31">
        <v>30</v>
      </c>
      <c r="N143" s="32">
        <v>29.38</v>
      </c>
      <c r="O143" s="32">
        <v>28.83</v>
      </c>
      <c r="P143" s="32">
        <v>28.43</v>
      </c>
      <c r="Q143" s="32">
        <v>28.48</v>
      </c>
      <c r="R143" s="32">
        <v>29.6</v>
      </c>
      <c r="S143" s="9">
        <f t="shared" si="4"/>
        <v>12</v>
      </c>
      <c r="T143" s="8"/>
      <c r="U143" s="16">
        <f t="shared" si="5"/>
        <v>30</v>
      </c>
      <c r="V143" s="8"/>
      <c r="W143" s="8"/>
      <c r="X143" s="8"/>
      <c r="Y143" s="8"/>
    </row>
    <row r="144" spans="1:25" x14ac:dyDescent="0.25">
      <c r="A144" s="2">
        <v>143</v>
      </c>
      <c r="B144" s="3" t="s">
        <v>175</v>
      </c>
      <c r="C144" t="s">
        <v>175</v>
      </c>
      <c r="D144" t="s">
        <v>14</v>
      </c>
      <c r="E144" t="s">
        <v>12</v>
      </c>
      <c r="F144" s="31">
        <v>21.05</v>
      </c>
      <c r="G144" s="31">
        <v>21.05</v>
      </c>
      <c r="H144" s="31">
        <v>24.42</v>
      </c>
      <c r="I144" s="31">
        <v>35.54</v>
      </c>
      <c r="J144" s="31">
        <v>18.59</v>
      </c>
      <c r="K144" s="31">
        <v>21.91</v>
      </c>
      <c r="L144" s="31">
        <v>22.58</v>
      </c>
      <c r="M144" s="31">
        <v>28.66</v>
      </c>
      <c r="N144" s="32">
        <v>26.15</v>
      </c>
      <c r="O144" s="32">
        <v>23.88</v>
      </c>
      <c r="P144" s="32">
        <v>41.58</v>
      </c>
      <c r="Q144" s="32">
        <v>20.59</v>
      </c>
      <c r="R144" s="32">
        <v>37.06</v>
      </c>
      <c r="S144" s="9">
        <f t="shared" si="4"/>
        <v>12</v>
      </c>
      <c r="T144" s="8"/>
      <c r="U144" s="16">
        <f t="shared" si="5"/>
        <v>24.42</v>
      </c>
      <c r="V144" s="8"/>
      <c r="W144" s="8"/>
      <c r="X144" s="8"/>
      <c r="Y144" s="8"/>
    </row>
    <row r="145" spans="1:25" x14ac:dyDescent="0.25">
      <c r="A145" s="2">
        <v>144</v>
      </c>
      <c r="B145" s="3" t="s">
        <v>176</v>
      </c>
      <c r="C145" t="s">
        <v>177</v>
      </c>
      <c r="D145" t="s">
        <v>14</v>
      </c>
      <c r="E145">
        <v>1</v>
      </c>
      <c r="F145" s="31">
        <v>28</v>
      </c>
      <c r="G145" s="31">
        <v>28</v>
      </c>
      <c r="H145" s="31">
        <v>28</v>
      </c>
      <c r="I145" s="31">
        <v>28</v>
      </c>
      <c r="J145" s="31">
        <v>28</v>
      </c>
      <c r="K145" s="31">
        <v>28</v>
      </c>
      <c r="L145" s="31">
        <v>28</v>
      </c>
      <c r="M145" s="31">
        <v>28</v>
      </c>
      <c r="N145" s="32">
        <v>28</v>
      </c>
      <c r="O145" s="32">
        <v>28</v>
      </c>
      <c r="P145" s="32">
        <v>28</v>
      </c>
      <c r="Q145" s="32">
        <v>28</v>
      </c>
      <c r="R145" s="32">
        <v>28</v>
      </c>
      <c r="S145" s="9">
        <f t="shared" si="4"/>
        <v>12</v>
      </c>
      <c r="T145" s="8"/>
      <c r="U145" s="16">
        <f t="shared" si="5"/>
        <v>28</v>
      </c>
      <c r="V145" s="8"/>
      <c r="W145" s="8"/>
      <c r="X145" s="8"/>
      <c r="Y145" s="8"/>
    </row>
    <row r="146" spans="1:25" x14ac:dyDescent="0.25">
      <c r="A146" s="2">
        <v>145</v>
      </c>
      <c r="B146" s="3" t="s">
        <v>178</v>
      </c>
      <c r="C146" t="s">
        <v>179</v>
      </c>
      <c r="D146" t="s">
        <v>25</v>
      </c>
      <c r="E146" t="s">
        <v>12</v>
      </c>
      <c r="F146" s="31">
        <v>24.2</v>
      </c>
      <c r="G146" s="31">
        <v>24.2</v>
      </c>
      <c r="H146" s="31">
        <v>24.2</v>
      </c>
      <c r="I146" s="31">
        <v>24.2</v>
      </c>
      <c r="J146" s="31">
        <v>24.2</v>
      </c>
      <c r="K146" s="31">
        <v>22</v>
      </c>
      <c r="L146" s="31">
        <v>24.2</v>
      </c>
      <c r="M146" s="31">
        <v>27.5</v>
      </c>
      <c r="N146" s="32">
        <v>30.29</v>
      </c>
      <c r="O146" s="32">
        <v>29.52</v>
      </c>
      <c r="P146" s="32">
        <v>32.020000000000003</v>
      </c>
      <c r="Q146" s="32">
        <v>30.33</v>
      </c>
      <c r="R146" s="32">
        <v>34.020000000000003</v>
      </c>
      <c r="S146" s="9">
        <f t="shared" si="4"/>
        <v>12</v>
      </c>
      <c r="T146" s="8"/>
      <c r="U146" s="16">
        <f t="shared" si="5"/>
        <v>24.2</v>
      </c>
      <c r="V146" s="8"/>
      <c r="W146" s="8"/>
      <c r="X146" s="8"/>
      <c r="Y146" s="8"/>
    </row>
    <row r="147" spans="1:25" x14ac:dyDescent="0.25">
      <c r="A147" s="2">
        <v>146</v>
      </c>
      <c r="B147" s="3" t="s">
        <v>180</v>
      </c>
      <c r="C147" t="s">
        <v>180</v>
      </c>
      <c r="D147" t="s">
        <v>23</v>
      </c>
      <c r="E147">
        <v>1</v>
      </c>
      <c r="F147" s="31">
        <v>30</v>
      </c>
      <c r="G147" s="31">
        <v>30</v>
      </c>
      <c r="H147" s="31">
        <v>30</v>
      </c>
      <c r="I147" s="31">
        <v>30</v>
      </c>
      <c r="J147" s="31">
        <v>30</v>
      </c>
      <c r="K147" s="31">
        <v>25</v>
      </c>
      <c r="L147" s="31">
        <v>25</v>
      </c>
      <c r="M147" s="31">
        <v>25</v>
      </c>
      <c r="N147" s="32">
        <v>24.909436333088706</v>
      </c>
      <c r="O147" s="32">
        <v>20.680144637761259</v>
      </c>
      <c r="P147" s="32">
        <v>15.995148286740005</v>
      </c>
      <c r="Q147" s="32">
        <v>15.769966609519543</v>
      </c>
      <c r="R147" s="32">
        <v>16.334622357562694</v>
      </c>
      <c r="S147" s="9">
        <f t="shared" si="4"/>
        <v>12</v>
      </c>
      <c r="T147" s="8"/>
      <c r="U147" s="16">
        <f t="shared" si="5"/>
        <v>30</v>
      </c>
      <c r="V147" s="8"/>
      <c r="W147" s="8"/>
      <c r="X147" s="8"/>
      <c r="Y147" s="8"/>
    </row>
    <row r="148" spans="1:25" x14ac:dyDescent="0.25">
      <c r="A148" s="2">
        <v>147</v>
      </c>
      <c r="B148" s="3" t="s">
        <v>181</v>
      </c>
      <c r="C148" t="s">
        <v>182</v>
      </c>
      <c r="D148" t="s">
        <v>25</v>
      </c>
      <c r="E148">
        <v>1</v>
      </c>
      <c r="F148" s="31">
        <v>28</v>
      </c>
      <c r="G148" s="31">
        <v>28</v>
      </c>
      <c r="H148" s="31">
        <v>28</v>
      </c>
      <c r="I148" s="31">
        <v>28</v>
      </c>
      <c r="J148" s="31">
        <v>28</v>
      </c>
      <c r="K148" s="31">
        <v>28</v>
      </c>
      <c r="L148" s="31">
        <v>28</v>
      </c>
      <c r="M148" s="31">
        <v>28</v>
      </c>
      <c r="N148" s="32">
        <v>28</v>
      </c>
      <c r="O148" s="32">
        <v>28</v>
      </c>
      <c r="P148" s="32">
        <v>28</v>
      </c>
      <c r="Q148" s="32">
        <v>28</v>
      </c>
      <c r="R148" s="32">
        <v>28</v>
      </c>
      <c r="S148" s="9">
        <f t="shared" si="4"/>
        <v>12</v>
      </c>
      <c r="T148" s="8"/>
      <c r="U148" s="16">
        <f t="shared" si="5"/>
        <v>28</v>
      </c>
      <c r="V148" s="8"/>
      <c r="W148" s="8"/>
      <c r="X148" s="8"/>
      <c r="Y148" s="8"/>
    </row>
    <row r="149" spans="1:25" x14ac:dyDescent="0.25">
      <c r="A149" s="2">
        <v>148</v>
      </c>
      <c r="B149" s="3" t="s">
        <v>183</v>
      </c>
      <c r="C149" t="s">
        <v>183</v>
      </c>
      <c r="D149" t="s">
        <v>18</v>
      </c>
      <c r="E149">
        <v>1</v>
      </c>
      <c r="F149" s="31">
        <v>36</v>
      </c>
      <c r="G149" s="31">
        <v>36</v>
      </c>
      <c r="H149" s="31">
        <v>36</v>
      </c>
      <c r="I149" s="31">
        <v>36</v>
      </c>
      <c r="J149" s="31">
        <v>36</v>
      </c>
      <c r="K149" s="31">
        <v>36</v>
      </c>
      <c r="L149" s="31">
        <v>36</v>
      </c>
      <c r="M149" s="31">
        <v>36</v>
      </c>
      <c r="N149" s="32">
        <v>36</v>
      </c>
      <c r="O149" s="32">
        <v>36</v>
      </c>
      <c r="P149" s="32">
        <v>36</v>
      </c>
      <c r="Q149" s="32">
        <v>36</v>
      </c>
      <c r="R149" s="32">
        <v>36</v>
      </c>
      <c r="S149" s="9">
        <f t="shared" si="4"/>
        <v>12</v>
      </c>
      <c r="T149" s="8"/>
      <c r="U149" s="16">
        <f t="shared" si="5"/>
        <v>36</v>
      </c>
      <c r="V149" s="8"/>
      <c r="W149" s="8"/>
      <c r="X149" s="8"/>
      <c r="Y149" s="8"/>
    </row>
    <row r="150" spans="1:25" x14ac:dyDescent="0.25">
      <c r="A150" s="2">
        <v>149</v>
      </c>
      <c r="B150" s="3" t="s">
        <v>184</v>
      </c>
      <c r="C150" t="s">
        <v>184</v>
      </c>
      <c r="D150" t="s">
        <v>14</v>
      </c>
      <c r="E150">
        <v>1</v>
      </c>
      <c r="F150" s="31">
        <v>30</v>
      </c>
      <c r="G150" s="31">
        <v>30</v>
      </c>
      <c r="H150" s="31">
        <v>30</v>
      </c>
      <c r="I150" s="31">
        <v>27.5</v>
      </c>
      <c r="J150" s="31">
        <v>27.5</v>
      </c>
      <c r="K150" s="31">
        <v>27.5</v>
      </c>
      <c r="L150" s="31">
        <v>27.5</v>
      </c>
      <c r="M150" s="31">
        <v>27.61</v>
      </c>
      <c r="N150" s="32">
        <v>27.5</v>
      </c>
      <c r="O150" s="32">
        <v>27.5</v>
      </c>
      <c r="P150" s="32">
        <v>27.5</v>
      </c>
      <c r="Q150" s="32">
        <v>27.5</v>
      </c>
      <c r="R150" s="32">
        <v>27.5</v>
      </c>
      <c r="S150" s="9">
        <f t="shared" si="4"/>
        <v>12</v>
      </c>
      <c r="T150" s="8"/>
      <c r="U150" s="16">
        <f t="shared" si="5"/>
        <v>30</v>
      </c>
      <c r="V150" s="8"/>
      <c r="W150" s="8"/>
      <c r="X150" s="8"/>
      <c r="Y150" s="8"/>
    </row>
    <row r="151" spans="1:25" x14ac:dyDescent="0.25">
      <c r="A151" s="2">
        <v>150</v>
      </c>
      <c r="B151" s="3" t="s">
        <v>185</v>
      </c>
      <c r="C151" t="s">
        <v>185</v>
      </c>
      <c r="D151" t="s">
        <v>23</v>
      </c>
      <c r="E151">
        <v>1</v>
      </c>
      <c r="F151" s="31">
        <v>26.3</v>
      </c>
      <c r="G151" s="31">
        <v>26.3</v>
      </c>
      <c r="H151" s="31">
        <v>22</v>
      </c>
      <c r="I151" s="31">
        <v>22</v>
      </c>
      <c r="J151" s="31">
        <v>22</v>
      </c>
      <c r="K151" s="31">
        <v>22</v>
      </c>
      <c r="L151" s="31">
        <v>22</v>
      </c>
      <c r="M151" s="31">
        <v>22</v>
      </c>
      <c r="N151" s="32">
        <v>22</v>
      </c>
      <c r="O151" s="32">
        <v>22</v>
      </c>
      <c r="P151" s="32">
        <v>22</v>
      </c>
      <c r="Q151" s="32">
        <v>22</v>
      </c>
      <c r="R151" s="32">
        <v>22</v>
      </c>
      <c r="S151" s="9">
        <f t="shared" si="4"/>
        <v>12</v>
      </c>
      <c r="T151" s="8"/>
      <c r="U151" s="16">
        <f t="shared" si="5"/>
        <v>22</v>
      </c>
      <c r="V151" s="8"/>
      <c r="W151" s="8"/>
      <c r="X151" s="8"/>
      <c r="Y151" s="8"/>
    </row>
    <row r="152" spans="1:25" x14ac:dyDescent="0.25">
      <c r="A152" s="2">
        <v>151</v>
      </c>
      <c r="B152" s="3" t="s">
        <v>186</v>
      </c>
      <c r="C152" t="s">
        <v>186</v>
      </c>
      <c r="D152" t="s">
        <v>7</v>
      </c>
      <c r="E152">
        <v>1</v>
      </c>
      <c r="F152" s="31">
        <v>24</v>
      </c>
      <c r="G152" s="31">
        <v>24</v>
      </c>
      <c r="H152" s="31">
        <v>24</v>
      </c>
      <c r="I152" s="31">
        <v>24</v>
      </c>
      <c r="J152" s="31">
        <v>24</v>
      </c>
      <c r="K152" s="31">
        <v>8.5</v>
      </c>
      <c r="L152" s="31">
        <v>24</v>
      </c>
      <c r="M152" s="31">
        <v>24</v>
      </c>
      <c r="N152" s="32">
        <v>20.9</v>
      </c>
      <c r="O152" s="32">
        <v>20.9</v>
      </c>
      <c r="P152" s="32">
        <v>20.9</v>
      </c>
      <c r="Q152" s="32">
        <v>20.9</v>
      </c>
      <c r="R152" s="32">
        <v>20.9</v>
      </c>
      <c r="S152" s="9">
        <f t="shared" si="4"/>
        <v>12</v>
      </c>
      <c r="T152" s="8"/>
      <c r="U152" s="16">
        <f t="shared" si="5"/>
        <v>24</v>
      </c>
      <c r="V152" s="8"/>
      <c r="W152" s="8"/>
      <c r="X152" s="8"/>
      <c r="Y152" s="8"/>
    </row>
    <row r="153" spans="1:25" x14ac:dyDescent="0.25">
      <c r="A153" s="2">
        <v>152</v>
      </c>
      <c r="B153" s="3" t="s">
        <v>187</v>
      </c>
      <c r="C153" t="s">
        <v>187</v>
      </c>
      <c r="D153" t="s">
        <v>9</v>
      </c>
      <c r="E153">
        <v>1</v>
      </c>
      <c r="F153" s="31">
        <v>28</v>
      </c>
      <c r="G153" s="31">
        <v>28</v>
      </c>
      <c r="H153" s="31">
        <v>28</v>
      </c>
      <c r="I153" s="31">
        <v>28</v>
      </c>
      <c r="J153" s="31">
        <v>28</v>
      </c>
      <c r="K153" s="31">
        <v>28</v>
      </c>
      <c r="L153" s="31">
        <v>28</v>
      </c>
      <c r="M153" s="31">
        <v>28</v>
      </c>
      <c r="N153" s="32">
        <v>28</v>
      </c>
      <c r="O153" s="32">
        <v>28</v>
      </c>
      <c r="P153" s="32">
        <v>28</v>
      </c>
      <c r="Q153" s="32">
        <v>28</v>
      </c>
      <c r="R153" s="32">
        <v>28</v>
      </c>
      <c r="S153" s="9">
        <f t="shared" si="4"/>
        <v>12</v>
      </c>
      <c r="T153" s="8"/>
      <c r="U153" s="16">
        <f t="shared" si="5"/>
        <v>28</v>
      </c>
      <c r="V153" s="8"/>
      <c r="W153" s="8"/>
      <c r="X153" s="8"/>
      <c r="Y153" s="8"/>
    </row>
    <row r="154" spans="1:25" x14ac:dyDescent="0.25">
      <c r="A154" s="2">
        <v>153</v>
      </c>
      <c r="B154" s="3" t="s">
        <v>188</v>
      </c>
      <c r="C154" t="s">
        <v>188</v>
      </c>
      <c r="D154" t="s">
        <v>25</v>
      </c>
      <c r="E154">
        <v>1</v>
      </c>
      <c r="F154" s="31">
        <v>15</v>
      </c>
      <c r="G154" s="31">
        <v>15</v>
      </c>
      <c r="H154" s="31">
        <v>15</v>
      </c>
      <c r="I154" s="31">
        <v>15</v>
      </c>
      <c r="J154" s="31">
        <v>15</v>
      </c>
      <c r="K154" s="31">
        <v>15</v>
      </c>
      <c r="L154" s="31">
        <v>15</v>
      </c>
      <c r="M154" s="31">
        <v>15</v>
      </c>
      <c r="N154" s="32">
        <v>15</v>
      </c>
      <c r="O154" s="32">
        <v>15</v>
      </c>
      <c r="P154" s="32">
        <v>15</v>
      </c>
      <c r="Q154" s="32">
        <v>15</v>
      </c>
      <c r="R154" s="32">
        <v>15</v>
      </c>
      <c r="S154" s="9">
        <f t="shared" si="4"/>
        <v>12</v>
      </c>
      <c r="T154" s="8"/>
      <c r="U154" s="16">
        <f t="shared" si="5"/>
        <v>15</v>
      </c>
      <c r="V154" s="8"/>
      <c r="W154" s="8"/>
      <c r="X154" s="8"/>
      <c r="Y154" s="8"/>
    </row>
    <row r="155" spans="1:25" x14ac:dyDescent="0.25">
      <c r="A155" s="2">
        <v>154</v>
      </c>
      <c r="B155" s="3" t="s">
        <v>189</v>
      </c>
      <c r="C155" t="s">
        <v>189</v>
      </c>
      <c r="D155" t="s">
        <v>14</v>
      </c>
      <c r="E155">
        <v>1</v>
      </c>
      <c r="F155" s="31">
        <v>30</v>
      </c>
      <c r="G155" s="31">
        <v>30</v>
      </c>
      <c r="H155" s="31">
        <v>30</v>
      </c>
      <c r="I155" s="31">
        <v>30</v>
      </c>
      <c r="J155" s="31">
        <v>30</v>
      </c>
      <c r="K155" s="31">
        <v>30</v>
      </c>
      <c r="L155" s="31">
        <v>30</v>
      </c>
      <c r="M155" s="31">
        <v>30</v>
      </c>
      <c r="N155" s="32">
        <v>30</v>
      </c>
      <c r="O155" s="32">
        <v>30</v>
      </c>
      <c r="P155" s="32">
        <v>30</v>
      </c>
      <c r="Q155" s="32">
        <v>30</v>
      </c>
      <c r="R155" s="32">
        <v>30</v>
      </c>
      <c r="S155" s="9">
        <f t="shared" si="4"/>
        <v>12</v>
      </c>
      <c r="T155" s="8"/>
      <c r="U155" s="16">
        <f t="shared" si="5"/>
        <v>30</v>
      </c>
      <c r="V155" s="8"/>
      <c r="W155" s="8"/>
      <c r="X155" s="8"/>
      <c r="Y155" s="8"/>
    </row>
    <row r="156" spans="1:25" x14ac:dyDescent="0.25">
      <c r="A156" s="2">
        <v>155</v>
      </c>
      <c r="B156" s="3" t="s">
        <v>190</v>
      </c>
      <c r="C156" t="s">
        <v>190</v>
      </c>
      <c r="D156" t="s">
        <v>25</v>
      </c>
      <c r="E156">
        <v>1</v>
      </c>
      <c r="F156" s="31">
        <v>23</v>
      </c>
      <c r="G156" s="31">
        <v>23</v>
      </c>
      <c r="H156" s="31">
        <v>20</v>
      </c>
      <c r="I156" s="31">
        <v>20</v>
      </c>
      <c r="J156" s="31">
        <v>20</v>
      </c>
      <c r="K156" s="31">
        <v>20</v>
      </c>
      <c r="L156" s="31">
        <v>20</v>
      </c>
      <c r="M156" s="31">
        <v>20</v>
      </c>
      <c r="N156" s="32">
        <v>20</v>
      </c>
      <c r="O156" s="32">
        <v>20</v>
      </c>
      <c r="P156" s="32">
        <v>20</v>
      </c>
      <c r="Q156" s="32">
        <v>20</v>
      </c>
      <c r="R156" s="32">
        <v>20</v>
      </c>
      <c r="S156" s="9">
        <f t="shared" si="4"/>
        <v>12</v>
      </c>
      <c r="T156" s="8"/>
      <c r="U156" s="16">
        <f t="shared" si="5"/>
        <v>20</v>
      </c>
      <c r="V156" s="8"/>
      <c r="W156" s="8"/>
      <c r="X156" s="8"/>
      <c r="Y156" s="8"/>
    </row>
    <row r="157" spans="1:25" x14ac:dyDescent="0.25">
      <c r="A157" s="2">
        <v>156</v>
      </c>
      <c r="B157" s="3" t="s">
        <v>191</v>
      </c>
      <c r="C157" t="s">
        <v>191</v>
      </c>
      <c r="D157" t="s">
        <v>14</v>
      </c>
      <c r="E157" t="s">
        <v>12</v>
      </c>
      <c r="F157" s="31">
        <v>30</v>
      </c>
      <c r="G157" s="31">
        <v>30</v>
      </c>
      <c r="H157" s="31">
        <v>27</v>
      </c>
      <c r="I157" s="31">
        <v>27</v>
      </c>
      <c r="J157" s="31">
        <v>27</v>
      </c>
      <c r="K157" s="31">
        <v>27</v>
      </c>
      <c r="L157" s="31">
        <v>27</v>
      </c>
      <c r="M157" s="31">
        <v>27</v>
      </c>
      <c r="N157" s="32">
        <v>26.15</v>
      </c>
      <c r="O157" s="32">
        <v>28.44</v>
      </c>
      <c r="P157" s="32">
        <v>27.22</v>
      </c>
      <c r="Q157" s="32">
        <v>27.21</v>
      </c>
      <c r="R157" s="32">
        <v>26.99</v>
      </c>
      <c r="S157" s="9">
        <f t="shared" si="4"/>
        <v>12</v>
      </c>
      <c r="T157" s="8"/>
      <c r="U157" s="16">
        <f t="shared" si="5"/>
        <v>27</v>
      </c>
      <c r="V157" s="8"/>
      <c r="W157" s="8"/>
      <c r="X157" s="8"/>
      <c r="Y157" s="8"/>
    </row>
    <row r="158" spans="1:25" x14ac:dyDescent="0.25">
      <c r="A158" s="2">
        <v>157</v>
      </c>
      <c r="B158" s="3" t="s">
        <v>192</v>
      </c>
      <c r="C158" t="s">
        <v>192</v>
      </c>
      <c r="D158" t="s">
        <v>9</v>
      </c>
      <c r="E158">
        <v>1</v>
      </c>
      <c r="F158" s="31">
        <v>30</v>
      </c>
      <c r="G158" s="31">
        <v>30</v>
      </c>
      <c r="H158" s="31">
        <v>30</v>
      </c>
      <c r="I158" s="31">
        <v>30</v>
      </c>
      <c r="J158" s="31">
        <v>30</v>
      </c>
      <c r="K158" s="31">
        <v>30</v>
      </c>
      <c r="L158" s="31">
        <v>30</v>
      </c>
      <c r="M158" s="31">
        <v>30</v>
      </c>
      <c r="N158" s="32">
        <v>30</v>
      </c>
      <c r="O158" s="32">
        <v>30</v>
      </c>
      <c r="P158" s="32">
        <v>30</v>
      </c>
      <c r="Q158" s="32">
        <v>30</v>
      </c>
      <c r="R158" s="32">
        <v>30</v>
      </c>
      <c r="S158" s="9">
        <f t="shared" si="4"/>
        <v>12</v>
      </c>
      <c r="T158" s="8"/>
      <c r="U158" s="16">
        <f t="shared" si="5"/>
        <v>30</v>
      </c>
      <c r="V158" s="8"/>
      <c r="W158" s="8"/>
      <c r="X158" s="8"/>
      <c r="Y158" s="8"/>
    </row>
    <row r="159" spans="1:25" x14ac:dyDescent="0.25">
      <c r="A159" s="2">
        <v>158</v>
      </c>
      <c r="B159" s="3" t="s">
        <v>193</v>
      </c>
      <c r="C159" t="s">
        <v>193</v>
      </c>
      <c r="D159" t="s">
        <v>7</v>
      </c>
      <c r="E159">
        <v>1</v>
      </c>
      <c r="F159" s="31">
        <v>20</v>
      </c>
      <c r="G159" s="31">
        <v>20</v>
      </c>
      <c r="H159" s="31">
        <v>20</v>
      </c>
      <c r="I159" s="31">
        <v>20</v>
      </c>
      <c r="J159" s="31">
        <v>20</v>
      </c>
      <c r="K159" s="31">
        <v>20</v>
      </c>
      <c r="L159" s="31">
        <v>20</v>
      </c>
      <c r="M159" s="31">
        <v>22</v>
      </c>
      <c r="N159" s="32">
        <v>21.361490961702771</v>
      </c>
      <c r="O159" s="32">
        <v>22.456592764897209</v>
      </c>
      <c r="P159" s="32">
        <v>22.218202538759442</v>
      </c>
      <c r="Q159" s="32">
        <v>22.977629673604383</v>
      </c>
      <c r="R159" s="32">
        <v>22.659911621905962</v>
      </c>
      <c r="S159" s="9">
        <f t="shared" si="4"/>
        <v>12</v>
      </c>
      <c r="T159" s="8"/>
      <c r="U159" s="16">
        <f t="shared" si="5"/>
        <v>20</v>
      </c>
      <c r="V159" s="8"/>
      <c r="W159" s="8"/>
      <c r="X159" s="8"/>
      <c r="Y159" s="8"/>
    </row>
    <row r="160" spans="1:25" x14ac:dyDescent="0.25">
      <c r="A160" s="2">
        <v>159</v>
      </c>
      <c r="B160" s="3" t="s">
        <v>194</v>
      </c>
      <c r="C160" t="s">
        <v>194</v>
      </c>
      <c r="D160" t="s">
        <v>25</v>
      </c>
      <c r="E160" t="s">
        <v>12</v>
      </c>
      <c r="F160" s="31">
        <v>8</v>
      </c>
      <c r="G160" s="31">
        <v>8</v>
      </c>
      <c r="H160" s="31">
        <v>8</v>
      </c>
      <c r="I160" s="31">
        <v>8</v>
      </c>
      <c r="J160" s="31">
        <v>8</v>
      </c>
      <c r="K160" s="31">
        <v>8</v>
      </c>
      <c r="L160" s="31">
        <v>8</v>
      </c>
      <c r="M160" s="31">
        <v>8</v>
      </c>
      <c r="N160" s="32">
        <v>11.05</v>
      </c>
      <c r="O160" s="32">
        <v>9.42</v>
      </c>
      <c r="P160" s="32">
        <v>6.79</v>
      </c>
      <c r="Q160" s="32">
        <v>11.15</v>
      </c>
      <c r="R160" s="32">
        <v>9.57</v>
      </c>
      <c r="S160" s="9">
        <f t="shared" si="4"/>
        <v>12</v>
      </c>
      <c r="T160" s="8"/>
      <c r="U160" s="16">
        <f t="shared" si="5"/>
        <v>8</v>
      </c>
      <c r="V160" s="8"/>
      <c r="W160" s="8"/>
      <c r="X160" s="8"/>
      <c r="Y160" s="8"/>
    </row>
    <row r="161" spans="1:25" x14ac:dyDescent="0.25">
      <c r="A161" s="2">
        <v>160</v>
      </c>
      <c r="B161" s="3" t="s">
        <v>195</v>
      </c>
      <c r="C161" t="s">
        <v>195</v>
      </c>
      <c r="D161" t="s">
        <v>14</v>
      </c>
      <c r="E161">
        <v>1</v>
      </c>
      <c r="F161" s="31">
        <v>30</v>
      </c>
      <c r="G161" s="31">
        <v>30</v>
      </c>
      <c r="H161" s="31">
        <v>30</v>
      </c>
      <c r="I161" s="31">
        <v>30</v>
      </c>
      <c r="J161" s="31">
        <v>30</v>
      </c>
      <c r="K161" s="31">
        <v>30</v>
      </c>
      <c r="L161" s="31">
        <v>30</v>
      </c>
      <c r="M161" s="31">
        <v>30</v>
      </c>
      <c r="N161" s="32">
        <v>30</v>
      </c>
      <c r="O161" s="32">
        <v>30</v>
      </c>
      <c r="P161" s="32">
        <v>30</v>
      </c>
      <c r="Q161" s="32">
        <v>30</v>
      </c>
      <c r="R161" s="32">
        <v>30</v>
      </c>
      <c r="S161" s="9">
        <f t="shared" si="4"/>
        <v>12</v>
      </c>
      <c r="T161" s="8"/>
      <c r="U161" s="16">
        <f t="shared" si="5"/>
        <v>30</v>
      </c>
      <c r="V161" s="8"/>
      <c r="W161" s="8"/>
      <c r="X161" s="8"/>
      <c r="Y161" s="8"/>
    </row>
    <row r="162" spans="1:25" x14ac:dyDescent="0.25">
      <c r="A162" s="2">
        <v>161</v>
      </c>
      <c r="B162" s="3" t="s">
        <v>196</v>
      </c>
      <c r="C162" t="s">
        <v>196</v>
      </c>
      <c r="D162" t="s">
        <v>7</v>
      </c>
      <c r="E162">
        <v>1</v>
      </c>
      <c r="F162" s="31">
        <v>21</v>
      </c>
      <c r="G162" s="31">
        <v>21</v>
      </c>
      <c r="H162" s="31">
        <v>19</v>
      </c>
      <c r="I162" s="31">
        <v>18</v>
      </c>
      <c r="J162" s="31">
        <v>18</v>
      </c>
      <c r="K162" s="31">
        <v>18</v>
      </c>
      <c r="L162" s="31">
        <v>18</v>
      </c>
      <c r="M162" s="31">
        <v>18</v>
      </c>
      <c r="N162" s="32">
        <v>18</v>
      </c>
      <c r="O162" s="32">
        <v>18</v>
      </c>
      <c r="P162" s="32">
        <v>18</v>
      </c>
      <c r="Q162" s="32">
        <v>18</v>
      </c>
      <c r="R162" s="32">
        <v>18</v>
      </c>
      <c r="S162" s="9">
        <f t="shared" si="4"/>
        <v>12</v>
      </c>
      <c r="T162" s="8"/>
      <c r="U162" s="16">
        <f t="shared" si="5"/>
        <v>19</v>
      </c>
      <c r="V162" s="8"/>
      <c r="W162" s="8"/>
      <c r="X162" s="8"/>
      <c r="Y162" s="8"/>
    </row>
    <row r="163" spans="1:25" x14ac:dyDescent="0.25">
      <c r="A163" s="2">
        <v>162</v>
      </c>
      <c r="B163" s="3" t="s">
        <v>197</v>
      </c>
      <c r="C163" t="s">
        <v>198</v>
      </c>
      <c r="D163" t="s">
        <v>9</v>
      </c>
      <c r="E163">
        <v>1</v>
      </c>
      <c r="F163" s="31">
        <v>34.93</v>
      </c>
      <c r="G163" s="31">
        <v>34.93</v>
      </c>
      <c r="H163" s="31">
        <v>11.77</v>
      </c>
      <c r="I163" s="31">
        <v>22.48</v>
      </c>
      <c r="J163" s="31">
        <v>19.98</v>
      </c>
      <c r="K163" s="31">
        <v>10.08</v>
      </c>
      <c r="L163" s="31">
        <v>24.88</v>
      </c>
      <c r="M163" s="31">
        <v>8.23</v>
      </c>
      <c r="N163" s="32">
        <v>24.72</v>
      </c>
      <c r="O163" s="32">
        <v>21.47</v>
      </c>
      <c r="P163" s="32">
        <v>7.11</v>
      </c>
      <c r="Q163" s="32">
        <v>38.25</v>
      </c>
      <c r="R163" s="32">
        <v>26.94</v>
      </c>
      <c r="S163" s="9">
        <f t="shared" si="4"/>
        <v>12</v>
      </c>
      <c r="T163" s="8"/>
      <c r="U163" s="16">
        <f t="shared" si="5"/>
        <v>11.77</v>
      </c>
      <c r="V163" s="8"/>
      <c r="W163" s="8"/>
      <c r="X163" s="8"/>
      <c r="Y163" s="8"/>
    </row>
    <row r="164" spans="1:25" x14ac:dyDescent="0.25">
      <c r="A164" s="2">
        <v>163</v>
      </c>
      <c r="B164" s="3" t="s">
        <v>199</v>
      </c>
      <c r="C164" t="s">
        <v>200</v>
      </c>
      <c r="D164" t="s">
        <v>36</v>
      </c>
      <c r="E164">
        <v>1</v>
      </c>
      <c r="F164" s="31">
        <v>35</v>
      </c>
      <c r="G164" s="31">
        <v>35</v>
      </c>
      <c r="H164" s="31">
        <v>35</v>
      </c>
      <c r="I164" s="31">
        <v>35</v>
      </c>
      <c r="J164" s="31">
        <v>35</v>
      </c>
      <c r="K164" s="31">
        <v>35</v>
      </c>
      <c r="L164" s="31">
        <v>35</v>
      </c>
      <c r="M164" s="31">
        <v>21</v>
      </c>
      <c r="N164" s="32">
        <v>16.790808763715177</v>
      </c>
      <c r="O164" s="32">
        <v>20.817347520101066</v>
      </c>
      <c r="P164" s="32">
        <v>20.229357155757498</v>
      </c>
      <c r="Q164" s="32">
        <v>14.260224540204035</v>
      </c>
      <c r="R164" s="32">
        <v>10.805461146031121</v>
      </c>
      <c r="S164" s="9">
        <f t="shared" si="4"/>
        <v>12</v>
      </c>
      <c r="T164" s="8"/>
      <c r="U164" s="16">
        <f t="shared" si="5"/>
        <v>35</v>
      </c>
      <c r="V164" s="8"/>
      <c r="W164" s="8"/>
      <c r="X164" s="8"/>
      <c r="Y164" s="8"/>
    </row>
    <row r="165" spans="1:25" x14ac:dyDescent="0.25">
      <c r="A165" s="2">
        <v>164</v>
      </c>
      <c r="B165" s="3" t="s">
        <v>201</v>
      </c>
      <c r="C165" t="s">
        <v>201</v>
      </c>
      <c r="D165" t="s">
        <v>18</v>
      </c>
      <c r="E165">
        <v>1</v>
      </c>
      <c r="F165" s="31">
        <v>25</v>
      </c>
      <c r="G165" s="31">
        <v>25</v>
      </c>
      <c r="H165" s="31">
        <v>25</v>
      </c>
      <c r="I165" s="31">
        <v>25</v>
      </c>
      <c r="J165" s="31">
        <v>25</v>
      </c>
      <c r="K165" s="31">
        <v>25</v>
      </c>
      <c r="L165" s="31">
        <v>25</v>
      </c>
      <c r="M165" s="31">
        <v>25</v>
      </c>
      <c r="N165" s="32">
        <v>25</v>
      </c>
      <c r="O165" s="32">
        <v>25</v>
      </c>
      <c r="P165" s="32">
        <v>25</v>
      </c>
      <c r="Q165" s="32">
        <v>25</v>
      </c>
      <c r="R165" s="32">
        <v>25</v>
      </c>
      <c r="S165" s="9">
        <f t="shared" si="4"/>
        <v>12</v>
      </c>
      <c r="T165" s="8"/>
      <c r="U165" s="16">
        <f t="shared" si="5"/>
        <v>25</v>
      </c>
      <c r="V165" s="8"/>
      <c r="W165" s="8"/>
      <c r="X165" s="8"/>
      <c r="Y165" s="8"/>
    </row>
    <row r="166" spans="1:25" x14ac:dyDescent="0.25">
      <c r="A166" s="2">
        <v>165</v>
      </c>
      <c r="B166" s="3" t="s">
        <v>202</v>
      </c>
      <c r="C166" t="s">
        <v>202</v>
      </c>
      <c r="D166" t="s">
        <v>25</v>
      </c>
      <c r="E166" t="s">
        <v>12</v>
      </c>
      <c r="F166" s="31">
        <v>9</v>
      </c>
      <c r="G166" s="31">
        <v>9</v>
      </c>
      <c r="H166" s="31">
        <v>9</v>
      </c>
      <c r="I166" s="31">
        <v>9</v>
      </c>
      <c r="J166" s="31">
        <v>9</v>
      </c>
      <c r="K166" s="31">
        <v>7.5</v>
      </c>
      <c r="L166" s="31">
        <v>7.5</v>
      </c>
      <c r="M166" s="31">
        <v>7.5</v>
      </c>
      <c r="N166" s="32">
        <v>4</v>
      </c>
      <c r="O166" s="32">
        <v>3.49</v>
      </c>
      <c r="P166" s="32">
        <v>6.9</v>
      </c>
      <c r="Q166" s="32">
        <v>5.35</v>
      </c>
      <c r="R166" s="32">
        <v>6.34</v>
      </c>
      <c r="S166" s="9">
        <f t="shared" si="4"/>
        <v>12</v>
      </c>
      <c r="T166" s="8"/>
      <c r="U166" s="16">
        <f t="shared" si="5"/>
        <v>9</v>
      </c>
      <c r="V166" s="8"/>
      <c r="W166" s="8"/>
      <c r="X166" s="8"/>
      <c r="Y166" s="8"/>
    </row>
    <row r="167" spans="1:25" x14ac:dyDescent="0.25">
      <c r="A167" s="2">
        <v>166</v>
      </c>
      <c r="B167" s="3" t="s">
        <v>203</v>
      </c>
      <c r="C167" t="s">
        <v>203</v>
      </c>
      <c r="D167" t="s">
        <v>18</v>
      </c>
      <c r="E167">
        <v>1</v>
      </c>
      <c r="F167" s="31">
        <v>34</v>
      </c>
      <c r="G167" s="31">
        <v>34</v>
      </c>
      <c r="H167" s="31">
        <v>34</v>
      </c>
      <c r="I167" s="31">
        <v>34</v>
      </c>
      <c r="J167" s="31">
        <v>34</v>
      </c>
      <c r="K167" s="31">
        <v>34</v>
      </c>
      <c r="L167" s="31">
        <v>34</v>
      </c>
      <c r="M167" s="31">
        <v>34</v>
      </c>
      <c r="N167" s="32">
        <v>34</v>
      </c>
      <c r="O167" s="32">
        <v>34</v>
      </c>
      <c r="P167" s="32">
        <v>34</v>
      </c>
      <c r="Q167" s="32">
        <v>34</v>
      </c>
      <c r="R167" s="32">
        <v>34</v>
      </c>
      <c r="S167" s="9">
        <f t="shared" si="4"/>
        <v>12</v>
      </c>
      <c r="T167" s="8"/>
      <c r="U167" s="16">
        <f t="shared" si="5"/>
        <v>34</v>
      </c>
      <c r="V167" s="8"/>
      <c r="W167" s="8"/>
      <c r="X167" s="8"/>
      <c r="Y167" s="8"/>
    </row>
    <row r="168" spans="1:25" x14ac:dyDescent="0.25">
      <c r="A168" s="2">
        <v>167</v>
      </c>
      <c r="B168" s="3" t="s">
        <v>204</v>
      </c>
      <c r="C168" t="s">
        <v>204</v>
      </c>
      <c r="D168" t="s">
        <v>25</v>
      </c>
      <c r="E168">
        <v>1</v>
      </c>
      <c r="F168" s="31">
        <v>25</v>
      </c>
      <c r="G168" s="31">
        <v>25</v>
      </c>
      <c r="H168" s="31">
        <v>25</v>
      </c>
      <c r="I168" s="31">
        <v>22</v>
      </c>
      <c r="J168" s="31">
        <v>22</v>
      </c>
      <c r="K168" s="31">
        <v>22</v>
      </c>
      <c r="L168" s="31">
        <v>22</v>
      </c>
      <c r="M168" s="31">
        <v>22</v>
      </c>
      <c r="N168" s="32">
        <v>22</v>
      </c>
      <c r="O168" s="32">
        <v>22</v>
      </c>
      <c r="P168" s="32">
        <v>22</v>
      </c>
      <c r="Q168" s="32">
        <v>22</v>
      </c>
      <c r="R168" s="32">
        <v>22</v>
      </c>
      <c r="S168" s="9">
        <f t="shared" si="4"/>
        <v>12</v>
      </c>
      <c r="T168" s="8"/>
      <c r="U168" s="16">
        <f t="shared" si="5"/>
        <v>25</v>
      </c>
      <c r="V168" s="8"/>
      <c r="W168" s="8"/>
      <c r="X168" s="8"/>
      <c r="Y168" s="8"/>
    </row>
    <row r="169" spans="1:25" x14ac:dyDescent="0.25">
      <c r="A169" s="2">
        <v>168</v>
      </c>
      <c r="B169" s="3" t="s">
        <v>205</v>
      </c>
      <c r="C169" t="s">
        <v>205</v>
      </c>
      <c r="D169" t="s">
        <v>9</v>
      </c>
      <c r="E169">
        <v>1</v>
      </c>
      <c r="F169" s="31">
        <v>20</v>
      </c>
      <c r="G169" s="31">
        <v>20</v>
      </c>
      <c r="H169" s="31">
        <v>20</v>
      </c>
      <c r="I169" s="31">
        <v>20</v>
      </c>
      <c r="J169" s="31">
        <v>20</v>
      </c>
      <c r="K169" s="31">
        <v>20</v>
      </c>
      <c r="L169" s="31">
        <v>20</v>
      </c>
      <c r="M169" s="31">
        <v>20.16</v>
      </c>
      <c r="N169" s="32">
        <v>20</v>
      </c>
      <c r="O169" s="32">
        <v>20</v>
      </c>
      <c r="P169" s="32">
        <v>20</v>
      </c>
      <c r="Q169" s="32">
        <v>20</v>
      </c>
      <c r="R169" s="32">
        <v>20</v>
      </c>
      <c r="S169" s="9">
        <f t="shared" si="4"/>
        <v>12</v>
      </c>
      <c r="T169" s="8"/>
      <c r="U169" s="16">
        <f t="shared" si="5"/>
        <v>20</v>
      </c>
      <c r="V169" s="8"/>
      <c r="W169" s="8"/>
      <c r="X169" s="8"/>
      <c r="Y169" s="8"/>
    </row>
    <row r="170" spans="1:25" x14ac:dyDescent="0.25">
      <c r="A170" s="2">
        <v>169</v>
      </c>
      <c r="B170" s="3" t="s">
        <v>206</v>
      </c>
      <c r="C170" t="s">
        <v>206</v>
      </c>
      <c r="D170" t="s">
        <v>14</v>
      </c>
      <c r="E170">
        <v>1</v>
      </c>
      <c r="F170" s="31">
        <v>35</v>
      </c>
      <c r="G170" s="31">
        <v>35</v>
      </c>
      <c r="H170" s="31">
        <v>35</v>
      </c>
      <c r="I170" s="31">
        <v>35</v>
      </c>
      <c r="J170" s="31">
        <v>35</v>
      </c>
      <c r="K170" s="31">
        <v>35</v>
      </c>
      <c r="L170" s="31">
        <v>35</v>
      </c>
      <c r="M170" s="31">
        <v>35</v>
      </c>
      <c r="N170" s="32">
        <v>35</v>
      </c>
      <c r="O170" s="32">
        <v>35</v>
      </c>
      <c r="P170" s="32">
        <v>35</v>
      </c>
      <c r="Q170" s="32">
        <v>35</v>
      </c>
      <c r="R170" s="32">
        <v>35</v>
      </c>
      <c r="S170" s="9">
        <f t="shared" si="4"/>
        <v>12</v>
      </c>
      <c r="T170" s="8"/>
      <c r="U170" s="16">
        <f t="shared" si="5"/>
        <v>35</v>
      </c>
      <c r="V170" s="8"/>
      <c r="W170" s="8"/>
      <c r="X170" s="8"/>
      <c r="Y170" s="8"/>
    </row>
    <row r="171" spans="1:25" x14ac:dyDescent="0.25">
      <c r="A171" s="2">
        <v>170</v>
      </c>
      <c r="B171" s="3" t="s">
        <v>207</v>
      </c>
      <c r="C171" t="s">
        <v>207</v>
      </c>
      <c r="D171" t="s">
        <v>14</v>
      </c>
      <c r="E171">
        <v>1</v>
      </c>
      <c r="F171" s="31">
        <v>25</v>
      </c>
      <c r="G171" s="31">
        <v>25</v>
      </c>
      <c r="H171" s="31">
        <v>25</v>
      </c>
      <c r="I171" s="31">
        <v>25</v>
      </c>
      <c r="J171" s="31">
        <v>25</v>
      </c>
      <c r="K171" s="31">
        <v>25</v>
      </c>
      <c r="L171" s="31">
        <v>25</v>
      </c>
      <c r="M171" s="31">
        <v>25</v>
      </c>
      <c r="N171" s="32">
        <v>25</v>
      </c>
      <c r="O171" s="32">
        <v>25</v>
      </c>
      <c r="P171" s="32">
        <v>25</v>
      </c>
      <c r="Q171" s="32">
        <v>25</v>
      </c>
      <c r="R171" s="32">
        <v>25</v>
      </c>
      <c r="S171" s="9">
        <f t="shared" si="4"/>
        <v>12</v>
      </c>
      <c r="T171" s="8"/>
      <c r="U171" s="16">
        <f t="shared" si="5"/>
        <v>25</v>
      </c>
      <c r="V171" s="8"/>
      <c r="W171" s="8"/>
      <c r="X171" s="8"/>
      <c r="Y171" s="8"/>
    </row>
    <row r="172" spans="1:25" x14ac:dyDescent="0.25">
      <c r="A172" s="2">
        <v>171</v>
      </c>
      <c r="B172" s="3" t="s">
        <v>208</v>
      </c>
      <c r="C172">
        <v>0</v>
      </c>
      <c r="D172" t="s">
        <v>7</v>
      </c>
      <c r="E172">
        <v>16</v>
      </c>
      <c r="F172">
        <v>10</v>
      </c>
      <c r="G172">
        <v>10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</v>
      </c>
      <c r="O172">
        <v>10</v>
      </c>
      <c r="P172">
        <v>10</v>
      </c>
      <c r="Q172">
        <v>10</v>
      </c>
      <c r="R172">
        <v>10</v>
      </c>
      <c r="S172" s="9">
        <f t="shared" si="4"/>
        <v>12</v>
      </c>
      <c r="U172" s="16">
        <f t="shared" si="5"/>
        <v>10</v>
      </c>
    </row>
    <row r="173" spans="1:25" x14ac:dyDescent="0.25">
      <c r="A173" s="2">
        <v>172</v>
      </c>
      <c r="B173" s="3" t="s">
        <v>209</v>
      </c>
      <c r="C173">
        <v>0</v>
      </c>
      <c r="D173" t="s">
        <v>23</v>
      </c>
      <c r="E173">
        <v>16</v>
      </c>
      <c r="F173">
        <v>27.5</v>
      </c>
      <c r="G173">
        <v>27.5</v>
      </c>
      <c r="H173">
        <v>27.5</v>
      </c>
      <c r="I173">
        <v>27.5</v>
      </c>
      <c r="J173">
        <v>27.5</v>
      </c>
      <c r="K173">
        <v>27.5</v>
      </c>
      <c r="L173">
        <v>27.5</v>
      </c>
      <c r="M173">
        <v>27.5</v>
      </c>
      <c r="N173">
        <v>27.5</v>
      </c>
      <c r="O173">
        <v>27.5</v>
      </c>
      <c r="P173">
        <v>27.5</v>
      </c>
      <c r="Q173">
        <v>27.5</v>
      </c>
      <c r="R173">
        <v>27.5</v>
      </c>
      <c r="S173" s="9">
        <f t="shared" si="4"/>
        <v>12</v>
      </c>
      <c r="U173" s="16">
        <f t="shared" si="5"/>
        <v>27.5</v>
      </c>
    </row>
    <row r="174" spans="1:25" x14ac:dyDescent="0.25">
      <c r="A174" s="2">
        <v>173</v>
      </c>
      <c r="B174" s="3" t="s">
        <v>210</v>
      </c>
      <c r="C174">
        <v>0</v>
      </c>
      <c r="D174" t="s">
        <v>25</v>
      </c>
      <c r="E174">
        <v>15</v>
      </c>
      <c r="F174">
        <v>25</v>
      </c>
      <c r="G174">
        <v>25</v>
      </c>
      <c r="H174">
        <v>25</v>
      </c>
      <c r="I174">
        <v>25</v>
      </c>
      <c r="J174">
        <v>25</v>
      </c>
      <c r="K174">
        <v>25</v>
      </c>
      <c r="L174">
        <v>25</v>
      </c>
      <c r="M174">
        <v>25</v>
      </c>
      <c r="N174">
        <v>25</v>
      </c>
      <c r="O174">
        <v>25</v>
      </c>
      <c r="P174">
        <v>25</v>
      </c>
      <c r="Q174">
        <v>25</v>
      </c>
      <c r="R174">
        <v>25</v>
      </c>
      <c r="S174" s="9">
        <f t="shared" si="4"/>
        <v>12</v>
      </c>
      <c r="U174" s="16">
        <f t="shared" si="5"/>
        <v>25</v>
      </c>
    </row>
    <row r="175" spans="1:25" x14ac:dyDescent="0.25">
      <c r="A175" s="2">
        <v>174</v>
      </c>
      <c r="B175" s="3" t="s">
        <v>211</v>
      </c>
      <c r="C175">
        <v>0</v>
      </c>
      <c r="D175" t="s">
        <v>16</v>
      </c>
      <c r="E175">
        <v>14</v>
      </c>
      <c r="F175">
        <v>8</v>
      </c>
      <c r="G175">
        <v>8</v>
      </c>
      <c r="H175">
        <v>8</v>
      </c>
      <c r="I175">
        <v>8</v>
      </c>
      <c r="J175">
        <v>8</v>
      </c>
      <c r="K175">
        <v>8</v>
      </c>
      <c r="L175">
        <v>8</v>
      </c>
      <c r="M175">
        <v>8</v>
      </c>
      <c r="N175">
        <v>8</v>
      </c>
      <c r="O175">
        <v>8</v>
      </c>
      <c r="P175">
        <v>8</v>
      </c>
      <c r="Q175">
        <v>8</v>
      </c>
      <c r="R175">
        <v>8</v>
      </c>
      <c r="S175" s="9">
        <f t="shared" si="4"/>
        <v>12</v>
      </c>
      <c r="U175" s="16">
        <f t="shared" si="5"/>
        <v>8</v>
      </c>
    </row>
    <row r="176" spans="1:25" x14ac:dyDescent="0.25">
      <c r="A176" s="2">
        <v>175</v>
      </c>
      <c r="B176" s="3" t="s">
        <v>212</v>
      </c>
      <c r="C176">
        <v>0</v>
      </c>
      <c r="D176" t="s">
        <v>23</v>
      </c>
      <c r="E176">
        <v>16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7.5</v>
      </c>
      <c r="N176">
        <v>6</v>
      </c>
      <c r="O176">
        <v>4.5</v>
      </c>
      <c r="P176">
        <v>3</v>
      </c>
      <c r="Q176">
        <v>1.5</v>
      </c>
      <c r="R176">
        <v>1.5</v>
      </c>
      <c r="S176" s="9">
        <f t="shared" si="4"/>
        <v>12</v>
      </c>
      <c r="U176" s="16">
        <f t="shared" si="5"/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B18A6-B699-4244-84D8-8052901BA212}">
  <sheetPr codeName="Planilha8">
    <tabColor theme="6"/>
  </sheetPr>
  <dimension ref="A1:K33"/>
  <sheetViews>
    <sheetView showGridLines="0" workbookViewId="0">
      <selection activeCell="H22" sqref="H22"/>
    </sheetView>
  </sheetViews>
  <sheetFormatPr defaultRowHeight="15" x14ac:dyDescent="0.25"/>
  <cols>
    <col min="2" max="2" width="11" bestFit="1" customWidth="1"/>
  </cols>
  <sheetData>
    <row r="1" spans="1:11" x14ac:dyDescent="0.25">
      <c r="A1" s="127" t="s">
        <v>375</v>
      </c>
      <c r="B1" s="128">
        <v>2011</v>
      </c>
      <c r="C1" s="128">
        <v>2012</v>
      </c>
      <c r="D1" s="128">
        <v>2013</v>
      </c>
      <c r="E1" s="128">
        <v>2014</v>
      </c>
      <c r="F1" s="128">
        <v>2015</v>
      </c>
      <c r="G1" s="128">
        <v>2016</v>
      </c>
      <c r="H1" s="128">
        <v>2017</v>
      </c>
      <c r="I1" s="128">
        <v>2018</v>
      </c>
      <c r="J1" s="128">
        <v>2019</v>
      </c>
      <c r="K1" s="128">
        <v>2020</v>
      </c>
    </row>
    <row r="2" spans="1:11" x14ac:dyDescent="0.25">
      <c r="A2" s="38" t="s">
        <v>25</v>
      </c>
      <c r="B2" s="129">
        <f>IF(B$1&gt;'Config!'!$BA$15,ERROR.TYPE(7),IF('Result data'!B36="",ERROR.TYPE(7),'Result data'!B36))</f>
        <v>38301631.486020893</v>
      </c>
      <c r="C2" s="129">
        <f>IF(C$1&gt;'Config!'!$BA$15,ERROR.TYPE(7),IF('Result data'!C36="",ERROR.TYPE(7),'Result data'!C36))</f>
        <v>145941205.92260596</v>
      </c>
      <c r="D2" s="129" t="e">
        <f>IF(D$1&gt;'Config!'!$BA$15,ERROR.TYPE(7),IF('Result data'!D36="",ERROR.TYPE(7),'Result data'!D36))</f>
        <v>#N/A</v>
      </c>
      <c r="E2" s="129" t="e">
        <f>IF(E$1&gt;'Config!'!$BA$15,ERROR.TYPE(7),IF('Result data'!E36="",ERROR.TYPE(7),'Result data'!E36))</f>
        <v>#N/A</v>
      </c>
      <c r="F2" s="129" t="e">
        <f>IF(F$1&gt;'Config!'!$BA$15,ERROR.TYPE(7),IF('Result data'!F36="",ERROR.TYPE(7),'Result data'!F36))</f>
        <v>#N/A</v>
      </c>
      <c r="G2" s="129" t="e">
        <f>IF(G$1&gt;'Config!'!$BA$15,ERROR.TYPE(7),IF('Result data'!G36="",ERROR.TYPE(7),'Result data'!G36))</f>
        <v>#N/A</v>
      </c>
      <c r="H2" s="129" t="e">
        <f>IF(H$1&gt;'Config!'!$BA$15,ERROR.TYPE(7),IF('Result data'!H36="",ERROR.TYPE(7),'Result data'!H36))</f>
        <v>#N/A</v>
      </c>
      <c r="I2" s="129" t="e">
        <f>IF(I$1&gt;'Config!'!$BA$15,ERROR.TYPE(7),IF('Result data'!I36="",ERROR.TYPE(7),'Result data'!I36))</f>
        <v>#N/A</v>
      </c>
      <c r="J2" s="129" t="e">
        <f>IF(J$1&gt;'Config!'!$BA$15,ERROR.TYPE(7),IF('Result data'!J36="",ERROR.TYPE(7),'Result data'!J36))</f>
        <v>#N/A</v>
      </c>
      <c r="K2" s="129" t="e">
        <f>IF(K$1&gt;'Config!'!$BA$15,ERROR.TYPE(7),IF('Result data'!K36="",ERROR.TYPE(7),'Result data'!K36))</f>
        <v>#N/A</v>
      </c>
    </row>
    <row r="3" spans="1:11" x14ac:dyDescent="0.25">
      <c r="A3" s="38" t="s">
        <v>33</v>
      </c>
      <c r="B3" s="129" t="str">
        <f>IF(B$1&gt;'Config!'!$BA$15,ERROR.TYPE(7),IF('Result data'!B37="",ERROR.TYPE(7),'Result data'!B37))</f>
        <v xml:space="preserve"> </v>
      </c>
      <c r="C3" s="129">
        <f>IF(C$1&gt;'Config!'!$BA$15,ERROR.TYPE(7),IF('Result data'!C37="",ERROR.TYPE(7),'Result data'!C37))</f>
        <v>7730143.191369893</v>
      </c>
      <c r="D3" s="129" t="e">
        <f>IF(D$1&gt;'Config!'!$BA$15,ERROR.TYPE(7),IF('Result data'!D37="",ERROR.TYPE(7),'Result data'!D37))</f>
        <v>#N/A</v>
      </c>
      <c r="E3" s="129" t="e">
        <f>IF(E$1&gt;'Config!'!$BA$15,ERROR.TYPE(7),IF('Result data'!E37="",ERROR.TYPE(7),'Result data'!E37))</f>
        <v>#N/A</v>
      </c>
      <c r="F3" s="129" t="e">
        <f>IF(F$1&gt;'Config!'!$BA$15,ERROR.TYPE(7),IF('Result data'!F37="",ERROR.TYPE(7),'Result data'!F37))</f>
        <v>#N/A</v>
      </c>
      <c r="G3" s="129" t="e">
        <f>IF(G$1&gt;'Config!'!$BA$15,ERROR.TYPE(7),IF('Result data'!G37="",ERROR.TYPE(7),'Result data'!G37))</f>
        <v>#N/A</v>
      </c>
      <c r="H3" s="129" t="e">
        <f>IF(H$1&gt;'Config!'!$BA$15,ERROR.TYPE(7),IF('Result data'!H37="",ERROR.TYPE(7),'Result data'!H37))</f>
        <v>#N/A</v>
      </c>
      <c r="I3" s="129" t="e">
        <f>IF(I$1&gt;'Config!'!$BA$15,ERROR.TYPE(7),IF('Result data'!I37="",ERROR.TYPE(7),'Result data'!I37))</f>
        <v>#N/A</v>
      </c>
      <c r="J3" s="129" t="e">
        <f>IF(J$1&gt;'Config!'!$BA$15,ERROR.TYPE(7),IF('Result data'!J37="",ERROR.TYPE(7),'Result data'!J37))</f>
        <v>#N/A</v>
      </c>
      <c r="K3" s="129" t="e">
        <f>IF(K$1&gt;'Config!'!$BA$15,ERROR.TYPE(7),IF('Result data'!K37="",ERROR.TYPE(7),'Result data'!K37))</f>
        <v>#N/A</v>
      </c>
    </row>
    <row r="4" spans="1:11" x14ac:dyDescent="0.25">
      <c r="A4" s="38" t="s">
        <v>7</v>
      </c>
      <c r="B4" s="129" t="str">
        <f>IF(B$1&gt;'Config!'!$BA$15,ERROR.TYPE(7),IF('Result data'!B38="",ERROR.TYPE(7),'Result data'!B38))</f>
        <v xml:space="preserve"> </v>
      </c>
      <c r="C4" s="129">
        <f>IF(C$1&gt;'Config!'!$BA$15,ERROR.TYPE(7),IF('Result data'!C38="",ERROR.TYPE(7),'Result data'!C38))</f>
        <v>1859423.5306972978</v>
      </c>
      <c r="D4" s="129" t="e">
        <f>IF(D$1&gt;'Config!'!$BA$15,ERROR.TYPE(7),IF('Result data'!D38="",ERROR.TYPE(7),'Result data'!D38))</f>
        <v>#N/A</v>
      </c>
      <c r="E4" s="129" t="e">
        <f>IF(E$1&gt;'Config!'!$BA$15,ERROR.TYPE(7),IF('Result data'!E38="",ERROR.TYPE(7),'Result data'!E38))</f>
        <v>#N/A</v>
      </c>
      <c r="F4" s="129" t="e">
        <f>IF(F$1&gt;'Config!'!$BA$15,ERROR.TYPE(7),IF('Result data'!F38="",ERROR.TYPE(7),'Result data'!F38))</f>
        <v>#N/A</v>
      </c>
      <c r="G4" s="129" t="e">
        <f>IF(G$1&gt;'Config!'!$BA$15,ERROR.TYPE(7),IF('Result data'!G38="",ERROR.TYPE(7),'Result data'!G38))</f>
        <v>#N/A</v>
      </c>
      <c r="H4" s="129" t="e">
        <f>IF(H$1&gt;'Config!'!$BA$15,ERROR.TYPE(7),IF('Result data'!H38="",ERROR.TYPE(7),'Result data'!H38))</f>
        <v>#N/A</v>
      </c>
      <c r="I4" s="129" t="e">
        <f>IF(I$1&gt;'Config!'!$BA$15,ERROR.TYPE(7),IF('Result data'!I38="",ERROR.TYPE(7),'Result data'!I38))</f>
        <v>#N/A</v>
      </c>
      <c r="J4" s="129" t="e">
        <f>IF(J$1&gt;'Config!'!$BA$15,ERROR.TYPE(7),IF('Result data'!J38="",ERROR.TYPE(7),'Result data'!J38))</f>
        <v>#N/A</v>
      </c>
      <c r="K4" s="129" t="e">
        <f>IF(K$1&gt;'Config!'!$BA$15,ERROR.TYPE(7),IF('Result data'!K38="",ERROR.TYPE(7),'Result data'!K38))</f>
        <v>#N/A</v>
      </c>
    </row>
    <row r="5" spans="1:11" x14ac:dyDescent="0.25">
      <c r="A5" s="38" t="s">
        <v>23</v>
      </c>
      <c r="B5" s="129">
        <f>IF(B$1&gt;'Config!'!$BA$15,ERROR.TYPE(7),IF('Result data'!B39="",ERROR.TYPE(7),'Result data'!B39))</f>
        <v>46849780.272932053</v>
      </c>
      <c r="C5" s="129">
        <f>IF(C$1&gt;'Config!'!$BA$15,ERROR.TYPE(7),IF('Result data'!C39="",ERROR.TYPE(7),'Result data'!C39))</f>
        <v>115367775.55047011</v>
      </c>
      <c r="D5" s="129" t="e">
        <f>IF(D$1&gt;'Config!'!$BA$15,ERROR.TYPE(7),IF('Result data'!D39="",ERROR.TYPE(7),'Result data'!D39))</f>
        <v>#N/A</v>
      </c>
      <c r="E5" s="129" t="e">
        <f>IF(E$1&gt;'Config!'!$BA$15,ERROR.TYPE(7),IF('Result data'!E39="",ERROR.TYPE(7),'Result data'!E39))</f>
        <v>#N/A</v>
      </c>
      <c r="F5" s="129" t="e">
        <f>IF(F$1&gt;'Config!'!$BA$15,ERROR.TYPE(7),IF('Result data'!F39="",ERROR.TYPE(7),'Result data'!F39))</f>
        <v>#N/A</v>
      </c>
      <c r="G5" s="129" t="e">
        <f>IF(G$1&gt;'Config!'!$BA$15,ERROR.TYPE(7),IF('Result data'!G39="",ERROR.TYPE(7),'Result data'!G39))</f>
        <v>#N/A</v>
      </c>
      <c r="H5" s="129" t="e">
        <f>IF(H$1&gt;'Config!'!$BA$15,ERROR.TYPE(7),IF('Result data'!H39="",ERROR.TYPE(7),'Result data'!H39))</f>
        <v>#N/A</v>
      </c>
      <c r="I5" s="129" t="e">
        <f>IF(I$1&gt;'Config!'!$BA$15,ERROR.TYPE(7),IF('Result data'!I39="",ERROR.TYPE(7),'Result data'!I39))</f>
        <v>#N/A</v>
      </c>
      <c r="J5" s="129" t="e">
        <f>IF(J$1&gt;'Config!'!$BA$15,ERROR.TYPE(7),IF('Result data'!J39="",ERROR.TYPE(7),'Result data'!J39))</f>
        <v>#N/A</v>
      </c>
      <c r="K5" s="129" t="e">
        <f>IF(K$1&gt;'Config!'!$BA$15,ERROR.TYPE(7),IF('Result data'!K39="",ERROR.TYPE(7),'Result data'!K39))</f>
        <v>#N/A</v>
      </c>
    </row>
    <row r="6" spans="1:11" x14ac:dyDescent="0.25">
      <c r="A6" s="38" t="s">
        <v>9</v>
      </c>
      <c r="B6" s="129" t="str">
        <f>IF(B$1&gt;'Config!'!$BA$15,ERROR.TYPE(7),IF('Result data'!B40="",ERROR.TYPE(7),'Result data'!B40))</f>
        <v xml:space="preserve"> </v>
      </c>
      <c r="C6" s="129" t="str">
        <f>IF(C$1&gt;'Config!'!$BA$15,ERROR.TYPE(7),IF('Result data'!C40="",ERROR.TYPE(7),'Result data'!C40))</f>
        <v xml:space="preserve"> </v>
      </c>
      <c r="D6" s="129" t="e">
        <f>IF(D$1&gt;'Config!'!$BA$15,ERROR.TYPE(7),IF('Result data'!D40="",ERROR.TYPE(7),'Result data'!D40))</f>
        <v>#N/A</v>
      </c>
      <c r="E6" s="129" t="e">
        <f>IF(E$1&gt;'Config!'!$BA$15,ERROR.TYPE(7),IF('Result data'!E40="",ERROR.TYPE(7),'Result data'!E40))</f>
        <v>#N/A</v>
      </c>
      <c r="F6" s="129" t="e">
        <f>IF(F$1&gt;'Config!'!$BA$15,ERROR.TYPE(7),IF('Result data'!F40="",ERROR.TYPE(7),'Result data'!F40))</f>
        <v>#N/A</v>
      </c>
      <c r="G6" s="129" t="e">
        <f>IF(G$1&gt;'Config!'!$BA$15,ERROR.TYPE(7),IF('Result data'!G40="",ERROR.TYPE(7),'Result data'!G40))</f>
        <v>#N/A</v>
      </c>
      <c r="H6" s="129" t="e">
        <f>IF(H$1&gt;'Config!'!$BA$15,ERROR.TYPE(7),IF('Result data'!H40="",ERROR.TYPE(7),'Result data'!H40))</f>
        <v>#N/A</v>
      </c>
      <c r="I6" s="129" t="e">
        <f>IF(I$1&gt;'Config!'!$BA$15,ERROR.TYPE(7),IF('Result data'!I40="",ERROR.TYPE(7),'Result data'!I40))</f>
        <v>#N/A</v>
      </c>
      <c r="J6" s="129" t="e">
        <f>IF(J$1&gt;'Config!'!$BA$15,ERROR.TYPE(7),IF('Result data'!J40="",ERROR.TYPE(7),'Result data'!J40))</f>
        <v>#N/A</v>
      </c>
      <c r="K6" s="129" t="e">
        <f>IF(K$1&gt;'Config!'!$BA$15,ERROR.TYPE(7),IF('Result data'!K40="",ERROR.TYPE(7),'Result data'!K40))</f>
        <v>#N/A</v>
      </c>
    </row>
    <row r="7" spans="1:11" x14ac:dyDescent="0.25">
      <c r="A7" s="38" t="s">
        <v>36</v>
      </c>
      <c r="B7" s="129">
        <f>IF(B$1&gt;'Config!'!$BA$15,ERROR.TYPE(7),IF('Result data'!B41="",ERROR.TYPE(7),'Result data'!B41))</f>
        <v>87928377.951340854</v>
      </c>
      <c r="C7" s="129">
        <f>IF(C$1&gt;'Config!'!$BA$15,ERROR.TYPE(7),IF('Result data'!C41="",ERROR.TYPE(7),'Result data'!C41))</f>
        <v>200836349.932374</v>
      </c>
      <c r="D7" s="129" t="e">
        <f>IF(D$1&gt;'Config!'!$BA$15,ERROR.TYPE(7),IF('Result data'!D41="",ERROR.TYPE(7),'Result data'!D41))</f>
        <v>#N/A</v>
      </c>
      <c r="E7" s="129" t="e">
        <f>IF(E$1&gt;'Config!'!$BA$15,ERROR.TYPE(7),IF('Result data'!E41="",ERROR.TYPE(7),'Result data'!E41))</f>
        <v>#N/A</v>
      </c>
      <c r="F7" s="129" t="e">
        <f>IF(F$1&gt;'Config!'!$BA$15,ERROR.TYPE(7),IF('Result data'!F41="",ERROR.TYPE(7),'Result data'!F41))</f>
        <v>#N/A</v>
      </c>
      <c r="G7" s="129" t="e">
        <f>IF(G$1&gt;'Config!'!$BA$15,ERROR.TYPE(7),IF('Result data'!G41="",ERROR.TYPE(7),'Result data'!G41))</f>
        <v>#N/A</v>
      </c>
      <c r="H7" s="129" t="e">
        <f>IF(H$1&gt;'Config!'!$BA$15,ERROR.TYPE(7),IF('Result data'!H41="",ERROR.TYPE(7),'Result data'!H41))</f>
        <v>#N/A</v>
      </c>
      <c r="I7" s="129" t="e">
        <f>IF(I$1&gt;'Config!'!$BA$15,ERROR.TYPE(7),IF('Result data'!I41="",ERROR.TYPE(7),'Result data'!I41))</f>
        <v>#N/A</v>
      </c>
      <c r="J7" s="129" t="e">
        <f>IF(J$1&gt;'Config!'!$BA$15,ERROR.TYPE(7),IF('Result data'!J41="",ERROR.TYPE(7),'Result data'!J41))</f>
        <v>#N/A</v>
      </c>
      <c r="K7" s="129" t="e">
        <f>IF(K$1&gt;'Config!'!$BA$15,ERROR.TYPE(7),IF('Result data'!K41="",ERROR.TYPE(7),'Result data'!K41))</f>
        <v>#N/A</v>
      </c>
    </row>
    <row r="8" spans="1:11" x14ac:dyDescent="0.25">
      <c r="A8" s="38" t="s">
        <v>21</v>
      </c>
      <c r="B8" s="129" t="str">
        <f>IF(B$1&gt;'Config!'!$BA$15,ERROR.TYPE(7),IF('Result data'!B42="",ERROR.TYPE(7),'Result data'!B42))</f>
        <v xml:space="preserve"> </v>
      </c>
      <c r="C8" s="129" t="str">
        <f>IF(C$1&gt;'Config!'!$BA$15,ERROR.TYPE(7),IF('Result data'!C42="",ERROR.TYPE(7),'Result data'!C42))</f>
        <v xml:space="preserve"> </v>
      </c>
      <c r="D8" s="129" t="e">
        <f>IF(D$1&gt;'Config!'!$BA$15,ERROR.TYPE(7),IF('Result data'!D42="",ERROR.TYPE(7),'Result data'!D42))</f>
        <v>#N/A</v>
      </c>
      <c r="E8" s="129" t="e">
        <f>IF(E$1&gt;'Config!'!$BA$15,ERROR.TYPE(7),IF('Result data'!E42="",ERROR.TYPE(7),'Result data'!E42))</f>
        <v>#N/A</v>
      </c>
      <c r="F8" s="129" t="e">
        <f>IF(F$1&gt;'Config!'!$BA$15,ERROR.TYPE(7),IF('Result data'!F42="",ERROR.TYPE(7),'Result data'!F42))</f>
        <v>#N/A</v>
      </c>
      <c r="G8" s="129" t="e">
        <f>IF(G$1&gt;'Config!'!$BA$15,ERROR.TYPE(7),IF('Result data'!G42="",ERROR.TYPE(7),'Result data'!G42))</f>
        <v>#N/A</v>
      </c>
      <c r="H8" s="129" t="e">
        <f>IF(H$1&gt;'Config!'!$BA$15,ERROR.TYPE(7),IF('Result data'!H42="",ERROR.TYPE(7),'Result data'!H42))</f>
        <v>#N/A</v>
      </c>
      <c r="I8" s="129" t="e">
        <f>IF(I$1&gt;'Config!'!$BA$15,ERROR.TYPE(7),IF('Result data'!I42="",ERROR.TYPE(7),'Result data'!I42))</f>
        <v>#N/A</v>
      </c>
      <c r="J8" s="129" t="e">
        <f>IF(J$1&gt;'Config!'!$BA$15,ERROR.TYPE(7),IF('Result data'!J42="",ERROR.TYPE(7),'Result data'!J42))</f>
        <v>#N/A</v>
      </c>
      <c r="K8" s="129" t="e">
        <f>IF(K$1&gt;'Config!'!$BA$15,ERROR.TYPE(7),IF('Result data'!K42="",ERROR.TYPE(7),'Result data'!K42))</f>
        <v>#N/A</v>
      </c>
    </row>
    <row r="9" spans="1:11" x14ac:dyDescent="0.25">
      <c r="A9" s="38" t="s">
        <v>18</v>
      </c>
      <c r="B9" s="129" t="str">
        <f>IF(B$1&gt;'Config!'!$BA$15,ERROR.TYPE(7),IF('Result data'!B43="",ERROR.TYPE(7),'Result data'!B43))</f>
        <v xml:space="preserve"> </v>
      </c>
      <c r="C9" s="129" t="str">
        <f>IF(C$1&gt;'Config!'!$BA$15,ERROR.TYPE(7),IF('Result data'!C43="",ERROR.TYPE(7),'Result data'!C43))</f>
        <v xml:space="preserve"> </v>
      </c>
      <c r="D9" s="129" t="e">
        <f>IF(D$1&gt;'Config!'!$BA$15,ERROR.TYPE(7),IF('Result data'!D43="",ERROR.TYPE(7),'Result data'!D43))</f>
        <v>#N/A</v>
      </c>
      <c r="E9" s="129" t="e">
        <f>IF(E$1&gt;'Config!'!$BA$15,ERROR.TYPE(7),IF('Result data'!E43="",ERROR.TYPE(7),'Result data'!E43))</f>
        <v>#N/A</v>
      </c>
      <c r="F9" s="129" t="e">
        <f>IF(F$1&gt;'Config!'!$BA$15,ERROR.TYPE(7),IF('Result data'!F43="",ERROR.TYPE(7),'Result data'!F43))</f>
        <v>#N/A</v>
      </c>
      <c r="G9" s="129" t="e">
        <f>IF(G$1&gt;'Config!'!$BA$15,ERROR.TYPE(7),IF('Result data'!G43="",ERROR.TYPE(7),'Result data'!G43))</f>
        <v>#N/A</v>
      </c>
      <c r="H9" s="129" t="e">
        <f>IF(H$1&gt;'Config!'!$BA$15,ERROR.TYPE(7),IF('Result data'!H43="",ERROR.TYPE(7),'Result data'!H43))</f>
        <v>#N/A</v>
      </c>
      <c r="I9" s="129" t="e">
        <f>IF(I$1&gt;'Config!'!$BA$15,ERROR.TYPE(7),IF('Result data'!I43="",ERROR.TYPE(7),'Result data'!I43))</f>
        <v>#N/A</v>
      </c>
      <c r="J9" s="129" t="e">
        <f>IF(J$1&gt;'Config!'!$BA$15,ERROR.TYPE(7),IF('Result data'!J43="",ERROR.TYPE(7),'Result data'!J43))</f>
        <v>#N/A</v>
      </c>
      <c r="K9" s="129" t="e">
        <f>IF(K$1&gt;'Config!'!$BA$15,ERROR.TYPE(7),IF('Result data'!K43="",ERROR.TYPE(7),'Result data'!K43))</f>
        <v>#N/A</v>
      </c>
    </row>
    <row r="10" spans="1:11" x14ac:dyDescent="0.25">
      <c r="A10" s="38" t="s">
        <v>14</v>
      </c>
      <c r="B10" s="129" t="str">
        <f>IF(B$1&gt;'Config!'!$BA$15,ERROR.TYPE(7),IF('Result data'!B44="",ERROR.TYPE(7),'Result data'!B44))</f>
        <v xml:space="preserve"> </v>
      </c>
      <c r="C10" s="129" t="str">
        <f>IF(C$1&gt;'Config!'!$BA$15,ERROR.TYPE(7),IF('Result data'!C44="",ERROR.TYPE(7),'Result data'!C44))</f>
        <v xml:space="preserve"> </v>
      </c>
      <c r="D10" s="129" t="e">
        <f>IF(D$1&gt;'Config!'!$BA$15,ERROR.TYPE(7),IF('Result data'!D44="",ERROR.TYPE(7),'Result data'!D44))</f>
        <v>#N/A</v>
      </c>
      <c r="E10" s="129" t="e">
        <f>IF(E$1&gt;'Config!'!$BA$15,ERROR.TYPE(7),IF('Result data'!E44="",ERROR.TYPE(7),'Result data'!E44))</f>
        <v>#N/A</v>
      </c>
      <c r="F10" s="129" t="e">
        <f>IF(F$1&gt;'Config!'!$BA$15,ERROR.TYPE(7),IF('Result data'!F44="",ERROR.TYPE(7),'Result data'!F44))</f>
        <v>#N/A</v>
      </c>
      <c r="G10" s="129" t="e">
        <f>IF(G$1&gt;'Config!'!$BA$15,ERROR.TYPE(7),IF('Result data'!G44="",ERROR.TYPE(7),'Result data'!G44))</f>
        <v>#N/A</v>
      </c>
      <c r="H10" s="129" t="e">
        <f>IF(H$1&gt;'Config!'!$BA$15,ERROR.TYPE(7),IF('Result data'!H44="",ERROR.TYPE(7),'Result data'!H44))</f>
        <v>#N/A</v>
      </c>
      <c r="I10" s="129" t="e">
        <f>IF(I$1&gt;'Config!'!$BA$15,ERROR.TYPE(7),IF('Result data'!I44="",ERROR.TYPE(7),'Result data'!I44))</f>
        <v>#N/A</v>
      </c>
      <c r="J10" s="129" t="e">
        <f>IF(J$1&gt;'Config!'!$BA$15,ERROR.TYPE(7),IF('Result data'!J44="",ERROR.TYPE(7),'Result data'!J44))</f>
        <v>#N/A</v>
      </c>
      <c r="K10" s="129" t="e">
        <f>IF(K$1&gt;'Config!'!$BA$15,ERROR.TYPE(7),IF('Result data'!K44="",ERROR.TYPE(7),'Result data'!K44))</f>
        <v>#N/A</v>
      </c>
    </row>
    <row r="11" spans="1:11" x14ac:dyDescent="0.25">
      <c r="A11" s="38" t="s">
        <v>16</v>
      </c>
      <c r="B11" s="129" t="str">
        <f>IF(B$1&gt;'Config!'!$BA$15,ERROR.TYPE(7),IF('Result data'!B45="",ERROR.TYPE(7),'Result data'!B45))</f>
        <v xml:space="preserve"> </v>
      </c>
      <c r="C11" s="129" t="str">
        <f>IF(C$1&gt;'Config!'!$BA$15,ERROR.TYPE(7),IF('Result data'!C45="",ERROR.TYPE(7),'Result data'!C45))</f>
        <v xml:space="preserve"> </v>
      </c>
      <c r="D11" s="129" t="e">
        <f>IF(D$1&gt;'Config!'!$BA$15,ERROR.TYPE(7),IF('Result data'!D45="",ERROR.TYPE(7),'Result data'!D45))</f>
        <v>#N/A</v>
      </c>
      <c r="E11" s="129" t="e">
        <f>IF(E$1&gt;'Config!'!$BA$15,ERROR.TYPE(7),IF('Result data'!E45="",ERROR.TYPE(7),'Result data'!E45))</f>
        <v>#N/A</v>
      </c>
      <c r="F11" s="129" t="e">
        <f>IF(F$1&gt;'Config!'!$BA$15,ERROR.TYPE(7),IF('Result data'!F45="",ERROR.TYPE(7),'Result data'!F45))</f>
        <v>#N/A</v>
      </c>
      <c r="G11" s="129" t="e">
        <f>IF(G$1&gt;'Config!'!$BA$15,ERROR.TYPE(7),IF('Result data'!G45="",ERROR.TYPE(7),'Result data'!G45))</f>
        <v>#N/A</v>
      </c>
      <c r="H11" s="129" t="e">
        <f>IF(H$1&gt;'Config!'!$BA$15,ERROR.TYPE(7),IF('Result data'!H45="",ERROR.TYPE(7),'Result data'!H45))</f>
        <v>#N/A</v>
      </c>
      <c r="I11" s="129" t="e">
        <f>IF(I$1&gt;'Config!'!$BA$15,ERROR.TYPE(7),IF('Result data'!I45="",ERROR.TYPE(7),'Result data'!I45))</f>
        <v>#N/A</v>
      </c>
      <c r="J11" s="129" t="e">
        <f>IF(J$1&gt;'Config!'!$BA$15,ERROR.TYPE(7),IF('Result data'!J45="",ERROR.TYPE(7),'Result data'!J45))</f>
        <v>#N/A</v>
      </c>
      <c r="K11" s="129" t="e">
        <f>IF(K$1&gt;'Config!'!$BA$15,ERROR.TYPE(7),IF('Result data'!K45="",ERROR.TYPE(7),'Result data'!K45))</f>
        <v>#N/A</v>
      </c>
    </row>
    <row r="12" spans="1:11" x14ac:dyDescent="0.25">
      <c r="A12" s="121" t="s">
        <v>376</v>
      </c>
      <c r="B12" s="122">
        <v>2011</v>
      </c>
      <c r="C12" s="122">
        <v>2012</v>
      </c>
      <c r="D12" s="122">
        <v>2013</v>
      </c>
      <c r="E12" s="122">
        <v>2014</v>
      </c>
      <c r="F12" s="122">
        <v>2015</v>
      </c>
      <c r="G12" s="122">
        <v>2016</v>
      </c>
      <c r="H12" s="122">
        <v>2017</v>
      </c>
      <c r="I12" s="122">
        <v>2018</v>
      </c>
      <c r="J12" s="122">
        <v>2019</v>
      </c>
      <c r="K12" s="122">
        <v>2020</v>
      </c>
    </row>
    <row r="13" spans="1:11" x14ac:dyDescent="0.25">
      <c r="A13" s="123" t="s">
        <v>25</v>
      </c>
      <c r="B13" s="125">
        <f>IF(B$1&gt;'Config!'!$BA$15,ERROR.TYPE(7),IF('Result data'!B14="",ERROR.TYPE(7),'Result data'!B14))</f>
        <v>1989857</v>
      </c>
      <c r="C13" s="125">
        <f>IF(C$1&gt;'Config!'!$BA$15,ERROR.TYPE(7),IF('Result data'!C14="",ERROR.TYPE(7),'Result data'!C14))</f>
        <v>12513868</v>
      </c>
      <c r="D13" s="125" t="e">
        <f>IF(D$1&gt;'Config!'!$BA$15,ERROR.TYPE(7),IF('Result data'!D14="",ERROR.TYPE(7),'Result data'!D14))</f>
        <v>#N/A</v>
      </c>
      <c r="E13" s="125" t="e">
        <f>IF(E$1&gt;'Config!'!$BA$15,ERROR.TYPE(7),IF('Result data'!E14="",ERROR.TYPE(7),'Result data'!E14))</f>
        <v>#N/A</v>
      </c>
      <c r="F13" s="125" t="e">
        <f>IF(F$1&gt;'Config!'!$BA$15,ERROR.TYPE(7),IF('Result data'!F14="",ERROR.TYPE(7),'Result data'!F14))</f>
        <v>#N/A</v>
      </c>
      <c r="G13" s="125" t="e">
        <f>IF(G$1&gt;'Config!'!$BA$15,ERROR.TYPE(7),IF('Result data'!G14="",ERROR.TYPE(7),'Result data'!G14))</f>
        <v>#N/A</v>
      </c>
      <c r="H13" s="125" t="e">
        <f>IF(H$1&gt;'Config!'!$BA$15,ERROR.TYPE(7),IF('Result data'!H14="",ERROR.TYPE(7),'Result data'!H14))</f>
        <v>#N/A</v>
      </c>
      <c r="I13" s="125" t="e">
        <f>IF(I$1&gt;'Config!'!$BA$15,ERROR.TYPE(7),IF('Result data'!I14="",ERROR.TYPE(7),'Result data'!I14))</f>
        <v>#N/A</v>
      </c>
      <c r="J13" s="125" t="e">
        <f>IF(J$1&gt;'Config!'!$BA$15,ERROR.TYPE(7),IF('Result data'!J14="",ERROR.TYPE(7),'Result data'!J14))</f>
        <v>#N/A</v>
      </c>
      <c r="K13" s="125" t="e">
        <f>IF(K$1&gt;'Config!'!$BA$15,ERROR.TYPE(7),IF('Result data'!K14="",ERROR.TYPE(7),'Result data'!K14))</f>
        <v>#N/A</v>
      </c>
    </row>
    <row r="14" spans="1:11" x14ac:dyDescent="0.25">
      <c r="A14" s="123" t="s">
        <v>33</v>
      </c>
      <c r="B14" s="125" t="str">
        <f>IF(B$1&gt;'Config!'!$BA$15,ERROR.TYPE(7),IF('Result data'!B15="",ERROR.TYPE(7),'Result data'!B15))</f>
        <v xml:space="preserve"> </v>
      </c>
      <c r="C14" s="125">
        <f>IF(C$1&gt;'Config!'!$BA$15,ERROR.TYPE(7),IF('Result data'!C15="",ERROR.TYPE(7),'Result data'!C15))</f>
        <v>868708</v>
      </c>
      <c r="D14" s="125" t="e">
        <f>IF(D$1&gt;'Config!'!$BA$15,ERROR.TYPE(7),IF('Result data'!D15="",ERROR.TYPE(7),'Result data'!D15))</f>
        <v>#N/A</v>
      </c>
      <c r="E14" s="125" t="e">
        <f>IF(E$1&gt;'Config!'!$BA$15,ERROR.TYPE(7),IF('Result data'!E15="",ERROR.TYPE(7),'Result data'!E15))</f>
        <v>#N/A</v>
      </c>
      <c r="F14" s="125" t="e">
        <f>IF(F$1&gt;'Config!'!$BA$15,ERROR.TYPE(7),IF('Result data'!F15="",ERROR.TYPE(7),'Result data'!F15))</f>
        <v>#N/A</v>
      </c>
      <c r="G14" s="125" t="e">
        <f>IF(G$1&gt;'Config!'!$BA$15,ERROR.TYPE(7),IF('Result data'!G15="",ERROR.TYPE(7),'Result data'!G15))</f>
        <v>#N/A</v>
      </c>
      <c r="H14" s="125" t="e">
        <f>IF(H$1&gt;'Config!'!$BA$15,ERROR.TYPE(7),IF('Result data'!H15="",ERROR.TYPE(7),'Result data'!H15))</f>
        <v>#N/A</v>
      </c>
      <c r="I14" s="125" t="e">
        <f>IF(I$1&gt;'Config!'!$BA$15,ERROR.TYPE(7),IF('Result data'!I15="",ERROR.TYPE(7),'Result data'!I15))</f>
        <v>#N/A</v>
      </c>
      <c r="J14" s="125" t="e">
        <f>IF(J$1&gt;'Config!'!$BA$15,ERROR.TYPE(7),IF('Result data'!J15="",ERROR.TYPE(7),'Result data'!J15))</f>
        <v>#N/A</v>
      </c>
      <c r="K14" s="125" t="e">
        <f>IF(K$1&gt;'Config!'!$BA$15,ERROR.TYPE(7),IF('Result data'!K15="",ERROR.TYPE(7),'Result data'!K15))</f>
        <v>#N/A</v>
      </c>
    </row>
    <row r="15" spans="1:11" x14ac:dyDescent="0.25">
      <c r="A15" s="123" t="s">
        <v>7</v>
      </c>
      <c r="B15" s="125" t="str">
        <f>IF(B$1&gt;'Config!'!$BA$15,ERROR.TYPE(7),IF('Result data'!B16="",ERROR.TYPE(7),'Result data'!B16))</f>
        <v xml:space="preserve"> </v>
      </c>
      <c r="C15" s="125">
        <f>IF(C$1&gt;'Config!'!$BA$15,ERROR.TYPE(7),IF('Result data'!C16="",ERROR.TYPE(7),'Result data'!C16))</f>
        <v>82337</v>
      </c>
      <c r="D15" s="125" t="e">
        <f>IF(D$1&gt;'Config!'!$BA$15,ERROR.TYPE(7),IF('Result data'!D16="",ERROR.TYPE(7),'Result data'!D16))</f>
        <v>#N/A</v>
      </c>
      <c r="E15" s="125" t="e">
        <f>IF(E$1&gt;'Config!'!$BA$15,ERROR.TYPE(7),IF('Result data'!E16="",ERROR.TYPE(7),'Result data'!E16))</f>
        <v>#N/A</v>
      </c>
      <c r="F15" s="125" t="e">
        <f>IF(F$1&gt;'Config!'!$BA$15,ERROR.TYPE(7),IF('Result data'!F16="",ERROR.TYPE(7),'Result data'!F16))</f>
        <v>#N/A</v>
      </c>
      <c r="G15" s="125" t="e">
        <f>IF(G$1&gt;'Config!'!$BA$15,ERROR.TYPE(7),IF('Result data'!G16="",ERROR.TYPE(7),'Result data'!G16))</f>
        <v>#N/A</v>
      </c>
      <c r="H15" s="125" t="e">
        <f>IF(H$1&gt;'Config!'!$BA$15,ERROR.TYPE(7),IF('Result data'!H16="",ERROR.TYPE(7),'Result data'!H16))</f>
        <v>#N/A</v>
      </c>
      <c r="I15" s="125" t="e">
        <f>IF(I$1&gt;'Config!'!$BA$15,ERROR.TYPE(7),IF('Result data'!I16="",ERROR.TYPE(7),'Result data'!I16))</f>
        <v>#N/A</v>
      </c>
      <c r="J15" s="125" t="e">
        <f>IF(J$1&gt;'Config!'!$BA$15,ERROR.TYPE(7),IF('Result data'!J16="",ERROR.TYPE(7),'Result data'!J16))</f>
        <v>#N/A</v>
      </c>
      <c r="K15" s="125" t="e">
        <f>IF(K$1&gt;'Config!'!$BA$15,ERROR.TYPE(7),IF('Result data'!K16="",ERROR.TYPE(7),'Result data'!K16))</f>
        <v>#N/A</v>
      </c>
    </row>
    <row r="16" spans="1:11" x14ac:dyDescent="0.25">
      <c r="A16" s="123" t="s">
        <v>23</v>
      </c>
      <c r="B16" s="125">
        <f>IF(B$1&gt;'Config!'!$BA$15,ERROR.TYPE(7),IF('Result data'!B17="",ERROR.TYPE(7),'Result data'!B17))</f>
        <v>2589530</v>
      </c>
      <c r="C16" s="125">
        <f>IF(C$1&gt;'Config!'!$BA$15,ERROR.TYPE(7),IF('Result data'!C17="",ERROR.TYPE(7),'Result data'!C17))</f>
        <v>6780601</v>
      </c>
      <c r="D16" s="125" t="e">
        <f>IF(D$1&gt;'Config!'!$BA$15,ERROR.TYPE(7),IF('Result data'!D17="",ERROR.TYPE(7),'Result data'!D17))</f>
        <v>#N/A</v>
      </c>
      <c r="E16" s="125" t="e">
        <f>IF(E$1&gt;'Config!'!$BA$15,ERROR.TYPE(7),IF('Result data'!E17="",ERROR.TYPE(7),'Result data'!E17))</f>
        <v>#N/A</v>
      </c>
      <c r="F16" s="125" t="e">
        <f>IF(F$1&gt;'Config!'!$BA$15,ERROR.TYPE(7),IF('Result data'!F17="",ERROR.TYPE(7),'Result data'!F17))</f>
        <v>#N/A</v>
      </c>
      <c r="G16" s="125" t="e">
        <f>IF(G$1&gt;'Config!'!$BA$15,ERROR.TYPE(7),IF('Result data'!G17="",ERROR.TYPE(7),'Result data'!G17))</f>
        <v>#N/A</v>
      </c>
      <c r="H16" s="125" t="e">
        <f>IF(H$1&gt;'Config!'!$BA$15,ERROR.TYPE(7),IF('Result data'!H17="",ERROR.TYPE(7),'Result data'!H17))</f>
        <v>#N/A</v>
      </c>
      <c r="I16" s="125" t="e">
        <f>IF(I$1&gt;'Config!'!$BA$15,ERROR.TYPE(7),IF('Result data'!I17="",ERROR.TYPE(7),'Result data'!I17))</f>
        <v>#N/A</v>
      </c>
      <c r="J16" s="125" t="e">
        <f>IF(J$1&gt;'Config!'!$BA$15,ERROR.TYPE(7),IF('Result data'!J17="",ERROR.TYPE(7),'Result data'!J17))</f>
        <v>#N/A</v>
      </c>
      <c r="K16" s="125" t="e">
        <f>IF(K$1&gt;'Config!'!$BA$15,ERROR.TYPE(7),IF('Result data'!K17="",ERROR.TYPE(7),'Result data'!K17))</f>
        <v>#N/A</v>
      </c>
    </row>
    <row r="17" spans="1:11" x14ac:dyDescent="0.25">
      <c r="A17" s="123" t="s">
        <v>9</v>
      </c>
      <c r="B17" s="125" t="str">
        <f>IF(B$1&gt;'Config!'!$BA$15,ERROR.TYPE(7),IF('Result data'!B18="",ERROR.TYPE(7),'Result data'!B18))</f>
        <v xml:space="preserve"> </v>
      </c>
      <c r="C17" s="125" t="str">
        <f>IF(C$1&gt;'Config!'!$BA$15,ERROR.TYPE(7),IF('Result data'!C18="",ERROR.TYPE(7),'Result data'!C18))</f>
        <v xml:space="preserve"> </v>
      </c>
      <c r="D17" s="125" t="e">
        <f>IF(D$1&gt;'Config!'!$BA$15,ERROR.TYPE(7),IF('Result data'!D18="",ERROR.TYPE(7),'Result data'!D18))</f>
        <v>#N/A</v>
      </c>
      <c r="E17" s="125" t="e">
        <f>IF(E$1&gt;'Config!'!$BA$15,ERROR.TYPE(7),IF('Result data'!E18="",ERROR.TYPE(7),'Result data'!E18))</f>
        <v>#N/A</v>
      </c>
      <c r="F17" s="125" t="e">
        <f>IF(F$1&gt;'Config!'!$BA$15,ERROR.TYPE(7),IF('Result data'!F18="",ERROR.TYPE(7),'Result data'!F18))</f>
        <v>#N/A</v>
      </c>
      <c r="G17" s="125" t="e">
        <f>IF(G$1&gt;'Config!'!$BA$15,ERROR.TYPE(7),IF('Result data'!G18="",ERROR.TYPE(7),'Result data'!G18))</f>
        <v>#N/A</v>
      </c>
      <c r="H17" s="125" t="e">
        <f>IF(H$1&gt;'Config!'!$BA$15,ERROR.TYPE(7),IF('Result data'!H18="",ERROR.TYPE(7),'Result data'!H18))</f>
        <v>#N/A</v>
      </c>
      <c r="I17" s="125" t="e">
        <f>IF(I$1&gt;'Config!'!$BA$15,ERROR.TYPE(7),IF('Result data'!I18="",ERROR.TYPE(7),'Result data'!I18))</f>
        <v>#N/A</v>
      </c>
      <c r="J17" s="125" t="e">
        <f>IF(J$1&gt;'Config!'!$BA$15,ERROR.TYPE(7),IF('Result data'!J18="",ERROR.TYPE(7),'Result data'!J18))</f>
        <v>#N/A</v>
      </c>
      <c r="K17" s="125" t="e">
        <f>IF(K$1&gt;'Config!'!$BA$15,ERROR.TYPE(7),IF('Result data'!K18="",ERROR.TYPE(7),'Result data'!K18))</f>
        <v>#N/A</v>
      </c>
    </row>
    <row r="18" spans="1:11" x14ac:dyDescent="0.25">
      <c r="A18" s="123" t="s">
        <v>36</v>
      </c>
      <c r="B18" s="125">
        <f>IF(B$1&gt;'Config!'!$BA$15,ERROR.TYPE(7),IF('Result data'!B19="",ERROR.TYPE(7),'Result data'!B19))</f>
        <v>3951022</v>
      </c>
      <c r="C18" s="125">
        <f>IF(C$1&gt;'Config!'!$BA$15,ERROR.TYPE(7),IF('Result data'!C19="",ERROR.TYPE(7),'Result data'!C19))</f>
        <v>9055551</v>
      </c>
      <c r="D18" s="125" t="e">
        <f>IF(D$1&gt;'Config!'!$BA$15,ERROR.TYPE(7),IF('Result data'!D19="",ERROR.TYPE(7),'Result data'!D19))</f>
        <v>#N/A</v>
      </c>
      <c r="E18" s="125" t="e">
        <f>IF(E$1&gt;'Config!'!$BA$15,ERROR.TYPE(7),IF('Result data'!E19="",ERROR.TYPE(7),'Result data'!E19))</f>
        <v>#N/A</v>
      </c>
      <c r="F18" s="125" t="e">
        <f>IF(F$1&gt;'Config!'!$BA$15,ERROR.TYPE(7),IF('Result data'!F19="",ERROR.TYPE(7),'Result data'!F19))</f>
        <v>#N/A</v>
      </c>
      <c r="G18" s="125" t="e">
        <f>IF(G$1&gt;'Config!'!$BA$15,ERROR.TYPE(7),IF('Result data'!G19="",ERROR.TYPE(7),'Result data'!G19))</f>
        <v>#N/A</v>
      </c>
      <c r="H18" s="125" t="e">
        <f>IF(H$1&gt;'Config!'!$BA$15,ERROR.TYPE(7),IF('Result data'!H19="",ERROR.TYPE(7),'Result data'!H19))</f>
        <v>#N/A</v>
      </c>
      <c r="I18" s="125" t="e">
        <f>IF(I$1&gt;'Config!'!$BA$15,ERROR.TYPE(7),IF('Result data'!I19="",ERROR.TYPE(7),'Result data'!I19))</f>
        <v>#N/A</v>
      </c>
      <c r="J18" s="125" t="e">
        <f>IF(J$1&gt;'Config!'!$BA$15,ERROR.TYPE(7),IF('Result data'!J19="",ERROR.TYPE(7),'Result data'!J19))</f>
        <v>#N/A</v>
      </c>
      <c r="K18" s="125" t="e">
        <f>IF(K$1&gt;'Config!'!$BA$15,ERROR.TYPE(7),IF('Result data'!K19="",ERROR.TYPE(7),'Result data'!K19))</f>
        <v>#N/A</v>
      </c>
    </row>
    <row r="19" spans="1:11" x14ac:dyDescent="0.25">
      <c r="A19" s="123" t="s">
        <v>21</v>
      </c>
      <c r="B19" s="125" t="str">
        <f>IF(B$1&gt;'Config!'!$BA$15,ERROR.TYPE(7),IF('Result data'!B20="",ERROR.TYPE(7),'Result data'!B20))</f>
        <v xml:space="preserve"> </v>
      </c>
      <c r="C19" s="125" t="str">
        <f>IF(C$1&gt;'Config!'!$BA$15,ERROR.TYPE(7),IF('Result data'!C20="",ERROR.TYPE(7),'Result data'!C20))</f>
        <v xml:space="preserve"> </v>
      </c>
      <c r="D19" s="125" t="e">
        <f>IF(D$1&gt;'Config!'!$BA$15,ERROR.TYPE(7),IF('Result data'!D20="",ERROR.TYPE(7),'Result data'!D20))</f>
        <v>#N/A</v>
      </c>
      <c r="E19" s="125" t="e">
        <f>IF(E$1&gt;'Config!'!$BA$15,ERROR.TYPE(7),IF('Result data'!E20="",ERROR.TYPE(7),'Result data'!E20))</f>
        <v>#N/A</v>
      </c>
      <c r="F19" s="125" t="e">
        <f>IF(F$1&gt;'Config!'!$BA$15,ERROR.TYPE(7),IF('Result data'!F20="",ERROR.TYPE(7),'Result data'!F20))</f>
        <v>#N/A</v>
      </c>
      <c r="G19" s="125" t="e">
        <f>IF(G$1&gt;'Config!'!$BA$15,ERROR.TYPE(7),IF('Result data'!G20="",ERROR.TYPE(7),'Result data'!G20))</f>
        <v>#N/A</v>
      </c>
      <c r="H19" s="125" t="e">
        <f>IF(H$1&gt;'Config!'!$BA$15,ERROR.TYPE(7),IF('Result data'!H20="",ERROR.TYPE(7),'Result data'!H20))</f>
        <v>#N/A</v>
      </c>
      <c r="I19" s="125" t="e">
        <f>IF(I$1&gt;'Config!'!$BA$15,ERROR.TYPE(7),IF('Result data'!I20="",ERROR.TYPE(7),'Result data'!I20))</f>
        <v>#N/A</v>
      </c>
      <c r="J19" s="125" t="e">
        <f>IF(J$1&gt;'Config!'!$BA$15,ERROR.TYPE(7),IF('Result data'!J20="",ERROR.TYPE(7),'Result data'!J20))</f>
        <v>#N/A</v>
      </c>
      <c r="K19" s="125" t="e">
        <f>IF(K$1&gt;'Config!'!$BA$15,ERROR.TYPE(7),IF('Result data'!K20="",ERROR.TYPE(7),'Result data'!K20))</f>
        <v>#N/A</v>
      </c>
    </row>
    <row r="20" spans="1:11" x14ac:dyDescent="0.25">
      <c r="A20" s="123" t="s">
        <v>18</v>
      </c>
      <c r="B20" s="125" t="str">
        <f>IF(B$1&gt;'Config!'!$BA$15,ERROR.TYPE(7),IF('Result data'!B21="",ERROR.TYPE(7),'Result data'!B21))</f>
        <v xml:space="preserve"> </v>
      </c>
      <c r="C20" s="125" t="str">
        <f>IF(C$1&gt;'Config!'!$BA$15,ERROR.TYPE(7),IF('Result data'!C21="",ERROR.TYPE(7),'Result data'!C21))</f>
        <v xml:space="preserve"> </v>
      </c>
      <c r="D20" s="125" t="e">
        <f>IF(D$1&gt;'Config!'!$BA$15,ERROR.TYPE(7),IF('Result data'!D21="",ERROR.TYPE(7),'Result data'!D21))</f>
        <v>#N/A</v>
      </c>
      <c r="E20" s="125" t="e">
        <f>IF(E$1&gt;'Config!'!$BA$15,ERROR.TYPE(7),IF('Result data'!E21="",ERROR.TYPE(7),'Result data'!E21))</f>
        <v>#N/A</v>
      </c>
      <c r="F20" s="125" t="e">
        <f>IF(F$1&gt;'Config!'!$BA$15,ERROR.TYPE(7),IF('Result data'!F21="",ERROR.TYPE(7),'Result data'!F21))</f>
        <v>#N/A</v>
      </c>
      <c r="G20" s="125" t="e">
        <f>IF(G$1&gt;'Config!'!$BA$15,ERROR.TYPE(7),IF('Result data'!G21="",ERROR.TYPE(7),'Result data'!G21))</f>
        <v>#N/A</v>
      </c>
      <c r="H20" s="125" t="e">
        <f>IF(H$1&gt;'Config!'!$BA$15,ERROR.TYPE(7),IF('Result data'!H21="",ERROR.TYPE(7),'Result data'!H21))</f>
        <v>#N/A</v>
      </c>
      <c r="I20" s="125" t="e">
        <f>IF(I$1&gt;'Config!'!$BA$15,ERROR.TYPE(7),IF('Result data'!I21="",ERROR.TYPE(7),'Result data'!I21))</f>
        <v>#N/A</v>
      </c>
      <c r="J20" s="125" t="e">
        <f>IF(J$1&gt;'Config!'!$BA$15,ERROR.TYPE(7),IF('Result data'!J21="",ERROR.TYPE(7),'Result data'!J21))</f>
        <v>#N/A</v>
      </c>
      <c r="K20" s="125" t="e">
        <f>IF(K$1&gt;'Config!'!$BA$15,ERROR.TYPE(7),IF('Result data'!K21="",ERROR.TYPE(7),'Result data'!K21))</f>
        <v>#N/A</v>
      </c>
    </row>
    <row r="21" spans="1:11" x14ac:dyDescent="0.25">
      <c r="A21" s="123" t="s">
        <v>14</v>
      </c>
      <c r="B21" s="125" t="str">
        <f>IF(B$1&gt;'Config!'!$BA$15,ERROR.TYPE(7),IF('Result data'!B22="",ERROR.TYPE(7),'Result data'!B22))</f>
        <v xml:space="preserve"> </v>
      </c>
      <c r="C21" s="125" t="str">
        <f>IF(C$1&gt;'Config!'!$BA$15,ERROR.TYPE(7),IF('Result data'!C22="",ERROR.TYPE(7),'Result data'!C22))</f>
        <v xml:space="preserve"> </v>
      </c>
      <c r="D21" s="125" t="e">
        <f>IF(D$1&gt;'Config!'!$BA$15,ERROR.TYPE(7),IF('Result data'!D22="",ERROR.TYPE(7),'Result data'!D22))</f>
        <v>#N/A</v>
      </c>
      <c r="E21" s="125" t="e">
        <f>IF(E$1&gt;'Config!'!$BA$15,ERROR.TYPE(7),IF('Result data'!E22="",ERROR.TYPE(7),'Result data'!E22))</f>
        <v>#N/A</v>
      </c>
      <c r="F21" s="125" t="e">
        <f>IF(F$1&gt;'Config!'!$BA$15,ERROR.TYPE(7),IF('Result data'!F22="",ERROR.TYPE(7),'Result data'!F22))</f>
        <v>#N/A</v>
      </c>
      <c r="G21" s="125" t="e">
        <f>IF(G$1&gt;'Config!'!$BA$15,ERROR.TYPE(7),IF('Result data'!G22="",ERROR.TYPE(7),'Result data'!G22))</f>
        <v>#N/A</v>
      </c>
      <c r="H21" s="125" t="e">
        <f>IF(H$1&gt;'Config!'!$BA$15,ERROR.TYPE(7),IF('Result data'!H22="",ERROR.TYPE(7),'Result data'!H22))</f>
        <v>#N/A</v>
      </c>
      <c r="I21" s="125" t="e">
        <f>IF(I$1&gt;'Config!'!$BA$15,ERROR.TYPE(7),IF('Result data'!I22="",ERROR.TYPE(7),'Result data'!I22))</f>
        <v>#N/A</v>
      </c>
      <c r="J21" s="125" t="e">
        <f>IF(J$1&gt;'Config!'!$BA$15,ERROR.TYPE(7),IF('Result data'!J22="",ERROR.TYPE(7),'Result data'!J22))</f>
        <v>#N/A</v>
      </c>
      <c r="K21" s="125" t="e">
        <f>IF(K$1&gt;'Config!'!$BA$15,ERROR.TYPE(7),IF('Result data'!K22="",ERROR.TYPE(7),'Result data'!K22))</f>
        <v>#N/A</v>
      </c>
    </row>
    <row r="22" spans="1:11" x14ac:dyDescent="0.25">
      <c r="A22" s="123" t="s">
        <v>16</v>
      </c>
      <c r="B22" s="125" t="str">
        <f>IF(B$1&gt;'Config!'!$BA$15,ERROR.TYPE(7),IF('Result data'!B23="",ERROR.TYPE(7),'Result data'!B23))</f>
        <v xml:space="preserve"> </v>
      </c>
      <c r="C22" s="125" t="str">
        <f>IF(C$1&gt;'Config!'!$BA$15,ERROR.TYPE(7),IF('Result data'!C23="",ERROR.TYPE(7),'Result data'!C23))</f>
        <v xml:space="preserve"> </v>
      </c>
      <c r="D22" s="125" t="e">
        <f>IF(D$1&gt;'Config!'!$BA$15,ERROR.TYPE(7),IF('Result data'!D23="",ERROR.TYPE(7),'Result data'!D23))</f>
        <v>#N/A</v>
      </c>
      <c r="E22" s="125" t="e">
        <f>IF(E$1&gt;'Config!'!$BA$15,ERROR.TYPE(7),IF('Result data'!E23="",ERROR.TYPE(7),'Result data'!E23))</f>
        <v>#N/A</v>
      </c>
      <c r="F22" s="125" t="e">
        <f>IF(F$1&gt;'Config!'!$BA$15,ERROR.TYPE(7),IF('Result data'!F23="",ERROR.TYPE(7),'Result data'!F23))</f>
        <v>#N/A</v>
      </c>
      <c r="G22" s="125" t="e">
        <f>IF(G$1&gt;'Config!'!$BA$15,ERROR.TYPE(7),IF('Result data'!G23="",ERROR.TYPE(7),'Result data'!G23))</f>
        <v>#N/A</v>
      </c>
      <c r="H22" s="125" t="e">
        <f>IF(H$1&gt;'Config!'!$BA$15,ERROR.TYPE(7),IF('Result data'!H23="",ERROR.TYPE(7),'Result data'!H23))</f>
        <v>#N/A</v>
      </c>
      <c r="I22" s="125" t="e">
        <f>IF(I$1&gt;'Config!'!$BA$15,ERROR.TYPE(7),IF('Result data'!I23="",ERROR.TYPE(7),'Result data'!I23))</f>
        <v>#N/A</v>
      </c>
      <c r="J22" s="125" t="e">
        <f>IF(J$1&gt;'Config!'!$BA$15,ERROR.TYPE(7),IF('Result data'!J23="",ERROR.TYPE(7),'Result data'!J23))</f>
        <v>#N/A</v>
      </c>
      <c r="K22" s="125" t="e">
        <f>IF(K$1&gt;'Config!'!$BA$15,ERROR.TYPE(7),IF('Result data'!K23="",ERROR.TYPE(7),'Result data'!K23))</f>
        <v>#N/A</v>
      </c>
    </row>
    <row r="23" spans="1:11" x14ac:dyDescent="0.25">
      <c r="A23" s="121" t="s">
        <v>376</v>
      </c>
      <c r="B23" s="122">
        <v>2011</v>
      </c>
      <c r="C23" s="122">
        <v>2012</v>
      </c>
      <c r="D23" s="122">
        <v>2013</v>
      </c>
      <c r="E23" s="122">
        <v>2014</v>
      </c>
      <c r="F23" s="122">
        <v>2015</v>
      </c>
      <c r="G23" s="122">
        <v>2016</v>
      </c>
      <c r="H23" s="122">
        <v>2017</v>
      </c>
      <c r="I23" s="122">
        <v>2018</v>
      </c>
      <c r="J23" s="122">
        <v>2019</v>
      </c>
      <c r="K23" s="122">
        <v>2020</v>
      </c>
    </row>
    <row r="24" spans="1:11" x14ac:dyDescent="0.25">
      <c r="A24" s="123" t="s">
        <v>25</v>
      </c>
      <c r="B24" s="126">
        <f>IF(B$1&gt;'Config!'!$BA$15,ERROR.TYPE(7),IF('Result data'!B25="",ERROR.TYPE(7),'Result data'!B25))</f>
        <v>5.2838217990134435E-4</v>
      </c>
      <c r="C24" s="126">
        <f>IF(C$1&gt;'Config!'!$BA$15,ERROR.TYPE(7),IF('Result data'!C25="",ERROR.TYPE(7),'Result data'!C25))</f>
        <v>3.2907904559660982E-3</v>
      </c>
      <c r="D24" s="126" t="e">
        <f>IF(D$1&gt;'Config!'!$BA$15,ERROR.TYPE(7),IF('Result data'!D25="",ERROR.TYPE(7),'Result data'!D25))</f>
        <v>#N/A</v>
      </c>
      <c r="E24" s="126" t="e">
        <f>IF(E$1&gt;'Config!'!$BA$15,ERROR.TYPE(7),IF('Result data'!E25="",ERROR.TYPE(7),'Result data'!E25))</f>
        <v>#N/A</v>
      </c>
      <c r="F24" s="126" t="e">
        <f>IF(F$1&gt;'Config!'!$BA$15,ERROR.TYPE(7),IF('Result data'!F25="",ERROR.TYPE(7),'Result data'!F25))</f>
        <v>#N/A</v>
      </c>
      <c r="G24" s="126" t="e">
        <f>IF(G$1&gt;'Config!'!$BA$15,ERROR.TYPE(7),IF('Result data'!G25="",ERROR.TYPE(7),'Result data'!G25))</f>
        <v>#N/A</v>
      </c>
      <c r="H24" s="126" t="e">
        <f>IF(H$1&gt;'Config!'!$BA$15,ERROR.TYPE(7),IF('Result data'!H25="",ERROR.TYPE(7),'Result data'!H25))</f>
        <v>#N/A</v>
      </c>
      <c r="I24" s="126" t="e">
        <f>IF(I$1&gt;'Config!'!$BA$15,ERROR.TYPE(7),IF('Result data'!I25="",ERROR.TYPE(7),'Result data'!I25))</f>
        <v>#N/A</v>
      </c>
      <c r="J24" s="126" t="e">
        <f>IF(J$1&gt;'Config!'!$BA$15,ERROR.TYPE(7),IF('Result data'!J25="",ERROR.TYPE(7),'Result data'!J25))</f>
        <v>#N/A</v>
      </c>
      <c r="K24" s="126" t="e">
        <f>IF(K$1&gt;'Config!'!$BA$15,ERROR.TYPE(7),IF('Result data'!K25="",ERROR.TYPE(7),'Result data'!K25))</f>
        <v>#N/A</v>
      </c>
    </row>
    <row r="25" spans="1:11" x14ac:dyDescent="0.25">
      <c r="A25" s="123" t="s">
        <v>33</v>
      </c>
      <c r="B25" s="126" t="str">
        <f>IF(B$1&gt;'Config!'!$BA$15,ERROR.TYPE(7),IF('Result data'!B26="",ERROR.TYPE(7),'Result data'!B26))</f>
        <v xml:space="preserve"> </v>
      </c>
      <c r="C25" s="126">
        <f>IF(C$1&gt;'Config!'!$BA$15,ERROR.TYPE(7),IF('Result data'!C26="",ERROR.TYPE(7),'Result data'!C26))</f>
        <v>5.2376063109132167E-3</v>
      </c>
      <c r="D25" s="126" t="e">
        <f>IF(D$1&gt;'Config!'!$BA$15,ERROR.TYPE(7),IF('Result data'!D26="",ERROR.TYPE(7),'Result data'!D26))</f>
        <v>#N/A</v>
      </c>
      <c r="E25" s="126" t="e">
        <f>IF(E$1&gt;'Config!'!$BA$15,ERROR.TYPE(7),IF('Result data'!E26="",ERROR.TYPE(7),'Result data'!E26))</f>
        <v>#N/A</v>
      </c>
      <c r="F25" s="126" t="e">
        <f>IF(F$1&gt;'Config!'!$BA$15,ERROR.TYPE(7),IF('Result data'!F26="",ERROR.TYPE(7),'Result data'!F26))</f>
        <v>#N/A</v>
      </c>
      <c r="G25" s="126" t="e">
        <f>IF(G$1&gt;'Config!'!$BA$15,ERROR.TYPE(7),IF('Result data'!G26="",ERROR.TYPE(7),'Result data'!G26))</f>
        <v>#N/A</v>
      </c>
      <c r="H25" s="126" t="e">
        <f>IF(H$1&gt;'Config!'!$BA$15,ERROR.TYPE(7),IF('Result data'!H26="",ERROR.TYPE(7),'Result data'!H26))</f>
        <v>#N/A</v>
      </c>
      <c r="I25" s="126" t="e">
        <f>IF(I$1&gt;'Config!'!$BA$15,ERROR.TYPE(7),IF('Result data'!I26="",ERROR.TYPE(7),'Result data'!I26))</f>
        <v>#N/A</v>
      </c>
      <c r="J25" s="126" t="e">
        <f>IF(J$1&gt;'Config!'!$BA$15,ERROR.TYPE(7),IF('Result data'!J26="",ERROR.TYPE(7),'Result data'!J26))</f>
        <v>#N/A</v>
      </c>
      <c r="K25" s="126" t="e">
        <f>IF(K$1&gt;'Config!'!$BA$15,ERROR.TYPE(7),IF('Result data'!K26="",ERROR.TYPE(7),'Result data'!K26))</f>
        <v>#N/A</v>
      </c>
    </row>
    <row r="26" spans="1:11" x14ac:dyDescent="0.25">
      <c r="A26" s="123" t="s">
        <v>7</v>
      </c>
      <c r="B26" s="126" t="str">
        <f>IF(B$1&gt;'Config!'!$BA$15,ERROR.TYPE(7),IF('Result data'!B27="",ERROR.TYPE(7),'Result data'!B27))</f>
        <v xml:space="preserve"> </v>
      </c>
      <c r="C26" s="126">
        <f>IF(C$1&gt;'Config!'!$BA$15,ERROR.TYPE(7),IF('Result data'!C27="",ERROR.TYPE(7),'Result data'!C27))</f>
        <v>2.5926235114291066E-4</v>
      </c>
      <c r="D26" s="126" t="e">
        <f>IF(D$1&gt;'Config!'!$BA$15,ERROR.TYPE(7),IF('Result data'!D27="",ERROR.TYPE(7),'Result data'!D27))</f>
        <v>#N/A</v>
      </c>
      <c r="E26" s="126" t="e">
        <f>IF(E$1&gt;'Config!'!$BA$15,ERROR.TYPE(7),IF('Result data'!E27="",ERROR.TYPE(7),'Result data'!E27))</f>
        <v>#N/A</v>
      </c>
      <c r="F26" s="126" t="e">
        <f>IF(F$1&gt;'Config!'!$BA$15,ERROR.TYPE(7),IF('Result data'!F27="",ERROR.TYPE(7),'Result data'!F27))</f>
        <v>#N/A</v>
      </c>
      <c r="G26" s="126" t="e">
        <f>IF(G$1&gt;'Config!'!$BA$15,ERROR.TYPE(7),IF('Result data'!G27="",ERROR.TYPE(7),'Result data'!G27))</f>
        <v>#N/A</v>
      </c>
      <c r="H26" s="126" t="e">
        <f>IF(H$1&gt;'Config!'!$BA$15,ERROR.TYPE(7),IF('Result data'!H27="",ERROR.TYPE(7),'Result data'!H27))</f>
        <v>#N/A</v>
      </c>
      <c r="I26" s="126" t="e">
        <f>IF(I$1&gt;'Config!'!$BA$15,ERROR.TYPE(7),IF('Result data'!I27="",ERROR.TYPE(7),'Result data'!I27))</f>
        <v>#N/A</v>
      </c>
      <c r="J26" s="126" t="e">
        <f>IF(J$1&gt;'Config!'!$BA$15,ERROR.TYPE(7),IF('Result data'!J27="",ERROR.TYPE(7),'Result data'!J27))</f>
        <v>#N/A</v>
      </c>
      <c r="K26" s="126" t="e">
        <f>IF(K$1&gt;'Config!'!$BA$15,ERROR.TYPE(7),IF('Result data'!K27="",ERROR.TYPE(7),'Result data'!K27))</f>
        <v>#N/A</v>
      </c>
    </row>
    <row r="27" spans="1:11" x14ac:dyDescent="0.25">
      <c r="A27" s="123" t="s">
        <v>23</v>
      </c>
      <c r="B27" s="126">
        <f>IF(B$1&gt;'Config!'!$BA$15,ERROR.TYPE(7),IF('Result data'!B28="",ERROR.TYPE(7),'Result data'!B28))</f>
        <v>5.1661862873990773E-3</v>
      </c>
      <c r="C27" s="126">
        <f>IF(C$1&gt;'Config!'!$BA$15,ERROR.TYPE(7),IF('Result data'!C28="",ERROR.TYPE(7),'Result data'!C28))</f>
        <v>1.3538700219918688E-2</v>
      </c>
      <c r="D27" s="126" t="e">
        <f>IF(D$1&gt;'Config!'!$BA$15,ERROR.TYPE(7),IF('Result data'!D28="",ERROR.TYPE(7),'Result data'!D28))</f>
        <v>#N/A</v>
      </c>
      <c r="E27" s="126" t="e">
        <f>IF(E$1&gt;'Config!'!$BA$15,ERROR.TYPE(7),IF('Result data'!E28="",ERROR.TYPE(7),'Result data'!E28))</f>
        <v>#N/A</v>
      </c>
      <c r="F27" s="126" t="e">
        <f>IF(F$1&gt;'Config!'!$BA$15,ERROR.TYPE(7),IF('Result data'!F28="",ERROR.TYPE(7),'Result data'!F28))</f>
        <v>#N/A</v>
      </c>
      <c r="G27" s="126" t="e">
        <f>IF(G$1&gt;'Config!'!$BA$15,ERROR.TYPE(7),IF('Result data'!G28="",ERROR.TYPE(7),'Result data'!G28))</f>
        <v>#N/A</v>
      </c>
      <c r="H27" s="126" t="e">
        <f>IF(H$1&gt;'Config!'!$BA$15,ERROR.TYPE(7),IF('Result data'!H28="",ERROR.TYPE(7),'Result data'!H28))</f>
        <v>#N/A</v>
      </c>
      <c r="I27" s="126" t="e">
        <f>IF(I$1&gt;'Config!'!$BA$15,ERROR.TYPE(7),IF('Result data'!I28="",ERROR.TYPE(7),'Result data'!I28))</f>
        <v>#N/A</v>
      </c>
      <c r="J27" s="126" t="e">
        <f>IF(J$1&gt;'Config!'!$BA$15,ERROR.TYPE(7),IF('Result data'!J28="",ERROR.TYPE(7),'Result data'!J28))</f>
        <v>#N/A</v>
      </c>
      <c r="K27" s="126" t="e">
        <f>IF(K$1&gt;'Config!'!$BA$15,ERROR.TYPE(7),IF('Result data'!K28="",ERROR.TYPE(7),'Result data'!K28))</f>
        <v>#N/A</v>
      </c>
    </row>
    <row r="28" spans="1:11" x14ac:dyDescent="0.25">
      <c r="A28" s="123" t="s">
        <v>9</v>
      </c>
      <c r="B28" s="126" t="str">
        <f>IF(B$1&gt;'Config!'!$BA$15,ERROR.TYPE(7),IF('Result data'!B29="",ERROR.TYPE(7),'Result data'!B29))</f>
        <v xml:space="preserve"> </v>
      </c>
      <c r="C28" s="126" t="str">
        <f>IF(C$1&gt;'Config!'!$BA$15,ERROR.TYPE(7),IF('Result data'!C29="",ERROR.TYPE(7),'Result data'!C29))</f>
        <v xml:space="preserve"> </v>
      </c>
      <c r="D28" s="126" t="e">
        <f>IF(D$1&gt;'Config!'!$BA$15,ERROR.TYPE(7),IF('Result data'!D29="",ERROR.TYPE(7),'Result data'!D29))</f>
        <v>#N/A</v>
      </c>
      <c r="E28" s="126" t="e">
        <f>IF(E$1&gt;'Config!'!$BA$15,ERROR.TYPE(7),IF('Result data'!E29="",ERROR.TYPE(7),'Result data'!E29))</f>
        <v>#N/A</v>
      </c>
      <c r="F28" s="126" t="e">
        <f>IF(F$1&gt;'Config!'!$BA$15,ERROR.TYPE(7),IF('Result data'!F29="",ERROR.TYPE(7),'Result data'!F29))</f>
        <v>#N/A</v>
      </c>
      <c r="G28" s="126" t="e">
        <f>IF(G$1&gt;'Config!'!$BA$15,ERROR.TYPE(7),IF('Result data'!G29="",ERROR.TYPE(7),'Result data'!G29))</f>
        <v>#N/A</v>
      </c>
      <c r="H28" s="126" t="e">
        <f>IF(H$1&gt;'Config!'!$BA$15,ERROR.TYPE(7),IF('Result data'!H29="",ERROR.TYPE(7),'Result data'!H29))</f>
        <v>#N/A</v>
      </c>
      <c r="I28" s="126" t="e">
        <f>IF(I$1&gt;'Config!'!$BA$15,ERROR.TYPE(7),IF('Result data'!I29="",ERROR.TYPE(7),'Result data'!I29))</f>
        <v>#N/A</v>
      </c>
      <c r="J28" s="126" t="e">
        <f>IF(J$1&gt;'Config!'!$BA$15,ERROR.TYPE(7),IF('Result data'!J29="",ERROR.TYPE(7),'Result data'!J29))</f>
        <v>#N/A</v>
      </c>
      <c r="K28" s="126" t="e">
        <f>IF(K$1&gt;'Config!'!$BA$15,ERROR.TYPE(7),IF('Result data'!K29="",ERROR.TYPE(7),'Result data'!K29))</f>
        <v>#N/A</v>
      </c>
    </row>
    <row r="29" spans="1:11" x14ac:dyDescent="0.25">
      <c r="A29" s="123" t="s">
        <v>36</v>
      </c>
      <c r="B29" s="126">
        <f>IF(B$1&gt;'Config!'!$BA$15,ERROR.TYPE(7),IF('Result data'!B30="",ERROR.TYPE(7),'Result data'!B30))</f>
        <v>1.1414975198598156E-2</v>
      </c>
      <c r="C29" s="126">
        <f>IF(C$1&gt;'Config!'!$BA$15,ERROR.TYPE(7),IF('Result data'!C30="",ERROR.TYPE(7),'Result data'!C30))</f>
        <v>2.5953168710148709E-2</v>
      </c>
      <c r="D29" s="126" t="e">
        <f>IF(D$1&gt;'Config!'!$BA$15,ERROR.TYPE(7),IF('Result data'!D30="",ERROR.TYPE(7),'Result data'!D30))</f>
        <v>#N/A</v>
      </c>
      <c r="E29" s="126" t="e">
        <f>IF(E$1&gt;'Config!'!$BA$15,ERROR.TYPE(7),IF('Result data'!E30="",ERROR.TYPE(7),'Result data'!E30))</f>
        <v>#N/A</v>
      </c>
      <c r="F29" s="126" t="e">
        <f>IF(F$1&gt;'Config!'!$BA$15,ERROR.TYPE(7),IF('Result data'!F30="",ERROR.TYPE(7),'Result data'!F30))</f>
        <v>#N/A</v>
      </c>
      <c r="G29" s="126" t="e">
        <f>IF(G$1&gt;'Config!'!$BA$15,ERROR.TYPE(7),IF('Result data'!G30="",ERROR.TYPE(7),'Result data'!G30))</f>
        <v>#N/A</v>
      </c>
      <c r="H29" s="126" t="e">
        <f>IF(H$1&gt;'Config!'!$BA$15,ERROR.TYPE(7),IF('Result data'!H30="",ERROR.TYPE(7),'Result data'!H30))</f>
        <v>#N/A</v>
      </c>
      <c r="I29" s="126" t="e">
        <f>IF(I$1&gt;'Config!'!$BA$15,ERROR.TYPE(7),IF('Result data'!I30="",ERROR.TYPE(7),'Result data'!I30))</f>
        <v>#N/A</v>
      </c>
      <c r="J29" s="126" t="e">
        <f>IF(J$1&gt;'Config!'!$BA$15,ERROR.TYPE(7),IF('Result data'!J30="",ERROR.TYPE(7),'Result data'!J30))</f>
        <v>#N/A</v>
      </c>
      <c r="K29" s="126" t="e">
        <f>IF(K$1&gt;'Config!'!$BA$15,ERROR.TYPE(7),IF('Result data'!K30="",ERROR.TYPE(7),'Result data'!K30))</f>
        <v>#N/A</v>
      </c>
    </row>
    <row r="30" spans="1:11" x14ac:dyDescent="0.25">
      <c r="A30" s="123" t="s">
        <v>21</v>
      </c>
      <c r="B30" s="126" t="str">
        <f>IF(B$1&gt;'Config!'!$BA$15,ERROR.TYPE(7),IF('Result data'!B31="",ERROR.TYPE(7),'Result data'!B31))</f>
        <v xml:space="preserve"> </v>
      </c>
      <c r="C30" s="126" t="str">
        <f>IF(C$1&gt;'Config!'!$BA$15,ERROR.TYPE(7),IF('Result data'!C31="",ERROR.TYPE(7),'Result data'!C31))</f>
        <v xml:space="preserve"> </v>
      </c>
      <c r="D30" s="126" t="e">
        <f>IF(D$1&gt;'Config!'!$BA$15,ERROR.TYPE(7),IF('Result data'!D31="",ERROR.TYPE(7),'Result data'!D31))</f>
        <v>#N/A</v>
      </c>
      <c r="E30" s="126" t="e">
        <f>IF(E$1&gt;'Config!'!$BA$15,ERROR.TYPE(7),IF('Result data'!E31="",ERROR.TYPE(7),'Result data'!E31))</f>
        <v>#N/A</v>
      </c>
      <c r="F30" s="126" t="e">
        <f>IF(F$1&gt;'Config!'!$BA$15,ERROR.TYPE(7),IF('Result data'!F31="",ERROR.TYPE(7),'Result data'!F31))</f>
        <v>#N/A</v>
      </c>
      <c r="G30" s="126" t="e">
        <f>IF(G$1&gt;'Config!'!$BA$15,ERROR.TYPE(7),IF('Result data'!G31="",ERROR.TYPE(7),'Result data'!G31))</f>
        <v>#N/A</v>
      </c>
      <c r="H30" s="126" t="e">
        <f>IF(H$1&gt;'Config!'!$BA$15,ERROR.TYPE(7),IF('Result data'!H31="",ERROR.TYPE(7),'Result data'!H31))</f>
        <v>#N/A</v>
      </c>
      <c r="I30" s="126" t="e">
        <f>IF(I$1&gt;'Config!'!$BA$15,ERROR.TYPE(7),IF('Result data'!I31="",ERROR.TYPE(7),'Result data'!I31))</f>
        <v>#N/A</v>
      </c>
      <c r="J30" s="126" t="e">
        <f>IF(J$1&gt;'Config!'!$BA$15,ERROR.TYPE(7),IF('Result data'!J31="",ERROR.TYPE(7),'Result data'!J31))</f>
        <v>#N/A</v>
      </c>
      <c r="K30" s="126" t="e">
        <f>IF(K$1&gt;'Config!'!$BA$15,ERROR.TYPE(7),IF('Result data'!K31="",ERROR.TYPE(7),'Result data'!K31))</f>
        <v>#N/A</v>
      </c>
    </row>
    <row r="31" spans="1:11" x14ac:dyDescent="0.25">
      <c r="A31" s="123" t="s">
        <v>18</v>
      </c>
      <c r="B31" s="126" t="str">
        <f>IF(B$1&gt;'Config!'!$BA$15,ERROR.TYPE(7),IF('Result data'!B32="",ERROR.TYPE(7),'Result data'!B32))</f>
        <v xml:space="preserve"> </v>
      </c>
      <c r="C31" s="126" t="str">
        <f>IF(C$1&gt;'Config!'!$BA$15,ERROR.TYPE(7),IF('Result data'!C32="",ERROR.TYPE(7),'Result data'!C32))</f>
        <v xml:space="preserve"> </v>
      </c>
      <c r="D31" s="126" t="e">
        <f>IF(D$1&gt;'Config!'!$BA$15,ERROR.TYPE(7),IF('Result data'!D32="",ERROR.TYPE(7),'Result data'!D32))</f>
        <v>#N/A</v>
      </c>
      <c r="E31" s="126" t="e">
        <f>IF(E$1&gt;'Config!'!$BA$15,ERROR.TYPE(7),IF('Result data'!E32="",ERROR.TYPE(7),'Result data'!E32))</f>
        <v>#N/A</v>
      </c>
      <c r="F31" s="126" t="e">
        <f>IF(F$1&gt;'Config!'!$BA$15,ERROR.TYPE(7),IF('Result data'!F32="",ERROR.TYPE(7),'Result data'!F32))</f>
        <v>#N/A</v>
      </c>
      <c r="G31" s="126" t="e">
        <f>IF(G$1&gt;'Config!'!$BA$15,ERROR.TYPE(7),IF('Result data'!G32="",ERROR.TYPE(7),'Result data'!G32))</f>
        <v>#N/A</v>
      </c>
      <c r="H31" s="126" t="e">
        <f>IF(H$1&gt;'Config!'!$BA$15,ERROR.TYPE(7),IF('Result data'!H32="",ERROR.TYPE(7),'Result data'!H32))</f>
        <v>#N/A</v>
      </c>
      <c r="I31" s="126" t="e">
        <f>IF(I$1&gt;'Config!'!$BA$15,ERROR.TYPE(7),IF('Result data'!I32="",ERROR.TYPE(7),'Result data'!I32))</f>
        <v>#N/A</v>
      </c>
      <c r="J31" s="126" t="e">
        <f>IF(J$1&gt;'Config!'!$BA$15,ERROR.TYPE(7),IF('Result data'!J32="",ERROR.TYPE(7),'Result data'!J32))</f>
        <v>#N/A</v>
      </c>
      <c r="K31" s="126" t="e">
        <f>IF(K$1&gt;'Config!'!$BA$15,ERROR.TYPE(7),IF('Result data'!K32="",ERROR.TYPE(7),'Result data'!K32))</f>
        <v>#N/A</v>
      </c>
    </row>
    <row r="32" spans="1:11" x14ac:dyDescent="0.25">
      <c r="A32" s="123" t="s">
        <v>14</v>
      </c>
      <c r="B32" s="126" t="str">
        <f>IF(B$1&gt;'Config!'!$BA$15,ERROR.TYPE(7),IF('Result data'!B33="",ERROR.TYPE(7),'Result data'!B33))</f>
        <v xml:space="preserve"> </v>
      </c>
      <c r="C32" s="126" t="str">
        <f>IF(C$1&gt;'Config!'!$BA$15,ERROR.TYPE(7),IF('Result data'!C33="",ERROR.TYPE(7),'Result data'!C33))</f>
        <v xml:space="preserve"> </v>
      </c>
      <c r="D32" s="126" t="e">
        <f>IF(D$1&gt;'Config!'!$BA$15,ERROR.TYPE(7),IF('Result data'!D33="",ERROR.TYPE(7),'Result data'!D33))</f>
        <v>#N/A</v>
      </c>
      <c r="E32" s="126" t="e">
        <f>IF(E$1&gt;'Config!'!$BA$15,ERROR.TYPE(7),IF('Result data'!E33="",ERROR.TYPE(7),'Result data'!E33))</f>
        <v>#N/A</v>
      </c>
      <c r="F32" s="126" t="e">
        <f>IF(F$1&gt;'Config!'!$BA$15,ERROR.TYPE(7),IF('Result data'!F33="",ERROR.TYPE(7),'Result data'!F33))</f>
        <v>#N/A</v>
      </c>
      <c r="G32" s="126" t="e">
        <f>IF(G$1&gt;'Config!'!$BA$15,ERROR.TYPE(7),IF('Result data'!G33="",ERROR.TYPE(7),'Result data'!G33))</f>
        <v>#N/A</v>
      </c>
      <c r="H32" s="126" t="e">
        <f>IF(H$1&gt;'Config!'!$BA$15,ERROR.TYPE(7),IF('Result data'!H33="",ERROR.TYPE(7),'Result data'!H33))</f>
        <v>#N/A</v>
      </c>
      <c r="I32" s="126" t="e">
        <f>IF(I$1&gt;'Config!'!$BA$15,ERROR.TYPE(7),IF('Result data'!I33="",ERROR.TYPE(7),'Result data'!I33))</f>
        <v>#N/A</v>
      </c>
      <c r="J32" s="126" t="e">
        <f>IF(J$1&gt;'Config!'!$BA$15,ERROR.TYPE(7),IF('Result data'!J33="",ERROR.TYPE(7),'Result data'!J33))</f>
        <v>#N/A</v>
      </c>
      <c r="K32" s="126" t="e">
        <f>IF(K$1&gt;'Config!'!$BA$15,ERROR.TYPE(7),IF('Result data'!K33="",ERROR.TYPE(7),'Result data'!K33))</f>
        <v>#N/A</v>
      </c>
    </row>
    <row r="33" spans="1:11" x14ac:dyDescent="0.25">
      <c r="A33" s="123" t="s">
        <v>16</v>
      </c>
      <c r="B33" s="126" t="str">
        <f>IF(B$1&gt;'Config!'!$BA$15,ERROR.TYPE(7),IF('Result data'!B34="",ERROR.TYPE(7),'Result data'!B34))</f>
        <v xml:space="preserve"> </v>
      </c>
      <c r="C33" s="126" t="str">
        <f>IF(C$1&gt;'Config!'!$BA$15,ERROR.TYPE(7),IF('Result data'!C34="",ERROR.TYPE(7),'Result data'!C34))</f>
        <v xml:space="preserve"> </v>
      </c>
      <c r="D33" s="126" t="e">
        <f>IF(D$1&gt;'Config!'!$BA$15,ERROR.TYPE(7),IF('Result data'!D34="",ERROR.TYPE(7),'Result data'!D34))</f>
        <v>#N/A</v>
      </c>
      <c r="E33" s="126" t="e">
        <f>IF(E$1&gt;'Config!'!$BA$15,ERROR.TYPE(7),IF('Result data'!E34="",ERROR.TYPE(7),'Result data'!E34))</f>
        <v>#N/A</v>
      </c>
      <c r="F33" s="126" t="e">
        <f>IF(F$1&gt;'Config!'!$BA$15,ERROR.TYPE(7),IF('Result data'!F34="",ERROR.TYPE(7),'Result data'!F34))</f>
        <v>#N/A</v>
      </c>
      <c r="G33" s="126" t="e">
        <f>IF(G$1&gt;'Config!'!$BA$15,ERROR.TYPE(7),IF('Result data'!G34="",ERROR.TYPE(7),'Result data'!G34))</f>
        <v>#N/A</v>
      </c>
      <c r="H33" s="126" t="e">
        <f>IF(H$1&gt;'Config!'!$BA$15,ERROR.TYPE(7),IF('Result data'!H34="",ERROR.TYPE(7),'Result data'!H34))</f>
        <v>#N/A</v>
      </c>
      <c r="I33" s="126" t="e">
        <f>IF(I$1&gt;'Config!'!$BA$15,ERROR.TYPE(7),IF('Result data'!I34="",ERROR.TYPE(7),'Result data'!I34))</f>
        <v>#N/A</v>
      </c>
      <c r="J33" s="126" t="e">
        <f>IF(J$1&gt;'Config!'!$BA$15,ERROR.TYPE(7),IF('Result data'!J34="",ERROR.TYPE(7),'Result data'!J34))</f>
        <v>#N/A</v>
      </c>
      <c r="K33" s="126" t="e">
        <f>IF(K$1&gt;'Config!'!$BA$15,ERROR.TYPE(7),IF('Result data'!K34="",ERROR.TYPE(7),'Result data'!K34))</f>
        <v>#N/A</v>
      </c>
    </row>
  </sheetData>
  <conditionalFormatting sqref="A1 B1:K11">
    <cfRule type="cellIs" dxfId="56" priority="2" operator="lessThan">
      <formula>0</formula>
    </cfRule>
  </conditionalFormatting>
  <conditionalFormatting sqref="A12:K33">
    <cfRule type="cellIs" dxfId="55" priority="4" operator="lessThan">
      <formula>0</formula>
    </cfRule>
  </conditionalFormatting>
  <conditionalFormatting sqref="B2:K11">
    <cfRule type="cellIs" dxfId="54" priority="1" operator="equal">
      <formula>0</formula>
    </cfRule>
  </conditionalFormatting>
  <conditionalFormatting sqref="B13:K22 B24:K33">
    <cfRule type="cellIs" dxfId="53" priority="3" operator="equal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9">
    <tabColor rgb="FFFF0000"/>
  </sheetPr>
  <dimension ref="A1:BW161"/>
  <sheetViews>
    <sheetView showGridLines="0" tabSelected="1" topLeftCell="AU1" zoomScale="85" zoomScaleNormal="85" workbookViewId="0">
      <selection activeCell="BC19" sqref="BC19"/>
    </sheetView>
  </sheetViews>
  <sheetFormatPr defaultRowHeight="15.6" customHeight="1" x14ac:dyDescent="0.25"/>
  <cols>
    <col min="1" max="1" width="20.7109375" bestFit="1" customWidth="1"/>
    <col min="2" max="2" width="22.42578125" bestFit="1" customWidth="1"/>
    <col min="3" max="3" width="4" bestFit="1" customWidth="1"/>
    <col min="4" max="4" width="0" hidden="1" customWidth="1"/>
    <col min="5" max="9" width="1.42578125" customWidth="1"/>
    <col min="10" max="10" width="22.28515625" bestFit="1" customWidth="1"/>
    <col min="11" max="11" width="19" bestFit="1" customWidth="1"/>
    <col min="12" max="12" width="17.85546875" bestFit="1" customWidth="1"/>
    <col min="13" max="13" width="21.42578125" customWidth="1"/>
    <col min="14" max="14" width="22.28515625" bestFit="1" customWidth="1"/>
    <col min="15" max="15" width="17" bestFit="1" customWidth="1"/>
    <col min="16" max="16" width="23.28515625" bestFit="1" customWidth="1"/>
    <col min="17" max="17" width="13.85546875" customWidth="1"/>
    <col min="18" max="18" width="9.7109375" bestFit="1" customWidth="1"/>
    <col min="19" max="19" width="23.42578125" customWidth="1"/>
    <col min="20" max="20" width="21.28515625" customWidth="1"/>
    <col min="21" max="22" width="12.5703125" customWidth="1"/>
    <col min="23" max="23" width="13.28515625" customWidth="1"/>
    <col min="24" max="24" width="17.28515625" customWidth="1"/>
    <col min="25" max="25" width="11.85546875" bestFit="1" customWidth="1"/>
    <col min="26" max="26" width="15.5703125" bestFit="1" customWidth="1"/>
    <col min="27" max="27" width="19.42578125" customWidth="1"/>
    <col min="28" max="28" width="19.5703125" customWidth="1"/>
    <col min="29" max="29" width="24.7109375" customWidth="1"/>
    <col min="30" max="30" width="18.28515625" customWidth="1"/>
    <col min="31" max="31" width="18" bestFit="1" customWidth="1"/>
    <col min="32" max="32" width="11.85546875" bestFit="1" customWidth="1"/>
    <col min="33" max="33" width="18.28515625" customWidth="1"/>
    <col min="34" max="34" width="18.42578125" customWidth="1"/>
    <col min="35" max="35" width="32.140625" bestFit="1" customWidth="1"/>
    <col min="36" max="36" width="24" customWidth="1"/>
    <col min="37" max="37" width="23.140625" customWidth="1"/>
    <col min="38" max="38" width="17.7109375" customWidth="1"/>
    <col min="39" max="39" width="12.5703125" bestFit="1" customWidth="1"/>
    <col min="40" max="40" width="32.140625" bestFit="1" customWidth="1"/>
    <col min="41" max="41" width="25.140625" customWidth="1"/>
    <col min="42" max="42" width="13.140625" bestFit="1" customWidth="1"/>
    <col min="43" max="43" width="19" customWidth="1"/>
    <col min="44" max="44" width="7.5703125" bestFit="1" customWidth="1"/>
    <col min="45" max="45" width="12.5703125" bestFit="1" customWidth="1"/>
    <col min="46" max="46" width="24.140625" bestFit="1" customWidth="1"/>
    <col min="47" max="50" width="14.140625" bestFit="1" customWidth="1"/>
    <col min="51" max="51" width="17" style="2" bestFit="1" customWidth="1"/>
    <col min="52" max="52" width="17" bestFit="1" customWidth="1"/>
    <col min="53" max="53" width="24" bestFit="1" customWidth="1"/>
    <col min="54" max="54" width="34.28515625" bestFit="1" customWidth="1"/>
    <col min="55" max="55" width="15.5703125" bestFit="1" customWidth="1"/>
    <col min="56" max="56" width="48.140625" bestFit="1" customWidth="1"/>
    <col min="57" max="59" width="20.7109375" bestFit="1" customWidth="1"/>
    <col min="60" max="60" width="19.7109375" bestFit="1" customWidth="1"/>
    <col min="61" max="61" width="20.28515625" bestFit="1" customWidth="1"/>
    <col min="62" max="62" width="12.5703125" bestFit="1" customWidth="1"/>
    <col min="63" max="63" width="40.42578125" bestFit="1" customWidth="1"/>
    <col min="64" max="64" width="19.7109375" bestFit="1" customWidth="1"/>
    <col min="65" max="74" width="12.5703125" bestFit="1" customWidth="1"/>
  </cols>
  <sheetData>
    <row r="1" spans="1:74" ht="15.6" customHeight="1" x14ac:dyDescent="0.25">
      <c r="A1" t="s">
        <v>377</v>
      </c>
      <c r="B1" t="s">
        <v>3</v>
      </c>
      <c r="C1" t="s">
        <v>378</v>
      </c>
      <c r="J1" t="s">
        <v>379</v>
      </c>
      <c r="K1" t="s">
        <v>380</v>
      </c>
      <c r="M1" t="s">
        <v>381</v>
      </c>
      <c r="N1" t="s">
        <v>382</v>
      </c>
      <c r="O1" t="s">
        <v>383</v>
      </c>
      <c r="P1">
        <v>0</v>
      </c>
      <c r="R1" t="s">
        <v>381</v>
      </c>
      <c r="S1" s="34" t="s">
        <v>384</v>
      </c>
      <c r="T1" s="22" t="s">
        <v>385</v>
      </c>
      <c r="V1" s="21" t="s">
        <v>383</v>
      </c>
      <c r="W1" s="2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H1" s="720" t="s">
        <v>395</v>
      </c>
      <c r="AI1" s="720"/>
      <c r="AJ1" s="720"/>
      <c r="AK1" s="720"/>
      <c r="AN1" s="720" t="s">
        <v>396</v>
      </c>
      <c r="AO1" s="720"/>
      <c r="AP1" s="720"/>
      <c r="AS1" s="720" t="s">
        <v>397</v>
      </c>
      <c r="AT1" s="720"/>
      <c r="AU1" s="720"/>
      <c r="AV1" s="720"/>
      <c r="AY1" s="721" t="s">
        <v>398</v>
      </c>
      <c r="AZ1" s="721"/>
      <c r="BA1" s="721"/>
      <c r="BB1" s="721"/>
      <c r="BC1" s="721"/>
      <c r="BD1" s="721"/>
    </row>
    <row r="2" spans="1:74" ht="15.6" customHeight="1" x14ac:dyDescent="0.25">
      <c r="A2" t="str" cm="1">
        <f t="array" ref="A2:A161">_xlfn._xlws.SORT(Language!C149:C308)</f>
        <v>África do Sul</v>
      </c>
      <c r="B2" t="str">
        <f>INDEX(Language!$G$149:$G$308,MATCH(A2,Language!$C$149:$C$308,0))</f>
        <v>África Subsaariana</v>
      </c>
      <c r="C2">
        <f>INDEX(Language!$F$149:$F$308,MATCH(A2,Language!$C$149:$C$308,0))</f>
        <v>144</v>
      </c>
      <c r="J2" t="s">
        <v>399</v>
      </c>
      <c r="K2">
        <v>1</v>
      </c>
      <c r="L2">
        <v>1</v>
      </c>
      <c r="M2" t="str">
        <f>Language!C139</f>
        <v>Muito Baixo</v>
      </c>
      <c r="N2" s="7">
        <v>0.6</v>
      </c>
      <c r="O2" t="str">
        <f>M2</f>
        <v>Muito Baixo</v>
      </c>
      <c r="P2" t="str">
        <f>Language!C144</f>
        <v>Preço Baixo todo dia</v>
      </c>
      <c r="R2" t="str">
        <f>O2</f>
        <v>Muito Baixo</v>
      </c>
      <c r="S2" s="35">
        <v>0.1</v>
      </c>
      <c r="T2" s="22">
        <v>1.1111111111111112</v>
      </c>
      <c r="V2" s="21" t="str">
        <f>R2</f>
        <v>Muito Baixo</v>
      </c>
      <c r="W2" s="21">
        <v>0.25</v>
      </c>
      <c r="Y2" t="str">
        <f>M78</f>
        <v>Alemanha</v>
      </c>
      <c r="Z2" s="28">
        <f>'Config!'!P99</f>
        <v>3543.9839091480067</v>
      </c>
      <c r="AA2">
        <f>IF('Config!'!O99="",0,'Config!'!O99)</f>
        <v>80425823</v>
      </c>
      <c r="AB2" s="38">
        <f>IFERROR(Z2*1000000000/AA2,0)</f>
        <v>44065.248908276721</v>
      </c>
      <c r="AC2" s="33">
        <f>SUMIF('Config!'!$V$2:$V$6,'Market Analyzes'!C88,'Config!'!$W$2:$W$6)</f>
        <v>1</v>
      </c>
      <c r="AD2" s="7">
        <f>AF2</f>
        <v>1</v>
      </c>
      <c r="AE2" s="7">
        <f t="array" ref="AE2">AB2*AC2/SUM($AB$2:$AB$11*$AC$2:$AC$11)</f>
        <v>1</v>
      </c>
      <c r="AF2" s="7">
        <f t="array" ref="AF2">AA2*AC2/SUM($AA$2:$AA$11*$AC$2:$AC$11)</f>
        <v>1</v>
      </c>
      <c r="AH2" t="s">
        <v>400</v>
      </c>
      <c r="AI2" t="s">
        <v>401</v>
      </c>
      <c r="AS2" t="s">
        <v>402</v>
      </c>
      <c r="AT2" t="s">
        <v>403</v>
      </c>
      <c r="AU2" t="s">
        <v>404</v>
      </c>
      <c r="AV2" s="38">
        <v>10000000</v>
      </c>
      <c r="AX2" s="214" t="s">
        <v>378</v>
      </c>
      <c r="AY2" s="211" t="s">
        <v>405</v>
      </c>
      <c r="AZ2" s="211" t="s">
        <v>406</v>
      </c>
      <c r="BA2" s="211" t="s">
        <v>406</v>
      </c>
      <c r="BB2" s="211" t="s">
        <v>407</v>
      </c>
      <c r="BC2" s="211" t="s">
        <v>408</v>
      </c>
      <c r="BD2" s="211" t="s">
        <v>409</v>
      </c>
      <c r="BE2" s="211" t="s">
        <v>410</v>
      </c>
      <c r="BF2" s="211" t="s">
        <v>411</v>
      </c>
      <c r="BG2" s="211" t="s">
        <v>412</v>
      </c>
      <c r="BH2" s="211" t="s">
        <v>413</v>
      </c>
      <c r="BI2" s="211" t="s">
        <v>414</v>
      </c>
      <c r="BJ2" s="211" t="s">
        <v>415</v>
      </c>
      <c r="BK2" s="211" t="s">
        <v>415</v>
      </c>
      <c r="BL2" s="211" t="s">
        <v>416</v>
      </c>
    </row>
    <row r="3" spans="1:74" ht="15.6" customHeight="1" x14ac:dyDescent="0.3">
      <c r="A3" t="str">
        <v>Albânia</v>
      </c>
      <c r="B3" t="str">
        <f>INDEX(Language!$G$149:$G$308,MATCH(A3,Language!$C$149:$C$308,0))</f>
        <v>Europa</v>
      </c>
      <c r="C3">
        <f>INDEX(Language!$F$149:$F$308,MATCH(A3,Language!$C$149:$C$308,0))</f>
        <v>1</v>
      </c>
      <c r="J3" t="s">
        <v>417</v>
      </c>
      <c r="K3">
        <v>2</v>
      </c>
      <c r="L3">
        <v>2</v>
      </c>
      <c r="M3" t="str">
        <f>Language!C140</f>
        <v>Baixo</v>
      </c>
      <c r="N3" s="7">
        <v>0.8</v>
      </c>
      <c r="O3" t="str">
        <f t="shared" ref="O3:O6" si="0">M3</f>
        <v>Baixo</v>
      </c>
      <c r="P3" t="str">
        <f>Language!C145</f>
        <v>Desconto (baixo-alto)</v>
      </c>
      <c r="R3" t="str">
        <f t="shared" ref="R3:R6" si="1">O3</f>
        <v>Baixo</v>
      </c>
      <c r="S3" s="35">
        <v>0.2</v>
      </c>
      <c r="T3" s="22">
        <v>1.25</v>
      </c>
      <c r="V3" s="21" t="str">
        <f t="shared" ref="V3:V6" si="2">R3</f>
        <v>Baixo</v>
      </c>
      <c r="W3" s="21">
        <v>0.5</v>
      </c>
      <c r="Y3" t="str">
        <f t="shared" ref="Y3:Y11" si="3">M79</f>
        <v>Noruega</v>
      </c>
      <c r="Z3" s="28">
        <f>'Config!'!P100</f>
        <v>510.22913622690163</v>
      </c>
      <c r="AA3">
        <f>IF('Config!'!O100="",0,'Config!'!O100)</f>
        <v>5018573</v>
      </c>
      <c r="AB3" s="38">
        <f t="shared" ref="AB3:AB12" si="4">IFERROR(Z3*1000000000/AA3,0)</f>
        <v>101668.1706586517</v>
      </c>
      <c r="AC3" s="33">
        <f>SUMIF('Config!'!$V$2:$V$6,'Market Analyzes'!C89,'Config!'!$W$2:$W$6)</f>
        <v>0</v>
      </c>
      <c r="AD3" s="7">
        <f t="shared" ref="AD3:AD12" si="5">AF3</f>
        <v>0</v>
      </c>
      <c r="AE3" s="7">
        <f t="array" ref="AE3">AB3*AC3/SUM($AB$2:$AB$11*$AC$2:$AC$11)</f>
        <v>0</v>
      </c>
      <c r="AF3" s="7">
        <f t="array" ref="AF3">AA3*AC3/SUM($AA$2:$AA$11*$AC$2:$AC$11)</f>
        <v>0</v>
      </c>
      <c r="AI3" t="s">
        <v>1</v>
      </c>
      <c r="AJ3" t="s">
        <v>418</v>
      </c>
      <c r="AK3" t="s">
        <v>419</v>
      </c>
      <c r="AL3" t="s">
        <v>420</v>
      </c>
      <c r="AN3" t="s">
        <v>400</v>
      </c>
      <c r="AO3" t="s">
        <v>401</v>
      </c>
      <c r="AQ3" t="s">
        <v>420</v>
      </c>
      <c r="AT3" t="s">
        <v>421</v>
      </c>
      <c r="AU3" s="40" t="s">
        <v>422</v>
      </c>
      <c r="AV3" s="7">
        <v>0.05</v>
      </c>
      <c r="AX3" s="215">
        <v>1</v>
      </c>
      <c r="AY3" s="181" t="str">
        <f>Language!$C$131&amp;" "&amp;AX3</f>
        <v>Time 1</v>
      </c>
      <c r="AZ3" s="181" t="str">
        <f>IF(BB3="","","T"&amp;AX3&amp;" - "&amp;BA3)</f>
        <v>T1 - BlitzRide</v>
      </c>
      <c r="BA3" s="212" t="s">
        <v>423</v>
      </c>
      <c r="BB3" s="212" t="s">
        <v>424</v>
      </c>
      <c r="BC3" s="212">
        <v>1655</v>
      </c>
      <c r="BD3" s="181" t="str">
        <f t="shared" ref="BD3:BD12" si="6">AY3&amp;"_"&amp;BB3&amp;"_"&amp;BC3</f>
        <v>Time 1_Team 1_1655</v>
      </c>
      <c r="BE3" s="181" t="str">
        <f>SUBSTITUTE(SUBSTITUTE(AY3,"Team ","Empresa_"),"Time ","Empresa_")</f>
        <v>Empresa_1</v>
      </c>
      <c r="BF3" s="247">
        <v>1</v>
      </c>
      <c r="BG3" s="428">
        <f>INDEX('Result data'!$B$187:$DQ$187,1,('Config!'!AX3-1)*12+'Config!'!$BA$17)*0.5</f>
        <v>162783.23147186916</v>
      </c>
      <c r="BH3" s="428">
        <f>INDEX('Result data'!$B$188:$DQ$188,1,('Config!'!AX3-1)*12+'Config!'!$BA$17-1)*0.05</f>
        <v>605772.53774481162</v>
      </c>
      <c r="BI3" s="181" t="str">
        <f>IF($BJ$13&lt;&gt;"Y","",IF('General Report'!C56="","",IF('General Report'!C56&gt;MAX(BG3:BH3),"MSE limit exceeded","")))</f>
        <v/>
      </c>
      <c r="BJ3" s="181" t="str">
        <f t="shared" ref="BJ3:BJ12" si="7">IF(BI3="","",AX3)</f>
        <v/>
      </c>
      <c r="BK3" s="431" t="str">
        <f>IF(BJ3="","",BJ3)</f>
        <v/>
      </c>
      <c r="BL3" s="428">
        <f>MAX(BG3:BH3)</f>
        <v>605772.53774481162</v>
      </c>
    </row>
    <row r="4" spans="1:74" ht="15.6" customHeight="1" x14ac:dyDescent="0.3">
      <c r="A4" t="str">
        <v>Alemanha</v>
      </c>
      <c r="B4" t="str">
        <f>INDEX(Language!$G$149:$G$308,MATCH(A4,Language!$C$149:$C$308,0))</f>
        <v>União Européia</v>
      </c>
      <c r="C4">
        <f>INDEX(Language!$F$149:$F$308,MATCH(A4,Language!$C$149:$C$308,0))</f>
        <v>60</v>
      </c>
      <c r="L4">
        <v>3</v>
      </c>
      <c r="M4" t="str">
        <f>Language!C141</f>
        <v>Médio</v>
      </c>
      <c r="N4" s="7">
        <v>1</v>
      </c>
      <c r="O4" t="str">
        <f t="shared" si="0"/>
        <v>Médio</v>
      </c>
      <c r="P4" t="str">
        <f>Language!C146</f>
        <v>Preço de nivealmento de mercado</v>
      </c>
      <c r="R4" t="str">
        <f t="shared" si="1"/>
        <v>Médio</v>
      </c>
      <c r="S4" s="35">
        <v>0.25</v>
      </c>
      <c r="T4" s="22">
        <v>1.3333333333333333</v>
      </c>
      <c r="V4" s="21" t="str">
        <f t="shared" si="2"/>
        <v>Médio</v>
      </c>
      <c r="W4" s="21">
        <v>1</v>
      </c>
      <c r="Y4" t="str">
        <f t="shared" si="3"/>
        <v>África do Sul</v>
      </c>
      <c r="Z4" s="28">
        <f>'Config!'!P101</f>
        <v>396.3293897202347</v>
      </c>
      <c r="AA4">
        <f>IF('Config!'!O101="",0,'Config!'!O101)</f>
        <v>52356381</v>
      </c>
      <c r="AB4" s="38">
        <f t="shared" si="4"/>
        <v>7569.8392851147346</v>
      </c>
      <c r="AC4" s="33">
        <f>SUMIF('Config!'!$V$2:$V$6,'Market Analyzes'!C90,'Config!'!$W$2:$W$6)</f>
        <v>0</v>
      </c>
      <c r="AD4" s="7">
        <f t="shared" si="5"/>
        <v>0</v>
      </c>
      <c r="AE4" s="7">
        <f t="array" ref="AE4">AB4*AC4/SUM($AB$2:$AB$11*$AC$2:$AC$11)</f>
        <v>0</v>
      </c>
      <c r="AF4" s="7">
        <f t="array" ref="AF4">AA4*AC4/SUM($AA$2:$AA$11*$AC$2:$AC$11)</f>
        <v>0</v>
      </c>
      <c r="AH4" t="s">
        <v>425</v>
      </c>
      <c r="AI4" t="s">
        <v>426</v>
      </c>
      <c r="AK4" s="39"/>
      <c r="AL4">
        <v>100000</v>
      </c>
      <c r="AN4" t="s">
        <v>427</v>
      </c>
      <c r="AO4">
        <v>0</v>
      </c>
      <c r="AP4" s="39">
        <v>2630068.7881291159</v>
      </c>
      <c r="AQ4">
        <v>200000</v>
      </c>
      <c r="AT4" t="s">
        <v>428</v>
      </c>
      <c r="AU4" s="40" t="s">
        <v>422</v>
      </c>
      <c r="AV4" s="7">
        <v>0.06</v>
      </c>
      <c r="AX4" s="215">
        <v>2</v>
      </c>
      <c r="AY4" s="213" t="str">
        <f>Language!$C$131&amp;" "&amp;AX4</f>
        <v>Time 2</v>
      </c>
      <c r="AZ4" s="213" t="str">
        <f t="shared" ref="AZ4:AZ12" si="8">IF(BB4="","","T"&amp;AX4&amp;" - "&amp;BA4)</f>
        <v>T2 - .</v>
      </c>
      <c r="BA4" s="212" t="s">
        <v>12</v>
      </c>
      <c r="BB4" s="212" t="s">
        <v>429</v>
      </c>
      <c r="BC4" s="212">
        <v>8912</v>
      </c>
      <c r="BD4" s="213" t="str">
        <f t="shared" si="6"/>
        <v>Time 2_Team 2_8912</v>
      </c>
      <c r="BE4" s="213" t="str">
        <f t="shared" ref="BE4:BE12" si="9">SUBSTITUTE(SUBSTITUTE(AY4,"Team ","Empresa_"),"Time ","Empresa_")</f>
        <v>Empresa_2</v>
      </c>
      <c r="BF4" s="248">
        <v>2</v>
      </c>
      <c r="BG4" s="429">
        <f>INDEX('Result data'!$B$187:$DQ$187,1,('Config!'!AX4-1)*12+'Config!'!$BA$17)*0.5</f>
        <v>1122233.1656740308</v>
      </c>
      <c r="BH4" s="429">
        <f>INDEX('Result data'!$B$188:$DQ$188,1,('Config!'!AX4-1)*12+'Config!'!$BA$17-1)*0.05</f>
        <v>821462.34789495205</v>
      </c>
      <c r="BI4" s="213" t="str">
        <f>IF($BJ$13&lt;&gt;"Y","",IF('General Report'!C57="","",IF('General Report'!C57&gt;MAX(BG4:BH4),"MSE limit exceeded","")))</f>
        <v/>
      </c>
      <c r="BJ4" s="213" t="str">
        <f t="shared" si="7"/>
        <v/>
      </c>
      <c r="BK4" s="432" t="str">
        <f>IF(BJ4="",BK3,BK3&amp;", "&amp;BJ4)</f>
        <v/>
      </c>
      <c r="BL4" s="429">
        <f t="shared" ref="BL4:BL12" si="10">MAX(BG4:BH4)</f>
        <v>1122233.1656740308</v>
      </c>
    </row>
    <row r="5" spans="1:74" ht="15.6" customHeight="1" x14ac:dyDescent="0.3">
      <c r="A5" t="str">
        <v>Angola</v>
      </c>
      <c r="B5" t="str">
        <f>INDEX(Language!$G$149:$G$308,MATCH(A5,Language!$C$149:$C$308,0))</f>
        <v>África Subsaariana</v>
      </c>
      <c r="C5">
        <f>INDEX(Language!$F$149:$F$308,MATCH(A5,Language!$C$149:$C$308,0))</f>
        <v>4</v>
      </c>
      <c r="L5">
        <v>4</v>
      </c>
      <c r="M5" t="str">
        <f>Language!C142</f>
        <v>Alto</v>
      </c>
      <c r="N5" s="7">
        <v>1.2</v>
      </c>
      <c r="O5" t="str">
        <f t="shared" si="0"/>
        <v>Alto</v>
      </c>
      <c r="P5" t="str">
        <f>Language!C147</f>
        <v>Preço Premium</v>
      </c>
      <c r="R5" t="str">
        <f t="shared" si="1"/>
        <v>Alto</v>
      </c>
      <c r="S5" s="35">
        <v>0.3</v>
      </c>
      <c r="T5" s="22">
        <v>1.4285714285714286</v>
      </c>
      <c r="V5" s="21" t="str">
        <f t="shared" si="2"/>
        <v>Alto</v>
      </c>
      <c r="W5" s="21">
        <v>2</v>
      </c>
      <c r="Y5" t="str">
        <f t="shared" si="3"/>
        <v/>
      </c>
      <c r="Z5" s="28" t="str">
        <f>'Config!'!P102</f>
        <v/>
      </c>
      <c r="AA5">
        <f>IF('Config!'!O102="",0,'Config!'!O102)</f>
        <v>0</v>
      </c>
      <c r="AB5" s="38">
        <f t="shared" si="4"/>
        <v>0</v>
      </c>
      <c r="AC5" s="33">
        <f>SUMIF('Config!'!$V$2:$V$6,'Market Analyzes'!C91,'Config!'!$W$2:$W$6)</f>
        <v>0</v>
      </c>
      <c r="AD5" s="7">
        <f t="shared" si="5"/>
        <v>0</v>
      </c>
      <c r="AE5" s="7">
        <f t="array" ref="AE5">AB5*AC5/SUM($AB$2:$AB$11*$AC$2:$AC$11)</f>
        <v>0</v>
      </c>
      <c r="AF5" s="7">
        <f t="array" ref="AF5">AA5*AC5/SUM($AA$2:$AA$11*$AC$2:$AC$11)</f>
        <v>0</v>
      </c>
      <c r="AI5" t="s">
        <v>430</v>
      </c>
      <c r="AJ5" s="28">
        <v>250000</v>
      </c>
      <c r="AK5" s="28"/>
      <c r="AN5" t="s">
        <v>430</v>
      </c>
      <c r="AO5" s="28">
        <v>300000</v>
      </c>
      <c r="AP5" s="28"/>
      <c r="AV5" s="7"/>
      <c r="AX5" s="215">
        <v>3</v>
      </c>
      <c r="AY5" s="181" t="str">
        <f>Language!$C$131&amp;" "&amp;AX5</f>
        <v>Time 3</v>
      </c>
      <c r="AZ5" s="181" t="str">
        <f t="shared" si="8"/>
        <v xml:space="preserve">T3 - . </v>
      </c>
      <c r="BA5" s="212" t="s">
        <v>431</v>
      </c>
      <c r="BB5" s="212" t="s">
        <v>432</v>
      </c>
      <c r="BC5" s="212">
        <v>7100</v>
      </c>
      <c r="BD5" s="181" t="str">
        <f t="shared" si="6"/>
        <v>Time 3_Team 3_7100</v>
      </c>
      <c r="BE5" s="181" t="str">
        <f t="shared" si="9"/>
        <v>Empresa_3</v>
      </c>
      <c r="BF5" s="247">
        <v>3</v>
      </c>
      <c r="BG5" s="428">
        <f>INDEX('Result data'!$B$187:$DQ$187,1,('Config!'!AX5-1)*12+'Config!'!$BA$17)*0.5</f>
        <v>67319.710819588043</v>
      </c>
      <c r="BH5" s="428">
        <f>INDEX('Result data'!$B$188:$DQ$188,1,('Config!'!AX5-1)*12+'Config!'!$BA$17-1)*0.05</f>
        <v>493503.0967943212</v>
      </c>
      <c r="BI5" s="181" t="str">
        <f>IF($BJ$13&lt;&gt;"Y","",IF('General Report'!C58="","",IF('General Report'!C58&gt;MAX(BG5:BH5),"MSE limit exceeded","")))</f>
        <v/>
      </c>
      <c r="BJ5" s="181" t="str">
        <f t="shared" si="7"/>
        <v/>
      </c>
      <c r="BK5" s="431" t="str">
        <f t="shared" ref="BK5:BK12" si="11">IF(BJ5="",BK4,BK4&amp;", "&amp;BJ5)</f>
        <v/>
      </c>
      <c r="BL5" s="428">
        <f t="shared" si="10"/>
        <v>493503.0967943212</v>
      </c>
    </row>
    <row r="6" spans="1:74" ht="15.6" customHeight="1" x14ac:dyDescent="0.3">
      <c r="A6" t="str">
        <v>Arábia Saudita</v>
      </c>
      <c r="B6" t="str">
        <f>INDEX(Language!$G$149:$G$308,MATCH(A6,Language!$C$149:$C$308,0))</f>
        <v>Oriente médio</v>
      </c>
      <c r="C6">
        <f>INDEX(Language!$F$149:$F$308,MATCH(A6,Language!$C$149:$C$308,0))</f>
        <v>134</v>
      </c>
      <c r="L6">
        <v>5</v>
      </c>
      <c r="M6" t="str">
        <f>Language!C143</f>
        <v>Muito Alto</v>
      </c>
      <c r="N6" s="7">
        <v>2.4</v>
      </c>
      <c r="O6" t="str">
        <f t="shared" si="0"/>
        <v>Muito Alto</v>
      </c>
      <c r="P6" t="str">
        <f>Language!C148</f>
        <v>Preço de luxo</v>
      </c>
      <c r="R6" t="str">
        <f t="shared" si="1"/>
        <v>Muito Alto</v>
      </c>
      <c r="S6" s="35">
        <v>0.4</v>
      </c>
      <c r="T6" s="22">
        <v>1.6666666666666667</v>
      </c>
      <c r="V6" s="21" t="str">
        <f t="shared" si="2"/>
        <v>Muito Alto</v>
      </c>
      <c r="W6" s="21">
        <v>4</v>
      </c>
      <c r="X6" t="str">
        <f t="shared" ref="X6:X11" si="12">M82</f>
        <v/>
      </c>
      <c r="Y6" t="str">
        <f t="shared" si="3"/>
        <v/>
      </c>
      <c r="Z6" s="28" t="str">
        <f>'Config!'!P103</f>
        <v/>
      </c>
      <c r="AA6">
        <f>IF('Config!'!O103="",0,'Config!'!O103)</f>
        <v>0</v>
      </c>
      <c r="AB6" s="38">
        <f t="shared" si="4"/>
        <v>0</v>
      </c>
      <c r="AC6" s="33">
        <f>SUMIF('Config!'!$V$2:$V$6,'Market Analyzes'!C92,'Config!'!$W$2:$W$6)</f>
        <v>0</v>
      </c>
      <c r="AD6" s="7">
        <f t="shared" si="5"/>
        <v>0</v>
      </c>
      <c r="AE6" s="7">
        <f t="array" ref="AE6">AB6*AC6/SUM($AB$2:$AB$11*$AC$2:$AC$11)</f>
        <v>0</v>
      </c>
      <c r="AF6" s="7">
        <f t="array" ref="AF6">AA6*AC6/SUM($AA$2:$AA$11*$AC$2:$AC$11)</f>
        <v>0</v>
      </c>
      <c r="AI6" t="s">
        <v>433</v>
      </c>
      <c r="AJ6" s="28">
        <v>4000000</v>
      </c>
      <c r="AK6" s="28">
        <v>1</v>
      </c>
      <c r="AL6" s="38" t="e" cm="1">
        <f t="array" ref="AL6">FLOOR(MAX(AJ5,SUM(AL7:AL13*AK7:AK13)+AJ6),AL4)</f>
        <v>#VALUE!</v>
      </c>
      <c r="AN6" t="s">
        <v>433</v>
      </c>
      <c r="AO6" s="28">
        <v>5000000</v>
      </c>
      <c r="AP6" s="28">
        <v>1</v>
      </c>
      <c r="AQ6" s="38">
        <f t="array" ref="AQ6">FLOOR(MAX(AO5,SUM(AL7:AL12*AP7:AP12)+AO6),AQ4)</f>
        <v>4000000</v>
      </c>
      <c r="AX6" s="215">
        <v>4</v>
      </c>
      <c r="AY6" s="213" t="str">
        <f>Language!$C$131&amp;" "&amp;AX6</f>
        <v>Time 4</v>
      </c>
      <c r="AZ6" s="213" t="str">
        <f t="shared" si="8"/>
        <v>T4 - We Drive</v>
      </c>
      <c r="BA6" s="212" t="s">
        <v>434</v>
      </c>
      <c r="BB6" s="212" t="s">
        <v>435</v>
      </c>
      <c r="BC6" s="212">
        <v>5864</v>
      </c>
      <c r="BD6" s="213" t="str">
        <f t="shared" si="6"/>
        <v>Time 4_Team 4_5864</v>
      </c>
      <c r="BE6" s="213" t="str">
        <f t="shared" si="9"/>
        <v>Empresa_4</v>
      </c>
      <c r="BF6" s="248">
        <v>4</v>
      </c>
      <c r="BG6" s="429">
        <f>INDEX('Result data'!$B$187:$DQ$187,1,('Config!'!AX6-1)*12+'Config!'!$BA$17)*0.5</f>
        <v>6882549.5643390976</v>
      </c>
      <c r="BH6" s="429">
        <f>INDEX('Result data'!$B$188:$DQ$188,1,('Config!'!AX6-1)*12+'Config!'!$BA$17-1)*0.05</f>
        <v>4396418.8975670431</v>
      </c>
      <c r="BI6" s="213" t="str">
        <f>IF($BJ$13&lt;&gt;"Y","",IF('General Report'!C59="","",IF('General Report'!C59&gt;MAX(BG6:BH6),"MSE limit exceeded","")))</f>
        <v/>
      </c>
      <c r="BJ6" s="213" t="str">
        <f t="shared" si="7"/>
        <v/>
      </c>
      <c r="BK6" s="432" t="str">
        <f t="shared" si="11"/>
        <v/>
      </c>
      <c r="BL6" s="429">
        <f t="shared" si="10"/>
        <v>6882549.5643390976</v>
      </c>
    </row>
    <row r="7" spans="1:74" ht="15.6" customHeight="1" x14ac:dyDescent="0.3">
      <c r="A7" t="str">
        <v>Argélia</v>
      </c>
      <c r="B7" t="str">
        <f>INDEX(Language!$G$149:$G$308,MATCH(A7,Language!$C$149:$C$308,0))</f>
        <v>Oriente médio</v>
      </c>
      <c r="C7">
        <f>INDEX(Language!$F$149:$F$308,MATCH(A7,Language!$C$149:$C$308,0))</f>
        <v>2</v>
      </c>
      <c r="X7" t="str">
        <f t="shared" si="12"/>
        <v/>
      </c>
      <c r="Y7" t="str">
        <f t="shared" si="3"/>
        <v/>
      </c>
      <c r="Z7" s="28" t="str">
        <f>'Config!'!P104</f>
        <v/>
      </c>
      <c r="AA7">
        <f>IF('Config!'!O104="",0,'Config!'!O104)</f>
        <v>0</v>
      </c>
      <c r="AB7" s="38">
        <f t="shared" si="4"/>
        <v>0</v>
      </c>
      <c r="AC7" s="33">
        <f>SUMIF('Config!'!$V$2:$V$6,'Market Analyzes'!C93,'Config!'!$W$2:$W$6)</f>
        <v>0</v>
      </c>
      <c r="AD7" s="7">
        <f t="shared" si="5"/>
        <v>0</v>
      </c>
      <c r="AE7" s="7">
        <f t="array" ref="AE7">AB7*AC7/SUM($AB$2:$AB$11*$AC$2:$AC$11)</f>
        <v>0</v>
      </c>
      <c r="AF7" s="7">
        <f t="array" ref="AF7">AA7*AC7/SUM($AA$2:$AA$11*$AC$2:$AC$11)</f>
        <v>0</v>
      </c>
      <c r="AH7" t="s">
        <v>436</v>
      </c>
      <c r="AI7" t="s">
        <v>437</v>
      </c>
      <c r="AJ7" s="28">
        <v>25514.12768148</v>
      </c>
      <c r="AK7" s="28">
        <v>5</v>
      </c>
      <c r="AL7">
        <f>'Market Analyzes'!C22</f>
        <v>7569.8392851147346</v>
      </c>
      <c r="AN7" t="s">
        <v>437</v>
      </c>
      <c r="AO7" s="28">
        <v>25514.12768148</v>
      </c>
      <c r="AP7" s="28">
        <v>60</v>
      </c>
      <c r="AX7" s="215">
        <v>5</v>
      </c>
      <c r="AY7" s="181" t="str">
        <f>Language!$C$131&amp;" "&amp;AX7</f>
        <v>Time 5</v>
      </c>
      <c r="AZ7" s="181" t="str">
        <f t="shared" si="8"/>
        <v>T5 - Norimono</v>
      </c>
      <c r="BA7" s="212" t="s">
        <v>438</v>
      </c>
      <c r="BB7" s="212" t="s">
        <v>439</v>
      </c>
      <c r="BC7" s="212">
        <v>5117</v>
      </c>
      <c r="BD7" s="181" t="str">
        <f t="shared" si="6"/>
        <v>Time 5_Team 5_5117</v>
      </c>
      <c r="BE7" s="181" t="str">
        <f t="shared" si="9"/>
        <v>Empresa_5</v>
      </c>
      <c r="BF7" s="247">
        <v>5</v>
      </c>
      <c r="BG7" s="428">
        <f>INDEX('Result data'!$B$187:$DQ$187,1,('Config!'!AX7-1)*12+'Config!'!$BA$17)*0.5</f>
        <v>2579956.0895342571</v>
      </c>
      <c r="BH7" s="428">
        <f>INDEX('Result data'!$B$188:$DQ$188,1,('Config!'!AX7-1)*12+'Config!'!$BA$17-1)*0.05</f>
        <v>1915081.5743010447</v>
      </c>
      <c r="BI7" s="181" t="str">
        <f>IF($BJ$13&lt;&gt;"Y","",IF('General Report'!C60="","",IF('General Report'!C60&gt;MAX(BG7:BH7),"MSE limit exceeded","")))</f>
        <v/>
      </c>
      <c r="BJ7" s="181" t="str">
        <f t="shared" si="7"/>
        <v/>
      </c>
      <c r="BK7" s="431" t="str">
        <f t="shared" si="11"/>
        <v/>
      </c>
      <c r="BL7" s="428">
        <f t="shared" si="10"/>
        <v>2579956.0895342571</v>
      </c>
    </row>
    <row r="8" spans="1:74" ht="15.6" customHeight="1" x14ac:dyDescent="0.3">
      <c r="A8" t="str">
        <v>Argentina</v>
      </c>
      <c r="B8" t="str">
        <f>INDEX(Language!$G$149:$G$308,MATCH(A8,Language!$C$149:$C$308,0))</f>
        <v>América do Sul</v>
      </c>
      <c r="C8">
        <f>INDEX(Language!$F$149:$F$308,MATCH(A8,Language!$C$149:$C$308,0))</f>
        <v>6</v>
      </c>
      <c r="X8" t="str">
        <f t="shared" si="12"/>
        <v/>
      </c>
      <c r="Y8" t="str">
        <f t="shared" si="3"/>
        <v/>
      </c>
      <c r="Z8" s="28" t="str">
        <f>'Config!'!P105</f>
        <v/>
      </c>
      <c r="AA8">
        <f>IF('Config!'!O105="",0,'Config!'!O105)</f>
        <v>0</v>
      </c>
      <c r="AB8" s="38">
        <f t="shared" si="4"/>
        <v>0</v>
      </c>
      <c r="AC8" s="33">
        <f>SUMIF('Config!'!$V$2:$V$6,'Market Analyzes'!C94,'Config!'!$W$2:$W$6)</f>
        <v>0</v>
      </c>
      <c r="AD8" s="7">
        <f t="shared" si="5"/>
        <v>0</v>
      </c>
      <c r="AE8" s="7">
        <f t="array" ref="AE8">AB8*AC8/SUM($AB$2:$AB$11*$AC$2:$AC$11)</f>
        <v>0</v>
      </c>
      <c r="AF8" s="7">
        <f t="array" ref="AF8">AA8*AC8/SUM($AA$2:$AA$11*$AC$2:$AC$11)</f>
        <v>0</v>
      </c>
      <c r="AH8" t="s">
        <v>440</v>
      </c>
      <c r="AI8" t="s">
        <v>441</v>
      </c>
      <c r="AJ8" s="28">
        <v>100</v>
      </c>
      <c r="AK8" s="28">
        <v>-30000</v>
      </c>
      <c r="AL8">
        <f>'Market Analyzes'!C29</f>
        <v>81.42</v>
      </c>
      <c r="AN8" t="s">
        <v>441</v>
      </c>
      <c r="AO8" s="28">
        <v>100</v>
      </c>
      <c r="AP8" s="28">
        <v>-15000</v>
      </c>
      <c r="AX8" s="215">
        <v>6</v>
      </c>
      <c r="AY8" s="213" t="str">
        <f>Language!$C$131&amp;" "&amp;AX8</f>
        <v>Time 6</v>
      </c>
      <c r="AZ8" s="213" t="str">
        <f t="shared" si="8"/>
        <v>T6 - NextRide</v>
      </c>
      <c r="BA8" s="212" t="s">
        <v>442</v>
      </c>
      <c r="BB8" s="212" t="s">
        <v>443</v>
      </c>
      <c r="BC8" s="212">
        <v>2533</v>
      </c>
      <c r="BD8" s="213" t="str">
        <f t="shared" si="6"/>
        <v>Time 6_Team 6_2533</v>
      </c>
      <c r="BE8" s="213" t="str">
        <f t="shared" si="9"/>
        <v>Empresa_6</v>
      </c>
      <c r="BF8" s="248">
        <v>6</v>
      </c>
      <c r="BG8" s="429">
        <f>INDEX('Result data'!$B$187:$DQ$187,1,('Config!'!AX8-1)*12+'Config!'!$BA$17)*0.5</f>
        <v>852667.45413093688</v>
      </c>
      <c r="BH8" s="429">
        <f>INDEX('Result data'!$B$188:$DQ$188,1,('Config!'!AX8-1)*12+'Config!'!$BA$17-1)*0.05</f>
        <v>421751.03121251799</v>
      </c>
      <c r="BI8" s="213" t="str">
        <f>IF($BJ$13&lt;&gt;"Y","",IF('General Report'!C61="","",IF('General Report'!C61&gt;MAX(BG8:BH8),"MSE limit exceeded","")))</f>
        <v/>
      </c>
      <c r="BJ8" s="213" t="str">
        <f t="shared" si="7"/>
        <v/>
      </c>
      <c r="BK8" s="432" t="str">
        <f t="shared" si="11"/>
        <v/>
      </c>
      <c r="BL8" s="429">
        <f t="shared" si="10"/>
        <v>852667.45413093688</v>
      </c>
    </row>
    <row r="9" spans="1:74" ht="15.6" customHeight="1" x14ac:dyDescent="0.3">
      <c r="A9" t="str">
        <v>Armênia</v>
      </c>
      <c r="B9" t="str">
        <f>INDEX(Language!$G$149:$G$308,MATCH(A9,Language!$C$149:$C$308,0))</f>
        <v>Europa</v>
      </c>
      <c r="C9">
        <f>INDEX(Language!$F$149:$F$308,MATCH(A9,Language!$C$149:$C$308,0))</f>
        <v>7</v>
      </c>
      <c r="X9" t="str">
        <f t="shared" si="12"/>
        <v/>
      </c>
      <c r="Y9" t="str">
        <f t="shared" si="3"/>
        <v/>
      </c>
      <c r="Z9" s="28" t="str">
        <f>'Config!'!P106</f>
        <v/>
      </c>
      <c r="AA9">
        <f>IF('Config!'!O106="",0,'Config!'!O106)</f>
        <v>0</v>
      </c>
      <c r="AB9" s="38">
        <f t="shared" si="4"/>
        <v>0</v>
      </c>
      <c r="AC9" s="33">
        <f>SUMIF('Config!'!$V$2:$V$6,'Market Analyzes'!C95,'Config!'!$W$2:$W$6)</f>
        <v>0</v>
      </c>
      <c r="AD9" s="7">
        <f t="shared" si="5"/>
        <v>0</v>
      </c>
      <c r="AE9" s="7">
        <f t="array" ref="AE9">AB9*AC9/SUM($AB$2:$AB$11*$AC$2:$AC$11)</f>
        <v>0</v>
      </c>
      <c r="AF9" s="7">
        <f t="array" ref="AF9">AA9*AC9/SUM($AA$2:$AA$11*$AC$2:$AC$11)</f>
        <v>0</v>
      </c>
      <c r="AH9" t="s">
        <v>444</v>
      </c>
      <c r="AI9" t="s">
        <v>445</v>
      </c>
      <c r="AJ9" s="28">
        <v>4</v>
      </c>
      <c r="AK9" s="28">
        <v>-160000</v>
      </c>
      <c r="AL9">
        <f>'Market Analyzes'!C36</f>
        <v>4.1261715500000005</v>
      </c>
      <c r="AN9" t="s">
        <v>445</v>
      </c>
      <c r="AO9" s="28">
        <v>4.0050603459791496</v>
      </c>
      <c r="AP9" s="28">
        <v>-40000</v>
      </c>
      <c r="AX9" s="215">
        <v>7</v>
      </c>
      <c r="AY9" s="181" t="str">
        <f>Language!$C$131&amp;" "&amp;AX9</f>
        <v>Time 7</v>
      </c>
      <c r="AZ9" s="181" t="str">
        <f t="shared" si="8"/>
        <v/>
      </c>
      <c r="BA9" s="212"/>
      <c r="BB9" s="212"/>
      <c r="BC9" s="212"/>
      <c r="BD9" s="181" t="str">
        <f t="shared" si="6"/>
        <v>Time 7__</v>
      </c>
      <c r="BE9" s="181" t="str">
        <f t="shared" si="9"/>
        <v>Empresa_7</v>
      </c>
      <c r="BF9" s="247">
        <v>7</v>
      </c>
      <c r="BG9" s="428">
        <f>INDEX('Result data'!$B$187:$DQ$187,1,('Config!'!AX9-1)*12+'Config!'!$BA$17)*0.5</f>
        <v>5300000</v>
      </c>
      <c r="BH9" s="428">
        <f>INDEX('Result data'!$B$188:$DQ$188,1,('Config!'!AX9-1)*12+'Config!'!$BA$17-1)*0.05</f>
        <v>0</v>
      </c>
      <c r="BI9" s="181" t="str">
        <f>IF($BJ$13&lt;&gt;"Y","",IF('General Report'!C62="","",IF('General Report'!C62&gt;MAX(BG9:BH9),"MSE limit exceeded","")))</f>
        <v/>
      </c>
      <c r="BJ9" s="181" t="str">
        <f t="shared" si="7"/>
        <v/>
      </c>
      <c r="BK9" s="431" t="str">
        <f t="shared" si="11"/>
        <v/>
      </c>
      <c r="BL9" s="428">
        <f t="shared" si="10"/>
        <v>5300000</v>
      </c>
    </row>
    <row r="10" spans="1:74" ht="15.6" customHeight="1" x14ac:dyDescent="0.3">
      <c r="A10" t="str">
        <v>Austrália</v>
      </c>
      <c r="B10" t="str">
        <f>INDEX(Language!$G$149:$G$308,MATCH(A10,Language!$C$149:$C$308,0))</f>
        <v>Oceânia</v>
      </c>
      <c r="C10">
        <f>INDEX(Language!$F$149:$F$308,MATCH(A10,Language!$C$149:$C$308,0))</f>
        <v>8</v>
      </c>
      <c r="X10" t="str">
        <f t="shared" si="12"/>
        <v/>
      </c>
      <c r="Y10" t="str">
        <f t="shared" si="3"/>
        <v/>
      </c>
      <c r="Z10" s="28" t="str">
        <f>'Config!'!P107</f>
        <v/>
      </c>
      <c r="AA10">
        <f>IF('Config!'!O107="",0,'Config!'!O107)</f>
        <v>0</v>
      </c>
      <c r="AB10" s="38">
        <f t="shared" si="4"/>
        <v>0</v>
      </c>
      <c r="AC10" s="33">
        <f>SUMIF('Config!'!$V$2:$V$6,'Market Analyzes'!C96,'Config!'!$W$2:$W$6)</f>
        <v>0</v>
      </c>
      <c r="AD10" s="7">
        <f t="shared" si="5"/>
        <v>0</v>
      </c>
      <c r="AE10" s="7">
        <f t="array" ref="AE10">AB10*AC10/SUM($AB$2:$AB$11*$AC$2:$AC$11)</f>
        <v>0</v>
      </c>
      <c r="AF10" s="7">
        <f t="array" ref="AF10">AA10*AC10/SUM($AA$2:$AA$11*$AC$2:$AC$11)</f>
        <v>0</v>
      </c>
      <c r="AH10" t="s">
        <v>446</v>
      </c>
      <c r="AI10" t="s">
        <v>447</v>
      </c>
      <c r="AJ10" s="28">
        <v>10.3089526606443</v>
      </c>
      <c r="AK10" s="28">
        <v>120000</v>
      </c>
      <c r="AL10">
        <v>0</v>
      </c>
      <c r="AN10" t="s">
        <v>447</v>
      </c>
      <c r="AO10" s="28">
        <v>10.3089526606443</v>
      </c>
      <c r="AP10" s="28">
        <v>120000</v>
      </c>
      <c r="AX10" s="215">
        <v>8</v>
      </c>
      <c r="AY10" s="213" t="str">
        <f>Language!$C$131&amp;" "&amp;AX10</f>
        <v>Time 8</v>
      </c>
      <c r="AZ10" s="213" t="str">
        <f t="shared" si="8"/>
        <v/>
      </c>
      <c r="BA10" s="212"/>
      <c r="BB10" s="212"/>
      <c r="BC10" s="212"/>
      <c r="BD10" s="213" t="str">
        <f t="shared" si="6"/>
        <v>Time 8__</v>
      </c>
      <c r="BE10" s="213" t="str">
        <f t="shared" si="9"/>
        <v>Empresa_8</v>
      </c>
      <c r="BF10" s="248">
        <v>8</v>
      </c>
      <c r="BG10" s="429">
        <f>INDEX('Result data'!$B$187:$DQ$187,1,('Config!'!AX10-1)*12+'Config!'!$BA$17)*0.5</f>
        <v>5300000</v>
      </c>
      <c r="BH10" s="429">
        <f>INDEX('Result data'!$B$188:$DQ$188,1,('Config!'!AX10-1)*12+'Config!'!$BA$17-1)*0.05</f>
        <v>0</v>
      </c>
      <c r="BI10" s="213" t="str">
        <f>IF($BJ$13&lt;&gt;"Y","",IF('General Report'!C63="","",IF('General Report'!C63&gt;MAX(BG10:BH10),"MSE limit exceeded","")))</f>
        <v/>
      </c>
      <c r="BJ10" s="213" t="str">
        <f t="shared" si="7"/>
        <v/>
      </c>
      <c r="BK10" s="432" t="str">
        <f t="shared" si="11"/>
        <v/>
      </c>
      <c r="BL10" s="429">
        <f t="shared" si="10"/>
        <v>5300000</v>
      </c>
    </row>
    <row r="11" spans="1:74" ht="15.6" customHeight="1" x14ac:dyDescent="0.3">
      <c r="A11" t="str">
        <v>Áustria</v>
      </c>
      <c r="B11" t="str">
        <f>INDEX(Language!$G$149:$G$308,MATCH(A11,Language!$C$149:$C$308,0))</f>
        <v>União Européia</v>
      </c>
      <c r="C11">
        <f>INDEX(Language!$F$149:$F$308,MATCH(A11,Language!$C$149:$C$308,0))</f>
        <v>9</v>
      </c>
      <c r="X11" t="str">
        <f t="shared" si="12"/>
        <v/>
      </c>
      <c r="Y11" t="str">
        <f t="shared" si="3"/>
        <v/>
      </c>
      <c r="Z11" s="28" t="str">
        <f>'Config!'!P108</f>
        <v/>
      </c>
      <c r="AA11">
        <f>IF('Config!'!O108="",0,'Config!'!O108)</f>
        <v>0</v>
      </c>
      <c r="AB11" s="38">
        <f t="shared" si="4"/>
        <v>0</v>
      </c>
      <c r="AC11" s="33">
        <f>SUMIF('Config!'!$V$2:$V$6,'Market Analyzes'!C97,'Config!'!$W$2:$W$6)</f>
        <v>0</v>
      </c>
      <c r="AD11" s="7">
        <f t="shared" si="5"/>
        <v>0</v>
      </c>
      <c r="AE11" s="7">
        <f t="array" ref="AE11">AB11*AC11/SUM($AB$2:$AB$11*$AC$2:$AC$11)</f>
        <v>0</v>
      </c>
      <c r="AF11" s="7">
        <f t="array" ref="AF11">AA11*AC11/SUM($AA$2:$AA$11*$AC$2:$AC$11)</f>
        <v>0</v>
      </c>
      <c r="AH11" t="s">
        <v>448</v>
      </c>
      <c r="AI11" t="s">
        <v>449</v>
      </c>
      <c r="AJ11" s="28">
        <v>1</v>
      </c>
      <c r="AK11" s="28">
        <v>-1275706.3840739999</v>
      </c>
      <c r="AL11">
        <f>IF('Market Analyzes'!D39='Config!'!J3,1,0)</f>
        <v>0</v>
      </c>
      <c r="AN11" t="s">
        <v>449</v>
      </c>
      <c r="AO11" s="28">
        <v>1</v>
      </c>
      <c r="AP11" s="28">
        <v>-1148135.7456666001</v>
      </c>
      <c r="AX11" s="215">
        <v>9</v>
      </c>
      <c r="AY11" s="181" t="str">
        <f>Language!$C$131&amp;" "&amp;AX11</f>
        <v>Time 9</v>
      </c>
      <c r="AZ11" s="181" t="str">
        <f t="shared" si="8"/>
        <v/>
      </c>
      <c r="BA11" s="212"/>
      <c r="BB11" s="212"/>
      <c r="BC11" s="212"/>
      <c r="BD11" s="181" t="str">
        <f t="shared" si="6"/>
        <v>Time 9__</v>
      </c>
      <c r="BE11" s="181" t="str">
        <f t="shared" si="9"/>
        <v>Empresa_9</v>
      </c>
      <c r="BF11" s="247">
        <v>9</v>
      </c>
      <c r="BG11" s="428">
        <f>INDEX('Result data'!$B$187:$DQ$187,1,('Config!'!AX11-1)*12+'Config!'!$BA$17)*0.5</f>
        <v>5300000</v>
      </c>
      <c r="BH11" s="428">
        <f>INDEX('Result data'!$B$188:$DQ$188,1,('Config!'!AX11-1)*12+'Config!'!$BA$17-1)*0.05</f>
        <v>0</v>
      </c>
      <c r="BI11" s="181" t="str">
        <f>IF($BJ$13&lt;&gt;"Y","",IF('General Report'!C64="","",IF('General Report'!C64&gt;MAX(BG11:BH11),"MSE limit exceeded","")))</f>
        <v/>
      </c>
      <c r="BJ11" s="181" t="str">
        <f t="shared" si="7"/>
        <v/>
      </c>
      <c r="BK11" s="431" t="str">
        <f t="shared" si="11"/>
        <v/>
      </c>
      <c r="BL11" s="428">
        <f t="shared" si="10"/>
        <v>5300000</v>
      </c>
    </row>
    <row r="12" spans="1:74" ht="15.6" customHeight="1" x14ac:dyDescent="0.3">
      <c r="A12" t="str">
        <v>Azerbaijão</v>
      </c>
      <c r="B12" t="str">
        <f>INDEX(Language!$G$149:$G$308,MATCH(A12,Language!$C$149:$C$308,0))</f>
        <v>Ásia-Pacífico</v>
      </c>
      <c r="C12">
        <f>INDEX(Language!$F$149:$F$308,MATCH(A12,Language!$C$149:$C$308,0))</f>
        <v>10</v>
      </c>
      <c r="Y12" t="s">
        <v>450</v>
      </c>
      <c r="Z12" s="28">
        <f>SUM(Z2:Z11)</f>
        <v>4450.5424350951425</v>
      </c>
      <c r="AA12" s="9">
        <f>SUM(AA2:AA11)</f>
        <v>137800777</v>
      </c>
      <c r="AB12" s="38">
        <f t="shared" si="4"/>
        <v>32296.932803906777</v>
      </c>
      <c r="AC12" cm="1">
        <f t="array" ref="AC12">SUM(AC2:AC11*AA2:AA11)</f>
        <v>80425823</v>
      </c>
      <c r="AD12" s="7">
        <f t="shared" si="5"/>
        <v>1</v>
      </c>
      <c r="AE12" s="40">
        <f t="shared" ref="AE12:AF12" si="13">SUM(AE2:AE11)</f>
        <v>1</v>
      </c>
      <c r="AF12" s="40">
        <f t="shared" si="13"/>
        <v>1</v>
      </c>
      <c r="AH12" t="s">
        <v>451</v>
      </c>
      <c r="AI12" t="s">
        <v>452</v>
      </c>
      <c r="AJ12" s="28">
        <v>4.0050603459791496</v>
      </c>
      <c r="AK12" s="28">
        <v>-50000</v>
      </c>
      <c r="AL12">
        <f>AL11*AL9</f>
        <v>0</v>
      </c>
      <c r="AN12" t="s">
        <v>452</v>
      </c>
      <c r="AO12" s="28">
        <v>4.0050603459791496</v>
      </c>
      <c r="AP12" s="28">
        <v>40000</v>
      </c>
      <c r="AX12" s="215">
        <v>10</v>
      </c>
      <c r="AY12" s="213" t="str">
        <f>Language!$C$131&amp;" "&amp;AX12</f>
        <v>Time 10</v>
      </c>
      <c r="AZ12" s="213" t="str">
        <f t="shared" si="8"/>
        <v/>
      </c>
      <c r="BA12" s="212"/>
      <c r="BB12" s="212"/>
      <c r="BC12" s="212"/>
      <c r="BD12" s="213" t="str">
        <f t="shared" si="6"/>
        <v>Time 10__</v>
      </c>
      <c r="BE12" s="213" t="str">
        <f t="shared" si="9"/>
        <v>Empresa_10</v>
      </c>
      <c r="BF12" s="248">
        <v>10</v>
      </c>
      <c r="BG12" s="429">
        <f>INDEX('Result data'!$B$187:$DQ$187,1,('Config!'!AX12-1)*12+'Config!'!$BA$17)*0.5</f>
        <v>5300000</v>
      </c>
      <c r="BH12" s="429">
        <f>INDEX('Result data'!$B$188:$DQ$188,1,('Config!'!AX12-1)*12+'Config!'!$BA$17-1)*0.05</f>
        <v>0</v>
      </c>
      <c r="BI12" s="213" t="str">
        <f>IF($BJ$13&lt;&gt;"Y","",IF('General Report'!C65="","",IF('General Report'!C65&gt;MAX(BG12:BH12),"MSE limit exceeded","")))</f>
        <v/>
      </c>
      <c r="BJ12" s="213" t="str">
        <f t="shared" si="7"/>
        <v/>
      </c>
      <c r="BK12" s="432" t="str">
        <f t="shared" si="11"/>
        <v/>
      </c>
      <c r="BL12" s="429">
        <f t="shared" si="10"/>
        <v>5300000</v>
      </c>
    </row>
    <row r="13" spans="1:74" ht="15.6" customHeight="1" x14ac:dyDescent="0.3">
      <c r="A13" t="str">
        <v>Bahamas.</v>
      </c>
      <c r="B13" t="str">
        <f>INDEX(Language!$G$149:$G$308,MATCH(A13,Language!$C$149:$C$308,0))</f>
        <v>Caribe</v>
      </c>
      <c r="C13">
        <f>INDEX(Language!$F$149:$F$308,MATCH(A13,Language!$C$149:$C$308,0))</f>
        <v>11</v>
      </c>
      <c r="AH13" t="s">
        <v>453</v>
      </c>
      <c r="AI13" t="s">
        <v>454</v>
      </c>
      <c r="AJ13">
        <v>20124213.73020862</v>
      </c>
      <c r="AK13">
        <v>0.82629831775524643</v>
      </c>
      <c r="AL13" t="e">
        <f>'Market Analyzes'!D103*'Market Analyzes'!D106*'Market Analyzes'!C11</f>
        <v>#VALUE!</v>
      </c>
      <c r="BI13" t="s">
        <v>455</v>
      </c>
      <c r="BJ13" s="477" t="s">
        <v>425</v>
      </c>
      <c r="BK13" s="181" t="str">
        <f>IF(BJ13="Y",IF(COUNTBLANK(BJ3:BJ12)=10,"","MSE limit exceeded for companies "&amp;BK12),"")</f>
        <v/>
      </c>
    </row>
    <row r="14" spans="1:74" ht="15.6" customHeight="1" x14ac:dyDescent="0.25">
      <c r="A14" t="str">
        <v>Bahrein</v>
      </c>
      <c r="B14" t="str">
        <f>INDEX(Language!$G$149:$G$308,MATCH(A14,Language!$C$149:$C$308,0))</f>
        <v>Oriente médio</v>
      </c>
      <c r="C14">
        <f>INDEX(Language!$F$149:$F$308,MATCH(A14,Language!$C$149:$C$308,0))</f>
        <v>12</v>
      </c>
      <c r="AO14" t="s">
        <v>456</v>
      </c>
      <c r="AP14" s="7">
        <v>0.5</v>
      </c>
      <c r="BK14" t="str">
        <f>IF(COUNTBLANK(BJ3:BJ12)=10,"","MSE limit exceeded for companies "&amp;BK12)</f>
        <v/>
      </c>
    </row>
    <row r="15" spans="1:74" ht="15.6" customHeight="1" x14ac:dyDescent="0.25">
      <c r="A15" t="str">
        <v>Bangladesh</v>
      </c>
      <c r="B15" t="str">
        <f>INDEX(Language!$G$149:$G$308,MATCH(A15,Language!$C$149:$C$308,0))</f>
        <v>Ásia-Pacífico</v>
      </c>
      <c r="C15">
        <f>INDEX(Language!$F$149:$F$308,MATCH(A15,Language!$C$149:$C$308,0))</f>
        <v>13</v>
      </c>
      <c r="J15" s="37"/>
      <c r="K15" s="43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658" t="s">
        <v>457</v>
      </c>
      <c r="AZ15" s="659" t="s">
        <v>458</v>
      </c>
      <c r="BA15" s="660">
        <v>2012</v>
      </c>
      <c r="BB15" s="37"/>
      <c r="BC15" s="661" t="s">
        <v>459</v>
      </c>
      <c r="BD15" s="661" t="s">
        <v>460</v>
      </c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</row>
    <row r="16" spans="1:74" ht="15.6" customHeight="1" x14ac:dyDescent="0.25">
      <c r="A16" t="str">
        <v>Barbados.</v>
      </c>
      <c r="B16" t="str">
        <f>INDEX(Language!$G$149:$G$308,MATCH(A16,Language!$C$149:$C$308,0))</f>
        <v>Caribe</v>
      </c>
      <c r="C16">
        <f>INDEX(Language!$F$149:$F$308,MATCH(A16,Language!$C$149:$C$308,0))</f>
        <v>14</v>
      </c>
      <c r="J16" s="37"/>
      <c r="K16" s="43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/>
      <c r="BB16" s="37"/>
      <c r="BC16" s="662">
        <v>2010</v>
      </c>
      <c r="BD16" s="661">
        <v>0</v>
      </c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</row>
    <row r="17" spans="1:74" ht="15.6" customHeight="1" x14ac:dyDescent="0.25">
      <c r="A17" t="str">
        <v>Bélgica</v>
      </c>
      <c r="B17" t="str">
        <f>INDEX(Language!$G$149:$G$308,MATCH(A17,Language!$C$149:$C$308,0))</f>
        <v>União Européia</v>
      </c>
      <c r="C17">
        <f>INDEX(Language!$F$149:$F$308,MATCH(A17,Language!$C$149:$C$308,0))</f>
        <v>16</v>
      </c>
      <c r="J17" s="37"/>
      <c r="K17" s="43" t="s">
        <v>461</v>
      </c>
      <c r="L17" s="37">
        <f>SUMIF(team,'Market Analyzes'!C3,'Config!'!$AX$3:$AX$12)</f>
        <v>1</v>
      </c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184" t="s">
        <v>462</v>
      </c>
      <c r="AZ17" s="184">
        <f>IF(AZ19="",SUMIF(year,'Market Analyzes'!C5,'Config!'!$AZ$21:$AZ$33),0)</f>
        <v>2</v>
      </c>
      <c r="BA17" s="184">
        <f>SUMIF(year,BA15,$AZ$21:$AZ$33)</f>
        <v>2</v>
      </c>
      <c r="BB17" s="37"/>
      <c r="BC17" s="662">
        <v>2011</v>
      </c>
      <c r="BD17" s="661">
        <v>1</v>
      </c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</row>
    <row r="18" spans="1:74" ht="15.6" customHeight="1" x14ac:dyDescent="0.4">
      <c r="A18" t="str">
        <v>Belize</v>
      </c>
      <c r="B18" t="str">
        <f>INDEX(Language!$G$149:$G$308,MATCH(A18,Language!$C$149:$C$308,0))</f>
        <v>América Central</v>
      </c>
      <c r="C18">
        <f>INDEX(Language!$F$149:$F$308,MATCH(A18,Language!$C$149:$C$308,0))</f>
        <v>17</v>
      </c>
      <c r="J18" s="41" t="s">
        <v>463</v>
      </c>
      <c r="K18" s="42"/>
      <c r="L18" s="41"/>
      <c r="M18" s="41"/>
      <c r="N18" s="41" t="s">
        <v>464</v>
      </c>
      <c r="O18" s="41">
        <v>2</v>
      </c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/>
      <c r="BB18" s="41"/>
      <c r="BC18" s="662">
        <v>2012</v>
      </c>
      <c r="BD18" s="661">
        <v>2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</row>
    <row r="19" spans="1:74" ht="15.6" customHeight="1" x14ac:dyDescent="0.4">
      <c r="A19" t="str">
        <v>Benin</v>
      </c>
      <c r="B19" t="str">
        <f>INDEX(Language!$G$149:$G$308,MATCH(A19,Language!$C$149:$C$308,0))</f>
        <v>África Subsaariana</v>
      </c>
      <c r="C19">
        <f>INDEX(Language!$F$149:$F$308,MATCH(A19,Language!$C$149:$C$308,0))</f>
        <v>18</v>
      </c>
      <c r="J19" s="41">
        <f>SUMIF('Config!'!A:A,'Market Analyzes'!C6,'Config!'!C:C)</f>
        <v>144</v>
      </c>
      <c r="K19" s="42"/>
      <c r="L19" s="41"/>
      <c r="M19" s="41"/>
      <c r="N19" s="41" t="s">
        <v>465</v>
      </c>
      <c r="O19" s="41">
        <v>1</v>
      </c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/>
      <c r="AZ19" t="str">
        <f>IF('Market Analyzes'!C5&gt;'Config!'!BA15," (Not allowed)","")</f>
        <v/>
      </c>
      <c r="BB19" s="41"/>
      <c r="BC19" s="662"/>
      <c r="BD19" s="661">
        <v>3</v>
      </c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</row>
    <row r="20" spans="1:74" ht="15.6" customHeight="1" x14ac:dyDescent="0.25">
      <c r="A20" t="str">
        <v>Bielorrússia</v>
      </c>
      <c r="B20" t="str">
        <f>INDEX(Language!$G$149:$G$308,MATCH(A20,Language!$C$149:$C$308,0))</f>
        <v>Europa</v>
      </c>
      <c r="C20">
        <f>INDEX(Language!$F$149:$F$308,MATCH(A20,Language!$C$149:$C$308,0))</f>
        <v>15</v>
      </c>
      <c r="J20" s="43"/>
      <c r="K20" s="43"/>
      <c r="L20" s="43"/>
      <c r="M20" s="43"/>
      <c r="N20" s="43"/>
      <c r="O20" s="399">
        <f>(L17-1)*12+'Config!'!BA17</f>
        <v>2</v>
      </c>
      <c r="P20" s="399"/>
      <c r="Q20" s="399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184" t="s">
        <v>466</v>
      </c>
      <c r="AZ20" s="184" t="s">
        <v>467</v>
      </c>
      <c r="BA20" s="184" t="s">
        <v>468</v>
      </c>
      <c r="BB20" s="43"/>
      <c r="BC20" s="662"/>
      <c r="BD20" s="661">
        <v>4</v>
      </c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</row>
    <row r="21" spans="1:74" ht="15.6" customHeight="1" x14ac:dyDescent="0.45">
      <c r="A21" t="str">
        <v>Bolívia</v>
      </c>
      <c r="B21" t="str">
        <f>INDEX(Language!$G$149:$G$308,MATCH(A21,Language!$C$149:$C$308,0))</f>
        <v>América do Sul</v>
      </c>
      <c r="C21">
        <f>INDEX(Language!$F$149:$F$308,MATCH(A21,Language!$C$149:$C$308,0))</f>
        <v>21</v>
      </c>
      <c r="J21" s="48"/>
      <c r="K21" s="49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>
        <v>2010</v>
      </c>
      <c r="AZ21">
        <v>0</v>
      </c>
      <c r="BA21">
        <f>IF(AY21&gt;$BA$15,"",AY21)</f>
        <v>2010</v>
      </c>
      <c r="BB21" s="48"/>
      <c r="BC21" s="662"/>
      <c r="BD21" s="661">
        <v>5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</row>
    <row r="22" spans="1:74" ht="15.6" customHeight="1" x14ac:dyDescent="0.4">
      <c r="A22" t="str">
        <v>Bósnia e Herzegovina</v>
      </c>
      <c r="B22" t="str">
        <f>INDEX(Language!$G$149:$G$308,MATCH(A22,Language!$C$149:$C$308,0))</f>
        <v>Europa</v>
      </c>
      <c r="C22">
        <f>INDEX(Language!$F$149:$F$308,MATCH(A22,Language!$C$149:$C$308,0))</f>
        <v>171</v>
      </c>
      <c r="J22" s="41"/>
      <c r="K22" s="42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132">
        <v>2011</v>
      </c>
      <c r="AZ22" s="132">
        <v>1</v>
      </c>
      <c r="BA22" s="132">
        <f t="shared" ref="BA22:BA33" si="14">IF(AY22&gt;$BA$15,$BA$15,AY22)</f>
        <v>2011</v>
      </c>
      <c r="BB22" s="41"/>
      <c r="BC22" s="662"/>
      <c r="BD22" s="661">
        <v>6</v>
      </c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</row>
    <row r="23" spans="1:74" ht="15.6" customHeight="1" x14ac:dyDescent="0.35">
      <c r="A23" t="str">
        <v>Botsuana</v>
      </c>
      <c r="B23" t="str">
        <f>INDEX(Language!$G$149:$G$308,MATCH(A23,Language!$C$149:$C$308,0))</f>
        <v>África Subsaariana</v>
      </c>
      <c r="C23">
        <f>INDEX(Language!$F$149:$F$308,MATCH(A23,Language!$C$149:$C$308,0))</f>
        <v>22</v>
      </c>
      <c r="J23" s="51"/>
      <c r="K23" s="52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>
        <v>2012</v>
      </c>
      <c r="AZ23">
        <v>2</v>
      </c>
      <c r="BA23">
        <f t="shared" si="14"/>
        <v>2012</v>
      </c>
      <c r="BB23" s="51"/>
      <c r="BC23" s="662"/>
      <c r="BD23" s="661">
        <v>7</v>
      </c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</row>
    <row r="24" spans="1:74" ht="15.6" customHeight="1" x14ac:dyDescent="0.25">
      <c r="A24" t="str">
        <v>Brasil</v>
      </c>
      <c r="B24" t="str">
        <f>INDEX(Language!$G$149:$G$308,MATCH(A24,Language!$C$149:$C$308,0))</f>
        <v>América do Sul</v>
      </c>
      <c r="C24">
        <f>INDEX(Language!$F$149:$F$308,MATCH(A24,Language!$C$149:$C$308,0))</f>
        <v>23</v>
      </c>
      <c r="J24" s="37"/>
      <c r="K24" s="43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132">
        <v>2013</v>
      </c>
      <c r="AZ24" s="132">
        <v>3</v>
      </c>
      <c r="BA24" s="132">
        <f t="shared" si="14"/>
        <v>2012</v>
      </c>
      <c r="BB24" s="37"/>
      <c r="BC24" s="662"/>
      <c r="BD24" s="661">
        <v>8</v>
      </c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</row>
    <row r="25" spans="1:74" ht="15.6" customHeight="1" x14ac:dyDescent="0.25">
      <c r="A25" t="str">
        <v>Bulgária</v>
      </c>
      <c r="B25" t="str">
        <f>INDEX(Language!$G$149:$G$308,MATCH(A25,Language!$C$149:$C$308,0))</f>
        <v>União Européia</v>
      </c>
      <c r="C25">
        <f>INDEX(Language!$F$149:$F$308,MATCH(A25,Language!$C$149:$C$308,0))</f>
        <v>24</v>
      </c>
      <c r="J25" s="37"/>
      <c r="K25" s="43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>
        <v>2014</v>
      </c>
      <c r="AZ25">
        <v>4</v>
      </c>
      <c r="BA25">
        <f t="shared" si="14"/>
        <v>2012</v>
      </c>
      <c r="BB25" s="37"/>
      <c r="BC25" s="662"/>
      <c r="BD25" s="661">
        <v>9</v>
      </c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</row>
    <row r="26" spans="1:74" ht="15.6" customHeight="1" x14ac:dyDescent="0.25">
      <c r="A26" t="str">
        <v>Burkina Faso</v>
      </c>
      <c r="B26" t="str">
        <f>INDEX(Language!$G$149:$G$308,MATCH(A26,Language!$C$149:$C$308,0))</f>
        <v>África Subsaariana</v>
      </c>
      <c r="C26">
        <f>INDEX(Language!$F$149:$F$308,MATCH(A26,Language!$C$149:$C$308,0))</f>
        <v>25</v>
      </c>
      <c r="J26" s="37"/>
      <c r="K26" s="43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132">
        <v>2015</v>
      </c>
      <c r="AZ26" s="132">
        <v>5</v>
      </c>
      <c r="BA26" s="132">
        <f t="shared" si="14"/>
        <v>2012</v>
      </c>
      <c r="BB26" s="37"/>
      <c r="BC26" s="662"/>
      <c r="BD26" s="661">
        <v>10</v>
      </c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</row>
    <row r="27" spans="1:74" ht="15.6" customHeight="1" x14ac:dyDescent="0.25">
      <c r="A27" t="str">
        <v>Burundi</v>
      </c>
      <c r="B27" t="str">
        <f>INDEX(Language!$G$149:$G$308,MATCH(A27,Language!$C$149:$C$308,0))</f>
        <v>África Subsaariana</v>
      </c>
      <c r="C27">
        <f>INDEX(Language!$F$149:$F$308,MATCH(A27,Language!$C$149:$C$308,0))</f>
        <v>26</v>
      </c>
      <c r="J27" s="37"/>
      <c r="K27" s="43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>
        <v>2016</v>
      </c>
      <c r="AZ27">
        <v>6</v>
      </c>
      <c r="BA27">
        <f t="shared" si="14"/>
        <v>2012</v>
      </c>
      <c r="BB27" s="37"/>
      <c r="BC27" s="662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</row>
    <row r="28" spans="1:74" ht="15.6" customHeight="1" x14ac:dyDescent="0.4">
      <c r="A28" t="str">
        <v>Butão</v>
      </c>
      <c r="B28" t="str">
        <f>INDEX(Language!$G$149:$G$308,MATCH(A28,Language!$C$149:$C$308,0))</f>
        <v>Ásia-Pacífico</v>
      </c>
      <c r="C28">
        <f>INDEX(Language!$F$149:$F$308,MATCH(A28,Language!$C$149:$C$308,0))</f>
        <v>20</v>
      </c>
      <c r="J28" s="41"/>
      <c r="K28" s="42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132">
        <v>2017</v>
      </c>
      <c r="AZ28" s="132">
        <v>7</v>
      </c>
      <c r="BA28" s="132">
        <f t="shared" si="14"/>
        <v>2012</v>
      </c>
      <c r="BB28" s="41"/>
      <c r="BC28" s="663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</row>
    <row r="29" spans="1:74" ht="15.6" customHeight="1" x14ac:dyDescent="0.35">
      <c r="A29" t="str">
        <v>Camarões</v>
      </c>
      <c r="B29" t="str">
        <f>INDEX(Language!$G$149:$G$308,MATCH(A29,Language!$C$149:$C$308,0))</f>
        <v>África Subsaariana</v>
      </c>
      <c r="C29">
        <f>INDEX(Language!$F$149:$F$308,MATCH(A29,Language!$C$149:$C$308,0))</f>
        <v>28</v>
      </c>
      <c r="J29" s="51"/>
      <c r="K29" s="52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>
        <v>2018</v>
      </c>
      <c r="AZ29">
        <v>8</v>
      </c>
      <c r="BA29">
        <f t="shared" si="14"/>
        <v>2012</v>
      </c>
      <c r="BB29" s="51"/>
      <c r="BC29" s="66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</row>
    <row r="30" spans="1:74" ht="15.6" customHeight="1" x14ac:dyDescent="0.25">
      <c r="A30" t="str">
        <v>Camboja</v>
      </c>
      <c r="B30" t="str">
        <f>INDEX(Language!$G$149:$G$308,MATCH(A30,Language!$C$149:$C$308,0))</f>
        <v>Ásia-Pacífico</v>
      </c>
      <c r="C30">
        <f>INDEX(Language!$F$149:$F$308,MATCH(A30,Language!$C$149:$C$308,0))</f>
        <v>27</v>
      </c>
      <c r="J30" s="37"/>
      <c r="K30" s="43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132">
        <v>2019</v>
      </c>
      <c r="AZ30" s="132">
        <v>9</v>
      </c>
      <c r="BA30" s="132">
        <f t="shared" si="14"/>
        <v>2012</v>
      </c>
      <c r="BB30" s="37"/>
      <c r="BC30" s="662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</row>
    <row r="31" spans="1:74" ht="15.6" customHeight="1" x14ac:dyDescent="0.25">
      <c r="A31" t="str">
        <v>Canadá</v>
      </c>
      <c r="B31" t="str">
        <f>INDEX(Language!$G$149:$G$308,MATCH(A31,Language!$C$149:$C$308,0))</f>
        <v>América do Norte</v>
      </c>
      <c r="C31">
        <f>INDEX(Language!$F$149:$F$308,MATCH(A31,Language!$C$149:$C$308,0))</f>
        <v>29</v>
      </c>
      <c r="J31" s="37"/>
      <c r="K31" s="43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>
        <v>2020</v>
      </c>
      <c r="AZ31">
        <v>10</v>
      </c>
      <c r="BA31">
        <f t="shared" si="14"/>
        <v>2012</v>
      </c>
      <c r="BB31" s="37"/>
      <c r="BC31" s="662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</row>
    <row r="32" spans="1:74" ht="15.6" customHeight="1" x14ac:dyDescent="0.25">
      <c r="A32" t="str">
        <v>Catar</v>
      </c>
      <c r="B32" t="str">
        <f>INDEX(Language!$G$149:$G$308,MATCH(A32,Language!$C$149:$C$308,0))</f>
        <v>Oriente médio</v>
      </c>
      <c r="C32">
        <f>INDEX(Language!$F$149:$F$308,MATCH(A32,Language!$C$149:$C$308,0))</f>
        <v>128</v>
      </c>
      <c r="J32" s="37"/>
      <c r="K32" s="43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132">
        <v>2021</v>
      </c>
      <c r="AZ32" s="132">
        <v>11</v>
      </c>
      <c r="BA32" s="132">
        <f t="shared" si="14"/>
        <v>2012</v>
      </c>
      <c r="BB32" s="37"/>
      <c r="BC32" s="662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</row>
    <row r="33" spans="1:74" ht="15.6" customHeight="1" x14ac:dyDescent="0.25">
      <c r="A33" t="str">
        <v>Cazaquistão</v>
      </c>
      <c r="B33" t="str">
        <f>INDEX(Language!$G$149:$G$308,MATCH(A33,Language!$C$149:$C$308,0))</f>
        <v>Ásia-Pacífico</v>
      </c>
      <c r="C33">
        <f>INDEX(Language!$F$149:$F$308,MATCH(A33,Language!$C$149:$C$308,0))</f>
        <v>81</v>
      </c>
      <c r="J33" s="37"/>
      <c r="K33" s="43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>
        <v>2022</v>
      </c>
      <c r="AZ33">
        <v>12</v>
      </c>
      <c r="BA33">
        <f t="shared" si="14"/>
        <v>2012</v>
      </c>
      <c r="BB33" s="37"/>
      <c r="BC33" s="662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</row>
    <row r="34" spans="1:74" ht="15.6" customHeight="1" x14ac:dyDescent="0.25">
      <c r="A34" t="str">
        <v>Chade</v>
      </c>
      <c r="B34" t="str">
        <f>INDEX(Language!$G$149:$G$308,MATCH(A34,Language!$C$149:$C$308,0))</f>
        <v>África Subsaariana</v>
      </c>
      <c r="C34">
        <f>INDEX(Language!$F$149:$F$308,MATCH(A34,Language!$C$149:$C$308,0))</f>
        <v>32</v>
      </c>
      <c r="J34" s="37"/>
      <c r="K34" s="43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662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</row>
    <row r="35" spans="1:74" ht="15.6" customHeight="1" x14ac:dyDescent="0.25">
      <c r="A35" t="str">
        <v>Chile</v>
      </c>
      <c r="B35" t="str">
        <f>INDEX(Language!$G$149:$G$308,MATCH(A35,Language!$C$149:$C$308,0))</f>
        <v>América do Sul</v>
      </c>
      <c r="C35">
        <f>INDEX(Language!$F$149:$F$308,MATCH(A35,Language!$C$149:$C$308,0))</f>
        <v>33</v>
      </c>
      <c r="J35" s="37"/>
      <c r="K35" s="43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</row>
    <row r="36" spans="1:74" ht="15.6" customHeight="1" x14ac:dyDescent="0.25">
      <c r="A36" t="str">
        <v>China</v>
      </c>
      <c r="B36" t="str">
        <f>INDEX(Language!$G$149:$G$308,MATCH(A36,Language!$C$149:$C$308,0))</f>
        <v>Ásia-Pacífico</v>
      </c>
      <c r="C36">
        <f>INDEX(Language!$F$149:$F$308,MATCH(A36,Language!$C$149:$C$308,0))</f>
        <v>34</v>
      </c>
      <c r="J36" s="37"/>
      <c r="K36" s="43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41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</row>
    <row r="37" spans="1:74" ht="15.6" customHeight="1" x14ac:dyDescent="0.25">
      <c r="A37" t="str">
        <v>Chipre</v>
      </c>
      <c r="B37" t="str">
        <f>INDEX(Language!$G$149:$G$308,MATCH(A37,Language!$C$149:$C$308,0))</f>
        <v>União Européia</v>
      </c>
      <c r="C37">
        <f>INDEX(Language!$F$149:$F$308,MATCH(A37,Language!$C$149:$C$308,0))</f>
        <v>40</v>
      </c>
      <c r="J37" s="37"/>
      <c r="K37" s="43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51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</row>
    <row r="38" spans="1:74" ht="15.6" customHeight="1" x14ac:dyDescent="0.25">
      <c r="A38" t="str">
        <v>Cingapura</v>
      </c>
      <c r="B38" t="str">
        <f>INDEX(Language!$G$149:$G$308,MATCH(A38,Language!$C$149:$C$308,0))</f>
        <v>Ásia-Pacífico</v>
      </c>
      <c r="C38">
        <f>INDEX(Language!$F$149:$F$308,MATCH(A38,Language!$C$149:$C$308,0))</f>
        <v>139</v>
      </c>
      <c r="J38" s="37"/>
      <c r="K38" s="43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</row>
    <row r="39" spans="1:74" ht="15.6" customHeight="1" x14ac:dyDescent="0.25">
      <c r="A39" t="str">
        <v>Colômbia</v>
      </c>
      <c r="B39" t="str">
        <f>INDEX(Language!$G$149:$G$308,MATCH(A39,Language!$C$149:$C$308,0))</f>
        <v>América do Sul</v>
      </c>
      <c r="C39">
        <f>INDEX(Language!$F$149:$F$308,MATCH(A39,Language!$C$149:$C$308,0))</f>
        <v>35</v>
      </c>
      <c r="J39" s="37"/>
      <c r="K39" s="43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</row>
    <row r="40" spans="1:74" ht="15.6" customHeight="1" x14ac:dyDescent="0.25">
      <c r="A40" t="str">
        <v>Comores.</v>
      </c>
      <c r="B40" t="str">
        <f>INDEX(Language!$G$149:$G$308,MATCH(A40,Language!$C$149:$C$308,0))</f>
        <v>África Subsaariana</v>
      </c>
      <c r="C40">
        <f>INDEX(Language!$F$149:$F$308,MATCH(A40,Language!$C$149:$C$308,0))</f>
        <v>36</v>
      </c>
      <c r="J40" s="37"/>
      <c r="K40" s="43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</row>
    <row r="41" spans="1:74" ht="15.6" customHeight="1" x14ac:dyDescent="0.25">
      <c r="A41" t="str">
        <v>Coreia do Sul</v>
      </c>
      <c r="B41" t="str">
        <f>INDEX(Language!$G$149:$G$308,MATCH(A41,Language!$C$149:$C$308,0))</f>
        <v>Ásia-Pacífico</v>
      </c>
      <c r="C41">
        <f>INDEX(Language!$F$149:$F$308,MATCH(A41,Language!$C$149:$C$308,0))</f>
        <v>145</v>
      </c>
      <c r="J41" s="37"/>
      <c r="K41" s="43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</row>
    <row r="42" spans="1:74" ht="15.6" customHeight="1" x14ac:dyDescent="0.25">
      <c r="A42" t="str">
        <v>Costa Rica</v>
      </c>
      <c r="B42" t="str">
        <f>INDEX(Language!$G$149:$G$308,MATCH(A42,Language!$C$149:$C$308,0))</f>
        <v>América Central</v>
      </c>
      <c r="C42">
        <f>INDEX(Language!$F$149:$F$308,MATCH(A42,Language!$C$149:$C$308,0))</f>
        <v>37</v>
      </c>
      <c r="J42" s="37"/>
      <c r="K42" s="43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</row>
    <row r="43" spans="1:74" ht="15.6" customHeight="1" x14ac:dyDescent="0.4">
      <c r="A43" t="str">
        <v>Croácia</v>
      </c>
      <c r="B43" t="str">
        <f>INDEX(Language!$G$149:$G$308,MATCH(A43,Language!$C$149:$C$308,0))</f>
        <v>Europa</v>
      </c>
      <c r="C43">
        <f>INDEX(Language!$F$149:$F$308,MATCH(A43,Language!$C$149:$C$308,0))</f>
        <v>38</v>
      </c>
      <c r="J43" s="41"/>
      <c r="K43" s="42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37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</row>
    <row r="44" spans="1:74" ht="15.6" customHeight="1" x14ac:dyDescent="0.35">
      <c r="A44" t="str">
        <v>Cuba</v>
      </c>
      <c r="B44" t="str">
        <f>INDEX(Language!$G$149:$G$308,MATCH(A44,Language!$C$149:$C$308,0))</f>
        <v>Caribe</v>
      </c>
      <c r="C44">
        <f>INDEX(Language!$F$149:$F$308,MATCH(A44,Language!$C$149:$C$308,0))</f>
        <v>39</v>
      </c>
      <c r="J44" s="51"/>
      <c r="K44" s="52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37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</row>
    <row r="45" spans="1:74" ht="15.6" customHeight="1" x14ac:dyDescent="0.25">
      <c r="A45" t="str">
        <v>Dinamarca</v>
      </c>
      <c r="B45" t="str">
        <f>INDEX(Language!$G$149:$G$308,MATCH(A45,Language!$C$149:$C$308,0))</f>
        <v>União Européia</v>
      </c>
      <c r="C45">
        <f>INDEX(Language!$F$149:$F$308,MATCH(A45,Language!$C$149:$C$308,0))</f>
        <v>43</v>
      </c>
      <c r="J45" s="37"/>
      <c r="K45" s="43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</row>
    <row r="46" spans="1:74" ht="15.6" customHeight="1" x14ac:dyDescent="0.25">
      <c r="A46" t="str">
        <v>Djibuti</v>
      </c>
      <c r="B46" t="str">
        <f>INDEX(Language!$G$149:$G$308,MATCH(A46,Language!$C$149:$C$308,0))</f>
        <v>África Subsaariana</v>
      </c>
      <c r="C46">
        <f>INDEX(Language!$F$149:$F$308,MATCH(A46,Language!$C$149:$C$308,0))</f>
        <v>44</v>
      </c>
      <c r="J46" s="37"/>
      <c r="K46" s="43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</row>
    <row r="47" spans="1:74" ht="15.6" customHeight="1" x14ac:dyDescent="0.25">
      <c r="A47" t="str">
        <v>Dominica.</v>
      </c>
      <c r="B47" t="str">
        <f>INDEX(Language!$G$149:$G$308,MATCH(A47,Language!$C$149:$C$308,0))</f>
        <v>Caribe</v>
      </c>
      <c r="C47">
        <f>INDEX(Language!$F$149:$F$308,MATCH(A47,Language!$C$149:$C$308,0))</f>
        <v>45</v>
      </c>
      <c r="J47" s="37"/>
      <c r="K47" s="43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</row>
    <row r="48" spans="1:74" ht="15.6" customHeight="1" x14ac:dyDescent="0.4">
      <c r="A48" t="str">
        <v>Egito</v>
      </c>
      <c r="B48" t="str">
        <f>INDEX(Language!$G$149:$G$308,MATCH(A48,Language!$C$149:$C$308,0))</f>
        <v>Oriente médio</v>
      </c>
      <c r="C48">
        <f>INDEX(Language!$F$149:$F$308,MATCH(A48,Language!$C$149:$C$308,0))</f>
        <v>48</v>
      </c>
      <c r="J48" s="41"/>
      <c r="K48" s="42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37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</row>
    <row r="49" spans="1:74" ht="15.6" customHeight="1" x14ac:dyDescent="0.45">
      <c r="A49" t="str">
        <v>El Salvador</v>
      </c>
      <c r="B49" t="str">
        <f>INDEX(Language!$G$149:$G$308,MATCH(A49,Language!$C$149:$C$308,0))</f>
        <v>América Central</v>
      </c>
      <c r="C49">
        <f>INDEX(Language!$F$149:$F$308,MATCH(A49,Language!$C$149:$C$308,0))</f>
        <v>49</v>
      </c>
      <c r="J49" s="48"/>
      <c r="K49" s="50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37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</row>
    <row r="50" spans="1:74" ht="15.6" customHeight="1" x14ac:dyDescent="0.25">
      <c r="A50" t="str">
        <v>Emirados Árabes Unidos</v>
      </c>
      <c r="B50" t="str">
        <f>INDEX(Language!$G$149:$G$308,MATCH(A50,Language!$C$149:$C$308,0))</f>
        <v>Oriente médio</v>
      </c>
      <c r="C50">
        <f>INDEX(Language!$F$149:$F$308,MATCH(A50,Language!$C$149:$C$308,0))</f>
        <v>162</v>
      </c>
      <c r="J50" s="37"/>
      <c r="K50" s="43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</row>
    <row r="51" spans="1:74" ht="15.6" customHeight="1" x14ac:dyDescent="0.45">
      <c r="A51" t="str">
        <v>Equador</v>
      </c>
      <c r="B51" t="str">
        <f>INDEX(Language!$G$149:$G$308,MATCH(A51,Language!$C$149:$C$308,0))</f>
        <v>América do Sul</v>
      </c>
      <c r="C51">
        <f>INDEX(Language!$F$149:$F$308,MATCH(A51,Language!$C$149:$C$308,0))</f>
        <v>47</v>
      </c>
      <c r="J51" s="48"/>
      <c r="K51" s="50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1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</row>
    <row r="52" spans="1:74" ht="15.6" customHeight="1" x14ac:dyDescent="0.25">
      <c r="A52" t="str">
        <v>Eritreia</v>
      </c>
      <c r="B52" t="str">
        <f>INDEX(Language!$G$149:$G$308,MATCH(A52,Language!$C$149:$C$308,0))</f>
        <v>África Subsaariana</v>
      </c>
      <c r="C52">
        <f>INDEX(Language!$F$149:$F$308,MATCH(A52,Language!$C$149:$C$308,0))</f>
        <v>51</v>
      </c>
      <c r="J52" s="43"/>
      <c r="K52" s="43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51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</row>
    <row r="53" spans="1:74" ht="15.6" customHeight="1" x14ac:dyDescent="0.25">
      <c r="A53" t="str">
        <v>Eslováquia</v>
      </c>
      <c r="B53" t="str">
        <f>INDEX(Language!$G$149:$G$308,MATCH(A53,Language!$C$149:$C$308,0))</f>
        <v>União Européia</v>
      </c>
      <c r="C53">
        <f>INDEX(Language!$F$149:$F$308,MATCH(A53,Language!$C$149:$C$308,0))</f>
        <v>140</v>
      </c>
      <c r="J53" s="44"/>
      <c r="K53" s="44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37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</row>
    <row r="54" spans="1:74" ht="15.6" customHeight="1" x14ac:dyDescent="0.25">
      <c r="A54" t="str">
        <v>Eslovênia</v>
      </c>
      <c r="B54" t="str">
        <f>INDEX(Language!$G$149:$G$308,MATCH(A54,Language!$C$149:$C$308,0))</f>
        <v>União Européia</v>
      </c>
      <c r="C54">
        <f>INDEX(Language!$F$149:$F$308,MATCH(A54,Language!$C$149:$C$308,0))</f>
        <v>141</v>
      </c>
      <c r="J54" s="43"/>
      <c r="K54" s="43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</row>
    <row r="55" spans="1:74" ht="15.6" customHeight="1" x14ac:dyDescent="0.35">
      <c r="A55" t="str">
        <v>Espanha</v>
      </c>
      <c r="B55" t="str">
        <f>INDEX(Language!$G$149:$G$308,MATCH(A55,Language!$C$149:$C$308,0))</f>
        <v>União Européia</v>
      </c>
      <c r="C55">
        <f>INDEX(Language!$F$149:$F$308,MATCH(A55,Language!$C$149:$C$308,0))</f>
        <v>146</v>
      </c>
      <c r="J55" s="46"/>
      <c r="K55" s="46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3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</row>
    <row r="56" spans="1:74" ht="15.6" customHeight="1" x14ac:dyDescent="0.25">
      <c r="A56" t="str">
        <v>Estados Unidos</v>
      </c>
      <c r="B56" t="str">
        <f>INDEX(Language!$G$149:$G$308,MATCH(A56,Language!$C$149:$C$308,0))</f>
        <v>América do Norte</v>
      </c>
      <c r="C56">
        <f>INDEX(Language!$F$149:$F$308,MATCH(A56,Language!$C$149:$C$308,0))</f>
        <v>163</v>
      </c>
      <c r="J56" s="43"/>
      <c r="K56" s="43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41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</row>
    <row r="57" spans="1:74" ht="15.6" customHeight="1" x14ac:dyDescent="0.25">
      <c r="A57" t="str">
        <v>Estônia</v>
      </c>
      <c r="B57" t="str">
        <f>INDEX(Language!$G$149:$G$308,MATCH(A57,Language!$C$149:$C$308,0))</f>
        <v>União Européia</v>
      </c>
      <c r="C57">
        <f>INDEX(Language!$F$149:$F$308,MATCH(A57,Language!$C$149:$C$308,0))</f>
        <v>52</v>
      </c>
      <c r="J57" s="43"/>
      <c r="K57" s="43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48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</row>
    <row r="58" spans="1:74" ht="15.6" customHeight="1" x14ac:dyDescent="0.25">
      <c r="A58" t="str">
        <v>Etiópia</v>
      </c>
      <c r="B58" t="str">
        <f>INDEX(Language!$G$149:$G$308,MATCH(A58,Language!$C$149:$C$308,0))</f>
        <v>África Subsaariana</v>
      </c>
      <c r="C58">
        <f>INDEX(Language!$F$149:$F$308,MATCH(A58,Language!$C$149:$C$308,0))</f>
        <v>53</v>
      </c>
      <c r="J58" s="43"/>
      <c r="K58" s="43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</row>
    <row r="59" spans="1:74" ht="15.6" customHeight="1" x14ac:dyDescent="0.25">
      <c r="A59" t="str">
        <v>Federação Russa</v>
      </c>
      <c r="B59" t="str">
        <f>INDEX(Language!$G$149:$G$308,MATCH(A59,Language!$C$149:$C$308,0))</f>
        <v>Europa</v>
      </c>
      <c r="C59">
        <f>INDEX(Language!$F$149:$F$308,MATCH(A59,Language!$C$149:$C$308,0))</f>
        <v>130</v>
      </c>
      <c r="J59" s="43"/>
      <c r="K59" s="43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48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</row>
    <row r="60" spans="1:74" ht="15.6" customHeight="1" x14ac:dyDescent="0.25">
      <c r="A60" t="str">
        <v>Fiji</v>
      </c>
      <c r="B60" t="str">
        <f>INDEX(Language!$G$149:$G$308,MATCH(A60,Language!$C$149:$C$308,0))</f>
        <v>Oceânia</v>
      </c>
      <c r="C60">
        <f>INDEX(Language!$F$149:$F$308,MATCH(A60,Language!$C$149:$C$308,0))</f>
        <v>54</v>
      </c>
      <c r="J60" s="37"/>
      <c r="K60" s="43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</row>
    <row r="61" spans="1:74" ht="15.6" customHeight="1" x14ac:dyDescent="0.25">
      <c r="A61" t="str">
        <v>Filipinas</v>
      </c>
      <c r="B61" t="str">
        <f>INDEX(Language!$G$149:$G$308,MATCH(A61,Language!$C$149:$C$308,0))</f>
        <v>Ásia-Pacífico</v>
      </c>
      <c r="C61">
        <f>INDEX(Language!$F$149:$F$308,MATCH(A61,Language!$C$149:$C$308,0))</f>
        <v>124</v>
      </c>
      <c r="J61" s="37"/>
      <c r="K61" s="43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45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</row>
    <row r="62" spans="1:74" ht="15.6" customHeight="1" x14ac:dyDescent="0.25">
      <c r="A62" t="str">
        <v>Finlândia</v>
      </c>
      <c r="B62" t="str">
        <f>INDEX(Language!$G$149:$G$308,MATCH(A62,Language!$C$149:$C$308,0))</f>
        <v>União Européia</v>
      </c>
      <c r="C62">
        <f>INDEX(Language!$F$149:$F$308,MATCH(A62,Language!$C$149:$C$308,0))</f>
        <v>55</v>
      </c>
      <c r="J62" s="43"/>
      <c r="K62" s="43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</row>
    <row r="63" spans="1:74" ht="15.6" customHeight="1" x14ac:dyDescent="0.25">
      <c r="A63" t="str">
        <v>França</v>
      </c>
      <c r="B63" t="str">
        <f>INDEX(Language!$G$149:$G$308,MATCH(A63,Language!$C$149:$C$308,0))</f>
        <v>União Européia</v>
      </c>
      <c r="C63">
        <f>INDEX(Language!$F$149:$F$308,MATCH(A63,Language!$C$149:$C$308,0))</f>
        <v>56</v>
      </c>
      <c r="J63" s="43"/>
      <c r="K63" s="43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4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</row>
    <row r="64" spans="1:74" ht="15.6" customHeight="1" x14ac:dyDescent="0.25">
      <c r="A64" t="str">
        <v>Gabão</v>
      </c>
      <c r="B64" t="str">
        <f>INDEX(Language!$G$149:$G$308,MATCH(A64,Language!$C$149:$C$308,0))</f>
        <v>África Subsaariana</v>
      </c>
      <c r="C64">
        <f>INDEX(Language!$F$149:$F$308,MATCH(A64,Language!$C$149:$C$308,0))</f>
        <v>57</v>
      </c>
      <c r="J64" s="372"/>
      <c r="K64" s="372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3"/>
      <c r="Z64" s="373"/>
      <c r="AA64" s="373"/>
      <c r="AB64" s="373"/>
      <c r="AC64" s="373"/>
      <c r="AD64" s="373"/>
      <c r="AE64" s="373"/>
      <c r="AF64" s="373"/>
      <c r="AG64" s="373"/>
      <c r="AH64" s="373"/>
      <c r="AI64" s="373"/>
      <c r="AJ64" s="373"/>
      <c r="AK64" s="373"/>
      <c r="AL64" s="373"/>
      <c r="AM64" s="373"/>
      <c r="AN64" s="373"/>
      <c r="AO64" s="373"/>
      <c r="AP64" s="373"/>
      <c r="AQ64" s="373"/>
      <c r="AR64" s="373"/>
      <c r="AS64" s="373"/>
      <c r="AT64" s="373"/>
      <c r="AU64" s="373"/>
      <c r="AV64" s="373"/>
      <c r="AW64" s="373"/>
      <c r="AX64" s="373"/>
      <c r="AY64" s="373"/>
      <c r="AZ64" s="373"/>
      <c r="BA64" s="373"/>
      <c r="BB64" s="373"/>
      <c r="BC64" s="37"/>
      <c r="BD64" s="373"/>
      <c r="BE64" s="373"/>
      <c r="BF64" s="373"/>
      <c r="BG64" s="373"/>
      <c r="BH64" s="373"/>
      <c r="BI64" s="373"/>
      <c r="BJ64" s="373"/>
      <c r="BK64" s="373"/>
      <c r="BL64" s="373"/>
      <c r="BM64" s="373"/>
      <c r="BN64" s="373"/>
      <c r="BO64" s="373"/>
      <c r="BP64" s="373"/>
      <c r="BQ64" s="373"/>
      <c r="BR64" s="373"/>
      <c r="BS64" s="373"/>
      <c r="BT64" s="373"/>
      <c r="BU64" s="373"/>
      <c r="BV64" s="373"/>
    </row>
    <row r="65" spans="1:74" ht="15.6" customHeight="1" x14ac:dyDescent="0.25">
      <c r="A65" t="str">
        <v>Gana</v>
      </c>
      <c r="B65" t="str">
        <f>INDEX(Language!$G$149:$G$308,MATCH(A65,Language!$C$149:$C$308,0))</f>
        <v>África Subsaariana</v>
      </c>
      <c r="C65">
        <f>INDEX(Language!$F$149:$F$308,MATCH(A65,Language!$C$149:$C$308,0))</f>
        <v>61</v>
      </c>
      <c r="J65" s="37"/>
      <c r="K65" s="43">
        <v>1</v>
      </c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</row>
    <row r="66" spans="1:74" ht="15.6" customHeight="1" x14ac:dyDescent="0.25">
      <c r="A66" t="str">
        <v>Geórgia</v>
      </c>
      <c r="B66" t="str">
        <f>INDEX(Language!$G$149:$G$308,MATCH(A66,Language!$C$149:$C$308,0))</f>
        <v>Europa</v>
      </c>
      <c r="C66">
        <f>INDEX(Language!$F$149:$F$308,MATCH(A66,Language!$C$149:$C$308,0))</f>
        <v>59</v>
      </c>
      <c r="J66" s="37"/>
      <c r="K66" s="43">
        <v>2</v>
      </c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</row>
    <row r="67" spans="1:74" ht="15.6" customHeight="1" x14ac:dyDescent="0.25">
      <c r="A67" t="str">
        <v>Grécia</v>
      </c>
      <c r="B67" t="str">
        <f>INDEX(Language!$G$149:$G$308,MATCH(A67,Language!$C$149:$C$308,0))</f>
        <v>União Européia</v>
      </c>
      <c r="C67">
        <f>INDEX(Language!$F$149:$F$308,MATCH(A67,Language!$C$149:$C$308,0))</f>
        <v>62</v>
      </c>
      <c r="J67" s="43"/>
      <c r="K67" s="43">
        <v>3</v>
      </c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</row>
    <row r="68" spans="1:74" ht="15.6" customHeight="1" x14ac:dyDescent="0.25">
      <c r="A68" t="str">
        <v>Guatemala</v>
      </c>
      <c r="B68" t="str">
        <f>INDEX(Language!$G$149:$G$308,MATCH(A68,Language!$C$149:$C$308,0))</f>
        <v>América Central</v>
      </c>
      <c r="C68">
        <f>INDEX(Language!$F$149:$F$308,MATCH(A68,Language!$C$149:$C$308,0))</f>
        <v>64</v>
      </c>
      <c r="J68" s="43"/>
      <c r="K68" s="43">
        <v>4</v>
      </c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</row>
    <row r="69" spans="1:74" ht="15.6" customHeight="1" x14ac:dyDescent="0.25">
      <c r="A69" t="str">
        <v>Guiana</v>
      </c>
      <c r="B69" t="str">
        <f>INDEX(Language!$G$149:$G$308,MATCH(A69,Language!$C$149:$C$308,0))</f>
        <v>América do Sul</v>
      </c>
      <c r="C69">
        <f>INDEX(Language!$F$149:$F$308,MATCH(A69,Language!$C$149:$C$308,0))</f>
        <v>66</v>
      </c>
      <c r="J69" s="43"/>
      <c r="K69" s="43">
        <v>5</v>
      </c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</row>
    <row r="70" spans="1:74" ht="15.6" customHeight="1" x14ac:dyDescent="0.25">
      <c r="A70" t="str">
        <v>Guiné</v>
      </c>
      <c r="B70" t="str">
        <f>INDEX(Language!$G$149:$G$308,MATCH(A70,Language!$C$149:$C$308,0))</f>
        <v>África Subsaariana</v>
      </c>
      <c r="C70">
        <f>INDEX(Language!$F$149:$F$308,MATCH(A70,Language!$C$149:$C$308,0))</f>
        <v>65</v>
      </c>
      <c r="J70" s="43"/>
      <c r="K70" s="43">
        <v>6</v>
      </c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</row>
    <row r="71" spans="1:74" ht="15.6" customHeight="1" x14ac:dyDescent="0.25">
      <c r="A71" t="str">
        <v>Guiné Equatorial</v>
      </c>
      <c r="B71" t="str">
        <f>INDEX(Language!$G$149:$G$308,MATCH(A71,Language!$C$149:$C$308,0))</f>
        <v>África Subsaariana</v>
      </c>
      <c r="C71">
        <f>INDEX(Language!$F$149:$F$308,MATCH(A71,Language!$C$149:$C$308,0))</f>
        <v>50</v>
      </c>
      <c r="J71" s="43"/>
      <c r="K71" s="43">
        <v>7</v>
      </c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</row>
    <row r="72" spans="1:74" ht="15.6" customHeight="1" x14ac:dyDescent="0.25">
      <c r="A72" t="str">
        <v>Haiti</v>
      </c>
      <c r="B72" t="str">
        <f>INDEX(Language!$G$149:$G$308,MATCH(A72,Language!$C$149:$C$308,0))</f>
        <v>Caribe</v>
      </c>
      <c r="C72">
        <f>INDEX(Language!$F$149:$F$308,MATCH(A72,Language!$C$149:$C$308,0))</f>
        <v>67</v>
      </c>
      <c r="J72" s="43"/>
      <c r="K72" s="43">
        <v>8</v>
      </c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3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</row>
    <row r="73" spans="1:74" ht="15.6" customHeight="1" x14ac:dyDescent="0.25">
      <c r="A73" t="str">
        <v>Holanda</v>
      </c>
      <c r="B73" t="str">
        <f>INDEX(Language!$G$149:$G$308,MATCH(A73,Language!$C$149:$C$308,0))</f>
        <v>União Européia</v>
      </c>
      <c r="C73">
        <f>INDEX(Language!$F$149:$F$308,MATCH(A73,Language!$C$149:$C$308,0))</f>
        <v>112</v>
      </c>
      <c r="J73" s="43"/>
      <c r="K73" s="43">
        <v>9</v>
      </c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</row>
    <row r="74" spans="1:74" ht="15.6" customHeight="1" x14ac:dyDescent="0.25">
      <c r="A74" t="str">
        <v>Honduras</v>
      </c>
      <c r="B74" t="str">
        <f>INDEX(Language!$G$149:$G$308,MATCH(A74,Language!$C$149:$C$308,0))</f>
        <v>América Central</v>
      </c>
      <c r="C74">
        <f>INDEX(Language!$F$149:$F$308,MATCH(A74,Language!$C$149:$C$308,0))</f>
        <v>68</v>
      </c>
      <c r="J74" s="43"/>
      <c r="K74" s="43">
        <v>10</v>
      </c>
      <c r="L74" s="37"/>
      <c r="M74" s="37"/>
      <c r="N74" s="37"/>
      <c r="O74" s="37"/>
      <c r="P74" s="37"/>
      <c r="Q74" s="37"/>
      <c r="R74" s="37" t="s">
        <v>469</v>
      </c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</row>
    <row r="75" spans="1:74" ht="15.6" customHeight="1" x14ac:dyDescent="0.25">
      <c r="A75" t="str">
        <v>Hungria</v>
      </c>
      <c r="B75" t="str">
        <f>INDEX(Language!$G$149:$G$308,MATCH(A75,Language!$C$149:$C$308,0))</f>
        <v>União Européia</v>
      </c>
      <c r="C75">
        <f>INDEX(Language!$F$149:$F$308,MATCH(A75,Language!$C$149:$C$308,0))</f>
        <v>69</v>
      </c>
      <c r="J75" s="43"/>
      <c r="K75" s="43"/>
      <c r="L75" s="37"/>
      <c r="M75" s="37"/>
      <c r="N75" s="37"/>
      <c r="O75" s="37"/>
      <c r="P75" s="37"/>
      <c r="Q75" s="121" t="s">
        <v>470</v>
      </c>
      <c r="R75" s="122">
        <v>2011</v>
      </c>
      <c r="S75" s="122">
        <v>2012</v>
      </c>
      <c r="T75" s="122">
        <v>2013</v>
      </c>
      <c r="U75" s="122">
        <v>2014</v>
      </c>
      <c r="V75" s="122">
        <v>2015</v>
      </c>
      <c r="W75" s="122">
        <v>2016</v>
      </c>
      <c r="X75" s="122">
        <v>2017</v>
      </c>
      <c r="Y75" s="122">
        <v>2018</v>
      </c>
      <c r="Z75" s="122">
        <v>2019</v>
      </c>
      <c r="AA75" s="122">
        <v>2020</v>
      </c>
      <c r="AB75" s="122">
        <v>2021</v>
      </c>
      <c r="AC75" s="122">
        <v>2022</v>
      </c>
      <c r="AD75" s="122" t="str">
        <f>'Result data'!A82</f>
        <v xml:space="preserve">Marketing &amp; Sales Expenses </v>
      </c>
      <c r="AE75" s="122" t="s">
        <v>471</v>
      </c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</row>
    <row r="76" spans="1:74" ht="24.75" customHeight="1" x14ac:dyDescent="0.45">
      <c r="A76" t="str">
        <v>Iémen</v>
      </c>
      <c r="B76" t="str">
        <f>INDEX(Language!$G$149:$G$308,MATCH(A76,Language!$C$149:$C$308,0))</f>
        <v>Oriente médio</v>
      </c>
      <c r="C76">
        <f>INDEX(Language!$F$149:$F$308,MATCH(A76,Language!$C$149:$C$308,0))</f>
        <v>168</v>
      </c>
      <c r="J76" s="50"/>
      <c r="K76" s="50"/>
      <c r="L76" s="48" t="str" cm="1">
        <f t="array" ref="L76">INDEX(Language!$B$149:$B$308,MATCH(INDEX('Result data'!$C216:$L216,1,$L$17),Language!$B$149:$B$308,0))</f>
        <v>Germany</v>
      </c>
      <c r="M76" s="48"/>
      <c r="N76" s="48"/>
      <c r="O76" s="48"/>
      <c r="P76" s="48"/>
      <c r="Q76" s="123" t="s">
        <v>25</v>
      </c>
      <c r="R76" s="124">
        <f>'Result data'!O3</f>
        <v>127817277</v>
      </c>
      <c r="S76" s="124">
        <f>'Result data'!P3</f>
        <v>1528260930</v>
      </c>
      <c r="T76" s="124">
        <f>'Result data'!Q3</f>
        <v>0</v>
      </c>
      <c r="U76" s="124">
        <f>'Result data'!R3</f>
        <v>0</v>
      </c>
      <c r="V76" s="124">
        <f>'Result data'!S3</f>
        <v>0</v>
      </c>
      <c r="W76" s="124">
        <f>'Result data'!T3</f>
        <v>0</v>
      </c>
      <c r="X76" s="124">
        <f>'Result data'!U3</f>
        <v>0</v>
      </c>
      <c r="Y76" s="124">
        <f>'Result data'!V3</f>
        <v>0</v>
      </c>
      <c r="Z76" s="124">
        <f>'Result data'!W3</f>
        <v>0</v>
      </c>
      <c r="AA76" s="124">
        <f>'Result data'!X3</f>
        <v>0</v>
      </c>
      <c r="AB76" s="124">
        <f>'Result data'!Y3</f>
        <v>0</v>
      </c>
      <c r="AC76" s="124">
        <f>'Result data'!Z3</f>
        <v>0</v>
      </c>
      <c r="AD76" s="124" cm="1">
        <f t="array" ref="AD76">IFERROR(INDEX('Result data'!$B106:$K106,1,'Config!'!$BA$15-2010),"")</f>
        <v>3055789.5681764558</v>
      </c>
      <c r="AE76" s="486" cm="1">
        <f t="array" ref="AE76">IFERROR(IF(AD76=0,"",AD76/INDEX($R$76:$AC$85,1,'Config!'!$BA$15-2010)),"")</f>
        <v>1.999520833249631E-3</v>
      </c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37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</row>
    <row r="77" spans="1:74" ht="15.6" customHeight="1" x14ac:dyDescent="0.25">
      <c r="A77" t="str">
        <v>Ilhas Salomão</v>
      </c>
      <c r="B77" t="str">
        <f>INDEX(Language!$G$149:$G$308,MATCH(A77,Language!$C$149:$C$308,0))</f>
        <v>Ásia-Pacífico</v>
      </c>
      <c r="C77">
        <f>INDEX(Language!$F$149:$F$308,MATCH(A77,Language!$C$149:$C$308,0))</f>
        <v>142</v>
      </c>
      <c r="J77" s="43"/>
      <c r="K77" s="656" t="s">
        <v>472</v>
      </c>
      <c r="L77" s="657" t="s">
        <v>473</v>
      </c>
      <c r="M77" s="37"/>
      <c r="N77" s="37" t="s">
        <v>474</v>
      </c>
      <c r="O77" s="37" t="s">
        <v>475</v>
      </c>
      <c r="P77" s="37"/>
      <c r="Q77" s="123" t="s">
        <v>33</v>
      </c>
      <c r="R77" s="124">
        <f>'Result data'!O4</f>
        <v>0</v>
      </c>
      <c r="S77" s="124">
        <f>'Result data'!P4</f>
        <v>122070963</v>
      </c>
      <c r="T77" s="124">
        <f>'Result data'!Q4</f>
        <v>0</v>
      </c>
      <c r="U77" s="124">
        <f>'Result data'!R4</f>
        <v>0</v>
      </c>
      <c r="V77" s="124">
        <f>'Result data'!S4</f>
        <v>0</v>
      </c>
      <c r="W77" s="124">
        <f>'Result data'!T4</f>
        <v>0</v>
      </c>
      <c r="X77" s="124">
        <f>'Result data'!U4</f>
        <v>0</v>
      </c>
      <c r="Y77" s="124">
        <f>'Result data'!V4</f>
        <v>0</v>
      </c>
      <c r="Z77" s="124">
        <f>'Result data'!W4</f>
        <v>0</v>
      </c>
      <c r="AA77" s="124">
        <f>'Result data'!X4</f>
        <v>0</v>
      </c>
      <c r="AB77" s="124">
        <f>'Result data'!Y4</f>
        <v>0</v>
      </c>
      <c r="AC77" s="124">
        <f>'Result data'!Z4</f>
        <v>0</v>
      </c>
      <c r="AD77" s="124" cm="1">
        <f t="array" ref="AD77">IFERROR(INDEX('Result data'!$B107:$K107,1,'Config!'!$BA$15-2010),"")</f>
        <v>657103.58549911994</v>
      </c>
      <c r="AE77" s="486" cm="1">
        <f t="array" ref="AE77">IFERROR(IF(AD77=0,"",AD77/INDEX($R$76:$AC$85,1,'Config!'!$BA$15-2010)),"")</f>
        <v>4.2996818972472191E-4</v>
      </c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</row>
    <row r="78" spans="1:74" ht="15.6" customHeight="1" x14ac:dyDescent="0.25">
      <c r="A78" t="str">
        <v>Índia</v>
      </c>
      <c r="B78" t="str">
        <f>INDEX(Language!$G$149:$G$308,MATCH(A78,Language!$C$149:$C$308,0))</f>
        <v>Ásia-Pacífico</v>
      </c>
      <c r="C78">
        <f>INDEX(Language!$F$149:$F$308,MATCH(A78,Language!$C$149:$C$308,0))</f>
        <v>71</v>
      </c>
      <c r="J78" s="43"/>
      <c r="K78" s="43" t="str">
        <f>INDEX('Result data'!$C216:$L216,1,$L$17)</f>
        <v>Germany</v>
      </c>
      <c r="L78" s="655" t="str" cm="1">
        <f t="array" ref="L78">IFERROR(IF('Market Analyzes'!$C$2="Português (Portuguese)",INDEX(Language!$A$149:$A$308,MATCH(INDEX('Result data'!$C216:$L216,1,$L$17),Language!$B$149:$B$308,0)),INDEX('Result data'!$C216:$L216,1,$L$17)),"")</f>
        <v>Alemanha</v>
      </c>
      <c r="M78" s="37" t="str">
        <f>IF(L78="",'Market Analyzes'!$C$6,L78)</f>
        <v>Alemanha</v>
      </c>
      <c r="N78" s="403">
        <f>IF(M78="","",SUMIF('Config!'!$M$2:$M$6,IF('Market Analyzes'!C67="","Medium",'Market Analyzes'!C67),'Config!'!$N$2:$N$6))</f>
        <v>1</v>
      </c>
      <c r="O78" s="403">
        <f>IF(M78="","",SUMIF('Config!'!$M$2:$M$6,IF('Market Analyzes'!D67="","Medium",'Market Analyzes'!D67),'Config!'!$S$2:$S$6))</f>
        <v>0.25</v>
      </c>
      <c r="P78" s="37"/>
      <c r="Q78" s="123" t="s">
        <v>7</v>
      </c>
      <c r="R78" s="124">
        <f>'Result data'!O5</f>
        <v>0</v>
      </c>
      <c r="S78" s="124">
        <f>'Result data'!P5</f>
        <v>5018573</v>
      </c>
      <c r="T78" s="124">
        <f>'Result data'!Q5</f>
        <v>0</v>
      </c>
      <c r="U78" s="124">
        <f>'Result data'!R5</f>
        <v>0</v>
      </c>
      <c r="V78" s="124">
        <f>'Result data'!S5</f>
        <v>0</v>
      </c>
      <c r="W78" s="124">
        <f>'Result data'!T5</f>
        <v>0</v>
      </c>
      <c r="X78" s="124">
        <f>'Result data'!U5</f>
        <v>0</v>
      </c>
      <c r="Y78" s="124">
        <f>'Result data'!V5</f>
        <v>0</v>
      </c>
      <c r="Z78" s="124">
        <f>'Result data'!W5</f>
        <v>0</v>
      </c>
      <c r="AA78" s="124">
        <f>'Result data'!X5</f>
        <v>0</v>
      </c>
      <c r="AB78" s="124">
        <f>'Result data'!Y5</f>
        <v>0</v>
      </c>
      <c r="AC78" s="124">
        <f>'Result data'!Z5</f>
        <v>0</v>
      </c>
      <c r="AD78" s="124" cm="1">
        <f t="array" ref="AD78">IFERROR(INDEX('Result data'!$B108:$K108,1,'Config!'!$BA$15-2010),"")</f>
        <v>67126.619843750654</v>
      </c>
      <c r="AE78" s="486" cm="1">
        <f t="array" ref="AE78">IFERROR(IF(AD78=0,"",AD78/INDEX($R$76:$AC$85,1,'Config!'!$BA$15-2010)),"")</f>
        <v>4.3923533295947475E-5</v>
      </c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</row>
    <row r="79" spans="1:74" ht="15.6" customHeight="1" x14ac:dyDescent="0.25">
      <c r="A79" t="str">
        <v>Indonésia</v>
      </c>
      <c r="B79" t="str">
        <f>INDEX(Language!$G$149:$G$308,MATCH(A79,Language!$C$149:$C$308,0))</f>
        <v>Ásia-Pacífico</v>
      </c>
      <c r="C79">
        <f>INDEX(Language!$F$149:$F$308,MATCH(A79,Language!$C$149:$C$308,0))</f>
        <v>72</v>
      </c>
      <c r="J79" s="43"/>
      <c r="K79" s="43" t="str">
        <f>INDEX('Result data'!$C217:$L217,1,$L$17)</f>
        <v>Norway</v>
      </c>
      <c r="L79" s="397" t="str" cm="1">
        <f t="array" ref="L79">IFERROR(IF('Market Analyzes'!$C$2="Português (Portuguese)",INDEX(Language!$A$149:$A$308,MATCH(INDEX('Result data'!$C217:$L217,1,$L$17),Language!$B$149:$B$308,0)),INDEX('Result data'!$C217:$L217,1,$L$17)),"")</f>
        <v>Noruega</v>
      </c>
      <c r="M79" s="37" t="str">
        <f>IF(L79="",IF(COUNTIF(M$78:M78,'Market Analyzes'!$C$6)=1,"",'Market Analyzes'!$C$6),L79)</f>
        <v>Noruega</v>
      </c>
      <c r="N79" s="403">
        <f>IF(M79="","",SUMIF('Config!'!$M$2:$M$6,IF('Market Analyzes'!C68="","Medium",'Market Analyzes'!C68),'Config!'!$N$2:$N$6))</f>
        <v>0</v>
      </c>
      <c r="O79" s="403">
        <f>IF(M79="","",SUMIF('Config!'!$M$2:$M$6,IF('Market Analyzes'!D68="","Medium",'Market Analyzes'!D68),'Config!'!$S$2:$S$6))</f>
        <v>0</v>
      </c>
      <c r="P79" s="37"/>
      <c r="Q79" s="123" t="s">
        <v>23</v>
      </c>
      <c r="R79" s="124">
        <f>'Result data'!O6</f>
        <v>145056591</v>
      </c>
      <c r="S79" s="124">
        <f>'Result data'!P6</f>
        <v>209785913</v>
      </c>
      <c r="T79" s="124">
        <f>'Result data'!Q6</f>
        <v>0</v>
      </c>
      <c r="U79" s="124">
        <f>'Result data'!R6</f>
        <v>0</v>
      </c>
      <c r="V79" s="124">
        <f>'Result data'!S6</f>
        <v>0</v>
      </c>
      <c r="W79" s="124">
        <f>'Result data'!T6</f>
        <v>0</v>
      </c>
      <c r="X79" s="124">
        <f>'Result data'!U6</f>
        <v>0</v>
      </c>
      <c r="Y79" s="124">
        <f>'Result data'!V6</f>
        <v>0</v>
      </c>
      <c r="Z79" s="124">
        <f>'Result data'!W6</f>
        <v>0</v>
      </c>
      <c r="AA79" s="124">
        <f>'Result data'!X6</f>
        <v>0</v>
      </c>
      <c r="AB79" s="124">
        <f>'Result data'!Y6</f>
        <v>0</v>
      </c>
      <c r="AC79" s="124">
        <f>'Result data'!Z6</f>
        <v>0</v>
      </c>
      <c r="AD79" s="124" cm="1">
        <f t="array" ref="AD79">IFERROR(INDEX('Result data'!$B109:$K109,1,'Config!'!$BA$15-2010),"")</f>
        <v>1747603.770145868</v>
      </c>
      <c r="AE79" s="486" cm="1">
        <f t="array" ref="AE79">IFERROR(IF(AD79=0,"",AD79/INDEX($R$76:$AC$85,1,'Config!'!$BA$15-2010)),"")</f>
        <v>1.1435244700954751E-3</v>
      </c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</row>
    <row r="80" spans="1:74" ht="15.6" customHeight="1" x14ac:dyDescent="0.25">
      <c r="A80" t="str">
        <v>Irã</v>
      </c>
      <c r="B80" t="str">
        <f>INDEX(Language!$G$149:$G$308,MATCH(A80,Language!$C$149:$C$308,0))</f>
        <v>Oriente médio</v>
      </c>
      <c r="C80">
        <f>INDEX(Language!$F$149:$F$308,MATCH(A80,Language!$C$149:$C$308,0))</f>
        <v>73</v>
      </c>
      <c r="J80" s="43"/>
      <c r="K80" s="43" t="str">
        <f>INDEX('Result data'!$C218:$L218,1,$L$17)</f>
        <v/>
      </c>
      <c r="L80" s="397" t="str" cm="1">
        <f t="array" ref="L80">IFERROR(IF('Market Analyzes'!$C$2="Português (Portuguese)",INDEX(Language!$A$149:$A$308,MATCH(INDEX('Result data'!$C218:$L218,1,$L$17),Language!$B$149:$B$308,0)),INDEX('Result data'!$C218:$L218,1,$L$17)),"")</f>
        <v/>
      </c>
      <c r="M80" s="37" t="str">
        <f>IF(L80="",IF(COUNTIF(M$78:M79,'Market Analyzes'!$C$6)=1,"",'Market Analyzes'!$C$6),L80)</f>
        <v>África do Sul</v>
      </c>
      <c r="N80" s="403">
        <f>IF(M80="","",SUMIF('Config!'!$M$2:$M$6,IF('Market Analyzes'!C69="","Medium",'Market Analyzes'!C69),'Config!'!$N$2:$N$6))</f>
        <v>0</v>
      </c>
      <c r="O80" s="403">
        <f>IF(M80="","",SUMIF('Config!'!$M$2:$M$6,IF('Market Analyzes'!D69="","Medium",'Market Analyzes'!D69),'Config!'!$S$2:$S$6))</f>
        <v>0</v>
      </c>
      <c r="P80" s="37"/>
      <c r="Q80" s="123" t="s">
        <v>9</v>
      </c>
      <c r="R80" s="124">
        <f>'Result data'!O7</f>
        <v>0</v>
      </c>
      <c r="S80" s="124">
        <f>'Result data'!P7</f>
        <v>0</v>
      </c>
      <c r="T80" s="124">
        <f>'Result data'!Q7</f>
        <v>0</v>
      </c>
      <c r="U80" s="124">
        <f>'Result data'!R7</f>
        <v>0</v>
      </c>
      <c r="V80" s="124">
        <f>'Result data'!S7</f>
        <v>0</v>
      </c>
      <c r="W80" s="124">
        <f>'Result data'!T7</f>
        <v>0</v>
      </c>
      <c r="X80" s="124">
        <f>'Result data'!U7</f>
        <v>0</v>
      </c>
      <c r="Y80" s="124">
        <f>'Result data'!V7</f>
        <v>0</v>
      </c>
      <c r="Z80" s="124">
        <f>'Result data'!W7</f>
        <v>0</v>
      </c>
      <c r="AA80" s="124">
        <f>'Result data'!X7</f>
        <v>0</v>
      </c>
      <c r="AB80" s="124">
        <f>'Result data'!Y7</f>
        <v>0</v>
      </c>
      <c r="AC80" s="124">
        <f>'Result data'!Z7</f>
        <v>0</v>
      </c>
      <c r="AD80" s="124" cm="1">
        <f t="array" ref="AD80">IFERROR(INDEX('Result data'!$B110:$K110,1,'Config!'!$BA$15-2010),"")</f>
        <v>0</v>
      </c>
      <c r="AE80" s="486" t="str" cm="1">
        <f t="array" ref="AE80">IFERROR(IF(AD80=0,"",AD80/INDEX($R$76:$AC$85,1,'Config!'!$BA$15-2010)),"")</f>
        <v/>
      </c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</row>
    <row r="81" spans="1:74" ht="15.6" customHeight="1" x14ac:dyDescent="0.25">
      <c r="A81" t="str">
        <v>Iraque</v>
      </c>
      <c r="B81" t="str">
        <f>INDEX(Language!$G$149:$G$308,MATCH(A81,Language!$C$149:$C$308,0))</f>
        <v>Oriente médio</v>
      </c>
      <c r="C81">
        <f>INDEX(Language!$F$149:$F$308,MATCH(A81,Language!$C$149:$C$308,0))</f>
        <v>74</v>
      </c>
      <c r="J81" s="43"/>
      <c r="K81" s="43" t="str">
        <f>INDEX('Result data'!$C219:$L219,1,$L$17)</f>
        <v/>
      </c>
      <c r="L81" s="397" t="str" cm="1">
        <f t="array" ref="L81">IFERROR(IF('Market Analyzes'!$C$2="Português (Portuguese)",INDEX(Language!$A$149:$A$308,MATCH(INDEX('Result data'!$C219:$L219,1,$L$17),Language!$B$149:$B$308,0)),INDEX('Result data'!$C219:$L219,1,$L$17)),"")</f>
        <v/>
      </c>
      <c r="M81" s="37" t="str">
        <f>IF(L81="",IF(COUNTIF(M$78:M80,'Market Analyzes'!$C$6)=1,"",'Market Analyzes'!$C$6),L81)</f>
        <v/>
      </c>
      <c r="N81" s="403" t="str">
        <f>IF(M81="","",SUMIF('Config!'!$M$2:$M$6,IF('Market Analyzes'!C70="","Medium",'Market Analyzes'!C70),'Config!'!$N$2:$N$6))</f>
        <v/>
      </c>
      <c r="O81" s="403" t="str">
        <f>IF(M81="","",SUMIF('Config!'!$M$2:$M$6,IF('Market Analyzes'!D70="","Medium",'Market Analyzes'!D70),'Config!'!$S$2:$S$6))</f>
        <v/>
      </c>
      <c r="P81" s="37"/>
      <c r="Q81" s="123" t="s">
        <v>36</v>
      </c>
      <c r="R81" s="124">
        <f>'Result data'!O8</f>
        <v>311718857</v>
      </c>
      <c r="S81" s="124">
        <f>'Result data'!P8</f>
        <v>348854099</v>
      </c>
      <c r="T81" s="124">
        <f>'Result data'!Q8</f>
        <v>0</v>
      </c>
      <c r="U81" s="124">
        <f>'Result data'!R8</f>
        <v>0</v>
      </c>
      <c r="V81" s="124">
        <f>'Result data'!S8</f>
        <v>0</v>
      </c>
      <c r="W81" s="124">
        <f>'Result data'!T8</f>
        <v>0</v>
      </c>
      <c r="X81" s="124">
        <f>'Result data'!U8</f>
        <v>0</v>
      </c>
      <c r="Y81" s="124">
        <f>'Result data'!V8</f>
        <v>0</v>
      </c>
      <c r="Z81" s="124">
        <f>'Result data'!W8</f>
        <v>0</v>
      </c>
      <c r="AA81" s="124">
        <f>'Result data'!X8</f>
        <v>0</v>
      </c>
      <c r="AB81" s="124">
        <f>'Result data'!Y8</f>
        <v>0</v>
      </c>
      <c r="AC81" s="124">
        <f>'Result data'!Z8</f>
        <v>0</v>
      </c>
      <c r="AD81" s="124" cm="1">
        <f t="array" ref="AD81">IFERROR(INDEX('Result data'!$B111:$K111,1,'Config!'!$BA$15-2010),"")</f>
        <v>6882549</v>
      </c>
      <c r="AE81" s="486" cm="1">
        <f t="array" ref="AE81">IFERROR(IF(AD81=0,"",AD81/INDEX($R$76:$AC$85,1,'Config!'!$BA$15-2010)),"")</f>
        <v>4.5035169485095712E-3</v>
      </c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</row>
    <row r="82" spans="1:74" ht="15.6" customHeight="1" x14ac:dyDescent="0.25">
      <c r="A82" t="str">
        <v>Irlanda</v>
      </c>
      <c r="B82" t="str">
        <f>INDEX(Language!$G$149:$G$308,MATCH(A82,Language!$C$149:$C$308,0))</f>
        <v>União Européia</v>
      </c>
      <c r="C82">
        <f>INDEX(Language!$F$149:$F$308,MATCH(A82,Language!$C$149:$C$308,0))</f>
        <v>172</v>
      </c>
      <c r="J82" s="43"/>
      <c r="K82" s="43" t="str">
        <f>INDEX('Result data'!$C220:$L220,1,$L$17)</f>
        <v/>
      </c>
      <c r="L82" s="397" t="str" cm="1">
        <f t="array" ref="L82">IFERROR(IF('Market Analyzes'!$C$2="Português (Portuguese)",INDEX(Language!$A$149:$A$308,MATCH(INDEX('Result data'!$C220:$L220,1,$L$17),Language!$B$149:$B$308,0)),INDEX('Result data'!$C220:$L220,1,$L$17)),"")</f>
        <v/>
      </c>
      <c r="M82" s="37" t="str">
        <f>IF(L82="",IF(COUNTIF(M$78:M81,'Market Analyzes'!$C$6)=1,"",'Market Analyzes'!$C$6),L82)</f>
        <v/>
      </c>
      <c r="N82" s="403" t="str">
        <f>IF(M82="","",SUMIF('Config!'!$M$2:$M$6,IF('Market Analyzes'!C71="","Medium",'Market Analyzes'!C71),'Config!'!$N$2:$N$6))</f>
        <v/>
      </c>
      <c r="O82" s="403" t="str">
        <f>IF(M82="","",SUMIF('Config!'!$M$2:$M$6,IF('Market Analyzes'!D71="","Medium",'Market Analyzes'!D71),'Config!'!$S$2:$S$6))</f>
        <v/>
      </c>
      <c r="P82" s="37"/>
      <c r="Q82" s="123" t="s">
        <v>21</v>
      </c>
      <c r="R82" s="124">
        <f>'Result data'!O9</f>
        <v>0</v>
      </c>
      <c r="S82" s="124">
        <f>'Result data'!P9</f>
        <v>0</v>
      </c>
      <c r="T82" s="124">
        <f>'Result data'!Q9</f>
        <v>0</v>
      </c>
      <c r="U82" s="124">
        <f>'Result data'!R9</f>
        <v>0</v>
      </c>
      <c r="V82" s="124">
        <f>'Result data'!S9</f>
        <v>0</v>
      </c>
      <c r="W82" s="124">
        <f>'Result data'!T9</f>
        <v>0</v>
      </c>
      <c r="X82" s="124">
        <f>'Result data'!U9</f>
        <v>0</v>
      </c>
      <c r="Y82" s="124">
        <f>'Result data'!V9</f>
        <v>0</v>
      </c>
      <c r="Z82" s="124">
        <f>'Result data'!W9</f>
        <v>0</v>
      </c>
      <c r="AA82" s="124">
        <f>'Result data'!X9</f>
        <v>0</v>
      </c>
      <c r="AB82" s="124">
        <f>'Result data'!Y9</f>
        <v>0</v>
      </c>
      <c r="AC82" s="124">
        <f>'Result data'!Z9</f>
        <v>0</v>
      </c>
      <c r="AD82" s="124" cm="1">
        <f t="array" ref="AD82">IFERROR(INDEX('Result data'!$B112:$K112,1,'Config!'!$BA$15-2010),"")</f>
        <v>0</v>
      </c>
      <c r="AE82" s="486" t="str" cm="1">
        <f t="array" ref="AE82">IFERROR(IF(AD82=0,"",AD82/INDEX($R$76:$AC$85,1,'Config!'!$BA$15-2010)),"")</f>
        <v/>
      </c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</row>
    <row r="83" spans="1:74" ht="15.6" customHeight="1" x14ac:dyDescent="0.25">
      <c r="A83" t="str">
        <v>Islândia</v>
      </c>
      <c r="B83" t="str">
        <f>INDEX(Language!$G$149:$G$308,MATCH(A83,Language!$C$149:$C$308,0))</f>
        <v>Europa</v>
      </c>
      <c r="C83">
        <f>INDEX(Language!$F$149:$F$308,MATCH(A83,Language!$C$149:$C$308,0))</f>
        <v>70</v>
      </c>
      <c r="J83" s="43"/>
      <c r="K83" s="43" t="str">
        <f>INDEX('Result data'!$C221:$L221,1,$L$17)</f>
        <v/>
      </c>
      <c r="L83" s="397" t="str" cm="1">
        <f t="array" ref="L83">IFERROR(IF('Market Analyzes'!$C$2="Português (Portuguese)",INDEX(Language!$A$149:$A$308,MATCH(INDEX('Result data'!$C221:$L221,1,$L$17),Language!$B$149:$B$308,0)),INDEX('Result data'!$C221:$L221,1,$L$17)),"")</f>
        <v/>
      </c>
      <c r="M83" s="37" t="str">
        <f>IF(L83="",IF(COUNTIF(M$78:M82,'Market Analyzes'!$C$6)=1,"",'Market Analyzes'!$C$6),L83)</f>
        <v/>
      </c>
      <c r="N83" s="403" t="str">
        <f>IF(M83="","",SUMIF('Config!'!$M$2:$M$6,IF('Market Analyzes'!C72="","Medium",'Market Analyzes'!C72),'Config!'!$N$2:$N$6))</f>
        <v/>
      </c>
      <c r="O83" s="403" t="str">
        <f>IF(M83="","",SUMIF('Config!'!$M$2:$M$6,IF('Market Analyzes'!D72="","Medium",'Market Analyzes'!D72),'Config!'!$S$2:$S$6))</f>
        <v/>
      </c>
      <c r="P83" s="37"/>
      <c r="Q83" s="123" t="s">
        <v>18</v>
      </c>
      <c r="R83" s="124">
        <f>'Result data'!O10</f>
        <v>0</v>
      </c>
      <c r="S83" s="124">
        <f>'Result data'!P10</f>
        <v>0</v>
      </c>
      <c r="T83" s="124">
        <f>'Result data'!Q10</f>
        <v>0</v>
      </c>
      <c r="U83" s="124">
        <f>'Result data'!R10</f>
        <v>0</v>
      </c>
      <c r="V83" s="124">
        <f>'Result data'!S10</f>
        <v>0</v>
      </c>
      <c r="W83" s="124">
        <f>'Result data'!T10</f>
        <v>0</v>
      </c>
      <c r="X83" s="124">
        <f>'Result data'!U10</f>
        <v>0</v>
      </c>
      <c r="Y83" s="124">
        <f>'Result data'!V10</f>
        <v>0</v>
      </c>
      <c r="Z83" s="124">
        <f>'Result data'!W10</f>
        <v>0</v>
      </c>
      <c r="AA83" s="124">
        <f>'Result data'!X10</f>
        <v>0</v>
      </c>
      <c r="AB83" s="124">
        <f>'Result data'!Y10</f>
        <v>0</v>
      </c>
      <c r="AC83" s="124">
        <f>'Result data'!Z10</f>
        <v>0</v>
      </c>
      <c r="AD83" s="124" cm="1">
        <f t="array" ref="AD83">IFERROR(INDEX('Result data'!$B113:$K113,1,'Config!'!$BA$15-2010),"")</f>
        <v>0</v>
      </c>
      <c r="AE83" s="486" t="str" cm="1">
        <f t="array" ref="AE83">IFERROR(IF(AD83=0,"",AD83/INDEX($R$76:$AC$85,1,'Config!'!$BA$15-2010)),"")</f>
        <v/>
      </c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</row>
    <row r="84" spans="1:74" ht="15.6" customHeight="1" x14ac:dyDescent="0.25">
      <c r="A84" t="str">
        <v>Israel</v>
      </c>
      <c r="B84" t="str">
        <f>INDEX(Language!$G$149:$G$308,MATCH(A84,Language!$C$149:$C$308,0))</f>
        <v>Oriente médio</v>
      </c>
      <c r="C84">
        <f>INDEX(Language!$F$149:$F$308,MATCH(A84,Language!$C$149:$C$308,0))</f>
        <v>75</v>
      </c>
      <c r="J84" s="43"/>
      <c r="K84" s="43" t="str">
        <f>INDEX('Result data'!$C222:$L222,1,$L$17)</f>
        <v/>
      </c>
      <c r="L84" s="397" t="str" cm="1">
        <f t="array" ref="L84">IFERROR(IF('Market Analyzes'!$C$2="Português (Portuguese)",INDEX(Language!$A$149:$A$308,MATCH(INDEX('Result data'!$C222:$L222,1,$L$17),Language!$B$149:$B$308,0)),INDEX('Result data'!$C222:$L222,1,$L$17)),"")</f>
        <v/>
      </c>
      <c r="M84" s="37" t="str">
        <f>IF(L84="",IF(COUNTIF(M$78:M83,'Market Analyzes'!$C$6)=1,"",'Market Analyzes'!$C$6),L84)</f>
        <v/>
      </c>
      <c r="N84" s="403" t="str">
        <f>IF(M84="","",SUMIF('Config!'!$M$2:$M$6,IF('Market Analyzes'!C73="","Medium",'Market Analyzes'!C73),'Config!'!$N$2:$N$6))</f>
        <v/>
      </c>
      <c r="O84" s="403" t="str">
        <f>IF(M84="","",SUMIF('Config!'!$M$2:$M$6,IF('Market Analyzes'!D73="","Medium",'Market Analyzes'!D73),'Config!'!$S$2:$S$6))</f>
        <v/>
      </c>
      <c r="P84" s="37"/>
      <c r="Q84" s="123" t="s">
        <v>14</v>
      </c>
      <c r="R84" s="124">
        <f>'Result data'!O11</f>
        <v>0</v>
      </c>
      <c r="S84" s="124">
        <f>'Result data'!P11</f>
        <v>0</v>
      </c>
      <c r="T84" s="124">
        <f>'Result data'!Q11</f>
        <v>0</v>
      </c>
      <c r="U84" s="124">
        <f>'Result data'!R11</f>
        <v>0</v>
      </c>
      <c r="V84" s="124">
        <f>'Result data'!S11</f>
        <v>0</v>
      </c>
      <c r="W84" s="124">
        <f>'Result data'!T11</f>
        <v>0</v>
      </c>
      <c r="X84" s="124">
        <f>'Result data'!U11</f>
        <v>0</v>
      </c>
      <c r="Y84" s="124">
        <f>'Result data'!V11</f>
        <v>0</v>
      </c>
      <c r="Z84" s="124">
        <f>'Result data'!W11</f>
        <v>0</v>
      </c>
      <c r="AA84" s="124">
        <f>'Result data'!X11</f>
        <v>0</v>
      </c>
      <c r="AB84" s="124">
        <f>'Result data'!Y11</f>
        <v>0</v>
      </c>
      <c r="AC84" s="124">
        <f>'Result data'!Z11</f>
        <v>0</v>
      </c>
      <c r="AD84" s="124" cm="1">
        <f t="array" ref="AD84">IFERROR(INDEX('Result data'!$B114:$K114,1,'Config!'!$BA$15-2010),"")</f>
        <v>0</v>
      </c>
      <c r="AE84" s="486" t="str" cm="1">
        <f t="array" ref="AE84">IFERROR(IF(AD84=0,"",AD84/INDEX($R$76:$AC$85,1,'Config!'!$BA$15-2010)),"")</f>
        <v/>
      </c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48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</row>
    <row r="85" spans="1:74" ht="15.6" customHeight="1" x14ac:dyDescent="0.25">
      <c r="A85" t="str">
        <v>Itália</v>
      </c>
      <c r="B85" t="str">
        <f>INDEX(Language!$G$149:$G$308,MATCH(A85,Language!$C$149:$C$308,0))</f>
        <v>União Européia</v>
      </c>
      <c r="C85">
        <f>INDEX(Language!$F$149:$F$308,MATCH(A85,Language!$C$149:$C$308,0))</f>
        <v>76</v>
      </c>
      <c r="J85" s="43"/>
      <c r="K85" s="43" t="str">
        <f>INDEX('Result data'!$C223:$L223,1,$L$17)</f>
        <v/>
      </c>
      <c r="L85" s="397" t="str" cm="1">
        <f t="array" ref="L85">IFERROR(IF('Market Analyzes'!$C$2="Português (Portuguese)",INDEX(Language!$A$149:$A$308,MATCH(INDEX('Result data'!$C223:$L223,1,$L$17),Language!$B$149:$B$308,0)),INDEX('Result data'!$C223:$L223,1,$L$17)),"")</f>
        <v/>
      </c>
      <c r="M85" s="37" t="str">
        <f>IF(L85="",IF(COUNTIF(M$78:M84,'Market Analyzes'!$C$6)=1,"",'Market Analyzes'!$C$6),L85)</f>
        <v/>
      </c>
      <c r="N85" s="403" t="str">
        <f>IF(M85="","",SUMIF('Config!'!$M$2:$M$6,IF('Market Analyzes'!C74="","Medium",'Market Analyzes'!C74),'Config!'!$N$2:$N$6))</f>
        <v/>
      </c>
      <c r="O85" s="403" t="str">
        <f>IF(M85="","",SUMIF('Config!'!$M$2:$M$6,IF('Market Analyzes'!D74="","Medium",'Market Analyzes'!D74),'Config!'!$S$2:$S$6))</f>
        <v/>
      </c>
      <c r="P85" s="37"/>
      <c r="Q85" s="123" t="s">
        <v>16</v>
      </c>
      <c r="R85" s="124">
        <f>'Result data'!O12</f>
        <v>0</v>
      </c>
      <c r="S85" s="124">
        <f>'Result data'!P12</f>
        <v>0</v>
      </c>
      <c r="T85" s="124">
        <f>'Result data'!Q12</f>
        <v>0</v>
      </c>
      <c r="U85" s="124">
        <f>'Result data'!R12</f>
        <v>0</v>
      </c>
      <c r="V85" s="124">
        <f>'Result data'!S12</f>
        <v>0</v>
      </c>
      <c r="W85" s="124">
        <f>'Result data'!T12</f>
        <v>0</v>
      </c>
      <c r="X85" s="124">
        <f>'Result data'!U12</f>
        <v>0</v>
      </c>
      <c r="Y85" s="124">
        <f>'Result data'!V12</f>
        <v>0</v>
      </c>
      <c r="Z85" s="124">
        <f>'Result data'!W12</f>
        <v>0</v>
      </c>
      <c r="AA85" s="124">
        <f>'Result data'!X12</f>
        <v>0</v>
      </c>
      <c r="AB85" s="124">
        <f>'Result data'!Y12</f>
        <v>0</v>
      </c>
      <c r="AC85" s="124">
        <f>'Result data'!Z12</f>
        <v>0</v>
      </c>
      <c r="AD85" s="124" cm="1">
        <f t="array" ref="AD85">IFERROR(INDEX('Result data'!$B115:$K115,1,'Config!'!$BA$15-2010),"")</f>
        <v>0</v>
      </c>
      <c r="AE85" s="486" t="str" cm="1">
        <f t="array" ref="AE85">IFERROR(IF(AD85=0,"",AD85/INDEX($R$76:$AC$85,1,'Config!'!$BA$15-2010)),"")</f>
        <v/>
      </c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</row>
    <row r="86" spans="1:74" ht="15.6" customHeight="1" x14ac:dyDescent="0.3">
      <c r="A86" t="str">
        <v>Jamaica</v>
      </c>
      <c r="B86" t="str">
        <f>INDEX(Language!$G$149:$G$308,MATCH(A86,Language!$C$149:$C$308,0))</f>
        <v>Caribe</v>
      </c>
      <c r="C86">
        <f>INDEX(Language!$F$149:$F$308,MATCH(A86,Language!$C$149:$C$308,0))</f>
        <v>78</v>
      </c>
      <c r="J86" s="37"/>
      <c r="K86" s="43" t="str">
        <f>INDEX('Result data'!$C224:$L224,1,$L$17)</f>
        <v/>
      </c>
      <c r="L86" s="397" t="str" cm="1">
        <f t="array" ref="L86">IFERROR(IF('Market Analyzes'!$C$2="Português (Portuguese)",INDEX(Language!$A$149:$A$308,MATCH(INDEX('Result data'!$C224:$L224,1,$L$17),Language!$B$149:$B$308,0)),INDEX('Result data'!$C224:$L224,1,$L$17)),"")</f>
        <v/>
      </c>
      <c r="M86" s="37" t="str">
        <f>IF(L86="",IF(COUNTIF(M$78:M85,'Market Analyzes'!$C$6)=1,"",'Market Analyzes'!$C$6),L86)</f>
        <v/>
      </c>
      <c r="N86" s="403" t="str">
        <f>IF(M86="","",SUMIF('Config!'!$M$2:$M$6,IF('Market Analyzes'!C75="","Medium",'Market Analyzes'!C75),'Config!'!$N$2:$N$6))</f>
        <v/>
      </c>
      <c r="O86" s="403" t="str">
        <f>IF(M86="","",SUMIF('Config!'!$M$2:$M$6,IF('Market Analyzes'!D75="","Medium",'Market Analyzes'!D75),'Config!'!$S$2:$S$6))</f>
        <v/>
      </c>
      <c r="P86" s="37"/>
      <c r="Q86" s="195"/>
      <c r="R86" s="457"/>
      <c r="S86" s="457"/>
      <c r="T86" s="457"/>
      <c r="U86" s="457"/>
      <c r="V86" s="37"/>
      <c r="W86" s="37"/>
      <c r="X86" s="37"/>
      <c r="Y86" s="37"/>
      <c r="Z86" s="37"/>
      <c r="AA86" s="37"/>
      <c r="AB86" s="37"/>
      <c r="AC86" s="37"/>
      <c r="AD86" s="37" t="s">
        <v>476</v>
      </c>
      <c r="AE86" s="487">
        <f>AVERAGEIF(AE76:AE85,"&gt;"&amp;0)</f>
        <v>1.6240907949750694E-3</v>
      </c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</row>
    <row r="87" spans="1:74" ht="15.6" customHeight="1" x14ac:dyDescent="0.25">
      <c r="A87" t="str">
        <v>Japão</v>
      </c>
      <c r="B87" t="str">
        <f>INDEX(Language!$G$149:$G$308,MATCH(A87,Language!$C$149:$C$308,0))</f>
        <v>Ásia-Pacífico</v>
      </c>
      <c r="C87">
        <f>INDEX(Language!$F$149:$F$308,MATCH(A87,Language!$C$149:$C$308,0))</f>
        <v>79</v>
      </c>
      <c r="J87" s="37"/>
      <c r="K87" s="43" t="str">
        <f>INDEX('Result data'!$C225:$L225,1,$L$17)</f>
        <v/>
      </c>
      <c r="L87" s="397" t="str" cm="1">
        <f t="array" ref="L87">IFERROR(IF('Market Analyzes'!$C$2="Português (Portuguese)",INDEX(Language!$A$149:$A$308,MATCH(INDEX('Result data'!$C225:$L225,1,$L$17),Language!$B$149:$B$308,0)),INDEX('Result data'!$C225:$L225,1,$L$17)),"")</f>
        <v/>
      </c>
      <c r="M87" s="37" t="str">
        <f>IF(L87="",IF(COUNTIF(M$78:M86,'Market Analyzes'!$C$6)=1,"",'Market Analyzes'!$C$6),L87)</f>
        <v/>
      </c>
      <c r="N87" s="403" t="str">
        <f>IF(M87="","",SUMIF('Config!'!$M$2:$M$6,IF('Market Analyzes'!C76="","Medium",'Market Analyzes'!C76),'Config!'!$N$2:$N$6))</f>
        <v/>
      </c>
      <c r="O87" s="403" t="str">
        <f>IF(M87="","",SUMIF('Config!'!$M$2:$M$6,IF('Market Analyzes'!D76="","Medium",'Market Analyzes'!D76),'Config!'!$S$2:$S$6))</f>
        <v/>
      </c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 t="s">
        <v>477</v>
      </c>
      <c r="AE87" s="487">
        <f>STDEVA(AE76:AE85)</f>
        <v>1.4598333743184098E-3</v>
      </c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</row>
    <row r="88" spans="1:74" ht="15.6" customHeight="1" x14ac:dyDescent="0.25">
      <c r="A88" t="str">
        <v>Jordânia</v>
      </c>
      <c r="B88" t="str">
        <f>INDEX(Language!$G$149:$G$308,MATCH(A88,Language!$C$149:$C$308,0))</f>
        <v>Oriente médio</v>
      </c>
      <c r="C88">
        <f>INDEX(Language!$F$149:$F$308,MATCH(A88,Language!$C$149:$C$308,0))</f>
        <v>80</v>
      </c>
      <c r="J88" s="37"/>
      <c r="K88" s="43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 t="s">
        <v>478</v>
      </c>
      <c r="AE88" s="487">
        <f>IFERROR(MAX(0.008,AE86-1.96*AE87),0.008)</f>
        <v>8.0000000000000002E-3</v>
      </c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</row>
    <row r="89" spans="1:74" ht="15.6" customHeight="1" x14ac:dyDescent="0.25">
      <c r="A89" t="str">
        <v>Kosovo</v>
      </c>
      <c r="B89" t="str">
        <f>INDEX(Language!$G$149:$G$308,MATCH(A89,Language!$C$149:$C$308,0))</f>
        <v>Europa</v>
      </c>
      <c r="C89">
        <f>INDEX(Language!$F$149:$F$308,MATCH(A89,Language!$C$149:$C$308,0))</f>
        <v>83</v>
      </c>
      <c r="J89" s="427" t="str">
        <f>'Market Analyzes'!D103</f>
        <v>.</v>
      </c>
      <c r="K89" s="43"/>
      <c r="L89" s="37" t="s">
        <v>479</v>
      </c>
      <c r="M89" s="37"/>
      <c r="N89" s="37"/>
      <c r="O89" s="391">
        <f>MAX(O90:O91)</f>
        <v>1478596.2235500515</v>
      </c>
      <c r="P89" s="37"/>
      <c r="Q89" s="37"/>
      <c r="R89" s="37"/>
      <c r="S89" s="37"/>
      <c r="T89" s="37"/>
      <c r="U89" s="37"/>
      <c r="V89" s="37"/>
      <c r="W89" s="37"/>
      <c r="X89" s="37" t="str">
        <f>Language!C457&amp;(TEXT(O89,"U$ #.###.###"))</f>
        <v>. Seu investimento máximo em marketing e vendas nesta rodada é U$ 1.478.596</v>
      </c>
      <c r="Y89" s="37"/>
      <c r="Z89" s="37"/>
      <c r="AA89" s="37"/>
      <c r="AB89" s="37"/>
      <c r="AC89" s="37"/>
      <c r="AD89" s="37" t="s">
        <v>480</v>
      </c>
      <c r="AE89" s="487">
        <f>IFERROR(MAX(0.012,AE86+1.96*AE87),0.12)</f>
        <v>1.2E-2</v>
      </c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</row>
    <row r="90" spans="1:74" ht="15.6" customHeight="1" x14ac:dyDescent="0.25">
      <c r="A90" t="str">
        <v>Kuwait</v>
      </c>
      <c r="B90" t="str">
        <f>INDEX(Language!$G$149:$G$308,MATCH(A90,Language!$C$149:$C$308,0))</f>
        <v>Oriente médio</v>
      </c>
      <c r="C90">
        <f>INDEX(Language!$F$149:$F$308,MATCH(A90,Language!$C$149:$C$308,0))</f>
        <v>84</v>
      </c>
      <c r="J90" s="37"/>
      <c r="K90" s="43"/>
      <c r="L90" s="37" t="s">
        <v>481</v>
      </c>
      <c r="M90" s="390">
        <v>0.05</v>
      </c>
      <c r="N90" s="391">
        <f>INDEX('Result data'!$B$188:$DQ$188,1,M92)</f>
        <v>29571924.471001029</v>
      </c>
      <c r="O90" s="391">
        <f>M90*N90</f>
        <v>1478596.2235500515</v>
      </c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</row>
    <row r="91" spans="1:74" ht="15.6" customHeight="1" x14ac:dyDescent="0.25">
      <c r="A91" t="str">
        <v>Laos</v>
      </c>
      <c r="B91" t="str">
        <f>INDEX(Language!$G$149:$G$308,MATCH(A91,Language!$C$149:$C$308,0))</f>
        <v>Ásia-Pacífico</v>
      </c>
      <c r="C91">
        <f>INDEX(Language!$F$149:$F$308,MATCH(A91,Language!$C$149:$C$308,0))</f>
        <v>85</v>
      </c>
      <c r="J91" s="37"/>
      <c r="K91" s="43"/>
      <c r="L91" s="37" t="s">
        <v>482</v>
      </c>
      <c r="M91" s="390">
        <v>0.5</v>
      </c>
      <c r="N91" s="391">
        <f>INDEX('Result data'!$B$187:$DQ$187,1,M92+1)</f>
        <v>-4621834.5570100052</v>
      </c>
      <c r="O91" s="391">
        <f>M91*N91</f>
        <v>-2310917.2785050026</v>
      </c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</row>
    <row r="92" spans="1:74" ht="15.6" customHeight="1" x14ac:dyDescent="0.25">
      <c r="A92" t="str">
        <v>Lesoto</v>
      </c>
      <c r="B92" t="str">
        <f>INDEX(Language!$G$149:$G$308,MATCH(A92,Language!$C$149:$C$308,0))</f>
        <v>África Subsaariana</v>
      </c>
      <c r="C92">
        <f>INDEX(Language!$F$149:$F$308,MATCH(A92,Language!$C$149:$C$308,0))</f>
        <v>88</v>
      </c>
      <c r="J92" s="37"/>
      <c r="K92" s="43"/>
      <c r="L92" s="37" t="s">
        <v>483</v>
      </c>
      <c r="M92" s="37">
        <f>(L17-1)*12+('Config!'!BA17)</f>
        <v>2</v>
      </c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</row>
    <row r="93" spans="1:74" ht="15.6" customHeight="1" x14ac:dyDescent="0.25">
      <c r="A93" t="str">
        <v>Letônia</v>
      </c>
      <c r="B93" t="str">
        <f>INDEX(Language!$G$149:$G$308,MATCH(A93,Language!$C$149:$C$308,0))</f>
        <v>União Européia</v>
      </c>
      <c r="C93">
        <f>INDEX(Language!$F$149:$F$308,MATCH(A93,Language!$C$149:$C$308,0))</f>
        <v>86</v>
      </c>
      <c r="J93" s="37"/>
      <c r="K93" s="43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</row>
    <row r="94" spans="1:74" ht="15.6" customHeight="1" x14ac:dyDescent="0.25">
      <c r="A94" t="str">
        <v>Líbano</v>
      </c>
      <c r="B94" t="str">
        <f>INDEX(Language!$G$149:$G$308,MATCH(A94,Language!$C$149:$C$308,0))</f>
        <v>Oriente médio</v>
      </c>
      <c r="C94">
        <f>INDEX(Language!$F$149:$F$308,MATCH(A94,Language!$C$149:$C$308,0))</f>
        <v>87</v>
      </c>
      <c r="J94" s="37"/>
      <c r="K94" s="388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</row>
    <row r="95" spans="1:74" ht="15.6" customHeight="1" x14ac:dyDescent="0.25">
      <c r="A95" t="str">
        <v>Libéria</v>
      </c>
      <c r="B95" t="str">
        <f>INDEX(Language!$G$149:$G$308,MATCH(A95,Language!$C$149:$C$308,0))</f>
        <v>África Subsaariana</v>
      </c>
      <c r="C95">
        <f>INDEX(Language!$F$149:$F$308,MATCH(A95,Language!$C$149:$C$308,0))</f>
        <v>89</v>
      </c>
      <c r="J95" s="37"/>
      <c r="K95" s="388"/>
      <c r="L95" s="37"/>
      <c r="N95" s="37" t="s">
        <v>484</v>
      </c>
      <c r="O95" s="37" t="str">
        <f>IFERROR(INDEX(Language!$B$149:$B$308,MATCH('Market Analyzes'!$C$6,Language!$A$149:$A$308,0)),'Market Analyzes'!C6)</f>
        <v>South Africa</v>
      </c>
      <c r="P95" s="37" t="str">
        <f>IF('Market Analyzes'!$C$2="Português (Portuguese)",INDEX(Language!B:B,MATCH('Market Analyzes'!$C$6,Language!A:A,0)),'Market Analyzes'!$C$6)</f>
        <v>South Africa</v>
      </c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</row>
    <row r="96" spans="1:74" ht="15.6" customHeight="1" x14ac:dyDescent="0.25">
      <c r="A96" t="str">
        <v>Líbia</v>
      </c>
      <c r="B96" t="str">
        <f>INDEX(Language!$G$149:$G$308,MATCH(A96,Language!$C$149:$C$308,0))</f>
        <v>Oriente médio</v>
      </c>
      <c r="C96">
        <f>INDEX(Language!$F$149:$F$308,MATCH(A96,Language!$C$149:$C$308,0))</f>
        <v>90</v>
      </c>
      <c r="J96" s="37"/>
      <c r="K96" s="43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</row>
    <row r="97" spans="1:75" ht="15.6" customHeight="1" x14ac:dyDescent="0.45">
      <c r="A97" t="str">
        <v>Lituânia</v>
      </c>
      <c r="B97" t="str">
        <f>INDEX(Language!$G$149:$G$308,MATCH(A97,Language!$C$149:$C$308,0))</f>
        <v>União Européia</v>
      </c>
      <c r="C97">
        <f>INDEX(Language!$F$149:$F$308,MATCH(A97,Language!$C$149:$C$308,0))</f>
        <v>92</v>
      </c>
      <c r="J97" s="50"/>
      <c r="K97" s="50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76" cm="1">
        <f t="array" ref="AB97">IF(SUMIF('Result data'!$P$216:$P$390,'Config!'!N99,'Result data'!$AD$216:$AD$390)=0,AVERAGEIF('Result data'!$C$216:$L$225,'Config!'!N99,'Result data'!$C$252:$L$261),INDEX('Result data'!$C252:$L252,1,$L$17))</f>
        <v>3.7990603195019994</v>
      </c>
      <c r="AC97" s="48" t="s">
        <v>485</v>
      </c>
      <c r="AD97" s="48"/>
      <c r="AE97" s="48"/>
      <c r="AF97" s="48"/>
      <c r="AG97" s="48"/>
      <c r="AH97" s="661">
        <f>IFERROR(MATCH('Market Analyzes'!B88,Language!$A$149:$A$308,0),MATCH('Market Analyzes'!B88,Language!$B$149:$B$308,0))</f>
        <v>55</v>
      </c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37"/>
      <c r="BD97" s="48"/>
      <c r="BE97" s="48"/>
      <c r="BF97" s="48"/>
      <c r="BG97" s="48"/>
      <c r="BH97" s="48">
        <f>INDEX('Result data'!$EI$216:$ER$390,'Config!'!M99,'Config!'!$L$17)</f>
        <v>0</v>
      </c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</row>
    <row r="98" spans="1:75" s="145" customFormat="1" ht="42.6" customHeight="1" x14ac:dyDescent="0.25">
      <c r="A98" s="145" t="str">
        <v>Luxemburgo</v>
      </c>
      <c r="B98" t="str">
        <f>INDEX(Language!$G$149:$G$308,MATCH(A98,Language!$C$149:$C$308,0))</f>
        <v>União Européia</v>
      </c>
      <c r="C98">
        <f>INDEX(Language!$F$149:$F$308,MATCH(A98,Language!$C$149:$C$308,0))</f>
        <v>93</v>
      </c>
      <c r="J98" s="37"/>
      <c r="K98" s="388" t="s">
        <v>486</v>
      </c>
      <c r="L98" s="37" t="s">
        <v>3</v>
      </c>
      <c r="M98" s="37" t="s">
        <v>378</v>
      </c>
      <c r="N98" s="37" t="s">
        <v>487</v>
      </c>
      <c r="O98" s="37" t="s">
        <v>488</v>
      </c>
      <c r="P98" s="37" t="s">
        <v>388</v>
      </c>
      <c r="Q98" s="37" t="s">
        <v>489</v>
      </c>
      <c r="R98" s="37" t="s">
        <v>490</v>
      </c>
      <c r="S98" s="37" t="s">
        <v>491</v>
      </c>
      <c r="T98" s="37" t="s">
        <v>492</v>
      </c>
      <c r="U98" s="37" t="s">
        <v>493</v>
      </c>
      <c r="V98" s="37" t="s">
        <v>494</v>
      </c>
      <c r="W98" s="37" t="s">
        <v>495</v>
      </c>
      <c r="X98" s="37" t="s">
        <v>496</v>
      </c>
      <c r="Y98" s="37" t="str">
        <f>'Market Analyzes'!A31</f>
        <v>Qualidade das estradas (7 = melhor)</v>
      </c>
      <c r="Z98" s="37" t="str">
        <f>'Market Analyzes'!A36</f>
        <v>Sofisticação do comprador (7 = melhor)</v>
      </c>
      <c r="AA98" s="37" t="s">
        <v>497</v>
      </c>
      <c r="AB98" s="37" t="s">
        <v>498</v>
      </c>
      <c r="AC98" s="37" t="s">
        <v>499</v>
      </c>
      <c r="AD98" s="37" t="s">
        <v>500</v>
      </c>
      <c r="AE98" s="37" t="s">
        <v>501</v>
      </c>
      <c r="AF98" s="37" t="s">
        <v>502</v>
      </c>
      <c r="AG98" s="37" t="s">
        <v>503</v>
      </c>
      <c r="AH98" s="37" t="s">
        <v>504</v>
      </c>
      <c r="AI98" s="37" t="str">
        <f>'Market Analyzes'!E87</f>
        <v>Investimento pela população</v>
      </c>
      <c r="AJ98" s="37" t="s">
        <v>505</v>
      </c>
      <c r="AK98" s="37" t="s">
        <v>506</v>
      </c>
      <c r="AL98" s="37" t="s">
        <v>507</v>
      </c>
      <c r="AM98" s="37" t="s">
        <v>508</v>
      </c>
      <c r="AN98" s="37" t="s">
        <v>509</v>
      </c>
      <c r="AO98" s="37" t="s">
        <v>510</v>
      </c>
      <c r="AP98" s="37" t="str">
        <f>'Result data'!AD214</f>
        <v>First entry date</v>
      </c>
      <c r="AQ98" s="37" t="s">
        <v>511</v>
      </c>
      <c r="AR98" s="37" t="s">
        <v>512</v>
      </c>
      <c r="AS98" s="37" t="s">
        <v>513</v>
      </c>
      <c r="AT98" s="37" t="s">
        <v>514</v>
      </c>
      <c r="AU98" s="37" t="s">
        <v>515</v>
      </c>
      <c r="AV98" s="37" t="s">
        <v>476</v>
      </c>
      <c r="AW98" s="37" t="s">
        <v>516</v>
      </c>
      <c r="AX98" s="37" t="s">
        <v>416</v>
      </c>
      <c r="AY98" s="37" t="s">
        <v>517</v>
      </c>
      <c r="AZ98" s="37" t="s">
        <v>518</v>
      </c>
      <c r="BA98" s="37" t="s">
        <v>519</v>
      </c>
      <c r="BB98" s="37" t="s">
        <v>520</v>
      </c>
      <c r="BC98" s="37"/>
      <c r="BD98" s="37" t="s">
        <v>521</v>
      </c>
      <c r="BE98" s="37" t="s">
        <v>522</v>
      </c>
      <c r="BF98" s="37" t="s">
        <v>523</v>
      </c>
      <c r="BG98" s="37" t="s">
        <v>524</v>
      </c>
      <c r="BH98" s="37" t="s">
        <v>525</v>
      </c>
      <c r="BI98" s="37" t="s">
        <v>526</v>
      </c>
      <c r="BJ98" s="37" t="s">
        <v>527</v>
      </c>
      <c r="BK98" s="37" t="str">
        <f>'Market Analyzes'!$A$120&amp;": average"</f>
        <v>Lucro operacional: average</v>
      </c>
      <c r="BL98" s="37" t="str">
        <f>'Market Analyzes'!$A$120&amp;": min"</f>
        <v>Lucro operacional: min</v>
      </c>
      <c r="BM98" s="37" t="str">
        <f>'Market Analyzes'!$A$120&amp;": máx"</f>
        <v>Lucro operacional: máx</v>
      </c>
      <c r="BN98" s="37" t="str">
        <f>'Market Analyzes'!$A$121&amp;": average"</f>
        <v>Impostos: average</v>
      </c>
      <c r="BO98" s="37" t="str">
        <f>'Market Analyzes'!$A$121&amp;": min"</f>
        <v>Impostos: min</v>
      </c>
      <c r="BP98" s="37" t="str">
        <f>'Market Analyzes'!$A$121&amp;": máx"</f>
        <v>Impostos: máx</v>
      </c>
      <c r="BQ98" s="37" t="str">
        <f>'Market Analyzes'!$A$122&amp;": average"</f>
        <v>Lucro (Lucro Líquido): average</v>
      </c>
      <c r="BR98" s="37" t="str">
        <f>'Market Analyzes'!$A$122&amp;": min"</f>
        <v>Lucro (Lucro Líquido): min</v>
      </c>
      <c r="BS98" s="37" t="str">
        <f>'Market Analyzes'!$A$122&amp;": máx"</f>
        <v>Lucro (Lucro Líquido): máx</v>
      </c>
      <c r="BT98" s="37" t="str">
        <f>'Market Analyzes'!$A$123&amp;": average"</f>
        <v>Lucro (lucro líquido) para matriz (menos 50% dos parceiros em Joint Venture): average</v>
      </c>
      <c r="BU98" s="37" t="str">
        <f>'Market Analyzes'!$A$123&amp;": min"</f>
        <v>Lucro (lucro líquido) para matriz (menos 50% dos parceiros em Joint Venture): min</v>
      </c>
      <c r="BV98" s="37" t="str">
        <f>'Market Analyzes'!$A$123&amp;": máx"</f>
        <v>Lucro (lucro líquido) para matriz (menos 50% dos parceiros em Joint Venture): máx</v>
      </c>
      <c r="BW98" s="145" t="s">
        <v>528</v>
      </c>
    </row>
    <row r="99" spans="1:75" ht="15.6" customHeight="1" x14ac:dyDescent="0.25">
      <c r="A99" t="str">
        <v>Madagáscar</v>
      </c>
      <c r="B99" t="str">
        <f>INDEX(Language!$G$149:$G$308,MATCH(A99,Language!$C$149:$C$308,0))</f>
        <v>África Subsaariana</v>
      </c>
      <c r="C99">
        <f>INDEX(Language!$F$149:$F$308,MATCH(A99,Language!$C$149:$C$308,0))</f>
        <v>94</v>
      </c>
      <c r="J99" s="37"/>
      <c r="K99" s="301">
        <f>SUMIF('Result data'!$O$106:$O$115,'Config!'!L99,'Result data'!$N$106:$N$115)</f>
        <v>4</v>
      </c>
      <c r="L99" s="464" t="str">
        <f>IF(N99="","",INDEX('Result data'!$Q$216:$Q$390,M99,1))</f>
        <v>European Union</v>
      </c>
      <c r="M99" s="464">
        <f>SUMIF(Language!$B$149:$B$308,N99,Language!$F$149:$F$308)</f>
        <v>60</v>
      </c>
      <c r="N99" s="464" t="str">
        <f>IFERROR(IF('Market Analyzes'!$C$2=Language!$B$2,'Market Analyzes'!B88,INDEX(Language!$B$149:$B$308,MATCH('Market Analyzes'!B88,Language!$A$149:$A$308,0))),"")</f>
        <v>Germany</v>
      </c>
      <c r="O99" s="465" cm="1">
        <f t="array" ref="O99">IFERROR(IF(M99=0,"",INDEX('Result data'!$DY$216:$DY$390,M99)),"")</f>
        <v>80425823</v>
      </c>
      <c r="P99" s="466">
        <f>IF(N99="","",INDEX(GDP!$G$3:$S$177,M99,'Config!'!$AZ$17+1))</f>
        <v>3543.9839091480067</v>
      </c>
      <c r="Q99" s="466">
        <f t="shared" ref="Q99:Q108" si="15">IF(N99="","",P99*1000000000/O99)</f>
        <v>44065.248908276721</v>
      </c>
      <c r="R99" s="467">
        <f t="shared" ref="R99:R108" si="16">IF(N99="","",0.1*(Q99^0.35))</f>
        <v>4.2211781327799995</v>
      </c>
      <c r="S99" s="468">
        <f t="shared" ref="S99:S108" si="17">IF(N99="","",R99*N78)</f>
        <v>4.2211781327799995</v>
      </c>
      <c r="T99" s="468">
        <f t="shared" ref="T99:T108" si="18">IF(N99="","",S99*(1-O78))</f>
        <v>3.1658835995849994</v>
      </c>
      <c r="U99" s="468">
        <f>IF(N99="","",INDEX('Result data'!$CP$216:$CP$393,M99,1))</f>
        <v>3.9397662572613328</v>
      </c>
      <c r="V99" s="468">
        <f>IF(N99="","",INDEX('Result data'!$DA$216:$DA$393,M99,1))</f>
        <v>3.0814600369293998</v>
      </c>
      <c r="W99" s="469">
        <f>IF(N99="","",-'Result data'!$AI$6*('Config!'!Q99^'Result data'!$AJ$7))</f>
        <v>-1.7255039259783804</v>
      </c>
      <c r="X99" s="470">
        <f>IF(N99="","",W99/'Result data'!$AF$11)</f>
        <v>-0.57516797532612685</v>
      </c>
      <c r="Y99" s="471">
        <f>IF(N99="","",INDEX('Country Competitivness'!$FB$4:$FB$178,M99,1))</f>
        <v>6.1531938184049064</v>
      </c>
      <c r="Z99" s="471">
        <f>IF(N99="","",INDEX('Country Competitivness'!$EW$4:$EW$178,M99,1))</f>
        <v>4.3222041779141103</v>
      </c>
      <c r="AA99" s="464">
        <f>IFERROR(IF(M99="","",IF('Config!'!$BA$17=0,0,MAX(0,(INDEX('Result data'!$AE$216:$AP$390,M99,'Config!'!$BA$17)-COUNTIF('Market Analyzes'!$C$6,"&lt;&gt;"&amp;'Config!'!N99))))),"")</f>
        <v>2</v>
      </c>
      <c r="AB99" s="467">
        <f>IFERROR(IF(M99="","",IF(INDEX('Result data'!$C252:$L252,1,$L$17)&lt;&gt;"",INDEX('Result data'!$C252:$L252,1,$L$17),AVERAGEIF('Result data'!$C$216:$L$225,'Config!'!N99,'Result data'!$C$240:$L$249))),"")</f>
        <v>3.7990603195019994</v>
      </c>
      <c r="AC99" s="467">
        <f>IF(AB99="","",IF(INDEX('Result data'!$C288:$L288,1,$L$17)&lt;&gt;"",INDEX('Result data'!$C288:$L288,1,$L$17),AVERAGEIF('Result data'!$C$216:$L$225,'Config!'!N99,'Result data'!$C$276:$L$285)))</f>
        <v>2.9337188022821001</v>
      </c>
      <c r="AD99" s="467">
        <f>IF(N99="","",'Result data'!$AD$6*('Config!'!Q99^'Result data'!$AE$7)*((AI99+IF(AA99="",0,AJ99*AA99))^'Result data'!$AE$8)*(IF(U99=".",S99,U99)^X99)*((IF(V99=".",T99,V99)/IF(U99=".",S99,U99))^'Result data'!$AE$12)*(Y99^'Result data'!$AE$9)*(Z99^'Result data'!$AE$10))</f>
        <v>17.338578063491102</v>
      </c>
      <c r="AE99" s="467">
        <f t="shared" ref="AE99:AE108" si="19">IF(N99="","",AD99-1.96*$AD$109)</f>
        <v>12.241036112824718</v>
      </c>
      <c r="AF99" s="467">
        <f t="shared" ref="AF99:AF108" si="20">IF(N99="","",AD99+1.96*$AD$109)</f>
        <v>22.436120014157488</v>
      </c>
      <c r="AG99" s="470">
        <f>IF(N99="","",_xlfn.MINIFS('Result data'!$C$228:$L$237,'Result data'!$C$216:$L$225,'Config!'!N99))</f>
        <v>2011</v>
      </c>
      <c r="AH99" s="464">
        <f>IF(OR(M99="",M99=0),"",IFERROR(INDEX('Result data'!$C228:$L228,'Individual Report'!$W$2),2010))</f>
        <v>2010</v>
      </c>
      <c r="AI99" s="472">
        <f>IF(M99="","",'Market Analyzes'!E88)</f>
        <v>1.2433817431995691E-2</v>
      </c>
      <c r="AJ99" s="472">
        <f>IF(N99="","",IF(AA99="",0,IF(AA99=0,0,MAX(0,((((SUMIF('Result data'!$C$216:$L$225,'Config!'!N99,'Result data'!$C$456:$L$465)+SUMIF('Result data'!$C$216:$L$225,'Config!'!N99,'Result data'!$C$468:$L$477)))-AI99*O99)/O99)/AA99))))</f>
        <v>1.3345566866353208E-4</v>
      </c>
      <c r="AK99" s="469">
        <f>IF(N99="","",'Result data'!$AD$18*('Config!'!T99^'Result data'!$AE$19)*('Config!'!S99^'Config!'!W99)*('Config!'!AI99^AVERAGE('Result data'!$AE$22:$AE$23))*((AH99-AH99+1)^'Result data'!$AE$20))</f>
        <v>0.78916461099495894</v>
      </c>
      <c r="AL99" s="469">
        <f>IF(AA99="",0,IF(AA99=0,0,('Result data'!$AD$18*('Config!'!AC99^'Result data'!$AE$19)*('Config!'!AB99^'Config!'!W99)*('Config!'!AJ99^AVERAGE('Result data'!$AE$22:$AE$23))*((AG99-2010)^'Result data'!$AE$20))*AA99))</f>
        <v>0.78161335521398445</v>
      </c>
      <c r="AM99" s="473">
        <f t="shared" ref="AM99:AM108" si="21">IF(N99="","",AK99/SUM(AK99:AL99))</f>
        <v>0.50240366746396348</v>
      </c>
      <c r="AN99" s="230">
        <f t="shared" ref="AN99:AN108" si="22">IF(N99="","",(AK99*0.75)/(AK99*0.75+AL99))</f>
        <v>0.43092765976771319</v>
      </c>
      <c r="AO99" s="230">
        <f t="shared" ref="AO99:AO108" si="23">IF(N99="","",(AK99*1.25)/(AK99*1.25+AL99))</f>
        <v>0.5579282807253807</v>
      </c>
      <c r="AP99" s="464">
        <f>IF(N99="","",INDEX('Result data'!$AD$216:$AD$390,M99,1))</f>
        <v>2011</v>
      </c>
      <c r="AQ99" s="469">
        <f>IF(N99="","",'Result data'!$AI$23*(SUM('Config!'!AI99:AJ99)^'Result data'!$AJ$24))</f>
        <v>5.290751079937654</v>
      </c>
      <c r="AR99" s="469">
        <f>IF(N99="","",'Result data'!$AI$30*(SUM('Config!'!AI99:AJ99)^'Result data'!$AJ$31))</f>
        <v>2.645375539968827</v>
      </c>
      <c r="AS99" s="474">
        <f>IF(N99="","",0.698305402569866*'Result data'!$AI$13*(Q99^'Result data'!$AJ$14)*(AVERAGE('Config!'!AI99:AJ99)^'Result data'!$AJ$15)*((IF(V99=".",T99,V99)/IF(U99=".",S99,U99))^'Result data'!$AJ$18)*(INDEX('Country Competitivness'!$EU$4:$EU$178,M99,1)^'Result data'!$AJ$17)*(INDEX('Country Competitivness'!$CL$4:$CX$178,M99,'Config!'!$AZ$17+1)^'Result data'!$AJ$16))</f>
        <v>9.1587031594217064E-2</v>
      </c>
      <c r="AT99" s="231">
        <f>IF(N99="","",_xlfn.NORM.S.DIST(STANDARDIZE(IF('Config!'!AP99=".",0,'Config!'!$BA$15-'Config!'!AP99)+1,'Config!'!AQ99,'Config!'!AR99),1)*AS99*O99)</f>
        <v>786364.1141665004</v>
      </c>
      <c r="AU99" s="231">
        <f>IF(N99="","",IF(INDEX('Result data'!$CE$216:$CE$393,'Config!'!M99,1)=".",AT99*0.75,INDEX('Result data'!$CE$216:$CE$393,'Config!'!M99,1)))</f>
        <v>7759873.569392656</v>
      </c>
      <c r="AV99" s="475">
        <f t="shared" ref="AV99:AV108" si="24">IF(N99="","",AVERAGE(AT99:AU99))</f>
        <v>4273118.8417795785</v>
      </c>
      <c r="AW99" s="475">
        <f t="shared" ref="AW99:AW108" si="25">IF(N99="","",MIN(AT99:AU99))</f>
        <v>786364.1141665004</v>
      </c>
      <c r="AX99" s="475">
        <f t="shared" ref="AX99:AX108" si="26">IF(N99="","",MAX(AT99:AU99))</f>
        <v>7759873.569392656</v>
      </c>
      <c r="AY99" s="231">
        <f t="shared" ref="AY99:AY108" si="27">IF(N99="","",AV99*AD99)</f>
        <v>74089804.612769902</v>
      </c>
      <c r="AZ99" s="231">
        <f t="shared" ref="AZ99:AZ108" si="28">IF(N99="","",AW99*AE99)</f>
        <v>9625911.5193415508</v>
      </c>
      <c r="BA99" s="231">
        <f t="shared" ref="BA99:BA108" si="29">IF(N99="","",AX99*AF99)</f>
        <v>174101454.69758227</v>
      </c>
      <c r="BB99" s="475">
        <f>IF(N99="","",AY99*AM99)</f>
        <v>37222989.55914408</v>
      </c>
      <c r="BC99" s="37"/>
      <c r="BD99" s="475">
        <f t="shared" ref="BD99:BD108" si="30">IF(N99="","",BA99*AO99)</f>
        <v>97136125.291209832</v>
      </c>
      <c r="BE99" s="467">
        <f t="shared" ref="BE99:BE108" si="31">IF(N99="","",BB99*($S99-$T99)/$S99)</f>
        <v>9305747.3897860218</v>
      </c>
      <c r="BF99" s="467">
        <f t="shared" ref="BF99:BF108" si="32">IF(N99="","",BC107*($S99-$T99)/$S99)</f>
        <v>1037017.8810402319</v>
      </c>
      <c r="BG99" s="467">
        <f t="shared" ref="BG99:BG108" si="33">IF(N99="","",BD99*($S99-$T99)/$S99)</f>
        <v>24284031.322802462</v>
      </c>
      <c r="BH99" s="466">
        <f>IF(N99="","",MAX('Result data'!$AD$31,'Result data'!$AD$32+'Result data'!$AE$33*'Config!'!Q99+'Result data'!$AE$34*INDEX('Score-Starting a business'!$U$2:$U$176,M99,1)+'Result data'!$AE$35*INDEX('Country Competitivness'!$EW$4:$EW$178,M99,1)+'Result data'!$AE$36*LN(AV99)+'Result data'!$AE$37*IF(N99='Config!'!$O$95,IF('Market Analyzes'!$D$39="JOINT VENTURE",1,0),INDEX('Result data'!$EI$216:$ER$390,'Config!'!M99,'Config!'!$L$17))+'Result data'!$AE$38*IF(N99='Config!'!$O$95,IF('Market Analyzes'!$D$39="JOINT VENTURE",1,0),INDEX('Result data'!$EI$216:$ER$390,'Config!'!M99,'Config!'!$L$17))*INDEX('Country Competitivness'!$EW$4:$EW$178,M99,1)))</f>
        <v>2912916.1192548461</v>
      </c>
      <c r="BI99" s="466">
        <f>IF(N99="","",IF(N99='Config!'!$O$95,'Result data'!$AN$7+'Result data'!$AO$8*'Config!'!Q99+'Result data'!$AO$9*INDEX('Score-Starting a business'!$U$2:$U$176,M99,1)+'Result data'!$AO$10*INDEX('Country Competitivness'!$EW$4:$EW$178,M99,1)+'Result data'!$AO$11*LN(AV99)+'Result data'!$AO$12*IF(N99='Config!'!$O$95,IF('Market Analyzes'!$D$39="JOINT VENTURE",1,0),INDEX('Result data'!$EI$216:$ER$390,'Config!'!M99,'Config!'!$L$17))+'Result data'!$AO$13*IF(N99='Config!'!$O$95,IF('Market Analyzes'!$D$39="JOINT VENTURE",1,0),INDEX('Result data'!$EI$216:$ER$390,'Config!'!M99,'Config!'!$L$17))*INDEX('Country Competitivness'!$EW$4:$EW$178,M99,1),0))</f>
        <v>0</v>
      </c>
      <c r="BJ99" s="467" t="e">
        <f>IF(N99="","",'Market Analyzes'!$D$119*BB99/$BB$109)</f>
        <v>#DIV/0!</v>
      </c>
      <c r="BK99" s="467" t="e">
        <f t="shared" ref="BK99:BK108" si="34">IF(N99="","",BE99-SUM($BH99:$BJ99))</f>
        <v>#DIV/0!</v>
      </c>
      <c r="BL99" s="466" t="e">
        <f t="shared" ref="BL99:BL108" si="35">IF(N99="","",BF99-SUM($BH99:$BJ99))</f>
        <v>#DIV/0!</v>
      </c>
      <c r="BM99" s="467" t="e">
        <f t="shared" ref="BM99:BM108" si="36">IF(N99="","",BG99-SUM($BH99:$BJ99))</f>
        <v>#DIV/0!</v>
      </c>
      <c r="BN99" s="466" t="e">
        <f>IF(N99="","",IF(BE99=".",".",IF(BK99&lt;0,0,AVERAGE('Market Analyzes'!$C$25:$C$27)*0.8*BK99)))</f>
        <v>#DIV/0!</v>
      </c>
      <c r="BO99" s="466" t="e">
        <f>IF(N99="","",IF(BF99=".",".",IF(BL99&lt;0,0,AVERAGE('Market Analyzes'!$C$25:$C$27)*0.8*BL99)))</f>
        <v>#DIV/0!</v>
      </c>
      <c r="BP99" s="466" t="e">
        <f>IF(N99="","",IF(BG99=".",".",IF(BM99&lt;0,0,AVERAGE('Market Analyzes'!$C$25:$C$27)*0.8*BM99)))</f>
        <v>#DIV/0!</v>
      </c>
      <c r="BQ99" s="467" t="e">
        <f t="shared" ref="BQ99:BQ108" si="37">IF(N99="","",BK99-BN99)</f>
        <v>#DIV/0!</v>
      </c>
      <c r="BR99" s="467" t="e">
        <f t="shared" ref="BR99:BR108" si="38">IF(N99="","",BL99-BO99)</f>
        <v>#DIV/0!</v>
      </c>
      <c r="BS99" s="467" t="e">
        <f t="shared" ref="BS99:BS108" si="39">IF(N99="","",BM99-BP99)</f>
        <v>#DIV/0!</v>
      </c>
      <c r="BT99" s="467" t="e">
        <f>IF(N99="","",BQ99*'Result data'!$AN$15*IF(N99='Config!'!$O$95,IF('Market Analyzes'!$D$39="JOINT VENTURE",1,0),INDEX('Result data'!$EI$216:$ER$390,'Config!'!M99,'Config!'!$L$17)))</f>
        <v>#DIV/0!</v>
      </c>
      <c r="BU99" s="467" t="e">
        <f>IF(N99="","",BR99*'Result data'!$AN$15*IF(N99='Config!'!$O$95,IF('Market Analyzes'!$D$39="JOINT VENTURE",1,0),INDEX('Result data'!$EI$216:$ER$390,'Config!'!M99,'Config!'!$L$17)))</f>
        <v>#DIV/0!</v>
      </c>
      <c r="BV99" s="467" t="e">
        <f>IF(N99="","",BS99*'Result data'!$AN$15*IF(N99='Config!'!$O$95,IF('Market Analyzes'!$D$39="JOINT VENTURE",1,0),INDEX('Result data'!$EI$216:$ER$390,'Config!'!M99,'Config!'!$L$17)))</f>
        <v>#DIV/0!</v>
      </c>
      <c r="BW99">
        <f>IFERROR(($S99-$T99)/$S99,"")</f>
        <v>0.25000000000000006</v>
      </c>
    </row>
    <row r="100" spans="1:75" ht="15.6" customHeight="1" x14ac:dyDescent="0.25">
      <c r="A100" t="str">
        <v>Malásia</v>
      </c>
      <c r="B100" t="str">
        <f>INDEX(Language!$G$149:$G$308,MATCH(A100,Language!$C$149:$C$308,0))</f>
        <v>Ásia-Pacífico</v>
      </c>
      <c r="C100">
        <f>INDEX(Language!$F$149:$F$308,MATCH(A100,Language!$C$149:$C$308,0))</f>
        <v>96</v>
      </c>
      <c r="J100" s="37"/>
      <c r="K100" s="301">
        <f>SUMIF('Result data'!$O$106:$O$115,'Config!'!L100,'Result data'!$N$106:$N$115)</f>
        <v>3</v>
      </c>
      <c r="L100" s="464" t="str">
        <f>IF(N100="","",INDEX('Result data'!$Q$216:$Q$390,M100,1))</f>
        <v>Europe</v>
      </c>
      <c r="M100" s="464">
        <f>SUMIF(Language!$B$149:$B$308,N100,Language!$F$149:$F$308)</f>
        <v>117</v>
      </c>
      <c r="N100" s="464" t="str">
        <f>IFERROR(IF('Market Analyzes'!$C$2=Language!$B$2,'Market Analyzes'!B89,INDEX(Language!$B$149:$B$308,MATCH('Market Analyzes'!B89,Language!$A$149:$A$308,0))),"")</f>
        <v>Norway</v>
      </c>
      <c r="O100" s="465" cm="1">
        <f t="array" ref="O100">IFERROR(IF(M100=0,"",INDEX('Result data'!$DY$216:$DY$390,M100)),"")</f>
        <v>5018573</v>
      </c>
      <c r="P100" s="466">
        <f>IF(N100="","",INDEX(GDP!$G$3:$S$177,M100,'Config!'!$AZ$17+1))</f>
        <v>510.22913622690163</v>
      </c>
      <c r="Q100" s="466">
        <f t="shared" si="15"/>
        <v>101668.1706586517</v>
      </c>
      <c r="R100" s="467">
        <f t="shared" si="16"/>
        <v>5.6560697076500563</v>
      </c>
      <c r="S100" s="468">
        <f t="shared" si="17"/>
        <v>0</v>
      </c>
      <c r="T100" s="468">
        <f t="shared" si="18"/>
        <v>0</v>
      </c>
      <c r="U100" s="468">
        <f>IF(N100="","",INDEX('Result data'!$CP$216:$CP$393,M100,1))</f>
        <v>5.6560697076500563</v>
      </c>
      <c r="V100" s="468">
        <f>IF(N100="","",INDEX('Result data'!$DA$216:$DA$393,M100,1))</f>
        <v>4.2420522807375427</v>
      </c>
      <c r="W100" s="469">
        <f>IF(N100="","",-'Result data'!$AI$6*('Config!'!Q100^'Result data'!$AJ$7))</f>
        <v>-1.4000506784014792</v>
      </c>
      <c r="X100" s="470">
        <f>IF(N100="","",W100/'Result data'!$AF$11)</f>
        <v>-0.46668355946715973</v>
      </c>
      <c r="Y100" s="471">
        <f>IF(N100="","",INDEX('Country Competitivness'!$FB$4:$FB$178,M100,1))</f>
        <v>3.4611074436974789</v>
      </c>
      <c r="Z100" s="471">
        <f>IF(N100="","",INDEX('Country Competitivness'!$EW$4:$EW$178,M100,1))</f>
        <v>4.3193054487394953</v>
      </c>
      <c r="AA100" s="464">
        <f>IFERROR(IF(M100="","",IF('Config!'!$BA$17=0,0,MAX(0,(INDEX('Result data'!$AE$216:$AP$390,M100,'Config!'!$BA$17)-COUNTIF('Market Analyzes'!$C$6,"&lt;&gt;"&amp;'Config!'!N100))))),"")</f>
        <v>0</v>
      </c>
      <c r="AB100" s="467">
        <f>IFERROR(IF(M100="","",IF(INDEX('Result data'!$C253:$L253,1,$L$17)&lt;&gt;"",INDEX('Result data'!$C253:$L253,1,$L$17),AVERAGEIF('Result data'!$C$216:$L$225,'Config!'!N100,'Result data'!$C$240:$L$249))),"")</f>
        <v>5.6560697076500563</v>
      </c>
      <c r="AC100" s="467">
        <f>IF(AB100="","",IF(INDEX('Result data'!$C289:$L289,1,$L$17)&lt;&gt;"",INDEX('Result data'!$C289:$L289,1,$L$17),AVERAGEIF('Result data'!$C$216:$L$225,'Config!'!N100,'Result data'!$C$276:$L$285)))</f>
        <v>4.2420522807375427</v>
      </c>
      <c r="AD100" s="467">
        <f>IF(N100="","",'Result data'!$AD$6*('Config!'!Q100^'Result data'!$AE$7)*(IF(U100=".",S100,U100)^X100)*((IF(V100=".",T100,V100)/IF(U100=".",S100,U100))^'Result data'!$AE$12)*(Y100^'Result data'!$AE$9)*(Z100^'Result data'!$AE$10))</f>
        <v>24.740615930267452</v>
      </c>
      <c r="AE100" s="467">
        <f t="shared" si="19"/>
        <v>19.64307397960107</v>
      </c>
      <c r="AF100" s="467">
        <f t="shared" si="20"/>
        <v>29.838157880933835</v>
      </c>
      <c r="AG100" s="683">
        <f>IF(N100="","",MAX('Config!'!$BC$16:$BC$18,_xlfn.MINIFS('Result data'!$C$228:$L$237,'Result data'!$C$216:$L$225,'Config!'!N100)))</f>
        <v>2012</v>
      </c>
      <c r="AH100" s="464">
        <f>IFERROR(IF(OR(M100="",M100=0),"",IF(N100=INDEX(Language!$B$149:$B$308,
IF(Language!$C$2=Language!$B$2,
MATCH('Market Analyzes'!B89,Language!$B$149:$B$308,0),
MATCH('Market Analyzes'!B89,Language!$A$149:$A$308,0))),
'Market Analyzes'!$C$5+1,INDEX('Result data'!$C229:$L229,1,$L$17))),AG100)</f>
        <v>2012</v>
      </c>
      <c r="AI100" s="472">
        <f>IF(M100="","",'Market Analyzes'!E89)</f>
        <v>0</v>
      </c>
      <c r="AJ100" s="472">
        <f>IF(N100="","",IF(AA100="",0,IF(AA100=0,0,MAX(0,((((SUMIF('Result data'!$C$216:$L$225,'Config!'!N100,'Result data'!$C$456:$L$465)+SUMIF('Result data'!$C$216:$L$225,'Config!'!N100,'Result data'!$C$468:$L$477)))-AI100*O100)/O100)/AA100))))</f>
        <v>0</v>
      </c>
      <c r="AK100" s="469" t="e">
        <f>IF(N100="","",'Result data'!$AD$18*('Config!'!T100^'Result data'!$AE$19)*('Config!'!S100^'Config!'!W100)*('Config!'!AI100^AVERAGE('Result data'!$AE$22:$AE$23))*((AH100-AH100+1)^'Result data'!$AE$20))</f>
        <v>#DIV/0!</v>
      </c>
      <c r="AL100" s="469">
        <f>IF(AA100="",0,IF(AA100=0,0,('Result data'!$AD$18*('Config!'!AC100^'Result data'!$AE$19)*('Config!'!AB100^'Config!'!W100)*('Config!'!AJ100^AVERAGE('Result data'!$AE$22:$AE$23))*((AG100-2010)^'Result data'!$AE$20))*AA100))</f>
        <v>0</v>
      </c>
      <c r="AM100" s="473" t="e">
        <f t="shared" si="21"/>
        <v>#DIV/0!</v>
      </c>
      <c r="AN100" s="230" t="e">
        <f t="shared" si="22"/>
        <v>#DIV/0!</v>
      </c>
      <c r="AO100" s="230" t="e">
        <f t="shared" si="23"/>
        <v>#DIV/0!</v>
      </c>
      <c r="AP100" s="464">
        <f>IF(N100="","",INDEX('Result data'!$AD$216:$AD$390,M100,1))</f>
        <v>2012</v>
      </c>
      <c r="AQ100" s="469" t="e">
        <f>IF(N100="","",'Result data'!$AI$23*(SUM('Config!'!AI100:AJ100)^'Result data'!$AJ$24))</f>
        <v>#DIV/0!</v>
      </c>
      <c r="AR100" s="469" t="e">
        <f>IF(N100="","",'Result data'!$AI$30*(SUM('Config!'!AI100:AJ100)^'Result data'!$AJ$31))</f>
        <v>#DIV/0!</v>
      </c>
      <c r="AS100" s="474">
        <f>IF(N100="","",0.698305402569866*'Result data'!$AI$13*(Q100^'Result data'!$AJ$14)*(AVERAGE('Config!'!AI100:AJ100)^'Result data'!$AJ$15)*((IF(V100=".",T100,V100)/IF(U100=".",S100,U100))^'Result data'!$AJ$18)*(INDEX('Country Competitivness'!$EU$4:$EU$178,M100,1)^'Result data'!$AJ$17)*(INDEX('Country Competitivness'!$CL$4:$CX$178,M100,'Config!'!$AZ$17+1)^'Result data'!$AJ$16))</f>
        <v>0</v>
      </c>
      <c r="AT100" s="231" t="e">
        <f>IF(N100="","",_xlfn.NORM.S.DIST(STANDARDIZE(IF('Config!'!AP100=".",0,'Config!'!$BA$15-'Config!'!AP100)+1,'Config!'!AQ100,'Config!'!AR100),1)*AS100*O100)</f>
        <v>#DIV/0!</v>
      </c>
      <c r="AU100" s="231" t="e">
        <f>IF(N100="","",IF(INDEX('Result data'!$CE$216:$CE$393,'Config!'!M100,1)=".",AT100*0.75,INDEX('Result data'!$CE$216:$CE$393,'Config!'!M100,1)))</f>
        <v>#DIV/0!</v>
      </c>
      <c r="AV100" s="475" t="e">
        <f t="shared" si="24"/>
        <v>#DIV/0!</v>
      </c>
      <c r="AW100" s="475" t="e">
        <f t="shared" si="25"/>
        <v>#DIV/0!</v>
      </c>
      <c r="AX100" s="475" t="e">
        <f t="shared" si="26"/>
        <v>#DIV/0!</v>
      </c>
      <c r="AY100" s="231" t="e">
        <f t="shared" si="27"/>
        <v>#DIV/0!</v>
      </c>
      <c r="AZ100" s="231" t="e">
        <f t="shared" si="28"/>
        <v>#DIV/0!</v>
      </c>
      <c r="BA100" s="231" t="e">
        <f t="shared" si="29"/>
        <v>#DIV/0!</v>
      </c>
      <c r="BB100" s="475" t="e">
        <f t="shared" ref="BB100:BB108" si="40">IF(N100="","",AY100*AM100)</f>
        <v>#DIV/0!</v>
      </c>
      <c r="BC100" s="37"/>
      <c r="BD100" s="475" t="e">
        <f t="shared" si="30"/>
        <v>#DIV/0!</v>
      </c>
      <c r="BE100" s="467" t="e">
        <f t="shared" si="31"/>
        <v>#DIV/0!</v>
      </c>
      <c r="BF100" s="467" t="e">
        <f t="shared" si="32"/>
        <v>#DIV/0!</v>
      </c>
      <c r="BG100" s="467" t="e">
        <f t="shared" si="33"/>
        <v>#DIV/0!</v>
      </c>
      <c r="BH100" s="466" t="e">
        <f>IF(N100="","",MAX('Result data'!$AD$31,'Result data'!$AD$32+'Result data'!$AE$33*'Config!'!Q100+'Result data'!$AE$34*INDEX('Score-Starting a business'!$U$2:$U$176,M100,1)+'Result data'!$AE$35*INDEX('Country Competitivness'!$EW$4:$EW$178,M100,1)+'Result data'!$AE$36*LN(AV100)+'Result data'!$AE$37*IF(N100='Config!'!$O$95,IF('Market Analyzes'!$D$39="JOINT VENTURE",1,0),INDEX('Result data'!$EI$216:$ER$390,'Config!'!M100,'Config!'!$L$17))+'Result data'!$AE$38*IF(N100='Config!'!$O$95,IF('Market Analyzes'!$D$39="JOINT VENTURE",1,0),INDEX('Result data'!$EI$216:$ER$390,'Config!'!M100,'Config!'!$L$17))*INDEX('Country Competitivness'!$EW$4:$EW$178,M100,1)))</f>
        <v>#DIV/0!</v>
      </c>
      <c r="BI100" s="466">
        <f>IF(N100="","",IF(N100='Config!'!$O$95,'Result data'!$AN$7+'Result data'!$AO$8*'Config!'!Q100+'Result data'!$AO$9*INDEX('Score-Starting a business'!$U$2:$U$176,M100,1)+'Result data'!$AO$10*INDEX('Country Competitivness'!$EW$4:$EW$178,M100,1)+'Result data'!$AO$11*LN(AV100)+'Result data'!$AO$12*IF(N100='Config!'!$O$95,IF('Market Analyzes'!$D$39="JOINT VENTURE",1,0),INDEX('Result data'!$EI$216:$ER$390,'Config!'!M100,'Config!'!$L$17))+'Result data'!$AO$13*IF(N100='Config!'!$O$95,IF('Market Analyzes'!$D$39="JOINT VENTURE",1,0),INDEX('Result data'!$EI$216:$ER$390,'Config!'!M100,'Config!'!$L$17))*INDEX('Country Competitivness'!$EW$4:$EW$178,M100,1),0))</f>
        <v>0</v>
      </c>
      <c r="BJ100" s="467" t="e">
        <f>IF(N100="","",'Market Analyzes'!$D$119*BB100/$BB$109)</f>
        <v>#DIV/0!</v>
      </c>
      <c r="BK100" s="467" t="e">
        <f t="shared" si="34"/>
        <v>#DIV/0!</v>
      </c>
      <c r="BL100" s="466" t="e">
        <f t="shared" si="35"/>
        <v>#DIV/0!</v>
      </c>
      <c r="BM100" s="467" t="e">
        <f t="shared" si="36"/>
        <v>#DIV/0!</v>
      </c>
      <c r="BN100" s="466" t="e">
        <f>IF(N100="","",IF(BE100=".",".",IF(BK100&lt;0,0,AVERAGE('Market Analyzes'!$C$25:$C$27)*0.8*BK100)))</f>
        <v>#DIV/0!</v>
      </c>
      <c r="BO100" s="466" t="e">
        <f>IF(N100="","",IF(BF100=".",".",IF(BL100&lt;0,0,AVERAGE('Market Analyzes'!$C$25:$C$27)*0.8*BL100)))</f>
        <v>#DIV/0!</v>
      </c>
      <c r="BP100" s="466" t="e">
        <f>IF(N100="","",IF(BG100=".",".",IF(BM100&lt;0,0,AVERAGE('Market Analyzes'!$C$25:$C$27)*0.8*BM100)))</f>
        <v>#DIV/0!</v>
      </c>
      <c r="BQ100" s="467" t="e">
        <f t="shared" si="37"/>
        <v>#DIV/0!</v>
      </c>
      <c r="BR100" s="467" t="e">
        <f t="shared" si="38"/>
        <v>#DIV/0!</v>
      </c>
      <c r="BS100" s="467" t="e">
        <f t="shared" si="39"/>
        <v>#DIV/0!</v>
      </c>
      <c r="BT100" s="467" t="e">
        <f>IF(N100="","",BQ100*'Result data'!$AN$15*IF(N100='Config!'!$O$95,IF('Market Analyzes'!$D$39="JOINT VENTURE",1,0),INDEX('Result data'!$EI$216:$ER$390,'Config!'!M100,'Config!'!$L$17)))</f>
        <v>#DIV/0!</v>
      </c>
      <c r="BU100" s="467" t="e">
        <f>IF(N100="","",BR100*'Result data'!$AN$15*IF(N100='Config!'!$O$95,IF('Market Analyzes'!$D$39="JOINT VENTURE",1,0),INDEX('Result data'!$EI$216:$ER$390,'Config!'!M100,'Config!'!$L$17)))</f>
        <v>#DIV/0!</v>
      </c>
      <c r="BV100" s="467" t="e">
        <f>IF(N100="","",BS100*'Result data'!$AN$15*IF(N100='Config!'!$O$95,IF('Market Analyzes'!$D$39="JOINT VENTURE",1,0),INDEX('Result data'!$EI$216:$ER$390,'Config!'!M100,'Config!'!$L$17)))</f>
        <v>#DIV/0!</v>
      </c>
      <c r="BW100" t="str">
        <f t="shared" ref="BW100:BW108" si="41">IFERROR(($S100-$T100)/$S100,"")</f>
        <v/>
      </c>
    </row>
    <row r="101" spans="1:75" ht="15.6" customHeight="1" x14ac:dyDescent="0.25">
      <c r="A101" t="str">
        <v>Malawi</v>
      </c>
      <c r="B101" t="str">
        <f>INDEX(Language!$G$149:$G$308,MATCH(A101,Language!$C$149:$C$308,0))</f>
        <v>África Subsaariana</v>
      </c>
      <c r="C101">
        <f>INDEX(Language!$F$149:$F$308,MATCH(A101,Language!$C$149:$C$308,0))</f>
        <v>95</v>
      </c>
      <c r="J101" s="37"/>
      <c r="K101" s="301">
        <f>SUMIF('Result data'!$O$106:$O$115,'Config!'!L101,'Result data'!$N$106:$N$115)</f>
        <v>9</v>
      </c>
      <c r="L101" s="464" t="str">
        <f>IF(N101="","",INDEX('Result data'!$Q$216:$Q$390,M101,1))</f>
        <v>Sub-Saharan Africa</v>
      </c>
      <c r="M101" s="464">
        <f>SUMIF(Language!$B$149:$B$308,N101,Language!$F$149:$F$308)</f>
        <v>144</v>
      </c>
      <c r="N101" s="464" t="str">
        <f>IFERROR(IF('Market Analyzes'!$C$2=Language!$B$2,'Market Analyzes'!B90,INDEX(Language!$B$149:$B$308,MATCH('Market Analyzes'!B90,Language!$A$149:$A$308,0))),"")</f>
        <v>South Africa</v>
      </c>
      <c r="O101" s="465" cm="1">
        <f t="array" ref="O101">IFERROR(IF(M101=0,"",INDEX('Result data'!$DY$216:$DY$390,M101)),"")</f>
        <v>52356381</v>
      </c>
      <c r="P101" s="466">
        <f>IF(N101="","",INDEX(GDP!$G$3:$S$177,M101,'Config!'!$AZ$17+1))</f>
        <v>396.3293897202347</v>
      </c>
      <c r="Q101" s="466">
        <f t="shared" si="15"/>
        <v>7569.8392851147346</v>
      </c>
      <c r="R101" s="467">
        <f t="shared" si="16"/>
        <v>2.2786642077994692</v>
      </c>
      <c r="S101" s="468">
        <f t="shared" si="17"/>
        <v>0</v>
      </c>
      <c r="T101" s="468">
        <f t="shared" si="18"/>
        <v>0</v>
      </c>
      <c r="U101" s="468" t="str">
        <f>IF(N101="","",INDEX('Result data'!$CP$216:$CP$393,M101,1))</f>
        <v>.</v>
      </c>
      <c r="V101" s="468" t="str">
        <f>IF(N101="","",INDEX('Result data'!$DA$216:$DA$393,M101,1))</f>
        <v>.</v>
      </c>
      <c r="W101" s="469">
        <f>IF(N101="","",-'Result data'!$AI$6*('Config!'!Q101^'Result data'!$AJ$7))</f>
        <v>-2.6802070417997199</v>
      </c>
      <c r="X101" s="470">
        <f>IF(N101="","",W101/'Result data'!$AF$11)</f>
        <v>-0.8934023472665733</v>
      </c>
      <c r="Y101" s="471">
        <f>IF(N101="","",INDEX('Country Competitivness'!$FB$4:$FB$178,M101,1))</f>
        <v>4.7554586500000005</v>
      </c>
      <c r="Z101" s="471">
        <f>IF(N101="","",INDEX('Country Competitivness'!$EW$4:$EW$178,M101,1))</f>
        <v>4.1261715500000005</v>
      </c>
      <c r="AA101" s="464">
        <f>IFERROR(IF(M101="","",IF('Config!'!$BA$17=0,0,MAX(0,(INDEX('Result data'!$AE$216:$AP$390,M101,'Config!'!$BA$17)-COUNTIF('Market Analyzes'!$C$6,"&lt;&gt;"&amp;'Config!'!N101))))),"")</f>
        <v>0</v>
      </c>
      <c r="AB101" s="467" t="str">
        <f>IFERROR(IF(M101="","",IF(INDEX('Result data'!$C254:$L254,1,$L$17)&lt;&gt;"",INDEX('Result data'!$C254:$L254,1,$L$17),AVERAGEIF('Result data'!$C$216:$L$225,'Config!'!N101,'Result data'!$C$240:$L$249))),"")</f>
        <v/>
      </c>
      <c r="AC101" s="467" t="str">
        <f>IF(AB101="","",IF(INDEX('Result data'!$C290:$L290,1,$L$17)&lt;&gt;"",INDEX('Result data'!$C290:$L290,1,$L$17),AVERAGEIF('Result data'!$C$216:$L$225,'Config!'!N101,'Result data'!$C$276:$L$285)))</f>
        <v/>
      </c>
      <c r="AD101" s="467" t="e">
        <f>IF(N101="","",'Result data'!$AD$6*('Config!'!Q101^'Result data'!$AE$7)*(IF(U101=".",S101,U101)^X101)*((IF(V101=".",T101,V101)/IF(U101=".",S101,U101))^'Result data'!$AE$12)*(Y101^'Result data'!$AE$9)*(Z101^'Result data'!$AE$10))</f>
        <v>#DIV/0!</v>
      </c>
      <c r="AE101" s="467" t="e">
        <f t="shared" si="19"/>
        <v>#DIV/0!</v>
      </c>
      <c r="AF101" s="467" t="e">
        <f t="shared" si="20"/>
        <v>#DIV/0!</v>
      </c>
      <c r="AG101" s="683">
        <f>IF(N101="","",MAX('Config!'!$BC$16:$BC$18,_xlfn.MINIFS('Result data'!$C$228:$L$237,'Result data'!$C$216:$L$225,'Config!'!N101)))</f>
        <v>2012</v>
      </c>
      <c r="AH101" s="464">
        <f>IFERROR(IF(OR(M101="",M101=0),"",IF(N101=INDEX(Language!$B$149:$B$308,
IF(Language!$C$2=Language!$B$2,
MATCH('Market Analyzes'!B90,Language!$B$149:$B$308,0),
MATCH('Market Analyzes'!B90,Language!$A$149:$A$308,0))),
'Market Analyzes'!$C$5+1,INDEX('Result data'!$C230:$L230,1,$L$17))),AG101)</f>
        <v>2012</v>
      </c>
      <c r="AI101" s="472">
        <f>IF(M101="","",'Market Analyzes'!E90)</f>
        <v>0</v>
      </c>
      <c r="AJ101" s="472">
        <f>IF(N101="","",IF(AA101="",0,IF(AA101=0,0,MAX(0,((((SUMIF('Result data'!$C$216:$L$225,'Config!'!N101,'Result data'!$C$456:$L$465)+SUMIF('Result data'!$C$216:$L$225,'Config!'!N101,'Result data'!$C$468:$L$477)))-AI101*O101)/O101)/AA101))))</f>
        <v>0</v>
      </c>
      <c r="AK101" s="469" t="e">
        <f>IF(N101="","",'Result data'!$AD$18*('Config!'!T101^'Result data'!$AE$19)*('Config!'!S101^'Config!'!W101)*('Config!'!AI101^AVERAGE('Result data'!$AE$22:$AE$23))*((AH101-AH101+1)^'Result data'!$AE$20))</f>
        <v>#DIV/0!</v>
      </c>
      <c r="AL101" s="469">
        <f>IF(AA101="",0,IF(AA101=0,0,('Result data'!$AD$18*('Config!'!AC101^'Result data'!$AE$19)*('Config!'!AB101^'Config!'!W101)*('Config!'!AJ101^AVERAGE('Result data'!$AE$22:$AE$23))*((AG101-2010)^'Result data'!$AE$20))*AA101))</f>
        <v>0</v>
      </c>
      <c r="AM101" s="473" t="e">
        <f t="shared" si="21"/>
        <v>#DIV/0!</v>
      </c>
      <c r="AN101" s="230" t="e">
        <f t="shared" si="22"/>
        <v>#DIV/0!</v>
      </c>
      <c r="AO101" s="230" t="e">
        <f t="shared" si="23"/>
        <v>#DIV/0!</v>
      </c>
      <c r="AP101" s="464" t="str">
        <f>IF(N101="","",INDEX('Result data'!$AD$216:$AD$390,M101,1))</f>
        <v>.</v>
      </c>
      <c r="AQ101" s="469" t="e">
        <f>IF(N101="","",'Result data'!$AI$23*(SUM('Config!'!AI101:AJ101)^'Result data'!$AJ$24))</f>
        <v>#DIV/0!</v>
      </c>
      <c r="AR101" s="469" t="e">
        <f>IF(N101="","",'Result data'!$AI$30*(SUM('Config!'!AI101:AJ101)^'Result data'!$AJ$31))</f>
        <v>#DIV/0!</v>
      </c>
      <c r="AS101" s="474" t="e">
        <f>IF(N101="","",0.698305402569866*'Result data'!$AI$13*(Q101^'Result data'!$AJ$14)*(AVERAGE('Config!'!AI101:AJ101)^'Result data'!$AJ$15)*((IF(V101=".",T101,V101)/IF(U101=".",S101,U101))^'Result data'!$AJ$18)*(INDEX('Country Competitivness'!$EU$4:$EU$178,M101,1)^'Result data'!$AJ$17)*(INDEX('Country Competitivness'!$CL$4:$CX$178,M101,'Config!'!$AZ$17+1)^'Result data'!$AJ$16))</f>
        <v>#DIV/0!</v>
      </c>
      <c r="AT101" s="231" t="e">
        <f>IF(N101="","",_xlfn.NORM.S.DIST(STANDARDIZE(IF('Config!'!AP101=".",0,'Config!'!$BA$15-'Config!'!AP101)+1,'Config!'!AQ101,'Config!'!AR101),1)*AS101*O101)</f>
        <v>#DIV/0!</v>
      </c>
      <c r="AU101" s="231" t="e">
        <f>IF(N101="","",IF(INDEX('Result data'!$CE$216:$CE$393,'Config!'!M101,1)=".",AT101*0.75,INDEX('Result data'!$CE$216:$CE$393,'Config!'!M101,1)))</f>
        <v>#DIV/0!</v>
      </c>
      <c r="AV101" s="475" t="e">
        <f t="shared" si="24"/>
        <v>#DIV/0!</v>
      </c>
      <c r="AW101" s="475" t="e">
        <f t="shared" si="25"/>
        <v>#DIV/0!</v>
      </c>
      <c r="AX101" s="475" t="e">
        <f t="shared" si="26"/>
        <v>#DIV/0!</v>
      </c>
      <c r="AY101" s="231" t="e">
        <f t="shared" si="27"/>
        <v>#DIV/0!</v>
      </c>
      <c r="AZ101" s="231" t="e">
        <f t="shared" si="28"/>
        <v>#DIV/0!</v>
      </c>
      <c r="BA101" s="231" t="e">
        <f t="shared" si="29"/>
        <v>#DIV/0!</v>
      </c>
      <c r="BB101" s="475" t="e">
        <f t="shared" si="40"/>
        <v>#DIV/0!</v>
      </c>
      <c r="BC101" s="37"/>
      <c r="BD101" s="475" t="e">
        <f t="shared" si="30"/>
        <v>#DIV/0!</v>
      </c>
      <c r="BE101" s="467" t="e">
        <f t="shared" si="31"/>
        <v>#DIV/0!</v>
      </c>
      <c r="BF101" s="467" t="e">
        <f t="shared" si="32"/>
        <v>#DIV/0!</v>
      </c>
      <c r="BG101" s="467" t="e">
        <f t="shared" si="33"/>
        <v>#DIV/0!</v>
      </c>
      <c r="BH101" s="466" t="e">
        <f>IF(N101="","",MAX('Result data'!$AD$31,'Result data'!$AD$32+'Result data'!$AE$33*'Config!'!Q101+'Result data'!$AE$34*INDEX('Score-Starting a business'!$U$2:$U$176,M101,1)+'Result data'!$AE$35*INDEX('Country Competitivness'!$EW$4:$EW$178,M101,1)+'Result data'!$AE$36*LN(AV101)+'Result data'!$AE$37*IF(N101='Config!'!$O$95,IF('Market Analyzes'!$D$39="JOINT VENTURE",1,0),INDEX('Result data'!$EI$216:$ER$390,'Config!'!M101,'Config!'!$L$17))+'Result data'!$AE$38*IF(N101='Config!'!$O$95,IF('Market Analyzes'!$D$39="JOINT VENTURE",1,0),INDEX('Result data'!$EI$216:$ER$390,'Config!'!M101,'Config!'!$L$17))*INDEX('Country Competitivness'!$EW$4:$EW$178,M101,1)))</f>
        <v>#DIV/0!</v>
      </c>
      <c r="BI101" s="466" t="e">
        <f>IF(N101="","",IF(N101='Config!'!$O$95,'Result data'!$AN$7+'Result data'!$AO$8*'Config!'!Q101+'Result data'!$AO$9*INDEX('Score-Starting a business'!$U$2:$U$176,M101,1)+'Result data'!$AO$10*INDEX('Country Competitivness'!$EW$4:$EW$178,M101,1)+'Result data'!$AO$11*LN(AV101)+'Result data'!$AO$12*IF(N101='Config!'!$O$95,IF('Market Analyzes'!$D$39="JOINT VENTURE",1,0),INDEX('Result data'!$EI$216:$ER$390,'Config!'!M101,'Config!'!$L$17))+'Result data'!$AO$13*IF(N101='Config!'!$O$95,IF('Market Analyzes'!$D$39="JOINT VENTURE",1,0),INDEX('Result data'!$EI$216:$ER$390,'Config!'!M101,'Config!'!$L$17))*INDEX('Country Competitivness'!$EW$4:$EW$178,M101,1),0))</f>
        <v>#DIV/0!</v>
      </c>
      <c r="BJ101" s="467" t="e">
        <f>IF(N101="","",'Market Analyzes'!$D$119*BB101/$BB$109)</f>
        <v>#DIV/0!</v>
      </c>
      <c r="BK101" s="467" t="e">
        <f t="shared" si="34"/>
        <v>#DIV/0!</v>
      </c>
      <c r="BL101" s="466" t="e">
        <f t="shared" si="35"/>
        <v>#DIV/0!</v>
      </c>
      <c r="BM101" s="467" t="e">
        <f t="shared" si="36"/>
        <v>#DIV/0!</v>
      </c>
      <c r="BN101" s="466" t="e">
        <f>IF(N101="","",IF(BE101=".",".",IF(BK101&lt;0,0,AVERAGE('Market Analyzes'!$C$25:$C$27)*0.8*BK101)))</f>
        <v>#DIV/0!</v>
      </c>
      <c r="BO101" s="466" t="e">
        <f>IF(N101="","",IF(BF101=".",".",IF(BL101&lt;0,0,AVERAGE('Market Analyzes'!$C$25:$C$27)*0.8*BL101)))</f>
        <v>#DIV/0!</v>
      </c>
      <c r="BP101" s="466" t="e">
        <f>IF(N101="","",IF(BG101=".",".",IF(BM101&lt;0,0,AVERAGE('Market Analyzes'!$C$25:$C$27)*0.8*BM101)))</f>
        <v>#DIV/0!</v>
      </c>
      <c r="BQ101" s="467" t="e">
        <f t="shared" si="37"/>
        <v>#DIV/0!</v>
      </c>
      <c r="BR101" s="467" t="e">
        <f t="shared" si="38"/>
        <v>#DIV/0!</v>
      </c>
      <c r="BS101" s="467" t="e">
        <f t="shared" si="39"/>
        <v>#DIV/0!</v>
      </c>
      <c r="BT101" s="467" t="e">
        <f>IF(N101="","",BQ101*'Result data'!$AN$15*IF(N101='Config!'!$O$95,IF('Market Analyzes'!$D$39="JOINT VENTURE",1,0),INDEX('Result data'!$EI$216:$ER$390,'Config!'!M101,'Config!'!$L$17)))</f>
        <v>#DIV/0!</v>
      </c>
      <c r="BU101" s="467" t="e">
        <f>IF(N101="","",BR101*'Result data'!$AN$15*IF(N101='Config!'!$O$95,IF('Market Analyzes'!$D$39="JOINT VENTURE",1,0),INDEX('Result data'!$EI$216:$ER$390,'Config!'!M101,'Config!'!$L$17)))</f>
        <v>#DIV/0!</v>
      </c>
      <c r="BV101" s="467" t="e">
        <f>IF(N101="","",BS101*'Result data'!$AN$15*IF(N101='Config!'!$O$95,IF('Market Analyzes'!$D$39="JOINT VENTURE",1,0),INDEX('Result data'!$EI$216:$ER$390,'Config!'!M101,'Config!'!$L$17)))</f>
        <v>#DIV/0!</v>
      </c>
      <c r="BW101" t="str">
        <f t="shared" si="41"/>
        <v/>
      </c>
    </row>
    <row r="102" spans="1:75" ht="15.6" customHeight="1" x14ac:dyDescent="0.25">
      <c r="A102" t="str">
        <v>Maldivas</v>
      </c>
      <c r="B102" t="str">
        <f>INDEX(Language!$G$149:$G$308,MATCH(A102,Language!$C$149:$C$308,0))</f>
        <v>Ásia-Pacífico</v>
      </c>
      <c r="C102">
        <f>INDEX(Language!$F$149:$F$308,MATCH(A102,Language!$C$149:$C$308,0))</f>
        <v>97</v>
      </c>
      <c r="J102" s="37"/>
      <c r="K102" s="301">
        <f>SUMIF('Result data'!$O$106:$O$115,'Config!'!L102,'Result data'!$N$106:$N$115)</f>
        <v>0</v>
      </c>
      <c r="L102" s="464" t="str">
        <f>IF(N102="","",INDEX('Result data'!$Q$216:$Q$390,M102,1))</f>
        <v/>
      </c>
      <c r="M102" s="464">
        <f>SUMIF(Language!$B$149:$B$308,N102,Language!$F$149:$F$308)</f>
        <v>0</v>
      </c>
      <c r="N102" s="464" t="str">
        <f>IFERROR(IF('Market Analyzes'!$C$2=Language!$B$2,'Market Analyzes'!B91,INDEX(Language!$B$149:$B$308,MATCH('Market Analyzes'!B91,Language!$A$149:$A$308,0))),"")</f>
        <v/>
      </c>
      <c r="O102" s="465" t="str" cm="1">
        <f t="array" ref="O102">IFERROR(IF(M102=0,"",INDEX('Result data'!$DY$216:$DY$390,M102)),"")</f>
        <v/>
      </c>
      <c r="P102" s="466" t="str">
        <f>IF(N102="","",INDEX(GDP!$G$3:$S$177,M102,'Config!'!$AZ$17+1))</f>
        <v/>
      </c>
      <c r="Q102" s="466" t="str">
        <f t="shared" si="15"/>
        <v/>
      </c>
      <c r="R102" s="467" t="str">
        <f t="shared" si="16"/>
        <v/>
      </c>
      <c r="S102" s="468" t="str">
        <f t="shared" si="17"/>
        <v/>
      </c>
      <c r="T102" s="468" t="str">
        <f t="shared" si="18"/>
        <v/>
      </c>
      <c r="U102" s="468" t="str">
        <f>IF(N102="","",INDEX('Result data'!$CP$216:$CP$393,M102,1))</f>
        <v/>
      </c>
      <c r="V102" s="468" t="str">
        <f>IF(N102="","",INDEX('Result data'!$DA$216:$DA$393,M102,1))</f>
        <v/>
      </c>
      <c r="W102" s="469" t="str">
        <f>IF(N102="","",-'Result data'!$AI$6*('Config!'!Q102^'Result data'!$AJ$7))</f>
        <v/>
      </c>
      <c r="X102" s="470" t="str">
        <f>IF(N102="","",W102/'Result data'!$AF$11)</f>
        <v/>
      </c>
      <c r="Y102" s="471" t="str">
        <f>IF(N102="","",INDEX('Country Competitivness'!$FB$4:$FB$178,M102,1))</f>
        <v/>
      </c>
      <c r="Z102" s="471" t="str">
        <f>IF(N102="","",INDEX('Country Competitivness'!$EW$4:$EW$178,M102,1))</f>
        <v/>
      </c>
      <c r="AA102" s="464" t="str">
        <f>IFERROR(IF(M102="","",IF('Config!'!$BA$17=0,0,MAX(0,(INDEX('Result data'!$AE$216:$AP$390,M102,'Config!'!$BA$17)-COUNTIF('Market Analyzes'!$C$6,"&lt;&gt;"&amp;'Config!'!N102))))),"")</f>
        <v/>
      </c>
      <c r="AB102" s="467" t="str">
        <f>IFERROR(IF(M102="","",IF(INDEX('Result data'!$C255:$L255,1,$L$17)&lt;&gt;"",INDEX('Result data'!$C255:$L255,1,$L$17),AVERAGEIF('Result data'!$C$216:$L$225,'Config!'!N102,'Result data'!$C$240:$L$249))),"")</f>
        <v/>
      </c>
      <c r="AC102" s="467" t="str">
        <f>IF(AB102="","",IF(INDEX('Result data'!$C291:$L291,1,$L$17)&lt;&gt;"",INDEX('Result data'!$C291:$L291,1,$L$17),AVERAGEIF('Result data'!$C$216:$L$225,'Config!'!N102,'Result data'!$C$276:$L$285)))</f>
        <v/>
      </c>
      <c r="AD102" s="467" t="str">
        <f>IF(N102="","",'Result data'!$AD$6*('Config!'!Q102^'Result data'!$AE$7)*(IF(U102=".",S102,U102)^X102)*((IF(V102=".",T102,V102)/IF(U102=".",S102,U102))^'Result data'!$AE$12)*(Y102^'Result data'!$AE$9)*(Z102^'Result data'!$AE$10))</f>
        <v/>
      </c>
      <c r="AE102" s="467" t="str">
        <f t="shared" si="19"/>
        <v/>
      </c>
      <c r="AF102" s="467" t="str">
        <f t="shared" si="20"/>
        <v/>
      </c>
      <c r="AG102" s="683" t="str">
        <f>IF(N102="","",MAX('Config!'!$BC$16:$BC$18,_xlfn.MINIFS('Result data'!$C$228:$L$237,'Result data'!$C$216:$L$225,'Config!'!N102)))</f>
        <v/>
      </c>
      <c r="AH102" s="464" t="str">
        <f>IFERROR(IF(OR(M102="",M102=0),"",IF(N102=INDEX(Language!$B$149:$B$308,
IF(Language!$C$2=Language!$B$2,
MATCH('Market Analyzes'!B91,Language!$B$149:$B$308,0),
MATCH('Market Analyzes'!B91,Language!$A$149:$A$308,0))),
'Market Analyzes'!$C$5+1,INDEX('Result data'!$C231:$L231,1,$L$17))),AG102)</f>
        <v/>
      </c>
      <c r="AI102" s="472" t="str">
        <f>IF(M102="","",'Market Analyzes'!E91)</f>
        <v/>
      </c>
      <c r="AJ102" s="472" t="str">
        <f>IF(N102="","",IF(AA102="",0,IF(AA102=0,0,MAX(0,((((SUMIF('Result data'!$C$216:$L$225,'Config!'!N102,'Result data'!$C$456:$L$465)+SUMIF('Result data'!$C$216:$L$225,'Config!'!N102,'Result data'!$C$468:$L$477)))-AI102*O102)/O102)/AA102))))</f>
        <v/>
      </c>
      <c r="AK102" s="469" t="str">
        <f>IF(N102="","",'Result data'!$AD$18*('Config!'!T102^'Result data'!$AE$19)*('Config!'!S102^'Config!'!W102)*('Config!'!AI102^AVERAGE('Result data'!$AE$22:$AE$23))*((AH102-AH102+1)^'Result data'!$AE$20))</f>
        <v/>
      </c>
      <c r="AL102" s="469">
        <f>IF(AA102="",0,IF(AA102=0,0,('Result data'!$AD$18*('Config!'!AC102^'Result data'!$AE$19)*('Config!'!AB102^'Config!'!W102)*('Config!'!AJ102^AVERAGE('Result data'!$AE$22:$AE$23))*((AG102-2010)^'Result data'!$AE$20))*AA102))</f>
        <v>0</v>
      </c>
      <c r="AM102" s="473" t="str">
        <f t="shared" si="21"/>
        <v/>
      </c>
      <c r="AN102" s="230" t="str">
        <f t="shared" si="22"/>
        <v/>
      </c>
      <c r="AO102" s="230" t="str">
        <f t="shared" si="23"/>
        <v/>
      </c>
      <c r="AP102" s="464" t="str">
        <f>IF(N102="","",INDEX('Result data'!$AD$216:$AD$390,M102,1))</f>
        <v/>
      </c>
      <c r="AQ102" s="469" t="str">
        <f>IF(N102="","",'Result data'!$AI$23*(SUM('Config!'!AI102:AJ102)^'Result data'!$AJ$24))</f>
        <v/>
      </c>
      <c r="AR102" s="469" t="str">
        <f>IF(N102="","",'Result data'!$AI$30*(SUM('Config!'!AI102:AJ102)^'Result data'!$AJ$31))</f>
        <v/>
      </c>
      <c r="AS102" s="474" t="str">
        <f>IF(N102="","",0.698305402569866*'Result data'!$AI$13*(Q102^'Result data'!$AJ$14)*(AVERAGE('Config!'!AI102:AJ102)^'Result data'!$AJ$15)*((IF(V102=".",T102,V102)/IF(U102=".",S102,U102))^'Result data'!$AJ$18)*(INDEX('Country Competitivness'!$EU$4:$EU$178,M102,1)^'Result data'!$AJ$17)*(INDEX('Country Competitivness'!$CL$4:$CX$178,M102,'Config!'!$AZ$17+1)^'Result data'!$AJ$16))</f>
        <v/>
      </c>
      <c r="AT102" s="231" t="str">
        <f>IF(N102="","",_xlfn.NORM.S.DIST(STANDARDIZE(IF('Config!'!AP102=".",0,'Config!'!$BA$15-'Config!'!AP102)+1,'Config!'!AQ102,'Config!'!AR102),1)*AS102*O102)</f>
        <v/>
      </c>
      <c r="AU102" s="231" t="str">
        <f>IF(N102="","",IF(INDEX('Result data'!$CE$216:$CE$393,'Config!'!M102,1)=".",AT102*0.75,INDEX('Result data'!$CE$216:$CE$393,'Config!'!M102,1)))</f>
        <v/>
      </c>
      <c r="AV102" s="475" t="str">
        <f t="shared" si="24"/>
        <v/>
      </c>
      <c r="AW102" s="475" t="str">
        <f t="shared" si="25"/>
        <v/>
      </c>
      <c r="AX102" s="475" t="str">
        <f t="shared" si="26"/>
        <v/>
      </c>
      <c r="AY102" s="231" t="str">
        <f t="shared" si="27"/>
        <v/>
      </c>
      <c r="AZ102" s="231" t="str">
        <f t="shared" si="28"/>
        <v/>
      </c>
      <c r="BA102" s="231" t="str">
        <f t="shared" si="29"/>
        <v/>
      </c>
      <c r="BB102" s="475" t="str">
        <f t="shared" si="40"/>
        <v/>
      </c>
      <c r="BC102" s="37"/>
      <c r="BD102" s="475" t="str">
        <f t="shared" si="30"/>
        <v/>
      </c>
      <c r="BE102" s="467" t="str">
        <f t="shared" si="31"/>
        <v/>
      </c>
      <c r="BF102" s="467" t="str">
        <f t="shared" si="32"/>
        <v/>
      </c>
      <c r="BG102" s="467" t="str">
        <f t="shared" si="33"/>
        <v/>
      </c>
      <c r="BH102" s="466" t="str">
        <f>IF(N102="","",MAX('Result data'!$AD$31,'Result data'!$AD$32+'Result data'!$AE$33*'Config!'!Q102+'Result data'!$AE$34*INDEX('Score-Starting a business'!$U$2:$U$176,M102,1)+'Result data'!$AE$35*INDEX('Country Competitivness'!$EW$4:$EW$178,M102,1)+'Result data'!$AE$36*LN(AV102)+'Result data'!$AE$37*IF(N102='Config!'!$O$95,IF('Market Analyzes'!$D$39="JOINT VENTURE",1,0),INDEX('Result data'!$EI$216:$ER$390,'Config!'!M102,'Config!'!$L$17))+'Result data'!$AE$38*IF(N102='Config!'!$O$95,IF('Market Analyzes'!$D$39="JOINT VENTURE",1,0),INDEX('Result data'!$EI$216:$ER$390,'Config!'!M102,'Config!'!$L$17))*INDEX('Country Competitivness'!$EW$4:$EW$178,M102,1)))</f>
        <v/>
      </c>
      <c r="BI102" s="466" t="str">
        <f>IF(N102="","",IF(N102='Config!'!$O$95,'Result data'!$AN$7+'Result data'!$AO$8*'Config!'!Q102+'Result data'!$AO$9*INDEX('Score-Starting a business'!$U$2:$U$176,M102,1)+'Result data'!$AO$10*INDEX('Country Competitivness'!$EW$4:$EW$178,M102,1)+'Result data'!$AO$11*LN(AV102)+'Result data'!$AO$12*IF(N102='Config!'!$O$95,IF('Market Analyzes'!$D$39="JOINT VENTURE",1,0),INDEX('Result data'!$EI$216:$ER$390,'Config!'!M102,'Config!'!$L$17))+'Result data'!$AO$13*IF(N102='Config!'!$O$95,IF('Market Analyzes'!$D$39="JOINT VENTURE",1,0),INDEX('Result data'!$EI$216:$ER$390,'Config!'!M102,'Config!'!$L$17))*INDEX('Country Competitivness'!$EW$4:$EW$178,M102,1),0))</f>
        <v/>
      </c>
      <c r="BJ102" s="467" t="str">
        <f>IF(N102="","",'Market Analyzes'!$D$119*BB102/$BB$109)</f>
        <v/>
      </c>
      <c r="BK102" s="467" t="str">
        <f t="shared" si="34"/>
        <v/>
      </c>
      <c r="BL102" s="466" t="str">
        <f t="shared" si="35"/>
        <v/>
      </c>
      <c r="BM102" s="467" t="str">
        <f t="shared" si="36"/>
        <v/>
      </c>
      <c r="BN102" s="466" t="str">
        <f>IF(N102="","",IF(BE102=".",".",IF(BK102&lt;0,0,AVERAGE('Market Analyzes'!$C$25:$C$27)*0.8*BK102)))</f>
        <v/>
      </c>
      <c r="BO102" s="466" t="str">
        <f>IF(N102="","",IF(BF102=".",".",IF(BL102&lt;0,0,AVERAGE('Market Analyzes'!$C$25:$C$27)*0.8*BL102)))</f>
        <v/>
      </c>
      <c r="BP102" s="466" t="str">
        <f>IF(N102="","",IF(BG102=".",".",IF(BM102&lt;0,0,AVERAGE('Market Analyzes'!$C$25:$C$27)*0.8*BM102)))</f>
        <v/>
      </c>
      <c r="BQ102" s="467" t="str">
        <f t="shared" si="37"/>
        <v/>
      </c>
      <c r="BR102" s="467" t="str">
        <f t="shared" si="38"/>
        <v/>
      </c>
      <c r="BS102" s="467" t="str">
        <f t="shared" si="39"/>
        <v/>
      </c>
      <c r="BT102" s="467" t="str">
        <f>IF(N102="","",BQ102*'Result data'!$AN$15*IF(N102='Config!'!$O$95,IF('Market Analyzes'!$D$39="JOINT VENTURE",1,0),INDEX('Result data'!$EI$216:$ER$390,'Config!'!M102,'Config!'!$L$17)))</f>
        <v/>
      </c>
      <c r="BU102" s="467" t="str">
        <f>IF(N102="","",BR102*'Result data'!$AN$15*IF(N102='Config!'!$O$95,IF('Market Analyzes'!$D$39="JOINT VENTURE",1,0),INDEX('Result data'!$EI$216:$ER$390,'Config!'!M102,'Config!'!$L$17)))</f>
        <v/>
      </c>
      <c r="BV102" s="467" t="str">
        <f>IF(N102="","",BS102*'Result data'!$AN$15*IF(N102='Config!'!$O$95,IF('Market Analyzes'!$D$39="JOINT VENTURE",1,0),INDEX('Result data'!$EI$216:$ER$390,'Config!'!M102,'Config!'!$L$17)))</f>
        <v/>
      </c>
      <c r="BW102" t="str">
        <f t="shared" si="41"/>
        <v/>
      </c>
    </row>
    <row r="103" spans="1:75" ht="15.6" customHeight="1" x14ac:dyDescent="0.25">
      <c r="A103" t="str">
        <v>Mali</v>
      </c>
      <c r="B103" t="str">
        <f>INDEX(Language!$G$149:$G$308,MATCH(A103,Language!$C$149:$C$308,0))</f>
        <v>África Subsaariana</v>
      </c>
      <c r="C103">
        <f>INDEX(Language!$F$149:$F$308,MATCH(A103,Language!$C$149:$C$308,0))</f>
        <v>98</v>
      </c>
      <c r="J103" s="37"/>
      <c r="K103" s="301">
        <f>SUMIF('Result data'!$O$106:$O$115,'Config!'!L103,'Result data'!$N$106:$N$115)</f>
        <v>0</v>
      </c>
      <c r="L103" s="464" t="str">
        <f>IF(N103="","",INDEX('Result data'!$Q$216:$Q$390,M103,1))</f>
        <v/>
      </c>
      <c r="M103" s="464">
        <f>SUMIF(Language!$B$149:$B$308,N103,Language!$F$149:$F$308)</f>
        <v>0</v>
      </c>
      <c r="N103" s="464" t="str">
        <f>IFERROR(IF('Market Analyzes'!$C$2=Language!$B$2,'Market Analyzes'!B92,INDEX(Language!$B$149:$B$308,MATCH('Market Analyzes'!B92,Language!$A$149:$A$308,0))),"")</f>
        <v/>
      </c>
      <c r="O103" s="465" t="str" cm="1">
        <f t="array" ref="O103">IFERROR(IF(M103=0,"",INDEX('Result data'!$DY$216:$DY$390,M103)),"")</f>
        <v/>
      </c>
      <c r="P103" s="466" t="str">
        <f>IF(N103="","",INDEX(GDP!$G$3:$S$177,M103,'Config!'!$AZ$17+1))</f>
        <v/>
      </c>
      <c r="Q103" s="466" t="str">
        <f t="shared" si="15"/>
        <v/>
      </c>
      <c r="R103" s="467" t="str">
        <f t="shared" si="16"/>
        <v/>
      </c>
      <c r="S103" s="468" t="str">
        <f t="shared" si="17"/>
        <v/>
      </c>
      <c r="T103" s="468" t="str">
        <f t="shared" si="18"/>
        <v/>
      </c>
      <c r="U103" s="468" t="str">
        <f>IF(N103="","",INDEX('Result data'!$CP$216:$CP$393,M103,1))</f>
        <v/>
      </c>
      <c r="V103" s="468" t="str">
        <f>IF(N103="","",INDEX('Result data'!$DA$216:$DA$393,M103,1))</f>
        <v/>
      </c>
      <c r="W103" s="469" t="str">
        <f>IF(N103="","",-'Result data'!$AI$6*('Config!'!Q103^'Result data'!$AJ$7))</f>
        <v/>
      </c>
      <c r="X103" s="470" t="str">
        <f>IF(N103="","",W103/'Result data'!$AF$11)</f>
        <v/>
      </c>
      <c r="Y103" s="471" t="str">
        <f>IF(N103="","",INDEX('Country Competitivness'!$FB$4:$FB$178,M103,1))</f>
        <v/>
      </c>
      <c r="Z103" s="471" t="str">
        <f>IF(N103="","",INDEX('Country Competitivness'!$EW$4:$EW$178,M103,1))</f>
        <v/>
      </c>
      <c r="AA103" s="464" t="str">
        <f>IFERROR(IF(M103="","",IF('Config!'!$BA$17=0,0,MAX(0,(INDEX('Result data'!$AE$216:$AP$390,M103,'Config!'!$BA$17)-COUNTIF('Market Analyzes'!$C$6,"&lt;&gt;"&amp;'Config!'!N103))))),"")</f>
        <v/>
      </c>
      <c r="AB103" s="467" t="str">
        <f>IFERROR(IF(M103="","",IF(INDEX('Result data'!$C256:$L256,1,$L$17)&lt;&gt;"",INDEX('Result data'!$C256:$L256,1,$L$17),AVERAGEIF('Result data'!$C$216:$L$225,'Config!'!N103,'Result data'!$C$240:$L$249))),"")</f>
        <v/>
      </c>
      <c r="AC103" s="467" t="str">
        <f>IF(AB103="","",IF(INDEX('Result data'!$C292:$L292,1,$L$17)&lt;&gt;"",INDEX('Result data'!$C292:$L292,1,$L$17),AVERAGEIF('Result data'!$C$216:$L$225,'Config!'!N103,'Result data'!$C$276:$L$285)))</f>
        <v/>
      </c>
      <c r="AD103" s="467" t="str">
        <f>IF(N103="","",'Result data'!$AD$6*('Config!'!Q103^'Result data'!$AE$7)*(IF(U103=".",S103,U103)^X103)*((IF(V103=".",T103,V103)/IF(U103=".",S103,U103))^'Result data'!$AE$12)*(Y103^'Result data'!$AE$9)*(Z103^'Result data'!$AE$10))</f>
        <v/>
      </c>
      <c r="AE103" s="467" t="str">
        <f t="shared" si="19"/>
        <v/>
      </c>
      <c r="AF103" s="467" t="str">
        <f t="shared" si="20"/>
        <v/>
      </c>
      <c r="AG103" s="683" t="str">
        <f>IF(N103="","",MAX('Config!'!$BC$16:$BC$18,_xlfn.MINIFS('Result data'!$C$228:$L$237,'Result data'!$C$216:$L$225,'Config!'!N103)))</f>
        <v/>
      </c>
      <c r="AH103" s="464" t="str">
        <f>IFERROR(IF(OR(M103="",M103=0),"",IF(N103=INDEX(Language!$B$149:$B$308,
IF(Language!$C$2=Language!$B$2,
MATCH('Market Analyzes'!B92,Language!$B$149:$B$308,0),
MATCH('Market Analyzes'!B92,Language!$A$149:$A$308,0))),
'Market Analyzes'!$C$5+1,INDEX('Result data'!$C232:$L232,1,$L$17))),AG103)</f>
        <v/>
      </c>
      <c r="AI103" s="472" t="str">
        <f>IF(M103="","",'Market Analyzes'!E92)</f>
        <v/>
      </c>
      <c r="AJ103" s="472" t="str">
        <f>IF(N103="","",IF(AA103="",0,IF(AA103=0,0,MAX(0,((((SUMIF('Result data'!$C$216:$L$225,'Config!'!N103,'Result data'!$C$456:$L$465)+SUMIF('Result data'!$C$216:$L$225,'Config!'!N103,'Result data'!$C$468:$L$477)))-AI103*O103)/O103)/AA103))))</f>
        <v/>
      </c>
      <c r="AK103" s="469" t="str">
        <f>IF(N103="","",'Result data'!$AD$18*('Config!'!T103^'Result data'!$AE$19)*('Config!'!S103^'Config!'!W103)*('Config!'!AI103^AVERAGE('Result data'!$AE$22:$AE$23))*((AH103-AH103+1)^'Result data'!$AE$20))</f>
        <v/>
      </c>
      <c r="AL103" s="469">
        <f>IF(AA103="",0,IF(AA103=0,0,('Result data'!$AD$18*('Config!'!AC103^'Result data'!$AE$19)*('Config!'!AB103^'Config!'!W103)*('Config!'!AJ103^AVERAGE('Result data'!$AE$22:$AE$23))*((AG103-2010)^'Result data'!$AE$20))*AA103))</f>
        <v>0</v>
      </c>
      <c r="AM103" s="473" t="str">
        <f t="shared" si="21"/>
        <v/>
      </c>
      <c r="AN103" s="230" t="str">
        <f t="shared" si="22"/>
        <v/>
      </c>
      <c r="AO103" s="230" t="str">
        <f t="shared" si="23"/>
        <v/>
      </c>
      <c r="AP103" s="464" t="str">
        <f>IF(N103="","",INDEX('Result data'!$AD$216:$AD$390,M103,1))</f>
        <v/>
      </c>
      <c r="AQ103" s="469" t="str">
        <f>IF(N103="","",'Result data'!$AI$23*(SUM('Config!'!AI103:AJ103)^'Result data'!$AJ$24))</f>
        <v/>
      </c>
      <c r="AR103" s="469" t="str">
        <f>IF(N103="","",'Result data'!$AI$30*(SUM('Config!'!AI103:AJ103)^'Result data'!$AJ$31))</f>
        <v/>
      </c>
      <c r="AS103" s="474" t="str">
        <f>IF(N103="","",0.698305402569866*'Result data'!$AI$13*(Q103^'Result data'!$AJ$14)*(AVERAGE('Config!'!AI103:AJ103)^'Result data'!$AJ$15)*((IF(V103=".",T103,V103)/IF(U103=".",S103,U103))^'Result data'!$AJ$18)*(INDEX('Country Competitivness'!$EU$4:$EU$178,M103,1)^'Result data'!$AJ$17)*(INDEX('Country Competitivness'!$CL$4:$CX$178,M103,'Config!'!$AZ$17+1)^'Result data'!$AJ$16))</f>
        <v/>
      </c>
      <c r="AT103" s="231" t="str">
        <f>IF(N103="","",_xlfn.NORM.S.DIST(STANDARDIZE(IF('Config!'!AP103=".",0,'Config!'!$BA$15-'Config!'!AP103)+1,'Config!'!AQ103,'Config!'!AR103),1)*AS103*O103)</f>
        <v/>
      </c>
      <c r="AU103" s="231" t="str">
        <f>IF(N103="","",IF(INDEX('Result data'!$CE$216:$CE$393,'Config!'!M103,1)=".",AT103*0.75,INDEX('Result data'!$CE$216:$CE$393,'Config!'!M103,1)))</f>
        <v/>
      </c>
      <c r="AV103" s="475" t="str">
        <f t="shared" si="24"/>
        <v/>
      </c>
      <c r="AW103" s="475" t="str">
        <f t="shared" si="25"/>
        <v/>
      </c>
      <c r="AX103" s="475" t="str">
        <f t="shared" si="26"/>
        <v/>
      </c>
      <c r="AY103" s="231" t="str">
        <f t="shared" si="27"/>
        <v/>
      </c>
      <c r="AZ103" s="231" t="str">
        <f t="shared" si="28"/>
        <v/>
      </c>
      <c r="BA103" s="231" t="str">
        <f t="shared" si="29"/>
        <v/>
      </c>
      <c r="BB103" s="475" t="str">
        <f t="shared" si="40"/>
        <v/>
      </c>
      <c r="BC103" s="37"/>
      <c r="BD103" s="475" t="str">
        <f t="shared" si="30"/>
        <v/>
      </c>
      <c r="BE103" s="467" t="str">
        <f t="shared" si="31"/>
        <v/>
      </c>
      <c r="BF103" s="467" t="str">
        <f t="shared" si="32"/>
        <v/>
      </c>
      <c r="BG103" s="467" t="str">
        <f t="shared" si="33"/>
        <v/>
      </c>
      <c r="BH103" s="466" t="str">
        <f>IF(N103="","",MAX('Result data'!$AD$31,'Result data'!$AD$32+'Result data'!$AE$33*'Config!'!Q103+'Result data'!$AE$34*INDEX('Score-Starting a business'!$U$2:$U$176,M103,1)+'Result data'!$AE$35*INDEX('Country Competitivness'!$EW$4:$EW$178,M103,1)+'Result data'!$AE$36*LN(AV103)+'Result data'!$AE$37*IF(N103='Config!'!$O$95,IF('Market Analyzes'!$D$39="JOINT VENTURE",1,0),INDEX('Result data'!$EI$216:$ER$390,'Config!'!M103,'Config!'!$L$17))+'Result data'!$AE$38*IF(N103='Config!'!$O$95,IF('Market Analyzes'!$D$39="JOINT VENTURE",1,0),INDEX('Result data'!$EI$216:$ER$390,'Config!'!M103,'Config!'!$L$17))*INDEX('Country Competitivness'!$EW$4:$EW$178,M103,1)))</f>
        <v/>
      </c>
      <c r="BI103" s="466" t="str">
        <f>IF(N103="","",IF(N103='Config!'!$O$95,'Result data'!$AN$7+'Result data'!$AO$8*'Config!'!Q103+'Result data'!$AO$9*INDEX('Score-Starting a business'!$U$2:$U$176,M103,1)+'Result data'!$AO$10*INDEX('Country Competitivness'!$EW$4:$EW$178,M103,1)+'Result data'!$AO$11*LN(AV103)+'Result data'!$AO$12*IF(N103='Config!'!$O$95,IF('Market Analyzes'!$D$39="JOINT VENTURE",1,0),INDEX('Result data'!$EI$216:$ER$390,'Config!'!M103,'Config!'!$L$17))+'Result data'!$AO$13*IF(N103='Config!'!$O$95,IF('Market Analyzes'!$D$39="JOINT VENTURE",1,0),INDEX('Result data'!$EI$216:$ER$390,'Config!'!M103,'Config!'!$L$17))*INDEX('Country Competitivness'!$EW$4:$EW$178,M103,1),0))</f>
        <v/>
      </c>
      <c r="BJ103" s="467" t="str">
        <f>IF(N103="","",'Market Analyzes'!$D$119*BB103/$BB$109)</f>
        <v/>
      </c>
      <c r="BK103" s="467" t="str">
        <f t="shared" si="34"/>
        <v/>
      </c>
      <c r="BL103" s="466" t="str">
        <f t="shared" si="35"/>
        <v/>
      </c>
      <c r="BM103" s="467" t="str">
        <f t="shared" si="36"/>
        <v/>
      </c>
      <c r="BN103" s="466" t="str">
        <f>IF(N103="","",IF(BE103=".",".",IF(BK103&lt;0,0,AVERAGE('Market Analyzes'!$C$25:$C$27)*0.8*BK103)))</f>
        <v/>
      </c>
      <c r="BO103" s="466" t="str">
        <f>IF(N103="","",IF(BF103=".",".",IF(BL103&lt;0,0,AVERAGE('Market Analyzes'!$C$25:$C$27)*0.8*BL103)))</f>
        <v/>
      </c>
      <c r="BP103" s="466" t="str">
        <f>IF(N103="","",IF(BG103=".",".",IF(BM103&lt;0,0,AVERAGE('Market Analyzes'!$C$25:$C$27)*0.8*BM103)))</f>
        <v/>
      </c>
      <c r="BQ103" s="467" t="str">
        <f t="shared" si="37"/>
        <v/>
      </c>
      <c r="BR103" s="467" t="str">
        <f t="shared" si="38"/>
        <v/>
      </c>
      <c r="BS103" s="467" t="str">
        <f t="shared" si="39"/>
        <v/>
      </c>
      <c r="BT103" s="467" t="str">
        <f>IF(N103="","",BQ103*'Result data'!$AN$15*IF(N103='Config!'!$O$95,IF('Market Analyzes'!$D$39="JOINT VENTURE",1,0),INDEX('Result data'!$EI$216:$ER$390,'Config!'!M103,'Config!'!$L$17)))</f>
        <v/>
      </c>
      <c r="BU103" s="467" t="str">
        <f>IF(N103="","",BR103*'Result data'!$AN$15*IF(N103='Config!'!$O$95,IF('Market Analyzes'!$D$39="JOINT VENTURE",1,0),INDEX('Result data'!$EI$216:$ER$390,'Config!'!M103,'Config!'!$L$17)))</f>
        <v/>
      </c>
      <c r="BV103" s="467" t="str">
        <f>IF(N103="","",BS103*'Result data'!$AN$15*IF(N103='Config!'!$O$95,IF('Market Analyzes'!$D$39="JOINT VENTURE",1,0),INDEX('Result data'!$EI$216:$ER$390,'Config!'!M103,'Config!'!$L$17)))</f>
        <v/>
      </c>
      <c r="BW103" t="str">
        <f t="shared" si="41"/>
        <v/>
      </c>
    </row>
    <row r="104" spans="1:75" ht="15.6" customHeight="1" x14ac:dyDescent="0.25">
      <c r="A104" t="str">
        <v>Malta</v>
      </c>
      <c r="B104" t="str">
        <f>INDEX(Language!$G$149:$G$308,MATCH(A104,Language!$C$149:$C$308,0))</f>
        <v>União Européia</v>
      </c>
      <c r="C104">
        <f>INDEX(Language!$F$149:$F$308,MATCH(A104,Language!$C$149:$C$308,0))</f>
        <v>99</v>
      </c>
      <c r="J104" s="37"/>
      <c r="K104" s="301">
        <f>SUMIF('Result data'!$O$106:$O$115,'Config!'!L104,'Result data'!$N$106:$N$115)</f>
        <v>0</v>
      </c>
      <c r="L104" s="464" t="str">
        <f>IF(N104="","",INDEX('Result data'!$Q$216:$Q$390,M104,1))</f>
        <v/>
      </c>
      <c r="M104" s="464">
        <f>SUMIF(Language!$B$149:$B$308,N104,Language!$F$149:$F$308)</f>
        <v>0</v>
      </c>
      <c r="N104" s="464" t="str">
        <f>IFERROR(IF('Market Analyzes'!$C$2=Language!$B$2,'Market Analyzes'!B93,INDEX(Language!$B$149:$B$308,MATCH('Market Analyzes'!B93,Language!$A$149:$A$308,0))),"")</f>
        <v/>
      </c>
      <c r="O104" s="465" t="str" cm="1">
        <f t="array" ref="O104">IFERROR(IF(M104=0,"",INDEX('Result data'!$DY$216:$DY$390,M104)),"")</f>
        <v/>
      </c>
      <c r="P104" s="466" t="str">
        <f>IF(N104="","",INDEX(GDP!$G$3:$S$177,M104,'Config!'!$AZ$17+1))</f>
        <v/>
      </c>
      <c r="Q104" s="466" t="str">
        <f t="shared" si="15"/>
        <v/>
      </c>
      <c r="R104" s="467" t="str">
        <f t="shared" si="16"/>
        <v/>
      </c>
      <c r="S104" s="468" t="str">
        <f t="shared" si="17"/>
        <v/>
      </c>
      <c r="T104" s="468" t="str">
        <f t="shared" si="18"/>
        <v/>
      </c>
      <c r="U104" s="468" t="str">
        <f>IF(N104="","",INDEX('Result data'!$CP$216:$CP$393,M104,1))</f>
        <v/>
      </c>
      <c r="V104" s="468" t="str">
        <f>IF(N104="","",INDEX('Result data'!$DA$216:$DA$393,M104,1))</f>
        <v/>
      </c>
      <c r="W104" s="469" t="str">
        <f>IF(N104="","",-'Result data'!$AI$6*('Config!'!Q104^'Result data'!$AJ$7))</f>
        <v/>
      </c>
      <c r="X104" s="470" t="str">
        <f>IF(N104="","",W104/'Result data'!$AF$11)</f>
        <v/>
      </c>
      <c r="Y104" s="471" t="str">
        <f>IF(N104="","",INDEX('Country Competitivness'!$FB$4:$FB$178,M104,1))</f>
        <v/>
      </c>
      <c r="Z104" s="471" t="str">
        <f>IF(N104="","",INDEX('Country Competitivness'!$EW$4:$EW$178,M104,1))</f>
        <v/>
      </c>
      <c r="AA104" s="464" t="str">
        <f>IFERROR(IF(M104="","",IF('Config!'!$BA$17=0,0,MAX(0,(INDEX('Result data'!$AE$216:$AP$390,M104,'Config!'!$BA$17)-COUNTIF('Market Analyzes'!$C$6,"&lt;&gt;"&amp;'Config!'!N104))))),"")</f>
        <v/>
      </c>
      <c r="AB104" s="467" t="str">
        <f>IFERROR(IF(M104="","",IF(INDEX('Result data'!$C257:$L257,1,$L$17)&lt;&gt;"",INDEX('Result data'!$C257:$L257,1,$L$17),AVERAGEIF('Result data'!$C$216:$L$225,'Config!'!N104,'Result data'!$C$240:$L$249))),"")</f>
        <v/>
      </c>
      <c r="AC104" s="467" t="str">
        <f>IF(AB104="","",IF(INDEX('Result data'!$C293:$L293,1,$L$17)&lt;&gt;"",INDEX('Result data'!$C293:$L293,1,$L$17),AVERAGEIF('Result data'!$C$216:$L$225,'Config!'!N104,'Result data'!$C$276:$L$285)))</f>
        <v/>
      </c>
      <c r="AD104" s="467" t="str">
        <f>IF(N104="","",'Result data'!$AD$6*('Config!'!Q104^'Result data'!$AE$7)*(IF(U104=".",S104,U104)^X104)*((IF(V104=".",T104,V104)/IF(U104=".",S104,U104))^'Result data'!$AE$12)*(Y104^'Result data'!$AE$9)*(Z104^'Result data'!$AE$10))</f>
        <v/>
      </c>
      <c r="AE104" s="467" t="str">
        <f t="shared" si="19"/>
        <v/>
      </c>
      <c r="AF104" s="467" t="str">
        <f t="shared" si="20"/>
        <v/>
      </c>
      <c r="AG104" s="683" t="str">
        <f>IF(N104="","",MAX('Config!'!$BC$16:$BC$18,_xlfn.MINIFS('Result data'!$C$228:$L$237,'Result data'!$C$216:$L$225,'Config!'!N104)))</f>
        <v/>
      </c>
      <c r="AH104" s="464" t="str">
        <f>IFERROR(IF(OR(M104="",M104=0),"",IF(N104=INDEX(Language!$B$149:$B$308,
IF(Language!$C$2=Language!$B$2,
MATCH('Market Analyzes'!B93,Language!$B$149:$B$308,0),
MATCH('Market Analyzes'!B93,Language!$A$149:$A$308,0))),
'Market Analyzes'!$C$5+1,INDEX('Result data'!$C233:$L233,1,$L$17))),AG104)</f>
        <v/>
      </c>
      <c r="AI104" s="472" t="str">
        <f>IF(M104="","",'Market Analyzes'!E93)</f>
        <v/>
      </c>
      <c r="AJ104" s="472" t="str">
        <f>IF(N104="","",IF(AA104="",0,IF(AA104=0,0,MAX(0,((((SUMIF('Result data'!$C$216:$L$225,'Config!'!N104,'Result data'!$C$456:$L$465)+SUMIF('Result data'!$C$216:$L$225,'Config!'!N104,'Result data'!$C$468:$L$477)))-AI104*O104)/O104)/AA104))))</f>
        <v/>
      </c>
      <c r="AK104" s="469" t="str">
        <f>IF(N104="","",'Result data'!$AD$18*('Config!'!T104^'Result data'!$AE$19)*('Config!'!S104^'Config!'!W104)*('Config!'!AI104^AVERAGE('Result data'!$AE$22:$AE$23))*((AH104-AH104+1)^'Result data'!$AE$20))</f>
        <v/>
      </c>
      <c r="AL104" s="469">
        <f>IF(AA104="",0,IF(AA104=0,0,('Result data'!$AD$18*('Config!'!AC104^'Result data'!$AE$19)*('Config!'!AB104^'Config!'!W104)*('Config!'!AJ104^AVERAGE('Result data'!$AE$22:$AE$23))*((AG104-2010)^'Result data'!$AE$20))*AA104))</f>
        <v>0</v>
      </c>
      <c r="AM104" s="473" t="str">
        <f t="shared" si="21"/>
        <v/>
      </c>
      <c r="AN104" s="230" t="str">
        <f t="shared" si="22"/>
        <v/>
      </c>
      <c r="AO104" s="230" t="str">
        <f t="shared" si="23"/>
        <v/>
      </c>
      <c r="AP104" s="464" t="str">
        <f>IF(N104="","",INDEX('Result data'!$AD$216:$AD$390,M104,1))</f>
        <v/>
      </c>
      <c r="AQ104" s="469" t="str">
        <f>IF(N104="","",'Result data'!$AI$23*(SUM('Config!'!AI104:AJ104)^'Result data'!$AJ$24))</f>
        <v/>
      </c>
      <c r="AR104" s="469" t="str">
        <f>IF(N104="","",'Result data'!$AI$30*(SUM('Config!'!AI104:AJ104)^'Result data'!$AJ$31))</f>
        <v/>
      </c>
      <c r="AS104" s="474" t="str">
        <f>IF(N104="","",0.698305402569866*'Result data'!$AI$13*(Q104^'Result data'!$AJ$14)*(AVERAGE('Config!'!AI104:AJ104)^'Result data'!$AJ$15)*((IF(V104=".",T104,V104)/IF(U104=".",S104,U104))^'Result data'!$AJ$18)*(INDEX('Country Competitivness'!$EU$4:$EU$178,M104,1)^'Result data'!$AJ$17)*(INDEX('Country Competitivness'!$CL$4:$CX$178,M104,'Config!'!$AZ$17+1)^'Result data'!$AJ$16))</f>
        <v/>
      </c>
      <c r="AT104" s="231" t="str">
        <f>IF(N104="","",_xlfn.NORM.S.DIST(STANDARDIZE(IF('Config!'!AP104=".",0,'Config!'!$BA$15-'Config!'!AP104)+1,'Config!'!AQ104,'Config!'!AR104),1)*AS104*O104)</f>
        <v/>
      </c>
      <c r="AU104" s="231" t="str">
        <f>IF(N104="","",IF(INDEX('Result data'!$CE$216:$CE$393,'Config!'!M104,1)=".",AT104*0.75,INDEX('Result data'!$CE$216:$CE$393,'Config!'!M104,1)))</f>
        <v/>
      </c>
      <c r="AV104" s="475" t="str">
        <f t="shared" si="24"/>
        <v/>
      </c>
      <c r="AW104" s="475" t="str">
        <f t="shared" si="25"/>
        <v/>
      </c>
      <c r="AX104" s="475" t="str">
        <f t="shared" si="26"/>
        <v/>
      </c>
      <c r="AY104" s="231" t="str">
        <f t="shared" si="27"/>
        <v/>
      </c>
      <c r="AZ104" s="231" t="str">
        <f t="shared" si="28"/>
        <v/>
      </c>
      <c r="BA104" s="231" t="str">
        <f t="shared" si="29"/>
        <v/>
      </c>
      <c r="BB104" s="475" t="str">
        <f t="shared" si="40"/>
        <v/>
      </c>
      <c r="BC104" s="37"/>
      <c r="BD104" s="475" t="str">
        <f t="shared" si="30"/>
        <v/>
      </c>
      <c r="BE104" s="467" t="str">
        <f t="shared" si="31"/>
        <v/>
      </c>
      <c r="BF104" s="467" t="str">
        <f t="shared" si="32"/>
        <v/>
      </c>
      <c r="BG104" s="467" t="str">
        <f t="shared" si="33"/>
        <v/>
      </c>
      <c r="BH104" s="466" t="str">
        <f>IF(N104="","",MAX('Result data'!$AD$31,'Result data'!$AD$32+'Result data'!$AE$33*'Config!'!Q104+'Result data'!$AE$34*INDEX('Score-Starting a business'!$U$2:$U$176,M104,1)+'Result data'!$AE$35*INDEX('Country Competitivness'!$EW$4:$EW$178,M104,1)+'Result data'!$AE$36*LN(AV104)+'Result data'!$AE$37*IF(N104='Config!'!$O$95,IF('Market Analyzes'!$D$39="JOINT VENTURE",1,0),INDEX('Result data'!$EI$216:$ER$390,'Config!'!M104,'Config!'!$L$17))+'Result data'!$AE$38*IF(N104='Config!'!$O$95,IF('Market Analyzes'!$D$39="JOINT VENTURE",1,0),INDEX('Result data'!$EI$216:$ER$390,'Config!'!M104,'Config!'!$L$17))*INDEX('Country Competitivness'!$EW$4:$EW$178,M104,1)))</f>
        <v/>
      </c>
      <c r="BI104" s="466" t="str">
        <f>IF(N104="","",IF(N104='Config!'!$O$95,'Result data'!$AN$7+'Result data'!$AO$8*'Config!'!Q104+'Result data'!$AO$9*INDEX('Score-Starting a business'!$U$2:$U$176,M104,1)+'Result data'!$AO$10*INDEX('Country Competitivness'!$EW$4:$EW$178,M104,1)+'Result data'!$AO$11*LN(AV104)+'Result data'!$AO$12*IF(N104='Config!'!$O$95,IF('Market Analyzes'!$D$39="JOINT VENTURE",1,0),INDEX('Result data'!$EI$216:$ER$390,'Config!'!M104,'Config!'!$L$17))+'Result data'!$AO$13*IF(N104='Config!'!$O$95,IF('Market Analyzes'!$D$39="JOINT VENTURE",1,0),INDEX('Result data'!$EI$216:$ER$390,'Config!'!M104,'Config!'!$L$17))*INDEX('Country Competitivness'!$EW$4:$EW$178,M104,1),0))</f>
        <v/>
      </c>
      <c r="BJ104" s="467" t="str">
        <f>IF(N104="","",'Market Analyzes'!$D$119*BB104/$BB$109)</f>
        <v/>
      </c>
      <c r="BK104" s="467" t="str">
        <f t="shared" si="34"/>
        <v/>
      </c>
      <c r="BL104" s="466" t="str">
        <f t="shared" si="35"/>
        <v/>
      </c>
      <c r="BM104" s="467" t="str">
        <f t="shared" si="36"/>
        <v/>
      </c>
      <c r="BN104" s="466" t="str">
        <f>IF(N104="","",IF(BE104=".",".",IF(BK104&lt;0,0,AVERAGE('Market Analyzes'!$C$25:$C$27)*0.8*BK104)))</f>
        <v/>
      </c>
      <c r="BO104" s="466" t="str">
        <f>IF(N104="","",IF(BF104=".",".",IF(BL104&lt;0,0,AVERAGE('Market Analyzes'!$C$25:$C$27)*0.8*BL104)))</f>
        <v/>
      </c>
      <c r="BP104" s="466" t="str">
        <f>IF(N104="","",IF(BG104=".",".",IF(BM104&lt;0,0,AVERAGE('Market Analyzes'!$C$25:$C$27)*0.8*BM104)))</f>
        <v/>
      </c>
      <c r="BQ104" s="467" t="str">
        <f t="shared" si="37"/>
        <v/>
      </c>
      <c r="BR104" s="467" t="str">
        <f t="shared" si="38"/>
        <v/>
      </c>
      <c r="BS104" s="467" t="str">
        <f t="shared" si="39"/>
        <v/>
      </c>
      <c r="BT104" s="467" t="str">
        <f>IF(N104="","",BQ104*'Result data'!$AN$15*IF(N104='Config!'!$O$95,IF('Market Analyzes'!$D$39="JOINT VENTURE",1,0),INDEX('Result data'!$EI$216:$ER$390,'Config!'!M104,'Config!'!$L$17)))</f>
        <v/>
      </c>
      <c r="BU104" s="467" t="str">
        <f>IF(N104="","",BR104*'Result data'!$AN$15*IF(N104='Config!'!$O$95,IF('Market Analyzes'!$D$39="JOINT VENTURE",1,0),INDEX('Result data'!$EI$216:$ER$390,'Config!'!M104,'Config!'!$L$17)))</f>
        <v/>
      </c>
      <c r="BV104" s="467" t="str">
        <f>IF(N104="","",BS104*'Result data'!$AN$15*IF(N104='Config!'!$O$95,IF('Market Analyzes'!$D$39="JOINT VENTURE",1,0),INDEX('Result data'!$EI$216:$ER$390,'Config!'!M104,'Config!'!$L$17)))</f>
        <v/>
      </c>
      <c r="BW104" t="str">
        <f t="shared" si="41"/>
        <v/>
      </c>
    </row>
    <row r="105" spans="1:75" ht="15.6" customHeight="1" x14ac:dyDescent="0.25">
      <c r="A105" t="str">
        <v>Marrocos</v>
      </c>
      <c r="B105" t="str">
        <f>INDEX(Language!$G$149:$G$308,MATCH(A105,Language!$C$149:$C$308,0))</f>
        <v>Oriente médio</v>
      </c>
      <c r="C105">
        <f>INDEX(Language!$F$149:$F$308,MATCH(A105,Language!$C$149:$C$308,0))</f>
        <v>108</v>
      </c>
      <c r="J105" s="37"/>
      <c r="K105" s="301">
        <f>SUMIF('Result data'!$O$106:$O$115,'Config!'!L105,'Result data'!$N$106:$N$115)</f>
        <v>0</v>
      </c>
      <c r="L105" s="464" t="str">
        <f>IF(N105="","",INDEX('Result data'!$Q$216:$Q$390,M105,1))</f>
        <v/>
      </c>
      <c r="M105" s="464">
        <f>SUMIF(Language!$B$149:$B$308,N105,Language!$F$149:$F$308)</f>
        <v>0</v>
      </c>
      <c r="N105" s="464" t="str">
        <f>IFERROR(IF('Market Analyzes'!$C$2=Language!$B$2,'Market Analyzes'!B94,INDEX(Language!$B$149:$B$308,MATCH('Market Analyzes'!B94,Language!$A$149:$A$308,0))),"")</f>
        <v/>
      </c>
      <c r="O105" s="465" t="str" cm="1">
        <f t="array" ref="O105">IFERROR(IF(M105=0,"",INDEX('Result data'!$DY$216:$DY$390,M105)),"")</f>
        <v/>
      </c>
      <c r="P105" s="466" t="str">
        <f>IF(N105="","",INDEX(GDP!$G$3:$S$177,M105,'Config!'!$AZ$17+1))</f>
        <v/>
      </c>
      <c r="Q105" s="466" t="str">
        <f t="shared" si="15"/>
        <v/>
      </c>
      <c r="R105" s="467" t="str">
        <f t="shared" si="16"/>
        <v/>
      </c>
      <c r="S105" s="468" t="str">
        <f t="shared" si="17"/>
        <v/>
      </c>
      <c r="T105" s="468" t="str">
        <f t="shared" si="18"/>
        <v/>
      </c>
      <c r="U105" s="468" t="str">
        <f>IF(N105="","",INDEX('Result data'!$CP$216:$CP$393,M105,1))</f>
        <v/>
      </c>
      <c r="V105" s="468" t="str">
        <f>IF(N105="","",INDEX('Result data'!$DA$216:$DA$393,M105,1))</f>
        <v/>
      </c>
      <c r="W105" s="469" t="str">
        <f>IF(N105="","",-'Result data'!$AI$6*('Config!'!Q105^'Result data'!$AJ$7))</f>
        <v/>
      </c>
      <c r="X105" s="470" t="str">
        <f>IF(N105="","",W105/'Result data'!$AF$11)</f>
        <v/>
      </c>
      <c r="Y105" s="471" t="str">
        <f>IF(N105="","",INDEX('Country Competitivness'!$FB$4:$FB$178,M105,1))</f>
        <v/>
      </c>
      <c r="Z105" s="471" t="str">
        <f>IF(N105="","",INDEX('Country Competitivness'!$EW$4:$EW$178,M105,1))</f>
        <v/>
      </c>
      <c r="AA105" s="464" t="str">
        <f>IFERROR(IF(M105="","",IF('Config!'!$BA$17=0,0,MAX(0,(INDEX('Result data'!$AE$216:$AP$390,M105,'Config!'!$BA$17)-COUNTIF('Market Analyzes'!$C$6,"&lt;&gt;"&amp;'Config!'!N105))))),"")</f>
        <v/>
      </c>
      <c r="AB105" s="467" t="str">
        <f>IFERROR(IF(M105="","",IF(INDEX('Result data'!$C258:$L258,1,$L$17)&lt;&gt;"",INDEX('Result data'!$C258:$L258,1,$L$17),AVERAGEIF('Result data'!$C$216:$L$225,'Config!'!N105,'Result data'!$C$240:$L$249))),"")</f>
        <v/>
      </c>
      <c r="AC105" s="467" t="str">
        <f>IF(AB105="","",IF(INDEX('Result data'!$C294:$L294,1,$L$17)&lt;&gt;"",INDEX('Result data'!$C294:$L294,1,$L$17),AVERAGEIF('Result data'!$C$216:$L$225,'Config!'!N105,'Result data'!$C$276:$L$285)))</f>
        <v/>
      </c>
      <c r="AD105" s="467" t="str">
        <f>IF(N105="","",'Result data'!$AD$6*('Config!'!Q105^'Result data'!$AE$7)*(IF(U105=".",S105,U105)^X105)*((IF(V105=".",T105,V105)/IF(U105=".",S105,U105))^'Result data'!$AE$12)*(Y105^'Result data'!$AE$9)*(Z105^'Result data'!$AE$10))</f>
        <v/>
      </c>
      <c r="AE105" s="467" t="str">
        <f t="shared" si="19"/>
        <v/>
      </c>
      <c r="AF105" s="467" t="str">
        <f t="shared" si="20"/>
        <v/>
      </c>
      <c r="AG105" s="683" t="str">
        <f>IF(N105="","",MAX('Config!'!$BC$16:$BC$18,_xlfn.MINIFS('Result data'!$C$228:$L$237,'Result data'!$C$216:$L$225,'Config!'!N105)))</f>
        <v/>
      </c>
      <c r="AH105" s="464" t="str">
        <f>IFERROR(IF(OR(M105="",M105=0),"",IF(N105=INDEX(Language!$B$149:$B$308,
IF(Language!$C$2=Language!$B$2,
MATCH('Market Analyzes'!B94,Language!$B$149:$B$308,0),
MATCH('Market Analyzes'!B94,Language!$A$149:$A$308,0))),
'Market Analyzes'!$C$5+1,INDEX('Result data'!$C234:$L234,1,$L$17))),AG105)</f>
        <v/>
      </c>
      <c r="AI105" s="472" t="str">
        <f>IF(M105="","",'Market Analyzes'!E94)</f>
        <v/>
      </c>
      <c r="AJ105" s="472" t="str">
        <f>IF(N105="","",IF(AA105="",0,IF(AA105=0,0,MAX(0,((((SUMIF('Result data'!$C$216:$L$225,'Config!'!N105,'Result data'!$C$456:$L$465)+SUMIF('Result data'!$C$216:$L$225,'Config!'!N105,'Result data'!$C$468:$L$477)))-AI105*O105)/O105)/AA105))))</f>
        <v/>
      </c>
      <c r="AK105" s="469" t="str">
        <f>IF(N105="","",'Result data'!$AD$18*('Config!'!T105^'Result data'!$AE$19)*('Config!'!S105^'Config!'!W105)*('Config!'!AI105^AVERAGE('Result data'!$AE$22:$AE$23))*((AH105-AH105+1)^'Result data'!$AE$20))</f>
        <v/>
      </c>
      <c r="AL105" s="469">
        <f>IF(AA105="",0,IF(AA105=0,0,('Result data'!$AD$18*('Config!'!AC105^'Result data'!$AE$19)*('Config!'!AB105^'Config!'!W105)*('Config!'!AJ105^AVERAGE('Result data'!$AE$22:$AE$23))*((AG105-2010)^'Result data'!$AE$20))*AA105))</f>
        <v>0</v>
      </c>
      <c r="AM105" s="473" t="str">
        <f t="shared" si="21"/>
        <v/>
      </c>
      <c r="AN105" s="230" t="str">
        <f t="shared" si="22"/>
        <v/>
      </c>
      <c r="AO105" s="230" t="str">
        <f t="shared" si="23"/>
        <v/>
      </c>
      <c r="AP105" s="464" t="str">
        <f>IF(N105="","",INDEX('Result data'!$AD$216:$AD$390,M105,1))</f>
        <v/>
      </c>
      <c r="AQ105" s="469" t="str">
        <f>IF(N105="","",'Result data'!$AI$23*(SUM('Config!'!AI105:AJ105)^'Result data'!$AJ$24))</f>
        <v/>
      </c>
      <c r="AR105" s="469" t="str">
        <f>IF(N105="","",'Result data'!$AI$30*(SUM('Config!'!AI105:AJ105)^'Result data'!$AJ$31))</f>
        <v/>
      </c>
      <c r="AS105" s="474" t="str">
        <f>IF(N105="","",0.698305402569866*'Result data'!$AI$13*(Q105^'Result data'!$AJ$14)*(AVERAGE('Config!'!AI105:AJ105)^'Result data'!$AJ$15)*((IF(V105=".",T105,V105)/IF(U105=".",S105,U105))^'Result data'!$AJ$18)*(INDEX('Country Competitivness'!$EU$4:$EU$178,M105,1)^'Result data'!$AJ$17)*(INDEX('Country Competitivness'!$CL$4:$CX$178,M105,'Config!'!$AZ$17+1)^'Result data'!$AJ$16))</f>
        <v/>
      </c>
      <c r="AT105" s="231" t="str">
        <f>IF(N105="","",_xlfn.NORM.S.DIST(STANDARDIZE(IF('Config!'!AP105=".",0,'Config!'!$BA$15-'Config!'!AP105)+1,'Config!'!AQ105,'Config!'!AR105),1)*AS105*O105)</f>
        <v/>
      </c>
      <c r="AU105" s="231" t="str">
        <f>IF(N105="","",IF(INDEX('Result data'!$CE$216:$CE$393,'Config!'!M105,1)=".",AT105*0.75,INDEX('Result data'!$CE$216:$CE$393,'Config!'!M105,1)))</f>
        <v/>
      </c>
      <c r="AV105" s="475" t="str">
        <f t="shared" si="24"/>
        <v/>
      </c>
      <c r="AW105" s="475" t="str">
        <f t="shared" si="25"/>
        <v/>
      </c>
      <c r="AX105" s="475" t="str">
        <f t="shared" si="26"/>
        <v/>
      </c>
      <c r="AY105" s="231" t="str">
        <f t="shared" si="27"/>
        <v/>
      </c>
      <c r="AZ105" s="231" t="str">
        <f t="shared" si="28"/>
        <v/>
      </c>
      <c r="BA105" s="231" t="str">
        <f t="shared" si="29"/>
        <v/>
      </c>
      <c r="BB105" s="475" t="str">
        <f t="shared" si="40"/>
        <v/>
      </c>
      <c r="BC105" s="48"/>
      <c r="BD105" s="475" t="str">
        <f t="shared" si="30"/>
        <v/>
      </c>
      <c r="BE105" s="467" t="str">
        <f t="shared" si="31"/>
        <v/>
      </c>
      <c r="BF105" s="467" t="str">
        <f t="shared" si="32"/>
        <v/>
      </c>
      <c r="BG105" s="467" t="str">
        <f t="shared" si="33"/>
        <v/>
      </c>
      <c r="BH105" s="466" t="str">
        <f>IF(N105="","",MAX('Result data'!$AD$31,'Result data'!$AD$32+'Result data'!$AE$33*'Config!'!Q105+'Result data'!$AE$34*INDEX('Score-Starting a business'!$U$2:$U$176,M105,1)+'Result data'!$AE$35*INDEX('Country Competitivness'!$EW$4:$EW$178,M105,1)+'Result data'!$AE$36*LN(AV105)+'Result data'!$AE$37*IF(N105='Config!'!$O$95,IF('Market Analyzes'!$D$39="JOINT VENTURE",1,0),INDEX('Result data'!$EI$216:$ER$390,'Config!'!M105,'Config!'!$L$17))+'Result data'!$AE$38*IF(N105='Config!'!$O$95,IF('Market Analyzes'!$D$39="JOINT VENTURE",1,0),INDEX('Result data'!$EI$216:$ER$390,'Config!'!M105,'Config!'!$L$17))*INDEX('Country Competitivness'!$EW$4:$EW$178,M105,1)))</f>
        <v/>
      </c>
      <c r="BI105" s="466" t="str">
        <f>IF(N105="","",IF(N105='Config!'!$O$95,'Result data'!$AN$7+'Result data'!$AO$8*'Config!'!Q105+'Result data'!$AO$9*INDEX('Score-Starting a business'!$U$2:$U$176,M105,1)+'Result data'!$AO$10*INDEX('Country Competitivness'!$EW$4:$EW$178,M105,1)+'Result data'!$AO$11*LN(AV105)+'Result data'!$AO$12*IF(N105='Config!'!$O$95,IF('Market Analyzes'!$D$39="JOINT VENTURE",1,0),INDEX('Result data'!$EI$216:$ER$390,'Config!'!M105,'Config!'!$L$17))+'Result data'!$AO$13*IF(N105='Config!'!$O$95,IF('Market Analyzes'!$D$39="JOINT VENTURE",1,0),INDEX('Result data'!$EI$216:$ER$390,'Config!'!M105,'Config!'!$L$17))*INDEX('Country Competitivness'!$EW$4:$EW$178,M105,1),0))</f>
        <v/>
      </c>
      <c r="BJ105" s="467" t="str">
        <f>IF(N105="","",'Market Analyzes'!$D$119*BB105/$BB$109)</f>
        <v/>
      </c>
      <c r="BK105" s="467" t="str">
        <f t="shared" si="34"/>
        <v/>
      </c>
      <c r="BL105" s="466" t="str">
        <f t="shared" si="35"/>
        <v/>
      </c>
      <c r="BM105" s="467" t="str">
        <f t="shared" si="36"/>
        <v/>
      </c>
      <c r="BN105" s="466" t="str">
        <f>IF(N105="","",IF(BE105=".",".",IF(BK105&lt;0,0,AVERAGE('Market Analyzes'!$C$25:$C$27)*0.8*BK105)))</f>
        <v/>
      </c>
      <c r="BO105" s="466" t="str">
        <f>IF(N105="","",IF(BF105=".",".",IF(BL105&lt;0,0,AVERAGE('Market Analyzes'!$C$25:$C$27)*0.8*BL105)))</f>
        <v/>
      </c>
      <c r="BP105" s="466" t="str">
        <f>IF(N105="","",IF(BG105=".",".",IF(BM105&lt;0,0,AVERAGE('Market Analyzes'!$C$25:$C$27)*0.8*BM105)))</f>
        <v/>
      </c>
      <c r="BQ105" s="467" t="str">
        <f t="shared" si="37"/>
        <v/>
      </c>
      <c r="BR105" s="467" t="str">
        <f t="shared" si="38"/>
        <v/>
      </c>
      <c r="BS105" s="467" t="str">
        <f t="shared" si="39"/>
        <v/>
      </c>
      <c r="BT105" s="467" t="str">
        <f>IF(N105="","",BQ105*'Result data'!$AN$15*IF(N105='Config!'!$O$95,IF('Market Analyzes'!$D$39="JOINT VENTURE",1,0),INDEX('Result data'!$EI$216:$ER$390,'Config!'!M105,'Config!'!$L$17)))</f>
        <v/>
      </c>
      <c r="BU105" s="467" t="str">
        <f>IF(N105="","",BR105*'Result data'!$AN$15*IF(N105='Config!'!$O$95,IF('Market Analyzes'!$D$39="JOINT VENTURE",1,0),INDEX('Result data'!$EI$216:$ER$390,'Config!'!M105,'Config!'!$L$17)))</f>
        <v/>
      </c>
      <c r="BV105" s="467" t="str">
        <f>IF(N105="","",BS105*'Result data'!$AN$15*IF(N105='Config!'!$O$95,IF('Market Analyzes'!$D$39="JOINT VENTURE",1,0),INDEX('Result data'!$EI$216:$ER$390,'Config!'!M105,'Config!'!$L$17)))</f>
        <v/>
      </c>
      <c r="BW105" t="str">
        <f t="shared" si="41"/>
        <v/>
      </c>
    </row>
    <row r="106" spans="1:75" ht="15.6" customHeight="1" x14ac:dyDescent="0.25">
      <c r="A106" t="str">
        <v>Maurício</v>
      </c>
      <c r="B106" t="str">
        <f>INDEX(Language!$G$149:$G$308,MATCH(A106,Language!$C$149:$C$308,0))</f>
        <v>África Subsaariana</v>
      </c>
      <c r="C106">
        <f>INDEX(Language!$F$149:$F$308,MATCH(A106,Language!$C$149:$C$308,0))</f>
        <v>102</v>
      </c>
      <c r="J106" s="37"/>
      <c r="K106" s="301">
        <f>SUMIF('Result data'!$O$106:$O$115,'Config!'!L106,'Result data'!$N$106:$N$115)</f>
        <v>0</v>
      </c>
      <c r="L106" s="464" t="str">
        <f>IF(N106="","",INDEX('Result data'!$Q$216:$Q$390,M106,1))</f>
        <v/>
      </c>
      <c r="M106" s="464">
        <f>SUMIF(Language!$B$149:$B$308,N106,Language!$F$149:$F$308)</f>
        <v>0</v>
      </c>
      <c r="N106" s="464" t="str">
        <f>IFERROR(IF('Market Analyzes'!$C$2=Language!$B$2,'Market Analyzes'!B95,INDEX(Language!$B$149:$B$308,MATCH('Market Analyzes'!B95,Language!$A$149:$A$308,0))),"")</f>
        <v/>
      </c>
      <c r="O106" s="465" t="str" cm="1">
        <f t="array" ref="O106">IFERROR(IF(M106=0,"",INDEX('Result data'!$DY$216:$DY$390,M106)),"")</f>
        <v/>
      </c>
      <c r="P106" s="466" t="str">
        <f>IF(N106="","",INDEX(GDP!$G$3:$S$177,M106,'Config!'!$AZ$17+1))</f>
        <v/>
      </c>
      <c r="Q106" s="466" t="str">
        <f t="shared" si="15"/>
        <v/>
      </c>
      <c r="R106" s="467" t="str">
        <f t="shared" si="16"/>
        <v/>
      </c>
      <c r="S106" s="468" t="str">
        <f t="shared" si="17"/>
        <v/>
      </c>
      <c r="T106" s="468" t="str">
        <f t="shared" si="18"/>
        <v/>
      </c>
      <c r="U106" s="468" t="str">
        <f>IF(N106="","",INDEX('Result data'!$CP$216:$CP$393,M106,1))</f>
        <v/>
      </c>
      <c r="V106" s="468" t="str">
        <f>IF(N106="","",INDEX('Result data'!$DA$216:$DA$393,M106,1))</f>
        <v/>
      </c>
      <c r="W106" s="469" t="str">
        <f>IF(N106="","",-'Result data'!$AI$6*('Config!'!Q106^'Result data'!$AJ$7))</f>
        <v/>
      </c>
      <c r="X106" s="470" t="str">
        <f>IF(N106="","",W106/'Result data'!$AF$11)</f>
        <v/>
      </c>
      <c r="Y106" s="471" t="str">
        <f>IF(N106="","",INDEX('Country Competitivness'!$FB$4:$FB$178,M106,1))</f>
        <v/>
      </c>
      <c r="Z106" s="471" t="str">
        <f>IF(N106="","",INDEX('Country Competitivness'!$EW$4:$EW$178,M106,1))</f>
        <v/>
      </c>
      <c r="AA106" s="464" t="str">
        <f>IFERROR(IF(M106="","",IF('Config!'!$BA$17=0,0,MAX(0,(INDEX('Result data'!$AE$216:$AP$390,M106,'Config!'!$BA$17)-COUNTIF('Market Analyzes'!$C$6,"&lt;&gt;"&amp;'Config!'!N106))))),"")</f>
        <v/>
      </c>
      <c r="AB106" s="467" t="str">
        <f>IFERROR(IF(M106="","",IF(INDEX('Result data'!$C259:$L259,1,$L$17)&lt;&gt;"",INDEX('Result data'!$C259:$L259,1,$L$17),AVERAGEIF('Result data'!$C$216:$L$225,'Config!'!N106,'Result data'!$C$240:$L$249))),"")</f>
        <v/>
      </c>
      <c r="AC106" s="467" t="str">
        <f>IF(AB106="","",IF(INDEX('Result data'!$C295:$L295,1,$L$17)&lt;&gt;"",INDEX('Result data'!$C295:$L295,1,$L$17),AVERAGEIF('Result data'!$C$216:$L$225,'Config!'!N106,'Result data'!$C$276:$L$285)))</f>
        <v/>
      </c>
      <c r="AD106" s="467" t="str">
        <f>IF(N106="","",'Result data'!$AD$6*('Config!'!Q106^'Result data'!$AE$7)*(IF(U106=".",S106,U106)^X106)*((IF(V106=".",T106,V106)/IF(U106=".",S106,U106))^'Result data'!$AE$12)*(Y106^'Result data'!$AE$9)*(Z106^'Result data'!$AE$10))</f>
        <v/>
      </c>
      <c r="AE106" s="467" t="str">
        <f t="shared" si="19"/>
        <v/>
      </c>
      <c r="AF106" s="467" t="str">
        <f t="shared" si="20"/>
        <v/>
      </c>
      <c r="AG106" s="683" t="str">
        <f>IF(N106="","",MAX('Config!'!$BC$16:$BC$18,_xlfn.MINIFS('Result data'!$C$228:$L$237,'Result data'!$C$216:$L$225,'Config!'!N106)))</f>
        <v/>
      </c>
      <c r="AH106" s="464" t="str">
        <f>IFERROR(IF(OR(M106="",M106=0),"",IF(N106=INDEX(Language!$B$149:$B$308,
IF(Language!$C$2=Language!$B$2,
MATCH('Market Analyzes'!B95,Language!$B$149:$B$308,0),
MATCH('Market Analyzes'!B95,Language!$A$149:$A$308,0))),
'Market Analyzes'!$C$5+1,INDEX('Result data'!$C235:$L235,1,$L$17))),AG106)</f>
        <v/>
      </c>
      <c r="AI106" s="472" t="str">
        <f>IF(M106="","",'Market Analyzes'!E95)</f>
        <v/>
      </c>
      <c r="AJ106" s="472" t="str">
        <f>IF(N106="","",IF(AA106="",0,IF(AA106=0,0,MAX(0,((((SUMIF('Result data'!$C$216:$L$225,'Config!'!N106,'Result data'!$C$456:$L$465)+SUMIF('Result data'!$C$216:$L$225,'Config!'!N106,'Result data'!$C$468:$L$477)))-AI106*O106)/O106)/AA106))))</f>
        <v/>
      </c>
      <c r="AK106" s="469" t="str">
        <f>IF(N106="","",'Result data'!$AD$18*('Config!'!T106^'Result data'!$AE$19)*('Config!'!S106^'Config!'!W106)*('Config!'!AI106^AVERAGE('Result data'!$AE$22:$AE$23))*((AH106-AH106+1)^'Result data'!$AE$20))</f>
        <v/>
      </c>
      <c r="AL106" s="469">
        <f>IF(AA106="",0,IF(AA106=0,0,('Result data'!$AD$18*('Config!'!AC106^'Result data'!$AE$19)*('Config!'!AB106^'Config!'!W106)*('Config!'!AJ106^AVERAGE('Result data'!$AE$22:$AE$23))*((AG106-2010)^'Result data'!$AE$20))*AA106))</f>
        <v>0</v>
      </c>
      <c r="AM106" s="473" t="str">
        <f t="shared" si="21"/>
        <v/>
      </c>
      <c r="AN106" s="230" t="str">
        <f t="shared" si="22"/>
        <v/>
      </c>
      <c r="AO106" s="230" t="str">
        <f t="shared" si="23"/>
        <v/>
      </c>
      <c r="AP106" s="464" t="str">
        <f>IF(N106="","",INDEX('Result data'!$AD$216:$AD$390,M106,1))</f>
        <v/>
      </c>
      <c r="AQ106" s="469" t="str">
        <f>IF(N106="","",'Result data'!$AI$23*(SUM('Config!'!AI106:AJ106)^'Result data'!$AJ$24))</f>
        <v/>
      </c>
      <c r="AR106" s="469" t="str">
        <f>IF(N106="","",'Result data'!$AI$30*(SUM('Config!'!AI106:AJ106)^'Result data'!$AJ$31))</f>
        <v/>
      </c>
      <c r="AS106" s="474" t="str">
        <f>IF(N106="","",0.698305402569866*'Result data'!$AI$13*(Q106^'Result data'!$AJ$14)*(AVERAGE('Config!'!AI106:AJ106)^'Result data'!$AJ$15)*((IF(V106=".",T106,V106)/IF(U106=".",S106,U106))^'Result data'!$AJ$18)*(INDEX('Country Competitivness'!$EU$4:$EU$178,M106,1)^'Result data'!$AJ$17)*(INDEX('Country Competitivness'!$CL$4:$CX$178,M106,'Config!'!$AZ$17+1)^'Result data'!$AJ$16))</f>
        <v/>
      </c>
      <c r="AT106" s="231" t="str">
        <f>IF(N106="","",_xlfn.NORM.S.DIST(STANDARDIZE(IF('Config!'!AP106=".",0,'Config!'!$BA$15-'Config!'!AP106)+1,'Config!'!AQ106,'Config!'!AR106),1)*AS106*O106)</f>
        <v/>
      </c>
      <c r="AU106" s="231" t="str">
        <f>IF(N106="","",IF(INDEX('Result data'!$CE$216:$CE$393,'Config!'!M106,1)=".",AT106*0.75,INDEX('Result data'!$CE$216:$CE$393,'Config!'!M106,1)))</f>
        <v/>
      </c>
      <c r="AV106" s="475" t="str">
        <f t="shared" si="24"/>
        <v/>
      </c>
      <c r="AW106" s="475" t="str">
        <f t="shared" si="25"/>
        <v/>
      </c>
      <c r="AX106" s="475" t="str">
        <f t="shared" si="26"/>
        <v/>
      </c>
      <c r="AY106" s="231" t="str">
        <f t="shared" si="27"/>
        <v/>
      </c>
      <c r="AZ106" s="231" t="str">
        <f t="shared" si="28"/>
        <v/>
      </c>
      <c r="BA106" s="231" t="str">
        <f t="shared" si="29"/>
        <v/>
      </c>
      <c r="BB106" s="475" t="str">
        <f t="shared" si="40"/>
        <v/>
      </c>
      <c r="BC106" s="37" t="s">
        <v>529</v>
      </c>
      <c r="BD106" s="475" t="str">
        <f t="shared" si="30"/>
        <v/>
      </c>
      <c r="BE106" s="467" t="str">
        <f t="shared" si="31"/>
        <v/>
      </c>
      <c r="BF106" s="467" t="str">
        <f t="shared" si="32"/>
        <v/>
      </c>
      <c r="BG106" s="467" t="str">
        <f t="shared" si="33"/>
        <v/>
      </c>
      <c r="BH106" s="466" t="str">
        <f>IF(N106="","",MAX('Result data'!$AD$31,'Result data'!$AD$32+'Result data'!$AE$33*'Config!'!Q106+'Result data'!$AE$34*INDEX('Score-Starting a business'!$U$2:$U$176,M106,1)+'Result data'!$AE$35*INDEX('Country Competitivness'!$EW$4:$EW$178,M106,1)+'Result data'!$AE$36*LN(AV106)+'Result data'!$AE$37*IF(N106='Config!'!$O$95,IF('Market Analyzes'!$D$39="JOINT VENTURE",1,0),INDEX('Result data'!$EI$216:$ER$390,'Config!'!M106,'Config!'!$L$17))+'Result data'!$AE$38*IF(N106='Config!'!$O$95,IF('Market Analyzes'!$D$39="JOINT VENTURE",1,0),INDEX('Result data'!$EI$216:$ER$390,'Config!'!M106,'Config!'!$L$17))*INDEX('Country Competitivness'!$EW$4:$EW$178,M106,1)))</f>
        <v/>
      </c>
      <c r="BI106" s="466" t="str">
        <f>IF(N106="","",IF(N106='Config!'!$O$95,'Result data'!$AN$7+'Result data'!$AO$8*'Config!'!Q106+'Result data'!$AO$9*INDEX('Score-Starting a business'!$U$2:$U$176,M106,1)+'Result data'!$AO$10*INDEX('Country Competitivness'!$EW$4:$EW$178,M106,1)+'Result data'!$AO$11*LN(AV106)+'Result data'!$AO$12*IF(N106='Config!'!$O$95,IF('Market Analyzes'!$D$39="JOINT VENTURE",1,0),INDEX('Result data'!$EI$216:$ER$390,'Config!'!M106,'Config!'!$L$17))+'Result data'!$AO$13*IF(N106='Config!'!$O$95,IF('Market Analyzes'!$D$39="JOINT VENTURE",1,0),INDEX('Result data'!$EI$216:$ER$390,'Config!'!M106,'Config!'!$L$17))*INDEX('Country Competitivness'!$EW$4:$EW$178,M106,1),0))</f>
        <v/>
      </c>
      <c r="BJ106" s="467" t="str">
        <f>IF(N106="","",'Market Analyzes'!$D$119*BB106/$BB$109)</f>
        <v/>
      </c>
      <c r="BK106" s="467" t="str">
        <f t="shared" si="34"/>
        <v/>
      </c>
      <c r="BL106" s="466" t="str">
        <f t="shared" si="35"/>
        <v/>
      </c>
      <c r="BM106" s="467" t="str">
        <f t="shared" si="36"/>
        <v/>
      </c>
      <c r="BN106" s="466" t="str">
        <f>IF(N106="","",IF(BE106=".",".",IF(BK106&lt;0,0,AVERAGE('Market Analyzes'!$C$25:$C$27)*0.8*BK106)))</f>
        <v/>
      </c>
      <c r="BO106" s="466" t="str">
        <f>IF(N106="","",IF(BF106=".",".",IF(BL106&lt;0,0,AVERAGE('Market Analyzes'!$C$25:$C$27)*0.8*BL106)))</f>
        <v/>
      </c>
      <c r="BP106" s="466" t="str">
        <f>IF(N106="","",IF(BG106=".",".",IF(BM106&lt;0,0,AVERAGE('Market Analyzes'!$C$25:$C$27)*0.8*BM106)))</f>
        <v/>
      </c>
      <c r="BQ106" s="467" t="str">
        <f t="shared" si="37"/>
        <v/>
      </c>
      <c r="BR106" s="467" t="str">
        <f t="shared" si="38"/>
        <v/>
      </c>
      <c r="BS106" s="467" t="str">
        <f t="shared" si="39"/>
        <v/>
      </c>
      <c r="BT106" s="467" t="str">
        <f>IF(N106="","",BQ106*'Result data'!$AN$15*IF(N106='Config!'!$O$95,IF('Market Analyzes'!$D$39="JOINT VENTURE",1,0),INDEX('Result data'!$EI$216:$ER$390,'Config!'!M106,'Config!'!$L$17)))</f>
        <v/>
      </c>
      <c r="BU106" s="467" t="str">
        <f>IF(N106="","",BR106*'Result data'!$AN$15*IF(N106='Config!'!$O$95,IF('Market Analyzes'!$D$39="JOINT VENTURE",1,0),INDEX('Result data'!$EI$216:$ER$390,'Config!'!M106,'Config!'!$L$17)))</f>
        <v/>
      </c>
      <c r="BV106" s="467" t="str">
        <f>IF(N106="","",BS106*'Result data'!$AN$15*IF(N106='Config!'!$O$95,IF('Market Analyzes'!$D$39="JOINT VENTURE",1,0),INDEX('Result data'!$EI$216:$ER$390,'Config!'!M106,'Config!'!$L$17)))</f>
        <v/>
      </c>
      <c r="BW106" t="str">
        <f t="shared" si="41"/>
        <v/>
      </c>
    </row>
    <row r="107" spans="1:75" ht="15.6" customHeight="1" x14ac:dyDescent="0.25">
      <c r="A107" t="str">
        <v>Mauritânia</v>
      </c>
      <c r="B107" t="str">
        <f>INDEX(Language!$G$149:$G$308,MATCH(A107,Language!$C$149:$C$308,0))</f>
        <v>África Subsaariana</v>
      </c>
      <c r="C107">
        <f>INDEX(Language!$F$149:$F$308,MATCH(A107,Language!$C$149:$C$308,0))</f>
        <v>101</v>
      </c>
      <c r="J107" s="48"/>
      <c r="K107" s="301">
        <f>SUMIF('Result data'!$O$106:$O$115,'Config!'!L107,'Result data'!$N$106:$N$115)</f>
        <v>0</v>
      </c>
      <c r="L107" s="464" t="str">
        <f>IF(N107="","",INDEX('Result data'!$Q$216:$Q$390,M107,1))</f>
        <v/>
      </c>
      <c r="M107" s="464">
        <f>SUMIF(Language!$B$149:$B$308,N107,Language!$F$149:$F$308)</f>
        <v>0</v>
      </c>
      <c r="N107" s="464" t="str">
        <f>IFERROR(IF('Market Analyzes'!$C$2=Language!$B$2,'Market Analyzes'!B96,INDEX(Language!$B$149:$B$308,MATCH('Market Analyzes'!B96,Language!$A$149:$A$308,0))),"")</f>
        <v/>
      </c>
      <c r="O107" s="465" t="str" cm="1">
        <f t="array" ref="O107">IFERROR(IF(M107=0,"",INDEX('Result data'!$DY$216:$DY$390,M107)),"")</f>
        <v/>
      </c>
      <c r="P107" s="466" t="str">
        <f>IF(N107="","",INDEX(GDP!$G$3:$S$177,M107,'Config!'!$AZ$17+1))</f>
        <v/>
      </c>
      <c r="Q107" s="466" t="str">
        <f t="shared" si="15"/>
        <v/>
      </c>
      <c r="R107" s="467" t="str">
        <f t="shared" si="16"/>
        <v/>
      </c>
      <c r="S107" s="468" t="str">
        <f t="shared" si="17"/>
        <v/>
      </c>
      <c r="T107" s="468" t="str">
        <f t="shared" si="18"/>
        <v/>
      </c>
      <c r="U107" s="468" t="str">
        <f>IF(N107="","",INDEX('Result data'!$CP$216:$CP$393,M107,1))</f>
        <v/>
      </c>
      <c r="V107" s="468" t="str">
        <f>IF(N107="","",INDEX('Result data'!$DA$216:$DA$393,M107,1))</f>
        <v/>
      </c>
      <c r="W107" s="469" t="str">
        <f>IF(N107="","",-'Result data'!$AI$6*('Config!'!Q107^'Result data'!$AJ$7))</f>
        <v/>
      </c>
      <c r="X107" s="470" t="str">
        <f>IF(N107="","",W107/'Result data'!$AF$11)</f>
        <v/>
      </c>
      <c r="Y107" s="471" t="str">
        <f>IF(N107="","",INDEX('Country Competitivness'!$FB$4:$FB$178,M107,1))</f>
        <v/>
      </c>
      <c r="Z107" s="471" t="str">
        <f>IF(N107="","",INDEX('Country Competitivness'!$EW$4:$EW$178,M107,1))</f>
        <v/>
      </c>
      <c r="AA107" s="464" t="str">
        <f>IFERROR(IF(M107="","",IF('Config!'!$BA$17=0,0,MAX(0,(INDEX('Result data'!$AE$216:$AP$390,M107,'Config!'!$BA$17)-COUNTIF('Market Analyzes'!$C$6,"&lt;&gt;"&amp;'Config!'!N107))))),"")</f>
        <v/>
      </c>
      <c r="AB107" s="467" t="str">
        <f>IFERROR(IF(M107="","",IF(INDEX('Result data'!$C260:$L260,1,$L$17)&lt;&gt;"",INDEX('Result data'!$C260:$L260,1,$L$17),AVERAGEIF('Result data'!$C$216:$L$225,'Config!'!N107,'Result data'!$C$240:$L$249))),"")</f>
        <v/>
      </c>
      <c r="AC107" s="467" t="str">
        <f>IF(AB107="","",IF(INDEX('Result data'!$C296:$L296,1,$L$17)&lt;&gt;"",INDEX('Result data'!$C296:$L296,1,$L$17),AVERAGEIF('Result data'!$C$216:$L$225,'Config!'!N107,'Result data'!$C$276:$L$285)))</f>
        <v/>
      </c>
      <c r="AD107" s="467" t="str">
        <f>IF(N107="","",'Result data'!$AD$6*('Config!'!Q107^'Result data'!$AE$7)*(IF(U107=".",S107,U107)^X107)*((IF(V107=".",T107,V107)/IF(U107=".",S107,U107))^'Result data'!$AE$12)*(Y107^'Result data'!$AE$9)*(Z107^'Result data'!$AE$10))</f>
        <v/>
      </c>
      <c r="AE107" s="467" t="str">
        <f t="shared" si="19"/>
        <v/>
      </c>
      <c r="AF107" s="467" t="str">
        <f t="shared" si="20"/>
        <v/>
      </c>
      <c r="AG107" s="683" t="str">
        <f>IF(N107="","",MAX('Config!'!$BC$16:$BC$18,_xlfn.MINIFS('Result data'!$C$228:$L$237,'Result data'!$C$216:$L$225,'Config!'!N107)))</f>
        <v/>
      </c>
      <c r="AH107" s="464" t="str">
        <f>IFERROR(IF(OR(M107="",M107=0),"",IF(N107=INDEX(Language!$B$149:$B$308,
IF(Language!$C$2=Language!$B$2,
MATCH('Market Analyzes'!B96,Language!$B$149:$B$308,0),
MATCH('Market Analyzes'!B96,Language!$A$149:$A$308,0))),
'Market Analyzes'!$C$5+1,INDEX('Result data'!$C236:$L236,1,$L$17))),AG107)</f>
        <v/>
      </c>
      <c r="AI107" s="472" t="str">
        <f>IF(M107="","",'Market Analyzes'!E96)</f>
        <v/>
      </c>
      <c r="AJ107" s="472" t="str">
        <f>IF(N107="","",IF(AA107="",0,IF(AA107=0,0,MAX(0,((((SUMIF('Result data'!$C$216:$L$225,'Config!'!N107,'Result data'!$C$456:$L$465)+SUMIF('Result data'!$C$216:$L$225,'Config!'!N107,'Result data'!$C$468:$L$477)))-AI107*O107)/O107)/AA107))))</f>
        <v/>
      </c>
      <c r="AK107" s="469" t="str">
        <f>IF(N107="","",'Result data'!$AD$18*('Config!'!T107^'Result data'!$AE$19)*('Config!'!S107^'Config!'!W107)*('Config!'!AI107^AVERAGE('Result data'!$AE$22:$AE$23))*((AH107-AH107+1)^'Result data'!$AE$20))</f>
        <v/>
      </c>
      <c r="AL107" s="469">
        <f>IF(AA107="",0,IF(AA107=0,0,('Result data'!$AD$18*('Config!'!AC107^'Result data'!$AE$19)*('Config!'!AB107^'Config!'!W107)*('Config!'!AJ107^AVERAGE('Result data'!$AE$22:$AE$23))*((AG107-2010)^'Result data'!$AE$20))*AA107))</f>
        <v>0</v>
      </c>
      <c r="AM107" s="473" t="str">
        <f t="shared" si="21"/>
        <v/>
      </c>
      <c r="AN107" s="230" t="str">
        <f t="shared" si="22"/>
        <v/>
      </c>
      <c r="AO107" s="230" t="str">
        <f t="shared" si="23"/>
        <v/>
      </c>
      <c r="AP107" s="464" t="str">
        <f>IF(N107="","",INDEX('Result data'!$AD$216:$AD$390,M107,1))</f>
        <v/>
      </c>
      <c r="AQ107" s="469" t="str">
        <f>IF(N107="","",'Result data'!$AI$23*(SUM('Config!'!AI107:AJ107)^'Result data'!$AJ$24))</f>
        <v/>
      </c>
      <c r="AR107" s="469" t="str">
        <f>IF(N107="","",'Result data'!$AI$30*(SUM('Config!'!AI107:AJ107)^'Result data'!$AJ$31))</f>
        <v/>
      </c>
      <c r="AS107" s="474" t="str">
        <f>IF(N107="","",0.698305402569866*'Result data'!$AI$13*(Q107^'Result data'!$AJ$14)*(AVERAGE('Config!'!AI107:AJ107)^'Result data'!$AJ$15)*((IF(V107=".",T107,V107)/IF(U107=".",S107,U107))^'Result data'!$AJ$18)*(INDEX('Country Competitivness'!$EU$4:$EU$178,M107,1)^'Result data'!$AJ$17)*(INDEX('Country Competitivness'!$CL$4:$CX$178,M107,'Config!'!$AZ$17+1)^'Result data'!$AJ$16))</f>
        <v/>
      </c>
      <c r="AT107" s="231" t="str">
        <f>IF(N107="","",_xlfn.NORM.S.DIST(STANDARDIZE(IF('Config!'!AP107=".",0,'Config!'!$BA$15-'Config!'!AP107)+1,'Config!'!AQ107,'Config!'!AR107),1)*AS107*O107)</f>
        <v/>
      </c>
      <c r="AU107" s="231" t="str">
        <f>IF(N107="","",IF(INDEX('Result data'!$CE$216:$CE$393,'Config!'!M107,1)=".",AT107*0.75,INDEX('Result data'!$CE$216:$CE$393,'Config!'!M107,1)))</f>
        <v/>
      </c>
      <c r="AV107" s="475" t="str">
        <f t="shared" si="24"/>
        <v/>
      </c>
      <c r="AW107" s="475" t="str">
        <f t="shared" si="25"/>
        <v/>
      </c>
      <c r="AX107" s="475" t="str">
        <f t="shared" si="26"/>
        <v/>
      </c>
      <c r="AY107" s="231" t="str">
        <f t="shared" si="27"/>
        <v/>
      </c>
      <c r="AZ107" s="231" t="str">
        <f t="shared" si="28"/>
        <v/>
      </c>
      <c r="BA107" s="231" t="str">
        <f t="shared" si="29"/>
        <v/>
      </c>
      <c r="BB107" s="475" t="str">
        <f t="shared" si="40"/>
        <v/>
      </c>
      <c r="BC107" s="475">
        <f t="shared" ref="BC107:BC116" si="42">IF(N99="","",AZ99*AN99)</f>
        <v>4148071.5241609267</v>
      </c>
      <c r="BD107" s="475" t="str">
        <f t="shared" si="30"/>
        <v/>
      </c>
      <c r="BE107" s="467" t="str">
        <f t="shared" si="31"/>
        <v/>
      </c>
      <c r="BF107" s="467" t="str">
        <f t="shared" si="32"/>
        <v/>
      </c>
      <c r="BG107" s="467" t="str">
        <f t="shared" si="33"/>
        <v/>
      </c>
      <c r="BH107" s="466" t="str">
        <f>IF(N107="","",MAX('Result data'!$AD$31,'Result data'!$AD$32+'Result data'!$AE$33*'Config!'!Q107+'Result data'!$AE$34*INDEX('Score-Starting a business'!$U$2:$U$176,M107,1)+'Result data'!$AE$35*INDEX('Country Competitivness'!$EW$4:$EW$178,M107,1)+'Result data'!$AE$36*LN(AV107)+'Result data'!$AE$37*IF(N107='Config!'!$O$95,IF('Market Analyzes'!$D$39="JOINT VENTURE",1,0),INDEX('Result data'!$EI$216:$ER$390,'Config!'!M107,'Config!'!$L$17))+'Result data'!$AE$38*IF(N107='Config!'!$O$95,IF('Market Analyzes'!$D$39="JOINT VENTURE",1,0),INDEX('Result data'!$EI$216:$ER$390,'Config!'!M107,'Config!'!$L$17))*INDEX('Country Competitivness'!$EW$4:$EW$178,M107,1)))</f>
        <v/>
      </c>
      <c r="BI107" s="466" t="str">
        <f>IF(N107="","",IF(N107='Config!'!$O$95,'Result data'!$AN$7+'Result data'!$AO$8*'Config!'!Q107+'Result data'!$AO$9*INDEX('Score-Starting a business'!$U$2:$U$176,M107,1)+'Result data'!$AO$10*INDEX('Country Competitivness'!$EW$4:$EW$178,M107,1)+'Result data'!$AO$11*LN(AV107)+'Result data'!$AO$12*IF(N107='Config!'!$O$95,IF('Market Analyzes'!$D$39="JOINT VENTURE",1,0),INDEX('Result data'!$EI$216:$ER$390,'Config!'!M107,'Config!'!$L$17))+'Result data'!$AO$13*IF(N107='Config!'!$O$95,IF('Market Analyzes'!$D$39="JOINT VENTURE",1,0),INDEX('Result data'!$EI$216:$ER$390,'Config!'!M107,'Config!'!$L$17))*INDEX('Country Competitivness'!$EW$4:$EW$178,M107,1),0))</f>
        <v/>
      </c>
      <c r="BJ107" s="467" t="str">
        <f>IF(N107="","",'Market Analyzes'!$D$119*BB107/$BB$109)</f>
        <v/>
      </c>
      <c r="BK107" s="467" t="str">
        <f t="shared" si="34"/>
        <v/>
      </c>
      <c r="BL107" s="466" t="str">
        <f t="shared" si="35"/>
        <v/>
      </c>
      <c r="BM107" s="467" t="str">
        <f t="shared" si="36"/>
        <v/>
      </c>
      <c r="BN107" s="466" t="str">
        <f>IF(N107="","",IF(BE107=".",".",IF(BK107&lt;0,0,AVERAGE('Market Analyzes'!$C$25:$C$27)*0.8*BK107)))</f>
        <v/>
      </c>
      <c r="BO107" s="466" t="str">
        <f>IF(N107="","",IF(BF107=".",".",IF(BL107&lt;0,0,AVERAGE('Market Analyzes'!$C$25:$C$27)*0.8*BL107)))</f>
        <v/>
      </c>
      <c r="BP107" s="466" t="str">
        <f>IF(N107="","",IF(BG107=".",".",IF(BM107&lt;0,0,AVERAGE('Market Analyzes'!$C$25:$C$27)*0.8*BM107)))</f>
        <v/>
      </c>
      <c r="BQ107" s="467" t="str">
        <f t="shared" si="37"/>
        <v/>
      </c>
      <c r="BR107" s="467" t="str">
        <f t="shared" si="38"/>
        <v/>
      </c>
      <c r="BS107" s="467" t="str">
        <f t="shared" si="39"/>
        <v/>
      </c>
      <c r="BT107" s="467" t="str">
        <f>IF(N107="","",BQ107*'Result data'!$AN$15*IF(N107='Config!'!$O$95,IF('Market Analyzes'!$D$39="JOINT VENTURE",1,0),INDEX('Result data'!$EI$216:$ER$390,'Config!'!M107,'Config!'!$L$17)))</f>
        <v/>
      </c>
      <c r="BU107" s="467" t="str">
        <f>IF(N107="","",BR107*'Result data'!$AN$15*IF(N107='Config!'!$O$95,IF('Market Analyzes'!$D$39="JOINT VENTURE",1,0),INDEX('Result data'!$EI$216:$ER$390,'Config!'!M107,'Config!'!$L$17)))</f>
        <v/>
      </c>
      <c r="BV107" s="467" t="str">
        <f>IF(N107="","",BS107*'Result data'!$AN$15*IF(N107='Config!'!$O$95,IF('Market Analyzes'!$D$39="JOINT VENTURE",1,0),INDEX('Result data'!$EI$216:$ER$390,'Config!'!M107,'Config!'!$L$17)))</f>
        <v/>
      </c>
      <c r="BW107" t="str">
        <f t="shared" si="41"/>
        <v/>
      </c>
    </row>
    <row r="108" spans="1:75" ht="15.6" customHeight="1" x14ac:dyDescent="0.25">
      <c r="A108" t="str">
        <v>México</v>
      </c>
      <c r="B108" t="str">
        <f>INDEX(Language!$G$149:$G$308,MATCH(A108,Language!$C$149:$C$308,0))</f>
        <v>América Central</v>
      </c>
      <c r="C108">
        <f>INDEX(Language!$F$149:$F$308,MATCH(A108,Language!$C$149:$C$308,0))</f>
        <v>103</v>
      </c>
      <c r="J108" s="37"/>
      <c r="K108" s="301">
        <f>SUMIF('Result data'!$O$106:$O$115,'Config!'!L108,'Result data'!$N$106:$N$115)</f>
        <v>0</v>
      </c>
      <c r="L108" s="464" t="str">
        <f>IF(N108="","",INDEX('Result data'!$Q$216:$Q$390,M108,1))</f>
        <v/>
      </c>
      <c r="M108" s="464">
        <f>SUMIF(Language!$B$149:$B$308,N108,Language!$F$149:$F$308)</f>
        <v>0</v>
      </c>
      <c r="N108" s="464" t="str">
        <f>IFERROR(IF('Market Analyzes'!$C$2=Language!$B$2,'Market Analyzes'!B97,INDEX(Language!$B$149:$B$308,MATCH('Market Analyzes'!B97,Language!$A$149:$A$308,0))),"")</f>
        <v/>
      </c>
      <c r="O108" s="465" t="str" cm="1">
        <f t="array" ref="O108">IFERROR(IF(M108=0,"",INDEX('Result data'!$DY$216:$DY$390,M108)),"")</f>
        <v/>
      </c>
      <c r="P108" s="466" t="str">
        <f>IF(N108="","",INDEX(GDP!$G$3:$S$177,M108,'Config!'!$AZ$17+1))</f>
        <v/>
      </c>
      <c r="Q108" s="466" t="str">
        <f t="shared" si="15"/>
        <v/>
      </c>
      <c r="R108" s="467" t="str">
        <f t="shared" si="16"/>
        <v/>
      </c>
      <c r="S108" s="468" t="str">
        <f t="shared" si="17"/>
        <v/>
      </c>
      <c r="T108" s="468" t="str">
        <f t="shared" si="18"/>
        <v/>
      </c>
      <c r="U108" s="468" t="str">
        <f>IF(N108="","",INDEX('Result data'!$CP$216:$CP$393,M108,1))</f>
        <v/>
      </c>
      <c r="V108" s="468" t="str">
        <f>IF(N108="","",INDEX('Result data'!$DA$216:$DA$393,M108,1))</f>
        <v/>
      </c>
      <c r="W108" s="469" t="str">
        <f>IF(N108="","",-'Result data'!$AI$6*('Config!'!Q108^'Result data'!$AJ$7))</f>
        <v/>
      </c>
      <c r="X108" s="470" t="str">
        <f>IF(N108="","",W108/'Result data'!$AF$11)</f>
        <v/>
      </c>
      <c r="Y108" s="471" t="str">
        <f>IF(N108="","",INDEX('Country Competitivness'!$FB$4:$FB$178,M108,1))</f>
        <v/>
      </c>
      <c r="Z108" s="471" t="str">
        <f>IF(N108="","",INDEX('Country Competitivness'!$EW$4:$EW$178,M108,1))</f>
        <v/>
      </c>
      <c r="AA108" s="464" t="str">
        <f>IFERROR(IF(M108="","",IF('Config!'!$BA$17=0,0,MAX(0,(INDEX('Result data'!$AE$216:$AP$390,M108,'Config!'!$BA$17)-COUNTIF('Market Analyzes'!$C$6,"&lt;&gt;"&amp;'Config!'!N108))))),"")</f>
        <v/>
      </c>
      <c r="AB108" s="467" t="str">
        <f>IFERROR(IF(M108="","",IF(INDEX('Result data'!$C261:$L261,1,$L$17)&lt;&gt;"",INDEX('Result data'!$C261:$L261,1,$L$17),AVERAGEIF('Result data'!$C$216:$L$225,'Config!'!N108,'Result data'!$C$240:$L$249))),"")</f>
        <v/>
      </c>
      <c r="AC108" s="467" t="str">
        <f>IF(AB108="","",IF(INDEX('Result data'!$C297:$L297,1,$L$17)&lt;&gt;"",INDEX('Result data'!$C297:$L297,1,$L$17),AVERAGEIF('Result data'!$C$216:$L$225,'Config!'!N108,'Result data'!$C$276:$L$285)))</f>
        <v/>
      </c>
      <c r="AD108" s="467" t="str">
        <f>IF(N108="","",'Result data'!$AD$6*('Config!'!Q108^'Result data'!$AE$7)*(IF(U108=".",S108,U108)^X108)*((IF(V108=".",T108,V108)/IF(U108=".",S108,U108))^'Result data'!$AE$12)*(Y108^'Result data'!$AE$9)*(Z108^'Result data'!$AE$10))</f>
        <v/>
      </c>
      <c r="AE108" s="467" t="str">
        <f t="shared" si="19"/>
        <v/>
      </c>
      <c r="AF108" s="467" t="str">
        <f t="shared" si="20"/>
        <v/>
      </c>
      <c r="AG108" s="683" t="str">
        <f>IF(N108="","",MAX('Config!'!$BC$16:$BC$18,_xlfn.MINIFS('Result data'!$C$228:$L$237,'Result data'!$C$216:$L$225,'Config!'!N108)))</f>
        <v/>
      </c>
      <c r="AH108" s="464" t="str">
        <f>IFERROR(IF(OR(M108="",M108=0),"",IF(N108=INDEX(Language!$B$149:$B$308,
IF(Language!$C$2=Language!$B$2,
MATCH('Market Analyzes'!B97,Language!$B$149:$B$308,0),
MATCH('Market Analyzes'!B97,Language!$A$149:$A$308,0))),
'Market Analyzes'!$C$5+1,INDEX('Result data'!$C237:$L237,1,$L$17))),AG108)</f>
        <v/>
      </c>
      <c r="AI108" s="472" t="str">
        <f>IF(M108="","",'Market Analyzes'!E97)</f>
        <v/>
      </c>
      <c r="AJ108" s="472" t="str">
        <f>IF(N108="","",IF(AA108="",0,IF(AA108=0,0,MAX(0,((((SUMIF('Result data'!$C$216:$L$225,'Config!'!N108,'Result data'!$C$456:$L$465)+SUMIF('Result data'!$C$216:$L$225,'Config!'!N108,'Result data'!$C$468:$L$477)))-AI108*O108)/O108)/AA108))))</f>
        <v/>
      </c>
      <c r="AK108" s="469" t="str">
        <f>IF(N108="","",'Result data'!$AD$18*('Config!'!T108^'Result data'!$AE$19)*('Config!'!S108^'Config!'!W108)*('Config!'!AI108^AVERAGE('Result data'!$AE$22:$AE$23))*((AH108-AH108+1)^'Result data'!$AE$20))</f>
        <v/>
      </c>
      <c r="AL108" s="469">
        <f>IF(AA108="",0,IF(AA108=0,0,('Result data'!$AD$18*('Config!'!AC108^'Result data'!$AE$19)*('Config!'!AB108^'Config!'!W108)*('Config!'!AJ108^AVERAGE('Result data'!$AE$22:$AE$23))*((AG108-2010)^'Result data'!$AE$20))*AA108))</f>
        <v>0</v>
      </c>
      <c r="AM108" s="473" t="str">
        <f t="shared" si="21"/>
        <v/>
      </c>
      <c r="AN108" s="230" t="str">
        <f t="shared" si="22"/>
        <v/>
      </c>
      <c r="AO108" s="230" t="str">
        <f t="shared" si="23"/>
        <v/>
      </c>
      <c r="AP108" s="464" t="str">
        <f>IF(N108="","",INDEX('Result data'!$AD$216:$AD$390,M108,1))</f>
        <v/>
      </c>
      <c r="AQ108" s="469" t="str">
        <f>IF(N108="","",'Result data'!$AI$23*(SUM('Config!'!AI108:AJ108)^'Result data'!$AJ$24))</f>
        <v/>
      </c>
      <c r="AR108" s="469" t="str">
        <f>IF(N108="","",'Result data'!$AI$30*(SUM('Config!'!AI108:AJ108)^'Result data'!$AJ$31))</f>
        <v/>
      </c>
      <c r="AS108" s="474" t="str">
        <f>IF(N108="","",0.698305402569866*'Result data'!$AI$13*(Q108^'Result data'!$AJ$14)*(AVERAGE('Config!'!AI108:AJ108)^'Result data'!$AJ$15)*((IF(V108=".",T108,V108)/IF(U108=".",S108,U108))^'Result data'!$AJ$18)*(INDEX('Country Competitivness'!$EU$4:$EU$178,M108,1)^'Result data'!$AJ$17)*(INDEX('Country Competitivness'!$CL$4:$CX$178,M108,'Config!'!$AZ$17+1)^'Result data'!$AJ$16))</f>
        <v/>
      </c>
      <c r="AT108" s="231" t="str">
        <f>IF(N108="","",_xlfn.NORM.S.DIST(STANDARDIZE(IF('Config!'!AP108=".",0,'Config!'!$BA$15-'Config!'!AP108)+1,'Config!'!AQ108,'Config!'!AR108),1)*AS108*O108)</f>
        <v/>
      </c>
      <c r="AU108" s="231" t="str">
        <f>IF(N108="","",IF(INDEX('Result data'!$CE$216:$CE$393,'Config!'!M108,1)=".",AT108*0.75,INDEX('Result data'!$CE$216:$CE$393,'Config!'!M108,1)))</f>
        <v/>
      </c>
      <c r="AV108" s="475" t="str">
        <f t="shared" si="24"/>
        <v/>
      </c>
      <c r="AW108" s="475" t="str">
        <f t="shared" si="25"/>
        <v/>
      </c>
      <c r="AX108" s="475" t="str">
        <f t="shared" si="26"/>
        <v/>
      </c>
      <c r="AY108" s="231" t="str">
        <f t="shared" si="27"/>
        <v/>
      </c>
      <c r="AZ108" s="231" t="str">
        <f t="shared" si="28"/>
        <v/>
      </c>
      <c r="BA108" s="231" t="str">
        <f t="shared" si="29"/>
        <v/>
      </c>
      <c r="BB108" s="475" t="str">
        <f t="shared" si="40"/>
        <v/>
      </c>
      <c r="BC108" s="475" t="e">
        <f t="shared" si="42"/>
        <v>#DIV/0!</v>
      </c>
      <c r="BD108" s="475" t="str">
        <f t="shared" si="30"/>
        <v/>
      </c>
      <c r="BE108" s="467" t="str">
        <f t="shared" si="31"/>
        <v/>
      </c>
      <c r="BF108" s="467" t="str">
        <f t="shared" si="32"/>
        <v/>
      </c>
      <c r="BG108" s="467" t="str">
        <f t="shared" si="33"/>
        <v/>
      </c>
      <c r="BH108" s="466" t="str">
        <f>IF(N108="","",MAX('Result data'!$AD$31,'Result data'!$AD$32+'Result data'!$AE$33*'Config!'!Q108+'Result data'!$AE$34*INDEX('Score-Starting a business'!$U$2:$U$176,M108,1)+'Result data'!$AE$35*INDEX('Country Competitivness'!$EW$4:$EW$178,M108,1)+'Result data'!$AE$36*LN(AV108)+'Result data'!$AE$37*IF(N108='Config!'!$O$95,IF('Market Analyzes'!$D$39="JOINT VENTURE",1,0),INDEX('Result data'!$EI$216:$ER$390,'Config!'!M108,'Config!'!$L$17))+'Result data'!$AE$38*IF(N108='Config!'!$O$95,IF('Market Analyzes'!$D$39="JOINT VENTURE",1,0),INDEX('Result data'!$EI$216:$ER$390,'Config!'!M108,'Config!'!$L$17))*INDEX('Country Competitivness'!$EW$4:$EW$178,M108,1)))</f>
        <v/>
      </c>
      <c r="BI108" s="466" t="str">
        <f>IF(N108="","",IF(N108='Config!'!$O$95,'Result data'!$AN$7+'Result data'!$AO$8*'Config!'!Q108+'Result data'!$AO$9*INDEX('Score-Starting a business'!$U$2:$U$176,M108,1)+'Result data'!$AO$10*INDEX('Country Competitivness'!$EW$4:$EW$178,M108,1)+'Result data'!$AO$11*LN(AV108)+'Result data'!$AO$12*IF(N108='Config!'!$O$95,IF('Market Analyzes'!$D$39="JOINT VENTURE",1,0),INDEX('Result data'!$EI$216:$ER$390,'Config!'!M108,'Config!'!$L$17))+'Result data'!$AO$13*IF(N108='Config!'!$O$95,IF('Market Analyzes'!$D$39="JOINT VENTURE",1,0),INDEX('Result data'!$EI$216:$ER$390,'Config!'!M108,'Config!'!$L$17))*INDEX('Country Competitivness'!$EW$4:$EW$178,M108,1),0))</f>
        <v/>
      </c>
      <c r="BJ108" s="467" t="str">
        <f>IF(N108="","",'Market Analyzes'!$D$119*BB108/$BB$109)</f>
        <v/>
      </c>
      <c r="BK108" s="467" t="str">
        <f t="shared" si="34"/>
        <v/>
      </c>
      <c r="BL108" s="466" t="str">
        <f t="shared" si="35"/>
        <v/>
      </c>
      <c r="BM108" s="467" t="str">
        <f t="shared" si="36"/>
        <v/>
      </c>
      <c r="BN108" s="466" t="str">
        <f>IF(N108="","",IF(BE108=".",".",IF(BK108&lt;0,0,AVERAGE('Market Analyzes'!$C$25:$C$27)*0.8*BK108)))</f>
        <v/>
      </c>
      <c r="BO108" s="466" t="str">
        <f>IF(N108="","",IF(BF108=".",".",IF(BL108&lt;0,0,AVERAGE('Market Analyzes'!$C$25:$C$27)*0.8*BL108)))</f>
        <v/>
      </c>
      <c r="BP108" s="466" t="str">
        <f>IF(N108="","",IF(BG108=".",".",IF(BM108&lt;0,0,AVERAGE('Market Analyzes'!$C$25:$C$27)*0.8*BM108)))</f>
        <v/>
      </c>
      <c r="BQ108" s="467" t="str">
        <f t="shared" si="37"/>
        <v/>
      </c>
      <c r="BR108" s="467" t="str">
        <f t="shared" si="38"/>
        <v/>
      </c>
      <c r="BS108" s="467" t="str">
        <f t="shared" si="39"/>
        <v/>
      </c>
      <c r="BT108" s="467" t="str">
        <f>IF(N108="","",BQ108*'Result data'!$AN$15*IF(N108='Config!'!$O$95,IF('Market Analyzes'!$D$39="JOINT VENTURE",1,0),INDEX('Result data'!$EI$216:$ER$390,'Config!'!M108,'Config!'!$L$17)))</f>
        <v/>
      </c>
      <c r="BU108" s="467" t="str">
        <f>IF(N108="","",BR108*'Result data'!$AN$15*IF(N108='Config!'!$O$95,IF('Market Analyzes'!$D$39="JOINT VENTURE",1,0),INDEX('Result data'!$EI$216:$ER$390,'Config!'!M108,'Config!'!$L$17)))</f>
        <v/>
      </c>
      <c r="BV108" s="467" t="str">
        <f>IF(N108="","",BS108*'Result data'!$AN$15*IF(N108='Config!'!$O$95,IF('Market Analyzes'!$D$39="JOINT VENTURE",1,0),INDEX('Result data'!$EI$216:$ER$390,'Config!'!M108,'Config!'!$L$17)))</f>
        <v/>
      </c>
      <c r="BW108" t="str">
        <f t="shared" si="41"/>
        <v/>
      </c>
    </row>
    <row r="109" spans="1:75" ht="15.6" customHeight="1" x14ac:dyDescent="0.25">
      <c r="A109" t="str">
        <v>Moçambique</v>
      </c>
      <c r="B109" t="str">
        <f>INDEX(Language!$G$149:$G$308,MATCH(A109,Language!$C$149:$C$308,0))</f>
        <v>África Subsaariana</v>
      </c>
      <c r="C109">
        <f>INDEX(Language!$F$149:$F$308,MATCH(A109,Language!$C$149:$C$308,0))</f>
        <v>109</v>
      </c>
      <c r="J109" s="37"/>
      <c r="K109" s="43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467"/>
      <c r="AD109" s="398">
        <f>IFERROR(IF(COUNT(AD99:AD108)&lt;3,AD99*0.15,_xlfn.STDEV.S(AD99:AD108)/SQRT(COUNT(AD99:AD108))),MAX(AVERAGE(AD99:AD108),15))</f>
        <v>2.6007867095236654</v>
      </c>
      <c r="AE109" s="398"/>
      <c r="AF109" s="398"/>
      <c r="AG109" s="37"/>
      <c r="AH109" s="37"/>
      <c r="AI109" s="37"/>
      <c r="AJ109" s="37"/>
      <c r="AK109" s="37" t="e">
        <f>IFERROR(_xlfn.STDEV.S(AK99:AK108)/SQRT(COUNT(AK99:AK108)),MAX(AVERAGE(AK99:AK108)*0.25,1))</f>
        <v>#DIV/0!</v>
      </c>
      <c r="AL109" s="37"/>
      <c r="AM109" s="37"/>
      <c r="AN109" s="407"/>
      <c r="AO109" s="37"/>
      <c r="AP109" s="416"/>
      <c r="AQ109" s="416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98" t="e">
        <f t="shared" ref="BB109:BI117" si="43">SUM(BB99:BB108)</f>
        <v>#DIV/0!</v>
      </c>
      <c r="BC109" s="475" t="e">
        <f t="shared" si="42"/>
        <v>#DIV/0!</v>
      </c>
      <c r="BD109" s="398" t="e">
        <f t="shared" si="43"/>
        <v>#DIV/0!</v>
      </c>
      <c r="BE109" s="398" t="e">
        <f t="shared" si="43"/>
        <v>#DIV/0!</v>
      </c>
      <c r="BF109" s="398" t="e">
        <f t="shared" si="43"/>
        <v>#DIV/0!</v>
      </c>
      <c r="BG109" s="398" t="e">
        <f t="shared" si="43"/>
        <v>#DIV/0!</v>
      </c>
      <c r="BH109" s="391" t="e">
        <f t="shared" si="43"/>
        <v>#DIV/0!</v>
      </c>
      <c r="BI109" s="391" t="e">
        <f t="shared" si="43"/>
        <v>#DIV/0!</v>
      </c>
      <c r="BJ109" s="37"/>
      <c r="BK109" s="398" t="e">
        <f t="shared" ref="BK109:BV109" si="44">SUM(BK99:BK108)</f>
        <v>#DIV/0!</v>
      </c>
      <c r="BL109" s="391" t="e">
        <f t="shared" si="44"/>
        <v>#DIV/0!</v>
      </c>
      <c r="BM109" s="398" t="e">
        <f t="shared" si="44"/>
        <v>#DIV/0!</v>
      </c>
      <c r="BN109" s="391" t="e">
        <f t="shared" si="44"/>
        <v>#DIV/0!</v>
      </c>
      <c r="BO109" s="391" t="e">
        <f t="shared" si="44"/>
        <v>#DIV/0!</v>
      </c>
      <c r="BP109" s="391" t="e">
        <f t="shared" si="44"/>
        <v>#DIV/0!</v>
      </c>
      <c r="BQ109" s="391" t="e">
        <f t="shared" si="44"/>
        <v>#DIV/0!</v>
      </c>
      <c r="BR109" s="391" t="e">
        <f t="shared" si="44"/>
        <v>#DIV/0!</v>
      </c>
      <c r="BS109" s="391" t="e">
        <f t="shared" si="44"/>
        <v>#DIV/0!</v>
      </c>
      <c r="BT109" s="391" t="e">
        <f t="shared" si="44"/>
        <v>#DIV/0!</v>
      </c>
      <c r="BU109" s="391" t="e">
        <f t="shared" si="44"/>
        <v>#DIV/0!</v>
      </c>
      <c r="BV109" s="391" t="e">
        <f t="shared" si="44"/>
        <v>#DIV/0!</v>
      </c>
    </row>
    <row r="110" spans="1:75" ht="15.6" customHeight="1" x14ac:dyDescent="0.25">
      <c r="A110" t="str">
        <v>Moldova</v>
      </c>
      <c r="B110" t="str">
        <f>INDEX(Language!$G$149:$G$308,MATCH(A110,Language!$C$149:$C$308,0))</f>
        <v>Europa</v>
      </c>
      <c r="C110">
        <f>INDEX(Language!$F$149:$F$308,MATCH(A110,Language!$C$149:$C$308,0))</f>
        <v>104</v>
      </c>
      <c r="J110" s="37"/>
      <c r="K110" s="43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475" t="str">
        <f t="shared" si="42"/>
        <v/>
      </c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</row>
    <row r="111" spans="1:75" ht="15.6" customHeight="1" x14ac:dyDescent="0.25">
      <c r="A111" t="str">
        <v>Mongólia</v>
      </c>
      <c r="B111" t="str">
        <f>INDEX(Language!$G$149:$G$308,MATCH(A111,Language!$C$149:$C$308,0))</f>
        <v>Ásia-Pacífico</v>
      </c>
      <c r="C111">
        <f>INDEX(Language!$F$149:$F$308,MATCH(A111,Language!$C$149:$C$308,0))</f>
        <v>106</v>
      </c>
      <c r="J111" s="37"/>
      <c r="K111" s="43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475" t="str">
        <f t="shared" si="42"/>
        <v/>
      </c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</row>
    <row r="112" spans="1:75" ht="15.6" customHeight="1" x14ac:dyDescent="0.25">
      <c r="A112" t="str">
        <v>Montenegro</v>
      </c>
      <c r="B112" t="str">
        <f>INDEX(Language!$G$149:$G$308,MATCH(A112,Language!$C$149:$C$308,0))</f>
        <v>Europa</v>
      </c>
      <c r="C112">
        <f>INDEX(Language!$F$149:$F$308,MATCH(A112,Language!$C$149:$C$308,0))</f>
        <v>107</v>
      </c>
      <c r="J112" s="37"/>
      <c r="K112" s="43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98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475" t="str">
        <f t="shared" si="42"/>
        <v/>
      </c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</row>
    <row r="113" spans="1:74" ht="15.6" customHeight="1" x14ac:dyDescent="0.25">
      <c r="A113" t="str">
        <v>Namíbia</v>
      </c>
      <c r="B113" t="str">
        <f>INDEX(Language!$G$149:$G$308,MATCH(A113,Language!$C$149:$C$308,0))</f>
        <v>África Subsaariana</v>
      </c>
      <c r="C113">
        <f>INDEX(Language!$F$149:$F$308,MATCH(A113,Language!$C$149:$C$308,0))</f>
        <v>110</v>
      </c>
      <c r="J113" s="37"/>
      <c r="K113" s="43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475" t="str">
        <f t="shared" si="42"/>
        <v/>
      </c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</row>
    <row r="114" spans="1:74" ht="15.6" customHeight="1" x14ac:dyDescent="0.25">
      <c r="A114" t="str">
        <v>Nepal</v>
      </c>
      <c r="B114" t="str">
        <f>INDEX(Language!$G$149:$G$308,MATCH(A114,Language!$C$149:$C$308,0))</f>
        <v>Ásia-Pacífico</v>
      </c>
      <c r="C114">
        <f>INDEX(Language!$F$149:$F$308,MATCH(A114,Language!$C$149:$C$308,0))</f>
        <v>111</v>
      </c>
      <c r="J114" s="37"/>
      <c r="K114" s="43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475" t="str">
        <f t="shared" si="42"/>
        <v/>
      </c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</row>
    <row r="115" spans="1:74" ht="15.6" customHeight="1" x14ac:dyDescent="0.25">
      <c r="A115" t="str">
        <v>Nicarágua</v>
      </c>
      <c r="B115" t="str">
        <f>INDEX(Language!$G$149:$G$308,MATCH(A115,Language!$C$149:$C$308,0))</f>
        <v>América Central</v>
      </c>
      <c r="C115">
        <f>INDEX(Language!$F$149:$F$308,MATCH(A115,Language!$C$149:$C$308,0))</f>
        <v>114</v>
      </c>
      <c r="J115" s="37"/>
      <c r="K115" s="43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475" t="str">
        <f t="shared" si="42"/>
        <v/>
      </c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</row>
    <row r="116" spans="1:74" ht="15.6" customHeight="1" x14ac:dyDescent="0.25">
      <c r="A116" t="str">
        <v>Níger</v>
      </c>
      <c r="B116" t="str">
        <f>INDEX(Language!$G$149:$G$308,MATCH(A116,Language!$C$149:$C$308,0))</f>
        <v>África Subsaariana</v>
      </c>
      <c r="C116">
        <f>INDEX(Language!$F$149:$F$308,MATCH(A116,Language!$C$149:$C$308,0))</f>
        <v>115</v>
      </c>
      <c r="J116" s="37"/>
      <c r="K116" s="43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475" t="str">
        <f t="shared" si="42"/>
        <v/>
      </c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</row>
    <row r="117" spans="1:74" ht="15.6" customHeight="1" x14ac:dyDescent="0.25">
      <c r="A117" t="str">
        <v>Nigéria</v>
      </c>
      <c r="B117" t="str">
        <f>INDEX(Language!$G$149:$G$308,MATCH(A117,Language!$C$149:$C$308,0))</f>
        <v>África Subsaariana</v>
      </c>
      <c r="C117">
        <f>INDEX(Language!$F$149:$F$308,MATCH(A117,Language!$C$149:$C$308,0))</f>
        <v>116</v>
      </c>
      <c r="J117" s="37"/>
      <c r="K117" s="43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98" t="e">
        <f t="shared" si="43"/>
        <v>#DIV/0!</v>
      </c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</row>
    <row r="118" spans="1:74" ht="15.6" customHeight="1" x14ac:dyDescent="0.25">
      <c r="A118" t="str">
        <v>Noruega</v>
      </c>
      <c r="B118" t="str">
        <f>INDEX(Language!$G$149:$G$308,MATCH(A118,Language!$C$149:$C$308,0))</f>
        <v>Europa</v>
      </c>
      <c r="C118">
        <f>INDEX(Language!$F$149:$F$308,MATCH(A118,Language!$C$149:$C$308,0))</f>
        <v>117</v>
      </c>
      <c r="J118" s="37"/>
      <c r="K118" s="43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</row>
    <row r="119" spans="1:74" ht="15.6" customHeight="1" x14ac:dyDescent="0.25">
      <c r="A119" t="str">
        <v>Nova Zelândia</v>
      </c>
      <c r="B119" t="str">
        <f>INDEX(Language!$G$149:$G$308,MATCH(A119,Language!$C$149:$C$308,0))</f>
        <v>Oceânia</v>
      </c>
      <c r="C119">
        <f>INDEX(Language!$F$149:$F$308,MATCH(A119,Language!$C$149:$C$308,0))</f>
        <v>113</v>
      </c>
      <c r="J119" s="37"/>
      <c r="K119" s="43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</row>
    <row r="120" spans="1:74" ht="15.6" customHeight="1" x14ac:dyDescent="0.25">
      <c r="A120" t="str">
        <v>Omã</v>
      </c>
      <c r="B120" t="str">
        <f>INDEX(Language!$G$149:$G$308,MATCH(A120,Language!$C$149:$C$308,0))</f>
        <v>Oriente médio</v>
      </c>
      <c r="C120">
        <f>INDEX(Language!$F$149:$F$308,MATCH(A120,Language!$C$149:$C$308,0))</f>
        <v>118</v>
      </c>
      <c r="J120" s="37"/>
      <c r="K120" s="43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</row>
    <row r="121" spans="1:74" ht="15.6" customHeight="1" x14ac:dyDescent="0.25">
      <c r="A121" t="str">
        <v>Panamá</v>
      </c>
      <c r="B121" t="str">
        <f>INDEX(Language!$G$149:$G$308,MATCH(A121,Language!$C$149:$C$308,0))</f>
        <v>América Central</v>
      </c>
      <c r="C121">
        <f>INDEX(Language!$F$149:$F$308,MATCH(A121,Language!$C$149:$C$308,0))</f>
        <v>120</v>
      </c>
      <c r="J121" s="37"/>
      <c r="K121" s="43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</row>
    <row r="122" spans="1:74" ht="15.6" customHeight="1" x14ac:dyDescent="0.25">
      <c r="A122" t="str">
        <v>Papua Nova Guiné</v>
      </c>
      <c r="B122" t="str">
        <f>INDEX(Language!$G$149:$G$308,MATCH(A122,Language!$C$149:$C$308,0))</f>
        <v>Oceânia</v>
      </c>
      <c r="C122">
        <f>INDEX(Language!$F$149:$F$308,MATCH(A122,Language!$C$149:$C$308,0))</f>
        <v>121</v>
      </c>
      <c r="J122" s="37"/>
      <c r="K122" s="43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</row>
    <row r="123" spans="1:74" ht="15.6" customHeight="1" x14ac:dyDescent="0.25">
      <c r="A123" t="str">
        <v>Paquistão</v>
      </c>
      <c r="B123" t="str">
        <f>INDEX(Language!$G$149:$G$308,MATCH(A123,Language!$C$149:$C$308,0))</f>
        <v>Ásia-Pacífico</v>
      </c>
      <c r="C123">
        <f>INDEX(Language!$F$149:$F$308,MATCH(A123,Language!$C$149:$C$308,0))</f>
        <v>119</v>
      </c>
      <c r="J123" s="37"/>
      <c r="K123" s="43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</row>
    <row r="124" spans="1:74" ht="15.6" customHeight="1" x14ac:dyDescent="0.25">
      <c r="A124" t="str">
        <v>Paraguai</v>
      </c>
      <c r="B124" t="str">
        <f>INDEX(Language!$G$149:$G$308,MATCH(A124,Language!$C$149:$C$308,0))</f>
        <v>América do Sul</v>
      </c>
      <c r="C124">
        <f>INDEX(Language!$F$149:$F$308,MATCH(A124,Language!$C$149:$C$308,0))</f>
        <v>122</v>
      </c>
      <c r="J124" s="37"/>
      <c r="K124" s="43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</row>
    <row r="125" spans="1:74" ht="15.6" customHeight="1" x14ac:dyDescent="0.25">
      <c r="A125" t="str">
        <v>Peru</v>
      </c>
      <c r="B125" t="str">
        <f>INDEX(Language!$G$149:$G$308,MATCH(A125,Language!$C$149:$C$308,0))</f>
        <v>América do Sul</v>
      </c>
      <c r="C125">
        <f>INDEX(Language!$F$149:$F$308,MATCH(A125,Language!$C$149:$C$308,0))</f>
        <v>123</v>
      </c>
      <c r="J125" s="37"/>
      <c r="K125" s="43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</row>
    <row r="126" spans="1:74" ht="15.6" customHeight="1" x14ac:dyDescent="0.25">
      <c r="A126" t="str">
        <v>Peru</v>
      </c>
      <c r="B126" t="str">
        <f>INDEX(Language!$G$149:$G$308,MATCH(A126,Language!$C$149:$C$308,0))</f>
        <v>América do Sul</v>
      </c>
      <c r="C126">
        <f>INDEX(Language!$F$149:$F$308,MATCH(A126,Language!$C$149:$C$308,0))</f>
        <v>123</v>
      </c>
      <c r="J126" s="37"/>
      <c r="K126" s="43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</row>
    <row r="127" spans="1:74" ht="15.6" customHeight="1" x14ac:dyDescent="0.25">
      <c r="A127" t="str">
        <v>Polônia</v>
      </c>
      <c r="B127" t="str">
        <f>INDEX(Language!$G$149:$G$308,MATCH(A127,Language!$C$149:$C$308,0))</f>
        <v>União Européia</v>
      </c>
      <c r="C127">
        <f>INDEX(Language!$F$149:$F$308,MATCH(A127,Language!$C$149:$C$308,0))</f>
        <v>125</v>
      </c>
      <c r="J127" s="37"/>
      <c r="K127" s="4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</row>
    <row r="128" spans="1:74" ht="15.6" customHeight="1" x14ac:dyDescent="0.25">
      <c r="A128" t="str">
        <v>Portugal</v>
      </c>
      <c r="B128" t="str">
        <f>INDEX(Language!$G$149:$G$308,MATCH(A128,Language!$C$149:$C$308,0))</f>
        <v>União Européia</v>
      </c>
      <c r="C128">
        <f>INDEX(Language!$F$149:$F$308,MATCH(A128,Language!$C$149:$C$308,0))</f>
        <v>126</v>
      </c>
      <c r="J128" s="37"/>
      <c r="K128" s="43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</row>
    <row r="129" spans="1:74" ht="15.6" customHeight="1" x14ac:dyDescent="0.25">
      <c r="A129" t="str">
        <v>Quênia</v>
      </c>
      <c r="B129" t="str">
        <f>INDEX(Language!$G$149:$G$308,MATCH(A129,Language!$C$149:$C$308,0))</f>
        <v>África Subsaariana</v>
      </c>
      <c r="C129">
        <f>INDEX(Language!$F$149:$F$308,MATCH(A129,Language!$C$149:$C$308,0))</f>
        <v>82</v>
      </c>
      <c r="J129" s="37"/>
      <c r="K129" s="43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</row>
    <row r="130" spans="1:74" ht="15.6" customHeight="1" x14ac:dyDescent="0.25">
      <c r="A130" t="str">
        <v>Reino Unido</v>
      </c>
      <c r="B130" t="str">
        <f>INDEX(Language!$G$149:$G$308,MATCH(A130,Language!$C$149:$C$308,0))</f>
        <v>União Européia</v>
      </c>
      <c r="C130">
        <f>INDEX(Language!$F$149:$F$308,MATCH(A130,Language!$C$149:$C$308,0))</f>
        <v>175</v>
      </c>
      <c r="J130" s="37"/>
      <c r="K130" s="43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</row>
    <row r="131" spans="1:74" ht="15.6" customHeight="1" x14ac:dyDescent="0.25">
      <c r="A131" t="str">
        <v>República Centro-Africana.</v>
      </c>
      <c r="B131" t="str">
        <f>INDEX(Language!$G$149:$G$308,MATCH(A131,Language!$C$149:$C$308,0))</f>
        <v>África Subsaariana</v>
      </c>
      <c r="C131">
        <f>INDEX(Language!$F$149:$F$308,MATCH(A131,Language!$C$149:$C$308,0))</f>
        <v>31</v>
      </c>
      <c r="J131" s="37"/>
      <c r="K131" s="43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</row>
    <row r="132" spans="1:74" ht="15.6" customHeight="1" x14ac:dyDescent="0.25">
      <c r="A132" t="str">
        <v>República Checa</v>
      </c>
      <c r="B132" t="str">
        <f>INDEX(Language!$G$149:$G$308,MATCH(A132,Language!$C$149:$C$308,0))</f>
        <v>União Européia</v>
      </c>
      <c r="C132">
        <f>INDEX(Language!$F$149:$F$308,MATCH(A132,Language!$C$149:$C$308,0))</f>
        <v>41</v>
      </c>
      <c r="J132" s="37"/>
      <c r="K132" s="43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</row>
    <row r="133" spans="1:74" ht="15.6" customHeight="1" x14ac:dyDescent="0.25">
      <c r="A133" t="str">
        <v>República Dominicana</v>
      </c>
      <c r="B133" t="str">
        <f>INDEX(Language!$G$149:$G$308,MATCH(A133,Language!$C$149:$C$308,0))</f>
        <v>Caribe</v>
      </c>
      <c r="C133">
        <f>INDEX(Language!$F$149:$F$308,MATCH(A133,Language!$C$149:$C$308,0))</f>
        <v>46</v>
      </c>
      <c r="J133" s="37"/>
      <c r="K133" s="43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</row>
    <row r="134" spans="1:74" ht="15.6" customHeight="1" x14ac:dyDescent="0.25">
      <c r="A134" t="str">
        <v>Romênia.</v>
      </c>
      <c r="B134" t="str">
        <f>INDEX(Language!$G$149:$G$308,MATCH(A134,Language!$C$149:$C$308,0))</f>
        <v>União Européia</v>
      </c>
      <c r="C134">
        <f>INDEX(Language!$F$149:$F$308,MATCH(A134,Language!$C$149:$C$308,0))</f>
        <v>129</v>
      </c>
      <c r="J134" s="37"/>
      <c r="K134" s="425"/>
      <c r="L134" s="425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</row>
    <row r="135" spans="1:74" ht="15.6" customHeight="1" x14ac:dyDescent="0.25">
      <c r="A135" t="str">
        <v>Ruanda</v>
      </c>
      <c r="B135" t="str">
        <f>INDEX(Language!$G$149:$G$308,MATCH(A135,Language!$C$149:$C$308,0))</f>
        <v>África Subsaariana</v>
      </c>
      <c r="C135">
        <f>INDEX(Language!$F$149:$F$308,MATCH(A135,Language!$C$149:$C$308,0))</f>
        <v>131</v>
      </c>
      <c r="J135" s="37"/>
      <c r="K135" s="43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</row>
    <row r="136" spans="1:74" ht="15.6" customHeight="1" x14ac:dyDescent="0.25">
      <c r="A136" t="str">
        <v>Samoa.</v>
      </c>
      <c r="B136" t="str">
        <f>INDEX(Language!$G$149:$G$308,MATCH(A136,Language!$C$149:$C$308,0))</f>
        <v>Oceânia</v>
      </c>
      <c r="C136">
        <f>INDEX(Language!$F$149:$F$308,MATCH(A136,Language!$C$149:$C$308,0))</f>
        <v>133</v>
      </c>
      <c r="J136" s="37"/>
      <c r="K136" s="43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</row>
    <row r="137" spans="1:74" ht="15.6" customHeight="1" x14ac:dyDescent="0.25">
      <c r="A137" t="str">
        <v>Senegal</v>
      </c>
      <c r="B137" t="str">
        <f>INDEX(Language!$G$149:$G$308,MATCH(A137,Language!$C$149:$C$308,0))</f>
        <v>África Subsaariana</v>
      </c>
      <c r="C137">
        <f>INDEX(Language!$F$149:$F$308,MATCH(A137,Language!$C$149:$C$308,0))</f>
        <v>135</v>
      </c>
      <c r="J137" s="37"/>
      <c r="K137" s="43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</row>
    <row r="138" spans="1:74" ht="15.6" customHeight="1" x14ac:dyDescent="0.25">
      <c r="A138" t="str">
        <v>Serra Leoa</v>
      </c>
      <c r="B138" t="str">
        <f>INDEX(Language!$G$149:$G$308,MATCH(A138,Language!$C$149:$C$308,0))</f>
        <v>África Subsaariana</v>
      </c>
      <c r="C138">
        <f>INDEX(Language!$F$149:$F$308,MATCH(A138,Language!$C$149:$C$308,0))</f>
        <v>138</v>
      </c>
      <c r="BC138" s="37"/>
    </row>
    <row r="139" spans="1:74" ht="15.6" customHeight="1" x14ac:dyDescent="0.25">
      <c r="A139" t="str">
        <v>Sérvia</v>
      </c>
      <c r="B139" t="str">
        <f>INDEX(Language!$G$149:$G$308,MATCH(A139,Language!$C$149:$C$308,0))</f>
        <v>Europa</v>
      </c>
      <c r="C139">
        <f>INDEX(Language!$F$149:$F$308,MATCH(A139,Language!$C$149:$C$308,0))</f>
        <v>136</v>
      </c>
      <c r="BC139" s="37"/>
    </row>
    <row r="140" spans="1:74" ht="15.6" customHeight="1" x14ac:dyDescent="0.25">
      <c r="A140" t="str">
        <v>Seychelles.</v>
      </c>
      <c r="B140" t="str">
        <f>INDEX(Language!$G$149:$G$308,MATCH(A140,Language!$C$149:$C$308,0))</f>
        <v>África Subsaariana</v>
      </c>
      <c r="C140">
        <f>INDEX(Language!$F$149:$F$308,MATCH(A140,Language!$C$149:$C$308,0))</f>
        <v>137</v>
      </c>
      <c r="BC140" s="37"/>
    </row>
    <row r="141" spans="1:74" ht="15.6" customHeight="1" x14ac:dyDescent="0.25">
      <c r="A141" t="str">
        <v>Sri Lanka</v>
      </c>
      <c r="B141" t="str">
        <f>INDEX(Language!$G$149:$G$308,MATCH(A141,Language!$C$149:$C$308,0))</f>
        <v>Ásia-Pacífico</v>
      </c>
      <c r="C141">
        <f>INDEX(Language!$F$149:$F$308,MATCH(A141,Language!$C$149:$C$308,0))</f>
        <v>147</v>
      </c>
      <c r="BC141" s="37"/>
    </row>
    <row r="142" spans="1:74" ht="15.6" customHeight="1" x14ac:dyDescent="0.25">
      <c r="A142" t="str">
        <v>Suazilândia.</v>
      </c>
      <c r="B142" t="str">
        <f>INDEX(Language!$G$149:$G$308,MATCH(A142,Language!$C$149:$C$308,0))</f>
        <v>África Subsaariana</v>
      </c>
      <c r="C142">
        <f>INDEX(Language!$F$149:$F$308,MATCH(A142,Language!$C$149:$C$308,0))</f>
        <v>149</v>
      </c>
      <c r="BC142" s="37"/>
    </row>
    <row r="143" spans="1:74" ht="15.6" customHeight="1" x14ac:dyDescent="0.25">
      <c r="A143" t="str">
        <v>Suécia</v>
      </c>
      <c r="B143" t="str">
        <f>INDEX(Language!$G$149:$G$308,MATCH(A143,Language!$C$149:$C$308,0))</f>
        <v>União Européia</v>
      </c>
      <c r="C143">
        <f>INDEX(Language!$F$149:$F$308,MATCH(A143,Language!$C$149:$C$308,0))</f>
        <v>150</v>
      </c>
      <c r="BC143" s="37"/>
    </row>
    <row r="144" spans="1:74" ht="15.6" customHeight="1" x14ac:dyDescent="0.25">
      <c r="A144" t="str">
        <v>Suíça</v>
      </c>
      <c r="B144" t="str">
        <f>INDEX(Language!$G$149:$G$308,MATCH(A144,Language!$C$149:$C$308,0))</f>
        <v>Europa</v>
      </c>
      <c r="C144">
        <f>INDEX(Language!$F$149:$F$308,MATCH(A144,Language!$C$149:$C$308,0))</f>
        <v>151</v>
      </c>
      <c r="BC144" s="37"/>
    </row>
    <row r="145" spans="1:55" ht="15.6" customHeight="1" x14ac:dyDescent="0.25">
      <c r="A145" t="str">
        <v>Suriname</v>
      </c>
      <c r="B145" t="str">
        <f>INDEX(Language!$G$149:$G$308,MATCH(A145,Language!$C$149:$C$308,0))</f>
        <v>América do Sul</v>
      </c>
      <c r="C145">
        <f>INDEX(Language!$F$149:$F$308,MATCH(A145,Language!$C$149:$C$308,0))</f>
        <v>148</v>
      </c>
      <c r="BC145" s="37"/>
    </row>
    <row r="146" spans="1:55" ht="15.6" customHeight="1" x14ac:dyDescent="0.25">
      <c r="A146" t="str">
        <v>Tailândia</v>
      </c>
      <c r="B146" t="str">
        <f>INDEX(Language!$G$149:$G$308,MATCH(A146,Language!$C$149:$C$308,0))</f>
        <v>Ásia-Pacífico</v>
      </c>
      <c r="C146">
        <f>INDEX(Language!$F$149:$F$308,MATCH(A146,Language!$C$149:$C$308,0))</f>
        <v>155</v>
      </c>
    </row>
    <row r="147" spans="1:55" ht="15.6" customHeight="1" x14ac:dyDescent="0.25">
      <c r="A147" t="str">
        <v>Tajiquistão</v>
      </c>
      <c r="B147" t="str">
        <f>INDEX(Language!$G$149:$G$308,MATCH(A147,Language!$C$149:$C$308,0))</f>
        <v>Ásia-Pacífico</v>
      </c>
      <c r="C147">
        <f>INDEX(Language!$F$149:$F$308,MATCH(A147,Language!$C$149:$C$308,0))</f>
        <v>153</v>
      </c>
    </row>
    <row r="148" spans="1:55" ht="15.6" customHeight="1" x14ac:dyDescent="0.25">
      <c r="A148" t="str">
        <v>Tanzânia</v>
      </c>
      <c r="B148" t="str">
        <f>INDEX(Language!$G$149:$G$308,MATCH(A148,Language!$C$149:$C$308,0))</f>
        <v>África Subsaariana</v>
      </c>
      <c r="C148">
        <f>INDEX(Language!$F$149:$F$308,MATCH(A148,Language!$C$149:$C$308,0))</f>
        <v>154</v>
      </c>
    </row>
    <row r="149" spans="1:55" ht="15.6" customHeight="1" x14ac:dyDescent="0.25">
      <c r="A149" t="str">
        <v>Timor-Leste</v>
      </c>
      <c r="B149" t="str">
        <f>INDEX(Language!$G$149:$G$308,MATCH(A149,Language!$C$149:$C$308,0))</f>
        <v>Ásia-Pacífico</v>
      </c>
      <c r="C149">
        <f>INDEX(Language!$F$149:$F$308,MATCH(A149,Language!$C$149:$C$308,0))</f>
        <v>173</v>
      </c>
    </row>
    <row r="150" spans="1:55" ht="15.6" customHeight="1" x14ac:dyDescent="0.25">
      <c r="A150" t="str">
        <v>Togo</v>
      </c>
      <c r="B150" t="str">
        <f>INDEX(Language!$G$149:$G$308,MATCH(A150,Language!$C$149:$C$308,0))</f>
        <v>África Subsaariana</v>
      </c>
      <c r="C150">
        <f>INDEX(Language!$F$149:$F$308,MATCH(A150,Language!$C$149:$C$308,0))</f>
        <v>156</v>
      </c>
    </row>
    <row r="151" spans="1:55" ht="15.6" customHeight="1" x14ac:dyDescent="0.25">
      <c r="A151" t="str">
        <v>Trinidad e Tobago</v>
      </c>
      <c r="B151" t="str">
        <f>INDEX(Language!$G$149:$G$308,MATCH(A151,Language!$C$149:$C$308,0))</f>
        <v>Caribe</v>
      </c>
      <c r="C151">
        <f>INDEX(Language!$F$149:$F$308,MATCH(A151,Language!$C$149:$C$308,0))</f>
        <v>174</v>
      </c>
    </row>
    <row r="152" spans="1:55" ht="15.6" customHeight="1" x14ac:dyDescent="0.25">
      <c r="A152" t="str">
        <v>Tunísia</v>
      </c>
      <c r="B152" t="str">
        <f>INDEX(Language!$G$149:$G$308,MATCH(A152,Language!$C$149:$C$308,0))</f>
        <v>Oriente médio</v>
      </c>
      <c r="C152">
        <f>INDEX(Language!$F$149:$F$308,MATCH(A152,Language!$C$149:$C$308,0))</f>
        <v>157</v>
      </c>
    </row>
    <row r="153" spans="1:55" ht="15.6" customHeight="1" x14ac:dyDescent="0.25">
      <c r="A153" t="str">
        <v>Turquemenistão</v>
      </c>
      <c r="B153" t="str">
        <f>INDEX(Language!$G$149:$G$308,MATCH(A153,Language!$C$149:$C$308,0))</f>
        <v>Ásia-Pacífico</v>
      </c>
      <c r="C153">
        <f>INDEX(Language!$F$149:$F$308,MATCH(A153,Language!$C$149:$C$308,0))</f>
        <v>159</v>
      </c>
    </row>
    <row r="154" spans="1:55" ht="15.6" customHeight="1" x14ac:dyDescent="0.25">
      <c r="A154" t="str">
        <v>Ucrânia</v>
      </c>
      <c r="B154" t="str">
        <f>INDEX(Language!$G$149:$G$308,MATCH(A154,Language!$C$149:$C$308,0))</f>
        <v>Europa</v>
      </c>
      <c r="C154">
        <f>INDEX(Language!$F$149:$F$308,MATCH(A154,Language!$C$149:$C$308,0))</f>
        <v>161</v>
      </c>
    </row>
    <row r="155" spans="1:55" ht="15.6" customHeight="1" x14ac:dyDescent="0.25">
      <c r="A155" t="str">
        <v>Uganda</v>
      </c>
      <c r="B155" t="str">
        <f>INDEX(Language!$G$149:$G$308,MATCH(A155,Language!$C$149:$C$308,0))</f>
        <v>África Subsaariana</v>
      </c>
      <c r="C155">
        <f>INDEX(Language!$F$149:$F$308,MATCH(A155,Language!$C$149:$C$308,0))</f>
        <v>160</v>
      </c>
    </row>
    <row r="156" spans="1:55" ht="15.6" customHeight="1" x14ac:dyDescent="0.25">
      <c r="A156" t="str">
        <v>Uruguai</v>
      </c>
      <c r="B156" t="str">
        <f>INDEX(Language!$G$149:$G$308,MATCH(A156,Language!$C$149:$C$308,0))</f>
        <v>América do Sul</v>
      </c>
      <c r="C156">
        <f>INDEX(Language!$F$149:$F$308,MATCH(A156,Language!$C$149:$C$308,0))</f>
        <v>164</v>
      </c>
    </row>
    <row r="157" spans="1:55" ht="15.6" customHeight="1" x14ac:dyDescent="0.25">
      <c r="A157" t="str">
        <v>Uzbequistão</v>
      </c>
      <c r="B157" t="str">
        <f>INDEX(Language!$G$149:$G$308,MATCH(A157,Language!$C$149:$C$308,0))</f>
        <v>Ásia-Pacífico</v>
      </c>
      <c r="C157">
        <f>INDEX(Language!$F$149:$F$308,MATCH(A157,Language!$C$149:$C$308,0))</f>
        <v>165</v>
      </c>
    </row>
    <row r="158" spans="1:55" ht="15.6" customHeight="1" x14ac:dyDescent="0.25">
      <c r="A158" t="str">
        <v>Venezuela</v>
      </c>
      <c r="B158" t="str">
        <f>INDEX(Language!$G$149:$G$308,MATCH(A158,Language!$C$149:$C$308,0))</f>
        <v>América do Sul</v>
      </c>
      <c r="C158">
        <f>INDEX(Language!$F$149:$F$308,MATCH(A158,Language!$C$149:$C$308,0))</f>
        <v>166</v>
      </c>
    </row>
    <row r="159" spans="1:55" ht="15.6" customHeight="1" x14ac:dyDescent="0.25">
      <c r="A159" t="str">
        <v>Vietnã</v>
      </c>
      <c r="B159" t="str">
        <f>INDEX(Language!$G$149:$G$308,MATCH(A159,Language!$C$149:$C$308,0))</f>
        <v>Ásia-Pacífico</v>
      </c>
      <c r="C159">
        <f>INDEX(Language!$F$149:$F$308,MATCH(A159,Language!$C$149:$C$308,0))</f>
        <v>167</v>
      </c>
    </row>
    <row r="160" spans="1:55" ht="15.6" customHeight="1" x14ac:dyDescent="0.25">
      <c r="A160" t="str">
        <v>Zâmbia</v>
      </c>
      <c r="B160" t="str">
        <f>INDEX(Language!$G$149:$G$308,MATCH(A160,Language!$C$149:$C$308,0))</f>
        <v>África Subsaariana</v>
      </c>
      <c r="C160">
        <f>INDEX(Language!$F$149:$F$308,MATCH(A160,Language!$C$149:$C$308,0))</f>
        <v>169</v>
      </c>
    </row>
    <row r="161" spans="1:3" ht="15.6" customHeight="1" x14ac:dyDescent="0.25">
      <c r="A161" t="str">
        <v>Zimbábue</v>
      </c>
      <c r="B161" t="str">
        <f>INDEX(Language!$G$149:$G$308,MATCH(A161,Language!$C$149:$C$308,0))</f>
        <v>África Subsaariana</v>
      </c>
      <c r="C161">
        <f>INDEX(Language!$F$149:$F$308,MATCH(A161,Language!$C$149:$C$308,0))</f>
        <v>170</v>
      </c>
    </row>
  </sheetData>
  <mergeCells count="4">
    <mergeCell ref="AH1:AK1"/>
    <mergeCell ref="AN1:AP1"/>
    <mergeCell ref="AS1:AV1"/>
    <mergeCell ref="AY1:BD1"/>
  </mergeCells>
  <phoneticPr fontId="77" type="noConversion"/>
  <conditionalFormatting sqref="Q75:AE85">
    <cfRule type="cellIs" dxfId="52" priority="1" operator="lessThan">
      <formula>0</formula>
    </cfRule>
  </conditionalFormatting>
  <conditionalFormatting sqref="BG3:BH12">
    <cfRule type="cellIs" dxfId="51" priority="6" operator="equal">
      <formula>MAX($BG3:$BH3)</formula>
    </cfRule>
  </conditionalFormatting>
  <conditionalFormatting sqref="BK99:BK108 BM99:BM108">
    <cfRule type="cellIs" dxfId="50" priority="7" operator="lessThan">
      <formula>0</formula>
    </cfRule>
  </conditionalFormatting>
  <dataValidations count="2">
    <dataValidation type="list" allowBlank="1" showInputMessage="1" showErrorMessage="1" sqref="BJ13" xr:uid="{DE1F8527-4144-4DB4-B154-7470C691F481}">
      <formula1>"Y,N"</formula1>
    </dataValidation>
    <dataValidation type="whole" allowBlank="1" showInputMessage="1" showErrorMessage="1" sqref="BA15" xr:uid="{1F63D978-0C19-42DB-A975-960D74E0415A}">
      <formula1>2010</formula1>
      <formula2>2020</formula2>
    </dataValidation>
  </dataValidation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EBBF-3F45-413B-BDA7-7EC3F9894E8C}">
  <sheetPr codeName="Planilha10">
    <tabColor theme="6"/>
  </sheetPr>
  <dimension ref="A1:G181"/>
  <sheetViews>
    <sheetView showGridLines="0" workbookViewId="0"/>
  </sheetViews>
  <sheetFormatPr defaultRowHeight="15" x14ac:dyDescent="0.25"/>
  <cols>
    <col min="2" max="2" width="9.28515625" customWidth="1"/>
    <col min="3" max="3" width="16.85546875" bestFit="1" customWidth="1"/>
  </cols>
  <sheetData>
    <row r="1" spans="1:7" ht="30" x14ac:dyDescent="0.25">
      <c r="A1" s="1" t="s">
        <v>1</v>
      </c>
      <c r="B1" s="1" t="s">
        <v>3</v>
      </c>
      <c r="C1" s="1" t="s">
        <v>530</v>
      </c>
      <c r="D1" s="1" t="s">
        <v>378</v>
      </c>
      <c r="E1" s="1" t="s">
        <v>531</v>
      </c>
      <c r="F1" t="s">
        <v>532</v>
      </c>
      <c r="G1" t="str">
        <f>WorldMap!Q1</f>
        <v>Penetração de mercado (categoria)</v>
      </c>
    </row>
    <row r="2" spans="1:7" x14ac:dyDescent="0.25">
      <c r="A2" s="3" t="s">
        <v>6</v>
      </c>
      <c r="B2" t="s">
        <v>7</v>
      </c>
      <c r="C2" s="9">
        <f>SUMIF('Base data map'!O:O,'map table'!E2,'Base data map'!E:E)</f>
        <v>0</v>
      </c>
      <c r="D2">
        <v>1</v>
      </c>
      <c r="E2" s="3" t="s">
        <v>6</v>
      </c>
    </row>
    <row r="3" spans="1:7" x14ac:dyDescent="0.25">
      <c r="A3" s="3" t="s">
        <v>8</v>
      </c>
      <c r="B3" t="s">
        <v>9</v>
      </c>
      <c r="C3" s="9">
        <f>SUMIF('Base data map'!O:O,'map table'!E3,'Base data map'!E:E)</f>
        <v>0</v>
      </c>
      <c r="D3">
        <v>2</v>
      </c>
      <c r="E3" s="3" t="s">
        <v>8</v>
      </c>
    </row>
    <row r="4" spans="1:7" x14ac:dyDescent="0.25">
      <c r="A4" s="3" t="s">
        <v>10</v>
      </c>
      <c r="B4" t="s">
        <v>7</v>
      </c>
      <c r="C4" s="9">
        <f>SUMIF('Base data map'!O:O,'map table'!E4,'Base data map'!E:E)</f>
        <v>0</v>
      </c>
      <c r="D4">
        <v>0</v>
      </c>
      <c r="E4" s="3" t="s">
        <v>10</v>
      </c>
    </row>
    <row r="5" spans="1:7" x14ac:dyDescent="0.25">
      <c r="A5" s="3" t="s">
        <v>13</v>
      </c>
      <c r="B5" t="s">
        <v>14</v>
      </c>
      <c r="C5" s="9">
        <f>SUMIF('Base data map'!O:O,'map table'!E5,'Base data map'!E:E)</f>
        <v>0</v>
      </c>
      <c r="D5">
        <v>4</v>
      </c>
      <c r="E5" s="3" t="s">
        <v>13</v>
      </c>
    </row>
    <row r="6" spans="1:7" x14ac:dyDescent="0.25">
      <c r="A6" s="3" t="s">
        <v>15</v>
      </c>
      <c r="B6" t="s">
        <v>16</v>
      </c>
      <c r="C6" s="9">
        <f>SUMIF('Base data map'!O:O,'map table'!E6,'Base data map'!E:E)</f>
        <v>0</v>
      </c>
      <c r="D6">
        <v>0</v>
      </c>
      <c r="E6" s="3" t="s">
        <v>15</v>
      </c>
    </row>
    <row r="7" spans="1:7" x14ac:dyDescent="0.25">
      <c r="A7" s="3" t="s">
        <v>17</v>
      </c>
      <c r="B7" t="s">
        <v>18</v>
      </c>
      <c r="C7" s="9">
        <f>SUMIF('Base data map'!O:O,'map table'!E7,'Base data map'!E:E)</f>
        <v>0</v>
      </c>
      <c r="D7">
        <v>6</v>
      </c>
      <c r="E7" s="3" t="s">
        <v>17</v>
      </c>
    </row>
    <row r="8" spans="1:7" x14ac:dyDescent="0.25">
      <c r="A8" s="3" t="s">
        <v>19</v>
      </c>
      <c r="B8" t="s">
        <v>7</v>
      </c>
      <c r="C8" s="9">
        <f>SUMIF('Base data map'!O:O,'map table'!E8,'Base data map'!E:E)</f>
        <v>0</v>
      </c>
      <c r="D8">
        <v>7</v>
      </c>
      <c r="E8" s="3" t="s">
        <v>19</v>
      </c>
    </row>
    <row r="9" spans="1:7" x14ac:dyDescent="0.25">
      <c r="A9" s="3" t="s">
        <v>20</v>
      </c>
      <c r="B9" t="s">
        <v>21</v>
      </c>
      <c r="C9" s="9">
        <f>SUMIF('Base data map'!O:O,'map table'!E9,'Base data map'!E:E)</f>
        <v>0</v>
      </c>
      <c r="D9">
        <v>8</v>
      </c>
      <c r="E9" s="3" t="s">
        <v>20</v>
      </c>
    </row>
    <row r="10" spans="1:7" x14ac:dyDescent="0.25">
      <c r="A10" s="3" t="s">
        <v>22</v>
      </c>
      <c r="B10" t="s">
        <v>23</v>
      </c>
      <c r="C10" s="9">
        <f>SUMIF('Base data map'!O:O,'map table'!E10,'Base data map'!E:E)</f>
        <v>0</v>
      </c>
      <c r="D10">
        <v>9</v>
      </c>
      <c r="E10" s="3" t="s">
        <v>22</v>
      </c>
    </row>
    <row r="11" spans="1:7" x14ac:dyDescent="0.25">
      <c r="A11" s="3" t="s">
        <v>24</v>
      </c>
      <c r="B11" t="s">
        <v>25</v>
      </c>
      <c r="C11" s="9">
        <f>SUMIF('Base data map'!O:O,'map table'!E11,'Base data map'!E:E)</f>
        <v>0</v>
      </c>
      <c r="D11">
        <v>10</v>
      </c>
      <c r="E11" s="3" t="s">
        <v>24</v>
      </c>
    </row>
    <row r="12" spans="1:7" x14ac:dyDescent="0.25">
      <c r="A12" s="3" t="s">
        <v>26</v>
      </c>
      <c r="B12" t="s">
        <v>16</v>
      </c>
      <c r="C12" s="9">
        <f>SUMIF('Base data map'!O:O,'map table'!E12,'Base data map'!E:E)</f>
        <v>0</v>
      </c>
      <c r="D12">
        <v>11</v>
      </c>
      <c r="E12" s="3" t="s">
        <v>26</v>
      </c>
    </row>
    <row r="13" spans="1:7" x14ac:dyDescent="0.25">
      <c r="A13" s="3" t="s">
        <v>27</v>
      </c>
      <c r="B13" t="s">
        <v>9</v>
      </c>
      <c r="C13" s="9">
        <f>SUMIF('Base data map'!O:O,'map table'!E13,'Base data map'!E:E)</f>
        <v>0</v>
      </c>
      <c r="D13">
        <v>12</v>
      </c>
      <c r="E13" s="3" t="s">
        <v>27</v>
      </c>
    </row>
    <row r="14" spans="1:7" x14ac:dyDescent="0.25">
      <c r="A14" s="3" t="s">
        <v>28</v>
      </c>
      <c r="B14" t="s">
        <v>25</v>
      </c>
      <c r="C14" s="9">
        <f>SUMIF('Base data map'!O:O,'map table'!E14,'Base data map'!E:E)</f>
        <v>0</v>
      </c>
      <c r="D14">
        <v>13</v>
      </c>
      <c r="E14" s="3" t="s">
        <v>28</v>
      </c>
    </row>
    <row r="15" spans="1:7" x14ac:dyDescent="0.25">
      <c r="A15" s="3" t="s">
        <v>29</v>
      </c>
      <c r="B15" t="s">
        <v>16</v>
      </c>
      <c r="C15" s="9">
        <f>SUMIF('Base data map'!O:O,'map table'!E15,'Base data map'!E:E)</f>
        <v>0</v>
      </c>
      <c r="D15">
        <v>14</v>
      </c>
      <c r="E15" s="3" t="s">
        <v>29</v>
      </c>
    </row>
    <row r="16" spans="1:7" x14ac:dyDescent="0.25">
      <c r="A16" s="3" t="s">
        <v>30</v>
      </c>
      <c r="B16" t="s">
        <v>7</v>
      </c>
      <c r="C16" s="9">
        <f>SUMIF('Base data map'!O:O,'map table'!E16,'Base data map'!E:E)</f>
        <v>0</v>
      </c>
      <c r="D16">
        <v>15</v>
      </c>
      <c r="E16" s="3" t="s">
        <v>30</v>
      </c>
    </row>
    <row r="17" spans="1:5" x14ac:dyDescent="0.25">
      <c r="A17" s="3" t="s">
        <v>31</v>
      </c>
      <c r="B17" t="s">
        <v>23</v>
      </c>
      <c r="C17" s="9">
        <f>SUMIF('Base data map'!O:O,'map table'!E17,'Base data map'!E:E)</f>
        <v>0</v>
      </c>
      <c r="D17">
        <v>16</v>
      </c>
      <c r="E17" s="3" t="s">
        <v>31</v>
      </c>
    </row>
    <row r="18" spans="1:5" x14ac:dyDescent="0.25">
      <c r="A18" s="3" t="s">
        <v>32</v>
      </c>
      <c r="B18" t="s">
        <v>33</v>
      </c>
      <c r="C18" s="9">
        <f>SUMIF('Base data map'!O:O,'map table'!E18,'Base data map'!E:E)</f>
        <v>0</v>
      </c>
      <c r="D18">
        <v>17</v>
      </c>
      <c r="E18" s="3" t="s">
        <v>32</v>
      </c>
    </row>
    <row r="19" spans="1:5" x14ac:dyDescent="0.25">
      <c r="A19" s="3" t="s">
        <v>34</v>
      </c>
      <c r="B19" t="s">
        <v>14</v>
      </c>
      <c r="C19" s="9">
        <f>SUMIF('Base data map'!O:O,'map table'!E19,'Base data map'!E:E)</f>
        <v>0</v>
      </c>
      <c r="D19">
        <v>18</v>
      </c>
      <c r="E19" s="3" t="s">
        <v>34</v>
      </c>
    </row>
    <row r="20" spans="1:5" x14ac:dyDescent="0.25">
      <c r="A20" s="3" t="s">
        <v>35</v>
      </c>
      <c r="B20" t="s">
        <v>36</v>
      </c>
      <c r="C20" s="9">
        <f>SUMIF('Base data map'!O:O,'map table'!E20,'Base data map'!E:E)</f>
        <v>0</v>
      </c>
      <c r="D20">
        <v>0</v>
      </c>
      <c r="E20" s="3" t="s">
        <v>35</v>
      </c>
    </row>
    <row r="21" spans="1:5" x14ac:dyDescent="0.25">
      <c r="A21" s="3" t="s">
        <v>37</v>
      </c>
      <c r="B21" t="s">
        <v>25</v>
      </c>
      <c r="C21" s="9">
        <f>SUMIF('Base data map'!O:O,'map table'!E21,'Base data map'!E:E)</f>
        <v>0</v>
      </c>
      <c r="D21">
        <v>20</v>
      </c>
      <c r="E21" s="3" t="s">
        <v>37</v>
      </c>
    </row>
    <row r="22" spans="1:5" x14ac:dyDescent="0.25">
      <c r="A22" s="3" t="s">
        <v>38</v>
      </c>
      <c r="B22" t="s">
        <v>18</v>
      </c>
      <c r="C22" s="9">
        <f>SUMIF('Base data map'!O:O,'map table'!E22,'Base data map'!E:E)</f>
        <v>0</v>
      </c>
      <c r="D22">
        <v>21</v>
      </c>
      <c r="E22" s="3" t="s">
        <v>38</v>
      </c>
    </row>
    <row r="23" spans="1:5" x14ac:dyDescent="0.25">
      <c r="A23" s="3" t="s">
        <v>39</v>
      </c>
      <c r="B23" t="s">
        <v>14</v>
      </c>
      <c r="C23" s="9">
        <f>SUMIF('Base data map'!O:O,'map table'!E23,'Base data map'!E:E)</f>
        <v>0</v>
      </c>
      <c r="D23">
        <v>22</v>
      </c>
      <c r="E23" s="3" t="s">
        <v>39</v>
      </c>
    </row>
    <row r="24" spans="1:5" x14ac:dyDescent="0.25">
      <c r="A24" s="3" t="s">
        <v>40</v>
      </c>
      <c r="B24" t="s">
        <v>18</v>
      </c>
      <c r="C24" s="9">
        <f>SUMIF('Base data map'!O:O,'map table'!E24,'Base data map'!E:E)</f>
        <v>0</v>
      </c>
      <c r="D24">
        <v>23</v>
      </c>
      <c r="E24" s="3" t="s">
        <v>40</v>
      </c>
    </row>
    <row r="25" spans="1:5" x14ac:dyDescent="0.25">
      <c r="A25" s="3" t="s">
        <v>41</v>
      </c>
      <c r="B25" t="s">
        <v>23</v>
      </c>
      <c r="C25" s="9">
        <f>SUMIF('Base data map'!O:O,'map table'!E25,'Base data map'!E:E)</f>
        <v>0</v>
      </c>
      <c r="D25">
        <v>24</v>
      </c>
      <c r="E25" s="3" t="s">
        <v>41</v>
      </c>
    </row>
    <row r="26" spans="1:5" x14ac:dyDescent="0.25">
      <c r="A26" s="3" t="s">
        <v>42</v>
      </c>
      <c r="B26" t="s">
        <v>14</v>
      </c>
      <c r="C26" s="9">
        <f>SUMIF('Base data map'!O:O,'map table'!E26,'Base data map'!E:E)</f>
        <v>0</v>
      </c>
      <c r="D26">
        <v>25</v>
      </c>
      <c r="E26" s="3" t="s">
        <v>42</v>
      </c>
    </row>
    <row r="27" spans="1:5" x14ac:dyDescent="0.25">
      <c r="A27" s="3" t="s">
        <v>44</v>
      </c>
      <c r="B27" t="s">
        <v>14</v>
      </c>
      <c r="C27" s="9">
        <f>SUMIF('Base data map'!O:O,'map table'!E27,'Base data map'!E:E)</f>
        <v>0</v>
      </c>
      <c r="D27">
        <v>26</v>
      </c>
      <c r="E27" s="3" t="s">
        <v>44</v>
      </c>
    </row>
    <row r="28" spans="1:5" x14ac:dyDescent="0.25">
      <c r="A28" s="3" t="s">
        <v>45</v>
      </c>
      <c r="B28" t="s">
        <v>25</v>
      </c>
      <c r="C28" s="9">
        <f>SUMIF('Base data map'!O:O,'map table'!E28,'Base data map'!E:E)</f>
        <v>0</v>
      </c>
      <c r="D28">
        <v>27</v>
      </c>
      <c r="E28" s="3" t="s">
        <v>45</v>
      </c>
    </row>
    <row r="29" spans="1:5" x14ac:dyDescent="0.25">
      <c r="A29" s="3" t="s">
        <v>46</v>
      </c>
      <c r="B29" t="s">
        <v>14</v>
      </c>
      <c r="C29" s="9">
        <f>SUMIF('Base data map'!O:O,'map table'!E29,'Base data map'!E:E)</f>
        <v>0</v>
      </c>
      <c r="D29">
        <v>28</v>
      </c>
      <c r="E29" s="3" t="s">
        <v>46</v>
      </c>
    </row>
    <row r="30" spans="1:5" x14ac:dyDescent="0.25">
      <c r="A30" s="3" t="s">
        <v>47</v>
      </c>
      <c r="B30" t="s">
        <v>36</v>
      </c>
      <c r="C30" s="9">
        <f>SUMIF('Base data map'!O:O,'map table'!E30,'Base data map'!E:E)</f>
        <v>1.0445887248069694</v>
      </c>
      <c r="D30">
        <v>29</v>
      </c>
      <c r="E30" s="3" t="s">
        <v>47</v>
      </c>
    </row>
    <row r="31" spans="1:5" x14ac:dyDescent="0.25">
      <c r="A31" s="3" t="s">
        <v>48</v>
      </c>
      <c r="B31" t="s">
        <v>16</v>
      </c>
      <c r="C31" s="9">
        <f>SUMIF('Base data map'!O:O,'map table'!E31,'Base data map'!E:E)</f>
        <v>0</v>
      </c>
      <c r="D31">
        <v>0</v>
      </c>
      <c r="E31" s="3" t="s">
        <v>48</v>
      </c>
    </row>
    <row r="32" spans="1:5" x14ac:dyDescent="0.25">
      <c r="A32" s="3" t="s">
        <v>49</v>
      </c>
      <c r="B32" t="s">
        <v>14</v>
      </c>
      <c r="C32" s="9">
        <f>SUMIF('Base data map'!O:O,'map table'!E32,'Base data map'!E:E)</f>
        <v>0</v>
      </c>
      <c r="D32">
        <v>31</v>
      </c>
      <c r="E32" s="3" t="s">
        <v>49</v>
      </c>
    </row>
    <row r="33" spans="1:5" x14ac:dyDescent="0.25">
      <c r="A33" s="3" t="s">
        <v>51</v>
      </c>
      <c r="B33" t="s">
        <v>14</v>
      </c>
      <c r="C33" s="9">
        <f>SUMIF('Base data map'!O:O,'map table'!E33,'Base data map'!E:E)</f>
        <v>0</v>
      </c>
      <c r="D33">
        <v>32</v>
      </c>
      <c r="E33" s="3" t="s">
        <v>51</v>
      </c>
    </row>
    <row r="34" spans="1:5" x14ac:dyDescent="0.25">
      <c r="A34" s="3" t="s">
        <v>52</v>
      </c>
      <c r="B34" t="s">
        <v>18</v>
      </c>
      <c r="C34" s="9">
        <f>SUMIF('Base data map'!O:O,'map table'!E34,'Base data map'!E:E)</f>
        <v>0</v>
      </c>
      <c r="D34">
        <v>33</v>
      </c>
      <c r="E34" s="3" t="s">
        <v>52</v>
      </c>
    </row>
    <row r="35" spans="1:5" x14ac:dyDescent="0.25">
      <c r="A35" s="3" t="s">
        <v>53</v>
      </c>
      <c r="B35" t="s">
        <v>25</v>
      </c>
      <c r="C35" s="9">
        <f>SUMIF('Base data map'!O:O,'map table'!E35,'Base data map'!E:E)</f>
        <v>0.51709097908854329</v>
      </c>
      <c r="D35">
        <v>34</v>
      </c>
      <c r="E35" s="3" t="s">
        <v>53</v>
      </c>
    </row>
    <row r="36" spans="1:5" x14ac:dyDescent="0.25">
      <c r="A36" s="3" t="s">
        <v>54</v>
      </c>
      <c r="B36" t="s">
        <v>18</v>
      </c>
      <c r="C36" s="9">
        <f>SUMIF('Base data map'!O:O,'map table'!E36,'Base data map'!E:E)</f>
        <v>0</v>
      </c>
      <c r="D36">
        <v>35</v>
      </c>
      <c r="E36" s="3" t="s">
        <v>54</v>
      </c>
    </row>
    <row r="37" spans="1:5" x14ac:dyDescent="0.25">
      <c r="A37" s="3" t="s">
        <v>55</v>
      </c>
      <c r="B37" t="s">
        <v>14</v>
      </c>
      <c r="C37" s="9">
        <f>SUMIF('Base data map'!O:O,'map table'!E37,'Base data map'!E:E)</f>
        <v>0</v>
      </c>
      <c r="D37">
        <v>36</v>
      </c>
      <c r="E37" s="3" t="s">
        <v>55</v>
      </c>
    </row>
    <row r="38" spans="1:5" x14ac:dyDescent="0.25">
      <c r="A38" s="3" t="s">
        <v>56</v>
      </c>
      <c r="B38" t="s">
        <v>33</v>
      </c>
      <c r="C38" s="9">
        <f>SUMIF('Base data map'!O:O,'map table'!E38,'Base data map'!E:E)</f>
        <v>0</v>
      </c>
      <c r="D38">
        <v>37</v>
      </c>
      <c r="E38" s="3" t="s">
        <v>56</v>
      </c>
    </row>
    <row r="39" spans="1:5" x14ac:dyDescent="0.25">
      <c r="A39" s="3" t="s">
        <v>58</v>
      </c>
      <c r="B39" t="s">
        <v>7</v>
      </c>
      <c r="C39" s="9">
        <f>SUMIF('Base data map'!O:O,'map table'!E39,'Base data map'!E:E)</f>
        <v>0</v>
      </c>
      <c r="D39">
        <v>38</v>
      </c>
      <c r="E39" s="3" t="s">
        <v>58</v>
      </c>
    </row>
    <row r="40" spans="1:5" x14ac:dyDescent="0.25">
      <c r="A40" s="3" t="s">
        <v>59</v>
      </c>
      <c r="B40" t="s">
        <v>16</v>
      </c>
      <c r="C40" s="9">
        <f>SUMIF('Base data map'!O:O,'map table'!E40,'Base data map'!E:E)</f>
        <v>0</v>
      </c>
      <c r="D40">
        <v>39</v>
      </c>
      <c r="E40" s="3" t="s">
        <v>59</v>
      </c>
    </row>
    <row r="41" spans="1:5" x14ac:dyDescent="0.25">
      <c r="A41" s="3" t="s">
        <v>60</v>
      </c>
      <c r="B41" t="s">
        <v>23</v>
      </c>
      <c r="C41" s="9">
        <f>SUMIF('Base data map'!O:O,'map table'!E41,'Base data map'!E:E)</f>
        <v>0</v>
      </c>
      <c r="D41">
        <v>40</v>
      </c>
      <c r="E41" s="3" t="s">
        <v>60</v>
      </c>
    </row>
    <row r="42" spans="1:5" x14ac:dyDescent="0.25">
      <c r="A42" s="3" t="s">
        <v>61</v>
      </c>
      <c r="B42" t="s">
        <v>23</v>
      </c>
      <c r="C42" s="9">
        <f>SUMIF('Base data map'!O:O,'map table'!E42,'Base data map'!E:E)</f>
        <v>0</v>
      </c>
      <c r="D42">
        <v>41</v>
      </c>
      <c r="E42" s="3" t="s">
        <v>61</v>
      </c>
    </row>
    <row r="43" spans="1:5" x14ac:dyDescent="0.25">
      <c r="A43" s="3" t="s">
        <v>63</v>
      </c>
      <c r="B43" t="s">
        <v>14</v>
      </c>
      <c r="C43" s="9">
        <f>SUMIF('Base data map'!O:O,'map table'!E43,'Base data map'!E:E)</f>
        <v>0</v>
      </c>
      <c r="D43">
        <v>0</v>
      </c>
      <c r="E43" s="3" t="s">
        <v>63</v>
      </c>
    </row>
    <row r="44" spans="1:5" x14ac:dyDescent="0.25">
      <c r="A44" s="3" t="s">
        <v>65</v>
      </c>
      <c r="B44" t="s">
        <v>23</v>
      </c>
      <c r="C44" s="9">
        <f>SUMIF('Base data map'!O:O,'map table'!E44,'Base data map'!E:E)</f>
        <v>0</v>
      </c>
      <c r="D44">
        <v>43</v>
      </c>
      <c r="E44" s="3" t="s">
        <v>65</v>
      </c>
    </row>
    <row r="45" spans="1:5" x14ac:dyDescent="0.25">
      <c r="A45" s="3" t="s">
        <v>66</v>
      </c>
      <c r="B45" t="s">
        <v>14</v>
      </c>
      <c r="C45" s="9">
        <f>SUMIF('Base data map'!O:O,'map table'!E45,'Base data map'!E:E)</f>
        <v>0</v>
      </c>
      <c r="D45">
        <v>44</v>
      </c>
      <c r="E45" s="3" t="s">
        <v>66</v>
      </c>
    </row>
    <row r="46" spans="1:5" x14ac:dyDescent="0.25">
      <c r="A46" s="3" t="s">
        <v>67</v>
      </c>
      <c r="B46" t="s">
        <v>16</v>
      </c>
      <c r="C46" s="9">
        <f>SUMIF('Base data map'!O:O,'map table'!E46,'Base data map'!E:E)</f>
        <v>0</v>
      </c>
      <c r="D46">
        <v>45</v>
      </c>
      <c r="E46" s="3" t="s">
        <v>67</v>
      </c>
    </row>
    <row r="47" spans="1:5" x14ac:dyDescent="0.25">
      <c r="A47" s="3" t="s">
        <v>68</v>
      </c>
      <c r="B47" t="s">
        <v>16</v>
      </c>
      <c r="C47" s="9">
        <f>SUMIF('Base data map'!O:O,'map table'!E47,'Base data map'!E:E)</f>
        <v>0</v>
      </c>
      <c r="D47">
        <v>46</v>
      </c>
      <c r="E47" s="3" t="s">
        <v>68</v>
      </c>
    </row>
    <row r="48" spans="1:5" x14ac:dyDescent="0.25">
      <c r="A48" s="3" t="s">
        <v>70</v>
      </c>
      <c r="B48" t="s">
        <v>18</v>
      </c>
      <c r="C48" s="9">
        <f>SUMIF('Base data map'!O:O,'map table'!E48,'Base data map'!E:E)</f>
        <v>0</v>
      </c>
      <c r="D48">
        <v>47</v>
      </c>
      <c r="E48" s="3" t="s">
        <v>70</v>
      </c>
    </row>
    <row r="49" spans="1:5" x14ac:dyDescent="0.25">
      <c r="A49" s="3" t="s">
        <v>71</v>
      </c>
      <c r="B49" t="s">
        <v>9</v>
      </c>
      <c r="C49" s="9">
        <f>SUMIF('Base data map'!O:O,'map table'!E49,'Base data map'!E:E)</f>
        <v>0</v>
      </c>
      <c r="D49">
        <v>48</v>
      </c>
      <c r="E49" s="3" t="s">
        <v>71</v>
      </c>
    </row>
    <row r="50" spans="1:5" x14ac:dyDescent="0.25">
      <c r="A50" s="3" t="s">
        <v>72</v>
      </c>
      <c r="B50" t="s">
        <v>33</v>
      </c>
      <c r="C50" s="9">
        <f>SUMIF('Base data map'!O:O,'map table'!E50,'Base data map'!E:E)</f>
        <v>0</v>
      </c>
      <c r="D50">
        <v>49</v>
      </c>
      <c r="E50" s="3" t="s">
        <v>72</v>
      </c>
    </row>
    <row r="51" spans="1:5" x14ac:dyDescent="0.25">
      <c r="A51" s="3" t="s">
        <v>74</v>
      </c>
      <c r="B51" t="s">
        <v>14</v>
      </c>
      <c r="C51" s="9">
        <f>SUMIF('Base data map'!O:O,'map table'!E51,'Base data map'!E:E)</f>
        <v>0</v>
      </c>
      <c r="D51">
        <v>50</v>
      </c>
      <c r="E51" s="3" t="s">
        <v>74</v>
      </c>
    </row>
    <row r="52" spans="1:5" x14ac:dyDescent="0.25">
      <c r="A52" s="3" t="s">
        <v>76</v>
      </c>
      <c r="B52" t="s">
        <v>14</v>
      </c>
      <c r="C52" s="9">
        <f>SUMIF('Base data map'!O:O,'map table'!E52,'Base data map'!E:E)</f>
        <v>0</v>
      </c>
      <c r="D52">
        <v>51</v>
      </c>
      <c r="E52" s="3" t="s">
        <v>76</v>
      </c>
    </row>
    <row r="53" spans="1:5" x14ac:dyDescent="0.25">
      <c r="A53" s="3" t="s">
        <v>77</v>
      </c>
      <c r="B53" t="s">
        <v>23</v>
      </c>
      <c r="C53" s="9">
        <f>SUMIF('Base data map'!O:O,'map table'!E53,'Base data map'!E:E)</f>
        <v>0</v>
      </c>
      <c r="D53">
        <v>52</v>
      </c>
      <c r="E53" s="3" t="s">
        <v>77</v>
      </c>
    </row>
    <row r="54" spans="1:5" x14ac:dyDescent="0.25">
      <c r="A54" s="3" t="s">
        <v>78</v>
      </c>
      <c r="B54" t="s">
        <v>14</v>
      </c>
      <c r="C54" s="9">
        <f>SUMIF('Base data map'!O:O,'map table'!E54,'Base data map'!E:E)</f>
        <v>0</v>
      </c>
      <c r="D54">
        <v>53</v>
      </c>
      <c r="E54" s="3" t="s">
        <v>78</v>
      </c>
    </row>
    <row r="55" spans="1:5" x14ac:dyDescent="0.25">
      <c r="A55" s="3" t="s">
        <v>79</v>
      </c>
      <c r="B55" t="s">
        <v>21</v>
      </c>
      <c r="C55" s="9">
        <f>SUMIF('Base data map'!O:O,'map table'!E55,'Base data map'!E:E)</f>
        <v>0</v>
      </c>
      <c r="D55">
        <v>54</v>
      </c>
      <c r="E55" s="3" t="s">
        <v>79</v>
      </c>
    </row>
    <row r="56" spans="1:5" x14ac:dyDescent="0.25">
      <c r="A56" s="3" t="s">
        <v>80</v>
      </c>
      <c r="B56" t="s">
        <v>23</v>
      </c>
      <c r="C56" s="9">
        <f>SUMIF('Base data map'!O:O,'map table'!E56,'Base data map'!E:E)</f>
        <v>0</v>
      </c>
      <c r="D56">
        <v>55</v>
      </c>
      <c r="E56" s="3" t="s">
        <v>80</v>
      </c>
    </row>
    <row r="57" spans="1:5" x14ac:dyDescent="0.25">
      <c r="A57" s="3" t="s">
        <v>81</v>
      </c>
      <c r="B57" t="s">
        <v>23</v>
      </c>
      <c r="C57" s="9">
        <f>SUMIF('Base data map'!O:O,'map table'!E57,'Base data map'!E:E)</f>
        <v>1.3473299259714355</v>
      </c>
      <c r="D57">
        <v>56</v>
      </c>
      <c r="E57" s="3" t="s">
        <v>81</v>
      </c>
    </row>
    <row r="58" spans="1:5" x14ac:dyDescent="0.25">
      <c r="A58" s="3" t="s">
        <v>82</v>
      </c>
      <c r="B58" t="s">
        <v>14</v>
      </c>
      <c r="C58" s="9">
        <f>SUMIF('Base data map'!O:O,'map table'!E58,'Base data map'!E:E)</f>
        <v>0</v>
      </c>
      <c r="D58">
        <v>57</v>
      </c>
      <c r="E58" s="3" t="s">
        <v>82</v>
      </c>
    </row>
    <row r="59" spans="1:5" x14ac:dyDescent="0.25">
      <c r="A59" s="3" t="s">
        <v>83</v>
      </c>
      <c r="B59" t="s">
        <v>14</v>
      </c>
      <c r="C59" s="9">
        <f>SUMIF('Base data map'!O:O,'map table'!E59,'Base data map'!E:E)</f>
        <v>0</v>
      </c>
      <c r="D59">
        <v>0</v>
      </c>
      <c r="E59" s="3" t="s">
        <v>83</v>
      </c>
    </row>
    <row r="60" spans="1:5" x14ac:dyDescent="0.25">
      <c r="A60" s="3" t="s">
        <v>84</v>
      </c>
      <c r="B60" t="s">
        <v>7</v>
      </c>
      <c r="C60" s="9">
        <f>SUMIF('Base data map'!O:O,'map table'!E60,'Base data map'!E:E)</f>
        <v>0</v>
      </c>
      <c r="D60">
        <v>59</v>
      </c>
      <c r="E60" s="3" t="s">
        <v>84</v>
      </c>
    </row>
    <row r="61" spans="1:5" x14ac:dyDescent="0.25">
      <c r="A61" s="3" t="s">
        <v>85</v>
      </c>
      <c r="B61" t="s">
        <v>23</v>
      </c>
      <c r="C61" s="9">
        <f>SUMIF('Base data map'!O:O,'map table'!E61,'Base data map'!E:E)</f>
        <v>4.3022512806614364</v>
      </c>
      <c r="D61">
        <v>60</v>
      </c>
      <c r="E61" s="3" t="s">
        <v>85</v>
      </c>
    </row>
    <row r="62" spans="1:5" x14ac:dyDescent="0.25">
      <c r="A62" s="3" t="s">
        <v>86</v>
      </c>
      <c r="B62" t="s">
        <v>14</v>
      </c>
      <c r="C62" s="9">
        <f>SUMIF('Base data map'!O:O,'map table'!E62,'Base data map'!E:E)</f>
        <v>0</v>
      </c>
      <c r="D62">
        <v>61</v>
      </c>
      <c r="E62" s="3" t="s">
        <v>86</v>
      </c>
    </row>
    <row r="63" spans="1:5" x14ac:dyDescent="0.25">
      <c r="A63" s="3" t="s">
        <v>87</v>
      </c>
      <c r="B63" t="s">
        <v>23</v>
      </c>
      <c r="C63" s="9">
        <f>SUMIF('Base data map'!O:O,'map table'!E63,'Base data map'!E:E)</f>
        <v>0</v>
      </c>
      <c r="D63">
        <v>62</v>
      </c>
      <c r="E63" s="3" t="s">
        <v>87</v>
      </c>
    </row>
    <row r="64" spans="1:5" x14ac:dyDescent="0.25">
      <c r="A64" s="3" t="s">
        <v>88</v>
      </c>
      <c r="B64" t="s">
        <v>16</v>
      </c>
      <c r="C64" s="9">
        <f>SUMIF('Base data map'!O:O,'map table'!E64,'Base data map'!E:E)</f>
        <v>0</v>
      </c>
      <c r="D64">
        <v>0</v>
      </c>
      <c r="E64" s="3" t="s">
        <v>88</v>
      </c>
    </row>
    <row r="65" spans="1:5" x14ac:dyDescent="0.25">
      <c r="A65" s="3" t="s">
        <v>89</v>
      </c>
      <c r="B65" t="s">
        <v>33</v>
      </c>
      <c r="C65" s="9">
        <f>SUMIF('Base data map'!O:O,'map table'!E65,'Base data map'!E:E)</f>
        <v>0</v>
      </c>
      <c r="D65">
        <v>64</v>
      </c>
      <c r="E65" s="3" t="s">
        <v>89</v>
      </c>
    </row>
    <row r="66" spans="1:5" x14ac:dyDescent="0.25">
      <c r="A66" s="3" t="s">
        <v>90</v>
      </c>
      <c r="B66" t="s">
        <v>14</v>
      </c>
      <c r="C66" s="9">
        <f>SUMIF('Base data map'!O:O,'map table'!E66,'Base data map'!E:E)</f>
        <v>0</v>
      </c>
      <c r="D66">
        <v>65</v>
      </c>
      <c r="E66" s="3" t="s">
        <v>90</v>
      </c>
    </row>
    <row r="67" spans="1:5" x14ac:dyDescent="0.25">
      <c r="A67" s="3" t="s">
        <v>91</v>
      </c>
      <c r="B67" t="s">
        <v>18</v>
      </c>
      <c r="C67" s="9">
        <f>SUMIF('Base data map'!O:O,'map table'!E67,'Base data map'!E:E)</f>
        <v>0</v>
      </c>
      <c r="D67">
        <v>66</v>
      </c>
      <c r="E67" s="3" t="s">
        <v>91</v>
      </c>
    </row>
    <row r="68" spans="1:5" x14ac:dyDescent="0.25">
      <c r="A68" s="3" t="s">
        <v>92</v>
      </c>
      <c r="B68" t="s">
        <v>16</v>
      </c>
      <c r="C68" s="9">
        <f>SUMIF('Base data map'!O:O,'map table'!E68,'Base data map'!E:E)</f>
        <v>0</v>
      </c>
      <c r="D68">
        <v>67</v>
      </c>
      <c r="E68" s="3" t="s">
        <v>92</v>
      </c>
    </row>
    <row r="69" spans="1:5" x14ac:dyDescent="0.25">
      <c r="A69" s="3" t="s">
        <v>93</v>
      </c>
      <c r="B69" t="s">
        <v>33</v>
      </c>
      <c r="C69" s="9">
        <f>SUMIF('Base data map'!O:O,'map table'!E69,'Base data map'!E:E)</f>
        <v>0</v>
      </c>
      <c r="D69">
        <v>68</v>
      </c>
      <c r="E69" s="3" t="s">
        <v>93</v>
      </c>
    </row>
    <row r="70" spans="1:5" x14ac:dyDescent="0.25">
      <c r="A70" s="3" t="s">
        <v>94</v>
      </c>
      <c r="B70" t="s">
        <v>23</v>
      </c>
      <c r="C70" s="9">
        <f>SUMIF('Base data map'!O:O,'map table'!E70,'Base data map'!E:E)</f>
        <v>0</v>
      </c>
      <c r="D70">
        <v>69</v>
      </c>
      <c r="E70" s="3" t="s">
        <v>94</v>
      </c>
    </row>
    <row r="71" spans="1:5" x14ac:dyDescent="0.25">
      <c r="A71" s="3" t="s">
        <v>95</v>
      </c>
      <c r="B71" t="s">
        <v>7</v>
      </c>
      <c r="C71" s="9">
        <f>SUMIF('Base data map'!O:O,'map table'!E71,'Base data map'!E:E)</f>
        <v>0</v>
      </c>
      <c r="D71">
        <v>70</v>
      </c>
      <c r="E71" s="3" t="s">
        <v>95</v>
      </c>
    </row>
    <row r="72" spans="1:5" x14ac:dyDescent="0.25">
      <c r="A72" s="3" t="s">
        <v>96</v>
      </c>
      <c r="B72" t="s">
        <v>25</v>
      </c>
      <c r="C72" s="9">
        <f>SUMIF('Base data map'!O:O,'map table'!E72,'Base data map'!E:E)</f>
        <v>0</v>
      </c>
      <c r="D72">
        <v>71</v>
      </c>
      <c r="E72" s="3" t="s">
        <v>96</v>
      </c>
    </row>
    <row r="73" spans="1:5" x14ac:dyDescent="0.25">
      <c r="A73" s="3" t="s">
        <v>97</v>
      </c>
      <c r="B73" t="s">
        <v>25</v>
      </c>
      <c r="C73" s="9">
        <f>SUMIF('Base data map'!O:O,'map table'!E73,'Base data map'!E:E)</f>
        <v>0</v>
      </c>
      <c r="D73">
        <v>72</v>
      </c>
      <c r="E73" s="3" t="s">
        <v>97</v>
      </c>
    </row>
    <row r="74" spans="1:5" x14ac:dyDescent="0.25">
      <c r="A74" s="3" t="s">
        <v>98</v>
      </c>
      <c r="B74" t="s">
        <v>9</v>
      </c>
      <c r="C74" s="9">
        <f>SUMIF('Base data map'!O:O,'map table'!E74,'Base data map'!E:E)</f>
        <v>0</v>
      </c>
      <c r="D74">
        <v>73</v>
      </c>
      <c r="E74" s="3" t="s">
        <v>98</v>
      </c>
    </row>
    <row r="75" spans="1:5" x14ac:dyDescent="0.25">
      <c r="A75" s="3" t="s">
        <v>99</v>
      </c>
      <c r="B75" t="s">
        <v>9</v>
      </c>
      <c r="C75" s="9">
        <f>SUMIF('Base data map'!O:O,'map table'!E75,'Base data map'!E:E)</f>
        <v>0</v>
      </c>
      <c r="D75">
        <v>74</v>
      </c>
      <c r="E75" s="3" t="s">
        <v>99</v>
      </c>
    </row>
    <row r="76" spans="1:5" x14ac:dyDescent="0.25">
      <c r="A76" s="3" t="s">
        <v>100</v>
      </c>
      <c r="B76" t="s">
        <v>9</v>
      </c>
      <c r="C76" s="9">
        <f>SUMIF('Base data map'!O:O,'map table'!E76,'Base data map'!E:E)</f>
        <v>0</v>
      </c>
      <c r="D76">
        <v>75</v>
      </c>
      <c r="E76" s="3" t="s">
        <v>100</v>
      </c>
    </row>
    <row r="77" spans="1:5" x14ac:dyDescent="0.25">
      <c r="A77" s="3" t="s">
        <v>101</v>
      </c>
      <c r="B77" t="s">
        <v>23</v>
      </c>
      <c r="C77" s="9">
        <f>SUMIF('Base data map'!O:O,'map table'!E77,'Base data map'!E:E)</f>
        <v>0</v>
      </c>
      <c r="D77">
        <v>76</v>
      </c>
      <c r="E77" s="3" t="s">
        <v>101</v>
      </c>
    </row>
    <row r="78" spans="1:5" x14ac:dyDescent="0.25">
      <c r="A78" s="3" t="s">
        <v>102</v>
      </c>
      <c r="B78" t="s">
        <v>14</v>
      </c>
      <c r="C78" s="9">
        <f>SUMIF('Base data map'!O:O,'map table'!E78,'Base data map'!E:E)</f>
        <v>0</v>
      </c>
      <c r="D78">
        <v>0</v>
      </c>
      <c r="E78" s="3" t="s">
        <v>102</v>
      </c>
    </row>
    <row r="79" spans="1:5" x14ac:dyDescent="0.25">
      <c r="A79" s="3" t="s">
        <v>103</v>
      </c>
      <c r="B79" t="s">
        <v>16</v>
      </c>
      <c r="C79" s="9">
        <f>SUMIF('Base data map'!O:O,'map table'!E79,'Base data map'!E:E)</f>
        <v>0</v>
      </c>
      <c r="D79">
        <v>78</v>
      </c>
      <c r="E79" s="3" t="s">
        <v>103</v>
      </c>
    </row>
    <row r="80" spans="1:5" x14ac:dyDescent="0.25">
      <c r="A80" s="3" t="s">
        <v>104</v>
      </c>
      <c r="B80" t="s">
        <v>25</v>
      </c>
      <c r="C80" s="9">
        <f>SUMIF('Base data map'!O:O,'map table'!E80,'Base data map'!E:E)</f>
        <v>3.7819768629386257</v>
      </c>
      <c r="D80">
        <v>79</v>
      </c>
      <c r="E80" s="3" t="s">
        <v>104</v>
      </c>
    </row>
    <row r="81" spans="1:5" x14ac:dyDescent="0.25">
      <c r="A81" s="3" t="s">
        <v>105</v>
      </c>
      <c r="B81" t="s">
        <v>9</v>
      </c>
      <c r="C81" s="9">
        <f>SUMIF('Base data map'!O:O,'map table'!E81,'Base data map'!E:E)</f>
        <v>0</v>
      </c>
      <c r="D81">
        <v>80</v>
      </c>
      <c r="E81" s="3" t="s">
        <v>105</v>
      </c>
    </row>
    <row r="82" spans="1:5" x14ac:dyDescent="0.25">
      <c r="A82" s="3" t="s">
        <v>106</v>
      </c>
      <c r="B82" t="s">
        <v>25</v>
      </c>
      <c r="C82" s="9">
        <f>SUMIF('Base data map'!O:O,'map table'!E82,'Base data map'!E:E)</f>
        <v>0</v>
      </c>
      <c r="D82">
        <v>81</v>
      </c>
      <c r="E82" s="3" t="s">
        <v>106</v>
      </c>
    </row>
    <row r="83" spans="1:5" x14ac:dyDescent="0.25">
      <c r="A83" s="3" t="s">
        <v>107</v>
      </c>
      <c r="B83" t="s">
        <v>14</v>
      </c>
      <c r="C83" s="9">
        <f>SUMIF('Base data map'!O:O,'map table'!E83,'Base data map'!E:E)</f>
        <v>0</v>
      </c>
      <c r="D83">
        <v>82</v>
      </c>
      <c r="E83" s="3" t="s">
        <v>107</v>
      </c>
    </row>
    <row r="84" spans="1:5" x14ac:dyDescent="0.25">
      <c r="A84" s="3" t="s">
        <v>108</v>
      </c>
      <c r="B84" t="s">
        <v>7</v>
      </c>
      <c r="C84" s="9">
        <f>SUMIF('Base data map'!O:O,'map table'!E84,'Base data map'!E:E)</f>
        <v>0</v>
      </c>
      <c r="D84">
        <v>83</v>
      </c>
      <c r="E84" s="3" t="s">
        <v>108</v>
      </c>
    </row>
    <row r="85" spans="1:5" x14ac:dyDescent="0.25">
      <c r="A85" s="3" t="s">
        <v>109</v>
      </c>
      <c r="B85" t="s">
        <v>9</v>
      </c>
      <c r="C85" s="9">
        <f>SUMIF('Base data map'!O:O,'map table'!E85,'Base data map'!E:E)</f>
        <v>0</v>
      </c>
      <c r="D85">
        <v>84</v>
      </c>
      <c r="E85" s="3" t="s">
        <v>109</v>
      </c>
    </row>
    <row r="86" spans="1:5" x14ac:dyDescent="0.25">
      <c r="A86" s="3" t="s">
        <v>110</v>
      </c>
      <c r="B86" t="s">
        <v>25</v>
      </c>
      <c r="C86" s="9">
        <f>SUMIF('Base data map'!O:O,'map table'!E86,'Base data map'!E:E)</f>
        <v>0</v>
      </c>
      <c r="D86">
        <v>85</v>
      </c>
      <c r="E86" s="3" t="s">
        <v>110</v>
      </c>
    </row>
    <row r="87" spans="1:5" x14ac:dyDescent="0.25">
      <c r="A87" s="3" t="s">
        <v>111</v>
      </c>
      <c r="B87" t="s">
        <v>23</v>
      </c>
      <c r="C87" s="9">
        <f>SUMIF('Base data map'!O:O,'map table'!E87,'Base data map'!E:E)</f>
        <v>0</v>
      </c>
      <c r="D87">
        <v>86</v>
      </c>
      <c r="E87" s="3" t="s">
        <v>111</v>
      </c>
    </row>
    <row r="88" spans="1:5" x14ac:dyDescent="0.25">
      <c r="A88" s="3" t="s">
        <v>112</v>
      </c>
      <c r="B88" t="s">
        <v>9</v>
      </c>
      <c r="C88" s="9">
        <f>SUMIF('Base data map'!O:O,'map table'!E88,'Base data map'!E:E)</f>
        <v>0</v>
      </c>
      <c r="D88">
        <v>87</v>
      </c>
      <c r="E88" s="3" t="s">
        <v>112</v>
      </c>
    </row>
    <row r="89" spans="1:5" x14ac:dyDescent="0.25">
      <c r="A89" s="3" t="s">
        <v>113</v>
      </c>
      <c r="B89" t="s">
        <v>14</v>
      </c>
      <c r="C89" s="9">
        <f>SUMIF('Base data map'!O:O,'map table'!E89,'Base data map'!E:E)</f>
        <v>0</v>
      </c>
      <c r="D89">
        <v>88</v>
      </c>
      <c r="E89" s="3" t="s">
        <v>113</v>
      </c>
    </row>
    <row r="90" spans="1:5" x14ac:dyDescent="0.25">
      <c r="A90" s="3" t="s">
        <v>114</v>
      </c>
      <c r="B90" t="s">
        <v>14</v>
      </c>
      <c r="C90" s="9">
        <f>SUMIF('Base data map'!O:O,'map table'!E90,'Base data map'!E:E)</f>
        <v>0</v>
      </c>
      <c r="D90">
        <v>89</v>
      </c>
      <c r="E90" s="3" t="s">
        <v>114</v>
      </c>
    </row>
    <row r="91" spans="1:5" x14ac:dyDescent="0.25">
      <c r="A91" s="3" t="s">
        <v>115</v>
      </c>
      <c r="B91" t="s">
        <v>9</v>
      </c>
      <c r="C91" s="9">
        <f>SUMIF('Base data map'!O:O,'map table'!E91,'Base data map'!E:E)</f>
        <v>0</v>
      </c>
      <c r="D91">
        <v>90</v>
      </c>
      <c r="E91" s="3" t="s">
        <v>115</v>
      </c>
    </row>
    <row r="92" spans="1:5" x14ac:dyDescent="0.25">
      <c r="A92" s="3" t="s">
        <v>116</v>
      </c>
      <c r="B92" t="s">
        <v>7</v>
      </c>
      <c r="C92" s="9">
        <f>SUMIF('Base data map'!O:O,'map table'!E92,'Base data map'!E:E)</f>
        <v>0</v>
      </c>
      <c r="D92">
        <v>0</v>
      </c>
      <c r="E92" s="3" t="s">
        <v>116</v>
      </c>
    </row>
    <row r="93" spans="1:5" x14ac:dyDescent="0.25">
      <c r="A93" s="3" t="s">
        <v>117</v>
      </c>
      <c r="B93" t="s">
        <v>23</v>
      </c>
      <c r="C93" s="9">
        <f>SUMIF('Base data map'!O:O,'map table'!E93,'Base data map'!E:E)</f>
        <v>0</v>
      </c>
      <c r="D93">
        <v>92</v>
      </c>
      <c r="E93" s="3" t="s">
        <v>117</v>
      </c>
    </row>
    <row r="94" spans="1:5" x14ac:dyDescent="0.25">
      <c r="A94" s="3" t="s">
        <v>118</v>
      </c>
      <c r="B94" t="s">
        <v>23</v>
      </c>
      <c r="C94" s="9">
        <f>SUMIF('Base data map'!O:O,'map table'!E94,'Base data map'!E:E)</f>
        <v>0</v>
      </c>
      <c r="D94">
        <v>93</v>
      </c>
      <c r="E94" s="3" t="s">
        <v>118</v>
      </c>
    </row>
    <row r="95" spans="1:5" x14ac:dyDescent="0.25">
      <c r="A95" s="3" t="s">
        <v>119</v>
      </c>
      <c r="B95" t="s">
        <v>14</v>
      </c>
      <c r="C95" s="9">
        <f>SUMIF('Base data map'!O:O,'map table'!E95,'Base data map'!E:E)</f>
        <v>0</v>
      </c>
      <c r="D95">
        <v>94</v>
      </c>
      <c r="E95" s="3" t="s">
        <v>119</v>
      </c>
    </row>
    <row r="96" spans="1:5" x14ac:dyDescent="0.25">
      <c r="A96" s="3" t="s">
        <v>120</v>
      </c>
      <c r="B96" t="s">
        <v>14</v>
      </c>
      <c r="C96" s="9">
        <f>SUMIF('Base data map'!O:O,'map table'!E96,'Base data map'!E:E)</f>
        <v>0</v>
      </c>
      <c r="D96">
        <v>95</v>
      </c>
      <c r="E96" s="3" t="s">
        <v>120</v>
      </c>
    </row>
    <row r="97" spans="1:5" x14ac:dyDescent="0.25">
      <c r="A97" s="3" t="s">
        <v>121</v>
      </c>
      <c r="B97" t="s">
        <v>25</v>
      </c>
      <c r="C97" s="9">
        <f>SUMIF('Base data map'!O:O,'map table'!E97,'Base data map'!E:E)</f>
        <v>0</v>
      </c>
      <c r="D97">
        <v>96</v>
      </c>
      <c r="E97" s="3" t="s">
        <v>121</v>
      </c>
    </row>
    <row r="98" spans="1:5" x14ac:dyDescent="0.25">
      <c r="A98" s="3" t="s">
        <v>122</v>
      </c>
      <c r="B98" t="s">
        <v>25</v>
      </c>
      <c r="C98" s="9">
        <f>SUMIF('Base data map'!O:O,'map table'!E98,'Base data map'!E:E)</f>
        <v>0</v>
      </c>
      <c r="D98">
        <v>97</v>
      </c>
      <c r="E98" s="3" t="s">
        <v>122</v>
      </c>
    </row>
    <row r="99" spans="1:5" x14ac:dyDescent="0.25">
      <c r="A99" s="3" t="s">
        <v>123</v>
      </c>
      <c r="B99" t="s">
        <v>14</v>
      </c>
      <c r="C99" s="9">
        <f>SUMIF('Base data map'!O:O,'map table'!E99,'Base data map'!E:E)</f>
        <v>0</v>
      </c>
      <c r="D99">
        <v>98</v>
      </c>
      <c r="E99" s="3" t="s">
        <v>123</v>
      </c>
    </row>
    <row r="100" spans="1:5" x14ac:dyDescent="0.25">
      <c r="A100" s="3" t="s">
        <v>124</v>
      </c>
      <c r="B100" t="s">
        <v>23</v>
      </c>
      <c r="C100" s="9">
        <f>SUMIF('Base data map'!O:O,'map table'!E100,'Base data map'!E:E)</f>
        <v>0</v>
      </c>
      <c r="D100">
        <v>99</v>
      </c>
      <c r="E100" s="3" t="s">
        <v>124</v>
      </c>
    </row>
    <row r="101" spans="1:5" x14ac:dyDescent="0.25">
      <c r="A101" s="3" t="s">
        <v>125</v>
      </c>
      <c r="B101" t="s">
        <v>16</v>
      </c>
      <c r="C101" s="9">
        <f>SUMIF('Base data map'!O:O,'map table'!E101,'Base data map'!E:E)</f>
        <v>0</v>
      </c>
      <c r="D101">
        <v>0</v>
      </c>
      <c r="E101" s="3" t="s">
        <v>125</v>
      </c>
    </row>
    <row r="102" spans="1:5" x14ac:dyDescent="0.25">
      <c r="A102" s="3" t="s">
        <v>126</v>
      </c>
      <c r="B102" t="s">
        <v>14</v>
      </c>
      <c r="C102" s="9">
        <f>SUMIF('Base data map'!O:O,'map table'!E102,'Base data map'!E:E)</f>
        <v>0</v>
      </c>
      <c r="D102">
        <v>101</v>
      </c>
      <c r="E102" s="3" t="s">
        <v>126</v>
      </c>
    </row>
    <row r="103" spans="1:5" x14ac:dyDescent="0.25">
      <c r="A103" s="3" t="s">
        <v>127</v>
      </c>
      <c r="B103" t="s">
        <v>14</v>
      </c>
      <c r="C103" s="9">
        <f>SUMIF('Base data map'!O:O,'map table'!E103,'Base data map'!E:E)</f>
        <v>0</v>
      </c>
      <c r="D103">
        <v>102</v>
      </c>
      <c r="E103" s="3" t="s">
        <v>127</v>
      </c>
    </row>
    <row r="104" spans="1:5" x14ac:dyDescent="0.25">
      <c r="A104" s="3" t="s">
        <v>128</v>
      </c>
      <c r="B104" t="s">
        <v>33</v>
      </c>
      <c r="C104" s="9">
        <f>SUMIF('Base data map'!O:O,'map table'!E104,'Base data map'!E:E)</f>
        <v>0.71164180133485144</v>
      </c>
      <c r="D104">
        <v>103</v>
      </c>
      <c r="E104" s="3" t="s">
        <v>128</v>
      </c>
    </row>
    <row r="105" spans="1:5" x14ac:dyDescent="0.25">
      <c r="A105" s="3" t="s">
        <v>129</v>
      </c>
      <c r="B105" t="s">
        <v>7</v>
      </c>
      <c r="C105" s="9">
        <f>SUMIF('Base data map'!O:O,'map table'!E105,'Base data map'!E:E)</f>
        <v>0</v>
      </c>
      <c r="D105">
        <v>104</v>
      </c>
      <c r="E105" s="3" t="s">
        <v>129</v>
      </c>
    </row>
    <row r="106" spans="1:5" x14ac:dyDescent="0.25">
      <c r="A106" s="3" t="s">
        <v>130</v>
      </c>
      <c r="B106" t="s">
        <v>7</v>
      </c>
      <c r="C106" s="9">
        <f>SUMIF('Base data map'!O:O,'map table'!E106,'Base data map'!E:E)</f>
        <v>0</v>
      </c>
      <c r="D106">
        <v>0</v>
      </c>
      <c r="E106" s="3" t="s">
        <v>130</v>
      </c>
    </row>
    <row r="107" spans="1:5" x14ac:dyDescent="0.25">
      <c r="A107" s="3" t="s">
        <v>131</v>
      </c>
      <c r="B107" t="s">
        <v>25</v>
      </c>
      <c r="C107" s="9">
        <f>SUMIF('Base data map'!O:O,'map table'!E107,'Base data map'!E:E)</f>
        <v>0</v>
      </c>
      <c r="D107">
        <v>106</v>
      </c>
      <c r="E107" s="3" t="s">
        <v>131</v>
      </c>
    </row>
    <row r="108" spans="1:5" x14ac:dyDescent="0.25">
      <c r="A108" s="3" t="s">
        <v>132</v>
      </c>
      <c r="B108" t="s">
        <v>7</v>
      </c>
      <c r="C108" s="9">
        <f>SUMIF('Base data map'!O:O,'map table'!E108,'Base data map'!E:E)</f>
        <v>0</v>
      </c>
      <c r="D108">
        <v>107</v>
      </c>
      <c r="E108" s="3" t="s">
        <v>132</v>
      </c>
    </row>
    <row r="109" spans="1:5" x14ac:dyDescent="0.25">
      <c r="A109" s="3" t="s">
        <v>133</v>
      </c>
      <c r="B109" t="s">
        <v>9</v>
      </c>
      <c r="C109" s="9">
        <f>SUMIF('Base data map'!O:O,'map table'!E109,'Base data map'!E:E)</f>
        <v>0</v>
      </c>
      <c r="D109">
        <v>108</v>
      </c>
      <c r="E109" s="3" t="s">
        <v>133</v>
      </c>
    </row>
    <row r="110" spans="1:5" x14ac:dyDescent="0.25">
      <c r="A110" s="3" t="s">
        <v>134</v>
      </c>
      <c r="B110" t="s">
        <v>14</v>
      </c>
      <c r="C110" s="9">
        <f>SUMIF('Base data map'!O:O,'map table'!E110,'Base data map'!E:E)</f>
        <v>0</v>
      </c>
      <c r="D110">
        <v>109</v>
      </c>
      <c r="E110" s="3" t="s">
        <v>134</v>
      </c>
    </row>
    <row r="111" spans="1:5" x14ac:dyDescent="0.25">
      <c r="A111" s="3" t="s">
        <v>135</v>
      </c>
      <c r="B111" t="s">
        <v>14</v>
      </c>
      <c r="C111" s="9">
        <f>SUMIF('Base data map'!O:O,'map table'!E111,'Base data map'!E:E)</f>
        <v>0</v>
      </c>
      <c r="D111">
        <v>110</v>
      </c>
      <c r="E111" s="3" t="s">
        <v>135</v>
      </c>
    </row>
    <row r="112" spans="1:5" x14ac:dyDescent="0.25">
      <c r="A112" s="3" t="s">
        <v>136</v>
      </c>
      <c r="B112" t="s">
        <v>25</v>
      </c>
      <c r="C112" s="9">
        <f>SUMIF('Base data map'!O:O,'map table'!E112,'Base data map'!E:E)</f>
        <v>0</v>
      </c>
      <c r="D112">
        <v>111</v>
      </c>
      <c r="E112" s="3" t="s">
        <v>136</v>
      </c>
    </row>
    <row r="113" spans="1:5" x14ac:dyDescent="0.25">
      <c r="A113" s="3" t="s">
        <v>137</v>
      </c>
      <c r="B113" t="s">
        <v>23</v>
      </c>
      <c r="C113" s="9">
        <f>SUMIF('Base data map'!O:O,'map table'!E113,'Base data map'!E:E)</f>
        <v>0</v>
      </c>
      <c r="D113">
        <v>112</v>
      </c>
      <c r="E113" s="3" t="s">
        <v>137</v>
      </c>
    </row>
    <row r="114" spans="1:5" x14ac:dyDescent="0.25">
      <c r="A114" s="3" t="s">
        <v>138</v>
      </c>
      <c r="B114" t="s">
        <v>21</v>
      </c>
      <c r="C114" s="9">
        <f>SUMIF('Base data map'!O:O,'map table'!E114,'Base data map'!E:E)</f>
        <v>0</v>
      </c>
      <c r="D114">
        <v>113</v>
      </c>
      <c r="E114" s="3" t="s">
        <v>138</v>
      </c>
    </row>
    <row r="115" spans="1:5" x14ac:dyDescent="0.25">
      <c r="A115" s="3" t="s">
        <v>140</v>
      </c>
      <c r="B115" t="s">
        <v>33</v>
      </c>
      <c r="C115" s="9">
        <f>SUMIF('Base data map'!O:O,'map table'!E115,'Base data map'!E:E)</f>
        <v>0</v>
      </c>
      <c r="D115">
        <v>114</v>
      </c>
      <c r="E115" s="3" t="s">
        <v>140</v>
      </c>
    </row>
    <row r="116" spans="1:5" x14ac:dyDescent="0.25">
      <c r="A116" s="3" t="s">
        <v>141</v>
      </c>
      <c r="B116" t="s">
        <v>14</v>
      </c>
      <c r="C116" s="9">
        <f>SUMIF('Base data map'!O:O,'map table'!E116,'Base data map'!E:E)</f>
        <v>0</v>
      </c>
      <c r="D116">
        <v>115</v>
      </c>
      <c r="E116" s="3" t="s">
        <v>141</v>
      </c>
    </row>
    <row r="117" spans="1:5" x14ac:dyDescent="0.25">
      <c r="A117" s="3" t="s">
        <v>142</v>
      </c>
      <c r="B117" t="s">
        <v>14</v>
      </c>
      <c r="C117" s="9">
        <f>SUMIF('Base data map'!O:O,'map table'!E117,'Base data map'!E:E)</f>
        <v>0</v>
      </c>
      <c r="D117">
        <v>116</v>
      </c>
      <c r="E117" s="3" t="s">
        <v>142</v>
      </c>
    </row>
    <row r="118" spans="1:5" x14ac:dyDescent="0.25">
      <c r="A118" s="3" t="s">
        <v>143</v>
      </c>
      <c r="B118" t="s">
        <v>7</v>
      </c>
      <c r="C118" s="9">
        <f>SUMIF('Base data map'!O:O,'map table'!E118,'Base data map'!E:E)</f>
        <v>1.64064565764013</v>
      </c>
      <c r="D118">
        <v>117</v>
      </c>
      <c r="E118" s="3" t="s">
        <v>143</v>
      </c>
    </row>
    <row r="119" spans="1:5" x14ac:dyDescent="0.25">
      <c r="A119" s="3" t="s">
        <v>144</v>
      </c>
      <c r="B119" t="s">
        <v>9</v>
      </c>
      <c r="C119" s="9">
        <f>SUMIF('Base data map'!O:O,'map table'!E119,'Base data map'!E:E)</f>
        <v>0</v>
      </c>
      <c r="D119">
        <v>118</v>
      </c>
      <c r="E119" s="3" t="s">
        <v>144</v>
      </c>
    </row>
    <row r="120" spans="1:5" x14ac:dyDescent="0.25">
      <c r="A120" s="3" t="s">
        <v>145</v>
      </c>
      <c r="B120" t="s">
        <v>25</v>
      </c>
      <c r="C120" s="9">
        <f>SUMIF('Base data map'!O:O,'map table'!E120,'Base data map'!E:E)</f>
        <v>0</v>
      </c>
      <c r="D120">
        <v>119</v>
      </c>
      <c r="E120" s="3" t="s">
        <v>145</v>
      </c>
    </row>
    <row r="121" spans="1:5" x14ac:dyDescent="0.25">
      <c r="A121" s="3" t="s">
        <v>146</v>
      </c>
      <c r="B121" t="s">
        <v>33</v>
      </c>
      <c r="C121" s="9">
        <f>SUMIF('Base data map'!O:O,'map table'!E121,'Base data map'!E:E)</f>
        <v>0</v>
      </c>
      <c r="D121">
        <v>120</v>
      </c>
      <c r="E121" s="3" t="s">
        <v>146</v>
      </c>
    </row>
    <row r="122" spans="1:5" x14ac:dyDescent="0.25">
      <c r="A122" s="3" t="s">
        <v>147</v>
      </c>
      <c r="B122" t="s">
        <v>21</v>
      </c>
      <c r="C122" s="9">
        <f>SUMIF('Base data map'!O:O,'map table'!E122,'Base data map'!E:E)</f>
        <v>0</v>
      </c>
      <c r="D122">
        <v>121</v>
      </c>
      <c r="E122" s="3" t="s">
        <v>147</v>
      </c>
    </row>
    <row r="123" spans="1:5" x14ac:dyDescent="0.25">
      <c r="A123" s="3" t="s">
        <v>149</v>
      </c>
      <c r="B123" t="s">
        <v>18</v>
      </c>
      <c r="C123" s="9">
        <f>SUMIF('Base data map'!O:O,'map table'!E123,'Base data map'!E:E)</f>
        <v>0</v>
      </c>
      <c r="D123">
        <v>122</v>
      </c>
      <c r="E123" s="3" t="s">
        <v>149</v>
      </c>
    </row>
    <row r="124" spans="1:5" x14ac:dyDescent="0.25">
      <c r="A124" s="3" t="s">
        <v>150</v>
      </c>
      <c r="B124" t="s">
        <v>18</v>
      </c>
      <c r="C124" s="9">
        <f>SUMIF('Base data map'!O:O,'map table'!E124,'Base data map'!E:E)</f>
        <v>0</v>
      </c>
      <c r="D124">
        <v>123</v>
      </c>
      <c r="E124" s="3" t="s">
        <v>150</v>
      </c>
    </row>
    <row r="125" spans="1:5" x14ac:dyDescent="0.25">
      <c r="A125" s="3" t="s">
        <v>151</v>
      </c>
      <c r="B125" t="s">
        <v>25</v>
      </c>
      <c r="C125" s="9">
        <f>SUMIF('Base data map'!O:O,'map table'!E125,'Base data map'!E:E)</f>
        <v>0</v>
      </c>
      <c r="D125">
        <v>124</v>
      </c>
      <c r="E125" s="3" t="s">
        <v>151</v>
      </c>
    </row>
    <row r="126" spans="1:5" x14ac:dyDescent="0.25">
      <c r="A126" s="3" t="s">
        <v>152</v>
      </c>
      <c r="B126" t="s">
        <v>23</v>
      </c>
      <c r="C126" s="9">
        <f>SUMIF('Base data map'!O:O,'map table'!E126,'Base data map'!E:E)</f>
        <v>0</v>
      </c>
      <c r="D126">
        <v>125</v>
      </c>
      <c r="E126" s="3" t="s">
        <v>152</v>
      </c>
    </row>
    <row r="127" spans="1:5" x14ac:dyDescent="0.25">
      <c r="A127" s="3" t="s">
        <v>153</v>
      </c>
      <c r="B127" t="s">
        <v>23</v>
      </c>
      <c r="C127" s="9">
        <f>SUMIF('Base data map'!O:O,'map table'!E127,'Base data map'!E:E)</f>
        <v>0</v>
      </c>
      <c r="D127">
        <v>126</v>
      </c>
      <c r="E127" s="3" t="s">
        <v>153</v>
      </c>
    </row>
    <row r="128" spans="1:5" x14ac:dyDescent="0.25">
      <c r="A128" s="3" t="s">
        <v>154</v>
      </c>
      <c r="B128" t="s">
        <v>16</v>
      </c>
      <c r="C128" s="9">
        <f>SUMIF('Base data map'!O:O,'map table'!E128,'Base data map'!E:E)</f>
        <v>0</v>
      </c>
      <c r="D128">
        <v>0</v>
      </c>
      <c r="E128" s="3" t="s">
        <v>154</v>
      </c>
    </row>
    <row r="129" spans="1:5" x14ac:dyDescent="0.25">
      <c r="A129" s="3" t="s">
        <v>155</v>
      </c>
      <c r="B129" t="s">
        <v>9</v>
      </c>
      <c r="C129" s="9">
        <f>SUMIF('Base data map'!O:O,'map table'!E129,'Base data map'!E:E)</f>
        <v>0</v>
      </c>
      <c r="D129">
        <v>128</v>
      </c>
      <c r="E129" s="3" t="s">
        <v>155</v>
      </c>
    </row>
    <row r="130" spans="1:5" x14ac:dyDescent="0.25">
      <c r="A130" s="3" t="s">
        <v>156</v>
      </c>
      <c r="B130" t="s">
        <v>23</v>
      </c>
      <c r="C130" s="9">
        <f>SUMIF('Base data map'!O:O,'map table'!E130,'Base data map'!E:E)</f>
        <v>0</v>
      </c>
      <c r="D130">
        <v>129</v>
      </c>
      <c r="E130" s="3" t="s">
        <v>156</v>
      </c>
    </row>
    <row r="131" spans="1:5" x14ac:dyDescent="0.25">
      <c r="A131" s="3" t="s">
        <v>157</v>
      </c>
      <c r="B131" t="s">
        <v>7</v>
      </c>
      <c r="C131" s="9">
        <f>SUMIF('Base data map'!O:O,'map table'!E131,'Base data map'!E:E)</f>
        <v>0</v>
      </c>
      <c r="D131">
        <v>130</v>
      </c>
      <c r="E131" s="3" t="s">
        <v>157</v>
      </c>
    </row>
    <row r="132" spans="1:5" x14ac:dyDescent="0.25">
      <c r="A132" s="3" t="s">
        <v>159</v>
      </c>
      <c r="B132" t="s">
        <v>14</v>
      </c>
      <c r="C132" s="9">
        <f>SUMIF('Base data map'!O:O,'map table'!E132,'Base data map'!E:E)</f>
        <v>0</v>
      </c>
      <c r="D132">
        <v>131</v>
      </c>
      <c r="E132" s="3" t="s">
        <v>159</v>
      </c>
    </row>
    <row r="133" spans="1:5" x14ac:dyDescent="0.25">
      <c r="A133" s="3" t="s">
        <v>160</v>
      </c>
      <c r="B133" t="s">
        <v>16</v>
      </c>
      <c r="C133" s="9">
        <f>SUMIF('Base data map'!O:O,'map table'!E133,'Base data map'!E:E)</f>
        <v>0</v>
      </c>
      <c r="D133">
        <v>0</v>
      </c>
      <c r="E133" s="3" t="s">
        <v>160</v>
      </c>
    </row>
    <row r="134" spans="1:5" x14ac:dyDescent="0.25">
      <c r="A134" s="3" t="s">
        <v>162</v>
      </c>
      <c r="B134" t="s">
        <v>21</v>
      </c>
      <c r="C134" s="9">
        <f>SUMIF('Base data map'!O:O,'map table'!E134,'Base data map'!E:E)</f>
        <v>0</v>
      </c>
      <c r="D134">
        <v>133</v>
      </c>
      <c r="E134" s="3" t="s">
        <v>162</v>
      </c>
    </row>
    <row r="135" spans="1:5" x14ac:dyDescent="0.25">
      <c r="A135" s="3" t="s">
        <v>163</v>
      </c>
      <c r="B135" t="s">
        <v>9</v>
      </c>
      <c r="C135" s="9">
        <f>SUMIF('Base data map'!O:O,'map table'!E135,'Base data map'!E:E)</f>
        <v>0</v>
      </c>
      <c r="D135">
        <v>134</v>
      </c>
      <c r="E135" s="3" t="s">
        <v>163</v>
      </c>
    </row>
    <row r="136" spans="1:5" x14ac:dyDescent="0.25">
      <c r="A136" s="3" t="s">
        <v>165</v>
      </c>
      <c r="B136" t="s">
        <v>14</v>
      </c>
      <c r="C136" s="9">
        <f>SUMIF('Base data map'!O:O,'map table'!E136,'Base data map'!E:E)</f>
        <v>0</v>
      </c>
      <c r="D136">
        <v>135</v>
      </c>
      <c r="E136" s="3" t="s">
        <v>165</v>
      </c>
    </row>
    <row r="137" spans="1:5" x14ac:dyDescent="0.25">
      <c r="A137" s="3" t="s">
        <v>166</v>
      </c>
      <c r="B137" t="s">
        <v>7</v>
      </c>
      <c r="C137" s="9">
        <f>SUMIF('Base data map'!O:O,'map table'!E137,'Base data map'!E:E)</f>
        <v>0</v>
      </c>
      <c r="D137">
        <v>136</v>
      </c>
      <c r="E137" s="3" t="s">
        <v>166</v>
      </c>
    </row>
    <row r="138" spans="1:5" x14ac:dyDescent="0.25">
      <c r="A138" s="3" t="s">
        <v>167</v>
      </c>
      <c r="B138" t="s">
        <v>14</v>
      </c>
      <c r="C138" s="9">
        <f>SUMIF('Base data map'!O:O,'map table'!E138,'Base data map'!E:E)</f>
        <v>0</v>
      </c>
      <c r="D138">
        <v>137</v>
      </c>
      <c r="E138" s="3" t="s">
        <v>167</v>
      </c>
    </row>
    <row r="139" spans="1:5" x14ac:dyDescent="0.25">
      <c r="A139" s="3" t="s">
        <v>168</v>
      </c>
      <c r="B139" t="s">
        <v>14</v>
      </c>
      <c r="C139" s="9">
        <f>SUMIF('Base data map'!O:O,'map table'!E139,'Base data map'!E:E)</f>
        <v>0</v>
      </c>
      <c r="D139">
        <v>138</v>
      </c>
      <c r="E139" s="3" t="s">
        <v>168</v>
      </c>
    </row>
    <row r="140" spans="1:5" x14ac:dyDescent="0.25">
      <c r="A140" s="3" t="s">
        <v>170</v>
      </c>
      <c r="B140" t="s">
        <v>25</v>
      </c>
      <c r="C140" s="9">
        <f>SUMIF('Base data map'!O:O,'map table'!E140,'Base data map'!E:E)</f>
        <v>0</v>
      </c>
      <c r="D140">
        <v>139</v>
      </c>
      <c r="E140" s="3" t="s">
        <v>170</v>
      </c>
    </row>
    <row r="141" spans="1:5" x14ac:dyDescent="0.25">
      <c r="A141" s="3" t="s">
        <v>171</v>
      </c>
      <c r="B141" t="s">
        <v>23</v>
      </c>
      <c r="C141" s="9">
        <f>SUMIF('Base data map'!O:O,'map table'!E141,'Base data map'!E:E)</f>
        <v>0</v>
      </c>
      <c r="D141">
        <v>140</v>
      </c>
      <c r="E141" s="3" t="s">
        <v>171</v>
      </c>
    </row>
    <row r="142" spans="1:5" x14ac:dyDescent="0.25">
      <c r="A142" s="3" t="s">
        <v>172</v>
      </c>
      <c r="B142" t="s">
        <v>23</v>
      </c>
      <c r="C142" s="9">
        <f>SUMIF('Base data map'!O:O,'map table'!E142,'Base data map'!E:E)</f>
        <v>0</v>
      </c>
      <c r="D142">
        <v>141</v>
      </c>
      <c r="E142" s="3" t="s">
        <v>172</v>
      </c>
    </row>
    <row r="143" spans="1:5" x14ac:dyDescent="0.25">
      <c r="A143" s="3" t="s">
        <v>173</v>
      </c>
      <c r="B143" t="s">
        <v>25</v>
      </c>
      <c r="C143" s="9">
        <f>SUMIF('Base data map'!O:O,'map table'!E143,'Base data map'!E:E)</f>
        <v>0</v>
      </c>
      <c r="D143">
        <v>142</v>
      </c>
      <c r="E143" s="3" t="s">
        <v>173</v>
      </c>
    </row>
    <row r="144" spans="1:5" x14ac:dyDescent="0.25">
      <c r="A144" s="3" t="s">
        <v>175</v>
      </c>
      <c r="B144" t="s">
        <v>14</v>
      </c>
      <c r="C144" s="9">
        <f>SUMIF('Base data map'!O:O,'map table'!E144,'Base data map'!E:E)</f>
        <v>0</v>
      </c>
      <c r="D144">
        <v>0</v>
      </c>
      <c r="E144" s="3" t="s">
        <v>175</v>
      </c>
    </row>
    <row r="145" spans="1:5" x14ac:dyDescent="0.25">
      <c r="A145" s="3" t="s">
        <v>176</v>
      </c>
      <c r="B145" t="s">
        <v>14</v>
      </c>
      <c r="C145" s="9">
        <f>SUMIF('Base data map'!O:O,'map table'!E145,'Base data map'!E:E)</f>
        <v>0</v>
      </c>
      <c r="D145">
        <v>144</v>
      </c>
      <c r="E145" s="3" t="s">
        <v>176</v>
      </c>
    </row>
    <row r="146" spans="1:5" x14ac:dyDescent="0.25">
      <c r="A146" s="3" t="s">
        <v>178</v>
      </c>
      <c r="B146" t="s">
        <v>25</v>
      </c>
      <c r="C146" s="9">
        <f>SUMIF('Base data map'!O:O,'map table'!E146,'Base data map'!E:E)</f>
        <v>1.4102747393976467</v>
      </c>
      <c r="D146">
        <v>145</v>
      </c>
      <c r="E146" s="3" t="s">
        <v>178</v>
      </c>
    </row>
    <row r="147" spans="1:5" x14ac:dyDescent="0.25">
      <c r="A147" s="3" t="s">
        <v>180</v>
      </c>
      <c r="B147" t="s">
        <v>23</v>
      </c>
      <c r="C147" s="9">
        <f>SUMIF('Base data map'!O:O,'map table'!E147,'Base data map'!E:E)</f>
        <v>0</v>
      </c>
      <c r="D147">
        <v>146</v>
      </c>
      <c r="E147" s="3" t="s">
        <v>180</v>
      </c>
    </row>
    <row r="148" spans="1:5" x14ac:dyDescent="0.25">
      <c r="A148" s="3" t="s">
        <v>181</v>
      </c>
      <c r="B148" t="s">
        <v>25</v>
      </c>
      <c r="C148" s="9">
        <f>SUMIF('Base data map'!O:O,'map table'!E148,'Base data map'!E:E)</f>
        <v>0</v>
      </c>
      <c r="D148">
        <v>147</v>
      </c>
      <c r="E148" s="3" t="s">
        <v>181</v>
      </c>
    </row>
    <row r="149" spans="1:5" x14ac:dyDescent="0.25">
      <c r="A149" s="3" t="s">
        <v>183</v>
      </c>
      <c r="B149" t="s">
        <v>18</v>
      </c>
      <c r="C149" s="9">
        <f>SUMIF('Base data map'!O:O,'map table'!E149,'Base data map'!E:E)</f>
        <v>0</v>
      </c>
      <c r="D149">
        <v>148</v>
      </c>
      <c r="E149" s="3" t="s">
        <v>183</v>
      </c>
    </row>
    <row r="150" spans="1:5" x14ac:dyDescent="0.25">
      <c r="A150" s="3" t="s">
        <v>184</v>
      </c>
      <c r="B150" t="s">
        <v>14</v>
      </c>
      <c r="C150" s="9">
        <f>SUMIF('Base data map'!O:O,'map table'!E150,'Base data map'!E:E)</f>
        <v>0</v>
      </c>
      <c r="D150">
        <v>149</v>
      </c>
      <c r="E150" s="3" t="s">
        <v>184</v>
      </c>
    </row>
    <row r="151" spans="1:5" x14ac:dyDescent="0.25">
      <c r="A151" s="3" t="s">
        <v>185</v>
      </c>
      <c r="B151" t="s">
        <v>23</v>
      </c>
      <c r="C151" s="9">
        <f>SUMIF('Base data map'!O:O,'map table'!E151,'Base data map'!E:E)</f>
        <v>0</v>
      </c>
      <c r="D151">
        <v>150</v>
      </c>
      <c r="E151" s="3" t="s">
        <v>185</v>
      </c>
    </row>
    <row r="152" spans="1:5" x14ac:dyDescent="0.25">
      <c r="A152" s="3" t="s">
        <v>186</v>
      </c>
      <c r="B152" t="s">
        <v>7</v>
      </c>
      <c r="C152" s="9">
        <f>SUMIF('Base data map'!O:O,'map table'!E152,'Base data map'!E:E)</f>
        <v>0</v>
      </c>
      <c r="D152">
        <v>151</v>
      </c>
      <c r="E152" s="3" t="s">
        <v>186</v>
      </c>
    </row>
    <row r="153" spans="1:5" x14ac:dyDescent="0.25">
      <c r="A153" s="3" t="s">
        <v>187</v>
      </c>
      <c r="B153" t="s">
        <v>9</v>
      </c>
      <c r="C153" s="9">
        <f>SUMIF('Base data map'!O:O,'map table'!E153,'Base data map'!E:E)</f>
        <v>0</v>
      </c>
      <c r="D153">
        <v>0</v>
      </c>
      <c r="E153" s="3" t="s">
        <v>187</v>
      </c>
    </row>
    <row r="154" spans="1:5" x14ac:dyDescent="0.25">
      <c r="A154" s="3" t="s">
        <v>188</v>
      </c>
      <c r="B154" t="s">
        <v>25</v>
      </c>
      <c r="C154" s="9">
        <f>SUMIF('Base data map'!O:O,'map table'!E154,'Base data map'!E:E)</f>
        <v>0</v>
      </c>
      <c r="D154">
        <v>153</v>
      </c>
      <c r="E154" s="3" t="s">
        <v>188</v>
      </c>
    </row>
    <row r="155" spans="1:5" x14ac:dyDescent="0.25">
      <c r="A155" s="3" t="s">
        <v>189</v>
      </c>
      <c r="B155" t="s">
        <v>14</v>
      </c>
      <c r="C155" s="9">
        <f>SUMIF('Base data map'!O:O,'map table'!E155,'Base data map'!E:E)</f>
        <v>0</v>
      </c>
      <c r="D155">
        <v>154</v>
      </c>
      <c r="E155" s="3" t="s">
        <v>189</v>
      </c>
    </row>
    <row r="156" spans="1:5" x14ac:dyDescent="0.25">
      <c r="A156" s="3" t="s">
        <v>190</v>
      </c>
      <c r="B156" t="s">
        <v>25</v>
      </c>
      <c r="C156" s="9">
        <f>SUMIF('Base data map'!O:O,'map table'!E156,'Base data map'!E:E)</f>
        <v>0</v>
      </c>
      <c r="D156">
        <v>155</v>
      </c>
      <c r="E156" s="3" t="s">
        <v>190</v>
      </c>
    </row>
    <row r="157" spans="1:5" x14ac:dyDescent="0.25">
      <c r="A157" s="3" t="s">
        <v>191</v>
      </c>
      <c r="B157" t="s">
        <v>14</v>
      </c>
      <c r="C157" s="9">
        <f>SUMIF('Base data map'!O:O,'map table'!E157,'Base data map'!E:E)</f>
        <v>0</v>
      </c>
      <c r="D157">
        <v>156</v>
      </c>
      <c r="E157" s="3" t="s">
        <v>191</v>
      </c>
    </row>
    <row r="158" spans="1:5" x14ac:dyDescent="0.25">
      <c r="A158" s="3" t="s">
        <v>192</v>
      </c>
      <c r="B158" t="s">
        <v>9</v>
      </c>
      <c r="C158" s="9">
        <f>SUMIF('Base data map'!O:O,'map table'!E158,'Base data map'!E:E)</f>
        <v>0</v>
      </c>
      <c r="D158">
        <v>157</v>
      </c>
      <c r="E158" s="3" t="s">
        <v>192</v>
      </c>
    </row>
    <row r="159" spans="1:5" x14ac:dyDescent="0.25">
      <c r="A159" s="3" t="s">
        <v>193</v>
      </c>
      <c r="B159" t="s">
        <v>7</v>
      </c>
      <c r="C159" s="9">
        <f>SUMIF('Base data map'!O:O,'map table'!E159,'Base data map'!E:E)</f>
        <v>0</v>
      </c>
      <c r="D159">
        <v>158</v>
      </c>
      <c r="E159" s="3" t="s">
        <v>193</v>
      </c>
    </row>
    <row r="160" spans="1:5" x14ac:dyDescent="0.25">
      <c r="A160" s="3" t="s">
        <v>194</v>
      </c>
      <c r="B160" t="s">
        <v>25</v>
      </c>
      <c r="C160" s="9">
        <f>SUMIF('Base data map'!O:O,'map table'!E160,'Base data map'!E:E)</f>
        <v>0</v>
      </c>
      <c r="D160">
        <v>159</v>
      </c>
      <c r="E160" s="3" t="s">
        <v>194</v>
      </c>
    </row>
    <row r="161" spans="1:5" x14ac:dyDescent="0.25">
      <c r="A161" s="3" t="s">
        <v>195</v>
      </c>
      <c r="B161" t="s">
        <v>14</v>
      </c>
      <c r="C161" s="9">
        <f>SUMIF('Base data map'!O:O,'map table'!E161,'Base data map'!E:E)</f>
        <v>0</v>
      </c>
      <c r="D161">
        <v>160</v>
      </c>
      <c r="E161" s="3" t="s">
        <v>195</v>
      </c>
    </row>
    <row r="162" spans="1:5" x14ac:dyDescent="0.25">
      <c r="A162" s="3" t="s">
        <v>196</v>
      </c>
      <c r="B162" t="s">
        <v>7</v>
      </c>
      <c r="C162" s="9">
        <f>SUMIF('Base data map'!O:O,'map table'!E162,'Base data map'!E:E)</f>
        <v>0</v>
      </c>
      <c r="D162">
        <v>161</v>
      </c>
      <c r="E162" s="3" t="s">
        <v>196</v>
      </c>
    </row>
    <row r="163" spans="1:5" x14ac:dyDescent="0.25">
      <c r="A163" s="3" t="s">
        <v>197</v>
      </c>
      <c r="B163" t="s">
        <v>9</v>
      </c>
      <c r="C163" s="9">
        <f>SUMIF('Base data map'!O:O,'map table'!E163,'Base data map'!E:E)</f>
        <v>0</v>
      </c>
      <c r="D163">
        <v>162</v>
      </c>
      <c r="E163" s="3" t="s">
        <v>197</v>
      </c>
    </row>
    <row r="164" spans="1:5" x14ac:dyDescent="0.25">
      <c r="A164" s="3" t="s">
        <v>199</v>
      </c>
      <c r="B164" t="s">
        <v>36</v>
      </c>
      <c r="C164" s="9">
        <f>SUMIF('Base data map'!O:O,'map table'!E164,'Base data map'!E:E)</f>
        <v>2.7674206974069109</v>
      </c>
      <c r="D164">
        <v>163</v>
      </c>
      <c r="E164" s="3" t="s">
        <v>199</v>
      </c>
    </row>
    <row r="165" spans="1:5" x14ac:dyDescent="0.25">
      <c r="A165" s="3" t="s">
        <v>201</v>
      </c>
      <c r="B165" t="s">
        <v>18</v>
      </c>
      <c r="C165" s="9">
        <f>SUMIF('Base data map'!O:O,'map table'!E165,'Base data map'!E:E)</f>
        <v>0</v>
      </c>
      <c r="D165">
        <v>164</v>
      </c>
      <c r="E165" s="3" t="s">
        <v>201</v>
      </c>
    </row>
    <row r="166" spans="1:5" x14ac:dyDescent="0.25">
      <c r="A166" s="3" t="s">
        <v>202</v>
      </c>
      <c r="B166" t="s">
        <v>25</v>
      </c>
      <c r="C166" s="9">
        <f>SUMIF('Base data map'!O:O,'map table'!E166,'Base data map'!E:E)</f>
        <v>0</v>
      </c>
      <c r="D166">
        <v>165</v>
      </c>
      <c r="E166" s="3" t="s">
        <v>202</v>
      </c>
    </row>
    <row r="167" spans="1:5" x14ac:dyDescent="0.25">
      <c r="A167" s="3" t="s">
        <v>203</v>
      </c>
      <c r="B167" t="s">
        <v>18</v>
      </c>
      <c r="C167" s="9">
        <f>SUMIF('Base data map'!O:O,'map table'!E167,'Base data map'!E:E)</f>
        <v>0</v>
      </c>
      <c r="D167">
        <v>166</v>
      </c>
      <c r="E167" s="3" t="s">
        <v>203</v>
      </c>
    </row>
    <row r="168" spans="1:5" x14ac:dyDescent="0.25">
      <c r="A168" s="3" t="s">
        <v>204</v>
      </c>
      <c r="B168" t="s">
        <v>25</v>
      </c>
      <c r="C168" s="9">
        <f>SUMIF('Base data map'!O:O,'map table'!E168,'Base data map'!E:E)</f>
        <v>0</v>
      </c>
      <c r="D168">
        <v>167</v>
      </c>
      <c r="E168" s="3" t="s">
        <v>204</v>
      </c>
    </row>
    <row r="169" spans="1:5" x14ac:dyDescent="0.25">
      <c r="A169" s="3" t="s">
        <v>205</v>
      </c>
      <c r="B169" t="s">
        <v>9</v>
      </c>
      <c r="C169" s="9">
        <f>SUMIF('Base data map'!O:O,'map table'!E169,'Base data map'!E:E)</f>
        <v>0</v>
      </c>
      <c r="D169">
        <v>168</v>
      </c>
      <c r="E169" s="3" t="s">
        <v>205</v>
      </c>
    </row>
    <row r="170" spans="1:5" x14ac:dyDescent="0.25">
      <c r="A170" s="3" t="s">
        <v>206</v>
      </c>
      <c r="B170" t="s">
        <v>14</v>
      </c>
      <c r="C170" s="9">
        <f>SUMIF('Base data map'!O:O,'map table'!E170,'Base data map'!E:E)</f>
        <v>0</v>
      </c>
      <c r="D170">
        <v>169</v>
      </c>
      <c r="E170" s="3" t="s">
        <v>206</v>
      </c>
    </row>
    <row r="171" spans="1:5" x14ac:dyDescent="0.25">
      <c r="A171" s="3" t="s">
        <v>207</v>
      </c>
      <c r="B171" t="s">
        <v>14</v>
      </c>
      <c r="C171" s="9">
        <f>SUMIF('Base data map'!O:O,'map table'!E171,'Base data map'!E:E)</f>
        <v>0</v>
      </c>
      <c r="D171">
        <v>170</v>
      </c>
      <c r="E171" s="3" t="s">
        <v>207</v>
      </c>
    </row>
    <row r="172" spans="1:5" x14ac:dyDescent="0.25">
      <c r="A172" s="3" t="s">
        <v>208</v>
      </c>
      <c r="B172" t="s">
        <v>7</v>
      </c>
      <c r="C172" s="9">
        <f>SUMIF('Base data map'!O:O,'map table'!E172,'Base data map'!E:E)</f>
        <v>0</v>
      </c>
      <c r="D172">
        <v>171</v>
      </c>
      <c r="E172" s="3" t="s">
        <v>208</v>
      </c>
    </row>
    <row r="173" spans="1:5" x14ac:dyDescent="0.25">
      <c r="A173" s="3" t="s">
        <v>209</v>
      </c>
      <c r="B173" t="s">
        <v>23</v>
      </c>
      <c r="C173" s="9">
        <f>SUMIF('Base data map'!O:O,'map table'!E173,'Base data map'!E:E)</f>
        <v>0</v>
      </c>
      <c r="D173">
        <v>172</v>
      </c>
      <c r="E173" s="3" t="s">
        <v>209</v>
      </c>
    </row>
    <row r="174" spans="1:5" x14ac:dyDescent="0.25">
      <c r="A174" s="3" t="s">
        <v>210</v>
      </c>
      <c r="B174" t="s">
        <v>25</v>
      </c>
      <c r="C174" s="9">
        <f>SUMIF('Base data map'!O:O,'map table'!E174,'Base data map'!E:E)</f>
        <v>0</v>
      </c>
      <c r="D174">
        <v>173</v>
      </c>
      <c r="E174" s="3" t="s">
        <v>210</v>
      </c>
    </row>
    <row r="175" spans="1:5" x14ac:dyDescent="0.25">
      <c r="A175" s="3" t="s">
        <v>211</v>
      </c>
      <c r="B175" t="s">
        <v>16</v>
      </c>
      <c r="C175" s="9">
        <f>SUMIF('Base data map'!O:O,'map table'!E175,'Base data map'!E:E)</f>
        <v>0</v>
      </c>
      <c r="D175">
        <v>174</v>
      </c>
      <c r="E175" s="3" t="s">
        <v>211</v>
      </c>
    </row>
    <row r="176" spans="1:5" x14ac:dyDescent="0.25">
      <c r="A176" s="3" t="s">
        <v>212</v>
      </c>
      <c r="B176" t="s">
        <v>23</v>
      </c>
      <c r="C176" s="9">
        <f>SUMIF('Base data map'!O:O,'map table'!E176,'Base data map'!E:E)</f>
        <v>3.8238846598838623</v>
      </c>
      <c r="D176">
        <v>175</v>
      </c>
      <c r="E176" s="3" t="s">
        <v>212</v>
      </c>
    </row>
    <row r="177" spans="1:5" x14ac:dyDescent="0.25">
      <c r="A177" s="3" t="s">
        <v>533</v>
      </c>
      <c r="B177" t="s">
        <v>14</v>
      </c>
      <c r="C177" s="9">
        <f>SUMIF('Base data map'!O:O,'map table'!E177,'Base data map'!E:E)</f>
        <v>0</v>
      </c>
      <c r="E177" s="3" t="s">
        <v>533</v>
      </c>
    </row>
    <row r="178" spans="1:5" x14ac:dyDescent="0.25">
      <c r="A178" s="3" t="s">
        <v>534</v>
      </c>
      <c r="B178" t="s">
        <v>14</v>
      </c>
      <c r="C178" s="9">
        <f>SUMIF('Base data map'!O:O,'map table'!E178,'Base data map'!E:E)</f>
        <v>0</v>
      </c>
      <c r="E178" s="3" t="s">
        <v>534</v>
      </c>
    </row>
    <row r="179" spans="1:5" x14ac:dyDescent="0.25">
      <c r="A179" s="3" t="s">
        <v>535</v>
      </c>
      <c r="B179" t="s">
        <v>9</v>
      </c>
      <c r="C179" s="9">
        <f>SUMIF('Base data map'!O:O,'map table'!E179,'Base data map'!E:E)</f>
        <v>0</v>
      </c>
      <c r="E179" s="3" t="s">
        <v>535</v>
      </c>
    </row>
    <row r="180" spans="1:5" x14ac:dyDescent="0.25">
      <c r="A180" s="3" t="s">
        <v>536</v>
      </c>
      <c r="B180" t="s">
        <v>9</v>
      </c>
      <c r="C180" s="9">
        <f>SUMIF('Base data map'!O:O,'map table'!E180,'Base data map'!E:E)</f>
        <v>0</v>
      </c>
      <c r="E180" s="3" t="s">
        <v>536</v>
      </c>
    </row>
    <row r="181" spans="1:5" x14ac:dyDescent="0.25">
      <c r="A181" s="3" t="s">
        <v>537</v>
      </c>
      <c r="B181" t="s">
        <v>14</v>
      </c>
      <c r="C181" s="9">
        <f>SUMIF('Base data map'!O:O,'map table'!E181,'Base data map'!E:E)</f>
        <v>0</v>
      </c>
      <c r="E181" s="3" t="s">
        <v>537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4B635-C931-470C-A7C7-82697DE65F89}">
  <sheetPr codeName="Planilha11">
    <tabColor theme="6"/>
  </sheetPr>
  <dimension ref="A1:Q163"/>
  <sheetViews>
    <sheetView showGridLines="0" workbookViewId="0"/>
  </sheetViews>
  <sheetFormatPr defaultRowHeight="15" x14ac:dyDescent="0.25"/>
  <cols>
    <col min="2" max="2" width="18.7109375" customWidth="1"/>
    <col min="4" max="4" width="23.7109375" customWidth="1"/>
    <col min="5" max="5" width="18.5703125" customWidth="1"/>
    <col min="7" max="7" width="17.42578125" customWidth="1"/>
    <col min="8" max="8" width="12.28515625" bestFit="1" customWidth="1"/>
    <col min="9" max="9" width="27.85546875" customWidth="1"/>
    <col min="10" max="10" width="16.140625" customWidth="1"/>
    <col min="11" max="11" width="22.5703125" customWidth="1"/>
    <col min="12" max="12" width="13.7109375" customWidth="1"/>
    <col min="13" max="13" width="16.42578125" customWidth="1"/>
    <col min="14" max="16" width="15.42578125" customWidth="1"/>
  </cols>
  <sheetData>
    <row r="1" spans="1:17" x14ac:dyDescent="0.25">
      <c r="G1" t="s">
        <v>538</v>
      </c>
      <c r="K1" t="s">
        <v>378</v>
      </c>
      <c r="L1">
        <f>SUMIF(team,'Market Analyzes'!C3,'Config!'!$AX$3:$AX$12)</f>
        <v>1</v>
      </c>
    </row>
    <row r="2" spans="1:17" x14ac:dyDescent="0.25">
      <c r="D2" t="s">
        <v>539</v>
      </c>
      <c r="E2" t="s">
        <v>540</v>
      </c>
      <c r="F2">
        <v>50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</row>
    <row r="3" spans="1:17" ht="34.5" customHeight="1" x14ac:dyDescent="0.25">
      <c r="A3" s="1" t="s">
        <v>0</v>
      </c>
      <c r="B3" s="1" t="s">
        <v>541</v>
      </c>
      <c r="C3" s="1" t="s">
        <v>1</v>
      </c>
      <c r="D3" s="1" t="s">
        <v>3</v>
      </c>
      <c r="E3" s="1" t="s">
        <v>530</v>
      </c>
      <c r="F3" s="1" t="s">
        <v>542</v>
      </c>
      <c r="G3" s="1" t="str">
        <f>Language!C340</f>
        <v>População (milhões)</v>
      </c>
      <c r="H3" s="1" t="str">
        <f>Language!C26</f>
        <v>PIB per capita (U$ dólar)</v>
      </c>
      <c r="I3" s="1" t="str">
        <f>Language!C18</f>
        <v>Densidade populacional (pop / km quadrado)</v>
      </c>
      <c r="J3" s="1" t="str">
        <f>Language!C325</f>
        <v>Usuários ativos (milhares)</v>
      </c>
      <c r="K3" s="1" t="str">
        <f>Language!C326</f>
        <v>Penetração de mercado (categoria)</v>
      </c>
      <c r="L3" s="1" t="str">
        <f>Language!C341</f>
        <v>Penetração de mercado da sua empresa) (% ususários)</v>
      </c>
      <c r="M3" s="1" t="str">
        <f>Language!C327</f>
        <v>Demanda do Mercado (U $ Milhões)</v>
      </c>
      <c r="N3" s="1" t="str">
        <f>Language!C329</f>
        <v>Número de concorrentes</v>
      </c>
      <c r="O3" t="s">
        <v>543</v>
      </c>
      <c r="Q3" s="1" t="s">
        <v>544</v>
      </c>
    </row>
    <row r="4" spans="1:17" x14ac:dyDescent="0.25">
      <c r="A4" s="2">
        <f>'Config!'!C2</f>
        <v>144</v>
      </c>
      <c r="B4" s="2" t="str">
        <f>C4&amp;" 
"&amp;IF(E4=F4,"",TEXT(F4,"###"))</f>
        <v xml:space="preserve">África do Sul 
</v>
      </c>
      <c r="C4" s="3" t="str">
        <f>'Config!'!A2</f>
        <v>África do Sul</v>
      </c>
      <c r="D4" s="3" t="str">
        <f>'Config!'!B2</f>
        <v>África Subsaariana</v>
      </c>
      <c r="E4" t="str">
        <f>INDEX(G4:N4,1,SUMIF($G$3:$N$3,WorldMap!$Q$1,$G$2:$N$2))</f>
        <v>.</v>
      </c>
      <c r="F4" t="str">
        <f>INDEX(G4:N4,1,SUMIF($G$3:$N$3,WorldMap!$Q$1,$G$2:$N$2))</f>
        <v>.</v>
      </c>
      <c r="G4" s="9">
        <f>IF(A4="","",INDEX(Population!$BD$3:$BP$177,A4,'Config!'!$AZ$17+1)/1000000)</f>
        <v>52.356380999999999</v>
      </c>
      <c r="H4" s="38">
        <f>IF(A4="","",INDEX(GDP!$G$3:$S$177,A4,'Config!'!$AZ$17+1)*1000/G4)</f>
        <v>7569.8392851147355</v>
      </c>
      <c r="I4">
        <f>IF(A4="","",G4*1000000/INDEX(Population!$CH$3:$CH$177,A4,1))</f>
        <v>43.110476998196745</v>
      </c>
      <c r="J4" t="str">
        <f>IF(A4="","",IFERROR(INDEX('Result data'!$R$216:$AC$390,A4,'Config!'!$BA$17),"."))</f>
        <v>.</v>
      </c>
      <c r="K4" s="8" t="str">
        <f>IFERROR(100*J4/(G4*1000000),".")</f>
        <v>.</v>
      </c>
      <c r="L4" t="str">
        <f>IF(A4="","",IFERROR(INDEX('Result data'!$ES$216:$FB$390,A4,$L$1)/J4*100,"."))</f>
        <v>.</v>
      </c>
      <c r="M4">
        <f>IF(A4="","",IFERROR(INDEX('Result data'!$BS$216:$CD$390,A4,'Config!'!$BA$17)/1000000,"."))</f>
        <v>0</v>
      </c>
      <c r="N4">
        <f>IF(A4="","",IFERROR(INDEX('Result data'!$AE$216:$AP$390,A4,'Config!'!$BA$17),"."))</f>
        <v>0</v>
      </c>
      <c r="O4" t="str">
        <f>INDEX(Language!$B$149:$B$308,MATCH(C4,Language!$C$149:$C$308,0))</f>
        <v>South Africa</v>
      </c>
      <c r="Q4" t="str">
        <f t="array" ref="Q4:Q11">TRANSPOSE(G3:N3)</f>
        <v>População (milhões)</v>
      </c>
    </row>
    <row r="5" spans="1:17" x14ac:dyDescent="0.25">
      <c r="A5" s="2">
        <f>'Config!'!C3</f>
        <v>1</v>
      </c>
      <c r="B5" s="2" t="str">
        <f t="shared" ref="B5:B68" si="0">C5&amp;" 
"&amp;IF(E5=F5,"",TEXT(F5,"###"))</f>
        <v xml:space="preserve">Albânia 
</v>
      </c>
      <c r="C5" s="3" t="str">
        <f>'Config!'!A3</f>
        <v>Albânia</v>
      </c>
      <c r="D5" s="3" t="str">
        <f>'Config!'!B3</f>
        <v>Europa</v>
      </c>
      <c r="E5" t="str">
        <f>INDEX(G5:N5,1,SUMIF($G$3:$N$3,WorldMap!$Q$1,$G$2:$N$2))</f>
        <v>.</v>
      </c>
      <c r="F5" t="str">
        <f>INDEX(G5:N5,1,SUMIF($G$3:$N$3,WorldMap!$Q$1,$G$2:$N$2))</f>
        <v>.</v>
      </c>
      <c r="G5" s="9">
        <f>IF(A5="","",INDEX(Population!$BD$3:$BP$177,A5,'Config!'!$AZ$17+1)/1000000)</f>
        <v>2.9002469999999998</v>
      </c>
      <c r="H5" s="38">
        <f>IF(A5="","",INDEX(GDP!$G$3:$S$177,A5,'Config!'!$AZ$17+1)*1000/G5)</f>
        <v>4247.8398861213418</v>
      </c>
      <c r="I5">
        <f>IF(A5="","",G5*1000000/INDEX(Population!$CH$3:$CH$177,A5,1))</f>
        <v>105.85615738375064</v>
      </c>
      <c r="J5" t="str">
        <f>IF(A5="","",IFERROR(INDEX('Result data'!$R$216:$AC$390,A5,'Config!'!$BA$17),"."))</f>
        <v>.</v>
      </c>
      <c r="K5" s="8" t="str">
        <f t="shared" ref="K5:K68" si="1">IFERROR(100*J5/(G5*1000000),".")</f>
        <v>.</v>
      </c>
      <c r="L5" t="str">
        <f>IF(A5="","",IFERROR(INDEX('Result data'!$ES$216:$FB$390,A5,$L$1)/J5*100,"."))</f>
        <v>.</v>
      </c>
      <c r="M5">
        <f>IF(A5="","",IFERROR(INDEX('Result data'!$BS$216:$CD$390,A5,'Config!'!$BA$17)/1000000,"."))</f>
        <v>0</v>
      </c>
      <c r="N5">
        <f>IF(A5="","",IFERROR(INDEX('Result data'!$AE$216:$AP$390,A5,'Config!'!$BA$17),"."))</f>
        <v>0</v>
      </c>
      <c r="O5" t="str">
        <f>INDEX(Language!$B$149:$B$308,MATCH(C5,Language!$C$149:$C$308,0))</f>
        <v>Albania</v>
      </c>
      <c r="Q5" t="str">
        <v>PIB per capita (U$ dólar)</v>
      </c>
    </row>
    <row r="6" spans="1:17" x14ac:dyDescent="0.25">
      <c r="A6" s="2">
        <f>'Config!'!C4</f>
        <v>60</v>
      </c>
      <c r="B6" s="2" t="str">
        <f t="shared" si="0"/>
        <v xml:space="preserve">Alemanha 
</v>
      </c>
      <c r="C6" s="3" t="str">
        <f>'Config!'!A4</f>
        <v>Alemanha</v>
      </c>
      <c r="D6" s="3" t="str">
        <f>'Config!'!B4</f>
        <v>União Européia</v>
      </c>
      <c r="E6">
        <f>INDEX(G6:N6,1,SUMIF($G$3:$N$3,WorldMap!$Q$1,$G$2:$N$2))</f>
        <v>4.3022512806614364</v>
      </c>
      <c r="F6">
        <f>INDEX(G6:N6,1,SUMIF($G$3:$N$3,WorldMap!$Q$1,$G$2:$N$2))</f>
        <v>4.3022512806614364</v>
      </c>
      <c r="G6" s="9">
        <f>IF(A6="","",INDEX(Population!$BD$3:$BP$177,A6,'Config!'!$AZ$17+1)/1000000)</f>
        <v>80.425822999999994</v>
      </c>
      <c r="H6" s="38">
        <f>IF(A6="","",INDEX(GDP!$G$3:$S$177,A6,'Config!'!$AZ$17+1)*1000/G6)</f>
        <v>44065.248908276721</v>
      </c>
      <c r="I6">
        <f>IF(A6="","",G6*1000000/INDEX(Population!$CH$3:$CH$177,A6,1))</f>
        <v>230.66326805708516</v>
      </c>
      <c r="J6">
        <f>IF(A6="","",IFERROR(INDEX('Result data'!$R$216:$AC$390,A6,'Config!'!$BA$17),"."))</f>
        <v>3460121</v>
      </c>
      <c r="K6" s="8">
        <f t="shared" si="1"/>
        <v>4.3022512806614364</v>
      </c>
      <c r="L6">
        <f>IF(A6="","",IFERROR(INDEX('Result data'!$ES$216:$FB$390,A6,$L$1)/J6*100,"."))</f>
        <v>73.602928428074904</v>
      </c>
      <c r="M6">
        <f>IF(A6="","",IFERROR(INDEX('Result data'!$BS$216:$CD$390,A6,'Config!'!$BA$17)/1000000,"."))</f>
        <v>67.279097650353634</v>
      </c>
      <c r="N6">
        <f>IF(A6="","",IFERROR(INDEX('Result data'!$AE$216:$AP$390,A6,'Config!'!$BA$17),"."))</f>
        <v>3</v>
      </c>
      <c r="O6" t="str">
        <f>INDEX(Language!$B$149:$B$308,MATCH(C6,Language!$C$149:$C$308,0))</f>
        <v>Germany</v>
      </c>
      <c r="Q6" t="str">
        <v>Densidade populacional (pop / km quadrado)</v>
      </c>
    </row>
    <row r="7" spans="1:17" x14ac:dyDescent="0.25">
      <c r="A7" s="2">
        <f>'Config!'!C5</f>
        <v>4</v>
      </c>
      <c r="B7" s="2" t="str">
        <f t="shared" si="0"/>
        <v xml:space="preserve">Angola 
</v>
      </c>
      <c r="C7" s="3" t="str">
        <f>'Config!'!A5</f>
        <v>Angola</v>
      </c>
      <c r="D7" s="3" t="str">
        <f>'Config!'!B5</f>
        <v>África Subsaariana</v>
      </c>
      <c r="E7" t="str">
        <f>INDEX(G7:N7,1,SUMIF($G$3:$N$3,WorldMap!$Q$1,$G$2:$N$2))</f>
        <v>.</v>
      </c>
      <c r="F7" t="str">
        <f>INDEX(G7:N7,1,SUMIF($G$3:$N$3,WorldMap!$Q$1,$G$2:$N$2))</f>
        <v>.</v>
      </c>
      <c r="G7" s="9">
        <f>IF(A7="","",INDEX(Population!$BD$3:$BP$177,A7,'Config!'!$AZ$17+1)/1000000)</f>
        <v>22.685631999999998</v>
      </c>
      <c r="H7" s="38">
        <f>IF(A7="","",INDEX(GDP!$G$3:$S$177,A7,'Config!'!$AZ$17+1)*1000/G7)</f>
        <v>5644.6676752539033</v>
      </c>
      <c r="I7">
        <f>IF(A7="","",G7*1000000/INDEX(Population!$CH$3:$CH$177,A7,1))</f>
        <v>18.196544477420389</v>
      </c>
      <c r="J7" t="str">
        <f>IF(A7="","",IFERROR(INDEX('Result data'!$R$216:$AC$390,A7,'Config!'!$BA$17),"."))</f>
        <v>.</v>
      </c>
      <c r="K7" s="8" t="str">
        <f t="shared" si="1"/>
        <v>.</v>
      </c>
      <c r="L7" t="str">
        <f>IF(A7="","",IFERROR(INDEX('Result data'!$ES$216:$FB$390,A7,$L$1)/J7*100,"."))</f>
        <v>.</v>
      </c>
      <c r="M7">
        <f>IF(A7="","",IFERROR(INDEX('Result data'!$BS$216:$CD$390,A7,'Config!'!$BA$17)/1000000,"."))</f>
        <v>0</v>
      </c>
      <c r="N7">
        <f>IF(A7="","",IFERROR(INDEX('Result data'!$AE$216:$AP$390,A7,'Config!'!$BA$17),"."))</f>
        <v>0</v>
      </c>
      <c r="O7" t="str">
        <f>INDEX(Language!$B$149:$B$308,MATCH(C7,Language!$C$149:$C$308,0))</f>
        <v>Angola</v>
      </c>
      <c r="Q7" t="str">
        <v>Usuários ativos (milhares)</v>
      </c>
    </row>
    <row r="8" spans="1:17" x14ac:dyDescent="0.25">
      <c r="A8" s="2">
        <f>'Config!'!C6</f>
        <v>134</v>
      </c>
      <c r="B8" s="2" t="str">
        <f t="shared" si="0"/>
        <v xml:space="preserve">Arábia Saudita 
</v>
      </c>
      <c r="C8" s="3" t="str">
        <f>'Config!'!A6</f>
        <v>Arábia Saudita</v>
      </c>
      <c r="D8" s="3" t="str">
        <f>'Config!'!B6</f>
        <v>Oriente médio</v>
      </c>
      <c r="E8" t="str">
        <f>INDEX(G8:N8,1,SUMIF($G$3:$N$3,WorldMap!$Q$1,$G$2:$N$2))</f>
        <v>.</v>
      </c>
      <c r="F8" t="str">
        <f>INDEX(G8:N8,1,SUMIF($G$3:$N$3,WorldMap!$Q$1,$G$2:$N$2))</f>
        <v>.</v>
      </c>
      <c r="G8" s="9">
        <f>IF(A8="","",INDEX(Population!$BD$3:$BP$177,A8,'Config!'!$AZ$17+1)/1000000)</f>
        <v>29.496047000000001</v>
      </c>
      <c r="H8" s="38">
        <f>IF(A8="","",INDEX(GDP!$G$3:$S$177,A8,'Config!'!$AZ$17+1)*1000/G8)</f>
        <v>24951.643295116803</v>
      </c>
      <c r="I8">
        <f>IF(A8="","",G8*1000000/INDEX(Population!$CH$3:$CH$177,A8,1))</f>
        <v>13.721070014746312</v>
      </c>
      <c r="J8" t="str">
        <f>IF(A8="","",IFERROR(INDEX('Result data'!$R$216:$AC$390,A8,'Config!'!$BA$17),"."))</f>
        <v>.</v>
      </c>
      <c r="K8" s="8" t="str">
        <f t="shared" si="1"/>
        <v>.</v>
      </c>
      <c r="L8" t="str">
        <f>IF(A8="","",IFERROR(INDEX('Result data'!$ES$216:$FB$390,A8,$L$1)/J8*100,"."))</f>
        <v>.</v>
      </c>
      <c r="M8">
        <f>IF(A8="","",IFERROR(INDEX('Result data'!$BS$216:$CD$390,A8,'Config!'!$BA$17)/1000000,"."))</f>
        <v>0</v>
      </c>
      <c r="N8">
        <f>IF(A8="","",IFERROR(INDEX('Result data'!$AE$216:$AP$390,A8,'Config!'!$BA$17),"."))</f>
        <v>0</v>
      </c>
      <c r="O8" t="str">
        <f>INDEX(Language!$B$149:$B$308,MATCH(C8,Language!$C$149:$C$308,0))</f>
        <v>Saudi Arabia</v>
      </c>
      <c r="Q8" t="str">
        <v>Penetração de mercado (categoria)</v>
      </c>
    </row>
    <row r="9" spans="1:17" x14ac:dyDescent="0.25">
      <c r="A9" s="2">
        <f>'Config!'!C7</f>
        <v>2</v>
      </c>
      <c r="B9" s="2" t="str">
        <f t="shared" si="0"/>
        <v xml:space="preserve">Argélia 
</v>
      </c>
      <c r="C9" s="3" t="str">
        <f>'Config!'!A7</f>
        <v>Argélia</v>
      </c>
      <c r="D9" s="3" t="str">
        <f>'Config!'!B7</f>
        <v>Oriente médio</v>
      </c>
      <c r="E9" t="str">
        <f>INDEX(G9:N9,1,SUMIF($G$3:$N$3,WorldMap!$Q$1,$G$2:$N$2))</f>
        <v>.</v>
      </c>
      <c r="F9" t="str">
        <f>INDEX(G9:N9,1,SUMIF($G$3:$N$3,WorldMap!$Q$1,$G$2:$N$2))</f>
        <v>.</v>
      </c>
      <c r="G9" s="9">
        <f>IF(A9="","",INDEX(Population!$BD$3:$BP$177,A9,'Config!'!$AZ$17+1)/1000000)</f>
        <v>37.439427000000002</v>
      </c>
      <c r="H9" s="38">
        <f>IF(A9="","",INDEX(GDP!$G$3:$S$177,A9,'Config!'!$AZ$17+1)*1000/G9)</f>
        <v>5583.9260561366355</v>
      </c>
      <c r="I9">
        <f>IF(A9="","",G9*1000000/INDEX(Population!$CH$3:$CH$177,A9,1))</f>
        <v>15.719352775973542</v>
      </c>
      <c r="J9" t="str">
        <f>IF(A9="","",IFERROR(INDEX('Result data'!$R$216:$AC$390,A9,'Config!'!$BA$17),"."))</f>
        <v>.</v>
      </c>
      <c r="K9" s="8" t="str">
        <f t="shared" si="1"/>
        <v>.</v>
      </c>
      <c r="L9" t="str">
        <f>IF(A9="","",IFERROR(INDEX('Result data'!$ES$216:$FB$390,A9,$L$1)/J9*100,"."))</f>
        <v>.</v>
      </c>
      <c r="M9">
        <f>IF(A9="","",IFERROR(INDEX('Result data'!$BS$216:$CD$390,A9,'Config!'!$BA$17)/1000000,"."))</f>
        <v>0</v>
      </c>
      <c r="N9">
        <f>IF(A9="","",IFERROR(INDEX('Result data'!$AE$216:$AP$390,A9,'Config!'!$BA$17),"."))</f>
        <v>0</v>
      </c>
      <c r="O9" t="str">
        <f>INDEX(Language!$B$149:$B$308,MATCH(C9,Language!$C$149:$C$308,0))</f>
        <v>Algeria</v>
      </c>
      <c r="Q9" t="str">
        <v>Penetração de mercado da sua empresa) (% ususários)</v>
      </c>
    </row>
    <row r="10" spans="1:17" x14ac:dyDescent="0.25">
      <c r="A10" s="2">
        <f>'Config!'!C8</f>
        <v>6</v>
      </c>
      <c r="B10" s="2" t="str">
        <f t="shared" si="0"/>
        <v xml:space="preserve">Argentina 
</v>
      </c>
      <c r="C10" s="3" t="str">
        <f>'Config!'!A8</f>
        <v>Argentina</v>
      </c>
      <c r="D10" s="3" t="str">
        <f>'Config!'!B8</f>
        <v>América do Sul</v>
      </c>
      <c r="E10" t="str">
        <f>INDEX(G10:N10,1,SUMIF($G$3:$N$3,WorldMap!$Q$1,$G$2:$N$2))</f>
        <v>.</v>
      </c>
      <c r="F10" t="str">
        <f>INDEX(G10:N10,1,SUMIF($G$3:$N$3,WorldMap!$Q$1,$G$2:$N$2))</f>
        <v>.</v>
      </c>
      <c r="G10" s="9">
        <f>IF(A10="","",INDEX(Population!$BD$3:$BP$177,A10,'Config!'!$AZ$17+1)/1000000)</f>
        <v>42.095224000000002</v>
      </c>
      <c r="H10" s="38">
        <f>IF(A10="","",INDEX(GDP!$G$3:$S$177,A10,'Config!'!$AZ$17+1)*1000/G10)</f>
        <v>12970.173901465118</v>
      </c>
      <c r="I10">
        <f>IF(A10="","",G10*1000000/INDEX(Population!$CH$3:$CH$177,A10,1))</f>
        <v>15.381802104001549</v>
      </c>
      <c r="J10" t="str">
        <f>IF(A10="","",IFERROR(INDEX('Result data'!$R$216:$AC$390,A10,'Config!'!$BA$17),"."))</f>
        <v>.</v>
      </c>
      <c r="K10" s="8" t="str">
        <f t="shared" si="1"/>
        <v>.</v>
      </c>
      <c r="L10" t="str">
        <f>IF(A10="","",IFERROR(INDEX('Result data'!$ES$216:$FB$390,A10,$L$1)/J10*100,"."))</f>
        <v>.</v>
      </c>
      <c r="M10">
        <f>IF(A10="","",IFERROR(INDEX('Result data'!$BS$216:$CD$390,A10,'Config!'!$BA$17)/1000000,"."))</f>
        <v>0</v>
      </c>
      <c r="N10">
        <f>IF(A10="","",IFERROR(INDEX('Result data'!$AE$216:$AP$390,A10,'Config!'!$BA$17),"."))</f>
        <v>0</v>
      </c>
      <c r="O10" t="str">
        <f>INDEX(Language!$B$149:$B$308,MATCH(C10,Language!$C$149:$C$308,0))</f>
        <v>Argentina</v>
      </c>
      <c r="Q10" t="str">
        <v>Demanda do Mercado (U $ Milhões)</v>
      </c>
    </row>
    <row r="11" spans="1:17" x14ac:dyDescent="0.25">
      <c r="A11" s="2">
        <f>'Config!'!C9</f>
        <v>7</v>
      </c>
      <c r="B11" s="2" t="str">
        <f t="shared" si="0"/>
        <v xml:space="preserve">Armênia 
</v>
      </c>
      <c r="C11" s="3" t="str">
        <f>'Config!'!A9</f>
        <v>Armênia</v>
      </c>
      <c r="D11" s="3" t="str">
        <f>'Config!'!B9</f>
        <v>Europa</v>
      </c>
      <c r="E11" t="str">
        <f>INDEX(G11:N11,1,SUMIF($G$3:$N$3,WorldMap!$Q$1,$G$2:$N$2))</f>
        <v>.</v>
      </c>
      <c r="F11" t="str">
        <f>INDEX(G11:N11,1,SUMIF($G$3:$N$3,WorldMap!$Q$1,$G$2:$N$2))</f>
        <v>.</v>
      </c>
      <c r="G11" s="9">
        <f>IF(A11="","",INDEX(Population!$BD$3:$BP$177,A11,'Config!'!$AZ$17+1)/1000000)</f>
        <v>2.9783390000000001</v>
      </c>
      <c r="H11" s="38">
        <f>IF(A11="","",INDEX(GDP!$G$3:$S$177,A11,'Config!'!$AZ$17+1)*1000/G11)</f>
        <v>3565.5175749253981</v>
      </c>
      <c r="I11">
        <f>IF(A11="","",G11*1000000/INDEX(Population!$CH$3:$CH$177,A11,1))</f>
        <v>105.60362372797221</v>
      </c>
      <c r="J11" t="str">
        <f>IF(A11="","",IFERROR(INDEX('Result data'!$R$216:$AC$390,A11,'Config!'!$BA$17),"."))</f>
        <v>.</v>
      </c>
      <c r="K11" s="8" t="str">
        <f t="shared" si="1"/>
        <v>.</v>
      </c>
      <c r="L11" t="str">
        <f>IF(A11="","",IFERROR(INDEX('Result data'!$ES$216:$FB$390,A11,$L$1)/J11*100,"."))</f>
        <v>.</v>
      </c>
      <c r="M11">
        <f>IF(A11="","",IFERROR(INDEX('Result data'!$BS$216:$CD$390,A11,'Config!'!$BA$17)/1000000,"."))</f>
        <v>0</v>
      </c>
      <c r="N11">
        <f>IF(A11="","",IFERROR(INDEX('Result data'!$AE$216:$AP$390,A11,'Config!'!$BA$17),"."))</f>
        <v>0</v>
      </c>
      <c r="O11" t="str">
        <f>INDEX(Language!$B$149:$B$308,MATCH(C11,Language!$C$149:$C$308,0))</f>
        <v>Armenia</v>
      </c>
      <c r="Q11" t="str">
        <v>Número de concorrentes</v>
      </c>
    </row>
    <row r="12" spans="1:17" x14ac:dyDescent="0.25">
      <c r="A12" s="2">
        <f>'Config!'!C10</f>
        <v>8</v>
      </c>
      <c r="B12" s="2" t="str">
        <f t="shared" si="0"/>
        <v xml:space="preserve">Austrália 
</v>
      </c>
      <c r="C12" s="3" t="str">
        <f>'Config!'!A10</f>
        <v>Austrália</v>
      </c>
      <c r="D12" s="3" t="str">
        <f>'Config!'!B10</f>
        <v>Oceânia</v>
      </c>
      <c r="E12" t="str">
        <f>INDEX(G12:N12,1,SUMIF($G$3:$N$3,WorldMap!$Q$1,$G$2:$N$2))</f>
        <v>.</v>
      </c>
      <c r="F12" t="str">
        <f>INDEX(G12:N12,1,SUMIF($G$3:$N$3,WorldMap!$Q$1,$G$2:$N$2))</f>
        <v>.</v>
      </c>
      <c r="G12" s="9">
        <f>IF(A12="","",INDEX(Population!$BD$3:$BP$177,A12,'Config!'!$AZ$17+1)/1000000)</f>
        <v>22.728254</v>
      </c>
      <c r="H12" s="38">
        <f>IF(A12="","",INDEX(GDP!$G$3:$S$177,A12,'Config!'!$AZ$17+1)*1000/G12)</f>
        <v>68027.741324650982</v>
      </c>
      <c r="I12">
        <f>IF(A12="","",G12*1000000/INDEX(Population!$CH$3:$CH$177,A12,1))</f>
        <v>2.9585220571964124</v>
      </c>
      <c r="J12" t="str">
        <f>IF(A12="","",IFERROR(INDEX('Result data'!$R$216:$AC$390,A12,'Config!'!$BA$17),"."))</f>
        <v>.</v>
      </c>
      <c r="K12" s="8" t="str">
        <f t="shared" si="1"/>
        <v>.</v>
      </c>
      <c r="L12" t="str">
        <f>IF(A12="","",IFERROR(INDEX('Result data'!$ES$216:$FB$390,A12,$L$1)/J12*100,"."))</f>
        <v>.</v>
      </c>
      <c r="M12">
        <f>IF(A12="","",IFERROR(INDEX('Result data'!$BS$216:$CD$390,A12,'Config!'!$BA$17)/1000000,"."))</f>
        <v>0</v>
      </c>
      <c r="N12">
        <f>IF(A12="","",IFERROR(INDEX('Result data'!$AE$216:$AP$390,A12,'Config!'!$BA$17),"."))</f>
        <v>0</v>
      </c>
      <c r="O12" t="str">
        <f>INDEX(Language!$B$149:$B$308,MATCH(C12,Language!$C$149:$C$308,0))</f>
        <v>Australia</v>
      </c>
    </row>
    <row r="13" spans="1:17" x14ac:dyDescent="0.25">
      <c r="A13" s="2">
        <f>'Config!'!C11</f>
        <v>9</v>
      </c>
      <c r="B13" s="2" t="str">
        <f t="shared" si="0"/>
        <v xml:space="preserve">Áustria 
</v>
      </c>
      <c r="C13" s="3" t="str">
        <f>'Config!'!A11</f>
        <v>Áustria</v>
      </c>
      <c r="D13" s="3" t="str">
        <f>'Config!'!B11</f>
        <v>União Européia</v>
      </c>
      <c r="E13" t="str">
        <f>INDEX(G13:N13,1,SUMIF($G$3:$N$3,WorldMap!$Q$1,$G$2:$N$2))</f>
        <v>.</v>
      </c>
      <c r="F13" t="str">
        <f>INDEX(G13:N13,1,SUMIF($G$3:$N$3,WorldMap!$Q$1,$G$2:$N$2))</f>
        <v>.</v>
      </c>
      <c r="G13" s="9">
        <f>IF(A13="","",INDEX(Population!$BD$3:$BP$177,A13,'Config!'!$AZ$17+1)/1000000)</f>
        <v>8.4299909999999993</v>
      </c>
      <c r="H13" s="38">
        <f>IF(A13="","",INDEX(GDP!$G$3:$S$177,A13,'Config!'!$AZ$17+1)*1000/G13)</f>
        <v>48567.695286420021</v>
      </c>
      <c r="I13">
        <f>IF(A13="","",G13*1000000/INDEX(Population!$CH$3:$CH$177,A13,1))</f>
        <v>102.24987567469222</v>
      </c>
      <c r="J13" t="str">
        <f>IF(A13="","",IFERROR(INDEX('Result data'!$R$216:$AC$390,A13,'Config!'!$BA$17),"."))</f>
        <v>.</v>
      </c>
      <c r="K13" s="8" t="str">
        <f t="shared" si="1"/>
        <v>.</v>
      </c>
      <c r="L13" t="str">
        <f>IF(A13="","",IFERROR(INDEX('Result data'!$ES$216:$FB$390,A13,$L$1)/J13*100,"."))</f>
        <v>.</v>
      </c>
      <c r="M13">
        <f>IF(A13="","",IFERROR(INDEX('Result data'!$BS$216:$CD$390,A13,'Config!'!$BA$17)/1000000,"."))</f>
        <v>0</v>
      </c>
      <c r="N13">
        <f>IF(A13="","",IFERROR(INDEX('Result data'!$AE$216:$AP$390,A13,'Config!'!$BA$17),"."))</f>
        <v>0</v>
      </c>
      <c r="O13" t="str">
        <f>INDEX(Language!$B$149:$B$308,MATCH(C13,Language!$C$149:$C$308,0))</f>
        <v>Austria</v>
      </c>
    </row>
    <row r="14" spans="1:17" x14ac:dyDescent="0.25">
      <c r="A14" s="2">
        <f>'Config!'!C12</f>
        <v>10</v>
      </c>
      <c r="B14" s="2" t="str">
        <f t="shared" si="0"/>
        <v xml:space="preserve">Azerbaijão 
</v>
      </c>
      <c r="C14" s="3" t="str">
        <f>'Config!'!A12</f>
        <v>Azerbaijão</v>
      </c>
      <c r="D14" s="3" t="str">
        <f>'Config!'!B12</f>
        <v>Ásia-Pacífico</v>
      </c>
      <c r="E14" t="str">
        <f>INDEX(G14:N14,1,SUMIF($G$3:$N$3,WorldMap!$Q$1,$G$2:$N$2))</f>
        <v>.</v>
      </c>
      <c r="F14" t="str">
        <f>INDEX(G14:N14,1,SUMIF($G$3:$N$3,WorldMap!$Q$1,$G$2:$N$2))</f>
        <v>.</v>
      </c>
      <c r="G14" s="9">
        <f>IF(A14="","",INDEX(Population!$BD$3:$BP$177,A14,'Config!'!$AZ$17+1)/1000000)</f>
        <v>9.2957839999999994</v>
      </c>
      <c r="H14" s="38">
        <f>IF(A14="","",INDEX(GDP!$G$3:$S$177,A14,'Config!'!$AZ$17+1)*1000/G14)</f>
        <v>7496.2946476826319</v>
      </c>
      <c r="I14">
        <f>IF(A14="","",G14*1000000/INDEX(Population!$CH$3:$CH$177,A14,1))</f>
        <v>112.50026019920367</v>
      </c>
      <c r="J14" t="str">
        <f>IF(A14="","",IFERROR(INDEX('Result data'!$R$216:$AC$390,A14,'Config!'!$BA$17),"."))</f>
        <v>.</v>
      </c>
      <c r="K14" s="8" t="str">
        <f t="shared" si="1"/>
        <v>.</v>
      </c>
      <c r="L14" t="str">
        <f>IF(A14="","",IFERROR(INDEX('Result data'!$ES$216:$FB$390,A14,$L$1)/J14*100,"."))</f>
        <v>.</v>
      </c>
      <c r="M14">
        <f>IF(A14="","",IFERROR(INDEX('Result data'!$BS$216:$CD$390,A14,'Config!'!$BA$17)/1000000,"."))</f>
        <v>0</v>
      </c>
      <c r="N14">
        <f>IF(A14="","",IFERROR(INDEX('Result data'!$AE$216:$AP$390,A14,'Config!'!$BA$17),"."))</f>
        <v>0</v>
      </c>
      <c r="O14" t="str">
        <f>INDEX(Language!$B$149:$B$308,MATCH(C14,Language!$C$149:$C$308,0))</f>
        <v>Azerbaijan</v>
      </c>
    </row>
    <row r="15" spans="1:17" x14ac:dyDescent="0.25">
      <c r="A15" s="2">
        <f>'Config!'!C13</f>
        <v>11</v>
      </c>
      <c r="B15" s="2" t="str">
        <f t="shared" si="0"/>
        <v xml:space="preserve">Bahamas. 
</v>
      </c>
      <c r="C15" s="3" t="str">
        <f>'Config!'!A13</f>
        <v>Bahamas.</v>
      </c>
      <c r="D15" s="3" t="str">
        <f>'Config!'!B13</f>
        <v>Caribe</v>
      </c>
      <c r="E15" t="str">
        <f>INDEX(G15:N15,1,SUMIF($G$3:$N$3,WorldMap!$Q$1,$G$2:$N$2))</f>
        <v>.</v>
      </c>
      <c r="F15" t="str">
        <f>INDEX(G15:N15,1,SUMIF($G$3:$N$3,WorldMap!$Q$1,$G$2:$N$2))</f>
        <v>.</v>
      </c>
      <c r="G15" s="9">
        <f>IF(A15="","",INDEX(Population!$BD$3:$BP$177,A15,'Config!'!$AZ$17+1)/1000000)</f>
        <v>0.372388</v>
      </c>
      <c r="H15" s="38">
        <f>IF(A15="","",INDEX(GDP!$G$3:$S$177,A15,'Config!'!$AZ$17+1)*1000/G15)</f>
        <v>28788.521649462389</v>
      </c>
      <c r="I15">
        <f>IF(A15="","",G15*1000000/INDEX(Population!$CH$3:$CH$177,A15,1))</f>
        <v>37.201598401598403</v>
      </c>
      <c r="J15" t="str">
        <f>IF(A15="","",IFERROR(INDEX('Result data'!$R$216:$AC$390,A15,'Config!'!$BA$17),"."))</f>
        <v>.</v>
      </c>
      <c r="K15" s="8" t="str">
        <f t="shared" si="1"/>
        <v>.</v>
      </c>
      <c r="L15" t="str">
        <f>IF(A15="","",IFERROR(INDEX('Result data'!$ES$216:$FB$390,A15,$L$1)/J15*100,"."))</f>
        <v>.</v>
      </c>
      <c r="M15">
        <f>IF(A15="","",IFERROR(INDEX('Result data'!$BS$216:$CD$390,A15,'Config!'!$BA$17)/1000000,"."))</f>
        <v>0</v>
      </c>
      <c r="N15">
        <f>IF(A15="","",IFERROR(INDEX('Result data'!$AE$216:$AP$390,A15,'Config!'!$BA$17),"."))</f>
        <v>0</v>
      </c>
      <c r="O15" t="str">
        <f>INDEX(Language!$B$149:$B$308,MATCH(C15,Language!$C$149:$C$308,0))</f>
        <v>Bahamas</v>
      </c>
    </row>
    <row r="16" spans="1:17" x14ac:dyDescent="0.25">
      <c r="A16" s="2">
        <f>'Config!'!C14</f>
        <v>12</v>
      </c>
      <c r="B16" s="2" t="str">
        <f t="shared" si="0"/>
        <v xml:space="preserve">Bahrein 
</v>
      </c>
      <c r="C16" s="3" t="str">
        <f>'Config!'!A14</f>
        <v>Bahrein</v>
      </c>
      <c r="D16" s="3" t="str">
        <f>'Config!'!B14</f>
        <v>Oriente médio</v>
      </c>
      <c r="E16" t="str">
        <f>INDEX(G16:N16,1,SUMIF($G$3:$N$3,WorldMap!$Q$1,$G$2:$N$2))</f>
        <v>.</v>
      </c>
      <c r="F16" t="str">
        <f>INDEX(G16:N16,1,SUMIF($G$3:$N$3,WorldMap!$Q$1,$G$2:$N$2))</f>
        <v>.</v>
      </c>
      <c r="G16" s="9">
        <f>IF(A16="","",INDEX(Population!$BD$3:$BP$177,A16,'Config!'!$AZ$17+1)/1000000)</f>
        <v>1.333577</v>
      </c>
      <c r="H16" s="38">
        <f>IF(A16="","",INDEX(GDP!$G$3:$S$177,A16,'Config!'!$AZ$17+1)*1000/G16)</f>
        <v>23057.767575954218</v>
      </c>
      <c r="I16">
        <f>IF(A16="","",G16*1000000/INDEX(Population!$CH$3:$CH$177,A16,1))</f>
        <v>1754.7065789473684</v>
      </c>
      <c r="J16" t="str">
        <f>IF(A16="","",IFERROR(INDEX('Result data'!$R$216:$AC$390,A16,'Config!'!$BA$17),"."))</f>
        <v>.</v>
      </c>
      <c r="K16" s="8" t="str">
        <f t="shared" si="1"/>
        <v>.</v>
      </c>
      <c r="L16" t="str">
        <f>IF(A16="","",IFERROR(INDEX('Result data'!$ES$216:$FB$390,A16,$L$1)/J16*100,"."))</f>
        <v>.</v>
      </c>
      <c r="M16">
        <f>IF(A16="","",IFERROR(INDEX('Result data'!$BS$216:$CD$390,A16,'Config!'!$BA$17)/1000000,"."))</f>
        <v>0</v>
      </c>
      <c r="N16">
        <f>IF(A16="","",IFERROR(INDEX('Result data'!$AE$216:$AP$390,A16,'Config!'!$BA$17),"."))</f>
        <v>0</v>
      </c>
      <c r="O16" t="str">
        <f>INDEX(Language!$B$149:$B$308,MATCH(C16,Language!$C$149:$C$308,0))</f>
        <v>Bahrain</v>
      </c>
    </row>
    <row r="17" spans="1:15" x14ac:dyDescent="0.25">
      <c r="A17" s="2">
        <f>'Config!'!C15</f>
        <v>13</v>
      </c>
      <c r="B17" s="2" t="str">
        <f t="shared" si="0"/>
        <v xml:space="preserve">Bangladesh 
</v>
      </c>
      <c r="C17" s="3" t="str">
        <f>'Config!'!A15</f>
        <v>Bangladesh</v>
      </c>
      <c r="D17" s="3" t="str">
        <f>'Config!'!B15</f>
        <v>Ásia-Pacífico</v>
      </c>
      <c r="E17" t="str">
        <f>INDEX(G17:N17,1,SUMIF($G$3:$N$3,WorldMap!$Q$1,$G$2:$N$2))</f>
        <v>.</v>
      </c>
      <c r="F17" t="str">
        <f>INDEX(G17:N17,1,SUMIF($G$3:$N$3,WorldMap!$Q$1,$G$2:$N$2))</f>
        <v>.</v>
      </c>
      <c r="G17" s="9">
        <f>IF(A17="","",INDEX(Population!$BD$3:$BP$177,A17,'Config!'!$AZ$17+1)/1000000)</f>
        <v>155.25738699999999</v>
      </c>
      <c r="H17" s="38">
        <f>IF(A17="","",INDEX(GDP!$G$3:$S$177,A17,'Config!'!$AZ$17+1)*1000/G17)</f>
        <v>858.93336258762054</v>
      </c>
      <c r="I17">
        <f>IF(A17="","",G17*1000000/INDEX(Population!$CH$3:$CH$177,A17,1))</f>
        <v>1192.7278712452946</v>
      </c>
      <c r="J17" t="str">
        <f>IF(A17="","",IFERROR(INDEX('Result data'!$R$216:$AC$390,A17,'Config!'!$BA$17),"."))</f>
        <v>.</v>
      </c>
      <c r="K17" s="8" t="str">
        <f t="shared" si="1"/>
        <v>.</v>
      </c>
      <c r="L17" t="str">
        <f>IF(A17="","",IFERROR(INDEX('Result data'!$ES$216:$FB$390,A17,$L$1)/J17*100,"."))</f>
        <v>.</v>
      </c>
      <c r="M17">
        <f>IF(A17="","",IFERROR(INDEX('Result data'!$BS$216:$CD$390,A17,'Config!'!$BA$17)/1000000,"."))</f>
        <v>0</v>
      </c>
      <c r="N17">
        <f>IF(A17="","",IFERROR(INDEX('Result data'!$AE$216:$AP$390,A17,'Config!'!$BA$17),"."))</f>
        <v>0</v>
      </c>
      <c r="O17" t="str">
        <f>INDEX(Language!$B$149:$B$308,MATCH(C17,Language!$C$149:$C$308,0))</f>
        <v>Bangladesh</v>
      </c>
    </row>
    <row r="18" spans="1:15" x14ac:dyDescent="0.25">
      <c r="A18" s="2">
        <f>'Config!'!C16</f>
        <v>14</v>
      </c>
      <c r="B18" s="2" t="str">
        <f t="shared" si="0"/>
        <v xml:space="preserve">Barbados. 
</v>
      </c>
      <c r="C18" s="3" t="str">
        <f>'Config!'!A16</f>
        <v>Barbados.</v>
      </c>
      <c r="D18" s="3" t="str">
        <f>'Config!'!B16</f>
        <v>Caribe</v>
      </c>
      <c r="E18" t="str">
        <f>INDEX(G18:N18,1,SUMIF($G$3:$N$3,WorldMap!$Q$1,$G$2:$N$2))</f>
        <v>.</v>
      </c>
      <c r="F18" t="str">
        <f>INDEX(G18:N18,1,SUMIF($G$3:$N$3,WorldMap!$Q$1,$G$2:$N$2))</f>
        <v>.</v>
      </c>
      <c r="G18" s="9">
        <f>IF(A18="","",INDEX(Population!$BD$3:$BP$177,A18,'Config!'!$AZ$17+1)/1000000)</f>
        <v>0.28158</v>
      </c>
      <c r="H18" s="38">
        <f>IF(A18="","",INDEX(GDP!$G$3:$S$177,A18,'Config!'!$AZ$17+1)*1000/G18)</f>
        <v>16536.508274735421</v>
      </c>
      <c r="I18">
        <f>IF(A18="","",G18*1000000/INDEX(Population!$CH$3:$CH$177,A18,1))</f>
        <v>654.83720930232562</v>
      </c>
      <c r="J18" t="str">
        <f>IF(A18="","",IFERROR(INDEX('Result data'!$R$216:$AC$390,A18,'Config!'!$BA$17),"."))</f>
        <v>.</v>
      </c>
      <c r="K18" s="8" t="str">
        <f t="shared" si="1"/>
        <v>.</v>
      </c>
      <c r="L18" t="str">
        <f>IF(A18="","",IFERROR(INDEX('Result data'!$ES$216:$FB$390,A18,$L$1)/J18*100,"."))</f>
        <v>.</v>
      </c>
      <c r="M18">
        <f>IF(A18="","",IFERROR(INDEX('Result data'!$BS$216:$CD$390,A18,'Config!'!$BA$17)/1000000,"."))</f>
        <v>0</v>
      </c>
      <c r="N18">
        <f>IF(A18="","",IFERROR(INDEX('Result data'!$AE$216:$AP$390,A18,'Config!'!$BA$17),"."))</f>
        <v>0</v>
      </c>
      <c r="O18" t="str">
        <f>INDEX(Language!$B$149:$B$308,MATCH(C18,Language!$C$149:$C$308,0))</f>
        <v>Barbados</v>
      </c>
    </row>
    <row r="19" spans="1:15" x14ac:dyDescent="0.25">
      <c r="A19" s="2">
        <f>'Config!'!C17</f>
        <v>16</v>
      </c>
      <c r="B19" s="2" t="str">
        <f t="shared" si="0"/>
        <v xml:space="preserve">Bélgica 
</v>
      </c>
      <c r="C19" s="3" t="str">
        <f>'Config!'!A17</f>
        <v>Bélgica</v>
      </c>
      <c r="D19" s="3" t="str">
        <f>'Config!'!B17</f>
        <v>União Européia</v>
      </c>
      <c r="E19" t="str">
        <f>INDEX(G19:N19,1,SUMIF($G$3:$N$3,WorldMap!$Q$1,$G$2:$N$2))</f>
        <v>.</v>
      </c>
      <c r="F19" t="str">
        <f>INDEX(G19:N19,1,SUMIF($G$3:$N$3,WorldMap!$Q$1,$G$2:$N$2))</f>
        <v>.</v>
      </c>
      <c r="G19" s="9">
        <f>IF(A19="","",INDEX(Population!$BD$3:$BP$177,A19,'Config!'!$AZ$17+1)/1000000)</f>
        <v>11.128246000000001</v>
      </c>
      <c r="H19" s="38">
        <f>IF(A19="","",INDEX(GDP!$G$3:$S$177,A19,'Config!'!$AZ$17+1)*1000/G19)</f>
        <v>44740.583248147748</v>
      </c>
      <c r="I19">
        <f>IF(A19="","",G19*1000000/INDEX(Population!$CH$3:$CH$177,A19,1))</f>
        <v>367.53570249025694</v>
      </c>
      <c r="J19" t="str">
        <f>IF(A19="","",IFERROR(INDEX('Result data'!$R$216:$AC$390,A19,'Config!'!$BA$17),"."))</f>
        <v>.</v>
      </c>
      <c r="K19" s="8" t="str">
        <f t="shared" si="1"/>
        <v>.</v>
      </c>
      <c r="L19" t="str">
        <f>IF(A19="","",IFERROR(INDEX('Result data'!$ES$216:$FB$390,A19,$L$1)/J19*100,"."))</f>
        <v>.</v>
      </c>
      <c r="M19">
        <f>IF(A19="","",IFERROR(INDEX('Result data'!$BS$216:$CD$390,A19,'Config!'!$BA$17)/1000000,"."))</f>
        <v>0</v>
      </c>
      <c r="N19">
        <f>IF(A19="","",IFERROR(INDEX('Result data'!$AE$216:$AP$390,A19,'Config!'!$BA$17),"."))</f>
        <v>0</v>
      </c>
      <c r="O19" t="str">
        <f>INDEX(Language!$B$149:$B$308,MATCH(C19,Language!$C$149:$C$308,0))</f>
        <v>Belgium</v>
      </c>
    </row>
    <row r="20" spans="1:15" x14ac:dyDescent="0.25">
      <c r="A20" s="2">
        <f>'Config!'!C18</f>
        <v>17</v>
      </c>
      <c r="B20" s="2" t="str">
        <f t="shared" si="0"/>
        <v xml:space="preserve">Belize 
</v>
      </c>
      <c r="C20" s="3" t="str">
        <f>'Config!'!A18</f>
        <v>Belize</v>
      </c>
      <c r="D20" s="3" t="str">
        <f>'Config!'!B18</f>
        <v>América Central</v>
      </c>
      <c r="E20" t="str">
        <f>INDEX(G20:N20,1,SUMIF($G$3:$N$3,WorldMap!$Q$1,$G$2:$N$2))</f>
        <v>.</v>
      </c>
      <c r="F20" t="str">
        <f>INDEX(G20:N20,1,SUMIF($G$3:$N$3,WorldMap!$Q$1,$G$2:$N$2))</f>
        <v>.</v>
      </c>
      <c r="G20" s="9">
        <f>IF(A20="","",INDEX(Population!$BD$3:$BP$177,A20,'Config!'!$AZ$17+1)/1000000)</f>
        <v>0.33670699999999998</v>
      </c>
      <c r="H20" s="38">
        <f>IF(A20="","",INDEX(GDP!$G$3:$S$177,A20,'Config!'!$AZ$17+1)*1000/G20)</f>
        <v>4644.4768003041227</v>
      </c>
      <c r="I20">
        <f>IF(A20="","",G20*1000000/INDEX(Population!$CH$3:$CH$177,A20,1))</f>
        <v>14.763965623081646</v>
      </c>
      <c r="J20" t="str">
        <f>IF(A20="","",IFERROR(INDEX('Result data'!$R$216:$AC$390,A20,'Config!'!$BA$17),"."))</f>
        <v>.</v>
      </c>
      <c r="K20" s="8" t="str">
        <f t="shared" si="1"/>
        <v>.</v>
      </c>
      <c r="L20" t="str">
        <f>IF(A20="","",IFERROR(INDEX('Result data'!$ES$216:$FB$390,A20,$L$1)/J20*100,"."))</f>
        <v>.</v>
      </c>
      <c r="M20">
        <f>IF(A20="","",IFERROR(INDEX('Result data'!$BS$216:$CD$390,A20,'Config!'!$BA$17)/1000000,"."))</f>
        <v>0</v>
      </c>
      <c r="N20">
        <f>IF(A20="","",IFERROR(INDEX('Result data'!$AE$216:$AP$390,A20,'Config!'!$BA$17),"."))</f>
        <v>0</v>
      </c>
      <c r="O20" t="str">
        <f>INDEX(Language!$B$149:$B$308,MATCH(C20,Language!$C$149:$C$308,0))</f>
        <v>Belize</v>
      </c>
    </row>
    <row r="21" spans="1:15" x14ac:dyDescent="0.25">
      <c r="A21" s="2">
        <f>'Config!'!C19</f>
        <v>18</v>
      </c>
      <c r="B21" s="2" t="str">
        <f t="shared" si="0"/>
        <v xml:space="preserve">Benin 
</v>
      </c>
      <c r="C21" s="3" t="str">
        <f>'Config!'!A19</f>
        <v>Benin</v>
      </c>
      <c r="D21" s="3" t="str">
        <f>'Config!'!B19</f>
        <v>África Subsaariana</v>
      </c>
      <c r="E21" t="str">
        <f>INDEX(G21:N21,1,SUMIF($G$3:$N$3,WorldMap!$Q$1,$G$2:$N$2))</f>
        <v>.</v>
      </c>
      <c r="F21" t="str">
        <f>INDEX(G21:N21,1,SUMIF($G$3:$N$3,WorldMap!$Q$1,$G$2:$N$2))</f>
        <v>.</v>
      </c>
      <c r="G21" s="9">
        <f>IF(A21="","",INDEX(Population!$BD$3:$BP$177,A21,'Config!'!$AZ$17+1)/1000000)</f>
        <v>10.049792</v>
      </c>
      <c r="H21" s="38">
        <f>IF(A21="","",INDEX(GDP!$G$3:$S$177,A21,'Config!'!$AZ$17+1)*1000/G21)</f>
        <v>811.216240825005</v>
      </c>
      <c r="I21">
        <f>IF(A21="","",G21*1000000/INDEX(Population!$CH$3:$CH$177,A21,1))</f>
        <v>90.848041076820166</v>
      </c>
      <c r="J21" t="str">
        <f>IF(A21="","",IFERROR(INDEX('Result data'!$R$216:$AC$390,A21,'Config!'!$BA$17),"."))</f>
        <v>.</v>
      </c>
      <c r="K21" s="8" t="str">
        <f t="shared" si="1"/>
        <v>.</v>
      </c>
      <c r="L21" t="str">
        <f>IF(A21="","",IFERROR(INDEX('Result data'!$ES$216:$FB$390,A21,$L$1)/J21*100,"."))</f>
        <v>.</v>
      </c>
      <c r="M21">
        <f>IF(A21="","",IFERROR(INDEX('Result data'!$BS$216:$CD$390,A21,'Config!'!$BA$17)/1000000,"."))</f>
        <v>0</v>
      </c>
      <c r="N21">
        <f>IF(A21="","",IFERROR(INDEX('Result data'!$AE$216:$AP$390,A21,'Config!'!$BA$17),"."))</f>
        <v>0</v>
      </c>
      <c r="O21" t="str">
        <f>INDEX(Language!$B$149:$B$308,MATCH(C21,Language!$C$149:$C$308,0))</f>
        <v>Benin</v>
      </c>
    </row>
    <row r="22" spans="1:15" x14ac:dyDescent="0.25">
      <c r="A22" s="2">
        <f>'Config!'!C20</f>
        <v>15</v>
      </c>
      <c r="B22" s="2" t="str">
        <f t="shared" si="0"/>
        <v xml:space="preserve">Bielorrússia 
</v>
      </c>
      <c r="C22" s="3" t="str">
        <f>'Config!'!A20</f>
        <v>Bielorrússia</v>
      </c>
      <c r="D22" s="3" t="str">
        <f>'Config!'!B20</f>
        <v>Europa</v>
      </c>
      <c r="E22" t="str">
        <f>INDEX(G22:N22,1,SUMIF($G$3:$N$3,WorldMap!$Q$1,$G$2:$N$2))</f>
        <v>.</v>
      </c>
      <c r="F22" t="str">
        <f>INDEX(G22:N22,1,SUMIF($G$3:$N$3,WorldMap!$Q$1,$G$2:$N$2))</f>
        <v>.</v>
      </c>
      <c r="G22" s="9">
        <f>IF(A22="","",INDEX(Population!$BD$3:$BP$177,A22,'Config!'!$AZ$17+1)/1000000)</f>
        <v>9.4640000000000004</v>
      </c>
      <c r="H22" s="38">
        <f>IF(A22="","",INDEX(GDP!$G$3:$S$177,A22,'Config!'!$AZ$17+1)*1000/G22)</f>
        <v>6940.5222479792737</v>
      </c>
      <c r="I22">
        <f>IF(A22="","",G22*1000000/INDEX(Population!$CH$3:$CH$177,A22,1))</f>
        <v>46.643666830951204</v>
      </c>
      <c r="J22" t="str">
        <f>IF(A22="","",IFERROR(INDEX('Result data'!$R$216:$AC$390,A22,'Config!'!$BA$17),"."))</f>
        <v>.</v>
      </c>
      <c r="K22" s="8" t="str">
        <f t="shared" si="1"/>
        <v>.</v>
      </c>
      <c r="L22" t="str">
        <f>IF(A22="","",IFERROR(INDEX('Result data'!$ES$216:$FB$390,A22,$L$1)/J22*100,"."))</f>
        <v>.</v>
      </c>
      <c r="M22">
        <f>IF(A22="","",IFERROR(INDEX('Result data'!$BS$216:$CD$390,A22,'Config!'!$BA$17)/1000000,"."))</f>
        <v>0</v>
      </c>
      <c r="N22">
        <f>IF(A22="","",IFERROR(INDEX('Result data'!$AE$216:$AP$390,A22,'Config!'!$BA$17),"."))</f>
        <v>0</v>
      </c>
      <c r="O22" t="str">
        <f>INDEX(Language!$B$149:$B$308,MATCH(C22,Language!$C$149:$C$308,0))</f>
        <v>Belarus</v>
      </c>
    </row>
    <row r="23" spans="1:15" x14ac:dyDescent="0.25">
      <c r="A23" s="2">
        <f>'Config!'!C21</f>
        <v>21</v>
      </c>
      <c r="B23" s="2" t="str">
        <f t="shared" si="0"/>
        <v xml:space="preserve">Bolívia 
</v>
      </c>
      <c r="C23" s="3" t="str">
        <f>'Config!'!A21</f>
        <v>Bolívia</v>
      </c>
      <c r="D23" s="3" t="str">
        <f>'Config!'!B21</f>
        <v>América do Sul</v>
      </c>
      <c r="E23" t="str">
        <f>INDEX(G23:N23,1,SUMIF($G$3:$N$3,WorldMap!$Q$1,$G$2:$N$2))</f>
        <v>.</v>
      </c>
      <c r="F23" t="str">
        <f>INDEX(G23:N23,1,SUMIF($G$3:$N$3,WorldMap!$Q$1,$G$2:$N$2))</f>
        <v>.</v>
      </c>
      <c r="G23" s="9">
        <f>IF(A23="","",INDEX(Population!$BD$3:$BP$177,A23,'Config!'!$AZ$17+1)/1000000)</f>
        <v>10.238761999999999</v>
      </c>
      <c r="H23" s="38">
        <f>IF(A23="","",INDEX(GDP!$G$3:$S$177,A23,'Config!'!$AZ$17+1)*1000/G23)</f>
        <v>2645.29027433174</v>
      </c>
      <c r="I23">
        <f>IF(A23="","",G23*1000000/INDEX(Population!$CH$3:$CH$177,A23,1))</f>
        <v>9.4514470124185248</v>
      </c>
      <c r="J23" t="str">
        <f>IF(A23="","",IFERROR(INDEX('Result data'!$R$216:$AC$390,A23,'Config!'!$BA$17),"."))</f>
        <v>.</v>
      </c>
      <c r="K23" s="8" t="str">
        <f t="shared" si="1"/>
        <v>.</v>
      </c>
      <c r="L23" t="str">
        <f>IF(A23="","",IFERROR(INDEX('Result data'!$ES$216:$FB$390,A23,$L$1)/J23*100,"."))</f>
        <v>.</v>
      </c>
      <c r="M23">
        <f>IF(A23="","",IFERROR(INDEX('Result data'!$BS$216:$CD$390,A23,'Config!'!$BA$17)/1000000,"."))</f>
        <v>0</v>
      </c>
      <c r="N23">
        <f>IF(A23="","",IFERROR(INDEX('Result data'!$AE$216:$AP$390,A23,'Config!'!$BA$17),"."))</f>
        <v>0</v>
      </c>
      <c r="O23" t="str">
        <f>INDEX(Language!$B$149:$B$308,MATCH(C23,Language!$C$149:$C$308,0))</f>
        <v>Bolivia</v>
      </c>
    </row>
    <row r="24" spans="1:15" x14ac:dyDescent="0.25">
      <c r="A24" s="2">
        <f>'Config!'!C22</f>
        <v>171</v>
      </c>
      <c r="B24" s="2" t="str">
        <f t="shared" si="0"/>
        <v xml:space="preserve">Bósnia e Herzegovina 
</v>
      </c>
      <c r="C24" s="3" t="str">
        <f>'Config!'!A22</f>
        <v>Bósnia e Herzegovina</v>
      </c>
      <c r="D24" s="3" t="str">
        <f>'Config!'!B22</f>
        <v>Europa</v>
      </c>
      <c r="E24" t="str">
        <f>INDEX(G24:N24,1,SUMIF($G$3:$N$3,WorldMap!$Q$1,$G$2:$N$2))</f>
        <v>.</v>
      </c>
      <c r="F24" t="str">
        <f>INDEX(G24:N24,1,SUMIF($G$3:$N$3,WorldMap!$Q$1,$G$2:$N$2))</f>
        <v>.</v>
      </c>
      <c r="G24" s="9">
        <f>IF(A24="","",INDEX(Population!$BD$3:$BP$177,A24,'Config!'!$AZ$17+1)/1000000)</f>
        <v>3.8284189999999998</v>
      </c>
      <c r="H24" s="38">
        <f>IF(A24="","",INDEX(GDP!$G$3:$S$177,A24,'Config!'!$AZ$17+1)*1000/G24)</f>
        <v>4499.7293392050424</v>
      </c>
      <c r="I24">
        <f>IF(A24="","",G24*1000000/INDEX(Population!$CH$3:$CH$177,A24,1))</f>
        <v>74.79279895285913</v>
      </c>
      <c r="J24" t="str">
        <f>IF(A24="","",IFERROR(INDEX('Result data'!$R$216:$AC$390,A24,'Config!'!$BA$17),"."))</f>
        <v>.</v>
      </c>
      <c r="K24" s="8" t="str">
        <f t="shared" si="1"/>
        <v>.</v>
      </c>
      <c r="L24" t="str">
        <f>IF(A24="","",IFERROR(INDEX('Result data'!$ES$216:$FB$390,A24,$L$1)/J24*100,"."))</f>
        <v>.</v>
      </c>
      <c r="M24">
        <f>IF(A24="","",IFERROR(INDEX('Result data'!$BS$216:$CD$390,A24,'Config!'!$BA$17)/1000000,"."))</f>
        <v>0</v>
      </c>
      <c r="N24">
        <f>IF(A24="","",IFERROR(INDEX('Result data'!$AE$216:$AP$390,A24,'Config!'!$BA$17),"."))</f>
        <v>0</v>
      </c>
      <c r="O24" t="str">
        <f>INDEX(Language!$B$149:$B$308,MATCH(C24,Language!$C$149:$C$308,0))</f>
        <v>Bosnia and Herzegovina</v>
      </c>
    </row>
    <row r="25" spans="1:15" x14ac:dyDescent="0.25">
      <c r="A25" s="2">
        <f>'Config!'!C23</f>
        <v>22</v>
      </c>
      <c r="B25" s="2" t="str">
        <f t="shared" si="0"/>
        <v xml:space="preserve">Botsuana 
</v>
      </c>
      <c r="C25" s="3" t="str">
        <f>'Config!'!A23</f>
        <v>Botsuana</v>
      </c>
      <c r="D25" s="3" t="str">
        <f>'Config!'!B23</f>
        <v>África Subsaariana</v>
      </c>
      <c r="E25" t="str">
        <f>INDEX(G25:N25,1,SUMIF($G$3:$N$3,WorldMap!$Q$1,$G$2:$N$2))</f>
        <v>.</v>
      </c>
      <c r="F25" t="str">
        <f>INDEX(G25:N25,1,SUMIF($G$3:$N$3,WorldMap!$Q$1,$G$2:$N$2))</f>
        <v>.</v>
      </c>
      <c r="G25" s="9">
        <f>IF(A25="","",INDEX(Population!$BD$3:$BP$177,A25,'Config!'!$AZ$17+1)/1000000)</f>
        <v>2.132822</v>
      </c>
      <c r="H25" s="38">
        <f>IF(A25="","",INDEX(GDP!$G$3:$S$177,A25,'Config!'!$AZ$17+1)*1000/G25)</f>
        <v>7533.2846280831336</v>
      </c>
      <c r="I25">
        <f>IF(A25="","",G25*1000000/INDEX(Population!$CH$3:$CH$177,A25,1))</f>
        <v>3.7633829160270325</v>
      </c>
      <c r="J25" t="str">
        <f>IF(A25="","",IFERROR(INDEX('Result data'!$R$216:$AC$390,A25,'Config!'!$BA$17),"."))</f>
        <v>.</v>
      </c>
      <c r="K25" s="8" t="str">
        <f t="shared" si="1"/>
        <v>.</v>
      </c>
      <c r="L25" t="str">
        <f>IF(A25="","",IFERROR(INDEX('Result data'!$ES$216:$FB$390,A25,$L$1)/J25*100,"."))</f>
        <v>.</v>
      </c>
      <c r="M25">
        <f>IF(A25="","",IFERROR(INDEX('Result data'!$BS$216:$CD$390,A25,'Config!'!$BA$17)/1000000,"."))</f>
        <v>0</v>
      </c>
      <c r="N25">
        <f>IF(A25="","",IFERROR(INDEX('Result data'!$AE$216:$AP$390,A25,'Config!'!$BA$17),"."))</f>
        <v>0</v>
      </c>
      <c r="O25" t="str">
        <f>INDEX(Language!$B$149:$B$308,MATCH(C25,Language!$C$149:$C$308,0))</f>
        <v>Botswana</v>
      </c>
    </row>
    <row r="26" spans="1:15" x14ac:dyDescent="0.25">
      <c r="A26" s="2">
        <f>'Config!'!C24</f>
        <v>23</v>
      </c>
      <c r="B26" s="2" t="str">
        <f t="shared" si="0"/>
        <v xml:space="preserve">Brasil 
</v>
      </c>
      <c r="C26" s="3" t="str">
        <f>'Config!'!A24</f>
        <v>Brasil</v>
      </c>
      <c r="D26" s="3" t="str">
        <f>'Config!'!B24</f>
        <v>América do Sul</v>
      </c>
      <c r="E26" t="str">
        <f>INDEX(G26:N26,1,SUMIF($G$3:$N$3,WorldMap!$Q$1,$G$2:$N$2))</f>
        <v>.</v>
      </c>
      <c r="F26" t="str">
        <f>INDEX(G26:N26,1,SUMIF($G$3:$N$3,WorldMap!$Q$1,$G$2:$N$2))</f>
        <v>.</v>
      </c>
      <c r="G26" s="9">
        <f>IF(A26="","",INDEX(Population!$BD$3:$BP$177,A26,'Config!'!$AZ$17+1)/1000000)</f>
        <v>202.40158400000001</v>
      </c>
      <c r="H26" s="38">
        <f>IF(A26="","",INDEX(GDP!$G$3:$S$177,A26,'Config!'!$AZ$17+1)*1000/G26)</f>
        <v>12179.690621467826</v>
      </c>
      <c r="I26">
        <f>IF(A26="","",G26*1000000/INDEX(Population!$CH$3:$CH$177,A26,1))</f>
        <v>24.216103582854558</v>
      </c>
      <c r="J26" t="str">
        <f>IF(A26="","",IFERROR(INDEX('Result data'!$R$216:$AC$390,A26,'Config!'!$BA$17),"."))</f>
        <v>.</v>
      </c>
      <c r="K26" s="8" t="str">
        <f t="shared" si="1"/>
        <v>.</v>
      </c>
      <c r="L26" t="str">
        <f>IF(A26="","",IFERROR(INDEX('Result data'!$ES$216:$FB$390,A26,$L$1)/J26*100,"."))</f>
        <v>.</v>
      </c>
      <c r="M26">
        <f>IF(A26="","",IFERROR(INDEX('Result data'!$BS$216:$CD$390,A26,'Config!'!$BA$17)/1000000,"."))</f>
        <v>0</v>
      </c>
      <c r="N26">
        <f>IF(A26="","",IFERROR(INDEX('Result data'!$AE$216:$AP$390,A26,'Config!'!$BA$17),"."))</f>
        <v>0</v>
      </c>
      <c r="O26" t="str">
        <f>INDEX(Language!$B$149:$B$308,MATCH(C26,Language!$C$149:$C$308,0))</f>
        <v>Brazil</v>
      </c>
    </row>
    <row r="27" spans="1:15" x14ac:dyDescent="0.25">
      <c r="A27" s="2">
        <f>'Config!'!C25</f>
        <v>24</v>
      </c>
      <c r="B27" s="2" t="str">
        <f t="shared" si="0"/>
        <v xml:space="preserve">Bulgária 
</v>
      </c>
      <c r="C27" s="3" t="str">
        <f>'Config!'!A25</f>
        <v>Bulgária</v>
      </c>
      <c r="D27" s="3" t="str">
        <f>'Config!'!B25</f>
        <v>União Européia</v>
      </c>
      <c r="E27" t="str">
        <f>INDEX(G27:N27,1,SUMIF($G$3:$N$3,WorldMap!$Q$1,$G$2:$N$2))</f>
        <v>.</v>
      </c>
      <c r="F27" t="str">
        <f>INDEX(G27:N27,1,SUMIF($G$3:$N$3,WorldMap!$Q$1,$G$2:$N$2))</f>
        <v>.</v>
      </c>
      <c r="G27" s="9">
        <f>IF(A27="","",INDEX(Population!$BD$3:$BP$177,A27,'Config!'!$AZ$17+1)/1000000)</f>
        <v>7.3058880000000004</v>
      </c>
      <c r="H27" s="38">
        <f>IF(A27="","",INDEX(GDP!$G$3:$S$177,A27,'Config!'!$AZ$17+1)*1000/G27)</f>
        <v>7378.0247300571255</v>
      </c>
      <c r="I27">
        <f>IF(A27="","",G27*1000000/INDEX(Population!$CH$3:$CH$177,A27,1))</f>
        <v>67.342200591765064</v>
      </c>
      <c r="J27" t="str">
        <f>IF(A27="","",IFERROR(INDEX('Result data'!$R$216:$AC$390,A27,'Config!'!$BA$17),"."))</f>
        <v>.</v>
      </c>
      <c r="K27" s="8" t="str">
        <f t="shared" si="1"/>
        <v>.</v>
      </c>
      <c r="L27" t="str">
        <f>IF(A27="","",IFERROR(INDEX('Result data'!$ES$216:$FB$390,A27,$L$1)/J27*100,"."))</f>
        <v>.</v>
      </c>
      <c r="M27">
        <f>IF(A27="","",IFERROR(INDEX('Result data'!$BS$216:$CD$390,A27,'Config!'!$BA$17)/1000000,"."))</f>
        <v>0</v>
      </c>
      <c r="N27">
        <f>IF(A27="","",IFERROR(INDEX('Result data'!$AE$216:$AP$390,A27,'Config!'!$BA$17),"."))</f>
        <v>0</v>
      </c>
      <c r="O27" t="str">
        <f>INDEX(Language!$B$149:$B$308,MATCH(C27,Language!$C$149:$C$308,0))</f>
        <v>Bulgaria</v>
      </c>
    </row>
    <row r="28" spans="1:15" x14ac:dyDescent="0.25">
      <c r="A28" s="2">
        <f>'Config!'!C26</f>
        <v>25</v>
      </c>
      <c r="B28" s="2" t="str">
        <f t="shared" si="0"/>
        <v xml:space="preserve">Burkina Faso 
</v>
      </c>
      <c r="C28" s="3" t="str">
        <f>'Config!'!A26</f>
        <v>Burkina Faso</v>
      </c>
      <c r="D28" s="3" t="str">
        <f>'Config!'!B26</f>
        <v>África Subsaariana</v>
      </c>
      <c r="E28" t="str">
        <f>INDEX(G28:N28,1,SUMIF($G$3:$N$3,WorldMap!$Q$1,$G$2:$N$2))</f>
        <v>.</v>
      </c>
      <c r="F28" t="str">
        <f>INDEX(G28:N28,1,SUMIF($G$3:$N$3,WorldMap!$Q$1,$G$2:$N$2))</f>
        <v>.</v>
      </c>
      <c r="G28" s="9">
        <f>IF(A28="","",INDEX(Population!$BD$3:$BP$177,A28,'Config!'!$AZ$17+1)/1000000)</f>
        <v>16.590813000000001</v>
      </c>
      <c r="H28" s="38">
        <f>IF(A28="","",INDEX(GDP!$G$3:$S$177,A28,'Config!'!$AZ$17+1)*1000/G28)</f>
        <v>673.02690148832983</v>
      </c>
      <c r="I28">
        <f>IF(A28="","",G28*1000000/INDEX(Population!$CH$3:$CH$177,A28,1))</f>
        <v>60.594642074506936</v>
      </c>
      <c r="J28" t="str">
        <f>IF(A28="","",IFERROR(INDEX('Result data'!$R$216:$AC$390,A28,'Config!'!$BA$17),"."))</f>
        <v>.</v>
      </c>
      <c r="K28" s="8" t="str">
        <f t="shared" si="1"/>
        <v>.</v>
      </c>
      <c r="L28" t="str">
        <f>IF(A28="","",IFERROR(INDEX('Result data'!$ES$216:$FB$390,A28,$L$1)/J28*100,"."))</f>
        <v>.</v>
      </c>
      <c r="M28">
        <f>IF(A28="","",IFERROR(INDEX('Result data'!$BS$216:$CD$390,A28,'Config!'!$BA$17)/1000000,"."))</f>
        <v>0</v>
      </c>
      <c r="N28">
        <f>IF(A28="","",IFERROR(INDEX('Result data'!$AE$216:$AP$390,A28,'Config!'!$BA$17),"."))</f>
        <v>0</v>
      </c>
      <c r="O28" t="str">
        <f>INDEX(Language!$B$149:$B$308,MATCH(C28,Language!$C$149:$C$308,0))</f>
        <v>Burkina Faso</v>
      </c>
    </row>
    <row r="29" spans="1:15" x14ac:dyDescent="0.25">
      <c r="A29" s="2">
        <f>'Config!'!C27</f>
        <v>26</v>
      </c>
      <c r="B29" s="2" t="str">
        <f t="shared" si="0"/>
        <v xml:space="preserve">Burundi 
</v>
      </c>
      <c r="C29" s="3" t="str">
        <f>'Config!'!A27</f>
        <v>Burundi</v>
      </c>
      <c r="D29" s="3" t="str">
        <f>'Config!'!B27</f>
        <v>África Subsaariana</v>
      </c>
      <c r="E29" t="str">
        <f>INDEX(G29:N29,1,SUMIF($G$3:$N$3,WorldMap!$Q$1,$G$2:$N$2))</f>
        <v>.</v>
      </c>
      <c r="F29" t="str">
        <f>INDEX(G29:N29,1,SUMIF($G$3:$N$3,WorldMap!$Q$1,$G$2:$N$2))</f>
        <v>.</v>
      </c>
      <c r="G29" s="9">
        <f>IF(A29="","",INDEX(Population!$BD$3:$BP$177,A29,'Config!'!$AZ$17+1)/1000000)</f>
        <v>10.124572000000001</v>
      </c>
      <c r="H29" s="38">
        <f>IF(A29="","",INDEX(GDP!$G$3:$S$177,A29,'Config!'!$AZ$17+1)*1000/G29)</f>
        <v>230.45992457384773</v>
      </c>
      <c r="I29">
        <f>IF(A29="","",G29*1000000/INDEX(Population!$CH$3:$CH$177,A29,1))</f>
        <v>394.2590342679128</v>
      </c>
      <c r="J29" t="str">
        <f>IF(A29="","",IFERROR(INDEX('Result data'!$R$216:$AC$390,A29,'Config!'!$BA$17),"."))</f>
        <v>.</v>
      </c>
      <c r="K29" s="8" t="str">
        <f t="shared" si="1"/>
        <v>.</v>
      </c>
      <c r="L29" t="str">
        <f>IF(A29="","",IFERROR(INDEX('Result data'!$ES$216:$FB$390,A29,$L$1)/J29*100,"."))</f>
        <v>.</v>
      </c>
      <c r="M29">
        <f>IF(A29="","",IFERROR(INDEX('Result data'!$BS$216:$CD$390,A29,'Config!'!$BA$17)/1000000,"."))</f>
        <v>0</v>
      </c>
      <c r="N29">
        <f>IF(A29="","",IFERROR(INDEX('Result data'!$AE$216:$AP$390,A29,'Config!'!$BA$17),"."))</f>
        <v>0</v>
      </c>
      <c r="O29" t="str">
        <f>INDEX(Language!$B$149:$B$308,MATCH(C29,Language!$C$149:$C$308,0))</f>
        <v>Burundi</v>
      </c>
    </row>
    <row r="30" spans="1:15" x14ac:dyDescent="0.25">
      <c r="A30" s="2">
        <f>'Config!'!C28</f>
        <v>20</v>
      </c>
      <c r="B30" s="2" t="str">
        <f t="shared" si="0"/>
        <v xml:space="preserve">Butão 
</v>
      </c>
      <c r="C30" s="3" t="str">
        <f>'Config!'!A28</f>
        <v>Butão</v>
      </c>
      <c r="D30" s="3" t="str">
        <f>'Config!'!B28</f>
        <v>Ásia-Pacífico</v>
      </c>
      <c r="E30" t="str">
        <f>INDEX(G30:N30,1,SUMIF($G$3:$N$3,WorldMap!$Q$1,$G$2:$N$2))</f>
        <v>.</v>
      </c>
      <c r="F30" t="str">
        <f>INDEX(G30:N30,1,SUMIF($G$3:$N$3,WorldMap!$Q$1,$G$2:$N$2))</f>
        <v>.</v>
      </c>
      <c r="G30" s="9">
        <f>IF(A30="","",INDEX(Population!$BD$3:$BP$177,A30,'Config!'!$AZ$17+1)/1000000)</f>
        <v>0.74371100000000001</v>
      </c>
      <c r="H30" s="38">
        <f>IF(A30="","",INDEX(GDP!$G$3:$S$177,A30,'Config!'!$AZ$17+1)*1000/G30)</f>
        <v>2452.1515879374133</v>
      </c>
      <c r="I30">
        <f>IF(A30="","",G30*1000000/INDEX(Population!$CH$3:$CH$177,A30,1))</f>
        <v>19.370500599051937</v>
      </c>
      <c r="J30" t="str">
        <f>IF(A30="","",IFERROR(INDEX('Result data'!$R$216:$AC$390,A30,'Config!'!$BA$17),"."))</f>
        <v>.</v>
      </c>
      <c r="K30" s="8" t="str">
        <f t="shared" si="1"/>
        <v>.</v>
      </c>
      <c r="L30" t="str">
        <f>IF(A30="","",IFERROR(INDEX('Result data'!$ES$216:$FB$390,A30,$L$1)/J30*100,"."))</f>
        <v>.</v>
      </c>
      <c r="M30">
        <f>IF(A30="","",IFERROR(INDEX('Result data'!$BS$216:$CD$390,A30,'Config!'!$BA$17)/1000000,"."))</f>
        <v>0</v>
      </c>
      <c r="N30">
        <f>IF(A30="","",IFERROR(INDEX('Result data'!$AE$216:$AP$390,A30,'Config!'!$BA$17),"."))</f>
        <v>0</v>
      </c>
      <c r="O30" t="str">
        <f>INDEX(Language!$B$149:$B$308,MATCH(C30,Language!$C$149:$C$308,0))</f>
        <v>Bhutan</v>
      </c>
    </row>
    <row r="31" spans="1:15" x14ac:dyDescent="0.25">
      <c r="A31" s="2">
        <f>'Config!'!C29</f>
        <v>28</v>
      </c>
      <c r="B31" s="2" t="str">
        <f t="shared" si="0"/>
        <v xml:space="preserve">Camarões 
</v>
      </c>
      <c r="C31" s="3" t="str">
        <f>'Config!'!A29</f>
        <v>Camarões</v>
      </c>
      <c r="D31" s="3" t="str">
        <f>'Config!'!B29</f>
        <v>África Subsaariana</v>
      </c>
      <c r="E31" t="str">
        <f>INDEX(G31:N31,1,SUMIF($G$3:$N$3,WorldMap!$Q$1,$G$2:$N$2))</f>
        <v>.</v>
      </c>
      <c r="F31" t="str">
        <f>INDEX(G31:N31,1,SUMIF($G$3:$N$3,WorldMap!$Q$1,$G$2:$N$2))</f>
        <v>.</v>
      </c>
      <c r="G31" s="9">
        <f>IF(A31="","",INDEX(Population!$BD$3:$BP$177,A31,'Config!'!$AZ$17+1)/1000000)</f>
        <v>21.659488</v>
      </c>
      <c r="H31" s="38">
        <f>IF(A31="","",INDEX(GDP!$G$3:$S$177,A31,'Config!'!$AZ$17+1)*1000/G31)</f>
        <v>1343.7269318203425</v>
      </c>
      <c r="I31">
        <f>IF(A31="","",G31*1000000/INDEX(Population!$CH$3:$CH$177,A31,1))</f>
        <v>45.819821878107085</v>
      </c>
      <c r="J31" t="str">
        <f>IF(A31="","",IFERROR(INDEX('Result data'!$R$216:$AC$390,A31,'Config!'!$BA$17),"."))</f>
        <v>.</v>
      </c>
      <c r="K31" s="8" t="str">
        <f t="shared" si="1"/>
        <v>.</v>
      </c>
      <c r="L31" t="str">
        <f>IF(A31="","",IFERROR(INDEX('Result data'!$ES$216:$FB$390,A31,$L$1)/J31*100,"."))</f>
        <v>.</v>
      </c>
      <c r="M31">
        <f>IF(A31="","",IFERROR(INDEX('Result data'!$BS$216:$CD$390,A31,'Config!'!$BA$17)/1000000,"."))</f>
        <v>0</v>
      </c>
      <c r="N31">
        <f>IF(A31="","",IFERROR(INDEX('Result data'!$AE$216:$AP$390,A31,'Config!'!$BA$17),"."))</f>
        <v>0</v>
      </c>
      <c r="O31" t="str">
        <f>INDEX(Language!$B$149:$B$308,MATCH(C31,Language!$C$149:$C$308,0))</f>
        <v>Cameroon</v>
      </c>
    </row>
    <row r="32" spans="1:15" x14ac:dyDescent="0.25">
      <c r="A32" s="2">
        <f>'Config!'!C30</f>
        <v>27</v>
      </c>
      <c r="B32" s="2" t="str">
        <f t="shared" si="0"/>
        <v xml:space="preserve">Camboja 
</v>
      </c>
      <c r="C32" s="3" t="str">
        <f>'Config!'!A30</f>
        <v>Camboja</v>
      </c>
      <c r="D32" s="3" t="str">
        <f>'Config!'!B30</f>
        <v>Ásia-Pacífico</v>
      </c>
      <c r="E32" t="str">
        <f>INDEX(G32:N32,1,SUMIF($G$3:$N$3,WorldMap!$Q$1,$G$2:$N$2))</f>
        <v>.</v>
      </c>
      <c r="F32" t="str">
        <f>INDEX(G32:N32,1,SUMIF($G$3:$N$3,WorldMap!$Q$1,$G$2:$N$2))</f>
        <v>.</v>
      </c>
      <c r="G32" s="9">
        <f>IF(A32="","",INDEX(Population!$BD$3:$BP$177,A32,'Config!'!$AZ$17+1)/1000000)</f>
        <v>14.832255</v>
      </c>
      <c r="H32" s="38">
        <f>IF(A32="","",INDEX(GDP!$G$3:$S$177,A32,'Config!'!$AZ$17+1)*1000/G32)</f>
        <v>947.55943809379789</v>
      </c>
      <c r="I32">
        <f>IF(A32="","",G32*1000000/INDEX(Population!$CH$3:$CH$177,A32,1))</f>
        <v>84.028297878367283</v>
      </c>
      <c r="J32" t="str">
        <f>IF(A32="","",IFERROR(INDEX('Result data'!$R$216:$AC$390,A32,'Config!'!$BA$17),"."))</f>
        <v>.</v>
      </c>
      <c r="K32" s="8" t="str">
        <f t="shared" si="1"/>
        <v>.</v>
      </c>
      <c r="L32" t="str">
        <f>IF(A32="","",IFERROR(INDEX('Result data'!$ES$216:$FB$390,A32,$L$1)/J32*100,"."))</f>
        <v>.</v>
      </c>
      <c r="M32">
        <f>IF(A32="","",IFERROR(INDEX('Result data'!$BS$216:$CD$390,A32,'Config!'!$BA$17)/1000000,"."))</f>
        <v>0</v>
      </c>
      <c r="N32">
        <f>IF(A32="","",IFERROR(INDEX('Result data'!$AE$216:$AP$390,A32,'Config!'!$BA$17),"."))</f>
        <v>0</v>
      </c>
      <c r="O32" t="str">
        <f>INDEX(Language!$B$149:$B$308,MATCH(C32,Language!$C$149:$C$308,0))</f>
        <v>Cambodia</v>
      </c>
    </row>
    <row r="33" spans="1:15" x14ac:dyDescent="0.25">
      <c r="A33" s="2">
        <f>'Config!'!C31</f>
        <v>29</v>
      </c>
      <c r="B33" s="2" t="str">
        <f t="shared" si="0"/>
        <v xml:space="preserve">Canadá 
</v>
      </c>
      <c r="C33" s="3" t="str">
        <f>'Config!'!A31</f>
        <v>Canadá</v>
      </c>
      <c r="D33" s="3" t="str">
        <f>'Config!'!B31</f>
        <v>América do Norte</v>
      </c>
      <c r="E33">
        <f>INDEX(G33:N33,1,SUMIF($G$3:$N$3,WorldMap!$Q$1,$G$2:$N$2))</f>
        <v>1.0445887248069694</v>
      </c>
      <c r="F33">
        <f>INDEX(G33:N33,1,SUMIF($G$3:$N$3,WorldMap!$Q$1,$G$2:$N$2))</f>
        <v>1.0445887248069694</v>
      </c>
      <c r="G33" s="9">
        <f>IF(A33="","",INDEX(Population!$BD$3:$BP$177,A33,'Config!'!$AZ$17+1)/1000000)</f>
        <v>34.751475999999997</v>
      </c>
      <c r="H33" s="38">
        <f>IF(A33="","",INDEX(GDP!$G$3:$S$177,A33,'Config!'!$AZ$17+1)*1000/G33)</f>
        <v>52486.020637616479</v>
      </c>
      <c r="I33">
        <f>IF(A33="","",G33*1000000/INDEX(Population!$CH$3:$CH$177,A33,1))</f>
        <v>3.8215702698639809</v>
      </c>
      <c r="J33">
        <f>IF(A33="","",IFERROR(INDEX('Result data'!$R$216:$AC$390,A33,'Config!'!$BA$17),"."))</f>
        <v>363010</v>
      </c>
      <c r="K33" s="8">
        <f t="shared" si="1"/>
        <v>1.0445887248069694</v>
      </c>
      <c r="L33">
        <f>IF(A33="","",IFERROR(INDEX('Result data'!$ES$216:$FB$390,A33,$L$1)/J33*100,"."))</f>
        <v>2.7547450483457757E-4</v>
      </c>
      <c r="M33">
        <f>IF(A33="","",IFERROR(INDEX('Result data'!$BS$216:$CD$390,A33,'Config!'!$BA$17)/1000000,"."))</f>
        <v>8.561660469474079</v>
      </c>
      <c r="N33">
        <f>IF(A33="","",IFERROR(INDEX('Result data'!$AE$216:$AP$390,A33,'Config!'!$BA$17),"."))</f>
        <v>1</v>
      </c>
      <c r="O33" t="str">
        <f>INDEX(Language!$B$149:$B$308,MATCH(C33,Language!$C$149:$C$308,0))</f>
        <v>Canada</v>
      </c>
    </row>
    <row r="34" spans="1:15" x14ac:dyDescent="0.25">
      <c r="A34" s="2">
        <f>'Config!'!C32</f>
        <v>128</v>
      </c>
      <c r="B34" s="2" t="str">
        <f t="shared" si="0"/>
        <v xml:space="preserve">Catar 
</v>
      </c>
      <c r="C34" s="3" t="str">
        <f>'Config!'!A32</f>
        <v>Catar</v>
      </c>
      <c r="D34" s="3" t="str">
        <f>'Config!'!B32</f>
        <v>Oriente médio</v>
      </c>
      <c r="E34" t="str">
        <f>INDEX(G34:N34,1,SUMIF($G$3:$N$3,WorldMap!$Q$1,$G$2:$N$2))</f>
        <v>.</v>
      </c>
      <c r="F34" t="str">
        <f>INDEX(G34:N34,1,SUMIF($G$3:$N$3,WorldMap!$Q$1,$G$2:$N$2))</f>
        <v>.</v>
      </c>
      <c r="G34" s="9">
        <f>IF(A34="","",INDEX(Population!$BD$3:$BP$177,A34,'Config!'!$AZ$17+1)/1000000)</f>
        <v>2.0156239999999999</v>
      </c>
      <c r="H34" s="38">
        <f>IF(A34="","",INDEX(GDP!$G$3:$S$177,A34,'Config!'!$AZ$17+1)*1000/G34)</f>
        <v>92692.64331220332</v>
      </c>
      <c r="I34">
        <f>IF(A34="","",G34*1000000/INDEX(Population!$CH$3:$CH$177,A34,1))</f>
        <v>173.97065423787328</v>
      </c>
      <c r="J34" t="str">
        <f>IF(A34="","",IFERROR(INDEX('Result data'!$R$216:$AC$390,A34,'Config!'!$BA$17),"."))</f>
        <v>.</v>
      </c>
      <c r="K34" s="8" t="str">
        <f t="shared" si="1"/>
        <v>.</v>
      </c>
      <c r="L34" t="str">
        <f>IF(A34="","",IFERROR(INDEX('Result data'!$ES$216:$FB$390,A34,$L$1)/J34*100,"."))</f>
        <v>.</v>
      </c>
      <c r="M34">
        <f>IF(A34="","",IFERROR(INDEX('Result data'!$BS$216:$CD$390,A34,'Config!'!$BA$17)/1000000,"."))</f>
        <v>0</v>
      </c>
      <c r="N34">
        <f>IF(A34="","",IFERROR(INDEX('Result data'!$AE$216:$AP$390,A34,'Config!'!$BA$17),"."))</f>
        <v>0</v>
      </c>
      <c r="O34" t="str">
        <f>INDEX(Language!$B$149:$B$308,MATCH(C34,Language!$C$149:$C$308,0))</f>
        <v>Qatar</v>
      </c>
    </row>
    <row r="35" spans="1:15" x14ac:dyDescent="0.25">
      <c r="A35" s="2">
        <f>'Config!'!C33</f>
        <v>81</v>
      </c>
      <c r="B35" s="2" t="str">
        <f t="shared" si="0"/>
        <v xml:space="preserve">Cazaquistão 
</v>
      </c>
      <c r="C35" s="3" t="str">
        <f>'Config!'!A33</f>
        <v>Cazaquistão</v>
      </c>
      <c r="D35" s="3" t="str">
        <f>'Config!'!B33</f>
        <v>Ásia-Pacífico</v>
      </c>
      <c r="E35" t="str">
        <f>INDEX(G35:N35,1,SUMIF($G$3:$N$3,WorldMap!$Q$1,$G$2:$N$2))</f>
        <v>.</v>
      </c>
      <c r="F35" t="str">
        <f>INDEX(G35:N35,1,SUMIF($G$3:$N$3,WorldMap!$Q$1,$G$2:$N$2))</f>
        <v>.</v>
      </c>
      <c r="G35" s="9">
        <f>IF(A35="","",INDEX(Population!$BD$3:$BP$177,A35,'Config!'!$AZ$17+1)/1000000)</f>
        <v>16.791425</v>
      </c>
      <c r="H35" s="38">
        <f>IF(A35="","",INDEX(GDP!$G$3:$S$177,A35,'Config!'!$AZ$17+1)*1000/G35)</f>
        <v>12387.189822530801</v>
      </c>
      <c r="I35">
        <f>IF(A35="","",G35*1000000/INDEX(Population!$CH$3:$CH$177,A35,1))</f>
        <v>6.2197373782272107</v>
      </c>
      <c r="J35" t="str">
        <f>IF(A35="","",IFERROR(INDEX('Result data'!$R$216:$AC$390,A35,'Config!'!$BA$17),"."))</f>
        <v>.</v>
      </c>
      <c r="K35" s="8" t="str">
        <f t="shared" si="1"/>
        <v>.</v>
      </c>
      <c r="L35" t="str">
        <f>IF(A35="","",IFERROR(INDEX('Result data'!$ES$216:$FB$390,A35,$L$1)/J35*100,"."))</f>
        <v>.</v>
      </c>
      <c r="M35">
        <f>IF(A35="","",IFERROR(INDEX('Result data'!$BS$216:$CD$390,A35,'Config!'!$BA$17)/1000000,"."))</f>
        <v>0</v>
      </c>
      <c r="N35">
        <f>IF(A35="","",IFERROR(INDEX('Result data'!$AE$216:$AP$390,A35,'Config!'!$BA$17),"."))</f>
        <v>0</v>
      </c>
      <c r="O35" t="str">
        <f>INDEX(Language!$B$149:$B$308,MATCH(C35,Language!$C$149:$C$308,0))</f>
        <v>Kazakhstan</v>
      </c>
    </row>
    <row r="36" spans="1:15" x14ac:dyDescent="0.25">
      <c r="A36" s="2">
        <f>'Config!'!C34</f>
        <v>32</v>
      </c>
      <c r="B36" s="2" t="str">
        <f t="shared" si="0"/>
        <v xml:space="preserve">Chade 
</v>
      </c>
      <c r="C36" s="3" t="str">
        <f>'Config!'!A34</f>
        <v>Chade</v>
      </c>
      <c r="D36" s="3" t="str">
        <f>'Config!'!B34</f>
        <v>África Subsaariana</v>
      </c>
      <c r="E36" t="str">
        <f>INDEX(G36:N36,1,SUMIF($G$3:$N$3,WorldMap!$Q$1,$G$2:$N$2))</f>
        <v>.</v>
      </c>
      <c r="F36" t="str">
        <f>INDEX(G36:N36,1,SUMIF($G$3:$N$3,WorldMap!$Q$1,$G$2:$N$2))</f>
        <v>.</v>
      </c>
      <c r="G36" s="9">
        <f>IF(A36="","",INDEX(Population!$BD$3:$BP$177,A36,'Config!'!$AZ$17+1)/1000000)</f>
        <v>12.715465</v>
      </c>
      <c r="H36" s="38">
        <f>IF(A36="","",INDEX(GDP!$G$3:$S$177,A36,'Config!'!$AZ$17+1)*1000/G36)</f>
        <v>972.67941351230468</v>
      </c>
      <c r="I36">
        <f>IF(A36="","",G36*1000000/INDEX(Population!$CH$3:$CH$177,A36,1))</f>
        <v>10.098050349428208</v>
      </c>
      <c r="J36" t="str">
        <f>IF(A36="","",IFERROR(INDEX('Result data'!$R$216:$AC$390,A36,'Config!'!$BA$17),"."))</f>
        <v>.</v>
      </c>
      <c r="K36" s="8" t="str">
        <f t="shared" si="1"/>
        <v>.</v>
      </c>
      <c r="L36" t="str">
        <f>IF(A36="","",IFERROR(INDEX('Result data'!$ES$216:$FB$390,A36,$L$1)/J36*100,"."))</f>
        <v>.</v>
      </c>
      <c r="M36">
        <f>IF(A36="","",IFERROR(INDEX('Result data'!$BS$216:$CD$390,A36,'Config!'!$BA$17)/1000000,"."))</f>
        <v>0</v>
      </c>
      <c r="N36">
        <f>IF(A36="","",IFERROR(INDEX('Result data'!$AE$216:$AP$390,A36,'Config!'!$BA$17),"."))</f>
        <v>0</v>
      </c>
      <c r="O36" t="str">
        <f>INDEX(Language!$B$149:$B$308,MATCH(C36,Language!$C$149:$C$308,0))</f>
        <v>Chad</v>
      </c>
    </row>
    <row r="37" spans="1:15" x14ac:dyDescent="0.25">
      <c r="A37" s="2">
        <f>'Config!'!C35</f>
        <v>33</v>
      </c>
      <c r="B37" s="2" t="str">
        <f t="shared" si="0"/>
        <v xml:space="preserve">Chile 
</v>
      </c>
      <c r="C37" s="3" t="str">
        <f>'Config!'!A35</f>
        <v>Chile</v>
      </c>
      <c r="D37" s="3" t="str">
        <f>'Config!'!B35</f>
        <v>América do Sul</v>
      </c>
      <c r="E37" t="str">
        <f>INDEX(G37:N37,1,SUMIF($G$3:$N$3,WorldMap!$Q$1,$G$2:$N$2))</f>
        <v>.</v>
      </c>
      <c r="F37" t="str">
        <f>INDEX(G37:N37,1,SUMIF($G$3:$N$3,WorldMap!$Q$1,$G$2:$N$2))</f>
        <v>.</v>
      </c>
      <c r="G37" s="9">
        <f>IF(A37="","",INDEX(Population!$BD$3:$BP$177,A37,'Config!'!$AZ$17+1)/1000000)</f>
        <v>17.388437</v>
      </c>
      <c r="H37" s="38">
        <f>IF(A37="","",INDEX(GDP!$G$3:$S$177,A37,'Config!'!$AZ$17+1)*1000/G37)</f>
        <v>15362.066185517551</v>
      </c>
      <c r="I37">
        <f>IF(A37="","",G37*1000000/INDEX(Population!$CH$3:$CH$177,A37,1))</f>
        <v>23.377462315746453</v>
      </c>
      <c r="J37" t="str">
        <f>IF(A37="","",IFERROR(INDEX('Result data'!$R$216:$AC$390,A37,'Config!'!$BA$17),"."))</f>
        <v>.</v>
      </c>
      <c r="K37" s="8" t="str">
        <f t="shared" si="1"/>
        <v>.</v>
      </c>
      <c r="L37" t="str">
        <f>IF(A37="","",IFERROR(INDEX('Result data'!$ES$216:$FB$390,A37,$L$1)/J37*100,"."))</f>
        <v>.</v>
      </c>
      <c r="M37">
        <f>IF(A37="","",IFERROR(INDEX('Result data'!$BS$216:$CD$390,A37,'Config!'!$BA$17)/1000000,"."))</f>
        <v>0</v>
      </c>
      <c r="N37">
        <f>IF(A37="","",IFERROR(INDEX('Result data'!$AE$216:$AP$390,A37,'Config!'!$BA$17),"."))</f>
        <v>0</v>
      </c>
      <c r="O37" t="str">
        <f>INDEX(Language!$B$149:$B$308,MATCH(C37,Language!$C$149:$C$308,0))</f>
        <v>Chile</v>
      </c>
    </row>
    <row r="38" spans="1:15" x14ac:dyDescent="0.25">
      <c r="A38" s="2">
        <f>'Config!'!C36</f>
        <v>34</v>
      </c>
      <c r="B38" s="2" t="str">
        <f t="shared" si="0"/>
        <v xml:space="preserve">China 
</v>
      </c>
      <c r="C38" s="3" t="str">
        <f>'Config!'!A36</f>
        <v>China</v>
      </c>
      <c r="D38" s="3" t="str">
        <f>'Config!'!B36</f>
        <v>Ásia-Pacífico</v>
      </c>
      <c r="E38">
        <f>INDEX(G38:N38,1,SUMIF($G$3:$N$3,WorldMap!$Q$1,$G$2:$N$2))</f>
        <v>0.51709097908854329</v>
      </c>
      <c r="F38">
        <f>INDEX(G38:N38,1,SUMIF($G$3:$N$3,WorldMap!$Q$1,$G$2:$N$2))</f>
        <v>0.51709097908854329</v>
      </c>
      <c r="G38" s="9">
        <f>IF(A38="","",INDEX(Population!$BD$3:$BP$177,A38,'Config!'!$AZ$17+1)/1000000)</f>
        <v>1350.6949999999999</v>
      </c>
      <c r="H38" s="38">
        <f>IF(A38="","",INDEX(GDP!$G$3:$S$177,A38,'Config!'!$AZ$17+1)*1000/G38)</f>
        <v>6316.9188633568319</v>
      </c>
      <c r="I38">
        <f>IF(A38="","",G38*1000000/INDEX(Population!$CH$3:$CH$177,A38,1))</f>
        <v>144.82475035946308</v>
      </c>
      <c r="J38">
        <f>IF(A38="","",IFERROR(INDEX('Result data'!$R$216:$AC$390,A38,'Config!'!$BA$17),"."))</f>
        <v>6984322</v>
      </c>
      <c r="K38" s="8">
        <f t="shared" si="1"/>
        <v>0.51709097908854329</v>
      </c>
      <c r="L38">
        <f>IF(A38="","",IFERROR(INDEX('Result data'!$ES$216:$FB$390,A38,$L$1)/J38*100,"."))</f>
        <v>1.4317782026659138E-5</v>
      </c>
      <c r="M38">
        <f>IF(A38="","",IFERROR(INDEX('Result data'!$BS$216:$CD$390,A38,'Config!'!$BA$17)/1000000,"."))</f>
        <v>53.046231355448334</v>
      </c>
      <c r="N38">
        <f>IF(A38="","",IFERROR(INDEX('Result data'!$AE$216:$AP$390,A38,'Config!'!$BA$17),"."))</f>
        <v>1</v>
      </c>
      <c r="O38" t="str">
        <f>INDEX(Language!$B$149:$B$308,MATCH(C38,Language!$C$149:$C$308,0))</f>
        <v>China</v>
      </c>
    </row>
    <row r="39" spans="1:15" x14ac:dyDescent="0.25">
      <c r="A39" s="2">
        <f>'Config!'!C37</f>
        <v>40</v>
      </c>
      <c r="B39" s="2" t="str">
        <f t="shared" si="0"/>
        <v xml:space="preserve">Chipre 
</v>
      </c>
      <c r="C39" s="3" t="str">
        <f>'Config!'!A37</f>
        <v>Chipre</v>
      </c>
      <c r="D39" s="3" t="str">
        <f>'Config!'!B37</f>
        <v>União Européia</v>
      </c>
      <c r="E39" t="str">
        <f>INDEX(G39:N39,1,SUMIF($G$3:$N$3,WorldMap!$Q$1,$G$2:$N$2))</f>
        <v>.</v>
      </c>
      <c r="F39" t="str">
        <f>INDEX(G39:N39,1,SUMIF($G$3:$N$3,WorldMap!$Q$1,$G$2:$N$2))</f>
        <v>.</v>
      </c>
      <c r="G39" s="9">
        <f>IF(A39="","",INDEX(Population!$BD$3:$BP$177,A39,'Config!'!$AZ$17+1)/1000000)</f>
        <v>1.1293029999999999</v>
      </c>
      <c r="H39" s="38">
        <f>IF(A39="","",INDEX(GDP!$G$3:$S$177,A39,'Config!'!$AZ$17+1)*1000/G39)</f>
        <v>22174.206495989481</v>
      </c>
      <c r="I39">
        <f>IF(A39="","",G39*1000000/INDEX(Population!$CH$3:$CH$177,A39,1))</f>
        <v>122.20571366735201</v>
      </c>
      <c r="J39" t="str">
        <f>IF(A39="","",IFERROR(INDEX('Result data'!$R$216:$AC$390,A39,'Config!'!$BA$17),"."))</f>
        <v>.</v>
      </c>
      <c r="K39" s="8" t="str">
        <f t="shared" si="1"/>
        <v>.</v>
      </c>
      <c r="L39" t="str">
        <f>IF(A39="","",IFERROR(INDEX('Result data'!$ES$216:$FB$390,A39,$L$1)/J39*100,"."))</f>
        <v>.</v>
      </c>
      <c r="M39">
        <f>IF(A39="","",IFERROR(INDEX('Result data'!$BS$216:$CD$390,A39,'Config!'!$BA$17)/1000000,"."))</f>
        <v>0</v>
      </c>
      <c r="N39">
        <f>IF(A39="","",IFERROR(INDEX('Result data'!$AE$216:$AP$390,A39,'Config!'!$BA$17),"."))</f>
        <v>0</v>
      </c>
      <c r="O39" t="str">
        <f>INDEX(Language!$B$149:$B$308,MATCH(C39,Language!$C$149:$C$308,0))</f>
        <v>Cyprus</v>
      </c>
    </row>
    <row r="40" spans="1:15" x14ac:dyDescent="0.25">
      <c r="A40" s="2">
        <f>'Config!'!C38</f>
        <v>139</v>
      </c>
      <c r="B40" s="2" t="str">
        <f t="shared" si="0"/>
        <v xml:space="preserve">Cingapura 
</v>
      </c>
      <c r="C40" s="3" t="str">
        <f>'Config!'!A38</f>
        <v>Cingapura</v>
      </c>
      <c r="D40" s="3" t="str">
        <f>'Config!'!B38</f>
        <v>Ásia-Pacífico</v>
      </c>
      <c r="E40" t="str">
        <f>INDEX(G40:N40,1,SUMIF($G$3:$N$3,WorldMap!$Q$1,$G$2:$N$2))</f>
        <v>.</v>
      </c>
      <c r="F40" t="str">
        <f>INDEX(G40:N40,1,SUMIF($G$3:$N$3,WorldMap!$Q$1,$G$2:$N$2))</f>
        <v>.</v>
      </c>
      <c r="G40" s="9">
        <f>IF(A40="","",INDEX(Population!$BD$3:$BP$177,A40,'Config!'!$AZ$17+1)/1000000)</f>
        <v>5.3124370000000001</v>
      </c>
      <c r="H40" s="38">
        <f>IF(A40="","",INDEX(GDP!$G$3:$S$177,A40,'Config!'!$AZ$17+1)*1000/G40)</f>
        <v>55546.488538692131</v>
      </c>
      <c r="I40">
        <f>IF(A40="","",G40*1000000/INDEX(Population!$CH$3:$CH$177,A40,1))</f>
        <v>7732.8049490538569</v>
      </c>
      <c r="J40" t="str">
        <f>IF(A40="","",IFERROR(INDEX('Result data'!$R$216:$AC$390,A40,'Config!'!$BA$17),"."))</f>
        <v>.</v>
      </c>
      <c r="K40" s="8" t="str">
        <f t="shared" si="1"/>
        <v>.</v>
      </c>
      <c r="L40" t="str">
        <f>IF(A40="","",IFERROR(INDEX('Result data'!$ES$216:$FB$390,A40,$L$1)/J40*100,"."))</f>
        <v>.</v>
      </c>
      <c r="M40">
        <f>IF(A40="","",IFERROR(INDEX('Result data'!$BS$216:$CD$390,A40,'Config!'!$BA$17)/1000000,"."))</f>
        <v>0</v>
      </c>
      <c r="N40">
        <f>IF(A40="","",IFERROR(INDEX('Result data'!$AE$216:$AP$390,A40,'Config!'!$BA$17),"."))</f>
        <v>0</v>
      </c>
      <c r="O40" t="str">
        <f>INDEX(Language!$B$149:$B$308,MATCH(C40,Language!$C$149:$C$308,0))</f>
        <v>Singapore</v>
      </c>
    </row>
    <row r="41" spans="1:15" x14ac:dyDescent="0.25">
      <c r="A41" s="2">
        <f>'Config!'!C39</f>
        <v>35</v>
      </c>
      <c r="B41" s="2" t="str">
        <f t="shared" si="0"/>
        <v xml:space="preserve">Colômbia 
</v>
      </c>
      <c r="C41" s="3" t="str">
        <f>'Config!'!A39</f>
        <v>Colômbia</v>
      </c>
      <c r="D41" s="3" t="str">
        <f>'Config!'!B39</f>
        <v>América do Sul</v>
      </c>
      <c r="E41" t="str">
        <f>INDEX(G41:N41,1,SUMIF($G$3:$N$3,WorldMap!$Q$1,$G$2:$N$2))</f>
        <v>.</v>
      </c>
      <c r="F41" t="str">
        <f>INDEX(G41:N41,1,SUMIF($G$3:$N$3,WorldMap!$Q$1,$G$2:$N$2))</f>
        <v>.</v>
      </c>
      <c r="G41" s="9">
        <f>IF(A41="","",INDEX(Population!$BD$3:$BP$177,A41,'Config!'!$AZ$17+1)/1000000)</f>
        <v>46.881017999999997</v>
      </c>
      <c r="H41" s="38">
        <f>IF(A41="","",INDEX(GDP!$G$3:$S$177,A41,'Config!'!$AZ$17+1)*1000/G41)</f>
        <v>7904.5728423188302</v>
      </c>
      <c r="I41">
        <f>IF(A41="","",G41*1000000/INDEX(Population!$CH$3:$CH$177,A41,1))</f>
        <v>45.134319822855495</v>
      </c>
      <c r="J41" t="str">
        <f>IF(A41="","",IFERROR(INDEX('Result data'!$R$216:$AC$390,A41,'Config!'!$BA$17),"."))</f>
        <v>.</v>
      </c>
      <c r="K41" s="8" t="str">
        <f t="shared" si="1"/>
        <v>.</v>
      </c>
      <c r="L41" t="str">
        <f>IF(A41="","",IFERROR(INDEX('Result data'!$ES$216:$FB$390,A41,$L$1)/J41*100,"."))</f>
        <v>.</v>
      </c>
      <c r="M41">
        <f>IF(A41="","",IFERROR(INDEX('Result data'!$BS$216:$CD$390,A41,'Config!'!$BA$17)/1000000,"."))</f>
        <v>0</v>
      </c>
      <c r="N41">
        <f>IF(A41="","",IFERROR(INDEX('Result data'!$AE$216:$AP$390,A41,'Config!'!$BA$17),"."))</f>
        <v>0</v>
      </c>
      <c r="O41" t="str">
        <f>INDEX(Language!$B$149:$B$308,MATCH(C41,Language!$C$149:$C$308,0))</f>
        <v>Colombia</v>
      </c>
    </row>
    <row r="42" spans="1:15" x14ac:dyDescent="0.25">
      <c r="A42" s="2">
        <f>'Config!'!C40</f>
        <v>36</v>
      </c>
      <c r="B42" s="2" t="str">
        <f t="shared" si="0"/>
        <v xml:space="preserve">Comores. 
</v>
      </c>
      <c r="C42" s="3" t="str">
        <f>'Config!'!A40</f>
        <v>Comores.</v>
      </c>
      <c r="D42" s="3" t="str">
        <f>'Config!'!B40</f>
        <v>África Subsaariana</v>
      </c>
      <c r="E42" t="str">
        <f>INDEX(G42:N42,1,SUMIF($G$3:$N$3,WorldMap!$Q$1,$G$2:$N$2))</f>
        <v>.</v>
      </c>
      <c r="F42" t="str">
        <f>INDEX(G42:N42,1,SUMIF($G$3:$N$3,WorldMap!$Q$1,$G$2:$N$2))</f>
        <v>.</v>
      </c>
      <c r="G42" s="9">
        <f>IF(A42="","",INDEX(Population!$BD$3:$BP$177,A42,'Config!'!$AZ$17+1)/1000000)</f>
        <v>0.73366100000000001</v>
      </c>
      <c r="H42" s="38">
        <f>IF(A42="","",INDEX(GDP!$G$3:$S$177,A42,'Config!'!$AZ$17+1)*1000/G42)</f>
        <v>1384.7011159381211</v>
      </c>
      <c r="I42">
        <f>IF(A42="","",G42*1000000/INDEX(Population!$CH$3:$CH$177,A42,1))</f>
        <v>328.25995525727069</v>
      </c>
      <c r="J42" t="str">
        <f>IF(A42="","",IFERROR(INDEX('Result data'!$R$216:$AC$390,A42,'Config!'!$BA$17),"."))</f>
        <v>.</v>
      </c>
      <c r="K42" s="8" t="str">
        <f t="shared" si="1"/>
        <v>.</v>
      </c>
      <c r="L42" t="str">
        <f>IF(A42="","",IFERROR(INDEX('Result data'!$ES$216:$FB$390,A42,$L$1)/J42*100,"."))</f>
        <v>.</v>
      </c>
      <c r="M42">
        <f>IF(A42="","",IFERROR(INDEX('Result data'!$BS$216:$CD$390,A42,'Config!'!$BA$17)/1000000,"."))</f>
        <v>0</v>
      </c>
      <c r="N42">
        <f>IF(A42="","",IFERROR(INDEX('Result data'!$AE$216:$AP$390,A42,'Config!'!$BA$17),"."))</f>
        <v>0</v>
      </c>
      <c r="O42" t="str">
        <f>INDEX(Language!$B$149:$B$308,MATCH(C42,Language!$C$149:$C$308,0))</f>
        <v>Comoros</v>
      </c>
    </row>
    <row r="43" spans="1:15" x14ac:dyDescent="0.25">
      <c r="A43" s="2">
        <f>'Config!'!C41</f>
        <v>145</v>
      </c>
      <c r="B43" s="2" t="str">
        <f t="shared" si="0"/>
        <v xml:space="preserve">Coreia do Sul 
</v>
      </c>
      <c r="C43" s="3" t="str">
        <f>'Config!'!A41</f>
        <v>Coreia do Sul</v>
      </c>
      <c r="D43" s="3" t="str">
        <f>'Config!'!B41</f>
        <v>Ásia-Pacífico</v>
      </c>
      <c r="E43">
        <f>INDEX(G43:N43,1,SUMIF($G$3:$N$3,WorldMap!$Q$1,$G$2:$N$2))</f>
        <v>1.4102747393976467</v>
      </c>
      <c r="F43">
        <f>INDEX(G43:N43,1,SUMIF($G$3:$N$3,WorldMap!$Q$1,$G$2:$N$2))</f>
        <v>1.4102747393976467</v>
      </c>
      <c r="G43" s="9">
        <f>IF(A43="","",INDEX(Population!$BD$3:$BP$177,A43,'Config!'!$AZ$17+1)/1000000)</f>
        <v>50.004441</v>
      </c>
      <c r="H43" s="38">
        <f>IF(A43="","",INDEX(GDP!$G$3:$S$177,A43,'Config!'!$AZ$17+1)*1000/G43)</f>
        <v>24453.973687763351</v>
      </c>
      <c r="I43">
        <f>IF(A43="","",G43*1000000/INDEX(Population!$CH$3:$CH$177,A43,1))</f>
        <v>515.93521460998761</v>
      </c>
      <c r="J43">
        <f>IF(A43="","",IFERROR(INDEX('Result data'!$R$216:$AC$390,A43,'Config!'!$BA$17),"."))</f>
        <v>705200</v>
      </c>
      <c r="K43" s="8">
        <f t="shared" si="1"/>
        <v>1.4102747393976467</v>
      </c>
      <c r="L43">
        <f>IF(A43="","",IFERROR(INDEX('Result data'!$ES$216:$FB$390,A43,$L$1)/J43*100,"."))</f>
        <v>1.4180374361883155E-4</v>
      </c>
      <c r="M43">
        <f>IF(A43="","",IFERROR(INDEX('Result data'!$BS$216:$CD$390,A43,'Config!'!$BA$17)/1000000,"."))</f>
        <v>9.0356008416119469</v>
      </c>
      <c r="N43">
        <f>IF(A43="","",IFERROR(INDEX('Result data'!$AE$216:$AP$390,A43,'Config!'!$BA$17),"."))</f>
        <v>1</v>
      </c>
      <c r="O43" t="str">
        <f>INDEX(Language!$B$149:$B$308,MATCH(C43,Language!$C$149:$C$308,0))</f>
        <v>South Korea</v>
      </c>
    </row>
    <row r="44" spans="1:15" x14ac:dyDescent="0.25">
      <c r="A44" s="2">
        <f>'Config!'!C42</f>
        <v>37</v>
      </c>
      <c r="B44" s="2" t="str">
        <f t="shared" si="0"/>
        <v xml:space="preserve">Costa Rica 
</v>
      </c>
      <c r="C44" s="3" t="str">
        <f>'Config!'!A42</f>
        <v>Costa Rica</v>
      </c>
      <c r="D44" s="3" t="str">
        <f>'Config!'!B42</f>
        <v>América Central</v>
      </c>
      <c r="E44" t="str">
        <f>INDEX(G44:N44,1,SUMIF($G$3:$N$3,WorldMap!$Q$1,$G$2:$N$2))</f>
        <v>.</v>
      </c>
      <c r="F44" t="str">
        <f>INDEX(G44:N44,1,SUMIF($G$3:$N$3,WorldMap!$Q$1,$G$2:$N$2))</f>
        <v>.</v>
      </c>
      <c r="G44" s="9">
        <f>IF(A44="","",INDEX(Population!$BD$3:$BP$177,A44,'Config!'!$AZ$17+1)/1000000)</f>
        <v>4.6541480000000002</v>
      </c>
      <c r="H44" s="38">
        <f>IF(A44="","",INDEX(GDP!$G$3:$S$177,A44,'Config!'!$AZ$17+1)*1000/G44)</f>
        <v>9985.3145621693948</v>
      </c>
      <c r="I44">
        <f>IF(A44="","",G44*1000000/INDEX(Population!$CH$3:$CH$177,A44,1))</f>
        <v>91.150567959263611</v>
      </c>
      <c r="J44" t="str">
        <f>IF(A44="","",IFERROR(INDEX('Result data'!$R$216:$AC$390,A44,'Config!'!$BA$17),"."))</f>
        <v>.</v>
      </c>
      <c r="K44" s="8" t="str">
        <f t="shared" si="1"/>
        <v>.</v>
      </c>
      <c r="L44" t="str">
        <f>IF(A44="","",IFERROR(INDEX('Result data'!$ES$216:$FB$390,A44,$L$1)/J44*100,"."))</f>
        <v>.</v>
      </c>
      <c r="M44">
        <f>IF(A44="","",IFERROR(INDEX('Result data'!$BS$216:$CD$390,A44,'Config!'!$BA$17)/1000000,"."))</f>
        <v>0</v>
      </c>
      <c r="N44">
        <f>IF(A44="","",IFERROR(INDEX('Result data'!$AE$216:$AP$390,A44,'Config!'!$BA$17),"."))</f>
        <v>0</v>
      </c>
      <c r="O44" t="str">
        <f>INDEX(Language!$B$149:$B$308,MATCH(C44,Language!$C$149:$C$308,0))</f>
        <v>Costa Rica</v>
      </c>
    </row>
    <row r="45" spans="1:15" x14ac:dyDescent="0.25">
      <c r="A45" s="2">
        <f>'Config!'!C43</f>
        <v>38</v>
      </c>
      <c r="B45" s="2" t="str">
        <f t="shared" si="0"/>
        <v xml:space="preserve">Croácia 
</v>
      </c>
      <c r="C45" s="3" t="str">
        <f>'Config!'!A43</f>
        <v>Croácia</v>
      </c>
      <c r="D45" s="3" t="str">
        <f>'Config!'!B43</f>
        <v>Europa</v>
      </c>
      <c r="E45" t="str">
        <f>INDEX(G45:N45,1,SUMIF($G$3:$N$3,WorldMap!$Q$1,$G$2:$N$2))</f>
        <v>.</v>
      </c>
      <c r="F45" t="str">
        <f>INDEX(G45:N45,1,SUMIF($G$3:$N$3,WorldMap!$Q$1,$G$2:$N$2))</f>
        <v>.</v>
      </c>
      <c r="G45" s="9">
        <f>IF(A45="","",INDEX(Population!$BD$3:$BP$177,A45,'Config!'!$AZ$17+1)/1000000)</f>
        <v>4.2675580000000002</v>
      </c>
      <c r="H45" s="38">
        <f>IF(A45="","",INDEX(GDP!$G$3:$S$177,A45,'Config!'!$AZ$17+1)*1000/G45)</f>
        <v>13250.757117980616</v>
      </c>
      <c r="I45">
        <f>IF(A45="","",G45*1000000/INDEX(Population!$CH$3:$CH$177,A45,1))</f>
        <v>76.241790831457465</v>
      </c>
      <c r="J45" t="str">
        <f>IF(A45="","",IFERROR(INDEX('Result data'!$R$216:$AC$390,A45,'Config!'!$BA$17),"."))</f>
        <v>.</v>
      </c>
      <c r="K45" s="8" t="str">
        <f t="shared" si="1"/>
        <v>.</v>
      </c>
      <c r="L45" t="str">
        <f>IF(A45="","",IFERROR(INDEX('Result data'!$ES$216:$FB$390,A45,$L$1)/J45*100,"."))</f>
        <v>.</v>
      </c>
      <c r="M45">
        <f>IF(A45="","",IFERROR(INDEX('Result data'!$BS$216:$CD$390,A45,'Config!'!$BA$17)/1000000,"."))</f>
        <v>0</v>
      </c>
      <c r="N45">
        <f>IF(A45="","",IFERROR(INDEX('Result data'!$AE$216:$AP$390,A45,'Config!'!$BA$17),"."))</f>
        <v>0</v>
      </c>
      <c r="O45" t="str">
        <f>INDEX(Language!$B$149:$B$308,MATCH(C45,Language!$C$149:$C$308,0))</f>
        <v>Croatia</v>
      </c>
    </row>
    <row r="46" spans="1:15" x14ac:dyDescent="0.25">
      <c r="A46" s="2">
        <f>'Config!'!C44</f>
        <v>39</v>
      </c>
      <c r="B46" s="2" t="str">
        <f t="shared" si="0"/>
        <v xml:space="preserve">Cuba 
</v>
      </c>
      <c r="C46" s="3" t="str">
        <f>'Config!'!A44</f>
        <v>Cuba</v>
      </c>
      <c r="D46" s="3" t="str">
        <f>'Config!'!B44</f>
        <v>Caribe</v>
      </c>
      <c r="E46" t="str">
        <f>INDEX(G46:N46,1,SUMIF($G$3:$N$3,WorldMap!$Q$1,$G$2:$N$2))</f>
        <v>.</v>
      </c>
      <c r="F46" t="str">
        <f>INDEX(G46:N46,1,SUMIF($G$3:$N$3,WorldMap!$Q$1,$G$2:$N$2))</f>
        <v>.</v>
      </c>
      <c r="G46" s="9">
        <f>IF(A46="","",INDEX(Population!$BD$3:$BP$177,A46,'Config!'!$AZ$17+1)/1000000)</f>
        <v>11.342631000000001</v>
      </c>
      <c r="H46" s="38">
        <f>IF(A46="","",INDEX(GDP!$G$3:$S$177,A46,'Config!'!$AZ$17+1)*1000/G46)</f>
        <v>6448.3275529284165</v>
      </c>
      <c r="I46">
        <f>IF(A46="","",G46*1000000/INDEX(Population!$CH$3:$CH$177,A46,1))</f>
        <v>103.28383718812603</v>
      </c>
      <c r="J46" t="str">
        <f>IF(A46="","",IFERROR(INDEX('Result data'!$R$216:$AC$390,A46,'Config!'!$BA$17),"."))</f>
        <v>.</v>
      </c>
      <c r="K46" s="8" t="str">
        <f t="shared" si="1"/>
        <v>.</v>
      </c>
      <c r="L46" t="str">
        <f>IF(A46="","",IFERROR(INDEX('Result data'!$ES$216:$FB$390,A46,$L$1)/J46*100,"."))</f>
        <v>.</v>
      </c>
      <c r="M46">
        <f>IF(A46="","",IFERROR(INDEX('Result data'!$BS$216:$CD$390,A46,'Config!'!$BA$17)/1000000,"."))</f>
        <v>0</v>
      </c>
      <c r="N46">
        <f>IF(A46="","",IFERROR(INDEX('Result data'!$AE$216:$AP$390,A46,'Config!'!$BA$17),"."))</f>
        <v>0</v>
      </c>
      <c r="O46" t="str">
        <f>INDEX(Language!$B$149:$B$308,MATCH(C46,Language!$C$149:$C$308,0))</f>
        <v>Cuba</v>
      </c>
    </row>
    <row r="47" spans="1:15" x14ac:dyDescent="0.25">
      <c r="A47" s="2">
        <f>'Config!'!C45</f>
        <v>43</v>
      </c>
      <c r="B47" s="2" t="str">
        <f t="shared" si="0"/>
        <v xml:space="preserve">Dinamarca 
</v>
      </c>
      <c r="C47" s="3" t="str">
        <f>'Config!'!A45</f>
        <v>Dinamarca</v>
      </c>
      <c r="D47" s="3" t="str">
        <f>'Config!'!B45</f>
        <v>União Européia</v>
      </c>
      <c r="E47" t="str">
        <f>INDEX(G47:N47,1,SUMIF($G$3:$N$3,WorldMap!$Q$1,$G$2:$N$2))</f>
        <v>.</v>
      </c>
      <c r="F47" t="str">
        <f>INDEX(G47:N47,1,SUMIF($G$3:$N$3,WorldMap!$Q$1,$G$2:$N$2))</f>
        <v>.</v>
      </c>
      <c r="G47" s="9">
        <f>IF(A47="","",INDEX(Population!$BD$3:$BP$177,A47,'Config!'!$AZ$17+1)/1000000)</f>
        <v>5.5915720000000002</v>
      </c>
      <c r="H47" s="38">
        <f>IF(A47="","",INDEX(GDP!$G$3:$S$177,A47,'Config!'!$AZ$17+1)*1000/G47)</f>
        <v>58507.508051785182</v>
      </c>
      <c r="I47">
        <f>IF(A47="","",G47*1000000/INDEX(Population!$CH$3:$CH$177,A47,1))</f>
        <v>131.77103266248764</v>
      </c>
      <c r="J47" t="str">
        <f>IF(A47="","",IFERROR(INDEX('Result data'!$R$216:$AC$390,A47,'Config!'!$BA$17),"."))</f>
        <v>.</v>
      </c>
      <c r="K47" s="8" t="str">
        <f t="shared" si="1"/>
        <v>.</v>
      </c>
      <c r="L47" t="str">
        <f>IF(A47="","",IFERROR(INDEX('Result data'!$ES$216:$FB$390,A47,$L$1)/J47*100,"."))</f>
        <v>.</v>
      </c>
      <c r="M47">
        <f>IF(A47="","",IFERROR(INDEX('Result data'!$BS$216:$CD$390,A47,'Config!'!$BA$17)/1000000,"."))</f>
        <v>0</v>
      </c>
      <c r="N47">
        <f>IF(A47="","",IFERROR(INDEX('Result data'!$AE$216:$AP$390,A47,'Config!'!$BA$17),"."))</f>
        <v>0</v>
      </c>
      <c r="O47" t="str">
        <f>INDEX(Language!$B$149:$B$308,MATCH(C47,Language!$C$149:$C$308,0))</f>
        <v>Denmark</v>
      </c>
    </row>
    <row r="48" spans="1:15" x14ac:dyDescent="0.25">
      <c r="A48" s="2">
        <f>'Config!'!C46</f>
        <v>44</v>
      </c>
      <c r="B48" s="2" t="str">
        <f t="shared" si="0"/>
        <v xml:space="preserve">Djibuti 
</v>
      </c>
      <c r="C48" s="3" t="str">
        <f>'Config!'!A46</f>
        <v>Djibuti</v>
      </c>
      <c r="D48" s="3" t="str">
        <f>'Config!'!B46</f>
        <v>África Subsaariana</v>
      </c>
      <c r="E48" t="str">
        <f>INDEX(G48:N48,1,SUMIF($G$3:$N$3,WorldMap!$Q$1,$G$2:$N$2))</f>
        <v>.</v>
      </c>
      <c r="F48" t="str">
        <f>INDEX(G48:N48,1,SUMIF($G$3:$N$3,WorldMap!$Q$1,$G$2:$N$2))</f>
        <v>.</v>
      </c>
      <c r="G48" s="9">
        <f>IF(A48="","",INDEX(Population!$BD$3:$BP$177,A48,'Config!'!$AZ$17+1)/1000000)</f>
        <v>0.85306899999999997</v>
      </c>
      <c r="H48" s="38">
        <f>IF(A48="","",INDEX(GDP!$G$3:$S$177,A48,'Config!'!$AZ$17+1)*1000/G48)</f>
        <v>1586.7801332842926</v>
      </c>
      <c r="I48">
        <f>IF(A48="","",G48*1000000/INDEX(Population!$CH$3:$CH$177,A48,1))</f>
        <v>36.801941328731665</v>
      </c>
      <c r="J48" t="str">
        <f>IF(A48="","",IFERROR(INDEX('Result data'!$R$216:$AC$390,A48,'Config!'!$BA$17),"."))</f>
        <v>.</v>
      </c>
      <c r="K48" s="8" t="str">
        <f t="shared" si="1"/>
        <v>.</v>
      </c>
      <c r="L48" t="str">
        <f>IF(A48="","",IFERROR(INDEX('Result data'!$ES$216:$FB$390,A48,$L$1)/J48*100,"."))</f>
        <v>.</v>
      </c>
      <c r="M48">
        <f>IF(A48="","",IFERROR(INDEX('Result data'!$BS$216:$CD$390,A48,'Config!'!$BA$17)/1000000,"."))</f>
        <v>0</v>
      </c>
      <c r="N48">
        <f>IF(A48="","",IFERROR(INDEX('Result data'!$AE$216:$AP$390,A48,'Config!'!$BA$17),"."))</f>
        <v>0</v>
      </c>
      <c r="O48" t="str">
        <f>INDEX(Language!$B$149:$B$308,MATCH(C48,Language!$C$149:$C$308,0))</f>
        <v>Djibouti</v>
      </c>
    </row>
    <row r="49" spans="1:15" x14ac:dyDescent="0.25">
      <c r="A49" s="2">
        <f>'Config!'!C47</f>
        <v>45</v>
      </c>
      <c r="B49" s="2" t="str">
        <f t="shared" si="0"/>
        <v xml:space="preserve">Dominica. 
</v>
      </c>
      <c r="C49" s="3" t="str">
        <f>'Config!'!A47</f>
        <v>Dominica.</v>
      </c>
      <c r="D49" s="3" t="str">
        <f>'Config!'!B47</f>
        <v>Caribe</v>
      </c>
      <c r="E49" t="str">
        <f>INDEX(G49:N49,1,SUMIF($G$3:$N$3,WorldMap!$Q$1,$G$2:$N$2))</f>
        <v>.</v>
      </c>
      <c r="F49" t="str">
        <f>INDEX(G49:N49,1,SUMIF($G$3:$N$3,WorldMap!$Q$1,$G$2:$N$2))</f>
        <v>.</v>
      </c>
      <c r="G49" s="9">
        <f>IF(A49="","",INDEX(Population!$BD$3:$BP$177,A49,'Config!'!$AZ$17+1)/1000000)</f>
        <v>7.1684999999999999E-2</v>
      </c>
      <c r="H49" s="38">
        <f>IF(A49="","",INDEX(GDP!$G$3:$S$177,A49,'Config!'!$AZ$17+1)*1000/G49)</f>
        <v>6779.6329517771919</v>
      </c>
      <c r="I49">
        <f>IF(A49="","",G49*1000000/INDEX(Population!$CH$3:$CH$177,A49,1))</f>
        <v>95.452729693741674</v>
      </c>
      <c r="J49" t="str">
        <f>IF(A49="","",IFERROR(INDEX('Result data'!$R$216:$AC$390,A49,'Config!'!$BA$17),"."))</f>
        <v>.</v>
      </c>
      <c r="K49" s="8" t="str">
        <f t="shared" si="1"/>
        <v>.</v>
      </c>
      <c r="L49" t="str">
        <f>IF(A49="","",IFERROR(INDEX('Result data'!$ES$216:$FB$390,A49,$L$1)/J49*100,"."))</f>
        <v>.</v>
      </c>
      <c r="M49">
        <f>IF(A49="","",IFERROR(INDEX('Result data'!$BS$216:$CD$390,A49,'Config!'!$BA$17)/1000000,"."))</f>
        <v>0</v>
      </c>
      <c r="N49">
        <f>IF(A49="","",IFERROR(INDEX('Result data'!$AE$216:$AP$390,A49,'Config!'!$BA$17),"."))</f>
        <v>0</v>
      </c>
      <c r="O49" t="str">
        <f>INDEX(Language!$B$149:$B$308,MATCH(C49,Language!$C$149:$C$308,0))</f>
        <v>Dominica</v>
      </c>
    </row>
    <row r="50" spans="1:15" x14ac:dyDescent="0.25">
      <c r="A50" s="2">
        <f>'Config!'!C48</f>
        <v>48</v>
      </c>
      <c r="B50" s="2" t="str">
        <f t="shared" si="0"/>
        <v xml:space="preserve">Egito 
</v>
      </c>
      <c r="C50" s="3" t="str">
        <f>'Config!'!A48</f>
        <v>Egito</v>
      </c>
      <c r="D50" s="3" t="str">
        <f>'Config!'!B48</f>
        <v>Oriente médio</v>
      </c>
      <c r="E50" t="str">
        <f>INDEX(G50:N50,1,SUMIF($G$3:$N$3,WorldMap!$Q$1,$G$2:$N$2))</f>
        <v>.</v>
      </c>
      <c r="F50" t="str">
        <f>INDEX(G50:N50,1,SUMIF($G$3:$N$3,WorldMap!$Q$1,$G$2:$N$2))</f>
        <v>.</v>
      </c>
      <c r="G50" s="9">
        <f>IF(A50="","",INDEX(Population!$BD$3:$BP$177,A50,'Config!'!$AZ$17+1)/1000000)</f>
        <v>85.660901999999993</v>
      </c>
      <c r="H50" s="38">
        <f>IF(A50="","",INDEX(GDP!$G$3:$S$177,A50,'Config!'!$AZ$17+1)*1000/G50)</f>
        <v>3261.3800676746514</v>
      </c>
      <c r="I50">
        <f>IF(A50="","",G50*1000000/INDEX(Population!$CH$3:$CH$177,A50,1))</f>
        <v>86.052440604751624</v>
      </c>
      <c r="J50" t="str">
        <f>IF(A50="","",IFERROR(INDEX('Result data'!$R$216:$AC$390,A50,'Config!'!$BA$17),"."))</f>
        <v>.</v>
      </c>
      <c r="K50" s="8" t="str">
        <f t="shared" si="1"/>
        <v>.</v>
      </c>
      <c r="L50" t="str">
        <f>IF(A50="","",IFERROR(INDEX('Result data'!$ES$216:$FB$390,A50,$L$1)/J50*100,"."))</f>
        <v>.</v>
      </c>
      <c r="M50">
        <f>IF(A50="","",IFERROR(INDEX('Result data'!$BS$216:$CD$390,A50,'Config!'!$BA$17)/1000000,"."))</f>
        <v>0</v>
      </c>
      <c r="N50">
        <f>IF(A50="","",IFERROR(INDEX('Result data'!$AE$216:$AP$390,A50,'Config!'!$BA$17),"."))</f>
        <v>0</v>
      </c>
      <c r="O50" t="str">
        <f>INDEX(Language!$B$149:$B$308,MATCH(C50,Language!$C$149:$C$308,0))</f>
        <v>Egypt</v>
      </c>
    </row>
    <row r="51" spans="1:15" x14ac:dyDescent="0.25">
      <c r="A51" s="2">
        <f>'Config!'!C49</f>
        <v>49</v>
      </c>
      <c r="B51" s="2" t="str">
        <f t="shared" si="0"/>
        <v xml:space="preserve">El Salvador 
</v>
      </c>
      <c r="C51" s="3" t="str">
        <f>'Config!'!A49</f>
        <v>El Salvador</v>
      </c>
      <c r="D51" s="3" t="str">
        <f>'Config!'!B49</f>
        <v>América Central</v>
      </c>
      <c r="E51" t="str">
        <f>INDEX(G51:N51,1,SUMIF($G$3:$N$3,WorldMap!$Q$1,$G$2:$N$2))</f>
        <v>.</v>
      </c>
      <c r="F51" t="str">
        <f>INDEX(G51:N51,1,SUMIF($G$3:$N$3,WorldMap!$Q$1,$G$2:$N$2))</f>
        <v>.</v>
      </c>
      <c r="G51" s="9">
        <f>IF(A51="","",INDEX(Population!$BD$3:$BP$177,A51,'Config!'!$AZ$17+1)/1000000)</f>
        <v>6.0722329999999998</v>
      </c>
      <c r="H51" s="38">
        <f>IF(A51="","",INDEX(GDP!$G$3:$S$177,A51,'Config!'!$AZ$17+1)*1000/G51)</f>
        <v>3521.9597139964822</v>
      </c>
      <c r="I51">
        <f>IF(A51="","",G51*1000000/INDEX(Population!$CH$3:$CH$177,A51,1))</f>
        <v>293.04729501471934</v>
      </c>
      <c r="J51" t="str">
        <f>IF(A51="","",IFERROR(INDEX('Result data'!$R$216:$AC$390,A51,'Config!'!$BA$17),"."))</f>
        <v>.</v>
      </c>
      <c r="K51" s="8" t="str">
        <f t="shared" si="1"/>
        <v>.</v>
      </c>
      <c r="L51" t="str">
        <f>IF(A51="","",IFERROR(INDEX('Result data'!$ES$216:$FB$390,A51,$L$1)/J51*100,"."))</f>
        <v>.</v>
      </c>
      <c r="M51">
        <f>IF(A51="","",IFERROR(INDEX('Result data'!$BS$216:$CD$390,A51,'Config!'!$BA$17)/1000000,"."))</f>
        <v>0</v>
      </c>
      <c r="N51">
        <f>IF(A51="","",IFERROR(INDEX('Result data'!$AE$216:$AP$390,A51,'Config!'!$BA$17),"."))</f>
        <v>0</v>
      </c>
      <c r="O51" t="str">
        <f>INDEX(Language!$B$149:$B$308,MATCH(C51,Language!$C$149:$C$308,0))</f>
        <v>El Salvador</v>
      </c>
    </row>
    <row r="52" spans="1:15" x14ac:dyDescent="0.25">
      <c r="A52" s="2">
        <f>'Config!'!C50</f>
        <v>162</v>
      </c>
      <c r="B52" s="2" t="str">
        <f t="shared" si="0"/>
        <v xml:space="preserve">Emirados Árabes Unidos 
</v>
      </c>
      <c r="C52" s="3" t="str">
        <f>'Config!'!A50</f>
        <v>Emirados Árabes Unidos</v>
      </c>
      <c r="D52" s="3" t="str">
        <f>'Config!'!B50</f>
        <v>Oriente médio</v>
      </c>
      <c r="E52" t="str">
        <f>INDEX(G52:N52,1,SUMIF($G$3:$N$3,WorldMap!$Q$1,$G$2:$N$2))</f>
        <v>.</v>
      </c>
      <c r="F52" t="str">
        <f>INDEX(G52:N52,1,SUMIF($G$3:$N$3,WorldMap!$Q$1,$G$2:$N$2))</f>
        <v>.</v>
      </c>
      <c r="G52" s="9">
        <f>IF(A52="","",INDEX(Population!$BD$3:$BP$177,A52,'Config!'!$AZ$17+1)/1000000)</f>
        <v>8.9525419999999993</v>
      </c>
      <c r="H52" s="38">
        <f>IF(A52="","",INDEX(GDP!$G$3:$S$177,A52,'Config!'!$AZ$17+1)*1000/G52)</f>
        <v>41841.81496767317</v>
      </c>
      <c r="I52">
        <f>IF(A52="","",G52*1000000/INDEX(Population!$CH$3:$CH$177,A52,1))</f>
        <v>107.08782296650718</v>
      </c>
      <c r="J52" t="str">
        <f>IF(A52="","",IFERROR(INDEX('Result data'!$R$216:$AC$390,A52,'Config!'!$BA$17),"."))</f>
        <v>.</v>
      </c>
      <c r="K52" s="8" t="str">
        <f t="shared" si="1"/>
        <v>.</v>
      </c>
      <c r="L52" t="str">
        <f>IF(A52="","",IFERROR(INDEX('Result data'!$ES$216:$FB$390,A52,$L$1)/J52*100,"."))</f>
        <v>.</v>
      </c>
      <c r="M52">
        <f>IF(A52="","",IFERROR(INDEX('Result data'!$BS$216:$CD$390,A52,'Config!'!$BA$17)/1000000,"."))</f>
        <v>0</v>
      </c>
      <c r="N52">
        <f>IF(A52="","",IFERROR(INDEX('Result data'!$AE$216:$AP$390,A52,'Config!'!$BA$17),"."))</f>
        <v>0</v>
      </c>
      <c r="O52" t="str">
        <f>INDEX(Language!$B$149:$B$308,MATCH(C52,Language!$C$149:$C$308,0))</f>
        <v>United Arab Emirates</v>
      </c>
    </row>
    <row r="53" spans="1:15" x14ac:dyDescent="0.25">
      <c r="A53" s="2">
        <f>'Config!'!C51</f>
        <v>47</v>
      </c>
      <c r="B53" s="2" t="str">
        <f t="shared" si="0"/>
        <v xml:space="preserve">Equador 
</v>
      </c>
      <c r="C53" s="3" t="str">
        <f>'Config!'!A51</f>
        <v>Equador</v>
      </c>
      <c r="D53" s="3" t="str">
        <f>'Config!'!B51</f>
        <v>América do Sul</v>
      </c>
      <c r="E53" t="str">
        <f>INDEX(G53:N53,1,SUMIF($G$3:$N$3,WorldMap!$Q$1,$G$2:$N$2))</f>
        <v>.</v>
      </c>
      <c r="F53" t="str">
        <f>INDEX(G53:N53,1,SUMIF($G$3:$N$3,WorldMap!$Q$1,$G$2:$N$2))</f>
        <v>.</v>
      </c>
      <c r="G53" s="9">
        <f>IF(A53="","",INDEX(Population!$BD$3:$BP$177,A53,'Config!'!$AZ$17+1)/1000000)</f>
        <v>15.419492999999999</v>
      </c>
      <c r="H53" s="38">
        <f>IF(A53="","",INDEX(GDP!$G$3:$S$177,A53,'Config!'!$AZ$17+1)*1000/G53)</f>
        <v>5702.1682878937718</v>
      </c>
      <c r="I53">
        <f>IF(A53="","",G53*1000000/INDEX(Population!$CH$3:$CH$177,A53,1))</f>
        <v>55.698010771525894</v>
      </c>
      <c r="J53" t="str">
        <f>IF(A53="","",IFERROR(INDEX('Result data'!$R$216:$AC$390,A53,'Config!'!$BA$17),"."))</f>
        <v>.</v>
      </c>
      <c r="K53" s="8" t="str">
        <f t="shared" si="1"/>
        <v>.</v>
      </c>
      <c r="L53" t="str">
        <f>IF(A53="","",IFERROR(INDEX('Result data'!$ES$216:$FB$390,A53,$L$1)/J53*100,"."))</f>
        <v>.</v>
      </c>
      <c r="M53">
        <f>IF(A53="","",IFERROR(INDEX('Result data'!$BS$216:$CD$390,A53,'Config!'!$BA$17)/1000000,"."))</f>
        <v>0</v>
      </c>
      <c r="N53">
        <f>IF(A53="","",IFERROR(INDEX('Result data'!$AE$216:$AP$390,A53,'Config!'!$BA$17),"."))</f>
        <v>0</v>
      </c>
      <c r="O53" t="str">
        <f>INDEX(Language!$B$149:$B$308,MATCH(C53,Language!$C$149:$C$308,0))</f>
        <v>Ecuador</v>
      </c>
    </row>
    <row r="54" spans="1:15" x14ac:dyDescent="0.25">
      <c r="A54" s="2">
        <f>'Config!'!C52</f>
        <v>51</v>
      </c>
      <c r="B54" s="2" t="str">
        <f t="shared" si="0"/>
        <v xml:space="preserve">Eritreia 
</v>
      </c>
      <c r="C54" s="3" t="str">
        <f>'Config!'!A52</f>
        <v>Eritreia</v>
      </c>
      <c r="D54" s="3" t="str">
        <f>'Config!'!B52</f>
        <v>África Subsaariana</v>
      </c>
      <c r="E54" t="str">
        <f>INDEX(G54:N54,1,SUMIF($G$3:$N$3,WorldMap!$Q$1,$G$2:$N$2))</f>
        <v>.</v>
      </c>
      <c r="F54" t="str">
        <f>INDEX(G54:N54,1,SUMIF($G$3:$N$3,WorldMap!$Q$1,$G$2:$N$2))</f>
        <v>.</v>
      </c>
      <c r="G54" s="9">
        <f>IF(A54="","",INDEX(Population!$BD$3:$BP$177,A54,'Config!'!$AZ$17+1)/1000000)</f>
        <v>0</v>
      </c>
      <c r="H54" s="38" t="e">
        <f>IF(A54="","",INDEX(GDP!$G$3:$S$177,A54,'Config!'!$AZ$17+1)*1000/G54)</f>
        <v>#DIV/0!</v>
      </c>
      <c r="I54">
        <f>IF(A54="","",G54*1000000/INDEX(Population!$CH$3:$CH$177,A54,1))</f>
        <v>0</v>
      </c>
      <c r="J54" t="str">
        <f>IF(A54="","",IFERROR(INDEX('Result data'!$R$216:$AC$390,A54,'Config!'!$BA$17),"."))</f>
        <v>.</v>
      </c>
      <c r="K54" s="8" t="str">
        <f t="shared" si="1"/>
        <v>.</v>
      </c>
      <c r="L54" t="str">
        <f>IF(A54="","",IFERROR(INDEX('Result data'!$ES$216:$FB$390,A54,$L$1)/J54*100,"."))</f>
        <v>.</v>
      </c>
      <c r="M54">
        <f>IF(A54="","",IFERROR(INDEX('Result data'!$BS$216:$CD$390,A54,'Config!'!$BA$17)/1000000,"."))</f>
        <v>0</v>
      </c>
      <c r="N54">
        <f>IF(A54="","",IFERROR(INDEX('Result data'!$AE$216:$AP$390,A54,'Config!'!$BA$17),"."))</f>
        <v>0</v>
      </c>
      <c r="O54" t="str">
        <f>INDEX(Language!$B$149:$B$308,MATCH(C54,Language!$C$149:$C$308,0))</f>
        <v>Eritrea</v>
      </c>
    </row>
    <row r="55" spans="1:15" x14ac:dyDescent="0.25">
      <c r="A55" s="2">
        <f>'Config!'!C53</f>
        <v>140</v>
      </c>
      <c r="B55" s="2" t="str">
        <f t="shared" si="0"/>
        <v xml:space="preserve">Eslováquia 
</v>
      </c>
      <c r="C55" s="3" t="str">
        <f>'Config!'!A53</f>
        <v>Eslováquia</v>
      </c>
      <c r="D55" s="3" t="str">
        <f>'Config!'!B53</f>
        <v>União Européia</v>
      </c>
      <c r="E55" t="str">
        <f>INDEX(G55:N55,1,SUMIF($G$3:$N$3,WorldMap!$Q$1,$G$2:$N$2))</f>
        <v>.</v>
      </c>
      <c r="F55" t="str">
        <f>INDEX(G55:N55,1,SUMIF($G$3:$N$3,WorldMap!$Q$1,$G$2:$N$2))</f>
        <v>.</v>
      </c>
      <c r="G55" s="9">
        <f>IF(A55="","",INDEX(Population!$BD$3:$BP$177,A55,'Config!'!$AZ$17+1)/1000000)</f>
        <v>5.4075790000000001</v>
      </c>
      <c r="H55" s="38">
        <f>IF(A55="","",INDEX(GDP!$G$3:$S$177,A55,'Config!'!$AZ$17+1)*1000/G55)</f>
        <v>24390.397255407643</v>
      </c>
      <c r="I55">
        <f>IF(A55="","",G55*1000000/INDEX(Population!$CH$3:$CH$177,A55,1))</f>
        <v>112.41199459515643</v>
      </c>
      <c r="J55" t="str">
        <f>IF(A55="","",IFERROR(INDEX('Result data'!$R$216:$AC$390,A55,'Config!'!$BA$17),"."))</f>
        <v>.</v>
      </c>
      <c r="K55" s="8" t="str">
        <f t="shared" si="1"/>
        <v>.</v>
      </c>
      <c r="L55" t="str">
        <f>IF(A55="","",IFERROR(INDEX('Result data'!$ES$216:$FB$390,A55,$L$1)/J55*100,"."))</f>
        <v>.</v>
      </c>
      <c r="M55">
        <f>IF(A55="","",IFERROR(INDEX('Result data'!$BS$216:$CD$390,A55,'Config!'!$BA$17)/1000000,"."))</f>
        <v>0</v>
      </c>
      <c r="N55">
        <f>IF(A55="","",IFERROR(INDEX('Result data'!$AE$216:$AP$390,A55,'Config!'!$BA$17),"."))</f>
        <v>0</v>
      </c>
      <c r="O55" t="str">
        <f>INDEX(Language!$B$149:$B$308,MATCH(C55,Language!$C$149:$C$308,0))</f>
        <v>Slovakia</v>
      </c>
    </row>
    <row r="56" spans="1:15" x14ac:dyDescent="0.25">
      <c r="A56" s="2">
        <f>'Config!'!C54</f>
        <v>141</v>
      </c>
      <c r="B56" s="2" t="str">
        <f t="shared" si="0"/>
        <v xml:space="preserve">Eslovênia 
</v>
      </c>
      <c r="C56" s="3" t="str">
        <f>'Config!'!A54</f>
        <v>Eslovênia</v>
      </c>
      <c r="D56" s="3" t="str">
        <f>'Config!'!B54</f>
        <v>União Européia</v>
      </c>
      <c r="E56" t="str">
        <f>INDEX(G56:N56,1,SUMIF($G$3:$N$3,WorldMap!$Q$1,$G$2:$N$2))</f>
        <v>.</v>
      </c>
      <c r="F56" t="str">
        <f>INDEX(G56:N56,1,SUMIF($G$3:$N$3,WorldMap!$Q$1,$G$2:$N$2))</f>
        <v>.</v>
      </c>
      <c r="G56" s="9">
        <f>IF(A56="","",INDEX(Population!$BD$3:$BP$177,A56,'Config!'!$AZ$17+1)/1000000)</f>
        <v>2.057159</v>
      </c>
      <c r="H56" s="38">
        <f>IF(A56="","",INDEX(GDP!$G$3:$S$177,A56,'Config!'!$AZ$17+1)*1000/G56)</f>
        <v>22532.435638458828</v>
      </c>
      <c r="I56">
        <f>IF(A56="","",G56*1000000/INDEX(Population!$CH$3:$CH$177,A56,1))</f>
        <v>102.08719170264503</v>
      </c>
      <c r="J56" t="str">
        <f>IF(A56="","",IFERROR(INDEX('Result data'!$R$216:$AC$390,A56,'Config!'!$BA$17),"."))</f>
        <v>.</v>
      </c>
      <c r="K56" s="8" t="str">
        <f t="shared" si="1"/>
        <v>.</v>
      </c>
      <c r="L56" t="str">
        <f>IF(A56="","",IFERROR(INDEX('Result data'!$ES$216:$FB$390,A56,$L$1)/J56*100,"."))</f>
        <v>.</v>
      </c>
      <c r="M56">
        <f>IF(A56="","",IFERROR(INDEX('Result data'!$BS$216:$CD$390,A56,'Config!'!$BA$17)/1000000,"."))</f>
        <v>0</v>
      </c>
      <c r="N56">
        <f>IF(A56="","",IFERROR(INDEX('Result data'!$AE$216:$AP$390,A56,'Config!'!$BA$17),"."))</f>
        <v>0</v>
      </c>
      <c r="O56" t="str">
        <f>INDEX(Language!$B$149:$B$308,MATCH(C56,Language!$C$149:$C$308,0))</f>
        <v>Slovenia</v>
      </c>
    </row>
    <row r="57" spans="1:15" x14ac:dyDescent="0.25">
      <c r="A57" s="2">
        <f>'Config!'!C55</f>
        <v>146</v>
      </c>
      <c r="B57" s="2" t="str">
        <f t="shared" si="0"/>
        <v xml:space="preserve">Espanha 
</v>
      </c>
      <c r="C57" s="3" t="str">
        <f>'Config!'!A55</f>
        <v>Espanha</v>
      </c>
      <c r="D57" s="3" t="str">
        <f>'Config!'!B55</f>
        <v>União Européia</v>
      </c>
      <c r="E57" t="str">
        <f>INDEX(G57:N57,1,SUMIF($G$3:$N$3,WorldMap!$Q$1,$G$2:$N$2))</f>
        <v>.</v>
      </c>
      <c r="F57" t="str">
        <f>INDEX(G57:N57,1,SUMIF($G$3:$N$3,WorldMap!$Q$1,$G$2:$N$2))</f>
        <v>.</v>
      </c>
      <c r="G57" s="9">
        <f>IF(A57="","",INDEX(Population!$BD$3:$BP$177,A57,'Config!'!$AZ$17+1)/1000000)</f>
        <v>46.773054999999999</v>
      </c>
      <c r="H57" s="38">
        <f>IF(A57="","",INDEX(GDP!$G$3:$S$177,A57,'Config!'!$AZ$17+1)*1000/G57)</f>
        <v>28563.859038191513</v>
      </c>
      <c r="I57">
        <f>IF(A57="","",G57*1000000/INDEX(Population!$CH$3:$CH$177,A57,1))</f>
        <v>93.737334161689844</v>
      </c>
      <c r="J57" t="str">
        <f>IF(A57="","",IFERROR(INDEX('Result data'!$R$216:$AC$390,A57,'Config!'!$BA$17),"."))</f>
        <v>.</v>
      </c>
      <c r="K57" s="8" t="str">
        <f t="shared" si="1"/>
        <v>.</v>
      </c>
      <c r="L57" t="str">
        <f>IF(A57="","",IFERROR(INDEX('Result data'!$ES$216:$FB$390,A57,$L$1)/J57*100,"."))</f>
        <v>.</v>
      </c>
      <c r="M57">
        <f>IF(A57="","",IFERROR(INDEX('Result data'!$BS$216:$CD$390,A57,'Config!'!$BA$17)/1000000,"."))</f>
        <v>0</v>
      </c>
      <c r="N57">
        <f>IF(A57="","",IFERROR(INDEX('Result data'!$AE$216:$AP$390,A57,'Config!'!$BA$17),"."))</f>
        <v>0</v>
      </c>
      <c r="O57" t="str">
        <f>INDEX(Language!$B$149:$B$308,MATCH(C57,Language!$C$149:$C$308,0))</f>
        <v>Spain</v>
      </c>
    </row>
    <row r="58" spans="1:15" x14ac:dyDescent="0.25">
      <c r="A58" s="2">
        <f>'Config!'!C56</f>
        <v>163</v>
      </c>
      <c r="B58" s="2" t="str">
        <f t="shared" si="0"/>
        <v xml:space="preserve">Estados Unidos 
</v>
      </c>
      <c r="C58" s="3" t="str">
        <f>'Config!'!A56</f>
        <v>Estados Unidos</v>
      </c>
      <c r="D58" s="3" t="str">
        <f>'Config!'!B56</f>
        <v>América do Norte</v>
      </c>
      <c r="E58">
        <f>INDEX(G58:N58,1,SUMIF($G$3:$N$3,WorldMap!$Q$1,$G$2:$N$2))</f>
        <v>2.7674206974069109</v>
      </c>
      <c r="F58">
        <f>INDEX(G58:N58,1,SUMIF($G$3:$N$3,WorldMap!$Q$1,$G$2:$N$2))</f>
        <v>2.7674206974069109</v>
      </c>
      <c r="G58" s="9">
        <f>IF(A58="","",INDEX(Population!$BD$3:$BP$177,A58,'Config!'!$AZ$17+1)/1000000)</f>
        <v>314.10262299999999</v>
      </c>
      <c r="H58" s="38">
        <f>IF(A58="","",INDEX(GDP!$G$3:$S$177,A58,'Config!'!$AZ$17+1)*1000/G58)</f>
        <v>51565.972911343692</v>
      </c>
      <c r="I58">
        <f>IF(A58="","",G58*1000000/INDEX(Population!$CH$3:$CH$177,A58,1))</f>
        <v>34.337188263623013</v>
      </c>
      <c r="J58">
        <f>IF(A58="","",IFERROR(INDEX('Result data'!$R$216:$AC$390,A58,'Config!'!$BA$17),"."))</f>
        <v>8692541</v>
      </c>
      <c r="K58" s="8">
        <f t="shared" si="1"/>
        <v>2.7674206974069109</v>
      </c>
      <c r="L58">
        <f>IF(A58="","",IFERROR(INDEX('Result data'!$ES$216:$FB$390,A58,$L$1)/J58*100,"."))</f>
        <v>1.1504116000143112E-5</v>
      </c>
      <c r="M58">
        <f>IF(A58="","",IFERROR(INDEX('Result data'!$BS$216:$CD$390,A58,'Config!'!$BA$17)/1000000,"."))</f>
        <v>192.27468946289991</v>
      </c>
      <c r="N58">
        <f>IF(A58="","",IFERROR(INDEX('Result data'!$AE$216:$AP$390,A58,'Config!'!$BA$17),"."))</f>
        <v>1</v>
      </c>
      <c r="O58" t="str">
        <f>INDEX(Language!$B$149:$B$308,MATCH(C58,Language!$C$149:$C$308,0))</f>
        <v>United States</v>
      </c>
    </row>
    <row r="59" spans="1:15" x14ac:dyDescent="0.25">
      <c r="A59" s="2">
        <f>'Config!'!C57</f>
        <v>52</v>
      </c>
      <c r="B59" s="2" t="str">
        <f t="shared" si="0"/>
        <v xml:space="preserve">Estônia 
</v>
      </c>
      <c r="C59" s="3" t="str">
        <f>'Config!'!A57</f>
        <v>Estônia</v>
      </c>
      <c r="D59" s="3" t="str">
        <f>'Config!'!B57</f>
        <v>União Européia</v>
      </c>
      <c r="E59" t="str">
        <f>INDEX(G59:N59,1,SUMIF($G$3:$N$3,WorldMap!$Q$1,$G$2:$N$2))</f>
        <v>.</v>
      </c>
      <c r="F59" t="str">
        <f>INDEX(G59:N59,1,SUMIF($G$3:$N$3,WorldMap!$Q$1,$G$2:$N$2))</f>
        <v>.</v>
      </c>
      <c r="G59" s="9">
        <f>IF(A59="","",INDEX(Population!$BD$3:$BP$177,A59,'Config!'!$AZ$17+1)/1000000)</f>
        <v>1.3226960000000001</v>
      </c>
      <c r="H59" s="38">
        <f>IF(A59="","",INDEX(GDP!$G$3:$S$177,A59,'Config!'!$AZ$17+1)*1000/G59)</f>
        <v>17421.890222737758</v>
      </c>
      <c r="I59">
        <f>IF(A59="","",G59*1000000/INDEX(Population!$CH$3:$CH$177,A59,1))</f>
        <v>31.204491837312446</v>
      </c>
      <c r="J59" t="str">
        <f>IF(A59="","",IFERROR(INDEX('Result data'!$R$216:$AC$390,A59,'Config!'!$BA$17),"."))</f>
        <v>.</v>
      </c>
      <c r="K59" s="8" t="str">
        <f t="shared" si="1"/>
        <v>.</v>
      </c>
      <c r="L59" t="str">
        <f>IF(A59="","",IFERROR(INDEX('Result data'!$ES$216:$FB$390,A59,$L$1)/J59*100,"."))</f>
        <v>.</v>
      </c>
      <c r="M59">
        <f>IF(A59="","",IFERROR(INDEX('Result data'!$BS$216:$CD$390,A59,'Config!'!$BA$17)/1000000,"."))</f>
        <v>0</v>
      </c>
      <c r="N59">
        <f>IF(A59="","",IFERROR(INDEX('Result data'!$AE$216:$AP$390,A59,'Config!'!$BA$17),"."))</f>
        <v>0</v>
      </c>
      <c r="O59" t="str">
        <f>INDEX(Language!$B$149:$B$308,MATCH(C59,Language!$C$149:$C$308,0))</f>
        <v>Estonia</v>
      </c>
    </row>
    <row r="60" spans="1:15" x14ac:dyDescent="0.25">
      <c r="A60" s="2">
        <f>'Config!'!C58</f>
        <v>53</v>
      </c>
      <c r="B60" s="2" t="str">
        <f t="shared" si="0"/>
        <v xml:space="preserve">Etiópia 
</v>
      </c>
      <c r="C60" s="3" t="str">
        <f>'Config!'!A58</f>
        <v>Etiópia</v>
      </c>
      <c r="D60" s="3" t="str">
        <f>'Config!'!B58</f>
        <v>África Subsaariana</v>
      </c>
      <c r="E60" t="str">
        <f>INDEX(G60:N60,1,SUMIF($G$3:$N$3,WorldMap!$Q$1,$G$2:$N$2))</f>
        <v>.</v>
      </c>
      <c r="F60" t="str">
        <f>INDEX(G60:N60,1,SUMIF($G$3:$N$3,WorldMap!$Q$1,$G$2:$N$2))</f>
        <v>.</v>
      </c>
      <c r="G60" s="9">
        <f>IF(A60="","",INDEX(Population!$BD$3:$BP$177,A60,'Config!'!$AZ$17+1)/1000000)</f>
        <v>92.191210999999996</v>
      </c>
      <c r="H60" s="38">
        <f>IF(A60="","",INDEX(GDP!$G$3:$S$177,A60,'Config!'!$AZ$17+1)*1000/G60)</f>
        <v>469.79230388982404</v>
      </c>
      <c r="I60">
        <f>IF(A60="","",G60*1000000/INDEX(Population!$CH$3:$CH$177,A60,1))</f>
        <v>92.191210999999996</v>
      </c>
      <c r="J60" t="str">
        <f>IF(A60="","",IFERROR(INDEX('Result data'!$R$216:$AC$390,A60,'Config!'!$BA$17),"."))</f>
        <v>.</v>
      </c>
      <c r="K60" s="8" t="str">
        <f t="shared" si="1"/>
        <v>.</v>
      </c>
      <c r="L60" t="str">
        <f>IF(A60="","",IFERROR(INDEX('Result data'!$ES$216:$FB$390,A60,$L$1)/J60*100,"."))</f>
        <v>.</v>
      </c>
      <c r="M60">
        <f>IF(A60="","",IFERROR(INDEX('Result data'!$BS$216:$CD$390,A60,'Config!'!$BA$17)/1000000,"."))</f>
        <v>0</v>
      </c>
      <c r="N60">
        <f>IF(A60="","",IFERROR(INDEX('Result data'!$AE$216:$AP$390,A60,'Config!'!$BA$17),"."))</f>
        <v>0</v>
      </c>
      <c r="O60" t="str">
        <f>INDEX(Language!$B$149:$B$308,MATCH(C60,Language!$C$149:$C$308,0))</f>
        <v>Ethiopia</v>
      </c>
    </row>
    <row r="61" spans="1:15" x14ac:dyDescent="0.25">
      <c r="A61" s="2">
        <f>'Config!'!C59</f>
        <v>130</v>
      </c>
      <c r="B61" s="2" t="str">
        <f t="shared" si="0"/>
        <v xml:space="preserve">Federação Russa 
</v>
      </c>
      <c r="C61" s="3" t="str">
        <f>'Config!'!A59</f>
        <v>Federação Russa</v>
      </c>
      <c r="D61" s="3" t="str">
        <f>'Config!'!B59</f>
        <v>Europa</v>
      </c>
      <c r="E61" t="str">
        <f>INDEX(G61:N61,1,SUMIF($G$3:$N$3,WorldMap!$Q$1,$G$2:$N$2))</f>
        <v>.</v>
      </c>
      <c r="F61" t="str">
        <f>INDEX(G61:N61,1,SUMIF($G$3:$N$3,WorldMap!$Q$1,$G$2:$N$2))</f>
        <v>.</v>
      </c>
      <c r="G61" s="9">
        <f>IF(A61="","",INDEX(Population!$BD$3:$BP$177,A61,'Config!'!$AZ$17+1)/1000000)</f>
        <v>143.20167599999999</v>
      </c>
      <c r="H61" s="38">
        <f>IF(A61="","",INDEX(GDP!$G$3:$S$177,A61,'Config!'!$AZ$17+1)*1000/G61)</f>
        <v>15434.574780708179</v>
      </c>
      <c r="I61">
        <f>IF(A61="","",G61*1000000/INDEX(Population!$CH$3:$CH$177,A61,1))</f>
        <v>8.7436763871356629</v>
      </c>
      <c r="J61" t="str">
        <f>IF(A61="","",IFERROR(INDEX('Result data'!$R$216:$AC$390,A61,'Config!'!$BA$17),"."))</f>
        <v>.</v>
      </c>
      <c r="K61" s="8" t="str">
        <f t="shared" si="1"/>
        <v>.</v>
      </c>
      <c r="L61" t="str">
        <f>IF(A61="","",IFERROR(INDEX('Result data'!$ES$216:$FB$390,A61,$L$1)/J61*100,"."))</f>
        <v>.</v>
      </c>
      <c r="M61">
        <f>IF(A61="","",IFERROR(INDEX('Result data'!$BS$216:$CD$390,A61,'Config!'!$BA$17)/1000000,"."))</f>
        <v>0</v>
      </c>
      <c r="N61">
        <f>IF(A61="","",IFERROR(INDEX('Result data'!$AE$216:$AP$390,A61,'Config!'!$BA$17),"."))</f>
        <v>0</v>
      </c>
      <c r="O61" t="str">
        <f>INDEX(Language!$B$149:$B$308,MATCH(C61,Language!$C$149:$C$308,0))</f>
        <v>Russian Federation</v>
      </c>
    </row>
    <row r="62" spans="1:15" x14ac:dyDescent="0.25">
      <c r="A62" s="2">
        <f>'Config!'!C60</f>
        <v>54</v>
      </c>
      <c r="B62" s="2" t="str">
        <f t="shared" si="0"/>
        <v xml:space="preserve">Fiji 
</v>
      </c>
      <c r="C62" s="3" t="str">
        <f>'Config!'!A60</f>
        <v>Fiji</v>
      </c>
      <c r="D62" s="3" t="str">
        <f>'Config!'!B60</f>
        <v>Oceânia</v>
      </c>
      <c r="E62" t="str">
        <f>INDEX(G62:N62,1,SUMIF($G$3:$N$3,WorldMap!$Q$1,$G$2:$N$2))</f>
        <v>.</v>
      </c>
      <c r="F62" t="str">
        <f>INDEX(G62:N62,1,SUMIF($G$3:$N$3,WorldMap!$Q$1,$G$2:$N$2))</f>
        <v>.</v>
      </c>
      <c r="G62" s="9">
        <f>IF(A62="","",INDEX(Population!$BD$3:$BP$177,A62,'Config!'!$AZ$17+1)/1000000)</f>
        <v>0.87415799999999999</v>
      </c>
      <c r="H62" s="38">
        <f>IF(A62="","",INDEX(GDP!$G$3:$S$177,A62,'Config!'!$AZ$17+1)*1000/G62)</f>
        <v>4543.8153863885782</v>
      </c>
      <c r="I62">
        <f>IF(A62="","",G62*1000000/INDEX(Population!$CH$3:$CH$177,A62,1))</f>
        <v>47.836160665426291</v>
      </c>
      <c r="J62" t="str">
        <f>IF(A62="","",IFERROR(INDEX('Result data'!$R$216:$AC$390,A62,'Config!'!$BA$17),"."))</f>
        <v>.</v>
      </c>
      <c r="K62" s="8" t="str">
        <f t="shared" si="1"/>
        <v>.</v>
      </c>
      <c r="L62" t="str">
        <f>IF(A62="","",IFERROR(INDEX('Result data'!$ES$216:$FB$390,A62,$L$1)/J62*100,"."))</f>
        <v>.</v>
      </c>
      <c r="M62">
        <f>IF(A62="","",IFERROR(INDEX('Result data'!$BS$216:$CD$390,A62,'Config!'!$BA$17)/1000000,"."))</f>
        <v>0</v>
      </c>
      <c r="N62">
        <f>IF(A62="","",IFERROR(INDEX('Result data'!$AE$216:$AP$390,A62,'Config!'!$BA$17),"."))</f>
        <v>0</v>
      </c>
      <c r="O62" t="str">
        <f>INDEX(Language!$B$149:$B$308,MATCH(C62,Language!$C$149:$C$308,0))</f>
        <v>Fiji</v>
      </c>
    </row>
    <row r="63" spans="1:15" x14ac:dyDescent="0.25">
      <c r="A63" s="2">
        <f>'Config!'!C61</f>
        <v>124</v>
      </c>
      <c r="B63" s="2" t="str">
        <f t="shared" si="0"/>
        <v xml:space="preserve">Filipinas 
</v>
      </c>
      <c r="C63" s="3" t="str">
        <f>'Config!'!A61</f>
        <v>Filipinas</v>
      </c>
      <c r="D63" s="3" t="str">
        <f>'Config!'!B61</f>
        <v>Ásia-Pacífico</v>
      </c>
      <c r="E63" t="str">
        <f>INDEX(G63:N63,1,SUMIF($G$3:$N$3,WorldMap!$Q$1,$G$2:$N$2))</f>
        <v>.</v>
      </c>
      <c r="F63" t="str">
        <f>INDEX(G63:N63,1,SUMIF($G$3:$N$3,WorldMap!$Q$1,$G$2:$N$2))</f>
        <v>.</v>
      </c>
      <c r="G63" s="9">
        <f>IF(A63="","",INDEX(Population!$BD$3:$BP$177,A63,'Config!'!$AZ$17+1)/1000000)</f>
        <v>96.017321999999993</v>
      </c>
      <c r="H63" s="38">
        <f>IF(A63="","",INDEX(GDP!$G$3:$S$177,A63,'Config!'!$AZ$17+1)*1000/G63)</f>
        <v>2604.6559911152644</v>
      </c>
      <c r="I63">
        <f>IF(A63="","",G63*1000000/INDEX(Population!$CH$3:$CH$177,A63,1))</f>
        <v>322.02207465539794</v>
      </c>
      <c r="J63" t="str">
        <f>IF(A63="","",IFERROR(INDEX('Result data'!$R$216:$AC$390,A63,'Config!'!$BA$17),"."))</f>
        <v>.</v>
      </c>
      <c r="K63" s="8" t="str">
        <f t="shared" si="1"/>
        <v>.</v>
      </c>
      <c r="L63" t="str">
        <f>IF(A63="","",IFERROR(INDEX('Result data'!$ES$216:$FB$390,A63,$L$1)/J63*100,"."))</f>
        <v>.</v>
      </c>
      <c r="M63">
        <f>IF(A63="","",IFERROR(INDEX('Result data'!$BS$216:$CD$390,A63,'Config!'!$BA$17)/1000000,"."))</f>
        <v>0</v>
      </c>
      <c r="N63">
        <f>IF(A63="","",IFERROR(INDEX('Result data'!$AE$216:$AP$390,A63,'Config!'!$BA$17),"."))</f>
        <v>0</v>
      </c>
      <c r="O63" t="str">
        <f>INDEX(Language!$B$149:$B$308,MATCH(C63,Language!$C$149:$C$308,0))</f>
        <v>Philippines</v>
      </c>
    </row>
    <row r="64" spans="1:15" x14ac:dyDescent="0.25">
      <c r="A64" s="2">
        <f>'Config!'!C62</f>
        <v>55</v>
      </c>
      <c r="B64" s="2" t="str">
        <f t="shared" si="0"/>
        <v xml:space="preserve">Finlândia 
</v>
      </c>
      <c r="C64" s="3" t="str">
        <f>'Config!'!A62</f>
        <v>Finlândia</v>
      </c>
      <c r="D64" s="3" t="str">
        <f>'Config!'!B62</f>
        <v>União Européia</v>
      </c>
      <c r="E64" t="str">
        <f>INDEX(G64:N64,1,SUMIF($G$3:$N$3,WorldMap!$Q$1,$G$2:$N$2))</f>
        <v>.</v>
      </c>
      <c r="F64" t="str">
        <f>INDEX(G64:N64,1,SUMIF($G$3:$N$3,WorldMap!$Q$1,$G$2:$N$2))</f>
        <v>.</v>
      </c>
      <c r="G64" s="9">
        <f>IF(A64="","",INDEX(Population!$BD$3:$BP$177,A64,'Config!'!$AZ$17+1)/1000000)</f>
        <v>5.4139710000000001</v>
      </c>
      <c r="H64" s="38">
        <f>IF(A64="","",INDEX(GDP!$G$3:$S$177,A64,'Config!'!$AZ$17+1)*1000/G64)</f>
        <v>47415.559871135105</v>
      </c>
      <c r="I64">
        <f>IF(A64="","",G64*1000000/INDEX(Population!$CH$3:$CH$177,A64,1))</f>
        <v>17.819959514836331</v>
      </c>
      <c r="J64" t="str">
        <f>IF(A64="","",IFERROR(INDEX('Result data'!$R$216:$AC$390,A64,'Config!'!$BA$17),"."))</f>
        <v>.</v>
      </c>
      <c r="K64" s="8" t="str">
        <f t="shared" si="1"/>
        <v>.</v>
      </c>
      <c r="L64" t="str">
        <f>IF(A64="","",IFERROR(INDEX('Result data'!$ES$216:$FB$390,A64,$L$1)/J64*100,"."))</f>
        <v>.</v>
      </c>
      <c r="M64">
        <f>IF(A64="","",IFERROR(INDEX('Result data'!$BS$216:$CD$390,A64,'Config!'!$BA$17)/1000000,"."))</f>
        <v>0</v>
      </c>
      <c r="N64">
        <f>IF(A64="","",IFERROR(INDEX('Result data'!$AE$216:$AP$390,A64,'Config!'!$BA$17),"."))</f>
        <v>0</v>
      </c>
      <c r="O64" t="str">
        <f>INDEX(Language!$B$149:$B$308,MATCH(C64,Language!$C$149:$C$308,0))</f>
        <v>Finland</v>
      </c>
    </row>
    <row r="65" spans="1:15" x14ac:dyDescent="0.25">
      <c r="A65" s="2">
        <f>'Config!'!C63</f>
        <v>56</v>
      </c>
      <c r="B65" s="2" t="str">
        <f t="shared" si="0"/>
        <v xml:space="preserve">França 
</v>
      </c>
      <c r="C65" s="3" t="str">
        <f>'Config!'!A63</f>
        <v>França</v>
      </c>
      <c r="D65" s="3" t="str">
        <f>'Config!'!B63</f>
        <v>União Européia</v>
      </c>
      <c r="E65">
        <f>INDEX(G65:N65,1,SUMIF($G$3:$N$3,WorldMap!$Q$1,$G$2:$N$2))</f>
        <v>1.3473299259714355</v>
      </c>
      <c r="F65">
        <f>INDEX(G65:N65,1,SUMIF($G$3:$N$3,WorldMap!$Q$1,$G$2:$N$2))</f>
        <v>1.3473299259714355</v>
      </c>
      <c r="G65" s="9">
        <f>IF(A65="","",INDEX(Population!$BD$3:$BP$177,A65,'Config!'!$AZ$17+1)/1000000)</f>
        <v>65.659790000000001</v>
      </c>
      <c r="H65" s="38">
        <f>IF(A65="","",INDEX(GDP!$G$3:$S$177,A65,'Config!'!$AZ$17+1)*1000/G65)</f>
        <v>40874.715333275184</v>
      </c>
      <c r="I65">
        <f>IF(A65="","",G65*1000000/INDEX(Population!$CH$3:$CH$177,A65,1))</f>
        <v>119.38794843355092</v>
      </c>
      <c r="J65">
        <f>IF(A65="","",IFERROR(INDEX('Result data'!$R$216:$AC$390,A65,'Config!'!$BA$17),"."))</f>
        <v>884654</v>
      </c>
      <c r="K65" s="8">
        <f t="shared" si="1"/>
        <v>1.3473299259714355</v>
      </c>
      <c r="L65">
        <f>IF(A65="","",IFERROR(INDEX('Result data'!$ES$216:$FB$390,A65,$L$1)/J65*100,"."))</f>
        <v>1.1303854388269313E-4</v>
      </c>
      <c r="M65">
        <f>IF(A65="","",IFERROR(INDEX('Result data'!$BS$216:$CD$390,A65,'Config!'!$BA$17)/1000000,"."))</f>
        <v>13.412235182075289</v>
      </c>
      <c r="N65">
        <f>IF(A65="","",IFERROR(INDEX('Result data'!$AE$216:$AP$390,A65,'Config!'!$BA$17),"."))</f>
        <v>1</v>
      </c>
      <c r="O65" t="str">
        <f>INDEX(Language!$B$149:$B$308,MATCH(C65,Language!$C$149:$C$308,0))</f>
        <v>France</v>
      </c>
    </row>
    <row r="66" spans="1:15" x14ac:dyDescent="0.25">
      <c r="A66" s="2">
        <f>'Config!'!C64</f>
        <v>57</v>
      </c>
      <c r="B66" s="2" t="str">
        <f t="shared" si="0"/>
        <v xml:space="preserve">Gabão 
</v>
      </c>
      <c r="C66" s="3" t="str">
        <f>'Config!'!A64</f>
        <v>Gabão</v>
      </c>
      <c r="D66" s="3" t="str">
        <f>'Config!'!B64</f>
        <v>África Subsaariana</v>
      </c>
      <c r="E66" t="str">
        <f>INDEX(G66:N66,1,SUMIF($G$3:$N$3,WorldMap!$Q$1,$G$2:$N$2))</f>
        <v>.</v>
      </c>
      <c r="F66" t="str">
        <f>INDEX(G66:N66,1,SUMIF($G$3:$N$3,WorldMap!$Q$1,$G$2:$N$2))</f>
        <v>.</v>
      </c>
      <c r="G66" s="9">
        <f>IF(A66="","",INDEX(Population!$BD$3:$BP$177,A66,'Config!'!$AZ$17+1)/1000000)</f>
        <v>1.613489</v>
      </c>
      <c r="H66" s="38">
        <f>IF(A66="","",INDEX(GDP!$G$3:$S$177,A66,'Config!'!$AZ$17+1)*1000/G66)</f>
        <v>10642.432252301332</v>
      </c>
      <c r="I66">
        <f>IF(A66="","",G66*1000000/INDEX(Population!$CH$3:$CH$177,A66,1))</f>
        <v>6.2619155732010698</v>
      </c>
      <c r="J66" t="str">
        <f>IF(A66="","",IFERROR(INDEX('Result data'!$R$216:$AC$390,A66,'Config!'!$BA$17),"."))</f>
        <v>.</v>
      </c>
      <c r="K66" s="8" t="str">
        <f t="shared" si="1"/>
        <v>.</v>
      </c>
      <c r="L66" t="str">
        <f>IF(A66="","",IFERROR(INDEX('Result data'!$ES$216:$FB$390,A66,$L$1)/J66*100,"."))</f>
        <v>.</v>
      </c>
      <c r="M66">
        <f>IF(A66="","",IFERROR(INDEX('Result data'!$BS$216:$CD$390,A66,'Config!'!$BA$17)/1000000,"."))</f>
        <v>0</v>
      </c>
      <c r="N66">
        <f>IF(A66="","",IFERROR(INDEX('Result data'!$AE$216:$AP$390,A66,'Config!'!$BA$17),"."))</f>
        <v>0</v>
      </c>
      <c r="O66" t="str">
        <f>INDEX(Language!$B$149:$B$308,MATCH(C66,Language!$C$149:$C$308,0))</f>
        <v>Gabon</v>
      </c>
    </row>
    <row r="67" spans="1:15" x14ac:dyDescent="0.25">
      <c r="A67" s="2">
        <f>'Config!'!C65</f>
        <v>61</v>
      </c>
      <c r="B67" s="2" t="str">
        <f t="shared" si="0"/>
        <v xml:space="preserve">Gana 
</v>
      </c>
      <c r="C67" s="3" t="str">
        <f>'Config!'!A65</f>
        <v>Gana</v>
      </c>
      <c r="D67" s="3" t="str">
        <f>'Config!'!B65</f>
        <v>África Subsaariana</v>
      </c>
      <c r="E67" t="str">
        <f>INDEX(G67:N67,1,SUMIF($G$3:$N$3,WorldMap!$Q$1,$G$2:$N$2))</f>
        <v>.</v>
      </c>
      <c r="F67" t="str">
        <f>INDEX(G67:N67,1,SUMIF($G$3:$N$3,WorldMap!$Q$1,$G$2:$N$2))</f>
        <v>.</v>
      </c>
      <c r="G67" s="9">
        <f>IF(A67="","",INDEX(Population!$BD$3:$BP$177,A67,'Config!'!$AZ$17+1)/1000000)</f>
        <v>25.544564999999999</v>
      </c>
      <c r="H67" s="38">
        <f>IF(A67="","",INDEX(GDP!$G$3:$S$177,A67,'Config!'!$AZ$17+1)*1000/G67)</f>
        <v>1641.8259218243941</v>
      </c>
      <c r="I67">
        <f>IF(A67="","",G67*1000000/INDEX(Population!$CH$3:$CH$177,A67,1))</f>
        <v>112.2675172392576</v>
      </c>
      <c r="J67" t="str">
        <f>IF(A67="","",IFERROR(INDEX('Result data'!$R$216:$AC$390,A67,'Config!'!$BA$17),"."))</f>
        <v>.</v>
      </c>
      <c r="K67" s="8" t="str">
        <f t="shared" si="1"/>
        <v>.</v>
      </c>
      <c r="L67" t="str">
        <f>IF(A67="","",IFERROR(INDEX('Result data'!$ES$216:$FB$390,A67,$L$1)/J67*100,"."))</f>
        <v>.</v>
      </c>
      <c r="M67">
        <f>IF(A67="","",IFERROR(INDEX('Result data'!$BS$216:$CD$390,A67,'Config!'!$BA$17)/1000000,"."))</f>
        <v>0</v>
      </c>
      <c r="N67">
        <f>IF(A67="","",IFERROR(INDEX('Result data'!$AE$216:$AP$390,A67,'Config!'!$BA$17),"."))</f>
        <v>0</v>
      </c>
      <c r="O67" t="str">
        <f>INDEX(Language!$B$149:$B$308,MATCH(C67,Language!$C$149:$C$308,0))</f>
        <v>Ghana</v>
      </c>
    </row>
    <row r="68" spans="1:15" x14ac:dyDescent="0.25">
      <c r="A68" s="2">
        <f>'Config!'!C66</f>
        <v>59</v>
      </c>
      <c r="B68" s="2" t="str">
        <f t="shared" si="0"/>
        <v xml:space="preserve">Geórgia 
</v>
      </c>
      <c r="C68" s="3" t="str">
        <f>'Config!'!A66</f>
        <v>Geórgia</v>
      </c>
      <c r="D68" s="3" t="str">
        <f>'Config!'!B66</f>
        <v>Europa</v>
      </c>
      <c r="E68" t="str">
        <f>INDEX(G68:N68,1,SUMIF($G$3:$N$3,WorldMap!$Q$1,$G$2:$N$2))</f>
        <v>.</v>
      </c>
      <c r="F68" t="str">
        <f>INDEX(G68:N68,1,SUMIF($G$3:$N$3,WorldMap!$Q$1,$G$2:$N$2))</f>
        <v>.</v>
      </c>
      <c r="G68" s="9">
        <f>IF(A68="","",INDEX(Population!$BD$3:$BP$177,A68,'Config!'!$AZ$17+1)/1000000)</f>
        <v>3.8250000000000002</v>
      </c>
      <c r="H68" s="38">
        <f>IF(A68="","",INDEX(GDP!$G$3:$S$177,A68,'Config!'!$AZ$17+1)*1000/G68)</f>
        <v>4142.8717876863893</v>
      </c>
      <c r="I68">
        <f>IF(A68="","",G68*1000000/INDEX(Population!$CH$3:$CH$177,A68,1))</f>
        <v>54.878048780487802</v>
      </c>
      <c r="J68" t="str">
        <f>IF(A68="","",IFERROR(INDEX('Result data'!$R$216:$AC$390,A68,'Config!'!$BA$17),"."))</f>
        <v>.</v>
      </c>
      <c r="K68" s="8" t="str">
        <f t="shared" si="1"/>
        <v>.</v>
      </c>
      <c r="L68" t="str">
        <f>IF(A68="","",IFERROR(INDEX('Result data'!$ES$216:$FB$390,A68,$L$1)/J68*100,"."))</f>
        <v>.</v>
      </c>
      <c r="M68">
        <f>IF(A68="","",IFERROR(INDEX('Result data'!$BS$216:$CD$390,A68,'Config!'!$BA$17)/1000000,"."))</f>
        <v>0</v>
      </c>
      <c r="N68">
        <f>IF(A68="","",IFERROR(INDEX('Result data'!$AE$216:$AP$390,A68,'Config!'!$BA$17),"."))</f>
        <v>0</v>
      </c>
      <c r="O68" t="str">
        <f>INDEX(Language!$B$149:$B$308,MATCH(C68,Language!$C$149:$C$308,0))</f>
        <v>Georgia</v>
      </c>
    </row>
    <row r="69" spans="1:15" x14ac:dyDescent="0.25">
      <c r="A69" s="2">
        <f>'Config!'!C67</f>
        <v>62</v>
      </c>
      <c r="B69" s="2" t="str">
        <f t="shared" ref="B69:B132" si="2">C69&amp;" 
"&amp;IF(E69=F69,"",TEXT(F69,"###"))</f>
        <v xml:space="preserve">Grécia 
</v>
      </c>
      <c r="C69" s="3" t="str">
        <f>'Config!'!A67</f>
        <v>Grécia</v>
      </c>
      <c r="D69" s="3" t="str">
        <f>'Config!'!B67</f>
        <v>União Européia</v>
      </c>
      <c r="E69" t="str">
        <f>INDEX(G69:N69,1,SUMIF($G$3:$N$3,WorldMap!$Q$1,$G$2:$N$2))</f>
        <v>.</v>
      </c>
      <c r="F69" t="str">
        <f>INDEX(G69:N69,1,SUMIF($G$3:$N$3,WorldMap!$Q$1,$G$2:$N$2))</f>
        <v>.</v>
      </c>
      <c r="G69" s="9">
        <f>IF(A69="","",INDEX(Population!$BD$3:$BP$177,A69,'Config!'!$AZ$17+1)/1000000)</f>
        <v>11.045011000000001</v>
      </c>
      <c r="H69" s="38">
        <f>IF(A69="","",INDEX(GDP!$G$3:$S$177,A69,'Config!'!$AZ$17+1)*1000/G69)</f>
        <v>22242.681934770993</v>
      </c>
      <c r="I69">
        <f>IF(A69="","",G69*1000000/INDEX(Population!$CH$3:$CH$177,A69,1))</f>
        <v>84.540869671710794</v>
      </c>
      <c r="J69" t="str">
        <f>IF(A69="","",IFERROR(INDEX('Result data'!$R$216:$AC$390,A69,'Config!'!$BA$17),"."))</f>
        <v>.</v>
      </c>
      <c r="K69" s="8" t="str">
        <f t="shared" ref="K69:K132" si="3">IFERROR(100*J69/(G69*1000000),".")</f>
        <v>.</v>
      </c>
      <c r="L69" t="str">
        <f>IF(A69="","",IFERROR(INDEX('Result data'!$ES$216:$FB$390,A69,$L$1)/J69*100,"."))</f>
        <v>.</v>
      </c>
      <c r="M69">
        <f>IF(A69="","",IFERROR(INDEX('Result data'!$BS$216:$CD$390,A69,'Config!'!$BA$17)/1000000,"."))</f>
        <v>0</v>
      </c>
      <c r="N69">
        <f>IF(A69="","",IFERROR(INDEX('Result data'!$AE$216:$AP$390,A69,'Config!'!$BA$17),"."))</f>
        <v>0</v>
      </c>
      <c r="O69" t="str">
        <f>INDEX(Language!$B$149:$B$308,MATCH(C69,Language!$C$149:$C$308,0))</f>
        <v>Greece</v>
      </c>
    </row>
    <row r="70" spans="1:15" x14ac:dyDescent="0.25">
      <c r="A70" s="2">
        <f>'Config!'!C68</f>
        <v>64</v>
      </c>
      <c r="B70" s="2" t="str">
        <f t="shared" si="2"/>
        <v xml:space="preserve">Guatemala 
</v>
      </c>
      <c r="C70" s="3" t="str">
        <f>'Config!'!A68</f>
        <v>Guatemala</v>
      </c>
      <c r="D70" s="3" t="str">
        <f>'Config!'!B68</f>
        <v>América Central</v>
      </c>
      <c r="E70" t="str">
        <f>INDEX(G70:N70,1,SUMIF($G$3:$N$3,WorldMap!$Q$1,$G$2:$N$2))</f>
        <v>.</v>
      </c>
      <c r="F70" t="str">
        <f>INDEX(G70:N70,1,SUMIF($G$3:$N$3,WorldMap!$Q$1,$G$2:$N$2))</f>
        <v>.</v>
      </c>
      <c r="G70" s="9">
        <f>IF(A70="","",INDEX(Population!$BD$3:$BP$177,A70,'Config!'!$AZ$17+1)/1000000)</f>
        <v>15.368759000000001</v>
      </c>
      <c r="H70" s="38">
        <f>IF(A70="","",INDEX(GDP!$G$3:$S$177,A70,'Config!'!$AZ$17+1)*1000/G70)</f>
        <v>3278.629128398361</v>
      </c>
      <c r="I70">
        <f>IF(A70="","",G70*1000000/INDEX(Population!$CH$3:$CH$177,A70,1))</f>
        <v>143.42014203193386</v>
      </c>
      <c r="J70" t="str">
        <f>IF(A70="","",IFERROR(INDEX('Result data'!$R$216:$AC$390,A70,'Config!'!$BA$17),"."))</f>
        <v>.</v>
      </c>
      <c r="K70" s="8" t="str">
        <f t="shared" si="3"/>
        <v>.</v>
      </c>
      <c r="L70" t="str">
        <f>IF(A70="","",IFERROR(INDEX('Result data'!$ES$216:$FB$390,A70,$L$1)/J70*100,"."))</f>
        <v>.</v>
      </c>
      <c r="M70">
        <f>IF(A70="","",IFERROR(INDEX('Result data'!$BS$216:$CD$390,A70,'Config!'!$BA$17)/1000000,"."))</f>
        <v>0</v>
      </c>
      <c r="N70">
        <f>IF(A70="","",IFERROR(INDEX('Result data'!$AE$216:$AP$390,A70,'Config!'!$BA$17),"."))</f>
        <v>0</v>
      </c>
      <c r="O70" t="str">
        <f>INDEX(Language!$B$149:$B$308,MATCH(C70,Language!$C$149:$C$308,0))</f>
        <v>Guatemala</v>
      </c>
    </row>
    <row r="71" spans="1:15" x14ac:dyDescent="0.25">
      <c r="A71" s="2">
        <f>'Config!'!C69</f>
        <v>66</v>
      </c>
      <c r="B71" s="2" t="str">
        <f t="shared" si="2"/>
        <v xml:space="preserve">Guiana 
</v>
      </c>
      <c r="C71" s="3" t="str">
        <f>'Config!'!A69</f>
        <v>Guiana</v>
      </c>
      <c r="D71" s="3" t="str">
        <f>'Config!'!B69</f>
        <v>América do Sul</v>
      </c>
      <c r="E71" t="str">
        <f>INDEX(G71:N71,1,SUMIF($G$3:$N$3,WorldMap!$Q$1,$G$2:$N$2))</f>
        <v>.</v>
      </c>
      <c r="F71" t="str">
        <f>INDEX(G71:N71,1,SUMIF($G$3:$N$3,WorldMap!$Q$1,$G$2:$N$2))</f>
        <v>.</v>
      </c>
      <c r="G71" s="9">
        <f>IF(A71="","",INDEX(Population!$BD$3:$BP$177,A71,'Config!'!$AZ$17+1)/1000000)</f>
        <v>0.75841000000000003</v>
      </c>
      <c r="H71" s="38">
        <f>IF(A71="","",INDEX(GDP!$G$3:$S$177,A71,'Config!'!$AZ$17+1)*1000/G71)</f>
        <v>3773.1072452670851</v>
      </c>
      <c r="I71">
        <f>IF(A71="","",G71*1000000/INDEX(Population!$CH$3:$CH$177,A71,1))</f>
        <v>3.8527500774705485</v>
      </c>
      <c r="J71" t="str">
        <f>IF(A71="","",IFERROR(INDEX('Result data'!$R$216:$AC$390,A71,'Config!'!$BA$17),"."))</f>
        <v>.</v>
      </c>
      <c r="K71" s="8" t="str">
        <f t="shared" si="3"/>
        <v>.</v>
      </c>
      <c r="L71" t="str">
        <f>IF(A71="","",IFERROR(INDEX('Result data'!$ES$216:$FB$390,A71,$L$1)/J71*100,"."))</f>
        <v>.</v>
      </c>
      <c r="M71">
        <f>IF(A71="","",IFERROR(INDEX('Result data'!$BS$216:$CD$390,A71,'Config!'!$BA$17)/1000000,"."))</f>
        <v>0</v>
      </c>
      <c r="N71">
        <f>IF(A71="","",IFERROR(INDEX('Result data'!$AE$216:$AP$390,A71,'Config!'!$BA$17),"."))</f>
        <v>0</v>
      </c>
      <c r="O71" t="str">
        <f>INDEX(Language!$B$149:$B$308,MATCH(C71,Language!$C$149:$C$308,0))</f>
        <v>Guyana</v>
      </c>
    </row>
    <row r="72" spans="1:15" x14ac:dyDescent="0.25">
      <c r="A72" s="2">
        <f>'Config!'!C70</f>
        <v>65</v>
      </c>
      <c r="B72" s="2" t="str">
        <f t="shared" si="2"/>
        <v xml:space="preserve">Guiné 
</v>
      </c>
      <c r="C72" s="3" t="str">
        <f>'Config!'!A70</f>
        <v>Guiné</v>
      </c>
      <c r="D72" s="3" t="str">
        <f>'Config!'!B70</f>
        <v>África Subsaariana</v>
      </c>
      <c r="E72" t="str">
        <f>INDEX(G72:N72,1,SUMIF($G$3:$N$3,WorldMap!$Q$1,$G$2:$N$2))</f>
        <v>.</v>
      </c>
      <c r="F72" t="str">
        <f>INDEX(G72:N72,1,SUMIF($G$3:$N$3,WorldMap!$Q$1,$G$2:$N$2))</f>
        <v>.</v>
      </c>
      <c r="G72" s="9">
        <f>IF(A72="","",INDEX(Population!$BD$3:$BP$177,A72,'Config!'!$AZ$17+1)/1000000)</f>
        <v>11.628767</v>
      </c>
      <c r="H72" s="38">
        <f>IF(A72="","",INDEX(GDP!$G$3:$S$177,A72,'Config!'!$AZ$17+1)*1000/G72)</f>
        <v>656.82331191524599</v>
      </c>
      <c r="I72">
        <f>IF(A72="","",G72*1000000/INDEX(Population!$CH$3:$CH$177,A72,1))</f>
        <v>47.32585453997892</v>
      </c>
      <c r="J72" t="str">
        <f>IF(A72="","",IFERROR(INDEX('Result data'!$R$216:$AC$390,A72,'Config!'!$BA$17),"."))</f>
        <v>.</v>
      </c>
      <c r="K72" s="8" t="str">
        <f t="shared" si="3"/>
        <v>.</v>
      </c>
      <c r="L72" t="str">
        <f>IF(A72="","",IFERROR(INDEX('Result data'!$ES$216:$FB$390,A72,$L$1)/J72*100,"."))</f>
        <v>.</v>
      </c>
      <c r="M72">
        <f>IF(A72="","",IFERROR(INDEX('Result data'!$BS$216:$CD$390,A72,'Config!'!$BA$17)/1000000,"."))</f>
        <v>0</v>
      </c>
      <c r="N72">
        <f>IF(A72="","",IFERROR(INDEX('Result data'!$AE$216:$AP$390,A72,'Config!'!$BA$17),"."))</f>
        <v>0</v>
      </c>
      <c r="O72" t="str">
        <f>INDEX(Language!$B$149:$B$308,MATCH(C72,Language!$C$149:$C$308,0))</f>
        <v>Guinea</v>
      </c>
    </row>
    <row r="73" spans="1:15" x14ac:dyDescent="0.25">
      <c r="A73" s="2">
        <f>'Config!'!C71</f>
        <v>50</v>
      </c>
      <c r="B73" s="2" t="str">
        <f t="shared" si="2"/>
        <v xml:space="preserve">Guiné Equatorial 
</v>
      </c>
      <c r="C73" s="3" t="str">
        <f>'Config!'!A71</f>
        <v>Guiné Equatorial</v>
      </c>
      <c r="D73" s="3" t="str">
        <f>'Config!'!B71</f>
        <v>África Subsaariana</v>
      </c>
      <c r="E73" t="str">
        <f>INDEX(G73:N73,1,SUMIF($G$3:$N$3,WorldMap!$Q$1,$G$2:$N$2))</f>
        <v>.</v>
      </c>
      <c r="F73" t="str">
        <f>INDEX(G73:N73,1,SUMIF($G$3:$N$3,WorldMap!$Q$1,$G$2:$N$2))</f>
        <v>.</v>
      </c>
      <c r="G73" s="9">
        <f>IF(A73="","",INDEX(Population!$BD$3:$BP$177,A73,'Config!'!$AZ$17+1)/1000000)</f>
        <v>0.773729</v>
      </c>
      <c r="H73" s="38">
        <f>IF(A73="","",INDEX(GDP!$G$3:$S$177,A73,'Config!'!$AZ$17+1)*1000/G73)</f>
        <v>28937.297593003339</v>
      </c>
      <c r="I73">
        <f>IF(A73="","",G73*1000000/INDEX(Population!$CH$3:$CH$177,A73,1))</f>
        <v>27.582938219671313</v>
      </c>
      <c r="J73" t="str">
        <f>IF(A73="","",IFERROR(INDEX('Result data'!$R$216:$AC$390,A73,'Config!'!$BA$17),"."))</f>
        <v>.</v>
      </c>
      <c r="K73" s="8" t="str">
        <f t="shared" si="3"/>
        <v>.</v>
      </c>
      <c r="L73" t="str">
        <f>IF(A73="","",IFERROR(INDEX('Result data'!$ES$216:$FB$390,A73,$L$1)/J73*100,"."))</f>
        <v>.</v>
      </c>
      <c r="M73">
        <f>IF(A73="","",IFERROR(INDEX('Result data'!$BS$216:$CD$390,A73,'Config!'!$BA$17)/1000000,"."))</f>
        <v>0</v>
      </c>
      <c r="N73">
        <f>IF(A73="","",IFERROR(INDEX('Result data'!$AE$216:$AP$390,A73,'Config!'!$BA$17),"."))</f>
        <v>0</v>
      </c>
      <c r="O73" t="str">
        <f>INDEX(Language!$B$149:$B$308,MATCH(C73,Language!$C$149:$C$308,0))</f>
        <v>Equatorial Guinea</v>
      </c>
    </row>
    <row r="74" spans="1:15" x14ac:dyDescent="0.25">
      <c r="A74" s="2">
        <f>'Config!'!C72</f>
        <v>67</v>
      </c>
      <c r="B74" s="2" t="str">
        <f t="shared" si="2"/>
        <v xml:space="preserve">Haiti 
</v>
      </c>
      <c r="C74" s="3" t="str">
        <f>'Config!'!A72</f>
        <v>Haiti</v>
      </c>
      <c r="D74" s="3" t="str">
        <f>'Config!'!B72</f>
        <v>Caribe</v>
      </c>
      <c r="E74" t="str">
        <f>INDEX(G74:N74,1,SUMIF($G$3:$N$3,WorldMap!$Q$1,$G$2:$N$2))</f>
        <v>.</v>
      </c>
      <c r="F74" t="str">
        <f>INDEX(G74:N74,1,SUMIF($G$3:$N$3,WorldMap!$Q$1,$G$2:$N$2))</f>
        <v>.</v>
      </c>
      <c r="G74" s="9">
        <f>IF(A74="","",INDEX(Population!$BD$3:$BP$177,A74,'Config!'!$AZ$17+1)/1000000)</f>
        <v>10.288828000000001</v>
      </c>
      <c r="H74" s="38">
        <f>IF(A74="","",INDEX(GDP!$G$3:$S$177,A74,'Config!'!$AZ$17+1)*1000/G74)</f>
        <v>766.87223342533525</v>
      </c>
      <c r="I74">
        <f>IF(A74="","",G74*1000000/INDEX(Population!$CH$3:$CH$177,A74,1))</f>
        <v>373.32467343976776</v>
      </c>
      <c r="J74" t="str">
        <f>IF(A74="","",IFERROR(INDEX('Result data'!$R$216:$AC$390,A74,'Config!'!$BA$17),"."))</f>
        <v>.</v>
      </c>
      <c r="K74" s="8" t="str">
        <f t="shared" si="3"/>
        <v>.</v>
      </c>
      <c r="L74" t="str">
        <f>IF(A74="","",IFERROR(INDEX('Result data'!$ES$216:$FB$390,A74,$L$1)/J74*100,"."))</f>
        <v>.</v>
      </c>
      <c r="M74">
        <f>IF(A74="","",IFERROR(INDEX('Result data'!$BS$216:$CD$390,A74,'Config!'!$BA$17)/1000000,"."))</f>
        <v>0</v>
      </c>
      <c r="N74">
        <f>IF(A74="","",IFERROR(INDEX('Result data'!$AE$216:$AP$390,A74,'Config!'!$BA$17),"."))</f>
        <v>0</v>
      </c>
      <c r="O74" t="str">
        <f>INDEX(Language!$B$149:$B$308,MATCH(C74,Language!$C$149:$C$308,0))</f>
        <v>Haiti</v>
      </c>
    </row>
    <row r="75" spans="1:15" x14ac:dyDescent="0.25">
      <c r="A75" s="2">
        <f>'Config!'!C73</f>
        <v>112</v>
      </c>
      <c r="B75" s="2" t="str">
        <f t="shared" si="2"/>
        <v xml:space="preserve">Holanda 
</v>
      </c>
      <c r="C75" s="3" t="str">
        <f>'Config!'!A73</f>
        <v>Holanda</v>
      </c>
      <c r="D75" s="3" t="str">
        <f>'Config!'!B73</f>
        <v>União Européia</v>
      </c>
      <c r="E75" t="str">
        <f>INDEX(G75:N75,1,SUMIF($G$3:$N$3,WorldMap!$Q$1,$G$2:$N$2))</f>
        <v>.</v>
      </c>
      <c r="F75" t="str">
        <f>INDEX(G75:N75,1,SUMIF($G$3:$N$3,WorldMap!$Q$1,$G$2:$N$2))</f>
        <v>.</v>
      </c>
      <c r="G75" s="9">
        <f>IF(A75="","",INDEX(Population!$BD$3:$BP$177,A75,'Config!'!$AZ$17+1)/1000000)</f>
        <v>16.754961999999999</v>
      </c>
      <c r="H75" s="38">
        <f>IF(A75="","",INDEX(GDP!$G$3:$S$177,A75,'Config!'!$AZ$17+1)*1000/G75)</f>
        <v>50073.005655930843</v>
      </c>
      <c r="I75">
        <f>IF(A75="","",G75*1000000/INDEX(Population!$CH$3:$CH$177,A75,1))</f>
        <v>494.34874457852646</v>
      </c>
      <c r="J75" t="str">
        <f>IF(A75="","",IFERROR(INDEX('Result data'!$R$216:$AC$390,A75,'Config!'!$BA$17),"."))</f>
        <v>.</v>
      </c>
      <c r="K75" s="8" t="str">
        <f t="shared" si="3"/>
        <v>.</v>
      </c>
      <c r="L75" t="str">
        <f>IF(A75="","",IFERROR(INDEX('Result data'!$ES$216:$FB$390,A75,$L$1)/J75*100,"."))</f>
        <v>.</v>
      </c>
      <c r="M75">
        <f>IF(A75="","",IFERROR(INDEX('Result data'!$BS$216:$CD$390,A75,'Config!'!$BA$17)/1000000,"."))</f>
        <v>0</v>
      </c>
      <c r="N75">
        <f>IF(A75="","",IFERROR(INDEX('Result data'!$AE$216:$AP$390,A75,'Config!'!$BA$17),"."))</f>
        <v>0</v>
      </c>
      <c r="O75" t="str">
        <f>INDEX(Language!$B$149:$B$308,MATCH(C75,Language!$C$149:$C$308,0))</f>
        <v>Netherlands</v>
      </c>
    </row>
    <row r="76" spans="1:15" x14ac:dyDescent="0.25">
      <c r="A76" s="2">
        <f>'Config!'!C74</f>
        <v>68</v>
      </c>
      <c r="B76" s="2" t="str">
        <f t="shared" si="2"/>
        <v xml:space="preserve">Honduras 
</v>
      </c>
      <c r="C76" s="3" t="str">
        <f>'Config!'!A74</f>
        <v>Honduras</v>
      </c>
      <c r="D76" s="3" t="str">
        <f>'Config!'!B74</f>
        <v>América Central</v>
      </c>
      <c r="E76" t="str">
        <f>INDEX(G76:N76,1,SUMIF($G$3:$N$3,WorldMap!$Q$1,$G$2:$N$2))</f>
        <v>.</v>
      </c>
      <c r="F76" t="str">
        <f>INDEX(G76:N76,1,SUMIF($G$3:$N$3,WorldMap!$Q$1,$G$2:$N$2))</f>
        <v>.</v>
      </c>
      <c r="G76" s="9">
        <f>IF(A76="","",INDEX(Population!$BD$3:$BP$177,A76,'Config!'!$AZ$17+1)/1000000)</f>
        <v>7.7361310000000003</v>
      </c>
      <c r="H76" s="38">
        <f>IF(A76="","",INDEX(GDP!$G$3:$S$177,A76,'Config!'!$AZ$17+1)*1000/G76)</f>
        <v>2378.51956877565</v>
      </c>
      <c r="I76">
        <f>IF(A76="","",G76*1000000/INDEX(Population!$CH$3:$CH$177,A76,1))</f>
        <v>69.140504066493875</v>
      </c>
      <c r="J76" t="str">
        <f>IF(A76="","",IFERROR(INDEX('Result data'!$R$216:$AC$390,A76,'Config!'!$BA$17),"."))</f>
        <v>.</v>
      </c>
      <c r="K76" s="8" t="str">
        <f t="shared" si="3"/>
        <v>.</v>
      </c>
      <c r="L76" t="str">
        <f>IF(A76="","",IFERROR(INDEX('Result data'!$ES$216:$FB$390,A76,$L$1)/J76*100,"."))</f>
        <v>.</v>
      </c>
      <c r="M76">
        <f>IF(A76="","",IFERROR(INDEX('Result data'!$BS$216:$CD$390,A76,'Config!'!$BA$17)/1000000,"."))</f>
        <v>0</v>
      </c>
      <c r="N76">
        <f>IF(A76="","",IFERROR(INDEX('Result data'!$AE$216:$AP$390,A76,'Config!'!$BA$17),"."))</f>
        <v>0</v>
      </c>
      <c r="O76" t="str">
        <f>INDEX(Language!$B$149:$B$308,MATCH(C76,Language!$C$149:$C$308,0))</f>
        <v>Honduras</v>
      </c>
    </row>
    <row r="77" spans="1:15" x14ac:dyDescent="0.25">
      <c r="A77" s="2">
        <f>'Config!'!C75</f>
        <v>69</v>
      </c>
      <c r="B77" s="2" t="str">
        <f t="shared" si="2"/>
        <v xml:space="preserve">Hungria 
</v>
      </c>
      <c r="C77" s="3" t="str">
        <f>'Config!'!A75</f>
        <v>Hungria</v>
      </c>
      <c r="D77" s="3" t="str">
        <f>'Config!'!B75</f>
        <v>União Européia</v>
      </c>
      <c r="E77" t="str">
        <f>INDEX(G77:N77,1,SUMIF($G$3:$N$3,WorldMap!$Q$1,$G$2:$N$2))</f>
        <v>.</v>
      </c>
      <c r="F77" t="str">
        <f>INDEX(G77:N77,1,SUMIF($G$3:$N$3,WorldMap!$Q$1,$G$2:$N$2))</f>
        <v>.</v>
      </c>
      <c r="G77" s="9">
        <f>IF(A77="","",INDEX(Population!$BD$3:$BP$177,A77,'Config!'!$AZ$17+1)/1000000)</f>
        <v>9.9203620000000008</v>
      </c>
      <c r="H77" s="38">
        <f>IF(A77="","",INDEX(GDP!$G$3:$S$177,A77,'Config!'!$AZ$17+1)*1000/G77)</f>
        <v>12888.304590882899</v>
      </c>
      <c r="I77">
        <f>IF(A77="","",G77*1000000/INDEX(Population!$CH$3:$CH$177,A77,1))</f>
        <v>110.7084412106062</v>
      </c>
      <c r="J77" t="str">
        <f>IF(A77="","",IFERROR(INDEX('Result data'!$R$216:$AC$390,A77,'Config!'!$BA$17),"."))</f>
        <v>.</v>
      </c>
      <c r="K77" s="8" t="str">
        <f t="shared" si="3"/>
        <v>.</v>
      </c>
      <c r="L77" t="str">
        <f>IF(A77="","",IFERROR(INDEX('Result data'!$ES$216:$FB$390,A77,$L$1)/J77*100,"."))</f>
        <v>.</v>
      </c>
      <c r="M77">
        <f>IF(A77="","",IFERROR(INDEX('Result data'!$BS$216:$CD$390,A77,'Config!'!$BA$17)/1000000,"."))</f>
        <v>0</v>
      </c>
      <c r="N77">
        <f>IF(A77="","",IFERROR(INDEX('Result data'!$AE$216:$AP$390,A77,'Config!'!$BA$17),"."))</f>
        <v>0</v>
      </c>
      <c r="O77" t="str">
        <f>INDEX(Language!$B$149:$B$308,MATCH(C77,Language!$C$149:$C$308,0))</f>
        <v>Hungary</v>
      </c>
    </row>
    <row r="78" spans="1:15" x14ac:dyDescent="0.25">
      <c r="A78" s="2">
        <f>'Config!'!C76</f>
        <v>168</v>
      </c>
      <c r="B78" s="2" t="str">
        <f t="shared" si="2"/>
        <v xml:space="preserve">Iémen 
</v>
      </c>
      <c r="C78" s="3" t="str">
        <f>'Config!'!A76</f>
        <v>Iémen</v>
      </c>
      <c r="D78" s="3" t="str">
        <f>'Config!'!B76</f>
        <v>Oriente médio</v>
      </c>
      <c r="E78" t="str">
        <f>INDEX(G78:N78,1,SUMIF($G$3:$N$3,WorldMap!$Q$1,$G$2:$N$2))</f>
        <v>.</v>
      </c>
      <c r="F78" t="str">
        <f>INDEX(G78:N78,1,SUMIF($G$3:$N$3,WorldMap!$Q$1,$G$2:$N$2))</f>
        <v>.</v>
      </c>
      <c r="G78" s="9">
        <f>IF(A78="","",INDEX(Population!$BD$3:$BP$177,A78,'Config!'!$AZ$17+1)/1000000)</f>
        <v>24.882791999999998</v>
      </c>
      <c r="H78" s="38">
        <f>IF(A78="","",INDEX(GDP!$G$3:$S$177,A78,'Config!'!$AZ$17+1)*1000/G78)</f>
        <v>1422.7237791203438</v>
      </c>
      <c r="I78">
        <f>IF(A78="","",G78*1000000/INDEX(Population!$CH$3:$CH$177,A78,1))</f>
        <v>47.129356324625732</v>
      </c>
      <c r="J78" t="str">
        <f>IF(A78="","",IFERROR(INDEX('Result data'!$R$216:$AC$390,A78,'Config!'!$BA$17),"."))</f>
        <v>.</v>
      </c>
      <c r="K78" s="8" t="str">
        <f t="shared" si="3"/>
        <v>.</v>
      </c>
      <c r="L78" t="str">
        <f>IF(A78="","",IFERROR(INDEX('Result data'!$ES$216:$FB$390,A78,$L$1)/J78*100,"."))</f>
        <v>.</v>
      </c>
      <c r="M78">
        <f>IF(A78="","",IFERROR(INDEX('Result data'!$BS$216:$CD$390,A78,'Config!'!$BA$17)/1000000,"."))</f>
        <v>0</v>
      </c>
      <c r="N78">
        <f>IF(A78="","",IFERROR(INDEX('Result data'!$AE$216:$AP$390,A78,'Config!'!$BA$17),"."))</f>
        <v>0</v>
      </c>
      <c r="O78" t="str">
        <f>INDEX(Language!$B$149:$B$308,MATCH(C78,Language!$C$149:$C$308,0))</f>
        <v>Yemen</v>
      </c>
    </row>
    <row r="79" spans="1:15" x14ac:dyDescent="0.25">
      <c r="A79" s="2">
        <f>'Config!'!C77</f>
        <v>142</v>
      </c>
      <c r="B79" s="2" t="str">
        <f t="shared" si="2"/>
        <v xml:space="preserve">Ilhas Salomão 
</v>
      </c>
      <c r="C79" s="3" t="str">
        <f>'Config!'!A77</f>
        <v>Ilhas Salomão</v>
      </c>
      <c r="D79" s="3" t="str">
        <f>'Config!'!B77</f>
        <v>Ásia-Pacífico</v>
      </c>
      <c r="E79" t="str">
        <f>INDEX(G79:N79,1,SUMIF($G$3:$N$3,WorldMap!$Q$1,$G$2:$N$2))</f>
        <v>.</v>
      </c>
      <c r="F79" t="str">
        <f>INDEX(G79:N79,1,SUMIF($G$3:$N$3,WorldMap!$Q$1,$G$2:$N$2))</f>
        <v>.</v>
      </c>
      <c r="G79" s="9">
        <f>IF(A79="","",INDEX(Population!$BD$3:$BP$177,A79,'Config!'!$AZ$17+1)/1000000)</f>
        <v>0.54916200000000004</v>
      </c>
      <c r="H79" s="38">
        <f>IF(A79="","",INDEX(GDP!$G$3:$S$177,A79,'Config!'!$AZ$17+1)*1000/G79)</f>
        <v>1937.2779821497099</v>
      </c>
      <c r="I79">
        <f>IF(A79="","",G79*1000000/INDEX(Population!$CH$3:$CH$177,A79,1))</f>
        <v>19.622739941399271</v>
      </c>
      <c r="J79" t="str">
        <f>IF(A79="","",IFERROR(INDEX('Result data'!$R$216:$AC$390,A79,'Config!'!$BA$17),"."))</f>
        <v>.</v>
      </c>
      <c r="K79" s="8" t="str">
        <f t="shared" si="3"/>
        <v>.</v>
      </c>
      <c r="L79" t="str">
        <f>IF(A79="","",IFERROR(INDEX('Result data'!$ES$216:$FB$390,A79,$L$1)/J79*100,"."))</f>
        <v>.</v>
      </c>
      <c r="M79">
        <f>IF(A79="","",IFERROR(INDEX('Result data'!$BS$216:$CD$390,A79,'Config!'!$BA$17)/1000000,"."))</f>
        <v>0</v>
      </c>
      <c r="N79">
        <f>IF(A79="","",IFERROR(INDEX('Result data'!$AE$216:$AP$390,A79,'Config!'!$BA$17),"."))</f>
        <v>0</v>
      </c>
      <c r="O79" t="str">
        <f>INDEX(Language!$B$149:$B$308,MATCH(C79,Language!$C$149:$C$308,0))</f>
        <v>Solomon Islands</v>
      </c>
    </row>
    <row r="80" spans="1:15" x14ac:dyDescent="0.25">
      <c r="A80" s="2">
        <f>'Config!'!C78</f>
        <v>71</v>
      </c>
      <c r="B80" s="2" t="str">
        <f t="shared" si="2"/>
        <v xml:space="preserve">Índia 
</v>
      </c>
      <c r="C80" s="3" t="str">
        <f>'Config!'!A78</f>
        <v>Índia</v>
      </c>
      <c r="D80" s="3" t="str">
        <f>'Config!'!B78</f>
        <v>Ásia-Pacífico</v>
      </c>
      <c r="E80" t="str">
        <f>INDEX(G80:N80,1,SUMIF($G$3:$N$3,WorldMap!$Q$1,$G$2:$N$2))</f>
        <v>.</v>
      </c>
      <c r="F80" t="str">
        <f>INDEX(G80:N80,1,SUMIF($G$3:$N$3,WorldMap!$Q$1,$G$2:$N$2))</f>
        <v>.</v>
      </c>
      <c r="G80" s="9">
        <f>IF(A80="","",INDEX(Population!$BD$3:$BP$177,A80,'Config!'!$AZ$17+1)/1000000)</f>
        <v>1263.589639</v>
      </c>
      <c r="H80" s="38">
        <f>IF(A80="","",INDEX(GDP!$G$3:$S$177,A80,'Config!'!$AZ$17+1)*1000/G80)</f>
        <v>1446.3856007731133</v>
      </c>
      <c r="I80">
        <f>IF(A80="","",G80*1000000/INDEX(Population!$CH$3:$CH$177,A80,1))</f>
        <v>424.99415241459263</v>
      </c>
      <c r="J80" t="str">
        <f>IF(A80="","",IFERROR(INDEX('Result data'!$R$216:$AC$390,A80,'Config!'!$BA$17),"."))</f>
        <v>.</v>
      </c>
      <c r="K80" s="8" t="str">
        <f t="shared" si="3"/>
        <v>.</v>
      </c>
      <c r="L80" t="str">
        <f>IF(A80="","",IFERROR(INDEX('Result data'!$ES$216:$FB$390,A80,$L$1)/J80*100,"."))</f>
        <v>.</v>
      </c>
      <c r="M80">
        <f>IF(A80="","",IFERROR(INDEX('Result data'!$BS$216:$CD$390,A80,'Config!'!$BA$17)/1000000,"."))</f>
        <v>0</v>
      </c>
      <c r="N80">
        <f>IF(A80="","",IFERROR(INDEX('Result data'!$AE$216:$AP$390,A80,'Config!'!$BA$17),"."))</f>
        <v>0</v>
      </c>
      <c r="O80" t="str">
        <f>INDEX(Language!$B$149:$B$308,MATCH(C80,Language!$C$149:$C$308,0))</f>
        <v>India</v>
      </c>
    </row>
    <row r="81" spans="1:15" x14ac:dyDescent="0.25">
      <c r="A81" s="2">
        <f>'Config!'!C79</f>
        <v>72</v>
      </c>
      <c r="B81" s="2" t="str">
        <f t="shared" si="2"/>
        <v xml:space="preserve">Indonésia 
</v>
      </c>
      <c r="C81" s="3" t="str">
        <f>'Config!'!A79</f>
        <v>Indonésia</v>
      </c>
      <c r="D81" s="3" t="str">
        <f>'Config!'!B79</f>
        <v>Ásia-Pacífico</v>
      </c>
      <c r="E81" t="str">
        <f>INDEX(G81:N81,1,SUMIF($G$3:$N$3,WorldMap!$Q$1,$G$2:$N$2))</f>
        <v>.</v>
      </c>
      <c r="F81" t="str">
        <f>INDEX(G81:N81,1,SUMIF($G$3:$N$3,WorldMap!$Q$1,$G$2:$N$2))</f>
        <v>.</v>
      </c>
      <c r="G81" s="9">
        <f>IF(A81="","",INDEX(Population!$BD$3:$BP$177,A81,'Config!'!$AZ$17+1)/1000000)</f>
        <v>248.03785300000001</v>
      </c>
      <c r="H81" s="38">
        <f>IF(A81="","",INDEX(GDP!$G$3:$S$177,A81,'Config!'!$AZ$17+1)*1000/G81)</f>
        <v>3700.5235249546695</v>
      </c>
      <c r="I81">
        <f>IF(A81="","",G81*1000000/INDEX(Population!$CH$3:$CH$177,A81,1))</f>
        <v>136.918799670341</v>
      </c>
      <c r="J81" t="str">
        <f>IF(A81="","",IFERROR(INDEX('Result data'!$R$216:$AC$390,A81,'Config!'!$BA$17),"."))</f>
        <v>.</v>
      </c>
      <c r="K81" s="8" t="str">
        <f t="shared" si="3"/>
        <v>.</v>
      </c>
      <c r="L81" t="str">
        <f>IF(A81="","",IFERROR(INDEX('Result data'!$ES$216:$FB$390,A81,$L$1)/J81*100,"."))</f>
        <v>.</v>
      </c>
      <c r="M81">
        <f>IF(A81="","",IFERROR(INDEX('Result data'!$BS$216:$CD$390,A81,'Config!'!$BA$17)/1000000,"."))</f>
        <v>0</v>
      </c>
      <c r="N81">
        <f>IF(A81="","",IFERROR(INDEX('Result data'!$AE$216:$AP$390,A81,'Config!'!$BA$17),"."))</f>
        <v>0</v>
      </c>
      <c r="O81" t="str">
        <f>INDEX(Language!$B$149:$B$308,MATCH(C81,Language!$C$149:$C$308,0))</f>
        <v>Indonesia</v>
      </c>
    </row>
    <row r="82" spans="1:15" x14ac:dyDescent="0.25">
      <c r="A82" s="2">
        <f>'Config!'!C80</f>
        <v>73</v>
      </c>
      <c r="B82" s="2" t="str">
        <f t="shared" si="2"/>
        <v xml:space="preserve">Irã 
</v>
      </c>
      <c r="C82" s="3" t="str">
        <f>'Config!'!A80</f>
        <v>Irã</v>
      </c>
      <c r="D82" s="3" t="str">
        <f>'Config!'!B80</f>
        <v>Oriente médio</v>
      </c>
      <c r="E82" t="str">
        <f>INDEX(G82:N82,1,SUMIF($G$3:$N$3,WorldMap!$Q$1,$G$2:$N$2))</f>
        <v>.</v>
      </c>
      <c r="F82" t="str">
        <f>INDEX(G82:N82,1,SUMIF($G$3:$N$3,WorldMap!$Q$1,$G$2:$N$2))</f>
        <v>.</v>
      </c>
      <c r="G82" s="9">
        <f>IF(A82="","",INDEX(Population!$BD$3:$BP$177,A82,'Config!'!$AZ$17+1)/1000000)</f>
        <v>76.156975000000003</v>
      </c>
      <c r="H82" s="38">
        <f>IF(A82="","",INDEX(GDP!$G$3:$S$177,A82,'Config!'!$AZ$17+1)*1000/G82)</f>
        <v>7863.4084570205305</v>
      </c>
      <c r="I82">
        <f>IF(A82="","",G82*1000000/INDEX(Population!$CH$3:$CH$177,A82,1))</f>
        <v>49.723964233364562</v>
      </c>
      <c r="J82" t="str">
        <f>IF(A82="","",IFERROR(INDEX('Result data'!$R$216:$AC$390,A82,'Config!'!$BA$17),"."))</f>
        <v>.</v>
      </c>
      <c r="K82" s="8" t="str">
        <f t="shared" si="3"/>
        <v>.</v>
      </c>
      <c r="L82" t="str">
        <f>IF(A82="","",IFERROR(INDEX('Result data'!$ES$216:$FB$390,A82,$L$1)/J82*100,"."))</f>
        <v>.</v>
      </c>
      <c r="M82">
        <f>IF(A82="","",IFERROR(INDEX('Result data'!$BS$216:$CD$390,A82,'Config!'!$BA$17)/1000000,"."))</f>
        <v>0</v>
      </c>
      <c r="N82">
        <f>IF(A82="","",IFERROR(INDEX('Result data'!$AE$216:$AP$390,A82,'Config!'!$BA$17),"."))</f>
        <v>0</v>
      </c>
      <c r="O82" t="str">
        <f>INDEX(Language!$B$149:$B$308,MATCH(C82,Language!$C$149:$C$308,0))</f>
        <v>Iran</v>
      </c>
    </row>
    <row r="83" spans="1:15" x14ac:dyDescent="0.25">
      <c r="A83" s="2">
        <f>'Config!'!C81</f>
        <v>74</v>
      </c>
      <c r="B83" s="2" t="str">
        <f t="shared" si="2"/>
        <v xml:space="preserve">Iraque 
</v>
      </c>
      <c r="C83" s="3" t="str">
        <f>'Config!'!A81</f>
        <v>Iraque</v>
      </c>
      <c r="D83" s="3" t="str">
        <f>'Config!'!B81</f>
        <v>Oriente médio</v>
      </c>
      <c r="E83" t="str">
        <f>INDEX(G83:N83,1,SUMIF($G$3:$N$3,WorldMap!$Q$1,$G$2:$N$2))</f>
        <v>.</v>
      </c>
      <c r="F83" t="str">
        <f>INDEX(G83:N83,1,SUMIF($G$3:$N$3,WorldMap!$Q$1,$G$2:$N$2))</f>
        <v>.</v>
      </c>
      <c r="G83" s="9">
        <f>IF(A83="","",INDEX(Population!$BD$3:$BP$177,A83,'Config!'!$AZ$17+1)/1000000)</f>
        <v>32.957622000000001</v>
      </c>
      <c r="H83" s="38">
        <f>IF(A83="","",INDEX(GDP!$G$3:$S$177,A83,'Config!'!$AZ$17+1)*1000/G83)</f>
        <v>6614.584821157262</v>
      </c>
      <c r="I83">
        <f>IF(A83="","",G83*1000000/INDEX(Population!$CH$3:$CH$177,A83,1))</f>
        <v>75.354615231601841</v>
      </c>
      <c r="J83" t="str">
        <f>IF(A83="","",IFERROR(INDEX('Result data'!$R$216:$AC$390,A83,'Config!'!$BA$17),"."))</f>
        <v>.</v>
      </c>
      <c r="K83" s="8" t="str">
        <f t="shared" si="3"/>
        <v>.</v>
      </c>
      <c r="L83" t="str">
        <f>IF(A83="","",IFERROR(INDEX('Result data'!$ES$216:$FB$390,A83,$L$1)/J83*100,"."))</f>
        <v>.</v>
      </c>
      <c r="M83">
        <f>IF(A83="","",IFERROR(INDEX('Result data'!$BS$216:$CD$390,A83,'Config!'!$BA$17)/1000000,"."))</f>
        <v>0</v>
      </c>
      <c r="N83">
        <f>IF(A83="","",IFERROR(INDEX('Result data'!$AE$216:$AP$390,A83,'Config!'!$BA$17),"."))</f>
        <v>0</v>
      </c>
      <c r="O83" t="str">
        <f>INDEX(Language!$B$149:$B$308,MATCH(C83,Language!$C$149:$C$308,0))</f>
        <v>Iraq</v>
      </c>
    </row>
    <row r="84" spans="1:15" x14ac:dyDescent="0.25">
      <c r="A84" s="2">
        <f>'Config!'!C82</f>
        <v>172</v>
      </c>
      <c r="B84" s="2" t="str">
        <f t="shared" si="2"/>
        <v xml:space="preserve">Irlanda 
</v>
      </c>
      <c r="C84" s="3" t="str">
        <f>'Config!'!A82</f>
        <v>Irlanda</v>
      </c>
      <c r="D84" s="3" t="str">
        <f>'Config!'!B82</f>
        <v>União Européia</v>
      </c>
      <c r="E84" t="str">
        <f>INDEX(G84:N84,1,SUMIF($G$3:$N$3,WorldMap!$Q$1,$G$2:$N$2))</f>
        <v>.</v>
      </c>
      <c r="F84" t="str">
        <f>INDEX(G84:N84,1,SUMIF($G$3:$N$3,WorldMap!$Q$1,$G$2:$N$2))</f>
        <v>.</v>
      </c>
      <c r="G84" s="9">
        <f>IF(A84="","",INDEX(Population!$BD$3:$BP$177,A84,'Config!'!$AZ$17+1)/1000000)</f>
        <v>4.5868969999999996</v>
      </c>
      <c r="H84" s="38">
        <f>IF(A84="","",INDEX(GDP!$G$3:$S$177,A84,'Config!'!$AZ$17+1)*1000/G84)</f>
        <v>49052.656753542382</v>
      </c>
      <c r="I84">
        <f>IF(A84="","",G84*1000000/INDEX(Population!$CH$3:$CH$177,A84,1))</f>
        <v>66.589681053380374</v>
      </c>
      <c r="J84" t="str">
        <f>IF(A84="","",IFERROR(INDEX('Result data'!$R$216:$AC$390,A84,'Config!'!$BA$17),"."))</f>
        <v>.</v>
      </c>
      <c r="K84" s="8" t="str">
        <f t="shared" si="3"/>
        <v>.</v>
      </c>
      <c r="L84" t="str">
        <f>IF(A84="","",IFERROR(INDEX('Result data'!$ES$216:$FB$390,A84,$L$1)/J84*100,"."))</f>
        <v>.</v>
      </c>
      <c r="M84">
        <f>IF(A84="","",IFERROR(INDEX('Result data'!$BS$216:$CD$390,A84,'Config!'!$BA$17)/1000000,"."))</f>
        <v>0</v>
      </c>
      <c r="N84">
        <f>IF(A84="","",IFERROR(INDEX('Result data'!$AE$216:$AP$390,A84,'Config!'!$BA$17),"."))</f>
        <v>0</v>
      </c>
      <c r="O84" t="str">
        <f>INDEX(Language!$B$149:$B$308,MATCH(C84,Language!$C$149:$C$308,0))</f>
        <v>Ireland</v>
      </c>
    </row>
    <row r="85" spans="1:15" x14ac:dyDescent="0.25">
      <c r="A85" s="2">
        <f>'Config!'!C83</f>
        <v>70</v>
      </c>
      <c r="B85" s="2" t="str">
        <f t="shared" si="2"/>
        <v xml:space="preserve">Islândia 
</v>
      </c>
      <c r="C85" s="3" t="str">
        <f>'Config!'!A83</f>
        <v>Islândia</v>
      </c>
      <c r="D85" s="3" t="str">
        <f>'Config!'!B83</f>
        <v>Europa</v>
      </c>
      <c r="E85" t="str">
        <f>INDEX(G85:N85,1,SUMIF($G$3:$N$3,WorldMap!$Q$1,$G$2:$N$2))</f>
        <v>.</v>
      </c>
      <c r="F85" t="str">
        <f>INDEX(G85:N85,1,SUMIF($G$3:$N$3,WorldMap!$Q$1,$G$2:$N$2))</f>
        <v>.</v>
      </c>
      <c r="G85" s="9">
        <f>IF(A85="","",INDEX(Population!$BD$3:$BP$177,A85,'Config!'!$AZ$17+1)/1000000)</f>
        <v>0.320716</v>
      </c>
      <c r="H85" s="38">
        <f>IF(A85="","",INDEX(GDP!$G$3:$S$177,A85,'Config!'!$AZ$17+1)*1000/G85)</f>
        <v>45910.020903977413</v>
      </c>
      <c r="I85">
        <f>IF(A85="","",G85*1000000/INDEX(Population!$CH$3:$CH$177,A85,1))</f>
        <v>3.1991620947630923</v>
      </c>
      <c r="J85" t="str">
        <f>IF(A85="","",IFERROR(INDEX('Result data'!$R$216:$AC$390,A85,'Config!'!$BA$17),"."))</f>
        <v>.</v>
      </c>
      <c r="K85" s="8" t="str">
        <f t="shared" si="3"/>
        <v>.</v>
      </c>
      <c r="L85" t="str">
        <f>IF(A85="","",IFERROR(INDEX('Result data'!$ES$216:$FB$390,A85,$L$1)/J85*100,"."))</f>
        <v>.</v>
      </c>
      <c r="M85">
        <f>IF(A85="","",IFERROR(INDEX('Result data'!$BS$216:$CD$390,A85,'Config!'!$BA$17)/1000000,"."))</f>
        <v>0</v>
      </c>
      <c r="N85">
        <f>IF(A85="","",IFERROR(INDEX('Result data'!$AE$216:$AP$390,A85,'Config!'!$BA$17),"."))</f>
        <v>0</v>
      </c>
      <c r="O85" t="str">
        <f>INDEX(Language!$B$149:$B$308,MATCH(C85,Language!$C$149:$C$308,0))</f>
        <v>Iceland</v>
      </c>
    </row>
    <row r="86" spans="1:15" x14ac:dyDescent="0.25">
      <c r="A86" s="2">
        <f>'Config!'!C84</f>
        <v>75</v>
      </c>
      <c r="B86" s="2" t="str">
        <f t="shared" si="2"/>
        <v xml:space="preserve">Israel 
</v>
      </c>
      <c r="C86" s="3" t="str">
        <f>'Config!'!A84</f>
        <v>Israel</v>
      </c>
      <c r="D86" s="3" t="str">
        <f>'Config!'!B84</f>
        <v>Oriente médio</v>
      </c>
      <c r="E86" t="str">
        <f>INDEX(G86:N86,1,SUMIF($G$3:$N$3,WorldMap!$Q$1,$G$2:$N$2))</f>
        <v>.</v>
      </c>
      <c r="F86" t="str">
        <f>INDEX(G86:N86,1,SUMIF($G$3:$N$3,WorldMap!$Q$1,$G$2:$N$2))</f>
        <v>.</v>
      </c>
      <c r="G86" s="9">
        <f>IF(A86="","",INDEX(Population!$BD$3:$BP$177,A86,'Config!'!$AZ$17+1)/1000000)</f>
        <v>7.9104999999999999</v>
      </c>
      <c r="H86" s="38">
        <f>IF(A86="","",INDEX(GDP!$G$3:$S$177,A86,'Config!'!$AZ$17+1)*1000/G86)</f>
        <v>32543.455153463674</v>
      </c>
      <c r="I86">
        <f>IF(A86="","",G86*1000000/INDEX(Population!$CH$3:$CH$177,A86,1))</f>
        <v>389.10477127397934</v>
      </c>
      <c r="J86" t="str">
        <f>IF(A86="","",IFERROR(INDEX('Result data'!$R$216:$AC$390,A86,'Config!'!$BA$17),"."))</f>
        <v>.</v>
      </c>
      <c r="K86" s="8" t="str">
        <f t="shared" si="3"/>
        <v>.</v>
      </c>
      <c r="L86" t="str">
        <f>IF(A86="","",IFERROR(INDEX('Result data'!$ES$216:$FB$390,A86,$L$1)/J86*100,"."))</f>
        <v>.</v>
      </c>
      <c r="M86">
        <f>IF(A86="","",IFERROR(INDEX('Result data'!$BS$216:$CD$390,A86,'Config!'!$BA$17)/1000000,"."))</f>
        <v>0</v>
      </c>
      <c r="N86">
        <f>IF(A86="","",IFERROR(INDEX('Result data'!$AE$216:$AP$390,A86,'Config!'!$BA$17),"."))</f>
        <v>0</v>
      </c>
      <c r="O86" t="str">
        <f>INDEX(Language!$B$149:$B$308,MATCH(C86,Language!$C$149:$C$308,0))</f>
        <v>Israel</v>
      </c>
    </row>
    <row r="87" spans="1:15" x14ac:dyDescent="0.25">
      <c r="A87" s="2">
        <f>'Config!'!C85</f>
        <v>76</v>
      </c>
      <c r="B87" s="2" t="str">
        <f t="shared" si="2"/>
        <v xml:space="preserve">Itália 
</v>
      </c>
      <c r="C87" s="3" t="str">
        <f>'Config!'!A85</f>
        <v>Itália</v>
      </c>
      <c r="D87" s="3" t="str">
        <f>'Config!'!B85</f>
        <v>União Européia</v>
      </c>
      <c r="E87" t="str">
        <f>INDEX(G87:N87,1,SUMIF($G$3:$N$3,WorldMap!$Q$1,$G$2:$N$2))</f>
        <v>.</v>
      </c>
      <c r="F87" t="str">
        <f>INDEX(G87:N87,1,SUMIF($G$3:$N$3,WorldMap!$Q$1,$G$2:$N$2))</f>
        <v>.</v>
      </c>
      <c r="G87" s="9">
        <f>IF(A87="","",INDEX(Population!$BD$3:$BP$177,A87,'Config!'!$AZ$17+1)/1000000)</f>
        <v>59.539717000000003</v>
      </c>
      <c r="H87" s="38">
        <f>IF(A87="","",INDEX(GDP!$G$3:$S$177,A87,'Config!'!$AZ$17+1)*1000/G87)</f>
        <v>34814.125116848678</v>
      </c>
      <c r="I87">
        <f>IF(A87="","",G87*1000000/INDEX(Population!$CH$3:$CH$177,A87,1))</f>
        <v>202.41965390630313</v>
      </c>
      <c r="J87" t="str">
        <f>IF(A87="","",IFERROR(INDEX('Result data'!$R$216:$AC$390,A87,'Config!'!$BA$17),"."))</f>
        <v>.</v>
      </c>
      <c r="K87" s="8" t="str">
        <f t="shared" si="3"/>
        <v>.</v>
      </c>
      <c r="L87" t="str">
        <f>IF(A87="","",IFERROR(INDEX('Result data'!$ES$216:$FB$390,A87,$L$1)/J87*100,"."))</f>
        <v>.</v>
      </c>
      <c r="M87">
        <f>IF(A87="","",IFERROR(INDEX('Result data'!$BS$216:$CD$390,A87,'Config!'!$BA$17)/1000000,"."))</f>
        <v>0</v>
      </c>
      <c r="N87">
        <f>IF(A87="","",IFERROR(INDEX('Result data'!$AE$216:$AP$390,A87,'Config!'!$BA$17),"."))</f>
        <v>0</v>
      </c>
      <c r="O87" t="str">
        <f>INDEX(Language!$B$149:$B$308,MATCH(C87,Language!$C$149:$C$308,0))</f>
        <v>Italy</v>
      </c>
    </row>
    <row r="88" spans="1:15" x14ac:dyDescent="0.25">
      <c r="A88" s="2">
        <f>'Config!'!C86</f>
        <v>78</v>
      </c>
      <c r="B88" s="2" t="str">
        <f t="shared" si="2"/>
        <v xml:space="preserve">Jamaica 
</v>
      </c>
      <c r="C88" s="3" t="str">
        <f>'Config!'!A86</f>
        <v>Jamaica</v>
      </c>
      <c r="D88" s="3" t="str">
        <f>'Config!'!B86</f>
        <v>Caribe</v>
      </c>
      <c r="E88" t="str">
        <f>INDEX(G88:N88,1,SUMIF($G$3:$N$3,WorldMap!$Q$1,$G$2:$N$2))</f>
        <v>.</v>
      </c>
      <c r="F88" t="str">
        <f>INDEX(G88:N88,1,SUMIF($G$3:$N$3,WorldMap!$Q$1,$G$2:$N$2))</f>
        <v>.</v>
      </c>
      <c r="G88" s="9">
        <f>IF(A88="","",INDEX(Population!$BD$3:$BP$177,A88,'Config!'!$AZ$17+1)/1000000)</f>
        <v>2.707805</v>
      </c>
      <c r="H88" s="38">
        <f>IF(A88="","",INDEX(GDP!$G$3:$S$177,A88,'Config!'!$AZ$17+1)*1000/G88)</f>
        <v>5465.2075080060113</v>
      </c>
      <c r="I88">
        <f>IF(A88="","",G88*1000000/INDEX(Population!$CH$3:$CH$177,A88,1))</f>
        <v>250.00507801680362</v>
      </c>
      <c r="J88" t="str">
        <f>IF(A88="","",IFERROR(INDEX('Result data'!$R$216:$AC$390,A88,'Config!'!$BA$17),"."))</f>
        <v>.</v>
      </c>
      <c r="K88" s="8" t="str">
        <f t="shared" si="3"/>
        <v>.</v>
      </c>
      <c r="L88" t="str">
        <f>IF(A88="","",IFERROR(INDEX('Result data'!$ES$216:$FB$390,A88,$L$1)/J88*100,"."))</f>
        <v>.</v>
      </c>
      <c r="M88">
        <f>IF(A88="","",IFERROR(INDEX('Result data'!$BS$216:$CD$390,A88,'Config!'!$BA$17)/1000000,"."))</f>
        <v>0</v>
      </c>
      <c r="N88">
        <f>IF(A88="","",IFERROR(INDEX('Result data'!$AE$216:$AP$390,A88,'Config!'!$BA$17),"."))</f>
        <v>0</v>
      </c>
      <c r="O88" t="str">
        <f>INDEX(Language!$B$149:$B$308,MATCH(C88,Language!$C$149:$C$308,0))</f>
        <v>Jamaica</v>
      </c>
    </row>
    <row r="89" spans="1:15" x14ac:dyDescent="0.25">
      <c r="A89" s="2">
        <f>'Config!'!C87</f>
        <v>79</v>
      </c>
      <c r="B89" s="2" t="str">
        <f t="shared" si="2"/>
        <v xml:space="preserve">Japão 
</v>
      </c>
      <c r="C89" s="3" t="str">
        <f>'Config!'!A87</f>
        <v>Japão</v>
      </c>
      <c r="D89" s="3" t="str">
        <f>'Config!'!B87</f>
        <v>Ásia-Pacífico</v>
      </c>
      <c r="E89">
        <f>INDEX(G89:N89,1,SUMIF($G$3:$N$3,WorldMap!$Q$1,$G$2:$N$2))</f>
        <v>3.7819768629386257</v>
      </c>
      <c r="F89">
        <f>INDEX(G89:N89,1,SUMIF($G$3:$N$3,WorldMap!$Q$1,$G$2:$N$2))</f>
        <v>3.7819768629386257</v>
      </c>
      <c r="G89" s="9">
        <f>IF(A89="","",INDEX(Population!$BD$3:$BP$177,A89,'Config!'!$AZ$17+1)/1000000)</f>
        <v>127.56148899999999</v>
      </c>
      <c r="H89" s="38">
        <f>IF(A89="","",INDEX(GDP!$G$3:$S$177,A89,'Config!'!$AZ$17+1)*1000/G89)</f>
        <v>48629.199689995163</v>
      </c>
      <c r="I89">
        <f>IF(A89="","",G89*1000000/INDEX(Population!$CH$3:$CH$177,A89,1))</f>
        <v>349.97733514410743</v>
      </c>
      <c r="J89">
        <f>IF(A89="","",IFERROR(INDEX('Result data'!$R$216:$AC$390,A89,'Config!'!$BA$17),"."))</f>
        <v>4824346</v>
      </c>
      <c r="K89" s="8">
        <f t="shared" si="3"/>
        <v>3.7819768629386257</v>
      </c>
      <c r="L89">
        <f>IF(A89="","",IFERROR(INDEX('Result data'!$ES$216:$FB$390,A89,$L$1)/J89*100,"."))</f>
        <v>2.0728198184790229E-5</v>
      </c>
      <c r="M89">
        <f>IF(A89="","",IFERROR(INDEX('Result data'!$BS$216:$CD$390,A89,'Config!'!$BA$17)/1000000,"."))</f>
        <v>83.859373725545694</v>
      </c>
      <c r="N89">
        <f>IF(A89="","",IFERROR(INDEX('Result data'!$AE$216:$AP$390,A89,'Config!'!$BA$17),"."))</f>
        <v>1</v>
      </c>
      <c r="O89" t="str">
        <f>INDEX(Language!$B$149:$B$308,MATCH(C89,Language!$C$149:$C$308,0))</f>
        <v>Japan</v>
      </c>
    </row>
    <row r="90" spans="1:15" x14ac:dyDescent="0.25">
      <c r="A90" s="2">
        <f>'Config!'!C88</f>
        <v>80</v>
      </c>
      <c r="B90" s="2" t="str">
        <f t="shared" si="2"/>
        <v xml:space="preserve">Jordânia 
</v>
      </c>
      <c r="C90" s="3" t="str">
        <f>'Config!'!A88</f>
        <v>Jordânia</v>
      </c>
      <c r="D90" s="3" t="str">
        <f>'Config!'!B88</f>
        <v>Oriente médio</v>
      </c>
      <c r="E90" t="str">
        <f>INDEX(G90:N90,1,SUMIF($G$3:$N$3,WorldMap!$Q$1,$G$2:$N$2))</f>
        <v>.</v>
      </c>
      <c r="F90" t="str">
        <f>INDEX(G90:N90,1,SUMIF($G$3:$N$3,WorldMap!$Q$1,$G$2:$N$2))</f>
        <v>.</v>
      </c>
      <c r="G90" s="9">
        <f>IF(A90="","",INDEX(Population!$BD$3:$BP$177,A90,'Config!'!$AZ$17+1)/1000000)</f>
        <v>6.9944509999999998</v>
      </c>
      <c r="H90" s="38">
        <f>IF(A90="","",INDEX(GDP!$G$3:$S$177,A90,'Config!'!$AZ$17+1)*1000/G90)</f>
        <v>4427.245184267782</v>
      </c>
      <c r="I90">
        <f>IF(A90="","",G90*1000000/INDEX(Population!$CH$3:$CH$177,A90,1))</f>
        <v>78.764566113375821</v>
      </c>
      <c r="J90" t="str">
        <f>IF(A90="","",IFERROR(INDEX('Result data'!$R$216:$AC$390,A90,'Config!'!$BA$17),"."))</f>
        <v>.</v>
      </c>
      <c r="K90" s="8" t="str">
        <f t="shared" si="3"/>
        <v>.</v>
      </c>
      <c r="L90" t="str">
        <f>IF(A90="","",IFERROR(INDEX('Result data'!$ES$216:$FB$390,A90,$L$1)/J90*100,"."))</f>
        <v>.</v>
      </c>
      <c r="M90">
        <f>IF(A90="","",IFERROR(INDEX('Result data'!$BS$216:$CD$390,A90,'Config!'!$BA$17)/1000000,"."))</f>
        <v>0</v>
      </c>
      <c r="N90">
        <f>IF(A90="","",IFERROR(INDEX('Result data'!$AE$216:$AP$390,A90,'Config!'!$BA$17),"."))</f>
        <v>0</v>
      </c>
      <c r="O90" t="str">
        <f>INDEX(Language!$B$149:$B$308,MATCH(C90,Language!$C$149:$C$308,0))</f>
        <v>Jordan</v>
      </c>
    </row>
    <row r="91" spans="1:15" x14ac:dyDescent="0.25">
      <c r="A91" s="2">
        <f>'Config!'!C89</f>
        <v>83</v>
      </c>
      <c r="B91" s="2" t="str">
        <f t="shared" si="2"/>
        <v xml:space="preserve">Kosovo 
</v>
      </c>
      <c r="C91" s="3" t="str">
        <f>'Config!'!A89</f>
        <v>Kosovo</v>
      </c>
      <c r="D91" s="3" t="str">
        <f>'Config!'!B89</f>
        <v>Europa</v>
      </c>
      <c r="E91" t="str">
        <f>INDEX(G91:N91,1,SUMIF($G$3:$N$3,WorldMap!$Q$1,$G$2:$N$2))</f>
        <v>.</v>
      </c>
      <c r="F91" t="str">
        <f>INDEX(G91:N91,1,SUMIF($G$3:$N$3,WorldMap!$Q$1,$G$2:$N$2))</f>
        <v>.</v>
      </c>
      <c r="G91" s="9">
        <f>IF(A91="","",INDEX(Population!$BD$3:$BP$177,A91,'Config!'!$AZ$17+1)/1000000)</f>
        <v>1.8051999999999999</v>
      </c>
      <c r="H91" s="38">
        <f>IF(A91="","",INDEX(GDP!$G$3:$S$177,A91,'Config!'!$AZ$17+1)*1000/G91)</f>
        <v>3600.6734751938943</v>
      </c>
      <c r="I91">
        <f>IF(A91="","",G91*1000000/INDEX(Population!$CH$3:$CH$177,A91,1))</f>
        <v>165.81243685129053</v>
      </c>
      <c r="J91" t="str">
        <f>IF(A91="","",IFERROR(INDEX('Result data'!$R$216:$AC$390,A91,'Config!'!$BA$17),"."))</f>
        <v>.</v>
      </c>
      <c r="K91" s="8" t="str">
        <f t="shared" si="3"/>
        <v>.</v>
      </c>
      <c r="L91" t="str">
        <f>IF(A91="","",IFERROR(INDEX('Result data'!$ES$216:$FB$390,A91,$L$1)/J91*100,"."))</f>
        <v>.</v>
      </c>
      <c r="M91">
        <f>IF(A91="","",IFERROR(INDEX('Result data'!$BS$216:$CD$390,A91,'Config!'!$BA$17)/1000000,"."))</f>
        <v>0</v>
      </c>
      <c r="N91">
        <f>IF(A91="","",IFERROR(INDEX('Result data'!$AE$216:$AP$390,A91,'Config!'!$BA$17),"."))</f>
        <v>0</v>
      </c>
      <c r="O91" t="str">
        <f>INDEX(Language!$B$149:$B$308,MATCH(C91,Language!$C$149:$C$308,0))</f>
        <v>Kosovo</v>
      </c>
    </row>
    <row r="92" spans="1:15" x14ac:dyDescent="0.25">
      <c r="A92" s="2">
        <f>'Config!'!C90</f>
        <v>84</v>
      </c>
      <c r="B92" s="2" t="str">
        <f t="shared" si="2"/>
        <v xml:space="preserve">Kuwait 
</v>
      </c>
      <c r="C92" s="3" t="str">
        <f>'Config!'!A90</f>
        <v>Kuwait</v>
      </c>
      <c r="D92" s="3" t="str">
        <f>'Config!'!B90</f>
        <v>Oriente médio</v>
      </c>
      <c r="E92" t="str">
        <f>INDEX(G92:N92,1,SUMIF($G$3:$N$3,WorldMap!$Q$1,$G$2:$N$2))</f>
        <v>.</v>
      </c>
      <c r="F92" t="str">
        <f>INDEX(G92:N92,1,SUMIF($G$3:$N$3,WorldMap!$Q$1,$G$2:$N$2))</f>
        <v>.</v>
      </c>
      <c r="G92" s="9">
        <f>IF(A92="","",INDEX(Population!$BD$3:$BP$177,A92,'Config!'!$AZ$17+1)/1000000)</f>
        <v>3.419581</v>
      </c>
      <c r="H92" s="38">
        <f>IF(A92="","",INDEX(GDP!$G$3:$S$177,A92,'Config!'!$AZ$17+1)*1000/G92)</f>
        <v>50903.904603789684</v>
      </c>
      <c r="I92">
        <f>IF(A92="","",G92*1000000/INDEX(Population!$CH$3:$CH$177,A92,1))</f>
        <v>191.91721854304635</v>
      </c>
      <c r="J92" t="str">
        <f>IF(A92="","",IFERROR(INDEX('Result data'!$R$216:$AC$390,A92,'Config!'!$BA$17),"."))</f>
        <v>.</v>
      </c>
      <c r="K92" s="8" t="str">
        <f t="shared" si="3"/>
        <v>.</v>
      </c>
      <c r="L92" t="str">
        <f>IF(A92="","",IFERROR(INDEX('Result data'!$ES$216:$FB$390,A92,$L$1)/J92*100,"."))</f>
        <v>.</v>
      </c>
      <c r="M92">
        <f>IF(A92="","",IFERROR(INDEX('Result data'!$BS$216:$CD$390,A92,'Config!'!$BA$17)/1000000,"."))</f>
        <v>0</v>
      </c>
      <c r="N92">
        <f>IF(A92="","",IFERROR(INDEX('Result data'!$AE$216:$AP$390,A92,'Config!'!$BA$17),"."))</f>
        <v>0</v>
      </c>
      <c r="O92" t="str">
        <f>INDEX(Language!$B$149:$B$308,MATCH(C92,Language!$C$149:$C$308,0))</f>
        <v>Kuwait</v>
      </c>
    </row>
    <row r="93" spans="1:15" x14ac:dyDescent="0.25">
      <c r="A93" s="2">
        <f>'Config!'!C91</f>
        <v>85</v>
      </c>
      <c r="B93" s="2" t="str">
        <f t="shared" si="2"/>
        <v xml:space="preserve">Laos 
</v>
      </c>
      <c r="C93" s="3" t="str">
        <f>'Config!'!A91</f>
        <v>Laos</v>
      </c>
      <c r="D93" s="3" t="str">
        <f>'Config!'!B91</f>
        <v>Ásia-Pacífico</v>
      </c>
      <c r="E93" t="str">
        <f>INDEX(G93:N93,1,SUMIF($G$3:$N$3,WorldMap!$Q$1,$G$2:$N$2))</f>
        <v>.</v>
      </c>
      <c r="F93" t="str">
        <f>INDEX(G93:N93,1,SUMIF($G$3:$N$3,WorldMap!$Q$1,$G$2:$N$2))</f>
        <v>.</v>
      </c>
      <c r="G93" s="9">
        <f>IF(A93="","",INDEX(Population!$BD$3:$BP$177,A93,'Config!'!$AZ$17+1)/1000000)</f>
        <v>6.4730499999999997</v>
      </c>
      <c r="H93" s="38">
        <f>IF(A93="","",INDEX(GDP!$G$3:$S$177,A93,'Config!'!$AZ$17+1)*1000/G93)</f>
        <v>2966.1442442125431</v>
      </c>
      <c r="I93">
        <f>IF(A93="","",G93*1000000/INDEX(Population!$CH$3:$CH$177,A93,1))</f>
        <v>28.046143847487002</v>
      </c>
      <c r="J93" t="str">
        <f>IF(A93="","",IFERROR(INDEX('Result data'!$R$216:$AC$390,A93,'Config!'!$BA$17),"."))</f>
        <v>.</v>
      </c>
      <c r="K93" s="8" t="str">
        <f t="shared" si="3"/>
        <v>.</v>
      </c>
      <c r="L93" t="str">
        <f>IF(A93="","",IFERROR(INDEX('Result data'!$ES$216:$FB$390,A93,$L$1)/J93*100,"."))</f>
        <v>.</v>
      </c>
      <c r="M93">
        <f>IF(A93="","",IFERROR(INDEX('Result data'!$BS$216:$CD$390,A93,'Config!'!$BA$17)/1000000,"."))</f>
        <v>0</v>
      </c>
      <c r="N93">
        <f>IF(A93="","",IFERROR(INDEX('Result data'!$AE$216:$AP$390,A93,'Config!'!$BA$17),"."))</f>
        <v>0</v>
      </c>
      <c r="O93" t="str">
        <f>INDEX(Language!$B$149:$B$308,MATCH(C93,Language!$C$149:$C$308,0))</f>
        <v>Laos</v>
      </c>
    </row>
    <row r="94" spans="1:15" x14ac:dyDescent="0.25">
      <c r="A94" s="2">
        <f>'Config!'!C92</f>
        <v>88</v>
      </c>
      <c r="B94" s="2" t="str">
        <f t="shared" si="2"/>
        <v xml:space="preserve">Lesoto 
</v>
      </c>
      <c r="C94" s="3" t="str">
        <f>'Config!'!A92</f>
        <v>Lesoto</v>
      </c>
      <c r="D94" s="3" t="str">
        <f>'Config!'!B92</f>
        <v>África Subsaariana</v>
      </c>
      <c r="E94" t="str">
        <f>INDEX(G94:N94,1,SUMIF($G$3:$N$3,WorldMap!$Q$1,$G$2:$N$2))</f>
        <v>.</v>
      </c>
      <c r="F94" t="str">
        <f>INDEX(G94:N94,1,SUMIF($G$3:$N$3,WorldMap!$Q$1,$G$2:$N$2))</f>
        <v>.</v>
      </c>
      <c r="G94" s="9">
        <f>IF(A94="","",INDEX(Population!$BD$3:$BP$177,A94,'Config!'!$AZ$17+1)/1000000)</f>
        <v>2.057331</v>
      </c>
      <c r="H94" s="38">
        <f>IF(A94="","",INDEX(GDP!$G$3:$S$177,A94,'Config!'!$AZ$17+1)*1000/G94)</f>
        <v>1301.917763085773</v>
      </c>
      <c r="I94">
        <f>IF(A94="","",G94*1000000/INDEX(Population!$CH$3:$CH$177,A94,1))</f>
        <v>67.775687695602045</v>
      </c>
      <c r="J94" t="str">
        <f>IF(A94="","",IFERROR(INDEX('Result data'!$R$216:$AC$390,A94,'Config!'!$BA$17),"."))</f>
        <v>.</v>
      </c>
      <c r="K94" s="8" t="str">
        <f t="shared" si="3"/>
        <v>.</v>
      </c>
      <c r="L94" t="str">
        <f>IF(A94="","",IFERROR(INDEX('Result data'!$ES$216:$FB$390,A94,$L$1)/J94*100,"."))</f>
        <v>.</v>
      </c>
      <c r="M94">
        <f>IF(A94="","",IFERROR(INDEX('Result data'!$BS$216:$CD$390,A94,'Config!'!$BA$17)/1000000,"."))</f>
        <v>0</v>
      </c>
      <c r="N94">
        <f>IF(A94="","",IFERROR(INDEX('Result data'!$AE$216:$AP$390,A94,'Config!'!$BA$17),"."))</f>
        <v>0</v>
      </c>
      <c r="O94" t="str">
        <f>INDEX(Language!$B$149:$B$308,MATCH(C94,Language!$C$149:$C$308,0))</f>
        <v>Lesotho</v>
      </c>
    </row>
    <row r="95" spans="1:15" x14ac:dyDescent="0.25">
      <c r="A95" s="2">
        <f>'Config!'!C93</f>
        <v>86</v>
      </c>
      <c r="B95" s="2" t="str">
        <f t="shared" si="2"/>
        <v xml:space="preserve">Letônia 
</v>
      </c>
      <c r="C95" s="3" t="str">
        <f>'Config!'!A93</f>
        <v>Letônia</v>
      </c>
      <c r="D95" s="3" t="str">
        <f>'Config!'!B93</f>
        <v>União Européia</v>
      </c>
      <c r="E95" t="str">
        <f>INDEX(G95:N95,1,SUMIF($G$3:$N$3,WorldMap!$Q$1,$G$2:$N$2))</f>
        <v>.</v>
      </c>
      <c r="F95" t="str">
        <f>INDEX(G95:N95,1,SUMIF($G$3:$N$3,WorldMap!$Q$1,$G$2:$N$2))</f>
        <v>.</v>
      </c>
      <c r="G95" s="9">
        <f>IF(A95="","",INDEX(Population!$BD$3:$BP$177,A95,'Config!'!$AZ$17+1)/1000000)</f>
        <v>2.034319</v>
      </c>
      <c r="H95" s="38">
        <f>IF(A95="","",INDEX(GDP!$G$3:$S$177,A95,'Config!'!$AZ$17+1)*1000/G95)</f>
        <v>13822.805594034722</v>
      </c>
      <c r="I95">
        <f>IF(A95="","",G95*1000000/INDEX(Population!$CH$3:$CH$177,A95,1))</f>
        <v>32.680348278687205</v>
      </c>
      <c r="J95" t="str">
        <f>IF(A95="","",IFERROR(INDEX('Result data'!$R$216:$AC$390,A95,'Config!'!$BA$17),"."))</f>
        <v>.</v>
      </c>
      <c r="K95" s="8" t="str">
        <f t="shared" si="3"/>
        <v>.</v>
      </c>
      <c r="L95" t="str">
        <f>IF(A95="","",IFERROR(INDEX('Result data'!$ES$216:$FB$390,A95,$L$1)/J95*100,"."))</f>
        <v>.</v>
      </c>
      <c r="M95">
        <f>IF(A95="","",IFERROR(INDEX('Result data'!$BS$216:$CD$390,A95,'Config!'!$BA$17)/1000000,"."))</f>
        <v>0</v>
      </c>
      <c r="N95">
        <f>IF(A95="","",IFERROR(INDEX('Result data'!$AE$216:$AP$390,A95,'Config!'!$BA$17),"."))</f>
        <v>0</v>
      </c>
      <c r="O95" t="str">
        <f>INDEX(Language!$B$149:$B$308,MATCH(C95,Language!$C$149:$C$308,0))</f>
        <v>Latvia</v>
      </c>
    </row>
    <row r="96" spans="1:15" x14ac:dyDescent="0.25">
      <c r="A96" s="2">
        <f>'Config!'!C94</f>
        <v>87</v>
      </c>
      <c r="B96" s="2" t="str">
        <f t="shared" si="2"/>
        <v xml:space="preserve">Líbano 
</v>
      </c>
      <c r="C96" s="3" t="str">
        <f>'Config!'!A94</f>
        <v>Líbano</v>
      </c>
      <c r="D96" s="3" t="str">
        <f>'Config!'!B94</f>
        <v>Oriente médio</v>
      </c>
      <c r="E96" t="str">
        <f>INDEX(G96:N96,1,SUMIF($G$3:$N$3,WorldMap!$Q$1,$G$2:$N$2))</f>
        <v>.</v>
      </c>
      <c r="F96" t="str">
        <f>INDEX(G96:N96,1,SUMIF($G$3:$N$3,WorldMap!$Q$1,$G$2:$N$2))</f>
        <v>.</v>
      </c>
      <c r="G96" s="9">
        <f>IF(A96="","",INDEX(Population!$BD$3:$BP$177,A96,'Config!'!$AZ$17+1)/1000000)</f>
        <v>4.9242569999999999</v>
      </c>
      <c r="H96" s="38">
        <f>IF(A96="","",INDEX(GDP!$G$3:$S$177,A96,'Config!'!$AZ$17+1)*1000/G96)</f>
        <v>8982.2134983732631</v>
      </c>
      <c r="I96">
        <f>IF(A96="","",G96*1000000/INDEX(Population!$CH$3:$CH$177,A96,1))</f>
        <v>481.35454545454547</v>
      </c>
      <c r="J96" t="str">
        <f>IF(A96="","",IFERROR(INDEX('Result data'!$R$216:$AC$390,A96,'Config!'!$BA$17),"."))</f>
        <v>.</v>
      </c>
      <c r="K96" s="8" t="str">
        <f t="shared" si="3"/>
        <v>.</v>
      </c>
      <c r="L96" t="str">
        <f>IF(A96="","",IFERROR(INDEX('Result data'!$ES$216:$FB$390,A96,$L$1)/J96*100,"."))</f>
        <v>.</v>
      </c>
      <c r="M96">
        <f>IF(A96="","",IFERROR(INDEX('Result data'!$BS$216:$CD$390,A96,'Config!'!$BA$17)/1000000,"."))</f>
        <v>0</v>
      </c>
      <c r="N96">
        <f>IF(A96="","",IFERROR(INDEX('Result data'!$AE$216:$AP$390,A96,'Config!'!$BA$17),"."))</f>
        <v>0</v>
      </c>
      <c r="O96" t="str">
        <f>INDEX(Language!$B$149:$B$308,MATCH(C96,Language!$C$149:$C$308,0))</f>
        <v>Lebanon</v>
      </c>
    </row>
    <row r="97" spans="1:15" x14ac:dyDescent="0.25">
      <c r="A97" s="2">
        <f>'Config!'!C95</f>
        <v>89</v>
      </c>
      <c r="B97" s="2" t="str">
        <f t="shared" si="2"/>
        <v xml:space="preserve">Libéria 
</v>
      </c>
      <c r="C97" s="3" t="str">
        <f>'Config!'!A95</f>
        <v>Libéria</v>
      </c>
      <c r="D97" s="3" t="str">
        <f>'Config!'!B95</f>
        <v>África Subsaariana</v>
      </c>
      <c r="E97" t="str">
        <f>INDEX(G97:N97,1,SUMIF($G$3:$N$3,WorldMap!$Q$1,$G$2:$N$2))</f>
        <v>.</v>
      </c>
      <c r="F97" t="str">
        <f>INDEX(G97:N97,1,SUMIF($G$3:$N$3,WorldMap!$Q$1,$G$2:$N$2))</f>
        <v>.</v>
      </c>
      <c r="G97" s="9">
        <f>IF(A97="","",INDEX(Population!$BD$3:$BP$177,A97,'Config!'!$AZ$17+1)/1000000)</f>
        <v>4.1901549999999999</v>
      </c>
      <c r="H97" s="38">
        <f>IF(A97="","",INDEX(GDP!$G$3:$S$177,A97,'Config!'!$AZ$17+1)*1000/G97)</f>
        <v>649.37931890347727</v>
      </c>
      <c r="I97">
        <f>IF(A97="","",G97*1000000/INDEX(Population!$CH$3:$CH$177,A97,1))</f>
        <v>43.502439784053159</v>
      </c>
      <c r="J97" t="str">
        <f>IF(A97="","",IFERROR(INDEX('Result data'!$R$216:$AC$390,A97,'Config!'!$BA$17),"."))</f>
        <v>.</v>
      </c>
      <c r="K97" s="8" t="str">
        <f t="shared" si="3"/>
        <v>.</v>
      </c>
      <c r="L97" t="str">
        <f>IF(A97="","",IFERROR(INDEX('Result data'!$ES$216:$FB$390,A97,$L$1)/J97*100,"."))</f>
        <v>.</v>
      </c>
      <c r="M97">
        <f>IF(A97="","",IFERROR(INDEX('Result data'!$BS$216:$CD$390,A97,'Config!'!$BA$17)/1000000,"."))</f>
        <v>0</v>
      </c>
      <c r="N97">
        <f>IF(A97="","",IFERROR(INDEX('Result data'!$AE$216:$AP$390,A97,'Config!'!$BA$17),"."))</f>
        <v>0</v>
      </c>
      <c r="O97" t="str">
        <f>INDEX(Language!$B$149:$B$308,MATCH(C97,Language!$C$149:$C$308,0))</f>
        <v>Liberia</v>
      </c>
    </row>
    <row r="98" spans="1:15" x14ac:dyDescent="0.25">
      <c r="A98" s="2">
        <f>'Config!'!C96</f>
        <v>90</v>
      </c>
      <c r="B98" s="2" t="str">
        <f t="shared" si="2"/>
        <v xml:space="preserve">Líbia 
</v>
      </c>
      <c r="C98" s="3" t="str">
        <f>'Config!'!A96</f>
        <v>Líbia</v>
      </c>
      <c r="D98" s="3" t="str">
        <f>'Config!'!B96</f>
        <v>Oriente médio</v>
      </c>
      <c r="E98" t="str">
        <f>INDEX(G98:N98,1,SUMIF($G$3:$N$3,WorldMap!$Q$1,$G$2:$N$2))</f>
        <v>.</v>
      </c>
      <c r="F98" t="str">
        <f>INDEX(G98:N98,1,SUMIF($G$3:$N$3,WorldMap!$Q$1,$G$2:$N$2))</f>
        <v>.</v>
      </c>
      <c r="G98" s="9">
        <f>IF(A98="","",INDEX(Population!$BD$3:$BP$177,A98,'Config!'!$AZ$17+1)/1000000)</f>
        <v>6.2834029999999998</v>
      </c>
      <c r="H98" s="38">
        <f>IF(A98="","",INDEX(GDP!$G$3:$S$177,A98,'Config!'!$AZ$17+1)*1000/G98)</f>
        <v>13030.146644871229</v>
      </c>
      <c r="I98">
        <f>IF(A98="","",G98*1000000/INDEX(Population!$CH$3:$CH$177,A98,1))</f>
        <v>3.5710486831785579</v>
      </c>
      <c r="J98" t="str">
        <f>IF(A98="","",IFERROR(INDEX('Result data'!$R$216:$AC$390,A98,'Config!'!$BA$17),"."))</f>
        <v>.</v>
      </c>
      <c r="K98" s="8" t="str">
        <f t="shared" si="3"/>
        <v>.</v>
      </c>
      <c r="L98" t="str">
        <f>IF(A98="","",IFERROR(INDEX('Result data'!$ES$216:$FB$390,A98,$L$1)/J98*100,"."))</f>
        <v>.</v>
      </c>
      <c r="M98">
        <f>IF(A98="","",IFERROR(INDEX('Result data'!$BS$216:$CD$390,A98,'Config!'!$BA$17)/1000000,"."))</f>
        <v>0</v>
      </c>
      <c r="N98">
        <f>IF(A98="","",IFERROR(INDEX('Result data'!$AE$216:$AP$390,A98,'Config!'!$BA$17),"."))</f>
        <v>0</v>
      </c>
      <c r="O98" t="str">
        <f>INDEX(Language!$B$149:$B$308,MATCH(C98,Language!$C$149:$C$308,0))</f>
        <v>Libya</v>
      </c>
    </row>
    <row r="99" spans="1:15" x14ac:dyDescent="0.25">
      <c r="A99" s="2">
        <f>'Config!'!C97</f>
        <v>92</v>
      </c>
      <c r="B99" s="2" t="str">
        <f t="shared" si="2"/>
        <v xml:space="preserve">Lituânia 
</v>
      </c>
      <c r="C99" s="3" t="str">
        <f>'Config!'!A97</f>
        <v>Lituânia</v>
      </c>
      <c r="D99" s="3" t="str">
        <f>'Config!'!B97</f>
        <v>União Européia</v>
      </c>
      <c r="E99" t="str">
        <f>INDEX(G99:N99,1,SUMIF($G$3:$N$3,WorldMap!$Q$1,$G$2:$N$2))</f>
        <v>.</v>
      </c>
      <c r="F99" t="str">
        <f>INDEX(G99:N99,1,SUMIF($G$3:$N$3,WorldMap!$Q$1,$G$2:$N$2))</f>
        <v>.</v>
      </c>
      <c r="G99" s="9">
        <f>IF(A99="","",INDEX(Population!$BD$3:$BP$177,A99,'Config!'!$AZ$17+1)/1000000)</f>
        <v>2.9877729999999998</v>
      </c>
      <c r="H99" s="38">
        <f>IF(A99="","",INDEX(GDP!$G$3:$S$177,A99,'Config!'!$AZ$17+1)*1000/G99)</f>
        <v>14341.181627993212</v>
      </c>
      <c r="I99">
        <f>IF(A99="","",G99*1000000/INDEX(Population!$CH$3:$CH$177,A99,1))</f>
        <v>47.667086790044671</v>
      </c>
      <c r="J99" t="str">
        <f>IF(A99="","",IFERROR(INDEX('Result data'!$R$216:$AC$390,A99,'Config!'!$BA$17),"."))</f>
        <v>.</v>
      </c>
      <c r="K99" s="8" t="str">
        <f t="shared" si="3"/>
        <v>.</v>
      </c>
      <c r="L99" t="str">
        <f>IF(A99="","",IFERROR(INDEX('Result data'!$ES$216:$FB$390,A99,$L$1)/J99*100,"."))</f>
        <v>.</v>
      </c>
      <c r="M99">
        <f>IF(A99="","",IFERROR(INDEX('Result data'!$BS$216:$CD$390,A99,'Config!'!$BA$17)/1000000,"."))</f>
        <v>0</v>
      </c>
      <c r="N99">
        <f>IF(A99="","",IFERROR(INDEX('Result data'!$AE$216:$AP$390,A99,'Config!'!$BA$17),"."))</f>
        <v>0</v>
      </c>
      <c r="O99" t="str">
        <f>INDEX(Language!$B$149:$B$308,MATCH(C99,Language!$C$149:$C$308,0))</f>
        <v>Lithuania</v>
      </c>
    </row>
    <row r="100" spans="1:15" x14ac:dyDescent="0.25">
      <c r="A100" s="2">
        <f>'Config!'!C98</f>
        <v>93</v>
      </c>
      <c r="B100" s="2" t="str">
        <f t="shared" si="2"/>
        <v xml:space="preserve">Luxemburgo 
</v>
      </c>
      <c r="C100" s="3" t="str">
        <f>'Config!'!A98</f>
        <v>Luxemburgo</v>
      </c>
      <c r="D100" s="3" t="str">
        <f>'Config!'!B98</f>
        <v>União Européia</v>
      </c>
      <c r="E100" t="str">
        <f>INDEX(G100:N100,1,SUMIF($G$3:$N$3,WorldMap!$Q$1,$G$2:$N$2))</f>
        <v>.</v>
      </c>
      <c r="F100" t="str">
        <f>INDEX(G100:N100,1,SUMIF($G$3:$N$3,WorldMap!$Q$1,$G$2:$N$2))</f>
        <v>.</v>
      </c>
      <c r="G100" s="9">
        <f>IF(A100="","",INDEX(Population!$BD$3:$BP$177,A100,'Config!'!$AZ$17+1)/1000000)</f>
        <v>0.53094600000000003</v>
      </c>
      <c r="H100" s="38">
        <f>IF(A100="","",INDEX(GDP!$G$3:$S$177,A100,'Config!'!$AZ$17+1)*1000/G100)</f>
        <v>106749.01362298925</v>
      </c>
      <c r="I100">
        <f>IF(A100="","",G100*1000000/INDEX(Population!$CH$3:$CH$177,A100,1))</f>
        <v>205.31554524361948</v>
      </c>
      <c r="J100" t="str">
        <f>IF(A100="","",IFERROR(INDEX('Result data'!$R$216:$AC$390,A100,'Config!'!$BA$17),"."))</f>
        <v>.</v>
      </c>
      <c r="K100" s="8" t="str">
        <f t="shared" si="3"/>
        <v>.</v>
      </c>
      <c r="L100" t="str">
        <f>IF(A100="","",IFERROR(INDEX('Result data'!$ES$216:$FB$390,A100,$L$1)/J100*100,"."))</f>
        <v>.</v>
      </c>
      <c r="M100">
        <f>IF(A100="","",IFERROR(INDEX('Result data'!$BS$216:$CD$390,A100,'Config!'!$BA$17)/1000000,"."))</f>
        <v>0</v>
      </c>
      <c r="N100">
        <f>IF(A100="","",IFERROR(INDEX('Result data'!$AE$216:$AP$390,A100,'Config!'!$BA$17),"."))</f>
        <v>0</v>
      </c>
      <c r="O100" t="str">
        <f>INDEX(Language!$B$149:$B$308,MATCH(C100,Language!$C$149:$C$308,0))</f>
        <v>Luxembourg</v>
      </c>
    </row>
    <row r="101" spans="1:15" x14ac:dyDescent="0.25">
      <c r="A101" s="2">
        <f>'Config!'!C99</f>
        <v>94</v>
      </c>
      <c r="B101" s="2" t="str">
        <f t="shared" si="2"/>
        <v xml:space="preserve">Madagáscar 
</v>
      </c>
      <c r="C101" s="3" t="str">
        <f>'Config!'!A99</f>
        <v>Madagáscar</v>
      </c>
      <c r="D101" s="3" t="str">
        <f>'Config!'!B99</f>
        <v>África Subsaariana</v>
      </c>
      <c r="E101" t="str">
        <f>INDEX(G101:N101,1,SUMIF($G$3:$N$3,WorldMap!$Q$1,$G$2:$N$2))</f>
        <v>.</v>
      </c>
      <c r="F101" t="str">
        <f>INDEX(G101:N101,1,SUMIF($G$3:$N$3,WorldMap!$Q$1,$G$2:$N$2))</f>
        <v>.</v>
      </c>
      <c r="G101" s="9">
        <f>IF(A101="","",INDEX(Population!$BD$3:$BP$177,A101,'Config!'!$AZ$17+1)/1000000)</f>
        <v>22.29372</v>
      </c>
      <c r="H101" s="38">
        <f>IF(A101="","",INDEX(GDP!$G$3:$S$177,A101,'Config!'!$AZ$17+1)*1000/G101)</f>
        <v>444.95849375015212</v>
      </c>
      <c r="I101">
        <f>IF(A101="","",G101*1000000/INDEX(Population!$CH$3:$CH$177,A101,1))</f>
        <v>38.335660487670665</v>
      </c>
      <c r="J101" t="str">
        <f>IF(A101="","",IFERROR(INDEX('Result data'!$R$216:$AC$390,A101,'Config!'!$BA$17),"."))</f>
        <v>.</v>
      </c>
      <c r="K101" s="8" t="str">
        <f t="shared" si="3"/>
        <v>.</v>
      </c>
      <c r="L101" t="str">
        <f>IF(A101="","",IFERROR(INDEX('Result data'!$ES$216:$FB$390,A101,$L$1)/J101*100,"."))</f>
        <v>.</v>
      </c>
      <c r="M101">
        <f>IF(A101="","",IFERROR(INDEX('Result data'!$BS$216:$CD$390,A101,'Config!'!$BA$17)/1000000,"."))</f>
        <v>0</v>
      </c>
      <c r="N101">
        <f>IF(A101="","",IFERROR(INDEX('Result data'!$AE$216:$AP$390,A101,'Config!'!$BA$17),"."))</f>
        <v>0</v>
      </c>
      <c r="O101" t="str">
        <f>INDEX(Language!$B$149:$B$308,MATCH(C101,Language!$C$149:$C$308,0))</f>
        <v>Madagascar</v>
      </c>
    </row>
    <row r="102" spans="1:15" x14ac:dyDescent="0.25">
      <c r="A102" s="2">
        <f>'Config!'!C100</f>
        <v>96</v>
      </c>
      <c r="B102" s="2" t="str">
        <f t="shared" si="2"/>
        <v xml:space="preserve">Malásia 
</v>
      </c>
      <c r="C102" s="3" t="str">
        <f>'Config!'!A100</f>
        <v>Malásia</v>
      </c>
      <c r="D102" s="3" t="str">
        <f>'Config!'!B100</f>
        <v>Ásia-Pacífico</v>
      </c>
      <c r="E102" t="str">
        <f>INDEX(G102:N102,1,SUMIF($G$3:$N$3,WorldMap!$Q$1,$G$2:$N$2))</f>
        <v>.</v>
      </c>
      <c r="F102" t="str">
        <f>INDEX(G102:N102,1,SUMIF($G$3:$N$3,WorldMap!$Q$1,$G$2:$N$2))</f>
        <v>.</v>
      </c>
      <c r="G102" s="9">
        <f>IF(A102="","",INDEX(Population!$BD$3:$BP$177,A102,'Config!'!$AZ$17+1)/1000000)</f>
        <v>29.021940000000001</v>
      </c>
      <c r="H102" s="38">
        <f>IF(A102="","",INDEX(GDP!$G$3:$S$177,A102,'Config!'!$AZ$17+1)*1000/G102)</f>
        <v>10834.670233731771</v>
      </c>
      <c r="I102">
        <f>IF(A102="","",G102*1000000/INDEX(Population!$CH$3:$CH$177,A102,1))</f>
        <v>88.304645877008554</v>
      </c>
      <c r="J102" t="str">
        <f>IF(A102="","",IFERROR(INDEX('Result data'!$R$216:$AC$390,A102,'Config!'!$BA$17),"."))</f>
        <v>.</v>
      </c>
      <c r="K102" s="8" t="str">
        <f t="shared" si="3"/>
        <v>.</v>
      </c>
      <c r="L102" t="str">
        <f>IF(A102="","",IFERROR(INDEX('Result data'!$ES$216:$FB$390,A102,$L$1)/J102*100,"."))</f>
        <v>.</v>
      </c>
      <c r="M102">
        <f>IF(A102="","",IFERROR(INDEX('Result data'!$BS$216:$CD$390,A102,'Config!'!$BA$17)/1000000,"."))</f>
        <v>0</v>
      </c>
      <c r="N102">
        <f>IF(A102="","",IFERROR(INDEX('Result data'!$AE$216:$AP$390,A102,'Config!'!$BA$17),"."))</f>
        <v>0</v>
      </c>
      <c r="O102" t="str">
        <f>INDEX(Language!$B$149:$B$308,MATCH(C102,Language!$C$149:$C$308,0))</f>
        <v>Malaysia</v>
      </c>
    </row>
    <row r="103" spans="1:15" x14ac:dyDescent="0.25">
      <c r="A103" s="2">
        <f>'Config!'!C101</f>
        <v>95</v>
      </c>
      <c r="B103" s="2" t="str">
        <f t="shared" si="2"/>
        <v xml:space="preserve">Malawi 
</v>
      </c>
      <c r="C103" s="3" t="str">
        <f>'Config!'!A101</f>
        <v>Malawi</v>
      </c>
      <c r="D103" s="3" t="str">
        <f>'Config!'!B101</f>
        <v>África Subsaariana</v>
      </c>
      <c r="E103" t="str">
        <f>INDEX(G103:N103,1,SUMIF($G$3:$N$3,WorldMap!$Q$1,$G$2:$N$2))</f>
        <v>.</v>
      </c>
      <c r="F103" t="str">
        <f>INDEX(G103:N103,1,SUMIF($G$3:$N$3,WorldMap!$Q$1,$G$2:$N$2))</f>
        <v>.</v>
      </c>
      <c r="G103" s="9">
        <f>IF(A103="","",INDEX(Population!$BD$3:$BP$177,A103,'Config!'!$AZ$17+1)/1000000)</f>
        <v>15.700436</v>
      </c>
      <c r="H103" s="38">
        <f>IF(A103="","",INDEX(GDP!$G$3:$S$177,A103,'Config!'!$AZ$17+1)*1000/G103)</f>
        <v>383.96945975471692</v>
      </c>
      <c r="I103">
        <f>IF(A103="","",G103*1000000/INDEX(Population!$CH$3:$CH$177,A103,1))</f>
        <v>166.88388605442177</v>
      </c>
      <c r="J103" t="str">
        <f>IF(A103="","",IFERROR(INDEX('Result data'!$R$216:$AC$390,A103,'Config!'!$BA$17),"."))</f>
        <v>.</v>
      </c>
      <c r="K103" s="8" t="str">
        <f t="shared" si="3"/>
        <v>.</v>
      </c>
      <c r="L103" t="str">
        <f>IF(A103="","",IFERROR(INDEX('Result data'!$ES$216:$FB$390,A103,$L$1)/J103*100,"."))</f>
        <v>.</v>
      </c>
      <c r="M103">
        <f>IF(A103="","",IFERROR(INDEX('Result data'!$BS$216:$CD$390,A103,'Config!'!$BA$17)/1000000,"."))</f>
        <v>0</v>
      </c>
      <c r="N103">
        <f>IF(A103="","",IFERROR(INDEX('Result data'!$AE$216:$AP$390,A103,'Config!'!$BA$17),"."))</f>
        <v>0</v>
      </c>
      <c r="O103" t="str">
        <f>INDEX(Language!$B$149:$B$308,MATCH(C103,Language!$C$149:$C$308,0))</f>
        <v>Malawi</v>
      </c>
    </row>
    <row r="104" spans="1:15" x14ac:dyDescent="0.25">
      <c r="A104" s="2">
        <f>'Config!'!C102</f>
        <v>97</v>
      </c>
      <c r="B104" s="2" t="str">
        <f t="shared" si="2"/>
        <v xml:space="preserve">Maldivas 
</v>
      </c>
      <c r="C104" s="3" t="str">
        <f>'Config!'!A102</f>
        <v>Maldivas</v>
      </c>
      <c r="D104" s="3" t="str">
        <f>'Config!'!B102</f>
        <v>Ásia-Pacífico</v>
      </c>
      <c r="E104" t="str">
        <f>INDEX(G104:N104,1,SUMIF($G$3:$N$3,WorldMap!$Q$1,$G$2:$N$2))</f>
        <v>.</v>
      </c>
      <c r="F104" t="str">
        <f>INDEX(G104:N104,1,SUMIF($G$3:$N$3,WorldMap!$Q$1,$G$2:$N$2))</f>
        <v>.</v>
      </c>
      <c r="G104" s="9">
        <f>IF(A104="","",INDEX(Population!$BD$3:$BP$177,A104,'Config!'!$AZ$17+1)/1000000)</f>
        <v>0.38500000000000001</v>
      </c>
      <c r="H104" s="38">
        <f>IF(A104="","",INDEX(GDP!$G$3:$S$177,A104,'Config!'!$AZ$17+1)*1000/G104)</f>
        <v>7496.5469394710253</v>
      </c>
      <c r="I104">
        <f>IF(A104="","",G104*1000000/INDEX(Population!$CH$3:$CH$177,A104,1))</f>
        <v>1291.9463087248323</v>
      </c>
      <c r="J104" t="str">
        <f>IF(A104="","",IFERROR(INDEX('Result data'!$R$216:$AC$390,A104,'Config!'!$BA$17),"."))</f>
        <v>.</v>
      </c>
      <c r="K104" s="8" t="str">
        <f t="shared" si="3"/>
        <v>.</v>
      </c>
      <c r="L104" t="str">
        <f>IF(A104="","",IFERROR(INDEX('Result data'!$ES$216:$FB$390,A104,$L$1)/J104*100,"."))</f>
        <v>.</v>
      </c>
      <c r="M104">
        <f>IF(A104="","",IFERROR(INDEX('Result data'!$BS$216:$CD$390,A104,'Config!'!$BA$17)/1000000,"."))</f>
        <v>0</v>
      </c>
      <c r="N104">
        <f>IF(A104="","",IFERROR(INDEX('Result data'!$AE$216:$AP$390,A104,'Config!'!$BA$17),"."))</f>
        <v>0</v>
      </c>
      <c r="O104" t="str">
        <f>INDEX(Language!$B$149:$B$308,MATCH(C104,Language!$C$149:$C$308,0))</f>
        <v>Maldives</v>
      </c>
    </row>
    <row r="105" spans="1:15" x14ac:dyDescent="0.25">
      <c r="A105" s="2">
        <f>'Config!'!C103</f>
        <v>98</v>
      </c>
      <c r="B105" s="2" t="str">
        <f t="shared" si="2"/>
        <v xml:space="preserve">Mali 
</v>
      </c>
      <c r="C105" s="3" t="str">
        <f>'Config!'!A103</f>
        <v>Mali</v>
      </c>
      <c r="D105" s="3" t="str">
        <f>'Config!'!B103</f>
        <v>África Subsaariana</v>
      </c>
      <c r="E105" t="str">
        <f>INDEX(G105:N105,1,SUMIF($G$3:$N$3,WorldMap!$Q$1,$G$2:$N$2))</f>
        <v>.</v>
      </c>
      <c r="F105" t="str">
        <f>INDEX(G105:N105,1,SUMIF($G$3:$N$3,WorldMap!$Q$1,$G$2:$N$2))</f>
        <v>.</v>
      </c>
      <c r="G105" s="9">
        <f>IF(A105="","",INDEX(Population!$BD$3:$BP$177,A105,'Config!'!$AZ$17+1)/1000000)</f>
        <v>16.112333</v>
      </c>
      <c r="H105" s="38">
        <f>IF(A105="","",INDEX(GDP!$G$3:$S$177,A105,'Config!'!$AZ$17+1)*1000/G105)</f>
        <v>772.2499216731868</v>
      </c>
      <c r="I105">
        <f>IF(A105="","",G105*1000000/INDEX(Population!$CH$3:$CH$177,A105,1))</f>
        <v>13.204773846696007</v>
      </c>
      <c r="J105" t="str">
        <f>IF(A105="","",IFERROR(INDEX('Result data'!$R$216:$AC$390,A105,'Config!'!$BA$17),"."))</f>
        <v>.</v>
      </c>
      <c r="K105" s="8" t="str">
        <f t="shared" si="3"/>
        <v>.</v>
      </c>
      <c r="L105" t="str">
        <f>IF(A105="","",IFERROR(INDEX('Result data'!$ES$216:$FB$390,A105,$L$1)/J105*100,"."))</f>
        <v>.</v>
      </c>
      <c r="M105">
        <f>IF(A105="","",IFERROR(INDEX('Result data'!$BS$216:$CD$390,A105,'Config!'!$BA$17)/1000000,"."))</f>
        <v>0</v>
      </c>
      <c r="N105">
        <f>IF(A105="","",IFERROR(INDEX('Result data'!$AE$216:$AP$390,A105,'Config!'!$BA$17),"."))</f>
        <v>0</v>
      </c>
      <c r="O105" t="str">
        <f>INDEX(Language!$B$149:$B$308,MATCH(C105,Language!$C$149:$C$308,0))</f>
        <v>Mali</v>
      </c>
    </row>
    <row r="106" spans="1:15" x14ac:dyDescent="0.25">
      <c r="A106" s="2">
        <f>'Config!'!C104</f>
        <v>99</v>
      </c>
      <c r="B106" s="2" t="str">
        <f t="shared" si="2"/>
        <v xml:space="preserve">Malta 
</v>
      </c>
      <c r="C106" s="3" t="str">
        <f>'Config!'!A104</f>
        <v>Malta</v>
      </c>
      <c r="D106" s="3" t="str">
        <f>'Config!'!B104</f>
        <v>União Européia</v>
      </c>
      <c r="E106" t="str">
        <f>INDEX(G106:N106,1,SUMIF($G$3:$N$3,WorldMap!$Q$1,$G$2:$N$2))</f>
        <v>.</v>
      </c>
      <c r="F106" t="str">
        <f>INDEX(G106:N106,1,SUMIF($G$3:$N$3,WorldMap!$Q$1,$G$2:$N$2))</f>
        <v>.</v>
      </c>
      <c r="G106" s="9">
        <f>IF(A106="","",INDEX(Population!$BD$3:$BP$177,A106,'Config!'!$AZ$17+1)/1000000)</f>
        <v>0.41945500000000002</v>
      </c>
      <c r="H106" s="38">
        <f>IF(A106="","",INDEX(GDP!$G$3:$S$177,A106,'Config!'!$AZ$17+1)*1000/G106)</f>
        <v>21961.707669974094</v>
      </c>
      <c r="I106">
        <f>IF(A106="","",G106*1000000/INDEX(Population!$CH$3:$CH$177,A106,1))</f>
        <v>1327.3892405063291</v>
      </c>
      <c r="J106" t="str">
        <f>IF(A106="","",IFERROR(INDEX('Result data'!$R$216:$AC$390,A106,'Config!'!$BA$17),"."))</f>
        <v>.</v>
      </c>
      <c r="K106" s="8" t="str">
        <f t="shared" si="3"/>
        <v>.</v>
      </c>
      <c r="L106" t="str">
        <f>IF(A106="","",IFERROR(INDEX('Result data'!$ES$216:$FB$390,A106,$L$1)/J106*100,"."))</f>
        <v>.</v>
      </c>
      <c r="M106">
        <f>IF(A106="","",IFERROR(INDEX('Result data'!$BS$216:$CD$390,A106,'Config!'!$BA$17)/1000000,"."))</f>
        <v>0</v>
      </c>
      <c r="N106">
        <f>IF(A106="","",IFERROR(INDEX('Result data'!$AE$216:$AP$390,A106,'Config!'!$BA$17),"."))</f>
        <v>0</v>
      </c>
      <c r="O106" t="str">
        <f>INDEX(Language!$B$149:$B$308,MATCH(C106,Language!$C$149:$C$308,0))</f>
        <v>Malta</v>
      </c>
    </row>
    <row r="107" spans="1:15" x14ac:dyDescent="0.25">
      <c r="A107" s="2">
        <f>'Config!'!C105</f>
        <v>108</v>
      </c>
      <c r="B107" s="2" t="str">
        <f t="shared" si="2"/>
        <v xml:space="preserve">Marrocos 
</v>
      </c>
      <c r="C107" s="3" t="str">
        <f>'Config!'!A105</f>
        <v>Marrocos</v>
      </c>
      <c r="D107" s="3" t="str">
        <f>'Config!'!B105</f>
        <v>Oriente médio</v>
      </c>
      <c r="E107" t="str">
        <f>INDEX(G107:N107,1,SUMIF($G$3:$N$3,WorldMap!$Q$1,$G$2:$N$2))</f>
        <v>.</v>
      </c>
      <c r="F107" t="str">
        <f>INDEX(G107:N107,1,SUMIF($G$3:$N$3,WorldMap!$Q$1,$G$2:$N$2))</f>
        <v>.</v>
      </c>
      <c r="G107" s="9">
        <f>IF(A107="","",INDEX(Population!$BD$3:$BP$177,A107,'Config!'!$AZ$17+1)/1000000)</f>
        <v>32.984189999999998</v>
      </c>
      <c r="H107" s="38">
        <f>IF(A107="","",INDEX(GDP!$G$3:$S$177,A107,'Config!'!$AZ$17+1)*1000/G107)</f>
        <v>2979.19417197643</v>
      </c>
      <c r="I107">
        <f>IF(A107="","",G107*1000000/INDEX(Population!$CH$3:$CH$177,A107,1))</f>
        <v>73.905870490701318</v>
      </c>
      <c r="J107" t="str">
        <f>IF(A107="","",IFERROR(INDEX('Result data'!$R$216:$AC$390,A107,'Config!'!$BA$17),"."))</f>
        <v>.</v>
      </c>
      <c r="K107" s="8" t="str">
        <f t="shared" si="3"/>
        <v>.</v>
      </c>
      <c r="L107" t="str">
        <f>IF(A107="","",IFERROR(INDEX('Result data'!$ES$216:$FB$390,A107,$L$1)/J107*100,"."))</f>
        <v>.</v>
      </c>
      <c r="M107">
        <f>IF(A107="","",IFERROR(INDEX('Result data'!$BS$216:$CD$390,A107,'Config!'!$BA$17)/1000000,"."))</f>
        <v>0</v>
      </c>
      <c r="N107">
        <f>IF(A107="","",IFERROR(INDEX('Result data'!$AE$216:$AP$390,A107,'Config!'!$BA$17),"."))</f>
        <v>0</v>
      </c>
      <c r="O107" t="str">
        <f>INDEX(Language!$B$149:$B$308,MATCH(C107,Language!$C$149:$C$308,0))</f>
        <v>Morocco</v>
      </c>
    </row>
    <row r="108" spans="1:15" x14ac:dyDescent="0.25">
      <c r="A108" s="2">
        <f>'Config!'!C106</f>
        <v>102</v>
      </c>
      <c r="B108" s="2" t="str">
        <f t="shared" si="2"/>
        <v xml:space="preserve">Maurício 
</v>
      </c>
      <c r="C108" s="3" t="str">
        <f>'Config!'!A106</f>
        <v>Maurício</v>
      </c>
      <c r="D108" s="3" t="str">
        <f>'Config!'!B106</f>
        <v>África Subsaariana</v>
      </c>
      <c r="E108" t="str">
        <f>INDEX(G108:N108,1,SUMIF($G$3:$N$3,WorldMap!$Q$1,$G$2:$N$2))</f>
        <v>.</v>
      </c>
      <c r="F108" t="str">
        <f>INDEX(G108:N108,1,SUMIF($G$3:$N$3,WorldMap!$Q$1,$G$2:$N$2))</f>
        <v>.</v>
      </c>
      <c r="G108" s="9">
        <f>IF(A108="","",INDEX(Population!$BD$3:$BP$177,A108,'Config!'!$AZ$17+1)/1000000)</f>
        <v>1.2558819999999999</v>
      </c>
      <c r="H108" s="38">
        <f>IF(A108="","",INDEX(GDP!$G$3:$S$177,A108,'Config!'!$AZ$17+1)*1000/G108)</f>
        <v>9291.227618618992</v>
      </c>
      <c r="I108">
        <f>IF(A108="","",G108*1000000/INDEX(Population!$CH$3:$CH$177,A108,1))</f>
        <v>618.66108374384237</v>
      </c>
      <c r="J108" t="str">
        <f>IF(A108="","",IFERROR(INDEX('Result data'!$R$216:$AC$390,A108,'Config!'!$BA$17),"."))</f>
        <v>.</v>
      </c>
      <c r="K108" s="8" t="str">
        <f t="shared" si="3"/>
        <v>.</v>
      </c>
      <c r="L108" t="str">
        <f>IF(A108="","",IFERROR(INDEX('Result data'!$ES$216:$FB$390,A108,$L$1)/J108*100,"."))</f>
        <v>.</v>
      </c>
      <c r="M108">
        <f>IF(A108="","",IFERROR(INDEX('Result data'!$BS$216:$CD$390,A108,'Config!'!$BA$17)/1000000,"."))</f>
        <v>0</v>
      </c>
      <c r="N108">
        <f>IF(A108="","",IFERROR(INDEX('Result data'!$AE$216:$AP$390,A108,'Config!'!$BA$17),"."))</f>
        <v>0</v>
      </c>
      <c r="O108" t="str">
        <f>INDEX(Language!$B$149:$B$308,MATCH(C108,Language!$C$149:$C$308,0))</f>
        <v>Mauritius</v>
      </c>
    </row>
    <row r="109" spans="1:15" x14ac:dyDescent="0.25">
      <c r="A109" s="2">
        <f>'Config!'!C107</f>
        <v>101</v>
      </c>
      <c r="B109" s="2" t="str">
        <f t="shared" si="2"/>
        <v xml:space="preserve">Mauritânia 
</v>
      </c>
      <c r="C109" s="3" t="str">
        <f>'Config!'!A107</f>
        <v>Mauritânia</v>
      </c>
      <c r="D109" s="3" t="str">
        <f>'Config!'!B107</f>
        <v>África Subsaariana</v>
      </c>
      <c r="E109" t="str">
        <f>INDEX(G109:N109,1,SUMIF($G$3:$N$3,WorldMap!$Q$1,$G$2:$N$2))</f>
        <v>.</v>
      </c>
      <c r="F109" t="str">
        <f>INDEX(G109:N109,1,SUMIF($G$3:$N$3,WorldMap!$Q$1,$G$2:$N$2))</f>
        <v>.</v>
      </c>
      <c r="G109" s="9">
        <f>IF(A109="","",INDEX(Population!$BD$3:$BP$177,A109,'Config!'!$AZ$17+1)/1000000)</f>
        <v>3.7770670000000002</v>
      </c>
      <c r="H109" s="38">
        <f>IF(A109="","",INDEX(GDP!$G$3:$S$177,A109,'Config!'!$AZ$17+1)*1000/G109)</f>
        <v>1385.0046817781786</v>
      </c>
      <c r="I109">
        <f>IF(A109="","",G109*1000000/INDEX(Population!$CH$3:$CH$177,A109,1))</f>
        <v>3.6645648588338022</v>
      </c>
      <c r="J109" t="str">
        <f>IF(A109="","",IFERROR(INDEX('Result data'!$R$216:$AC$390,A109,'Config!'!$BA$17),"."))</f>
        <v>.</v>
      </c>
      <c r="K109" s="8" t="str">
        <f t="shared" si="3"/>
        <v>.</v>
      </c>
      <c r="L109" t="str">
        <f>IF(A109="","",IFERROR(INDEX('Result data'!$ES$216:$FB$390,A109,$L$1)/J109*100,"."))</f>
        <v>.</v>
      </c>
      <c r="M109">
        <f>IF(A109="","",IFERROR(INDEX('Result data'!$BS$216:$CD$390,A109,'Config!'!$BA$17)/1000000,"."))</f>
        <v>0</v>
      </c>
      <c r="N109">
        <f>IF(A109="","",IFERROR(INDEX('Result data'!$AE$216:$AP$390,A109,'Config!'!$BA$17),"."))</f>
        <v>0</v>
      </c>
      <c r="O109" t="str">
        <f>INDEX(Language!$B$149:$B$308,MATCH(C109,Language!$C$149:$C$308,0))</f>
        <v>Mauritania</v>
      </c>
    </row>
    <row r="110" spans="1:15" x14ac:dyDescent="0.25">
      <c r="A110" s="2">
        <f>'Config!'!C108</f>
        <v>103</v>
      </c>
      <c r="B110" s="2" t="str">
        <f t="shared" si="2"/>
        <v xml:space="preserve">México 
</v>
      </c>
      <c r="C110" s="3" t="str">
        <f>'Config!'!A108</f>
        <v>México</v>
      </c>
      <c r="D110" s="3" t="str">
        <f>'Config!'!B108</f>
        <v>América Central</v>
      </c>
      <c r="E110">
        <f>INDEX(G110:N110,1,SUMIF($G$3:$N$3,WorldMap!$Q$1,$G$2:$N$2))</f>
        <v>0.71164180133485144</v>
      </c>
      <c r="F110">
        <f>INDEX(G110:N110,1,SUMIF($G$3:$N$3,WorldMap!$Q$1,$G$2:$N$2))</f>
        <v>0.71164180133485144</v>
      </c>
      <c r="G110" s="9">
        <f>IF(A110="","",INDEX(Population!$BD$3:$BP$177,A110,'Config!'!$AZ$17+1)/1000000)</f>
        <v>122.07096300000001</v>
      </c>
      <c r="H110" s="38">
        <f>IF(A110="","",INDEX(GDP!$G$3:$S$177,A110,'Config!'!$AZ$17+1)*1000/G110)</f>
        <v>9839.2767411481182</v>
      </c>
      <c r="I110">
        <f>IF(A110="","",G110*1000000/INDEX(Population!$CH$3:$CH$177,A110,1))</f>
        <v>62.795481868056967</v>
      </c>
      <c r="J110">
        <f>IF(A110="","",IFERROR(INDEX('Result data'!$R$216:$AC$390,A110,'Config!'!$BA$17),"."))</f>
        <v>868708</v>
      </c>
      <c r="K110" s="8">
        <f t="shared" si="3"/>
        <v>0.71164180133485144</v>
      </c>
      <c r="L110">
        <f>IF(A110="","",IFERROR(INDEX('Result data'!$ES$216:$FB$390,A110,$L$1)/J110*100,"."))</f>
        <v>1.1511347886746756E-4</v>
      </c>
      <c r="M110">
        <f>IF(A110="","",IFERROR(INDEX('Result data'!$BS$216:$CD$390,A110,'Config!'!$BA$17)/1000000,"."))</f>
        <v>7.7301431913698933</v>
      </c>
      <c r="N110">
        <f>IF(A110="","",IFERROR(INDEX('Result data'!$AE$216:$AP$390,A110,'Config!'!$BA$17),"."))</f>
        <v>1</v>
      </c>
      <c r="O110" t="str">
        <f>INDEX(Language!$B$149:$B$308,MATCH(C110,Language!$C$149:$C$308,0))</f>
        <v>Mexico</v>
      </c>
    </row>
    <row r="111" spans="1:15" x14ac:dyDescent="0.25">
      <c r="A111" s="2">
        <f>'Config!'!C109</f>
        <v>109</v>
      </c>
      <c r="B111" s="2" t="str">
        <f t="shared" si="2"/>
        <v xml:space="preserve">Moçambique 
</v>
      </c>
      <c r="C111" s="3" t="str">
        <f>'Config!'!A109</f>
        <v>Moçambique</v>
      </c>
      <c r="D111" s="3" t="str">
        <f>'Config!'!B109</f>
        <v>África Subsaariana</v>
      </c>
      <c r="E111" t="str">
        <f>INDEX(G111:N111,1,SUMIF($G$3:$N$3,WorldMap!$Q$1,$G$2:$N$2))</f>
        <v>.</v>
      </c>
      <c r="F111" t="str">
        <f>INDEX(G111:N111,1,SUMIF($G$3:$N$3,WorldMap!$Q$1,$G$2:$N$2))</f>
        <v>.</v>
      </c>
      <c r="G111" s="9">
        <f>IF(A111="","",INDEX(Population!$BD$3:$BP$177,A111,'Config!'!$AZ$17+1)/1000000)</f>
        <v>25.732928000000001</v>
      </c>
      <c r="H111" s="38">
        <f>IF(A111="","",INDEX(GDP!$G$3:$S$177,A111,'Config!'!$AZ$17+1)*1000/G111)</f>
        <v>593.21930682122127</v>
      </c>
      <c r="I111">
        <f>IF(A111="","",G111*1000000/INDEX(Population!$CH$3:$CH$177,A111,1))</f>
        <v>32.723273735344236</v>
      </c>
      <c r="J111" t="str">
        <f>IF(A111="","",IFERROR(INDEX('Result data'!$R$216:$AC$390,A111,'Config!'!$BA$17),"."))</f>
        <v>.</v>
      </c>
      <c r="K111" s="8" t="str">
        <f t="shared" si="3"/>
        <v>.</v>
      </c>
      <c r="L111" t="str">
        <f>IF(A111="","",IFERROR(INDEX('Result data'!$ES$216:$FB$390,A111,$L$1)/J111*100,"."))</f>
        <v>.</v>
      </c>
      <c r="M111">
        <f>IF(A111="","",IFERROR(INDEX('Result data'!$BS$216:$CD$390,A111,'Config!'!$BA$17)/1000000,"."))</f>
        <v>0</v>
      </c>
      <c r="N111">
        <f>IF(A111="","",IFERROR(INDEX('Result data'!$AE$216:$AP$390,A111,'Config!'!$BA$17),"."))</f>
        <v>0</v>
      </c>
      <c r="O111" t="str">
        <f>INDEX(Language!$B$149:$B$308,MATCH(C111,Language!$C$149:$C$308,0))</f>
        <v>Mozambique</v>
      </c>
    </row>
    <row r="112" spans="1:15" x14ac:dyDescent="0.25">
      <c r="A112" s="2">
        <f>'Config!'!C110</f>
        <v>104</v>
      </c>
      <c r="B112" s="2" t="str">
        <f t="shared" si="2"/>
        <v xml:space="preserve">Moldova 
</v>
      </c>
      <c r="C112" s="3" t="str">
        <f>'Config!'!A110</f>
        <v>Moldova</v>
      </c>
      <c r="D112" s="3" t="str">
        <f>'Config!'!B110</f>
        <v>Europa</v>
      </c>
      <c r="E112" t="str">
        <f>INDEX(G112:N112,1,SUMIF($G$3:$N$3,WorldMap!$Q$1,$G$2:$N$2))</f>
        <v>.</v>
      </c>
      <c r="F112" t="str">
        <f>INDEX(G112:N112,1,SUMIF($G$3:$N$3,WorldMap!$Q$1,$G$2:$N$2))</f>
        <v>.</v>
      </c>
      <c r="G112" s="9">
        <f>IF(A112="","",INDEX(Population!$BD$3:$BP$177,A112,'Config!'!$AZ$17+1)/1000000)</f>
        <v>3.5595189999999999</v>
      </c>
      <c r="H112" s="38">
        <f>IF(A112="","",INDEX(GDP!$G$3:$S$177,A112,'Config!'!$AZ$17+1)*1000/G112)</f>
        <v>2446.7253157713958</v>
      </c>
      <c r="I112">
        <f>IF(A112="","",G112*1000000/INDEX(Population!$CH$3:$CH$177,A112,1))</f>
        <v>108.2216715818917</v>
      </c>
      <c r="J112" t="str">
        <f>IF(A112="","",IFERROR(INDEX('Result data'!$R$216:$AC$390,A112,'Config!'!$BA$17),"."))</f>
        <v>.</v>
      </c>
      <c r="K112" s="8" t="str">
        <f t="shared" si="3"/>
        <v>.</v>
      </c>
      <c r="L112" t="str">
        <f>IF(A112="","",IFERROR(INDEX('Result data'!$ES$216:$FB$390,A112,$L$1)/J112*100,"."))</f>
        <v>.</v>
      </c>
      <c r="M112">
        <f>IF(A112="","",IFERROR(INDEX('Result data'!$BS$216:$CD$390,A112,'Config!'!$BA$17)/1000000,"."))</f>
        <v>0</v>
      </c>
      <c r="N112">
        <f>IF(A112="","",IFERROR(INDEX('Result data'!$AE$216:$AP$390,A112,'Config!'!$BA$17),"."))</f>
        <v>0</v>
      </c>
      <c r="O112" t="str">
        <f>INDEX(Language!$B$149:$B$308,MATCH(C112,Language!$C$149:$C$308,0))</f>
        <v>Moldova</v>
      </c>
    </row>
    <row r="113" spans="1:15" x14ac:dyDescent="0.25">
      <c r="A113" s="2">
        <f>'Config!'!C111</f>
        <v>106</v>
      </c>
      <c r="B113" s="2" t="str">
        <f t="shared" si="2"/>
        <v xml:space="preserve">Mongólia 
</v>
      </c>
      <c r="C113" s="3" t="str">
        <f>'Config!'!A111</f>
        <v>Mongólia</v>
      </c>
      <c r="D113" s="3" t="str">
        <f>'Config!'!B111</f>
        <v>Ásia-Pacífico</v>
      </c>
      <c r="E113" t="str">
        <f>INDEX(G113:N113,1,SUMIF($G$3:$N$3,WorldMap!$Q$1,$G$2:$N$2))</f>
        <v>.</v>
      </c>
      <c r="F113" t="str">
        <f>INDEX(G113:N113,1,SUMIF($G$3:$N$3,WorldMap!$Q$1,$G$2:$N$2))</f>
        <v>.</v>
      </c>
      <c r="G113" s="9">
        <f>IF(A113="","",INDEX(Population!$BD$3:$BP$177,A113,'Config!'!$AZ$17+1)/1000000)</f>
        <v>2.8083390000000001</v>
      </c>
      <c r="H113" s="38">
        <f>IF(A113="","",INDEX(GDP!$G$3:$S$177,A113,'Config!'!$AZ$17+1)*1000/G113)</f>
        <v>4377.2388700924948</v>
      </c>
      <c r="I113">
        <f>IF(A113="","",G113*1000000/INDEX(Population!$CH$3:$CH$177,A113,1))</f>
        <v>1.807684434935078</v>
      </c>
      <c r="J113" t="str">
        <f>IF(A113="","",IFERROR(INDEX('Result data'!$R$216:$AC$390,A113,'Config!'!$BA$17),"."))</f>
        <v>.</v>
      </c>
      <c r="K113" s="8" t="str">
        <f t="shared" si="3"/>
        <v>.</v>
      </c>
      <c r="L113" t="str">
        <f>IF(A113="","",IFERROR(INDEX('Result data'!$ES$216:$FB$390,A113,$L$1)/J113*100,"."))</f>
        <v>.</v>
      </c>
      <c r="M113">
        <f>IF(A113="","",IFERROR(INDEX('Result data'!$BS$216:$CD$390,A113,'Config!'!$BA$17)/1000000,"."))</f>
        <v>0</v>
      </c>
      <c r="N113">
        <f>IF(A113="","",IFERROR(INDEX('Result data'!$AE$216:$AP$390,A113,'Config!'!$BA$17),"."))</f>
        <v>0</v>
      </c>
      <c r="O113" t="str">
        <f>INDEX(Language!$B$149:$B$308,MATCH(C113,Language!$C$149:$C$308,0))</f>
        <v>Mongolia</v>
      </c>
    </row>
    <row r="114" spans="1:15" x14ac:dyDescent="0.25">
      <c r="A114" s="2">
        <f>'Config!'!C112</f>
        <v>107</v>
      </c>
      <c r="B114" s="2" t="str">
        <f t="shared" si="2"/>
        <v xml:space="preserve">Montenegro 
</v>
      </c>
      <c r="C114" s="3" t="str">
        <f>'Config!'!A112</f>
        <v>Montenegro</v>
      </c>
      <c r="D114" s="3" t="str">
        <f>'Config!'!B112</f>
        <v>Europa</v>
      </c>
      <c r="E114" t="str">
        <f>INDEX(G114:N114,1,SUMIF($G$3:$N$3,WorldMap!$Q$1,$G$2:$N$2))</f>
        <v>.</v>
      </c>
      <c r="F114" t="str">
        <f>INDEX(G114:N114,1,SUMIF($G$3:$N$3,WorldMap!$Q$1,$G$2:$N$2))</f>
        <v>.</v>
      </c>
      <c r="G114" s="9">
        <f>IF(A114="","",INDEX(Population!$BD$3:$BP$177,A114,'Config!'!$AZ$17+1)/1000000)</f>
        <v>0.62060099999999996</v>
      </c>
      <c r="H114" s="38">
        <f>IF(A114="","",INDEX(GDP!$G$3:$S$177,A114,'Config!'!$AZ$17+1)*1000/G114)</f>
        <v>6586.7212793222006</v>
      </c>
      <c r="I114">
        <f>IF(A114="","",G114*1000000/INDEX(Population!$CH$3:$CH$177,A114,1))</f>
        <v>46.134478144513828</v>
      </c>
      <c r="J114" t="str">
        <f>IF(A114="","",IFERROR(INDEX('Result data'!$R$216:$AC$390,A114,'Config!'!$BA$17),"."))</f>
        <v>.</v>
      </c>
      <c r="K114" s="8" t="str">
        <f t="shared" si="3"/>
        <v>.</v>
      </c>
      <c r="L114" t="str">
        <f>IF(A114="","",IFERROR(INDEX('Result data'!$ES$216:$FB$390,A114,$L$1)/J114*100,"."))</f>
        <v>.</v>
      </c>
      <c r="M114">
        <f>IF(A114="","",IFERROR(INDEX('Result data'!$BS$216:$CD$390,A114,'Config!'!$BA$17)/1000000,"."))</f>
        <v>0</v>
      </c>
      <c r="N114">
        <f>IF(A114="","",IFERROR(INDEX('Result data'!$AE$216:$AP$390,A114,'Config!'!$BA$17),"."))</f>
        <v>0</v>
      </c>
      <c r="O114" t="str">
        <f>INDEX(Language!$B$149:$B$308,MATCH(C114,Language!$C$149:$C$308,0))</f>
        <v>Montenegro</v>
      </c>
    </row>
    <row r="115" spans="1:15" x14ac:dyDescent="0.25">
      <c r="A115" s="2">
        <f>'Config!'!C113</f>
        <v>110</v>
      </c>
      <c r="B115" s="2" t="str">
        <f t="shared" si="2"/>
        <v xml:space="preserve">Namíbia 
</v>
      </c>
      <c r="C115" s="3" t="str">
        <f>'Config!'!A113</f>
        <v>Namíbia</v>
      </c>
      <c r="D115" s="3" t="str">
        <f>'Config!'!B113</f>
        <v>África Subsaariana</v>
      </c>
      <c r="E115" t="str">
        <f>INDEX(G115:N115,1,SUMIF($G$3:$N$3,WorldMap!$Q$1,$G$2:$N$2))</f>
        <v>.</v>
      </c>
      <c r="F115" t="str">
        <f>INDEX(G115:N115,1,SUMIF($G$3:$N$3,WorldMap!$Q$1,$G$2:$N$2))</f>
        <v>.</v>
      </c>
      <c r="G115" s="9">
        <f>IF(A115="","",INDEX(Population!$BD$3:$BP$177,A115,'Config!'!$AZ$17+1)/1000000)</f>
        <v>2.2916449999999999</v>
      </c>
      <c r="H115" s="38">
        <f>IF(A115="","",INDEX(GDP!$G$3:$S$177,A115,'Config!'!$AZ$17+1)*1000/G115)</f>
        <v>5679.8818747684627</v>
      </c>
      <c r="I115">
        <f>IF(A115="","",G115*1000000/INDEX(Population!$CH$3:$CH$177,A115,1))</f>
        <v>2.7835209950321271</v>
      </c>
      <c r="J115" t="str">
        <f>IF(A115="","",IFERROR(INDEX('Result data'!$R$216:$AC$390,A115,'Config!'!$BA$17),"."))</f>
        <v>.</v>
      </c>
      <c r="K115" s="8" t="str">
        <f t="shared" si="3"/>
        <v>.</v>
      </c>
      <c r="L115" t="str">
        <f>IF(A115="","",IFERROR(INDEX('Result data'!$ES$216:$FB$390,A115,$L$1)/J115*100,"."))</f>
        <v>.</v>
      </c>
      <c r="M115">
        <f>IF(A115="","",IFERROR(INDEX('Result data'!$BS$216:$CD$390,A115,'Config!'!$BA$17)/1000000,"."))</f>
        <v>0</v>
      </c>
      <c r="N115">
        <f>IF(A115="","",IFERROR(INDEX('Result data'!$AE$216:$AP$390,A115,'Config!'!$BA$17),"."))</f>
        <v>0</v>
      </c>
      <c r="O115" t="str">
        <f>INDEX(Language!$B$149:$B$308,MATCH(C115,Language!$C$149:$C$308,0))</f>
        <v>Namibia</v>
      </c>
    </row>
    <row r="116" spans="1:15" x14ac:dyDescent="0.25">
      <c r="A116" s="2">
        <f>'Config!'!C114</f>
        <v>111</v>
      </c>
      <c r="B116" s="2" t="str">
        <f t="shared" si="2"/>
        <v xml:space="preserve">Nepal 
</v>
      </c>
      <c r="C116" s="3" t="str">
        <f>'Config!'!A114</f>
        <v>Nepal</v>
      </c>
      <c r="D116" s="3" t="str">
        <f>'Config!'!B114</f>
        <v>Ásia-Pacífico</v>
      </c>
      <c r="E116" t="str">
        <f>INDEX(G116:N116,1,SUMIF($G$3:$N$3,WorldMap!$Q$1,$G$2:$N$2))</f>
        <v>.</v>
      </c>
      <c r="F116" t="str">
        <f>INDEX(G116:N116,1,SUMIF($G$3:$N$3,WorldMap!$Q$1,$G$2:$N$2))</f>
        <v>.</v>
      </c>
      <c r="G116" s="9">
        <f>IF(A116="","",INDEX(Population!$BD$3:$BP$177,A116,'Config!'!$AZ$17+1)/1000000)</f>
        <v>27.500515</v>
      </c>
      <c r="H116" s="38">
        <f>IF(A116="","",INDEX(GDP!$G$3:$S$177,A116,'Config!'!$AZ$17+1)*1000/G116)</f>
        <v>685.49675855401244</v>
      </c>
      <c r="I116">
        <f>IF(A116="","",G116*1000000/INDEX(Population!$CH$3:$CH$177,A116,1))</f>
        <v>191.84041269331919</v>
      </c>
      <c r="J116" t="str">
        <f>IF(A116="","",IFERROR(INDEX('Result data'!$R$216:$AC$390,A116,'Config!'!$BA$17),"."))</f>
        <v>.</v>
      </c>
      <c r="K116" s="8" t="str">
        <f t="shared" si="3"/>
        <v>.</v>
      </c>
      <c r="L116" t="str">
        <f>IF(A116="","",IFERROR(INDEX('Result data'!$ES$216:$FB$390,A116,$L$1)/J116*100,"."))</f>
        <v>.</v>
      </c>
      <c r="M116">
        <f>IF(A116="","",IFERROR(INDEX('Result data'!$BS$216:$CD$390,A116,'Config!'!$BA$17)/1000000,"."))</f>
        <v>0</v>
      </c>
      <c r="N116">
        <f>IF(A116="","",IFERROR(INDEX('Result data'!$AE$216:$AP$390,A116,'Config!'!$BA$17),"."))</f>
        <v>0</v>
      </c>
      <c r="O116" t="str">
        <f>INDEX(Language!$B$149:$B$308,MATCH(C116,Language!$C$149:$C$308,0))</f>
        <v>Nepal</v>
      </c>
    </row>
    <row r="117" spans="1:15" x14ac:dyDescent="0.25">
      <c r="A117" s="2">
        <f>'Config!'!C115</f>
        <v>114</v>
      </c>
      <c r="B117" s="2" t="str">
        <f t="shared" si="2"/>
        <v xml:space="preserve">Nicarágua 
</v>
      </c>
      <c r="C117" s="3" t="str">
        <f>'Config!'!A115</f>
        <v>Nicarágua</v>
      </c>
      <c r="D117" s="3" t="str">
        <f>'Config!'!B115</f>
        <v>América Central</v>
      </c>
      <c r="E117" t="str">
        <f>INDEX(G117:N117,1,SUMIF($G$3:$N$3,WorldMap!$Q$1,$G$2:$N$2))</f>
        <v>.</v>
      </c>
      <c r="F117" t="str">
        <f>INDEX(G117:N117,1,SUMIF($G$3:$N$3,WorldMap!$Q$1,$G$2:$N$2))</f>
        <v>.</v>
      </c>
      <c r="G117" s="9">
        <f>IF(A117="","",INDEX(Population!$BD$3:$BP$177,A117,'Config!'!$AZ$17+1)/1000000)</f>
        <v>5.8770340000000001</v>
      </c>
      <c r="H117" s="38">
        <f>IF(A117="","",INDEX(GDP!$G$3:$S$177,A117,'Config!'!$AZ$17+1)*1000/G117)</f>
        <v>1792.0606090878453</v>
      </c>
      <c r="I117">
        <f>IF(A117="","",G117*1000000/INDEX(Population!$CH$3:$CH$177,A117,1))</f>
        <v>48.979364947078921</v>
      </c>
      <c r="J117" t="str">
        <f>IF(A117="","",IFERROR(INDEX('Result data'!$R$216:$AC$390,A117,'Config!'!$BA$17),"."))</f>
        <v>.</v>
      </c>
      <c r="K117" s="8" t="str">
        <f t="shared" si="3"/>
        <v>.</v>
      </c>
      <c r="L117" t="str">
        <f>IF(A117="","",IFERROR(INDEX('Result data'!$ES$216:$FB$390,A117,$L$1)/J117*100,"."))</f>
        <v>.</v>
      </c>
      <c r="M117">
        <f>IF(A117="","",IFERROR(INDEX('Result data'!$BS$216:$CD$390,A117,'Config!'!$BA$17)/1000000,"."))</f>
        <v>0</v>
      </c>
      <c r="N117">
        <f>IF(A117="","",IFERROR(INDEX('Result data'!$AE$216:$AP$390,A117,'Config!'!$BA$17),"."))</f>
        <v>0</v>
      </c>
      <c r="O117" t="str">
        <f>INDEX(Language!$B$149:$B$308,MATCH(C117,Language!$C$149:$C$308,0))</f>
        <v>Nicaragua</v>
      </c>
    </row>
    <row r="118" spans="1:15" x14ac:dyDescent="0.25">
      <c r="A118" s="2">
        <f>'Config!'!C116</f>
        <v>115</v>
      </c>
      <c r="B118" s="2" t="str">
        <f t="shared" si="2"/>
        <v xml:space="preserve">Níger 
</v>
      </c>
      <c r="C118" s="3" t="str">
        <f>'Config!'!A116</f>
        <v>Níger</v>
      </c>
      <c r="D118" s="3" t="str">
        <f>'Config!'!B116</f>
        <v>África Subsaariana</v>
      </c>
      <c r="E118" t="str">
        <f>INDEX(G118:N118,1,SUMIF($G$3:$N$3,WorldMap!$Q$1,$G$2:$N$2))</f>
        <v>.</v>
      </c>
      <c r="F118" t="str">
        <f>INDEX(G118:N118,1,SUMIF($G$3:$N$3,WorldMap!$Q$1,$G$2:$N$2))</f>
        <v>.</v>
      </c>
      <c r="G118" s="9">
        <f>IF(A118="","",INDEX(Population!$BD$3:$BP$177,A118,'Config!'!$AZ$17+1)/1000000)</f>
        <v>17.635781999999999</v>
      </c>
      <c r="H118" s="38">
        <f>IF(A118="","",INDEX(GDP!$G$3:$S$177,A118,'Config!'!$AZ$17+1)*1000/G118)</f>
        <v>393.64618507933761</v>
      </c>
      <c r="I118">
        <f>IF(A118="","",G118*1000000/INDEX(Population!$CH$3:$CH$177,A118,1))</f>
        <v>13.922619404752506</v>
      </c>
      <c r="J118" t="str">
        <f>IF(A118="","",IFERROR(INDEX('Result data'!$R$216:$AC$390,A118,'Config!'!$BA$17),"."))</f>
        <v>.</v>
      </c>
      <c r="K118" s="8" t="str">
        <f t="shared" si="3"/>
        <v>.</v>
      </c>
      <c r="L118" t="str">
        <f>IF(A118="","",IFERROR(INDEX('Result data'!$ES$216:$FB$390,A118,$L$1)/J118*100,"."))</f>
        <v>.</v>
      </c>
      <c r="M118">
        <f>IF(A118="","",IFERROR(INDEX('Result data'!$BS$216:$CD$390,A118,'Config!'!$BA$17)/1000000,"."))</f>
        <v>0</v>
      </c>
      <c r="N118">
        <f>IF(A118="","",IFERROR(INDEX('Result data'!$AE$216:$AP$390,A118,'Config!'!$BA$17),"."))</f>
        <v>0</v>
      </c>
      <c r="O118" t="str">
        <f>INDEX(Language!$B$149:$B$308,MATCH(C118,Language!$C$149:$C$308,0))</f>
        <v>Niger</v>
      </c>
    </row>
    <row r="119" spans="1:15" x14ac:dyDescent="0.25">
      <c r="A119" s="2">
        <f>'Config!'!C117</f>
        <v>116</v>
      </c>
      <c r="B119" s="2" t="str">
        <f t="shared" si="2"/>
        <v xml:space="preserve">Nigéria 
</v>
      </c>
      <c r="C119" s="3" t="str">
        <f>'Config!'!A117</f>
        <v>Nigéria</v>
      </c>
      <c r="D119" s="3" t="str">
        <f>'Config!'!B117</f>
        <v>África Subsaariana</v>
      </c>
      <c r="E119" t="str">
        <f>INDEX(G119:N119,1,SUMIF($G$3:$N$3,WorldMap!$Q$1,$G$2:$N$2))</f>
        <v>.</v>
      </c>
      <c r="F119" t="str">
        <f>INDEX(G119:N119,1,SUMIF($G$3:$N$3,WorldMap!$Q$1,$G$2:$N$2))</f>
        <v>.</v>
      </c>
      <c r="G119" s="9">
        <f>IF(A119="","",INDEX(Population!$BD$3:$BP$177,A119,'Config!'!$AZ$17+1)/1000000)</f>
        <v>168.24040299999999</v>
      </c>
      <c r="H119" s="38">
        <f>IF(A119="","",INDEX(GDP!$G$3:$S$177,A119,'Config!'!$AZ$17+1)*1000/G119)</f>
        <v>2730.474021534525</v>
      </c>
      <c r="I119">
        <f>IF(A119="","",G119*1000000/INDEX(Population!$CH$3:$CH$177,A119,1))</f>
        <v>184.72366508265551</v>
      </c>
      <c r="J119" t="str">
        <f>IF(A119="","",IFERROR(INDEX('Result data'!$R$216:$AC$390,A119,'Config!'!$BA$17),"."))</f>
        <v>.</v>
      </c>
      <c r="K119" s="8" t="str">
        <f t="shared" si="3"/>
        <v>.</v>
      </c>
      <c r="L119" t="str">
        <f>IF(A119="","",IFERROR(INDEX('Result data'!$ES$216:$FB$390,A119,$L$1)/J119*100,"."))</f>
        <v>.</v>
      </c>
      <c r="M119">
        <f>IF(A119="","",IFERROR(INDEX('Result data'!$BS$216:$CD$390,A119,'Config!'!$BA$17)/1000000,"."))</f>
        <v>0</v>
      </c>
      <c r="N119">
        <f>IF(A119="","",IFERROR(INDEX('Result data'!$AE$216:$AP$390,A119,'Config!'!$BA$17),"."))</f>
        <v>0</v>
      </c>
      <c r="O119" t="str">
        <f>INDEX(Language!$B$149:$B$308,MATCH(C119,Language!$C$149:$C$308,0))</f>
        <v>Nigeria</v>
      </c>
    </row>
    <row r="120" spans="1:15" x14ac:dyDescent="0.25">
      <c r="A120" s="2">
        <f>'Config!'!C118</f>
        <v>117</v>
      </c>
      <c r="B120" s="2" t="str">
        <f t="shared" si="2"/>
        <v xml:space="preserve">Noruega 
</v>
      </c>
      <c r="C120" s="3" t="str">
        <f>'Config!'!A118</f>
        <v>Noruega</v>
      </c>
      <c r="D120" s="3" t="str">
        <f>'Config!'!B118</f>
        <v>Europa</v>
      </c>
      <c r="E120">
        <f>INDEX(G120:N120,1,SUMIF($G$3:$N$3,WorldMap!$Q$1,$G$2:$N$2))</f>
        <v>1.64064565764013</v>
      </c>
      <c r="F120">
        <f>INDEX(G120:N120,1,SUMIF($G$3:$N$3,WorldMap!$Q$1,$G$2:$N$2))</f>
        <v>1.64064565764013</v>
      </c>
      <c r="G120" s="9">
        <f>IF(A120="","",INDEX(Population!$BD$3:$BP$177,A120,'Config!'!$AZ$17+1)/1000000)</f>
        <v>5.018573</v>
      </c>
      <c r="H120" s="38">
        <f>IF(A120="","",INDEX(GDP!$G$3:$S$177,A120,'Config!'!$AZ$17+1)*1000/G120)</f>
        <v>101668.1706586517</v>
      </c>
      <c r="I120">
        <f>IF(A120="","",G120*1000000/INDEX(Population!$CH$3:$CH$177,A120,1))</f>
        <v>16.493164235807573</v>
      </c>
      <c r="J120">
        <f>IF(A120="","",IFERROR(INDEX('Result data'!$R$216:$AC$390,A120,'Config!'!$BA$17),"."))</f>
        <v>82337</v>
      </c>
      <c r="K120" s="8">
        <f t="shared" si="3"/>
        <v>1.64064565764013</v>
      </c>
      <c r="L120">
        <f>IF(A120="","",IFERROR(INDEX('Result data'!$ES$216:$FB$390,A120,$L$1)/J120*100,"."))</f>
        <v>100</v>
      </c>
      <c r="M120">
        <f>IF(A120="","",IFERROR(INDEX('Result data'!$BS$216:$CD$390,A120,'Config!'!$BA$17)/1000000,"."))</f>
        <v>1.8594235306972977</v>
      </c>
      <c r="N120">
        <f>IF(A120="","",IFERROR(INDEX('Result data'!$AE$216:$AP$390,A120,'Config!'!$BA$17),"."))</f>
        <v>1</v>
      </c>
      <c r="O120" t="str">
        <f>INDEX(Language!$B$149:$B$308,MATCH(C120,Language!$C$149:$C$308,0))</f>
        <v>Norway</v>
      </c>
    </row>
    <row r="121" spans="1:15" x14ac:dyDescent="0.25">
      <c r="A121" s="2">
        <f>'Config!'!C119</f>
        <v>113</v>
      </c>
      <c r="B121" s="2" t="str">
        <f t="shared" si="2"/>
        <v xml:space="preserve">Nova Zelândia 
</v>
      </c>
      <c r="C121" s="3" t="str">
        <f>'Config!'!A119</f>
        <v>Nova Zelândia</v>
      </c>
      <c r="D121" s="3" t="str">
        <f>'Config!'!B119</f>
        <v>Oceânia</v>
      </c>
      <c r="E121" t="str">
        <f>INDEX(G121:N121,1,SUMIF($G$3:$N$3,WorldMap!$Q$1,$G$2:$N$2))</f>
        <v>.</v>
      </c>
      <c r="F121" t="str">
        <f>INDEX(G121:N121,1,SUMIF($G$3:$N$3,WorldMap!$Q$1,$G$2:$N$2))</f>
        <v>.</v>
      </c>
      <c r="G121" s="9">
        <f>IF(A121="","",INDEX(Population!$BD$3:$BP$177,A121,'Config!'!$AZ$17+1)/1000000)</f>
        <v>4.4081000000000001</v>
      </c>
      <c r="H121" s="38">
        <f>IF(A121="","",INDEX(GDP!$G$3:$S$177,A121,'Config!'!$AZ$17+1)*1000/G121)</f>
        <v>39970.440039457746</v>
      </c>
      <c r="I121">
        <f>IF(A121="","",G121*1000000/INDEX(Population!$CH$3:$CH$177,A121,1))</f>
        <v>16.66345350555877</v>
      </c>
      <c r="J121" t="str">
        <f>IF(A121="","",IFERROR(INDEX('Result data'!$R$216:$AC$390,A121,'Config!'!$BA$17),"."))</f>
        <v>.</v>
      </c>
      <c r="K121" s="8" t="str">
        <f t="shared" si="3"/>
        <v>.</v>
      </c>
      <c r="L121" t="str">
        <f>IF(A121="","",IFERROR(INDEX('Result data'!$ES$216:$FB$390,A121,$L$1)/J121*100,"."))</f>
        <v>.</v>
      </c>
      <c r="M121">
        <f>IF(A121="","",IFERROR(INDEX('Result data'!$BS$216:$CD$390,A121,'Config!'!$BA$17)/1000000,"."))</f>
        <v>0</v>
      </c>
      <c r="N121">
        <f>IF(A121="","",IFERROR(INDEX('Result data'!$AE$216:$AP$390,A121,'Config!'!$BA$17),"."))</f>
        <v>0</v>
      </c>
      <c r="O121" t="str">
        <f>INDEX(Language!$B$149:$B$308,MATCH(C121,Language!$C$149:$C$308,0))</f>
        <v>New Zealand</v>
      </c>
    </row>
    <row r="122" spans="1:15" x14ac:dyDescent="0.25">
      <c r="A122" s="2">
        <f>'Config!'!C120</f>
        <v>118</v>
      </c>
      <c r="B122" s="2" t="str">
        <f t="shared" si="2"/>
        <v xml:space="preserve">Omã 
</v>
      </c>
      <c r="C122" s="3" t="str">
        <f>'Config!'!A120</f>
        <v>Omã</v>
      </c>
      <c r="D122" s="3" t="str">
        <f>'Config!'!B120</f>
        <v>Oriente médio</v>
      </c>
      <c r="E122" t="str">
        <f>INDEX(G122:N122,1,SUMIF($G$3:$N$3,WorldMap!$Q$1,$G$2:$N$2))</f>
        <v>.</v>
      </c>
      <c r="F122" t="str">
        <f>INDEX(G122:N122,1,SUMIF($G$3:$N$3,WorldMap!$Q$1,$G$2:$N$2))</f>
        <v>.</v>
      </c>
      <c r="G122" s="9">
        <f>IF(A122="","",INDEX(Population!$BD$3:$BP$177,A122,'Config!'!$AZ$17+1)/1000000)</f>
        <v>3.5451920000000001</v>
      </c>
      <c r="H122" s="38">
        <f>IF(A122="","",INDEX(GDP!$G$3:$S$177,A122,'Config!'!$AZ$17+1)*1000/G122)</f>
        <v>21631.890955984501</v>
      </c>
      <c r="I122">
        <f>IF(A122="","",G122*1000000/INDEX(Population!$CH$3:$CH$177,A122,1))</f>
        <v>11.454578352180937</v>
      </c>
      <c r="J122" t="str">
        <f>IF(A122="","",IFERROR(INDEX('Result data'!$R$216:$AC$390,A122,'Config!'!$BA$17),"."))</f>
        <v>.</v>
      </c>
      <c r="K122" s="8" t="str">
        <f t="shared" si="3"/>
        <v>.</v>
      </c>
      <c r="L122" t="str">
        <f>IF(A122="","",IFERROR(INDEX('Result data'!$ES$216:$FB$390,A122,$L$1)/J122*100,"."))</f>
        <v>.</v>
      </c>
      <c r="M122">
        <f>IF(A122="","",IFERROR(INDEX('Result data'!$BS$216:$CD$390,A122,'Config!'!$BA$17)/1000000,"."))</f>
        <v>0</v>
      </c>
      <c r="N122">
        <f>IF(A122="","",IFERROR(INDEX('Result data'!$AE$216:$AP$390,A122,'Config!'!$BA$17),"."))</f>
        <v>0</v>
      </c>
      <c r="O122" t="str">
        <f>INDEX(Language!$B$149:$B$308,MATCH(C122,Language!$C$149:$C$308,0))</f>
        <v>Oman</v>
      </c>
    </row>
    <row r="123" spans="1:15" x14ac:dyDescent="0.25">
      <c r="A123" s="2">
        <f>'Config!'!C121</f>
        <v>120</v>
      </c>
      <c r="B123" s="2" t="str">
        <f t="shared" si="2"/>
        <v xml:space="preserve">Panamá 
</v>
      </c>
      <c r="C123" s="3" t="str">
        <f>'Config!'!A121</f>
        <v>Panamá</v>
      </c>
      <c r="D123" s="3" t="str">
        <f>'Config!'!B121</f>
        <v>América Central</v>
      </c>
      <c r="E123" t="str">
        <f>INDEX(G123:N123,1,SUMIF($G$3:$N$3,WorldMap!$Q$1,$G$2:$N$2))</f>
        <v>.</v>
      </c>
      <c r="F123" t="str">
        <f>INDEX(G123:N123,1,SUMIF($G$3:$N$3,WorldMap!$Q$1,$G$2:$N$2))</f>
        <v>.</v>
      </c>
      <c r="G123" s="9">
        <f>IF(A123="","",INDEX(Population!$BD$3:$BP$177,A123,'Config!'!$AZ$17+1)/1000000)</f>
        <v>3.7437610000000001</v>
      </c>
      <c r="H123" s="38">
        <f>IF(A123="","",INDEX(GDP!$G$3:$S$177,A123,'Config!'!$AZ$17+1)*1000/G123)</f>
        <v>10799.220356213975</v>
      </c>
      <c r="I123">
        <f>IF(A123="","",G123*1000000/INDEX(Population!$CH$3:$CH$177,A123,1))</f>
        <v>50.359981167608289</v>
      </c>
      <c r="J123" t="str">
        <f>IF(A123="","",IFERROR(INDEX('Result data'!$R$216:$AC$390,A123,'Config!'!$BA$17),"."))</f>
        <v>.</v>
      </c>
      <c r="K123" s="8" t="str">
        <f t="shared" si="3"/>
        <v>.</v>
      </c>
      <c r="L123" t="str">
        <f>IF(A123="","",IFERROR(INDEX('Result data'!$ES$216:$FB$390,A123,$L$1)/J123*100,"."))</f>
        <v>.</v>
      </c>
      <c r="M123">
        <f>IF(A123="","",IFERROR(INDEX('Result data'!$BS$216:$CD$390,A123,'Config!'!$BA$17)/1000000,"."))</f>
        <v>0</v>
      </c>
      <c r="N123">
        <f>IF(A123="","",IFERROR(INDEX('Result data'!$AE$216:$AP$390,A123,'Config!'!$BA$17),"."))</f>
        <v>0</v>
      </c>
      <c r="O123" t="str">
        <f>INDEX(Language!$B$149:$B$308,MATCH(C123,Language!$C$149:$C$308,0))</f>
        <v>Panama</v>
      </c>
    </row>
    <row r="124" spans="1:15" x14ac:dyDescent="0.25">
      <c r="A124" s="2">
        <f>'Config!'!C122</f>
        <v>121</v>
      </c>
      <c r="B124" s="2" t="str">
        <f t="shared" si="2"/>
        <v xml:space="preserve">Papua Nova Guiné 
</v>
      </c>
      <c r="C124" s="3" t="str">
        <f>'Config!'!A122</f>
        <v>Papua Nova Guiné</v>
      </c>
      <c r="D124" s="3" t="str">
        <f>'Config!'!B122</f>
        <v>Oceânia</v>
      </c>
      <c r="E124" t="str">
        <f>INDEX(G124:N124,1,SUMIF($G$3:$N$3,WorldMap!$Q$1,$G$2:$N$2))</f>
        <v>.</v>
      </c>
      <c r="F124" t="str">
        <f>INDEX(G124:N124,1,SUMIF($G$3:$N$3,WorldMap!$Q$1,$G$2:$N$2))</f>
        <v>.</v>
      </c>
      <c r="G124" s="9">
        <f>IF(A124="","",INDEX(Population!$BD$3:$BP$177,A124,'Config!'!$AZ$17+1)/1000000)</f>
        <v>7.1548699999999998</v>
      </c>
      <c r="H124" s="38">
        <f>IF(A124="","",INDEX(GDP!$G$3:$S$177,A124,'Config!'!$AZ$17+1)*1000/G124)</f>
        <v>2976.4110505475205</v>
      </c>
      <c r="I124">
        <f>IF(A124="","",G124*1000000/INDEX(Population!$CH$3:$CH$177,A124,1))</f>
        <v>15.799297796228416</v>
      </c>
      <c r="J124" t="str">
        <f>IF(A124="","",IFERROR(INDEX('Result data'!$R$216:$AC$390,A124,'Config!'!$BA$17),"."))</f>
        <v>.</v>
      </c>
      <c r="K124" s="8" t="str">
        <f t="shared" si="3"/>
        <v>.</v>
      </c>
      <c r="L124" t="str">
        <f>IF(A124="","",IFERROR(INDEX('Result data'!$ES$216:$FB$390,A124,$L$1)/J124*100,"."))</f>
        <v>.</v>
      </c>
      <c r="M124">
        <f>IF(A124="","",IFERROR(INDEX('Result data'!$BS$216:$CD$390,A124,'Config!'!$BA$17)/1000000,"."))</f>
        <v>0</v>
      </c>
      <c r="N124">
        <f>IF(A124="","",IFERROR(INDEX('Result data'!$AE$216:$AP$390,A124,'Config!'!$BA$17),"."))</f>
        <v>0</v>
      </c>
      <c r="O124" t="str">
        <f>INDEX(Language!$B$149:$B$308,MATCH(C124,Language!$C$149:$C$308,0))</f>
        <v>Papua New Guinea</v>
      </c>
    </row>
    <row r="125" spans="1:15" x14ac:dyDescent="0.25">
      <c r="A125" s="2">
        <f>'Config!'!C123</f>
        <v>119</v>
      </c>
      <c r="B125" s="2" t="str">
        <f t="shared" si="2"/>
        <v xml:space="preserve">Paquistão 
</v>
      </c>
      <c r="C125" s="3" t="str">
        <f>'Config!'!A123</f>
        <v>Paquistão</v>
      </c>
      <c r="D125" s="3" t="str">
        <f>'Config!'!B123</f>
        <v>Ásia-Pacífico</v>
      </c>
      <c r="E125" t="str">
        <f>INDEX(G125:N125,1,SUMIF($G$3:$N$3,WorldMap!$Q$1,$G$2:$N$2))</f>
        <v>.</v>
      </c>
      <c r="F125" t="str">
        <f>INDEX(G125:N125,1,SUMIF($G$3:$N$3,WorldMap!$Q$1,$G$2:$N$2))</f>
        <v>.</v>
      </c>
      <c r="G125" s="9">
        <f>IF(A125="","",INDEX(Population!$BD$3:$BP$177,A125,'Config!'!$AZ$17+1)/1000000)</f>
        <v>177.39225200000001</v>
      </c>
      <c r="H125" s="38">
        <f>IF(A125="","",INDEX(GDP!$G$3:$S$177,A125,'Config!'!$AZ$17+1)*1000/G125)</f>
        <v>1264.9009091421287</v>
      </c>
      <c r="I125">
        <f>IF(A125="","",G125*1000000/INDEX(Population!$CH$3:$CH$177,A125,1))</f>
        <v>230.11805026755312</v>
      </c>
      <c r="J125" t="str">
        <f>IF(A125="","",IFERROR(INDEX('Result data'!$R$216:$AC$390,A125,'Config!'!$BA$17),"."))</f>
        <v>.</v>
      </c>
      <c r="K125" s="8" t="str">
        <f t="shared" si="3"/>
        <v>.</v>
      </c>
      <c r="L125" t="str">
        <f>IF(A125="","",IFERROR(INDEX('Result data'!$ES$216:$FB$390,A125,$L$1)/J125*100,"."))</f>
        <v>.</v>
      </c>
      <c r="M125">
        <f>IF(A125="","",IFERROR(INDEX('Result data'!$BS$216:$CD$390,A125,'Config!'!$BA$17)/1000000,"."))</f>
        <v>0</v>
      </c>
      <c r="N125">
        <f>IF(A125="","",IFERROR(INDEX('Result data'!$AE$216:$AP$390,A125,'Config!'!$BA$17),"."))</f>
        <v>0</v>
      </c>
      <c r="O125" t="str">
        <f>INDEX(Language!$B$149:$B$308,MATCH(C125,Language!$C$149:$C$308,0))</f>
        <v>Pakistan</v>
      </c>
    </row>
    <row r="126" spans="1:15" x14ac:dyDescent="0.25">
      <c r="A126" s="2">
        <f>'Config!'!C124</f>
        <v>122</v>
      </c>
      <c r="B126" s="2" t="str">
        <f t="shared" si="2"/>
        <v xml:space="preserve">Paraguai 
</v>
      </c>
      <c r="C126" s="3" t="str">
        <f>'Config!'!A124</f>
        <v>Paraguai</v>
      </c>
      <c r="D126" s="3" t="str">
        <f>'Config!'!B124</f>
        <v>América do Sul</v>
      </c>
      <c r="E126" t="str">
        <f>INDEX(G126:N126,1,SUMIF($G$3:$N$3,WorldMap!$Q$1,$G$2:$N$2))</f>
        <v>.</v>
      </c>
      <c r="F126" t="str">
        <f>INDEX(G126:N126,1,SUMIF($G$3:$N$3,WorldMap!$Q$1,$G$2:$N$2))</f>
        <v>.</v>
      </c>
      <c r="G126" s="9">
        <f>IF(A126="","",INDEX(Population!$BD$3:$BP$177,A126,'Config!'!$AZ$17+1)/1000000)</f>
        <v>6.379162</v>
      </c>
      <c r="H126" s="38">
        <f>IF(A126="","",INDEX(GDP!$G$3:$S$177,A126,'Config!'!$AZ$17+1)*1000/G126)</f>
        <v>5217.4923432093947</v>
      </c>
      <c r="I126">
        <f>IF(A126="","",G126*1000000/INDEX(Population!$CH$3:$CH$177,A126,1))</f>
        <v>16.056204096631781</v>
      </c>
      <c r="J126" t="str">
        <f>IF(A126="","",IFERROR(INDEX('Result data'!$R$216:$AC$390,A126,'Config!'!$BA$17),"."))</f>
        <v>.</v>
      </c>
      <c r="K126" s="8" t="str">
        <f t="shared" si="3"/>
        <v>.</v>
      </c>
      <c r="L126" t="str">
        <f>IF(A126="","",IFERROR(INDEX('Result data'!$ES$216:$FB$390,A126,$L$1)/J126*100,"."))</f>
        <v>.</v>
      </c>
      <c r="M126">
        <f>IF(A126="","",IFERROR(INDEX('Result data'!$BS$216:$CD$390,A126,'Config!'!$BA$17)/1000000,"."))</f>
        <v>0</v>
      </c>
      <c r="N126">
        <f>IF(A126="","",IFERROR(INDEX('Result data'!$AE$216:$AP$390,A126,'Config!'!$BA$17),"."))</f>
        <v>0</v>
      </c>
      <c r="O126" t="str">
        <f>INDEX(Language!$B$149:$B$308,MATCH(C126,Language!$C$149:$C$308,0))</f>
        <v>Paraguay</v>
      </c>
    </row>
    <row r="127" spans="1:15" x14ac:dyDescent="0.25">
      <c r="A127" s="2">
        <f>'Config!'!C125</f>
        <v>123</v>
      </c>
      <c r="B127" s="2" t="str">
        <f t="shared" si="2"/>
        <v xml:space="preserve">Peru 
</v>
      </c>
      <c r="C127" s="3" t="str">
        <f>'Config!'!A125</f>
        <v>Peru</v>
      </c>
      <c r="D127" s="3" t="str">
        <f>'Config!'!B125</f>
        <v>América do Sul</v>
      </c>
      <c r="E127" t="str">
        <f>INDEX(G127:N127,1,SUMIF($G$3:$N$3,WorldMap!$Q$1,$G$2:$N$2))</f>
        <v>.</v>
      </c>
      <c r="F127" t="str">
        <f>INDEX(G127:N127,1,SUMIF($G$3:$N$3,WorldMap!$Q$1,$G$2:$N$2))</f>
        <v>.</v>
      </c>
      <c r="G127" s="9">
        <f>IF(A127="","",INDEX(Population!$BD$3:$BP$177,A127,'Config!'!$AZ$17+1)/1000000)</f>
        <v>30.158767999999998</v>
      </c>
      <c r="H127" s="38">
        <f>IF(A127="","",INDEX(GDP!$G$3:$S$177,A127,'Config!'!$AZ$17+1)*1000/G127)</f>
        <v>6387.8272179447749</v>
      </c>
      <c r="I127">
        <f>IF(A127="","",G127*1000000/INDEX(Population!$CH$3:$CH$177,A127,1))</f>
        <v>23.56161113003478</v>
      </c>
      <c r="J127" t="str">
        <f>IF(A127="","",IFERROR(INDEX('Result data'!$R$216:$AC$390,A127,'Config!'!$BA$17),"."))</f>
        <v>.</v>
      </c>
      <c r="K127" s="8" t="str">
        <f t="shared" si="3"/>
        <v>.</v>
      </c>
      <c r="L127" t="str">
        <f>IF(A127="","",IFERROR(INDEX('Result data'!$ES$216:$FB$390,A127,$L$1)/J127*100,"."))</f>
        <v>.</v>
      </c>
      <c r="M127">
        <f>IF(A127="","",IFERROR(INDEX('Result data'!$BS$216:$CD$390,A127,'Config!'!$BA$17)/1000000,"."))</f>
        <v>0</v>
      </c>
      <c r="N127">
        <f>IF(A127="","",IFERROR(INDEX('Result data'!$AE$216:$AP$390,A127,'Config!'!$BA$17),"."))</f>
        <v>0</v>
      </c>
      <c r="O127" t="str">
        <f>INDEX(Language!$B$149:$B$308,MATCH(C127,Language!$C$149:$C$308,0))</f>
        <v>Peru</v>
      </c>
    </row>
    <row r="128" spans="1:15" x14ac:dyDescent="0.25">
      <c r="A128" s="2">
        <f>'Config!'!C126</f>
        <v>123</v>
      </c>
      <c r="B128" s="2" t="str">
        <f t="shared" si="2"/>
        <v xml:space="preserve">Peru 
</v>
      </c>
      <c r="C128" s="3" t="str">
        <f>'Config!'!A126</f>
        <v>Peru</v>
      </c>
      <c r="D128" s="3" t="str">
        <f>'Config!'!B126</f>
        <v>América do Sul</v>
      </c>
      <c r="E128" t="str">
        <f>INDEX(G128:N128,1,SUMIF($G$3:$N$3,WorldMap!$Q$1,$G$2:$N$2))</f>
        <v>.</v>
      </c>
      <c r="F128" t="str">
        <f>INDEX(G128:N128,1,SUMIF($G$3:$N$3,WorldMap!$Q$1,$G$2:$N$2))</f>
        <v>.</v>
      </c>
      <c r="G128" s="9">
        <f>IF(A128="","",INDEX(Population!$BD$3:$BP$177,A128,'Config!'!$AZ$17+1)/1000000)</f>
        <v>30.158767999999998</v>
      </c>
      <c r="H128" s="38">
        <f>IF(A128="","",INDEX(GDP!$G$3:$S$177,A128,'Config!'!$AZ$17+1)*1000/G128)</f>
        <v>6387.8272179447749</v>
      </c>
      <c r="I128">
        <f>IF(A128="","",G128*1000000/INDEX(Population!$CH$3:$CH$177,A128,1))</f>
        <v>23.56161113003478</v>
      </c>
      <c r="J128" t="str">
        <f>IF(A128="","",IFERROR(INDEX('Result data'!$R$216:$AC$390,A128,'Config!'!$BA$17),"."))</f>
        <v>.</v>
      </c>
      <c r="K128" s="8" t="str">
        <f t="shared" si="3"/>
        <v>.</v>
      </c>
      <c r="L128" t="str">
        <f>IF(A128="","",IFERROR(INDEX('Result data'!$ES$216:$FB$390,A128,$L$1)/J128*100,"."))</f>
        <v>.</v>
      </c>
      <c r="M128">
        <f>IF(A128="","",IFERROR(INDEX('Result data'!$BS$216:$CD$390,A128,'Config!'!$BA$17)/1000000,"."))</f>
        <v>0</v>
      </c>
      <c r="N128">
        <f>IF(A128="","",IFERROR(INDEX('Result data'!$AE$216:$AP$390,A128,'Config!'!$BA$17),"."))</f>
        <v>0</v>
      </c>
      <c r="O128" t="str">
        <f>INDEX(Language!$B$149:$B$308,MATCH(C128,Language!$C$149:$C$308,0))</f>
        <v>Peru</v>
      </c>
    </row>
    <row r="129" spans="1:15" x14ac:dyDescent="0.25">
      <c r="A129" s="2">
        <f>'Config!'!C127</f>
        <v>125</v>
      </c>
      <c r="B129" s="2" t="str">
        <f t="shared" si="2"/>
        <v xml:space="preserve">Polônia 
</v>
      </c>
      <c r="C129" s="3" t="str">
        <f>'Config!'!A127</f>
        <v>Polônia</v>
      </c>
      <c r="D129" s="3" t="str">
        <f>'Config!'!B127</f>
        <v>União Européia</v>
      </c>
      <c r="E129" t="str">
        <f>INDEX(G129:N129,1,SUMIF($G$3:$N$3,WorldMap!$Q$1,$G$2:$N$2))</f>
        <v>.</v>
      </c>
      <c r="F129" t="str">
        <f>INDEX(G129:N129,1,SUMIF($G$3:$N$3,WorldMap!$Q$1,$G$2:$N$2))</f>
        <v>.</v>
      </c>
      <c r="G129" s="9">
        <f>IF(A129="","",INDEX(Population!$BD$3:$BP$177,A129,'Config!'!$AZ$17+1)/1000000)</f>
        <v>38.063164</v>
      </c>
      <c r="H129" s="38">
        <f>IF(A129="","",INDEX(GDP!$G$3:$S$177,A129,'Config!'!$AZ$17+1)*1000/G129)</f>
        <v>13145.539262786526</v>
      </c>
      <c r="I129">
        <f>IF(A129="","",G129*1000000/INDEX(Population!$CH$3:$CH$177,A129,1))</f>
        <v>125.10283807990008</v>
      </c>
      <c r="J129" t="str">
        <f>IF(A129="","",IFERROR(INDEX('Result data'!$R$216:$AC$390,A129,'Config!'!$BA$17),"."))</f>
        <v>.</v>
      </c>
      <c r="K129" s="8" t="str">
        <f t="shared" si="3"/>
        <v>.</v>
      </c>
      <c r="L129" t="str">
        <f>IF(A129="","",IFERROR(INDEX('Result data'!$ES$216:$FB$390,A129,$L$1)/J129*100,"."))</f>
        <v>.</v>
      </c>
      <c r="M129">
        <f>IF(A129="","",IFERROR(INDEX('Result data'!$BS$216:$CD$390,A129,'Config!'!$BA$17)/1000000,"."))</f>
        <v>0</v>
      </c>
      <c r="N129">
        <f>IF(A129="","",IFERROR(INDEX('Result data'!$AE$216:$AP$390,A129,'Config!'!$BA$17),"."))</f>
        <v>0</v>
      </c>
      <c r="O129" t="str">
        <f>INDEX(Language!$B$149:$B$308,MATCH(C129,Language!$C$149:$C$308,0))</f>
        <v>Poland</v>
      </c>
    </row>
    <row r="130" spans="1:15" x14ac:dyDescent="0.25">
      <c r="A130" s="2">
        <f>'Config!'!C128</f>
        <v>126</v>
      </c>
      <c r="B130" s="2" t="str">
        <f t="shared" si="2"/>
        <v xml:space="preserve">Portugal 
</v>
      </c>
      <c r="C130" s="3" t="str">
        <f>'Config!'!A128</f>
        <v>Portugal</v>
      </c>
      <c r="D130" s="3" t="str">
        <f>'Config!'!B128</f>
        <v>União Européia</v>
      </c>
      <c r="E130" t="str">
        <f>INDEX(G130:N130,1,SUMIF($G$3:$N$3,WorldMap!$Q$1,$G$2:$N$2))</f>
        <v>.</v>
      </c>
      <c r="F130" t="str">
        <f>INDEX(G130:N130,1,SUMIF($G$3:$N$3,WorldMap!$Q$1,$G$2:$N$2))</f>
        <v>.</v>
      </c>
      <c r="G130" s="9">
        <f>IF(A130="","",INDEX(Population!$BD$3:$BP$177,A130,'Config!'!$AZ$17+1)/1000000)</f>
        <v>10.514844</v>
      </c>
      <c r="H130" s="38">
        <f>IF(A130="","",INDEX(GDP!$G$3:$S$177,A130,'Config!'!$AZ$17+1)*1000/G130)</f>
        <v>20577.402637589916</v>
      </c>
      <c r="I130">
        <f>IF(A130="","",G130*1000000/INDEX(Population!$CH$3:$CH$177,A130,1))</f>
        <v>114.95401771072483</v>
      </c>
      <c r="J130" t="str">
        <f>IF(A130="","",IFERROR(INDEX('Result data'!$R$216:$AC$390,A130,'Config!'!$BA$17),"."))</f>
        <v>.</v>
      </c>
      <c r="K130" s="8" t="str">
        <f t="shared" si="3"/>
        <v>.</v>
      </c>
      <c r="L130" t="str">
        <f>IF(A130="","",IFERROR(INDEX('Result data'!$ES$216:$FB$390,A130,$L$1)/J130*100,"."))</f>
        <v>.</v>
      </c>
      <c r="M130">
        <f>IF(A130="","",IFERROR(INDEX('Result data'!$BS$216:$CD$390,A130,'Config!'!$BA$17)/1000000,"."))</f>
        <v>0</v>
      </c>
      <c r="N130">
        <f>IF(A130="","",IFERROR(INDEX('Result data'!$AE$216:$AP$390,A130,'Config!'!$BA$17),"."))</f>
        <v>0</v>
      </c>
      <c r="O130" t="str">
        <f>INDEX(Language!$B$149:$B$308,MATCH(C130,Language!$C$149:$C$308,0))</f>
        <v>Portugal</v>
      </c>
    </row>
    <row r="131" spans="1:15" x14ac:dyDescent="0.25">
      <c r="A131" s="2">
        <f>'Config!'!C129</f>
        <v>82</v>
      </c>
      <c r="B131" s="2" t="str">
        <f t="shared" si="2"/>
        <v xml:space="preserve">Quênia 
</v>
      </c>
      <c r="C131" s="3" t="str">
        <f>'Config!'!A129</f>
        <v>Quênia</v>
      </c>
      <c r="D131" s="3" t="str">
        <f>'Config!'!B129</f>
        <v>África Subsaariana</v>
      </c>
      <c r="E131" t="str">
        <f>INDEX(G131:N131,1,SUMIF($G$3:$N$3,WorldMap!$Q$1,$G$2:$N$2))</f>
        <v>.</v>
      </c>
      <c r="F131" t="str">
        <f>INDEX(G131:N131,1,SUMIF($G$3:$N$3,WorldMap!$Q$1,$G$2:$N$2))</f>
        <v>.</v>
      </c>
      <c r="G131" s="9">
        <f>IF(A131="","",INDEX(Population!$BD$3:$BP$177,A131,'Config!'!$AZ$17+1)/1000000)</f>
        <v>42.542977999999998</v>
      </c>
      <c r="H131" s="38">
        <f>IF(A131="","",INDEX(GDP!$G$3:$S$177,A131,'Config!'!$AZ$17+1)*1000/G131)</f>
        <v>1184.9841555760177</v>
      </c>
      <c r="I131">
        <f>IF(A131="","",G131*1000000/INDEX(Population!$CH$3:$CH$177,A131,1))</f>
        <v>74.749583582246899</v>
      </c>
      <c r="J131" t="str">
        <f>IF(A131="","",IFERROR(INDEX('Result data'!$R$216:$AC$390,A131,'Config!'!$BA$17),"."))</f>
        <v>.</v>
      </c>
      <c r="K131" s="8" t="str">
        <f t="shared" si="3"/>
        <v>.</v>
      </c>
      <c r="L131" t="str">
        <f>IF(A131="","",IFERROR(INDEX('Result data'!$ES$216:$FB$390,A131,$L$1)/J131*100,"."))</f>
        <v>.</v>
      </c>
      <c r="M131">
        <f>IF(A131="","",IFERROR(INDEX('Result data'!$BS$216:$CD$390,A131,'Config!'!$BA$17)/1000000,"."))</f>
        <v>0</v>
      </c>
      <c r="N131">
        <f>IF(A131="","",IFERROR(INDEX('Result data'!$AE$216:$AP$390,A131,'Config!'!$BA$17),"."))</f>
        <v>0</v>
      </c>
      <c r="O131" t="str">
        <f>INDEX(Language!$B$149:$B$308,MATCH(C131,Language!$C$149:$C$308,0))</f>
        <v>Kenya</v>
      </c>
    </row>
    <row r="132" spans="1:15" x14ac:dyDescent="0.25">
      <c r="A132" s="2">
        <f>'Config!'!C130</f>
        <v>175</v>
      </c>
      <c r="B132" s="2" t="str">
        <f t="shared" si="2"/>
        <v xml:space="preserve">Reino Unido 
</v>
      </c>
      <c r="C132" s="3" t="str">
        <f>'Config!'!A130</f>
        <v>Reino Unido</v>
      </c>
      <c r="D132" s="3" t="str">
        <f>'Config!'!B130</f>
        <v>União Européia</v>
      </c>
      <c r="E132">
        <f>INDEX(G132:N132,1,SUMIF($G$3:$N$3,WorldMap!$Q$1,$G$2:$N$2))</f>
        <v>3.8238846598838623</v>
      </c>
      <c r="F132">
        <f>INDEX(G132:N132,1,SUMIF($G$3:$N$3,WorldMap!$Q$1,$G$2:$N$2))</f>
        <v>3.8238846598838623</v>
      </c>
      <c r="G132" s="9">
        <f>IF(A132="","",INDEX(Population!$BD$3:$BP$177,A132,'Config!'!$AZ$17+1)/1000000)</f>
        <v>63.700299999999999</v>
      </c>
      <c r="H132" s="38">
        <f>IF(A132="","",INDEX(GDP!$G$3:$S$177,A132,'Config!'!$AZ$17+1)*1000/G132)</f>
        <v>42018.725463553346</v>
      </c>
      <c r="I132">
        <f>IF(A132="","",G132*1000000/INDEX(Population!$CH$3:$CH$177,A132,1))</f>
        <v>263.3005414789402</v>
      </c>
      <c r="J132">
        <f>IF(A132="","",IFERROR(INDEX('Result data'!$R$216:$AC$390,A132,'Config!'!$BA$17),"."))</f>
        <v>2435826</v>
      </c>
      <c r="K132" s="8">
        <f t="shared" si="3"/>
        <v>3.8238846598838623</v>
      </c>
      <c r="L132">
        <f>IF(A132="","",IFERROR(INDEX('Result data'!$ES$216:$FB$390,A132,$L$1)/J132*100,"."))</f>
        <v>4.1053835536692685E-5</v>
      </c>
      <c r="M132">
        <f>IF(A132="","",IFERROR(INDEX('Result data'!$BS$216:$CD$390,A132,'Config!'!$BA$17)/1000000,"."))</f>
        <v>34.676442718041173</v>
      </c>
      <c r="N132">
        <f>IF(A132="","",IFERROR(INDEX('Result data'!$AE$216:$AP$390,A132,'Config!'!$BA$17),"."))</f>
        <v>1</v>
      </c>
      <c r="O132" t="str">
        <f>INDEX(Language!$B$149:$B$308,MATCH(C132,Language!$C$149:$C$308,0))</f>
        <v>United Kingdom</v>
      </c>
    </row>
    <row r="133" spans="1:15" x14ac:dyDescent="0.25">
      <c r="A133" s="2">
        <f>'Config!'!C131</f>
        <v>31</v>
      </c>
      <c r="B133" s="2" t="str">
        <f t="shared" ref="B133:B163" si="4">C133&amp;" 
"&amp;IF(E133=F133,"",TEXT(F133,"###"))</f>
        <v xml:space="preserve">República Centro-Africana. 
</v>
      </c>
      <c r="C133" s="3" t="str">
        <f>'Config!'!A131</f>
        <v>República Centro-Africana.</v>
      </c>
      <c r="D133" s="3" t="str">
        <f>'Config!'!B131</f>
        <v>África Subsaariana</v>
      </c>
      <c r="E133" t="str">
        <f>INDEX(G133:N133,1,SUMIF($G$3:$N$3,WorldMap!$Q$1,$G$2:$N$2))</f>
        <v>.</v>
      </c>
      <c r="F133" t="str">
        <f>INDEX(G133:N133,1,SUMIF($G$3:$N$3,WorldMap!$Q$1,$G$2:$N$2))</f>
        <v>.</v>
      </c>
      <c r="G133" s="9">
        <f>IF(A133="","",INDEX(Population!$BD$3:$BP$177,A133,'Config!'!$AZ$17+1)/1000000)</f>
        <v>4.6195000000000004</v>
      </c>
      <c r="H133" s="38">
        <f>IF(A133="","",INDEX(GDP!$G$3:$S$177,A133,'Config!'!$AZ$17+1)*1000/G133)</f>
        <v>543.40735311812455</v>
      </c>
      <c r="I133">
        <f>IF(A133="","",G133*1000000/INDEX(Population!$CH$3:$CH$177,A133,1))</f>
        <v>7.415118205282961</v>
      </c>
      <c r="J133" t="str">
        <f>IF(A133="","",IFERROR(INDEX('Result data'!$R$216:$AC$390,A133,'Config!'!$BA$17),"."))</f>
        <v>.</v>
      </c>
      <c r="K133" s="8" t="str">
        <f t="shared" ref="K133:K163" si="5">IFERROR(100*J133/(G133*1000000),".")</f>
        <v>.</v>
      </c>
      <c r="L133" t="str">
        <f>IF(A133="","",IFERROR(INDEX('Result data'!$ES$216:$FB$390,A133,$L$1)/J133*100,"."))</f>
        <v>.</v>
      </c>
      <c r="M133">
        <f>IF(A133="","",IFERROR(INDEX('Result data'!$BS$216:$CD$390,A133,'Config!'!$BA$17)/1000000,"."))</f>
        <v>0</v>
      </c>
      <c r="N133">
        <f>IF(A133="","",IFERROR(INDEX('Result data'!$AE$216:$AP$390,A133,'Config!'!$BA$17),"."))</f>
        <v>0</v>
      </c>
      <c r="O133" t="str">
        <f>INDEX(Language!$B$149:$B$308,MATCH(C133,Language!$C$149:$C$308,0))</f>
        <v>Central African Republic</v>
      </c>
    </row>
    <row r="134" spans="1:15" x14ac:dyDescent="0.25">
      <c r="A134" s="2">
        <f>'Config!'!C132</f>
        <v>41</v>
      </c>
      <c r="B134" s="2" t="str">
        <f t="shared" si="4"/>
        <v xml:space="preserve">República Checa 
</v>
      </c>
      <c r="C134" s="3" t="str">
        <f>'Config!'!A132</f>
        <v>República Checa</v>
      </c>
      <c r="D134" s="3" t="str">
        <f>'Config!'!B132</f>
        <v>União Européia</v>
      </c>
      <c r="E134" t="str">
        <f>INDEX(G134:N134,1,SUMIF($G$3:$N$3,WorldMap!$Q$1,$G$2:$N$2))</f>
        <v>.</v>
      </c>
      <c r="F134" t="str">
        <f>INDEX(G134:N134,1,SUMIF($G$3:$N$3,WorldMap!$Q$1,$G$2:$N$2))</f>
        <v>.</v>
      </c>
      <c r="G134" s="9">
        <f>IF(A134="","",INDEX(Population!$BD$3:$BP$177,A134,'Config!'!$AZ$17+1)/1000000)</f>
        <v>10.510785</v>
      </c>
      <c r="H134" s="38">
        <f>IF(A134="","",INDEX(GDP!$G$3:$S$177,A134,'Config!'!$AZ$17+1)*1000/G134)</f>
        <v>19729.870511176348</v>
      </c>
      <c r="I134">
        <f>IF(A134="","",G134*1000000/INDEX(Population!$CH$3:$CH$177,A134,1))</f>
        <v>136.06722591168588</v>
      </c>
      <c r="J134" t="str">
        <f>IF(A134="","",IFERROR(INDEX('Result data'!$R$216:$AC$390,A134,'Config!'!$BA$17),"."))</f>
        <v>.</v>
      </c>
      <c r="K134" s="8" t="str">
        <f t="shared" si="5"/>
        <v>.</v>
      </c>
      <c r="L134" t="str">
        <f>IF(A134="","",IFERROR(INDEX('Result data'!$ES$216:$FB$390,A134,$L$1)/J134*100,"."))</f>
        <v>.</v>
      </c>
      <c r="M134">
        <f>IF(A134="","",IFERROR(INDEX('Result data'!$BS$216:$CD$390,A134,'Config!'!$BA$17)/1000000,"."))</f>
        <v>0</v>
      </c>
      <c r="N134">
        <f>IF(A134="","",IFERROR(INDEX('Result data'!$AE$216:$AP$390,A134,'Config!'!$BA$17),"."))</f>
        <v>0</v>
      </c>
      <c r="O134" t="str">
        <f>INDEX(Language!$B$149:$B$308,MATCH(C134,Language!$C$149:$C$308,0))</f>
        <v>Czech Republic</v>
      </c>
    </row>
    <row r="135" spans="1:15" x14ac:dyDescent="0.25">
      <c r="A135" s="2">
        <f>'Config!'!C133</f>
        <v>46</v>
      </c>
      <c r="B135" s="2" t="str">
        <f t="shared" si="4"/>
        <v xml:space="preserve">República Dominicana 
</v>
      </c>
      <c r="C135" s="3" t="str">
        <f>'Config!'!A133</f>
        <v>República Dominicana</v>
      </c>
      <c r="D135" s="3" t="str">
        <f>'Config!'!B133</f>
        <v>Caribe</v>
      </c>
      <c r="E135" t="str">
        <f>INDEX(G135:N135,1,SUMIF($G$3:$N$3,WorldMap!$Q$1,$G$2:$N$2))</f>
        <v>.</v>
      </c>
      <c r="F135" t="str">
        <f>INDEX(G135:N135,1,SUMIF($G$3:$N$3,WorldMap!$Q$1,$G$2:$N$2))</f>
        <v>.</v>
      </c>
      <c r="G135" s="9">
        <f>IF(A135="","",INDEX(Population!$BD$3:$BP$177,A135,'Config!'!$AZ$17+1)/1000000)</f>
        <v>10.155036000000001</v>
      </c>
      <c r="H135" s="38">
        <f>IF(A135="","",INDEX(GDP!$G$3:$S$177,A135,'Config!'!$AZ$17+1)*1000/G135)</f>
        <v>5973.1723512037997</v>
      </c>
      <c r="I135">
        <f>IF(A135="","",G135*1000000/INDEX(Population!$CH$3:$CH$177,A135,1))</f>
        <v>210.16216887417218</v>
      </c>
      <c r="J135" t="str">
        <f>IF(A135="","",IFERROR(INDEX('Result data'!$R$216:$AC$390,A135,'Config!'!$BA$17),"."))</f>
        <v>.</v>
      </c>
      <c r="K135" s="8" t="str">
        <f t="shared" si="5"/>
        <v>.</v>
      </c>
      <c r="L135" t="str">
        <f>IF(A135="","",IFERROR(INDEX('Result data'!$ES$216:$FB$390,A135,$L$1)/J135*100,"."))</f>
        <v>.</v>
      </c>
      <c r="M135">
        <f>IF(A135="","",IFERROR(INDEX('Result data'!$BS$216:$CD$390,A135,'Config!'!$BA$17)/1000000,"."))</f>
        <v>0</v>
      </c>
      <c r="N135">
        <f>IF(A135="","",IFERROR(INDEX('Result data'!$AE$216:$AP$390,A135,'Config!'!$BA$17),"."))</f>
        <v>0</v>
      </c>
      <c r="O135" t="str">
        <f>INDEX(Language!$B$149:$B$308,MATCH(C135,Language!$C$149:$C$308,0))</f>
        <v>Dominican Republic</v>
      </c>
    </row>
    <row r="136" spans="1:15" x14ac:dyDescent="0.25">
      <c r="A136" s="2">
        <f>'Config!'!C134</f>
        <v>129</v>
      </c>
      <c r="B136" s="2" t="str">
        <f t="shared" si="4"/>
        <v xml:space="preserve">Romênia. 
</v>
      </c>
      <c r="C136" s="3" t="str">
        <f>'Config!'!A134</f>
        <v>Romênia.</v>
      </c>
      <c r="D136" s="3" t="str">
        <f>'Config!'!B134</f>
        <v>União Européia</v>
      </c>
      <c r="E136" t="str">
        <f>INDEX(G136:N136,1,SUMIF($G$3:$N$3,WorldMap!$Q$1,$G$2:$N$2))</f>
        <v>.</v>
      </c>
      <c r="F136" t="str">
        <f>INDEX(G136:N136,1,SUMIF($G$3:$N$3,WorldMap!$Q$1,$G$2:$N$2))</f>
        <v>.</v>
      </c>
      <c r="G136" s="9">
        <f>IF(A136="","",INDEX(Population!$BD$3:$BP$177,A136,'Config!'!$AZ$17+1)/1000000)</f>
        <v>20.058035</v>
      </c>
      <c r="H136" s="38">
        <f>IF(A136="","",INDEX(GDP!$G$3:$S$177,A136,'Config!'!$AZ$17+1)*1000/G136)</f>
        <v>8535.0468756266964</v>
      </c>
      <c r="I136">
        <f>IF(A136="","",G136*1000000/INDEX(Population!$CH$3:$CH$177,A136,1))</f>
        <v>87.250196832411888</v>
      </c>
      <c r="J136" t="str">
        <f>IF(A136="","",IFERROR(INDEX('Result data'!$R$216:$AC$390,A136,'Config!'!$BA$17),"."))</f>
        <v>.</v>
      </c>
      <c r="K136" s="8" t="str">
        <f t="shared" si="5"/>
        <v>.</v>
      </c>
      <c r="L136" t="str">
        <f>IF(A136="","",IFERROR(INDEX('Result data'!$ES$216:$FB$390,A136,$L$1)/J136*100,"."))</f>
        <v>.</v>
      </c>
      <c r="M136">
        <f>IF(A136="","",IFERROR(INDEX('Result data'!$BS$216:$CD$390,A136,'Config!'!$BA$17)/1000000,"."))</f>
        <v>0</v>
      </c>
      <c r="N136">
        <f>IF(A136="","",IFERROR(INDEX('Result data'!$AE$216:$AP$390,A136,'Config!'!$BA$17),"."))</f>
        <v>0</v>
      </c>
      <c r="O136" t="str">
        <f>INDEX(Language!$B$149:$B$308,MATCH(C136,Language!$C$149:$C$308,0))</f>
        <v>Romania</v>
      </c>
    </row>
    <row r="137" spans="1:15" x14ac:dyDescent="0.25">
      <c r="A137" s="2">
        <f>'Config!'!C135</f>
        <v>131</v>
      </c>
      <c r="B137" s="2" t="str">
        <f t="shared" si="4"/>
        <v xml:space="preserve">Ruanda 
</v>
      </c>
      <c r="C137" s="3" t="str">
        <f>'Config!'!A135</f>
        <v>Ruanda</v>
      </c>
      <c r="D137" s="3" t="str">
        <f>'Config!'!B135</f>
        <v>África Subsaariana</v>
      </c>
      <c r="E137" t="str">
        <f>INDEX(G137:N137,1,SUMIF($G$3:$N$3,WorldMap!$Q$1,$G$2:$N$2))</f>
        <v>.</v>
      </c>
      <c r="F137" t="str">
        <f>INDEX(G137:N137,1,SUMIF($G$3:$N$3,WorldMap!$Q$1,$G$2:$N$2))</f>
        <v>.</v>
      </c>
      <c r="G137" s="9">
        <f>IF(A137="","",INDEX(Population!$BD$3:$BP$177,A137,'Config!'!$AZ$17+1)/1000000)</f>
        <v>10.817349999999999</v>
      </c>
      <c r="H137" s="38">
        <f>IF(A137="","",INDEX(GDP!$G$3:$S$177,A137,'Config!'!$AZ$17+1)*1000/G137)</f>
        <v>678.06973951315558</v>
      </c>
      <c r="I137">
        <f>IF(A137="","",G137*1000000/INDEX(Population!$CH$3:$CH$177,A137,1))</f>
        <v>438.51751256688829</v>
      </c>
      <c r="J137" t="str">
        <f>IF(A137="","",IFERROR(INDEX('Result data'!$R$216:$AC$390,A137,'Config!'!$BA$17),"."))</f>
        <v>.</v>
      </c>
      <c r="K137" s="8" t="str">
        <f t="shared" si="5"/>
        <v>.</v>
      </c>
      <c r="L137" t="str">
        <f>IF(A137="","",IFERROR(INDEX('Result data'!$ES$216:$FB$390,A137,$L$1)/J137*100,"."))</f>
        <v>.</v>
      </c>
      <c r="M137">
        <f>IF(A137="","",IFERROR(INDEX('Result data'!$BS$216:$CD$390,A137,'Config!'!$BA$17)/1000000,"."))</f>
        <v>0</v>
      </c>
      <c r="N137">
        <f>IF(A137="","",IFERROR(INDEX('Result data'!$AE$216:$AP$390,A137,'Config!'!$BA$17),"."))</f>
        <v>0</v>
      </c>
      <c r="O137" t="str">
        <f>INDEX(Language!$B$149:$B$308,MATCH(C137,Language!$C$149:$C$308,0))</f>
        <v>Rwanda</v>
      </c>
    </row>
    <row r="138" spans="1:15" x14ac:dyDescent="0.25">
      <c r="A138" s="2">
        <f>'Config!'!C136</f>
        <v>133</v>
      </c>
      <c r="B138" s="2" t="str">
        <f t="shared" si="4"/>
        <v xml:space="preserve">Samoa. 
</v>
      </c>
      <c r="C138" s="3" t="str">
        <f>'Config!'!A136</f>
        <v>Samoa.</v>
      </c>
      <c r="D138" s="3" t="str">
        <f>'Config!'!B136</f>
        <v>Oceânia</v>
      </c>
      <c r="E138" t="str">
        <f>INDEX(G138:N138,1,SUMIF($G$3:$N$3,WorldMap!$Q$1,$G$2:$N$2))</f>
        <v>.</v>
      </c>
      <c r="F138" t="str">
        <f>INDEX(G138:N138,1,SUMIF($G$3:$N$3,WorldMap!$Q$1,$G$2:$N$2))</f>
        <v>.</v>
      </c>
      <c r="G138" s="9">
        <f>IF(A138="","",INDEX(Population!$BD$3:$BP$177,A138,'Config!'!$AZ$17+1)/1000000)</f>
        <v>0.18890100000000001</v>
      </c>
      <c r="H138" s="38">
        <f>IF(A138="","",INDEX(GDP!$G$3:$S$177,A138,'Config!'!$AZ$17+1)*1000/G138)</f>
        <v>4241.2090054478995</v>
      </c>
      <c r="I138">
        <f>IF(A138="","",G138*1000000/INDEX(Population!$CH$3:$CH$177,A138,1))</f>
        <v>66.962424672102088</v>
      </c>
      <c r="J138" t="str">
        <f>IF(A138="","",IFERROR(INDEX('Result data'!$R$216:$AC$390,A138,'Config!'!$BA$17),"."))</f>
        <v>.</v>
      </c>
      <c r="K138" s="8" t="str">
        <f t="shared" si="5"/>
        <v>.</v>
      </c>
      <c r="L138" t="str">
        <f>IF(A138="","",IFERROR(INDEX('Result data'!$ES$216:$FB$390,A138,$L$1)/J138*100,"."))</f>
        <v>.</v>
      </c>
      <c r="M138">
        <f>IF(A138="","",IFERROR(INDEX('Result data'!$BS$216:$CD$390,A138,'Config!'!$BA$17)/1000000,"."))</f>
        <v>0</v>
      </c>
      <c r="N138">
        <f>IF(A138="","",IFERROR(INDEX('Result data'!$AE$216:$AP$390,A138,'Config!'!$BA$17),"."))</f>
        <v>0</v>
      </c>
      <c r="O138" t="str">
        <f>INDEX(Language!$B$149:$B$308,MATCH(C138,Language!$C$149:$C$308,0))</f>
        <v>Samoa</v>
      </c>
    </row>
    <row r="139" spans="1:15" x14ac:dyDescent="0.25">
      <c r="A139" s="2">
        <f>'Config!'!C137</f>
        <v>135</v>
      </c>
      <c r="B139" s="2" t="str">
        <f t="shared" si="4"/>
        <v xml:space="preserve">Senegal 
</v>
      </c>
      <c r="C139" s="3" t="str">
        <f>'Config!'!A137</f>
        <v>Senegal</v>
      </c>
      <c r="D139" s="3" t="str">
        <f>'Config!'!B137</f>
        <v>África Subsaariana</v>
      </c>
      <c r="E139" t="str">
        <f>INDEX(G139:N139,1,SUMIF($G$3:$N$3,WorldMap!$Q$1,$G$2:$N$2))</f>
        <v>.</v>
      </c>
      <c r="F139" t="str">
        <f>INDEX(G139:N139,1,SUMIF($G$3:$N$3,WorldMap!$Q$1,$G$2:$N$2))</f>
        <v>.</v>
      </c>
      <c r="G139" s="9">
        <f>IF(A139="","",INDEX(Population!$BD$3:$BP$177,A139,'Config!'!$AZ$17+1)/1000000)</f>
        <v>13.780108</v>
      </c>
      <c r="H139" s="38">
        <f>IF(A139="","",INDEX(GDP!$G$3:$S$177,A139,'Config!'!$AZ$17+1)*1000/G139)</f>
        <v>1293.5615562246012</v>
      </c>
      <c r="I139">
        <f>IF(A139="","",G139*1000000/INDEX(Population!$CH$3:$CH$177,A139,1))</f>
        <v>71.57382226146575</v>
      </c>
      <c r="J139" t="str">
        <f>IF(A139="","",IFERROR(INDEX('Result data'!$R$216:$AC$390,A139,'Config!'!$BA$17),"."))</f>
        <v>.</v>
      </c>
      <c r="K139" s="8" t="str">
        <f t="shared" si="5"/>
        <v>.</v>
      </c>
      <c r="L139" t="str">
        <f>IF(A139="","",IFERROR(INDEX('Result data'!$ES$216:$FB$390,A139,$L$1)/J139*100,"."))</f>
        <v>.</v>
      </c>
      <c r="M139">
        <f>IF(A139="","",IFERROR(INDEX('Result data'!$BS$216:$CD$390,A139,'Config!'!$BA$17)/1000000,"."))</f>
        <v>0</v>
      </c>
      <c r="N139">
        <f>IF(A139="","",IFERROR(INDEX('Result data'!$AE$216:$AP$390,A139,'Config!'!$BA$17),"."))</f>
        <v>0</v>
      </c>
      <c r="O139" t="str">
        <f>INDEX(Language!$B$149:$B$308,MATCH(C139,Language!$C$149:$C$308,0))</f>
        <v>Senegal</v>
      </c>
    </row>
    <row r="140" spans="1:15" x14ac:dyDescent="0.25">
      <c r="A140" s="2">
        <f>'Config!'!C138</f>
        <v>138</v>
      </c>
      <c r="B140" s="2" t="str">
        <f t="shared" si="4"/>
        <v xml:space="preserve">Serra Leoa 
</v>
      </c>
      <c r="C140" s="3" t="str">
        <f>'Config!'!A138</f>
        <v>Serra Leoa</v>
      </c>
      <c r="D140" s="3" t="str">
        <f>'Config!'!B138</f>
        <v>África Subsaariana</v>
      </c>
      <c r="E140" t="str">
        <f>INDEX(G140:N140,1,SUMIF($G$3:$N$3,WorldMap!$Q$1,$G$2:$N$2))</f>
        <v>.</v>
      </c>
      <c r="F140" t="str">
        <f>INDEX(G140:N140,1,SUMIF($G$3:$N$3,WorldMap!$Q$1,$G$2:$N$2))</f>
        <v>.</v>
      </c>
      <c r="G140" s="9">
        <f>IF(A140="","",INDEX(Population!$BD$3:$BP$177,A140,'Config!'!$AZ$17+1)/1000000)</f>
        <v>6.0431569999999999</v>
      </c>
      <c r="H140" s="38">
        <f>IF(A140="","",INDEX(GDP!$G$3:$S$177,A140,'Config!'!$AZ$17+1)*1000/G140)</f>
        <v>629.11862315742201</v>
      </c>
      <c r="I140">
        <f>IF(A140="","",G140*1000000/INDEX(Population!$CH$3:$CH$177,A140,1))</f>
        <v>84.378064786372519</v>
      </c>
      <c r="J140" t="str">
        <f>IF(A140="","",IFERROR(INDEX('Result data'!$R$216:$AC$390,A140,'Config!'!$BA$17),"."))</f>
        <v>.</v>
      </c>
      <c r="K140" s="8" t="str">
        <f t="shared" si="5"/>
        <v>.</v>
      </c>
      <c r="L140" t="str">
        <f>IF(A140="","",IFERROR(INDEX('Result data'!$ES$216:$FB$390,A140,$L$1)/J140*100,"."))</f>
        <v>.</v>
      </c>
      <c r="M140">
        <f>IF(A140="","",IFERROR(INDEX('Result data'!$BS$216:$CD$390,A140,'Config!'!$BA$17)/1000000,"."))</f>
        <v>0</v>
      </c>
      <c r="N140">
        <f>IF(A140="","",IFERROR(INDEX('Result data'!$AE$216:$AP$390,A140,'Config!'!$BA$17),"."))</f>
        <v>0</v>
      </c>
      <c r="O140" t="str">
        <f>INDEX(Language!$B$149:$B$308,MATCH(C140,Language!$C$149:$C$308,0))</f>
        <v>Sierra Leone</v>
      </c>
    </row>
    <row r="141" spans="1:15" x14ac:dyDescent="0.25">
      <c r="A141" s="2">
        <f>'Config!'!C139</f>
        <v>136</v>
      </c>
      <c r="B141" s="2" t="str">
        <f t="shared" si="4"/>
        <v xml:space="preserve">Sérvia 
</v>
      </c>
      <c r="C141" s="3" t="str">
        <f>'Config!'!A139</f>
        <v>Sérvia</v>
      </c>
      <c r="D141" s="3" t="str">
        <f>'Config!'!B139</f>
        <v>Europa</v>
      </c>
      <c r="E141" t="str">
        <f>INDEX(G141:N141,1,SUMIF($G$3:$N$3,WorldMap!$Q$1,$G$2:$N$2))</f>
        <v>.</v>
      </c>
      <c r="F141" t="str">
        <f>INDEX(G141:N141,1,SUMIF($G$3:$N$3,WorldMap!$Q$1,$G$2:$N$2))</f>
        <v>.</v>
      </c>
      <c r="G141" s="9">
        <f>IF(A141="","",INDEX(Population!$BD$3:$BP$177,A141,'Config!'!$AZ$17+1)/1000000)</f>
        <v>7.1990769999999999</v>
      </c>
      <c r="H141" s="38">
        <f>IF(A141="","",INDEX(GDP!$G$3:$S$177,A141,'Config!'!$AZ$17+1)*1000/G141)</f>
        <v>6015.9452275696904</v>
      </c>
      <c r="I141">
        <f>IF(A141="","",G141*1000000/INDEX(Population!$CH$3:$CH$177,A141,1))</f>
        <v>92.922490125719591</v>
      </c>
      <c r="J141" t="str">
        <f>IF(A141="","",IFERROR(INDEX('Result data'!$R$216:$AC$390,A141,'Config!'!$BA$17),"."))</f>
        <v>.</v>
      </c>
      <c r="K141" s="8" t="str">
        <f t="shared" si="5"/>
        <v>.</v>
      </c>
      <c r="L141" t="str">
        <f>IF(A141="","",IFERROR(INDEX('Result data'!$ES$216:$FB$390,A141,$L$1)/J141*100,"."))</f>
        <v>.</v>
      </c>
      <c r="M141">
        <f>IF(A141="","",IFERROR(INDEX('Result data'!$BS$216:$CD$390,A141,'Config!'!$BA$17)/1000000,"."))</f>
        <v>0</v>
      </c>
      <c r="N141">
        <f>IF(A141="","",IFERROR(INDEX('Result data'!$AE$216:$AP$390,A141,'Config!'!$BA$17),"."))</f>
        <v>0</v>
      </c>
      <c r="O141" t="str">
        <f>INDEX(Language!$B$149:$B$308,MATCH(C141,Language!$C$149:$C$308,0))</f>
        <v>Serbia</v>
      </c>
    </row>
    <row r="142" spans="1:15" x14ac:dyDescent="0.25">
      <c r="A142" s="2">
        <f>'Config!'!C140</f>
        <v>137</v>
      </c>
      <c r="B142" s="2" t="str">
        <f t="shared" si="4"/>
        <v xml:space="preserve">Seychelles. 
</v>
      </c>
      <c r="C142" s="3" t="str">
        <f>'Config!'!A140</f>
        <v>Seychelles.</v>
      </c>
      <c r="D142" s="3" t="str">
        <f>'Config!'!B140</f>
        <v>África Subsaariana</v>
      </c>
      <c r="E142" t="str">
        <f>INDEX(G142:N142,1,SUMIF($G$3:$N$3,WorldMap!$Q$1,$G$2:$N$2))</f>
        <v>.</v>
      </c>
      <c r="F142" t="str">
        <f>INDEX(G142:N142,1,SUMIF($G$3:$N$3,WorldMap!$Q$1,$G$2:$N$2))</f>
        <v>.</v>
      </c>
      <c r="G142" s="9">
        <f>IF(A142="","",INDEX(Population!$BD$3:$BP$177,A142,'Config!'!$AZ$17+1)/1000000)</f>
        <v>8.8303000000000006E-2</v>
      </c>
      <c r="H142" s="38">
        <f>IF(A142="","",INDEX(GDP!$G$3:$S$177,A142,'Config!'!$AZ$17+1)*1000/G142)</f>
        <v>12006.682962370012</v>
      </c>
      <c r="I142">
        <f>IF(A142="","",G142*1000000/INDEX(Population!$CH$3:$CH$177,A142,1))</f>
        <v>194.07252747252747</v>
      </c>
      <c r="J142" t="str">
        <f>IF(A142="","",IFERROR(INDEX('Result data'!$R$216:$AC$390,A142,'Config!'!$BA$17),"."))</f>
        <v>.</v>
      </c>
      <c r="K142" s="8" t="str">
        <f t="shared" si="5"/>
        <v>.</v>
      </c>
      <c r="L142" t="str">
        <f>IF(A142="","",IFERROR(INDEX('Result data'!$ES$216:$FB$390,A142,$L$1)/J142*100,"."))</f>
        <v>.</v>
      </c>
      <c r="M142">
        <f>IF(A142="","",IFERROR(INDEX('Result data'!$BS$216:$CD$390,A142,'Config!'!$BA$17)/1000000,"."))</f>
        <v>0</v>
      </c>
      <c r="N142">
        <f>IF(A142="","",IFERROR(INDEX('Result data'!$AE$216:$AP$390,A142,'Config!'!$BA$17),"."))</f>
        <v>0</v>
      </c>
      <c r="O142" t="str">
        <f>INDEX(Language!$B$149:$B$308,MATCH(C142,Language!$C$149:$C$308,0))</f>
        <v>Seychelles</v>
      </c>
    </row>
    <row r="143" spans="1:15" x14ac:dyDescent="0.25">
      <c r="A143" s="2">
        <f>'Config!'!C141</f>
        <v>147</v>
      </c>
      <c r="B143" s="2" t="str">
        <f t="shared" si="4"/>
        <v xml:space="preserve">Sri Lanka 
</v>
      </c>
      <c r="C143" s="3" t="str">
        <f>'Config!'!A141</f>
        <v>Sri Lanka</v>
      </c>
      <c r="D143" s="3" t="str">
        <f>'Config!'!B141</f>
        <v>Ásia-Pacífico</v>
      </c>
      <c r="E143" t="str">
        <f>INDEX(G143:N143,1,SUMIF($G$3:$N$3,WorldMap!$Q$1,$G$2:$N$2))</f>
        <v>.</v>
      </c>
      <c r="F143" t="str">
        <f>INDEX(G143:N143,1,SUMIF($G$3:$N$3,WorldMap!$Q$1,$G$2:$N$2))</f>
        <v>.</v>
      </c>
      <c r="G143" s="9">
        <f>IF(A143="","",INDEX(Population!$BD$3:$BP$177,A143,'Config!'!$AZ$17+1)/1000000)</f>
        <v>20.423999999999999</v>
      </c>
      <c r="H143" s="38">
        <f>IF(A143="","",INDEX(GDP!$G$3:$S$177,A143,'Config!'!$AZ$17+1)*1000/G143)</f>
        <v>3350.685924163352</v>
      </c>
      <c r="I143">
        <f>IF(A143="","",G143*1000000/INDEX(Population!$CH$3:$CH$177,A143,1))</f>
        <v>316.01423487544486</v>
      </c>
      <c r="J143" t="str">
        <f>IF(A143="","",IFERROR(INDEX('Result data'!$R$216:$AC$390,A143,'Config!'!$BA$17),"."))</f>
        <v>.</v>
      </c>
      <c r="K143" s="8" t="str">
        <f t="shared" si="5"/>
        <v>.</v>
      </c>
      <c r="L143" t="str">
        <f>IF(A143="","",IFERROR(INDEX('Result data'!$ES$216:$FB$390,A143,$L$1)/J143*100,"."))</f>
        <v>.</v>
      </c>
      <c r="M143">
        <f>IF(A143="","",IFERROR(INDEX('Result data'!$BS$216:$CD$390,A143,'Config!'!$BA$17)/1000000,"."))</f>
        <v>0</v>
      </c>
      <c r="N143">
        <f>IF(A143="","",IFERROR(INDEX('Result data'!$AE$216:$AP$390,A143,'Config!'!$BA$17),"."))</f>
        <v>0</v>
      </c>
      <c r="O143" t="str">
        <f>INDEX(Language!$B$149:$B$308,MATCH(C143,Language!$C$149:$C$308,0))</f>
        <v>Sri Lanka</v>
      </c>
    </row>
    <row r="144" spans="1:15" x14ac:dyDescent="0.25">
      <c r="A144" s="2">
        <f>'Config!'!C142</f>
        <v>149</v>
      </c>
      <c r="B144" s="2" t="str">
        <f t="shared" si="4"/>
        <v xml:space="preserve">Suazilândia. 
</v>
      </c>
      <c r="C144" s="3" t="str">
        <f>'Config!'!A142</f>
        <v>Suazilândia.</v>
      </c>
      <c r="D144" s="3" t="str">
        <f>'Config!'!B142</f>
        <v>África Subsaariana</v>
      </c>
      <c r="E144" t="str">
        <f>INDEX(G144:N144,1,SUMIF($G$3:$N$3,WorldMap!$Q$1,$G$2:$N$2))</f>
        <v>.</v>
      </c>
      <c r="F144" t="str">
        <f>INDEX(G144:N144,1,SUMIF($G$3:$N$3,WorldMap!$Q$1,$G$2:$N$2))</f>
        <v>.</v>
      </c>
      <c r="G144" s="9">
        <f>IF(A144="","",INDEX(Population!$BD$3:$BP$177,A144,'Config!'!$AZ$17+1)/1000000)</f>
        <v>1.2316940000000001</v>
      </c>
      <c r="H144" s="38">
        <f>IF(A144="","",INDEX(GDP!$G$3:$S$177,A144,'Config!'!$AZ$17+1)*1000/G144)</f>
        <v>5067.8171688747361</v>
      </c>
      <c r="I144">
        <f>IF(A144="","",G144*1000000/INDEX(Population!$CH$3:$CH$177,A144,1))</f>
        <v>71.593466635666118</v>
      </c>
      <c r="J144" t="str">
        <f>IF(A144="","",IFERROR(INDEX('Result data'!$R$216:$AC$390,A144,'Config!'!$BA$17),"."))</f>
        <v>.</v>
      </c>
      <c r="K144" s="8" t="str">
        <f t="shared" si="5"/>
        <v>.</v>
      </c>
      <c r="L144" t="str">
        <f>IF(A144="","",IFERROR(INDEX('Result data'!$ES$216:$FB$390,A144,$L$1)/J144*100,"."))</f>
        <v>.</v>
      </c>
      <c r="M144">
        <f>IF(A144="","",IFERROR(INDEX('Result data'!$BS$216:$CD$390,A144,'Config!'!$BA$17)/1000000,"."))</f>
        <v>0</v>
      </c>
      <c r="N144">
        <f>IF(A144="","",IFERROR(INDEX('Result data'!$AE$216:$AP$390,A144,'Config!'!$BA$17),"."))</f>
        <v>0</v>
      </c>
      <c r="O144" t="str">
        <f>INDEX(Language!$B$149:$B$308,MATCH(C144,Language!$C$149:$C$308,0))</f>
        <v>Swaziland</v>
      </c>
    </row>
    <row r="145" spans="1:15" x14ac:dyDescent="0.25">
      <c r="A145" s="2">
        <f>'Config!'!C143</f>
        <v>150</v>
      </c>
      <c r="B145" s="2" t="str">
        <f t="shared" si="4"/>
        <v xml:space="preserve">Suécia 
</v>
      </c>
      <c r="C145" s="3" t="str">
        <f>'Config!'!A143</f>
        <v>Suécia</v>
      </c>
      <c r="D145" s="3" t="str">
        <f>'Config!'!B143</f>
        <v>União Européia</v>
      </c>
      <c r="E145" t="str">
        <f>INDEX(G145:N145,1,SUMIF($G$3:$N$3,WorldMap!$Q$1,$G$2:$N$2))</f>
        <v>.</v>
      </c>
      <c r="F145" t="str">
        <f>INDEX(G145:N145,1,SUMIF($G$3:$N$3,WorldMap!$Q$1,$G$2:$N$2))</f>
        <v>.</v>
      </c>
      <c r="G145" s="9">
        <f>IF(A145="","",INDEX(Population!$BD$3:$BP$177,A145,'Config!'!$AZ$17+1)/1000000)</f>
        <v>9.5193739999999991</v>
      </c>
      <c r="H145" s="38">
        <f>IF(A145="","",INDEX(GDP!$G$3:$S$177,A145,'Config!'!$AZ$17+1)*1000/G145)</f>
        <v>57197.199307641422</v>
      </c>
      <c r="I145">
        <f>IF(A145="","",G145*1000000/INDEX(Population!$CH$3:$CH$177,A145,1))</f>
        <v>23.199030060803977</v>
      </c>
      <c r="J145" t="str">
        <f>IF(A145="","",IFERROR(INDEX('Result data'!$R$216:$AC$390,A145,'Config!'!$BA$17),"."))</f>
        <v>.</v>
      </c>
      <c r="K145" s="8" t="str">
        <f t="shared" si="5"/>
        <v>.</v>
      </c>
      <c r="L145" t="str">
        <f>IF(A145="","",IFERROR(INDEX('Result data'!$ES$216:$FB$390,A145,$L$1)/J145*100,"."))</f>
        <v>.</v>
      </c>
      <c r="M145">
        <f>IF(A145="","",IFERROR(INDEX('Result data'!$BS$216:$CD$390,A145,'Config!'!$BA$17)/1000000,"."))</f>
        <v>0</v>
      </c>
      <c r="N145">
        <f>IF(A145="","",IFERROR(INDEX('Result data'!$AE$216:$AP$390,A145,'Config!'!$BA$17),"."))</f>
        <v>0</v>
      </c>
      <c r="O145" t="str">
        <f>INDEX(Language!$B$149:$B$308,MATCH(C145,Language!$C$149:$C$308,0))</f>
        <v>Sweden</v>
      </c>
    </row>
    <row r="146" spans="1:15" x14ac:dyDescent="0.25">
      <c r="A146" s="2">
        <f>'Config!'!C144</f>
        <v>151</v>
      </c>
      <c r="B146" s="2" t="str">
        <f t="shared" si="4"/>
        <v xml:space="preserve">Suíça 
</v>
      </c>
      <c r="C146" s="3" t="str">
        <f>'Config!'!A144</f>
        <v>Suíça</v>
      </c>
      <c r="D146" s="3" t="str">
        <f>'Config!'!B144</f>
        <v>Europa</v>
      </c>
      <c r="E146" t="str">
        <f>INDEX(G146:N146,1,SUMIF($G$3:$N$3,WorldMap!$Q$1,$G$2:$N$2))</f>
        <v>.</v>
      </c>
      <c r="F146" t="str">
        <f>INDEX(G146:N146,1,SUMIF($G$3:$N$3,WorldMap!$Q$1,$G$2:$N$2))</f>
        <v>.</v>
      </c>
      <c r="G146" s="9">
        <f>IF(A146="","",INDEX(Population!$BD$3:$BP$177,A146,'Config!'!$AZ$17+1)/1000000)</f>
        <v>7.996861</v>
      </c>
      <c r="H146" s="38">
        <f>IF(A146="","",INDEX(GDP!$G$3:$S$177,A146,'Config!'!$AZ$17+1)*1000/G146)</f>
        <v>83538.23007838575</v>
      </c>
      <c r="I146">
        <f>IF(A146="","",G146*1000000/INDEX(Population!$CH$3:$CH$177,A146,1))</f>
        <v>199.93652023901794</v>
      </c>
      <c r="J146" t="str">
        <f>IF(A146="","",IFERROR(INDEX('Result data'!$R$216:$AC$390,A146,'Config!'!$BA$17),"."))</f>
        <v>.</v>
      </c>
      <c r="K146" s="8" t="str">
        <f t="shared" si="5"/>
        <v>.</v>
      </c>
      <c r="L146" t="str">
        <f>IF(A146="","",IFERROR(INDEX('Result data'!$ES$216:$FB$390,A146,$L$1)/J146*100,"."))</f>
        <v>.</v>
      </c>
      <c r="M146">
        <f>IF(A146="","",IFERROR(INDEX('Result data'!$BS$216:$CD$390,A146,'Config!'!$BA$17)/1000000,"."))</f>
        <v>0</v>
      </c>
      <c r="N146">
        <f>IF(A146="","",IFERROR(INDEX('Result data'!$AE$216:$AP$390,A146,'Config!'!$BA$17),"."))</f>
        <v>0</v>
      </c>
      <c r="O146" t="str">
        <f>INDEX(Language!$B$149:$B$308,MATCH(C146,Language!$C$149:$C$308,0))</f>
        <v>Switzerland</v>
      </c>
    </row>
    <row r="147" spans="1:15" x14ac:dyDescent="0.25">
      <c r="A147" s="2">
        <f>'Config!'!C145</f>
        <v>148</v>
      </c>
      <c r="B147" s="2" t="str">
        <f t="shared" si="4"/>
        <v xml:space="preserve">Suriname 
</v>
      </c>
      <c r="C147" s="3" t="str">
        <f>'Config!'!A145</f>
        <v>Suriname</v>
      </c>
      <c r="D147" s="3" t="str">
        <f>'Config!'!B145</f>
        <v>América do Sul</v>
      </c>
      <c r="E147" t="str">
        <f>INDEX(G147:N147,1,SUMIF($G$3:$N$3,WorldMap!$Q$1,$G$2:$N$2))</f>
        <v>.</v>
      </c>
      <c r="F147" t="str">
        <f>INDEX(G147:N147,1,SUMIF($G$3:$N$3,WorldMap!$Q$1,$G$2:$N$2))</f>
        <v>.</v>
      </c>
      <c r="G147" s="9">
        <f>IF(A147="","",INDEX(Population!$BD$3:$BP$177,A147,'Config!'!$AZ$17+1)/1000000)</f>
        <v>0.52853499999999998</v>
      </c>
      <c r="H147" s="38">
        <f>IF(A147="","",INDEX(GDP!$G$3:$S$177,A147,'Config!'!$AZ$17+1)*1000/G147)</f>
        <v>9422.2709943523132</v>
      </c>
      <c r="I147">
        <f>IF(A147="","",G147*1000000/INDEX(Population!$CH$3:$CH$177,A147,1))</f>
        <v>3.3880448717948717</v>
      </c>
      <c r="J147" t="str">
        <f>IF(A147="","",IFERROR(INDEX('Result data'!$R$216:$AC$390,A147,'Config!'!$BA$17),"."))</f>
        <v>.</v>
      </c>
      <c r="K147" s="8" t="str">
        <f t="shared" si="5"/>
        <v>.</v>
      </c>
      <c r="L147" t="str">
        <f>IF(A147="","",IFERROR(INDEX('Result data'!$ES$216:$FB$390,A147,$L$1)/J147*100,"."))</f>
        <v>.</v>
      </c>
      <c r="M147">
        <f>IF(A147="","",IFERROR(INDEX('Result data'!$BS$216:$CD$390,A147,'Config!'!$BA$17)/1000000,"."))</f>
        <v>0</v>
      </c>
      <c r="N147">
        <f>IF(A147="","",IFERROR(INDEX('Result data'!$AE$216:$AP$390,A147,'Config!'!$BA$17),"."))</f>
        <v>0</v>
      </c>
      <c r="O147" t="str">
        <f>INDEX(Language!$B$149:$B$308,MATCH(C147,Language!$C$149:$C$308,0))</f>
        <v>Suriname</v>
      </c>
    </row>
    <row r="148" spans="1:15" x14ac:dyDescent="0.25">
      <c r="A148" s="2">
        <f>'Config!'!C146</f>
        <v>155</v>
      </c>
      <c r="B148" s="2" t="str">
        <f t="shared" si="4"/>
        <v xml:space="preserve">Tailândia 
</v>
      </c>
      <c r="C148" s="3" t="str">
        <f>'Config!'!A146</f>
        <v>Tailândia</v>
      </c>
      <c r="D148" s="3" t="str">
        <f>'Config!'!B146</f>
        <v>Ásia-Pacífico</v>
      </c>
      <c r="E148" t="str">
        <f>INDEX(G148:N148,1,SUMIF($G$3:$N$3,WorldMap!$Q$1,$G$2:$N$2))</f>
        <v>.</v>
      </c>
      <c r="F148" t="str">
        <f>INDEX(G148:N148,1,SUMIF($G$3:$N$3,WorldMap!$Q$1,$G$2:$N$2))</f>
        <v>.</v>
      </c>
      <c r="G148" s="9">
        <f>IF(A148="","",INDEX(Population!$BD$3:$BP$177,A148,'Config!'!$AZ$17+1)/1000000)</f>
        <v>67.16413</v>
      </c>
      <c r="H148" s="38">
        <f>IF(A148="","",INDEX(GDP!$G$3:$S$177,A148,'Config!'!$AZ$17+1)*1000/G148)</f>
        <v>5919.2026200574101</v>
      </c>
      <c r="I148">
        <f>IF(A148="","",G148*1000000/INDEX(Population!$CH$3:$CH$177,A148,1))</f>
        <v>131.46495331676095</v>
      </c>
      <c r="J148" t="str">
        <f>IF(A148="","",IFERROR(INDEX('Result data'!$R$216:$AC$390,A148,'Config!'!$BA$17),"."))</f>
        <v>.</v>
      </c>
      <c r="K148" s="8" t="str">
        <f t="shared" si="5"/>
        <v>.</v>
      </c>
      <c r="L148" t="str">
        <f>IF(A148="","",IFERROR(INDEX('Result data'!$ES$216:$FB$390,A148,$L$1)/J148*100,"."))</f>
        <v>.</v>
      </c>
      <c r="M148">
        <f>IF(A148="","",IFERROR(INDEX('Result data'!$BS$216:$CD$390,A148,'Config!'!$BA$17)/1000000,"."))</f>
        <v>0</v>
      </c>
      <c r="N148">
        <f>IF(A148="","",IFERROR(INDEX('Result data'!$AE$216:$AP$390,A148,'Config!'!$BA$17),"."))</f>
        <v>0</v>
      </c>
      <c r="O148" t="str">
        <f>INDEX(Language!$B$149:$B$308,MATCH(C148,Language!$C$149:$C$308,0))</f>
        <v>Thailand</v>
      </c>
    </row>
    <row r="149" spans="1:15" x14ac:dyDescent="0.25">
      <c r="A149" s="2">
        <f>'Config!'!C147</f>
        <v>153</v>
      </c>
      <c r="B149" s="2" t="str">
        <f t="shared" si="4"/>
        <v xml:space="preserve">Tajiquistão 
</v>
      </c>
      <c r="C149" s="3" t="str">
        <f>'Config!'!A147</f>
        <v>Tajiquistão</v>
      </c>
      <c r="D149" s="3" t="str">
        <f>'Config!'!B147</f>
        <v>Ásia-Pacífico</v>
      </c>
      <c r="E149" t="str">
        <f>INDEX(G149:N149,1,SUMIF($G$3:$N$3,WorldMap!$Q$1,$G$2:$N$2))</f>
        <v>.</v>
      </c>
      <c r="F149" t="str">
        <f>INDEX(G149:N149,1,SUMIF($G$3:$N$3,WorldMap!$Q$1,$G$2:$N$2))</f>
        <v>.</v>
      </c>
      <c r="G149" s="9">
        <f>IF(A149="","",INDEX(Population!$BD$3:$BP$177,A149,'Config!'!$AZ$17+1)/1000000)</f>
        <v>7.9309289999999999</v>
      </c>
      <c r="H149" s="38">
        <f>IF(A149="","",INDEX(GDP!$G$3:$S$177,A149,'Config!'!$AZ$17+1)*1000/G149)</f>
        <v>962.44081772680215</v>
      </c>
      <c r="I149">
        <f>IF(A149="","",G149*1000000/INDEX(Population!$CH$3:$CH$177,A149,1))</f>
        <v>56.045007419970318</v>
      </c>
      <c r="J149" t="str">
        <f>IF(A149="","",IFERROR(INDEX('Result data'!$R$216:$AC$390,A149,'Config!'!$BA$17),"."))</f>
        <v>.</v>
      </c>
      <c r="K149" s="8" t="str">
        <f t="shared" si="5"/>
        <v>.</v>
      </c>
      <c r="L149" t="str">
        <f>IF(A149="","",IFERROR(INDEX('Result data'!$ES$216:$FB$390,A149,$L$1)/J149*100,"."))</f>
        <v>.</v>
      </c>
      <c r="M149">
        <f>IF(A149="","",IFERROR(INDEX('Result data'!$BS$216:$CD$390,A149,'Config!'!$BA$17)/1000000,"."))</f>
        <v>0</v>
      </c>
      <c r="N149">
        <f>IF(A149="","",IFERROR(INDEX('Result data'!$AE$216:$AP$390,A149,'Config!'!$BA$17),"."))</f>
        <v>0</v>
      </c>
      <c r="O149" t="str">
        <f>INDEX(Language!$B$149:$B$308,MATCH(C149,Language!$C$149:$C$308,0))</f>
        <v>Tajikistan</v>
      </c>
    </row>
    <row r="150" spans="1:15" x14ac:dyDescent="0.25">
      <c r="A150" s="2">
        <f>'Config!'!C148</f>
        <v>154</v>
      </c>
      <c r="B150" s="2" t="str">
        <f t="shared" si="4"/>
        <v xml:space="preserve">Tanzânia 
</v>
      </c>
      <c r="C150" s="3" t="str">
        <f>'Config!'!A148</f>
        <v>Tanzânia</v>
      </c>
      <c r="D150" s="3" t="str">
        <f>'Config!'!B148</f>
        <v>África Subsaariana</v>
      </c>
      <c r="E150" t="str">
        <f>INDEX(G150:N150,1,SUMIF($G$3:$N$3,WorldMap!$Q$1,$G$2:$N$2))</f>
        <v>.</v>
      </c>
      <c r="F150" t="str">
        <f>INDEX(G150:N150,1,SUMIF($G$3:$N$3,WorldMap!$Q$1,$G$2:$N$2))</f>
        <v>.</v>
      </c>
      <c r="G150" s="9">
        <f>IF(A150="","",INDEX(Population!$BD$3:$BP$177,A150,'Config!'!$AZ$17+1)/1000000)</f>
        <v>48.645708999999997</v>
      </c>
      <c r="H150" s="38">
        <f>IF(A150="","",INDEX(GDP!$G$3:$S$177,A150,'Config!'!$AZ$17+1)*1000/G150)</f>
        <v>815.08792922164446</v>
      </c>
      <c r="I150">
        <f>IF(A150="","",G150*1000000/INDEX(Population!$CH$3:$CH$177,A150,1))</f>
        <v>54.917260103860919</v>
      </c>
      <c r="J150" t="str">
        <f>IF(A150="","",IFERROR(INDEX('Result data'!$R$216:$AC$390,A150,'Config!'!$BA$17),"."))</f>
        <v>.</v>
      </c>
      <c r="K150" s="8" t="str">
        <f t="shared" si="5"/>
        <v>.</v>
      </c>
      <c r="L150" t="str">
        <f>IF(A150="","",IFERROR(INDEX('Result data'!$ES$216:$FB$390,A150,$L$1)/J150*100,"."))</f>
        <v>.</v>
      </c>
      <c r="M150">
        <f>IF(A150="","",IFERROR(INDEX('Result data'!$BS$216:$CD$390,A150,'Config!'!$BA$17)/1000000,"."))</f>
        <v>0</v>
      </c>
      <c r="N150">
        <f>IF(A150="","",IFERROR(INDEX('Result data'!$AE$216:$AP$390,A150,'Config!'!$BA$17),"."))</f>
        <v>0</v>
      </c>
      <c r="O150" t="str">
        <f>INDEX(Language!$B$149:$B$308,MATCH(C150,Language!$C$149:$C$308,0))</f>
        <v>Tanzania</v>
      </c>
    </row>
    <row r="151" spans="1:15" x14ac:dyDescent="0.25">
      <c r="A151" s="2">
        <f>'Config!'!C149</f>
        <v>173</v>
      </c>
      <c r="B151" s="2" t="str">
        <f t="shared" si="4"/>
        <v xml:space="preserve">Timor-Leste 
</v>
      </c>
      <c r="C151" s="3" t="str">
        <f>'Config!'!A149</f>
        <v>Timor-Leste</v>
      </c>
      <c r="D151" s="3" t="str">
        <f>'Config!'!B149</f>
        <v>Ásia-Pacífico</v>
      </c>
      <c r="E151" t="str">
        <f>INDEX(G151:N151,1,SUMIF($G$3:$N$3,WorldMap!$Q$1,$G$2:$N$2))</f>
        <v>.</v>
      </c>
      <c r="F151" t="str">
        <f>INDEX(G151:N151,1,SUMIF($G$3:$N$3,WorldMap!$Q$1,$G$2:$N$2))</f>
        <v>.</v>
      </c>
      <c r="G151" s="9">
        <f>IF(A151="","",INDEX(Population!$BD$3:$BP$177,A151,'Config!'!$AZ$17+1)/1000000)</f>
        <v>1.1489579999999999</v>
      </c>
      <c r="H151" s="38">
        <f>IF(A151="","",INDEX(GDP!$G$3:$S$177,A151,'Config!'!$AZ$17+1)*1000/G151)</f>
        <v>5798.0053011043919</v>
      </c>
      <c r="I151">
        <f>IF(A151="","",G151*1000000/INDEX(Population!$CH$3:$CH$177,A151,1))</f>
        <v>77.246066962484875</v>
      </c>
      <c r="J151" t="str">
        <f>IF(A151="","",IFERROR(INDEX('Result data'!$R$216:$AC$390,A151,'Config!'!$BA$17),"."))</f>
        <v>.</v>
      </c>
      <c r="K151" s="8" t="str">
        <f t="shared" si="5"/>
        <v>.</v>
      </c>
      <c r="L151" t="str">
        <f>IF(A151="","",IFERROR(INDEX('Result data'!$ES$216:$FB$390,A151,$L$1)/J151*100,"."))</f>
        <v>.</v>
      </c>
      <c r="M151">
        <f>IF(A151="","",IFERROR(INDEX('Result data'!$BS$216:$CD$390,A151,'Config!'!$BA$17)/1000000,"."))</f>
        <v>0</v>
      </c>
      <c r="N151">
        <f>IF(A151="","",IFERROR(INDEX('Result data'!$AE$216:$AP$390,A151,'Config!'!$BA$17),"."))</f>
        <v>0</v>
      </c>
      <c r="O151" t="str">
        <f>INDEX(Language!$B$149:$B$308,MATCH(C151,Language!$C$149:$C$308,0))</f>
        <v>Timor-Leste</v>
      </c>
    </row>
    <row r="152" spans="1:15" x14ac:dyDescent="0.25">
      <c r="A152" s="2">
        <f>'Config!'!C150</f>
        <v>156</v>
      </c>
      <c r="B152" s="2" t="str">
        <f t="shared" si="4"/>
        <v xml:space="preserve">Togo 
</v>
      </c>
      <c r="C152" s="3" t="str">
        <f>'Config!'!A150</f>
        <v>Togo</v>
      </c>
      <c r="D152" s="3" t="str">
        <f>'Config!'!B150</f>
        <v>África Subsaariana</v>
      </c>
      <c r="E152" t="str">
        <f>INDEX(G152:N152,1,SUMIF($G$3:$N$3,WorldMap!$Q$1,$G$2:$N$2))</f>
        <v>.</v>
      </c>
      <c r="F152" t="str">
        <f>INDEX(G152:N152,1,SUMIF($G$3:$N$3,WorldMap!$Q$1,$G$2:$N$2))</f>
        <v>.</v>
      </c>
      <c r="G152" s="9">
        <f>IF(A152="","",INDEX(Population!$BD$3:$BP$177,A152,'Config!'!$AZ$17+1)/1000000)</f>
        <v>6.7455809999999996</v>
      </c>
      <c r="H152" s="38">
        <f>IF(A152="","",INDEX(GDP!$G$3:$S$177,A152,'Config!'!$AZ$17+1)*1000/G152)</f>
        <v>574.23221605777576</v>
      </c>
      <c r="I152">
        <f>IF(A152="","",G152*1000000/INDEX(Population!$CH$3:$CH$177,A152,1))</f>
        <v>124.03385124574791</v>
      </c>
      <c r="J152" t="str">
        <f>IF(A152="","",IFERROR(INDEX('Result data'!$R$216:$AC$390,A152,'Config!'!$BA$17),"."))</f>
        <v>.</v>
      </c>
      <c r="K152" s="8" t="str">
        <f t="shared" si="5"/>
        <v>.</v>
      </c>
      <c r="L152" t="str">
        <f>IF(A152="","",IFERROR(INDEX('Result data'!$ES$216:$FB$390,A152,$L$1)/J152*100,"."))</f>
        <v>.</v>
      </c>
      <c r="M152">
        <f>IF(A152="","",IFERROR(INDEX('Result data'!$BS$216:$CD$390,A152,'Config!'!$BA$17)/1000000,"."))</f>
        <v>0</v>
      </c>
      <c r="N152">
        <f>IF(A152="","",IFERROR(INDEX('Result data'!$AE$216:$AP$390,A152,'Config!'!$BA$17),"."))</f>
        <v>0</v>
      </c>
      <c r="O152" t="str">
        <f>INDEX(Language!$B$149:$B$308,MATCH(C152,Language!$C$149:$C$308,0))</f>
        <v>Togo</v>
      </c>
    </row>
    <row r="153" spans="1:15" x14ac:dyDescent="0.25">
      <c r="A153" s="2">
        <f>'Config!'!C151</f>
        <v>174</v>
      </c>
      <c r="B153" s="2" t="str">
        <f t="shared" si="4"/>
        <v xml:space="preserve">Trinidad e Tobago 
</v>
      </c>
      <c r="C153" s="3" t="str">
        <f>'Config!'!A151</f>
        <v>Trinidad e Tobago</v>
      </c>
      <c r="D153" s="3" t="str">
        <f>'Config!'!B151</f>
        <v>Caribe</v>
      </c>
      <c r="E153" t="str">
        <f>INDEX(G153:N153,1,SUMIF($G$3:$N$3,WorldMap!$Q$1,$G$2:$N$2))</f>
        <v>.</v>
      </c>
      <c r="F153" t="str">
        <f>INDEX(G153:N153,1,SUMIF($G$3:$N$3,WorldMap!$Q$1,$G$2:$N$2))</f>
        <v>.</v>
      </c>
      <c r="G153" s="9">
        <f>IF(A153="","",INDEX(Population!$BD$3:$BP$177,A153,'Config!'!$AZ$17+1)/1000000)</f>
        <v>1.3415790000000001</v>
      </c>
      <c r="H153" s="38">
        <f>IF(A153="","",INDEX(GDP!$G$3:$S$177,A153,'Config!'!$AZ$17+1)*1000/G153)</f>
        <v>19208.208719029266</v>
      </c>
      <c r="I153">
        <f>IF(A153="","",G153*1000000/INDEX(Population!$CH$3:$CH$177,A153,1))</f>
        <v>261.61836973478938</v>
      </c>
      <c r="J153" t="str">
        <f>IF(A153="","",IFERROR(INDEX('Result data'!$R$216:$AC$390,A153,'Config!'!$BA$17),"."))</f>
        <v>.</v>
      </c>
      <c r="K153" s="8" t="str">
        <f t="shared" si="5"/>
        <v>.</v>
      </c>
      <c r="L153" t="str">
        <f>IF(A153="","",IFERROR(INDEX('Result data'!$ES$216:$FB$390,A153,$L$1)/J153*100,"."))</f>
        <v>.</v>
      </c>
      <c r="M153">
        <f>IF(A153="","",IFERROR(INDEX('Result data'!$BS$216:$CD$390,A153,'Config!'!$BA$17)/1000000,"."))</f>
        <v>0</v>
      </c>
      <c r="N153">
        <f>IF(A153="","",IFERROR(INDEX('Result data'!$AE$216:$AP$390,A153,'Config!'!$BA$17),"."))</f>
        <v>0</v>
      </c>
      <c r="O153" t="str">
        <f>INDEX(Language!$B$149:$B$308,MATCH(C153,Language!$C$149:$C$308,0))</f>
        <v>Trinidad and Tobago</v>
      </c>
    </row>
    <row r="154" spans="1:15" x14ac:dyDescent="0.25">
      <c r="A154" s="2">
        <f>'Config!'!C152</f>
        <v>157</v>
      </c>
      <c r="B154" s="2" t="str">
        <f t="shared" si="4"/>
        <v xml:space="preserve">Tunísia 
</v>
      </c>
      <c r="C154" s="3" t="str">
        <f>'Config!'!A152</f>
        <v>Tunísia</v>
      </c>
      <c r="D154" s="3" t="str">
        <f>'Config!'!B152</f>
        <v>Oriente médio</v>
      </c>
      <c r="E154" t="str">
        <f>INDEX(G154:N154,1,SUMIF($G$3:$N$3,WorldMap!$Q$1,$G$2:$N$2))</f>
        <v>.</v>
      </c>
      <c r="F154" t="str">
        <f>INDEX(G154:N154,1,SUMIF($G$3:$N$3,WorldMap!$Q$1,$G$2:$N$2))</f>
        <v>.</v>
      </c>
      <c r="G154" s="9">
        <f>IF(A154="","",INDEX(Population!$BD$3:$BP$177,A154,'Config!'!$AZ$17+1)/1000000)</f>
        <v>10.7775</v>
      </c>
      <c r="H154" s="38">
        <f>IF(A154="","",INDEX(GDP!$G$3:$S$177,A154,'Config!'!$AZ$17+1)*1000/G154)</f>
        <v>4179.458403096146</v>
      </c>
      <c r="I154">
        <f>IF(A154="","",G154*1000000/INDEX(Population!$CH$3:$CH$177,A154,1))</f>
        <v>69.371138002059737</v>
      </c>
      <c r="J154" t="str">
        <f>IF(A154="","",IFERROR(INDEX('Result data'!$R$216:$AC$390,A154,'Config!'!$BA$17),"."))</f>
        <v>.</v>
      </c>
      <c r="K154" s="8" t="str">
        <f t="shared" si="5"/>
        <v>.</v>
      </c>
      <c r="L154" t="str">
        <f>IF(A154="","",IFERROR(INDEX('Result data'!$ES$216:$FB$390,A154,$L$1)/J154*100,"."))</f>
        <v>.</v>
      </c>
      <c r="M154">
        <f>IF(A154="","",IFERROR(INDEX('Result data'!$BS$216:$CD$390,A154,'Config!'!$BA$17)/1000000,"."))</f>
        <v>0</v>
      </c>
      <c r="N154">
        <f>IF(A154="","",IFERROR(INDEX('Result data'!$AE$216:$AP$390,A154,'Config!'!$BA$17),"."))</f>
        <v>0</v>
      </c>
      <c r="O154" t="str">
        <f>INDEX(Language!$B$149:$B$308,MATCH(C154,Language!$C$149:$C$308,0))</f>
        <v>Tunisia</v>
      </c>
    </row>
    <row r="155" spans="1:15" x14ac:dyDescent="0.25">
      <c r="A155" s="2">
        <f>'Config!'!C153</f>
        <v>159</v>
      </c>
      <c r="B155" s="2" t="str">
        <f t="shared" si="4"/>
        <v xml:space="preserve">Turquemenistão 
</v>
      </c>
      <c r="C155" s="3" t="str">
        <f>'Config!'!A153</f>
        <v>Turquemenistão</v>
      </c>
      <c r="D155" s="3" t="str">
        <f>'Config!'!B153</f>
        <v>Ásia-Pacífico</v>
      </c>
      <c r="E155" t="str">
        <f>INDEX(G155:N155,1,SUMIF($G$3:$N$3,WorldMap!$Q$1,$G$2:$N$2))</f>
        <v>.</v>
      </c>
      <c r="F155" t="str">
        <f>INDEX(G155:N155,1,SUMIF($G$3:$N$3,WorldMap!$Q$1,$G$2:$N$2))</f>
        <v>.</v>
      </c>
      <c r="G155" s="9">
        <f>IF(A155="","",INDEX(Population!$BD$3:$BP$177,A155,'Config!'!$AZ$17+1)/1000000)</f>
        <v>5.1729409999999998</v>
      </c>
      <c r="H155" s="38">
        <f>IF(A155="","",INDEX(GDP!$G$3:$S$177,A155,'Config!'!$AZ$17+1)*1000/G155)</f>
        <v>6797.7211660283374</v>
      </c>
      <c r="I155">
        <f>IF(A155="","",G155*1000000/INDEX(Population!$CH$3:$CH$177,A155,1))</f>
        <v>11.007896920817995</v>
      </c>
      <c r="J155" t="str">
        <f>IF(A155="","",IFERROR(INDEX('Result data'!$R$216:$AC$390,A155,'Config!'!$BA$17),"."))</f>
        <v>.</v>
      </c>
      <c r="K155" s="8" t="str">
        <f t="shared" si="5"/>
        <v>.</v>
      </c>
      <c r="L155" t="str">
        <f>IF(A155="","",IFERROR(INDEX('Result data'!$ES$216:$FB$390,A155,$L$1)/J155*100,"."))</f>
        <v>.</v>
      </c>
      <c r="M155">
        <f>IF(A155="","",IFERROR(INDEX('Result data'!$BS$216:$CD$390,A155,'Config!'!$BA$17)/1000000,"."))</f>
        <v>0</v>
      </c>
      <c r="N155">
        <f>IF(A155="","",IFERROR(INDEX('Result data'!$AE$216:$AP$390,A155,'Config!'!$BA$17),"."))</f>
        <v>0</v>
      </c>
      <c r="O155" t="str">
        <f>INDEX(Language!$B$149:$B$308,MATCH(C155,Language!$C$149:$C$308,0))</f>
        <v>Turkmenistan</v>
      </c>
    </row>
    <row r="156" spans="1:15" x14ac:dyDescent="0.25">
      <c r="A156" s="2">
        <f>'Config!'!C154</f>
        <v>161</v>
      </c>
      <c r="B156" s="2" t="str">
        <f t="shared" si="4"/>
        <v xml:space="preserve">Ucrânia 
</v>
      </c>
      <c r="C156" s="3" t="str">
        <f>'Config!'!A154</f>
        <v>Ucrânia</v>
      </c>
      <c r="D156" s="3" t="str">
        <f>'Config!'!B154</f>
        <v>Europa</v>
      </c>
      <c r="E156" t="str">
        <f>INDEX(G156:N156,1,SUMIF($G$3:$N$3,WorldMap!$Q$1,$G$2:$N$2))</f>
        <v>.</v>
      </c>
      <c r="F156" t="str">
        <f>INDEX(G156:N156,1,SUMIF($G$3:$N$3,WorldMap!$Q$1,$G$2:$N$2))</f>
        <v>.</v>
      </c>
      <c r="G156" s="9">
        <f>IF(A156="","",INDEX(Population!$BD$3:$BP$177,A156,'Config!'!$AZ$17+1)/1000000)</f>
        <v>45.593299999999999</v>
      </c>
      <c r="H156" s="38">
        <f>IF(A156="","",INDEX(GDP!$G$3:$S$177,A156,'Config!'!$AZ$17+1)*1000/G156)</f>
        <v>3855.4212801317926</v>
      </c>
      <c r="I156">
        <f>IF(A156="","",G156*1000000/INDEX(Population!$CH$3:$CH$177,A156,1))</f>
        <v>78.700050057825422</v>
      </c>
      <c r="J156" t="str">
        <f>IF(A156="","",IFERROR(INDEX('Result data'!$R$216:$AC$390,A156,'Config!'!$BA$17),"."))</f>
        <v>.</v>
      </c>
      <c r="K156" s="8" t="str">
        <f t="shared" si="5"/>
        <v>.</v>
      </c>
      <c r="L156" t="str">
        <f>IF(A156="","",IFERROR(INDEX('Result data'!$ES$216:$FB$390,A156,$L$1)/J156*100,"."))</f>
        <v>.</v>
      </c>
      <c r="M156">
        <f>IF(A156="","",IFERROR(INDEX('Result data'!$BS$216:$CD$390,A156,'Config!'!$BA$17)/1000000,"."))</f>
        <v>0</v>
      </c>
      <c r="N156">
        <f>IF(A156="","",IFERROR(INDEX('Result data'!$AE$216:$AP$390,A156,'Config!'!$BA$17),"."))</f>
        <v>0</v>
      </c>
      <c r="O156" t="str">
        <f>INDEX(Language!$B$149:$B$308,MATCH(C156,Language!$C$149:$C$308,0))</f>
        <v>Ukraine</v>
      </c>
    </row>
    <row r="157" spans="1:15" x14ac:dyDescent="0.25">
      <c r="A157" s="2">
        <f>'Config!'!C155</f>
        <v>160</v>
      </c>
      <c r="B157" s="2" t="str">
        <f t="shared" si="4"/>
        <v xml:space="preserve">Uganda 
</v>
      </c>
      <c r="C157" s="3" t="str">
        <f>'Config!'!A155</f>
        <v>Uganda</v>
      </c>
      <c r="D157" s="3" t="str">
        <f>'Config!'!B155</f>
        <v>África Subsaariana</v>
      </c>
      <c r="E157" t="str">
        <f>INDEX(G157:N157,1,SUMIF($G$3:$N$3,WorldMap!$Q$1,$G$2:$N$2))</f>
        <v>.</v>
      </c>
      <c r="F157" t="str">
        <f>INDEX(G157:N157,1,SUMIF($G$3:$N$3,WorldMap!$Q$1,$G$2:$N$2))</f>
        <v>.</v>
      </c>
      <c r="G157" s="9">
        <f>IF(A157="","",INDEX(Population!$BD$3:$BP$177,A157,'Config!'!$AZ$17+1)/1000000)</f>
        <v>35.400620000000004</v>
      </c>
      <c r="H157" s="38">
        <f>IF(A157="","",INDEX(GDP!$G$3:$S$177,A157,'Config!'!$AZ$17+1)*1000/G157)</f>
        <v>652.93470612634781</v>
      </c>
      <c r="I157">
        <f>IF(A157="","",G157*1000000/INDEX(Population!$CH$3:$CH$177,A157,1))</f>
        <v>179.60740740740741</v>
      </c>
      <c r="J157" t="str">
        <f>IF(A157="","",IFERROR(INDEX('Result data'!$R$216:$AC$390,A157,'Config!'!$BA$17),"."))</f>
        <v>.</v>
      </c>
      <c r="K157" s="8" t="str">
        <f t="shared" si="5"/>
        <v>.</v>
      </c>
      <c r="L157" t="str">
        <f>IF(A157="","",IFERROR(INDEX('Result data'!$ES$216:$FB$390,A157,$L$1)/J157*100,"."))</f>
        <v>.</v>
      </c>
      <c r="M157">
        <f>IF(A157="","",IFERROR(INDEX('Result data'!$BS$216:$CD$390,A157,'Config!'!$BA$17)/1000000,"."))</f>
        <v>0</v>
      </c>
      <c r="N157">
        <f>IF(A157="","",IFERROR(INDEX('Result data'!$AE$216:$AP$390,A157,'Config!'!$BA$17),"."))</f>
        <v>0</v>
      </c>
      <c r="O157" t="str">
        <f>INDEX(Language!$B$149:$B$308,MATCH(C157,Language!$C$149:$C$308,0))</f>
        <v>Uganda</v>
      </c>
    </row>
    <row r="158" spans="1:15" x14ac:dyDescent="0.25">
      <c r="A158" s="2">
        <f>'Config!'!C156</f>
        <v>164</v>
      </c>
      <c r="B158" s="2" t="str">
        <f t="shared" si="4"/>
        <v xml:space="preserve">Uruguai 
</v>
      </c>
      <c r="C158" s="3" t="str">
        <f>'Config!'!A156</f>
        <v>Uruguai</v>
      </c>
      <c r="D158" s="3" t="str">
        <f>'Config!'!B156</f>
        <v>América do Sul</v>
      </c>
      <c r="E158" t="str">
        <f>INDEX(G158:N158,1,SUMIF($G$3:$N$3,WorldMap!$Q$1,$G$2:$N$2))</f>
        <v>.</v>
      </c>
      <c r="F158" t="str">
        <f>INDEX(G158:N158,1,SUMIF($G$3:$N$3,WorldMap!$Q$1,$G$2:$N$2))</f>
        <v>.</v>
      </c>
      <c r="G158" s="9">
        <f>IF(A158="","",INDEX(Population!$BD$3:$BP$177,A158,'Config!'!$AZ$17+1)/1000000)</f>
        <v>3.3967529999999999</v>
      </c>
      <c r="H158" s="38">
        <f>IF(A158="","",INDEX(GDP!$G$3:$S$177,A158,'Config!'!$AZ$17+1)*1000/G158)</f>
        <v>15092.174825926673</v>
      </c>
      <c r="I158">
        <f>IF(A158="","",G158*1000000/INDEX(Population!$CH$3:$CH$177,A158,1))</f>
        <v>19.408353569694025</v>
      </c>
      <c r="J158" t="str">
        <f>IF(A158="","",IFERROR(INDEX('Result data'!$R$216:$AC$390,A158,'Config!'!$BA$17),"."))</f>
        <v>.</v>
      </c>
      <c r="K158" s="8" t="str">
        <f t="shared" si="5"/>
        <v>.</v>
      </c>
      <c r="L158" t="str">
        <f>IF(A158="","",IFERROR(INDEX('Result data'!$ES$216:$FB$390,A158,$L$1)/J158*100,"."))</f>
        <v>.</v>
      </c>
      <c r="M158">
        <f>IF(A158="","",IFERROR(INDEX('Result data'!$BS$216:$CD$390,A158,'Config!'!$BA$17)/1000000,"."))</f>
        <v>0</v>
      </c>
      <c r="N158">
        <f>IF(A158="","",IFERROR(INDEX('Result data'!$AE$216:$AP$390,A158,'Config!'!$BA$17),"."))</f>
        <v>0</v>
      </c>
      <c r="O158" t="str">
        <f>INDEX(Language!$B$149:$B$308,MATCH(C158,Language!$C$149:$C$308,0))</f>
        <v>Uruguay</v>
      </c>
    </row>
    <row r="159" spans="1:15" x14ac:dyDescent="0.25">
      <c r="A159" s="2">
        <f>'Config!'!C157</f>
        <v>165</v>
      </c>
      <c r="B159" s="2" t="str">
        <f t="shared" si="4"/>
        <v xml:space="preserve">Uzbequistão 
</v>
      </c>
      <c r="C159" s="3" t="str">
        <f>'Config!'!A157</f>
        <v>Uzbequistão</v>
      </c>
      <c r="D159" s="3" t="str">
        <f>'Config!'!B157</f>
        <v>Ásia-Pacífico</v>
      </c>
      <c r="E159" t="str">
        <f>INDEX(G159:N159,1,SUMIF($G$3:$N$3,WorldMap!$Q$1,$G$2:$N$2))</f>
        <v>.</v>
      </c>
      <c r="F159" t="str">
        <f>INDEX(G159:N159,1,SUMIF($G$3:$N$3,WorldMap!$Q$1,$G$2:$N$2))</f>
        <v>.</v>
      </c>
      <c r="G159" s="9">
        <f>IF(A159="","",INDEX(Population!$BD$3:$BP$177,A159,'Config!'!$AZ$17+1)/1000000)</f>
        <v>29.7745</v>
      </c>
      <c r="H159" s="38">
        <f>IF(A159="","",INDEX(GDP!$G$3:$S$177,A159,'Config!'!$AZ$17+1)*1000/G159)</f>
        <v>1740.4682979775032</v>
      </c>
      <c r="I159">
        <f>IF(A159="","",G159*1000000/INDEX(Population!$CH$3:$CH$177,A159,1))</f>
        <v>69.991772449459333</v>
      </c>
      <c r="J159" t="str">
        <f>IF(A159="","",IFERROR(INDEX('Result data'!$R$216:$AC$390,A159,'Config!'!$BA$17),"."))</f>
        <v>.</v>
      </c>
      <c r="K159" s="8" t="str">
        <f t="shared" si="5"/>
        <v>.</v>
      </c>
      <c r="L159" t="str">
        <f>IF(A159="","",IFERROR(INDEX('Result data'!$ES$216:$FB$390,A159,$L$1)/J159*100,"."))</f>
        <v>.</v>
      </c>
      <c r="M159">
        <f>IF(A159="","",IFERROR(INDEX('Result data'!$BS$216:$CD$390,A159,'Config!'!$BA$17)/1000000,"."))</f>
        <v>0</v>
      </c>
      <c r="N159">
        <f>IF(A159="","",IFERROR(INDEX('Result data'!$AE$216:$AP$390,A159,'Config!'!$BA$17),"."))</f>
        <v>0</v>
      </c>
      <c r="O159" t="str">
        <f>INDEX(Language!$B$149:$B$308,MATCH(C159,Language!$C$149:$C$308,0))</f>
        <v>Uzbekistan</v>
      </c>
    </row>
    <row r="160" spans="1:15" x14ac:dyDescent="0.25">
      <c r="A160" s="2">
        <f>'Config!'!C158</f>
        <v>166</v>
      </c>
      <c r="B160" s="2" t="str">
        <f t="shared" si="4"/>
        <v xml:space="preserve">Venezuela 
</v>
      </c>
      <c r="C160" s="3" t="str">
        <f>'Config!'!A158</f>
        <v>Venezuela</v>
      </c>
      <c r="D160" s="3" t="str">
        <f>'Config!'!B158</f>
        <v>América do Sul</v>
      </c>
      <c r="E160" t="str">
        <f>INDEX(G160:N160,1,SUMIF($G$3:$N$3,WorldMap!$Q$1,$G$2:$N$2))</f>
        <v>.</v>
      </c>
      <c r="F160" t="str">
        <f>INDEX(G160:N160,1,SUMIF($G$3:$N$3,WorldMap!$Q$1,$G$2:$N$2))</f>
        <v>.</v>
      </c>
      <c r="G160" s="9">
        <f>IF(A160="","",INDEX(Population!$BD$3:$BP$177,A160,'Config!'!$AZ$17+1)/1000000)</f>
        <v>29.854237999999999</v>
      </c>
      <c r="H160" s="38">
        <f>IF(A160="","",INDEX(GDP!$G$3:$S$177,A160,'Config!'!$AZ$17+1)*1000/G160)</f>
        <v>12771.595036110704</v>
      </c>
      <c r="I160">
        <f>IF(A160="","",G160*1000000/INDEX(Population!$CH$3:$CH$177,A160,1))</f>
        <v>33.846423672127429</v>
      </c>
      <c r="J160" t="str">
        <f>IF(A160="","",IFERROR(INDEX('Result data'!$R$216:$AC$390,A160,'Config!'!$BA$17),"."))</f>
        <v>.</v>
      </c>
      <c r="K160" s="8" t="str">
        <f t="shared" si="5"/>
        <v>.</v>
      </c>
      <c r="L160" t="str">
        <f>IF(A160="","",IFERROR(INDEX('Result data'!$ES$216:$FB$390,A160,$L$1)/J160*100,"."))</f>
        <v>.</v>
      </c>
      <c r="M160">
        <f>IF(A160="","",IFERROR(INDEX('Result data'!$BS$216:$CD$390,A160,'Config!'!$BA$17)/1000000,"."))</f>
        <v>0</v>
      </c>
      <c r="N160">
        <f>IF(A160="","",IFERROR(INDEX('Result data'!$AE$216:$AP$390,A160,'Config!'!$BA$17),"."))</f>
        <v>0</v>
      </c>
      <c r="O160" t="str">
        <f>INDEX(Language!$B$149:$B$308,MATCH(C160,Language!$C$149:$C$308,0))</f>
        <v>Venezuela</v>
      </c>
    </row>
    <row r="161" spans="1:15" x14ac:dyDescent="0.25">
      <c r="A161" s="2">
        <f>'Config!'!C159</f>
        <v>167</v>
      </c>
      <c r="B161" s="2" t="str">
        <f t="shared" si="4"/>
        <v xml:space="preserve">Vietnã 
</v>
      </c>
      <c r="C161" s="3" t="str">
        <f>'Config!'!A159</f>
        <v>Vietnã</v>
      </c>
      <c r="D161" s="3" t="str">
        <f>'Config!'!B159</f>
        <v>Ásia-Pacífico</v>
      </c>
      <c r="E161" t="str">
        <f>INDEX(G161:N161,1,SUMIF($G$3:$N$3,WorldMap!$Q$1,$G$2:$N$2))</f>
        <v>.</v>
      </c>
      <c r="F161" t="str">
        <f>INDEX(G161:N161,1,SUMIF($G$3:$N$3,WorldMap!$Q$1,$G$2:$N$2))</f>
        <v>.</v>
      </c>
      <c r="G161" s="9">
        <f>IF(A161="","",INDEX(Population!$BD$3:$BP$177,A161,'Config!'!$AZ$17+1)/1000000)</f>
        <v>88.809200000000004</v>
      </c>
      <c r="H161" s="38">
        <f>IF(A161="","",INDEX(GDP!$G$3:$S$177,A161,'Config!'!$AZ$17+1)*1000/G161)</f>
        <v>1754.5479738641002</v>
      </c>
      <c r="I161">
        <f>IF(A161="","",G161*1000000/INDEX(Population!$CH$3:$CH$177,A161,1))</f>
        <v>286.41661560292835</v>
      </c>
      <c r="J161" t="str">
        <f>IF(A161="","",IFERROR(INDEX('Result data'!$R$216:$AC$390,A161,'Config!'!$BA$17),"."))</f>
        <v>.</v>
      </c>
      <c r="K161" s="8" t="str">
        <f t="shared" si="5"/>
        <v>.</v>
      </c>
      <c r="L161" t="str">
        <f>IF(A161="","",IFERROR(INDEX('Result data'!$ES$216:$FB$390,A161,$L$1)/J161*100,"."))</f>
        <v>.</v>
      </c>
      <c r="M161">
        <f>IF(A161="","",IFERROR(INDEX('Result data'!$BS$216:$CD$390,A161,'Config!'!$BA$17)/1000000,"."))</f>
        <v>0</v>
      </c>
      <c r="N161">
        <f>IF(A161="","",IFERROR(INDEX('Result data'!$AE$216:$AP$390,A161,'Config!'!$BA$17),"."))</f>
        <v>0</v>
      </c>
      <c r="O161" t="str">
        <f>INDEX(Language!$B$149:$B$308,MATCH(C161,Language!$C$149:$C$308,0))</f>
        <v>Vietnam</v>
      </c>
    </row>
    <row r="162" spans="1:15" x14ac:dyDescent="0.25">
      <c r="A162" s="2">
        <f>'Config!'!C160</f>
        <v>169</v>
      </c>
      <c r="B162" s="2" t="str">
        <f t="shared" si="4"/>
        <v xml:space="preserve">Zâmbia 
</v>
      </c>
      <c r="C162" s="3" t="str">
        <f>'Config!'!A160</f>
        <v>Zâmbia</v>
      </c>
      <c r="D162" s="3" t="str">
        <f>'Config!'!B160</f>
        <v>África Subsaariana</v>
      </c>
      <c r="E162" t="str">
        <f>INDEX(G162:N162,1,SUMIF($G$3:$N$3,WorldMap!$Q$1,$G$2:$N$2))</f>
        <v>.</v>
      </c>
      <c r="F162" t="str">
        <f>INDEX(G162:N162,1,SUMIF($G$3:$N$3,WorldMap!$Q$1,$G$2:$N$2))</f>
        <v>.</v>
      </c>
      <c r="G162" s="9">
        <f>IF(A162="","",INDEX(Population!$BD$3:$BP$177,A162,'Config!'!$AZ$17+1)/1000000)</f>
        <v>14.786581</v>
      </c>
      <c r="H162" s="38">
        <f>IF(A162="","",INDEX(GDP!$G$3:$S$177,A162,'Config!'!$AZ$17+1)*1000/G162)</f>
        <v>1724.764548288852</v>
      </c>
      <c r="I162">
        <f>IF(A162="","",G162*1000000/INDEX(Population!$CH$3:$CH$177,A162,1))</f>
        <v>19.89053104797161</v>
      </c>
      <c r="J162" t="str">
        <f>IF(A162="","",IFERROR(INDEX('Result data'!$R$216:$AC$390,A162,'Config!'!$BA$17),"."))</f>
        <v>.</v>
      </c>
      <c r="K162" s="8" t="str">
        <f t="shared" si="5"/>
        <v>.</v>
      </c>
      <c r="L162" t="str">
        <f>IF(A162="","",IFERROR(INDEX('Result data'!$ES$216:$FB$390,A162,$L$1)/J162*100,"."))</f>
        <v>.</v>
      </c>
      <c r="M162">
        <f>IF(A162="","",IFERROR(INDEX('Result data'!$BS$216:$CD$390,A162,'Config!'!$BA$17)/1000000,"."))</f>
        <v>0</v>
      </c>
      <c r="N162">
        <f>IF(A162="","",IFERROR(INDEX('Result data'!$AE$216:$AP$390,A162,'Config!'!$BA$17),"."))</f>
        <v>0</v>
      </c>
      <c r="O162" t="str">
        <f>INDEX(Language!$B$149:$B$308,MATCH(C162,Language!$C$149:$C$308,0))</f>
        <v>Zambia</v>
      </c>
    </row>
    <row r="163" spans="1:15" x14ac:dyDescent="0.25">
      <c r="A163" s="2">
        <f>'Config!'!C161</f>
        <v>170</v>
      </c>
      <c r="B163" s="2" t="str">
        <f t="shared" si="4"/>
        <v xml:space="preserve">Zimbábue 
</v>
      </c>
      <c r="C163" s="3" t="str">
        <f>'Config!'!A161</f>
        <v>Zimbábue</v>
      </c>
      <c r="D163" s="3" t="str">
        <f>'Config!'!B161</f>
        <v>África Subsaariana</v>
      </c>
      <c r="E163" t="str">
        <f>INDEX(G163:N163,1,SUMIF($G$3:$N$3,WorldMap!$Q$1,$G$2:$N$2))</f>
        <v>.</v>
      </c>
      <c r="F163" t="str">
        <f>INDEX(G163:N163,1,SUMIF($G$3:$N$3,WorldMap!$Q$1,$G$2:$N$2))</f>
        <v>.</v>
      </c>
      <c r="G163" s="9">
        <f>IF(A163="","",INDEX(Population!$BD$3:$BP$177,A163,'Config!'!$AZ$17+1)/1000000)</f>
        <v>14.565481999999999</v>
      </c>
      <c r="H163" s="38">
        <f>IF(A163="","",INDEX(GDP!$G$3:$S$177,A163,'Config!'!$AZ$17+1)*1000/G163)</f>
        <v>1175.0280491919186</v>
      </c>
      <c r="I163">
        <f>IF(A163="","",G163*1000000/INDEX(Population!$CH$3:$CH$177,A163,1))</f>
        <v>37.651789984153943</v>
      </c>
      <c r="J163" t="str">
        <f>IF(A163="","",IFERROR(INDEX('Result data'!$R$216:$AC$390,A163,'Config!'!$BA$17),"."))</f>
        <v>.</v>
      </c>
      <c r="K163" s="8" t="str">
        <f t="shared" si="5"/>
        <v>.</v>
      </c>
      <c r="L163" t="str">
        <f>IF(A163="","",IFERROR(INDEX('Result data'!$ES$216:$FB$390,A163,$L$1)/J163*100,"."))</f>
        <v>.</v>
      </c>
      <c r="M163">
        <f>IF(A163="","",IFERROR(INDEX('Result data'!$BS$216:$CD$390,A163,'Config!'!$BA$17)/1000000,"."))</f>
        <v>0</v>
      </c>
      <c r="N163">
        <f>IF(A163="","",IFERROR(INDEX('Result data'!$AE$216:$AP$390,A163,'Config!'!$BA$17),"."))</f>
        <v>0</v>
      </c>
      <c r="O163" t="str">
        <f>INDEX(Language!$B$149:$B$308,MATCH(C163,Language!$C$149:$C$308,0))</f>
        <v>Zimbabwe</v>
      </c>
    </row>
  </sheetData>
  <conditionalFormatting sqref="F4:F163">
    <cfRule type="aboveAverage" dxfId="49" priority="1" stdDev="3"/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12">
    <tabColor rgb="FFFF0000"/>
  </sheetPr>
  <dimension ref="A1:FL569"/>
  <sheetViews>
    <sheetView showGridLines="0" topLeftCell="A116" zoomScaleNormal="100" workbookViewId="0">
      <selection activeCell="C84" sqref="C84"/>
    </sheetView>
  </sheetViews>
  <sheetFormatPr defaultRowHeight="15" x14ac:dyDescent="0.25"/>
  <cols>
    <col min="1" max="1" width="19" bestFit="1" customWidth="1"/>
    <col min="30" max="30" width="24.7109375" customWidth="1"/>
    <col min="31" max="32" width="12.140625" customWidth="1"/>
    <col min="33" max="33" width="18.7109375" customWidth="1"/>
    <col min="34" max="34" width="15.7109375" customWidth="1"/>
    <col min="35" max="35" width="17" customWidth="1"/>
    <col min="40" max="40" width="13.85546875" customWidth="1"/>
    <col min="41" max="41" width="17" customWidth="1"/>
  </cols>
  <sheetData>
    <row r="1" spans="1:168" x14ac:dyDescent="0.25">
      <c r="A1" s="158" t="s">
        <v>545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168" x14ac:dyDescent="0.25">
      <c r="A2" s="121" t="s">
        <v>470</v>
      </c>
      <c r="B2" s="122">
        <v>2011</v>
      </c>
      <c r="C2" s="122">
        <v>2012</v>
      </c>
      <c r="D2" s="122">
        <v>2013</v>
      </c>
      <c r="E2" s="122">
        <v>2014</v>
      </c>
      <c r="F2" s="122">
        <v>2015</v>
      </c>
      <c r="G2" s="122">
        <v>2016</v>
      </c>
      <c r="H2" s="122">
        <v>2017</v>
      </c>
      <c r="I2" s="122">
        <v>2018</v>
      </c>
      <c r="J2" s="122">
        <v>2019</v>
      </c>
      <c r="K2" s="122">
        <v>2020</v>
      </c>
      <c r="L2" s="122">
        <v>2021</v>
      </c>
      <c r="M2" s="122">
        <v>2022</v>
      </c>
      <c r="N2" s="121" t="s">
        <v>546</v>
      </c>
      <c r="O2" s="122">
        <v>2011</v>
      </c>
      <c r="P2" s="122">
        <v>2012</v>
      </c>
      <c r="Q2" s="122">
        <v>2013</v>
      </c>
      <c r="R2" s="122">
        <v>2014</v>
      </c>
      <c r="S2" s="122">
        <v>2015</v>
      </c>
      <c r="T2" s="122">
        <v>2016</v>
      </c>
      <c r="U2" s="122">
        <v>2017</v>
      </c>
      <c r="V2" s="122">
        <v>2018</v>
      </c>
      <c r="W2" s="122">
        <v>2019</v>
      </c>
      <c r="X2" s="122">
        <v>2020</v>
      </c>
      <c r="Y2" s="122">
        <v>2021</v>
      </c>
      <c r="Z2" s="122">
        <v>2022</v>
      </c>
      <c r="AA2" s="123"/>
      <c r="AB2" s="687" t="s">
        <v>547</v>
      </c>
      <c r="AC2" s="687"/>
      <c r="AD2" s="687"/>
      <c r="AE2" s="687"/>
      <c r="AF2" s="123"/>
      <c r="AG2" s="687" t="s">
        <v>548</v>
      </c>
      <c r="AH2" s="687"/>
      <c r="AI2" s="687"/>
      <c r="AJ2" s="687"/>
      <c r="AK2" s="123"/>
      <c r="AL2" s="687" t="s">
        <v>396</v>
      </c>
      <c r="AM2" s="687"/>
      <c r="AN2" s="687"/>
      <c r="AO2" s="687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3"/>
      <c r="CF2" s="123"/>
      <c r="CG2" s="123"/>
      <c r="CH2" s="123"/>
      <c r="CI2" s="123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  <c r="DG2" s="123"/>
      <c r="DH2" s="123"/>
      <c r="DI2" s="123"/>
      <c r="DJ2" s="123"/>
      <c r="DK2" s="123"/>
      <c r="DL2" s="123"/>
      <c r="DM2" s="123"/>
      <c r="DN2" s="123"/>
      <c r="DO2" s="123"/>
      <c r="DP2" s="123"/>
      <c r="DQ2" s="123"/>
      <c r="DR2" s="123"/>
      <c r="DS2" s="123"/>
      <c r="DT2" s="123"/>
      <c r="DU2" s="123"/>
      <c r="DV2" s="123"/>
      <c r="DW2" s="123"/>
      <c r="DX2" s="123"/>
      <c r="DY2" s="123"/>
      <c r="DZ2" s="123"/>
      <c r="EA2" s="123"/>
      <c r="EB2" s="123"/>
      <c r="EC2" s="123"/>
      <c r="ED2" s="123"/>
      <c r="EE2" s="123"/>
      <c r="EF2" s="123"/>
      <c r="EG2" s="123"/>
      <c r="EH2" s="123"/>
      <c r="EI2" s="123"/>
      <c r="EJ2" s="123"/>
      <c r="EK2" s="123"/>
      <c r="EL2" s="123"/>
      <c r="EM2" s="123"/>
      <c r="EN2" s="123"/>
      <c r="EO2" s="123"/>
      <c r="EP2" s="123"/>
      <c r="EQ2" s="123"/>
      <c r="ER2" s="123"/>
      <c r="ES2" s="123"/>
      <c r="ET2" s="123"/>
      <c r="EU2" s="123"/>
      <c r="EV2" s="123"/>
      <c r="EW2" s="123"/>
      <c r="EX2" s="123"/>
      <c r="EY2" s="123"/>
      <c r="EZ2" s="123"/>
      <c r="FA2" s="123"/>
      <c r="FB2" s="123"/>
      <c r="FC2" s="123"/>
      <c r="FD2" s="123"/>
      <c r="FE2" s="123"/>
      <c r="FF2" s="123"/>
      <c r="FG2" s="123"/>
      <c r="FH2" s="123"/>
      <c r="FI2" s="123"/>
      <c r="FJ2" s="123"/>
      <c r="FK2" s="123"/>
      <c r="FL2" s="123"/>
    </row>
    <row r="3" spans="1:168" x14ac:dyDescent="0.25">
      <c r="A3" s="123" t="s">
        <v>25</v>
      </c>
      <c r="B3" s="124">
        <v>3765942675</v>
      </c>
      <c r="C3" s="124">
        <v>3802693659</v>
      </c>
      <c r="D3" s="124">
        <v>3839569965</v>
      </c>
      <c r="E3" s="124">
        <v>3876667513</v>
      </c>
      <c r="F3" s="124">
        <v>3913740625</v>
      </c>
      <c r="G3" s="124">
        <v>3952066543.0243073</v>
      </c>
      <c r="H3" s="124">
        <v>3990870600.0486145</v>
      </c>
      <c r="I3" s="124">
        <v>4030159531.0729218</v>
      </c>
      <c r="J3" s="124">
        <v>4069940171.0972295</v>
      </c>
      <c r="K3" s="124">
        <v>4110219468.1215367</v>
      </c>
      <c r="L3" s="124">
        <v>4151004472.145844</v>
      </c>
      <c r="M3" s="124">
        <v>4192302337.1701512</v>
      </c>
      <c r="N3" s="123" t="s">
        <v>25</v>
      </c>
      <c r="O3" s="124">
        <v>127817277</v>
      </c>
      <c r="P3" s="124">
        <v>1528260930</v>
      </c>
      <c r="Q3" s="124">
        <v>0</v>
      </c>
      <c r="R3" s="124">
        <v>0</v>
      </c>
      <c r="S3" s="124">
        <v>0</v>
      </c>
      <c r="T3" s="124">
        <v>0</v>
      </c>
      <c r="U3" s="124">
        <v>0</v>
      </c>
      <c r="V3" s="124">
        <v>0</v>
      </c>
      <c r="W3" s="124">
        <v>0</v>
      </c>
      <c r="X3" s="124">
        <v>0</v>
      </c>
      <c r="Y3" s="124">
        <v>0</v>
      </c>
      <c r="Z3" s="124">
        <v>0</v>
      </c>
      <c r="AA3" s="123"/>
      <c r="AB3" t="s">
        <v>400</v>
      </c>
      <c r="AC3" t="s">
        <v>549</v>
      </c>
      <c r="AF3" s="123"/>
      <c r="AG3" t="s">
        <v>400</v>
      </c>
      <c r="AH3" t="s">
        <v>550</v>
      </c>
      <c r="AK3" s="123"/>
      <c r="AL3" t="s">
        <v>400</v>
      </c>
      <c r="AM3" t="s">
        <v>401</v>
      </c>
      <c r="AP3" s="123"/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/>
      <c r="CJ3" s="123"/>
      <c r="CK3" s="123"/>
      <c r="CL3" s="123"/>
      <c r="CM3" s="123"/>
      <c r="CN3" s="123"/>
      <c r="CO3" s="123"/>
      <c r="CP3" s="123"/>
      <c r="CQ3" s="123"/>
      <c r="CR3" s="123"/>
      <c r="CS3" s="123"/>
      <c r="CT3" s="123"/>
      <c r="CU3" s="123"/>
      <c r="CV3" s="123"/>
      <c r="CW3" s="123"/>
      <c r="CX3" s="123"/>
      <c r="CY3" s="123"/>
      <c r="CZ3" s="123"/>
      <c r="DA3" s="123"/>
      <c r="DB3" s="123"/>
      <c r="DC3" s="123"/>
      <c r="DD3" s="123"/>
      <c r="DE3" s="123"/>
      <c r="DF3" s="123"/>
      <c r="DG3" s="123"/>
      <c r="DH3" s="123"/>
      <c r="DI3" s="123"/>
      <c r="DJ3" s="123"/>
      <c r="DK3" s="123"/>
      <c r="DL3" s="123"/>
      <c r="DM3" s="123"/>
      <c r="DN3" s="123"/>
      <c r="DO3" s="123"/>
      <c r="DP3" s="123"/>
      <c r="DQ3" s="123"/>
      <c r="DR3" s="123"/>
      <c r="DS3" s="123"/>
      <c r="DT3" s="123"/>
      <c r="DU3" s="123"/>
      <c r="DV3" s="123"/>
      <c r="DW3" s="123"/>
      <c r="DX3" s="123"/>
      <c r="DY3" s="123"/>
      <c r="DZ3" s="123"/>
      <c r="EA3" s="123"/>
      <c r="EB3" s="123"/>
      <c r="EC3" s="123"/>
      <c r="ED3" s="123"/>
      <c r="EE3" s="123"/>
      <c r="EF3" s="123"/>
      <c r="EG3" s="123"/>
      <c r="EH3" s="123"/>
      <c r="EI3" s="123"/>
      <c r="EJ3" s="123"/>
      <c r="EK3" s="123"/>
      <c r="EL3" s="123"/>
      <c r="EM3" s="123"/>
      <c r="EN3" s="123"/>
      <c r="EO3" s="123"/>
      <c r="EP3" s="123"/>
      <c r="EQ3" s="123"/>
      <c r="ER3" s="123"/>
      <c r="ES3" s="123"/>
      <c r="ET3" s="123"/>
      <c r="EU3" s="123"/>
      <c r="EV3" s="123"/>
      <c r="EW3" s="123"/>
      <c r="EX3" s="123"/>
      <c r="EY3" s="123"/>
      <c r="EZ3" s="123"/>
      <c r="FA3" s="123"/>
      <c r="FB3" s="123"/>
      <c r="FC3" s="123"/>
      <c r="FD3" s="123"/>
      <c r="FE3" s="123"/>
      <c r="FF3" s="123"/>
      <c r="FG3" s="123"/>
      <c r="FH3" s="123"/>
      <c r="FI3" s="123"/>
      <c r="FJ3" s="123"/>
      <c r="FK3" s="123"/>
      <c r="FL3" s="123"/>
    </row>
    <row r="4" spans="1:168" x14ac:dyDescent="0.25">
      <c r="A4" s="123" t="s">
        <v>33</v>
      </c>
      <c r="B4" s="124">
        <v>163510619</v>
      </c>
      <c r="C4" s="124">
        <v>165859736</v>
      </c>
      <c r="D4" s="124">
        <v>168171560</v>
      </c>
      <c r="E4" s="124">
        <v>170461473</v>
      </c>
      <c r="F4" s="124">
        <v>172740074</v>
      </c>
      <c r="G4" s="124">
        <v>175168389</v>
      </c>
      <c r="H4" s="124">
        <v>177632514</v>
      </c>
      <c r="I4" s="124">
        <v>180132996</v>
      </c>
      <c r="J4" s="124">
        <v>182670394</v>
      </c>
      <c r="K4" s="124">
        <v>185245272</v>
      </c>
      <c r="L4" s="124">
        <v>187858202</v>
      </c>
      <c r="M4" s="124">
        <v>190509771</v>
      </c>
      <c r="N4" s="123" t="s">
        <v>33</v>
      </c>
      <c r="O4" s="124">
        <v>0</v>
      </c>
      <c r="P4" s="124">
        <v>122070963</v>
      </c>
      <c r="Q4" s="124">
        <v>0</v>
      </c>
      <c r="R4" s="124">
        <v>0</v>
      </c>
      <c r="S4" s="124">
        <v>0</v>
      </c>
      <c r="T4" s="124">
        <v>0</v>
      </c>
      <c r="U4" s="124">
        <v>0</v>
      </c>
      <c r="V4" s="124">
        <v>0</v>
      </c>
      <c r="W4" s="124">
        <v>0</v>
      </c>
      <c r="X4" s="124">
        <v>0</v>
      </c>
      <c r="Y4" s="124">
        <v>0</v>
      </c>
      <c r="Z4" s="124">
        <v>0</v>
      </c>
      <c r="AA4" s="123"/>
      <c r="AC4" t="s">
        <v>1</v>
      </c>
      <c r="AD4" t="s">
        <v>418</v>
      </c>
      <c r="AE4" t="s">
        <v>419</v>
      </c>
      <c r="AF4" s="123"/>
      <c r="AH4" t="s">
        <v>1</v>
      </c>
      <c r="AI4" t="s">
        <v>418</v>
      </c>
      <c r="AJ4" t="s">
        <v>419</v>
      </c>
      <c r="AK4" s="123"/>
      <c r="AM4" t="s">
        <v>1</v>
      </c>
      <c r="AN4" t="s">
        <v>418</v>
      </c>
      <c r="AO4" t="s">
        <v>419</v>
      </c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3"/>
      <c r="CA4" s="123"/>
      <c r="CB4" s="123"/>
      <c r="CC4" s="123"/>
      <c r="CD4" s="123"/>
      <c r="CE4" s="123"/>
      <c r="CF4" s="123"/>
      <c r="CG4" s="123"/>
      <c r="CH4" s="123"/>
      <c r="CI4" s="123"/>
      <c r="CJ4" s="123"/>
      <c r="CK4" s="123"/>
      <c r="CL4" s="123"/>
      <c r="CM4" s="123"/>
      <c r="CN4" s="123"/>
      <c r="CO4" s="123"/>
      <c r="CP4" s="123"/>
      <c r="CQ4" s="123"/>
      <c r="CR4" s="123"/>
      <c r="CS4" s="123"/>
      <c r="CT4" s="123"/>
      <c r="CU4" s="123"/>
      <c r="CV4" s="123"/>
      <c r="CW4" s="123"/>
      <c r="CX4" s="123"/>
      <c r="CY4" s="123"/>
      <c r="CZ4" s="123"/>
      <c r="DA4" s="123"/>
      <c r="DB4" s="123"/>
      <c r="DC4" s="123"/>
      <c r="DD4" s="123"/>
      <c r="DE4" s="123"/>
      <c r="DF4" s="123"/>
      <c r="DG4" s="123"/>
      <c r="DH4" s="123"/>
      <c r="DI4" s="123"/>
      <c r="DJ4" s="123"/>
      <c r="DK4" s="123"/>
      <c r="DL4" s="123"/>
      <c r="DM4" s="123"/>
      <c r="DN4" s="123"/>
      <c r="DO4" s="123"/>
      <c r="DP4" s="123"/>
      <c r="DQ4" s="123"/>
      <c r="DR4" s="123"/>
      <c r="DS4" s="123"/>
      <c r="DT4" s="123"/>
      <c r="DU4" s="123"/>
      <c r="DV4" s="123"/>
      <c r="DW4" s="123"/>
      <c r="DX4" s="123"/>
      <c r="DY4" s="123"/>
      <c r="DZ4" s="123"/>
      <c r="EA4" s="123"/>
      <c r="EB4" s="123"/>
      <c r="EC4" s="123"/>
      <c r="ED4" s="123"/>
      <c r="EE4" s="123"/>
      <c r="EF4" s="123"/>
      <c r="EG4" s="123"/>
      <c r="EH4" s="123"/>
      <c r="EI4" s="123"/>
      <c r="EJ4" s="123"/>
      <c r="EK4" s="123"/>
      <c r="EL4" s="123"/>
      <c r="EM4" s="123"/>
      <c r="EN4" s="123"/>
      <c r="EO4" s="123"/>
      <c r="EP4" s="123"/>
      <c r="EQ4" s="123"/>
      <c r="ER4" s="123"/>
      <c r="ES4" s="123"/>
      <c r="ET4" s="123"/>
      <c r="EU4" s="123"/>
      <c r="EV4" s="123"/>
      <c r="EW4" s="123"/>
      <c r="EX4" s="123"/>
      <c r="EY4" s="123"/>
      <c r="EZ4" s="123"/>
      <c r="FA4" s="123"/>
      <c r="FB4" s="123"/>
      <c r="FC4" s="123"/>
      <c r="FD4" s="123"/>
      <c r="FE4" s="123"/>
      <c r="FF4" s="123"/>
      <c r="FG4" s="123"/>
      <c r="FH4" s="123"/>
      <c r="FI4" s="123"/>
      <c r="FJ4" s="123"/>
      <c r="FK4" s="123"/>
      <c r="FL4" s="123"/>
    </row>
    <row r="5" spans="1:168" x14ac:dyDescent="0.25">
      <c r="A5" s="123" t="s">
        <v>7</v>
      </c>
      <c r="B5" s="124">
        <v>316063339</v>
      </c>
      <c r="C5" s="124">
        <v>317581784</v>
      </c>
      <c r="D5" s="124">
        <v>319235441</v>
      </c>
      <c r="E5" s="124">
        <v>320794524</v>
      </c>
      <c r="F5" s="124">
        <v>322125932</v>
      </c>
      <c r="G5" s="124">
        <v>323630785.99939942</v>
      </c>
      <c r="H5" s="124">
        <v>325162386.99879879</v>
      </c>
      <c r="I5" s="124">
        <v>326721128.99819821</v>
      </c>
      <c r="J5" s="124">
        <v>328307410.99759763</v>
      </c>
      <c r="K5" s="124">
        <v>329921643.996997</v>
      </c>
      <c r="L5" s="124">
        <v>331564239.99639642</v>
      </c>
      <c r="M5" s="124">
        <v>333235617.99579585</v>
      </c>
      <c r="N5" s="123" t="s">
        <v>7</v>
      </c>
      <c r="O5" s="124">
        <v>0</v>
      </c>
      <c r="P5" s="124">
        <v>5018573</v>
      </c>
      <c r="Q5" s="124">
        <v>0</v>
      </c>
      <c r="R5" s="124">
        <v>0</v>
      </c>
      <c r="S5" s="124">
        <v>0</v>
      </c>
      <c r="T5" s="124">
        <v>0</v>
      </c>
      <c r="U5" s="124">
        <v>0</v>
      </c>
      <c r="V5" s="124">
        <v>0</v>
      </c>
      <c r="W5" s="124">
        <v>0</v>
      </c>
      <c r="X5" s="124">
        <v>0</v>
      </c>
      <c r="Y5" s="124">
        <v>0</v>
      </c>
      <c r="Z5" s="124">
        <v>0</v>
      </c>
      <c r="AA5" s="123"/>
      <c r="AB5" t="s">
        <v>425</v>
      </c>
      <c r="AC5" t="s">
        <v>547</v>
      </c>
      <c r="AD5" t="s">
        <v>551</v>
      </c>
      <c r="AE5" s="28">
        <v>12.735408065658071</v>
      </c>
      <c r="AF5" s="123"/>
      <c r="AG5" t="s">
        <v>425</v>
      </c>
      <c r="AH5" t="s">
        <v>548</v>
      </c>
      <c r="AI5" t="s">
        <v>552</v>
      </c>
      <c r="AJ5" s="8">
        <v>-2.0412414523193156</v>
      </c>
      <c r="AK5" s="123"/>
      <c r="AL5" t="s">
        <v>425</v>
      </c>
      <c r="AM5" t="s">
        <v>427</v>
      </c>
      <c r="AN5">
        <v>0</v>
      </c>
      <c r="AO5" s="39">
        <v>5119786.234499516</v>
      </c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"/>
      <c r="CG5" s="123"/>
      <c r="CH5" s="123"/>
      <c r="CI5" s="123"/>
      <c r="CJ5" s="123"/>
      <c r="CK5" s="123"/>
      <c r="CL5" s="123"/>
      <c r="CM5" s="123"/>
      <c r="CN5" s="123"/>
      <c r="CO5" s="123"/>
      <c r="CP5" s="123"/>
      <c r="CQ5" s="123"/>
      <c r="CR5" s="123"/>
      <c r="CS5" s="123"/>
      <c r="CT5" s="123"/>
      <c r="CU5" s="123"/>
      <c r="CV5" s="123"/>
      <c r="CW5" s="123"/>
      <c r="CX5" s="123"/>
      <c r="CY5" s="123"/>
      <c r="CZ5" s="123"/>
      <c r="DA5" s="123"/>
      <c r="DB5" s="123"/>
      <c r="DC5" s="123"/>
      <c r="DD5" s="123"/>
      <c r="DE5" s="123"/>
      <c r="DF5" s="123"/>
      <c r="DG5" s="123"/>
      <c r="DH5" s="123"/>
      <c r="DI5" s="123"/>
      <c r="DJ5" s="123"/>
      <c r="DK5" s="123"/>
      <c r="DL5" s="123"/>
      <c r="DM5" s="123"/>
      <c r="DN5" s="123"/>
      <c r="DO5" s="123"/>
      <c r="DP5" s="123"/>
      <c r="DQ5" s="123"/>
      <c r="DR5" s="123"/>
      <c r="DS5" s="123"/>
      <c r="DT5" s="123"/>
      <c r="DU5" s="123"/>
      <c r="DV5" s="123"/>
      <c r="DW5" s="123"/>
      <c r="DX5" s="123"/>
      <c r="DY5" s="123"/>
      <c r="DZ5" s="123"/>
      <c r="EA5" s="123"/>
      <c r="EB5" s="123"/>
      <c r="EC5" s="123"/>
      <c r="ED5" s="123"/>
      <c r="EE5" s="123"/>
      <c r="EF5" s="123"/>
      <c r="EG5" s="123"/>
      <c r="EH5" s="123"/>
      <c r="EI5" s="123"/>
      <c r="EJ5" s="123"/>
      <c r="EK5" s="123"/>
      <c r="EL5" s="123"/>
      <c r="EM5" s="123"/>
      <c r="EN5" s="123"/>
      <c r="EO5" s="123"/>
      <c r="EP5" s="123"/>
      <c r="EQ5" s="123"/>
      <c r="ER5" s="123"/>
      <c r="ES5" s="123"/>
      <c r="ET5" s="123"/>
      <c r="EU5" s="123"/>
      <c r="EV5" s="123"/>
      <c r="EW5" s="123"/>
      <c r="EX5" s="123"/>
      <c r="EY5" s="123"/>
      <c r="EZ5" s="123"/>
      <c r="FA5" s="123"/>
      <c r="FB5" s="123"/>
      <c r="FC5" s="123"/>
      <c r="FD5" s="123"/>
      <c r="FE5" s="123"/>
      <c r="FF5" s="123"/>
      <c r="FG5" s="123"/>
      <c r="FH5" s="123"/>
      <c r="FI5" s="123"/>
      <c r="FJ5" s="123"/>
      <c r="FK5" s="123"/>
      <c r="FL5" s="123"/>
    </row>
    <row r="6" spans="1:168" x14ac:dyDescent="0.25">
      <c r="A6" s="123" t="s">
        <v>23</v>
      </c>
      <c r="B6" s="124">
        <v>501245959</v>
      </c>
      <c r="C6" s="124">
        <v>500831017</v>
      </c>
      <c r="D6" s="124">
        <v>503795199</v>
      </c>
      <c r="E6" s="124">
        <v>504106346</v>
      </c>
      <c r="F6" s="124">
        <v>505443957</v>
      </c>
      <c r="G6" s="124">
        <v>506067668.01857603</v>
      </c>
      <c r="H6" s="124">
        <v>506699537.03715205</v>
      </c>
      <c r="I6" s="124">
        <v>507339594.05572802</v>
      </c>
      <c r="J6" s="124">
        <v>507987867.07430404</v>
      </c>
      <c r="K6" s="124">
        <v>508644384.09288007</v>
      </c>
      <c r="L6" s="124">
        <v>509309170.11145604</v>
      </c>
      <c r="M6" s="124">
        <v>509982266.13003206</v>
      </c>
      <c r="N6" s="123" t="s">
        <v>23</v>
      </c>
      <c r="O6" s="124">
        <v>145056591</v>
      </c>
      <c r="P6" s="124">
        <v>209785913</v>
      </c>
      <c r="Q6" s="124">
        <v>0</v>
      </c>
      <c r="R6" s="124">
        <v>0</v>
      </c>
      <c r="S6" s="124">
        <v>0</v>
      </c>
      <c r="T6" s="124">
        <v>0</v>
      </c>
      <c r="U6" s="124">
        <v>0</v>
      </c>
      <c r="V6" s="124">
        <v>0</v>
      </c>
      <c r="W6" s="124">
        <v>0</v>
      </c>
      <c r="X6" s="124">
        <v>0</v>
      </c>
      <c r="Y6" s="124">
        <v>0</v>
      </c>
      <c r="Z6" s="124">
        <v>0</v>
      </c>
      <c r="AA6" s="123"/>
      <c r="AB6" t="s">
        <v>433</v>
      </c>
      <c r="AC6" t="s">
        <v>433</v>
      </c>
      <c r="AD6" s="21">
        <v>0.50483632359946717</v>
      </c>
      <c r="AE6" s="21">
        <v>1</v>
      </c>
      <c r="AF6" s="123"/>
      <c r="AG6" t="s">
        <v>433</v>
      </c>
      <c r="AH6" t="s">
        <v>433</v>
      </c>
      <c r="AI6" s="8">
        <v>25</v>
      </c>
      <c r="AJ6" s="21">
        <v>1</v>
      </c>
      <c r="AK6" s="123"/>
      <c r="AM6" t="s">
        <v>430</v>
      </c>
      <c r="AN6" s="28">
        <v>300000</v>
      </c>
      <c r="AO6" s="39">
        <v>0</v>
      </c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23"/>
      <c r="CB6" s="123"/>
      <c r="CC6" s="123"/>
      <c r="CD6" s="123"/>
      <c r="CE6" s="123"/>
      <c r="CF6" s="123"/>
      <c r="CG6" s="123"/>
      <c r="CH6" s="123"/>
      <c r="CI6" s="123"/>
      <c r="CJ6" s="123"/>
      <c r="CK6" s="123"/>
      <c r="CL6" s="123"/>
      <c r="CM6" s="123"/>
      <c r="CN6" s="123"/>
      <c r="CO6" s="123"/>
      <c r="CP6" s="123"/>
      <c r="CQ6" s="123"/>
      <c r="CR6" s="123"/>
      <c r="CS6" s="123"/>
      <c r="CT6" s="123"/>
      <c r="CU6" s="123"/>
      <c r="CV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  <c r="EG6" s="123"/>
      <c r="EH6" s="123"/>
      <c r="EI6" s="123"/>
      <c r="EJ6" s="123"/>
      <c r="EK6" s="123"/>
      <c r="EL6" s="123"/>
      <c r="EM6" s="123"/>
      <c r="EN6" s="123"/>
      <c r="EO6" s="123"/>
      <c r="EP6" s="123"/>
      <c r="EQ6" s="123"/>
      <c r="ER6" s="123"/>
      <c r="ES6" s="123"/>
      <c r="ET6" s="123"/>
      <c r="EU6" s="123"/>
      <c r="EV6" s="123"/>
      <c r="EW6" s="123"/>
      <c r="EX6" s="123"/>
      <c r="EY6" s="123"/>
      <c r="EZ6" s="123"/>
      <c r="FA6" s="123"/>
      <c r="FB6" s="123"/>
      <c r="FC6" s="123"/>
      <c r="FD6" s="123"/>
      <c r="FE6" s="123"/>
      <c r="FF6" s="123"/>
      <c r="FG6" s="123"/>
      <c r="FH6" s="123"/>
      <c r="FI6" s="123"/>
      <c r="FJ6" s="123"/>
      <c r="FK6" s="123"/>
      <c r="FL6" s="123"/>
    </row>
    <row r="7" spans="1:168" x14ac:dyDescent="0.25">
      <c r="A7" s="123" t="s">
        <v>9</v>
      </c>
      <c r="B7" s="124">
        <v>388089033</v>
      </c>
      <c r="C7" s="124">
        <v>395713338</v>
      </c>
      <c r="D7" s="124">
        <v>403274505</v>
      </c>
      <c r="E7" s="124">
        <v>410803621</v>
      </c>
      <c r="F7" s="124">
        <v>418323920</v>
      </c>
      <c r="G7" s="124">
        <v>426615538</v>
      </c>
      <c r="H7" s="124">
        <v>435159334</v>
      </c>
      <c r="I7" s="124">
        <v>443964433</v>
      </c>
      <c r="J7" s="124">
        <v>453040468</v>
      </c>
      <c r="K7" s="124">
        <v>462397606</v>
      </c>
      <c r="L7" s="124">
        <v>472046591</v>
      </c>
      <c r="M7" s="124">
        <v>481998779</v>
      </c>
      <c r="N7" s="123" t="s">
        <v>9</v>
      </c>
      <c r="O7" s="124">
        <v>0</v>
      </c>
      <c r="P7" s="124">
        <v>0</v>
      </c>
      <c r="Q7" s="124">
        <v>0</v>
      </c>
      <c r="R7" s="124">
        <v>0</v>
      </c>
      <c r="S7" s="124">
        <v>0</v>
      </c>
      <c r="T7" s="124">
        <v>0</v>
      </c>
      <c r="U7" s="124">
        <v>0</v>
      </c>
      <c r="V7" s="124">
        <v>0</v>
      </c>
      <c r="W7" s="124">
        <v>0</v>
      </c>
      <c r="X7" s="124">
        <v>0</v>
      </c>
      <c r="Y7" s="124">
        <v>0</v>
      </c>
      <c r="Z7" s="124">
        <v>0</v>
      </c>
      <c r="AA7" s="123"/>
      <c r="AB7" t="s">
        <v>436</v>
      </c>
      <c r="AC7" t="s">
        <v>437</v>
      </c>
      <c r="AD7" s="28">
        <v>25556.774828931641</v>
      </c>
      <c r="AE7" s="21">
        <v>0.4</v>
      </c>
      <c r="AF7" s="123"/>
      <c r="AG7" t="s">
        <v>436</v>
      </c>
      <c r="AH7" t="s">
        <v>437</v>
      </c>
      <c r="AI7" s="406">
        <v>22500</v>
      </c>
      <c r="AJ7" s="21">
        <v>-0.25</v>
      </c>
      <c r="AK7" s="123"/>
      <c r="AM7" t="s">
        <v>433</v>
      </c>
      <c r="AN7" s="9">
        <v>5000000</v>
      </c>
      <c r="AO7" s="21">
        <v>1</v>
      </c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3"/>
      <c r="CC7" s="123"/>
      <c r="CD7" s="123"/>
      <c r="CE7" s="123"/>
      <c r="CF7" s="123"/>
      <c r="CG7" s="123"/>
      <c r="CH7" s="123"/>
      <c r="CI7" s="123"/>
      <c r="CJ7" s="123"/>
      <c r="CK7" s="123"/>
      <c r="CL7" s="123"/>
      <c r="CM7" s="123"/>
      <c r="CN7" s="123"/>
      <c r="CO7" s="123"/>
      <c r="CP7" s="123"/>
      <c r="CQ7" s="123"/>
      <c r="CR7" s="123"/>
      <c r="CS7" s="123"/>
      <c r="CT7" s="123"/>
      <c r="CU7" s="123"/>
      <c r="CV7" s="123"/>
      <c r="CW7" s="123"/>
      <c r="CX7" s="123"/>
      <c r="CY7" s="123"/>
      <c r="CZ7" s="123"/>
      <c r="DA7" s="123"/>
      <c r="DB7" s="123"/>
      <c r="DC7" s="123"/>
      <c r="DD7" s="123"/>
      <c r="DE7" s="123"/>
      <c r="DF7" s="123"/>
      <c r="DG7" s="123"/>
      <c r="DH7" s="123"/>
      <c r="DI7" s="123"/>
      <c r="DJ7" s="123"/>
      <c r="DK7" s="123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123"/>
      <c r="EO7" s="12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FL7" s="123"/>
    </row>
    <row r="8" spans="1:168" x14ac:dyDescent="0.25">
      <c r="A8" s="123" t="s">
        <v>36</v>
      </c>
      <c r="B8" s="124">
        <v>346126201</v>
      </c>
      <c r="C8" s="124">
        <v>348918897</v>
      </c>
      <c r="D8" s="124">
        <v>351647895</v>
      </c>
      <c r="E8" s="124">
        <v>354516198</v>
      </c>
      <c r="F8" s="124">
        <v>357335829</v>
      </c>
      <c r="G8" s="124">
        <v>360187358</v>
      </c>
      <c r="H8" s="124">
        <v>363061925</v>
      </c>
      <c r="I8" s="124">
        <v>365959721</v>
      </c>
      <c r="J8" s="124">
        <v>368880935</v>
      </c>
      <c r="K8" s="124">
        <v>371825760</v>
      </c>
      <c r="L8" s="124">
        <v>374794389</v>
      </c>
      <c r="M8" s="124">
        <v>377787017</v>
      </c>
      <c r="N8" s="123" t="s">
        <v>36</v>
      </c>
      <c r="O8" s="124">
        <v>311718857</v>
      </c>
      <c r="P8" s="124">
        <v>348854099</v>
      </c>
      <c r="Q8" s="124">
        <v>0</v>
      </c>
      <c r="R8" s="124">
        <v>0</v>
      </c>
      <c r="S8" s="124">
        <v>0</v>
      </c>
      <c r="T8" s="124">
        <v>0</v>
      </c>
      <c r="U8" s="124">
        <v>0</v>
      </c>
      <c r="V8" s="124">
        <v>0</v>
      </c>
      <c r="W8" s="124">
        <v>0</v>
      </c>
      <c r="X8" s="124">
        <v>0</v>
      </c>
      <c r="Y8" s="124">
        <v>0</v>
      </c>
      <c r="Z8" s="124">
        <v>0</v>
      </c>
      <c r="AA8" s="123"/>
      <c r="AB8" t="s">
        <v>440</v>
      </c>
      <c r="AC8" t="s">
        <v>553</v>
      </c>
      <c r="AD8" s="8">
        <v>0.01</v>
      </c>
      <c r="AE8" s="21">
        <v>2.5000000000000001E-2</v>
      </c>
      <c r="AF8" s="123"/>
      <c r="AG8" s="123"/>
      <c r="AH8" s="123"/>
      <c r="AI8" s="123"/>
      <c r="AJ8" s="123"/>
      <c r="AK8" s="123"/>
      <c r="AL8" t="s">
        <v>436</v>
      </c>
      <c r="AM8" t="s">
        <v>437</v>
      </c>
      <c r="AN8" s="406">
        <v>25514.12768148</v>
      </c>
      <c r="AO8" s="21">
        <v>60</v>
      </c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/>
      <c r="CB8" s="123"/>
      <c r="CC8" s="123"/>
      <c r="CD8" s="123"/>
      <c r="CE8" s="123"/>
      <c r="CF8" s="123"/>
      <c r="CG8" s="123"/>
      <c r="CH8" s="123"/>
      <c r="CI8" s="123"/>
      <c r="CJ8" s="123"/>
      <c r="CK8" s="123"/>
      <c r="CL8" s="123"/>
      <c r="CM8" s="123"/>
      <c r="CN8" s="123"/>
      <c r="CO8" s="123"/>
      <c r="CP8" s="123"/>
      <c r="CQ8" s="123"/>
      <c r="CR8" s="123"/>
      <c r="CS8" s="123"/>
      <c r="CT8" s="123"/>
      <c r="CU8" s="123"/>
      <c r="CV8" s="123"/>
      <c r="CW8" s="123"/>
      <c r="CX8" s="123"/>
      <c r="CY8" s="123"/>
      <c r="CZ8" s="123"/>
      <c r="DA8" s="123"/>
      <c r="DB8" s="123"/>
      <c r="DC8" s="123"/>
      <c r="DD8" s="123"/>
      <c r="DE8" s="123"/>
      <c r="DF8" s="123"/>
      <c r="DG8" s="123"/>
      <c r="DH8" s="123"/>
      <c r="DI8" s="123"/>
      <c r="DJ8" s="123"/>
      <c r="DK8" s="123"/>
      <c r="DL8" s="123"/>
      <c r="DM8" s="123"/>
      <c r="DN8" s="123"/>
      <c r="DO8" s="123"/>
      <c r="DP8" s="123"/>
      <c r="DQ8" s="123"/>
      <c r="DR8" s="123"/>
      <c r="DS8" s="123"/>
      <c r="DT8" s="123"/>
      <c r="DU8" s="123"/>
      <c r="DV8" s="123"/>
      <c r="DW8" s="123"/>
      <c r="DX8" s="123"/>
      <c r="DY8" s="123"/>
      <c r="DZ8" s="123"/>
      <c r="EA8" s="123"/>
      <c r="EB8" s="123"/>
      <c r="EC8" s="123"/>
      <c r="ED8" s="123"/>
      <c r="EE8" s="123"/>
      <c r="EF8" s="123"/>
      <c r="EG8" s="123"/>
      <c r="EH8" s="123"/>
      <c r="EI8" s="123"/>
      <c r="EJ8" s="123"/>
      <c r="EK8" s="123"/>
      <c r="EL8" s="123"/>
      <c r="EM8" s="123"/>
      <c r="EN8" s="123"/>
      <c r="EO8" s="123"/>
      <c r="EP8" s="123"/>
      <c r="EQ8" s="123"/>
      <c r="ER8" s="123"/>
      <c r="ES8" s="123"/>
      <c r="ET8" s="123"/>
      <c r="EU8" s="123"/>
      <c r="EV8" s="123"/>
      <c r="EW8" s="123"/>
      <c r="EX8" s="123"/>
      <c r="EY8" s="123"/>
      <c r="EZ8" s="123"/>
      <c r="FA8" s="123"/>
      <c r="FB8" s="123"/>
      <c r="FC8" s="123"/>
      <c r="FD8" s="123"/>
      <c r="FE8" s="123"/>
      <c r="FF8" s="123"/>
      <c r="FG8" s="123"/>
      <c r="FH8" s="123"/>
      <c r="FI8" s="123"/>
      <c r="FJ8" s="123"/>
      <c r="FK8" s="123"/>
      <c r="FL8" s="123"/>
    </row>
    <row r="9" spans="1:168" x14ac:dyDescent="0.25">
      <c r="A9" s="123" t="s">
        <v>21</v>
      </c>
      <c r="B9" s="124">
        <v>34779957</v>
      </c>
      <c r="C9" s="124">
        <v>35354283</v>
      </c>
      <c r="D9" s="124">
        <v>35939194</v>
      </c>
      <c r="E9" s="124">
        <v>36515658</v>
      </c>
      <c r="F9" s="124">
        <v>37081563</v>
      </c>
      <c r="G9" s="124">
        <v>37670962</v>
      </c>
      <c r="H9" s="124">
        <v>38270170</v>
      </c>
      <c r="I9" s="124">
        <v>38879356</v>
      </c>
      <c r="J9" s="124">
        <v>39498695</v>
      </c>
      <c r="K9" s="124">
        <v>40128361</v>
      </c>
      <c r="L9" s="124">
        <v>40768536</v>
      </c>
      <c r="M9" s="124">
        <v>41419401</v>
      </c>
      <c r="N9" s="123" t="s">
        <v>21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</v>
      </c>
      <c r="X9" s="124">
        <v>0</v>
      </c>
      <c r="Y9" s="124">
        <v>0</v>
      </c>
      <c r="Z9" s="124">
        <v>0</v>
      </c>
      <c r="AA9" s="123"/>
      <c r="AB9" t="s">
        <v>444</v>
      </c>
      <c r="AC9" t="s">
        <v>369</v>
      </c>
      <c r="AD9" s="21">
        <v>3.1300269688387488</v>
      </c>
      <c r="AE9" s="400">
        <v>0.1</v>
      </c>
      <c r="AF9" s="123"/>
      <c r="AG9" s="414" t="s">
        <v>554</v>
      </c>
      <c r="AH9" s="414"/>
      <c r="AI9" s="414"/>
      <c r="AJ9" s="414"/>
      <c r="AK9" s="123"/>
      <c r="AL9" t="s">
        <v>440</v>
      </c>
      <c r="AM9" t="s">
        <v>441</v>
      </c>
      <c r="AN9" s="421">
        <v>100</v>
      </c>
      <c r="AO9" s="9">
        <v>-15000</v>
      </c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/>
      <c r="CB9" s="123"/>
      <c r="CC9" s="123"/>
      <c r="CD9" s="123"/>
      <c r="CE9" s="123"/>
      <c r="CF9" s="123"/>
      <c r="CG9" s="123"/>
      <c r="CH9" s="123"/>
      <c r="CI9" s="123"/>
      <c r="CJ9" s="123"/>
      <c r="CK9" s="123"/>
      <c r="CL9" s="123"/>
      <c r="CM9" s="123"/>
      <c r="CN9" s="123"/>
      <c r="CO9" s="123"/>
      <c r="CP9" s="123"/>
      <c r="CQ9" s="123"/>
      <c r="CR9" s="123"/>
      <c r="CS9" s="123"/>
      <c r="CT9" s="123"/>
      <c r="CU9" s="123"/>
      <c r="CV9" s="123"/>
      <c r="CW9" s="123"/>
      <c r="CX9" s="123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123"/>
      <c r="DM9" s="123"/>
      <c r="DN9" s="123"/>
      <c r="DO9" s="123"/>
      <c r="DP9" s="123"/>
      <c r="DQ9" s="123"/>
      <c r="DR9" s="123"/>
      <c r="DS9" s="123"/>
      <c r="DT9" s="123"/>
      <c r="DU9" s="123"/>
      <c r="DV9" s="123"/>
      <c r="DW9" s="123"/>
      <c r="DX9" s="123"/>
      <c r="DY9" s="123"/>
      <c r="DZ9" s="123"/>
      <c r="EA9" s="123"/>
      <c r="EB9" s="123"/>
      <c r="EC9" s="123"/>
      <c r="ED9" s="123"/>
      <c r="EE9" s="123"/>
      <c r="EF9" s="123"/>
      <c r="EG9" s="123"/>
      <c r="EH9" s="123"/>
      <c r="EI9" s="123"/>
      <c r="EJ9" s="123"/>
      <c r="EK9" s="123"/>
      <c r="EL9" s="123"/>
      <c r="EM9" s="123"/>
      <c r="EN9" s="123"/>
      <c r="EO9" s="123"/>
      <c r="EP9" s="123"/>
      <c r="EQ9" s="123"/>
      <c r="ER9" s="123"/>
      <c r="ES9" s="123"/>
      <c r="ET9" s="123"/>
      <c r="EU9" s="123"/>
      <c r="EV9" s="123"/>
      <c r="EW9" s="123"/>
      <c r="EX9" s="123"/>
      <c r="EY9" s="123"/>
      <c r="EZ9" s="123"/>
      <c r="FA9" s="123"/>
      <c r="FB9" s="123"/>
      <c r="FC9" s="123"/>
      <c r="FD9" s="123"/>
      <c r="FE9" s="123"/>
      <c r="FF9" s="123"/>
      <c r="FG9" s="123"/>
      <c r="FH9" s="123"/>
      <c r="FI9" s="123"/>
      <c r="FJ9" s="123"/>
      <c r="FK9" s="123"/>
      <c r="FL9" s="123"/>
    </row>
    <row r="10" spans="1:168" x14ac:dyDescent="0.25">
      <c r="A10" s="123" t="s">
        <v>18</v>
      </c>
      <c r="B10" s="124">
        <v>401182686</v>
      </c>
      <c r="C10" s="124">
        <v>405500384</v>
      </c>
      <c r="D10" s="124">
        <v>409786747</v>
      </c>
      <c r="E10" s="124">
        <v>414017917</v>
      </c>
      <c r="F10" s="124">
        <v>418175687</v>
      </c>
      <c r="G10" s="124">
        <v>422582897</v>
      </c>
      <c r="H10" s="124">
        <v>427038629</v>
      </c>
      <c r="I10" s="124">
        <v>431543441</v>
      </c>
      <c r="J10" s="124">
        <v>436097900</v>
      </c>
      <c r="K10" s="124">
        <v>440702576</v>
      </c>
      <c r="L10" s="124">
        <v>445358048</v>
      </c>
      <c r="M10" s="124">
        <v>450064906</v>
      </c>
      <c r="N10" s="123" t="s">
        <v>18</v>
      </c>
      <c r="O10" s="124">
        <v>0</v>
      </c>
      <c r="P10" s="124">
        <v>0</v>
      </c>
      <c r="Q10" s="124">
        <v>0</v>
      </c>
      <c r="R10" s="124">
        <v>0</v>
      </c>
      <c r="S10" s="124">
        <v>0</v>
      </c>
      <c r="T10" s="124">
        <v>0</v>
      </c>
      <c r="U10" s="124">
        <v>0</v>
      </c>
      <c r="V10" s="124">
        <v>0</v>
      </c>
      <c r="W10" s="124">
        <v>0</v>
      </c>
      <c r="X10" s="124">
        <v>0</v>
      </c>
      <c r="Y10" s="124">
        <v>0</v>
      </c>
      <c r="Z10" s="124">
        <v>0</v>
      </c>
      <c r="AA10" s="123"/>
      <c r="AB10" t="s">
        <v>446</v>
      </c>
      <c r="AC10" t="s">
        <v>374</v>
      </c>
      <c r="AD10" s="21">
        <v>4.1990027058095896</v>
      </c>
      <c r="AE10" s="400">
        <v>2.5000000000000001E-2</v>
      </c>
      <c r="AF10" s="408" t="s">
        <v>555</v>
      </c>
      <c r="AG10" t="s">
        <v>400</v>
      </c>
      <c r="AH10" t="s">
        <v>549</v>
      </c>
      <c r="AK10" s="123"/>
      <c r="AL10" t="s">
        <v>444</v>
      </c>
      <c r="AM10" t="s">
        <v>445</v>
      </c>
      <c r="AN10" s="8">
        <v>4.0050603459791496</v>
      </c>
      <c r="AO10" s="9">
        <v>-40000</v>
      </c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  <c r="CE10" s="123"/>
      <c r="CF10" s="123"/>
      <c r="CG10" s="123"/>
      <c r="CH10" s="123"/>
      <c r="CI10" s="123"/>
      <c r="CJ10" s="123"/>
      <c r="CK10" s="123"/>
      <c r="CL10" s="123"/>
      <c r="CM10" s="123"/>
      <c r="CN10" s="123"/>
      <c r="CO10" s="123"/>
      <c r="CP10" s="123"/>
      <c r="CQ10" s="123"/>
      <c r="CR10" s="123"/>
      <c r="CS10" s="123"/>
      <c r="CT10" s="123"/>
      <c r="CU10" s="123"/>
      <c r="CV10" s="123"/>
      <c r="CW10" s="123"/>
      <c r="CX10" s="123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123"/>
      <c r="DM10" s="123"/>
      <c r="DN10" s="123"/>
      <c r="DO10" s="123"/>
      <c r="DP10" s="123"/>
      <c r="DQ10" s="123"/>
      <c r="DR10" s="123"/>
      <c r="DS10" s="123"/>
      <c r="DT10" s="123"/>
      <c r="DU10" s="123"/>
      <c r="DV10" s="123"/>
      <c r="DW10" s="123"/>
      <c r="DX10" s="123"/>
      <c r="DY10" s="123"/>
      <c r="DZ10" s="123"/>
      <c r="EA10" s="123"/>
      <c r="EB10" s="123"/>
      <c r="EC10" s="123"/>
      <c r="ED10" s="123"/>
      <c r="EE10" s="123"/>
      <c r="EF10" s="123"/>
      <c r="EG10" s="123"/>
      <c r="EH10" s="123"/>
      <c r="EI10" s="123"/>
      <c r="EJ10" s="123"/>
      <c r="EK10" s="123"/>
      <c r="EL10" s="123"/>
      <c r="EM10" s="123"/>
      <c r="EN10" s="123"/>
      <c r="EO10" s="123"/>
      <c r="EP10" s="123"/>
      <c r="EQ10" s="123"/>
      <c r="ER10" s="123"/>
      <c r="ES10" s="123"/>
      <c r="ET10" s="123"/>
      <c r="EU10" s="123"/>
      <c r="EV10" s="123"/>
      <c r="EW10" s="123"/>
      <c r="EX10" s="123"/>
      <c r="EY10" s="123"/>
      <c r="EZ10" s="123"/>
      <c r="FA10" s="123"/>
      <c r="FB10" s="123"/>
      <c r="FC10" s="123"/>
      <c r="FD10" s="123"/>
      <c r="FE10" s="123"/>
      <c r="FF10" s="123"/>
      <c r="FG10" s="123"/>
      <c r="FH10" s="123"/>
      <c r="FI10" s="123"/>
      <c r="FJ10" s="123"/>
      <c r="FK10" s="123"/>
      <c r="FL10" s="123"/>
    </row>
    <row r="11" spans="1:168" x14ac:dyDescent="0.25">
      <c r="A11" s="123" t="s">
        <v>14</v>
      </c>
      <c r="B11" s="124">
        <v>824287096</v>
      </c>
      <c r="C11" s="124">
        <v>842340099</v>
      </c>
      <c r="D11" s="124">
        <v>865755597</v>
      </c>
      <c r="E11" s="124">
        <v>889713333</v>
      </c>
      <c r="F11" s="124">
        <v>914189300</v>
      </c>
      <c r="G11" s="124">
        <v>939622015</v>
      </c>
      <c r="H11" s="124">
        <v>965783942</v>
      </c>
      <c r="I11" s="124">
        <v>992696510</v>
      </c>
      <c r="J11" s="124">
        <v>1020381791</v>
      </c>
      <c r="K11" s="124">
        <v>1048862518</v>
      </c>
      <c r="L11" s="124">
        <v>1078162105</v>
      </c>
      <c r="M11" s="124">
        <v>1108304675</v>
      </c>
      <c r="N11" s="123" t="s">
        <v>14</v>
      </c>
      <c r="O11" s="124">
        <v>0</v>
      </c>
      <c r="P11" s="124">
        <v>0</v>
      </c>
      <c r="Q11" s="124">
        <v>0</v>
      </c>
      <c r="R11" s="124">
        <v>0</v>
      </c>
      <c r="S11" s="124">
        <v>0</v>
      </c>
      <c r="T11" s="124">
        <v>0</v>
      </c>
      <c r="U11" s="124">
        <v>0</v>
      </c>
      <c r="V11" s="124">
        <v>0</v>
      </c>
      <c r="W11" s="124">
        <v>0</v>
      </c>
      <c r="X11" s="124">
        <v>0</v>
      </c>
      <c r="Y11" s="124">
        <v>0</v>
      </c>
      <c r="Z11" s="124">
        <v>0</v>
      </c>
      <c r="AA11" s="123"/>
      <c r="AB11" t="s">
        <v>453</v>
      </c>
      <c r="AC11" t="s">
        <v>493</v>
      </c>
      <c r="AD11" s="24">
        <v>3.702128210214183</v>
      </c>
      <c r="AE11" s="401">
        <v>-0.68041381743977192</v>
      </c>
      <c r="AF11" s="408">
        <v>3</v>
      </c>
      <c r="AH11" t="s">
        <v>1</v>
      </c>
      <c r="AI11" t="s">
        <v>418</v>
      </c>
      <c r="AJ11" t="s">
        <v>419</v>
      </c>
      <c r="AK11" s="123"/>
      <c r="AL11" t="s">
        <v>446</v>
      </c>
      <c r="AM11" t="s">
        <v>447</v>
      </c>
      <c r="AN11" s="421">
        <v>10.3089526606443</v>
      </c>
      <c r="AO11" s="9">
        <v>120000</v>
      </c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23"/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23"/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23"/>
      <c r="EL11" s="123"/>
      <c r="EM11" s="123"/>
      <c r="EN11" s="123"/>
      <c r="EO11" s="123"/>
      <c r="EP11" s="123"/>
      <c r="EQ11" s="123"/>
      <c r="ER11" s="123"/>
      <c r="ES11" s="123"/>
      <c r="ET11" s="123"/>
      <c r="EU11" s="123"/>
      <c r="EV11" s="123"/>
      <c r="EW11" s="123"/>
      <c r="EX11" s="123"/>
      <c r="EY11" s="123"/>
      <c r="EZ11" s="123"/>
      <c r="FA11" s="123"/>
      <c r="FB11" s="123"/>
      <c r="FC11" s="123"/>
      <c r="FD11" s="123"/>
      <c r="FE11" s="123"/>
      <c r="FF11" s="123"/>
      <c r="FG11" s="123"/>
      <c r="FH11" s="123"/>
      <c r="FI11" s="123"/>
      <c r="FJ11" s="123"/>
      <c r="FK11" s="123"/>
      <c r="FL11" s="123"/>
    </row>
    <row r="12" spans="1:168" x14ac:dyDescent="0.25">
      <c r="A12" s="123" t="s">
        <v>16</v>
      </c>
      <c r="B12" s="124">
        <v>40268607</v>
      </c>
      <c r="C12" s="124">
        <v>40539907</v>
      </c>
      <c r="D12" s="124">
        <v>40810075</v>
      </c>
      <c r="E12" s="124">
        <v>41054949</v>
      </c>
      <c r="F12" s="124">
        <v>41285936</v>
      </c>
      <c r="G12" s="124">
        <v>41550834.00476604</v>
      </c>
      <c r="H12" s="124">
        <v>41820218.009532072</v>
      </c>
      <c r="I12" s="124">
        <v>42094126.014298111</v>
      </c>
      <c r="J12" s="124">
        <v>42372604.019064151</v>
      </c>
      <c r="K12" s="124">
        <v>42655693.023830183</v>
      </c>
      <c r="L12" s="124">
        <v>42943438.028596222</v>
      </c>
      <c r="M12" s="124">
        <v>43235881.033362262</v>
      </c>
      <c r="N12" s="123" t="s">
        <v>16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4">
        <v>0</v>
      </c>
      <c r="V12" s="124">
        <v>0</v>
      </c>
      <c r="W12" s="124">
        <v>0</v>
      </c>
      <c r="X12" s="124">
        <v>0</v>
      </c>
      <c r="Y12" s="124">
        <v>0</v>
      </c>
      <c r="Z12" s="124">
        <v>0</v>
      </c>
      <c r="AA12" s="123"/>
      <c r="AB12" t="s">
        <v>556</v>
      </c>
      <c r="AC12" t="s">
        <v>557</v>
      </c>
      <c r="AD12" s="7">
        <v>0.74865486999270925</v>
      </c>
      <c r="AE12" s="402">
        <v>0.25</v>
      </c>
      <c r="AF12" s="123"/>
      <c r="AG12" t="s">
        <v>425</v>
      </c>
      <c r="AH12" t="s">
        <v>554</v>
      </c>
      <c r="AI12" t="s">
        <v>558</v>
      </c>
      <c r="AJ12" s="412">
        <v>0.15275860736917221</v>
      </c>
      <c r="AK12" s="123"/>
      <c r="AL12" t="s">
        <v>448</v>
      </c>
      <c r="AM12" t="s">
        <v>449</v>
      </c>
      <c r="AN12" s="8">
        <v>1</v>
      </c>
      <c r="AO12" s="9">
        <v>-1148135.7456666001</v>
      </c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3"/>
      <c r="CA12" s="123"/>
      <c r="CB12" s="123"/>
      <c r="CC12" s="123"/>
      <c r="CD12" s="123"/>
      <c r="CE12" s="123"/>
      <c r="CF12" s="123"/>
      <c r="CG12" s="123"/>
      <c r="CH12" s="123"/>
      <c r="CI12" s="123"/>
      <c r="CJ12" s="123"/>
      <c r="CK12" s="123"/>
      <c r="CL12" s="123"/>
      <c r="CM12" s="123"/>
      <c r="CN12" s="123"/>
      <c r="CO12" s="123"/>
      <c r="CP12" s="123"/>
      <c r="CQ12" s="123"/>
      <c r="CR12" s="123"/>
      <c r="CS12" s="123"/>
      <c r="CT12" s="123"/>
      <c r="CU12" s="123"/>
      <c r="CV12" s="123"/>
      <c r="CW12" s="123"/>
      <c r="CX12" s="123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123"/>
      <c r="DM12" s="123"/>
      <c r="DN12" s="123"/>
      <c r="DO12" s="123"/>
      <c r="DP12" s="123"/>
      <c r="DQ12" s="123"/>
      <c r="DR12" s="123"/>
      <c r="DS12" s="123"/>
      <c r="DT12" s="123"/>
      <c r="DU12" s="123"/>
      <c r="DV12" s="123"/>
      <c r="DW12" s="123"/>
      <c r="DX12" s="123"/>
      <c r="DY12" s="123"/>
      <c r="DZ12" s="123"/>
      <c r="EA12" s="123"/>
      <c r="EB12" s="123"/>
      <c r="EC12" s="123"/>
      <c r="ED12" s="123"/>
      <c r="EE12" s="123"/>
      <c r="EF12" s="123"/>
      <c r="EG12" s="123"/>
      <c r="EH12" s="123"/>
      <c r="EI12" s="123"/>
      <c r="EJ12" s="123"/>
      <c r="EK12" s="123"/>
      <c r="EL12" s="123"/>
      <c r="EM12" s="123"/>
      <c r="EN12" s="123"/>
      <c r="EO12" s="123"/>
      <c r="EP12" s="123"/>
      <c r="EQ12" s="123"/>
      <c r="ER12" s="123"/>
      <c r="ES12" s="123"/>
      <c r="ET12" s="123"/>
      <c r="EU12" s="123"/>
      <c r="EV12" s="123"/>
      <c r="EW12" s="123"/>
      <c r="EX12" s="123"/>
      <c r="EY12" s="123"/>
      <c r="EZ12" s="123"/>
      <c r="FA12" s="123"/>
      <c r="FB12" s="123"/>
      <c r="FC12" s="123"/>
      <c r="FD12" s="123"/>
      <c r="FE12" s="123"/>
      <c r="FF12" s="123"/>
      <c r="FG12" s="123"/>
      <c r="FH12" s="123"/>
      <c r="FI12" s="123"/>
      <c r="FJ12" s="123"/>
      <c r="FK12" s="123"/>
      <c r="FL12" s="123"/>
    </row>
    <row r="13" spans="1:168" x14ac:dyDescent="0.25">
      <c r="A13" s="121" t="s">
        <v>376</v>
      </c>
      <c r="B13" s="122">
        <v>2011</v>
      </c>
      <c r="C13" s="122">
        <v>2012</v>
      </c>
      <c r="D13" s="122">
        <v>2013</v>
      </c>
      <c r="E13" s="122">
        <v>2014</v>
      </c>
      <c r="F13" s="122">
        <v>2015</v>
      </c>
      <c r="G13" s="122">
        <v>2016</v>
      </c>
      <c r="H13" s="122">
        <v>2017</v>
      </c>
      <c r="I13" s="122">
        <v>2018</v>
      </c>
      <c r="J13" s="122">
        <v>2019</v>
      </c>
      <c r="K13" s="122">
        <v>2020</v>
      </c>
      <c r="L13" s="122">
        <v>2021</v>
      </c>
      <c r="M13" s="122">
        <v>2022</v>
      </c>
      <c r="N13" s="121" t="s">
        <v>559</v>
      </c>
      <c r="O13" s="122">
        <v>2011</v>
      </c>
      <c r="P13" s="122">
        <v>2012</v>
      </c>
      <c r="Q13" s="122">
        <v>2013</v>
      </c>
      <c r="R13" s="122">
        <v>2014</v>
      </c>
      <c r="S13" s="122">
        <v>2015</v>
      </c>
      <c r="T13" s="122">
        <v>2016</v>
      </c>
      <c r="U13" s="122">
        <v>2017</v>
      </c>
      <c r="V13" s="122">
        <v>2018</v>
      </c>
      <c r="W13" s="122">
        <v>2019</v>
      </c>
      <c r="X13" s="122">
        <v>2020</v>
      </c>
      <c r="Y13" s="122">
        <v>2021</v>
      </c>
      <c r="Z13" s="122">
        <v>2022</v>
      </c>
      <c r="AA13" s="123"/>
      <c r="AB13" s="123"/>
      <c r="AC13" s="123"/>
      <c r="AD13" s="123"/>
      <c r="AE13" s="123"/>
      <c r="AF13" s="123"/>
      <c r="AG13" t="s">
        <v>433</v>
      </c>
      <c r="AH13" t="s">
        <v>433</v>
      </c>
      <c r="AI13" s="413">
        <v>8.4109961040753701E-4</v>
      </c>
      <c r="AJ13" s="21">
        <v>1</v>
      </c>
      <c r="AK13" s="123"/>
      <c r="AL13" t="s">
        <v>451</v>
      </c>
      <c r="AM13" t="s">
        <v>452</v>
      </c>
      <c r="AN13" s="400">
        <v>4.0050603459791496</v>
      </c>
      <c r="AO13" s="9">
        <v>40000</v>
      </c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3"/>
      <c r="CA13" s="123"/>
      <c r="CB13" s="123"/>
      <c r="CC13" s="123"/>
      <c r="CD13" s="123"/>
      <c r="CE13" s="123"/>
      <c r="CF13" s="123"/>
      <c r="CG13" s="123"/>
      <c r="CH13" s="123"/>
      <c r="CI13" s="123"/>
      <c r="CJ13" s="123"/>
      <c r="CK13" s="123"/>
      <c r="CL13" s="123"/>
      <c r="CM13" s="123"/>
      <c r="CN13" s="123"/>
      <c r="CO13" s="123"/>
      <c r="CP13" s="123"/>
      <c r="CQ13" s="123"/>
      <c r="CR13" s="123"/>
      <c r="CS13" s="123"/>
      <c r="CT13" s="123"/>
      <c r="CU13" s="123"/>
      <c r="CV13" s="123"/>
      <c r="CW13" s="123"/>
      <c r="CX13" s="123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123"/>
      <c r="DM13" s="123"/>
      <c r="DN13" s="123"/>
      <c r="DO13" s="123"/>
      <c r="DP13" s="123"/>
      <c r="DQ13" s="123"/>
      <c r="DR13" s="123"/>
      <c r="DS13" s="123"/>
      <c r="DT13" s="123"/>
      <c r="DU13" s="123"/>
      <c r="DV13" s="123"/>
      <c r="DW13" s="123"/>
      <c r="DX13" s="123"/>
      <c r="DY13" s="123"/>
      <c r="DZ13" s="123"/>
      <c r="EA13" s="123"/>
      <c r="EB13" s="123"/>
      <c r="EC13" s="123"/>
      <c r="ED13" s="123"/>
      <c r="EE13" s="123"/>
      <c r="EF13" s="123"/>
      <c r="EG13" s="123"/>
      <c r="EH13" s="123"/>
      <c r="EI13" s="123"/>
      <c r="EJ13" s="123"/>
      <c r="EK13" s="123"/>
      <c r="EL13" s="123"/>
      <c r="EM13" s="123"/>
      <c r="EN13" s="123"/>
      <c r="EO13" s="123"/>
      <c r="EP13" s="123"/>
      <c r="EQ13" s="123"/>
      <c r="ER13" s="123"/>
      <c r="ES13" s="123"/>
      <c r="ET13" s="123"/>
      <c r="EU13" s="123"/>
      <c r="EV13" s="123"/>
      <c r="EW13" s="123"/>
      <c r="EX13" s="123"/>
      <c r="EY13" s="123"/>
      <c r="EZ13" s="123"/>
      <c r="FA13" s="123"/>
      <c r="FB13" s="123"/>
      <c r="FC13" s="123"/>
      <c r="FD13" s="123"/>
      <c r="FE13" s="123"/>
      <c r="FF13" s="123"/>
      <c r="FG13" s="123"/>
      <c r="FH13" s="123"/>
      <c r="FI13" s="123"/>
      <c r="FJ13" s="123"/>
      <c r="FK13" s="123"/>
      <c r="FL13" s="123"/>
    </row>
    <row r="14" spans="1:168" x14ac:dyDescent="0.25">
      <c r="A14" s="123" t="s">
        <v>25</v>
      </c>
      <c r="B14" s="125">
        <v>1989857</v>
      </c>
      <c r="C14" s="125">
        <v>12513868</v>
      </c>
      <c r="D14" s="125" t="s">
        <v>560</v>
      </c>
      <c r="E14" s="125" t="s">
        <v>560</v>
      </c>
      <c r="F14" s="125" t="s">
        <v>560</v>
      </c>
      <c r="G14" s="125" t="s">
        <v>560</v>
      </c>
      <c r="H14" s="125" t="s">
        <v>560</v>
      </c>
      <c r="I14" s="125" t="s">
        <v>560</v>
      </c>
      <c r="J14" s="125" t="s">
        <v>560</v>
      </c>
      <c r="K14" s="125" t="s">
        <v>560</v>
      </c>
      <c r="L14" s="125" t="s">
        <v>560</v>
      </c>
      <c r="M14" s="125" t="s">
        <v>560</v>
      </c>
      <c r="N14" t="s">
        <v>376</v>
      </c>
      <c r="O14" s="124">
        <v>8530409</v>
      </c>
      <c r="P14" s="124">
        <v>29301065</v>
      </c>
      <c r="Q14" s="124">
        <v>0</v>
      </c>
      <c r="R14" s="124">
        <v>0</v>
      </c>
      <c r="S14" s="124">
        <v>0</v>
      </c>
      <c r="T14" s="124">
        <v>0</v>
      </c>
      <c r="U14" s="124">
        <v>0</v>
      </c>
      <c r="V14" s="124">
        <v>0</v>
      </c>
      <c r="W14" s="124">
        <v>0</v>
      </c>
      <c r="X14" s="124">
        <v>0</v>
      </c>
      <c r="Y14" s="124">
        <v>0</v>
      </c>
      <c r="Z14" s="124">
        <v>0</v>
      </c>
      <c r="AB14" s="687" t="s">
        <v>561</v>
      </c>
      <c r="AC14" s="687"/>
      <c r="AD14" s="687"/>
      <c r="AE14" s="687"/>
      <c r="AG14" t="s">
        <v>436</v>
      </c>
      <c r="AH14" t="s">
        <v>437</v>
      </c>
      <c r="AI14" s="28">
        <v>25800.043812724907</v>
      </c>
      <c r="AJ14" s="21">
        <v>0.3</v>
      </c>
      <c r="AM14">
        <v>0</v>
      </c>
      <c r="AN14">
        <v>0</v>
      </c>
      <c r="AO14">
        <v>0</v>
      </c>
    </row>
    <row r="15" spans="1:168" x14ac:dyDescent="0.25">
      <c r="A15" s="123" t="s">
        <v>33</v>
      </c>
      <c r="B15" s="125" t="s">
        <v>560</v>
      </c>
      <c r="C15" s="125">
        <v>868708</v>
      </c>
      <c r="D15" s="125" t="s">
        <v>560</v>
      </c>
      <c r="E15" s="125" t="s">
        <v>560</v>
      </c>
      <c r="F15" s="125" t="s">
        <v>560</v>
      </c>
      <c r="G15" s="125" t="s">
        <v>560</v>
      </c>
      <c r="H15" s="125" t="s">
        <v>560</v>
      </c>
      <c r="I15" s="125" t="s">
        <v>560</v>
      </c>
      <c r="J15" s="125" t="s">
        <v>560</v>
      </c>
      <c r="K15" s="125" t="s">
        <v>560</v>
      </c>
      <c r="L15" s="125" t="s">
        <v>560</v>
      </c>
      <c r="M15" s="125" t="s">
        <v>560</v>
      </c>
      <c r="N15" t="s">
        <v>470</v>
      </c>
      <c r="O15" s="124">
        <v>6781496172</v>
      </c>
      <c r="P15" s="124">
        <v>6855333104</v>
      </c>
      <c r="Q15" s="124">
        <v>6937986178</v>
      </c>
      <c r="R15" s="124">
        <v>7018651532</v>
      </c>
      <c r="S15" s="124">
        <v>7100442823</v>
      </c>
      <c r="T15" s="124">
        <v>7185162990.0470486</v>
      </c>
      <c r="U15" s="124">
        <v>7271499256.0940971</v>
      </c>
      <c r="V15" s="124">
        <v>7359490837.1411467</v>
      </c>
      <c r="W15" s="124">
        <v>7449178236.1881943</v>
      </c>
      <c r="X15" s="124">
        <v>7540603282.2352438</v>
      </c>
      <c r="Y15" s="124">
        <v>7633809191.2822914</v>
      </c>
      <c r="Z15" s="124">
        <v>7728840651.3293409</v>
      </c>
      <c r="AB15" t="s">
        <v>400</v>
      </c>
      <c r="AC15" t="s">
        <v>549</v>
      </c>
      <c r="AG15" t="s">
        <v>440</v>
      </c>
      <c r="AH15" t="s">
        <v>562</v>
      </c>
      <c r="AI15" s="8">
        <v>0.01</v>
      </c>
      <c r="AJ15" s="21">
        <v>2.5000000000000001E-2</v>
      </c>
      <c r="AM15" t="s">
        <v>456</v>
      </c>
      <c r="AN15" s="7">
        <v>0.5</v>
      </c>
      <c r="AO15">
        <v>0</v>
      </c>
    </row>
    <row r="16" spans="1:168" x14ac:dyDescent="0.25">
      <c r="A16" s="123" t="s">
        <v>7</v>
      </c>
      <c r="B16" s="125" t="s">
        <v>560</v>
      </c>
      <c r="C16" s="125">
        <v>82337</v>
      </c>
      <c r="D16" s="125" t="s">
        <v>560</v>
      </c>
      <c r="E16" s="125" t="s">
        <v>560</v>
      </c>
      <c r="F16" s="125" t="s">
        <v>560</v>
      </c>
      <c r="G16" s="125" t="s">
        <v>560</v>
      </c>
      <c r="H16" s="125" t="s">
        <v>560</v>
      </c>
      <c r="I16" s="125" t="s">
        <v>560</v>
      </c>
      <c r="J16" s="125" t="s">
        <v>560</v>
      </c>
      <c r="K16" s="125" t="s">
        <v>560</v>
      </c>
      <c r="L16" s="125" t="s">
        <v>560</v>
      </c>
      <c r="M16" s="125" t="s">
        <v>560</v>
      </c>
      <c r="N16" t="s">
        <v>546</v>
      </c>
      <c r="O16" s="124">
        <v>584592725</v>
      </c>
      <c r="P16" s="124">
        <v>2213990478</v>
      </c>
      <c r="Q16" s="124">
        <v>0</v>
      </c>
      <c r="R16" s="124">
        <v>0</v>
      </c>
      <c r="S16" s="124">
        <v>0</v>
      </c>
      <c r="T16" s="124">
        <v>0</v>
      </c>
      <c r="U16" s="124">
        <v>0</v>
      </c>
      <c r="V16" s="124">
        <v>0</v>
      </c>
      <c r="W16" s="124">
        <v>0</v>
      </c>
      <c r="X16" s="124">
        <v>0</v>
      </c>
      <c r="Y16" s="124">
        <v>0</v>
      </c>
      <c r="Z16" s="124">
        <v>0</v>
      </c>
      <c r="AC16" t="s">
        <v>1</v>
      </c>
      <c r="AD16" t="s">
        <v>418</v>
      </c>
      <c r="AE16" t="s">
        <v>419</v>
      </c>
      <c r="AG16" t="s">
        <v>444</v>
      </c>
      <c r="AH16" t="s">
        <v>371</v>
      </c>
      <c r="AI16" s="21">
        <v>158.18868216218581</v>
      </c>
      <c r="AJ16" s="21">
        <v>0.3</v>
      </c>
    </row>
    <row r="17" spans="1:36" x14ac:dyDescent="0.25">
      <c r="A17" s="123" t="s">
        <v>23</v>
      </c>
      <c r="B17" s="125">
        <v>2589530</v>
      </c>
      <c r="C17" s="125">
        <v>6780601</v>
      </c>
      <c r="D17" s="125" t="s">
        <v>560</v>
      </c>
      <c r="E17" s="125" t="s">
        <v>560</v>
      </c>
      <c r="F17" s="125" t="s">
        <v>560</v>
      </c>
      <c r="G17" s="125" t="s">
        <v>560</v>
      </c>
      <c r="H17" s="125" t="s">
        <v>560</v>
      </c>
      <c r="I17" s="125" t="s">
        <v>560</v>
      </c>
      <c r="J17" s="125" t="s">
        <v>560</v>
      </c>
      <c r="K17" s="125" t="s">
        <v>560</v>
      </c>
      <c r="L17" s="125" t="s">
        <v>560</v>
      </c>
      <c r="M17" s="125" t="s">
        <v>560</v>
      </c>
      <c r="O17" s="185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  <c r="AB17" t="s">
        <v>425</v>
      </c>
      <c r="AC17" t="s">
        <v>561</v>
      </c>
      <c r="AD17" t="s">
        <v>552</v>
      </c>
      <c r="AE17" s="8">
        <v>9.8437384260783638</v>
      </c>
      <c r="AG17" t="s">
        <v>446</v>
      </c>
      <c r="AH17" t="s">
        <v>367</v>
      </c>
      <c r="AI17" s="21">
        <v>4.3309133591892888</v>
      </c>
      <c r="AJ17" s="21">
        <v>0.375</v>
      </c>
    </row>
    <row r="18" spans="1:36" x14ac:dyDescent="0.25">
      <c r="A18" s="123" t="s">
        <v>11</v>
      </c>
      <c r="B18" s="125" t="s">
        <v>560</v>
      </c>
      <c r="C18" s="125" t="s">
        <v>560</v>
      </c>
      <c r="D18" s="125" t="s">
        <v>560</v>
      </c>
      <c r="E18" s="125" t="s">
        <v>560</v>
      </c>
      <c r="F18" s="125" t="s">
        <v>560</v>
      </c>
      <c r="G18" s="125" t="s">
        <v>560</v>
      </c>
      <c r="H18" s="125" t="s">
        <v>560</v>
      </c>
      <c r="I18" s="125" t="s">
        <v>560</v>
      </c>
      <c r="J18" s="125" t="s">
        <v>560</v>
      </c>
      <c r="K18" s="125" t="s">
        <v>560</v>
      </c>
      <c r="L18" s="125" t="s">
        <v>560</v>
      </c>
      <c r="M18" s="125" t="s">
        <v>560</v>
      </c>
      <c r="O18" s="185"/>
      <c r="P18" s="185"/>
      <c r="Q18" s="185"/>
      <c r="R18" s="185"/>
      <c r="S18" s="185"/>
      <c r="T18" s="185"/>
      <c r="U18" s="185"/>
      <c r="V18" s="185"/>
      <c r="W18" s="185"/>
      <c r="X18" s="185"/>
      <c r="Y18" s="185"/>
      <c r="Z18" s="185"/>
      <c r="AB18" t="s">
        <v>433</v>
      </c>
      <c r="AC18" t="s">
        <v>433</v>
      </c>
      <c r="AD18" s="8">
        <v>10.679651368027423</v>
      </c>
      <c r="AE18" s="21">
        <v>1</v>
      </c>
      <c r="AG18" t="s">
        <v>453</v>
      </c>
      <c r="AH18" t="s">
        <v>563</v>
      </c>
      <c r="AI18" s="21">
        <v>0.75</v>
      </c>
      <c r="AJ18" s="21">
        <v>0.5</v>
      </c>
    </row>
    <row r="19" spans="1:36" x14ac:dyDescent="0.25">
      <c r="A19" s="123" t="s">
        <v>36</v>
      </c>
      <c r="B19" s="125">
        <v>3951022</v>
      </c>
      <c r="C19" s="125">
        <v>9055551</v>
      </c>
      <c r="D19" s="125" t="s">
        <v>560</v>
      </c>
      <c r="E19" s="125" t="s">
        <v>560</v>
      </c>
      <c r="F19" s="125" t="s">
        <v>560</v>
      </c>
      <c r="G19" s="125" t="s">
        <v>560</v>
      </c>
      <c r="H19" s="125" t="s">
        <v>560</v>
      </c>
      <c r="I19" s="125" t="s">
        <v>560</v>
      </c>
      <c r="J19" s="125" t="s">
        <v>560</v>
      </c>
      <c r="K19" s="125" t="s">
        <v>560</v>
      </c>
      <c r="L19" s="125" t="s">
        <v>560</v>
      </c>
      <c r="M19" s="125" t="s">
        <v>560</v>
      </c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B19" t="s">
        <v>436</v>
      </c>
      <c r="AC19" t="s">
        <v>564</v>
      </c>
      <c r="AD19" s="8">
        <v>3</v>
      </c>
      <c r="AE19" s="21">
        <v>0.6</v>
      </c>
      <c r="AG19" s="415" t="s">
        <v>565</v>
      </c>
      <c r="AH19" s="415"/>
      <c r="AI19" s="415"/>
      <c r="AJ19" s="415"/>
    </row>
    <row r="20" spans="1:36" x14ac:dyDescent="0.25">
      <c r="A20" s="123" t="s">
        <v>11</v>
      </c>
      <c r="B20" s="125" t="s">
        <v>560</v>
      </c>
      <c r="C20" s="125" t="s">
        <v>560</v>
      </c>
      <c r="D20" s="125" t="s">
        <v>560</v>
      </c>
      <c r="E20" s="125" t="s">
        <v>560</v>
      </c>
      <c r="F20" s="125" t="s">
        <v>560</v>
      </c>
      <c r="G20" s="125" t="s">
        <v>560</v>
      </c>
      <c r="H20" s="125" t="s">
        <v>560</v>
      </c>
      <c r="I20" s="125" t="s">
        <v>560</v>
      </c>
      <c r="J20" s="125" t="s">
        <v>560</v>
      </c>
      <c r="K20" s="125" t="s">
        <v>560</v>
      </c>
      <c r="L20" s="125" t="s">
        <v>560</v>
      </c>
      <c r="M20" s="125" t="s">
        <v>560</v>
      </c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B20" t="s">
        <v>440</v>
      </c>
      <c r="AC20" t="s">
        <v>566</v>
      </c>
      <c r="AD20" s="8">
        <v>10</v>
      </c>
      <c r="AE20" s="21">
        <v>0.45</v>
      </c>
      <c r="AG20" t="s">
        <v>400</v>
      </c>
      <c r="AH20" t="s">
        <v>549</v>
      </c>
    </row>
    <row r="21" spans="1:36" x14ac:dyDescent="0.25">
      <c r="A21" s="123" t="s">
        <v>11</v>
      </c>
      <c r="B21" s="125" t="s">
        <v>560</v>
      </c>
      <c r="C21" s="125" t="s">
        <v>560</v>
      </c>
      <c r="D21" s="125" t="s">
        <v>560</v>
      </c>
      <c r="E21" s="125" t="s">
        <v>560</v>
      </c>
      <c r="F21" s="125" t="s">
        <v>560</v>
      </c>
      <c r="G21" s="125" t="s">
        <v>560</v>
      </c>
      <c r="H21" s="125" t="s">
        <v>560</v>
      </c>
      <c r="I21" s="125" t="s">
        <v>560</v>
      </c>
      <c r="J21" s="125" t="s">
        <v>560</v>
      </c>
      <c r="K21" s="125" t="s">
        <v>560</v>
      </c>
      <c r="L21" s="125" t="s">
        <v>560</v>
      </c>
      <c r="M21" s="125" t="s">
        <v>560</v>
      </c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B21" t="s">
        <v>444</v>
      </c>
      <c r="AC21" t="s">
        <v>567</v>
      </c>
      <c r="AD21" s="8">
        <v>1</v>
      </c>
      <c r="AE21" s="400">
        <v>2.5000000000000001E-2</v>
      </c>
      <c r="AH21" t="s">
        <v>1</v>
      </c>
      <c r="AI21" t="s">
        <v>418</v>
      </c>
      <c r="AJ21" t="s">
        <v>419</v>
      </c>
    </row>
    <row r="22" spans="1:36" x14ac:dyDescent="0.25">
      <c r="A22" s="123" t="s">
        <v>11</v>
      </c>
      <c r="B22" s="125" t="s">
        <v>560</v>
      </c>
      <c r="C22" s="125" t="s">
        <v>560</v>
      </c>
      <c r="D22" s="125" t="s">
        <v>560</v>
      </c>
      <c r="E22" s="125" t="s">
        <v>560</v>
      </c>
      <c r="F22" s="125" t="s">
        <v>560</v>
      </c>
      <c r="G22" s="125" t="s">
        <v>560</v>
      </c>
      <c r="H22" s="125" t="s">
        <v>560</v>
      </c>
      <c r="I22" s="125" t="s">
        <v>560</v>
      </c>
      <c r="J22" s="125" t="s">
        <v>560</v>
      </c>
      <c r="K22" s="125" t="s">
        <v>560</v>
      </c>
      <c r="L22" s="125" t="s">
        <v>560</v>
      </c>
      <c r="M22" s="125" t="s">
        <v>560</v>
      </c>
      <c r="O22" s="185"/>
      <c r="P22" s="185"/>
      <c r="Q22" s="185"/>
      <c r="R22" s="185"/>
      <c r="S22" s="185"/>
      <c r="T22" s="185"/>
      <c r="U22" s="185"/>
      <c r="V22" s="185"/>
      <c r="W22" s="185"/>
      <c r="X22" s="185"/>
      <c r="Y22" s="185"/>
      <c r="Z22" s="185"/>
      <c r="AB22" t="s">
        <v>446</v>
      </c>
      <c r="AC22" t="s">
        <v>568</v>
      </c>
      <c r="AD22" s="406">
        <v>0.01</v>
      </c>
      <c r="AE22" s="21">
        <v>0.15</v>
      </c>
      <c r="AG22" t="s">
        <v>425</v>
      </c>
      <c r="AH22" t="s">
        <v>569</v>
      </c>
      <c r="AI22" t="s">
        <v>552</v>
      </c>
      <c r="AJ22" s="8">
        <v>4.6113599334364492</v>
      </c>
    </row>
    <row r="23" spans="1:36" x14ac:dyDescent="0.25">
      <c r="A23" s="123" t="s">
        <v>11</v>
      </c>
      <c r="B23" s="125" t="s">
        <v>560</v>
      </c>
      <c r="C23" s="125" t="s">
        <v>560</v>
      </c>
      <c r="D23" s="125" t="s">
        <v>560</v>
      </c>
      <c r="E23" s="125" t="s">
        <v>560</v>
      </c>
      <c r="F23" s="125" t="s">
        <v>560</v>
      </c>
      <c r="G23" s="125" t="s">
        <v>560</v>
      </c>
      <c r="H23" s="125" t="s">
        <v>560</v>
      </c>
      <c r="I23" s="125" t="s">
        <v>560</v>
      </c>
      <c r="J23" s="125" t="s">
        <v>560</v>
      </c>
      <c r="K23" s="125" t="s">
        <v>560</v>
      </c>
      <c r="L23" s="125" t="s">
        <v>560</v>
      </c>
      <c r="M23" s="125" t="s">
        <v>560</v>
      </c>
      <c r="O23" s="185"/>
      <c r="P23" s="185"/>
      <c r="Q23" s="185"/>
      <c r="R23" s="185"/>
      <c r="S23" s="185"/>
      <c r="T23" s="185"/>
      <c r="U23" s="185"/>
      <c r="V23" s="185"/>
      <c r="W23" s="185"/>
      <c r="X23" s="185"/>
      <c r="Y23" s="185"/>
      <c r="Z23" s="185"/>
      <c r="AB23" t="s">
        <v>453</v>
      </c>
      <c r="AC23" t="s">
        <v>570</v>
      </c>
      <c r="AD23" s="406">
        <v>0.01</v>
      </c>
      <c r="AE23" s="21">
        <v>0.22</v>
      </c>
      <c r="AG23" t="s">
        <v>433</v>
      </c>
      <c r="AH23" t="s">
        <v>433</v>
      </c>
      <c r="AI23" s="8">
        <v>4.4410633818978171</v>
      </c>
      <c r="AJ23" s="21">
        <v>1</v>
      </c>
    </row>
    <row r="24" spans="1:36" x14ac:dyDescent="0.25">
      <c r="A24" s="121" t="s">
        <v>376</v>
      </c>
      <c r="B24" s="122">
        <v>2011</v>
      </c>
      <c r="C24" s="122">
        <v>2012</v>
      </c>
      <c r="D24" s="122">
        <v>2013</v>
      </c>
      <c r="E24" s="122">
        <v>2014</v>
      </c>
      <c r="F24" s="122">
        <v>2015</v>
      </c>
      <c r="G24" s="122">
        <v>2016</v>
      </c>
      <c r="H24" s="122">
        <v>2017</v>
      </c>
      <c r="I24" s="122">
        <v>2018</v>
      </c>
      <c r="J24" s="122">
        <v>2019</v>
      </c>
      <c r="K24" s="122">
        <v>2020</v>
      </c>
      <c r="L24" s="122">
        <v>2021</v>
      </c>
      <c r="M24" s="122">
        <v>2022</v>
      </c>
      <c r="N24" s="121" t="s">
        <v>376</v>
      </c>
      <c r="O24" s="122">
        <v>2011</v>
      </c>
      <c r="P24" s="122">
        <v>2012</v>
      </c>
      <c r="Q24" s="122">
        <v>2013</v>
      </c>
      <c r="R24" s="122">
        <v>2014</v>
      </c>
      <c r="S24" s="122">
        <v>2015</v>
      </c>
      <c r="T24" s="122">
        <v>2016</v>
      </c>
      <c r="U24" s="122">
        <v>2017</v>
      </c>
      <c r="V24" s="122">
        <v>2018</v>
      </c>
      <c r="W24" s="122">
        <v>2019</v>
      </c>
      <c r="X24" s="122">
        <v>2020</v>
      </c>
      <c r="Y24" s="122">
        <v>2021</v>
      </c>
      <c r="Z24" s="122">
        <v>2022</v>
      </c>
      <c r="AB24" t="s">
        <v>556</v>
      </c>
      <c r="AC24" t="s">
        <v>571</v>
      </c>
      <c r="AD24" s="8">
        <v>4</v>
      </c>
      <c r="AE24" s="21">
        <v>-2.0412414523193156</v>
      </c>
      <c r="AG24" t="s">
        <v>440</v>
      </c>
      <c r="AH24" t="s">
        <v>572</v>
      </c>
      <c r="AI24" s="8">
        <v>0.01</v>
      </c>
      <c r="AJ24" s="21">
        <v>-0.04</v>
      </c>
    </row>
    <row r="25" spans="1:36" x14ac:dyDescent="0.25">
      <c r="A25" s="123" t="s">
        <v>25</v>
      </c>
      <c r="B25" s="126">
        <v>5.2838217990134435E-4</v>
      </c>
      <c r="C25" s="126">
        <v>3.2907904559660982E-3</v>
      </c>
      <c r="D25" s="126" t="s">
        <v>560</v>
      </c>
      <c r="E25" s="126" t="s">
        <v>560</v>
      </c>
      <c r="F25" s="126" t="s">
        <v>560</v>
      </c>
      <c r="G25" s="126" t="s">
        <v>560</v>
      </c>
      <c r="H25" s="126" t="s">
        <v>560</v>
      </c>
      <c r="I25" s="126" t="s">
        <v>560</v>
      </c>
      <c r="J25" s="126" t="s">
        <v>560</v>
      </c>
      <c r="K25" s="126" t="s">
        <v>560</v>
      </c>
      <c r="L25" s="126" t="s">
        <v>560</v>
      </c>
      <c r="M25" s="126" t="s">
        <v>560</v>
      </c>
      <c r="N25" s="123" t="s">
        <v>25</v>
      </c>
      <c r="O25" s="126">
        <v>1.556798147092431E-2</v>
      </c>
      <c r="P25" s="126">
        <v>8.1883059066359832E-3</v>
      </c>
      <c r="Q25" s="126" t="s">
        <v>560</v>
      </c>
      <c r="R25" s="126" t="s">
        <v>560</v>
      </c>
      <c r="S25" s="126" t="s">
        <v>560</v>
      </c>
      <c r="T25" s="126" t="s">
        <v>560</v>
      </c>
      <c r="U25" s="126" t="s">
        <v>560</v>
      </c>
      <c r="V25" s="126" t="s">
        <v>560</v>
      </c>
      <c r="W25" s="126" t="s">
        <v>560</v>
      </c>
      <c r="X25" s="126" t="s">
        <v>560</v>
      </c>
      <c r="Y25" s="126" t="s">
        <v>560</v>
      </c>
      <c r="Z25" s="126" t="s">
        <v>560</v>
      </c>
      <c r="AB25" t="s">
        <v>573</v>
      </c>
      <c r="AC25" t="s">
        <v>445</v>
      </c>
      <c r="AD25" s="8">
        <v>4</v>
      </c>
      <c r="AE25" s="21">
        <v>1.5</v>
      </c>
      <c r="AG25" t="s">
        <v>446</v>
      </c>
      <c r="AH25" t="s">
        <v>367</v>
      </c>
      <c r="AI25" s="21">
        <v>4.3309133591892888</v>
      </c>
      <c r="AJ25" s="21">
        <v>-0.1</v>
      </c>
    </row>
    <row r="26" spans="1:36" x14ac:dyDescent="0.25">
      <c r="A26" s="123" t="s">
        <v>33</v>
      </c>
      <c r="B26" s="126" t="s">
        <v>560</v>
      </c>
      <c r="C26" s="126">
        <v>5.2376063109132167E-3</v>
      </c>
      <c r="D26" s="126" t="s">
        <v>560</v>
      </c>
      <c r="E26" s="126" t="s">
        <v>560</v>
      </c>
      <c r="F26" s="126" t="s">
        <v>560</v>
      </c>
      <c r="G26" s="126" t="s">
        <v>560</v>
      </c>
      <c r="H26" s="126" t="s">
        <v>560</v>
      </c>
      <c r="I26" s="126" t="s">
        <v>560</v>
      </c>
      <c r="J26" s="126" t="s">
        <v>560</v>
      </c>
      <c r="K26" s="126" t="s">
        <v>560</v>
      </c>
      <c r="L26" s="126" t="s">
        <v>560</v>
      </c>
      <c r="M26" s="126" t="s">
        <v>560</v>
      </c>
      <c r="N26" s="123" t="s">
        <v>33</v>
      </c>
      <c r="O26" s="126" t="s">
        <v>560</v>
      </c>
      <c r="P26" s="126">
        <v>7.1164180133485144E-3</v>
      </c>
      <c r="Q26" s="126" t="s">
        <v>560</v>
      </c>
      <c r="R26" s="126" t="s">
        <v>560</v>
      </c>
      <c r="S26" s="126" t="s">
        <v>560</v>
      </c>
      <c r="T26" s="126" t="s">
        <v>560</v>
      </c>
      <c r="U26" s="126" t="s">
        <v>560</v>
      </c>
      <c r="V26" s="126" t="s">
        <v>560</v>
      </c>
      <c r="W26" s="126" t="s">
        <v>560</v>
      </c>
      <c r="X26" s="126" t="s">
        <v>560</v>
      </c>
      <c r="Y26" s="126" t="s">
        <v>560</v>
      </c>
      <c r="Z26" s="126" t="s">
        <v>560</v>
      </c>
      <c r="AG26" s="415"/>
      <c r="AH26" s="415"/>
      <c r="AI26" s="415"/>
      <c r="AJ26" s="415"/>
    </row>
    <row r="27" spans="1:36" x14ac:dyDescent="0.25">
      <c r="A27" s="123" t="s">
        <v>7</v>
      </c>
      <c r="B27" s="126" t="s">
        <v>560</v>
      </c>
      <c r="C27" s="126">
        <v>2.5926235114291066E-4</v>
      </c>
      <c r="D27" s="126" t="s">
        <v>560</v>
      </c>
      <c r="E27" s="126" t="s">
        <v>560</v>
      </c>
      <c r="F27" s="126" t="s">
        <v>560</v>
      </c>
      <c r="G27" s="126" t="s">
        <v>560</v>
      </c>
      <c r="H27" s="126" t="s">
        <v>560</v>
      </c>
      <c r="I27" s="126" t="s">
        <v>560</v>
      </c>
      <c r="J27" s="126" t="s">
        <v>560</v>
      </c>
      <c r="K27" s="126" t="s">
        <v>560</v>
      </c>
      <c r="L27" s="126" t="s">
        <v>560</v>
      </c>
      <c r="M27" s="126" t="s">
        <v>560</v>
      </c>
      <c r="N27" s="123" t="s">
        <v>7</v>
      </c>
      <c r="O27" s="126" t="s">
        <v>560</v>
      </c>
      <c r="P27" s="126">
        <v>1.6406456576401298E-2</v>
      </c>
      <c r="Q27" s="126" t="s">
        <v>560</v>
      </c>
      <c r="R27" s="126" t="s">
        <v>560</v>
      </c>
      <c r="S27" s="126" t="s">
        <v>560</v>
      </c>
      <c r="T27" s="126" t="s">
        <v>560</v>
      </c>
      <c r="U27" s="126" t="s">
        <v>560</v>
      </c>
      <c r="V27" s="126" t="s">
        <v>560</v>
      </c>
      <c r="W27" s="126" t="s">
        <v>560</v>
      </c>
      <c r="X27" s="126" t="s">
        <v>560</v>
      </c>
      <c r="Y27" s="126" t="s">
        <v>560</v>
      </c>
      <c r="Z27" s="126" t="s">
        <v>560</v>
      </c>
      <c r="AB27" s="687" t="s">
        <v>395</v>
      </c>
      <c r="AC27" s="687"/>
      <c r="AD27" s="687"/>
      <c r="AE27" s="687"/>
      <c r="AG27" t="s">
        <v>400</v>
      </c>
      <c r="AH27" t="s">
        <v>549</v>
      </c>
    </row>
    <row r="28" spans="1:36" x14ac:dyDescent="0.25">
      <c r="A28" s="123" t="s">
        <v>23</v>
      </c>
      <c r="B28" s="126">
        <v>5.1661862873990773E-3</v>
      </c>
      <c r="C28" s="126">
        <v>1.3538700219918688E-2</v>
      </c>
      <c r="D28" s="126" t="s">
        <v>560</v>
      </c>
      <c r="E28" s="126" t="s">
        <v>560</v>
      </c>
      <c r="F28" s="126" t="s">
        <v>560</v>
      </c>
      <c r="G28" s="126" t="s">
        <v>560</v>
      </c>
      <c r="H28" s="126" t="s">
        <v>560</v>
      </c>
      <c r="I28" s="126" t="s">
        <v>560</v>
      </c>
      <c r="J28" s="126" t="s">
        <v>560</v>
      </c>
      <c r="K28" s="126" t="s">
        <v>560</v>
      </c>
      <c r="L28" s="126" t="s">
        <v>560</v>
      </c>
      <c r="M28" s="126" t="s">
        <v>560</v>
      </c>
      <c r="N28" s="123" t="s">
        <v>23</v>
      </c>
      <c r="O28" s="126">
        <v>1.785186031291746E-2</v>
      </c>
      <c r="P28" s="126">
        <v>3.2321526755707375E-2</v>
      </c>
      <c r="Q28" s="126" t="s">
        <v>560</v>
      </c>
      <c r="R28" s="126" t="s">
        <v>560</v>
      </c>
      <c r="S28" s="126" t="s">
        <v>560</v>
      </c>
      <c r="T28" s="126" t="s">
        <v>560</v>
      </c>
      <c r="U28" s="126" t="s">
        <v>560</v>
      </c>
      <c r="V28" s="126" t="s">
        <v>560</v>
      </c>
      <c r="W28" s="126" t="s">
        <v>560</v>
      </c>
      <c r="X28" s="126" t="s">
        <v>560</v>
      </c>
      <c r="Y28" s="126" t="s">
        <v>560</v>
      </c>
      <c r="Z28" s="126" t="s">
        <v>560</v>
      </c>
      <c r="AB28" t="s">
        <v>400</v>
      </c>
      <c r="AC28" t="s">
        <v>401</v>
      </c>
      <c r="AH28" t="s">
        <v>1</v>
      </c>
      <c r="AI28" t="s">
        <v>418</v>
      </c>
      <c r="AJ28" t="s">
        <v>419</v>
      </c>
    </row>
    <row r="29" spans="1:36" x14ac:dyDescent="0.25">
      <c r="A29" s="123" t="s">
        <v>11</v>
      </c>
      <c r="B29" s="126" t="s">
        <v>560</v>
      </c>
      <c r="C29" s="126" t="s">
        <v>560</v>
      </c>
      <c r="D29" s="126" t="s">
        <v>560</v>
      </c>
      <c r="E29" s="126" t="s">
        <v>560</v>
      </c>
      <c r="F29" s="126" t="s">
        <v>560</v>
      </c>
      <c r="G29" s="126" t="s">
        <v>560</v>
      </c>
      <c r="H29" s="126" t="s">
        <v>560</v>
      </c>
      <c r="I29" s="126" t="s">
        <v>560</v>
      </c>
      <c r="J29" s="126" t="s">
        <v>560</v>
      </c>
      <c r="K29" s="126" t="s">
        <v>560</v>
      </c>
      <c r="L29" s="126" t="s">
        <v>560</v>
      </c>
      <c r="M29" s="126" t="s">
        <v>560</v>
      </c>
      <c r="N29" s="123" t="s">
        <v>11</v>
      </c>
      <c r="O29" s="126" t="s">
        <v>560</v>
      </c>
      <c r="P29" s="126" t="s">
        <v>560</v>
      </c>
      <c r="Q29" s="126" t="s">
        <v>560</v>
      </c>
      <c r="R29" s="126" t="s">
        <v>560</v>
      </c>
      <c r="S29" s="126" t="s">
        <v>560</v>
      </c>
      <c r="T29" s="126" t="s">
        <v>560</v>
      </c>
      <c r="U29" s="126" t="s">
        <v>560</v>
      </c>
      <c r="V29" s="126" t="s">
        <v>560</v>
      </c>
      <c r="W29" s="126" t="s">
        <v>560</v>
      </c>
      <c r="X29" s="126" t="s">
        <v>560</v>
      </c>
      <c r="Y29" s="126" t="s">
        <v>560</v>
      </c>
      <c r="Z29" s="126" t="s">
        <v>560</v>
      </c>
      <c r="AC29" t="s">
        <v>1</v>
      </c>
      <c r="AD29" t="s">
        <v>418</v>
      </c>
      <c r="AE29" t="s">
        <v>419</v>
      </c>
      <c r="AG29" t="s">
        <v>425</v>
      </c>
      <c r="AH29" t="s">
        <v>574</v>
      </c>
      <c r="AI29" t="s">
        <v>552</v>
      </c>
      <c r="AJ29" s="8">
        <v>2.3056799667182251</v>
      </c>
    </row>
    <row r="30" spans="1:36" x14ac:dyDescent="0.25">
      <c r="A30" s="123" t="s">
        <v>36</v>
      </c>
      <c r="B30" s="126">
        <v>1.1414975198598156E-2</v>
      </c>
      <c r="C30" s="126">
        <v>2.5953168710148709E-2</v>
      </c>
      <c r="D30" s="126" t="s">
        <v>560</v>
      </c>
      <c r="E30" s="126" t="s">
        <v>560</v>
      </c>
      <c r="F30" s="126" t="s">
        <v>560</v>
      </c>
      <c r="G30" s="126" t="s">
        <v>560</v>
      </c>
      <c r="H30" s="126" t="s">
        <v>560</v>
      </c>
      <c r="I30" s="126" t="s">
        <v>560</v>
      </c>
      <c r="J30" s="126" t="s">
        <v>560</v>
      </c>
      <c r="K30" s="126" t="s">
        <v>560</v>
      </c>
      <c r="L30" s="126" t="s">
        <v>560</v>
      </c>
      <c r="M30" s="126" t="s">
        <v>560</v>
      </c>
      <c r="N30" s="123" t="s">
        <v>36</v>
      </c>
      <c r="O30" s="126">
        <v>1.2674953443705204E-2</v>
      </c>
      <c r="P30" s="126">
        <v>2.5957989388566707E-2</v>
      </c>
      <c r="Q30" s="126" t="s">
        <v>560</v>
      </c>
      <c r="R30" s="126" t="s">
        <v>560</v>
      </c>
      <c r="S30" s="126" t="s">
        <v>560</v>
      </c>
      <c r="T30" s="126" t="s">
        <v>560</v>
      </c>
      <c r="U30" s="126" t="s">
        <v>560</v>
      </c>
      <c r="V30" s="126" t="s">
        <v>560</v>
      </c>
      <c r="W30" s="126" t="s">
        <v>560</v>
      </c>
      <c r="X30" s="126" t="s">
        <v>560</v>
      </c>
      <c r="Y30" s="126" t="s">
        <v>560</v>
      </c>
      <c r="Z30" s="126" t="s">
        <v>560</v>
      </c>
      <c r="AB30" t="s">
        <v>425</v>
      </c>
      <c r="AC30" t="s">
        <v>427</v>
      </c>
      <c r="AD30">
        <v>0</v>
      </c>
      <c r="AE30" s="39">
        <v>2576370.1012716331</v>
      </c>
      <c r="AG30" t="s">
        <v>433</v>
      </c>
      <c r="AH30" t="s">
        <v>433</v>
      </c>
      <c r="AI30" s="8">
        <v>2.2205316909489086</v>
      </c>
      <c r="AJ30" s="21">
        <v>1</v>
      </c>
    </row>
    <row r="31" spans="1:36" x14ac:dyDescent="0.25">
      <c r="A31" s="123" t="s">
        <v>11</v>
      </c>
      <c r="B31" s="126" t="s">
        <v>560</v>
      </c>
      <c r="C31" s="126" t="s">
        <v>560</v>
      </c>
      <c r="D31" s="126" t="s">
        <v>560</v>
      </c>
      <c r="E31" s="126" t="s">
        <v>560</v>
      </c>
      <c r="F31" s="126" t="s">
        <v>560</v>
      </c>
      <c r="G31" s="126" t="s">
        <v>560</v>
      </c>
      <c r="H31" s="126" t="s">
        <v>560</v>
      </c>
      <c r="I31" s="126" t="s">
        <v>560</v>
      </c>
      <c r="J31" s="126" t="s">
        <v>560</v>
      </c>
      <c r="K31" s="126" t="s">
        <v>560</v>
      </c>
      <c r="L31" s="126" t="s">
        <v>560</v>
      </c>
      <c r="M31" s="126" t="s">
        <v>560</v>
      </c>
      <c r="N31" s="123" t="s">
        <v>11</v>
      </c>
      <c r="O31" s="126" t="s">
        <v>560</v>
      </c>
      <c r="P31" s="126" t="s">
        <v>560</v>
      </c>
      <c r="Q31" s="126" t="s">
        <v>560</v>
      </c>
      <c r="R31" s="126" t="s">
        <v>560</v>
      </c>
      <c r="S31" s="126" t="s">
        <v>560</v>
      </c>
      <c r="T31" s="126" t="s">
        <v>560</v>
      </c>
      <c r="U31" s="126" t="s">
        <v>560</v>
      </c>
      <c r="V31" s="126" t="s">
        <v>560</v>
      </c>
      <c r="W31" s="126" t="s">
        <v>560</v>
      </c>
      <c r="X31" s="126" t="s">
        <v>560</v>
      </c>
      <c r="Y31" s="126" t="s">
        <v>560</v>
      </c>
      <c r="Z31" s="126" t="s">
        <v>560</v>
      </c>
      <c r="AC31" t="s">
        <v>430</v>
      </c>
      <c r="AD31" s="28">
        <v>250000</v>
      </c>
      <c r="AE31" s="39">
        <v>0</v>
      </c>
      <c r="AG31" t="s">
        <v>440</v>
      </c>
      <c r="AH31" t="s">
        <v>572</v>
      </c>
      <c r="AI31" s="8">
        <v>0.01</v>
      </c>
      <c r="AJ31" s="21">
        <v>-0.04</v>
      </c>
    </row>
    <row r="32" spans="1:36" x14ac:dyDescent="0.25">
      <c r="A32" s="123" t="s">
        <v>11</v>
      </c>
      <c r="B32" s="126" t="s">
        <v>560</v>
      </c>
      <c r="C32" s="126" t="s">
        <v>560</v>
      </c>
      <c r="D32" s="126" t="s">
        <v>560</v>
      </c>
      <c r="E32" s="126" t="s">
        <v>560</v>
      </c>
      <c r="F32" s="126" t="s">
        <v>560</v>
      </c>
      <c r="G32" s="126" t="s">
        <v>560</v>
      </c>
      <c r="H32" s="126" t="s">
        <v>560</v>
      </c>
      <c r="I32" s="126" t="s">
        <v>560</v>
      </c>
      <c r="J32" s="126" t="s">
        <v>560</v>
      </c>
      <c r="K32" s="126" t="s">
        <v>560</v>
      </c>
      <c r="L32" s="126" t="s">
        <v>560</v>
      </c>
      <c r="M32" s="126" t="s">
        <v>560</v>
      </c>
      <c r="N32" s="123" t="s">
        <v>11</v>
      </c>
      <c r="O32" s="126" t="s">
        <v>560</v>
      </c>
      <c r="P32" s="126" t="s">
        <v>560</v>
      </c>
      <c r="Q32" s="126" t="s">
        <v>560</v>
      </c>
      <c r="R32" s="126" t="s">
        <v>560</v>
      </c>
      <c r="S32" s="126" t="s">
        <v>560</v>
      </c>
      <c r="T32" s="126" t="s">
        <v>560</v>
      </c>
      <c r="U32" s="126" t="s">
        <v>560</v>
      </c>
      <c r="V32" s="126" t="s">
        <v>560</v>
      </c>
      <c r="W32" s="126" t="s">
        <v>560</v>
      </c>
      <c r="X32" s="126" t="s">
        <v>560</v>
      </c>
      <c r="Y32" s="126" t="s">
        <v>560</v>
      </c>
      <c r="Z32" s="126" t="s">
        <v>560</v>
      </c>
      <c r="AC32" t="s">
        <v>433</v>
      </c>
      <c r="AD32" s="9">
        <v>4000000</v>
      </c>
      <c r="AE32" s="21">
        <v>1</v>
      </c>
      <c r="AG32" t="s">
        <v>446</v>
      </c>
      <c r="AH32" t="s">
        <v>367</v>
      </c>
      <c r="AI32" s="21">
        <v>4.3309133591892888</v>
      </c>
      <c r="AJ32" s="21">
        <v>-0.1</v>
      </c>
    </row>
    <row r="33" spans="1:168" x14ac:dyDescent="0.25">
      <c r="A33" s="123" t="s">
        <v>11</v>
      </c>
      <c r="B33" s="126" t="s">
        <v>560</v>
      </c>
      <c r="C33" s="126" t="s">
        <v>560</v>
      </c>
      <c r="D33" s="126" t="s">
        <v>560</v>
      </c>
      <c r="E33" s="126" t="s">
        <v>560</v>
      </c>
      <c r="F33" s="126" t="s">
        <v>560</v>
      </c>
      <c r="G33" s="126" t="s">
        <v>560</v>
      </c>
      <c r="H33" s="126" t="s">
        <v>560</v>
      </c>
      <c r="I33" s="126" t="s">
        <v>560</v>
      </c>
      <c r="J33" s="126" t="s">
        <v>560</v>
      </c>
      <c r="K33" s="126" t="s">
        <v>560</v>
      </c>
      <c r="L33" s="126" t="s">
        <v>560</v>
      </c>
      <c r="M33" s="126" t="s">
        <v>560</v>
      </c>
      <c r="N33" s="123" t="s">
        <v>11</v>
      </c>
      <c r="O33" s="126" t="s">
        <v>560</v>
      </c>
      <c r="P33" s="126" t="s">
        <v>560</v>
      </c>
      <c r="Q33" s="126" t="s">
        <v>560</v>
      </c>
      <c r="R33" s="126" t="s">
        <v>560</v>
      </c>
      <c r="S33" s="126" t="s">
        <v>560</v>
      </c>
      <c r="T33" s="126" t="s">
        <v>560</v>
      </c>
      <c r="U33" s="126" t="s">
        <v>560</v>
      </c>
      <c r="V33" s="126" t="s">
        <v>560</v>
      </c>
      <c r="W33" s="126" t="s">
        <v>560</v>
      </c>
      <c r="X33" s="126" t="s">
        <v>560</v>
      </c>
      <c r="Y33" s="126" t="s">
        <v>560</v>
      </c>
      <c r="Z33" s="126" t="s">
        <v>560</v>
      </c>
      <c r="AB33" t="s">
        <v>436</v>
      </c>
      <c r="AC33" t="s">
        <v>437</v>
      </c>
      <c r="AD33" s="406">
        <v>25514.12768148</v>
      </c>
      <c r="AE33" s="21">
        <v>5</v>
      </c>
    </row>
    <row r="34" spans="1:168" x14ac:dyDescent="0.25">
      <c r="A34" s="123" t="s">
        <v>11</v>
      </c>
      <c r="B34" s="126" t="s">
        <v>560</v>
      </c>
      <c r="C34" s="126" t="s">
        <v>560</v>
      </c>
      <c r="D34" s="126" t="s">
        <v>560</v>
      </c>
      <c r="E34" s="126" t="s">
        <v>560</v>
      </c>
      <c r="F34" s="126" t="s">
        <v>560</v>
      </c>
      <c r="G34" s="126" t="s">
        <v>560</v>
      </c>
      <c r="H34" s="126" t="s">
        <v>560</v>
      </c>
      <c r="I34" s="126" t="s">
        <v>560</v>
      </c>
      <c r="J34" s="126" t="s">
        <v>560</v>
      </c>
      <c r="K34" s="126" t="s">
        <v>560</v>
      </c>
      <c r="L34" s="126" t="s">
        <v>560</v>
      </c>
      <c r="M34" s="126" t="s">
        <v>560</v>
      </c>
      <c r="N34" s="123" t="s">
        <v>11</v>
      </c>
      <c r="O34" s="126" t="s">
        <v>560</v>
      </c>
      <c r="P34" s="126" t="s">
        <v>560</v>
      </c>
      <c r="Q34" s="126" t="s">
        <v>560</v>
      </c>
      <c r="R34" s="126" t="s">
        <v>560</v>
      </c>
      <c r="S34" s="126" t="s">
        <v>560</v>
      </c>
      <c r="T34" s="126" t="s">
        <v>560</v>
      </c>
      <c r="U34" s="126" t="s">
        <v>560</v>
      </c>
      <c r="V34" s="126" t="s">
        <v>560</v>
      </c>
      <c r="W34" s="126" t="s">
        <v>560</v>
      </c>
      <c r="X34" s="126" t="s">
        <v>560</v>
      </c>
      <c r="Y34" s="126" t="s">
        <v>560</v>
      </c>
      <c r="Z34" s="126" t="s">
        <v>560</v>
      </c>
      <c r="AB34" t="s">
        <v>440</v>
      </c>
      <c r="AC34" t="s">
        <v>441</v>
      </c>
      <c r="AD34" s="421">
        <v>100</v>
      </c>
      <c r="AE34" s="9">
        <v>-30000</v>
      </c>
    </row>
    <row r="35" spans="1:168" x14ac:dyDescent="0.25">
      <c r="A35" s="127" t="s">
        <v>375</v>
      </c>
      <c r="B35" s="128">
        <v>2011</v>
      </c>
      <c r="C35" s="128">
        <v>2012</v>
      </c>
      <c r="D35" s="128">
        <v>2013</v>
      </c>
      <c r="E35" s="128">
        <v>2014</v>
      </c>
      <c r="F35" s="128">
        <v>2015</v>
      </c>
      <c r="G35" s="128">
        <v>2016</v>
      </c>
      <c r="H35" s="128">
        <v>2017</v>
      </c>
      <c r="I35" s="128">
        <v>2018</v>
      </c>
      <c r="J35" s="128">
        <v>2019</v>
      </c>
      <c r="K35" s="128">
        <v>2020</v>
      </c>
      <c r="L35" s="128">
        <v>2021</v>
      </c>
      <c r="M35" s="128">
        <v>2022</v>
      </c>
      <c r="N35" s="128">
        <v>2011</v>
      </c>
      <c r="O35" s="128">
        <v>2012</v>
      </c>
      <c r="P35" s="128">
        <v>2013</v>
      </c>
      <c r="Q35" s="128">
        <v>2014</v>
      </c>
      <c r="R35" s="128">
        <v>2015</v>
      </c>
      <c r="S35" s="128">
        <v>2016</v>
      </c>
      <c r="T35" s="128">
        <v>2017</v>
      </c>
      <c r="U35" s="128">
        <v>2018</v>
      </c>
      <c r="V35" s="128">
        <v>2019</v>
      </c>
      <c r="W35" s="128">
        <v>2020</v>
      </c>
      <c r="X35" s="128">
        <v>2021</v>
      </c>
      <c r="Y35" s="128">
        <v>2022</v>
      </c>
      <c r="Z35" s="128">
        <v>2011</v>
      </c>
      <c r="AB35" t="s">
        <v>444</v>
      </c>
      <c r="AC35" t="s">
        <v>445</v>
      </c>
      <c r="AD35" s="8">
        <v>4</v>
      </c>
      <c r="AE35">
        <v>-160000</v>
      </c>
    </row>
    <row r="36" spans="1:168" x14ac:dyDescent="0.25">
      <c r="A36" s="38" t="s">
        <v>25</v>
      </c>
      <c r="B36" s="129">
        <v>38301631.486020893</v>
      </c>
      <c r="C36" s="129">
        <v>145941205.92260596</v>
      </c>
      <c r="D36" s="129" t="s">
        <v>560</v>
      </c>
      <c r="E36" s="129" t="s">
        <v>560</v>
      </c>
      <c r="F36" s="129" t="s">
        <v>560</v>
      </c>
      <c r="G36" s="129" t="s">
        <v>560</v>
      </c>
      <c r="H36" s="129" t="s">
        <v>560</v>
      </c>
      <c r="I36" s="129" t="s">
        <v>560</v>
      </c>
      <c r="J36" s="129" t="s">
        <v>560</v>
      </c>
      <c r="K36" s="129" t="s">
        <v>560</v>
      </c>
      <c r="L36" s="129" t="s">
        <v>560</v>
      </c>
      <c r="M36" s="129" t="s">
        <v>560</v>
      </c>
      <c r="N36" s="129">
        <v>0</v>
      </c>
      <c r="O36" s="129">
        <v>0</v>
      </c>
      <c r="P36" s="129">
        <v>471734898.12751722</v>
      </c>
      <c r="Q36" s="129">
        <v>471734898.12751722</v>
      </c>
      <c r="R36" s="129">
        <v>471734898.12751722</v>
      </c>
      <c r="S36" s="129">
        <v>471734898.12751722</v>
      </c>
      <c r="T36" s="129">
        <v>471734898.12751722</v>
      </c>
      <c r="U36" s="129">
        <v>471734898.12751722</v>
      </c>
      <c r="V36" s="129">
        <v>471734898.12751722</v>
      </c>
      <c r="W36" s="129">
        <v>471734898.12751722</v>
      </c>
      <c r="X36" s="129">
        <v>471734898.12751722</v>
      </c>
      <c r="Y36" s="129">
        <v>471734898.12751722</v>
      </c>
      <c r="Z36" s="129">
        <v>471734898.12751722</v>
      </c>
      <c r="AB36" t="s">
        <v>446</v>
      </c>
      <c r="AC36" t="s">
        <v>447</v>
      </c>
      <c r="AD36" s="421">
        <v>10.3089526606443</v>
      </c>
      <c r="AE36" s="9">
        <v>120000</v>
      </c>
    </row>
    <row r="37" spans="1:168" x14ac:dyDescent="0.25">
      <c r="A37" s="38" t="s">
        <v>33</v>
      </c>
      <c r="B37" s="129" t="s">
        <v>560</v>
      </c>
      <c r="C37" s="129">
        <v>7730143.191369893</v>
      </c>
      <c r="D37" s="129" t="s">
        <v>560</v>
      </c>
      <c r="E37" s="129" t="s">
        <v>560</v>
      </c>
      <c r="F37" s="129" t="s">
        <v>560</v>
      </c>
      <c r="G37" s="129" t="s">
        <v>560</v>
      </c>
      <c r="H37" s="129" t="s">
        <v>560</v>
      </c>
      <c r="I37" s="129" t="s">
        <v>560</v>
      </c>
      <c r="J37" s="129" t="s">
        <v>560</v>
      </c>
      <c r="K37" s="129" t="s">
        <v>560</v>
      </c>
      <c r="L37" s="129" t="s">
        <v>560</v>
      </c>
      <c r="M37" s="129" t="s">
        <v>560</v>
      </c>
      <c r="AB37" t="s">
        <v>448</v>
      </c>
      <c r="AC37" t="s">
        <v>449</v>
      </c>
      <c r="AD37" s="8">
        <v>1</v>
      </c>
      <c r="AE37" s="9">
        <v>-1275706.3840739999</v>
      </c>
    </row>
    <row r="38" spans="1:168" x14ac:dyDescent="0.25">
      <c r="A38" s="38" t="s">
        <v>7</v>
      </c>
      <c r="B38" s="129" t="s">
        <v>560</v>
      </c>
      <c r="C38" s="129">
        <v>1859423.5306972978</v>
      </c>
      <c r="D38" s="129" t="s">
        <v>560</v>
      </c>
      <c r="E38" s="129" t="s">
        <v>560</v>
      </c>
      <c r="F38" s="129" t="s">
        <v>560</v>
      </c>
      <c r="G38" s="129" t="s">
        <v>560</v>
      </c>
      <c r="H38" s="129" t="s">
        <v>560</v>
      </c>
      <c r="I38" s="129" t="s">
        <v>560</v>
      </c>
      <c r="J38" s="129" t="s">
        <v>560</v>
      </c>
      <c r="K38" s="129" t="s">
        <v>560</v>
      </c>
      <c r="L38" s="129" t="s">
        <v>560</v>
      </c>
      <c r="M38" s="129" t="s">
        <v>560</v>
      </c>
      <c r="AB38" t="s">
        <v>451</v>
      </c>
      <c r="AC38" t="s">
        <v>452</v>
      </c>
      <c r="AD38" s="400">
        <v>4.0050603459791496</v>
      </c>
      <c r="AE38" s="9">
        <v>-50000</v>
      </c>
    </row>
    <row r="39" spans="1:168" x14ac:dyDescent="0.25">
      <c r="A39" s="38" t="s">
        <v>23</v>
      </c>
      <c r="B39" s="129">
        <v>46849780.272932053</v>
      </c>
      <c r="C39" s="129">
        <v>115367775.55047011</v>
      </c>
      <c r="D39" s="129" t="s">
        <v>560</v>
      </c>
      <c r="E39" s="129" t="s">
        <v>560</v>
      </c>
      <c r="F39" s="129" t="s">
        <v>560</v>
      </c>
      <c r="G39" s="129" t="s">
        <v>560</v>
      </c>
      <c r="H39" s="129" t="s">
        <v>560</v>
      </c>
      <c r="I39" s="129" t="s">
        <v>560</v>
      </c>
      <c r="J39" s="129" t="s">
        <v>560</v>
      </c>
      <c r="K39" s="129" t="s">
        <v>560</v>
      </c>
      <c r="L39" s="129" t="s">
        <v>560</v>
      </c>
      <c r="M39" s="129" t="s">
        <v>560</v>
      </c>
    </row>
    <row r="40" spans="1:168" x14ac:dyDescent="0.25">
      <c r="A40" s="38" t="s">
        <v>9</v>
      </c>
      <c r="B40" s="129" t="s">
        <v>560</v>
      </c>
      <c r="C40" s="129" t="s">
        <v>560</v>
      </c>
      <c r="D40" s="129" t="s">
        <v>560</v>
      </c>
      <c r="E40" s="129" t="s">
        <v>560</v>
      </c>
      <c r="F40" s="129" t="s">
        <v>560</v>
      </c>
      <c r="G40" s="129" t="s">
        <v>560</v>
      </c>
      <c r="H40" s="129" t="s">
        <v>560</v>
      </c>
      <c r="I40" s="129" t="s">
        <v>560</v>
      </c>
      <c r="J40" s="129" t="s">
        <v>560</v>
      </c>
      <c r="K40" s="129" t="s">
        <v>560</v>
      </c>
      <c r="L40" s="129" t="s">
        <v>560</v>
      </c>
      <c r="M40" s="129" t="s">
        <v>560</v>
      </c>
    </row>
    <row r="41" spans="1:168" x14ac:dyDescent="0.25">
      <c r="A41" s="38" t="s">
        <v>36</v>
      </c>
      <c r="B41" s="129">
        <v>87928377.951340854</v>
      </c>
      <c r="C41" s="129">
        <v>200836349.932374</v>
      </c>
      <c r="D41" s="129" t="s">
        <v>560</v>
      </c>
      <c r="E41" s="129" t="s">
        <v>560</v>
      </c>
      <c r="F41" s="129" t="s">
        <v>560</v>
      </c>
      <c r="G41" s="129" t="s">
        <v>560</v>
      </c>
      <c r="H41" s="129" t="s">
        <v>560</v>
      </c>
      <c r="I41" s="129" t="s">
        <v>560</v>
      </c>
      <c r="J41" s="129" t="s">
        <v>560</v>
      </c>
      <c r="K41" s="129" t="s">
        <v>560</v>
      </c>
      <c r="L41" s="129" t="s">
        <v>560</v>
      </c>
      <c r="M41" s="129" t="s">
        <v>560</v>
      </c>
    </row>
    <row r="42" spans="1:168" x14ac:dyDescent="0.25">
      <c r="A42" s="38" t="s">
        <v>21</v>
      </c>
      <c r="B42" s="129" t="s">
        <v>560</v>
      </c>
      <c r="C42" s="129" t="s">
        <v>560</v>
      </c>
      <c r="D42" s="129" t="s">
        <v>560</v>
      </c>
      <c r="E42" s="129" t="s">
        <v>560</v>
      </c>
      <c r="F42" s="129" t="s">
        <v>560</v>
      </c>
      <c r="G42" s="129" t="s">
        <v>560</v>
      </c>
      <c r="H42" s="129" t="s">
        <v>560</v>
      </c>
      <c r="I42" s="129" t="s">
        <v>560</v>
      </c>
      <c r="J42" s="129" t="s">
        <v>560</v>
      </c>
      <c r="K42" s="129" t="s">
        <v>560</v>
      </c>
      <c r="L42" s="129" t="s">
        <v>560</v>
      </c>
      <c r="M42" s="129" t="s">
        <v>560</v>
      </c>
    </row>
    <row r="43" spans="1:168" x14ac:dyDescent="0.25">
      <c r="A43" s="38" t="s">
        <v>18</v>
      </c>
      <c r="B43" s="129" t="s">
        <v>560</v>
      </c>
      <c r="C43" s="129" t="s">
        <v>560</v>
      </c>
      <c r="D43" s="129" t="s">
        <v>560</v>
      </c>
      <c r="E43" s="129" t="s">
        <v>560</v>
      </c>
      <c r="F43" s="129" t="s">
        <v>560</v>
      </c>
      <c r="G43" s="129" t="s">
        <v>560</v>
      </c>
      <c r="H43" s="129" t="s">
        <v>560</v>
      </c>
      <c r="I43" s="129" t="s">
        <v>560</v>
      </c>
      <c r="J43" s="129" t="s">
        <v>560</v>
      </c>
      <c r="K43" s="129" t="s">
        <v>560</v>
      </c>
      <c r="L43" s="129" t="s">
        <v>560</v>
      </c>
      <c r="M43" s="129" t="s">
        <v>560</v>
      </c>
    </row>
    <row r="44" spans="1:168" x14ac:dyDescent="0.25">
      <c r="A44" s="38" t="s">
        <v>14</v>
      </c>
      <c r="B44" s="129" t="s">
        <v>560</v>
      </c>
      <c r="C44" s="129" t="s">
        <v>560</v>
      </c>
      <c r="D44" s="129" t="s">
        <v>560</v>
      </c>
      <c r="E44" s="129" t="s">
        <v>560</v>
      </c>
      <c r="F44" s="129" t="s">
        <v>560</v>
      </c>
      <c r="G44" s="129" t="s">
        <v>560</v>
      </c>
      <c r="H44" s="129" t="s">
        <v>560</v>
      </c>
      <c r="I44" s="129" t="s">
        <v>560</v>
      </c>
      <c r="J44" s="129" t="s">
        <v>560</v>
      </c>
      <c r="K44" s="129" t="s">
        <v>560</v>
      </c>
      <c r="L44" s="129" t="s">
        <v>560</v>
      </c>
      <c r="M44" s="129" t="s">
        <v>560</v>
      </c>
    </row>
    <row r="45" spans="1:168" x14ac:dyDescent="0.25">
      <c r="A45" s="38" t="s">
        <v>16</v>
      </c>
      <c r="B45" s="129" t="s">
        <v>560</v>
      </c>
      <c r="C45" s="129" t="s">
        <v>560</v>
      </c>
      <c r="D45" s="129" t="s">
        <v>560</v>
      </c>
      <c r="E45" s="129" t="s">
        <v>560</v>
      </c>
      <c r="F45" s="129" t="s">
        <v>560</v>
      </c>
      <c r="G45" s="129" t="s">
        <v>560</v>
      </c>
      <c r="H45" s="129" t="s">
        <v>560</v>
      </c>
      <c r="I45" s="129" t="s">
        <v>560</v>
      </c>
      <c r="J45" s="129" t="s">
        <v>560</v>
      </c>
      <c r="K45" s="129" t="s">
        <v>560</v>
      </c>
      <c r="L45" s="129" t="s">
        <v>560</v>
      </c>
      <c r="M45" s="129" t="s">
        <v>560</v>
      </c>
    </row>
    <row r="46" spans="1:168" x14ac:dyDescent="0.25">
      <c r="A46" s="130" t="s">
        <v>575</v>
      </c>
      <c r="B46" s="183">
        <v>2011</v>
      </c>
      <c r="C46" s="183">
        <v>2012</v>
      </c>
      <c r="D46" s="183">
        <v>2013</v>
      </c>
      <c r="E46" s="183">
        <v>2014</v>
      </c>
      <c r="F46" s="183">
        <v>2015</v>
      </c>
      <c r="G46" s="183">
        <v>2016</v>
      </c>
      <c r="H46" s="183">
        <v>2017</v>
      </c>
      <c r="I46" s="183">
        <v>2018</v>
      </c>
      <c r="J46" s="183">
        <v>2019</v>
      </c>
      <c r="K46" s="183">
        <v>2020</v>
      </c>
      <c r="L46" s="183">
        <v>2021</v>
      </c>
      <c r="M46" s="183">
        <v>2022</v>
      </c>
      <c r="N46" s="341">
        <v>2011</v>
      </c>
      <c r="O46" s="341">
        <v>2012</v>
      </c>
      <c r="P46" s="341">
        <v>2013</v>
      </c>
      <c r="Q46" s="341">
        <v>2014</v>
      </c>
      <c r="R46" s="341">
        <v>2015</v>
      </c>
      <c r="S46" s="341">
        <v>2016</v>
      </c>
      <c r="T46" s="341">
        <v>2017</v>
      </c>
      <c r="U46" s="341">
        <v>2018</v>
      </c>
      <c r="V46" s="341">
        <v>2019</v>
      </c>
      <c r="W46" s="341">
        <v>2020</v>
      </c>
      <c r="X46" s="341">
        <v>2021</v>
      </c>
      <c r="Y46" s="341">
        <v>2022</v>
      </c>
      <c r="Z46" s="341">
        <v>2011</v>
      </c>
      <c r="AA46" s="341">
        <v>2012</v>
      </c>
      <c r="AB46" s="341">
        <v>2013</v>
      </c>
      <c r="AC46" s="341">
        <v>2014</v>
      </c>
      <c r="AD46" s="341">
        <v>2015</v>
      </c>
      <c r="AE46" s="341">
        <v>2016</v>
      </c>
      <c r="AF46" s="341">
        <v>2017</v>
      </c>
      <c r="AG46" s="341">
        <v>2018</v>
      </c>
      <c r="AH46" s="341">
        <v>2019</v>
      </c>
      <c r="AI46" s="341">
        <v>2020</v>
      </c>
      <c r="AJ46" s="341">
        <v>2021</v>
      </c>
      <c r="AK46" s="341">
        <v>2022</v>
      </c>
      <c r="AL46" s="341">
        <v>2011</v>
      </c>
      <c r="AM46" s="341">
        <v>2012</v>
      </c>
      <c r="AN46" s="341">
        <v>2013</v>
      </c>
      <c r="AO46" s="341">
        <v>2014</v>
      </c>
      <c r="AP46" s="341">
        <v>2015</v>
      </c>
      <c r="AQ46" s="341">
        <v>2016</v>
      </c>
      <c r="AR46" s="341">
        <v>2017</v>
      </c>
      <c r="AS46" s="341">
        <v>2018</v>
      </c>
      <c r="AT46" s="341">
        <v>2019</v>
      </c>
      <c r="AU46" s="341">
        <v>2020</v>
      </c>
      <c r="AV46" s="341">
        <v>2021</v>
      </c>
      <c r="AW46" s="341">
        <v>2022</v>
      </c>
      <c r="AX46" s="341">
        <v>2011</v>
      </c>
      <c r="AY46" s="341">
        <v>2012</v>
      </c>
      <c r="AZ46" s="341">
        <v>2013</v>
      </c>
      <c r="BA46" s="341">
        <v>2014</v>
      </c>
      <c r="BB46" s="341">
        <v>2015</v>
      </c>
      <c r="BC46" s="341">
        <v>2016</v>
      </c>
      <c r="BD46" s="341">
        <v>2017</v>
      </c>
      <c r="BE46" s="341">
        <v>2018</v>
      </c>
      <c r="BF46" s="341">
        <v>2019</v>
      </c>
      <c r="BG46" s="341">
        <v>2020</v>
      </c>
      <c r="BH46" s="341">
        <v>2021</v>
      </c>
      <c r="BI46" s="341">
        <v>2022</v>
      </c>
      <c r="BJ46" s="341">
        <v>2011</v>
      </c>
      <c r="BK46" s="341">
        <v>2012</v>
      </c>
      <c r="BL46" s="341">
        <v>2013</v>
      </c>
      <c r="BM46" s="341">
        <v>2014</v>
      </c>
      <c r="BN46" s="341">
        <v>2015</v>
      </c>
      <c r="BO46" s="341">
        <v>2016</v>
      </c>
      <c r="BP46" s="341">
        <v>2017</v>
      </c>
      <c r="BQ46" s="341">
        <v>2018</v>
      </c>
      <c r="BR46" s="341">
        <v>2019</v>
      </c>
      <c r="BS46" s="341">
        <v>2020</v>
      </c>
      <c r="BT46" s="341">
        <v>2021</v>
      </c>
      <c r="BU46" s="341">
        <v>2022</v>
      </c>
      <c r="BV46" s="341">
        <v>2011</v>
      </c>
      <c r="BW46" s="341">
        <v>2012</v>
      </c>
      <c r="BX46" s="341">
        <v>2013</v>
      </c>
      <c r="BY46" s="341">
        <v>2014</v>
      </c>
      <c r="BZ46" s="341">
        <v>2015</v>
      </c>
      <c r="CA46" s="341">
        <v>2016</v>
      </c>
      <c r="CB46" s="341">
        <v>2017</v>
      </c>
      <c r="CC46" s="341">
        <v>2018</v>
      </c>
      <c r="CD46" s="341">
        <v>2019</v>
      </c>
      <c r="CE46" s="341">
        <v>2020</v>
      </c>
      <c r="CF46" s="341">
        <v>2021</v>
      </c>
      <c r="CG46" s="341">
        <v>2022</v>
      </c>
      <c r="CH46" s="341">
        <v>2011</v>
      </c>
      <c r="CI46" s="341">
        <v>2012</v>
      </c>
      <c r="CJ46" s="341">
        <v>2013</v>
      </c>
      <c r="CK46" s="341">
        <v>2014</v>
      </c>
      <c r="CL46" s="341">
        <v>2015</v>
      </c>
      <c r="CM46" s="341">
        <v>2016</v>
      </c>
      <c r="CN46" s="341">
        <v>2017</v>
      </c>
      <c r="CO46" s="341">
        <v>2018</v>
      </c>
      <c r="CP46" s="341">
        <v>2019</v>
      </c>
      <c r="CQ46" s="341">
        <v>2020</v>
      </c>
      <c r="CR46" s="341">
        <v>2021</v>
      </c>
      <c r="CS46" s="341">
        <v>2022</v>
      </c>
      <c r="CT46" s="341">
        <v>2011</v>
      </c>
      <c r="CU46" s="341">
        <v>2012</v>
      </c>
      <c r="CV46" s="341">
        <v>2013</v>
      </c>
      <c r="CW46" s="341">
        <v>2014</v>
      </c>
      <c r="CX46" s="341">
        <v>2015</v>
      </c>
      <c r="CY46" s="341">
        <v>2016</v>
      </c>
      <c r="CZ46" s="341">
        <v>2017</v>
      </c>
      <c r="DA46" s="341">
        <v>2018</v>
      </c>
      <c r="DB46" s="341">
        <v>2019</v>
      </c>
      <c r="DC46" s="341">
        <v>2020</v>
      </c>
      <c r="DD46" s="341">
        <v>2021</v>
      </c>
      <c r="DE46" s="341">
        <v>2022</v>
      </c>
      <c r="DF46" s="341">
        <v>2011</v>
      </c>
      <c r="DG46" s="341">
        <v>2012</v>
      </c>
      <c r="DH46" s="341">
        <v>2013</v>
      </c>
      <c r="DI46" s="341">
        <v>2014</v>
      </c>
      <c r="DJ46" s="341">
        <v>2015</v>
      </c>
      <c r="DK46" s="341">
        <v>2016</v>
      </c>
      <c r="DL46" s="341">
        <v>2017</v>
      </c>
      <c r="DM46" s="341">
        <v>2018</v>
      </c>
      <c r="DN46" s="341">
        <v>2019</v>
      </c>
      <c r="DO46" s="341">
        <v>2020</v>
      </c>
      <c r="DP46" s="341">
        <v>2021</v>
      </c>
      <c r="DQ46" s="341">
        <v>2022</v>
      </c>
      <c r="DR46" s="130"/>
      <c r="DS46" s="130"/>
      <c r="DT46" s="130"/>
      <c r="DU46" s="130"/>
      <c r="DV46" s="130"/>
      <c r="DW46" s="130"/>
      <c r="DX46" s="130"/>
      <c r="DY46" s="130"/>
      <c r="DZ46" s="130"/>
      <c r="EA46" s="130"/>
      <c r="EB46" s="130"/>
      <c r="EC46" s="130"/>
      <c r="ED46" s="130"/>
      <c r="EE46" s="130"/>
      <c r="EF46" s="130"/>
      <c r="EG46" s="130"/>
      <c r="EH46" s="130"/>
      <c r="EI46" s="130"/>
      <c r="EJ46" s="130"/>
      <c r="EK46" s="130"/>
      <c r="EL46" s="130"/>
      <c r="EM46" s="130"/>
      <c r="EN46" s="130"/>
      <c r="EO46" s="130"/>
      <c r="EP46" s="130"/>
      <c r="EQ46" s="130"/>
      <c r="ER46" s="130"/>
      <c r="ES46" s="130"/>
      <c r="ET46" s="130"/>
      <c r="EU46" s="130"/>
      <c r="EV46" s="130"/>
      <c r="EW46" s="130"/>
      <c r="EX46" s="130"/>
      <c r="EY46" s="130"/>
      <c r="EZ46" s="130"/>
      <c r="FA46" s="130"/>
      <c r="FB46" s="130"/>
      <c r="FC46" s="130"/>
      <c r="FD46" s="130"/>
      <c r="FE46" s="130"/>
      <c r="FF46" s="130"/>
      <c r="FG46" s="130"/>
      <c r="FH46" s="130"/>
      <c r="FI46" s="130"/>
      <c r="FJ46" s="130"/>
      <c r="FK46" s="130"/>
      <c r="FL46" s="130"/>
    </row>
    <row r="47" spans="1:168" x14ac:dyDescent="0.25">
      <c r="A47" s="123" t="s">
        <v>25</v>
      </c>
      <c r="B47" s="131">
        <v>0</v>
      </c>
      <c r="C47" s="131">
        <v>0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1">
        <v>0</v>
      </c>
      <c r="P47" s="131">
        <v>0</v>
      </c>
      <c r="Q47" s="131">
        <v>0</v>
      </c>
      <c r="R47" s="131">
        <v>0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1">
        <v>0</v>
      </c>
      <c r="Y47" s="131">
        <v>0</v>
      </c>
      <c r="Z47" s="131">
        <v>0</v>
      </c>
      <c r="AA47" s="131">
        <v>1</v>
      </c>
      <c r="AB47" s="131">
        <v>0</v>
      </c>
      <c r="AC47" s="131">
        <v>0</v>
      </c>
      <c r="AD47" s="131">
        <v>0</v>
      </c>
      <c r="AE47" s="131">
        <v>0</v>
      </c>
      <c r="AF47" s="131">
        <v>0</v>
      </c>
      <c r="AG47" s="131">
        <v>0</v>
      </c>
      <c r="AH47" s="131">
        <v>0</v>
      </c>
      <c r="AI47" s="131">
        <v>0</v>
      </c>
      <c r="AJ47" s="131">
        <v>0</v>
      </c>
      <c r="AK47" s="131">
        <v>0</v>
      </c>
      <c r="AL47" s="131">
        <v>0</v>
      </c>
      <c r="AM47" s="131">
        <v>0</v>
      </c>
      <c r="AN47" s="131">
        <v>0</v>
      </c>
      <c r="AO47" s="131">
        <v>0</v>
      </c>
      <c r="AP47" s="131">
        <v>0</v>
      </c>
      <c r="AQ47" s="131">
        <v>0</v>
      </c>
      <c r="AR47" s="131">
        <v>0</v>
      </c>
      <c r="AS47" s="131">
        <v>0</v>
      </c>
      <c r="AT47" s="131">
        <v>0</v>
      </c>
      <c r="AU47" s="131">
        <v>0</v>
      </c>
      <c r="AV47" s="131">
        <v>0</v>
      </c>
      <c r="AW47" s="131">
        <v>0</v>
      </c>
      <c r="AX47" s="131">
        <v>1</v>
      </c>
      <c r="AY47" s="131">
        <v>2</v>
      </c>
      <c r="AZ47" s="131">
        <v>0</v>
      </c>
      <c r="BA47" s="131">
        <v>0</v>
      </c>
      <c r="BB47" s="131">
        <v>0</v>
      </c>
      <c r="BC47" s="131">
        <v>0</v>
      </c>
      <c r="BD47" s="131">
        <v>0</v>
      </c>
      <c r="BE47" s="131">
        <v>0</v>
      </c>
      <c r="BF47" s="131">
        <v>0</v>
      </c>
      <c r="BG47" s="131">
        <v>0</v>
      </c>
      <c r="BH47" s="131">
        <v>0</v>
      </c>
      <c r="BI47" s="131">
        <v>0</v>
      </c>
      <c r="BJ47" s="131">
        <v>0</v>
      </c>
      <c r="BK47" s="131">
        <v>0</v>
      </c>
      <c r="BL47" s="131">
        <v>0</v>
      </c>
      <c r="BM47" s="131">
        <v>0</v>
      </c>
      <c r="BN47" s="131">
        <v>0</v>
      </c>
      <c r="BO47" s="131">
        <v>0</v>
      </c>
      <c r="BP47" s="131">
        <v>0</v>
      </c>
      <c r="BQ47" s="131">
        <v>0</v>
      </c>
      <c r="BR47" s="131">
        <v>0</v>
      </c>
      <c r="BS47" s="131">
        <v>0</v>
      </c>
      <c r="BT47" s="131">
        <v>0</v>
      </c>
      <c r="BU47" s="131">
        <v>0</v>
      </c>
      <c r="BV47" s="131">
        <v>0</v>
      </c>
      <c r="BW47" s="131">
        <v>0</v>
      </c>
      <c r="BX47" s="131">
        <v>0</v>
      </c>
      <c r="BY47" s="131">
        <v>0</v>
      </c>
      <c r="BZ47" s="131">
        <v>0</v>
      </c>
      <c r="CA47" s="131">
        <v>0</v>
      </c>
      <c r="CB47" s="131">
        <v>0</v>
      </c>
      <c r="CC47" s="131">
        <v>0</v>
      </c>
      <c r="CD47" s="131">
        <v>0</v>
      </c>
      <c r="CE47" s="131">
        <v>0</v>
      </c>
      <c r="CF47" s="131">
        <v>0</v>
      </c>
      <c r="CG47" s="131">
        <v>0</v>
      </c>
      <c r="CH47" s="131">
        <v>0</v>
      </c>
      <c r="CI47" s="131">
        <v>0</v>
      </c>
      <c r="CJ47" s="131">
        <v>0</v>
      </c>
      <c r="CK47" s="131">
        <v>0</v>
      </c>
      <c r="CL47" s="131">
        <v>0</v>
      </c>
      <c r="CM47" s="131">
        <v>0</v>
      </c>
      <c r="CN47" s="131">
        <v>0</v>
      </c>
      <c r="CO47" s="131">
        <v>0</v>
      </c>
      <c r="CP47" s="131">
        <v>0</v>
      </c>
      <c r="CQ47" s="131">
        <v>0</v>
      </c>
      <c r="CR47" s="131">
        <v>0</v>
      </c>
      <c r="CS47" s="131">
        <v>0</v>
      </c>
      <c r="CT47" s="131">
        <v>0</v>
      </c>
      <c r="CU47" s="131">
        <v>0</v>
      </c>
      <c r="CV47" s="131">
        <v>0</v>
      </c>
      <c r="CW47" s="131">
        <v>0</v>
      </c>
      <c r="CX47" s="131">
        <v>0</v>
      </c>
      <c r="CY47" s="131">
        <v>0</v>
      </c>
      <c r="CZ47" s="131">
        <v>0</v>
      </c>
      <c r="DA47" s="131">
        <v>0</v>
      </c>
      <c r="DB47" s="131">
        <v>0</v>
      </c>
      <c r="DC47" s="131">
        <v>0</v>
      </c>
      <c r="DD47" s="131">
        <v>0</v>
      </c>
      <c r="DE47" s="131">
        <v>0</v>
      </c>
      <c r="DF47" s="131">
        <v>0</v>
      </c>
      <c r="DG47" s="131">
        <v>0</v>
      </c>
      <c r="DH47" s="131">
        <v>0</v>
      </c>
      <c r="DI47" s="131">
        <v>0</v>
      </c>
      <c r="DJ47" s="131">
        <v>0</v>
      </c>
      <c r="DK47" s="131">
        <v>0</v>
      </c>
      <c r="DL47" s="131">
        <v>0</v>
      </c>
      <c r="DM47" s="131">
        <v>0</v>
      </c>
      <c r="DN47" s="131">
        <v>0</v>
      </c>
      <c r="DO47" s="131">
        <v>0</v>
      </c>
      <c r="DP47" s="131">
        <v>0</v>
      </c>
      <c r="DQ47" s="131">
        <v>0</v>
      </c>
      <c r="DR47" s="123"/>
      <c r="DS47" s="123"/>
      <c r="DT47" s="123"/>
      <c r="DU47" s="123"/>
      <c r="DV47" s="123"/>
      <c r="DW47" s="123"/>
      <c r="DX47" s="123"/>
      <c r="DY47" s="123"/>
      <c r="DZ47" s="123"/>
      <c r="EA47" s="123"/>
      <c r="EB47" s="123"/>
      <c r="EC47" s="123"/>
      <c r="ED47" s="123"/>
      <c r="EE47" s="123"/>
      <c r="EF47" s="123"/>
      <c r="EG47" s="123"/>
      <c r="EH47" s="123"/>
      <c r="EI47" s="123"/>
      <c r="EJ47" s="123"/>
      <c r="EK47" s="123"/>
      <c r="EL47" s="123"/>
      <c r="EM47" s="123"/>
      <c r="EN47" s="123"/>
      <c r="EO47" s="123"/>
      <c r="EP47" s="123"/>
      <c r="EQ47" s="123"/>
      <c r="ER47" s="123"/>
      <c r="ES47" s="123"/>
      <c r="ET47" s="123"/>
      <c r="EU47" s="123"/>
      <c r="EV47" s="123"/>
      <c r="EW47" s="123"/>
      <c r="EX47" s="123"/>
      <c r="EY47" s="123"/>
      <c r="EZ47" s="123"/>
      <c r="FA47" s="123"/>
      <c r="FB47" s="123"/>
      <c r="FC47" s="123"/>
      <c r="FD47" s="123"/>
      <c r="FE47" s="123"/>
      <c r="FF47" s="123"/>
      <c r="FG47" s="123"/>
      <c r="FH47" s="123"/>
      <c r="FI47" s="123"/>
      <c r="FJ47" s="123"/>
      <c r="FK47" s="123"/>
      <c r="FL47" s="123"/>
    </row>
    <row r="48" spans="1:168" x14ac:dyDescent="0.25">
      <c r="A48" s="123" t="s">
        <v>33</v>
      </c>
      <c r="B48" s="131">
        <v>0</v>
      </c>
      <c r="C48" s="131">
        <v>0</v>
      </c>
      <c r="D48" s="131">
        <v>0</v>
      </c>
      <c r="E48" s="131">
        <v>0</v>
      </c>
      <c r="F48" s="131">
        <v>0</v>
      </c>
      <c r="G48" s="131">
        <v>0</v>
      </c>
      <c r="H48" s="131">
        <v>0</v>
      </c>
      <c r="I48" s="131">
        <v>0</v>
      </c>
      <c r="J48" s="131">
        <v>0</v>
      </c>
      <c r="K48" s="131">
        <v>0</v>
      </c>
      <c r="L48" s="131">
        <v>0</v>
      </c>
      <c r="M48" s="131">
        <v>0</v>
      </c>
      <c r="N48" s="131">
        <v>0</v>
      </c>
      <c r="O48" s="131">
        <v>1</v>
      </c>
      <c r="P48" s="131">
        <v>0</v>
      </c>
      <c r="Q48" s="131">
        <v>0</v>
      </c>
      <c r="R48" s="131">
        <v>0</v>
      </c>
      <c r="S48" s="131">
        <v>0</v>
      </c>
      <c r="T48" s="131">
        <v>0</v>
      </c>
      <c r="U48" s="131">
        <v>0</v>
      </c>
      <c r="V48" s="131">
        <v>0</v>
      </c>
      <c r="W48" s="131">
        <v>0</v>
      </c>
      <c r="X48" s="131">
        <v>0</v>
      </c>
      <c r="Y48" s="131">
        <v>0</v>
      </c>
      <c r="Z48" s="131">
        <v>0</v>
      </c>
      <c r="AA48" s="131">
        <v>0</v>
      </c>
      <c r="AB48" s="131">
        <v>0</v>
      </c>
      <c r="AC48" s="131">
        <v>0</v>
      </c>
      <c r="AD48" s="131">
        <v>0</v>
      </c>
      <c r="AE48" s="131">
        <v>0</v>
      </c>
      <c r="AF48" s="131">
        <v>0</v>
      </c>
      <c r="AG48" s="131">
        <v>0</v>
      </c>
      <c r="AH48" s="131">
        <v>0</v>
      </c>
      <c r="AI48" s="131">
        <v>0</v>
      </c>
      <c r="AJ48" s="131">
        <v>0</v>
      </c>
      <c r="AK48" s="131">
        <v>0</v>
      </c>
      <c r="AL48" s="131">
        <v>0</v>
      </c>
      <c r="AM48" s="131">
        <v>0</v>
      </c>
      <c r="AN48" s="131">
        <v>0</v>
      </c>
      <c r="AO48" s="131">
        <v>0</v>
      </c>
      <c r="AP48" s="131">
        <v>0</v>
      </c>
      <c r="AQ48" s="131">
        <v>0</v>
      </c>
      <c r="AR48" s="131">
        <v>0</v>
      </c>
      <c r="AS48" s="131">
        <v>0</v>
      </c>
      <c r="AT48" s="131">
        <v>0</v>
      </c>
      <c r="AU48" s="131">
        <v>0</v>
      </c>
      <c r="AV48" s="131">
        <v>0</v>
      </c>
      <c r="AW48" s="131">
        <v>0</v>
      </c>
      <c r="AX48" s="131">
        <v>0</v>
      </c>
      <c r="AY48" s="131">
        <v>0</v>
      </c>
      <c r="AZ48" s="131">
        <v>0</v>
      </c>
      <c r="BA48" s="131">
        <v>0</v>
      </c>
      <c r="BB48" s="131">
        <v>0</v>
      </c>
      <c r="BC48" s="131">
        <v>0</v>
      </c>
      <c r="BD48" s="131">
        <v>0</v>
      </c>
      <c r="BE48" s="131">
        <v>0</v>
      </c>
      <c r="BF48" s="131">
        <v>0</v>
      </c>
      <c r="BG48" s="131">
        <v>0</v>
      </c>
      <c r="BH48" s="131">
        <v>0</v>
      </c>
      <c r="BI48" s="131">
        <v>0</v>
      </c>
      <c r="BJ48" s="131">
        <v>0</v>
      </c>
      <c r="BK48" s="131">
        <v>0</v>
      </c>
      <c r="BL48" s="131">
        <v>0</v>
      </c>
      <c r="BM48" s="131">
        <v>0</v>
      </c>
      <c r="BN48" s="131">
        <v>0</v>
      </c>
      <c r="BO48" s="131">
        <v>0</v>
      </c>
      <c r="BP48" s="131">
        <v>0</v>
      </c>
      <c r="BQ48" s="131">
        <v>0</v>
      </c>
      <c r="BR48" s="131">
        <v>0</v>
      </c>
      <c r="BS48" s="131">
        <v>0</v>
      </c>
      <c r="BT48" s="131">
        <v>0</v>
      </c>
      <c r="BU48" s="131">
        <v>0</v>
      </c>
      <c r="BV48" s="131">
        <v>0</v>
      </c>
      <c r="BW48" s="131">
        <v>0</v>
      </c>
      <c r="BX48" s="131">
        <v>0</v>
      </c>
      <c r="BY48" s="131">
        <v>0</v>
      </c>
      <c r="BZ48" s="131">
        <v>0</v>
      </c>
      <c r="CA48" s="131">
        <v>0</v>
      </c>
      <c r="CB48" s="131">
        <v>0</v>
      </c>
      <c r="CC48" s="131">
        <v>0</v>
      </c>
      <c r="CD48" s="131">
        <v>0</v>
      </c>
      <c r="CE48" s="131">
        <v>0</v>
      </c>
      <c r="CF48" s="131">
        <v>0</v>
      </c>
      <c r="CG48" s="131">
        <v>0</v>
      </c>
      <c r="CH48" s="131">
        <v>0</v>
      </c>
      <c r="CI48" s="131">
        <v>0</v>
      </c>
      <c r="CJ48" s="131">
        <v>0</v>
      </c>
      <c r="CK48" s="131">
        <v>0</v>
      </c>
      <c r="CL48" s="131">
        <v>0</v>
      </c>
      <c r="CM48" s="131">
        <v>0</v>
      </c>
      <c r="CN48" s="131">
        <v>0</v>
      </c>
      <c r="CO48" s="131">
        <v>0</v>
      </c>
      <c r="CP48" s="131">
        <v>0</v>
      </c>
      <c r="CQ48" s="131">
        <v>0</v>
      </c>
      <c r="CR48" s="131">
        <v>0</v>
      </c>
      <c r="CS48" s="131">
        <v>0</v>
      </c>
      <c r="CT48" s="131">
        <v>0</v>
      </c>
      <c r="CU48" s="131">
        <v>0</v>
      </c>
      <c r="CV48" s="131">
        <v>0</v>
      </c>
      <c r="CW48" s="131">
        <v>0</v>
      </c>
      <c r="CX48" s="131">
        <v>0</v>
      </c>
      <c r="CY48" s="131">
        <v>0</v>
      </c>
      <c r="CZ48" s="131">
        <v>0</v>
      </c>
      <c r="DA48" s="131">
        <v>0</v>
      </c>
      <c r="DB48" s="131">
        <v>0</v>
      </c>
      <c r="DC48" s="131">
        <v>0</v>
      </c>
      <c r="DD48" s="131">
        <v>0</v>
      </c>
      <c r="DE48" s="131">
        <v>0</v>
      </c>
      <c r="DF48" s="131">
        <v>0</v>
      </c>
      <c r="DG48" s="131">
        <v>0</v>
      </c>
      <c r="DH48" s="131">
        <v>0</v>
      </c>
      <c r="DI48" s="131">
        <v>0</v>
      </c>
      <c r="DJ48" s="131">
        <v>0</v>
      </c>
      <c r="DK48" s="131">
        <v>0</v>
      </c>
      <c r="DL48" s="131">
        <v>0</v>
      </c>
      <c r="DM48" s="131">
        <v>0</v>
      </c>
      <c r="DN48" s="131">
        <v>0</v>
      </c>
      <c r="DO48" s="131">
        <v>0</v>
      </c>
      <c r="DP48" s="131">
        <v>0</v>
      </c>
      <c r="DQ48" s="131">
        <v>0</v>
      </c>
      <c r="DR48" s="123"/>
      <c r="DS48" s="123"/>
      <c r="DT48" s="123"/>
      <c r="DU48" s="123"/>
      <c r="DV48" s="123"/>
      <c r="DW48" s="123"/>
      <c r="DX48" s="123"/>
      <c r="DY48" s="123"/>
      <c r="DZ48" s="123"/>
      <c r="EA48" s="123"/>
      <c r="EB48" s="123"/>
      <c r="EC48" s="123"/>
      <c r="ED48" s="123"/>
      <c r="EE48" s="123"/>
      <c r="EF48" s="123"/>
      <c r="EG48" s="123"/>
      <c r="EH48" s="123"/>
      <c r="EI48" s="123"/>
      <c r="EJ48" s="123"/>
      <c r="EK48" s="123"/>
      <c r="EL48" s="123"/>
      <c r="EM48" s="123"/>
      <c r="EN48" s="123"/>
      <c r="EO48" s="123"/>
      <c r="EP48" s="123"/>
      <c r="EQ48" s="123"/>
      <c r="ER48" s="123"/>
      <c r="ES48" s="123"/>
      <c r="ET48" s="123"/>
      <c r="EU48" s="123"/>
      <c r="EV48" s="123"/>
      <c r="EW48" s="123"/>
      <c r="EX48" s="123"/>
      <c r="EY48" s="123"/>
      <c r="EZ48" s="123"/>
      <c r="FA48" s="123"/>
      <c r="FB48" s="123"/>
      <c r="FC48" s="123"/>
      <c r="FD48" s="123"/>
      <c r="FE48" s="123"/>
      <c r="FF48" s="123"/>
      <c r="FG48" s="123"/>
      <c r="FH48" s="123"/>
      <c r="FI48" s="123"/>
      <c r="FJ48" s="123"/>
      <c r="FK48" s="123"/>
      <c r="FL48" s="123"/>
    </row>
    <row r="49" spans="1:168" x14ac:dyDescent="0.25">
      <c r="A49" s="123" t="s">
        <v>7</v>
      </c>
      <c r="B49" s="131">
        <v>0</v>
      </c>
      <c r="C49" s="131">
        <v>1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131">
        <v>0</v>
      </c>
      <c r="K49" s="131">
        <v>0</v>
      </c>
      <c r="L49" s="131">
        <v>0</v>
      </c>
      <c r="M49" s="131">
        <v>0</v>
      </c>
      <c r="N49" s="131">
        <v>0</v>
      </c>
      <c r="O49" s="131">
        <v>0</v>
      </c>
      <c r="P49" s="131">
        <v>0</v>
      </c>
      <c r="Q49" s="131">
        <v>0</v>
      </c>
      <c r="R49" s="131">
        <v>0</v>
      </c>
      <c r="S49" s="131">
        <v>0</v>
      </c>
      <c r="T49" s="131">
        <v>0</v>
      </c>
      <c r="U49" s="131">
        <v>0</v>
      </c>
      <c r="V49" s="131">
        <v>0</v>
      </c>
      <c r="W49" s="131">
        <v>0</v>
      </c>
      <c r="X49" s="131">
        <v>0</v>
      </c>
      <c r="Y49" s="131">
        <v>0</v>
      </c>
      <c r="Z49" s="131">
        <v>0</v>
      </c>
      <c r="AA49" s="131">
        <v>0</v>
      </c>
      <c r="AB49" s="131">
        <v>0</v>
      </c>
      <c r="AC49" s="131">
        <v>0</v>
      </c>
      <c r="AD49" s="131">
        <v>0</v>
      </c>
      <c r="AE49" s="131">
        <v>0</v>
      </c>
      <c r="AF49" s="131">
        <v>0</v>
      </c>
      <c r="AG49" s="131">
        <v>0</v>
      </c>
      <c r="AH49" s="131">
        <v>0</v>
      </c>
      <c r="AI49" s="131">
        <v>0</v>
      </c>
      <c r="AJ49" s="131">
        <v>0</v>
      </c>
      <c r="AK49" s="131">
        <v>0</v>
      </c>
      <c r="AL49" s="131">
        <v>0</v>
      </c>
      <c r="AM49" s="131">
        <v>0</v>
      </c>
      <c r="AN49" s="131">
        <v>0</v>
      </c>
      <c r="AO49" s="131">
        <v>0</v>
      </c>
      <c r="AP49" s="131">
        <v>0</v>
      </c>
      <c r="AQ49" s="131">
        <v>0</v>
      </c>
      <c r="AR49" s="131">
        <v>0</v>
      </c>
      <c r="AS49" s="131">
        <v>0</v>
      </c>
      <c r="AT49" s="131">
        <v>0</v>
      </c>
      <c r="AU49" s="131">
        <v>0</v>
      </c>
      <c r="AV49" s="131">
        <v>0</v>
      </c>
      <c r="AW49" s="131">
        <v>0</v>
      </c>
      <c r="AX49" s="131">
        <v>0</v>
      </c>
      <c r="AY49" s="131">
        <v>0</v>
      </c>
      <c r="AZ49" s="131">
        <v>0</v>
      </c>
      <c r="BA49" s="131">
        <v>0</v>
      </c>
      <c r="BB49" s="131">
        <v>0</v>
      </c>
      <c r="BC49" s="131">
        <v>0</v>
      </c>
      <c r="BD49" s="131">
        <v>0</v>
      </c>
      <c r="BE49" s="131">
        <v>0</v>
      </c>
      <c r="BF49" s="131">
        <v>0</v>
      </c>
      <c r="BG49" s="131">
        <v>0</v>
      </c>
      <c r="BH49" s="131">
        <v>0</v>
      </c>
      <c r="BI49" s="131">
        <v>0</v>
      </c>
      <c r="BJ49" s="131">
        <v>0</v>
      </c>
      <c r="BK49" s="131">
        <v>0</v>
      </c>
      <c r="BL49" s="131">
        <v>0</v>
      </c>
      <c r="BM49" s="131">
        <v>0</v>
      </c>
      <c r="BN49" s="131">
        <v>0</v>
      </c>
      <c r="BO49" s="131">
        <v>0</v>
      </c>
      <c r="BP49" s="131">
        <v>0</v>
      </c>
      <c r="BQ49" s="131">
        <v>0</v>
      </c>
      <c r="BR49" s="131">
        <v>0</v>
      </c>
      <c r="BS49" s="131">
        <v>0</v>
      </c>
      <c r="BT49" s="131">
        <v>0</v>
      </c>
      <c r="BU49" s="131">
        <v>0</v>
      </c>
      <c r="BV49" s="131">
        <v>0</v>
      </c>
      <c r="BW49" s="131">
        <v>0</v>
      </c>
      <c r="BX49" s="131">
        <v>0</v>
      </c>
      <c r="BY49" s="131">
        <v>0</v>
      </c>
      <c r="BZ49" s="131">
        <v>0</v>
      </c>
      <c r="CA49" s="131">
        <v>0</v>
      </c>
      <c r="CB49" s="131">
        <v>0</v>
      </c>
      <c r="CC49" s="131">
        <v>0</v>
      </c>
      <c r="CD49" s="131">
        <v>0</v>
      </c>
      <c r="CE49" s="131">
        <v>0</v>
      </c>
      <c r="CF49" s="131">
        <v>0</v>
      </c>
      <c r="CG49" s="131">
        <v>0</v>
      </c>
      <c r="CH49" s="131">
        <v>0</v>
      </c>
      <c r="CI49" s="131">
        <v>0</v>
      </c>
      <c r="CJ49" s="131">
        <v>0</v>
      </c>
      <c r="CK49" s="131">
        <v>0</v>
      </c>
      <c r="CL49" s="131">
        <v>0</v>
      </c>
      <c r="CM49" s="131">
        <v>0</v>
      </c>
      <c r="CN49" s="131">
        <v>0</v>
      </c>
      <c r="CO49" s="131">
        <v>0</v>
      </c>
      <c r="CP49" s="131">
        <v>0</v>
      </c>
      <c r="CQ49" s="131">
        <v>0</v>
      </c>
      <c r="CR49" s="131">
        <v>0</v>
      </c>
      <c r="CS49" s="131">
        <v>0</v>
      </c>
      <c r="CT49" s="131">
        <v>0</v>
      </c>
      <c r="CU49" s="131">
        <v>0</v>
      </c>
      <c r="CV49" s="131">
        <v>0</v>
      </c>
      <c r="CW49" s="131">
        <v>0</v>
      </c>
      <c r="CX49" s="131">
        <v>0</v>
      </c>
      <c r="CY49" s="131">
        <v>0</v>
      </c>
      <c r="CZ49" s="131">
        <v>0</v>
      </c>
      <c r="DA49" s="131">
        <v>0</v>
      </c>
      <c r="DB49" s="131">
        <v>0</v>
      </c>
      <c r="DC49" s="131">
        <v>0</v>
      </c>
      <c r="DD49" s="131">
        <v>0</v>
      </c>
      <c r="DE49" s="131">
        <v>0</v>
      </c>
      <c r="DF49" s="131">
        <v>0</v>
      </c>
      <c r="DG49" s="131">
        <v>0</v>
      </c>
      <c r="DH49" s="131">
        <v>0</v>
      </c>
      <c r="DI49" s="131">
        <v>0</v>
      </c>
      <c r="DJ49" s="131">
        <v>0</v>
      </c>
      <c r="DK49" s="131">
        <v>0</v>
      </c>
      <c r="DL49" s="131">
        <v>0</v>
      </c>
      <c r="DM49" s="131">
        <v>0</v>
      </c>
      <c r="DN49" s="131">
        <v>0</v>
      </c>
      <c r="DO49" s="131">
        <v>0</v>
      </c>
      <c r="DP49" s="131">
        <v>0</v>
      </c>
      <c r="DQ49" s="131">
        <v>0</v>
      </c>
      <c r="DR49" s="123"/>
      <c r="DS49" s="123"/>
      <c r="DT49" s="123"/>
      <c r="DU49" s="123"/>
      <c r="DV49" s="123"/>
      <c r="DW49" s="123"/>
      <c r="DX49" s="123"/>
      <c r="DY49" s="123"/>
      <c r="DZ49" s="123"/>
      <c r="EA49" s="123"/>
      <c r="EB49" s="123"/>
      <c r="EC49" s="123"/>
      <c r="ED49" s="123"/>
      <c r="EE49" s="123"/>
      <c r="EF49" s="123"/>
      <c r="EG49" s="123"/>
      <c r="EH49" s="123"/>
      <c r="EI49" s="123"/>
      <c r="EJ49" s="123"/>
      <c r="EK49" s="123"/>
      <c r="EL49" s="123"/>
      <c r="EM49" s="123"/>
      <c r="EN49" s="123"/>
      <c r="EO49" s="123"/>
      <c r="EP49" s="123"/>
      <c r="EQ49" s="123"/>
      <c r="ER49" s="123"/>
      <c r="ES49" s="123"/>
      <c r="ET49" s="123"/>
      <c r="EU49" s="123"/>
      <c r="EV49" s="123"/>
      <c r="EW49" s="123"/>
      <c r="EX49" s="123"/>
      <c r="EY49" s="123"/>
      <c r="EZ49" s="123"/>
      <c r="FA49" s="123"/>
      <c r="FB49" s="123"/>
      <c r="FC49" s="123"/>
      <c r="FD49" s="123"/>
      <c r="FE49" s="123"/>
      <c r="FF49" s="123"/>
      <c r="FG49" s="123"/>
      <c r="FH49" s="123"/>
      <c r="FI49" s="123"/>
      <c r="FJ49" s="123"/>
      <c r="FK49" s="123"/>
      <c r="FL49" s="123"/>
    </row>
    <row r="50" spans="1:168" x14ac:dyDescent="0.25">
      <c r="A50" s="123" t="s">
        <v>23</v>
      </c>
      <c r="B50" s="131">
        <v>1</v>
      </c>
      <c r="C50" s="131">
        <v>1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1</v>
      </c>
      <c r="O50" s="131">
        <v>1</v>
      </c>
      <c r="P50" s="131">
        <v>0</v>
      </c>
      <c r="Q50" s="131">
        <v>0</v>
      </c>
      <c r="R50" s="131">
        <v>0</v>
      </c>
      <c r="S50" s="131">
        <v>0</v>
      </c>
      <c r="T50" s="131">
        <v>0</v>
      </c>
      <c r="U50" s="131">
        <v>0</v>
      </c>
      <c r="V50" s="131">
        <v>0</v>
      </c>
      <c r="W50" s="131">
        <v>0</v>
      </c>
      <c r="X50" s="131">
        <v>0</v>
      </c>
      <c r="Y50" s="131">
        <v>0</v>
      </c>
      <c r="Z50" s="131">
        <v>1</v>
      </c>
      <c r="AA50" s="131">
        <v>1</v>
      </c>
      <c r="AB50" s="131">
        <v>0</v>
      </c>
      <c r="AC50" s="131">
        <v>0</v>
      </c>
      <c r="AD50" s="131">
        <v>0</v>
      </c>
      <c r="AE50" s="131">
        <v>0</v>
      </c>
      <c r="AF50" s="131">
        <v>0</v>
      </c>
      <c r="AG50" s="131">
        <v>0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0</v>
      </c>
      <c r="AQ50" s="131">
        <v>0</v>
      </c>
      <c r="AR50" s="131">
        <v>0</v>
      </c>
      <c r="AS50" s="131">
        <v>0</v>
      </c>
      <c r="AT50" s="131">
        <v>0</v>
      </c>
      <c r="AU50" s="131">
        <v>0</v>
      </c>
      <c r="AV50" s="131">
        <v>0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0</v>
      </c>
      <c r="BE50" s="131">
        <v>0</v>
      </c>
      <c r="BF50" s="131">
        <v>0</v>
      </c>
      <c r="BG50" s="131">
        <v>0</v>
      </c>
      <c r="BH50" s="131">
        <v>0</v>
      </c>
      <c r="BI50" s="131">
        <v>0</v>
      </c>
      <c r="BJ50" s="131">
        <v>1</v>
      </c>
      <c r="BK50" s="131">
        <v>2</v>
      </c>
      <c r="BL50" s="131">
        <v>0</v>
      </c>
      <c r="BM50" s="131">
        <v>0</v>
      </c>
      <c r="BN50" s="131">
        <v>0</v>
      </c>
      <c r="BO50" s="131">
        <v>0</v>
      </c>
      <c r="BP50" s="131">
        <v>0</v>
      </c>
      <c r="BQ50" s="131">
        <v>0</v>
      </c>
      <c r="BR50" s="131">
        <v>0</v>
      </c>
      <c r="BS50" s="131">
        <v>0</v>
      </c>
      <c r="BT50" s="131">
        <v>0</v>
      </c>
      <c r="BU50" s="131">
        <v>0</v>
      </c>
      <c r="BV50" s="131">
        <v>0</v>
      </c>
      <c r="BW50" s="131">
        <v>0</v>
      </c>
      <c r="BX50" s="131">
        <v>0</v>
      </c>
      <c r="BY50" s="131">
        <v>0</v>
      </c>
      <c r="BZ50" s="131">
        <v>0</v>
      </c>
      <c r="CA50" s="131">
        <v>0</v>
      </c>
      <c r="CB50" s="131">
        <v>0</v>
      </c>
      <c r="CC50" s="131">
        <v>0</v>
      </c>
      <c r="CD50" s="131">
        <v>0</v>
      </c>
      <c r="CE50" s="131">
        <v>0</v>
      </c>
      <c r="CF50" s="131">
        <v>0</v>
      </c>
      <c r="CG50" s="131">
        <v>0</v>
      </c>
      <c r="CH50" s="131">
        <v>0</v>
      </c>
      <c r="CI50" s="131">
        <v>0</v>
      </c>
      <c r="CJ50" s="131">
        <v>0</v>
      </c>
      <c r="CK50" s="131">
        <v>0</v>
      </c>
      <c r="CL50" s="131">
        <v>0</v>
      </c>
      <c r="CM50" s="131">
        <v>0</v>
      </c>
      <c r="CN50" s="131">
        <v>0</v>
      </c>
      <c r="CO50" s="131">
        <v>0</v>
      </c>
      <c r="CP50" s="131">
        <v>0</v>
      </c>
      <c r="CQ50" s="131">
        <v>0</v>
      </c>
      <c r="CR50" s="131">
        <v>0</v>
      </c>
      <c r="CS50" s="131">
        <v>0</v>
      </c>
      <c r="CT50" s="131">
        <v>0</v>
      </c>
      <c r="CU50" s="131">
        <v>0</v>
      </c>
      <c r="CV50" s="131">
        <v>0</v>
      </c>
      <c r="CW50" s="131">
        <v>0</v>
      </c>
      <c r="CX50" s="131">
        <v>0</v>
      </c>
      <c r="CY50" s="131">
        <v>0</v>
      </c>
      <c r="CZ50" s="131">
        <v>0</v>
      </c>
      <c r="DA50" s="131">
        <v>0</v>
      </c>
      <c r="DB50" s="131">
        <v>0</v>
      </c>
      <c r="DC50" s="131">
        <v>0</v>
      </c>
      <c r="DD50" s="131">
        <v>0</v>
      </c>
      <c r="DE50" s="131">
        <v>0</v>
      </c>
      <c r="DF50" s="131">
        <v>0</v>
      </c>
      <c r="DG50" s="131">
        <v>0</v>
      </c>
      <c r="DH50" s="131">
        <v>0</v>
      </c>
      <c r="DI50" s="131">
        <v>0</v>
      </c>
      <c r="DJ50" s="131">
        <v>0</v>
      </c>
      <c r="DK50" s="131">
        <v>0</v>
      </c>
      <c r="DL50" s="131">
        <v>0</v>
      </c>
      <c r="DM50" s="131">
        <v>0</v>
      </c>
      <c r="DN50" s="131">
        <v>0</v>
      </c>
      <c r="DO50" s="131">
        <v>0</v>
      </c>
      <c r="DP50" s="131">
        <v>0</v>
      </c>
      <c r="DQ50" s="131">
        <v>0</v>
      </c>
      <c r="DR50" s="123"/>
      <c r="DS50" s="123"/>
      <c r="DT50" s="123"/>
      <c r="DU50" s="123"/>
      <c r="DV50" s="123"/>
      <c r="DW50" s="123"/>
      <c r="DX50" s="123"/>
      <c r="DY50" s="123"/>
      <c r="DZ50" s="123"/>
      <c r="EA50" s="123"/>
      <c r="EB50" s="123"/>
      <c r="EC50" s="123"/>
      <c r="ED50" s="123"/>
      <c r="EE50" s="123"/>
      <c r="EF50" s="123"/>
      <c r="EG50" s="123"/>
      <c r="EH50" s="123"/>
      <c r="EI50" s="123"/>
      <c r="EJ50" s="123"/>
      <c r="EK50" s="123"/>
      <c r="EL50" s="123"/>
      <c r="EM50" s="123"/>
      <c r="EN50" s="123"/>
      <c r="EO50" s="123"/>
      <c r="EP50" s="123"/>
      <c r="EQ50" s="123"/>
      <c r="ER50" s="123"/>
      <c r="ES50" s="123"/>
      <c r="ET50" s="123"/>
      <c r="EU50" s="123"/>
      <c r="EV50" s="123"/>
      <c r="EW50" s="123"/>
      <c r="EX50" s="123"/>
      <c r="EY50" s="123"/>
      <c r="EZ50" s="123"/>
      <c r="FA50" s="123"/>
      <c r="FB50" s="123"/>
      <c r="FC50" s="123"/>
      <c r="FD50" s="123"/>
      <c r="FE50" s="123"/>
      <c r="FF50" s="123"/>
      <c r="FG50" s="123"/>
      <c r="FH50" s="123"/>
      <c r="FI50" s="123"/>
      <c r="FJ50" s="123"/>
      <c r="FK50" s="123"/>
      <c r="FL50" s="123"/>
    </row>
    <row r="51" spans="1:168" x14ac:dyDescent="0.25">
      <c r="A51" s="123" t="s">
        <v>9</v>
      </c>
      <c r="B51" s="131">
        <v>0</v>
      </c>
      <c r="C51" s="131">
        <v>0</v>
      </c>
      <c r="D51" s="131">
        <v>0</v>
      </c>
      <c r="E51" s="131">
        <v>0</v>
      </c>
      <c r="F51" s="131">
        <v>0</v>
      </c>
      <c r="G51" s="131">
        <v>0</v>
      </c>
      <c r="H51" s="131">
        <v>0</v>
      </c>
      <c r="I51" s="131">
        <v>0</v>
      </c>
      <c r="J51" s="131">
        <v>0</v>
      </c>
      <c r="K51" s="131">
        <v>0</v>
      </c>
      <c r="L51" s="131">
        <v>0</v>
      </c>
      <c r="M51" s="131">
        <v>0</v>
      </c>
      <c r="N51" s="131">
        <v>0</v>
      </c>
      <c r="O51" s="131">
        <v>0</v>
      </c>
      <c r="P51" s="131">
        <v>0</v>
      </c>
      <c r="Q51" s="131">
        <v>0</v>
      </c>
      <c r="R51" s="131">
        <v>0</v>
      </c>
      <c r="S51" s="131">
        <v>0</v>
      </c>
      <c r="T51" s="131">
        <v>0</v>
      </c>
      <c r="U51" s="131">
        <v>0</v>
      </c>
      <c r="V51" s="131">
        <v>0</v>
      </c>
      <c r="W51" s="131">
        <v>0</v>
      </c>
      <c r="X51" s="131">
        <v>0</v>
      </c>
      <c r="Y51" s="131">
        <v>0</v>
      </c>
      <c r="Z51" s="131">
        <v>0</v>
      </c>
      <c r="AA51" s="131">
        <v>0</v>
      </c>
      <c r="AB51" s="131">
        <v>0</v>
      </c>
      <c r="AC51" s="131">
        <v>0</v>
      </c>
      <c r="AD51" s="131">
        <v>0</v>
      </c>
      <c r="AE51" s="131">
        <v>0</v>
      </c>
      <c r="AF51" s="131">
        <v>0</v>
      </c>
      <c r="AG51" s="131">
        <v>0</v>
      </c>
      <c r="AH51" s="131">
        <v>0</v>
      </c>
      <c r="AI51" s="131">
        <v>0</v>
      </c>
      <c r="AJ51" s="131">
        <v>0</v>
      </c>
      <c r="AK51" s="131">
        <v>0</v>
      </c>
      <c r="AL51" s="131">
        <v>0</v>
      </c>
      <c r="AM51" s="131">
        <v>0</v>
      </c>
      <c r="AN51" s="131">
        <v>0</v>
      </c>
      <c r="AO51" s="131">
        <v>0</v>
      </c>
      <c r="AP51" s="131">
        <v>0</v>
      </c>
      <c r="AQ51" s="131">
        <v>0</v>
      </c>
      <c r="AR51" s="131">
        <v>0</v>
      </c>
      <c r="AS51" s="131">
        <v>0</v>
      </c>
      <c r="AT51" s="131">
        <v>0</v>
      </c>
      <c r="AU51" s="131">
        <v>0</v>
      </c>
      <c r="AV51" s="131">
        <v>0</v>
      </c>
      <c r="AW51" s="131">
        <v>0</v>
      </c>
      <c r="AX51" s="131">
        <v>0</v>
      </c>
      <c r="AY51" s="131">
        <v>0</v>
      </c>
      <c r="AZ51" s="131">
        <v>0</v>
      </c>
      <c r="BA51" s="131">
        <v>0</v>
      </c>
      <c r="BB51" s="131">
        <v>0</v>
      </c>
      <c r="BC51" s="131">
        <v>0</v>
      </c>
      <c r="BD51" s="131">
        <v>0</v>
      </c>
      <c r="BE51" s="131">
        <v>0</v>
      </c>
      <c r="BF51" s="131">
        <v>0</v>
      </c>
      <c r="BG51" s="131">
        <v>0</v>
      </c>
      <c r="BH51" s="131">
        <v>0</v>
      </c>
      <c r="BI51" s="131">
        <v>0</v>
      </c>
      <c r="BJ51" s="131">
        <v>0</v>
      </c>
      <c r="BK51" s="131">
        <v>0</v>
      </c>
      <c r="BL51" s="131">
        <v>0</v>
      </c>
      <c r="BM51" s="131">
        <v>0</v>
      </c>
      <c r="BN51" s="131">
        <v>0</v>
      </c>
      <c r="BO51" s="131">
        <v>0</v>
      </c>
      <c r="BP51" s="131">
        <v>0</v>
      </c>
      <c r="BQ51" s="131">
        <v>0</v>
      </c>
      <c r="BR51" s="131">
        <v>0</v>
      </c>
      <c r="BS51" s="131">
        <v>0</v>
      </c>
      <c r="BT51" s="131">
        <v>0</v>
      </c>
      <c r="BU51" s="131">
        <v>0</v>
      </c>
      <c r="BV51" s="131">
        <v>0</v>
      </c>
      <c r="BW51" s="131">
        <v>0</v>
      </c>
      <c r="BX51" s="131">
        <v>0</v>
      </c>
      <c r="BY51" s="131">
        <v>0</v>
      </c>
      <c r="BZ51" s="131">
        <v>0</v>
      </c>
      <c r="CA51" s="131">
        <v>0</v>
      </c>
      <c r="CB51" s="131">
        <v>0</v>
      </c>
      <c r="CC51" s="131">
        <v>0</v>
      </c>
      <c r="CD51" s="131">
        <v>0</v>
      </c>
      <c r="CE51" s="131">
        <v>0</v>
      </c>
      <c r="CF51" s="131">
        <v>0</v>
      </c>
      <c r="CG51" s="131">
        <v>0</v>
      </c>
      <c r="CH51" s="131">
        <v>0</v>
      </c>
      <c r="CI51" s="131">
        <v>0</v>
      </c>
      <c r="CJ51" s="131">
        <v>0</v>
      </c>
      <c r="CK51" s="131">
        <v>0</v>
      </c>
      <c r="CL51" s="131">
        <v>0</v>
      </c>
      <c r="CM51" s="131">
        <v>0</v>
      </c>
      <c r="CN51" s="131">
        <v>0</v>
      </c>
      <c r="CO51" s="131">
        <v>0</v>
      </c>
      <c r="CP51" s="131">
        <v>0</v>
      </c>
      <c r="CQ51" s="131">
        <v>0</v>
      </c>
      <c r="CR51" s="131">
        <v>0</v>
      </c>
      <c r="CS51" s="131">
        <v>0</v>
      </c>
      <c r="CT51" s="131">
        <v>0</v>
      </c>
      <c r="CU51" s="131">
        <v>0</v>
      </c>
      <c r="CV51" s="131">
        <v>0</v>
      </c>
      <c r="CW51" s="131">
        <v>0</v>
      </c>
      <c r="CX51" s="131">
        <v>0</v>
      </c>
      <c r="CY51" s="131">
        <v>0</v>
      </c>
      <c r="CZ51" s="131">
        <v>0</v>
      </c>
      <c r="DA51" s="131">
        <v>0</v>
      </c>
      <c r="DB51" s="131">
        <v>0</v>
      </c>
      <c r="DC51" s="131">
        <v>0</v>
      </c>
      <c r="DD51" s="131">
        <v>0</v>
      </c>
      <c r="DE51" s="131">
        <v>0</v>
      </c>
      <c r="DF51" s="131">
        <v>0</v>
      </c>
      <c r="DG51" s="131">
        <v>0</v>
      </c>
      <c r="DH51" s="131">
        <v>0</v>
      </c>
      <c r="DI51" s="131">
        <v>0</v>
      </c>
      <c r="DJ51" s="131">
        <v>0</v>
      </c>
      <c r="DK51" s="131">
        <v>0</v>
      </c>
      <c r="DL51" s="131">
        <v>0</v>
      </c>
      <c r="DM51" s="131">
        <v>0</v>
      </c>
      <c r="DN51" s="131">
        <v>0</v>
      </c>
      <c r="DO51" s="131">
        <v>0</v>
      </c>
      <c r="DP51" s="131">
        <v>0</v>
      </c>
      <c r="DQ51" s="131">
        <v>0</v>
      </c>
      <c r="DR51" s="123"/>
      <c r="DS51" s="123"/>
      <c r="DT51" s="123"/>
      <c r="DU51" s="123"/>
      <c r="DV51" s="123"/>
      <c r="DW51" s="123"/>
      <c r="DX51" s="123"/>
      <c r="DY51" s="123"/>
      <c r="DZ51" s="123"/>
      <c r="EA51" s="123"/>
      <c r="EB51" s="123"/>
      <c r="EC51" s="123"/>
      <c r="ED51" s="123"/>
      <c r="EE51" s="123"/>
      <c r="EF51" s="123"/>
      <c r="EG51" s="123"/>
      <c r="EH51" s="123"/>
      <c r="EI51" s="123"/>
      <c r="EJ51" s="123"/>
      <c r="EK51" s="123"/>
      <c r="EL51" s="123"/>
      <c r="EM51" s="123"/>
      <c r="EN51" s="123"/>
      <c r="EO51" s="123"/>
      <c r="EP51" s="123"/>
      <c r="EQ51" s="123"/>
      <c r="ER51" s="123"/>
      <c r="ES51" s="123"/>
      <c r="ET51" s="123"/>
      <c r="EU51" s="123"/>
      <c r="EV51" s="123"/>
      <c r="EW51" s="123"/>
      <c r="EX51" s="123"/>
      <c r="EY51" s="123"/>
      <c r="EZ51" s="123"/>
      <c r="FA51" s="123"/>
      <c r="FB51" s="123"/>
      <c r="FC51" s="123"/>
      <c r="FD51" s="123"/>
      <c r="FE51" s="123"/>
      <c r="FF51" s="123"/>
      <c r="FG51" s="123"/>
      <c r="FH51" s="123"/>
      <c r="FI51" s="123"/>
      <c r="FJ51" s="123"/>
      <c r="FK51" s="123"/>
      <c r="FL51" s="123"/>
    </row>
    <row r="52" spans="1:168" x14ac:dyDescent="0.25">
      <c r="A52" s="123" t="s">
        <v>36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0</v>
      </c>
      <c r="S52" s="131">
        <v>0</v>
      </c>
      <c r="T52" s="131">
        <v>0</v>
      </c>
      <c r="U52" s="131">
        <v>0</v>
      </c>
      <c r="V52" s="131">
        <v>0</v>
      </c>
      <c r="W52" s="131">
        <v>0</v>
      </c>
      <c r="X52" s="131">
        <v>0</v>
      </c>
      <c r="Y52" s="131">
        <v>0</v>
      </c>
      <c r="Z52" s="131">
        <v>0</v>
      </c>
      <c r="AA52" s="131">
        <v>0</v>
      </c>
      <c r="AB52" s="131">
        <v>0</v>
      </c>
      <c r="AC52" s="131">
        <v>0</v>
      </c>
      <c r="AD52" s="131">
        <v>0</v>
      </c>
      <c r="AE52" s="131">
        <v>0</v>
      </c>
      <c r="AF52" s="131">
        <v>0</v>
      </c>
      <c r="AG52" s="131">
        <v>0</v>
      </c>
      <c r="AH52" s="131">
        <v>0</v>
      </c>
      <c r="AI52" s="131">
        <v>0</v>
      </c>
      <c r="AJ52" s="131">
        <v>0</v>
      </c>
      <c r="AK52" s="131">
        <v>0</v>
      </c>
      <c r="AL52" s="131">
        <v>1</v>
      </c>
      <c r="AM52" s="131">
        <v>2</v>
      </c>
      <c r="AN52" s="131">
        <v>0</v>
      </c>
      <c r="AO52" s="131">
        <v>0</v>
      </c>
      <c r="AP52" s="131">
        <v>0</v>
      </c>
      <c r="AQ52" s="131">
        <v>0</v>
      </c>
      <c r="AR52" s="131">
        <v>0</v>
      </c>
      <c r="AS52" s="131">
        <v>0</v>
      </c>
      <c r="AT52" s="131">
        <v>0</v>
      </c>
      <c r="AU52" s="131">
        <v>0</v>
      </c>
      <c r="AV52" s="131">
        <v>0</v>
      </c>
      <c r="AW52" s="131">
        <v>0</v>
      </c>
      <c r="AX52" s="131">
        <v>0</v>
      </c>
      <c r="AY52" s="131">
        <v>0</v>
      </c>
      <c r="AZ52" s="131">
        <v>0</v>
      </c>
      <c r="BA52" s="131">
        <v>0</v>
      </c>
      <c r="BB52" s="131">
        <v>0</v>
      </c>
      <c r="BC52" s="131">
        <v>0</v>
      </c>
      <c r="BD52" s="131">
        <v>0</v>
      </c>
      <c r="BE52" s="131">
        <v>0</v>
      </c>
      <c r="BF52" s="131">
        <v>0</v>
      </c>
      <c r="BG52" s="131">
        <v>0</v>
      </c>
      <c r="BH52" s="131">
        <v>0</v>
      </c>
      <c r="BI52" s="131">
        <v>0</v>
      </c>
      <c r="BJ52" s="131">
        <v>0</v>
      </c>
      <c r="BK52" s="131">
        <v>0</v>
      </c>
      <c r="BL52" s="131">
        <v>0</v>
      </c>
      <c r="BM52" s="131">
        <v>0</v>
      </c>
      <c r="BN52" s="131">
        <v>0</v>
      </c>
      <c r="BO52" s="131">
        <v>0</v>
      </c>
      <c r="BP52" s="131">
        <v>0</v>
      </c>
      <c r="BQ52" s="131">
        <v>0</v>
      </c>
      <c r="BR52" s="131">
        <v>0</v>
      </c>
      <c r="BS52" s="131">
        <v>0</v>
      </c>
      <c r="BT52" s="131">
        <v>0</v>
      </c>
      <c r="BU52" s="131">
        <v>0</v>
      </c>
      <c r="BV52" s="131">
        <v>0</v>
      </c>
      <c r="BW52" s="131">
        <v>0</v>
      </c>
      <c r="BX52" s="131">
        <v>0</v>
      </c>
      <c r="BY52" s="131">
        <v>0</v>
      </c>
      <c r="BZ52" s="131">
        <v>0</v>
      </c>
      <c r="CA52" s="131">
        <v>0</v>
      </c>
      <c r="CB52" s="131">
        <v>0</v>
      </c>
      <c r="CC52" s="131">
        <v>0</v>
      </c>
      <c r="CD52" s="131">
        <v>0</v>
      </c>
      <c r="CE52" s="131">
        <v>0</v>
      </c>
      <c r="CF52" s="131">
        <v>0</v>
      </c>
      <c r="CG52" s="131">
        <v>0</v>
      </c>
      <c r="CH52" s="131">
        <v>0</v>
      </c>
      <c r="CI52" s="131">
        <v>0</v>
      </c>
      <c r="CJ52" s="131">
        <v>0</v>
      </c>
      <c r="CK52" s="131">
        <v>0</v>
      </c>
      <c r="CL52" s="131">
        <v>0</v>
      </c>
      <c r="CM52" s="131">
        <v>0</v>
      </c>
      <c r="CN52" s="131">
        <v>0</v>
      </c>
      <c r="CO52" s="131">
        <v>0</v>
      </c>
      <c r="CP52" s="131">
        <v>0</v>
      </c>
      <c r="CQ52" s="131">
        <v>0</v>
      </c>
      <c r="CR52" s="131">
        <v>0</v>
      </c>
      <c r="CS52" s="131">
        <v>0</v>
      </c>
      <c r="CT52" s="131">
        <v>0</v>
      </c>
      <c r="CU52" s="131">
        <v>0</v>
      </c>
      <c r="CV52" s="131">
        <v>0</v>
      </c>
      <c r="CW52" s="131">
        <v>0</v>
      </c>
      <c r="CX52" s="131">
        <v>0</v>
      </c>
      <c r="CY52" s="131">
        <v>0</v>
      </c>
      <c r="CZ52" s="131">
        <v>0</v>
      </c>
      <c r="DA52" s="131">
        <v>0</v>
      </c>
      <c r="DB52" s="131">
        <v>0</v>
      </c>
      <c r="DC52" s="131">
        <v>0</v>
      </c>
      <c r="DD52" s="131">
        <v>0</v>
      </c>
      <c r="DE52" s="131">
        <v>0</v>
      </c>
      <c r="DF52" s="131">
        <v>0</v>
      </c>
      <c r="DG52" s="131">
        <v>0</v>
      </c>
      <c r="DH52" s="131">
        <v>0</v>
      </c>
      <c r="DI52" s="131">
        <v>0</v>
      </c>
      <c r="DJ52" s="131">
        <v>0</v>
      </c>
      <c r="DK52" s="131">
        <v>0</v>
      </c>
      <c r="DL52" s="131">
        <v>0</v>
      </c>
      <c r="DM52" s="131">
        <v>0</v>
      </c>
      <c r="DN52" s="131">
        <v>0</v>
      </c>
      <c r="DO52" s="131">
        <v>0</v>
      </c>
      <c r="DP52" s="131">
        <v>0</v>
      </c>
      <c r="DQ52" s="131">
        <v>0</v>
      </c>
      <c r="DR52" s="123"/>
      <c r="DS52" s="123"/>
      <c r="DT52" s="123"/>
      <c r="DU52" s="123"/>
      <c r="DV52" s="123"/>
      <c r="DW52" s="123"/>
      <c r="DX52" s="123"/>
      <c r="DY52" s="123"/>
      <c r="DZ52" s="123"/>
      <c r="EA52" s="123"/>
      <c r="EB52" s="123"/>
      <c r="EC52" s="123"/>
      <c r="ED52" s="123"/>
      <c r="EE52" s="123"/>
      <c r="EF52" s="123"/>
      <c r="EG52" s="123"/>
      <c r="EH52" s="123"/>
      <c r="EI52" s="123"/>
      <c r="EJ52" s="123"/>
      <c r="EK52" s="123"/>
      <c r="EL52" s="123"/>
      <c r="EM52" s="123"/>
      <c r="EN52" s="123"/>
      <c r="EO52" s="123"/>
      <c r="EP52" s="123"/>
      <c r="EQ52" s="123"/>
      <c r="ER52" s="123"/>
      <c r="ES52" s="123"/>
      <c r="ET52" s="123"/>
      <c r="EU52" s="123"/>
      <c r="EV52" s="123"/>
      <c r="EW52" s="123"/>
      <c r="EX52" s="123"/>
      <c r="EY52" s="123"/>
      <c r="EZ52" s="123"/>
      <c r="FA52" s="123"/>
      <c r="FB52" s="123"/>
      <c r="FC52" s="123"/>
      <c r="FD52" s="123"/>
      <c r="FE52" s="123"/>
      <c r="FF52" s="123"/>
      <c r="FG52" s="123"/>
      <c r="FH52" s="123"/>
      <c r="FI52" s="123"/>
      <c r="FJ52" s="123"/>
      <c r="FK52" s="123"/>
      <c r="FL52" s="123"/>
    </row>
    <row r="53" spans="1:168" x14ac:dyDescent="0.25">
      <c r="A53" s="123" t="s">
        <v>21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  <c r="BA53" s="131">
        <v>0</v>
      </c>
      <c r="BB53" s="131">
        <v>0</v>
      </c>
      <c r="BC53" s="131">
        <v>0</v>
      </c>
      <c r="BD53" s="131">
        <v>0</v>
      </c>
      <c r="BE53" s="131">
        <v>0</v>
      </c>
      <c r="BF53" s="131">
        <v>0</v>
      </c>
      <c r="BG53" s="131">
        <v>0</v>
      </c>
      <c r="BH53" s="131">
        <v>0</v>
      </c>
      <c r="BI53" s="131">
        <v>0</v>
      </c>
      <c r="BJ53" s="131">
        <v>0</v>
      </c>
      <c r="BK53" s="131">
        <v>0</v>
      </c>
      <c r="BL53" s="131">
        <v>0</v>
      </c>
      <c r="BM53" s="131">
        <v>0</v>
      </c>
      <c r="BN53" s="131">
        <v>0</v>
      </c>
      <c r="BO53" s="131">
        <v>0</v>
      </c>
      <c r="BP53" s="131">
        <v>0</v>
      </c>
      <c r="BQ53" s="131">
        <v>0</v>
      </c>
      <c r="BR53" s="131">
        <v>0</v>
      </c>
      <c r="BS53" s="131">
        <v>0</v>
      </c>
      <c r="BT53" s="131">
        <v>0</v>
      </c>
      <c r="BU53" s="131">
        <v>0</v>
      </c>
      <c r="BV53" s="131">
        <v>0</v>
      </c>
      <c r="BW53" s="131">
        <v>0</v>
      </c>
      <c r="BX53" s="131">
        <v>0</v>
      </c>
      <c r="BY53" s="131">
        <v>0</v>
      </c>
      <c r="BZ53" s="131">
        <v>0</v>
      </c>
      <c r="CA53" s="131">
        <v>0</v>
      </c>
      <c r="CB53" s="131">
        <v>0</v>
      </c>
      <c r="CC53" s="131">
        <v>0</v>
      </c>
      <c r="CD53" s="131">
        <v>0</v>
      </c>
      <c r="CE53" s="131">
        <v>0</v>
      </c>
      <c r="CF53" s="131">
        <v>0</v>
      </c>
      <c r="CG53" s="131">
        <v>0</v>
      </c>
      <c r="CH53" s="131">
        <v>0</v>
      </c>
      <c r="CI53" s="131">
        <v>0</v>
      </c>
      <c r="CJ53" s="131">
        <v>0</v>
      </c>
      <c r="CK53" s="131">
        <v>0</v>
      </c>
      <c r="CL53" s="131">
        <v>0</v>
      </c>
      <c r="CM53" s="131">
        <v>0</v>
      </c>
      <c r="CN53" s="131">
        <v>0</v>
      </c>
      <c r="CO53" s="131">
        <v>0</v>
      </c>
      <c r="CP53" s="131">
        <v>0</v>
      </c>
      <c r="CQ53" s="131">
        <v>0</v>
      </c>
      <c r="CR53" s="131">
        <v>0</v>
      </c>
      <c r="CS53" s="131">
        <v>0</v>
      </c>
      <c r="CT53" s="131">
        <v>0</v>
      </c>
      <c r="CU53" s="131">
        <v>0</v>
      </c>
      <c r="CV53" s="131">
        <v>0</v>
      </c>
      <c r="CW53" s="131">
        <v>0</v>
      </c>
      <c r="CX53" s="131">
        <v>0</v>
      </c>
      <c r="CY53" s="131">
        <v>0</v>
      </c>
      <c r="CZ53" s="131">
        <v>0</v>
      </c>
      <c r="DA53" s="131">
        <v>0</v>
      </c>
      <c r="DB53" s="131">
        <v>0</v>
      </c>
      <c r="DC53" s="131">
        <v>0</v>
      </c>
      <c r="DD53" s="131">
        <v>0</v>
      </c>
      <c r="DE53" s="131">
        <v>0</v>
      </c>
      <c r="DF53" s="131">
        <v>0</v>
      </c>
      <c r="DG53" s="131">
        <v>0</v>
      </c>
      <c r="DH53" s="131">
        <v>0</v>
      </c>
      <c r="DI53" s="131">
        <v>0</v>
      </c>
      <c r="DJ53" s="131">
        <v>0</v>
      </c>
      <c r="DK53" s="131">
        <v>0</v>
      </c>
      <c r="DL53" s="131">
        <v>0</v>
      </c>
      <c r="DM53" s="131">
        <v>0</v>
      </c>
      <c r="DN53" s="131">
        <v>0</v>
      </c>
      <c r="DO53" s="131">
        <v>0</v>
      </c>
      <c r="DP53" s="131">
        <v>0</v>
      </c>
      <c r="DQ53" s="131">
        <v>0</v>
      </c>
      <c r="DR53" s="123"/>
      <c r="DS53" s="123"/>
      <c r="DT53" s="123"/>
      <c r="DU53" s="123"/>
      <c r="DV53" s="123"/>
      <c r="DW53" s="123"/>
      <c r="DX53" s="123"/>
      <c r="DY53" s="123"/>
      <c r="DZ53" s="123"/>
      <c r="EA53" s="123"/>
      <c r="EB53" s="123"/>
      <c r="EC53" s="123"/>
      <c r="ED53" s="123"/>
      <c r="EE53" s="123"/>
      <c r="EF53" s="123"/>
      <c r="EG53" s="123"/>
      <c r="EH53" s="123"/>
      <c r="EI53" s="123"/>
      <c r="EJ53" s="123"/>
      <c r="EK53" s="123"/>
      <c r="EL53" s="123"/>
      <c r="EM53" s="123"/>
      <c r="EN53" s="123"/>
      <c r="EO53" s="123"/>
      <c r="EP53" s="123"/>
      <c r="EQ53" s="123"/>
      <c r="ER53" s="123"/>
      <c r="ES53" s="123"/>
      <c r="ET53" s="123"/>
      <c r="EU53" s="123"/>
      <c r="EV53" s="123"/>
      <c r="EW53" s="123"/>
      <c r="EX53" s="123"/>
      <c r="EY53" s="123"/>
      <c r="EZ53" s="123"/>
      <c r="FA53" s="123"/>
      <c r="FB53" s="123"/>
      <c r="FC53" s="123"/>
      <c r="FD53" s="123"/>
      <c r="FE53" s="123"/>
      <c r="FF53" s="123"/>
      <c r="FG53" s="123"/>
      <c r="FH53" s="123"/>
      <c r="FI53" s="123"/>
      <c r="FJ53" s="123"/>
      <c r="FK53" s="123"/>
      <c r="FL53" s="123"/>
    </row>
    <row r="54" spans="1:168" x14ac:dyDescent="0.25">
      <c r="A54" s="123" t="s">
        <v>18</v>
      </c>
      <c r="B54" s="131">
        <v>0</v>
      </c>
      <c r="C54" s="131">
        <v>0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0</v>
      </c>
      <c r="J54" s="131">
        <v>0</v>
      </c>
      <c r="K54" s="131">
        <v>0</v>
      </c>
      <c r="L54" s="131">
        <v>0</v>
      </c>
      <c r="M54" s="131">
        <v>0</v>
      </c>
      <c r="N54" s="131">
        <v>0</v>
      </c>
      <c r="O54" s="131">
        <v>0</v>
      </c>
      <c r="P54" s="131">
        <v>0</v>
      </c>
      <c r="Q54" s="131">
        <v>0</v>
      </c>
      <c r="R54" s="131">
        <v>0</v>
      </c>
      <c r="S54" s="131">
        <v>0</v>
      </c>
      <c r="T54" s="131">
        <v>0</v>
      </c>
      <c r="U54" s="131">
        <v>0</v>
      </c>
      <c r="V54" s="131">
        <v>0</v>
      </c>
      <c r="W54" s="131">
        <v>0</v>
      </c>
      <c r="X54" s="131">
        <v>0</v>
      </c>
      <c r="Y54" s="131">
        <v>0</v>
      </c>
      <c r="Z54" s="131">
        <v>0</v>
      </c>
      <c r="AA54" s="131">
        <v>0</v>
      </c>
      <c r="AB54" s="131">
        <v>0</v>
      </c>
      <c r="AC54" s="131">
        <v>0</v>
      </c>
      <c r="AD54" s="131">
        <v>0</v>
      </c>
      <c r="AE54" s="131">
        <v>0</v>
      </c>
      <c r="AF54" s="131">
        <v>0</v>
      </c>
      <c r="AG54" s="131">
        <v>0</v>
      </c>
      <c r="AH54" s="131">
        <v>0</v>
      </c>
      <c r="AI54" s="131">
        <v>0</v>
      </c>
      <c r="AJ54" s="131">
        <v>0</v>
      </c>
      <c r="AK54" s="131">
        <v>0</v>
      </c>
      <c r="AL54" s="131">
        <v>0</v>
      </c>
      <c r="AM54" s="131">
        <v>0</v>
      </c>
      <c r="AN54" s="131">
        <v>0</v>
      </c>
      <c r="AO54" s="131">
        <v>0</v>
      </c>
      <c r="AP54" s="131">
        <v>0</v>
      </c>
      <c r="AQ54" s="131">
        <v>0</v>
      </c>
      <c r="AR54" s="131">
        <v>0</v>
      </c>
      <c r="AS54" s="131">
        <v>0</v>
      </c>
      <c r="AT54" s="131">
        <v>0</v>
      </c>
      <c r="AU54" s="131">
        <v>0</v>
      </c>
      <c r="AV54" s="131">
        <v>0</v>
      </c>
      <c r="AW54" s="131">
        <v>0</v>
      </c>
      <c r="AX54" s="131">
        <v>0</v>
      </c>
      <c r="AY54" s="131">
        <v>0</v>
      </c>
      <c r="AZ54" s="131">
        <v>0</v>
      </c>
      <c r="BA54" s="131">
        <v>0</v>
      </c>
      <c r="BB54" s="131">
        <v>0</v>
      </c>
      <c r="BC54" s="131">
        <v>0</v>
      </c>
      <c r="BD54" s="131">
        <v>0</v>
      </c>
      <c r="BE54" s="131">
        <v>0</v>
      </c>
      <c r="BF54" s="131">
        <v>0</v>
      </c>
      <c r="BG54" s="131">
        <v>0</v>
      </c>
      <c r="BH54" s="131">
        <v>0</v>
      </c>
      <c r="BI54" s="131">
        <v>0</v>
      </c>
      <c r="BJ54" s="131">
        <v>0</v>
      </c>
      <c r="BK54" s="131">
        <v>0</v>
      </c>
      <c r="BL54" s="131">
        <v>0</v>
      </c>
      <c r="BM54" s="131">
        <v>0</v>
      </c>
      <c r="BN54" s="131">
        <v>0</v>
      </c>
      <c r="BO54" s="131">
        <v>0</v>
      </c>
      <c r="BP54" s="131">
        <v>0</v>
      </c>
      <c r="BQ54" s="131">
        <v>0</v>
      </c>
      <c r="BR54" s="131">
        <v>0</v>
      </c>
      <c r="BS54" s="131">
        <v>0</v>
      </c>
      <c r="BT54" s="131">
        <v>0</v>
      </c>
      <c r="BU54" s="131">
        <v>0</v>
      </c>
      <c r="BV54" s="131">
        <v>0</v>
      </c>
      <c r="BW54" s="131">
        <v>0</v>
      </c>
      <c r="BX54" s="131">
        <v>0</v>
      </c>
      <c r="BY54" s="131">
        <v>0</v>
      </c>
      <c r="BZ54" s="131">
        <v>0</v>
      </c>
      <c r="CA54" s="131">
        <v>0</v>
      </c>
      <c r="CB54" s="131">
        <v>0</v>
      </c>
      <c r="CC54" s="131">
        <v>0</v>
      </c>
      <c r="CD54" s="131">
        <v>0</v>
      </c>
      <c r="CE54" s="131">
        <v>0</v>
      </c>
      <c r="CF54" s="131">
        <v>0</v>
      </c>
      <c r="CG54" s="131">
        <v>0</v>
      </c>
      <c r="CH54" s="131">
        <v>0</v>
      </c>
      <c r="CI54" s="131">
        <v>0</v>
      </c>
      <c r="CJ54" s="131">
        <v>0</v>
      </c>
      <c r="CK54" s="131">
        <v>0</v>
      </c>
      <c r="CL54" s="131">
        <v>0</v>
      </c>
      <c r="CM54" s="131">
        <v>0</v>
      </c>
      <c r="CN54" s="131">
        <v>0</v>
      </c>
      <c r="CO54" s="131">
        <v>0</v>
      </c>
      <c r="CP54" s="131">
        <v>0</v>
      </c>
      <c r="CQ54" s="131">
        <v>0</v>
      </c>
      <c r="CR54" s="131">
        <v>0</v>
      </c>
      <c r="CS54" s="131">
        <v>0</v>
      </c>
      <c r="CT54" s="131">
        <v>0</v>
      </c>
      <c r="CU54" s="131">
        <v>0</v>
      </c>
      <c r="CV54" s="131">
        <v>0</v>
      </c>
      <c r="CW54" s="131">
        <v>0</v>
      </c>
      <c r="CX54" s="131">
        <v>0</v>
      </c>
      <c r="CY54" s="131">
        <v>0</v>
      </c>
      <c r="CZ54" s="131">
        <v>0</v>
      </c>
      <c r="DA54" s="131">
        <v>0</v>
      </c>
      <c r="DB54" s="131">
        <v>0</v>
      </c>
      <c r="DC54" s="131">
        <v>0</v>
      </c>
      <c r="DD54" s="131">
        <v>0</v>
      </c>
      <c r="DE54" s="131">
        <v>0</v>
      </c>
      <c r="DF54" s="131">
        <v>0</v>
      </c>
      <c r="DG54" s="131">
        <v>0</v>
      </c>
      <c r="DH54" s="131">
        <v>0</v>
      </c>
      <c r="DI54" s="131">
        <v>0</v>
      </c>
      <c r="DJ54" s="131">
        <v>0</v>
      </c>
      <c r="DK54" s="131">
        <v>0</v>
      </c>
      <c r="DL54" s="131">
        <v>0</v>
      </c>
      <c r="DM54" s="131">
        <v>0</v>
      </c>
      <c r="DN54" s="131">
        <v>0</v>
      </c>
      <c r="DO54" s="131">
        <v>0</v>
      </c>
      <c r="DP54" s="131">
        <v>0</v>
      </c>
      <c r="DQ54" s="131">
        <v>0</v>
      </c>
      <c r="DR54" s="123"/>
      <c r="DS54" s="123"/>
      <c r="DT54" s="123"/>
      <c r="DU54" s="123"/>
      <c r="DV54" s="123"/>
      <c r="DW54" s="123"/>
      <c r="DX54" s="123"/>
      <c r="DY54" s="123"/>
      <c r="DZ54" s="123"/>
      <c r="EA54" s="123"/>
      <c r="EB54" s="123"/>
      <c r="EC54" s="123"/>
      <c r="ED54" s="123"/>
      <c r="EE54" s="123"/>
      <c r="EF54" s="123"/>
      <c r="EG54" s="123"/>
      <c r="EH54" s="123"/>
      <c r="EI54" s="123"/>
      <c r="EJ54" s="123"/>
      <c r="EK54" s="123"/>
      <c r="EL54" s="123"/>
      <c r="EM54" s="123"/>
      <c r="EN54" s="123"/>
      <c r="EO54" s="123"/>
      <c r="EP54" s="123"/>
      <c r="EQ54" s="123"/>
      <c r="ER54" s="123"/>
      <c r="ES54" s="123"/>
      <c r="ET54" s="123"/>
      <c r="EU54" s="123"/>
      <c r="EV54" s="123"/>
      <c r="EW54" s="123"/>
      <c r="EX54" s="123"/>
      <c r="EY54" s="123"/>
      <c r="EZ54" s="123"/>
      <c r="FA54" s="123"/>
      <c r="FB54" s="123"/>
      <c r="FC54" s="123"/>
      <c r="FD54" s="123"/>
      <c r="FE54" s="123"/>
      <c r="FF54" s="123"/>
      <c r="FG54" s="123"/>
      <c r="FH54" s="123"/>
      <c r="FI54" s="123"/>
      <c r="FJ54" s="123"/>
      <c r="FK54" s="123"/>
      <c r="FL54" s="123"/>
    </row>
    <row r="55" spans="1:168" x14ac:dyDescent="0.25">
      <c r="A55" s="123" t="s">
        <v>14</v>
      </c>
      <c r="B55" s="131">
        <v>0</v>
      </c>
      <c r="C55" s="131">
        <v>0</v>
      </c>
      <c r="D55" s="131">
        <v>0</v>
      </c>
      <c r="E55" s="131">
        <v>0</v>
      </c>
      <c r="F55" s="131">
        <v>0</v>
      </c>
      <c r="G55" s="131">
        <v>0</v>
      </c>
      <c r="H55" s="131">
        <v>0</v>
      </c>
      <c r="I55" s="131">
        <v>0</v>
      </c>
      <c r="J55" s="131">
        <v>0</v>
      </c>
      <c r="K55" s="131">
        <v>0</v>
      </c>
      <c r="L55" s="131">
        <v>0</v>
      </c>
      <c r="M55" s="131">
        <v>0</v>
      </c>
      <c r="N55" s="131">
        <v>0</v>
      </c>
      <c r="O55" s="131">
        <v>0</v>
      </c>
      <c r="P55" s="131">
        <v>0</v>
      </c>
      <c r="Q55" s="131">
        <v>0</v>
      </c>
      <c r="R55" s="131">
        <v>0</v>
      </c>
      <c r="S55" s="131">
        <v>0</v>
      </c>
      <c r="T55" s="131">
        <v>0</v>
      </c>
      <c r="U55" s="131">
        <v>0</v>
      </c>
      <c r="V55" s="131">
        <v>0</v>
      </c>
      <c r="W55" s="131">
        <v>0</v>
      </c>
      <c r="X55" s="131">
        <v>0</v>
      </c>
      <c r="Y55" s="131">
        <v>0</v>
      </c>
      <c r="Z55" s="131">
        <v>0</v>
      </c>
      <c r="AA55" s="131">
        <v>0</v>
      </c>
      <c r="AB55" s="131">
        <v>0</v>
      </c>
      <c r="AC55" s="131">
        <v>0</v>
      </c>
      <c r="AD55" s="131">
        <v>0</v>
      </c>
      <c r="AE55" s="131">
        <v>0</v>
      </c>
      <c r="AF55" s="131">
        <v>0</v>
      </c>
      <c r="AG55" s="131">
        <v>0</v>
      </c>
      <c r="AH55" s="131">
        <v>0</v>
      </c>
      <c r="AI55" s="131">
        <v>0</v>
      </c>
      <c r="AJ55" s="131">
        <v>0</v>
      </c>
      <c r="AK55" s="131">
        <v>0</v>
      </c>
      <c r="AL55" s="131">
        <v>0</v>
      </c>
      <c r="AM55" s="131">
        <v>0</v>
      </c>
      <c r="AN55" s="131">
        <v>0</v>
      </c>
      <c r="AO55" s="131">
        <v>0</v>
      </c>
      <c r="AP55" s="131">
        <v>0</v>
      </c>
      <c r="AQ55" s="131">
        <v>0</v>
      </c>
      <c r="AR55" s="131">
        <v>0</v>
      </c>
      <c r="AS55" s="131">
        <v>0</v>
      </c>
      <c r="AT55" s="131">
        <v>0</v>
      </c>
      <c r="AU55" s="131">
        <v>0</v>
      </c>
      <c r="AV55" s="131">
        <v>0</v>
      </c>
      <c r="AW55" s="131">
        <v>0</v>
      </c>
      <c r="AX55" s="131">
        <v>0</v>
      </c>
      <c r="AY55" s="131">
        <v>0</v>
      </c>
      <c r="AZ55" s="131">
        <v>0</v>
      </c>
      <c r="BA55" s="131">
        <v>0</v>
      </c>
      <c r="BB55" s="131">
        <v>0</v>
      </c>
      <c r="BC55" s="131">
        <v>0</v>
      </c>
      <c r="BD55" s="131">
        <v>0</v>
      </c>
      <c r="BE55" s="131">
        <v>0</v>
      </c>
      <c r="BF55" s="131">
        <v>0</v>
      </c>
      <c r="BG55" s="131">
        <v>0</v>
      </c>
      <c r="BH55" s="131">
        <v>0</v>
      </c>
      <c r="BI55" s="131">
        <v>0</v>
      </c>
      <c r="BJ55" s="131">
        <v>0</v>
      </c>
      <c r="BK55" s="131">
        <v>0</v>
      </c>
      <c r="BL55" s="131">
        <v>0</v>
      </c>
      <c r="BM55" s="131">
        <v>0</v>
      </c>
      <c r="BN55" s="131">
        <v>0</v>
      </c>
      <c r="BO55" s="131">
        <v>0</v>
      </c>
      <c r="BP55" s="131">
        <v>0</v>
      </c>
      <c r="BQ55" s="131">
        <v>0</v>
      </c>
      <c r="BR55" s="131">
        <v>0</v>
      </c>
      <c r="BS55" s="131">
        <v>0</v>
      </c>
      <c r="BT55" s="131">
        <v>0</v>
      </c>
      <c r="BU55" s="131">
        <v>0</v>
      </c>
      <c r="BV55" s="131">
        <v>0</v>
      </c>
      <c r="BW55" s="131">
        <v>0</v>
      </c>
      <c r="BX55" s="131">
        <v>0</v>
      </c>
      <c r="BY55" s="131">
        <v>0</v>
      </c>
      <c r="BZ55" s="131">
        <v>0</v>
      </c>
      <c r="CA55" s="131">
        <v>0</v>
      </c>
      <c r="CB55" s="131">
        <v>0</v>
      </c>
      <c r="CC55" s="131">
        <v>0</v>
      </c>
      <c r="CD55" s="131">
        <v>0</v>
      </c>
      <c r="CE55" s="131">
        <v>0</v>
      </c>
      <c r="CF55" s="131">
        <v>0</v>
      </c>
      <c r="CG55" s="131">
        <v>0</v>
      </c>
      <c r="CH55" s="131">
        <v>0</v>
      </c>
      <c r="CI55" s="131">
        <v>0</v>
      </c>
      <c r="CJ55" s="131">
        <v>0</v>
      </c>
      <c r="CK55" s="131">
        <v>0</v>
      </c>
      <c r="CL55" s="131">
        <v>0</v>
      </c>
      <c r="CM55" s="131">
        <v>0</v>
      </c>
      <c r="CN55" s="131">
        <v>0</v>
      </c>
      <c r="CO55" s="131">
        <v>0</v>
      </c>
      <c r="CP55" s="131">
        <v>0</v>
      </c>
      <c r="CQ55" s="131">
        <v>0</v>
      </c>
      <c r="CR55" s="131">
        <v>0</v>
      </c>
      <c r="CS55" s="131">
        <v>0</v>
      </c>
      <c r="CT55" s="131">
        <v>0</v>
      </c>
      <c r="CU55" s="131">
        <v>0</v>
      </c>
      <c r="CV55" s="131">
        <v>0</v>
      </c>
      <c r="CW55" s="131">
        <v>0</v>
      </c>
      <c r="CX55" s="131">
        <v>0</v>
      </c>
      <c r="CY55" s="131">
        <v>0</v>
      </c>
      <c r="CZ55" s="131">
        <v>0</v>
      </c>
      <c r="DA55" s="131">
        <v>0</v>
      </c>
      <c r="DB55" s="131">
        <v>0</v>
      </c>
      <c r="DC55" s="131">
        <v>0</v>
      </c>
      <c r="DD55" s="131">
        <v>0</v>
      </c>
      <c r="DE55" s="131">
        <v>0</v>
      </c>
      <c r="DF55" s="131">
        <v>0</v>
      </c>
      <c r="DG55" s="131">
        <v>0</v>
      </c>
      <c r="DH55" s="131">
        <v>0</v>
      </c>
      <c r="DI55" s="131">
        <v>0</v>
      </c>
      <c r="DJ55" s="131">
        <v>0</v>
      </c>
      <c r="DK55" s="131">
        <v>0</v>
      </c>
      <c r="DL55" s="131">
        <v>0</v>
      </c>
      <c r="DM55" s="131">
        <v>0</v>
      </c>
      <c r="DN55" s="131">
        <v>0</v>
      </c>
      <c r="DO55" s="131">
        <v>0</v>
      </c>
      <c r="DP55" s="131">
        <v>0</v>
      </c>
      <c r="DQ55" s="131">
        <v>0</v>
      </c>
      <c r="DR55" s="123"/>
      <c r="DS55" s="123"/>
      <c r="DT55" s="123"/>
      <c r="DU55" s="123"/>
      <c r="DV55" s="123"/>
      <c r="DW55" s="123"/>
      <c r="DX55" s="123"/>
      <c r="DY55" s="123"/>
      <c r="DZ55" s="123"/>
      <c r="EA55" s="123"/>
      <c r="EB55" s="123"/>
      <c r="EC55" s="123"/>
      <c r="ED55" s="123"/>
      <c r="EE55" s="123"/>
      <c r="EF55" s="123"/>
      <c r="EG55" s="123"/>
      <c r="EH55" s="123"/>
      <c r="EI55" s="123"/>
      <c r="EJ55" s="123"/>
      <c r="EK55" s="123"/>
      <c r="EL55" s="123"/>
      <c r="EM55" s="123"/>
      <c r="EN55" s="123"/>
      <c r="EO55" s="123"/>
      <c r="EP55" s="123"/>
      <c r="EQ55" s="123"/>
      <c r="ER55" s="123"/>
      <c r="ES55" s="123"/>
      <c r="ET55" s="123"/>
      <c r="EU55" s="123"/>
      <c r="EV55" s="123"/>
      <c r="EW55" s="123"/>
      <c r="EX55" s="123"/>
      <c r="EY55" s="123"/>
      <c r="EZ55" s="123"/>
      <c r="FA55" s="123"/>
      <c r="FB55" s="123"/>
      <c r="FC55" s="123"/>
      <c r="FD55" s="123"/>
      <c r="FE55" s="123"/>
      <c r="FF55" s="123"/>
      <c r="FG55" s="123"/>
      <c r="FH55" s="123"/>
      <c r="FI55" s="123"/>
      <c r="FJ55" s="123"/>
      <c r="FK55" s="123"/>
      <c r="FL55" s="123"/>
    </row>
    <row r="56" spans="1:168" x14ac:dyDescent="0.25">
      <c r="A56" s="123" t="s">
        <v>16</v>
      </c>
      <c r="B56" s="131">
        <v>0</v>
      </c>
      <c r="C56" s="131">
        <v>0</v>
      </c>
      <c r="D56" s="131">
        <v>0</v>
      </c>
      <c r="E56" s="131">
        <v>0</v>
      </c>
      <c r="F56" s="131">
        <v>0</v>
      </c>
      <c r="G56" s="131">
        <v>0</v>
      </c>
      <c r="H56" s="131">
        <v>0</v>
      </c>
      <c r="I56" s="131">
        <v>0</v>
      </c>
      <c r="J56" s="131">
        <v>0</v>
      </c>
      <c r="K56" s="131">
        <v>0</v>
      </c>
      <c r="L56" s="131">
        <v>0</v>
      </c>
      <c r="M56" s="131">
        <v>0</v>
      </c>
      <c r="N56" s="131">
        <v>0</v>
      </c>
      <c r="O56" s="131">
        <v>0</v>
      </c>
      <c r="P56" s="131">
        <v>0</v>
      </c>
      <c r="Q56" s="131">
        <v>0</v>
      </c>
      <c r="R56" s="131">
        <v>0</v>
      </c>
      <c r="S56" s="131">
        <v>0</v>
      </c>
      <c r="T56" s="131">
        <v>0</v>
      </c>
      <c r="U56" s="131">
        <v>0</v>
      </c>
      <c r="V56" s="131">
        <v>0</v>
      </c>
      <c r="W56" s="131">
        <v>0</v>
      </c>
      <c r="X56" s="131">
        <v>0</v>
      </c>
      <c r="Y56" s="131">
        <v>0</v>
      </c>
      <c r="Z56" s="131">
        <v>0</v>
      </c>
      <c r="AA56" s="131">
        <v>0</v>
      </c>
      <c r="AB56" s="131">
        <v>0</v>
      </c>
      <c r="AC56" s="131">
        <v>0</v>
      </c>
      <c r="AD56" s="131">
        <v>0</v>
      </c>
      <c r="AE56" s="131">
        <v>0</v>
      </c>
      <c r="AF56" s="131">
        <v>0</v>
      </c>
      <c r="AG56" s="131">
        <v>0</v>
      </c>
      <c r="AH56" s="131">
        <v>0</v>
      </c>
      <c r="AI56" s="131">
        <v>0</v>
      </c>
      <c r="AJ56" s="131">
        <v>0</v>
      </c>
      <c r="AK56" s="131">
        <v>0</v>
      </c>
      <c r="AL56" s="131">
        <v>0</v>
      </c>
      <c r="AM56" s="131">
        <v>0</v>
      </c>
      <c r="AN56" s="131">
        <v>0</v>
      </c>
      <c r="AO56" s="131">
        <v>0</v>
      </c>
      <c r="AP56" s="131">
        <v>0</v>
      </c>
      <c r="AQ56" s="131">
        <v>0</v>
      </c>
      <c r="AR56" s="131">
        <v>0</v>
      </c>
      <c r="AS56" s="131">
        <v>0</v>
      </c>
      <c r="AT56" s="131">
        <v>0</v>
      </c>
      <c r="AU56" s="131">
        <v>0</v>
      </c>
      <c r="AV56" s="131">
        <v>0</v>
      </c>
      <c r="AW56" s="131">
        <v>0</v>
      </c>
      <c r="AX56" s="131">
        <v>0</v>
      </c>
      <c r="AY56" s="131">
        <v>0</v>
      </c>
      <c r="AZ56" s="131">
        <v>0</v>
      </c>
      <c r="BA56" s="131">
        <v>0</v>
      </c>
      <c r="BB56" s="131">
        <v>0</v>
      </c>
      <c r="BC56" s="131">
        <v>0</v>
      </c>
      <c r="BD56" s="131">
        <v>0</v>
      </c>
      <c r="BE56" s="131">
        <v>0</v>
      </c>
      <c r="BF56" s="131">
        <v>0</v>
      </c>
      <c r="BG56" s="131">
        <v>0</v>
      </c>
      <c r="BH56" s="131">
        <v>0</v>
      </c>
      <c r="BI56" s="131">
        <v>0</v>
      </c>
      <c r="BJ56" s="131">
        <v>0</v>
      </c>
      <c r="BK56" s="131">
        <v>0</v>
      </c>
      <c r="BL56" s="131">
        <v>0</v>
      </c>
      <c r="BM56" s="131">
        <v>0</v>
      </c>
      <c r="BN56" s="131">
        <v>0</v>
      </c>
      <c r="BO56" s="131">
        <v>0</v>
      </c>
      <c r="BP56" s="131">
        <v>0</v>
      </c>
      <c r="BQ56" s="131">
        <v>0</v>
      </c>
      <c r="BR56" s="131">
        <v>0</v>
      </c>
      <c r="BS56" s="131">
        <v>0</v>
      </c>
      <c r="BT56" s="131">
        <v>0</v>
      </c>
      <c r="BU56" s="131">
        <v>0</v>
      </c>
      <c r="BV56" s="131">
        <v>0</v>
      </c>
      <c r="BW56" s="131">
        <v>0</v>
      </c>
      <c r="BX56" s="131">
        <v>0</v>
      </c>
      <c r="BY56" s="131">
        <v>0</v>
      </c>
      <c r="BZ56" s="131">
        <v>0</v>
      </c>
      <c r="CA56" s="131">
        <v>0</v>
      </c>
      <c r="CB56" s="131">
        <v>0</v>
      </c>
      <c r="CC56" s="131">
        <v>0</v>
      </c>
      <c r="CD56" s="131">
        <v>0</v>
      </c>
      <c r="CE56" s="131">
        <v>0</v>
      </c>
      <c r="CF56" s="131">
        <v>0</v>
      </c>
      <c r="CG56" s="131">
        <v>0</v>
      </c>
      <c r="CH56" s="131">
        <v>0</v>
      </c>
      <c r="CI56" s="131">
        <v>0</v>
      </c>
      <c r="CJ56" s="131">
        <v>0</v>
      </c>
      <c r="CK56" s="131">
        <v>0</v>
      </c>
      <c r="CL56" s="131">
        <v>0</v>
      </c>
      <c r="CM56" s="131">
        <v>0</v>
      </c>
      <c r="CN56" s="131">
        <v>0</v>
      </c>
      <c r="CO56" s="131">
        <v>0</v>
      </c>
      <c r="CP56" s="131">
        <v>0</v>
      </c>
      <c r="CQ56" s="131">
        <v>0</v>
      </c>
      <c r="CR56" s="131">
        <v>0</v>
      </c>
      <c r="CS56" s="131">
        <v>0</v>
      </c>
      <c r="CT56" s="131">
        <v>0</v>
      </c>
      <c r="CU56" s="131">
        <v>0</v>
      </c>
      <c r="CV56" s="131">
        <v>0</v>
      </c>
      <c r="CW56" s="131">
        <v>0</v>
      </c>
      <c r="CX56" s="131">
        <v>0</v>
      </c>
      <c r="CY56" s="131">
        <v>0</v>
      </c>
      <c r="CZ56" s="131">
        <v>0</v>
      </c>
      <c r="DA56" s="131">
        <v>0</v>
      </c>
      <c r="DB56" s="131">
        <v>0</v>
      </c>
      <c r="DC56" s="131">
        <v>0</v>
      </c>
      <c r="DD56" s="131">
        <v>0</v>
      </c>
      <c r="DE56" s="131">
        <v>0</v>
      </c>
      <c r="DF56" s="131">
        <v>0</v>
      </c>
      <c r="DG56" s="131">
        <v>0</v>
      </c>
      <c r="DH56" s="131">
        <v>0</v>
      </c>
      <c r="DI56" s="131">
        <v>0</v>
      </c>
      <c r="DJ56" s="131">
        <v>0</v>
      </c>
      <c r="DK56" s="131">
        <v>0</v>
      </c>
      <c r="DL56" s="131">
        <v>0</v>
      </c>
      <c r="DM56" s="131">
        <v>0</v>
      </c>
      <c r="DN56" s="131">
        <v>0</v>
      </c>
      <c r="DO56" s="131">
        <v>0</v>
      </c>
      <c r="DP56" s="131">
        <v>0</v>
      </c>
      <c r="DQ56" s="131">
        <v>0</v>
      </c>
      <c r="DR56" s="123"/>
      <c r="DS56" s="123"/>
      <c r="DT56" s="123"/>
      <c r="DU56" s="123"/>
      <c r="DV56" s="123"/>
      <c r="DW56" s="123"/>
      <c r="DX56" s="123"/>
      <c r="DY56" s="123"/>
      <c r="DZ56" s="123"/>
      <c r="EA56" s="123"/>
      <c r="EB56" s="123"/>
      <c r="EC56" s="123"/>
      <c r="ED56" s="123"/>
      <c r="EE56" s="123"/>
      <c r="EF56" s="123"/>
      <c r="EG56" s="123"/>
      <c r="EH56" s="123"/>
      <c r="EI56" s="123"/>
      <c r="EJ56" s="123"/>
      <c r="EK56" s="123"/>
      <c r="EL56" s="123"/>
      <c r="EM56" s="123"/>
      <c r="EN56" s="123"/>
      <c r="EO56" s="123"/>
      <c r="EP56" s="123"/>
      <c r="EQ56" s="123"/>
      <c r="ER56" s="123"/>
      <c r="ES56" s="123"/>
      <c r="ET56" s="123"/>
      <c r="EU56" s="123"/>
      <c r="EV56" s="123"/>
      <c r="EW56" s="123"/>
      <c r="EX56" s="123"/>
      <c r="EY56" s="123"/>
      <c r="EZ56" s="123"/>
      <c r="FA56" s="123"/>
      <c r="FB56" s="123"/>
      <c r="FC56" s="123"/>
      <c r="FD56" s="123"/>
      <c r="FE56" s="123"/>
      <c r="FF56" s="123"/>
      <c r="FG56" s="123"/>
      <c r="FH56" s="123"/>
      <c r="FI56" s="123"/>
      <c r="FJ56" s="123"/>
      <c r="FK56" s="123"/>
      <c r="FL56" s="123"/>
    </row>
    <row r="57" spans="1:168" x14ac:dyDescent="0.25">
      <c r="A57" s="132" t="s">
        <v>576</v>
      </c>
      <c r="B57" s="133">
        <v>1</v>
      </c>
      <c r="C57" s="133">
        <v>2</v>
      </c>
      <c r="D57" s="133">
        <v>0</v>
      </c>
      <c r="E57" s="133">
        <v>0</v>
      </c>
      <c r="F57" s="133">
        <v>0</v>
      </c>
      <c r="G57" s="133">
        <v>0</v>
      </c>
      <c r="H57" s="133">
        <v>0</v>
      </c>
      <c r="I57" s="133">
        <v>0</v>
      </c>
      <c r="J57" s="133">
        <v>0</v>
      </c>
      <c r="K57" s="133">
        <v>0</v>
      </c>
      <c r="L57" s="133">
        <v>0</v>
      </c>
      <c r="M57" s="133">
        <v>0</v>
      </c>
      <c r="N57" s="133">
        <v>1</v>
      </c>
      <c r="O57" s="133">
        <v>2</v>
      </c>
      <c r="P57" s="133">
        <v>0</v>
      </c>
      <c r="Q57" s="133">
        <v>0</v>
      </c>
      <c r="R57" s="133">
        <v>0</v>
      </c>
      <c r="S57" s="133">
        <v>0</v>
      </c>
      <c r="T57" s="133">
        <v>0</v>
      </c>
      <c r="U57" s="133">
        <v>0</v>
      </c>
      <c r="V57" s="133">
        <v>0</v>
      </c>
      <c r="W57" s="133">
        <v>0</v>
      </c>
      <c r="X57" s="133">
        <v>0</v>
      </c>
      <c r="Y57" s="133">
        <v>0</v>
      </c>
      <c r="Z57" s="133">
        <v>1</v>
      </c>
      <c r="AA57" s="133">
        <v>2</v>
      </c>
      <c r="AB57" s="133">
        <v>0</v>
      </c>
      <c r="AC57" s="133">
        <v>0</v>
      </c>
      <c r="AD57" s="133">
        <v>0</v>
      </c>
      <c r="AE57" s="133">
        <v>0</v>
      </c>
      <c r="AF57" s="133">
        <v>0</v>
      </c>
      <c r="AG57" s="133">
        <v>0</v>
      </c>
      <c r="AH57" s="133">
        <v>0</v>
      </c>
      <c r="AI57" s="133">
        <v>0</v>
      </c>
      <c r="AJ57" s="133">
        <v>0</v>
      </c>
      <c r="AK57" s="133">
        <v>0</v>
      </c>
      <c r="AL57" s="133">
        <v>1</v>
      </c>
      <c r="AM57" s="133">
        <v>1</v>
      </c>
      <c r="AN57" s="133">
        <v>0</v>
      </c>
      <c r="AO57" s="133">
        <v>0</v>
      </c>
      <c r="AP57" s="133">
        <v>0</v>
      </c>
      <c r="AQ57" s="133">
        <v>0</v>
      </c>
      <c r="AR57" s="133">
        <v>0</v>
      </c>
      <c r="AS57" s="133">
        <v>0</v>
      </c>
      <c r="AT57" s="133">
        <v>0</v>
      </c>
      <c r="AU57" s="133">
        <v>0</v>
      </c>
      <c r="AV57" s="133">
        <v>0</v>
      </c>
      <c r="AW57" s="133">
        <v>0</v>
      </c>
      <c r="AX57" s="133">
        <v>1</v>
      </c>
      <c r="AY57" s="133">
        <v>1</v>
      </c>
      <c r="AZ57" s="133">
        <v>0</v>
      </c>
      <c r="BA57" s="133">
        <v>0</v>
      </c>
      <c r="BB57" s="133">
        <v>0</v>
      </c>
      <c r="BC57" s="133">
        <v>0</v>
      </c>
      <c r="BD57" s="133">
        <v>0</v>
      </c>
      <c r="BE57" s="133">
        <v>0</v>
      </c>
      <c r="BF57" s="133">
        <v>0</v>
      </c>
      <c r="BG57" s="133">
        <v>0</v>
      </c>
      <c r="BH57" s="133">
        <v>0</v>
      </c>
      <c r="BI57" s="133">
        <v>0</v>
      </c>
      <c r="BJ57" s="133">
        <v>1</v>
      </c>
      <c r="BK57" s="133">
        <v>1</v>
      </c>
      <c r="BL57" s="133">
        <v>0</v>
      </c>
      <c r="BM57" s="133">
        <v>0</v>
      </c>
      <c r="BN57" s="133">
        <v>0</v>
      </c>
      <c r="BO57" s="133">
        <v>0</v>
      </c>
      <c r="BP57" s="133">
        <v>0</v>
      </c>
      <c r="BQ57" s="133">
        <v>0</v>
      </c>
      <c r="BR57" s="133">
        <v>0</v>
      </c>
      <c r="BS57" s="133">
        <v>0</v>
      </c>
      <c r="BT57" s="133">
        <v>0</v>
      </c>
      <c r="BU57" s="133">
        <v>0</v>
      </c>
      <c r="BV57" s="133">
        <v>0</v>
      </c>
      <c r="BW57" s="133">
        <v>0</v>
      </c>
      <c r="BX57" s="133">
        <v>0</v>
      </c>
      <c r="BY57" s="133">
        <v>0</v>
      </c>
      <c r="BZ57" s="133">
        <v>0</v>
      </c>
      <c r="CA57" s="133">
        <v>0</v>
      </c>
      <c r="CB57" s="133">
        <v>0</v>
      </c>
      <c r="CC57" s="133">
        <v>0</v>
      </c>
      <c r="CD57" s="133">
        <v>0</v>
      </c>
      <c r="CE57" s="133">
        <v>0</v>
      </c>
      <c r="CF57" s="133">
        <v>0</v>
      </c>
      <c r="CG57" s="133">
        <v>0</v>
      </c>
      <c r="CH57" s="133">
        <v>0</v>
      </c>
      <c r="CI57" s="133">
        <v>0</v>
      </c>
      <c r="CJ57" s="133">
        <v>0</v>
      </c>
      <c r="CK57" s="133">
        <v>0</v>
      </c>
      <c r="CL57" s="133">
        <v>0</v>
      </c>
      <c r="CM57" s="133">
        <v>0</v>
      </c>
      <c r="CN57" s="133">
        <v>0</v>
      </c>
      <c r="CO57" s="133">
        <v>0</v>
      </c>
      <c r="CP57" s="133">
        <v>0</v>
      </c>
      <c r="CQ57" s="133">
        <v>0</v>
      </c>
      <c r="CR57" s="133">
        <v>0</v>
      </c>
      <c r="CS57" s="133">
        <v>0</v>
      </c>
      <c r="CT57" s="133">
        <v>0</v>
      </c>
      <c r="CU57" s="133">
        <v>0</v>
      </c>
      <c r="CV57" s="133">
        <v>0</v>
      </c>
      <c r="CW57" s="133">
        <v>0</v>
      </c>
      <c r="CX57" s="133">
        <v>0</v>
      </c>
      <c r="CY57" s="133">
        <v>0</v>
      </c>
      <c r="CZ57" s="133">
        <v>0</v>
      </c>
      <c r="DA57" s="133">
        <v>0</v>
      </c>
      <c r="DB57" s="133">
        <v>0</v>
      </c>
      <c r="DC57" s="133">
        <v>0</v>
      </c>
      <c r="DD57" s="133">
        <v>0</v>
      </c>
      <c r="DE57" s="133">
        <v>0</v>
      </c>
      <c r="DF57" s="133">
        <v>0</v>
      </c>
      <c r="DG57" s="133">
        <v>0</v>
      </c>
      <c r="DH57" s="133">
        <v>0</v>
      </c>
      <c r="DI57" s="133">
        <v>0</v>
      </c>
      <c r="DJ57" s="133">
        <v>0</v>
      </c>
      <c r="DK57" s="133">
        <v>0</v>
      </c>
      <c r="DL57" s="133">
        <v>0</v>
      </c>
      <c r="DM57" s="133">
        <v>0</v>
      </c>
      <c r="DN57" s="133">
        <v>0</v>
      </c>
      <c r="DO57" s="133">
        <v>0</v>
      </c>
      <c r="DP57" s="133">
        <v>0</v>
      </c>
      <c r="DQ57" s="133">
        <v>0</v>
      </c>
      <c r="DR57" s="123"/>
      <c r="DS57" s="123"/>
      <c r="DT57" s="123"/>
      <c r="DU57" s="123"/>
      <c r="DV57" s="123"/>
      <c r="DW57" s="123"/>
      <c r="DX57" s="123"/>
      <c r="DY57" s="123"/>
      <c r="DZ57" s="123"/>
      <c r="EA57" s="123"/>
      <c r="EB57" s="123"/>
      <c r="EC57" s="123"/>
      <c r="ED57" s="123"/>
      <c r="EE57" s="123"/>
      <c r="EF57" s="123"/>
      <c r="EG57" s="123"/>
      <c r="EH57" s="123"/>
      <c r="EI57" s="123"/>
      <c r="EJ57" s="123"/>
      <c r="EK57" s="123"/>
      <c r="EL57" s="123"/>
      <c r="EM57" s="123"/>
      <c r="EN57" s="123"/>
      <c r="EO57" s="123"/>
      <c r="EP57" s="123"/>
      <c r="EQ57" s="123"/>
      <c r="ER57" s="123"/>
      <c r="ES57" s="123"/>
      <c r="ET57" s="123"/>
      <c r="EU57" s="123"/>
      <c r="EV57" s="123"/>
      <c r="EW57" s="123"/>
      <c r="EX57" s="123"/>
      <c r="EY57" s="123"/>
      <c r="EZ57" s="123"/>
      <c r="FA57" s="123"/>
      <c r="FB57" s="123"/>
      <c r="FC57" s="123"/>
      <c r="FD57" s="123"/>
      <c r="FE57" s="123"/>
      <c r="FF57" s="123"/>
      <c r="FG57" s="123"/>
      <c r="FH57" s="123"/>
      <c r="FI57" s="123"/>
      <c r="FJ57" s="123"/>
      <c r="FK57" s="123"/>
      <c r="FL57" s="123"/>
    </row>
    <row r="58" spans="1:168" x14ac:dyDescent="0.25">
      <c r="A58" s="134" t="s">
        <v>577</v>
      </c>
      <c r="B58" s="135">
        <v>1</v>
      </c>
      <c r="C58" s="135">
        <v>2</v>
      </c>
      <c r="D58" s="135">
        <v>0</v>
      </c>
      <c r="E58" s="135">
        <v>0</v>
      </c>
      <c r="F58" s="135">
        <v>0</v>
      </c>
      <c r="G58" s="135">
        <v>0</v>
      </c>
      <c r="H58" s="135">
        <v>0</v>
      </c>
      <c r="I58" s="135">
        <v>0</v>
      </c>
      <c r="J58" s="135">
        <v>0</v>
      </c>
      <c r="K58" s="135">
        <v>0</v>
      </c>
      <c r="L58" s="135">
        <v>0</v>
      </c>
      <c r="M58" s="135">
        <v>0</v>
      </c>
      <c r="N58" s="135">
        <v>1</v>
      </c>
      <c r="O58" s="135">
        <v>2</v>
      </c>
      <c r="P58" s="135">
        <v>0</v>
      </c>
      <c r="Q58" s="135">
        <v>0</v>
      </c>
      <c r="R58" s="135">
        <v>0</v>
      </c>
      <c r="S58" s="135">
        <v>0</v>
      </c>
      <c r="T58" s="135">
        <v>0</v>
      </c>
      <c r="U58" s="135">
        <v>0</v>
      </c>
      <c r="V58" s="135">
        <v>0</v>
      </c>
      <c r="W58" s="135">
        <v>0</v>
      </c>
      <c r="X58" s="135">
        <v>0</v>
      </c>
      <c r="Y58" s="135">
        <v>0</v>
      </c>
      <c r="Z58" s="135">
        <v>1</v>
      </c>
      <c r="AA58" s="135">
        <v>2</v>
      </c>
      <c r="AB58" s="135">
        <v>0</v>
      </c>
      <c r="AC58" s="135">
        <v>0</v>
      </c>
      <c r="AD58" s="135">
        <v>0</v>
      </c>
      <c r="AE58" s="135">
        <v>0</v>
      </c>
      <c r="AF58" s="135">
        <v>0</v>
      </c>
      <c r="AG58" s="135">
        <v>0</v>
      </c>
      <c r="AH58" s="135">
        <v>0</v>
      </c>
      <c r="AI58" s="135">
        <v>0</v>
      </c>
      <c r="AJ58" s="135">
        <v>0</v>
      </c>
      <c r="AK58" s="135">
        <v>0</v>
      </c>
      <c r="AL58" s="135">
        <v>1</v>
      </c>
      <c r="AM58" s="135">
        <v>2</v>
      </c>
      <c r="AN58" s="135">
        <v>0</v>
      </c>
      <c r="AO58" s="135">
        <v>0</v>
      </c>
      <c r="AP58" s="135">
        <v>0</v>
      </c>
      <c r="AQ58" s="135">
        <v>0</v>
      </c>
      <c r="AR58" s="135">
        <v>0</v>
      </c>
      <c r="AS58" s="135">
        <v>0</v>
      </c>
      <c r="AT58" s="135">
        <v>0</v>
      </c>
      <c r="AU58" s="135">
        <v>0</v>
      </c>
      <c r="AV58" s="135">
        <v>0</v>
      </c>
      <c r="AW58" s="135">
        <v>0</v>
      </c>
      <c r="AX58" s="135">
        <v>1</v>
      </c>
      <c r="AY58" s="135">
        <v>2</v>
      </c>
      <c r="AZ58" s="135">
        <v>0</v>
      </c>
      <c r="BA58" s="135">
        <v>0</v>
      </c>
      <c r="BB58" s="135">
        <v>0</v>
      </c>
      <c r="BC58" s="135">
        <v>0</v>
      </c>
      <c r="BD58" s="135">
        <v>0</v>
      </c>
      <c r="BE58" s="135">
        <v>0</v>
      </c>
      <c r="BF58" s="135">
        <v>0</v>
      </c>
      <c r="BG58" s="135">
        <v>0</v>
      </c>
      <c r="BH58" s="135">
        <v>0</v>
      </c>
      <c r="BI58" s="135">
        <v>0</v>
      </c>
      <c r="BJ58" s="135">
        <v>1</v>
      </c>
      <c r="BK58" s="135">
        <v>2</v>
      </c>
      <c r="BL58" s="135">
        <v>0</v>
      </c>
      <c r="BM58" s="135">
        <v>0</v>
      </c>
      <c r="BN58" s="135">
        <v>0</v>
      </c>
      <c r="BO58" s="135">
        <v>0</v>
      </c>
      <c r="BP58" s="135">
        <v>0</v>
      </c>
      <c r="BQ58" s="135">
        <v>0</v>
      </c>
      <c r="BR58" s="135">
        <v>0</v>
      </c>
      <c r="BS58" s="135">
        <v>0</v>
      </c>
      <c r="BT58" s="135">
        <v>0</v>
      </c>
      <c r="BU58" s="135">
        <v>0</v>
      </c>
      <c r="BV58" s="135">
        <v>0</v>
      </c>
      <c r="BW58" s="135">
        <v>0</v>
      </c>
      <c r="BX58" s="135">
        <v>0</v>
      </c>
      <c r="BY58" s="135">
        <v>0</v>
      </c>
      <c r="BZ58" s="135">
        <v>0</v>
      </c>
      <c r="CA58" s="135">
        <v>0</v>
      </c>
      <c r="CB58" s="135">
        <v>0</v>
      </c>
      <c r="CC58" s="135">
        <v>0</v>
      </c>
      <c r="CD58" s="135">
        <v>0</v>
      </c>
      <c r="CE58" s="135">
        <v>0</v>
      </c>
      <c r="CF58" s="135">
        <v>0</v>
      </c>
      <c r="CG58" s="135">
        <v>0</v>
      </c>
      <c r="CH58" s="135">
        <v>0</v>
      </c>
      <c r="CI58" s="135">
        <v>0</v>
      </c>
      <c r="CJ58" s="135">
        <v>0</v>
      </c>
      <c r="CK58" s="135">
        <v>0</v>
      </c>
      <c r="CL58" s="135">
        <v>0</v>
      </c>
      <c r="CM58" s="135">
        <v>0</v>
      </c>
      <c r="CN58" s="135">
        <v>0</v>
      </c>
      <c r="CO58" s="135">
        <v>0</v>
      </c>
      <c r="CP58" s="135">
        <v>0</v>
      </c>
      <c r="CQ58" s="135">
        <v>0</v>
      </c>
      <c r="CR58" s="135">
        <v>0</v>
      </c>
      <c r="CS58" s="135">
        <v>0</v>
      </c>
      <c r="CT58" s="135">
        <v>0</v>
      </c>
      <c r="CU58" s="135">
        <v>0</v>
      </c>
      <c r="CV58" s="135">
        <v>0</v>
      </c>
      <c r="CW58" s="135">
        <v>0</v>
      </c>
      <c r="CX58" s="135">
        <v>0</v>
      </c>
      <c r="CY58" s="135">
        <v>0</v>
      </c>
      <c r="CZ58" s="135">
        <v>0</v>
      </c>
      <c r="DA58" s="135">
        <v>0</v>
      </c>
      <c r="DB58" s="135">
        <v>0</v>
      </c>
      <c r="DC58" s="135">
        <v>0</v>
      </c>
      <c r="DD58" s="135">
        <v>0</v>
      </c>
      <c r="DE58" s="135">
        <v>0</v>
      </c>
      <c r="DF58" s="135">
        <v>0</v>
      </c>
      <c r="DG58" s="135">
        <v>0</v>
      </c>
      <c r="DH58" s="135">
        <v>0</v>
      </c>
      <c r="DI58" s="135">
        <v>0</v>
      </c>
      <c r="DJ58" s="135">
        <v>0</v>
      </c>
      <c r="DK58" s="135">
        <v>0</v>
      </c>
      <c r="DL58" s="135">
        <v>0</v>
      </c>
      <c r="DM58" s="135">
        <v>0</v>
      </c>
      <c r="DN58" s="135">
        <v>0</v>
      </c>
      <c r="DO58" s="135">
        <v>0</v>
      </c>
      <c r="DP58" s="135">
        <v>0</v>
      </c>
      <c r="DQ58" s="135">
        <v>0</v>
      </c>
      <c r="DR58" s="123"/>
      <c r="DS58" s="123"/>
      <c r="DT58" s="123"/>
      <c r="DU58" s="123"/>
      <c r="DV58" s="123"/>
      <c r="DW58" s="123"/>
      <c r="DX58" s="123"/>
      <c r="DY58" s="123"/>
      <c r="DZ58" s="123"/>
      <c r="EA58" s="123"/>
      <c r="EB58" s="123"/>
      <c r="EC58" s="123"/>
      <c r="ED58" s="123"/>
      <c r="EE58" s="123"/>
      <c r="EF58" s="123"/>
      <c r="EG58" s="123"/>
      <c r="EH58" s="123"/>
      <c r="EI58" s="123"/>
      <c r="EJ58" s="123"/>
      <c r="EK58" s="123"/>
      <c r="EL58" s="123"/>
      <c r="EM58" s="123"/>
      <c r="EN58" s="123"/>
      <c r="EO58" s="123"/>
      <c r="EP58" s="123"/>
      <c r="EQ58" s="123"/>
      <c r="ER58" s="123"/>
      <c r="ES58" s="123"/>
      <c r="ET58" s="123"/>
      <c r="EU58" s="123"/>
      <c r="EV58" s="123"/>
      <c r="EW58" s="123"/>
      <c r="EX58" s="123"/>
      <c r="EY58" s="123"/>
      <c r="EZ58" s="123"/>
      <c r="FA58" s="123"/>
      <c r="FB58" s="123"/>
      <c r="FC58" s="123"/>
      <c r="FD58" s="123"/>
      <c r="FE58" s="123"/>
      <c r="FF58" s="123"/>
      <c r="FG58" s="123"/>
      <c r="FH58" s="123"/>
      <c r="FI58" s="123"/>
      <c r="FJ58" s="123"/>
      <c r="FK58" s="123"/>
      <c r="FL58" s="123"/>
    </row>
    <row r="59" spans="1:168" x14ac:dyDescent="0.25">
      <c r="A59" s="136" t="s">
        <v>578</v>
      </c>
      <c r="B59" s="137">
        <v>2011</v>
      </c>
      <c r="C59" s="137">
        <v>2012</v>
      </c>
      <c r="D59" s="137">
        <v>2013</v>
      </c>
      <c r="E59" s="137">
        <v>2014</v>
      </c>
      <c r="F59" s="137">
        <v>2015</v>
      </c>
      <c r="G59" s="137">
        <v>2016</v>
      </c>
      <c r="H59" s="137">
        <v>2017</v>
      </c>
      <c r="I59" s="137">
        <v>2018</v>
      </c>
      <c r="J59" s="137">
        <v>2019</v>
      </c>
      <c r="K59" s="137">
        <v>2020</v>
      </c>
      <c r="L59" s="137">
        <v>2021</v>
      </c>
      <c r="M59" s="137">
        <v>2022</v>
      </c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  <c r="CE59" s="137"/>
      <c r="CF59" s="137"/>
      <c r="CG59" s="137"/>
      <c r="CH59" s="137"/>
      <c r="CI59" s="137"/>
      <c r="CJ59" s="137"/>
      <c r="CK59" s="137"/>
      <c r="CL59" s="137"/>
      <c r="CM59" s="137"/>
      <c r="CN59" s="137"/>
      <c r="CO59" s="137"/>
      <c r="CP59" s="137"/>
      <c r="CQ59" s="137"/>
      <c r="CR59" s="137"/>
      <c r="CS59" s="137"/>
      <c r="CT59" s="137"/>
      <c r="CU59" s="137"/>
      <c r="CV59" s="137"/>
      <c r="CW59" s="137"/>
      <c r="CX59" s="137"/>
      <c r="CY59" s="137"/>
      <c r="CZ59" s="137"/>
      <c r="DA59" s="137"/>
      <c r="DB59" s="137"/>
      <c r="DC59" s="137"/>
      <c r="DD59" s="137"/>
      <c r="DE59" s="137"/>
      <c r="DF59" s="137"/>
      <c r="DG59" s="137"/>
      <c r="DH59" s="137"/>
      <c r="DI59" s="137"/>
      <c r="DJ59" s="137"/>
      <c r="DK59" s="137"/>
      <c r="DL59" s="137"/>
      <c r="DM59" s="137"/>
      <c r="DN59" s="137"/>
      <c r="DO59" s="137"/>
      <c r="DP59" s="137"/>
      <c r="DQ59" s="137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  <c r="EB59" s="123"/>
      <c r="EC59" s="123"/>
      <c r="ED59" s="123"/>
      <c r="EE59" s="123"/>
      <c r="EF59" s="123"/>
      <c r="EG59" s="123"/>
      <c r="EH59" s="123"/>
      <c r="EI59" s="123"/>
      <c r="EJ59" s="123"/>
      <c r="EK59" s="123"/>
      <c r="EL59" s="123"/>
      <c r="EM59" s="123"/>
      <c r="EN59" s="123"/>
      <c r="EO59" s="123"/>
      <c r="EP59" s="123"/>
      <c r="EQ59" s="123"/>
      <c r="ER59" s="123"/>
      <c r="ES59" s="123"/>
      <c r="ET59" s="123"/>
      <c r="EU59" s="123"/>
      <c r="EV59" s="123"/>
      <c r="EW59" s="123"/>
      <c r="EX59" s="123"/>
      <c r="EY59" s="123"/>
      <c r="EZ59" s="123"/>
      <c r="FA59" s="123"/>
      <c r="FB59" s="123"/>
      <c r="FC59" s="123"/>
      <c r="FD59" s="123"/>
      <c r="FE59" s="123"/>
      <c r="FF59" s="123"/>
      <c r="FG59" s="123"/>
      <c r="FH59" s="123"/>
      <c r="FI59" s="123"/>
      <c r="FJ59" s="123"/>
      <c r="FK59" s="123"/>
      <c r="FL59" s="123"/>
    </row>
    <row r="60" spans="1:168" x14ac:dyDescent="0.25">
      <c r="A60" s="123" t="s">
        <v>25</v>
      </c>
      <c r="B60" s="123">
        <v>0</v>
      </c>
      <c r="C60" s="123">
        <v>0</v>
      </c>
      <c r="D60" s="123">
        <v>0</v>
      </c>
      <c r="E60" s="123">
        <v>0</v>
      </c>
      <c r="F60" s="123">
        <v>0</v>
      </c>
      <c r="G60" s="123">
        <v>0</v>
      </c>
      <c r="H60" s="123">
        <v>0</v>
      </c>
      <c r="I60" s="123">
        <v>0</v>
      </c>
      <c r="J60" s="123">
        <v>0</v>
      </c>
      <c r="K60" s="123">
        <v>0</v>
      </c>
      <c r="L60" s="123">
        <v>0</v>
      </c>
      <c r="M60" s="123">
        <v>0</v>
      </c>
      <c r="N60" s="123">
        <v>0</v>
      </c>
      <c r="O60" s="123">
        <v>0</v>
      </c>
      <c r="P60" s="123">
        <v>0</v>
      </c>
      <c r="Q60" s="123">
        <v>0</v>
      </c>
      <c r="R60" s="123">
        <v>0</v>
      </c>
      <c r="S60" s="123">
        <v>0</v>
      </c>
      <c r="T60" s="123">
        <v>0</v>
      </c>
      <c r="U60" s="123">
        <v>0</v>
      </c>
      <c r="V60" s="123">
        <v>0</v>
      </c>
      <c r="W60" s="123">
        <v>0</v>
      </c>
      <c r="X60" s="123">
        <v>0</v>
      </c>
      <c r="Y60" s="123">
        <v>0</v>
      </c>
      <c r="Z60" s="123">
        <v>0</v>
      </c>
      <c r="AA60" s="123">
        <v>53046231.355448335</v>
      </c>
      <c r="AB60" s="123">
        <v>0</v>
      </c>
      <c r="AC60" s="123">
        <v>0</v>
      </c>
      <c r="AD60" s="123">
        <v>0</v>
      </c>
      <c r="AE60" s="123">
        <v>0</v>
      </c>
      <c r="AF60" s="123">
        <v>0</v>
      </c>
      <c r="AG60" s="123">
        <v>0</v>
      </c>
      <c r="AH60" s="123">
        <v>0</v>
      </c>
      <c r="AI60" s="123">
        <v>0</v>
      </c>
      <c r="AJ60" s="123">
        <v>0</v>
      </c>
      <c r="AK60" s="123">
        <v>0</v>
      </c>
      <c r="AL60" s="123">
        <v>0</v>
      </c>
      <c r="AM60" s="123">
        <v>0</v>
      </c>
      <c r="AN60" s="123">
        <v>0</v>
      </c>
      <c r="AO60" s="123">
        <v>0</v>
      </c>
      <c r="AP60" s="123">
        <v>0</v>
      </c>
      <c r="AQ60" s="123">
        <v>0</v>
      </c>
      <c r="AR60" s="123">
        <v>0</v>
      </c>
      <c r="AS60" s="123">
        <v>0</v>
      </c>
      <c r="AT60" s="123">
        <v>0</v>
      </c>
      <c r="AU60" s="123">
        <v>0</v>
      </c>
      <c r="AV60" s="123">
        <v>0</v>
      </c>
      <c r="AW60" s="123">
        <v>0</v>
      </c>
      <c r="AX60" s="123">
        <v>38301631.486020893</v>
      </c>
      <c r="AY60" s="123">
        <v>92894974.567157641</v>
      </c>
      <c r="AZ60" s="123">
        <v>0</v>
      </c>
      <c r="BA60" s="123">
        <v>0</v>
      </c>
      <c r="BB60" s="123">
        <v>0</v>
      </c>
      <c r="BC60" s="123">
        <v>0</v>
      </c>
      <c r="BD60" s="123">
        <v>0</v>
      </c>
      <c r="BE60" s="123">
        <v>0</v>
      </c>
      <c r="BF60" s="123">
        <v>0</v>
      </c>
      <c r="BG60" s="123">
        <v>0</v>
      </c>
      <c r="BH60" s="123">
        <v>0</v>
      </c>
      <c r="BI60" s="123">
        <v>0</v>
      </c>
      <c r="BJ60" s="123">
        <v>0</v>
      </c>
      <c r="BK60" s="123">
        <v>0</v>
      </c>
      <c r="BL60" s="123">
        <v>0</v>
      </c>
      <c r="BM60" s="123">
        <v>0</v>
      </c>
      <c r="BN60" s="123">
        <v>0</v>
      </c>
      <c r="BO60" s="123">
        <v>0</v>
      </c>
      <c r="BP60" s="123">
        <v>0</v>
      </c>
      <c r="BQ60" s="123">
        <v>0</v>
      </c>
      <c r="BR60" s="123">
        <v>0</v>
      </c>
      <c r="BS60" s="123">
        <v>0</v>
      </c>
      <c r="BT60" s="123">
        <v>0</v>
      </c>
      <c r="BU60" s="123">
        <v>0</v>
      </c>
      <c r="BV60" s="123">
        <v>0</v>
      </c>
      <c r="BW60" s="123">
        <v>0</v>
      </c>
      <c r="BX60" s="123">
        <v>0</v>
      </c>
      <c r="BY60" s="123">
        <v>0</v>
      </c>
      <c r="BZ60" s="123">
        <v>0</v>
      </c>
      <c r="CA60" s="123">
        <v>0</v>
      </c>
      <c r="CB60" s="123">
        <v>0</v>
      </c>
      <c r="CC60" s="123">
        <v>0</v>
      </c>
      <c r="CD60" s="123">
        <v>0</v>
      </c>
      <c r="CE60" s="123">
        <v>0</v>
      </c>
      <c r="CF60" s="123">
        <v>0</v>
      </c>
      <c r="CG60" s="123">
        <v>0</v>
      </c>
      <c r="CH60" s="123">
        <v>0</v>
      </c>
      <c r="CI60" s="123">
        <v>0</v>
      </c>
      <c r="CJ60" s="123">
        <v>0</v>
      </c>
      <c r="CK60" s="123">
        <v>0</v>
      </c>
      <c r="CL60" s="123">
        <v>0</v>
      </c>
      <c r="CM60" s="123">
        <v>0</v>
      </c>
      <c r="CN60" s="123">
        <v>0</v>
      </c>
      <c r="CO60" s="123">
        <v>0</v>
      </c>
      <c r="CP60" s="123">
        <v>0</v>
      </c>
      <c r="CQ60" s="123">
        <v>0</v>
      </c>
      <c r="CR60" s="123">
        <v>0</v>
      </c>
      <c r="CS60" s="123">
        <v>0</v>
      </c>
      <c r="CT60" s="123">
        <v>0</v>
      </c>
      <c r="CU60" s="123">
        <v>0</v>
      </c>
      <c r="CV60" s="123">
        <v>0</v>
      </c>
      <c r="CW60" s="123">
        <v>0</v>
      </c>
      <c r="CX60" s="123">
        <v>0</v>
      </c>
      <c r="CY60" s="123">
        <v>0</v>
      </c>
      <c r="CZ60" s="123">
        <v>0</v>
      </c>
      <c r="DA60" s="123">
        <v>0</v>
      </c>
      <c r="DB60" s="123">
        <v>0</v>
      </c>
      <c r="DC60" s="123">
        <v>0</v>
      </c>
      <c r="DD60" s="123">
        <v>0</v>
      </c>
      <c r="DE60" s="123">
        <v>0</v>
      </c>
      <c r="DF60" s="123">
        <v>0</v>
      </c>
      <c r="DG60" s="123">
        <v>0</v>
      </c>
      <c r="DH60" s="123">
        <v>0</v>
      </c>
      <c r="DI60" s="123">
        <v>0</v>
      </c>
      <c r="DJ60" s="123">
        <v>0</v>
      </c>
      <c r="DK60" s="123">
        <v>0</v>
      </c>
      <c r="DL60" s="123">
        <v>0</v>
      </c>
      <c r="DM60" s="123">
        <v>0</v>
      </c>
      <c r="DN60" s="123">
        <v>0</v>
      </c>
      <c r="DO60" s="123">
        <v>0</v>
      </c>
      <c r="DP60" s="123">
        <v>0</v>
      </c>
      <c r="DQ60" s="123">
        <v>0</v>
      </c>
      <c r="DR60" s="123"/>
      <c r="DS60" s="123"/>
      <c r="DT60" s="123"/>
      <c r="DU60" s="123"/>
      <c r="DV60" s="123"/>
      <c r="DW60" s="123"/>
      <c r="DX60" s="123"/>
      <c r="DY60" s="123"/>
      <c r="DZ60" s="123"/>
      <c r="EA60" s="123"/>
      <c r="EB60" s="123"/>
      <c r="EC60" s="123"/>
      <c r="ED60" s="123"/>
      <c r="EE60" s="123"/>
      <c r="EF60" s="123"/>
      <c r="EG60" s="123"/>
      <c r="EH60" s="123"/>
      <c r="EI60" s="123"/>
      <c r="EJ60" s="123"/>
      <c r="EK60" s="123"/>
      <c r="EL60" s="123"/>
      <c r="EM60" s="123"/>
      <c r="EN60" s="123"/>
      <c r="EO60" s="123"/>
      <c r="EP60" s="123"/>
      <c r="EQ60" s="123"/>
      <c r="ER60" s="123"/>
      <c r="ES60" s="123"/>
      <c r="ET60" s="123"/>
      <c r="EU60" s="123"/>
      <c r="EV60" s="123"/>
      <c r="EW60" s="123"/>
      <c r="EX60" s="123"/>
      <c r="EY60" s="123"/>
      <c r="EZ60" s="123"/>
      <c r="FA60" s="123"/>
      <c r="FB60" s="123"/>
      <c r="FC60" s="123"/>
      <c r="FD60" s="123"/>
      <c r="FE60" s="123"/>
      <c r="FF60" s="123"/>
      <c r="FG60" s="123"/>
      <c r="FH60" s="123"/>
      <c r="FI60" s="123"/>
      <c r="FJ60" s="123"/>
      <c r="FK60" s="123"/>
      <c r="FL60" s="123"/>
    </row>
    <row r="61" spans="1:168" x14ac:dyDescent="0.25">
      <c r="A61" s="123" t="s">
        <v>33</v>
      </c>
      <c r="B61" s="123">
        <v>0</v>
      </c>
      <c r="C61" s="123">
        <v>0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3">
        <v>0</v>
      </c>
      <c r="J61" s="123">
        <v>0</v>
      </c>
      <c r="K61" s="123">
        <v>0</v>
      </c>
      <c r="L61" s="123">
        <v>0</v>
      </c>
      <c r="M61" s="123">
        <v>0</v>
      </c>
      <c r="N61" s="123">
        <v>0</v>
      </c>
      <c r="O61" s="123">
        <v>7730143.191369893</v>
      </c>
      <c r="P61" s="123">
        <v>0</v>
      </c>
      <c r="Q61" s="123">
        <v>0</v>
      </c>
      <c r="R61" s="123">
        <v>0</v>
      </c>
      <c r="S61" s="123">
        <v>0</v>
      </c>
      <c r="T61" s="123">
        <v>0</v>
      </c>
      <c r="U61" s="123">
        <v>0</v>
      </c>
      <c r="V61" s="123">
        <v>0</v>
      </c>
      <c r="W61" s="123">
        <v>0</v>
      </c>
      <c r="X61" s="123">
        <v>0</v>
      </c>
      <c r="Y61" s="123">
        <v>0</v>
      </c>
      <c r="Z61" s="123">
        <v>0</v>
      </c>
      <c r="AA61" s="123">
        <v>0</v>
      </c>
      <c r="AB61" s="123">
        <v>0</v>
      </c>
      <c r="AC61" s="123">
        <v>0</v>
      </c>
      <c r="AD61" s="123">
        <v>0</v>
      </c>
      <c r="AE61" s="123">
        <v>0</v>
      </c>
      <c r="AF61" s="123">
        <v>0</v>
      </c>
      <c r="AG61" s="123">
        <v>0</v>
      </c>
      <c r="AH61" s="123">
        <v>0</v>
      </c>
      <c r="AI61" s="123">
        <v>0</v>
      </c>
      <c r="AJ61" s="123">
        <v>0</v>
      </c>
      <c r="AK61" s="123">
        <v>0</v>
      </c>
      <c r="AL61" s="123">
        <v>0</v>
      </c>
      <c r="AM61" s="123">
        <v>0</v>
      </c>
      <c r="AN61" s="123">
        <v>0</v>
      </c>
      <c r="AO61" s="123">
        <v>0</v>
      </c>
      <c r="AP61" s="123">
        <v>0</v>
      </c>
      <c r="AQ61" s="123">
        <v>0</v>
      </c>
      <c r="AR61" s="123">
        <v>0</v>
      </c>
      <c r="AS61" s="123">
        <v>0</v>
      </c>
      <c r="AT61" s="123">
        <v>0</v>
      </c>
      <c r="AU61" s="123">
        <v>0</v>
      </c>
      <c r="AV61" s="123">
        <v>0</v>
      </c>
      <c r="AW61" s="123">
        <v>0</v>
      </c>
      <c r="AX61" s="123">
        <v>0</v>
      </c>
      <c r="AY61" s="123">
        <v>0</v>
      </c>
      <c r="AZ61" s="123">
        <v>0</v>
      </c>
      <c r="BA61" s="123">
        <v>0</v>
      </c>
      <c r="BB61" s="123">
        <v>0</v>
      </c>
      <c r="BC61" s="123">
        <v>0</v>
      </c>
      <c r="BD61" s="123">
        <v>0</v>
      </c>
      <c r="BE61" s="123">
        <v>0</v>
      </c>
      <c r="BF61" s="123">
        <v>0</v>
      </c>
      <c r="BG61" s="123">
        <v>0</v>
      </c>
      <c r="BH61" s="123">
        <v>0</v>
      </c>
      <c r="BI61" s="123">
        <v>0</v>
      </c>
      <c r="BJ61" s="123">
        <v>0</v>
      </c>
      <c r="BK61" s="123">
        <v>0</v>
      </c>
      <c r="BL61" s="123">
        <v>0</v>
      </c>
      <c r="BM61" s="123">
        <v>0</v>
      </c>
      <c r="BN61" s="123">
        <v>0</v>
      </c>
      <c r="BO61" s="123">
        <v>0</v>
      </c>
      <c r="BP61" s="123">
        <v>0</v>
      </c>
      <c r="BQ61" s="123">
        <v>0</v>
      </c>
      <c r="BR61" s="123">
        <v>0</v>
      </c>
      <c r="BS61" s="123">
        <v>0</v>
      </c>
      <c r="BT61" s="123">
        <v>0</v>
      </c>
      <c r="BU61" s="123">
        <v>0</v>
      </c>
      <c r="BV61" s="123">
        <v>0</v>
      </c>
      <c r="BW61" s="123">
        <v>0</v>
      </c>
      <c r="BX61" s="123">
        <v>0</v>
      </c>
      <c r="BY61" s="123">
        <v>0</v>
      </c>
      <c r="BZ61" s="123">
        <v>0</v>
      </c>
      <c r="CA61" s="123">
        <v>0</v>
      </c>
      <c r="CB61" s="123">
        <v>0</v>
      </c>
      <c r="CC61" s="123">
        <v>0</v>
      </c>
      <c r="CD61" s="123">
        <v>0</v>
      </c>
      <c r="CE61" s="123">
        <v>0</v>
      </c>
      <c r="CF61" s="123">
        <v>0</v>
      </c>
      <c r="CG61" s="123">
        <v>0</v>
      </c>
      <c r="CH61" s="123">
        <v>0</v>
      </c>
      <c r="CI61" s="123">
        <v>0</v>
      </c>
      <c r="CJ61" s="123">
        <v>0</v>
      </c>
      <c r="CK61" s="123">
        <v>0</v>
      </c>
      <c r="CL61" s="123">
        <v>0</v>
      </c>
      <c r="CM61" s="123">
        <v>0</v>
      </c>
      <c r="CN61" s="123">
        <v>0</v>
      </c>
      <c r="CO61" s="123">
        <v>0</v>
      </c>
      <c r="CP61" s="123">
        <v>0</v>
      </c>
      <c r="CQ61" s="123">
        <v>0</v>
      </c>
      <c r="CR61" s="123">
        <v>0</v>
      </c>
      <c r="CS61" s="123">
        <v>0</v>
      </c>
      <c r="CT61" s="123">
        <v>0</v>
      </c>
      <c r="CU61" s="123">
        <v>0</v>
      </c>
      <c r="CV61" s="123">
        <v>0</v>
      </c>
      <c r="CW61" s="123">
        <v>0</v>
      </c>
      <c r="CX61" s="123">
        <v>0</v>
      </c>
      <c r="CY61" s="123">
        <v>0</v>
      </c>
      <c r="CZ61" s="123">
        <v>0</v>
      </c>
      <c r="DA61" s="123">
        <v>0</v>
      </c>
      <c r="DB61" s="123">
        <v>0</v>
      </c>
      <c r="DC61" s="123">
        <v>0</v>
      </c>
      <c r="DD61" s="123">
        <v>0</v>
      </c>
      <c r="DE61" s="123">
        <v>0</v>
      </c>
      <c r="DF61" s="123">
        <v>0</v>
      </c>
      <c r="DG61" s="123">
        <v>0</v>
      </c>
      <c r="DH61" s="123">
        <v>0</v>
      </c>
      <c r="DI61" s="123">
        <v>0</v>
      </c>
      <c r="DJ61" s="123">
        <v>0</v>
      </c>
      <c r="DK61" s="123">
        <v>0</v>
      </c>
      <c r="DL61" s="123">
        <v>0</v>
      </c>
      <c r="DM61" s="123">
        <v>0</v>
      </c>
      <c r="DN61" s="123">
        <v>0</v>
      </c>
      <c r="DO61" s="123">
        <v>0</v>
      </c>
      <c r="DP61" s="123">
        <v>0</v>
      </c>
      <c r="DQ61" s="123">
        <v>0</v>
      </c>
      <c r="DR61" s="123"/>
      <c r="DS61" s="123"/>
      <c r="DT61" s="123"/>
      <c r="DU61" s="123"/>
      <c r="DV61" s="123"/>
      <c r="DW61" s="123"/>
      <c r="DX61" s="123"/>
      <c r="DY61" s="123"/>
      <c r="DZ61" s="123"/>
      <c r="EA61" s="123"/>
      <c r="EB61" s="123"/>
      <c r="EC61" s="123"/>
      <c r="ED61" s="123"/>
      <c r="EE61" s="123"/>
      <c r="EF61" s="123"/>
      <c r="EG61" s="123"/>
      <c r="EH61" s="123"/>
      <c r="EI61" s="123"/>
      <c r="EJ61" s="123"/>
      <c r="EK61" s="123"/>
      <c r="EL61" s="123"/>
      <c r="EM61" s="123"/>
      <c r="EN61" s="123"/>
      <c r="EO61" s="123"/>
      <c r="EP61" s="123"/>
      <c r="EQ61" s="123"/>
      <c r="ER61" s="123"/>
      <c r="ES61" s="123"/>
      <c r="ET61" s="123"/>
      <c r="EU61" s="123"/>
      <c r="EV61" s="123"/>
      <c r="EW61" s="123"/>
      <c r="EX61" s="123"/>
      <c r="EY61" s="123"/>
      <c r="EZ61" s="123"/>
      <c r="FA61" s="123"/>
      <c r="FB61" s="123"/>
      <c r="FC61" s="123"/>
      <c r="FD61" s="123"/>
      <c r="FE61" s="123"/>
      <c r="FF61" s="123"/>
      <c r="FG61" s="123"/>
      <c r="FH61" s="123"/>
      <c r="FI61" s="123"/>
      <c r="FJ61" s="123"/>
      <c r="FK61" s="123"/>
      <c r="FL61" s="123"/>
    </row>
    <row r="62" spans="1:168" x14ac:dyDescent="0.25">
      <c r="A62" s="123" t="s">
        <v>7</v>
      </c>
      <c r="B62" s="123">
        <v>0</v>
      </c>
      <c r="C62" s="123">
        <v>1859423.5306972978</v>
      </c>
      <c r="D62" s="123">
        <v>0</v>
      </c>
      <c r="E62" s="123">
        <v>0</v>
      </c>
      <c r="F62" s="123">
        <v>0</v>
      </c>
      <c r="G62" s="123">
        <v>0</v>
      </c>
      <c r="H62" s="123">
        <v>0</v>
      </c>
      <c r="I62" s="123">
        <v>0</v>
      </c>
      <c r="J62" s="123">
        <v>0</v>
      </c>
      <c r="K62" s="123">
        <v>0</v>
      </c>
      <c r="L62" s="123">
        <v>0</v>
      </c>
      <c r="M62" s="123">
        <v>0</v>
      </c>
      <c r="N62" s="123">
        <v>0</v>
      </c>
      <c r="O62" s="123">
        <v>0</v>
      </c>
      <c r="P62" s="123">
        <v>0</v>
      </c>
      <c r="Q62" s="123">
        <v>0</v>
      </c>
      <c r="R62" s="123">
        <v>0</v>
      </c>
      <c r="S62" s="123">
        <v>0</v>
      </c>
      <c r="T62" s="123">
        <v>0</v>
      </c>
      <c r="U62" s="123">
        <v>0</v>
      </c>
      <c r="V62" s="123">
        <v>0</v>
      </c>
      <c r="W62" s="123">
        <v>0</v>
      </c>
      <c r="X62" s="123">
        <v>0</v>
      </c>
      <c r="Y62" s="123">
        <v>0</v>
      </c>
      <c r="Z62" s="123">
        <v>0</v>
      </c>
      <c r="AA62" s="123">
        <v>0</v>
      </c>
      <c r="AB62" s="123">
        <v>0</v>
      </c>
      <c r="AC62" s="123">
        <v>0</v>
      </c>
      <c r="AD62" s="123">
        <v>0</v>
      </c>
      <c r="AE62" s="123">
        <v>0</v>
      </c>
      <c r="AF62" s="123">
        <v>0</v>
      </c>
      <c r="AG62" s="123">
        <v>0</v>
      </c>
      <c r="AH62" s="123">
        <v>0</v>
      </c>
      <c r="AI62" s="123">
        <v>0</v>
      </c>
      <c r="AJ62" s="123">
        <v>0</v>
      </c>
      <c r="AK62" s="123">
        <v>0</v>
      </c>
      <c r="AL62" s="123">
        <v>0</v>
      </c>
      <c r="AM62" s="123">
        <v>0</v>
      </c>
      <c r="AN62" s="123">
        <v>0</v>
      </c>
      <c r="AO62" s="123">
        <v>0</v>
      </c>
      <c r="AP62" s="123">
        <v>0</v>
      </c>
      <c r="AQ62" s="123">
        <v>0</v>
      </c>
      <c r="AR62" s="123">
        <v>0</v>
      </c>
      <c r="AS62" s="123">
        <v>0</v>
      </c>
      <c r="AT62" s="123">
        <v>0</v>
      </c>
      <c r="AU62" s="123">
        <v>0</v>
      </c>
      <c r="AV62" s="123">
        <v>0</v>
      </c>
      <c r="AW62" s="123">
        <v>0</v>
      </c>
      <c r="AX62" s="123">
        <v>0</v>
      </c>
      <c r="AY62" s="123">
        <v>0</v>
      </c>
      <c r="AZ62" s="123">
        <v>0</v>
      </c>
      <c r="BA62" s="123">
        <v>0</v>
      </c>
      <c r="BB62" s="123">
        <v>0</v>
      </c>
      <c r="BC62" s="123">
        <v>0</v>
      </c>
      <c r="BD62" s="123">
        <v>0</v>
      </c>
      <c r="BE62" s="123">
        <v>0</v>
      </c>
      <c r="BF62" s="123">
        <v>0</v>
      </c>
      <c r="BG62" s="123">
        <v>0</v>
      </c>
      <c r="BH62" s="123">
        <v>0</v>
      </c>
      <c r="BI62" s="123">
        <v>0</v>
      </c>
      <c r="BJ62" s="123">
        <v>0</v>
      </c>
      <c r="BK62" s="123">
        <v>0</v>
      </c>
      <c r="BL62" s="123">
        <v>0</v>
      </c>
      <c r="BM62" s="123">
        <v>0</v>
      </c>
      <c r="BN62" s="123">
        <v>0</v>
      </c>
      <c r="BO62" s="123">
        <v>0</v>
      </c>
      <c r="BP62" s="123">
        <v>0</v>
      </c>
      <c r="BQ62" s="123">
        <v>0</v>
      </c>
      <c r="BR62" s="123">
        <v>0</v>
      </c>
      <c r="BS62" s="123">
        <v>0</v>
      </c>
      <c r="BT62" s="123">
        <v>0</v>
      </c>
      <c r="BU62" s="123">
        <v>0</v>
      </c>
      <c r="BV62" s="123">
        <v>0</v>
      </c>
      <c r="BW62" s="123">
        <v>0</v>
      </c>
      <c r="BX62" s="123">
        <v>0</v>
      </c>
      <c r="BY62" s="123">
        <v>0</v>
      </c>
      <c r="BZ62" s="123">
        <v>0</v>
      </c>
      <c r="CA62" s="123">
        <v>0</v>
      </c>
      <c r="CB62" s="123">
        <v>0</v>
      </c>
      <c r="CC62" s="123">
        <v>0</v>
      </c>
      <c r="CD62" s="123">
        <v>0</v>
      </c>
      <c r="CE62" s="123">
        <v>0</v>
      </c>
      <c r="CF62" s="123">
        <v>0</v>
      </c>
      <c r="CG62" s="123">
        <v>0</v>
      </c>
      <c r="CH62" s="123">
        <v>0</v>
      </c>
      <c r="CI62" s="123">
        <v>0</v>
      </c>
      <c r="CJ62" s="123">
        <v>0</v>
      </c>
      <c r="CK62" s="123">
        <v>0</v>
      </c>
      <c r="CL62" s="123">
        <v>0</v>
      </c>
      <c r="CM62" s="123">
        <v>0</v>
      </c>
      <c r="CN62" s="123">
        <v>0</v>
      </c>
      <c r="CO62" s="123">
        <v>0</v>
      </c>
      <c r="CP62" s="123">
        <v>0</v>
      </c>
      <c r="CQ62" s="123">
        <v>0</v>
      </c>
      <c r="CR62" s="123">
        <v>0</v>
      </c>
      <c r="CS62" s="123">
        <v>0</v>
      </c>
      <c r="CT62" s="123">
        <v>0</v>
      </c>
      <c r="CU62" s="123">
        <v>0</v>
      </c>
      <c r="CV62" s="123">
        <v>0</v>
      </c>
      <c r="CW62" s="123">
        <v>0</v>
      </c>
      <c r="CX62" s="123">
        <v>0</v>
      </c>
      <c r="CY62" s="123">
        <v>0</v>
      </c>
      <c r="CZ62" s="123">
        <v>0</v>
      </c>
      <c r="DA62" s="123">
        <v>0</v>
      </c>
      <c r="DB62" s="123">
        <v>0</v>
      </c>
      <c r="DC62" s="123">
        <v>0</v>
      </c>
      <c r="DD62" s="123">
        <v>0</v>
      </c>
      <c r="DE62" s="123">
        <v>0</v>
      </c>
      <c r="DF62" s="123">
        <v>0</v>
      </c>
      <c r="DG62" s="123">
        <v>0</v>
      </c>
      <c r="DH62" s="123">
        <v>0</v>
      </c>
      <c r="DI62" s="123">
        <v>0</v>
      </c>
      <c r="DJ62" s="123">
        <v>0</v>
      </c>
      <c r="DK62" s="123">
        <v>0</v>
      </c>
      <c r="DL62" s="123">
        <v>0</v>
      </c>
      <c r="DM62" s="123">
        <v>0</v>
      </c>
      <c r="DN62" s="123">
        <v>0</v>
      </c>
      <c r="DO62" s="123">
        <v>0</v>
      </c>
      <c r="DP62" s="123">
        <v>0</v>
      </c>
      <c r="DQ62" s="123">
        <v>0</v>
      </c>
      <c r="DR62" s="123"/>
      <c r="DS62" s="123"/>
      <c r="DT62" s="123"/>
      <c r="DU62" s="123"/>
      <c r="DV62" s="123"/>
      <c r="DW62" s="123"/>
      <c r="DX62" s="123"/>
      <c r="DY62" s="123"/>
      <c r="DZ62" s="123"/>
      <c r="EA62" s="123"/>
      <c r="EB62" s="123"/>
      <c r="EC62" s="123"/>
      <c r="ED62" s="123"/>
      <c r="EE62" s="123"/>
      <c r="EF62" s="123"/>
      <c r="EG62" s="123"/>
      <c r="EH62" s="123"/>
      <c r="EI62" s="123"/>
      <c r="EJ62" s="123"/>
      <c r="EK62" s="123"/>
      <c r="EL62" s="123"/>
      <c r="EM62" s="123"/>
      <c r="EN62" s="123"/>
      <c r="EO62" s="123"/>
      <c r="EP62" s="123"/>
      <c r="EQ62" s="123"/>
      <c r="ER62" s="123"/>
      <c r="ES62" s="123"/>
      <c r="ET62" s="123"/>
      <c r="EU62" s="123"/>
      <c r="EV62" s="123"/>
      <c r="EW62" s="123"/>
      <c r="EX62" s="123"/>
      <c r="EY62" s="123"/>
      <c r="EZ62" s="123"/>
      <c r="FA62" s="123"/>
      <c r="FB62" s="123"/>
      <c r="FC62" s="123"/>
      <c r="FD62" s="123"/>
      <c r="FE62" s="123"/>
      <c r="FF62" s="123"/>
      <c r="FG62" s="123"/>
      <c r="FH62" s="123"/>
      <c r="FI62" s="123"/>
      <c r="FJ62" s="123"/>
      <c r="FK62" s="123"/>
      <c r="FL62" s="123"/>
    </row>
    <row r="63" spans="1:168" x14ac:dyDescent="0.25">
      <c r="A63" s="123" t="s">
        <v>23</v>
      </c>
      <c r="B63" s="123">
        <v>12115450.754896231</v>
      </c>
      <c r="C63" s="123">
        <v>27712500.940303732</v>
      </c>
      <c r="D63" s="123">
        <v>0</v>
      </c>
      <c r="E63" s="123">
        <v>0</v>
      </c>
      <c r="F63" s="123">
        <v>0</v>
      </c>
      <c r="G63" s="123">
        <v>0</v>
      </c>
      <c r="H63" s="123">
        <v>0</v>
      </c>
      <c r="I63" s="123">
        <v>0</v>
      </c>
      <c r="J63" s="123">
        <v>0</v>
      </c>
      <c r="K63" s="123">
        <v>0</v>
      </c>
      <c r="L63" s="123">
        <v>0</v>
      </c>
      <c r="M63" s="123">
        <v>0</v>
      </c>
      <c r="N63" s="123">
        <v>16429246.95789904</v>
      </c>
      <c r="O63" s="123">
        <v>34676442.718041174</v>
      </c>
      <c r="P63" s="123">
        <v>0</v>
      </c>
      <c r="Q63" s="123">
        <v>0</v>
      </c>
      <c r="R63" s="123">
        <v>0</v>
      </c>
      <c r="S63" s="123">
        <v>0</v>
      </c>
      <c r="T63" s="123">
        <v>0</v>
      </c>
      <c r="U63" s="123">
        <v>0</v>
      </c>
      <c r="V63" s="123">
        <v>0</v>
      </c>
      <c r="W63" s="123">
        <v>0</v>
      </c>
      <c r="X63" s="123">
        <v>0</v>
      </c>
      <c r="Y63" s="123">
        <v>0</v>
      </c>
      <c r="Z63" s="123">
        <v>9870061.935886424</v>
      </c>
      <c r="AA63" s="123">
        <v>17420094.916520249</v>
      </c>
      <c r="AB63" s="123">
        <v>0</v>
      </c>
      <c r="AC63" s="123">
        <v>0</v>
      </c>
      <c r="AD63" s="123">
        <v>0</v>
      </c>
      <c r="AE63" s="123">
        <v>0</v>
      </c>
      <c r="AF63" s="123">
        <v>0</v>
      </c>
      <c r="AG63" s="123">
        <v>0</v>
      </c>
      <c r="AH63" s="123">
        <v>0</v>
      </c>
      <c r="AI63" s="123">
        <v>0</v>
      </c>
      <c r="AJ63" s="123">
        <v>0</v>
      </c>
      <c r="AK63" s="123">
        <v>0</v>
      </c>
      <c r="AL63" s="123">
        <v>0</v>
      </c>
      <c r="AM63" s="123">
        <v>0</v>
      </c>
      <c r="AN63" s="123">
        <v>0</v>
      </c>
      <c r="AO63" s="123">
        <v>0</v>
      </c>
      <c r="AP63" s="123">
        <v>0</v>
      </c>
      <c r="AQ63" s="123">
        <v>0</v>
      </c>
      <c r="AR63" s="123">
        <v>0</v>
      </c>
      <c r="AS63" s="123">
        <v>0</v>
      </c>
      <c r="AT63" s="123">
        <v>0</v>
      </c>
      <c r="AU63" s="123">
        <v>0</v>
      </c>
      <c r="AV63" s="123">
        <v>0</v>
      </c>
      <c r="AW63" s="123">
        <v>0</v>
      </c>
      <c r="AX63" s="123">
        <v>0</v>
      </c>
      <c r="AY63" s="123">
        <v>0</v>
      </c>
      <c r="AZ63" s="123">
        <v>0</v>
      </c>
      <c r="BA63" s="123">
        <v>0</v>
      </c>
      <c r="BB63" s="123">
        <v>0</v>
      </c>
      <c r="BC63" s="123">
        <v>0</v>
      </c>
      <c r="BD63" s="123">
        <v>0</v>
      </c>
      <c r="BE63" s="123">
        <v>0</v>
      </c>
      <c r="BF63" s="123">
        <v>0</v>
      </c>
      <c r="BG63" s="123">
        <v>0</v>
      </c>
      <c r="BH63" s="123">
        <v>0</v>
      </c>
      <c r="BI63" s="123">
        <v>0</v>
      </c>
      <c r="BJ63" s="123">
        <v>8435020.6242503598</v>
      </c>
      <c r="BK63" s="123">
        <v>35558736.975604951</v>
      </c>
      <c r="BL63" s="123">
        <v>0</v>
      </c>
      <c r="BM63" s="123">
        <v>0</v>
      </c>
      <c r="BN63" s="123">
        <v>0</v>
      </c>
      <c r="BO63" s="123">
        <v>0</v>
      </c>
      <c r="BP63" s="123">
        <v>0</v>
      </c>
      <c r="BQ63" s="123">
        <v>0</v>
      </c>
      <c r="BR63" s="123">
        <v>0</v>
      </c>
      <c r="BS63" s="123">
        <v>0</v>
      </c>
      <c r="BT63" s="123">
        <v>0</v>
      </c>
      <c r="BU63" s="123">
        <v>0</v>
      </c>
      <c r="BV63" s="123">
        <v>0</v>
      </c>
      <c r="BW63" s="123">
        <v>0</v>
      </c>
      <c r="BX63" s="123">
        <v>0</v>
      </c>
      <c r="BY63" s="123">
        <v>0</v>
      </c>
      <c r="BZ63" s="123">
        <v>0</v>
      </c>
      <c r="CA63" s="123">
        <v>0</v>
      </c>
      <c r="CB63" s="123">
        <v>0</v>
      </c>
      <c r="CC63" s="123">
        <v>0</v>
      </c>
      <c r="CD63" s="123">
        <v>0</v>
      </c>
      <c r="CE63" s="123">
        <v>0</v>
      </c>
      <c r="CF63" s="123">
        <v>0</v>
      </c>
      <c r="CG63" s="123">
        <v>0</v>
      </c>
      <c r="CH63" s="123">
        <v>0</v>
      </c>
      <c r="CI63" s="123">
        <v>0</v>
      </c>
      <c r="CJ63" s="123">
        <v>0</v>
      </c>
      <c r="CK63" s="123">
        <v>0</v>
      </c>
      <c r="CL63" s="123">
        <v>0</v>
      </c>
      <c r="CM63" s="123">
        <v>0</v>
      </c>
      <c r="CN63" s="123">
        <v>0</v>
      </c>
      <c r="CO63" s="123">
        <v>0</v>
      </c>
      <c r="CP63" s="123">
        <v>0</v>
      </c>
      <c r="CQ63" s="123">
        <v>0</v>
      </c>
      <c r="CR63" s="123">
        <v>0</v>
      </c>
      <c r="CS63" s="123">
        <v>0</v>
      </c>
      <c r="CT63" s="123">
        <v>0</v>
      </c>
      <c r="CU63" s="123">
        <v>0</v>
      </c>
      <c r="CV63" s="123">
        <v>0</v>
      </c>
      <c r="CW63" s="123">
        <v>0</v>
      </c>
      <c r="CX63" s="123">
        <v>0</v>
      </c>
      <c r="CY63" s="123">
        <v>0</v>
      </c>
      <c r="CZ63" s="123">
        <v>0</v>
      </c>
      <c r="DA63" s="123">
        <v>0</v>
      </c>
      <c r="DB63" s="123">
        <v>0</v>
      </c>
      <c r="DC63" s="123">
        <v>0</v>
      </c>
      <c r="DD63" s="123">
        <v>0</v>
      </c>
      <c r="DE63" s="123">
        <v>0</v>
      </c>
      <c r="DF63" s="123">
        <v>0</v>
      </c>
      <c r="DG63" s="123">
        <v>0</v>
      </c>
      <c r="DH63" s="123">
        <v>0</v>
      </c>
      <c r="DI63" s="123">
        <v>0</v>
      </c>
      <c r="DJ63" s="123">
        <v>0</v>
      </c>
      <c r="DK63" s="123">
        <v>0</v>
      </c>
      <c r="DL63" s="123">
        <v>0</v>
      </c>
      <c r="DM63" s="123">
        <v>0</v>
      </c>
      <c r="DN63" s="123">
        <v>0</v>
      </c>
      <c r="DO63" s="123">
        <v>0</v>
      </c>
      <c r="DP63" s="123">
        <v>0</v>
      </c>
      <c r="DQ63" s="123">
        <v>0</v>
      </c>
      <c r="DR63" s="123"/>
      <c r="DS63" s="123"/>
      <c r="DT63" s="123"/>
      <c r="DU63" s="123"/>
      <c r="DV63" s="123"/>
      <c r="DW63" s="123"/>
      <c r="DX63" s="123"/>
      <c r="DY63" s="123"/>
      <c r="DZ63" s="123"/>
      <c r="EA63" s="123"/>
      <c r="EB63" s="123"/>
      <c r="EC63" s="123"/>
      <c r="ED63" s="123"/>
      <c r="EE63" s="123"/>
      <c r="EF63" s="123"/>
      <c r="EG63" s="123"/>
      <c r="EH63" s="123"/>
      <c r="EI63" s="123"/>
      <c r="EJ63" s="123"/>
      <c r="EK63" s="123"/>
      <c r="EL63" s="123"/>
      <c r="EM63" s="123"/>
      <c r="EN63" s="123"/>
      <c r="EO63" s="123"/>
      <c r="EP63" s="123"/>
      <c r="EQ63" s="123"/>
      <c r="ER63" s="123"/>
      <c r="ES63" s="123"/>
      <c r="ET63" s="123"/>
      <c r="EU63" s="123"/>
      <c r="EV63" s="123"/>
      <c r="EW63" s="123"/>
      <c r="EX63" s="123"/>
      <c r="EY63" s="123"/>
      <c r="EZ63" s="123"/>
      <c r="FA63" s="123"/>
      <c r="FB63" s="123"/>
      <c r="FC63" s="123"/>
      <c r="FD63" s="123"/>
      <c r="FE63" s="123"/>
      <c r="FF63" s="123"/>
      <c r="FG63" s="123"/>
      <c r="FH63" s="123"/>
      <c r="FI63" s="123"/>
      <c r="FJ63" s="123"/>
      <c r="FK63" s="123"/>
      <c r="FL63" s="123"/>
    </row>
    <row r="64" spans="1:168" x14ac:dyDescent="0.25">
      <c r="A64" s="123" t="s">
        <v>9</v>
      </c>
      <c r="B64" s="123">
        <v>0</v>
      </c>
      <c r="C64" s="123">
        <v>0</v>
      </c>
      <c r="D64" s="123">
        <v>0</v>
      </c>
      <c r="E64" s="123">
        <v>0</v>
      </c>
      <c r="F64" s="123">
        <v>0</v>
      </c>
      <c r="G64" s="123">
        <v>0</v>
      </c>
      <c r="H64" s="123">
        <v>0</v>
      </c>
      <c r="I64" s="123">
        <v>0</v>
      </c>
      <c r="J64" s="123">
        <v>0</v>
      </c>
      <c r="K64" s="123">
        <v>0</v>
      </c>
      <c r="L64" s="123">
        <v>0</v>
      </c>
      <c r="M64" s="123">
        <v>0</v>
      </c>
      <c r="N64" s="123">
        <v>0</v>
      </c>
      <c r="O64" s="123">
        <v>0</v>
      </c>
      <c r="P64" s="123">
        <v>0</v>
      </c>
      <c r="Q64" s="123">
        <v>0</v>
      </c>
      <c r="R64" s="123">
        <v>0</v>
      </c>
      <c r="S64" s="123">
        <v>0</v>
      </c>
      <c r="T64" s="123">
        <v>0</v>
      </c>
      <c r="U64" s="123">
        <v>0</v>
      </c>
      <c r="V64" s="123">
        <v>0</v>
      </c>
      <c r="W64" s="123">
        <v>0</v>
      </c>
      <c r="X64" s="123">
        <v>0</v>
      </c>
      <c r="Y64" s="123">
        <v>0</v>
      </c>
      <c r="Z64" s="123">
        <v>0</v>
      </c>
      <c r="AA64" s="123">
        <v>0</v>
      </c>
      <c r="AB64" s="123">
        <v>0</v>
      </c>
      <c r="AC64" s="123">
        <v>0</v>
      </c>
      <c r="AD64" s="123">
        <v>0</v>
      </c>
      <c r="AE64" s="123">
        <v>0</v>
      </c>
      <c r="AF64" s="123">
        <v>0</v>
      </c>
      <c r="AG64" s="123">
        <v>0</v>
      </c>
      <c r="AH64" s="123">
        <v>0</v>
      </c>
      <c r="AI64" s="123">
        <v>0</v>
      </c>
      <c r="AJ64" s="123">
        <v>0</v>
      </c>
      <c r="AK64" s="123">
        <v>0</v>
      </c>
      <c r="AL64" s="123">
        <v>0</v>
      </c>
      <c r="AM64" s="123">
        <v>0</v>
      </c>
      <c r="AN64" s="123">
        <v>0</v>
      </c>
      <c r="AO64" s="123">
        <v>0</v>
      </c>
      <c r="AP64" s="123">
        <v>0</v>
      </c>
      <c r="AQ64" s="123">
        <v>0</v>
      </c>
      <c r="AR64" s="123">
        <v>0</v>
      </c>
      <c r="AS64" s="123">
        <v>0</v>
      </c>
      <c r="AT64" s="123">
        <v>0</v>
      </c>
      <c r="AU64" s="123">
        <v>0</v>
      </c>
      <c r="AV64" s="123">
        <v>0</v>
      </c>
      <c r="AW64" s="123">
        <v>0</v>
      </c>
      <c r="AX64" s="123">
        <v>0</v>
      </c>
      <c r="AY64" s="123">
        <v>0</v>
      </c>
      <c r="AZ64" s="123">
        <v>0</v>
      </c>
      <c r="BA64" s="123">
        <v>0</v>
      </c>
      <c r="BB64" s="123">
        <v>0</v>
      </c>
      <c r="BC64" s="123">
        <v>0</v>
      </c>
      <c r="BD64" s="123">
        <v>0</v>
      </c>
      <c r="BE64" s="123">
        <v>0</v>
      </c>
      <c r="BF64" s="123">
        <v>0</v>
      </c>
      <c r="BG64" s="123">
        <v>0</v>
      </c>
      <c r="BH64" s="123">
        <v>0</v>
      </c>
      <c r="BI64" s="123">
        <v>0</v>
      </c>
      <c r="BJ64" s="123">
        <v>0</v>
      </c>
      <c r="BK64" s="123">
        <v>0</v>
      </c>
      <c r="BL64" s="123">
        <v>0</v>
      </c>
      <c r="BM64" s="123">
        <v>0</v>
      </c>
      <c r="BN64" s="123">
        <v>0</v>
      </c>
      <c r="BO64" s="123">
        <v>0</v>
      </c>
      <c r="BP64" s="123">
        <v>0</v>
      </c>
      <c r="BQ64" s="123">
        <v>0</v>
      </c>
      <c r="BR64" s="123">
        <v>0</v>
      </c>
      <c r="BS64" s="123">
        <v>0</v>
      </c>
      <c r="BT64" s="123">
        <v>0</v>
      </c>
      <c r="BU64" s="123">
        <v>0</v>
      </c>
      <c r="BV64" s="123">
        <v>0</v>
      </c>
      <c r="BW64" s="123">
        <v>0</v>
      </c>
      <c r="BX64" s="123">
        <v>0</v>
      </c>
      <c r="BY64" s="123">
        <v>0</v>
      </c>
      <c r="BZ64" s="123">
        <v>0</v>
      </c>
      <c r="CA64" s="123">
        <v>0</v>
      </c>
      <c r="CB64" s="123">
        <v>0</v>
      </c>
      <c r="CC64" s="123">
        <v>0</v>
      </c>
      <c r="CD64" s="123">
        <v>0</v>
      </c>
      <c r="CE64" s="123">
        <v>0</v>
      </c>
      <c r="CF64" s="123">
        <v>0</v>
      </c>
      <c r="CG64" s="123">
        <v>0</v>
      </c>
      <c r="CH64" s="123">
        <v>0</v>
      </c>
      <c r="CI64" s="123">
        <v>0</v>
      </c>
      <c r="CJ64" s="123">
        <v>0</v>
      </c>
      <c r="CK64" s="123">
        <v>0</v>
      </c>
      <c r="CL64" s="123">
        <v>0</v>
      </c>
      <c r="CM64" s="123">
        <v>0</v>
      </c>
      <c r="CN64" s="123">
        <v>0</v>
      </c>
      <c r="CO64" s="123">
        <v>0</v>
      </c>
      <c r="CP64" s="123">
        <v>0</v>
      </c>
      <c r="CQ64" s="123">
        <v>0</v>
      </c>
      <c r="CR64" s="123">
        <v>0</v>
      </c>
      <c r="CS64" s="123">
        <v>0</v>
      </c>
      <c r="CT64" s="123">
        <v>0</v>
      </c>
      <c r="CU64" s="123">
        <v>0</v>
      </c>
      <c r="CV64" s="123">
        <v>0</v>
      </c>
      <c r="CW64" s="123">
        <v>0</v>
      </c>
      <c r="CX64" s="123">
        <v>0</v>
      </c>
      <c r="CY64" s="123">
        <v>0</v>
      </c>
      <c r="CZ64" s="123">
        <v>0</v>
      </c>
      <c r="DA64" s="123">
        <v>0</v>
      </c>
      <c r="DB64" s="123">
        <v>0</v>
      </c>
      <c r="DC64" s="123">
        <v>0</v>
      </c>
      <c r="DD64" s="123">
        <v>0</v>
      </c>
      <c r="DE64" s="123">
        <v>0</v>
      </c>
      <c r="DF64" s="123">
        <v>0</v>
      </c>
      <c r="DG64" s="123">
        <v>0</v>
      </c>
      <c r="DH64" s="123">
        <v>0</v>
      </c>
      <c r="DI64" s="123">
        <v>0</v>
      </c>
      <c r="DJ64" s="123">
        <v>0</v>
      </c>
      <c r="DK64" s="123">
        <v>0</v>
      </c>
      <c r="DL64" s="123">
        <v>0</v>
      </c>
      <c r="DM64" s="123">
        <v>0</v>
      </c>
      <c r="DN64" s="123">
        <v>0</v>
      </c>
      <c r="DO64" s="123">
        <v>0</v>
      </c>
      <c r="DP64" s="123">
        <v>0</v>
      </c>
      <c r="DQ64" s="123">
        <v>0</v>
      </c>
      <c r="DR64" s="123"/>
      <c r="DS64" s="123"/>
      <c r="DT64" s="123"/>
      <c r="DU64" s="123"/>
      <c r="DV64" s="123"/>
      <c r="DW64" s="123"/>
      <c r="DX64" s="123"/>
      <c r="DY64" s="123"/>
      <c r="DZ64" s="123"/>
      <c r="EA64" s="123"/>
      <c r="EB64" s="123"/>
      <c r="EC64" s="123"/>
      <c r="ED64" s="123"/>
      <c r="EE64" s="123"/>
      <c r="EF64" s="123"/>
      <c r="EG64" s="123"/>
      <c r="EH64" s="123"/>
      <c r="EI64" s="123"/>
      <c r="EJ64" s="123"/>
      <c r="EK64" s="123"/>
      <c r="EL64" s="123"/>
      <c r="EM64" s="123"/>
      <c r="EN64" s="123"/>
      <c r="EO64" s="123"/>
      <c r="EP64" s="123"/>
      <c r="EQ64" s="123"/>
      <c r="ER64" s="123"/>
      <c r="ES64" s="123"/>
      <c r="ET64" s="123"/>
      <c r="EU64" s="123"/>
      <c r="EV64" s="123"/>
      <c r="EW64" s="123"/>
      <c r="EX64" s="123"/>
      <c r="EY64" s="123"/>
      <c r="EZ64" s="123"/>
      <c r="FA64" s="123"/>
      <c r="FB64" s="123"/>
      <c r="FC64" s="123"/>
      <c r="FD64" s="123"/>
      <c r="FE64" s="123"/>
      <c r="FF64" s="123"/>
      <c r="FG64" s="123"/>
      <c r="FH64" s="123"/>
      <c r="FI64" s="123"/>
      <c r="FJ64" s="123"/>
      <c r="FK64" s="123"/>
      <c r="FL64" s="123"/>
    </row>
    <row r="65" spans="1:168" x14ac:dyDescent="0.25">
      <c r="A65" s="123" t="s">
        <v>36</v>
      </c>
      <c r="B65" s="123">
        <v>0</v>
      </c>
      <c r="C65" s="123">
        <v>0</v>
      </c>
      <c r="D65" s="123">
        <v>0</v>
      </c>
      <c r="E65" s="123">
        <v>0</v>
      </c>
      <c r="F65" s="123">
        <v>0</v>
      </c>
      <c r="G65" s="123">
        <v>0</v>
      </c>
      <c r="H65" s="123">
        <v>0</v>
      </c>
      <c r="I65" s="123">
        <v>0</v>
      </c>
      <c r="J65" s="123">
        <v>0</v>
      </c>
      <c r="K65" s="123">
        <v>0</v>
      </c>
      <c r="L65" s="123">
        <v>0</v>
      </c>
      <c r="M65" s="123">
        <v>0</v>
      </c>
      <c r="N65" s="123">
        <v>0</v>
      </c>
      <c r="O65" s="123">
        <v>0</v>
      </c>
      <c r="P65" s="123">
        <v>0</v>
      </c>
      <c r="Q65" s="123">
        <v>0</v>
      </c>
      <c r="R65" s="123">
        <v>0</v>
      </c>
      <c r="S65" s="123">
        <v>0</v>
      </c>
      <c r="T65" s="123">
        <v>0</v>
      </c>
      <c r="U65" s="123">
        <v>0</v>
      </c>
      <c r="V65" s="123">
        <v>0</v>
      </c>
      <c r="W65" s="123">
        <v>0</v>
      </c>
      <c r="X65" s="123">
        <v>0</v>
      </c>
      <c r="Y65" s="123">
        <v>0</v>
      </c>
      <c r="Z65" s="123">
        <v>0</v>
      </c>
      <c r="AA65" s="123">
        <v>0</v>
      </c>
      <c r="AB65" s="123">
        <v>0</v>
      </c>
      <c r="AC65" s="123">
        <v>0</v>
      </c>
      <c r="AD65" s="123">
        <v>0</v>
      </c>
      <c r="AE65" s="123">
        <v>0</v>
      </c>
      <c r="AF65" s="123">
        <v>0</v>
      </c>
      <c r="AG65" s="123">
        <v>0</v>
      </c>
      <c r="AH65" s="123">
        <v>0</v>
      </c>
      <c r="AI65" s="123">
        <v>0</v>
      </c>
      <c r="AJ65" s="123">
        <v>0</v>
      </c>
      <c r="AK65" s="123">
        <v>0</v>
      </c>
      <c r="AL65" s="123">
        <v>87928377.951340854</v>
      </c>
      <c r="AM65" s="123">
        <v>200836349.932374</v>
      </c>
      <c r="AN65" s="123">
        <v>0</v>
      </c>
      <c r="AO65" s="123">
        <v>0</v>
      </c>
      <c r="AP65" s="123">
        <v>0</v>
      </c>
      <c r="AQ65" s="123">
        <v>0</v>
      </c>
      <c r="AR65" s="123">
        <v>0</v>
      </c>
      <c r="AS65" s="123">
        <v>0</v>
      </c>
      <c r="AT65" s="123">
        <v>0</v>
      </c>
      <c r="AU65" s="123">
        <v>0</v>
      </c>
      <c r="AV65" s="123">
        <v>0</v>
      </c>
      <c r="AW65" s="123">
        <v>0</v>
      </c>
      <c r="AX65" s="123">
        <v>0</v>
      </c>
      <c r="AY65" s="123">
        <v>0</v>
      </c>
      <c r="AZ65" s="123">
        <v>0</v>
      </c>
      <c r="BA65" s="123">
        <v>0</v>
      </c>
      <c r="BB65" s="123">
        <v>0</v>
      </c>
      <c r="BC65" s="123">
        <v>0</v>
      </c>
      <c r="BD65" s="123">
        <v>0</v>
      </c>
      <c r="BE65" s="123">
        <v>0</v>
      </c>
      <c r="BF65" s="123">
        <v>0</v>
      </c>
      <c r="BG65" s="123">
        <v>0</v>
      </c>
      <c r="BH65" s="123">
        <v>0</v>
      </c>
      <c r="BI65" s="123">
        <v>0</v>
      </c>
      <c r="BJ65" s="123">
        <v>0</v>
      </c>
      <c r="BK65" s="123">
        <v>0</v>
      </c>
      <c r="BL65" s="123">
        <v>0</v>
      </c>
      <c r="BM65" s="123">
        <v>0</v>
      </c>
      <c r="BN65" s="123">
        <v>0</v>
      </c>
      <c r="BO65" s="123">
        <v>0</v>
      </c>
      <c r="BP65" s="123">
        <v>0</v>
      </c>
      <c r="BQ65" s="123">
        <v>0</v>
      </c>
      <c r="BR65" s="123">
        <v>0</v>
      </c>
      <c r="BS65" s="123">
        <v>0</v>
      </c>
      <c r="BT65" s="123">
        <v>0</v>
      </c>
      <c r="BU65" s="123">
        <v>0</v>
      </c>
      <c r="BV65" s="123">
        <v>0</v>
      </c>
      <c r="BW65" s="123">
        <v>0</v>
      </c>
      <c r="BX65" s="123">
        <v>0</v>
      </c>
      <c r="BY65" s="123">
        <v>0</v>
      </c>
      <c r="BZ65" s="123">
        <v>0</v>
      </c>
      <c r="CA65" s="123">
        <v>0</v>
      </c>
      <c r="CB65" s="123">
        <v>0</v>
      </c>
      <c r="CC65" s="123">
        <v>0</v>
      </c>
      <c r="CD65" s="123">
        <v>0</v>
      </c>
      <c r="CE65" s="123">
        <v>0</v>
      </c>
      <c r="CF65" s="123">
        <v>0</v>
      </c>
      <c r="CG65" s="123">
        <v>0</v>
      </c>
      <c r="CH65" s="123">
        <v>0</v>
      </c>
      <c r="CI65" s="123">
        <v>0</v>
      </c>
      <c r="CJ65" s="123">
        <v>0</v>
      </c>
      <c r="CK65" s="123">
        <v>0</v>
      </c>
      <c r="CL65" s="123">
        <v>0</v>
      </c>
      <c r="CM65" s="123">
        <v>0</v>
      </c>
      <c r="CN65" s="123">
        <v>0</v>
      </c>
      <c r="CO65" s="123">
        <v>0</v>
      </c>
      <c r="CP65" s="123">
        <v>0</v>
      </c>
      <c r="CQ65" s="123">
        <v>0</v>
      </c>
      <c r="CR65" s="123">
        <v>0</v>
      </c>
      <c r="CS65" s="123">
        <v>0</v>
      </c>
      <c r="CT65" s="123">
        <v>0</v>
      </c>
      <c r="CU65" s="123">
        <v>0</v>
      </c>
      <c r="CV65" s="123">
        <v>0</v>
      </c>
      <c r="CW65" s="123">
        <v>0</v>
      </c>
      <c r="CX65" s="123">
        <v>0</v>
      </c>
      <c r="CY65" s="123">
        <v>0</v>
      </c>
      <c r="CZ65" s="123">
        <v>0</v>
      </c>
      <c r="DA65" s="123">
        <v>0</v>
      </c>
      <c r="DB65" s="123">
        <v>0</v>
      </c>
      <c r="DC65" s="123">
        <v>0</v>
      </c>
      <c r="DD65" s="123">
        <v>0</v>
      </c>
      <c r="DE65" s="123">
        <v>0</v>
      </c>
      <c r="DF65" s="123">
        <v>0</v>
      </c>
      <c r="DG65" s="123">
        <v>0</v>
      </c>
      <c r="DH65" s="123">
        <v>0</v>
      </c>
      <c r="DI65" s="123">
        <v>0</v>
      </c>
      <c r="DJ65" s="123">
        <v>0</v>
      </c>
      <c r="DK65" s="123">
        <v>0</v>
      </c>
      <c r="DL65" s="123">
        <v>0</v>
      </c>
      <c r="DM65" s="123">
        <v>0</v>
      </c>
      <c r="DN65" s="123">
        <v>0</v>
      </c>
      <c r="DO65" s="123">
        <v>0</v>
      </c>
      <c r="DP65" s="123">
        <v>0</v>
      </c>
      <c r="DQ65" s="123">
        <v>0</v>
      </c>
      <c r="DR65" s="123"/>
      <c r="DS65" s="123"/>
      <c r="DT65" s="123"/>
      <c r="DU65" s="123"/>
      <c r="DV65" s="123"/>
      <c r="DW65" s="123"/>
      <c r="DX65" s="123"/>
      <c r="DY65" s="123"/>
      <c r="DZ65" s="123"/>
      <c r="EA65" s="123"/>
      <c r="EB65" s="123"/>
      <c r="EC65" s="123"/>
      <c r="ED65" s="123"/>
      <c r="EE65" s="123"/>
      <c r="EF65" s="123"/>
      <c r="EG65" s="123"/>
      <c r="EH65" s="123"/>
      <c r="EI65" s="123"/>
      <c r="EJ65" s="123"/>
      <c r="EK65" s="123"/>
      <c r="EL65" s="123"/>
      <c r="EM65" s="123"/>
      <c r="EN65" s="123"/>
      <c r="EO65" s="123"/>
      <c r="EP65" s="123"/>
      <c r="EQ65" s="123"/>
      <c r="ER65" s="123"/>
      <c r="ES65" s="123"/>
      <c r="ET65" s="123"/>
      <c r="EU65" s="123"/>
      <c r="EV65" s="123"/>
      <c r="EW65" s="123"/>
      <c r="EX65" s="123"/>
      <c r="EY65" s="123"/>
      <c r="EZ65" s="123"/>
      <c r="FA65" s="123"/>
      <c r="FB65" s="123"/>
      <c r="FC65" s="123"/>
      <c r="FD65" s="123"/>
      <c r="FE65" s="123"/>
      <c r="FF65" s="123"/>
      <c r="FG65" s="123"/>
      <c r="FH65" s="123"/>
      <c r="FI65" s="123"/>
      <c r="FJ65" s="123"/>
      <c r="FK65" s="123"/>
      <c r="FL65" s="123"/>
    </row>
    <row r="66" spans="1:168" x14ac:dyDescent="0.25">
      <c r="A66" s="123" t="s">
        <v>21</v>
      </c>
      <c r="B66" s="123">
        <v>0</v>
      </c>
      <c r="C66" s="123">
        <v>0</v>
      </c>
      <c r="D66" s="123">
        <v>0</v>
      </c>
      <c r="E66" s="123">
        <v>0</v>
      </c>
      <c r="F66" s="123">
        <v>0</v>
      </c>
      <c r="G66" s="123">
        <v>0</v>
      </c>
      <c r="H66" s="123">
        <v>0</v>
      </c>
      <c r="I66" s="123">
        <v>0</v>
      </c>
      <c r="J66" s="123">
        <v>0</v>
      </c>
      <c r="K66" s="123">
        <v>0</v>
      </c>
      <c r="L66" s="123">
        <v>0</v>
      </c>
      <c r="M66" s="123">
        <v>0</v>
      </c>
      <c r="N66" s="123">
        <v>0</v>
      </c>
      <c r="O66" s="123">
        <v>0</v>
      </c>
      <c r="P66" s="123">
        <v>0</v>
      </c>
      <c r="Q66" s="123">
        <v>0</v>
      </c>
      <c r="R66" s="123">
        <v>0</v>
      </c>
      <c r="S66" s="123">
        <v>0</v>
      </c>
      <c r="T66" s="123">
        <v>0</v>
      </c>
      <c r="U66" s="123">
        <v>0</v>
      </c>
      <c r="V66" s="123">
        <v>0</v>
      </c>
      <c r="W66" s="123">
        <v>0</v>
      </c>
      <c r="X66" s="123">
        <v>0</v>
      </c>
      <c r="Y66" s="123">
        <v>0</v>
      </c>
      <c r="Z66" s="123">
        <v>0</v>
      </c>
      <c r="AA66" s="123">
        <v>0</v>
      </c>
      <c r="AB66" s="123">
        <v>0</v>
      </c>
      <c r="AC66" s="123">
        <v>0</v>
      </c>
      <c r="AD66" s="123">
        <v>0</v>
      </c>
      <c r="AE66" s="123">
        <v>0</v>
      </c>
      <c r="AF66" s="123">
        <v>0</v>
      </c>
      <c r="AG66" s="123">
        <v>0</v>
      </c>
      <c r="AH66" s="123">
        <v>0</v>
      </c>
      <c r="AI66" s="123">
        <v>0</v>
      </c>
      <c r="AJ66" s="123">
        <v>0</v>
      </c>
      <c r="AK66" s="123">
        <v>0</v>
      </c>
      <c r="AL66" s="123">
        <v>0</v>
      </c>
      <c r="AM66" s="123">
        <v>0</v>
      </c>
      <c r="AN66" s="123">
        <v>0</v>
      </c>
      <c r="AO66" s="123">
        <v>0</v>
      </c>
      <c r="AP66" s="123">
        <v>0</v>
      </c>
      <c r="AQ66" s="123">
        <v>0</v>
      </c>
      <c r="AR66" s="123">
        <v>0</v>
      </c>
      <c r="AS66" s="123">
        <v>0</v>
      </c>
      <c r="AT66" s="123">
        <v>0</v>
      </c>
      <c r="AU66" s="123">
        <v>0</v>
      </c>
      <c r="AV66" s="123">
        <v>0</v>
      </c>
      <c r="AW66" s="123">
        <v>0</v>
      </c>
      <c r="AX66" s="123">
        <v>0</v>
      </c>
      <c r="AY66" s="123">
        <v>0</v>
      </c>
      <c r="AZ66" s="123">
        <v>0</v>
      </c>
      <c r="BA66" s="123">
        <v>0</v>
      </c>
      <c r="BB66" s="123">
        <v>0</v>
      </c>
      <c r="BC66" s="123">
        <v>0</v>
      </c>
      <c r="BD66" s="123">
        <v>0</v>
      </c>
      <c r="BE66" s="123">
        <v>0</v>
      </c>
      <c r="BF66" s="123">
        <v>0</v>
      </c>
      <c r="BG66" s="123">
        <v>0</v>
      </c>
      <c r="BH66" s="123">
        <v>0</v>
      </c>
      <c r="BI66" s="123">
        <v>0</v>
      </c>
      <c r="BJ66" s="123">
        <v>0</v>
      </c>
      <c r="BK66" s="123">
        <v>0</v>
      </c>
      <c r="BL66" s="123">
        <v>0</v>
      </c>
      <c r="BM66" s="123">
        <v>0</v>
      </c>
      <c r="BN66" s="123">
        <v>0</v>
      </c>
      <c r="BO66" s="123">
        <v>0</v>
      </c>
      <c r="BP66" s="123">
        <v>0</v>
      </c>
      <c r="BQ66" s="123">
        <v>0</v>
      </c>
      <c r="BR66" s="123">
        <v>0</v>
      </c>
      <c r="BS66" s="123">
        <v>0</v>
      </c>
      <c r="BT66" s="123">
        <v>0</v>
      </c>
      <c r="BU66" s="123">
        <v>0</v>
      </c>
      <c r="BV66" s="123">
        <v>0</v>
      </c>
      <c r="BW66" s="123">
        <v>0</v>
      </c>
      <c r="BX66" s="123">
        <v>0</v>
      </c>
      <c r="BY66" s="123">
        <v>0</v>
      </c>
      <c r="BZ66" s="123">
        <v>0</v>
      </c>
      <c r="CA66" s="123">
        <v>0</v>
      </c>
      <c r="CB66" s="123">
        <v>0</v>
      </c>
      <c r="CC66" s="123">
        <v>0</v>
      </c>
      <c r="CD66" s="123">
        <v>0</v>
      </c>
      <c r="CE66" s="123">
        <v>0</v>
      </c>
      <c r="CF66" s="123">
        <v>0</v>
      </c>
      <c r="CG66" s="123">
        <v>0</v>
      </c>
      <c r="CH66" s="123">
        <v>0</v>
      </c>
      <c r="CI66" s="123">
        <v>0</v>
      </c>
      <c r="CJ66" s="123">
        <v>0</v>
      </c>
      <c r="CK66" s="123">
        <v>0</v>
      </c>
      <c r="CL66" s="123">
        <v>0</v>
      </c>
      <c r="CM66" s="123">
        <v>0</v>
      </c>
      <c r="CN66" s="123">
        <v>0</v>
      </c>
      <c r="CO66" s="123">
        <v>0</v>
      </c>
      <c r="CP66" s="123">
        <v>0</v>
      </c>
      <c r="CQ66" s="123">
        <v>0</v>
      </c>
      <c r="CR66" s="123">
        <v>0</v>
      </c>
      <c r="CS66" s="123">
        <v>0</v>
      </c>
      <c r="CT66" s="123">
        <v>0</v>
      </c>
      <c r="CU66" s="123">
        <v>0</v>
      </c>
      <c r="CV66" s="123">
        <v>0</v>
      </c>
      <c r="CW66" s="123">
        <v>0</v>
      </c>
      <c r="CX66" s="123">
        <v>0</v>
      </c>
      <c r="CY66" s="123">
        <v>0</v>
      </c>
      <c r="CZ66" s="123">
        <v>0</v>
      </c>
      <c r="DA66" s="123">
        <v>0</v>
      </c>
      <c r="DB66" s="123">
        <v>0</v>
      </c>
      <c r="DC66" s="123">
        <v>0</v>
      </c>
      <c r="DD66" s="123">
        <v>0</v>
      </c>
      <c r="DE66" s="123">
        <v>0</v>
      </c>
      <c r="DF66" s="123">
        <v>0</v>
      </c>
      <c r="DG66" s="123">
        <v>0</v>
      </c>
      <c r="DH66" s="123">
        <v>0</v>
      </c>
      <c r="DI66" s="123">
        <v>0</v>
      </c>
      <c r="DJ66" s="123">
        <v>0</v>
      </c>
      <c r="DK66" s="123">
        <v>0</v>
      </c>
      <c r="DL66" s="123">
        <v>0</v>
      </c>
      <c r="DM66" s="123">
        <v>0</v>
      </c>
      <c r="DN66" s="123">
        <v>0</v>
      </c>
      <c r="DO66" s="123">
        <v>0</v>
      </c>
      <c r="DP66" s="123">
        <v>0</v>
      </c>
      <c r="DQ66" s="123">
        <v>0</v>
      </c>
      <c r="DR66" s="123"/>
      <c r="DS66" s="123"/>
      <c r="DT66" s="123"/>
      <c r="DU66" s="123"/>
      <c r="DV66" s="123"/>
      <c r="DW66" s="123"/>
      <c r="DX66" s="123"/>
      <c r="DY66" s="123"/>
      <c r="DZ66" s="123"/>
      <c r="EA66" s="123"/>
      <c r="EB66" s="123"/>
      <c r="EC66" s="123"/>
      <c r="ED66" s="123"/>
      <c r="EE66" s="123"/>
      <c r="EF66" s="123"/>
      <c r="EG66" s="123"/>
      <c r="EH66" s="123"/>
      <c r="EI66" s="123"/>
      <c r="EJ66" s="123"/>
      <c r="EK66" s="123"/>
      <c r="EL66" s="123"/>
      <c r="EM66" s="123"/>
      <c r="EN66" s="123"/>
      <c r="EO66" s="123"/>
      <c r="EP66" s="123"/>
      <c r="EQ66" s="123"/>
      <c r="ER66" s="123"/>
      <c r="ES66" s="123"/>
      <c r="ET66" s="123"/>
      <c r="EU66" s="123"/>
      <c r="EV66" s="123"/>
      <c r="EW66" s="123"/>
      <c r="EX66" s="123"/>
      <c r="EY66" s="123"/>
      <c r="EZ66" s="123"/>
      <c r="FA66" s="123"/>
      <c r="FB66" s="123"/>
      <c r="FC66" s="123"/>
      <c r="FD66" s="123"/>
      <c r="FE66" s="123"/>
      <c r="FF66" s="123"/>
      <c r="FG66" s="123"/>
      <c r="FH66" s="123"/>
      <c r="FI66" s="123"/>
      <c r="FJ66" s="123"/>
      <c r="FK66" s="123"/>
      <c r="FL66" s="123"/>
    </row>
    <row r="67" spans="1:168" x14ac:dyDescent="0.25">
      <c r="A67" s="123" t="s">
        <v>18</v>
      </c>
      <c r="B67" s="123">
        <v>0</v>
      </c>
      <c r="C67" s="123">
        <v>0</v>
      </c>
      <c r="D67" s="123">
        <v>0</v>
      </c>
      <c r="E67" s="123">
        <v>0</v>
      </c>
      <c r="F67" s="123">
        <v>0</v>
      </c>
      <c r="G67" s="123">
        <v>0</v>
      </c>
      <c r="H67" s="123">
        <v>0</v>
      </c>
      <c r="I67" s="123">
        <v>0</v>
      </c>
      <c r="J67" s="123">
        <v>0</v>
      </c>
      <c r="K67" s="123">
        <v>0</v>
      </c>
      <c r="L67" s="123">
        <v>0</v>
      </c>
      <c r="M67" s="123">
        <v>0</v>
      </c>
      <c r="N67" s="123">
        <v>0</v>
      </c>
      <c r="O67" s="123">
        <v>0</v>
      </c>
      <c r="P67" s="123">
        <v>0</v>
      </c>
      <c r="Q67" s="123">
        <v>0</v>
      </c>
      <c r="R67" s="123">
        <v>0</v>
      </c>
      <c r="S67" s="123">
        <v>0</v>
      </c>
      <c r="T67" s="123">
        <v>0</v>
      </c>
      <c r="U67" s="123">
        <v>0</v>
      </c>
      <c r="V67" s="123">
        <v>0</v>
      </c>
      <c r="W67" s="123">
        <v>0</v>
      </c>
      <c r="X67" s="123">
        <v>0</v>
      </c>
      <c r="Y67" s="123">
        <v>0</v>
      </c>
      <c r="Z67" s="123">
        <v>0</v>
      </c>
      <c r="AA67" s="123">
        <v>0</v>
      </c>
      <c r="AB67" s="123">
        <v>0</v>
      </c>
      <c r="AC67" s="123">
        <v>0</v>
      </c>
      <c r="AD67" s="123">
        <v>0</v>
      </c>
      <c r="AE67" s="123">
        <v>0</v>
      </c>
      <c r="AF67" s="123">
        <v>0</v>
      </c>
      <c r="AG67" s="123">
        <v>0</v>
      </c>
      <c r="AH67" s="123">
        <v>0</v>
      </c>
      <c r="AI67" s="123">
        <v>0</v>
      </c>
      <c r="AJ67" s="123">
        <v>0</v>
      </c>
      <c r="AK67" s="123">
        <v>0</v>
      </c>
      <c r="AL67" s="123">
        <v>0</v>
      </c>
      <c r="AM67" s="123">
        <v>0</v>
      </c>
      <c r="AN67" s="123">
        <v>0</v>
      </c>
      <c r="AO67" s="123">
        <v>0</v>
      </c>
      <c r="AP67" s="123">
        <v>0</v>
      </c>
      <c r="AQ67" s="123">
        <v>0</v>
      </c>
      <c r="AR67" s="123">
        <v>0</v>
      </c>
      <c r="AS67" s="123">
        <v>0</v>
      </c>
      <c r="AT67" s="123">
        <v>0</v>
      </c>
      <c r="AU67" s="123">
        <v>0</v>
      </c>
      <c r="AV67" s="123">
        <v>0</v>
      </c>
      <c r="AW67" s="123">
        <v>0</v>
      </c>
      <c r="AX67" s="123">
        <v>0</v>
      </c>
      <c r="AY67" s="123">
        <v>0</v>
      </c>
      <c r="AZ67" s="123">
        <v>0</v>
      </c>
      <c r="BA67" s="123">
        <v>0</v>
      </c>
      <c r="BB67" s="123">
        <v>0</v>
      </c>
      <c r="BC67" s="123">
        <v>0</v>
      </c>
      <c r="BD67" s="123">
        <v>0</v>
      </c>
      <c r="BE67" s="123">
        <v>0</v>
      </c>
      <c r="BF67" s="123">
        <v>0</v>
      </c>
      <c r="BG67" s="123">
        <v>0</v>
      </c>
      <c r="BH67" s="123">
        <v>0</v>
      </c>
      <c r="BI67" s="123">
        <v>0</v>
      </c>
      <c r="BJ67" s="123">
        <v>0</v>
      </c>
      <c r="BK67" s="123">
        <v>0</v>
      </c>
      <c r="BL67" s="123">
        <v>0</v>
      </c>
      <c r="BM67" s="123">
        <v>0</v>
      </c>
      <c r="BN67" s="123">
        <v>0</v>
      </c>
      <c r="BO67" s="123">
        <v>0</v>
      </c>
      <c r="BP67" s="123">
        <v>0</v>
      </c>
      <c r="BQ67" s="123">
        <v>0</v>
      </c>
      <c r="BR67" s="123">
        <v>0</v>
      </c>
      <c r="BS67" s="123">
        <v>0</v>
      </c>
      <c r="BT67" s="123">
        <v>0</v>
      </c>
      <c r="BU67" s="123">
        <v>0</v>
      </c>
      <c r="BV67" s="123">
        <v>0</v>
      </c>
      <c r="BW67" s="123">
        <v>0</v>
      </c>
      <c r="BX67" s="123">
        <v>0</v>
      </c>
      <c r="BY67" s="123">
        <v>0</v>
      </c>
      <c r="BZ67" s="123">
        <v>0</v>
      </c>
      <c r="CA67" s="123">
        <v>0</v>
      </c>
      <c r="CB67" s="123">
        <v>0</v>
      </c>
      <c r="CC67" s="123">
        <v>0</v>
      </c>
      <c r="CD67" s="123">
        <v>0</v>
      </c>
      <c r="CE67" s="123">
        <v>0</v>
      </c>
      <c r="CF67" s="123">
        <v>0</v>
      </c>
      <c r="CG67" s="123">
        <v>0</v>
      </c>
      <c r="CH67" s="123">
        <v>0</v>
      </c>
      <c r="CI67" s="123">
        <v>0</v>
      </c>
      <c r="CJ67" s="123">
        <v>0</v>
      </c>
      <c r="CK67" s="123">
        <v>0</v>
      </c>
      <c r="CL67" s="123">
        <v>0</v>
      </c>
      <c r="CM67" s="123">
        <v>0</v>
      </c>
      <c r="CN67" s="123">
        <v>0</v>
      </c>
      <c r="CO67" s="123">
        <v>0</v>
      </c>
      <c r="CP67" s="123">
        <v>0</v>
      </c>
      <c r="CQ67" s="123">
        <v>0</v>
      </c>
      <c r="CR67" s="123">
        <v>0</v>
      </c>
      <c r="CS67" s="123">
        <v>0</v>
      </c>
      <c r="CT67" s="123">
        <v>0</v>
      </c>
      <c r="CU67" s="123">
        <v>0</v>
      </c>
      <c r="CV67" s="123">
        <v>0</v>
      </c>
      <c r="CW67" s="123">
        <v>0</v>
      </c>
      <c r="CX67" s="123">
        <v>0</v>
      </c>
      <c r="CY67" s="123">
        <v>0</v>
      </c>
      <c r="CZ67" s="123">
        <v>0</v>
      </c>
      <c r="DA67" s="123">
        <v>0</v>
      </c>
      <c r="DB67" s="123">
        <v>0</v>
      </c>
      <c r="DC67" s="123">
        <v>0</v>
      </c>
      <c r="DD67" s="123">
        <v>0</v>
      </c>
      <c r="DE67" s="123">
        <v>0</v>
      </c>
      <c r="DF67" s="123">
        <v>0</v>
      </c>
      <c r="DG67" s="123">
        <v>0</v>
      </c>
      <c r="DH67" s="123">
        <v>0</v>
      </c>
      <c r="DI67" s="123">
        <v>0</v>
      </c>
      <c r="DJ67" s="123">
        <v>0</v>
      </c>
      <c r="DK67" s="123">
        <v>0</v>
      </c>
      <c r="DL67" s="123">
        <v>0</v>
      </c>
      <c r="DM67" s="123">
        <v>0</v>
      </c>
      <c r="DN67" s="123">
        <v>0</v>
      </c>
      <c r="DO67" s="123">
        <v>0</v>
      </c>
      <c r="DP67" s="123">
        <v>0</v>
      </c>
      <c r="DQ67" s="123">
        <v>0</v>
      </c>
      <c r="DR67" s="123"/>
      <c r="DS67" s="123"/>
      <c r="DT67" s="123"/>
      <c r="DU67" s="123"/>
      <c r="DV67" s="123"/>
      <c r="DW67" s="123"/>
      <c r="DX67" s="123"/>
      <c r="DY67" s="123"/>
      <c r="DZ67" s="123"/>
      <c r="EA67" s="123"/>
      <c r="EB67" s="123"/>
      <c r="EC67" s="123"/>
      <c r="ED67" s="123"/>
      <c r="EE67" s="123"/>
      <c r="EF67" s="123"/>
      <c r="EG67" s="123"/>
      <c r="EH67" s="123"/>
      <c r="EI67" s="123"/>
      <c r="EJ67" s="123"/>
      <c r="EK67" s="123"/>
      <c r="EL67" s="123"/>
      <c r="EM67" s="123"/>
      <c r="EN67" s="123"/>
      <c r="EO67" s="123"/>
      <c r="EP67" s="123"/>
      <c r="EQ67" s="123"/>
      <c r="ER67" s="123"/>
      <c r="ES67" s="123"/>
      <c r="ET67" s="123"/>
      <c r="EU67" s="123"/>
      <c r="EV67" s="123"/>
      <c r="EW67" s="123"/>
      <c r="EX67" s="123"/>
      <c r="EY67" s="123"/>
      <c r="EZ67" s="123"/>
      <c r="FA67" s="123"/>
      <c r="FB67" s="123"/>
      <c r="FC67" s="123"/>
      <c r="FD67" s="123"/>
      <c r="FE67" s="123"/>
      <c r="FF67" s="123"/>
      <c r="FG67" s="123"/>
      <c r="FH67" s="123"/>
      <c r="FI67" s="123"/>
      <c r="FJ67" s="123"/>
      <c r="FK67" s="123"/>
      <c r="FL67" s="123"/>
    </row>
    <row r="68" spans="1:168" x14ac:dyDescent="0.25">
      <c r="A68" s="123" t="s">
        <v>14</v>
      </c>
      <c r="B68" s="123">
        <v>0</v>
      </c>
      <c r="C68" s="123"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3">
        <v>0</v>
      </c>
      <c r="J68" s="123">
        <v>0</v>
      </c>
      <c r="K68" s="123">
        <v>0</v>
      </c>
      <c r="L68" s="123">
        <v>0</v>
      </c>
      <c r="M68" s="123">
        <v>0</v>
      </c>
      <c r="N68" s="123">
        <v>0</v>
      </c>
      <c r="O68" s="123">
        <v>0</v>
      </c>
      <c r="P68" s="123">
        <v>0</v>
      </c>
      <c r="Q68" s="123">
        <v>0</v>
      </c>
      <c r="R68" s="123">
        <v>0</v>
      </c>
      <c r="S68" s="123">
        <v>0</v>
      </c>
      <c r="T68" s="123">
        <v>0</v>
      </c>
      <c r="U68" s="123">
        <v>0</v>
      </c>
      <c r="V68" s="123">
        <v>0</v>
      </c>
      <c r="W68" s="123">
        <v>0</v>
      </c>
      <c r="X68" s="123">
        <v>0</v>
      </c>
      <c r="Y68" s="123">
        <v>0</v>
      </c>
      <c r="Z68" s="123">
        <v>0</v>
      </c>
      <c r="AA68" s="123">
        <v>0</v>
      </c>
      <c r="AB68" s="123">
        <v>0</v>
      </c>
      <c r="AC68" s="123">
        <v>0</v>
      </c>
      <c r="AD68" s="123">
        <v>0</v>
      </c>
      <c r="AE68" s="123">
        <v>0</v>
      </c>
      <c r="AF68" s="123">
        <v>0</v>
      </c>
      <c r="AG68" s="123">
        <v>0</v>
      </c>
      <c r="AH68" s="123">
        <v>0</v>
      </c>
      <c r="AI68" s="123">
        <v>0</v>
      </c>
      <c r="AJ68" s="123">
        <v>0</v>
      </c>
      <c r="AK68" s="123">
        <v>0</v>
      </c>
      <c r="AL68" s="123">
        <v>0</v>
      </c>
      <c r="AM68" s="123">
        <v>0</v>
      </c>
      <c r="AN68" s="123">
        <v>0</v>
      </c>
      <c r="AO68" s="123">
        <v>0</v>
      </c>
      <c r="AP68" s="123">
        <v>0</v>
      </c>
      <c r="AQ68" s="123">
        <v>0</v>
      </c>
      <c r="AR68" s="123">
        <v>0</v>
      </c>
      <c r="AS68" s="123">
        <v>0</v>
      </c>
      <c r="AT68" s="123">
        <v>0</v>
      </c>
      <c r="AU68" s="123">
        <v>0</v>
      </c>
      <c r="AV68" s="123">
        <v>0</v>
      </c>
      <c r="AW68" s="123">
        <v>0</v>
      </c>
      <c r="AX68" s="123">
        <v>0</v>
      </c>
      <c r="AY68" s="123">
        <v>0</v>
      </c>
      <c r="AZ68" s="123">
        <v>0</v>
      </c>
      <c r="BA68" s="123">
        <v>0</v>
      </c>
      <c r="BB68" s="123">
        <v>0</v>
      </c>
      <c r="BC68" s="123">
        <v>0</v>
      </c>
      <c r="BD68" s="123">
        <v>0</v>
      </c>
      <c r="BE68" s="123">
        <v>0</v>
      </c>
      <c r="BF68" s="123">
        <v>0</v>
      </c>
      <c r="BG68" s="123">
        <v>0</v>
      </c>
      <c r="BH68" s="123">
        <v>0</v>
      </c>
      <c r="BI68" s="123">
        <v>0</v>
      </c>
      <c r="BJ68" s="123">
        <v>0</v>
      </c>
      <c r="BK68" s="123">
        <v>0</v>
      </c>
      <c r="BL68" s="123">
        <v>0</v>
      </c>
      <c r="BM68" s="123">
        <v>0</v>
      </c>
      <c r="BN68" s="123">
        <v>0</v>
      </c>
      <c r="BO68" s="123">
        <v>0</v>
      </c>
      <c r="BP68" s="123">
        <v>0</v>
      </c>
      <c r="BQ68" s="123">
        <v>0</v>
      </c>
      <c r="BR68" s="123">
        <v>0</v>
      </c>
      <c r="BS68" s="123">
        <v>0</v>
      </c>
      <c r="BT68" s="123">
        <v>0</v>
      </c>
      <c r="BU68" s="123">
        <v>0</v>
      </c>
      <c r="BV68" s="123">
        <v>0</v>
      </c>
      <c r="BW68" s="123">
        <v>0</v>
      </c>
      <c r="BX68" s="123">
        <v>0</v>
      </c>
      <c r="BY68" s="123">
        <v>0</v>
      </c>
      <c r="BZ68" s="123">
        <v>0</v>
      </c>
      <c r="CA68" s="123">
        <v>0</v>
      </c>
      <c r="CB68" s="123">
        <v>0</v>
      </c>
      <c r="CC68" s="123">
        <v>0</v>
      </c>
      <c r="CD68" s="123">
        <v>0</v>
      </c>
      <c r="CE68" s="123">
        <v>0</v>
      </c>
      <c r="CF68" s="123">
        <v>0</v>
      </c>
      <c r="CG68" s="123">
        <v>0</v>
      </c>
      <c r="CH68" s="123">
        <v>0</v>
      </c>
      <c r="CI68" s="123">
        <v>0</v>
      </c>
      <c r="CJ68" s="123">
        <v>0</v>
      </c>
      <c r="CK68" s="123">
        <v>0</v>
      </c>
      <c r="CL68" s="123">
        <v>0</v>
      </c>
      <c r="CM68" s="123">
        <v>0</v>
      </c>
      <c r="CN68" s="123">
        <v>0</v>
      </c>
      <c r="CO68" s="123">
        <v>0</v>
      </c>
      <c r="CP68" s="123">
        <v>0</v>
      </c>
      <c r="CQ68" s="123">
        <v>0</v>
      </c>
      <c r="CR68" s="123">
        <v>0</v>
      </c>
      <c r="CS68" s="123">
        <v>0</v>
      </c>
      <c r="CT68" s="123">
        <v>0</v>
      </c>
      <c r="CU68" s="123">
        <v>0</v>
      </c>
      <c r="CV68" s="123">
        <v>0</v>
      </c>
      <c r="CW68" s="123">
        <v>0</v>
      </c>
      <c r="CX68" s="123">
        <v>0</v>
      </c>
      <c r="CY68" s="123">
        <v>0</v>
      </c>
      <c r="CZ68" s="123">
        <v>0</v>
      </c>
      <c r="DA68" s="123">
        <v>0</v>
      </c>
      <c r="DB68" s="123">
        <v>0</v>
      </c>
      <c r="DC68" s="123">
        <v>0</v>
      </c>
      <c r="DD68" s="123">
        <v>0</v>
      </c>
      <c r="DE68" s="123">
        <v>0</v>
      </c>
      <c r="DF68" s="123">
        <v>0</v>
      </c>
      <c r="DG68" s="123">
        <v>0</v>
      </c>
      <c r="DH68" s="123">
        <v>0</v>
      </c>
      <c r="DI68" s="123">
        <v>0</v>
      </c>
      <c r="DJ68" s="123">
        <v>0</v>
      </c>
      <c r="DK68" s="123">
        <v>0</v>
      </c>
      <c r="DL68" s="123">
        <v>0</v>
      </c>
      <c r="DM68" s="123">
        <v>0</v>
      </c>
      <c r="DN68" s="123">
        <v>0</v>
      </c>
      <c r="DO68" s="123">
        <v>0</v>
      </c>
      <c r="DP68" s="123">
        <v>0</v>
      </c>
      <c r="DQ68" s="123">
        <v>0</v>
      </c>
      <c r="DR68" s="123"/>
      <c r="DS68" s="123"/>
      <c r="DT68" s="123"/>
      <c r="DU68" s="123"/>
      <c r="DV68" s="123"/>
      <c r="DW68" s="123"/>
      <c r="DX68" s="123"/>
      <c r="DY68" s="123"/>
      <c r="DZ68" s="123"/>
      <c r="EA68" s="123"/>
      <c r="EB68" s="123"/>
      <c r="EC68" s="123"/>
      <c r="ED68" s="123"/>
      <c r="EE68" s="123"/>
      <c r="EF68" s="123"/>
      <c r="EG68" s="123"/>
      <c r="EH68" s="123"/>
      <c r="EI68" s="123"/>
      <c r="EJ68" s="123"/>
      <c r="EK68" s="123"/>
      <c r="EL68" s="123"/>
      <c r="EM68" s="123"/>
      <c r="EN68" s="123"/>
      <c r="EO68" s="123"/>
      <c r="EP68" s="123"/>
      <c r="EQ68" s="123"/>
      <c r="ER68" s="123"/>
      <c r="ES68" s="123"/>
      <c r="ET68" s="123"/>
      <c r="EU68" s="123"/>
      <c r="EV68" s="123"/>
      <c r="EW68" s="123"/>
      <c r="EX68" s="123"/>
      <c r="EY68" s="123"/>
      <c r="EZ68" s="123"/>
      <c r="FA68" s="123"/>
      <c r="FB68" s="123"/>
      <c r="FC68" s="123"/>
      <c r="FD68" s="123"/>
      <c r="FE68" s="123"/>
      <c r="FF68" s="123"/>
      <c r="FG68" s="123"/>
      <c r="FH68" s="123"/>
      <c r="FI68" s="123"/>
      <c r="FJ68" s="123"/>
      <c r="FK68" s="123"/>
      <c r="FL68" s="123"/>
    </row>
    <row r="69" spans="1:168" x14ac:dyDescent="0.25">
      <c r="A69" s="123" t="s">
        <v>16</v>
      </c>
      <c r="B69" s="123">
        <v>0</v>
      </c>
      <c r="C69" s="123">
        <v>0</v>
      </c>
      <c r="D69" s="123">
        <v>0</v>
      </c>
      <c r="E69" s="123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0</v>
      </c>
      <c r="K69" s="123">
        <v>0</v>
      </c>
      <c r="L69" s="123">
        <v>0</v>
      </c>
      <c r="M69" s="123">
        <v>0</v>
      </c>
      <c r="N69" s="123">
        <v>0</v>
      </c>
      <c r="O69" s="123">
        <v>0</v>
      </c>
      <c r="P69" s="123">
        <v>0</v>
      </c>
      <c r="Q69" s="123">
        <v>0</v>
      </c>
      <c r="R69" s="123">
        <v>0</v>
      </c>
      <c r="S69" s="123">
        <v>0</v>
      </c>
      <c r="T69" s="123">
        <v>0</v>
      </c>
      <c r="U69" s="123">
        <v>0</v>
      </c>
      <c r="V69" s="123">
        <v>0</v>
      </c>
      <c r="W69" s="123">
        <v>0</v>
      </c>
      <c r="X69" s="123">
        <v>0</v>
      </c>
      <c r="Y69" s="123">
        <v>0</v>
      </c>
      <c r="Z69" s="123">
        <v>0</v>
      </c>
      <c r="AA69" s="123">
        <v>0</v>
      </c>
      <c r="AB69" s="123">
        <v>0</v>
      </c>
      <c r="AC69" s="123">
        <v>0</v>
      </c>
      <c r="AD69" s="123">
        <v>0</v>
      </c>
      <c r="AE69" s="123">
        <v>0</v>
      </c>
      <c r="AF69" s="123">
        <v>0</v>
      </c>
      <c r="AG69" s="123">
        <v>0</v>
      </c>
      <c r="AH69" s="123">
        <v>0</v>
      </c>
      <c r="AI69" s="123">
        <v>0</v>
      </c>
      <c r="AJ69" s="123">
        <v>0</v>
      </c>
      <c r="AK69" s="123">
        <v>0</v>
      </c>
      <c r="AL69" s="123">
        <v>0</v>
      </c>
      <c r="AM69" s="123">
        <v>0</v>
      </c>
      <c r="AN69" s="123">
        <v>0</v>
      </c>
      <c r="AO69" s="123">
        <v>0</v>
      </c>
      <c r="AP69" s="123">
        <v>0</v>
      </c>
      <c r="AQ69" s="123">
        <v>0</v>
      </c>
      <c r="AR69" s="123">
        <v>0</v>
      </c>
      <c r="AS69" s="123">
        <v>0</v>
      </c>
      <c r="AT69" s="123">
        <v>0</v>
      </c>
      <c r="AU69" s="123">
        <v>0</v>
      </c>
      <c r="AV69" s="123">
        <v>0</v>
      </c>
      <c r="AW69" s="123">
        <v>0</v>
      </c>
      <c r="AX69" s="123">
        <v>0</v>
      </c>
      <c r="AY69" s="123">
        <v>0</v>
      </c>
      <c r="AZ69" s="123">
        <v>0</v>
      </c>
      <c r="BA69" s="123">
        <v>0</v>
      </c>
      <c r="BB69" s="123">
        <v>0</v>
      </c>
      <c r="BC69" s="123">
        <v>0</v>
      </c>
      <c r="BD69" s="123">
        <v>0</v>
      </c>
      <c r="BE69" s="123">
        <v>0</v>
      </c>
      <c r="BF69" s="123">
        <v>0</v>
      </c>
      <c r="BG69" s="123">
        <v>0</v>
      </c>
      <c r="BH69" s="123">
        <v>0</v>
      </c>
      <c r="BI69" s="123">
        <v>0</v>
      </c>
      <c r="BJ69" s="123">
        <v>0</v>
      </c>
      <c r="BK69" s="123">
        <v>0</v>
      </c>
      <c r="BL69" s="123">
        <v>0</v>
      </c>
      <c r="BM69" s="123">
        <v>0</v>
      </c>
      <c r="BN69" s="123">
        <v>0</v>
      </c>
      <c r="BO69" s="123">
        <v>0</v>
      </c>
      <c r="BP69" s="123">
        <v>0</v>
      </c>
      <c r="BQ69" s="123">
        <v>0</v>
      </c>
      <c r="BR69" s="123">
        <v>0</v>
      </c>
      <c r="BS69" s="123">
        <v>0</v>
      </c>
      <c r="BT69" s="123">
        <v>0</v>
      </c>
      <c r="BU69" s="123">
        <v>0</v>
      </c>
      <c r="BV69" s="123">
        <v>0</v>
      </c>
      <c r="BW69" s="123">
        <v>0</v>
      </c>
      <c r="BX69" s="123">
        <v>0</v>
      </c>
      <c r="BY69" s="123">
        <v>0</v>
      </c>
      <c r="BZ69" s="123">
        <v>0</v>
      </c>
      <c r="CA69" s="123">
        <v>0</v>
      </c>
      <c r="CB69" s="123">
        <v>0</v>
      </c>
      <c r="CC69" s="123">
        <v>0</v>
      </c>
      <c r="CD69" s="123">
        <v>0</v>
      </c>
      <c r="CE69" s="123">
        <v>0</v>
      </c>
      <c r="CF69" s="123">
        <v>0</v>
      </c>
      <c r="CG69" s="123">
        <v>0</v>
      </c>
      <c r="CH69" s="123">
        <v>0</v>
      </c>
      <c r="CI69" s="123">
        <v>0</v>
      </c>
      <c r="CJ69" s="123">
        <v>0</v>
      </c>
      <c r="CK69" s="123">
        <v>0</v>
      </c>
      <c r="CL69" s="123">
        <v>0</v>
      </c>
      <c r="CM69" s="123">
        <v>0</v>
      </c>
      <c r="CN69" s="123">
        <v>0</v>
      </c>
      <c r="CO69" s="123">
        <v>0</v>
      </c>
      <c r="CP69" s="123">
        <v>0</v>
      </c>
      <c r="CQ69" s="123">
        <v>0</v>
      </c>
      <c r="CR69" s="123">
        <v>0</v>
      </c>
      <c r="CS69" s="123">
        <v>0</v>
      </c>
      <c r="CT69" s="123">
        <v>0</v>
      </c>
      <c r="CU69" s="123">
        <v>0</v>
      </c>
      <c r="CV69" s="123">
        <v>0</v>
      </c>
      <c r="CW69" s="123">
        <v>0</v>
      </c>
      <c r="CX69" s="123">
        <v>0</v>
      </c>
      <c r="CY69" s="123">
        <v>0</v>
      </c>
      <c r="CZ69" s="123">
        <v>0</v>
      </c>
      <c r="DA69" s="123">
        <v>0</v>
      </c>
      <c r="DB69" s="123">
        <v>0</v>
      </c>
      <c r="DC69" s="123">
        <v>0</v>
      </c>
      <c r="DD69" s="123">
        <v>0</v>
      </c>
      <c r="DE69" s="123">
        <v>0</v>
      </c>
      <c r="DF69" s="123">
        <v>0</v>
      </c>
      <c r="DG69" s="123">
        <v>0</v>
      </c>
      <c r="DH69" s="123">
        <v>0</v>
      </c>
      <c r="DI69" s="123">
        <v>0</v>
      </c>
      <c r="DJ69" s="123">
        <v>0</v>
      </c>
      <c r="DK69" s="123">
        <v>0</v>
      </c>
      <c r="DL69" s="123">
        <v>0</v>
      </c>
      <c r="DM69" s="123">
        <v>0</v>
      </c>
      <c r="DN69" s="123">
        <v>0</v>
      </c>
      <c r="DO69" s="123">
        <v>0</v>
      </c>
      <c r="DP69" s="123">
        <v>0</v>
      </c>
      <c r="DQ69" s="123">
        <v>0</v>
      </c>
      <c r="DR69" s="123"/>
      <c r="DS69" s="123"/>
      <c r="DT69" s="123"/>
      <c r="DU69" s="123"/>
      <c r="DV69" s="123"/>
      <c r="DW69" s="123"/>
      <c r="DX69" s="123"/>
      <c r="DY69" s="123"/>
      <c r="DZ69" s="123"/>
      <c r="EA69" s="123"/>
      <c r="EB69" s="123"/>
      <c r="EC69" s="123"/>
      <c r="ED69" s="123"/>
      <c r="EE69" s="123"/>
      <c r="EF69" s="123"/>
      <c r="EG69" s="123"/>
      <c r="EH69" s="123"/>
      <c r="EI69" s="123"/>
      <c r="EJ69" s="123"/>
      <c r="EK69" s="123"/>
      <c r="EL69" s="123"/>
      <c r="EM69" s="123"/>
      <c r="EN69" s="123"/>
      <c r="EO69" s="123"/>
      <c r="EP69" s="123"/>
      <c r="EQ69" s="123"/>
      <c r="ER69" s="123"/>
      <c r="ES69" s="123"/>
      <c r="ET69" s="123"/>
      <c r="EU69" s="123"/>
      <c r="EV69" s="123"/>
      <c r="EW69" s="123"/>
      <c r="EX69" s="123"/>
      <c r="EY69" s="123"/>
      <c r="EZ69" s="123"/>
      <c r="FA69" s="123"/>
      <c r="FB69" s="123"/>
      <c r="FC69" s="123"/>
      <c r="FD69" s="123"/>
      <c r="FE69" s="123"/>
      <c r="FF69" s="123"/>
      <c r="FG69" s="123"/>
      <c r="FH69" s="123"/>
      <c r="FI69" s="123"/>
      <c r="FJ69" s="123"/>
      <c r="FK69" s="123"/>
      <c r="FL69" s="123"/>
    </row>
    <row r="70" spans="1:168" x14ac:dyDescent="0.25">
      <c r="A70" s="138" t="s">
        <v>579</v>
      </c>
      <c r="B70" s="139">
        <v>2011</v>
      </c>
      <c r="C70" s="139">
        <v>2012</v>
      </c>
      <c r="D70" s="139">
        <v>2013</v>
      </c>
      <c r="E70" s="139">
        <v>2014</v>
      </c>
      <c r="F70" s="139">
        <v>2015</v>
      </c>
      <c r="G70" s="139">
        <v>2016</v>
      </c>
      <c r="H70" s="139">
        <v>2017</v>
      </c>
      <c r="I70" s="139">
        <v>2018</v>
      </c>
      <c r="J70" s="139">
        <v>2019</v>
      </c>
      <c r="K70" s="139">
        <v>2020</v>
      </c>
      <c r="L70" s="139">
        <v>2021</v>
      </c>
      <c r="M70" s="139">
        <v>2022</v>
      </c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23"/>
      <c r="DS70" s="123"/>
      <c r="DT70" s="123"/>
      <c r="DU70" s="123"/>
      <c r="DV70" s="123"/>
      <c r="DW70" s="123"/>
      <c r="DX70" s="123"/>
      <c r="DY70" s="123"/>
      <c r="DZ70" s="123"/>
      <c r="EA70" s="123"/>
      <c r="EB70" s="123"/>
      <c r="EC70" s="123"/>
      <c r="ED70" s="123"/>
      <c r="EE70" s="123"/>
      <c r="EF70" s="123"/>
      <c r="EG70" s="123"/>
      <c r="EH70" s="123"/>
      <c r="EI70" s="123"/>
      <c r="EJ70" s="123"/>
      <c r="EK70" s="123"/>
      <c r="EL70" s="123"/>
      <c r="EM70" s="123"/>
      <c r="EN70" s="123"/>
      <c r="EO70" s="123"/>
      <c r="EP70" s="123"/>
      <c r="EQ70" s="123"/>
      <c r="ER70" s="123"/>
      <c r="ES70" s="123"/>
      <c r="ET70" s="123"/>
      <c r="EU70" s="123"/>
      <c r="EV70" s="123"/>
      <c r="EW70" s="123"/>
      <c r="EX70" s="123"/>
      <c r="EY70" s="123"/>
      <c r="EZ70" s="123"/>
      <c r="FA70" s="123"/>
      <c r="FB70" s="123"/>
      <c r="FC70" s="123"/>
      <c r="FD70" s="123"/>
      <c r="FE70" s="123"/>
      <c r="FF70" s="123"/>
      <c r="FG70" s="123"/>
      <c r="FH70" s="123"/>
      <c r="FI70" s="123"/>
      <c r="FJ70" s="123"/>
      <c r="FK70" s="123"/>
      <c r="FL70" s="123"/>
    </row>
    <row r="71" spans="1:168" x14ac:dyDescent="0.25">
      <c r="A71" s="123" t="s">
        <v>25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0.75278837654617536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1</v>
      </c>
      <c r="AY71" s="140">
        <v>1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23"/>
      <c r="DS71" s="123"/>
      <c r="DT71" s="123"/>
      <c r="DU71" s="123"/>
      <c r="DV71" s="123"/>
      <c r="DW71" s="123"/>
      <c r="DX71" s="123"/>
      <c r="DY71" s="123"/>
      <c r="DZ71" s="123"/>
      <c r="EA71" s="123"/>
      <c r="EB71" s="123"/>
      <c r="EC71" s="123"/>
      <c r="ED71" s="123"/>
      <c r="EE71" s="123"/>
      <c r="EF71" s="123"/>
      <c r="EG71" s="123"/>
      <c r="EH71" s="123"/>
      <c r="EI71" s="123"/>
      <c r="EJ71" s="123"/>
      <c r="EK71" s="123"/>
      <c r="EL71" s="123"/>
      <c r="EM71" s="123"/>
      <c r="EN71" s="123"/>
      <c r="EO71" s="123"/>
      <c r="EP71" s="123"/>
      <c r="EQ71" s="123"/>
      <c r="ER71" s="123"/>
      <c r="ES71" s="123"/>
      <c r="ET71" s="123"/>
      <c r="EU71" s="123"/>
      <c r="EV71" s="123"/>
      <c r="EW71" s="123"/>
      <c r="EX71" s="123"/>
      <c r="EY71" s="123"/>
      <c r="EZ71" s="123"/>
      <c r="FA71" s="123"/>
      <c r="FB71" s="123"/>
      <c r="FC71" s="123"/>
      <c r="FD71" s="123"/>
      <c r="FE71" s="123"/>
      <c r="FF71" s="123"/>
      <c r="FG71" s="123"/>
      <c r="FH71" s="123"/>
      <c r="FI71" s="123"/>
      <c r="FJ71" s="123"/>
      <c r="FK71" s="123"/>
      <c r="FL71" s="123"/>
    </row>
    <row r="72" spans="1:168" x14ac:dyDescent="0.25">
      <c r="A72" s="123" t="s">
        <v>33</v>
      </c>
      <c r="B72" s="140">
        <v>0</v>
      </c>
      <c r="C72" s="140">
        <v>0</v>
      </c>
      <c r="D72" s="140">
        <v>0</v>
      </c>
      <c r="E72" s="140">
        <v>0</v>
      </c>
      <c r="F72" s="140">
        <v>0</v>
      </c>
      <c r="G72" s="140">
        <v>0</v>
      </c>
      <c r="H72" s="140">
        <v>0</v>
      </c>
      <c r="I72" s="140">
        <v>0</v>
      </c>
      <c r="J72" s="140">
        <v>0</v>
      </c>
      <c r="K72" s="140">
        <v>0</v>
      </c>
      <c r="L72" s="140">
        <v>0</v>
      </c>
      <c r="M72" s="140">
        <v>0</v>
      </c>
      <c r="N72" s="140">
        <v>0</v>
      </c>
      <c r="O72" s="140">
        <v>0.18228638372075087</v>
      </c>
      <c r="P72" s="140">
        <v>0</v>
      </c>
      <c r="Q72" s="140">
        <v>0</v>
      </c>
      <c r="R72" s="140">
        <v>0</v>
      </c>
      <c r="S72" s="140">
        <v>0</v>
      </c>
      <c r="T72" s="140">
        <v>0</v>
      </c>
      <c r="U72" s="140">
        <v>0</v>
      </c>
      <c r="V72" s="140">
        <v>0</v>
      </c>
      <c r="W72" s="140">
        <v>0</v>
      </c>
      <c r="X72" s="140">
        <v>0</v>
      </c>
      <c r="Y72" s="140">
        <v>0</v>
      </c>
      <c r="Z72" s="140">
        <v>0</v>
      </c>
      <c r="AA72" s="140">
        <v>0</v>
      </c>
      <c r="AB72" s="140">
        <v>0</v>
      </c>
      <c r="AC72" s="140">
        <v>0</v>
      </c>
      <c r="AD72" s="140">
        <v>0</v>
      </c>
      <c r="AE72" s="140">
        <v>0</v>
      </c>
      <c r="AF72" s="140">
        <v>0</v>
      </c>
      <c r="AG72" s="140">
        <v>0</v>
      </c>
      <c r="AH72" s="140">
        <v>0</v>
      </c>
      <c r="AI72" s="140">
        <v>0</v>
      </c>
      <c r="AJ72" s="140">
        <v>0</v>
      </c>
      <c r="AK72" s="140">
        <v>0</v>
      </c>
      <c r="AL72" s="140">
        <v>0</v>
      </c>
      <c r="AM72" s="140">
        <v>0</v>
      </c>
      <c r="AN72" s="140">
        <v>0</v>
      </c>
      <c r="AO72" s="140">
        <v>0</v>
      </c>
      <c r="AP72" s="140">
        <v>0</v>
      </c>
      <c r="AQ72" s="140">
        <v>0</v>
      </c>
      <c r="AR72" s="140">
        <v>0</v>
      </c>
      <c r="AS72" s="140">
        <v>0</v>
      </c>
      <c r="AT72" s="140">
        <v>0</v>
      </c>
      <c r="AU72" s="140">
        <v>0</v>
      </c>
      <c r="AV72" s="140">
        <v>0</v>
      </c>
      <c r="AW72" s="140">
        <v>0</v>
      </c>
      <c r="AX72" s="140">
        <v>0</v>
      </c>
      <c r="AY72" s="140">
        <v>0</v>
      </c>
      <c r="AZ72" s="140">
        <v>0</v>
      </c>
      <c r="BA72" s="140">
        <v>0</v>
      </c>
      <c r="BB72" s="140">
        <v>0</v>
      </c>
      <c r="BC72" s="140">
        <v>0</v>
      </c>
      <c r="BD72" s="140">
        <v>0</v>
      </c>
      <c r="BE72" s="140">
        <v>0</v>
      </c>
      <c r="BF72" s="140">
        <v>0</v>
      </c>
      <c r="BG72" s="140">
        <v>0</v>
      </c>
      <c r="BH72" s="140">
        <v>0</v>
      </c>
      <c r="BI72" s="140">
        <v>0</v>
      </c>
      <c r="BJ72" s="140">
        <v>0</v>
      </c>
      <c r="BK72" s="140">
        <v>0</v>
      </c>
      <c r="BL72" s="140">
        <v>0</v>
      </c>
      <c r="BM72" s="140">
        <v>0</v>
      </c>
      <c r="BN72" s="140">
        <v>0</v>
      </c>
      <c r="BO72" s="140">
        <v>0</v>
      </c>
      <c r="BP72" s="140">
        <v>0</v>
      </c>
      <c r="BQ72" s="140">
        <v>0</v>
      </c>
      <c r="BR72" s="140">
        <v>0</v>
      </c>
      <c r="BS72" s="140">
        <v>0</v>
      </c>
      <c r="BT72" s="140">
        <v>0</v>
      </c>
      <c r="BU72" s="140">
        <v>0</v>
      </c>
      <c r="BV72" s="140">
        <v>0</v>
      </c>
      <c r="BW72" s="140">
        <v>0</v>
      </c>
      <c r="BX72" s="140">
        <v>0</v>
      </c>
      <c r="BY72" s="140">
        <v>0</v>
      </c>
      <c r="BZ72" s="140">
        <v>0</v>
      </c>
      <c r="CA72" s="140">
        <v>0</v>
      </c>
      <c r="CB72" s="140">
        <v>0</v>
      </c>
      <c r="CC72" s="140">
        <v>0</v>
      </c>
      <c r="CD72" s="140">
        <v>0</v>
      </c>
      <c r="CE72" s="140">
        <v>0</v>
      </c>
      <c r="CF72" s="140">
        <v>0</v>
      </c>
      <c r="CG72" s="140">
        <v>0</v>
      </c>
      <c r="CH72" s="140">
        <v>0</v>
      </c>
      <c r="CI72" s="140">
        <v>0</v>
      </c>
      <c r="CJ72" s="140">
        <v>0</v>
      </c>
      <c r="CK72" s="140">
        <v>0</v>
      </c>
      <c r="CL72" s="140">
        <v>0</v>
      </c>
      <c r="CM72" s="140">
        <v>0</v>
      </c>
      <c r="CN72" s="140">
        <v>0</v>
      </c>
      <c r="CO72" s="140">
        <v>0</v>
      </c>
      <c r="CP72" s="140">
        <v>0</v>
      </c>
      <c r="CQ72" s="140">
        <v>0</v>
      </c>
      <c r="CR72" s="140">
        <v>0</v>
      </c>
      <c r="CS72" s="140">
        <v>0</v>
      </c>
      <c r="CT72" s="140">
        <v>0</v>
      </c>
      <c r="CU72" s="140">
        <v>0</v>
      </c>
      <c r="CV72" s="140">
        <v>0</v>
      </c>
      <c r="CW72" s="140">
        <v>0</v>
      </c>
      <c r="CX72" s="140">
        <v>0</v>
      </c>
      <c r="CY72" s="140">
        <v>0</v>
      </c>
      <c r="CZ72" s="140">
        <v>0</v>
      </c>
      <c r="DA72" s="140">
        <v>0</v>
      </c>
      <c r="DB72" s="140">
        <v>0</v>
      </c>
      <c r="DC72" s="140">
        <v>0</v>
      </c>
      <c r="DD72" s="140">
        <v>0</v>
      </c>
      <c r="DE72" s="140">
        <v>0</v>
      </c>
      <c r="DF72" s="140">
        <v>0</v>
      </c>
      <c r="DG72" s="140">
        <v>0</v>
      </c>
      <c r="DH72" s="140">
        <v>0</v>
      </c>
      <c r="DI72" s="140">
        <v>0</v>
      </c>
      <c r="DJ72" s="140">
        <v>0</v>
      </c>
      <c r="DK72" s="140">
        <v>0</v>
      </c>
      <c r="DL72" s="140">
        <v>0</v>
      </c>
      <c r="DM72" s="140">
        <v>0</v>
      </c>
      <c r="DN72" s="140">
        <v>0</v>
      </c>
      <c r="DO72" s="140">
        <v>0</v>
      </c>
      <c r="DP72" s="140">
        <v>0</v>
      </c>
      <c r="DQ72" s="140">
        <v>0</v>
      </c>
      <c r="DR72" s="123"/>
      <c r="DS72" s="123"/>
      <c r="DT72" s="123"/>
      <c r="DU72" s="123"/>
      <c r="DV72" s="123"/>
      <c r="DW72" s="123"/>
      <c r="DX72" s="123"/>
      <c r="DY72" s="123"/>
      <c r="DZ72" s="123"/>
      <c r="EA72" s="123"/>
      <c r="EB72" s="123"/>
      <c r="EC72" s="123"/>
      <c r="ED72" s="123"/>
      <c r="EE72" s="123"/>
      <c r="EF72" s="123"/>
      <c r="EG72" s="123"/>
      <c r="EH72" s="123"/>
      <c r="EI72" s="123"/>
      <c r="EJ72" s="123"/>
      <c r="EK72" s="123"/>
      <c r="EL72" s="123"/>
      <c r="EM72" s="123"/>
      <c r="EN72" s="123"/>
      <c r="EO72" s="123"/>
      <c r="EP72" s="123"/>
      <c r="EQ72" s="123"/>
      <c r="ER72" s="123"/>
      <c r="ES72" s="123"/>
      <c r="ET72" s="123"/>
      <c r="EU72" s="123"/>
      <c r="EV72" s="123"/>
      <c r="EW72" s="123"/>
      <c r="EX72" s="123"/>
      <c r="EY72" s="123"/>
      <c r="EZ72" s="123"/>
      <c r="FA72" s="123"/>
      <c r="FB72" s="123"/>
      <c r="FC72" s="123"/>
      <c r="FD72" s="123"/>
      <c r="FE72" s="123"/>
      <c r="FF72" s="123"/>
      <c r="FG72" s="123"/>
      <c r="FH72" s="123"/>
      <c r="FI72" s="123"/>
      <c r="FJ72" s="123"/>
      <c r="FK72" s="123"/>
      <c r="FL72" s="123"/>
    </row>
    <row r="73" spans="1:168" x14ac:dyDescent="0.25">
      <c r="A73" s="123" t="s">
        <v>7</v>
      </c>
      <c r="B73" s="140">
        <v>0</v>
      </c>
      <c r="C73" s="140">
        <v>6.2878002157779583E-2</v>
      </c>
      <c r="D73" s="140">
        <v>0</v>
      </c>
      <c r="E73" s="140">
        <v>0</v>
      </c>
      <c r="F73" s="140">
        <v>0</v>
      </c>
      <c r="G73" s="140">
        <v>0</v>
      </c>
      <c r="H73" s="140">
        <v>0</v>
      </c>
      <c r="I73" s="140">
        <v>0</v>
      </c>
      <c r="J73" s="140">
        <v>0</v>
      </c>
      <c r="K73" s="140">
        <v>0</v>
      </c>
      <c r="L73" s="140">
        <v>0</v>
      </c>
      <c r="M73" s="140">
        <v>0</v>
      </c>
      <c r="N73" s="140">
        <v>0</v>
      </c>
      <c r="O73" s="140">
        <v>0</v>
      </c>
      <c r="P73" s="140">
        <v>0</v>
      </c>
      <c r="Q73" s="140">
        <v>0</v>
      </c>
      <c r="R73" s="140">
        <v>0</v>
      </c>
      <c r="S73" s="140">
        <v>0</v>
      </c>
      <c r="T73" s="140">
        <v>0</v>
      </c>
      <c r="U73" s="140">
        <v>0</v>
      </c>
      <c r="V73" s="140">
        <v>0</v>
      </c>
      <c r="W73" s="140">
        <v>0</v>
      </c>
      <c r="X73" s="140">
        <v>0</v>
      </c>
      <c r="Y73" s="140">
        <v>0</v>
      </c>
      <c r="Z73" s="140">
        <v>0</v>
      </c>
      <c r="AA73" s="140">
        <v>0</v>
      </c>
      <c r="AB73" s="140">
        <v>0</v>
      </c>
      <c r="AC73" s="140">
        <v>0</v>
      </c>
      <c r="AD73" s="140">
        <v>0</v>
      </c>
      <c r="AE73" s="140">
        <v>0</v>
      </c>
      <c r="AF73" s="140">
        <v>0</v>
      </c>
      <c r="AG73" s="140">
        <v>0</v>
      </c>
      <c r="AH73" s="140">
        <v>0</v>
      </c>
      <c r="AI73" s="140">
        <v>0</v>
      </c>
      <c r="AJ73" s="140">
        <v>0</v>
      </c>
      <c r="AK73" s="140">
        <v>0</v>
      </c>
      <c r="AL73" s="140">
        <v>0</v>
      </c>
      <c r="AM73" s="140">
        <v>0</v>
      </c>
      <c r="AN73" s="140">
        <v>0</v>
      </c>
      <c r="AO73" s="140">
        <v>0</v>
      </c>
      <c r="AP73" s="140">
        <v>0</v>
      </c>
      <c r="AQ73" s="140">
        <v>0</v>
      </c>
      <c r="AR73" s="140">
        <v>0</v>
      </c>
      <c r="AS73" s="140">
        <v>0</v>
      </c>
      <c r="AT73" s="140">
        <v>0</v>
      </c>
      <c r="AU73" s="140">
        <v>0</v>
      </c>
      <c r="AV73" s="140">
        <v>0</v>
      </c>
      <c r="AW73" s="140">
        <v>0</v>
      </c>
      <c r="AX73" s="140">
        <v>0</v>
      </c>
      <c r="AY73" s="140">
        <v>0</v>
      </c>
      <c r="AZ73" s="140">
        <v>0</v>
      </c>
      <c r="BA73" s="140">
        <v>0</v>
      </c>
      <c r="BB73" s="140">
        <v>0</v>
      </c>
      <c r="BC73" s="140">
        <v>0</v>
      </c>
      <c r="BD73" s="140">
        <v>0</v>
      </c>
      <c r="BE73" s="140">
        <v>0</v>
      </c>
      <c r="BF73" s="140">
        <v>0</v>
      </c>
      <c r="BG73" s="140">
        <v>0</v>
      </c>
      <c r="BH73" s="140">
        <v>0</v>
      </c>
      <c r="BI73" s="140">
        <v>0</v>
      </c>
      <c r="BJ73" s="140">
        <v>0</v>
      </c>
      <c r="BK73" s="140">
        <v>0</v>
      </c>
      <c r="BL73" s="140">
        <v>0</v>
      </c>
      <c r="BM73" s="140">
        <v>0</v>
      </c>
      <c r="BN73" s="140">
        <v>0</v>
      </c>
      <c r="BO73" s="140">
        <v>0</v>
      </c>
      <c r="BP73" s="140">
        <v>0</v>
      </c>
      <c r="BQ73" s="140">
        <v>0</v>
      </c>
      <c r="BR73" s="140">
        <v>0</v>
      </c>
      <c r="BS73" s="140">
        <v>0</v>
      </c>
      <c r="BT73" s="140">
        <v>0</v>
      </c>
      <c r="BU73" s="140">
        <v>0</v>
      </c>
      <c r="BV73" s="140">
        <v>0</v>
      </c>
      <c r="BW73" s="140">
        <v>0</v>
      </c>
      <c r="BX73" s="140">
        <v>0</v>
      </c>
      <c r="BY73" s="140">
        <v>0</v>
      </c>
      <c r="BZ73" s="140">
        <v>0</v>
      </c>
      <c r="CA73" s="140">
        <v>0</v>
      </c>
      <c r="CB73" s="140">
        <v>0</v>
      </c>
      <c r="CC73" s="140">
        <v>0</v>
      </c>
      <c r="CD73" s="140">
        <v>0</v>
      </c>
      <c r="CE73" s="140">
        <v>0</v>
      </c>
      <c r="CF73" s="140">
        <v>0</v>
      </c>
      <c r="CG73" s="140">
        <v>0</v>
      </c>
      <c r="CH73" s="140">
        <v>0</v>
      </c>
      <c r="CI73" s="140">
        <v>0</v>
      </c>
      <c r="CJ73" s="140">
        <v>0</v>
      </c>
      <c r="CK73" s="140">
        <v>0</v>
      </c>
      <c r="CL73" s="140">
        <v>0</v>
      </c>
      <c r="CM73" s="140">
        <v>0</v>
      </c>
      <c r="CN73" s="140">
        <v>0</v>
      </c>
      <c r="CO73" s="140">
        <v>0</v>
      </c>
      <c r="CP73" s="140">
        <v>0</v>
      </c>
      <c r="CQ73" s="140">
        <v>0</v>
      </c>
      <c r="CR73" s="140">
        <v>0</v>
      </c>
      <c r="CS73" s="140">
        <v>0</v>
      </c>
      <c r="CT73" s="140">
        <v>0</v>
      </c>
      <c r="CU73" s="140">
        <v>0</v>
      </c>
      <c r="CV73" s="140">
        <v>0</v>
      </c>
      <c r="CW73" s="140">
        <v>0</v>
      </c>
      <c r="CX73" s="140">
        <v>0</v>
      </c>
      <c r="CY73" s="140">
        <v>0</v>
      </c>
      <c r="CZ73" s="140">
        <v>0</v>
      </c>
      <c r="DA73" s="140">
        <v>0</v>
      </c>
      <c r="DB73" s="140">
        <v>0</v>
      </c>
      <c r="DC73" s="140">
        <v>0</v>
      </c>
      <c r="DD73" s="140">
        <v>0</v>
      </c>
      <c r="DE73" s="140">
        <v>0</v>
      </c>
      <c r="DF73" s="140">
        <v>0</v>
      </c>
      <c r="DG73" s="140">
        <v>0</v>
      </c>
      <c r="DH73" s="140">
        <v>0</v>
      </c>
      <c r="DI73" s="140">
        <v>0</v>
      </c>
      <c r="DJ73" s="140">
        <v>0</v>
      </c>
      <c r="DK73" s="140">
        <v>0</v>
      </c>
      <c r="DL73" s="140">
        <v>0</v>
      </c>
      <c r="DM73" s="140">
        <v>0</v>
      </c>
      <c r="DN73" s="140">
        <v>0</v>
      </c>
      <c r="DO73" s="140">
        <v>0</v>
      </c>
      <c r="DP73" s="140">
        <v>0</v>
      </c>
      <c r="DQ73" s="140">
        <v>0</v>
      </c>
      <c r="DR73" s="123"/>
      <c r="DS73" s="123"/>
      <c r="DT73" s="123"/>
      <c r="DU73" s="123"/>
      <c r="DV73" s="123"/>
      <c r="DW73" s="123"/>
      <c r="DX73" s="123"/>
      <c r="DY73" s="123"/>
      <c r="DZ73" s="123"/>
      <c r="EA73" s="123"/>
      <c r="EB73" s="123"/>
      <c r="EC73" s="123"/>
      <c r="ED73" s="123"/>
      <c r="EE73" s="123"/>
      <c r="EF73" s="123"/>
      <c r="EG73" s="123"/>
      <c r="EH73" s="123"/>
      <c r="EI73" s="123"/>
      <c r="EJ73" s="123"/>
      <c r="EK73" s="123"/>
      <c r="EL73" s="123"/>
      <c r="EM73" s="123"/>
      <c r="EN73" s="123"/>
      <c r="EO73" s="123"/>
      <c r="EP73" s="123"/>
      <c r="EQ73" s="123"/>
      <c r="ER73" s="123"/>
      <c r="ES73" s="123"/>
      <c r="ET73" s="123"/>
      <c r="EU73" s="123"/>
      <c r="EV73" s="123"/>
      <c r="EW73" s="123"/>
      <c r="EX73" s="123"/>
      <c r="EY73" s="123"/>
      <c r="EZ73" s="123"/>
      <c r="FA73" s="123"/>
      <c r="FB73" s="123"/>
      <c r="FC73" s="123"/>
      <c r="FD73" s="123"/>
      <c r="FE73" s="123"/>
      <c r="FF73" s="123"/>
      <c r="FG73" s="123"/>
      <c r="FH73" s="123"/>
      <c r="FI73" s="123"/>
      <c r="FJ73" s="123"/>
      <c r="FK73" s="123"/>
      <c r="FL73" s="123"/>
    </row>
    <row r="74" spans="1:168" x14ac:dyDescent="0.25">
      <c r="A74" s="123" t="s">
        <v>23</v>
      </c>
      <c r="B74" s="140">
        <v>1</v>
      </c>
      <c r="C74" s="140">
        <v>0.93712199784222039</v>
      </c>
      <c r="D74" s="140">
        <v>0</v>
      </c>
      <c r="E74" s="140">
        <v>0</v>
      </c>
      <c r="F74" s="140">
        <v>0</v>
      </c>
      <c r="G74" s="140">
        <v>0</v>
      </c>
      <c r="H74" s="140">
        <v>0</v>
      </c>
      <c r="I74" s="140">
        <v>0</v>
      </c>
      <c r="J74" s="140">
        <v>0</v>
      </c>
      <c r="K74" s="140">
        <v>0</v>
      </c>
      <c r="L74" s="140">
        <v>0</v>
      </c>
      <c r="M74" s="140">
        <v>0</v>
      </c>
      <c r="N74" s="140">
        <v>1</v>
      </c>
      <c r="O74" s="140">
        <v>0.81771361627924921</v>
      </c>
      <c r="P74" s="140">
        <v>0</v>
      </c>
      <c r="Q74" s="140">
        <v>0</v>
      </c>
      <c r="R74" s="140">
        <v>0</v>
      </c>
      <c r="S74" s="140">
        <v>0</v>
      </c>
      <c r="T74" s="140">
        <v>0</v>
      </c>
      <c r="U74" s="140">
        <v>0</v>
      </c>
      <c r="V74" s="140">
        <v>0</v>
      </c>
      <c r="W74" s="140">
        <v>0</v>
      </c>
      <c r="X74" s="140">
        <v>0</v>
      </c>
      <c r="Y74" s="140">
        <v>0</v>
      </c>
      <c r="Z74" s="140">
        <v>1</v>
      </c>
      <c r="AA74" s="140">
        <v>0.24721162345382464</v>
      </c>
      <c r="AB74" s="140">
        <v>0</v>
      </c>
      <c r="AC74" s="140">
        <v>0</v>
      </c>
      <c r="AD74" s="140">
        <v>0</v>
      </c>
      <c r="AE74" s="140">
        <v>0</v>
      </c>
      <c r="AF74" s="140">
        <v>0</v>
      </c>
      <c r="AG74" s="140">
        <v>0</v>
      </c>
      <c r="AH74" s="140">
        <v>0</v>
      </c>
      <c r="AI74" s="140">
        <v>0</v>
      </c>
      <c r="AJ74" s="140">
        <v>0</v>
      </c>
      <c r="AK74" s="140">
        <v>0</v>
      </c>
      <c r="AL74" s="140">
        <v>0</v>
      </c>
      <c r="AM74" s="140">
        <v>0</v>
      </c>
      <c r="AN74" s="140">
        <v>0</v>
      </c>
      <c r="AO74" s="140">
        <v>0</v>
      </c>
      <c r="AP74" s="140">
        <v>0</v>
      </c>
      <c r="AQ74" s="140">
        <v>0</v>
      </c>
      <c r="AR74" s="140">
        <v>0</v>
      </c>
      <c r="AS74" s="140">
        <v>0</v>
      </c>
      <c r="AT74" s="140">
        <v>0</v>
      </c>
      <c r="AU74" s="140">
        <v>0</v>
      </c>
      <c r="AV74" s="140">
        <v>0</v>
      </c>
      <c r="AW74" s="140">
        <v>0</v>
      </c>
      <c r="AX74" s="140">
        <v>0</v>
      </c>
      <c r="AY74" s="140">
        <v>0</v>
      </c>
      <c r="AZ74" s="140">
        <v>0</v>
      </c>
      <c r="BA74" s="140">
        <v>0</v>
      </c>
      <c r="BB74" s="140">
        <v>0</v>
      </c>
      <c r="BC74" s="140">
        <v>0</v>
      </c>
      <c r="BD74" s="140">
        <v>0</v>
      </c>
      <c r="BE74" s="140">
        <v>0</v>
      </c>
      <c r="BF74" s="140">
        <v>0</v>
      </c>
      <c r="BG74" s="140">
        <v>0</v>
      </c>
      <c r="BH74" s="140">
        <v>0</v>
      </c>
      <c r="BI74" s="140">
        <v>0</v>
      </c>
      <c r="BJ74" s="140">
        <v>1</v>
      </c>
      <c r="BK74" s="140">
        <v>1</v>
      </c>
      <c r="BL74" s="140">
        <v>0</v>
      </c>
      <c r="BM74" s="140">
        <v>0</v>
      </c>
      <c r="BN74" s="140">
        <v>0</v>
      </c>
      <c r="BO74" s="140">
        <v>0</v>
      </c>
      <c r="BP74" s="140">
        <v>0</v>
      </c>
      <c r="BQ74" s="140">
        <v>0</v>
      </c>
      <c r="BR74" s="140">
        <v>0</v>
      </c>
      <c r="BS74" s="140">
        <v>0</v>
      </c>
      <c r="BT74" s="140">
        <v>0</v>
      </c>
      <c r="BU74" s="140">
        <v>0</v>
      </c>
      <c r="BV74" s="140">
        <v>0</v>
      </c>
      <c r="BW74" s="140">
        <v>0</v>
      </c>
      <c r="BX74" s="140">
        <v>0</v>
      </c>
      <c r="BY74" s="140">
        <v>0</v>
      </c>
      <c r="BZ74" s="140">
        <v>0</v>
      </c>
      <c r="CA74" s="140">
        <v>0</v>
      </c>
      <c r="CB74" s="140">
        <v>0</v>
      </c>
      <c r="CC74" s="140">
        <v>0</v>
      </c>
      <c r="CD74" s="140">
        <v>0</v>
      </c>
      <c r="CE74" s="140">
        <v>0</v>
      </c>
      <c r="CF74" s="140">
        <v>0</v>
      </c>
      <c r="CG74" s="140">
        <v>0</v>
      </c>
      <c r="CH74" s="140">
        <v>0</v>
      </c>
      <c r="CI74" s="140">
        <v>0</v>
      </c>
      <c r="CJ74" s="140">
        <v>0</v>
      </c>
      <c r="CK74" s="140">
        <v>0</v>
      </c>
      <c r="CL74" s="140">
        <v>0</v>
      </c>
      <c r="CM74" s="140">
        <v>0</v>
      </c>
      <c r="CN74" s="140">
        <v>0</v>
      </c>
      <c r="CO74" s="140">
        <v>0</v>
      </c>
      <c r="CP74" s="140">
        <v>0</v>
      </c>
      <c r="CQ74" s="140">
        <v>0</v>
      </c>
      <c r="CR74" s="140">
        <v>0</v>
      </c>
      <c r="CS74" s="140">
        <v>0</v>
      </c>
      <c r="CT74" s="140">
        <v>0</v>
      </c>
      <c r="CU74" s="140">
        <v>0</v>
      </c>
      <c r="CV74" s="140">
        <v>0</v>
      </c>
      <c r="CW74" s="140">
        <v>0</v>
      </c>
      <c r="CX74" s="140">
        <v>0</v>
      </c>
      <c r="CY74" s="140">
        <v>0</v>
      </c>
      <c r="CZ74" s="140">
        <v>0</v>
      </c>
      <c r="DA74" s="140">
        <v>0</v>
      </c>
      <c r="DB74" s="140">
        <v>0</v>
      </c>
      <c r="DC74" s="140">
        <v>0</v>
      </c>
      <c r="DD74" s="140">
        <v>0</v>
      </c>
      <c r="DE74" s="140">
        <v>0</v>
      </c>
      <c r="DF74" s="140">
        <v>0</v>
      </c>
      <c r="DG74" s="140">
        <v>0</v>
      </c>
      <c r="DH74" s="140">
        <v>0</v>
      </c>
      <c r="DI74" s="140">
        <v>0</v>
      </c>
      <c r="DJ74" s="140">
        <v>0</v>
      </c>
      <c r="DK74" s="140">
        <v>0</v>
      </c>
      <c r="DL74" s="140">
        <v>0</v>
      </c>
      <c r="DM74" s="140">
        <v>0</v>
      </c>
      <c r="DN74" s="140">
        <v>0</v>
      </c>
      <c r="DO74" s="140">
        <v>0</v>
      </c>
      <c r="DP74" s="140">
        <v>0</v>
      </c>
      <c r="DQ74" s="140">
        <v>0</v>
      </c>
      <c r="DR74" s="123"/>
      <c r="DS74" s="123"/>
      <c r="DT74" s="123"/>
      <c r="DU74" s="123"/>
      <c r="DV74" s="123"/>
      <c r="DW74" s="123"/>
      <c r="DX74" s="123"/>
      <c r="DY74" s="123"/>
      <c r="DZ74" s="123"/>
      <c r="EA74" s="123"/>
      <c r="EB74" s="123"/>
      <c r="EC74" s="123"/>
      <c r="ED74" s="123"/>
      <c r="EE74" s="123"/>
      <c r="EF74" s="123"/>
      <c r="EG74" s="123"/>
      <c r="EH74" s="123"/>
      <c r="EI74" s="123"/>
      <c r="EJ74" s="123"/>
      <c r="EK74" s="123"/>
      <c r="EL74" s="123"/>
      <c r="EM74" s="123"/>
      <c r="EN74" s="123"/>
      <c r="EO74" s="123"/>
      <c r="EP74" s="123"/>
      <c r="EQ74" s="123"/>
      <c r="ER74" s="123"/>
      <c r="ES74" s="123"/>
      <c r="ET74" s="123"/>
      <c r="EU74" s="123"/>
      <c r="EV74" s="123"/>
      <c r="EW74" s="123"/>
      <c r="EX74" s="123"/>
      <c r="EY74" s="123"/>
      <c r="EZ74" s="123"/>
      <c r="FA74" s="123"/>
      <c r="FB74" s="123"/>
      <c r="FC74" s="123"/>
      <c r="FD74" s="123"/>
      <c r="FE74" s="123"/>
      <c r="FF74" s="123"/>
      <c r="FG74" s="123"/>
      <c r="FH74" s="123"/>
      <c r="FI74" s="123"/>
      <c r="FJ74" s="123"/>
      <c r="FK74" s="123"/>
      <c r="FL74" s="123"/>
    </row>
    <row r="75" spans="1:168" x14ac:dyDescent="0.25">
      <c r="A75" s="123" t="s">
        <v>9</v>
      </c>
      <c r="B75" s="140">
        <v>0</v>
      </c>
      <c r="C75" s="140">
        <v>0</v>
      </c>
      <c r="D75" s="140">
        <v>0</v>
      </c>
      <c r="E75" s="140">
        <v>0</v>
      </c>
      <c r="F75" s="140">
        <v>0</v>
      </c>
      <c r="G75" s="140">
        <v>0</v>
      </c>
      <c r="H75" s="140">
        <v>0</v>
      </c>
      <c r="I75" s="140">
        <v>0</v>
      </c>
      <c r="J75" s="140">
        <v>0</v>
      </c>
      <c r="K75" s="140">
        <v>0</v>
      </c>
      <c r="L75" s="140">
        <v>0</v>
      </c>
      <c r="M75" s="140">
        <v>0</v>
      </c>
      <c r="N75" s="140">
        <v>0</v>
      </c>
      <c r="O75" s="140">
        <v>0</v>
      </c>
      <c r="P75" s="140">
        <v>0</v>
      </c>
      <c r="Q75" s="140">
        <v>0</v>
      </c>
      <c r="R75" s="140">
        <v>0</v>
      </c>
      <c r="S75" s="140">
        <v>0</v>
      </c>
      <c r="T75" s="140">
        <v>0</v>
      </c>
      <c r="U75" s="140">
        <v>0</v>
      </c>
      <c r="V75" s="140">
        <v>0</v>
      </c>
      <c r="W75" s="140">
        <v>0</v>
      </c>
      <c r="X75" s="140">
        <v>0</v>
      </c>
      <c r="Y75" s="140">
        <v>0</v>
      </c>
      <c r="Z75" s="140">
        <v>0</v>
      </c>
      <c r="AA75" s="140">
        <v>0</v>
      </c>
      <c r="AB75" s="140">
        <v>0</v>
      </c>
      <c r="AC75" s="140">
        <v>0</v>
      </c>
      <c r="AD75" s="140">
        <v>0</v>
      </c>
      <c r="AE75" s="140">
        <v>0</v>
      </c>
      <c r="AF75" s="140">
        <v>0</v>
      </c>
      <c r="AG75" s="140">
        <v>0</v>
      </c>
      <c r="AH75" s="140">
        <v>0</v>
      </c>
      <c r="AI75" s="140">
        <v>0</v>
      </c>
      <c r="AJ75" s="140">
        <v>0</v>
      </c>
      <c r="AK75" s="140">
        <v>0</v>
      </c>
      <c r="AL75" s="140">
        <v>0</v>
      </c>
      <c r="AM75" s="140">
        <v>0</v>
      </c>
      <c r="AN75" s="140">
        <v>0</v>
      </c>
      <c r="AO75" s="140">
        <v>0</v>
      </c>
      <c r="AP75" s="140">
        <v>0</v>
      </c>
      <c r="AQ75" s="140">
        <v>0</v>
      </c>
      <c r="AR75" s="140">
        <v>0</v>
      </c>
      <c r="AS75" s="140">
        <v>0</v>
      </c>
      <c r="AT75" s="140">
        <v>0</v>
      </c>
      <c r="AU75" s="140">
        <v>0</v>
      </c>
      <c r="AV75" s="140">
        <v>0</v>
      </c>
      <c r="AW75" s="140">
        <v>0</v>
      </c>
      <c r="AX75" s="140">
        <v>0</v>
      </c>
      <c r="AY75" s="140">
        <v>0</v>
      </c>
      <c r="AZ75" s="140">
        <v>0</v>
      </c>
      <c r="BA75" s="140">
        <v>0</v>
      </c>
      <c r="BB75" s="140">
        <v>0</v>
      </c>
      <c r="BC75" s="140">
        <v>0</v>
      </c>
      <c r="BD75" s="140">
        <v>0</v>
      </c>
      <c r="BE75" s="140">
        <v>0</v>
      </c>
      <c r="BF75" s="140">
        <v>0</v>
      </c>
      <c r="BG75" s="140">
        <v>0</v>
      </c>
      <c r="BH75" s="140">
        <v>0</v>
      </c>
      <c r="BI75" s="140">
        <v>0</v>
      </c>
      <c r="BJ75" s="140">
        <v>0</v>
      </c>
      <c r="BK75" s="140">
        <v>0</v>
      </c>
      <c r="BL75" s="140">
        <v>0</v>
      </c>
      <c r="BM75" s="140">
        <v>0</v>
      </c>
      <c r="BN75" s="140">
        <v>0</v>
      </c>
      <c r="BO75" s="140">
        <v>0</v>
      </c>
      <c r="BP75" s="140">
        <v>0</v>
      </c>
      <c r="BQ75" s="140">
        <v>0</v>
      </c>
      <c r="BR75" s="140">
        <v>0</v>
      </c>
      <c r="BS75" s="140">
        <v>0</v>
      </c>
      <c r="BT75" s="140">
        <v>0</v>
      </c>
      <c r="BU75" s="140">
        <v>0</v>
      </c>
      <c r="BV75" s="140">
        <v>0</v>
      </c>
      <c r="BW75" s="140">
        <v>0</v>
      </c>
      <c r="BX75" s="140">
        <v>0</v>
      </c>
      <c r="BY75" s="140">
        <v>0</v>
      </c>
      <c r="BZ75" s="140">
        <v>0</v>
      </c>
      <c r="CA75" s="140">
        <v>0</v>
      </c>
      <c r="CB75" s="140">
        <v>0</v>
      </c>
      <c r="CC75" s="140">
        <v>0</v>
      </c>
      <c r="CD75" s="140">
        <v>0</v>
      </c>
      <c r="CE75" s="140">
        <v>0</v>
      </c>
      <c r="CF75" s="140">
        <v>0</v>
      </c>
      <c r="CG75" s="140">
        <v>0</v>
      </c>
      <c r="CH75" s="140">
        <v>0</v>
      </c>
      <c r="CI75" s="140">
        <v>0</v>
      </c>
      <c r="CJ75" s="140">
        <v>0</v>
      </c>
      <c r="CK75" s="140">
        <v>0</v>
      </c>
      <c r="CL75" s="140">
        <v>0</v>
      </c>
      <c r="CM75" s="140">
        <v>0</v>
      </c>
      <c r="CN75" s="140">
        <v>0</v>
      </c>
      <c r="CO75" s="140">
        <v>0</v>
      </c>
      <c r="CP75" s="140">
        <v>0</v>
      </c>
      <c r="CQ75" s="140">
        <v>0</v>
      </c>
      <c r="CR75" s="140">
        <v>0</v>
      </c>
      <c r="CS75" s="140">
        <v>0</v>
      </c>
      <c r="CT75" s="140">
        <v>0</v>
      </c>
      <c r="CU75" s="140">
        <v>0</v>
      </c>
      <c r="CV75" s="140">
        <v>0</v>
      </c>
      <c r="CW75" s="140">
        <v>0</v>
      </c>
      <c r="CX75" s="140">
        <v>0</v>
      </c>
      <c r="CY75" s="140">
        <v>0</v>
      </c>
      <c r="CZ75" s="140">
        <v>0</v>
      </c>
      <c r="DA75" s="140">
        <v>0</v>
      </c>
      <c r="DB75" s="140">
        <v>0</v>
      </c>
      <c r="DC75" s="140">
        <v>0</v>
      </c>
      <c r="DD75" s="140">
        <v>0</v>
      </c>
      <c r="DE75" s="140">
        <v>0</v>
      </c>
      <c r="DF75" s="140">
        <v>0</v>
      </c>
      <c r="DG75" s="140">
        <v>0</v>
      </c>
      <c r="DH75" s="140">
        <v>0</v>
      </c>
      <c r="DI75" s="140">
        <v>0</v>
      </c>
      <c r="DJ75" s="140">
        <v>0</v>
      </c>
      <c r="DK75" s="140">
        <v>0</v>
      </c>
      <c r="DL75" s="140">
        <v>0</v>
      </c>
      <c r="DM75" s="140">
        <v>0</v>
      </c>
      <c r="DN75" s="140">
        <v>0</v>
      </c>
      <c r="DO75" s="140">
        <v>0</v>
      </c>
      <c r="DP75" s="140">
        <v>0</v>
      </c>
      <c r="DQ75" s="140">
        <v>0</v>
      </c>
      <c r="DR75" s="123"/>
      <c r="DS75" s="123"/>
      <c r="DT75" s="123"/>
      <c r="DU75" s="123"/>
      <c r="DV75" s="123"/>
      <c r="DW75" s="123"/>
      <c r="DX75" s="123"/>
      <c r="DY75" s="123"/>
      <c r="DZ75" s="123"/>
      <c r="EA75" s="123"/>
      <c r="EB75" s="123"/>
      <c r="EC75" s="123"/>
      <c r="ED75" s="123"/>
      <c r="EE75" s="123"/>
      <c r="EF75" s="123"/>
      <c r="EG75" s="123"/>
      <c r="EH75" s="123"/>
      <c r="EI75" s="123"/>
      <c r="EJ75" s="123"/>
      <c r="EK75" s="123"/>
      <c r="EL75" s="123"/>
      <c r="EM75" s="123"/>
      <c r="EN75" s="123"/>
      <c r="EO75" s="123"/>
      <c r="EP75" s="123"/>
      <c r="EQ75" s="123"/>
      <c r="ER75" s="123"/>
      <c r="ES75" s="123"/>
      <c r="ET75" s="123"/>
      <c r="EU75" s="123"/>
      <c r="EV75" s="123"/>
      <c r="EW75" s="123"/>
      <c r="EX75" s="123"/>
      <c r="EY75" s="123"/>
      <c r="EZ75" s="123"/>
      <c r="FA75" s="123"/>
      <c r="FB75" s="123"/>
      <c r="FC75" s="123"/>
      <c r="FD75" s="123"/>
      <c r="FE75" s="123"/>
      <c r="FF75" s="123"/>
      <c r="FG75" s="123"/>
      <c r="FH75" s="123"/>
      <c r="FI75" s="123"/>
      <c r="FJ75" s="123"/>
      <c r="FK75" s="123"/>
      <c r="FL75" s="123"/>
    </row>
    <row r="76" spans="1:168" x14ac:dyDescent="0.25">
      <c r="A76" s="123" t="s">
        <v>36</v>
      </c>
      <c r="B76" s="140">
        <v>0</v>
      </c>
      <c r="C76" s="140">
        <v>0</v>
      </c>
      <c r="D76" s="140">
        <v>0</v>
      </c>
      <c r="E76" s="140">
        <v>0</v>
      </c>
      <c r="F76" s="140">
        <v>0</v>
      </c>
      <c r="G76" s="140">
        <v>0</v>
      </c>
      <c r="H76" s="140">
        <v>0</v>
      </c>
      <c r="I76" s="140">
        <v>0</v>
      </c>
      <c r="J76" s="140">
        <v>0</v>
      </c>
      <c r="K76" s="140">
        <v>0</v>
      </c>
      <c r="L76" s="140">
        <v>0</v>
      </c>
      <c r="M76" s="140">
        <v>0</v>
      </c>
      <c r="N76" s="140">
        <v>0</v>
      </c>
      <c r="O76" s="140">
        <v>0</v>
      </c>
      <c r="P76" s="140">
        <v>0</v>
      </c>
      <c r="Q76" s="140">
        <v>0</v>
      </c>
      <c r="R76" s="140">
        <v>0</v>
      </c>
      <c r="S76" s="140">
        <v>0</v>
      </c>
      <c r="T76" s="140">
        <v>0</v>
      </c>
      <c r="U76" s="140">
        <v>0</v>
      </c>
      <c r="V76" s="140">
        <v>0</v>
      </c>
      <c r="W76" s="140">
        <v>0</v>
      </c>
      <c r="X76" s="140">
        <v>0</v>
      </c>
      <c r="Y76" s="140">
        <v>0</v>
      </c>
      <c r="Z76" s="140">
        <v>0</v>
      </c>
      <c r="AA76" s="140">
        <v>0</v>
      </c>
      <c r="AB76" s="140">
        <v>0</v>
      </c>
      <c r="AC76" s="140">
        <v>0</v>
      </c>
      <c r="AD76" s="140">
        <v>0</v>
      </c>
      <c r="AE76" s="140">
        <v>0</v>
      </c>
      <c r="AF76" s="140">
        <v>0</v>
      </c>
      <c r="AG76" s="140">
        <v>0</v>
      </c>
      <c r="AH76" s="140">
        <v>0</v>
      </c>
      <c r="AI76" s="140">
        <v>0</v>
      </c>
      <c r="AJ76" s="140">
        <v>0</v>
      </c>
      <c r="AK76" s="140">
        <v>0</v>
      </c>
      <c r="AL76" s="140">
        <v>1</v>
      </c>
      <c r="AM76" s="140">
        <v>1</v>
      </c>
      <c r="AN76" s="140">
        <v>0</v>
      </c>
      <c r="AO76" s="140">
        <v>0</v>
      </c>
      <c r="AP76" s="140">
        <v>0</v>
      </c>
      <c r="AQ76" s="140">
        <v>0</v>
      </c>
      <c r="AR76" s="140">
        <v>0</v>
      </c>
      <c r="AS76" s="140">
        <v>0</v>
      </c>
      <c r="AT76" s="140">
        <v>0</v>
      </c>
      <c r="AU76" s="140">
        <v>0</v>
      </c>
      <c r="AV76" s="140">
        <v>0</v>
      </c>
      <c r="AW76" s="140">
        <v>0</v>
      </c>
      <c r="AX76" s="140">
        <v>0</v>
      </c>
      <c r="AY76" s="140">
        <v>0</v>
      </c>
      <c r="AZ76" s="140">
        <v>0</v>
      </c>
      <c r="BA76" s="140">
        <v>0</v>
      </c>
      <c r="BB76" s="140">
        <v>0</v>
      </c>
      <c r="BC76" s="140">
        <v>0</v>
      </c>
      <c r="BD76" s="140">
        <v>0</v>
      </c>
      <c r="BE76" s="140">
        <v>0</v>
      </c>
      <c r="BF76" s="140">
        <v>0</v>
      </c>
      <c r="BG76" s="140">
        <v>0</v>
      </c>
      <c r="BH76" s="140">
        <v>0</v>
      </c>
      <c r="BI76" s="140">
        <v>0</v>
      </c>
      <c r="BJ76" s="140">
        <v>0</v>
      </c>
      <c r="BK76" s="140">
        <v>0</v>
      </c>
      <c r="BL76" s="140">
        <v>0</v>
      </c>
      <c r="BM76" s="140">
        <v>0</v>
      </c>
      <c r="BN76" s="140">
        <v>0</v>
      </c>
      <c r="BO76" s="140">
        <v>0</v>
      </c>
      <c r="BP76" s="140">
        <v>0</v>
      </c>
      <c r="BQ76" s="140">
        <v>0</v>
      </c>
      <c r="BR76" s="140">
        <v>0</v>
      </c>
      <c r="BS76" s="140">
        <v>0</v>
      </c>
      <c r="BT76" s="140">
        <v>0</v>
      </c>
      <c r="BU76" s="140">
        <v>0</v>
      </c>
      <c r="BV76" s="140">
        <v>0</v>
      </c>
      <c r="BW76" s="140">
        <v>0</v>
      </c>
      <c r="BX76" s="140">
        <v>0</v>
      </c>
      <c r="BY76" s="140">
        <v>0</v>
      </c>
      <c r="BZ76" s="140">
        <v>0</v>
      </c>
      <c r="CA76" s="140">
        <v>0</v>
      </c>
      <c r="CB76" s="140">
        <v>0</v>
      </c>
      <c r="CC76" s="140">
        <v>0</v>
      </c>
      <c r="CD76" s="140">
        <v>0</v>
      </c>
      <c r="CE76" s="140">
        <v>0</v>
      </c>
      <c r="CF76" s="140">
        <v>0</v>
      </c>
      <c r="CG76" s="140">
        <v>0</v>
      </c>
      <c r="CH76" s="140">
        <v>0</v>
      </c>
      <c r="CI76" s="140">
        <v>0</v>
      </c>
      <c r="CJ76" s="140">
        <v>0</v>
      </c>
      <c r="CK76" s="140">
        <v>0</v>
      </c>
      <c r="CL76" s="140">
        <v>0</v>
      </c>
      <c r="CM76" s="140">
        <v>0</v>
      </c>
      <c r="CN76" s="140">
        <v>0</v>
      </c>
      <c r="CO76" s="140">
        <v>0</v>
      </c>
      <c r="CP76" s="140">
        <v>0</v>
      </c>
      <c r="CQ76" s="140">
        <v>0</v>
      </c>
      <c r="CR76" s="140">
        <v>0</v>
      </c>
      <c r="CS76" s="140">
        <v>0</v>
      </c>
      <c r="CT76" s="140">
        <v>0</v>
      </c>
      <c r="CU76" s="140">
        <v>0</v>
      </c>
      <c r="CV76" s="140">
        <v>0</v>
      </c>
      <c r="CW76" s="140">
        <v>0</v>
      </c>
      <c r="CX76" s="140">
        <v>0</v>
      </c>
      <c r="CY76" s="140">
        <v>0</v>
      </c>
      <c r="CZ76" s="140">
        <v>0</v>
      </c>
      <c r="DA76" s="140">
        <v>0</v>
      </c>
      <c r="DB76" s="140">
        <v>0</v>
      </c>
      <c r="DC76" s="140">
        <v>0</v>
      </c>
      <c r="DD76" s="140">
        <v>0</v>
      </c>
      <c r="DE76" s="140">
        <v>0</v>
      </c>
      <c r="DF76" s="140">
        <v>0</v>
      </c>
      <c r="DG76" s="140">
        <v>0</v>
      </c>
      <c r="DH76" s="140">
        <v>0</v>
      </c>
      <c r="DI76" s="140">
        <v>0</v>
      </c>
      <c r="DJ76" s="140">
        <v>0</v>
      </c>
      <c r="DK76" s="140">
        <v>0</v>
      </c>
      <c r="DL76" s="140">
        <v>0</v>
      </c>
      <c r="DM76" s="140">
        <v>0</v>
      </c>
      <c r="DN76" s="140">
        <v>0</v>
      </c>
      <c r="DO76" s="140">
        <v>0</v>
      </c>
      <c r="DP76" s="140">
        <v>0</v>
      </c>
      <c r="DQ76" s="140">
        <v>0</v>
      </c>
      <c r="DR76" s="123"/>
      <c r="DS76" s="123"/>
      <c r="DT76" s="123"/>
      <c r="DU76" s="123"/>
      <c r="DV76" s="123"/>
      <c r="DW76" s="123"/>
      <c r="DX76" s="123"/>
      <c r="DY76" s="123"/>
      <c r="DZ76" s="123"/>
      <c r="EA76" s="123"/>
      <c r="EB76" s="123"/>
      <c r="EC76" s="123"/>
      <c r="ED76" s="123"/>
      <c r="EE76" s="123"/>
      <c r="EF76" s="123"/>
      <c r="EG76" s="123"/>
      <c r="EH76" s="123"/>
      <c r="EI76" s="123"/>
      <c r="EJ76" s="123"/>
      <c r="EK76" s="123"/>
      <c r="EL76" s="123"/>
      <c r="EM76" s="123"/>
      <c r="EN76" s="123"/>
      <c r="EO76" s="123"/>
      <c r="EP76" s="123"/>
      <c r="EQ76" s="123"/>
      <c r="ER76" s="123"/>
      <c r="ES76" s="123"/>
      <c r="ET76" s="123"/>
      <c r="EU76" s="123"/>
      <c r="EV76" s="123"/>
      <c r="EW76" s="123"/>
      <c r="EX76" s="123"/>
      <c r="EY76" s="123"/>
      <c r="EZ76" s="123"/>
      <c r="FA76" s="123"/>
      <c r="FB76" s="123"/>
      <c r="FC76" s="123"/>
      <c r="FD76" s="123"/>
      <c r="FE76" s="123"/>
      <c r="FF76" s="123"/>
      <c r="FG76" s="123"/>
      <c r="FH76" s="123"/>
      <c r="FI76" s="123"/>
      <c r="FJ76" s="123"/>
      <c r="FK76" s="123"/>
      <c r="FL76" s="123"/>
    </row>
    <row r="77" spans="1:168" x14ac:dyDescent="0.25">
      <c r="A77" s="123" t="s">
        <v>21</v>
      </c>
      <c r="B77" s="140">
        <v>0</v>
      </c>
      <c r="C77" s="140">
        <v>0</v>
      </c>
      <c r="D77" s="140">
        <v>0</v>
      </c>
      <c r="E77" s="140">
        <v>0</v>
      </c>
      <c r="F77" s="140">
        <v>0</v>
      </c>
      <c r="G77" s="140">
        <v>0</v>
      </c>
      <c r="H77" s="140">
        <v>0</v>
      </c>
      <c r="I77" s="140">
        <v>0</v>
      </c>
      <c r="J77" s="140">
        <v>0</v>
      </c>
      <c r="K77" s="140">
        <v>0</v>
      </c>
      <c r="L77" s="140">
        <v>0</v>
      </c>
      <c r="M77" s="140">
        <v>0</v>
      </c>
      <c r="N77" s="140">
        <v>0</v>
      </c>
      <c r="O77" s="140">
        <v>0</v>
      </c>
      <c r="P77" s="140">
        <v>0</v>
      </c>
      <c r="Q77" s="140">
        <v>0</v>
      </c>
      <c r="R77" s="140">
        <v>0</v>
      </c>
      <c r="S77" s="140">
        <v>0</v>
      </c>
      <c r="T77" s="140">
        <v>0</v>
      </c>
      <c r="U77" s="140">
        <v>0</v>
      </c>
      <c r="V77" s="140">
        <v>0</v>
      </c>
      <c r="W77" s="140">
        <v>0</v>
      </c>
      <c r="X77" s="140">
        <v>0</v>
      </c>
      <c r="Y77" s="140">
        <v>0</v>
      </c>
      <c r="Z77" s="140">
        <v>0</v>
      </c>
      <c r="AA77" s="140">
        <v>0</v>
      </c>
      <c r="AB77" s="140">
        <v>0</v>
      </c>
      <c r="AC77" s="140">
        <v>0</v>
      </c>
      <c r="AD77" s="140">
        <v>0</v>
      </c>
      <c r="AE77" s="140">
        <v>0</v>
      </c>
      <c r="AF77" s="140">
        <v>0</v>
      </c>
      <c r="AG77" s="140">
        <v>0</v>
      </c>
      <c r="AH77" s="140">
        <v>0</v>
      </c>
      <c r="AI77" s="140">
        <v>0</v>
      </c>
      <c r="AJ77" s="140">
        <v>0</v>
      </c>
      <c r="AK77" s="140">
        <v>0</v>
      </c>
      <c r="AL77" s="140">
        <v>0</v>
      </c>
      <c r="AM77" s="140">
        <v>0</v>
      </c>
      <c r="AN77" s="140">
        <v>0</v>
      </c>
      <c r="AO77" s="140">
        <v>0</v>
      </c>
      <c r="AP77" s="140">
        <v>0</v>
      </c>
      <c r="AQ77" s="140">
        <v>0</v>
      </c>
      <c r="AR77" s="140">
        <v>0</v>
      </c>
      <c r="AS77" s="140">
        <v>0</v>
      </c>
      <c r="AT77" s="140">
        <v>0</v>
      </c>
      <c r="AU77" s="140">
        <v>0</v>
      </c>
      <c r="AV77" s="140">
        <v>0</v>
      </c>
      <c r="AW77" s="140">
        <v>0</v>
      </c>
      <c r="AX77" s="140">
        <v>0</v>
      </c>
      <c r="AY77" s="140">
        <v>0</v>
      </c>
      <c r="AZ77" s="140">
        <v>0</v>
      </c>
      <c r="BA77" s="140">
        <v>0</v>
      </c>
      <c r="BB77" s="140">
        <v>0</v>
      </c>
      <c r="BC77" s="140">
        <v>0</v>
      </c>
      <c r="BD77" s="140">
        <v>0</v>
      </c>
      <c r="BE77" s="140">
        <v>0</v>
      </c>
      <c r="BF77" s="140">
        <v>0</v>
      </c>
      <c r="BG77" s="140">
        <v>0</v>
      </c>
      <c r="BH77" s="140">
        <v>0</v>
      </c>
      <c r="BI77" s="140">
        <v>0</v>
      </c>
      <c r="BJ77" s="140">
        <v>0</v>
      </c>
      <c r="BK77" s="140">
        <v>0</v>
      </c>
      <c r="BL77" s="140">
        <v>0</v>
      </c>
      <c r="BM77" s="140">
        <v>0</v>
      </c>
      <c r="BN77" s="140">
        <v>0</v>
      </c>
      <c r="BO77" s="140">
        <v>0</v>
      </c>
      <c r="BP77" s="140">
        <v>0</v>
      </c>
      <c r="BQ77" s="140">
        <v>0</v>
      </c>
      <c r="BR77" s="140">
        <v>0</v>
      </c>
      <c r="BS77" s="140">
        <v>0</v>
      </c>
      <c r="BT77" s="140">
        <v>0</v>
      </c>
      <c r="BU77" s="140">
        <v>0</v>
      </c>
      <c r="BV77" s="140">
        <v>0</v>
      </c>
      <c r="BW77" s="140">
        <v>0</v>
      </c>
      <c r="BX77" s="140">
        <v>0</v>
      </c>
      <c r="BY77" s="140">
        <v>0</v>
      </c>
      <c r="BZ77" s="140">
        <v>0</v>
      </c>
      <c r="CA77" s="140">
        <v>0</v>
      </c>
      <c r="CB77" s="140">
        <v>0</v>
      </c>
      <c r="CC77" s="140">
        <v>0</v>
      </c>
      <c r="CD77" s="140">
        <v>0</v>
      </c>
      <c r="CE77" s="140">
        <v>0</v>
      </c>
      <c r="CF77" s="140">
        <v>0</v>
      </c>
      <c r="CG77" s="140">
        <v>0</v>
      </c>
      <c r="CH77" s="140">
        <v>0</v>
      </c>
      <c r="CI77" s="140">
        <v>0</v>
      </c>
      <c r="CJ77" s="140">
        <v>0</v>
      </c>
      <c r="CK77" s="140">
        <v>0</v>
      </c>
      <c r="CL77" s="140">
        <v>0</v>
      </c>
      <c r="CM77" s="140">
        <v>0</v>
      </c>
      <c r="CN77" s="140">
        <v>0</v>
      </c>
      <c r="CO77" s="140">
        <v>0</v>
      </c>
      <c r="CP77" s="140">
        <v>0</v>
      </c>
      <c r="CQ77" s="140">
        <v>0</v>
      </c>
      <c r="CR77" s="140">
        <v>0</v>
      </c>
      <c r="CS77" s="140">
        <v>0</v>
      </c>
      <c r="CT77" s="140">
        <v>0</v>
      </c>
      <c r="CU77" s="140">
        <v>0</v>
      </c>
      <c r="CV77" s="140">
        <v>0</v>
      </c>
      <c r="CW77" s="140">
        <v>0</v>
      </c>
      <c r="CX77" s="140">
        <v>0</v>
      </c>
      <c r="CY77" s="140">
        <v>0</v>
      </c>
      <c r="CZ77" s="140">
        <v>0</v>
      </c>
      <c r="DA77" s="140">
        <v>0</v>
      </c>
      <c r="DB77" s="140">
        <v>0</v>
      </c>
      <c r="DC77" s="140">
        <v>0</v>
      </c>
      <c r="DD77" s="140">
        <v>0</v>
      </c>
      <c r="DE77" s="140">
        <v>0</v>
      </c>
      <c r="DF77" s="140">
        <v>0</v>
      </c>
      <c r="DG77" s="140">
        <v>0</v>
      </c>
      <c r="DH77" s="140">
        <v>0</v>
      </c>
      <c r="DI77" s="140">
        <v>0</v>
      </c>
      <c r="DJ77" s="140">
        <v>0</v>
      </c>
      <c r="DK77" s="140">
        <v>0</v>
      </c>
      <c r="DL77" s="140">
        <v>0</v>
      </c>
      <c r="DM77" s="140">
        <v>0</v>
      </c>
      <c r="DN77" s="140">
        <v>0</v>
      </c>
      <c r="DO77" s="140">
        <v>0</v>
      </c>
      <c r="DP77" s="140">
        <v>0</v>
      </c>
      <c r="DQ77" s="140">
        <v>0</v>
      </c>
      <c r="DR77" s="123"/>
      <c r="DS77" s="123"/>
      <c r="DT77" s="123"/>
      <c r="DU77" s="123"/>
      <c r="DV77" s="123"/>
      <c r="DW77" s="123"/>
      <c r="DX77" s="123"/>
      <c r="DY77" s="123"/>
      <c r="DZ77" s="123"/>
      <c r="EA77" s="123"/>
      <c r="EB77" s="123"/>
      <c r="EC77" s="123"/>
      <c r="ED77" s="123"/>
      <c r="EE77" s="123"/>
      <c r="EF77" s="123"/>
      <c r="EG77" s="123"/>
      <c r="EH77" s="123"/>
      <c r="EI77" s="123"/>
      <c r="EJ77" s="123"/>
      <c r="EK77" s="123"/>
      <c r="EL77" s="123"/>
      <c r="EM77" s="123"/>
      <c r="EN77" s="123"/>
      <c r="EO77" s="123"/>
      <c r="EP77" s="123"/>
      <c r="EQ77" s="123"/>
      <c r="ER77" s="123"/>
      <c r="ES77" s="123"/>
      <c r="ET77" s="123"/>
      <c r="EU77" s="123"/>
      <c r="EV77" s="123"/>
      <c r="EW77" s="123"/>
      <c r="EX77" s="123"/>
      <c r="EY77" s="123"/>
      <c r="EZ77" s="123"/>
      <c r="FA77" s="123"/>
      <c r="FB77" s="123"/>
      <c r="FC77" s="123"/>
      <c r="FD77" s="123"/>
      <c r="FE77" s="123"/>
      <c r="FF77" s="123"/>
      <c r="FG77" s="123"/>
      <c r="FH77" s="123"/>
      <c r="FI77" s="123"/>
      <c r="FJ77" s="123"/>
      <c r="FK77" s="123"/>
      <c r="FL77" s="123"/>
    </row>
    <row r="78" spans="1:168" x14ac:dyDescent="0.25">
      <c r="A78" s="123" t="s">
        <v>18</v>
      </c>
      <c r="B78" s="140">
        <v>0</v>
      </c>
      <c r="C78" s="140">
        <v>0</v>
      </c>
      <c r="D78" s="140">
        <v>0</v>
      </c>
      <c r="E78" s="140">
        <v>0</v>
      </c>
      <c r="F78" s="140">
        <v>0</v>
      </c>
      <c r="G78" s="140">
        <v>0</v>
      </c>
      <c r="H78" s="140">
        <v>0</v>
      </c>
      <c r="I78" s="140">
        <v>0</v>
      </c>
      <c r="J78" s="140">
        <v>0</v>
      </c>
      <c r="K78" s="140">
        <v>0</v>
      </c>
      <c r="L78" s="140">
        <v>0</v>
      </c>
      <c r="M78" s="140">
        <v>0</v>
      </c>
      <c r="N78" s="140">
        <v>0</v>
      </c>
      <c r="O78" s="140">
        <v>0</v>
      </c>
      <c r="P78" s="140">
        <v>0</v>
      </c>
      <c r="Q78" s="140">
        <v>0</v>
      </c>
      <c r="R78" s="140">
        <v>0</v>
      </c>
      <c r="S78" s="140">
        <v>0</v>
      </c>
      <c r="T78" s="140">
        <v>0</v>
      </c>
      <c r="U78" s="140">
        <v>0</v>
      </c>
      <c r="V78" s="140">
        <v>0</v>
      </c>
      <c r="W78" s="140">
        <v>0</v>
      </c>
      <c r="X78" s="140">
        <v>0</v>
      </c>
      <c r="Y78" s="140">
        <v>0</v>
      </c>
      <c r="Z78" s="140">
        <v>0</v>
      </c>
      <c r="AA78" s="140">
        <v>0</v>
      </c>
      <c r="AB78" s="140">
        <v>0</v>
      </c>
      <c r="AC78" s="140">
        <v>0</v>
      </c>
      <c r="AD78" s="140">
        <v>0</v>
      </c>
      <c r="AE78" s="140">
        <v>0</v>
      </c>
      <c r="AF78" s="140">
        <v>0</v>
      </c>
      <c r="AG78" s="140">
        <v>0</v>
      </c>
      <c r="AH78" s="140">
        <v>0</v>
      </c>
      <c r="AI78" s="140">
        <v>0</v>
      </c>
      <c r="AJ78" s="140">
        <v>0</v>
      </c>
      <c r="AK78" s="140">
        <v>0</v>
      </c>
      <c r="AL78" s="140">
        <v>0</v>
      </c>
      <c r="AM78" s="140">
        <v>0</v>
      </c>
      <c r="AN78" s="140">
        <v>0</v>
      </c>
      <c r="AO78" s="140">
        <v>0</v>
      </c>
      <c r="AP78" s="140">
        <v>0</v>
      </c>
      <c r="AQ78" s="140">
        <v>0</v>
      </c>
      <c r="AR78" s="140">
        <v>0</v>
      </c>
      <c r="AS78" s="140">
        <v>0</v>
      </c>
      <c r="AT78" s="140">
        <v>0</v>
      </c>
      <c r="AU78" s="140">
        <v>0</v>
      </c>
      <c r="AV78" s="140">
        <v>0</v>
      </c>
      <c r="AW78" s="140">
        <v>0</v>
      </c>
      <c r="AX78" s="140">
        <v>0</v>
      </c>
      <c r="AY78" s="140">
        <v>0</v>
      </c>
      <c r="AZ78" s="140">
        <v>0</v>
      </c>
      <c r="BA78" s="140">
        <v>0</v>
      </c>
      <c r="BB78" s="140">
        <v>0</v>
      </c>
      <c r="BC78" s="140">
        <v>0</v>
      </c>
      <c r="BD78" s="140">
        <v>0</v>
      </c>
      <c r="BE78" s="140">
        <v>0</v>
      </c>
      <c r="BF78" s="140">
        <v>0</v>
      </c>
      <c r="BG78" s="140">
        <v>0</v>
      </c>
      <c r="BH78" s="140">
        <v>0</v>
      </c>
      <c r="BI78" s="140">
        <v>0</v>
      </c>
      <c r="BJ78" s="140">
        <v>0</v>
      </c>
      <c r="BK78" s="140">
        <v>0</v>
      </c>
      <c r="BL78" s="140">
        <v>0</v>
      </c>
      <c r="BM78" s="140">
        <v>0</v>
      </c>
      <c r="BN78" s="140">
        <v>0</v>
      </c>
      <c r="BO78" s="140">
        <v>0</v>
      </c>
      <c r="BP78" s="140">
        <v>0</v>
      </c>
      <c r="BQ78" s="140">
        <v>0</v>
      </c>
      <c r="BR78" s="140">
        <v>0</v>
      </c>
      <c r="BS78" s="140">
        <v>0</v>
      </c>
      <c r="BT78" s="140">
        <v>0</v>
      </c>
      <c r="BU78" s="140">
        <v>0</v>
      </c>
      <c r="BV78" s="140">
        <v>0</v>
      </c>
      <c r="BW78" s="140">
        <v>0</v>
      </c>
      <c r="BX78" s="140">
        <v>0</v>
      </c>
      <c r="BY78" s="140">
        <v>0</v>
      </c>
      <c r="BZ78" s="140">
        <v>0</v>
      </c>
      <c r="CA78" s="140">
        <v>0</v>
      </c>
      <c r="CB78" s="140">
        <v>0</v>
      </c>
      <c r="CC78" s="140">
        <v>0</v>
      </c>
      <c r="CD78" s="140">
        <v>0</v>
      </c>
      <c r="CE78" s="140">
        <v>0</v>
      </c>
      <c r="CF78" s="140">
        <v>0</v>
      </c>
      <c r="CG78" s="140">
        <v>0</v>
      </c>
      <c r="CH78" s="140">
        <v>0</v>
      </c>
      <c r="CI78" s="140">
        <v>0</v>
      </c>
      <c r="CJ78" s="140">
        <v>0</v>
      </c>
      <c r="CK78" s="140">
        <v>0</v>
      </c>
      <c r="CL78" s="140">
        <v>0</v>
      </c>
      <c r="CM78" s="140">
        <v>0</v>
      </c>
      <c r="CN78" s="140">
        <v>0</v>
      </c>
      <c r="CO78" s="140">
        <v>0</v>
      </c>
      <c r="CP78" s="140">
        <v>0</v>
      </c>
      <c r="CQ78" s="140">
        <v>0</v>
      </c>
      <c r="CR78" s="140">
        <v>0</v>
      </c>
      <c r="CS78" s="140">
        <v>0</v>
      </c>
      <c r="CT78" s="140">
        <v>0</v>
      </c>
      <c r="CU78" s="140">
        <v>0</v>
      </c>
      <c r="CV78" s="140">
        <v>0</v>
      </c>
      <c r="CW78" s="140">
        <v>0</v>
      </c>
      <c r="CX78" s="140">
        <v>0</v>
      </c>
      <c r="CY78" s="140">
        <v>0</v>
      </c>
      <c r="CZ78" s="140">
        <v>0</v>
      </c>
      <c r="DA78" s="140">
        <v>0</v>
      </c>
      <c r="DB78" s="140">
        <v>0</v>
      </c>
      <c r="DC78" s="140">
        <v>0</v>
      </c>
      <c r="DD78" s="140">
        <v>0</v>
      </c>
      <c r="DE78" s="140">
        <v>0</v>
      </c>
      <c r="DF78" s="140">
        <v>0</v>
      </c>
      <c r="DG78" s="140">
        <v>0</v>
      </c>
      <c r="DH78" s="140">
        <v>0</v>
      </c>
      <c r="DI78" s="140">
        <v>0</v>
      </c>
      <c r="DJ78" s="140">
        <v>0</v>
      </c>
      <c r="DK78" s="140">
        <v>0</v>
      </c>
      <c r="DL78" s="140">
        <v>0</v>
      </c>
      <c r="DM78" s="140">
        <v>0</v>
      </c>
      <c r="DN78" s="140">
        <v>0</v>
      </c>
      <c r="DO78" s="140">
        <v>0</v>
      </c>
      <c r="DP78" s="140">
        <v>0</v>
      </c>
      <c r="DQ78" s="140">
        <v>0</v>
      </c>
      <c r="DR78" s="123"/>
      <c r="DS78" s="123"/>
      <c r="DT78" s="123"/>
      <c r="DU78" s="123"/>
      <c r="DV78" s="123"/>
      <c r="DW78" s="123"/>
      <c r="DX78" s="123"/>
      <c r="DY78" s="123"/>
      <c r="DZ78" s="123"/>
      <c r="EA78" s="123"/>
      <c r="EB78" s="123"/>
      <c r="EC78" s="123"/>
      <c r="ED78" s="123"/>
      <c r="EE78" s="123"/>
      <c r="EF78" s="123"/>
      <c r="EG78" s="123"/>
      <c r="EH78" s="123"/>
      <c r="EI78" s="123"/>
      <c r="EJ78" s="123"/>
      <c r="EK78" s="123"/>
      <c r="EL78" s="123"/>
      <c r="EM78" s="123"/>
      <c r="EN78" s="123"/>
      <c r="EO78" s="123"/>
      <c r="EP78" s="123"/>
      <c r="EQ78" s="123"/>
      <c r="ER78" s="123"/>
      <c r="ES78" s="123"/>
      <c r="ET78" s="123"/>
      <c r="EU78" s="123"/>
      <c r="EV78" s="123"/>
      <c r="EW78" s="123"/>
      <c r="EX78" s="123"/>
      <c r="EY78" s="123"/>
      <c r="EZ78" s="123"/>
      <c r="FA78" s="123"/>
      <c r="FB78" s="123"/>
      <c r="FC78" s="123"/>
      <c r="FD78" s="123"/>
      <c r="FE78" s="123"/>
      <c r="FF78" s="123"/>
      <c r="FG78" s="123"/>
      <c r="FH78" s="123"/>
      <c r="FI78" s="123"/>
      <c r="FJ78" s="123"/>
      <c r="FK78" s="123"/>
      <c r="FL78" s="123"/>
    </row>
    <row r="79" spans="1:168" x14ac:dyDescent="0.25">
      <c r="A79" s="123" t="s">
        <v>14</v>
      </c>
      <c r="B79" s="140">
        <v>0</v>
      </c>
      <c r="C79" s="140">
        <v>0</v>
      </c>
      <c r="D79" s="140">
        <v>0</v>
      </c>
      <c r="E79" s="140">
        <v>0</v>
      </c>
      <c r="F79" s="140">
        <v>0</v>
      </c>
      <c r="G79" s="140">
        <v>0</v>
      </c>
      <c r="H79" s="140">
        <v>0</v>
      </c>
      <c r="I79" s="140">
        <v>0</v>
      </c>
      <c r="J79" s="140">
        <v>0</v>
      </c>
      <c r="K79" s="140">
        <v>0</v>
      </c>
      <c r="L79" s="140">
        <v>0</v>
      </c>
      <c r="M79" s="140">
        <v>0</v>
      </c>
      <c r="N79" s="140">
        <v>0</v>
      </c>
      <c r="O79" s="140">
        <v>0</v>
      </c>
      <c r="P79" s="140">
        <v>0</v>
      </c>
      <c r="Q79" s="140">
        <v>0</v>
      </c>
      <c r="R79" s="140">
        <v>0</v>
      </c>
      <c r="S79" s="140">
        <v>0</v>
      </c>
      <c r="T79" s="140">
        <v>0</v>
      </c>
      <c r="U79" s="140">
        <v>0</v>
      </c>
      <c r="V79" s="140">
        <v>0</v>
      </c>
      <c r="W79" s="140">
        <v>0</v>
      </c>
      <c r="X79" s="140">
        <v>0</v>
      </c>
      <c r="Y79" s="140">
        <v>0</v>
      </c>
      <c r="Z79" s="140">
        <v>0</v>
      </c>
      <c r="AA79" s="140">
        <v>0</v>
      </c>
      <c r="AB79" s="140">
        <v>0</v>
      </c>
      <c r="AC79" s="140">
        <v>0</v>
      </c>
      <c r="AD79" s="140">
        <v>0</v>
      </c>
      <c r="AE79" s="140">
        <v>0</v>
      </c>
      <c r="AF79" s="140">
        <v>0</v>
      </c>
      <c r="AG79" s="140">
        <v>0</v>
      </c>
      <c r="AH79" s="140">
        <v>0</v>
      </c>
      <c r="AI79" s="140">
        <v>0</v>
      </c>
      <c r="AJ79" s="140">
        <v>0</v>
      </c>
      <c r="AK79" s="140">
        <v>0</v>
      </c>
      <c r="AL79" s="140">
        <v>0</v>
      </c>
      <c r="AM79" s="140">
        <v>0</v>
      </c>
      <c r="AN79" s="140">
        <v>0</v>
      </c>
      <c r="AO79" s="140">
        <v>0</v>
      </c>
      <c r="AP79" s="140">
        <v>0</v>
      </c>
      <c r="AQ79" s="140">
        <v>0</v>
      </c>
      <c r="AR79" s="140">
        <v>0</v>
      </c>
      <c r="AS79" s="140">
        <v>0</v>
      </c>
      <c r="AT79" s="140">
        <v>0</v>
      </c>
      <c r="AU79" s="140">
        <v>0</v>
      </c>
      <c r="AV79" s="140">
        <v>0</v>
      </c>
      <c r="AW79" s="140">
        <v>0</v>
      </c>
      <c r="AX79" s="140">
        <v>0</v>
      </c>
      <c r="AY79" s="140">
        <v>0</v>
      </c>
      <c r="AZ79" s="140">
        <v>0</v>
      </c>
      <c r="BA79" s="140">
        <v>0</v>
      </c>
      <c r="BB79" s="140">
        <v>0</v>
      </c>
      <c r="BC79" s="140">
        <v>0</v>
      </c>
      <c r="BD79" s="140">
        <v>0</v>
      </c>
      <c r="BE79" s="140">
        <v>0</v>
      </c>
      <c r="BF79" s="140">
        <v>0</v>
      </c>
      <c r="BG79" s="140">
        <v>0</v>
      </c>
      <c r="BH79" s="140">
        <v>0</v>
      </c>
      <c r="BI79" s="140">
        <v>0</v>
      </c>
      <c r="BJ79" s="140">
        <v>0</v>
      </c>
      <c r="BK79" s="140">
        <v>0</v>
      </c>
      <c r="BL79" s="140">
        <v>0</v>
      </c>
      <c r="BM79" s="140">
        <v>0</v>
      </c>
      <c r="BN79" s="140">
        <v>0</v>
      </c>
      <c r="BO79" s="140">
        <v>0</v>
      </c>
      <c r="BP79" s="140">
        <v>0</v>
      </c>
      <c r="BQ79" s="140">
        <v>0</v>
      </c>
      <c r="BR79" s="140">
        <v>0</v>
      </c>
      <c r="BS79" s="140">
        <v>0</v>
      </c>
      <c r="BT79" s="140">
        <v>0</v>
      </c>
      <c r="BU79" s="140">
        <v>0</v>
      </c>
      <c r="BV79" s="140">
        <v>0</v>
      </c>
      <c r="BW79" s="140">
        <v>0</v>
      </c>
      <c r="BX79" s="140">
        <v>0</v>
      </c>
      <c r="BY79" s="140">
        <v>0</v>
      </c>
      <c r="BZ79" s="140">
        <v>0</v>
      </c>
      <c r="CA79" s="140">
        <v>0</v>
      </c>
      <c r="CB79" s="140">
        <v>0</v>
      </c>
      <c r="CC79" s="140">
        <v>0</v>
      </c>
      <c r="CD79" s="140">
        <v>0</v>
      </c>
      <c r="CE79" s="140">
        <v>0</v>
      </c>
      <c r="CF79" s="140">
        <v>0</v>
      </c>
      <c r="CG79" s="140">
        <v>0</v>
      </c>
      <c r="CH79" s="140">
        <v>0</v>
      </c>
      <c r="CI79" s="140">
        <v>0</v>
      </c>
      <c r="CJ79" s="140">
        <v>0</v>
      </c>
      <c r="CK79" s="140">
        <v>0</v>
      </c>
      <c r="CL79" s="140">
        <v>0</v>
      </c>
      <c r="CM79" s="140">
        <v>0</v>
      </c>
      <c r="CN79" s="140">
        <v>0</v>
      </c>
      <c r="CO79" s="140">
        <v>0</v>
      </c>
      <c r="CP79" s="140">
        <v>0</v>
      </c>
      <c r="CQ79" s="140">
        <v>0</v>
      </c>
      <c r="CR79" s="140">
        <v>0</v>
      </c>
      <c r="CS79" s="140">
        <v>0</v>
      </c>
      <c r="CT79" s="140">
        <v>0</v>
      </c>
      <c r="CU79" s="140">
        <v>0</v>
      </c>
      <c r="CV79" s="140">
        <v>0</v>
      </c>
      <c r="CW79" s="140">
        <v>0</v>
      </c>
      <c r="CX79" s="140">
        <v>0</v>
      </c>
      <c r="CY79" s="140">
        <v>0</v>
      </c>
      <c r="CZ79" s="140">
        <v>0</v>
      </c>
      <c r="DA79" s="140">
        <v>0</v>
      </c>
      <c r="DB79" s="140">
        <v>0</v>
      </c>
      <c r="DC79" s="140">
        <v>0</v>
      </c>
      <c r="DD79" s="140">
        <v>0</v>
      </c>
      <c r="DE79" s="140">
        <v>0</v>
      </c>
      <c r="DF79" s="140">
        <v>0</v>
      </c>
      <c r="DG79" s="140">
        <v>0</v>
      </c>
      <c r="DH79" s="140">
        <v>0</v>
      </c>
      <c r="DI79" s="140">
        <v>0</v>
      </c>
      <c r="DJ79" s="140">
        <v>0</v>
      </c>
      <c r="DK79" s="140">
        <v>0</v>
      </c>
      <c r="DL79" s="140">
        <v>0</v>
      </c>
      <c r="DM79" s="140">
        <v>0</v>
      </c>
      <c r="DN79" s="140">
        <v>0</v>
      </c>
      <c r="DO79" s="140">
        <v>0</v>
      </c>
      <c r="DP79" s="140">
        <v>0</v>
      </c>
      <c r="DQ79" s="140">
        <v>0</v>
      </c>
      <c r="DR79" s="123"/>
      <c r="DS79" s="123"/>
      <c r="DT79" s="123"/>
      <c r="DU79" s="123"/>
      <c r="DV79" s="123"/>
      <c r="DW79" s="123"/>
      <c r="DX79" s="123"/>
      <c r="DY79" s="123"/>
      <c r="DZ79" s="123"/>
      <c r="EA79" s="123"/>
      <c r="EB79" s="123"/>
      <c r="EC79" s="123"/>
      <c r="ED79" s="123"/>
      <c r="EE79" s="123"/>
      <c r="EF79" s="123"/>
      <c r="EG79" s="123"/>
      <c r="EH79" s="123"/>
      <c r="EI79" s="123"/>
      <c r="EJ79" s="123"/>
      <c r="EK79" s="123"/>
      <c r="EL79" s="123"/>
      <c r="EM79" s="123"/>
      <c r="EN79" s="123"/>
      <c r="EO79" s="123"/>
      <c r="EP79" s="123"/>
      <c r="EQ79" s="123"/>
      <c r="ER79" s="123"/>
      <c r="ES79" s="123"/>
      <c r="ET79" s="123"/>
      <c r="EU79" s="123"/>
      <c r="EV79" s="123"/>
      <c r="EW79" s="123"/>
      <c r="EX79" s="123"/>
      <c r="EY79" s="123"/>
      <c r="EZ79" s="123"/>
      <c r="FA79" s="123"/>
      <c r="FB79" s="123"/>
      <c r="FC79" s="123"/>
      <c r="FD79" s="123"/>
      <c r="FE79" s="123"/>
      <c r="FF79" s="123"/>
      <c r="FG79" s="123"/>
      <c r="FH79" s="123"/>
      <c r="FI79" s="123"/>
      <c r="FJ79" s="123"/>
      <c r="FK79" s="123"/>
      <c r="FL79" s="123"/>
    </row>
    <row r="80" spans="1:168" x14ac:dyDescent="0.25">
      <c r="A80" s="123" t="s">
        <v>16</v>
      </c>
      <c r="B80" s="140">
        <v>0</v>
      </c>
      <c r="C80" s="140">
        <v>0</v>
      </c>
      <c r="D80" s="140">
        <v>0</v>
      </c>
      <c r="E80" s="140">
        <v>0</v>
      </c>
      <c r="F80" s="140">
        <v>0</v>
      </c>
      <c r="G80" s="140">
        <v>0</v>
      </c>
      <c r="H80" s="140">
        <v>0</v>
      </c>
      <c r="I80" s="140">
        <v>0</v>
      </c>
      <c r="J80" s="140">
        <v>0</v>
      </c>
      <c r="K80" s="140">
        <v>0</v>
      </c>
      <c r="L80" s="140">
        <v>0</v>
      </c>
      <c r="M80" s="140">
        <v>0</v>
      </c>
      <c r="N80" s="140">
        <v>0</v>
      </c>
      <c r="O80" s="140">
        <v>0</v>
      </c>
      <c r="P80" s="140">
        <v>0</v>
      </c>
      <c r="Q80" s="140">
        <v>0</v>
      </c>
      <c r="R80" s="140">
        <v>0</v>
      </c>
      <c r="S80" s="140">
        <v>0</v>
      </c>
      <c r="T80" s="140">
        <v>0</v>
      </c>
      <c r="U80" s="140">
        <v>0</v>
      </c>
      <c r="V80" s="140">
        <v>0</v>
      </c>
      <c r="W80" s="140">
        <v>0</v>
      </c>
      <c r="X80" s="140">
        <v>0</v>
      </c>
      <c r="Y80" s="140">
        <v>0</v>
      </c>
      <c r="Z80" s="140">
        <v>0</v>
      </c>
      <c r="AA80" s="140">
        <v>0</v>
      </c>
      <c r="AB80" s="140">
        <v>0</v>
      </c>
      <c r="AC80" s="140">
        <v>0</v>
      </c>
      <c r="AD80" s="140">
        <v>0</v>
      </c>
      <c r="AE80" s="140">
        <v>0</v>
      </c>
      <c r="AF80" s="140">
        <v>0</v>
      </c>
      <c r="AG80" s="140">
        <v>0</v>
      </c>
      <c r="AH80" s="140">
        <v>0</v>
      </c>
      <c r="AI80" s="140">
        <v>0</v>
      </c>
      <c r="AJ80" s="140">
        <v>0</v>
      </c>
      <c r="AK80" s="140">
        <v>0</v>
      </c>
      <c r="AL80" s="140">
        <v>0</v>
      </c>
      <c r="AM80" s="140">
        <v>0</v>
      </c>
      <c r="AN80" s="140">
        <v>0</v>
      </c>
      <c r="AO80" s="140">
        <v>0</v>
      </c>
      <c r="AP80" s="140">
        <v>0</v>
      </c>
      <c r="AQ80" s="140">
        <v>0</v>
      </c>
      <c r="AR80" s="140">
        <v>0</v>
      </c>
      <c r="AS80" s="140">
        <v>0</v>
      </c>
      <c r="AT80" s="140">
        <v>0</v>
      </c>
      <c r="AU80" s="140">
        <v>0</v>
      </c>
      <c r="AV80" s="140">
        <v>0</v>
      </c>
      <c r="AW80" s="140">
        <v>0</v>
      </c>
      <c r="AX80" s="140">
        <v>0</v>
      </c>
      <c r="AY80" s="140">
        <v>0</v>
      </c>
      <c r="AZ80" s="140">
        <v>0</v>
      </c>
      <c r="BA80" s="140">
        <v>0</v>
      </c>
      <c r="BB80" s="140">
        <v>0</v>
      </c>
      <c r="BC80" s="140">
        <v>0</v>
      </c>
      <c r="BD80" s="140">
        <v>0</v>
      </c>
      <c r="BE80" s="140">
        <v>0</v>
      </c>
      <c r="BF80" s="140">
        <v>0</v>
      </c>
      <c r="BG80" s="140">
        <v>0</v>
      </c>
      <c r="BH80" s="140">
        <v>0</v>
      </c>
      <c r="BI80" s="140">
        <v>0</v>
      </c>
      <c r="BJ80" s="140">
        <v>0</v>
      </c>
      <c r="BK80" s="140">
        <v>0</v>
      </c>
      <c r="BL80" s="140">
        <v>0</v>
      </c>
      <c r="BM80" s="140">
        <v>0</v>
      </c>
      <c r="BN80" s="140">
        <v>0</v>
      </c>
      <c r="BO80" s="140">
        <v>0</v>
      </c>
      <c r="BP80" s="140">
        <v>0</v>
      </c>
      <c r="BQ80" s="140">
        <v>0</v>
      </c>
      <c r="BR80" s="140">
        <v>0</v>
      </c>
      <c r="BS80" s="140">
        <v>0</v>
      </c>
      <c r="BT80" s="140">
        <v>0</v>
      </c>
      <c r="BU80" s="140">
        <v>0</v>
      </c>
      <c r="BV80" s="140">
        <v>0</v>
      </c>
      <c r="BW80" s="140">
        <v>0</v>
      </c>
      <c r="BX80" s="140">
        <v>0</v>
      </c>
      <c r="BY80" s="140">
        <v>0</v>
      </c>
      <c r="BZ80" s="140">
        <v>0</v>
      </c>
      <c r="CA80" s="140">
        <v>0</v>
      </c>
      <c r="CB80" s="140">
        <v>0</v>
      </c>
      <c r="CC80" s="140">
        <v>0</v>
      </c>
      <c r="CD80" s="140">
        <v>0</v>
      </c>
      <c r="CE80" s="140">
        <v>0</v>
      </c>
      <c r="CF80" s="140">
        <v>0</v>
      </c>
      <c r="CG80" s="140">
        <v>0</v>
      </c>
      <c r="CH80" s="140">
        <v>0</v>
      </c>
      <c r="CI80" s="140">
        <v>0</v>
      </c>
      <c r="CJ80" s="140">
        <v>0</v>
      </c>
      <c r="CK80" s="140">
        <v>0</v>
      </c>
      <c r="CL80" s="140">
        <v>0</v>
      </c>
      <c r="CM80" s="140">
        <v>0</v>
      </c>
      <c r="CN80" s="140">
        <v>0</v>
      </c>
      <c r="CO80" s="140">
        <v>0</v>
      </c>
      <c r="CP80" s="140">
        <v>0</v>
      </c>
      <c r="CQ80" s="140">
        <v>0</v>
      </c>
      <c r="CR80" s="140">
        <v>0</v>
      </c>
      <c r="CS80" s="140">
        <v>0</v>
      </c>
      <c r="CT80" s="140">
        <v>0</v>
      </c>
      <c r="CU80" s="140">
        <v>0</v>
      </c>
      <c r="CV80" s="140">
        <v>0</v>
      </c>
      <c r="CW80" s="140">
        <v>0</v>
      </c>
      <c r="CX80" s="140">
        <v>0</v>
      </c>
      <c r="CY80" s="140">
        <v>0</v>
      </c>
      <c r="CZ80" s="140">
        <v>0</v>
      </c>
      <c r="DA80" s="140">
        <v>0</v>
      </c>
      <c r="DB80" s="140">
        <v>0</v>
      </c>
      <c r="DC80" s="140">
        <v>0</v>
      </c>
      <c r="DD80" s="140">
        <v>0</v>
      </c>
      <c r="DE80" s="140">
        <v>0</v>
      </c>
      <c r="DF80" s="140">
        <v>0</v>
      </c>
      <c r="DG80" s="140">
        <v>0</v>
      </c>
      <c r="DH80" s="140">
        <v>0</v>
      </c>
      <c r="DI80" s="140">
        <v>0</v>
      </c>
      <c r="DJ80" s="140">
        <v>0</v>
      </c>
      <c r="DK80" s="140">
        <v>0</v>
      </c>
      <c r="DL80" s="140">
        <v>0</v>
      </c>
      <c r="DM80" s="140">
        <v>0</v>
      </c>
      <c r="DN80" s="140">
        <v>0</v>
      </c>
      <c r="DO80" s="140">
        <v>0</v>
      </c>
      <c r="DP80" s="140">
        <v>0</v>
      </c>
      <c r="DQ80" s="140">
        <v>0</v>
      </c>
      <c r="DR80" s="123"/>
      <c r="DS80" s="123"/>
      <c r="DT80" s="123"/>
      <c r="DU80" s="123"/>
      <c r="DV80" s="123"/>
      <c r="DW80" s="123"/>
      <c r="DX80" s="123"/>
      <c r="DY80" s="123"/>
      <c r="DZ80" s="123"/>
      <c r="EA80" s="123"/>
      <c r="EB80" s="123"/>
      <c r="EC80" s="123"/>
      <c r="ED80" s="123"/>
      <c r="EE80" s="123"/>
      <c r="EF80" s="123"/>
      <c r="EG80" s="123"/>
      <c r="EH80" s="123"/>
      <c r="EI80" s="123"/>
      <c r="EJ80" s="123"/>
      <c r="EK80" s="123"/>
      <c r="EL80" s="123"/>
      <c r="EM80" s="123"/>
      <c r="EN80" s="123"/>
      <c r="EO80" s="123"/>
      <c r="EP80" s="123"/>
      <c r="EQ80" s="123"/>
      <c r="ER80" s="123"/>
      <c r="ES80" s="123"/>
      <c r="ET80" s="123"/>
      <c r="EU80" s="123"/>
      <c r="EV80" s="123"/>
      <c r="EW80" s="123"/>
      <c r="EX80" s="123"/>
      <c r="EY80" s="123"/>
      <c r="EZ80" s="123"/>
      <c r="FA80" s="123"/>
      <c r="FB80" s="123"/>
      <c r="FC80" s="123"/>
      <c r="FD80" s="123"/>
      <c r="FE80" s="123"/>
      <c r="FF80" s="123"/>
      <c r="FG80" s="123"/>
      <c r="FH80" s="123"/>
      <c r="FI80" s="123"/>
      <c r="FJ80" s="123"/>
      <c r="FK80" s="123"/>
      <c r="FL80" s="123"/>
    </row>
    <row r="81" spans="1:168" x14ac:dyDescent="0.25">
      <c r="A81" s="127" t="s">
        <v>580</v>
      </c>
      <c r="B81" s="141">
        <v>0</v>
      </c>
      <c r="C81" s="141">
        <v>0.13094302000539082</v>
      </c>
      <c r="D81" s="141">
        <v>0</v>
      </c>
      <c r="E81" s="141">
        <v>0</v>
      </c>
      <c r="F81" s="141">
        <v>0</v>
      </c>
      <c r="G81" s="141">
        <v>0</v>
      </c>
      <c r="H81" s="141">
        <v>0</v>
      </c>
      <c r="I81" s="141">
        <v>0</v>
      </c>
      <c r="J81" s="141">
        <v>0</v>
      </c>
      <c r="K81" s="141">
        <v>0</v>
      </c>
      <c r="L81" s="141">
        <v>0</v>
      </c>
      <c r="M81" s="141">
        <v>0</v>
      </c>
      <c r="N81" s="141">
        <v>0</v>
      </c>
      <c r="O81" s="141">
        <v>0.33124012895724886</v>
      </c>
      <c r="P81" s="141">
        <v>0</v>
      </c>
      <c r="Q81" s="141">
        <v>0</v>
      </c>
      <c r="R81" s="141">
        <v>0</v>
      </c>
      <c r="S81" s="141">
        <v>0</v>
      </c>
      <c r="T81" s="141">
        <v>0</v>
      </c>
      <c r="U81" s="141">
        <v>0</v>
      </c>
      <c r="V81" s="141">
        <v>0</v>
      </c>
      <c r="W81" s="141">
        <v>0</v>
      </c>
      <c r="X81" s="141">
        <v>0</v>
      </c>
      <c r="Y81" s="141">
        <v>0</v>
      </c>
      <c r="Z81" s="141">
        <v>0</v>
      </c>
      <c r="AA81" s="141">
        <v>0.41355119262922013</v>
      </c>
      <c r="AB81" s="141">
        <v>0</v>
      </c>
      <c r="AC81" s="141">
        <v>0</v>
      </c>
      <c r="AD81" s="141">
        <v>0</v>
      </c>
      <c r="AE81" s="141">
        <v>0</v>
      </c>
      <c r="AF81" s="141">
        <v>0</v>
      </c>
      <c r="AG81" s="141">
        <v>0</v>
      </c>
      <c r="AH81" s="141">
        <v>0</v>
      </c>
      <c r="AI81" s="141">
        <v>0</v>
      </c>
      <c r="AJ81" s="141">
        <v>0</v>
      </c>
      <c r="AK81" s="141">
        <v>0</v>
      </c>
      <c r="AL81" s="141">
        <v>0</v>
      </c>
      <c r="AM81" s="141">
        <v>0</v>
      </c>
      <c r="AN81" s="141">
        <v>0</v>
      </c>
      <c r="AO81" s="141">
        <v>0</v>
      </c>
      <c r="AP81" s="141">
        <v>0</v>
      </c>
      <c r="AQ81" s="141">
        <v>0</v>
      </c>
      <c r="AR81" s="141">
        <v>0</v>
      </c>
      <c r="AS81" s="141">
        <v>0</v>
      </c>
      <c r="AT81" s="141">
        <v>0</v>
      </c>
      <c r="AU81" s="141">
        <v>0</v>
      </c>
      <c r="AV81" s="141">
        <v>0</v>
      </c>
      <c r="AW81" s="141">
        <v>0</v>
      </c>
      <c r="AX81" s="141">
        <v>0</v>
      </c>
      <c r="AY81" s="141">
        <v>0</v>
      </c>
      <c r="AZ81" s="141">
        <v>0</v>
      </c>
      <c r="BA81" s="141">
        <v>0</v>
      </c>
      <c r="BB81" s="141">
        <v>0</v>
      </c>
      <c r="BC81" s="141">
        <v>0</v>
      </c>
      <c r="BD81" s="141">
        <v>0</v>
      </c>
      <c r="BE81" s="141">
        <v>0</v>
      </c>
      <c r="BF81" s="141">
        <v>0</v>
      </c>
      <c r="BG81" s="141">
        <v>0</v>
      </c>
      <c r="BH81" s="141">
        <v>0</v>
      </c>
      <c r="BI81" s="141">
        <v>0</v>
      </c>
      <c r="BJ81" s="141">
        <v>0</v>
      </c>
      <c r="BK81" s="141">
        <v>0</v>
      </c>
      <c r="BL81" s="141">
        <v>0</v>
      </c>
      <c r="BM81" s="141">
        <v>0</v>
      </c>
      <c r="BN81" s="141">
        <v>0</v>
      </c>
      <c r="BO81" s="141">
        <v>0</v>
      </c>
      <c r="BP81" s="141">
        <v>0</v>
      </c>
      <c r="BQ81" s="141">
        <v>0</v>
      </c>
      <c r="BR81" s="141">
        <v>0</v>
      </c>
      <c r="BS81" s="141">
        <v>0</v>
      </c>
      <c r="BT81" s="141">
        <v>0</v>
      </c>
      <c r="BU81" s="141">
        <v>0</v>
      </c>
      <c r="BV81" s="141">
        <v>0</v>
      </c>
      <c r="BW81" s="141">
        <v>0</v>
      </c>
      <c r="BX81" s="141">
        <v>0</v>
      </c>
      <c r="BY81" s="141">
        <v>0</v>
      </c>
      <c r="BZ81" s="141">
        <v>0</v>
      </c>
      <c r="CA81" s="141">
        <v>0</v>
      </c>
      <c r="CB81" s="141">
        <v>0</v>
      </c>
      <c r="CC81" s="141">
        <v>0</v>
      </c>
      <c r="CD81" s="141">
        <v>0</v>
      </c>
      <c r="CE81" s="141">
        <v>0</v>
      </c>
      <c r="CF81" s="141">
        <v>0</v>
      </c>
      <c r="CG81" s="141">
        <v>0</v>
      </c>
      <c r="CH81" s="141">
        <v>0</v>
      </c>
      <c r="CI81" s="141">
        <v>0</v>
      </c>
      <c r="CJ81" s="141">
        <v>0</v>
      </c>
      <c r="CK81" s="141">
        <v>0</v>
      </c>
      <c r="CL81" s="141">
        <v>0</v>
      </c>
      <c r="CM81" s="141">
        <v>0</v>
      </c>
      <c r="CN81" s="141">
        <v>0</v>
      </c>
      <c r="CO81" s="141">
        <v>0</v>
      </c>
      <c r="CP81" s="141">
        <v>0</v>
      </c>
      <c r="CQ81" s="141">
        <v>0</v>
      </c>
      <c r="CR81" s="141">
        <v>0</v>
      </c>
      <c r="CS81" s="141">
        <v>0</v>
      </c>
      <c r="CT81" s="141">
        <v>0</v>
      </c>
      <c r="CU81" s="141">
        <v>0</v>
      </c>
      <c r="CV81" s="141">
        <v>0</v>
      </c>
      <c r="CW81" s="141">
        <v>0</v>
      </c>
      <c r="CX81" s="141">
        <v>0</v>
      </c>
      <c r="CY81" s="141">
        <v>0</v>
      </c>
      <c r="CZ81" s="141">
        <v>0</v>
      </c>
      <c r="DA81" s="141">
        <v>0</v>
      </c>
      <c r="DB81" s="141">
        <v>0</v>
      </c>
      <c r="DC81" s="141">
        <v>0</v>
      </c>
      <c r="DD81" s="141">
        <v>0</v>
      </c>
      <c r="DE81" s="141">
        <v>0</v>
      </c>
      <c r="DF81" s="141">
        <v>0</v>
      </c>
      <c r="DG81" s="141">
        <v>0</v>
      </c>
      <c r="DH81" s="141">
        <v>0</v>
      </c>
      <c r="DI81" s="141">
        <v>0</v>
      </c>
      <c r="DJ81" s="141">
        <v>0</v>
      </c>
      <c r="DK81" s="141">
        <v>0</v>
      </c>
      <c r="DL81" s="141">
        <v>0</v>
      </c>
      <c r="DM81" s="141">
        <v>0</v>
      </c>
      <c r="DN81" s="141">
        <v>0</v>
      </c>
      <c r="DO81" s="141">
        <v>0</v>
      </c>
      <c r="DP81" s="141">
        <v>0</v>
      </c>
      <c r="DQ81" s="141">
        <v>0</v>
      </c>
      <c r="DR81" s="123"/>
      <c r="DS81" s="123"/>
      <c r="DT81" s="123"/>
      <c r="DU81" s="123"/>
      <c r="DV81" s="123"/>
      <c r="DW81" s="123"/>
      <c r="DX81" s="123"/>
      <c r="DY81" s="123"/>
      <c r="DZ81" s="123"/>
      <c r="EA81" s="123"/>
      <c r="EB81" s="123"/>
      <c r="EC81" s="123"/>
      <c r="ED81" s="123"/>
      <c r="EE81" s="123"/>
      <c r="EF81" s="123"/>
      <c r="EG81" s="123"/>
      <c r="EH81" s="123"/>
      <c r="EI81" s="123"/>
      <c r="EJ81" s="123"/>
      <c r="EK81" s="123"/>
      <c r="EL81" s="123"/>
      <c r="EM81" s="123"/>
      <c r="EN81" s="123"/>
      <c r="EO81" s="123"/>
      <c r="EP81" s="123"/>
      <c r="EQ81" s="123"/>
      <c r="ER81" s="123"/>
      <c r="ES81" s="123"/>
      <c r="ET81" s="123"/>
      <c r="EU81" s="123"/>
      <c r="EV81" s="123"/>
      <c r="EW81" s="123"/>
      <c r="EX81" s="123"/>
      <c r="EY81" s="123"/>
      <c r="EZ81" s="123"/>
      <c r="FA81" s="123"/>
      <c r="FB81" s="123"/>
      <c r="FC81" s="123"/>
      <c r="FD81" s="123"/>
      <c r="FE81" s="123"/>
      <c r="FF81" s="123"/>
      <c r="FG81" s="123"/>
      <c r="FH81" s="123"/>
      <c r="FI81" s="123"/>
      <c r="FJ81" s="123"/>
      <c r="FK81" s="123"/>
      <c r="FL81" s="123"/>
    </row>
    <row r="82" spans="1:168" ht="17.25" x14ac:dyDescent="0.3">
      <c r="A82" s="142" t="s">
        <v>581</v>
      </c>
      <c r="B82" s="143">
        <v>2011</v>
      </c>
      <c r="C82" s="143">
        <v>2012</v>
      </c>
      <c r="D82" s="143">
        <v>2013</v>
      </c>
      <c r="E82" s="143">
        <v>2014</v>
      </c>
      <c r="F82" s="143">
        <v>2015</v>
      </c>
      <c r="G82" s="143">
        <v>2016</v>
      </c>
      <c r="H82" s="143">
        <v>2017</v>
      </c>
      <c r="I82" s="143">
        <v>2018</v>
      </c>
      <c r="J82" s="143">
        <v>2019</v>
      </c>
      <c r="K82" s="143">
        <v>2020</v>
      </c>
      <c r="L82" s="143">
        <v>2021</v>
      </c>
      <c r="M82" s="143">
        <v>2022</v>
      </c>
      <c r="N82" s="159"/>
      <c r="O82" s="142" t="s">
        <v>582</v>
      </c>
      <c r="P82" s="143">
        <v>2011</v>
      </c>
      <c r="Q82" s="143">
        <v>2012</v>
      </c>
      <c r="R82" s="143">
        <v>2013</v>
      </c>
      <c r="S82" s="143">
        <v>2014</v>
      </c>
      <c r="T82" s="143">
        <v>2015</v>
      </c>
      <c r="U82" s="143">
        <v>2016</v>
      </c>
      <c r="V82" s="143">
        <v>2017</v>
      </c>
      <c r="W82" s="143">
        <v>2018</v>
      </c>
      <c r="X82" s="143">
        <v>2019</v>
      </c>
      <c r="Y82" s="143">
        <v>2020</v>
      </c>
      <c r="Z82" s="143">
        <v>2021</v>
      </c>
      <c r="AA82" s="143">
        <v>2022</v>
      </c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59"/>
      <c r="BN82" s="159"/>
      <c r="BO82" s="159"/>
      <c r="BP82" s="159"/>
      <c r="BQ82" s="159"/>
      <c r="BR82" s="159"/>
      <c r="BS82" s="159"/>
      <c r="BT82" s="159"/>
      <c r="BU82" s="159"/>
      <c r="BV82" s="159"/>
      <c r="BW82" s="159"/>
      <c r="BX82" s="159"/>
      <c r="BY82" s="159"/>
      <c r="BZ82" s="159"/>
      <c r="CA82" s="159"/>
      <c r="CB82" s="159"/>
      <c r="CC82" s="159"/>
      <c r="CD82" s="159"/>
      <c r="CE82" s="159"/>
      <c r="CF82" s="159"/>
      <c r="CG82" s="159"/>
      <c r="CH82" s="159"/>
      <c r="CI82" s="159"/>
      <c r="CJ82" s="159"/>
      <c r="CK82" s="159"/>
      <c r="CL82" s="159"/>
      <c r="CM82" s="159"/>
      <c r="CN82" s="159"/>
      <c r="CO82" s="159"/>
      <c r="CP82" s="159"/>
      <c r="CQ82" s="159"/>
      <c r="CR82" s="159"/>
      <c r="CS82" s="159"/>
      <c r="CT82" s="159"/>
      <c r="CU82" s="159"/>
      <c r="CV82" s="159"/>
      <c r="CW82" s="159"/>
      <c r="CX82" s="159"/>
      <c r="CY82" s="159"/>
      <c r="CZ82" s="159"/>
      <c r="DA82" s="159"/>
      <c r="DB82" s="159"/>
      <c r="DC82" s="159"/>
      <c r="DD82" s="159"/>
      <c r="DE82" s="159"/>
      <c r="DF82" s="159"/>
      <c r="DG82" s="159"/>
      <c r="DH82" s="159"/>
      <c r="DI82" s="159"/>
      <c r="DJ82" s="159"/>
      <c r="DK82" s="159"/>
      <c r="DL82" s="159"/>
      <c r="DM82" s="159"/>
      <c r="DN82" s="159"/>
      <c r="DO82" s="159"/>
      <c r="DP82" s="159"/>
      <c r="DQ82" s="159"/>
      <c r="DR82" s="159"/>
      <c r="DS82" s="159"/>
      <c r="DT82" s="159"/>
      <c r="DU82" s="159"/>
      <c r="DV82" s="159"/>
      <c r="DW82" s="159"/>
      <c r="DX82" s="159"/>
      <c r="DY82" s="159"/>
      <c r="DZ82" s="159"/>
      <c r="EA82" s="159"/>
      <c r="EB82" s="159"/>
      <c r="EC82" s="159"/>
      <c r="ED82" s="159"/>
      <c r="EE82" s="159"/>
      <c r="EF82" s="159"/>
      <c r="EG82" s="159"/>
      <c r="EH82" s="159"/>
      <c r="EI82" s="159"/>
      <c r="EJ82" s="159"/>
      <c r="EK82" s="159"/>
      <c r="EL82" s="159"/>
      <c r="EM82" s="159"/>
      <c r="EN82" s="159"/>
      <c r="EO82" s="159"/>
      <c r="EP82" s="159"/>
      <c r="EQ82" s="159"/>
      <c r="ER82" s="159"/>
      <c r="ES82" s="159"/>
      <c r="ET82" s="159"/>
      <c r="EU82" s="159"/>
      <c r="EV82" s="159"/>
      <c r="EW82" s="159"/>
      <c r="EX82" s="159"/>
      <c r="EY82" s="159"/>
      <c r="EZ82" s="159"/>
      <c r="FA82" s="159"/>
      <c r="FB82" s="159"/>
      <c r="FC82" s="159"/>
      <c r="FD82" s="159"/>
      <c r="FE82" s="159"/>
      <c r="FF82" s="159"/>
      <c r="FG82" s="159"/>
      <c r="FH82" s="159"/>
      <c r="FI82" s="159"/>
      <c r="FJ82" s="159"/>
      <c r="FK82" s="159"/>
      <c r="FL82" s="159"/>
    </row>
    <row r="83" spans="1:168" ht="31.5" customHeight="1" x14ac:dyDescent="0.25">
      <c r="A83" s="144" t="s">
        <v>583</v>
      </c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60"/>
      <c r="O83" s="144" t="s">
        <v>582</v>
      </c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160"/>
      <c r="AU83" s="160"/>
      <c r="AV83" s="160"/>
      <c r="AW83" s="160"/>
      <c r="AX83" s="160"/>
      <c r="AY83" s="160"/>
      <c r="AZ83" s="160"/>
      <c r="BA83" s="160"/>
      <c r="BB83" s="160"/>
      <c r="BC83" s="160"/>
      <c r="BD83" s="160"/>
      <c r="BE83" s="160"/>
      <c r="BF83" s="160"/>
      <c r="BG83" s="160"/>
      <c r="BH83" s="160"/>
      <c r="BI83" s="160"/>
      <c r="BJ83" s="160"/>
      <c r="BK83" s="160"/>
      <c r="BL83" s="160"/>
      <c r="BM83" s="160"/>
      <c r="BN83" s="160"/>
      <c r="BO83" s="160"/>
      <c r="BP83" s="160"/>
      <c r="BQ83" s="160"/>
      <c r="BR83" s="160"/>
      <c r="BS83" s="160"/>
      <c r="BT83" s="160"/>
      <c r="BU83" s="160"/>
      <c r="BV83" s="160"/>
      <c r="BW83" s="160"/>
      <c r="BX83" s="160"/>
      <c r="BY83" s="160"/>
      <c r="BZ83" s="160"/>
      <c r="CA83" s="160"/>
      <c r="CB83" s="160"/>
      <c r="CC83" s="160"/>
      <c r="CD83" s="160"/>
      <c r="CE83" s="160"/>
      <c r="CF83" s="160"/>
      <c r="CG83" s="160"/>
      <c r="CH83" s="160"/>
      <c r="CI83" s="160"/>
      <c r="CJ83" s="160"/>
      <c r="CK83" s="160"/>
      <c r="CL83" s="160"/>
      <c r="CM83" s="160"/>
      <c r="CN83" s="160"/>
      <c r="CO83" s="160"/>
      <c r="CP83" s="160"/>
      <c r="CQ83" s="160"/>
      <c r="CR83" s="160"/>
      <c r="CS83" s="160"/>
      <c r="CT83" s="160"/>
      <c r="CU83" s="160"/>
      <c r="CV83" s="160"/>
      <c r="CW83" s="160"/>
      <c r="CX83" s="160"/>
      <c r="CY83" s="160"/>
      <c r="CZ83" s="160"/>
      <c r="DA83" s="160"/>
      <c r="DB83" s="160"/>
      <c r="DC83" s="160"/>
      <c r="DD83" s="160"/>
      <c r="DE83" s="160"/>
      <c r="DF83" s="160"/>
      <c r="DG83" s="160"/>
      <c r="DH83" s="160"/>
      <c r="DI83" s="160"/>
      <c r="DJ83" s="160"/>
      <c r="DK83" s="160"/>
      <c r="DL83" s="160"/>
      <c r="DM83" s="160"/>
      <c r="DN83" s="160"/>
      <c r="DO83" s="160"/>
      <c r="DP83" s="160"/>
      <c r="DQ83" s="160"/>
      <c r="DR83" s="160"/>
      <c r="DS83" s="160"/>
      <c r="DT83" s="160"/>
      <c r="DU83" s="160"/>
      <c r="DV83" s="160"/>
      <c r="DW83" s="160"/>
      <c r="DX83" s="160"/>
      <c r="DY83" s="160"/>
      <c r="DZ83" s="160"/>
      <c r="EA83" s="160"/>
      <c r="EB83" s="160"/>
      <c r="EC83" s="160"/>
      <c r="ED83" s="160"/>
      <c r="EE83" s="160"/>
      <c r="EF83" s="160"/>
      <c r="EG83" s="160"/>
      <c r="EH83" s="160"/>
      <c r="EI83" s="160"/>
      <c r="EJ83" s="160"/>
      <c r="EK83" s="160"/>
      <c r="EL83" s="160"/>
      <c r="EM83" s="160"/>
      <c r="EN83" s="160"/>
      <c r="EO83" s="160"/>
      <c r="EP83" s="160"/>
      <c r="EQ83" s="160"/>
      <c r="ER83" s="160"/>
      <c r="ES83" s="160"/>
      <c r="ET83" s="160"/>
      <c r="EU83" s="160"/>
      <c r="EV83" s="160"/>
      <c r="EW83" s="160"/>
      <c r="EX83" s="160"/>
      <c r="EY83" s="160"/>
      <c r="EZ83" s="160"/>
      <c r="FA83" s="160"/>
      <c r="FB83" s="160"/>
      <c r="FC83" s="160"/>
      <c r="FD83" s="160"/>
      <c r="FE83" s="160"/>
      <c r="FF83" s="160"/>
      <c r="FG83" s="160"/>
      <c r="FH83" s="160"/>
      <c r="FI83" s="160"/>
      <c r="FJ83" s="160"/>
      <c r="FK83" s="160"/>
      <c r="FL83" s="160"/>
    </row>
    <row r="84" spans="1:168" x14ac:dyDescent="0.25">
      <c r="A84" s="38" t="s">
        <v>25</v>
      </c>
      <c r="B84" s="38">
        <v>359999.99999999994</v>
      </c>
      <c r="C84" s="38">
        <v>706324.60936373076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O84" s="9">
        <v>1</v>
      </c>
      <c r="P84" s="38">
        <v>1519874.6384479851</v>
      </c>
      <c r="Q84" s="38">
        <v>2845882.9395251796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</row>
    <row r="85" spans="1:168" x14ac:dyDescent="0.25">
      <c r="A85" s="38" t="s">
        <v>33</v>
      </c>
      <c r="B85" s="38">
        <v>0</v>
      </c>
      <c r="C85" s="38">
        <v>65710.35854991198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O85" s="9">
        <v>2</v>
      </c>
      <c r="P85" s="38">
        <v>4215331.0194229558</v>
      </c>
      <c r="Q85" s="38">
        <v>8966216.9746062458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8">
        <v>0</v>
      </c>
      <c r="X85" s="38">
        <v>0</v>
      </c>
      <c r="Y85" s="38">
        <v>0</v>
      </c>
      <c r="Z85" s="38">
        <v>0</v>
      </c>
      <c r="AA85" s="38">
        <v>0</v>
      </c>
    </row>
    <row r="86" spans="1:168" x14ac:dyDescent="0.25">
      <c r="A86" s="38" t="s">
        <v>7</v>
      </c>
      <c r="B86" s="38">
        <v>0</v>
      </c>
      <c r="C86" s="38">
        <v>26850.64793750026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O86" s="9">
        <v>3</v>
      </c>
      <c r="P86" s="38">
        <v>1564299.971440345</v>
      </c>
      <c r="Q86" s="38">
        <v>13006043.358619303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</row>
    <row r="87" spans="1:168" x14ac:dyDescent="0.25">
      <c r="A87" s="38" t="s">
        <v>23</v>
      </c>
      <c r="B87" s="38">
        <v>3480000</v>
      </c>
      <c r="C87" s="38">
        <v>425639.09288189572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O87" s="9">
        <v>4</v>
      </c>
      <c r="P87" s="38">
        <v>25668562.925575048</v>
      </c>
      <c r="Q87" s="38">
        <v>72647903.329597518</v>
      </c>
      <c r="R87" s="38">
        <v>0</v>
      </c>
      <c r="S87" s="38">
        <v>0</v>
      </c>
      <c r="T87" s="38">
        <v>0</v>
      </c>
      <c r="U87" s="38">
        <v>0</v>
      </c>
      <c r="V87" s="38">
        <v>0</v>
      </c>
      <c r="W87" s="38">
        <v>0</v>
      </c>
      <c r="X87" s="38">
        <v>0</v>
      </c>
      <c r="Y87" s="38">
        <v>0</v>
      </c>
      <c r="Z87" s="38">
        <v>0</v>
      </c>
      <c r="AA87" s="38">
        <v>0</v>
      </c>
    </row>
    <row r="88" spans="1:168" x14ac:dyDescent="0.25">
      <c r="A88" s="38" t="s">
        <v>9</v>
      </c>
      <c r="B88" s="38">
        <v>0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O88" s="9">
        <v>5</v>
      </c>
      <c r="P88" s="38">
        <v>8804855.3825012706</v>
      </c>
      <c r="Q88" s="38">
        <v>19298532.468049869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</row>
    <row r="89" spans="1:168" x14ac:dyDescent="0.25">
      <c r="A89" s="38" t="s">
        <v>36</v>
      </c>
      <c r="B89" s="38">
        <v>999999.99999999977</v>
      </c>
      <c r="C89" s="38">
        <v>1376509.7999999998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0</v>
      </c>
      <c r="O89" s="9">
        <v>6</v>
      </c>
      <c r="P89" s="38">
        <v>783788.61231881008</v>
      </c>
      <c r="Q89" s="38">
        <v>5892690.5558734313</v>
      </c>
      <c r="R89" s="38">
        <v>0</v>
      </c>
      <c r="S89" s="38">
        <v>0</v>
      </c>
      <c r="T89" s="38">
        <v>0</v>
      </c>
      <c r="U89" s="38">
        <v>0</v>
      </c>
      <c r="V89" s="38">
        <v>0</v>
      </c>
      <c r="W89" s="38">
        <v>0</v>
      </c>
      <c r="X89" s="38">
        <v>0</v>
      </c>
      <c r="Y89" s="38">
        <v>0</v>
      </c>
      <c r="Z89" s="38">
        <v>0</v>
      </c>
      <c r="AA89" s="38">
        <v>0</v>
      </c>
    </row>
    <row r="90" spans="1:168" x14ac:dyDescent="0.25">
      <c r="A90" s="38" t="s">
        <v>21</v>
      </c>
      <c r="B90" s="38">
        <v>0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O90" s="9">
        <v>7</v>
      </c>
      <c r="P90" s="38">
        <v>0</v>
      </c>
      <c r="Q90" s="38">
        <v>0</v>
      </c>
      <c r="R90" s="38">
        <v>0</v>
      </c>
      <c r="S90" s="38">
        <v>0</v>
      </c>
      <c r="T90" s="38">
        <v>0</v>
      </c>
      <c r="U90" s="38">
        <v>0</v>
      </c>
      <c r="V90" s="38">
        <v>0</v>
      </c>
      <c r="W90" s="38">
        <v>0</v>
      </c>
      <c r="X90" s="38">
        <v>0</v>
      </c>
      <c r="Y90" s="38">
        <v>0</v>
      </c>
      <c r="Z90" s="38">
        <v>0</v>
      </c>
      <c r="AA90" s="38">
        <v>0</v>
      </c>
    </row>
    <row r="91" spans="1:168" x14ac:dyDescent="0.25">
      <c r="A91" s="38" t="s">
        <v>18</v>
      </c>
      <c r="B91" s="38">
        <v>0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0</v>
      </c>
      <c r="O91" s="9">
        <v>8</v>
      </c>
      <c r="P91" s="38">
        <v>0</v>
      </c>
      <c r="Q91" s="38">
        <v>0</v>
      </c>
      <c r="R91" s="38">
        <v>0</v>
      </c>
      <c r="S91" s="38">
        <v>0</v>
      </c>
      <c r="T91" s="38">
        <v>0</v>
      </c>
      <c r="U91" s="38">
        <v>0</v>
      </c>
      <c r="V91" s="38">
        <v>0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</row>
    <row r="92" spans="1:168" x14ac:dyDescent="0.25">
      <c r="A92" s="38" t="s">
        <v>14</v>
      </c>
      <c r="B92" s="38">
        <v>0</v>
      </c>
      <c r="C92" s="38">
        <v>0</v>
      </c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0</v>
      </c>
      <c r="O92" s="9">
        <v>9</v>
      </c>
      <c r="P92" s="38">
        <v>0</v>
      </c>
      <c r="Q92" s="38">
        <v>0</v>
      </c>
      <c r="R92" s="38">
        <v>0</v>
      </c>
      <c r="S92" s="38">
        <v>0</v>
      </c>
      <c r="T92" s="38">
        <v>0</v>
      </c>
      <c r="U92" s="38">
        <v>0</v>
      </c>
      <c r="V92" s="38">
        <v>0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</row>
    <row r="93" spans="1:168" x14ac:dyDescent="0.25">
      <c r="A93" s="38" t="s">
        <v>16</v>
      </c>
      <c r="B93" s="38">
        <v>0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0</v>
      </c>
      <c r="O93" s="9">
        <v>10</v>
      </c>
      <c r="P93" s="38">
        <v>0</v>
      </c>
      <c r="Q93" s="38">
        <v>0</v>
      </c>
      <c r="R93" s="38">
        <v>0</v>
      </c>
      <c r="S93" s="38">
        <v>0</v>
      </c>
      <c r="T93" s="38">
        <v>0</v>
      </c>
      <c r="U93" s="38">
        <v>0</v>
      </c>
      <c r="V93" s="38">
        <v>0</v>
      </c>
      <c r="W93" s="38">
        <v>0</v>
      </c>
      <c r="X93" s="38">
        <v>0</v>
      </c>
      <c r="Y93" s="38">
        <v>0</v>
      </c>
      <c r="Z93" s="38">
        <v>0</v>
      </c>
      <c r="AA93" s="38">
        <v>0</v>
      </c>
    </row>
    <row r="94" spans="1:168" x14ac:dyDescent="0.25">
      <c r="A94" s="144" t="s">
        <v>584</v>
      </c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60"/>
      <c r="O94" s="160" t="s">
        <v>559</v>
      </c>
      <c r="P94" s="384">
        <v>42556712.549706414</v>
      </c>
      <c r="Q94" s="384">
        <v>122657269.62627155</v>
      </c>
      <c r="R94" s="384">
        <v>0</v>
      </c>
      <c r="S94" s="384">
        <v>0</v>
      </c>
      <c r="T94" s="384">
        <v>0</v>
      </c>
      <c r="U94" s="384">
        <v>0</v>
      </c>
      <c r="V94" s="384">
        <v>0</v>
      </c>
      <c r="W94" s="384">
        <v>0</v>
      </c>
      <c r="X94" s="384">
        <v>0</v>
      </c>
      <c r="Y94" s="384">
        <v>0</v>
      </c>
      <c r="Z94" s="384">
        <v>0</v>
      </c>
      <c r="AA94" s="384">
        <v>0</v>
      </c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  <c r="AU94" s="160"/>
      <c r="AV94" s="160"/>
      <c r="AW94" s="160"/>
      <c r="AX94" s="160"/>
      <c r="AY94" s="160"/>
      <c r="AZ94" s="160"/>
      <c r="BA94" s="160"/>
      <c r="BB94" s="160"/>
      <c r="BC94" s="160"/>
      <c r="BD94" s="160"/>
      <c r="BE94" s="160"/>
      <c r="BF94" s="160"/>
      <c r="BG94" s="160"/>
      <c r="BH94" s="160"/>
      <c r="BI94" s="160"/>
      <c r="BJ94" s="160"/>
      <c r="BK94" s="160"/>
      <c r="BL94" s="160"/>
      <c r="BM94" s="160"/>
      <c r="BN94" s="160"/>
      <c r="BO94" s="160"/>
      <c r="BP94" s="160"/>
      <c r="BQ94" s="160"/>
      <c r="BR94" s="160"/>
      <c r="BS94" s="160"/>
      <c r="BT94" s="160"/>
      <c r="BU94" s="160"/>
      <c r="BV94" s="160"/>
      <c r="BW94" s="160"/>
      <c r="BX94" s="160"/>
      <c r="BY94" s="160"/>
      <c r="BZ94" s="160"/>
      <c r="CA94" s="160"/>
      <c r="CB94" s="160"/>
      <c r="CC94" s="160"/>
      <c r="CD94" s="160"/>
      <c r="CE94" s="160"/>
      <c r="CF94" s="160"/>
      <c r="CG94" s="160"/>
      <c r="CH94" s="160"/>
      <c r="CI94" s="160"/>
      <c r="CJ94" s="160"/>
      <c r="CK94" s="160"/>
      <c r="CL94" s="160"/>
      <c r="CM94" s="160"/>
      <c r="CN94" s="160"/>
      <c r="CO94" s="160"/>
      <c r="CP94" s="160"/>
      <c r="CQ94" s="160"/>
      <c r="CR94" s="160"/>
      <c r="CS94" s="160"/>
      <c r="CT94" s="160"/>
      <c r="CU94" s="160"/>
      <c r="CV94" s="160"/>
      <c r="CW94" s="160"/>
      <c r="CX94" s="160"/>
      <c r="CY94" s="160"/>
      <c r="CZ94" s="160"/>
      <c r="DA94" s="160"/>
      <c r="DB94" s="160"/>
      <c r="DC94" s="160"/>
      <c r="DD94" s="160"/>
      <c r="DE94" s="160"/>
      <c r="DF94" s="160"/>
      <c r="DG94" s="160"/>
      <c r="DH94" s="160"/>
      <c r="DI94" s="160"/>
      <c r="DJ94" s="160"/>
      <c r="DK94" s="160"/>
      <c r="DL94" s="160"/>
      <c r="DM94" s="160"/>
      <c r="DN94" s="160"/>
      <c r="DO94" s="160"/>
      <c r="DP94" s="160"/>
      <c r="DQ94" s="160"/>
      <c r="DR94" s="160"/>
      <c r="DS94" s="160"/>
      <c r="DT94" s="160"/>
      <c r="DU94" s="160"/>
      <c r="DV94" s="160"/>
      <c r="DW94" s="160"/>
      <c r="DX94" s="160"/>
      <c r="DY94" s="160"/>
      <c r="DZ94" s="160"/>
      <c r="EA94" s="160"/>
      <c r="EB94" s="160"/>
      <c r="EC94" s="160"/>
      <c r="ED94" s="160"/>
      <c r="EE94" s="160"/>
      <c r="EF94" s="160"/>
      <c r="EG94" s="160"/>
      <c r="EH94" s="160"/>
      <c r="EI94" s="160"/>
      <c r="EJ94" s="160"/>
      <c r="EK94" s="160"/>
      <c r="EL94" s="160"/>
      <c r="EM94" s="160"/>
      <c r="EN94" s="160"/>
      <c r="EO94" s="160"/>
      <c r="EP94" s="160"/>
      <c r="EQ94" s="160"/>
      <c r="ER94" s="160"/>
      <c r="ES94" s="160"/>
      <c r="ET94" s="160"/>
      <c r="EU94" s="160"/>
      <c r="EV94" s="160"/>
      <c r="EW94" s="160"/>
      <c r="EX94" s="160"/>
      <c r="EY94" s="160"/>
      <c r="EZ94" s="160"/>
      <c r="FA94" s="160"/>
      <c r="FB94" s="160"/>
      <c r="FC94" s="160"/>
      <c r="FD94" s="160"/>
      <c r="FE94" s="160"/>
      <c r="FF94" s="160"/>
      <c r="FG94" s="160"/>
      <c r="FH94" s="160"/>
      <c r="FI94" s="160"/>
      <c r="FJ94" s="160"/>
      <c r="FK94" s="160"/>
      <c r="FL94" s="160"/>
    </row>
    <row r="95" spans="1:168" x14ac:dyDescent="0.25">
      <c r="A95" s="38" t="s">
        <v>25</v>
      </c>
      <c r="B95" s="38">
        <v>1440000</v>
      </c>
      <c r="C95" s="38">
        <v>2349464.9588127248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38">
        <v>0</v>
      </c>
      <c r="M95" s="38">
        <v>0</v>
      </c>
      <c r="O95" t="s">
        <v>585</v>
      </c>
      <c r="Q95" s="7">
        <v>1.8822073482064048</v>
      </c>
      <c r="R95" s="7">
        <v>-1</v>
      </c>
      <c r="S95" s="7" t="s">
        <v>11</v>
      </c>
      <c r="T95" s="7" t="s">
        <v>11</v>
      </c>
      <c r="U95" s="7" t="s">
        <v>11</v>
      </c>
      <c r="V95" s="7" t="s">
        <v>11</v>
      </c>
      <c r="W95" s="7" t="s">
        <v>11</v>
      </c>
      <c r="X95" s="7" t="s">
        <v>11</v>
      </c>
      <c r="Y95" s="7" t="s">
        <v>11</v>
      </c>
      <c r="Z95" s="7" t="s">
        <v>11</v>
      </c>
      <c r="AA95" s="7" t="s">
        <v>11</v>
      </c>
    </row>
    <row r="96" spans="1:168" x14ac:dyDescent="0.25">
      <c r="A96" s="38" t="s">
        <v>33</v>
      </c>
      <c r="B96" s="38">
        <v>0</v>
      </c>
      <c r="C96" s="38">
        <v>591393.22694920795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38">
        <v>0</v>
      </c>
      <c r="M96" s="38">
        <v>0</v>
      </c>
    </row>
    <row r="97" spans="1:121" x14ac:dyDescent="0.25">
      <c r="A97" s="38" t="s">
        <v>7</v>
      </c>
      <c r="B97" s="38">
        <v>0</v>
      </c>
      <c r="C97" s="38">
        <v>40275.971906250394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38">
        <v>0</v>
      </c>
      <c r="M97" s="38">
        <v>0</v>
      </c>
    </row>
    <row r="98" spans="1:121" x14ac:dyDescent="0.25">
      <c r="A98" s="38" t="s">
        <v>23</v>
      </c>
      <c r="B98" s="38">
        <v>5320000</v>
      </c>
      <c r="C98" s="38">
        <v>1321964.6772639721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</row>
    <row r="99" spans="1:121" x14ac:dyDescent="0.25">
      <c r="A99" s="38" t="s">
        <v>9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</row>
    <row r="100" spans="1:121" x14ac:dyDescent="0.25">
      <c r="A100" s="38" t="s">
        <v>36</v>
      </c>
      <c r="B100" s="38">
        <v>4000000</v>
      </c>
      <c r="C100" s="38">
        <v>5506039.2000000002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</row>
    <row r="101" spans="1:121" x14ac:dyDescent="0.25">
      <c r="A101" s="38" t="s">
        <v>21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</row>
    <row r="102" spans="1:121" x14ac:dyDescent="0.25">
      <c r="A102" s="38" t="s">
        <v>18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</row>
    <row r="103" spans="1:121" x14ac:dyDescent="0.25">
      <c r="A103" s="38" t="s">
        <v>14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</row>
    <row r="104" spans="1:121" x14ac:dyDescent="0.25">
      <c r="A104" s="38" t="s">
        <v>16</v>
      </c>
      <c r="B104" s="38">
        <v>0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</row>
    <row r="105" spans="1:121" x14ac:dyDescent="0.25">
      <c r="A105" s="144" t="s">
        <v>586</v>
      </c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410" t="s">
        <v>378</v>
      </c>
      <c r="O105" s="144" t="s">
        <v>587</v>
      </c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  <c r="AV105" s="160"/>
      <c r="AW105" s="160"/>
      <c r="AX105" s="160"/>
      <c r="AY105" s="160"/>
      <c r="AZ105" s="160"/>
      <c r="BA105" s="160"/>
      <c r="BB105" s="160"/>
      <c r="BC105" s="160"/>
      <c r="BD105" s="160"/>
      <c r="BE105" s="160"/>
      <c r="BF105" s="160"/>
      <c r="BG105" s="160"/>
      <c r="BH105" s="160"/>
      <c r="BI105" s="160"/>
      <c r="BJ105" s="160"/>
      <c r="BK105" s="160"/>
      <c r="BL105" s="160"/>
      <c r="BM105" s="160"/>
      <c r="BN105" s="160"/>
      <c r="BO105" s="160"/>
      <c r="BP105" s="160"/>
      <c r="BQ105" s="160"/>
      <c r="BR105" s="160"/>
      <c r="BS105" s="160"/>
      <c r="BT105" s="160"/>
      <c r="BU105" s="160"/>
      <c r="BV105" s="160"/>
      <c r="BW105" s="160"/>
      <c r="BX105" s="160"/>
      <c r="BY105" s="160"/>
      <c r="BZ105" s="160"/>
      <c r="CA105" s="160"/>
      <c r="CB105" s="160"/>
      <c r="CC105" s="160"/>
      <c r="CD105" s="160"/>
      <c r="CE105" s="160"/>
      <c r="CF105" s="160"/>
      <c r="CG105" s="160"/>
      <c r="CH105" s="160"/>
      <c r="CI105" s="160"/>
      <c r="CJ105" s="160"/>
      <c r="CK105" s="160"/>
      <c r="CL105" s="160"/>
      <c r="CM105" s="160"/>
      <c r="CN105" s="160"/>
      <c r="CO105" s="160"/>
      <c r="CP105" s="160"/>
      <c r="CQ105" s="160"/>
      <c r="CR105" s="160"/>
      <c r="CS105" s="160"/>
      <c r="CT105" s="160"/>
      <c r="CU105" s="160"/>
      <c r="CV105" s="160"/>
      <c r="CW105" s="160"/>
      <c r="CX105" s="160"/>
      <c r="CY105" s="160"/>
      <c r="CZ105" s="160"/>
      <c r="DA105" s="160"/>
      <c r="DB105" s="160"/>
      <c r="DC105" s="160"/>
      <c r="DD105" s="160"/>
      <c r="DE105" s="160"/>
      <c r="DF105" s="160"/>
      <c r="DG105" s="160"/>
      <c r="DH105" s="160"/>
      <c r="DI105" s="160"/>
      <c r="DJ105" s="160"/>
      <c r="DK105" s="160"/>
      <c r="DL105" s="160"/>
      <c r="DM105" s="160"/>
      <c r="DN105" s="160"/>
      <c r="DO105" s="160"/>
      <c r="DP105" s="160"/>
      <c r="DQ105" s="160"/>
    </row>
    <row r="106" spans="1:121" x14ac:dyDescent="0.25">
      <c r="A106" s="38" t="s">
        <v>25</v>
      </c>
      <c r="B106" s="38">
        <v>1800000</v>
      </c>
      <c r="C106" s="38">
        <v>3055789.5681764558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411">
        <v>1</v>
      </c>
      <c r="O106" s="38" t="s">
        <v>25</v>
      </c>
      <c r="P106" s="28">
        <v>1.4082603246194958E-2</v>
      </c>
      <c r="Q106" s="28">
        <v>1.999520833249631E-3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</row>
    <row r="107" spans="1:121" x14ac:dyDescent="0.25">
      <c r="A107" s="38" t="s">
        <v>33</v>
      </c>
      <c r="B107" s="38">
        <v>0</v>
      </c>
      <c r="C107" s="38">
        <v>657103.58549911994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38">
        <v>0</v>
      </c>
      <c r="M107" s="38">
        <v>0</v>
      </c>
      <c r="N107" s="411">
        <v>2</v>
      </c>
      <c r="O107" s="38" t="s">
        <v>33</v>
      </c>
      <c r="P107" s="28">
        <v>0</v>
      </c>
      <c r="Q107" s="28">
        <v>5.3829638871540639E-3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</row>
    <row r="108" spans="1:121" x14ac:dyDescent="0.25">
      <c r="A108" s="38" t="s">
        <v>7</v>
      </c>
      <c r="B108" s="38">
        <v>0</v>
      </c>
      <c r="C108" s="38">
        <v>67126.619843750654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411">
        <v>3</v>
      </c>
      <c r="O108" s="38" t="s">
        <v>7</v>
      </c>
      <c r="P108" s="28">
        <v>0</v>
      </c>
      <c r="Q108" s="28">
        <v>1.3375638820786438E-2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</row>
    <row r="109" spans="1:121" x14ac:dyDescent="0.25">
      <c r="A109" s="38" t="s">
        <v>23</v>
      </c>
      <c r="B109" s="38">
        <v>8800000</v>
      </c>
      <c r="C109" s="38">
        <v>1747603.770145868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L109" s="38">
        <v>0</v>
      </c>
      <c r="M109" s="38">
        <v>0</v>
      </c>
      <c r="N109" s="411">
        <v>4</v>
      </c>
      <c r="O109" s="38" t="s">
        <v>23</v>
      </c>
      <c r="P109" s="28">
        <v>6.0665978287053501E-2</v>
      </c>
      <c r="Q109" s="28">
        <v>8.3304152559846474E-3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</row>
    <row r="110" spans="1:121" x14ac:dyDescent="0.25">
      <c r="A110" s="38" t="s">
        <v>9</v>
      </c>
      <c r="B110" s="38">
        <v>0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38">
        <v>0</v>
      </c>
      <c r="M110" s="38">
        <v>0</v>
      </c>
      <c r="N110" s="411">
        <v>5</v>
      </c>
      <c r="O110" s="38" t="s">
        <v>9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</row>
    <row r="111" spans="1:121" x14ac:dyDescent="0.25">
      <c r="A111" s="38" t="s">
        <v>36</v>
      </c>
      <c r="B111" s="38">
        <v>5000000</v>
      </c>
      <c r="C111" s="38">
        <v>6882549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411">
        <v>6</v>
      </c>
      <c r="O111" s="38" t="s">
        <v>36</v>
      </c>
      <c r="P111" s="28">
        <v>1.6040094744733394E-2</v>
      </c>
      <c r="Q111" s="28">
        <v>1.9729018577476998E-2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</row>
    <row r="112" spans="1:121" x14ac:dyDescent="0.25">
      <c r="A112" s="38" t="s">
        <v>21</v>
      </c>
      <c r="B112" s="38">
        <v>0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  <c r="N112" s="411">
        <v>7</v>
      </c>
      <c r="O112" s="38" t="s">
        <v>21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</row>
    <row r="113" spans="1:27" x14ac:dyDescent="0.25">
      <c r="A113" s="38" t="s">
        <v>18</v>
      </c>
      <c r="B113" s="38">
        <v>0</v>
      </c>
      <c r="C113" s="38">
        <v>0</v>
      </c>
      <c r="D113" s="38">
        <v>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411">
        <v>8</v>
      </c>
      <c r="O113" s="38" t="s">
        <v>18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</row>
    <row r="114" spans="1:27" x14ac:dyDescent="0.25">
      <c r="A114" s="38" t="s">
        <v>14</v>
      </c>
      <c r="B114" s="38">
        <v>0</v>
      </c>
      <c r="C114" s="38">
        <v>0</v>
      </c>
      <c r="D114" s="38">
        <v>0</v>
      </c>
      <c r="E114" s="38">
        <v>0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8">
        <v>0</v>
      </c>
      <c r="L114" s="38">
        <v>0</v>
      </c>
      <c r="M114" s="38">
        <v>0</v>
      </c>
      <c r="N114" s="411">
        <v>9</v>
      </c>
      <c r="O114" s="38" t="s">
        <v>14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</row>
    <row r="115" spans="1:27" x14ac:dyDescent="0.25">
      <c r="A115" s="38" t="s">
        <v>16</v>
      </c>
      <c r="B115" s="38">
        <v>0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0</v>
      </c>
      <c r="M115" s="38">
        <v>0</v>
      </c>
      <c r="N115" s="411">
        <v>10</v>
      </c>
      <c r="O115" s="38" t="s">
        <v>16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</row>
    <row r="116" spans="1:27" ht="17.25" x14ac:dyDescent="0.3">
      <c r="A116" s="142" t="s">
        <v>588</v>
      </c>
      <c r="B116" s="143">
        <v>2011</v>
      </c>
      <c r="C116" s="143">
        <v>2012</v>
      </c>
      <c r="D116" s="143">
        <v>2013</v>
      </c>
      <c r="E116" s="143">
        <v>2014</v>
      </c>
      <c r="F116" s="143">
        <v>2015</v>
      </c>
      <c r="G116" s="143">
        <v>2016</v>
      </c>
      <c r="H116" s="143">
        <v>2017</v>
      </c>
      <c r="I116" s="143">
        <v>2018</v>
      </c>
      <c r="J116" s="143">
        <v>2019</v>
      </c>
      <c r="K116" s="143">
        <v>2020</v>
      </c>
      <c r="L116" s="143">
        <v>2021</v>
      </c>
      <c r="M116" s="143">
        <v>2022</v>
      </c>
    </row>
    <row r="117" spans="1:27" x14ac:dyDescent="0.25">
      <c r="A117" s="161" t="s">
        <v>589</v>
      </c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</row>
    <row r="118" spans="1:27" x14ac:dyDescent="0.25">
      <c r="A118" s="38" t="s">
        <v>25</v>
      </c>
      <c r="B118" s="123">
        <v>803824.15465893084</v>
      </c>
      <c r="C118" s="123">
        <v>6883659.9872603584</v>
      </c>
      <c r="D118" s="123">
        <v>0</v>
      </c>
      <c r="E118" s="123">
        <v>0</v>
      </c>
      <c r="F118" s="123">
        <v>0</v>
      </c>
      <c r="G118" s="123">
        <v>0</v>
      </c>
      <c r="H118" s="123">
        <v>0</v>
      </c>
      <c r="I118" s="123">
        <v>0</v>
      </c>
      <c r="J118" s="123">
        <v>0</v>
      </c>
      <c r="K118" s="123">
        <v>0</v>
      </c>
      <c r="L118" s="123">
        <v>0</v>
      </c>
      <c r="M118" s="123">
        <v>0</v>
      </c>
    </row>
    <row r="119" spans="1:27" x14ac:dyDescent="0.25">
      <c r="A119" s="38" t="s">
        <v>33</v>
      </c>
      <c r="B119" s="123">
        <v>0</v>
      </c>
      <c r="C119" s="123">
        <v>871282.8424596776</v>
      </c>
      <c r="D119" s="123">
        <v>0</v>
      </c>
      <c r="E119" s="123">
        <v>0</v>
      </c>
      <c r="F119" s="123">
        <v>0</v>
      </c>
      <c r="G119" s="123">
        <v>0</v>
      </c>
      <c r="H119" s="123">
        <v>0</v>
      </c>
      <c r="I119" s="123">
        <v>0</v>
      </c>
      <c r="J119" s="123">
        <v>0</v>
      </c>
      <c r="K119" s="123">
        <v>0</v>
      </c>
      <c r="L119" s="123">
        <v>0</v>
      </c>
      <c r="M119" s="123">
        <v>0</v>
      </c>
    </row>
    <row r="120" spans="1:27" x14ac:dyDescent="0.25">
      <c r="A120" s="38" t="s">
        <v>7</v>
      </c>
      <c r="B120" s="123">
        <v>0</v>
      </c>
      <c r="C120" s="123">
        <v>250003.39976453365</v>
      </c>
      <c r="D120" s="123">
        <v>0</v>
      </c>
      <c r="E120" s="123">
        <v>0</v>
      </c>
      <c r="F120" s="123">
        <v>0</v>
      </c>
      <c r="G120" s="123">
        <v>0</v>
      </c>
      <c r="H120" s="123">
        <v>0</v>
      </c>
      <c r="I120" s="123">
        <v>0</v>
      </c>
      <c r="J120" s="123">
        <v>0</v>
      </c>
      <c r="K120" s="123">
        <v>0</v>
      </c>
      <c r="L120" s="123">
        <v>0</v>
      </c>
      <c r="M120" s="123">
        <v>0</v>
      </c>
    </row>
    <row r="121" spans="1:27" x14ac:dyDescent="0.25">
      <c r="A121" s="38" t="s">
        <v>23</v>
      </c>
      <c r="B121" s="123">
        <v>3556176.0845977906</v>
      </c>
      <c r="C121" s="123">
        <v>16575218.975074144</v>
      </c>
      <c r="D121" s="123">
        <v>0</v>
      </c>
      <c r="E121" s="123">
        <v>0</v>
      </c>
      <c r="F121" s="123">
        <v>0</v>
      </c>
      <c r="G121" s="123">
        <v>0</v>
      </c>
      <c r="H121" s="123">
        <v>0</v>
      </c>
      <c r="I121" s="123">
        <v>0</v>
      </c>
      <c r="J121" s="123">
        <v>0</v>
      </c>
      <c r="K121" s="123">
        <v>0</v>
      </c>
      <c r="L121" s="123">
        <v>0</v>
      </c>
      <c r="M121" s="123">
        <v>0</v>
      </c>
    </row>
    <row r="122" spans="1:27" x14ac:dyDescent="0.25">
      <c r="A122" s="38" t="s">
        <v>9</v>
      </c>
      <c r="B122" s="123">
        <v>0</v>
      </c>
      <c r="C122" s="123">
        <v>0</v>
      </c>
      <c r="D122" s="123">
        <v>0</v>
      </c>
      <c r="E122" s="123">
        <v>0</v>
      </c>
      <c r="F122" s="123">
        <v>0</v>
      </c>
      <c r="G122" s="123">
        <v>0</v>
      </c>
      <c r="H122" s="123">
        <v>0</v>
      </c>
      <c r="I122" s="123">
        <v>0</v>
      </c>
      <c r="J122" s="123">
        <v>0</v>
      </c>
      <c r="K122" s="123">
        <v>0</v>
      </c>
      <c r="L122" s="123">
        <v>0</v>
      </c>
      <c r="M122" s="123">
        <v>0</v>
      </c>
    </row>
    <row r="123" spans="1:27" x14ac:dyDescent="0.25">
      <c r="A123" s="38" t="s">
        <v>36</v>
      </c>
      <c r="B123" s="123">
        <v>743222.17889868317</v>
      </c>
      <c r="C123" s="123">
        <v>9396786.9432365838</v>
      </c>
      <c r="D123" s="123">
        <v>0</v>
      </c>
      <c r="E123" s="123">
        <v>0</v>
      </c>
      <c r="F123" s="123">
        <v>0</v>
      </c>
      <c r="G123" s="123">
        <v>0</v>
      </c>
      <c r="H123" s="123">
        <v>0</v>
      </c>
      <c r="I123" s="123">
        <v>0</v>
      </c>
      <c r="J123" s="123">
        <v>0</v>
      </c>
      <c r="K123" s="123">
        <v>0</v>
      </c>
      <c r="L123" s="123">
        <v>0</v>
      </c>
      <c r="M123" s="123">
        <v>0</v>
      </c>
    </row>
    <row r="124" spans="1:27" x14ac:dyDescent="0.25">
      <c r="A124" s="38" t="s">
        <v>21</v>
      </c>
      <c r="B124" s="123">
        <v>0</v>
      </c>
      <c r="C124" s="123">
        <v>0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0</v>
      </c>
      <c r="J124" s="123">
        <v>0</v>
      </c>
      <c r="K124" s="123">
        <v>0</v>
      </c>
      <c r="L124" s="123">
        <v>0</v>
      </c>
      <c r="M124" s="123">
        <v>0</v>
      </c>
    </row>
    <row r="125" spans="1:27" x14ac:dyDescent="0.25">
      <c r="A125" s="38" t="s">
        <v>18</v>
      </c>
      <c r="B125" s="123">
        <v>0</v>
      </c>
      <c r="C125" s="123">
        <v>0</v>
      </c>
      <c r="D125" s="123">
        <v>0</v>
      </c>
      <c r="E125" s="123">
        <v>0</v>
      </c>
      <c r="F125" s="123">
        <v>0</v>
      </c>
      <c r="G125" s="123">
        <v>0</v>
      </c>
      <c r="H125" s="123">
        <v>0</v>
      </c>
      <c r="I125" s="123">
        <v>0</v>
      </c>
      <c r="J125" s="123">
        <v>0</v>
      </c>
      <c r="K125" s="123">
        <v>0</v>
      </c>
      <c r="L125" s="123">
        <v>0</v>
      </c>
      <c r="M125" s="123">
        <v>0</v>
      </c>
    </row>
    <row r="126" spans="1:27" x14ac:dyDescent="0.25">
      <c r="A126" s="38" t="s">
        <v>14</v>
      </c>
      <c r="B126" s="123">
        <v>0</v>
      </c>
      <c r="C126" s="123">
        <v>0</v>
      </c>
      <c r="D126" s="123">
        <v>0</v>
      </c>
      <c r="E126" s="123">
        <v>0</v>
      </c>
      <c r="F126" s="123">
        <v>0</v>
      </c>
      <c r="G126" s="123">
        <v>0</v>
      </c>
      <c r="H126" s="123">
        <v>0</v>
      </c>
      <c r="I126" s="123">
        <v>0</v>
      </c>
      <c r="J126" s="123">
        <v>0</v>
      </c>
      <c r="K126" s="123">
        <v>0</v>
      </c>
      <c r="L126" s="123">
        <v>0</v>
      </c>
      <c r="M126" s="123">
        <v>0</v>
      </c>
    </row>
    <row r="127" spans="1:27" x14ac:dyDescent="0.25">
      <c r="A127" s="38" t="s">
        <v>16</v>
      </c>
      <c r="B127" s="123">
        <v>0</v>
      </c>
      <c r="C127" s="123">
        <v>0</v>
      </c>
      <c r="D127" s="123">
        <v>0</v>
      </c>
      <c r="E127" s="123">
        <v>0</v>
      </c>
      <c r="F127" s="123">
        <v>0</v>
      </c>
      <c r="G127" s="123">
        <v>0</v>
      </c>
      <c r="H127" s="123">
        <v>0</v>
      </c>
      <c r="I127" s="123">
        <v>0</v>
      </c>
      <c r="J127" s="123">
        <v>0</v>
      </c>
      <c r="K127" s="123">
        <v>0</v>
      </c>
      <c r="L127" s="123">
        <v>0</v>
      </c>
      <c r="M127" s="123">
        <v>0</v>
      </c>
    </row>
    <row r="128" spans="1:27" x14ac:dyDescent="0.25">
      <c r="A128" s="161" t="s">
        <v>526</v>
      </c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</row>
    <row r="129" spans="1:13" x14ac:dyDescent="0.25">
      <c r="A129" s="38" t="s">
        <v>25</v>
      </c>
      <c r="B129" s="123">
        <v>6450156.8554668706</v>
      </c>
      <c r="C129" s="123">
        <v>4147509.3558005942</v>
      </c>
      <c r="D129" s="123">
        <v>0</v>
      </c>
      <c r="E129" s="123">
        <v>0</v>
      </c>
      <c r="F129" s="123">
        <v>0</v>
      </c>
      <c r="G129" s="123">
        <v>0</v>
      </c>
      <c r="H129" s="123">
        <v>0</v>
      </c>
      <c r="I129" s="123">
        <v>0</v>
      </c>
      <c r="J129" s="123">
        <v>0</v>
      </c>
      <c r="K129" s="123">
        <v>0</v>
      </c>
      <c r="L129" s="123">
        <v>0</v>
      </c>
      <c r="M129" s="123">
        <v>0</v>
      </c>
    </row>
    <row r="130" spans="1:13" x14ac:dyDescent="0.25">
      <c r="A130" s="38" t="s">
        <v>33</v>
      </c>
      <c r="B130" s="123">
        <v>0</v>
      </c>
      <c r="C130" s="123">
        <v>4207411.3826379599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</row>
    <row r="131" spans="1:13" x14ac:dyDescent="0.25">
      <c r="A131" s="38" t="s">
        <v>7</v>
      </c>
      <c r="B131" s="123">
        <v>0</v>
      </c>
      <c r="C131" s="123">
        <v>2619350.1107734838</v>
      </c>
      <c r="D131" s="123">
        <v>0</v>
      </c>
      <c r="E131" s="123">
        <v>0</v>
      </c>
      <c r="F131" s="123">
        <v>0</v>
      </c>
      <c r="G131" s="123">
        <v>0</v>
      </c>
      <c r="H131" s="123">
        <v>0</v>
      </c>
      <c r="I131" s="123">
        <v>0</v>
      </c>
      <c r="J131" s="123">
        <v>0</v>
      </c>
      <c r="K131" s="123">
        <v>0</v>
      </c>
      <c r="L131" s="123">
        <v>0</v>
      </c>
      <c r="M131" s="123">
        <v>0</v>
      </c>
    </row>
    <row r="132" spans="1:13" x14ac:dyDescent="0.25">
      <c r="A132" s="38" t="s">
        <v>23</v>
      </c>
      <c r="B132" s="123">
        <v>25175676.283046283</v>
      </c>
      <c r="C132" s="123">
        <v>2154399.1958331605</v>
      </c>
      <c r="D132" s="123">
        <v>0</v>
      </c>
      <c r="E132" s="123">
        <v>0</v>
      </c>
      <c r="F132" s="123">
        <v>0</v>
      </c>
      <c r="G132" s="123">
        <v>0</v>
      </c>
      <c r="H132" s="123">
        <v>0</v>
      </c>
      <c r="I132" s="123">
        <v>0</v>
      </c>
      <c r="J132" s="123">
        <v>0</v>
      </c>
      <c r="K132" s="123">
        <v>0</v>
      </c>
      <c r="L132" s="123">
        <v>0</v>
      </c>
      <c r="M132" s="123">
        <v>0</v>
      </c>
    </row>
    <row r="133" spans="1:13" x14ac:dyDescent="0.25">
      <c r="A133" s="38" t="s">
        <v>9</v>
      </c>
      <c r="B133" s="123">
        <v>0</v>
      </c>
      <c r="C133" s="123">
        <v>0</v>
      </c>
      <c r="D133" s="123">
        <v>0</v>
      </c>
      <c r="E133" s="123">
        <v>0</v>
      </c>
      <c r="F133" s="123">
        <v>0</v>
      </c>
      <c r="G133" s="123">
        <v>0</v>
      </c>
      <c r="H133" s="123">
        <v>0</v>
      </c>
      <c r="I133" s="123">
        <v>0</v>
      </c>
      <c r="J133" s="123">
        <v>0</v>
      </c>
      <c r="K133" s="123">
        <v>0</v>
      </c>
      <c r="L133" s="123">
        <v>0</v>
      </c>
      <c r="M133" s="123">
        <v>0</v>
      </c>
    </row>
    <row r="134" spans="1:13" x14ac:dyDescent="0.25">
      <c r="A134" s="38" t="s">
        <v>36</v>
      </c>
      <c r="B134" s="123">
        <v>6496165.9454310862</v>
      </c>
      <c r="C134" s="123">
        <v>2206083.98561572</v>
      </c>
      <c r="D134" s="123">
        <v>0</v>
      </c>
      <c r="E134" s="123">
        <v>0</v>
      </c>
      <c r="F134" s="123">
        <v>0</v>
      </c>
      <c r="G134" s="123">
        <v>0</v>
      </c>
      <c r="H134" s="123">
        <v>0</v>
      </c>
      <c r="I134" s="123">
        <v>0</v>
      </c>
      <c r="J134" s="123">
        <v>0</v>
      </c>
      <c r="K134" s="123">
        <v>0</v>
      </c>
      <c r="L134" s="123">
        <v>0</v>
      </c>
      <c r="M134" s="123">
        <v>0</v>
      </c>
    </row>
    <row r="135" spans="1:13" x14ac:dyDescent="0.25">
      <c r="A135" s="38" t="s">
        <v>21</v>
      </c>
      <c r="B135" s="123">
        <v>0</v>
      </c>
      <c r="C135" s="123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>
        <v>0</v>
      </c>
      <c r="M135" s="123">
        <v>0</v>
      </c>
    </row>
    <row r="136" spans="1:13" x14ac:dyDescent="0.25">
      <c r="A136" s="38" t="s">
        <v>18</v>
      </c>
      <c r="B136" s="123">
        <v>0</v>
      </c>
      <c r="C136" s="123">
        <v>0</v>
      </c>
      <c r="D136" s="123">
        <v>0</v>
      </c>
      <c r="E136" s="123">
        <v>0</v>
      </c>
      <c r="F136" s="123">
        <v>0</v>
      </c>
      <c r="G136" s="123">
        <v>0</v>
      </c>
      <c r="H136" s="123">
        <v>0</v>
      </c>
      <c r="I136" s="123">
        <v>0</v>
      </c>
      <c r="J136" s="123">
        <v>0</v>
      </c>
      <c r="K136" s="123">
        <v>0</v>
      </c>
      <c r="L136" s="123">
        <v>0</v>
      </c>
      <c r="M136" s="123">
        <v>0</v>
      </c>
    </row>
    <row r="137" spans="1:13" x14ac:dyDescent="0.25">
      <c r="A137" s="38" t="s">
        <v>14</v>
      </c>
      <c r="B137" s="123">
        <v>0</v>
      </c>
      <c r="C137" s="123">
        <v>0</v>
      </c>
      <c r="D137" s="123">
        <v>0</v>
      </c>
      <c r="E137" s="123">
        <v>0</v>
      </c>
      <c r="F137" s="123">
        <v>0</v>
      </c>
      <c r="G137" s="123">
        <v>0</v>
      </c>
      <c r="H137" s="123">
        <v>0</v>
      </c>
      <c r="I137" s="123">
        <v>0</v>
      </c>
      <c r="J137" s="123">
        <v>0</v>
      </c>
      <c r="K137" s="123">
        <v>0</v>
      </c>
      <c r="L137" s="123">
        <v>0</v>
      </c>
      <c r="M137" s="123">
        <v>0</v>
      </c>
    </row>
    <row r="138" spans="1:13" x14ac:dyDescent="0.25">
      <c r="A138" s="38" t="s">
        <v>16</v>
      </c>
      <c r="B138" s="123">
        <v>0</v>
      </c>
      <c r="C138" s="123">
        <v>0</v>
      </c>
      <c r="D138" s="123">
        <v>0</v>
      </c>
      <c r="E138" s="123">
        <v>0</v>
      </c>
      <c r="F138" s="123">
        <v>0</v>
      </c>
      <c r="G138" s="123">
        <v>0</v>
      </c>
      <c r="H138" s="123">
        <v>0</v>
      </c>
      <c r="I138" s="123">
        <v>0</v>
      </c>
      <c r="J138" s="123">
        <v>0</v>
      </c>
      <c r="K138" s="123">
        <v>0</v>
      </c>
      <c r="L138" s="123">
        <v>0</v>
      </c>
      <c r="M138" s="123">
        <v>0</v>
      </c>
    </row>
    <row r="139" spans="1:13" x14ac:dyDescent="0.25">
      <c r="A139" s="161" t="s">
        <v>527</v>
      </c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</row>
    <row r="140" spans="1:13" x14ac:dyDescent="0.25">
      <c r="A140" s="38" t="s">
        <v>25</v>
      </c>
      <c r="B140" s="123">
        <v>5187945.9583379198</v>
      </c>
      <c r="C140" s="123">
        <v>15743116.909339214</v>
      </c>
      <c r="D140" s="123">
        <v>0</v>
      </c>
      <c r="E140" s="123">
        <v>0</v>
      </c>
      <c r="F140" s="123">
        <v>0</v>
      </c>
      <c r="G140" s="123">
        <v>0</v>
      </c>
      <c r="H140" s="123">
        <v>0</v>
      </c>
      <c r="I140" s="123">
        <v>0</v>
      </c>
      <c r="J140" s="123">
        <v>0</v>
      </c>
      <c r="K140" s="123">
        <v>0</v>
      </c>
      <c r="L140" s="123">
        <v>0</v>
      </c>
      <c r="M140" s="123">
        <v>0</v>
      </c>
    </row>
    <row r="141" spans="1:13" x14ac:dyDescent="0.25">
      <c r="A141" s="38" t="s">
        <v>33</v>
      </c>
      <c r="B141" s="123">
        <v>0</v>
      </c>
      <c r="C141" s="123">
        <v>5084473.0769596817</v>
      </c>
      <c r="D141" s="123">
        <v>0</v>
      </c>
      <c r="E141" s="123">
        <v>0</v>
      </c>
      <c r="F141" s="123">
        <v>0</v>
      </c>
      <c r="G141" s="123">
        <v>0</v>
      </c>
      <c r="H141" s="123">
        <v>0</v>
      </c>
      <c r="I141" s="123">
        <v>0</v>
      </c>
      <c r="J141" s="123">
        <v>0</v>
      </c>
      <c r="K141" s="123">
        <v>0</v>
      </c>
      <c r="L141" s="123">
        <v>0</v>
      </c>
      <c r="M141" s="123">
        <v>0</v>
      </c>
    </row>
    <row r="142" spans="1:13" x14ac:dyDescent="0.25">
      <c r="A142" s="38" t="s">
        <v>7</v>
      </c>
      <c r="B142" s="123">
        <v>0</v>
      </c>
      <c r="C142" s="123">
        <v>3050396.2510556644</v>
      </c>
      <c r="D142" s="123">
        <v>0</v>
      </c>
      <c r="E142" s="123">
        <v>0</v>
      </c>
      <c r="F142" s="123">
        <v>0</v>
      </c>
      <c r="G142" s="123">
        <v>0</v>
      </c>
      <c r="H142" s="123">
        <v>0</v>
      </c>
      <c r="I142" s="123">
        <v>0</v>
      </c>
      <c r="J142" s="123">
        <v>0</v>
      </c>
      <c r="K142" s="123">
        <v>0</v>
      </c>
      <c r="L142" s="123">
        <v>0</v>
      </c>
      <c r="M142" s="123">
        <v>0</v>
      </c>
    </row>
    <row r="143" spans="1:13" x14ac:dyDescent="0.25">
      <c r="A143" s="38" t="s">
        <v>23</v>
      </c>
      <c r="B143" s="123">
        <v>9345722.7642203663</v>
      </c>
      <c r="C143" s="123">
        <v>14392826.612107176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>
        <v>0</v>
      </c>
      <c r="M143" s="123">
        <v>0</v>
      </c>
    </row>
    <row r="144" spans="1:13" x14ac:dyDescent="0.25">
      <c r="A144" s="38" t="s">
        <v>9</v>
      </c>
      <c r="B144" s="123">
        <v>0</v>
      </c>
      <c r="C144" s="123">
        <v>0</v>
      </c>
      <c r="D144" s="123">
        <v>0</v>
      </c>
      <c r="E144" s="123">
        <v>0</v>
      </c>
      <c r="F144" s="123">
        <v>0</v>
      </c>
      <c r="G144" s="123">
        <v>0</v>
      </c>
      <c r="H144" s="123">
        <v>0</v>
      </c>
      <c r="I144" s="123">
        <v>0</v>
      </c>
      <c r="J144" s="123">
        <v>0</v>
      </c>
      <c r="K144" s="123">
        <v>0</v>
      </c>
      <c r="L144" s="123">
        <v>0</v>
      </c>
      <c r="M144" s="123">
        <v>0</v>
      </c>
    </row>
    <row r="145" spans="1:13" x14ac:dyDescent="0.25">
      <c r="A145" s="38" t="s">
        <v>36</v>
      </c>
      <c r="B145" s="123">
        <v>9152251.8097437415</v>
      </c>
      <c r="C145" s="123">
        <v>17345666.893083032</v>
      </c>
      <c r="D145" s="123">
        <v>0</v>
      </c>
      <c r="E145" s="123">
        <v>0</v>
      </c>
      <c r="F145" s="123">
        <v>0</v>
      </c>
      <c r="G145" s="123">
        <v>0</v>
      </c>
      <c r="H145" s="123">
        <v>0</v>
      </c>
      <c r="I145" s="123">
        <v>0</v>
      </c>
      <c r="J145" s="123">
        <v>0</v>
      </c>
      <c r="K145" s="123">
        <v>0</v>
      </c>
      <c r="L145" s="123">
        <v>0</v>
      </c>
      <c r="M145" s="123">
        <v>0</v>
      </c>
    </row>
    <row r="146" spans="1:13" x14ac:dyDescent="0.25">
      <c r="A146" s="38" t="s">
        <v>21</v>
      </c>
      <c r="B146" s="123">
        <v>0</v>
      </c>
      <c r="C146" s="123">
        <v>0</v>
      </c>
      <c r="D146" s="123">
        <v>0</v>
      </c>
      <c r="E146" s="123">
        <v>0</v>
      </c>
      <c r="F146" s="123">
        <v>0</v>
      </c>
      <c r="G146" s="123">
        <v>0</v>
      </c>
      <c r="H146" s="123">
        <v>0</v>
      </c>
      <c r="I146" s="123">
        <v>0</v>
      </c>
      <c r="J146" s="123">
        <v>0</v>
      </c>
      <c r="K146" s="123">
        <v>0</v>
      </c>
      <c r="L146" s="123">
        <v>0</v>
      </c>
      <c r="M146" s="123">
        <v>0</v>
      </c>
    </row>
    <row r="147" spans="1:13" x14ac:dyDescent="0.25">
      <c r="A147" s="38" t="s">
        <v>18</v>
      </c>
      <c r="B147" s="123">
        <v>0</v>
      </c>
      <c r="C147" s="123">
        <v>0</v>
      </c>
      <c r="D147" s="123">
        <v>0</v>
      </c>
      <c r="E147" s="123">
        <v>0</v>
      </c>
      <c r="F147" s="123">
        <v>0</v>
      </c>
      <c r="G147" s="123">
        <v>0</v>
      </c>
      <c r="H147" s="123">
        <v>0</v>
      </c>
      <c r="I147" s="123">
        <v>0</v>
      </c>
      <c r="J147" s="123">
        <v>0</v>
      </c>
      <c r="K147" s="123">
        <v>0</v>
      </c>
      <c r="L147" s="123">
        <v>0</v>
      </c>
      <c r="M147" s="123">
        <v>0</v>
      </c>
    </row>
    <row r="148" spans="1:13" x14ac:dyDescent="0.25">
      <c r="A148" s="38" t="s">
        <v>14</v>
      </c>
      <c r="B148" s="123">
        <v>0</v>
      </c>
      <c r="C148" s="123">
        <v>0</v>
      </c>
      <c r="D148" s="123">
        <v>0</v>
      </c>
      <c r="E148" s="123">
        <v>0</v>
      </c>
      <c r="F148" s="123">
        <v>0</v>
      </c>
      <c r="G148" s="123">
        <v>0</v>
      </c>
      <c r="H148" s="123">
        <v>0</v>
      </c>
      <c r="I148" s="123">
        <v>0</v>
      </c>
      <c r="J148" s="123">
        <v>0</v>
      </c>
      <c r="K148" s="123">
        <v>0</v>
      </c>
      <c r="L148" s="123">
        <v>0</v>
      </c>
      <c r="M148" s="123">
        <v>0</v>
      </c>
    </row>
    <row r="149" spans="1:13" x14ac:dyDescent="0.25">
      <c r="A149" s="38" t="s">
        <v>16</v>
      </c>
      <c r="B149" s="123">
        <v>0</v>
      </c>
      <c r="C149" s="123">
        <v>0</v>
      </c>
      <c r="D149" s="123">
        <v>0</v>
      </c>
      <c r="E149" s="123">
        <v>0</v>
      </c>
      <c r="F149" s="123">
        <v>0</v>
      </c>
      <c r="G149" s="123">
        <v>0</v>
      </c>
      <c r="H149" s="123">
        <v>0</v>
      </c>
      <c r="I149" s="123">
        <v>0</v>
      </c>
      <c r="J149" s="123">
        <v>0</v>
      </c>
      <c r="K149" s="123">
        <v>0</v>
      </c>
      <c r="L149" s="123">
        <v>0</v>
      </c>
      <c r="M149" s="123">
        <v>0</v>
      </c>
    </row>
    <row r="150" spans="1:13" x14ac:dyDescent="0.25">
      <c r="A150" s="161" t="s">
        <v>590</v>
      </c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</row>
    <row r="151" spans="1:13" x14ac:dyDescent="0.25">
      <c r="A151" s="38" t="s">
        <v>25</v>
      </c>
      <c r="B151" s="123">
        <v>0</v>
      </c>
      <c r="C151" s="123">
        <v>1279665.5670196167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>
        <v>0</v>
      </c>
      <c r="M151" s="123">
        <v>0</v>
      </c>
    </row>
    <row r="152" spans="1:13" x14ac:dyDescent="0.25">
      <c r="A152" s="38" t="s">
        <v>33</v>
      </c>
      <c r="B152" s="123">
        <v>0</v>
      </c>
      <c r="C152" s="123">
        <v>0</v>
      </c>
      <c r="D152" s="123">
        <v>0</v>
      </c>
      <c r="E152" s="123">
        <v>0</v>
      </c>
      <c r="F152" s="123">
        <v>0</v>
      </c>
      <c r="G152" s="123">
        <v>0</v>
      </c>
      <c r="H152" s="123">
        <v>0</v>
      </c>
      <c r="I152" s="123">
        <v>0</v>
      </c>
      <c r="J152" s="123">
        <v>0</v>
      </c>
      <c r="K152" s="123">
        <v>0</v>
      </c>
      <c r="L152" s="123">
        <v>0</v>
      </c>
      <c r="M152" s="123">
        <v>0</v>
      </c>
    </row>
    <row r="153" spans="1:13" x14ac:dyDescent="0.25">
      <c r="A153" s="38" t="s">
        <v>7</v>
      </c>
      <c r="B153" s="123">
        <v>0</v>
      </c>
      <c r="C153" s="123">
        <v>0</v>
      </c>
      <c r="D153" s="123">
        <v>0</v>
      </c>
      <c r="E153" s="123">
        <v>0</v>
      </c>
      <c r="F153" s="123">
        <v>0</v>
      </c>
      <c r="G153" s="123">
        <v>0</v>
      </c>
      <c r="H153" s="123">
        <v>0</v>
      </c>
      <c r="I153" s="123">
        <v>0</v>
      </c>
      <c r="J153" s="123">
        <v>0</v>
      </c>
      <c r="K153" s="123">
        <v>0</v>
      </c>
      <c r="L153" s="123">
        <v>0</v>
      </c>
      <c r="M153" s="123">
        <v>0</v>
      </c>
    </row>
    <row r="154" spans="1:13" x14ac:dyDescent="0.25">
      <c r="A154" s="38" t="s">
        <v>23</v>
      </c>
      <c r="B154" s="123">
        <v>0</v>
      </c>
      <c r="C154" s="123">
        <v>137385.9144790119</v>
      </c>
      <c r="D154" s="123">
        <v>0</v>
      </c>
      <c r="E154" s="123">
        <v>0</v>
      </c>
      <c r="F154" s="123">
        <v>0</v>
      </c>
      <c r="G154" s="123">
        <v>0</v>
      </c>
      <c r="H154" s="123">
        <v>0</v>
      </c>
      <c r="I154" s="123">
        <v>0</v>
      </c>
      <c r="J154" s="123">
        <v>0</v>
      </c>
      <c r="K154" s="123">
        <v>0</v>
      </c>
      <c r="L154" s="123">
        <v>0</v>
      </c>
      <c r="M154" s="123">
        <v>0</v>
      </c>
    </row>
    <row r="155" spans="1:13" x14ac:dyDescent="0.25">
      <c r="A155" s="38" t="s">
        <v>9</v>
      </c>
      <c r="B155" s="123">
        <v>0</v>
      </c>
      <c r="C155" s="123">
        <v>0</v>
      </c>
      <c r="D155" s="123">
        <v>0</v>
      </c>
      <c r="E155" s="123">
        <v>0</v>
      </c>
      <c r="F155" s="123">
        <v>0</v>
      </c>
      <c r="G155" s="123">
        <v>0</v>
      </c>
      <c r="H155" s="123">
        <v>0</v>
      </c>
      <c r="I155" s="123">
        <v>0</v>
      </c>
      <c r="J155" s="123">
        <v>0</v>
      </c>
      <c r="K155" s="123">
        <v>0</v>
      </c>
      <c r="L155" s="123">
        <v>0</v>
      </c>
      <c r="M155" s="123">
        <v>0</v>
      </c>
    </row>
    <row r="156" spans="1:13" x14ac:dyDescent="0.25">
      <c r="A156" s="38" t="s">
        <v>36</v>
      </c>
      <c r="B156" s="123">
        <v>687689.84893823357</v>
      </c>
      <c r="C156" s="123">
        <v>8702812.7782168891</v>
      </c>
      <c r="D156" s="123">
        <v>0</v>
      </c>
      <c r="E156" s="123">
        <v>0</v>
      </c>
      <c r="F156" s="123">
        <v>0</v>
      </c>
      <c r="G156" s="123">
        <v>0</v>
      </c>
      <c r="H156" s="123">
        <v>0</v>
      </c>
      <c r="I156" s="123">
        <v>0</v>
      </c>
      <c r="J156" s="123">
        <v>0</v>
      </c>
      <c r="K156" s="123">
        <v>0</v>
      </c>
      <c r="L156" s="123">
        <v>0</v>
      </c>
      <c r="M156" s="123">
        <v>0</v>
      </c>
    </row>
    <row r="157" spans="1:13" x14ac:dyDescent="0.25">
      <c r="A157" s="38" t="s">
        <v>21</v>
      </c>
      <c r="B157" s="123">
        <v>0</v>
      </c>
      <c r="C157" s="123">
        <v>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0</v>
      </c>
    </row>
    <row r="158" spans="1:13" x14ac:dyDescent="0.25">
      <c r="A158" s="38" t="s">
        <v>18</v>
      </c>
      <c r="B158" s="123">
        <v>0</v>
      </c>
      <c r="C158" s="123">
        <v>0</v>
      </c>
      <c r="D158" s="123">
        <v>0</v>
      </c>
      <c r="E158" s="123">
        <v>0</v>
      </c>
      <c r="F158" s="123">
        <v>0</v>
      </c>
      <c r="G158" s="123">
        <v>0</v>
      </c>
      <c r="H158" s="123">
        <v>0</v>
      </c>
      <c r="I158" s="123">
        <v>0</v>
      </c>
      <c r="J158" s="123">
        <v>0</v>
      </c>
      <c r="K158" s="123">
        <v>0</v>
      </c>
      <c r="L158" s="123">
        <v>0</v>
      </c>
      <c r="M158" s="123">
        <v>0</v>
      </c>
    </row>
    <row r="159" spans="1:13" x14ac:dyDescent="0.25">
      <c r="A159" s="38" t="s">
        <v>14</v>
      </c>
      <c r="B159" s="123">
        <v>0</v>
      </c>
      <c r="C159" s="123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>
        <v>0</v>
      </c>
      <c r="M159" s="123">
        <v>0</v>
      </c>
    </row>
    <row r="160" spans="1:13" x14ac:dyDescent="0.25">
      <c r="A160" s="38" t="s">
        <v>16</v>
      </c>
      <c r="B160" s="123">
        <v>0</v>
      </c>
      <c r="C160" s="123">
        <v>0</v>
      </c>
      <c r="D160" s="123">
        <v>0</v>
      </c>
      <c r="E160" s="123">
        <v>0</v>
      </c>
      <c r="F160" s="123">
        <v>0</v>
      </c>
      <c r="G160" s="123">
        <v>0</v>
      </c>
      <c r="H160" s="123">
        <v>0</v>
      </c>
      <c r="I160" s="123">
        <v>0</v>
      </c>
      <c r="J160" s="123">
        <v>0</v>
      </c>
      <c r="K160" s="123">
        <v>0</v>
      </c>
      <c r="L160" s="123">
        <v>0</v>
      </c>
      <c r="M160" s="123">
        <v>0</v>
      </c>
    </row>
    <row r="161" spans="1:13" x14ac:dyDescent="0.25">
      <c r="A161" s="161" t="s">
        <v>591</v>
      </c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</row>
    <row r="162" spans="1:13" x14ac:dyDescent="0.25">
      <c r="A162" s="38" t="s">
        <v>25</v>
      </c>
      <c r="B162" s="123">
        <v>28726223.61451567</v>
      </c>
      <c r="C162" s="123">
        <v>109455904.44195446</v>
      </c>
      <c r="D162" s="123">
        <v>0</v>
      </c>
      <c r="E162" s="123">
        <v>0</v>
      </c>
      <c r="F162" s="123">
        <v>0</v>
      </c>
      <c r="G162" s="123">
        <v>0</v>
      </c>
      <c r="H162" s="123">
        <v>0</v>
      </c>
      <c r="I162" s="123">
        <v>0</v>
      </c>
      <c r="J162" s="123">
        <v>0</v>
      </c>
      <c r="K162" s="123">
        <v>0</v>
      </c>
      <c r="L162" s="123">
        <v>0</v>
      </c>
      <c r="M162" s="123">
        <v>0</v>
      </c>
    </row>
    <row r="163" spans="1:13" x14ac:dyDescent="0.25">
      <c r="A163" s="38" t="s">
        <v>33</v>
      </c>
      <c r="B163" s="123">
        <v>0</v>
      </c>
      <c r="C163" s="123">
        <v>5797607.3935274202</v>
      </c>
      <c r="D163" s="123">
        <v>0</v>
      </c>
      <c r="E163" s="123">
        <v>0</v>
      </c>
      <c r="F163" s="123">
        <v>0</v>
      </c>
      <c r="G163" s="123">
        <v>0</v>
      </c>
      <c r="H163" s="123">
        <v>0</v>
      </c>
      <c r="I163" s="123">
        <v>0</v>
      </c>
      <c r="J163" s="123">
        <v>0</v>
      </c>
      <c r="K163" s="123">
        <v>0</v>
      </c>
      <c r="L163" s="123">
        <v>0</v>
      </c>
      <c r="M163" s="123">
        <v>0</v>
      </c>
    </row>
    <row r="164" spans="1:13" x14ac:dyDescent="0.25">
      <c r="A164" s="38" t="s">
        <v>7</v>
      </c>
      <c r="B164" s="123">
        <v>0</v>
      </c>
      <c r="C164" s="123">
        <v>1394567.6480229734</v>
      </c>
      <c r="D164" s="123">
        <v>0</v>
      </c>
      <c r="E164" s="123">
        <v>0</v>
      </c>
      <c r="F164" s="123">
        <v>0</v>
      </c>
      <c r="G164" s="123">
        <v>0</v>
      </c>
      <c r="H164" s="123">
        <v>0</v>
      </c>
      <c r="I164" s="123">
        <v>0</v>
      </c>
      <c r="J164" s="123">
        <v>0</v>
      </c>
      <c r="K164" s="123">
        <v>0</v>
      </c>
      <c r="L164" s="123">
        <v>0</v>
      </c>
      <c r="M164" s="123">
        <v>0</v>
      </c>
    </row>
    <row r="165" spans="1:13" x14ac:dyDescent="0.25">
      <c r="A165" s="38" t="s">
        <v>23</v>
      </c>
      <c r="B165" s="123">
        <v>35343396.425761417</v>
      </c>
      <c r="C165" s="123">
        <v>87048639.319791719</v>
      </c>
      <c r="D165" s="123">
        <v>0</v>
      </c>
      <c r="E165" s="123">
        <v>0</v>
      </c>
      <c r="F165" s="123">
        <v>0</v>
      </c>
      <c r="G165" s="123">
        <v>0</v>
      </c>
      <c r="H165" s="123">
        <v>0</v>
      </c>
      <c r="I165" s="123">
        <v>0</v>
      </c>
      <c r="J165" s="123">
        <v>0</v>
      </c>
      <c r="K165" s="123">
        <v>0</v>
      </c>
      <c r="L165" s="123">
        <v>0</v>
      </c>
      <c r="M165" s="123">
        <v>0</v>
      </c>
    </row>
    <row r="166" spans="1:13" x14ac:dyDescent="0.25">
      <c r="A166" s="38" t="s">
        <v>9</v>
      </c>
      <c r="B166" s="123">
        <v>0</v>
      </c>
      <c r="C166" s="123">
        <v>0</v>
      </c>
      <c r="D166" s="123">
        <v>0</v>
      </c>
      <c r="E166" s="123">
        <v>0</v>
      </c>
      <c r="F166" s="123">
        <v>0</v>
      </c>
      <c r="G166" s="123">
        <v>0</v>
      </c>
      <c r="H166" s="123">
        <v>0</v>
      </c>
      <c r="I166" s="123">
        <v>0</v>
      </c>
      <c r="J166" s="123">
        <v>0</v>
      </c>
      <c r="K166" s="123">
        <v>0</v>
      </c>
      <c r="L166" s="123">
        <v>0</v>
      </c>
      <c r="M166" s="123">
        <v>0</v>
      </c>
    </row>
    <row r="167" spans="1:13" x14ac:dyDescent="0.25">
      <c r="A167" s="38" t="s">
        <v>36</v>
      </c>
      <c r="B167" s="123">
        <v>61549864.565938592</v>
      </c>
      <c r="C167" s="123">
        <v>122214142.05331922</v>
      </c>
      <c r="D167" s="123">
        <v>0</v>
      </c>
      <c r="E167" s="123">
        <v>0</v>
      </c>
      <c r="F167" s="123">
        <v>0</v>
      </c>
      <c r="G167" s="123">
        <v>0</v>
      </c>
      <c r="H167" s="123">
        <v>0</v>
      </c>
      <c r="I167" s="123">
        <v>0</v>
      </c>
      <c r="J167" s="123">
        <v>0</v>
      </c>
      <c r="K167" s="123">
        <v>0</v>
      </c>
      <c r="L167" s="123">
        <v>0</v>
      </c>
      <c r="M167" s="123">
        <v>0</v>
      </c>
    </row>
    <row r="168" spans="1:13" x14ac:dyDescent="0.25">
      <c r="A168" s="38" t="s">
        <v>21</v>
      </c>
      <c r="B168" s="123">
        <v>0</v>
      </c>
      <c r="C168" s="123">
        <v>0</v>
      </c>
      <c r="D168" s="123">
        <v>0</v>
      </c>
      <c r="E168" s="123">
        <v>0</v>
      </c>
      <c r="F168" s="123">
        <v>0</v>
      </c>
      <c r="G168" s="123">
        <v>0</v>
      </c>
      <c r="H168" s="123">
        <v>0</v>
      </c>
      <c r="I168" s="123">
        <v>0</v>
      </c>
      <c r="J168" s="123">
        <v>0</v>
      </c>
      <c r="K168" s="123">
        <v>0</v>
      </c>
      <c r="L168" s="123">
        <v>0</v>
      </c>
      <c r="M168" s="123">
        <v>0</v>
      </c>
    </row>
    <row r="169" spans="1:13" x14ac:dyDescent="0.25">
      <c r="A169" s="38" t="s">
        <v>18</v>
      </c>
      <c r="B169" s="123">
        <v>0</v>
      </c>
      <c r="C169" s="123">
        <v>0</v>
      </c>
      <c r="D169" s="123">
        <v>0</v>
      </c>
      <c r="E169" s="123">
        <v>0</v>
      </c>
      <c r="F169" s="123">
        <v>0</v>
      </c>
      <c r="G169" s="123">
        <v>0</v>
      </c>
      <c r="H169" s="123">
        <v>0</v>
      </c>
      <c r="I169" s="123">
        <v>0</v>
      </c>
      <c r="J169" s="123">
        <v>0</v>
      </c>
      <c r="K169" s="123">
        <v>0</v>
      </c>
      <c r="L169" s="123">
        <v>0</v>
      </c>
      <c r="M169" s="123">
        <v>0</v>
      </c>
    </row>
    <row r="170" spans="1:13" x14ac:dyDescent="0.25">
      <c r="A170" s="38" t="s">
        <v>14</v>
      </c>
      <c r="B170" s="123">
        <v>0</v>
      </c>
      <c r="C170" s="123">
        <v>0</v>
      </c>
      <c r="D170" s="123">
        <v>0</v>
      </c>
      <c r="E170" s="123">
        <v>0</v>
      </c>
      <c r="F170" s="123">
        <v>0</v>
      </c>
      <c r="G170" s="123">
        <v>0</v>
      </c>
      <c r="H170" s="123">
        <v>0</v>
      </c>
      <c r="I170" s="123">
        <v>0</v>
      </c>
      <c r="J170" s="123">
        <v>0</v>
      </c>
      <c r="K170" s="123">
        <v>0</v>
      </c>
      <c r="L170" s="123">
        <v>0</v>
      </c>
      <c r="M170" s="123">
        <v>0</v>
      </c>
    </row>
    <row r="171" spans="1:13" x14ac:dyDescent="0.25">
      <c r="A171" s="38" t="s">
        <v>16</v>
      </c>
      <c r="B171" s="123">
        <v>0</v>
      </c>
      <c r="C171" s="123">
        <v>0</v>
      </c>
      <c r="D171" s="123">
        <v>0</v>
      </c>
      <c r="E171" s="123">
        <v>0</v>
      </c>
      <c r="F171" s="123">
        <v>0</v>
      </c>
      <c r="G171" s="123">
        <v>0</v>
      </c>
      <c r="H171" s="123">
        <v>0</v>
      </c>
      <c r="I171" s="123">
        <v>0</v>
      </c>
      <c r="J171" s="123">
        <v>0</v>
      </c>
      <c r="K171" s="123">
        <v>0</v>
      </c>
      <c r="L171" s="123">
        <v>0</v>
      </c>
      <c r="M171" s="123">
        <v>0</v>
      </c>
    </row>
    <row r="172" spans="1:13" x14ac:dyDescent="0.25">
      <c r="A172" s="184" t="s">
        <v>592</v>
      </c>
      <c r="B172" s="184">
        <v>2011</v>
      </c>
      <c r="C172" s="184">
        <v>2012</v>
      </c>
      <c r="D172" s="184">
        <v>2013</v>
      </c>
      <c r="E172" s="184">
        <v>2014</v>
      </c>
      <c r="F172" s="184">
        <v>2015</v>
      </c>
      <c r="G172" s="184">
        <v>2016</v>
      </c>
      <c r="H172" s="184">
        <v>2017</v>
      </c>
      <c r="I172" s="184">
        <v>2018</v>
      </c>
      <c r="J172" s="184">
        <v>2019</v>
      </c>
      <c r="K172" s="184">
        <v>2020</v>
      </c>
      <c r="L172" s="184">
        <v>2021</v>
      </c>
      <c r="M172" s="184">
        <v>2022</v>
      </c>
    </row>
    <row r="173" spans="1:13" x14ac:dyDescent="0.25">
      <c r="A173" s="38" t="s">
        <v>25</v>
      </c>
      <c r="B173">
        <v>1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38" t="s">
        <v>33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38" t="s">
        <v>7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38" t="s">
        <v>23</v>
      </c>
      <c r="B176">
        <v>2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68" x14ac:dyDescent="0.25">
      <c r="A177" s="38" t="s">
        <v>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68" x14ac:dyDescent="0.25">
      <c r="A178" s="38" t="s">
        <v>36</v>
      </c>
      <c r="B178">
        <v>1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68" x14ac:dyDescent="0.25">
      <c r="A179" s="38" t="s">
        <v>21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68" x14ac:dyDescent="0.25">
      <c r="A180" s="38" t="s">
        <v>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68" x14ac:dyDescent="0.25">
      <c r="A181" s="38" t="s">
        <v>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68" x14ac:dyDescent="0.25">
      <c r="A182" s="38" t="s">
        <v>16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68" ht="15" customHeight="1" x14ac:dyDescent="0.25">
      <c r="B183" s="217" t="s">
        <v>593</v>
      </c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7"/>
      <c r="AL183" s="217"/>
      <c r="AM183" s="217"/>
      <c r="AN183" s="217"/>
      <c r="AO183" s="217"/>
      <c r="AP183" s="217"/>
      <c r="AQ183" s="217"/>
      <c r="AR183" s="217"/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7"/>
      <c r="CJ183" s="217"/>
      <c r="CK183" s="217"/>
      <c r="CL183" s="217"/>
      <c r="CM183" s="217"/>
      <c r="CN183" s="217"/>
      <c r="CO183" s="217"/>
      <c r="CP183" s="217"/>
      <c r="CQ183" s="217"/>
      <c r="CR183" s="217"/>
      <c r="CS183" s="217"/>
      <c r="CT183" s="217"/>
      <c r="CU183" s="217"/>
      <c r="CV183" s="217"/>
      <c r="CW183" s="217"/>
      <c r="CX183" s="217"/>
      <c r="CY183" s="217"/>
      <c r="CZ183" s="217"/>
      <c r="DA183" s="217"/>
      <c r="DB183" s="217"/>
      <c r="DC183" s="217"/>
      <c r="DD183" s="217"/>
      <c r="DE183" s="217"/>
      <c r="DF183" s="217"/>
      <c r="DG183" s="217"/>
      <c r="DH183" s="217"/>
      <c r="DI183" s="217"/>
      <c r="DJ183" s="217"/>
      <c r="DK183" s="217"/>
      <c r="DL183" s="217"/>
      <c r="DM183" s="217"/>
      <c r="DN183" s="217"/>
      <c r="DO183" s="217"/>
      <c r="DP183" s="217"/>
      <c r="DQ183" s="217"/>
    </row>
    <row r="184" spans="1:168" ht="30" x14ac:dyDescent="0.25">
      <c r="B184" s="199" t="s">
        <v>594</v>
      </c>
      <c r="C184" s="199" t="s">
        <v>594</v>
      </c>
      <c r="D184" s="199" t="s">
        <v>594</v>
      </c>
      <c r="E184" s="199" t="s">
        <v>594</v>
      </c>
      <c r="F184" s="199" t="s">
        <v>594</v>
      </c>
      <c r="G184" s="199" t="s">
        <v>594</v>
      </c>
      <c r="H184" s="199" t="s">
        <v>594</v>
      </c>
      <c r="I184" s="199" t="s">
        <v>594</v>
      </c>
      <c r="J184" s="199" t="s">
        <v>594</v>
      </c>
      <c r="K184" s="199" t="s">
        <v>594</v>
      </c>
      <c r="L184" s="200" t="s">
        <v>594</v>
      </c>
      <c r="M184" s="200" t="s">
        <v>594</v>
      </c>
      <c r="N184" s="201" t="s">
        <v>595</v>
      </c>
      <c r="O184" s="201" t="s">
        <v>595</v>
      </c>
      <c r="P184" s="201" t="s">
        <v>595</v>
      </c>
      <c r="Q184" s="201" t="s">
        <v>595</v>
      </c>
      <c r="R184" s="201" t="s">
        <v>595</v>
      </c>
      <c r="S184" s="201" t="s">
        <v>595</v>
      </c>
      <c r="T184" s="201" t="s">
        <v>595</v>
      </c>
      <c r="U184" s="201" t="s">
        <v>595</v>
      </c>
      <c r="V184" s="202" t="s">
        <v>595</v>
      </c>
      <c r="W184" s="202" t="s">
        <v>595</v>
      </c>
      <c r="X184" s="202" t="s">
        <v>595</v>
      </c>
      <c r="Y184" s="202" t="s">
        <v>595</v>
      </c>
      <c r="Z184" s="199" t="s">
        <v>596</v>
      </c>
      <c r="AA184" s="199" t="s">
        <v>596</v>
      </c>
      <c r="AB184" s="199" t="s">
        <v>596</v>
      </c>
      <c r="AC184" s="199" t="s">
        <v>596</v>
      </c>
      <c r="AD184" s="199" t="s">
        <v>596</v>
      </c>
      <c r="AE184" s="199" t="s">
        <v>596</v>
      </c>
      <c r="AF184" s="199" t="s">
        <v>596</v>
      </c>
      <c r="AG184" s="199" t="s">
        <v>596</v>
      </c>
      <c r="AH184" s="199" t="s">
        <v>596</v>
      </c>
      <c r="AI184" s="199" t="s">
        <v>596</v>
      </c>
      <c r="AJ184" s="200" t="s">
        <v>596</v>
      </c>
      <c r="AK184" s="200" t="s">
        <v>596</v>
      </c>
      <c r="AL184" s="201" t="s">
        <v>597</v>
      </c>
      <c r="AM184" s="201" t="s">
        <v>597</v>
      </c>
      <c r="AN184" s="201" t="s">
        <v>597</v>
      </c>
      <c r="AO184" s="201" t="s">
        <v>597</v>
      </c>
      <c r="AP184" s="201" t="s">
        <v>597</v>
      </c>
      <c r="AQ184" s="201" t="s">
        <v>597</v>
      </c>
      <c r="AR184" s="201" t="s">
        <v>597</v>
      </c>
      <c r="AS184" s="201" t="s">
        <v>597</v>
      </c>
      <c r="AT184" s="202" t="s">
        <v>597</v>
      </c>
      <c r="AU184" s="202" t="s">
        <v>597</v>
      </c>
      <c r="AV184" s="202" t="s">
        <v>597</v>
      </c>
      <c r="AW184" s="202" t="s">
        <v>597</v>
      </c>
      <c r="AX184" s="199" t="s">
        <v>598</v>
      </c>
      <c r="AY184" s="199" t="s">
        <v>598</v>
      </c>
      <c r="AZ184" s="199" t="s">
        <v>598</v>
      </c>
      <c r="BA184" s="199" t="s">
        <v>598</v>
      </c>
      <c r="BB184" s="199" t="s">
        <v>598</v>
      </c>
      <c r="BC184" s="199" t="s">
        <v>598</v>
      </c>
      <c r="BD184" s="199" t="s">
        <v>598</v>
      </c>
      <c r="BE184" s="199" t="s">
        <v>598</v>
      </c>
      <c r="BF184" s="199" t="s">
        <v>598</v>
      </c>
      <c r="BG184" s="199" t="s">
        <v>598</v>
      </c>
      <c r="BH184" s="200" t="s">
        <v>598</v>
      </c>
      <c r="BI184" s="200" t="s">
        <v>598</v>
      </c>
      <c r="BJ184" s="201" t="s">
        <v>599</v>
      </c>
      <c r="BK184" s="201" t="s">
        <v>599</v>
      </c>
      <c r="BL184" s="201" t="s">
        <v>599</v>
      </c>
      <c r="BM184" s="201" t="s">
        <v>599</v>
      </c>
      <c r="BN184" s="201" t="s">
        <v>599</v>
      </c>
      <c r="BO184" s="201" t="s">
        <v>599</v>
      </c>
      <c r="BP184" s="201" t="s">
        <v>599</v>
      </c>
      <c r="BQ184" s="201" t="s">
        <v>599</v>
      </c>
      <c r="BR184" s="202" t="s">
        <v>599</v>
      </c>
      <c r="BS184" s="202" t="s">
        <v>599</v>
      </c>
      <c r="BT184" s="202" t="s">
        <v>599</v>
      </c>
      <c r="BU184" s="202" t="s">
        <v>599</v>
      </c>
      <c r="BV184" s="199" t="s">
        <v>600</v>
      </c>
      <c r="BW184" s="199" t="s">
        <v>600</v>
      </c>
      <c r="BX184" s="199" t="s">
        <v>600</v>
      </c>
      <c r="BY184" s="199" t="s">
        <v>600</v>
      </c>
      <c r="BZ184" s="199" t="s">
        <v>600</v>
      </c>
      <c r="CA184" s="199" t="s">
        <v>600</v>
      </c>
      <c r="CB184" s="199" t="s">
        <v>600</v>
      </c>
      <c r="CC184" s="199" t="s">
        <v>600</v>
      </c>
      <c r="CD184" s="199" t="s">
        <v>600</v>
      </c>
      <c r="CE184" s="199" t="s">
        <v>600</v>
      </c>
      <c r="CF184" s="200" t="s">
        <v>600</v>
      </c>
      <c r="CG184" s="200" t="s">
        <v>600</v>
      </c>
      <c r="CH184" s="201" t="s">
        <v>601</v>
      </c>
      <c r="CI184" s="201" t="s">
        <v>601</v>
      </c>
      <c r="CJ184" s="201" t="s">
        <v>601</v>
      </c>
      <c r="CK184" s="201" t="s">
        <v>601</v>
      </c>
      <c r="CL184" s="201" t="s">
        <v>601</v>
      </c>
      <c r="CM184" s="201" t="s">
        <v>601</v>
      </c>
      <c r="CN184" s="201" t="s">
        <v>601</v>
      </c>
      <c r="CO184" s="201" t="s">
        <v>601</v>
      </c>
      <c r="CP184" s="202" t="s">
        <v>601</v>
      </c>
      <c r="CQ184" s="202" t="s">
        <v>601</v>
      </c>
      <c r="CR184" s="202" t="s">
        <v>601</v>
      </c>
      <c r="CS184" s="202" t="s">
        <v>601</v>
      </c>
      <c r="CT184" s="199" t="s">
        <v>602</v>
      </c>
      <c r="CU184" s="199" t="s">
        <v>602</v>
      </c>
      <c r="CV184" s="199" t="s">
        <v>602</v>
      </c>
      <c r="CW184" s="199" t="s">
        <v>602</v>
      </c>
      <c r="CX184" s="199" t="s">
        <v>602</v>
      </c>
      <c r="CY184" s="199" t="s">
        <v>602</v>
      </c>
      <c r="CZ184" s="199" t="s">
        <v>602</v>
      </c>
      <c r="DA184" s="199" t="s">
        <v>602</v>
      </c>
      <c r="DB184" s="199" t="s">
        <v>602</v>
      </c>
      <c r="DC184" s="199" t="s">
        <v>602</v>
      </c>
      <c r="DD184" s="200" t="s">
        <v>602</v>
      </c>
      <c r="DE184" s="200" t="s">
        <v>602</v>
      </c>
      <c r="DF184" s="201" t="s">
        <v>603</v>
      </c>
      <c r="DG184" s="201" t="s">
        <v>603</v>
      </c>
      <c r="DH184" s="201" t="s">
        <v>603</v>
      </c>
      <c r="DI184" s="201" t="s">
        <v>603</v>
      </c>
      <c r="DJ184" s="201" t="s">
        <v>603</v>
      </c>
      <c r="DK184" s="201" t="s">
        <v>603</v>
      </c>
      <c r="DL184" s="201" t="s">
        <v>603</v>
      </c>
      <c r="DM184" s="201" t="s">
        <v>603</v>
      </c>
      <c r="DN184" s="202" t="s">
        <v>603</v>
      </c>
      <c r="DO184" s="202" t="s">
        <v>603</v>
      </c>
      <c r="DP184" s="202" t="s">
        <v>603</v>
      </c>
      <c r="DQ184" s="202" t="s">
        <v>603</v>
      </c>
    </row>
    <row r="185" spans="1:168" x14ac:dyDescent="0.25">
      <c r="B185" s="199">
        <v>2011</v>
      </c>
      <c r="C185" s="199">
        <v>2012</v>
      </c>
      <c r="D185" s="199">
        <v>2013</v>
      </c>
      <c r="E185" s="199">
        <v>2014</v>
      </c>
      <c r="F185" s="199">
        <v>2015</v>
      </c>
      <c r="G185" s="199">
        <v>2016</v>
      </c>
      <c r="H185" s="199">
        <v>2017</v>
      </c>
      <c r="I185" s="199">
        <v>2018</v>
      </c>
      <c r="J185" s="199">
        <v>2019</v>
      </c>
      <c r="K185" s="199">
        <v>2020</v>
      </c>
      <c r="L185" s="199">
        <v>2021</v>
      </c>
      <c r="M185" s="199">
        <v>2022</v>
      </c>
      <c r="N185" s="202">
        <v>2011</v>
      </c>
      <c r="O185" s="202">
        <v>2012</v>
      </c>
      <c r="P185" s="202">
        <v>2013</v>
      </c>
      <c r="Q185" s="202">
        <v>2014</v>
      </c>
      <c r="R185" s="202">
        <v>2015</v>
      </c>
      <c r="S185" s="202">
        <v>2016</v>
      </c>
      <c r="T185" s="202">
        <v>2017</v>
      </c>
      <c r="U185" s="202">
        <v>2018</v>
      </c>
      <c r="V185" s="202">
        <v>2019</v>
      </c>
      <c r="W185" s="202">
        <v>2020</v>
      </c>
      <c r="X185" s="202">
        <v>2021</v>
      </c>
      <c r="Y185" s="202">
        <v>2022</v>
      </c>
      <c r="Z185" s="199">
        <v>2011</v>
      </c>
      <c r="AA185" s="199">
        <v>2012</v>
      </c>
      <c r="AB185" s="199">
        <v>2013</v>
      </c>
      <c r="AC185" s="199">
        <v>2014</v>
      </c>
      <c r="AD185" s="199">
        <v>2015</v>
      </c>
      <c r="AE185" s="199">
        <v>2016</v>
      </c>
      <c r="AF185" s="199">
        <v>2017</v>
      </c>
      <c r="AG185" s="199">
        <v>2018</v>
      </c>
      <c r="AH185" s="199">
        <v>2019</v>
      </c>
      <c r="AI185" s="199">
        <v>2020</v>
      </c>
      <c r="AJ185" s="199">
        <v>2021</v>
      </c>
      <c r="AK185" s="199">
        <v>2022</v>
      </c>
      <c r="AL185" s="202">
        <v>2011</v>
      </c>
      <c r="AM185" s="202">
        <v>2012</v>
      </c>
      <c r="AN185" s="202">
        <v>2013</v>
      </c>
      <c r="AO185" s="202">
        <v>2014</v>
      </c>
      <c r="AP185" s="202">
        <v>2015</v>
      </c>
      <c r="AQ185" s="202">
        <v>2016</v>
      </c>
      <c r="AR185" s="202">
        <v>2017</v>
      </c>
      <c r="AS185" s="202">
        <v>2018</v>
      </c>
      <c r="AT185" s="202">
        <v>2019</v>
      </c>
      <c r="AU185" s="202">
        <v>2020</v>
      </c>
      <c r="AV185" s="202">
        <v>2021</v>
      </c>
      <c r="AW185" s="202">
        <v>2022</v>
      </c>
      <c r="AX185" s="199">
        <v>2011</v>
      </c>
      <c r="AY185" s="199">
        <v>2012</v>
      </c>
      <c r="AZ185" s="199">
        <v>2013</v>
      </c>
      <c r="BA185" s="199">
        <v>2014</v>
      </c>
      <c r="BB185" s="199">
        <v>2015</v>
      </c>
      <c r="BC185" s="199">
        <v>2016</v>
      </c>
      <c r="BD185" s="199">
        <v>2017</v>
      </c>
      <c r="BE185" s="199">
        <v>2018</v>
      </c>
      <c r="BF185" s="199">
        <v>2019</v>
      </c>
      <c r="BG185" s="199">
        <v>2020</v>
      </c>
      <c r="BH185" s="199">
        <v>2021</v>
      </c>
      <c r="BI185" s="199">
        <v>2022</v>
      </c>
      <c r="BJ185" s="202">
        <v>2011</v>
      </c>
      <c r="BK185" s="202">
        <v>2012</v>
      </c>
      <c r="BL185" s="202">
        <v>2013</v>
      </c>
      <c r="BM185" s="202">
        <v>2014</v>
      </c>
      <c r="BN185" s="202">
        <v>2015</v>
      </c>
      <c r="BO185" s="202">
        <v>2016</v>
      </c>
      <c r="BP185" s="202">
        <v>2017</v>
      </c>
      <c r="BQ185" s="202">
        <v>2018</v>
      </c>
      <c r="BR185" s="202">
        <v>2019</v>
      </c>
      <c r="BS185" s="202">
        <v>2020</v>
      </c>
      <c r="BT185" s="202">
        <v>2021</v>
      </c>
      <c r="BU185" s="202">
        <v>2022</v>
      </c>
      <c r="BV185" s="199">
        <v>2011</v>
      </c>
      <c r="BW185" s="199">
        <v>2012</v>
      </c>
      <c r="BX185" s="199">
        <v>2013</v>
      </c>
      <c r="BY185" s="199">
        <v>2014</v>
      </c>
      <c r="BZ185" s="199">
        <v>2015</v>
      </c>
      <c r="CA185" s="199">
        <v>2016</v>
      </c>
      <c r="CB185" s="199">
        <v>2017</v>
      </c>
      <c r="CC185" s="199">
        <v>2018</v>
      </c>
      <c r="CD185" s="199">
        <v>2019</v>
      </c>
      <c r="CE185" s="199">
        <v>2020</v>
      </c>
      <c r="CF185" s="199">
        <v>2021</v>
      </c>
      <c r="CG185" s="199">
        <v>2022</v>
      </c>
      <c r="CH185" s="202">
        <v>2011</v>
      </c>
      <c r="CI185" s="202">
        <v>2012</v>
      </c>
      <c r="CJ185" s="202">
        <v>2013</v>
      </c>
      <c r="CK185" s="202">
        <v>2014</v>
      </c>
      <c r="CL185" s="202">
        <v>2015</v>
      </c>
      <c r="CM185" s="202">
        <v>2016</v>
      </c>
      <c r="CN185" s="202">
        <v>2017</v>
      </c>
      <c r="CO185" s="202">
        <v>2018</v>
      </c>
      <c r="CP185" s="202">
        <v>2019</v>
      </c>
      <c r="CQ185" s="202">
        <v>2020</v>
      </c>
      <c r="CR185" s="202">
        <v>2021</v>
      </c>
      <c r="CS185" s="202">
        <v>2022</v>
      </c>
      <c r="CT185" s="199">
        <v>2011</v>
      </c>
      <c r="CU185" s="199">
        <v>2012</v>
      </c>
      <c r="CV185" s="199">
        <v>2013</v>
      </c>
      <c r="CW185" s="199">
        <v>2014</v>
      </c>
      <c r="CX185" s="199">
        <v>2015</v>
      </c>
      <c r="CY185" s="199">
        <v>2016</v>
      </c>
      <c r="CZ185" s="199">
        <v>2017</v>
      </c>
      <c r="DA185" s="199">
        <v>2018</v>
      </c>
      <c r="DB185" s="199">
        <v>2019</v>
      </c>
      <c r="DC185" s="199">
        <v>2020</v>
      </c>
      <c r="DD185" s="199">
        <v>2021</v>
      </c>
      <c r="DE185" s="199">
        <v>2022</v>
      </c>
      <c r="DF185" s="202">
        <v>2011</v>
      </c>
      <c r="DG185" s="202">
        <v>2012</v>
      </c>
      <c r="DH185" s="202">
        <v>2013</v>
      </c>
      <c r="DI185" s="202">
        <v>2014</v>
      </c>
      <c r="DJ185" s="202">
        <v>2015</v>
      </c>
      <c r="DK185" s="202">
        <v>2016</v>
      </c>
      <c r="DL185" s="202">
        <v>2017</v>
      </c>
      <c r="DM185" s="202">
        <v>2018</v>
      </c>
      <c r="DN185" s="202">
        <v>2019</v>
      </c>
      <c r="DO185" s="202">
        <v>2020</v>
      </c>
      <c r="DP185" s="202">
        <v>2021</v>
      </c>
      <c r="DQ185" s="202">
        <v>2022</v>
      </c>
    </row>
    <row r="186" spans="1:168" x14ac:dyDescent="0.25">
      <c r="A186" s="203" t="s">
        <v>604</v>
      </c>
      <c r="B186" s="204" t="s">
        <v>605</v>
      </c>
      <c r="C186" s="204" t="s">
        <v>606</v>
      </c>
      <c r="D186" s="204" t="s">
        <v>607</v>
      </c>
      <c r="E186" s="204" t="s">
        <v>608</v>
      </c>
      <c r="F186" s="204" t="s">
        <v>609</v>
      </c>
      <c r="G186" s="204" t="s">
        <v>610</v>
      </c>
      <c r="H186" s="204" t="s">
        <v>611</v>
      </c>
      <c r="I186" s="204" t="s">
        <v>612</v>
      </c>
      <c r="J186" s="204" t="s">
        <v>613</v>
      </c>
      <c r="K186" s="204" t="s">
        <v>614</v>
      </c>
      <c r="L186" s="204" t="s">
        <v>615</v>
      </c>
      <c r="M186" s="204" t="s">
        <v>616</v>
      </c>
      <c r="N186" s="204" t="s">
        <v>617</v>
      </c>
      <c r="O186" s="204" t="s">
        <v>618</v>
      </c>
      <c r="P186" s="204" t="s">
        <v>619</v>
      </c>
      <c r="Q186" s="204" t="s">
        <v>620</v>
      </c>
      <c r="R186" s="204" t="s">
        <v>621</v>
      </c>
      <c r="S186" s="204" t="s">
        <v>622</v>
      </c>
      <c r="T186" s="204" t="s">
        <v>623</v>
      </c>
      <c r="U186" s="204" t="s">
        <v>624</v>
      </c>
      <c r="V186" s="204" t="s">
        <v>625</v>
      </c>
      <c r="W186" s="204" t="s">
        <v>626</v>
      </c>
      <c r="X186" s="204" t="s">
        <v>627</v>
      </c>
      <c r="Y186" s="204" t="s">
        <v>628</v>
      </c>
      <c r="Z186" s="204" t="s">
        <v>629</v>
      </c>
      <c r="AA186" s="204" t="s">
        <v>630</v>
      </c>
      <c r="AB186" s="204" t="s">
        <v>631</v>
      </c>
      <c r="AC186" s="204" t="s">
        <v>632</v>
      </c>
      <c r="AD186" s="204" t="s">
        <v>633</v>
      </c>
      <c r="AE186" s="204" t="s">
        <v>634</v>
      </c>
      <c r="AF186" s="204" t="s">
        <v>635</v>
      </c>
      <c r="AG186" s="204" t="s">
        <v>636</v>
      </c>
      <c r="AH186" s="204" t="s">
        <v>637</v>
      </c>
      <c r="AI186" s="204" t="s">
        <v>638</v>
      </c>
      <c r="AJ186" s="204" t="s">
        <v>639</v>
      </c>
      <c r="AK186" s="204" t="s">
        <v>640</v>
      </c>
      <c r="AL186" s="204" t="s">
        <v>641</v>
      </c>
      <c r="AM186" s="204" t="s">
        <v>642</v>
      </c>
      <c r="AN186" s="204" t="s">
        <v>643</v>
      </c>
      <c r="AO186" s="204" t="s">
        <v>644</v>
      </c>
      <c r="AP186" s="204" t="s">
        <v>645</v>
      </c>
      <c r="AQ186" s="204" t="s">
        <v>646</v>
      </c>
      <c r="AR186" s="204" t="s">
        <v>647</v>
      </c>
      <c r="AS186" s="204" t="s">
        <v>648</v>
      </c>
      <c r="AT186" s="204" t="s">
        <v>649</v>
      </c>
      <c r="AU186" s="204" t="s">
        <v>650</v>
      </c>
      <c r="AV186" s="204" t="s">
        <v>651</v>
      </c>
      <c r="AW186" s="204" t="s">
        <v>652</v>
      </c>
      <c r="AX186" s="204" t="s">
        <v>653</v>
      </c>
      <c r="AY186" s="204" t="s">
        <v>654</v>
      </c>
      <c r="AZ186" s="204" t="s">
        <v>655</v>
      </c>
      <c r="BA186" s="204" t="s">
        <v>656</v>
      </c>
      <c r="BB186" s="204" t="s">
        <v>657</v>
      </c>
      <c r="BC186" s="204" t="s">
        <v>658</v>
      </c>
      <c r="BD186" s="204" t="s">
        <v>659</v>
      </c>
      <c r="BE186" s="204" t="s">
        <v>660</v>
      </c>
      <c r="BF186" s="204" t="s">
        <v>661</v>
      </c>
      <c r="BG186" s="204" t="s">
        <v>662</v>
      </c>
      <c r="BH186" s="204" t="s">
        <v>663</v>
      </c>
      <c r="BI186" s="204" t="s">
        <v>664</v>
      </c>
      <c r="BJ186" s="204" t="s">
        <v>665</v>
      </c>
      <c r="BK186" s="204" t="s">
        <v>666</v>
      </c>
      <c r="BL186" s="204" t="s">
        <v>667</v>
      </c>
      <c r="BM186" s="204" t="s">
        <v>668</v>
      </c>
      <c r="BN186" s="204" t="s">
        <v>669</v>
      </c>
      <c r="BO186" s="204" t="s">
        <v>670</v>
      </c>
      <c r="BP186" s="204" t="s">
        <v>671</v>
      </c>
      <c r="BQ186" s="204" t="s">
        <v>672</v>
      </c>
      <c r="BR186" s="204" t="s">
        <v>673</v>
      </c>
      <c r="BS186" s="204" t="s">
        <v>674</v>
      </c>
      <c r="BT186" s="204" t="s">
        <v>675</v>
      </c>
      <c r="BU186" s="204" t="s">
        <v>676</v>
      </c>
      <c r="BV186" s="204" t="s">
        <v>677</v>
      </c>
      <c r="BW186" s="204" t="s">
        <v>678</v>
      </c>
      <c r="BX186" s="204" t="s">
        <v>679</v>
      </c>
      <c r="BY186" s="204" t="s">
        <v>680</v>
      </c>
      <c r="BZ186" s="204" t="s">
        <v>681</v>
      </c>
      <c r="CA186" s="204" t="s">
        <v>682</v>
      </c>
      <c r="CB186" s="204" t="s">
        <v>683</v>
      </c>
      <c r="CC186" s="204" t="s">
        <v>684</v>
      </c>
      <c r="CD186" s="204" t="s">
        <v>685</v>
      </c>
      <c r="CE186" s="204" t="s">
        <v>686</v>
      </c>
      <c r="CF186" s="204" t="s">
        <v>687</v>
      </c>
      <c r="CG186" s="204" t="s">
        <v>688</v>
      </c>
      <c r="CH186" s="204" t="s">
        <v>689</v>
      </c>
      <c r="CI186" s="204" t="s">
        <v>690</v>
      </c>
      <c r="CJ186" s="204" t="s">
        <v>691</v>
      </c>
      <c r="CK186" s="204" t="s">
        <v>692</v>
      </c>
      <c r="CL186" s="204" t="s">
        <v>693</v>
      </c>
      <c r="CM186" s="204" t="s">
        <v>694</v>
      </c>
      <c r="CN186" s="204" t="s">
        <v>695</v>
      </c>
      <c r="CO186" s="204" t="s">
        <v>696</v>
      </c>
      <c r="CP186" s="204" t="s">
        <v>697</v>
      </c>
      <c r="CQ186" s="204" t="s">
        <v>698</v>
      </c>
      <c r="CR186" s="204" t="s">
        <v>699</v>
      </c>
      <c r="CS186" s="204" t="s">
        <v>700</v>
      </c>
      <c r="CT186" s="204" t="s">
        <v>701</v>
      </c>
      <c r="CU186" s="204" t="s">
        <v>702</v>
      </c>
      <c r="CV186" s="204" t="s">
        <v>703</v>
      </c>
      <c r="CW186" s="204" t="s">
        <v>704</v>
      </c>
      <c r="CX186" s="204" t="s">
        <v>705</v>
      </c>
      <c r="CY186" s="204" t="s">
        <v>706</v>
      </c>
      <c r="CZ186" s="204" t="s">
        <v>707</v>
      </c>
      <c r="DA186" s="204" t="s">
        <v>708</v>
      </c>
      <c r="DB186" s="204" t="s">
        <v>709</v>
      </c>
      <c r="DC186" s="204" t="s">
        <v>710</v>
      </c>
      <c r="DD186" s="204" t="s">
        <v>711</v>
      </c>
      <c r="DE186" s="204" t="s">
        <v>712</v>
      </c>
      <c r="DF186" s="204" t="s">
        <v>713</v>
      </c>
      <c r="DG186" s="204" t="s">
        <v>714</v>
      </c>
      <c r="DH186" s="204" t="s">
        <v>715</v>
      </c>
      <c r="DI186" s="204" t="s">
        <v>716</v>
      </c>
      <c r="DJ186" s="204" t="s">
        <v>717</v>
      </c>
      <c r="DK186" s="204" t="s">
        <v>718</v>
      </c>
      <c r="DL186" s="204" t="s">
        <v>719</v>
      </c>
      <c r="DM186" s="204" t="s">
        <v>720</v>
      </c>
      <c r="DN186" s="204" t="s">
        <v>721</v>
      </c>
      <c r="DO186" s="204" t="s">
        <v>722</v>
      </c>
      <c r="DP186" s="204" t="s">
        <v>723</v>
      </c>
      <c r="DQ186" s="204" t="s">
        <v>724</v>
      </c>
      <c r="DR186" s="203"/>
      <c r="DS186" s="203"/>
      <c r="DT186" s="203"/>
      <c r="DU186" s="203"/>
      <c r="DV186" s="203"/>
      <c r="DW186" s="203"/>
      <c r="DX186" s="203"/>
      <c r="DY186" s="203"/>
      <c r="DZ186" s="203"/>
      <c r="EA186" s="203"/>
      <c r="EB186" s="203"/>
      <c r="EC186" s="203"/>
      <c r="ED186" s="203"/>
      <c r="EE186" s="203"/>
      <c r="EF186" s="203"/>
      <c r="EG186" s="203"/>
      <c r="EH186" s="203"/>
      <c r="EI186" s="203"/>
      <c r="EJ186" s="203"/>
      <c r="EK186" s="203"/>
      <c r="EL186" s="203"/>
      <c r="EM186" s="203"/>
      <c r="EN186" s="203"/>
      <c r="EO186" s="203"/>
      <c r="EP186" s="203"/>
      <c r="EQ186" s="203"/>
      <c r="ER186" s="203"/>
      <c r="ES186" s="203"/>
      <c r="ET186" s="203"/>
      <c r="EU186" s="203"/>
      <c r="EV186" s="203"/>
      <c r="EW186" s="203"/>
      <c r="EX186" s="203"/>
      <c r="EY186" s="203"/>
      <c r="EZ186" s="203"/>
      <c r="FA186" s="203"/>
      <c r="FB186" s="203"/>
      <c r="FC186" s="203"/>
      <c r="FD186" s="203"/>
      <c r="FE186" s="203"/>
      <c r="FF186" s="203"/>
      <c r="FG186" s="203"/>
      <c r="FH186" s="203"/>
      <c r="FI186" s="203"/>
      <c r="FJ186" s="203"/>
      <c r="FK186" s="203"/>
      <c r="FL186" s="203"/>
    </row>
    <row r="187" spans="1:168" x14ac:dyDescent="0.25">
      <c r="A187" t="s">
        <v>403</v>
      </c>
      <c r="B187" s="123">
        <v>10000000</v>
      </c>
      <c r="C187" s="123">
        <v>325566.46294373833</v>
      </c>
      <c r="D187" s="123">
        <v>-4621834.5570100052</v>
      </c>
      <c r="E187" s="123">
        <v>-4852926.2848605057</v>
      </c>
      <c r="F187" s="123">
        <v>-5095572.5991035309</v>
      </c>
      <c r="G187" s="123">
        <v>-5350351.2290587071</v>
      </c>
      <c r="H187" s="123">
        <v>-5617868.7905116426</v>
      </c>
      <c r="I187" s="123">
        <v>-5898762.2300372245</v>
      </c>
      <c r="J187" s="123">
        <v>-6193700.3415390858</v>
      </c>
      <c r="K187" s="123">
        <v>-6503385.3586160401</v>
      </c>
      <c r="L187" s="123">
        <v>-6828554.626546842</v>
      </c>
      <c r="M187" s="123">
        <v>-7169982.3578741839</v>
      </c>
      <c r="N187" s="205">
        <v>10000000</v>
      </c>
      <c r="O187" s="205">
        <v>2244466.3313480616</v>
      </c>
      <c r="P187" s="205">
        <v>-5276849.3570706062</v>
      </c>
      <c r="Q187" s="205">
        <v>-5540691.8249241365</v>
      </c>
      <c r="R187" s="205">
        <v>-5817726.4161703438</v>
      </c>
      <c r="S187" s="205">
        <v>-6108612.7369788606</v>
      </c>
      <c r="T187" s="205">
        <v>-6414043.3738278039</v>
      </c>
      <c r="U187" s="205">
        <v>-6734745.5425191941</v>
      </c>
      <c r="V187" s="205">
        <v>-7071482.8196451534</v>
      </c>
      <c r="W187" s="205">
        <v>-7425056.9606274106</v>
      </c>
      <c r="X187" s="205">
        <v>-7796309.8086587815</v>
      </c>
      <c r="Y187" s="205">
        <v>-8186125.299091721</v>
      </c>
      <c r="Z187" s="123">
        <v>10000000</v>
      </c>
      <c r="AA187" s="123">
        <v>134639.42163917609</v>
      </c>
      <c r="AB187" s="123">
        <v>-564273.82531428069</v>
      </c>
      <c r="AC187" s="123">
        <v>-592487.5165799947</v>
      </c>
      <c r="AD187" s="123">
        <v>-622111.89240899449</v>
      </c>
      <c r="AE187" s="123">
        <v>-653217.48702944419</v>
      </c>
      <c r="AF187" s="123">
        <v>-685878.36138091644</v>
      </c>
      <c r="AG187" s="123">
        <v>-720172.27944996231</v>
      </c>
      <c r="AH187" s="123">
        <v>-756180.89342246042</v>
      </c>
      <c r="AI187" s="123">
        <v>-793989.93809358345</v>
      </c>
      <c r="AJ187" s="123">
        <v>-833689.43499826267</v>
      </c>
      <c r="AK187" s="123">
        <v>-875373.90674817585</v>
      </c>
      <c r="AL187" s="205">
        <v>10000000</v>
      </c>
      <c r="AM187" s="205">
        <v>13765099.128678195</v>
      </c>
      <c r="AN187" s="205">
        <v>49422712.405018084</v>
      </c>
      <c r="AO187" s="205">
        <v>52388075.149319172</v>
      </c>
      <c r="AP187" s="205">
        <v>55531359.658278324</v>
      </c>
      <c r="AQ187" s="205">
        <v>58863241.23777502</v>
      </c>
      <c r="AR187" s="205">
        <v>62395035.71204152</v>
      </c>
      <c r="AS187" s="205">
        <v>66138737.854764014</v>
      </c>
      <c r="AT187" s="205">
        <v>70107062.126049861</v>
      </c>
      <c r="AU187" s="205">
        <v>74313485.853612855</v>
      </c>
      <c r="AV187" s="205">
        <v>78772295.00482963</v>
      </c>
      <c r="AW187" s="205">
        <v>83498632.705119401</v>
      </c>
      <c r="AX187" s="123">
        <v>10000000</v>
      </c>
      <c r="AY187" s="123">
        <v>5159912.1790685141</v>
      </c>
      <c r="AZ187" s="123">
        <v>8349306.7952964716</v>
      </c>
      <c r="BA187" s="123">
        <v>8850265.2030142602</v>
      </c>
      <c r="BB187" s="123">
        <v>9381281.115195116</v>
      </c>
      <c r="BC187" s="123">
        <v>9944157.9821068235</v>
      </c>
      <c r="BD187" s="123">
        <v>10540807.461033233</v>
      </c>
      <c r="BE187" s="123">
        <v>11173255.908695227</v>
      </c>
      <c r="BF187" s="123">
        <v>11843651.263216941</v>
      </c>
      <c r="BG187" s="123">
        <v>12554270.339009957</v>
      </c>
      <c r="BH187" s="123">
        <v>13307526.559350554</v>
      </c>
      <c r="BI187" s="123">
        <v>14105978.152911587</v>
      </c>
      <c r="BJ187" s="205">
        <v>10000000</v>
      </c>
      <c r="BK187" s="205">
        <v>1705334.9082618738</v>
      </c>
      <c r="BL187" s="205">
        <v>-1534744.5670839241</v>
      </c>
      <c r="BM187" s="205">
        <v>-1611481.7954381204</v>
      </c>
      <c r="BN187" s="205">
        <v>-1692055.8852100265</v>
      </c>
      <c r="BO187" s="205">
        <v>-1776658.6794705279</v>
      </c>
      <c r="BP187" s="205">
        <v>-1865491.6134440543</v>
      </c>
      <c r="BQ187" s="205">
        <v>-1958766.1941162569</v>
      </c>
      <c r="BR187" s="205">
        <v>-2056704.5038220698</v>
      </c>
      <c r="BS187" s="205">
        <v>-2159539.7290131734</v>
      </c>
      <c r="BT187" s="205">
        <v>-2267516.715463832</v>
      </c>
      <c r="BU187" s="205">
        <v>-2380892.5512370234</v>
      </c>
      <c r="BV187" s="123">
        <v>10000000</v>
      </c>
      <c r="BW187" s="123">
        <v>10600000</v>
      </c>
      <c r="BX187" s="123">
        <v>11236000</v>
      </c>
      <c r="BY187" s="123">
        <v>11910160</v>
      </c>
      <c r="BZ187" s="123">
        <v>12624769.6</v>
      </c>
      <c r="CA187" s="123">
        <v>13382255.776000001</v>
      </c>
      <c r="CB187" s="123">
        <v>14185191.12256</v>
      </c>
      <c r="CC187" s="123">
        <v>15036302.589913599</v>
      </c>
      <c r="CD187" s="123">
        <v>15938480.745308416</v>
      </c>
      <c r="CE187" s="123">
        <v>16894789.590026923</v>
      </c>
      <c r="CF187" s="123">
        <v>17908476.965428539</v>
      </c>
      <c r="CG187" s="123">
        <v>18982985.58335425</v>
      </c>
      <c r="CH187" s="205">
        <v>10000000</v>
      </c>
      <c r="CI187" s="205">
        <v>10600000</v>
      </c>
      <c r="CJ187" s="205">
        <v>11236000</v>
      </c>
      <c r="CK187" s="205">
        <v>11910160</v>
      </c>
      <c r="CL187" s="205">
        <v>12624769.6</v>
      </c>
      <c r="CM187" s="205">
        <v>13382255.776000001</v>
      </c>
      <c r="CN187" s="205">
        <v>14185191.12256</v>
      </c>
      <c r="CO187" s="205">
        <v>15036302.589913599</v>
      </c>
      <c r="CP187" s="205">
        <v>15938480.745308416</v>
      </c>
      <c r="CQ187" s="205">
        <v>16894789.590026923</v>
      </c>
      <c r="CR187" s="205">
        <v>17908476.965428539</v>
      </c>
      <c r="CS187" s="205">
        <v>18982985.58335425</v>
      </c>
      <c r="CT187" s="123">
        <v>10000000</v>
      </c>
      <c r="CU187" s="123">
        <v>10600000</v>
      </c>
      <c r="CV187" s="123">
        <v>11236000</v>
      </c>
      <c r="CW187" s="123">
        <v>11910160</v>
      </c>
      <c r="CX187" s="123">
        <v>12624769.6</v>
      </c>
      <c r="CY187" s="123">
        <v>13382255.776000001</v>
      </c>
      <c r="CZ187" s="123">
        <v>14185191.12256</v>
      </c>
      <c r="DA187" s="123">
        <v>15036302.589913599</v>
      </c>
      <c r="DB187" s="123">
        <v>15938480.745308416</v>
      </c>
      <c r="DC187" s="123">
        <v>16894789.590026923</v>
      </c>
      <c r="DD187" s="123">
        <v>17908476.965428539</v>
      </c>
      <c r="DE187" s="123">
        <v>18982985.58335425</v>
      </c>
      <c r="DF187" s="205">
        <v>10000000</v>
      </c>
      <c r="DG187" s="205">
        <v>10600000</v>
      </c>
      <c r="DH187" s="205">
        <v>11236000</v>
      </c>
      <c r="DI187" s="205">
        <v>11910160</v>
      </c>
      <c r="DJ187" s="205">
        <v>12624769.6</v>
      </c>
      <c r="DK187" s="205">
        <v>13382255.776000001</v>
      </c>
      <c r="DL187" s="205">
        <v>14185191.12256</v>
      </c>
      <c r="DM187" s="205">
        <v>15036302.589913599</v>
      </c>
      <c r="DN187" s="205">
        <v>15938480.745308416</v>
      </c>
      <c r="DO187" s="205">
        <v>16894789.590026923</v>
      </c>
      <c r="DP187" s="205">
        <v>17908476.965428539</v>
      </c>
      <c r="DQ187" s="205">
        <v>18982985.58335425</v>
      </c>
    </row>
    <row r="188" spans="1:168" x14ac:dyDescent="0.25">
      <c r="A188" s="160" t="s">
        <v>725</v>
      </c>
      <c r="B188" s="492">
        <v>12115450.754896231</v>
      </c>
      <c r="C188" s="492">
        <v>29571924.471001029</v>
      </c>
      <c r="D188" s="492">
        <v>0</v>
      </c>
      <c r="E188" s="492">
        <v>0</v>
      </c>
      <c r="F188" s="492">
        <v>0</v>
      </c>
      <c r="G188" s="492">
        <v>0</v>
      </c>
      <c r="H188" s="492">
        <v>0</v>
      </c>
      <c r="I188" s="492">
        <v>0</v>
      </c>
      <c r="J188" s="492">
        <v>0</v>
      </c>
      <c r="K188" s="492">
        <v>0</v>
      </c>
      <c r="L188" s="492">
        <v>0</v>
      </c>
      <c r="M188" s="492">
        <v>0</v>
      </c>
      <c r="N188" s="493">
        <v>16429246.95789904</v>
      </c>
      <c r="O188" s="493">
        <v>42406585.909411065</v>
      </c>
      <c r="P188" s="493">
        <v>0</v>
      </c>
      <c r="Q188" s="493">
        <v>0</v>
      </c>
      <c r="R188" s="493">
        <v>0</v>
      </c>
      <c r="S188" s="493">
        <v>0</v>
      </c>
      <c r="T188" s="493">
        <v>0</v>
      </c>
      <c r="U188" s="493">
        <v>0</v>
      </c>
      <c r="V188" s="493">
        <v>0</v>
      </c>
      <c r="W188" s="493">
        <v>0</v>
      </c>
      <c r="X188" s="493">
        <v>0</v>
      </c>
      <c r="Y188" s="493">
        <v>0</v>
      </c>
      <c r="Z188" s="492">
        <v>9870061.935886424</v>
      </c>
      <c r="AA188" s="492">
        <v>70466326.271968588</v>
      </c>
      <c r="AB188" s="492">
        <v>0</v>
      </c>
      <c r="AC188" s="492">
        <v>0</v>
      </c>
      <c r="AD188" s="492">
        <v>0</v>
      </c>
      <c r="AE188" s="492">
        <v>0</v>
      </c>
      <c r="AF188" s="492">
        <v>0</v>
      </c>
      <c r="AG188" s="492">
        <v>0</v>
      </c>
      <c r="AH188" s="492">
        <v>0</v>
      </c>
      <c r="AI188" s="492">
        <v>0</v>
      </c>
      <c r="AJ188" s="492">
        <v>0</v>
      </c>
      <c r="AK188" s="492">
        <v>0</v>
      </c>
      <c r="AL188" s="493">
        <v>87928377.951340854</v>
      </c>
      <c r="AM188" s="493">
        <v>200836349.932374</v>
      </c>
      <c r="AN188" s="493">
        <v>0</v>
      </c>
      <c r="AO188" s="493">
        <v>0</v>
      </c>
      <c r="AP188" s="493">
        <v>0</v>
      </c>
      <c r="AQ188" s="493">
        <v>0</v>
      </c>
      <c r="AR188" s="493">
        <v>0</v>
      </c>
      <c r="AS188" s="493">
        <v>0</v>
      </c>
      <c r="AT188" s="493">
        <v>0</v>
      </c>
      <c r="AU188" s="493">
        <v>0</v>
      </c>
      <c r="AV188" s="493">
        <v>0</v>
      </c>
      <c r="AW188" s="493">
        <v>0</v>
      </c>
      <c r="AX188" s="492">
        <v>38301631.486020893</v>
      </c>
      <c r="AY188" s="492">
        <v>92894974.567157641</v>
      </c>
      <c r="AZ188" s="492">
        <v>0</v>
      </c>
      <c r="BA188" s="492">
        <v>0</v>
      </c>
      <c r="BB188" s="492">
        <v>0</v>
      </c>
      <c r="BC188" s="492">
        <v>0</v>
      </c>
      <c r="BD188" s="492">
        <v>0</v>
      </c>
      <c r="BE188" s="492">
        <v>0</v>
      </c>
      <c r="BF188" s="492">
        <v>0</v>
      </c>
      <c r="BG188" s="492">
        <v>0</v>
      </c>
      <c r="BH188" s="492">
        <v>0</v>
      </c>
      <c r="BI188" s="492">
        <v>0</v>
      </c>
      <c r="BJ188" s="493">
        <v>8435020.6242503598</v>
      </c>
      <c r="BK188" s="493">
        <v>35558736.975604951</v>
      </c>
      <c r="BL188" s="493">
        <v>0</v>
      </c>
      <c r="BM188" s="493">
        <v>0</v>
      </c>
      <c r="BN188" s="493">
        <v>0</v>
      </c>
      <c r="BO188" s="493">
        <v>0</v>
      </c>
      <c r="BP188" s="493">
        <v>0</v>
      </c>
      <c r="BQ188" s="493">
        <v>0</v>
      </c>
      <c r="BR188" s="493">
        <v>0</v>
      </c>
      <c r="BS188" s="493">
        <v>0</v>
      </c>
      <c r="BT188" s="493">
        <v>0</v>
      </c>
      <c r="BU188" s="493">
        <v>0</v>
      </c>
      <c r="BV188" s="492">
        <v>0</v>
      </c>
      <c r="BW188" s="492">
        <v>0</v>
      </c>
      <c r="BX188" s="492">
        <v>0</v>
      </c>
      <c r="BY188" s="492">
        <v>0</v>
      </c>
      <c r="BZ188" s="492">
        <v>0</v>
      </c>
      <c r="CA188" s="492">
        <v>0</v>
      </c>
      <c r="CB188" s="492">
        <v>0</v>
      </c>
      <c r="CC188" s="492">
        <v>0</v>
      </c>
      <c r="CD188" s="492">
        <v>0</v>
      </c>
      <c r="CE188" s="492">
        <v>0</v>
      </c>
      <c r="CF188" s="492">
        <v>0</v>
      </c>
      <c r="CG188" s="492">
        <v>0</v>
      </c>
      <c r="CH188" s="493">
        <v>0</v>
      </c>
      <c r="CI188" s="493">
        <v>0</v>
      </c>
      <c r="CJ188" s="493">
        <v>0</v>
      </c>
      <c r="CK188" s="493">
        <v>0</v>
      </c>
      <c r="CL188" s="493">
        <v>0</v>
      </c>
      <c r="CM188" s="493">
        <v>0</v>
      </c>
      <c r="CN188" s="493">
        <v>0</v>
      </c>
      <c r="CO188" s="493">
        <v>0</v>
      </c>
      <c r="CP188" s="493">
        <v>0</v>
      </c>
      <c r="CQ188" s="493">
        <v>0</v>
      </c>
      <c r="CR188" s="493">
        <v>0</v>
      </c>
      <c r="CS188" s="493">
        <v>0</v>
      </c>
      <c r="CT188" s="492">
        <v>0</v>
      </c>
      <c r="CU188" s="492">
        <v>0</v>
      </c>
      <c r="CV188" s="492">
        <v>0</v>
      </c>
      <c r="CW188" s="492">
        <v>0</v>
      </c>
      <c r="CX188" s="492">
        <v>0</v>
      </c>
      <c r="CY188" s="492">
        <v>0</v>
      </c>
      <c r="CZ188" s="492">
        <v>0</v>
      </c>
      <c r="DA188" s="492">
        <v>0</v>
      </c>
      <c r="DB188" s="492">
        <v>0</v>
      </c>
      <c r="DC188" s="492">
        <v>0</v>
      </c>
      <c r="DD188" s="492">
        <v>0</v>
      </c>
      <c r="DE188" s="492">
        <v>0</v>
      </c>
      <c r="DF188" s="493">
        <v>0</v>
      </c>
      <c r="DG188" s="493">
        <v>0</v>
      </c>
      <c r="DH188" s="493">
        <v>0</v>
      </c>
      <c r="DI188" s="493">
        <v>0</v>
      </c>
      <c r="DJ188" s="493">
        <v>0</v>
      </c>
      <c r="DK188" s="493">
        <v>0</v>
      </c>
      <c r="DL188" s="493">
        <v>0</v>
      </c>
      <c r="DM188" s="493">
        <v>0</v>
      </c>
      <c r="DN188" s="493">
        <v>0</v>
      </c>
      <c r="DO188" s="493">
        <v>0</v>
      </c>
      <c r="DP188" s="493">
        <v>0</v>
      </c>
      <c r="DQ188" s="493">
        <v>0</v>
      </c>
    </row>
    <row r="189" spans="1:168" x14ac:dyDescent="0.25">
      <c r="A189" t="s">
        <v>591</v>
      </c>
      <c r="B189" s="123">
        <v>10595576.116448246</v>
      </c>
      <c r="C189" s="123">
        <v>26726041.531475849</v>
      </c>
      <c r="D189" s="123">
        <v>0</v>
      </c>
      <c r="E189" s="123">
        <v>0</v>
      </c>
      <c r="F189" s="123">
        <v>0</v>
      </c>
      <c r="G189" s="123">
        <v>0</v>
      </c>
      <c r="H189" s="123">
        <v>0</v>
      </c>
      <c r="I189" s="123">
        <v>0</v>
      </c>
      <c r="J189" s="123">
        <v>0</v>
      </c>
      <c r="K189" s="123">
        <v>0</v>
      </c>
      <c r="L189" s="123">
        <v>0</v>
      </c>
      <c r="M189" s="123">
        <v>0</v>
      </c>
      <c r="N189" s="205">
        <v>12213915.938476084</v>
      </c>
      <c r="O189" s="205">
        <v>33440368.93480482</v>
      </c>
      <c r="P189" s="205">
        <v>0</v>
      </c>
      <c r="Q189" s="205">
        <v>0</v>
      </c>
      <c r="R189" s="205">
        <v>0</v>
      </c>
      <c r="S189" s="205">
        <v>0</v>
      </c>
      <c r="T189" s="205">
        <v>0</v>
      </c>
      <c r="U189" s="205">
        <v>0</v>
      </c>
      <c r="V189" s="205">
        <v>0</v>
      </c>
      <c r="W189" s="205">
        <v>0</v>
      </c>
      <c r="X189" s="205">
        <v>0</v>
      </c>
      <c r="Y189" s="205">
        <v>0</v>
      </c>
      <c r="Z189" s="123">
        <v>8305761.964446079</v>
      </c>
      <c r="AA189" s="123">
        <v>57460282.913349286</v>
      </c>
      <c r="AB189" s="123">
        <v>0</v>
      </c>
      <c r="AC189" s="123">
        <v>0</v>
      </c>
      <c r="AD189" s="123">
        <v>0</v>
      </c>
      <c r="AE189" s="123">
        <v>0</v>
      </c>
      <c r="AF189" s="123">
        <v>0</v>
      </c>
      <c r="AG189" s="123">
        <v>0</v>
      </c>
      <c r="AH189" s="123">
        <v>0</v>
      </c>
      <c r="AI189" s="123">
        <v>0</v>
      </c>
      <c r="AJ189" s="123">
        <v>0</v>
      </c>
      <c r="AK189" s="123">
        <v>0</v>
      </c>
      <c r="AL189" s="205">
        <v>62259815.025765806</v>
      </c>
      <c r="AM189" s="205">
        <v>128188446.60277648</v>
      </c>
      <c r="AN189" s="205">
        <v>0</v>
      </c>
      <c r="AO189" s="205">
        <v>0</v>
      </c>
      <c r="AP189" s="205">
        <v>0</v>
      </c>
      <c r="AQ189" s="205">
        <v>0</v>
      </c>
      <c r="AR189" s="205">
        <v>0</v>
      </c>
      <c r="AS189" s="205">
        <v>0</v>
      </c>
      <c r="AT189" s="205">
        <v>0</v>
      </c>
      <c r="AU189" s="205">
        <v>0</v>
      </c>
      <c r="AV189" s="205">
        <v>0</v>
      </c>
      <c r="AW189" s="205">
        <v>0</v>
      </c>
      <c r="AX189" s="123">
        <v>29496776.103519622</v>
      </c>
      <c r="AY189" s="123">
        <v>73596442.099107772</v>
      </c>
      <c r="AZ189" s="123">
        <v>0</v>
      </c>
      <c r="BA189" s="123">
        <v>0</v>
      </c>
      <c r="BB189" s="123">
        <v>0</v>
      </c>
      <c r="BC189" s="123">
        <v>0</v>
      </c>
      <c r="BD189" s="123">
        <v>0</v>
      </c>
      <c r="BE189" s="123">
        <v>0</v>
      </c>
      <c r="BF189" s="123">
        <v>0</v>
      </c>
      <c r="BG189" s="123">
        <v>0</v>
      </c>
      <c r="BH189" s="123">
        <v>0</v>
      </c>
      <c r="BI189" s="123">
        <v>0</v>
      </c>
      <c r="BJ189" s="205">
        <v>7651232.0119315498</v>
      </c>
      <c r="BK189" s="205">
        <v>29666046.41973152</v>
      </c>
      <c r="BL189" s="205">
        <v>0</v>
      </c>
      <c r="BM189" s="205">
        <v>0</v>
      </c>
      <c r="BN189" s="205">
        <v>0</v>
      </c>
      <c r="BO189" s="205">
        <v>0</v>
      </c>
      <c r="BP189" s="205">
        <v>0</v>
      </c>
      <c r="BQ189" s="205">
        <v>0</v>
      </c>
      <c r="BR189" s="205">
        <v>0</v>
      </c>
      <c r="BS189" s="205">
        <v>0</v>
      </c>
      <c r="BT189" s="205">
        <v>0</v>
      </c>
      <c r="BU189" s="205">
        <v>0</v>
      </c>
      <c r="BV189" s="123">
        <v>0</v>
      </c>
      <c r="BW189" s="123">
        <v>0</v>
      </c>
      <c r="BX189" s="123">
        <v>0</v>
      </c>
      <c r="BY189" s="123">
        <v>0</v>
      </c>
      <c r="BZ189" s="123">
        <v>0</v>
      </c>
      <c r="CA189" s="123">
        <v>0</v>
      </c>
      <c r="CB189" s="123">
        <v>0</v>
      </c>
      <c r="CC189" s="123">
        <v>0</v>
      </c>
      <c r="CD189" s="123">
        <v>0</v>
      </c>
      <c r="CE189" s="123">
        <v>0</v>
      </c>
      <c r="CF189" s="123">
        <v>0</v>
      </c>
      <c r="CG189" s="123">
        <v>0</v>
      </c>
      <c r="CH189" s="205">
        <v>0</v>
      </c>
      <c r="CI189" s="205">
        <v>0</v>
      </c>
      <c r="CJ189" s="205">
        <v>0</v>
      </c>
      <c r="CK189" s="205">
        <v>0</v>
      </c>
      <c r="CL189" s="205">
        <v>0</v>
      </c>
      <c r="CM189" s="205">
        <v>0</v>
      </c>
      <c r="CN189" s="205">
        <v>0</v>
      </c>
      <c r="CO189" s="205">
        <v>0</v>
      </c>
      <c r="CP189" s="205">
        <v>0</v>
      </c>
      <c r="CQ189" s="205">
        <v>0</v>
      </c>
      <c r="CR189" s="205">
        <v>0</v>
      </c>
      <c r="CS189" s="205">
        <v>0</v>
      </c>
      <c r="CT189" s="123">
        <v>0</v>
      </c>
      <c r="CU189" s="123">
        <v>0</v>
      </c>
      <c r="CV189" s="123">
        <v>0</v>
      </c>
      <c r="CW189" s="123">
        <v>0</v>
      </c>
      <c r="CX189" s="123">
        <v>0</v>
      </c>
      <c r="CY189" s="123">
        <v>0</v>
      </c>
      <c r="CZ189" s="123">
        <v>0</v>
      </c>
      <c r="DA189" s="123">
        <v>0</v>
      </c>
      <c r="DB189" s="123">
        <v>0</v>
      </c>
      <c r="DC189" s="123">
        <v>0</v>
      </c>
      <c r="DD189" s="123">
        <v>0</v>
      </c>
      <c r="DE189" s="123">
        <v>0</v>
      </c>
      <c r="DF189" s="205">
        <v>0</v>
      </c>
      <c r="DG189" s="205">
        <v>0</v>
      </c>
      <c r="DH189" s="205">
        <v>0</v>
      </c>
      <c r="DI189" s="205">
        <v>0</v>
      </c>
      <c r="DJ189" s="205">
        <v>0</v>
      </c>
      <c r="DK189" s="205">
        <v>0</v>
      </c>
      <c r="DL189" s="205">
        <v>0</v>
      </c>
      <c r="DM189" s="205">
        <v>0</v>
      </c>
      <c r="DN189" s="205">
        <v>0</v>
      </c>
      <c r="DO189" s="205">
        <v>0</v>
      </c>
      <c r="DP189" s="205">
        <v>0</v>
      </c>
      <c r="DQ189" s="205">
        <v>0</v>
      </c>
    </row>
    <row r="190" spans="1:168" x14ac:dyDescent="0.25">
      <c r="A190" s="160" t="s">
        <v>726</v>
      </c>
      <c r="B190" s="492">
        <v>1519874.6384479851</v>
      </c>
      <c r="C190" s="492">
        <v>2845882.9395251796</v>
      </c>
      <c r="D190" s="492">
        <v>0</v>
      </c>
      <c r="E190" s="492">
        <v>0</v>
      </c>
      <c r="F190" s="492">
        <v>0</v>
      </c>
      <c r="G190" s="492">
        <v>0</v>
      </c>
      <c r="H190" s="492">
        <v>0</v>
      </c>
      <c r="I190" s="492">
        <v>0</v>
      </c>
      <c r="J190" s="492">
        <v>0</v>
      </c>
      <c r="K190" s="492">
        <v>0</v>
      </c>
      <c r="L190" s="492">
        <v>0</v>
      </c>
      <c r="M190" s="492">
        <v>0</v>
      </c>
      <c r="N190" s="493">
        <v>4215331.0194229558</v>
      </c>
      <c r="O190" s="493">
        <v>8966216.9746062458</v>
      </c>
      <c r="P190" s="493">
        <v>0</v>
      </c>
      <c r="Q190" s="493">
        <v>0</v>
      </c>
      <c r="R190" s="493">
        <v>0</v>
      </c>
      <c r="S190" s="493">
        <v>0</v>
      </c>
      <c r="T190" s="493">
        <v>0</v>
      </c>
      <c r="U190" s="493">
        <v>0</v>
      </c>
      <c r="V190" s="493">
        <v>0</v>
      </c>
      <c r="W190" s="493">
        <v>0</v>
      </c>
      <c r="X190" s="493">
        <v>0</v>
      </c>
      <c r="Y190" s="493">
        <v>0</v>
      </c>
      <c r="Z190" s="492">
        <v>1564299.971440345</v>
      </c>
      <c r="AA190" s="492">
        <v>13006043.358619303</v>
      </c>
      <c r="AB190" s="492">
        <v>0</v>
      </c>
      <c r="AC190" s="492">
        <v>0</v>
      </c>
      <c r="AD190" s="492">
        <v>0</v>
      </c>
      <c r="AE190" s="492">
        <v>0</v>
      </c>
      <c r="AF190" s="492">
        <v>0</v>
      </c>
      <c r="AG190" s="492">
        <v>0</v>
      </c>
      <c r="AH190" s="492">
        <v>0</v>
      </c>
      <c r="AI190" s="492">
        <v>0</v>
      </c>
      <c r="AJ190" s="492">
        <v>0</v>
      </c>
      <c r="AK190" s="492">
        <v>0</v>
      </c>
      <c r="AL190" s="493">
        <v>25668562.925575048</v>
      </c>
      <c r="AM190" s="493">
        <v>72647903.329597518</v>
      </c>
      <c r="AN190" s="493">
        <v>0</v>
      </c>
      <c r="AO190" s="493">
        <v>0</v>
      </c>
      <c r="AP190" s="493">
        <v>0</v>
      </c>
      <c r="AQ190" s="493">
        <v>0</v>
      </c>
      <c r="AR190" s="493">
        <v>0</v>
      </c>
      <c r="AS190" s="493">
        <v>0</v>
      </c>
      <c r="AT190" s="493">
        <v>0</v>
      </c>
      <c r="AU190" s="493">
        <v>0</v>
      </c>
      <c r="AV190" s="493">
        <v>0</v>
      </c>
      <c r="AW190" s="493">
        <v>0</v>
      </c>
      <c r="AX190" s="492">
        <v>8804855.3825012706</v>
      </c>
      <c r="AY190" s="492">
        <v>19298532.468049869</v>
      </c>
      <c r="AZ190" s="492">
        <v>0</v>
      </c>
      <c r="BA190" s="492">
        <v>0</v>
      </c>
      <c r="BB190" s="492">
        <v>0</v>
      </c>
      <c r="BC190" s="492">
        <v>0</v>
      </c>
      <c r="BD190" s="492">
        <v>0</v>
      </c>
      <c r="BE190" s="492">
        <v>0</v>
      </c>
      <c r="BF190" s="492">
        <v>0</v>
      </c>
      <c r="BG190" s="492">
        <v>0</v>
      </c>
      <c r="BH190" s="492">
        <v>0</v>
      </c>
      <c r="BI190" s="492">
        <v>0</v>
      </c>
      <c r="BJ190" s="493">
        <v>783788.61231881008</v>
      </c>
      <c r="BK190" s="493">
        <v>5892690.5558734313</v>
      </c>
      <c r="BL190" s="493">
        <v>0</v>
      </c>
      <c r="BM190" s="493">
        <v>0</v>
      </c>
      <c r="BN190" s="493">
        <v>0</v>
      </c>
      <c r="BO190" s="493">
        <v>0</v>
      </c>
      <c r="BP190" s="493">
        <v>0</v>
      </c>
      <c r="BQ190" s="493">
        <v>0</v>
      </c>
      <c r="BR190" s="493">
        <v>0</v>
      </c>
      <c r="BS190" s="493">
        <v>0</v>
      </c>
      <c r="BT190" s="493">
        <v>0</v>
      </c>
      <c r="BU190" s="493">
        <v>0</v>
      </c>
      <c r="BV190" s="492">
        <v>0</v>
      </c>
      <c r="BW190" s="492">
        <v>0</v>
      </c>
      <c r="BX190" s="492">
        <v>0</v>
      </c>
      <c r="BY190" s="492">
        <v>0</v>
      </c>
      <c r="BZ190" s="492">
        <v>0</v>
      </c>
      <c r="CA190" s="492">
        <v>0</v>
      </c>
      <c r="CB190" s="492">
        <v>0</v>
      </c>
      <c r="CC190" s="492">
        <v>0</v>
      </c>
      <c r="CD190" s="492">
        <v>0</v>
      </c>
      <c r="CE190" s="492">
        <v>0</v>
      </c>
      <c r="CF190" s="492">
        <v>0</v>
      </c>
      <c r="CG190" s="492">
        <v>0</v>
      </c>
      <c r="CH190" s="493">
        <v>0</v>
      </c>
      <c r="CI190" s="493">
        <v>0</v>
      </c>
      <c r="CJ190" s="493">
        <v>0</v>
      </c>
      <c r="CK190" s="493">
        <v>0</v>
      </c>
      <c r="CL190" s="493">
        <v>0</v>
      </c>
      <c r="CM190" s="493">
        <v>0</v>
      </c>
      <c r="CN190" s="493">
        <v>0</v>
      </c>
      <c r="CO190" s="493">
        <v>0</v>
      </c>
      <c r="CP190" s="493">
        <v>0</v>
      </c>
      <c r="CQ190" s="493">
        <v>0</v>
      </c>
      <c r="CR190" s="493">
        <v>0</v>
      </c>
      <c r="CS190" s="493">
        <v>0</v>
      </c>
      <c r="CT190" s="492">
        <v>0</v>
      </c>
      <c r="CU190" s="492">
        <v>0</v>
      </c>
      <c r="CV190" s="492">
        <v>0</v>
      </c>
      <c r="CW190" s="492">
        <v>0</v>
      </c>
      <c r="CX190" s="492">
        <v>0</v>
      </c>
      <c r="CY190" s="492">
        <v>0</v>
      </c>
      <c r="CZ190" s="492">
        <v>0</v>
      </c>
      <c r="DA190" s="492">
        <v>0</v>
      </c>
      <c r="DB190" s="492">
        <v>0</v>
      </c>
      <c r="DC190" s="492">
        <v>0</v>
      </c>
      <c r="DD190" s="492">
        <v>0</v>
      </c>
      <c r="DE190" s="492">
        <v>0</v>
      </c>
      <c r="DF190" s="493">
        <v>0</v>
      </c>
      <c r="DG190" s="493">
        <v>0</v>
      </c>
      <c r="DH190" s="493">
        <v>0</v>
      </c>
      <c r="DI190" s="493">
        <v>0</v>
      </c>
      <c r="DJ190" s="493">
        <v>0</v>
      </c>
      <c r="DK190" s="493">
        <v>0</v>
      </c>
      <c r="DL190" s="493">
        <v>0</v>
      </c>
      <c r="DM190" s="493">
        <v>0</v>
      </c>
      <c r="DN190" s="493">
        <v>0</v>
      </c>
      <c r="DO190" s="493">
        <v>0</v>
      </c>
      <c r="DP190" s="493">
        <v>0</v>
      </c>
      <c r="DQ190" s="493">
        <v>0</v>
      </c>
    </row>
    <row r="191" spans="1:168" x14ac:dyDescent="0.25">
      <c r="A191" t="s">
        <v>581</v>
      </c>
      <c r="B191" s="123"/>
      <c r="C191" s="123"/>
      <c r="D191" s="123"/>
      <c r="E191" s="123"/>
      <c r="F191" s="123"/>
      <c r="G191" s="123"/>
      <c r="H191" s="123"/>
      <c r="I191" s="123"/>
      <c r="J191" s="123"/>
      <c r="K191" s="123">
        <v>-325169.26793080202</v>
      </c>
      <c r="L191" s="123"/>
      <c r="M191" s="123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205"/>
      <c r="AM191" s="205"/>
      <c r="AN191" s="205"/>
      <c r="AO191" s="205"/>
      <c r="AP191" s="205"/>
      <c r="AQ191" s="205"/>
      <c r="AR191" s="205"/>
      <c r="AS191" s="205"/>
      <c r="AT191" s="205"/>
      <c r="AU191" s="205"/>
      <c r="AV191" s="205"/>
      <c r="AW191" s="205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205"/>
      <c r="BK191" s="205"/>
      <c r="BL191" s="205"/>
      <c r="BM191" s="205"/>
      <c r="BN191" s="205"/>
      <c r="BO191" s="205"/>
      <c r="BP191" s="205"/>
      <c r="BQ191" s="205"/>
      <c r="BR191" s="205"/>
      <c r="BS191" s="205"/>
      <c r="BT191" s="205"/>
      <c r="BU191" s="205"/>
      <c r="BV191" s="123"/>
      <c r="BW191" s="123"/>
      <c r="BX191" s="123"/>
      <c r="BY191" s="123"/>
      <c r="BZ191" s="123"/>
      <c r="CA191" s="123"/>
      <c r="CB191" s="123"/>
      <c r="CC191" s="123"/>
      <c r="CD191" s="123"/>
      <c r="CE191" s="123"/>
      <c r="CF191" s="123"/>
      <c r="CG191" s="123"/>
      <c r="CH191" s="205"/>
      <c r="CI191" s="205"/>
      <c r="CJ191" s="205"/>
      <c r="CK191" s="205"/>
      <c r="CL191" s="205"/>
      <c r="CM191" s="205"/>
      <c r="CN191" s="205"/>
      <c r="CO191" s="205"/>
      <c r="CP191" s="205"/>
      <c r="CQ191" s="205"/>
      <c r="CR191" s="205"/>
      <c r="CS191" s="205"/>
      <c r="CT191" s="123"/>
      <c r="CU191" s="123"/>
      <c r="CV191" s="123"/>
      <c r="CW191" s="123"/>
      <c r="CX191" s="123"/>
      <c r="CY191" s="123"/>
      <c r="CZ191" s="123"/>
      <c r="DA191" s="123"/>
      <c r="DB191" s="123"/>
      <c r="DC191" s="123"/>
      <c r="DD191" s="123"/>
      <c r="DE191" s="123"/>
      <c r="DF191" s="205"/>
      <c r="DG191" s="205"/>
      <c r="DH191" s="205"/>
      <c r="DI191" s="205"/>
      <c r="DJ191" s="205"/>
      <c r="DK191" s="205"/>
      <c r="DL191" s="205"/>
      <c r="DM191" s="205"/>
      <c r="DN191" s="205"/>
      <c r="DO191" s="205"/>
      <c r="DP191" s="205"/>
      <c r="DQ191" s="205"/>
    </row>
    <row r="192" spans="1:168" x14ac:dyDescent="0.25">
      <c r="A192" t="s">
        <v>583</v>
      </c>
      <c r="B192" s="123">
        <v>1680000</v>
      </c>
      <c r="C192" s="123">
        <v>242000</v>
      </c>
      <c r="D192" s="12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205">
        <v>450000.00000000006</v>
      </c>
      <c r="O192" s="205">
        <v>99999.999999999971</v>
      </c>
      <c r="P192" s="205">
        <v>0</v>
      </c>
      <c r="Q192" s="205">
        <v>0</v>
      </c>
      <c r="R192" s="205">
        <v>0</v>
      </c>
      <c r="S192" s="205">
        <v>0</v>
      </c>
      <c r="T192" s="205">
        <v>0</v>
      </c>
      <c r="U192" s="205">
        <v>0</v>
      </c>
      <c r="V192" s="205">
        <v>0</v>
      </c>
      <c r="W192" s="205">
        <v>0</v>
      </c>
      <c r="X192" s="205">
        <v>0</v>
      </c>
      <c r="Y192" s="205">
        <v>0</v>
      </c>
      <c r="Z192" s="123">
        <v>1200000</v>
      </c>
      <c r="AA192" s="123">
        <v>196000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205">
        <v>999999.99999999977</v>
      </c>
      <c r="AM192" s="205">
        <v>1376509.7999999996</v>
      </c>
      <c r="AN192" s="205">
        <v>0</v>
      </c>
      <c r="AO192" s="205">
        <v>0</v>
      </c>
      <c r="AP192" s="205">
        <v>0</v>
      </c>
      <c r="AQ192" s="205">
        <v>0</v>
      </c>
      <c r="AR192" s="205">
        <v>0</v>
      </c>
      <c r="AS192" s="205">
        <v>0</v>
      </c>
      <c r="AT192" s="205">
        <v>0</v>
      </c>
      <c r="AU192" s="205">
        <v>0</v>
      </c>
      <c r="AV192" s="205">
        <v>0</v>
      </c>
      <c r="AW192" s="205">
        <v>0</v>
      </c>
      <c r="AX192" s="123">
        <v>359999.99999999994</v>
      </c>
      <c r="AY192" s="123">
        <v>515991.21790685132</v>
      </c>
      <c r="AZ192" s="123">
        <v>0</v>
      </c>
      <c r="BA192" s="123">
        <v>0</v>
      </c>
      <c r="BB192" s="123">
        <v>0</v>
      </c>
      <c r="BC192" s="123">
        <v>0</v>
      </c>
      <c r="BD192" s="123">
        <v>0</v>
      </c>
      <c r="BE192" s="123">
        <v>0</v>
      </c>
      <c r="BF192" s="123">
        <v>0</v>
      </c>
      <c r="BG192" s="123">
        <v>0</v>
      </c>
      <c r="BH192" s="123">
        <v>0</v>
      </c>
      <c r="BI192" s="123">
        <v>0</v>
      </c>
      <c r="BJ192" s="205">
        <v>149999.99999999997</v>
      </c>
      <c r="BK192" s="205">
        <v>170533.49082618734</v>
      </c>
      <c r="BL192" s="205">
        <v>0</v>
      </c>
      <c r="BM192" s="205">
        <v>0</v>
      </c>
      <c r="BN192" s="205">
        <v>0</v>
      </c>
      <c r="BO192" s="205">
        <v>0</v>
      </c>
      <c r="BP192" s="205">
        <v>0</v>
      </c>
      <c r="BQ192" s="205">
        <v>0</v>
      </c>
      <c r="BR192" s="205">
        <v>0</v>
      </c>
      <c r="BS192" s="205">
        <v>0</v>
      </c>
      <c r="BT192" s="205">
        <v>0</v>
      </c>
      <c r="BU192" s="205">
        <v>0</v>
      </c>
      <c r="BV192" s="123">
        <v>0</v>
      </c>
      <c r="BW192" s="123">
        <v>0</v>
      </c>
      <c r="BX192" s="123">
        <v>0</v>
      </c>
      <c r="BY192" s="123">
        <v>0</v>
      </c>
      <c r="BZ192" s="123">
        <v>0</v>
      </c>
      <c r="CA192" s="123">
        <v>0</v>
      </c>
      <c r="CB192" s="123">
        <v>0</v>
      </c>
      <c r="CC192" s="123">
        <v>0</v>
      </c>
      <c r="CD192" s="123">
        <v>0</v>
      </c>
      <c r="CE192" s="123">
        <v>0</v>
      </c>
      <c r="CF192" s="123">
        <v>0</v>
      </c>
      <c r="CG192" s="123">
        <v>0</v>
      </c>
      <c r="CH192" s="205">
        <v>0</v>
      </c>
      <c r="CI192" s="205">
        <v>0</v>
      </c>
      <c r="CJ192" s="205">
        <v>0</v>
      </c>
      <c r="CK192" s="205">
        <v>0</v>
      </c>
      <c r="CL192" s="205">
        <v>0</v>
      </c>
      <c r="CM192" s="205">
        <v>0</v>
      </c>
      <c r="CN192" s="205">
        <v>0</v>
      </c>
      <c r="CO192" s="205">
        <v>0</v>
      </c>
      <c r="CP192" s="205">
        <v>0</v>
      </c>
      <c r="CQ192" s="205">
        <v>0</v>
      </c>
      <c r="CR192" s="205">
        <v>0</v>
      </c>
      <c r="CS192" s="205">
        <v>0</v>
      </c>
      <c r="CT192" s="123">
        <v>0</v>
      </c>
      <c r="CU192" s="123">
        <v>0</v>
      </c>
      <c r="CV192" s="123">
        <v>0</v>
      </c>
      <c r="CW192" s="123">
        <v>0</v>
      </c>
      <c r="CX192" s="123">
        <v>0</v>
      </c>
      <c r="CY192" s="123">
        <v>0</v>
      </c>
      <c r="CZ192" s="123">
        <v>0</v>
      </c>
      <c r="DA192" s="123">
        <v>0</v>
      </c>
      <c r="DB192" s="123">
        <v>0</v>
      </c>
      <c r="DC192" s="123">
        <v>0</v>
      </c>
      <c r="DD192" s="123">
        <v>0</v>
      </c>
      <c r="DE192" s="123">
        <v>0</v>
      </c>
      <c r="DF192" s="205">
        <v>0</v>
      </c>
      <c r="DG192" s="205">
        <v>0</v>
      </c>
      <c r="DH192" s="205">
        <v>0</v>
      </c>
      <c r="DI192" s="205">
        <v>0</v>
      </c>
      <c r="DJ192" s="205">
        <v>0</v>
      </c>
      <c r="DK192" s="205">
        <v>0</v>
      </c>
      <c r="DL192" s="205">
        <v>0</v>
      </c>
      <c r="DM192" s="205">
        <v>0</v>
      </c>
      <c r="DN192" s="205">
        <v>0</v>
      </c>
      <c r="DO192" s="205">
        <v>0</v>
      </c>
      <c r="DP192" s="205">
        <v>0</v>
      </c>
      <c r="DQ192" s="205">
        <v>0</v>
      </c>
    </row>
    <row r="193" spans="1:168" x14ac:dyDescent="0.25">
      <c r="A193" t="s">
        <v>584</v>
      </c>
      <c r="B193" s="123">
        <v>1120000</v>
      </c>
      <c r="C193" s="123">
        <v>363000</v>
      </c>
      <c r="D193" s="123">
        <v>0</v>
      </c>
      <c r="E193" s="123">
        <v>0</v>
      </c>
      <c r="F193" s="123">
        <v>0</v>
      </c>
      <c r="G193" s="123">
        <v>0</v>
      </c>
      <c r="H193" s="123">
        <v>0</v>
      </c>
      <c r="I193" s="123">
        <v>0</v>
      </c>
      <c r="J193" s="123">
        <v>0</v>
      </c>
      <c r="K193" s="123">
        <v>0</v>
      </c>
      <c r="L193" s="123">
        <v>0</v>
      </c>
      <c r="M193" s="123">
        <v>0</v>
      </c>
      <c r="N193" s="205">
        <v>1050000</v>
      </c>
      <c r="O193" s="205">
        <v>900000</v>
      </c>
      <c r="P193" s="205">
        <v>0</v>
      </c>
      <c r="Q193" s="205">
        <v>0</v>
      </c>
      <c r="R193" s="205">
        <v>0</v>
      </c>
      <c r="S193" s="205">
        <v>0</v>
      </c>
      <c r="T193" s="205">
        <v>0</v>
      </c>
      <c r="U193" s="205">
        <v>0</v>
      </c>
      <c r="V193" s="205">
        <v>0</v>
      </c>
      <c r="W193" s="205">
        <v>0</v>
      </c>
      <c r="X193" s="205">
        <v>0</v>
      </c>
      <c r="Y193" s="205">
        <v>0</v>
      </c>
      <c r="Z193" s="123">
        <v>1800000</v>
      </c>
      <c r="AA193" s="123">
        <v>294000</v>
      </c>
      <c r="AB193" s="123">
        <v>0</v>
      </c>
      <c r="AC193" s="123">
        <v>0</v>
      </c>
      <c r="AD193" s="123">
        <v>0</v>
      </c>
      <c r="AE193" s="123">
        <v>0</v>
      </c>
      <c r="AF193" s="123">
        <v>0</v>
      </c>
      <c r="AG193" s="123">
        <v>0</v>
      </c>
      <c r="AH193" s="123">
        <v>0</v>
      </c>
      <c r="AI193" s="123">
        <v>0</v>
      </c>
      <c r="AJ193" s="123">
        <v>0</v>
      </c>
      <c r="AK193" s="123">
        <v>0</v>
      </c>
      <c r="AL193" s="205">
        <v>4000000</v>
      </c>
      <c r="AM193" s="205">
        <v>5506039.2000000002</v>
      </c>
      <c r="AN193" s="205">
        <v>0</v>
      </c>
      <c r="AO193" s="205">
        <v>0</v>
      </c>
      <c r="AP193" s="205">
        <v>0</v>
      </c>
      <c r="AQ193" s="205">
        <v>0</v>
      </c>
      <c r="AR193" s="205">
        <v>0</v>
      </c>
      <c r="AS193" s="205">
        <v>0</v>
      </c>
      <c r="AT193" s="205">
        <v>0</v>
      </c>
      <c r="AU193" s="205">
        <v>0</v>
      </c>
      <c r="AV193" s="205">
        <v>0</v>
      </c>
      <c r="AW193" s="205">
        <v>0</v>
      </c>
      <c r="AX193" s="123">
        <v>1440000</v>
      </c>
      <c r="AY193" s="123">
        <v>2063964.8716274058</v>
      </c>
      <c r="AZ193" s="123">
        <v>0</v>
      </c>
      <c r="BA193" s="123">
        <v>0</v>
      </c>
      <c r="BB193" s="123">
        <v>0</v>
      </c>
      <c r="BC193" s="123">
        <v>0</v>
      </c>
      <c r="BD193" s="123">
        <v>0</v>
      </c>
      <c r="BE193" s="123">
        <v>0</v>
      </c>
      <c r="BF193" s="123">
        <v>0</v>
      </c>
      <c r="BG193" s="123">
        <v>0</v>
      </c>
      <c r="BH193" s="123">
        <v>0</v>
      </c>
      <c r="BI193" s="123">
        <v>0</v>
      </c>
      <c r="BJ193" s="205">
        <v>1350000</v>
      </c>
      <c r="BK193" s="205">
        <v>682133.96330474957</v>
      </c>
      <c r="BL193" s="205">
        <v>0</v>
      </c>
      <c r="BM193" s="205">
        <v>0</v>
      </c>
      <c r="BN193" s="205">
        <v>0</v>
      </c>
      <c r="BO193" s="205">
        <v>0</v>
      </c>
      <c r="BP193" s="205">
        <v>0</v>
      </c>
      <c r="BQ193" s="205">
        <v>0</v>
      </c>
      <c r="BR193" s="205">
        <v>0</v>
      </c>
      <c r="BS193" s="205">
        <v>0</v>
      </c>
      <c r="BT193" s="205">
        <v>0</v>
      </c>
      <c r="BU193" s="205">
        <v>0</v>
      </c>
      <c r="BV193" s="123">
        <v>0</v>
      </c>
      <c r="BW193" s="123">
        <v>0</v>
      </c>
      <c r="BX193" s="123">
        <v>0</v>
      </c>
      <c r="BY193" s="123">
        <v>0</v>
      </c>
      <c r="BZ193" s="123">
        <v>0</v>
      </c>
      <c r="CA193" s="123">
        <v>0</v>
      </c>
      <c r="CB193" s="123">
        <v>0</v>
      </c>
      <c r="CC193" s="123">
        <v>0</v>
      </c>
      <c r="CD193" s="123">
        <v>0</v>
      </c>
      <c r="CE193" s="123">
        <v>0</v>
      </c>
      <c r="CF193" s="123">
        <v>0</v>
      </c>
      <c r="CG193" s="123">
        <v>0</v>
      </c>
      <c r="CH193" s="205">
        <v>0</v>
      </c>
      <c r="CI193" s="205">
        <v>0</v>
      </c>
      <c r="CJ193" s="205">
        <v>0</v>
      </c>
      <c r="CK193" s="205">
        <v>0</v>
      </c>
      <c r="CL193" s="205">
        <v>0</v>
      </c>
      <c r="CM193" s="205">
        <v>0</v>
      </c>
      <c r="CN193" s="205">
        <v>0</v>
      </c>
      <c r="CO193" s="205">
        <v>0</v>
      </c>
      <c r="CP193" s="205">
        <v>0</v>
      </c>
      <c r="CQ193" s="205">
        <v>0</v>
      </c>
      <c r="CR193" s="205">
        <v>0</v>
      </c>
      <c r="CS193" s="205">
        <v>0</v>
      </c>
      <c r="CT193" s="123">
        <v>0</v>
      </c>
      <c r="CU193" s="123">
        <v>0</v>
      </c>
      <c r="CV193" s="123">
        <v>0</v>
      </c>
      <c r="CW193" s="123">
        <v>0</v>
      </c>
      <c r="CX193" s="123">
        <v>0</v>
      </c>
      <c r="CY193" s="123">
        <v>0</v>
      </c>
      <c r="CZ193" s="123">
        <v>0</v>
      </c>
      <c r="DA193" s="123">
        <v>0</v>
      </c>
      <c r="DB193" s="123">
        <v>0</v>
      </c>
      <c r="DC193" s="123">
        <v>0</v>
      </c>
      <c r="DD193" s="123">
        <v>0</v>
      </c>
      <c r="DE193" s="123">
        <v>0</v>
      </c>
      <c r="DF193" s="205">
        <v>0</v>
      </c>
      <c r="DG193" s="205">
        <v>0</v>
      </c>
      <c r="DH193" s="205">
        <v>0</v>
      </c>
      <c r="DI193" s="205">
        <v>0</v>
      </c>
      <c r="DJ193" s="205">
        <v>0</v>
      </c>
      <c r="DK193" s="205">
        <v>0</v>
      </c>
      <c r="DL193" s="205">
        <v>0</v>
      </c>
      <c r="DM193" s="205">
        <v>0</v>
      </c>
      <c r="DN193" s="205">
        <v>0</v>
      </c>
      <c r="DO193" s="205">
        <v>0</v>
      </c>
      <c r="DP193" s="205">
        <v>0</v>
      </c>
      <c r="DQ193" s="205">
        <v>0</v>
      </c>
    </row>
    <row r="194" spans="1:168" x14ac:dyDescent="0.25">
      <c r="A194" s="160" t="s">
        <v>559</v>
      </c>
      <c r="B194" s="492">
        <v>2800000</v>
      </c>
      <c r="C194" s="492">
        <v>605000</v>
      </c>
      <c r="D194" s="492">
        <v>0</v>
      </c>
      <c r="E194" s="492">
        <v>0</v>
      </c>
      <c r="F194" s="492">
        <v>0</v>
      </c>
      <c r="G194" s="492">
        <v>0</v>
      </c>
      <c r="H194" s="492">
        <v>0</v>
      </c>
      <c r="I194" s="492">
        <v>0</v>
      </c>
      <c r="J194" s="492">
        <v>0</v>
      </c>
      <c r="K194" s="492">
        <v>0</v>
      </c>
      <c r="L194" s="492">
        <v>0</v>
      </c>
      <c r="M194" s="492">
        <v>0</v>
      </c>
      <c r="N194" s="493">
        <v>1500000</v>
      </c>
      <c r="O194" s="493">
        <v>1000000</v>
      </c>
      <c r="P194" s="493">
        <v>0</v>
      </c>
      <c r="Q194" s="493">
        <v>0</v>
      </c>
      <c r="R194" s="493">
        <v>0</v>
      </c>
      <c r="S194" s="493">
        <v>0</v>
      </c>
      <c r="T194" s="493">
        <v>0</v>
      </c>
      <c r="U194" s="493">
        <v>0</v>
      </c>
      <c r="V194" s="493">
        <v>0</v>
      </c>
      <c r="W194" s="493">
        <v>0</v>
      </c>
      <c r="X194" s="493">
        <v>0</v>
      </c>
      <c r="Y194" s="493">
        <v>0</v>
      </c>
      <c r="Z194" s="492">
        <v>3000000</v>
      </c>
      <c r="AA194" s="492">
        <v>490000</v>
      </c>
      <c r="AB194" s="492">
        <v>0</v>
      </c>
      <c r="AC194" s="492">
        <v>0</v>
      </c>
      <c r="AD194" s="492">
        <v>0</v>
      </c>
      <c r="AE194" s="492">
        <v>0</v>
      </c>
      <c r="AF194" s="492">
        <v>0</v>
      </c>
      <c r="AG194" s="492">
        <v>0</v>
      </c>
      <c r="AH194" s="492">
        <v>0</v>
      </c>
      <c r="AI194" s="492">
        <v>0</v>
      </c>
      <c r="AJ194" s="492">
        <v>0</v>
      </c>
      <c r="AK194" s="492">
        <v>0</v>
      </c>
      <c r="AL194" s="493">
        <v>5000000</v>
      </c>
      <c r="AM194" s="493">
        <v>6882549</v>
      </c>
      <c r="AN194" s="493">
        <v>0</v>
      </c>
      <c r="AO194" s="493">
        <v>0</v>
      </c>
      <c r="AP194" s="493">
        <v>0</v>
      </c>
      <c r="AQ194" s="493">
        <v>0</v>
      </c>
      <c r="AR194" s="493">
        <v>0</v>
      </c>
      <c r="AS194" s="493">
        <v>0</v>
      </c>
      <c r="AT194" s="493">
        <v>0</v>
      </c>
      <c r="AU194" s="493">
        <v>0</v>
      </c>
      <c r="AV194" s="493">
        <v>0</v>
      </c>
      <c r="AW194" s="493">
        <v>0</v>
      </c>
      <c r="AX194" s="492">
        <v>1800000</v>
      </c>
      <c r="AY194" s="492">
        <v>2579956.0895342566</v>
      </c>
      <c r="AZ194" s="492">
        <v>0</v>
      </c>
      <c r="BA194" s="492">
        <v>0</v>
      </c>
      <c r="BB194" s="492">
        <v>0</v>
      </c>
      <c r="BC194" s="492">
        <v>0</v>
      </c>
      <c r="BD194" s="492">
        <v>0</v>
      </c>
      <c r="BE194" s="492">
        <v>0</v>
      </c>
      <c r="BF194" s="492">
        <v>0</v>
      </c>
      <c r="BG194" s="492">
        <v>0</v>
      </c>
      <c r="BH194" s="492">
        <v>0</v>
      </c>
      <c r="BI194" s="492">
        <v>0</v>
      </c>
      <c r="BJ194" s="493">
        <v>1500000</v>
      </c>
      <c r="BK194" s="493">
        <v>852667.45413093688</v>
      </c>
      <c r="BL194" s="493">
        <v>0</v>
      </c>
      <c r="BM194" s="493">
        <v>0</v>
      </c>
      <c r="BN194" s="493">
        <v>0</v>
      </c>
      <c r="BO194" s="493">
        <v>0</v>
      </c>
      <c r="BP194" s="493">
        <v>0</v>
      </c>
      <c r="BQ194" s="493">
        <v>0</v>
      </c>
      <c r="BR194" s="493">
        <v>0</v>
      </c>
      <c r="BS194" s="493">
        <v>0</v>
      </c>
      <c r="BT194" s="493">
        <v>0</v>
      </c>
      <c r="BU194" s="493">
        <v>0</v>
      </c>
      <c r="BV194" s="492">
        <v>0</v>
      </c>
      <c r="BW194" s="492">
        <v>0</v>
      </c>
      <c r="BX194" s="492">
        <v>0</v>
      </c>
      <c r="BY194" s="492">
        <v>0</v>
      </c>
      <c r="BZ194" s="492">
        <v>0</v>
      </c>
      <c r="CA194" s="492">
        <v>0</v>
      </c>
      <c r="CB194" s="492">
        <v>0</v>
      </c>
      <c r="CC194" s="492">
        <v>0</v>
      </c>
      <c r="CD194" s="492">
        <v>0</v>
      </c>
      <c r="CE194" s="492">
        <v>0</v>
      </c>
      <c r="CF194" s="492">
        <v>0</v>
      </c>
      <c r="CG194" s="492">
        <v>0</v>
      </c>
      <c r="CH194" s="493">
        <v>0</v>
      </c>
      <c r="CI194" s="493">
        <v>0</v>
      </c>
      <c r="CJ194" s="493">
        <v>0</v>
      </c>
      <c r="CK194" s="493">
        <v>0</v>
      </c>
      <c r="CL194" s="493">
        <v>0</v>
      </c>
      <c r="CM194" s="493">
        <v>0</v>
      </c>
      <c r="CN194" s="493">
        <v>0</v>
      </c>
      <c r="CO194" s="493">
        <v>0</v>
      </c>
      <c r="CP194" s="493">
        <v>0</v>
      </c>
      <c r="CQ194" s="493">
        <v>0</v>
      </c>
      <c r="CR194" s="493">
        <v>0</v>
      </c>
      <c r="CS194" s="493">
        <v>0</v>
      </c>
      <c r="CT194" s="492">
        <v>0</v>
      </c>
      <c r="CU194" s="492">
        <v>0</v>
      </c>
      <c r="CV194" s="492">
        <v>0</v>
      </c>
      <c r="CW194" s="492">
        <v>0</v>
      </c>
      <c r="CX194" s="492">
        <v>0</v>
      </c>
      <c r="CY194" s="492">
        <v>0</v>
      </c>
      <c r="CZ194" s="492">
        <v>0</v>
      </c>
      <c r="DA194" s="492">
        <v>0</v>
      </c>
      <c r="DB194" s="492">
        <v>0</v>
      </c>
      <c r="DC194" s="492">
        <v>0</v>
      </c>
      <c r="DD194" s="492">
        <v>0</v>
      </c>
      <c r="DE194" s="492">
        <v>0</v>
      </c>
      <c r="DF194" s="493">
        <v>0</v>
      </c>
      <c r="DG194" s="493">
        <v>0</v>
      </c>
      <c r="DH194" s="493">
        <v>0</v>
      </c>
      <c r="DI194" s="493">
        <v>0</v>
      </c>
      <c r="DJ194" s="493">
        <v>0</v>
      </c>
      <c r="DK194" s="493">
        <v>0</v>
      </c>
      <c r="DL194" s="493">
        <v>0</v>
      </c>
      <c r="DM194" s="493">
        <v>0</v>
      </c>
      <c r="DN194" s="493">
        <v>0</v>
      </c>
      <c r="DO194" s="493">
        <v>0</v>
      </c>
      <c r="DP194" s="493">
        <v>0</v>
      </c>
      <c r="DQ194" s="493">
        <v>0</v>
      </c>
    </row>
    <row r="195" spans="1:168" x14ac:dyDescent="0.25">
      <c r="A195" t="s">
        <v>727</v>
      </c>
      <c r="B195" s="123">
        <v>6417588.9531594133</v>
      </c>
      <c r="C195" s="123">
        <v>4038441.5236633071</v>
      </c>
      <c r="D195" s="123">
        <v>0</v>
      </c>
      <c r="E195" s="123">
        <v>0</v>
      </c>
      <c r="F195" s="123">
        <v>0</v>
      </c>
      <c r="G195" s="123">
        <v>0</v>
      </c>
      <c r="H195" s="123">
        <v>0</v>
      </c>
      <c r="I195" s="123">
        <v>0</v>
      </c>
      <c r="J195" s="123">
        <v>0</v>
      </c>
      <c r="K195" s="123">
        <v>0</v>
      </c>
      <c r="L195" s="123">
        <v>0</v>
      </c>
      <c r="M195" s="123">
        <v>0</v>
      </c>
      <c r="N195" s="205">
        <v>6055995.9026252944</v>
      </c>
      <c r="O195" s="205">
        <v>5494697.7723802952</v>
      </c>
      <c r="P195" s="205">
        <v>0</v>
      </c>
      <c r="Q195" s="205">
        <v>0</v>
      </c>
      <c r="R195" s="205">
        <v>0</v>
      </c>
      <c r="S195" s="205">
        <v>0</v>
      </c>
      <c r="T195" s="205">
        <v>0</v>
      </c>
      <c r="U195" s="205">
        <v>0</v>
      </c>
      <c r="V195" s="205">
        <v>0</v>
      </c>
      <c r="W195" s="205">
        <v>0</v>
      </c>
      <c r="X195" s="205">
        <v>0</v>
      </c>
      <c r="Y195" s="205">
        <v>0</v>
      </c>
      <c r="Z195" s="123">
        <v>6417588.9531594133</v>
      </c>
      <c r="AA195" s="123">
        <v>3450519.5958250631</v>
      </c>
      <c r="AB195" s="123">
        <v>0</v>
      </c>
      <c r="AC195" s="123">
        <v>0</v>
      </c>
      <c r="AD195" s="123">
        <v>0</v>
      </c>
      <c r="AE195" s="123">
        <v>0</v>
      </c>
      <c r="AF195" s="123">
        <v>0</v>
      </c>
      <c r="AG195" s="123">
        <v>0</v>
      </c>
      <c r="AH195" s="123">
        <v>0</v>
      </c>
      <c r="AI195" s="123">
        <v>0</v>
      </c>
      <c r="AJ195" s="123">
        <v>0</v>
      </c>
      <c r="AK195" s="123">
        <v>0</v>
      </c>
      <c r="AL195" s="205">
        <v>6529437.6645025536</v>
      </c>
      <c r="AM195" s="205">
        <v>5628566.3793950323</v>
      </c>
      <c r="AN195" s="205">
        <v>0</v>
      </c>
      <c r="AO195" s="205">
        <v>0</v>
      </c>
      <c r="AP195" s="205">
        <v>0</v>
      </c>
      <c r="AQ195" s="205">
        <v>0</v>
      </c>
      <c r="AR195" s="205">
        <v>0</v>
      </c>
      <c r="AS195" s="205">
        <v>0</v>
      </c>
      <c r="AT195" s="205">
        <v>0</v>
      </c>
      <c r="AU195" s="205">
        <v>0</v>
      </c>
      <c r="AV195" s="205">
        <v>0</v>
      </c>
      <c r="AW195" s="205">
        <v>0</v>
      </c>
      <c r="AX195" s="123">
        <v>6483428.5211218502</v>
      </c>
      <c r="AY195" s="123">
        <v>4068875.6159609836</v>
      </c>
      <c r="AZ195" s="123">
        <v>0</v>
      </c>
      <c r="BA195" s="123">
        <v>0</v>
      </c>
      <c r="BB195" s="123">
        <v>0</v>
      </c>
      <c r="BC195" s="123">
        <v>0</v>
      </c>
      <c r="BD195" s="123">
        <v>0</v>
      </c>
      <c r="BE195" s="123">
        <v>0</v>
      </c>
      <c r="BF195" s="123">
        <v>0</v>
      </c>
      <c r="BG195" s="123">
        <v>0</v>
      </c>
      <c r="BH195" s="123">
        <v>0</v>
      </c>
      <c r="BI195" s="123">
        <v>0</v>
      </c>
      <c r="BJ195" s="205">
        <v>6417588.9531594133</v>
      </c>
      <c r="BK195" s="205">
        <v>3463837.6466015964</v>
      </c>
      <c r="BL195" s="205">
        <v>0</v>
      </c>
      <c r="BM195" s="205">
        <v>0</v>
      </c>
      <c r="BN195" s="205">
        <v>0</v>
      </c>
      <c r="BO195" s="205">
        <v>0</v>
      </c>
      <c r="BP195" s="205">
        <v>0</v>
      </c>
      <c r="BQ195" s="205">
        <v>0</v>
      </c>
      <c r="BR195" s="205">
        <v>0</v>
      </c>
      <c r="BS195" s="205">
        <v>0</v>
      </c>
      <c r="BT195" s="205">
        <v>0</v>
      </c>
      <c r="BU195" s="205">
        <v>0</v>
      </c>
      <c r="BV195" s="123">
        <v>0</v>
      </c>
      <c r="BW195" s="123">
        <v>0</v>
      </c>
      <c r="BX195" s="123">
        <v>0</v>
      </c>
      <c r="BY195" s="123">
        <v>0</v>
      </c>
      <c r="BZ195" s="123">
        <v>0</v>
      </c>
      <c r="CA195" s="123">
        <v>0</v>
      </c>
      <c r="CB195" s="123">
        <v>0</v>
      </c>
      <c r="CC195" s="123">
        <v>0</v>
      </c>
      <c r="CD195" s="123">
        <v>0</v>
      </c>
      <c r="CE195" s="123">
        <v>0</v>
      </c>
      <c r="CF195" s="123">
        <v>0</v>
      </c>
      <c r="CG195" s="123">
        <v>0</v>
      </c>
      <c r="CH195" s="205">
        <v>0</v>
      </c>
      <c r="CI195" s="205">
        <v>0</v>
      </c>
      <c r="CJ195" s="205">
        <v>0</v>
      </c>
      <c r="CK195" s="205">
        <v>0</v>
      </c>
      <c r="CL195" s="205">
        <v>0</v>
      </c>
      <c r="CM195" s="205">
        <v>0</v>
      </c>
      <c r="CN195" s="205">
        <v>0</v>
      </c>
      <c r="CO195" s="205">
        <v>0</v>
      </c>
      <c r="CP195" s="205">
        <v>0</v>
      </c>
      <c r="CQ195" s="205">
        <v>0</v>
      </c>
      <c r="CR195" s="205">
        <v>0</v>
      </c>
      <c r="CS195" s="205">
        <v>0</v>
      </c>
      <c r="CT195" s="123">
        <v>0</v>
      </c>
      <c r="CU195" s="123">
        <v>0</v>
      </c>
      <c r="CV195" s="123">
        <v>0</v>
      </c>
      <c r="CW195" s="123">
        <v>0</v>
      </c>
      <c r="CX195" s="123">
        <v>0</v>
      </c>
      <c r="CY195" s="123">
        <v>0</v>
      </c>
      <c r="CZ195" s="123">
        <v>0</v>
      </c>
      <c r="DA195" s="123">
        <v>0</v>
      </c>
      <c r="DB195" s="123">
        <v>0</v>
      </c>
      <c r="DC195" s="123">
        <v>0</v>
      </c>
      <c r="DD195" s="123">
        <v>0</v>
      </c>
      <c r="DE195" s="123">
        <v>0</v>
      </c>
      <c r="DF195" s="205">
        <v>0</v>
      </c>
      <c r="DG195" s="205">
        <v>0</v>
      </c>
      <c r="DH195" s="205">
        <v>0</v>
      </c>
      <c r="DI195" s="205">
        <v>0</v>
      </c>
      <c r="DJ195" s="205">
        <v>0</v>
      </c>
      <c r="DK195" s="205">
        <v>0</v>
      </c>
      <c r="DL195" s="205">
        <v>0</v>
      </c>
      <c r="DM195" s="205">
        <v>0</v>
      </c>
      <c r="DN195" s="205">
        <v>0</v>
      </c>
      <c r="DO195" s="205">
        <v>0</v>
      </c>
      <c r="DP195" s="205">
        <v>0</v>
      </c>
      <c r="DQ195" s="205">
        <v>0</v>
      </c>
    </row>
    <row r="196" spans="1:168" x14ac:dyDescent="0.25">
      <c r="A196" t="s">
        <v>527</v>
      </c>
      <c r="B196" s="123">
        <v>1919847.4044636793</v>
      </c>
      <c r="C196" s="123">
        <v>5423770.4115820844</v>
      </c>
      <c r="D196" s="123">
        <v>0</v>
      </c>
      <c r="E196" s="123">
        <v>0</v>
      </c>
      <c r="F196" s="123">
        <v>0</v>
      </c>
      <c r="G196" s="123">
        <v>0</v>
      </c>
      <c r="H196" s="123">
        <v>0</v>
      </c>
      <c r="I196" s="123">
        <v>0</v>
      </c>
      <c r="J196" s="123">
        <v>0</v>
      </c>
      <c r="K196" s="123">
        <v>0</v>
      </c>
      <c r="L196" s="123">
        <v>0</v>
      </c>
      <c r="M196" s="123">
        <v>0</v>
      </c>
      <c r="N196" s="205">
        <v>4321018.0860174634</v>
      </c>
      <c r="O196" s="205">
        <v>9183749.9086799975</v>
      </c>
      <c r="P196" s="205">
        <v>0</v>
      </c>
      <c r="Q196" s="205">
        <v>0</v>
      </c>
      <c r="R196" s="205">
        <v>0</v>
      </c>
      <c r="S196" s="205">
        <v>0</v>
      </c>
      <c r="T196" s="205">
        <v>0</v>
      </c>
      <c r="U196" s="205">
        <v>0</v>
      </c>
      <c r="V196" s="205">
        <v>0</v>
      </c>
      <c r="W196" s="205">
        <v>0</v>
      </c>
      <c r="X196" s="205">
        <v>0</v>
      </c>
      <c r="Y196" s="205">
        <v>0</v>
      </c>
      <c r="Z196" s="123">
        <v>1943992.5228417004</v>
      </c>
      <c r="AA196" s="123">
        <v>6814427.0006424943</v>
      </c>
      <c r="AB196" s="123">
        <v>0</v>
      </c>
      <c r="AC196" s="123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3">
        <v>0</v>
      </c>
      <c r="AJ196" s="123">
        <v>0</v>
      </c>
      <c r="AK196" s="123">
        <v>0</v>
      </c>
      <c r="AL196" s="205">
        <v>9152251.8097437415</v>
      </c>
      <c r="AM196" s="205">
        <v>17345666.893083032</v>
      </c>
      <c r="AN196" s="205">
        <v>0</v>
      </c>
      <c r="AO196" s="205">
        <v>0</v>
      </c>
      <c r="AP196" s="205">
        <v>0</v>
      </c>
      <c r="AQ196" s="205">
        <v>0</v>
      </c>
      <c r="AR196" s="205">
        <v>0</v>
      </c>
      <c r="AS196" s="205">
        <v>0</v>
      </c>
      <c r="AT196" s="205">
        <v>0</v>
      </c>
      <c r="AU196" s="205">
        <v>0</v>
      </c>
      <c r="AV196" s="205">
        <v>0</v>
      </c>
      <c r="AW196" s="205">
        <v>0</v>
      </c>
      <c r="AX196" s="123">
        <v>5187945.9583379198</v>
      </c>
      <c r="AY196" s="123">
        <v>10602522.822003089</v>
      </c>
      <c r="AZ196" s="123">
        <v>0</v>
      </c>
      <c r="BA196" s="123">
        <v>0</v>
      </c>
      <c r="BB196" s="123">
        <v>0</v>
      </c>
      <c r="BC196" s="123">
        <v>0</v>
      </c>
      <c r="BD196" s="123">
        <v>0</v>
      </c>
      <c r="BE196" s="123">
        <v>0</v>
      </c>
      <c r="BF196" s="123">
        <v>0</v>
      </c>
      <c r="BG196" s="123">
        <v>0</v>
      </c>
      <c r="BH196" s="123">
        <v>0</v>
      </c>
      <c r="BI196" s="123">
        <v>0</v>
      </c>
      <c r="BJ196" s="205">
        <v>1160864.7508975228</v>
      </c>
      <c r="BK196" s="205">
        <v>6246342.706554072</v>
      </c>
      <c r="BL196" s="205">
        <v>0</v>
      </c>
      <c r="BM196" s="205">
        <v>0</v>
      </c>
      <c r="BN196" s="205">
        <v>0</v>
      </c>
      <c r="BO196" s="205">
        <v>0</v>
      </c>
      <c r="BP196" s="205">
        <v>0</v>
      </c>
      <c r="BQ196" s="205">
        <v>0</v>
      </c>
      <c r="BR196" s="205">
        <v>0</v>
      </c>
      <c r="BS196" s="205">
        <v>0</v>
      </c>
      <c r="BT196" s="205">
        <v>0</v>
      </c>
      <c r="BU196" s="205">
        <v>0</v>
      </c>
      <c r="BV196" s="123">
        <v>0</v>
      </c>
      <c r="BW196" s="123">
        <v>0</v>
      </c>
      <c r="BX196" s="123">
        <v>0</v>
      </c>
      <c r="BY196" s="123">
        <v>0</v>
      </c>
      <c r="BZ196" s="123">
        <v>0</v>
      </c>
      <c r="CA196" s="123">
        <v>0</v>
      </c>
      <c r="CB196" s="123">
        <v>0</v>
      </c>
      <c r="CC196" s="123">
        <v>0</v>
      </c>
      <c r="CD196" s="123">
        <v>0</v>
      </c>
      <c r="CE196" s="123">
        <v>0</v>
      </c>
      <c r="CF196" s="123">
        <v>0</v>
      </c>
      <c r="CG196" s="123">
        <v>0</v>
      </c>
      <c r="CH196" s="205">
        <v>0</v>
      </c>
      <c r="CI196" s="205">
        <v>0</v>
      </c>
      <c r="CJ196" s="205">
        <v>0</v>
      </c>
      <c r="CK196" s="205">
        <v>0</v>
      </c>
      <c r="CL196" s="205">
        <v>0</v>
      </c>
      <c r="CM196" s="205">
        <v>0</v>
      </c>
      <c r="CN196" s="205">
        <v>0</v>
      </c>
      <c r="CO196" s="205">
        <v>0</v>
      </c>
      <c r="CP196" s="205">
        <v>0</v>
      </c>
      <c r="CQ196" s="205">
        <v>0</v>
      </c>
      <c r="CR196" s="205">
        <v>0</v>
      </c>
      <c r="CS196" s="205">
        <v>0</v>
      </c>
      <c r="CT196" s="123">
        <v>0</v>
      </c>
      <c r="CU196" s="123">
        <v>0</v>
      </c>
      <c r="CV196" s="123">
        <v>0</v>
      </c>
      <c r="CW196" s="123">
        <v>0</v>
      </c>
      <c r="CX196" s="123">
        <v>0</v>
      </c>
      <c r="CY196" s="123">
        <v>0</v>
      </c>
      <c r="CZ196" s="123">
        <v>0</v>
      </c>
      <c r="DA196" s="123">
        <v>0</v>
      </c>
      <c r="DB196" s="123">
        <v>0</v>
      </c>
      <c r="DC196" s="123">
        <v>0</v>
      </c>
      <c r="DD196" s="123">
        <v>0</v>
      </c>
      <c r="DE196" s="123">
        <v>0</v>
      </c>
      <c r="DF196" s="205">
        <v>0</v>
      </c>
      <c r="DG196" s="205">
        <v>0</v>
      </c>
      <c r="DH196" s="205">
        <v>0</v>
      </c>
      <c r="DI196" s="205">
        <v>0</v>
      </c>
      <c r="DJ196" s="205">
        <v>0</v>
      </c>
      <c r="DK196" s="205">
        <v>0</v>
      </c>
      <c r="DL196" s="205">
        <v>0</v>
      </c>
      <c r="DM196" s="205">
        <v>0</v>
      </c>
      <c r="DN196" s="205">
        <v>0</v>
      </c>
      <c r="DO196" s="205">
        <v>0</v>
      </c>
      <c r="DP196" s="205">
        <v>0</v>
      </c>
      <c r="DQ196" s="205">
        <v>0</v>
      </c>
    </row>
    <row r="197" spans="1:168" x14ac:dyDescent="0.25">
      <c r="A197" s="160" t="s">
        <v>728</v>
      </c>
      <c r="B197" s="492">
        <v>-9617561.7191751078</v>
      </c>
      <c r="C197" s="492">
        <v>-7221328.9957202151</v>
      </c>
      <c r="D197" s="492">
        <v>0</v>
      </c>
      <c r="E197" s="492">
        <v>0</v>
      </c>
      <c r="F197" s="492">
        <v>0</v>
      </c>
      <c r="G197" s="492">
        <v>0</v>
      </c>
      <c r="H197" s="492">
        <v>0</v>
      </c>
      <c r="I197" s="492">
        <v>0</v>
      </c>
      <c r="J197" s="492">
        <v>0</v>
      </c>
      <c r="K197" s="492">
        <v>0</v>
      </c>
      <c r="L197" s="492">
        <v>0</v>
      </c>
      <c r="M197" s="492">
        <v>0</v>
      </c>
      <c r="N197" s="493">
        <v>-7661682.969219801</v>
      </c>
      <c r="O197" s="493">
        <v>-6712230.7064540442</v>
      </c>
      <c r="P197" s="493">
        <v>0</v>
      </c>
      <c r="Q197" s="493">
        <v>0</v>
      </c>
      <c r="R197" s="493">
        <v>0</v>
      </c>
      <c r="S197" s="493">
        <v>0</v>
      </c>
      <c r="T197" s="493">
        <v>0</v>
      </c>
      <c r="U197" s="493">
        <v>0</v>
      </c>
      <c r="V197" s="493">
        <v>0</v>
      </c>
      <c r="W197" s="493">
        <v>0</v>
      </c>
      <c r="X197" s="493">
        <v>0</v>
      </c>
      <c r="Y197" s="493">
        <v>0</v>
      </c>
      <c r="Z197" s="492">
        <v>-9797281.5045607686</v>
      </c>
      <c r="AA197" s="492">
        <v>2251096.7621517428</v>
      </c>
      <c r="AB197" s="492">
        <v>0</v>
      </c>
      <c r="AC197" s="492">
        <v>0</v>
      </c>
      <c r="AD197" s="492">
        <v>0</v>
      </c>
      <c r="AE197" s="492">
        <v>0</v>
      </c>
      <c r="AF197" s="492">
        <v>0</v>
      </c>
      <c r="AG197" s="492">
        <v>0</v>
      </c>
      <c r="AH197" s="492">
        <v>0</v>
      </c>
      <c r="AI197" s="492">
        <v>0</v>
      </c>
      <c r="AJ197" s="492">
        <v>0</v>
      </c>
      <c r="AK197" s="492">
        <v>0</v>
      </c>
      <c r="AL197" s="493">
        <v>4986873.4513287423</v>
      </c>
      <c r="AM197" s="493">
        <v>42791121.057119459</v>
      </c>
      <c r="AN197" s="493">
        <v>0</v>
      </c>
      <c r="AO197" s="493">
        <v>0</v>
      </c>
      <c r="AP197" s="493">
        <v>0</v>
      </c>
      <c r="AQ197" s="493">
        <v>0</v>
      </c>
      <c r="AR197" s="493">
        <v>0</v>
      </c>
      <c r="AS197" s="493">
        <v>0</v>
      </c>
      <c r="AT197" s="493">
        <v>0</v>
      </c>
      <c r="AU197" s="493">
        <v>0</v>
      </c>
      <c r="AV197" s="493">
        <v>0</v>
      </c>
      <c r="AW197" s="493">
        <v>0</v>
      </c>
      <c r="AX197" s="492">
        <v>-4666519.0969584975</v>
      </c>
      <c r="AY197" s="492">
        <v>2047177.9405515268</v>
      </c>
      <c r="AZ197" s="492">
        <v>0</v>
      </c>
      <c r="BA197" s="492">
        <v>0</v>
      </c>
      <c r="BB197" s="492">
        <v>0</v>
      </c>
      <c r="BC197" s="492">
        <v>0</v>
      </c>
      <c r="BD197" s="492">
        <v>0</v>
      </c>
      <c r="BE197" s="492">
        <v>0</v>
      </c>
      <c r="BF197" s="492">
        <v>0</v>
      </c>
      <c r="BG197" s="492">
        <v>0</v>
      </c>
      <c r="BH197" s="492">
        <v>0</v>
      </c>
      <c r="BI197" s="492">
        <v>0</v>
      </c>
      <c r="BJ197" s="493">
        <v>-8294665.0917381262</v>
      </c>
      <c r="BK197" s="493">
        <v>-4670157.2514131758</v>
      </c>
      <c r="BL197" s="493">
        <v>0</v>
      </c>
      <c r="BM197" s="493">
        <v>0</v>
      </c>
      <c r="BN197" s="493">
        <v>0</v>
      </c>
      <c r="BO197" s="493">
        <v>0</v>
      </c>
      <c r="BP197" s="493">
        <v>0</v>
      </c>
      <c r="BQ197" s="493">
        <v>0</v>
      </c>
      <c r="BR197" s="493">
        <v>0</v>
      </c>
      <c r="BS197" s="493">
        <v>0</v>
      </c>
      <c r="BT197" s="493">
        <v>0</v>
      </c>
      <c r="BU197" s="493">
        <v>0</v>
      </c>
      <c r="BV197" s="492">
        <v>0</v>
      </c>
      <c r="BW197" s="492">
        <v>0</v>
      </c>
      <c r="BX197" s="492">
        <v>0</v>
      </c>
      <c r="BY197" s="492">
        <v>0</v>
      </c>
      <c r="BZ197" s="492">
        <v>0</v>
      </c>
      <c r="CA197" s="492">
        <v>0</v>
      </c>
      <c r="CB197" s="492">
        <v>0</v>
      </c>
      <c r="CC197" s="492">
        <v>0</v>
      </c>
      <c r="CD197" s="492">
        <v>0</v>
      </c>
      <c r="CE197" s="492">
        <v>0</v>
      </c>
      <c r="CF197" s="492">
        <v>0</v>
      </c>
      <c r="CG197" s="492">
        <v>0</v>
      </c>
      <c r="CH197" s="493">
        <v>0</v>
      </c>
      <c r="CI197" s="493">
        <v>0</v>
      </c>
      <c r="CJ197" s="493">
        <v>0</v>
      </c>
      <c r="CK197" s="493">
        <v>0</v>
      </c>
      <c r="CL197" s="493">
        <v>0</v>
      </c>
      <c r="CM197" s="493">
        <v>0</v>
      </c>
      <c r="CN197" s="493">
        <v>0</v>
      </c>
      <c r="CO197" s="493">
        <v>0</v>
      </c>
      <c r="CP197" s="493">
        <v>0</v>
      </c>
      <c r="CQ197" s="493">
        <v>0</v>
      </c>
      <c r="CR197" s="493">
        <v>0</v>
      </c>
      <c r="CS197" s="493">
        <v>0</v>
      </c>
      <c r="CT197" s="492">
        <v>0</v>
      </c>
      <c r="CU197" s="492">
        <v>0</v>
      </c>
      <c r="CV197" s="492">
        <v>0</v>
      </c>
      <c r="CW197" s="492">
        <v>0</v>
      </c>
      <c r="CX197" s="492">
        <v>0</v>
      </c>
      <c r="CY197" s="492">
        <v>0</v>
      </c>
      <c r="CZ197" s="492">
        <v>0</v>
      </c>
      <c r="DA197" s="492">
        <v>0</v>
      </c>
      <c r="DB197" s="492">
        <v>0</v>
      </c>
      <c r="DC197" s="492">
        <v>0</v>
      </c>
      <c r="DD197" s="492">
        <v>0</v>
      </c>
      <c r="DE197" s="492">
        <v>0</v>
      </c>
      <c r="DF197" s="493">
        <v>0</v>
      </c>
      <c r="DG197" s="493">
        <v>0</v>
      </c>
      <c r="DH197" s="493">
        <v>0</v>
      </c>
      <c r="DI197" s="493">
        <v>0</v>
      </c>
      <c r="DJ197" s="493">
        <v>0</v>
      </c>
      <c r="DK197" s="493">
        <v>0</v>
      </c>
      <c r="DL197" s="493">
        <v>0</v>
      </c>
      <c r="DM197" s="493">
        <v>0</v>
      </c>
      <c r="DN197" s="493">
        <v>0</v>
      </c>
      <c r="DO197" s="493">
        <v>0</v>
      </c>
      <c r="DP197" s="493">
        <v>0</v>
      </c>
      <c r="DQ197" s="493">
        <v>0</v>
      </c>
    </row>
    <row r="198" spans="1:168" x14ac:dyDescent="0.25">
      <c r="A198" t="s">
        <v>590</v>
      </c>
      <c r="B198" s="123">
        <v>0</v>
      </c>
      <c r="C198" s="123">
        <v>0</v>
      </c>
      <c r="D198" s="123">
        <v>0</v>
      </c>
      <c r="E198" s="123">
        <v>0</v>
      </c>
      <c r="F198" s="123">
        <v>0</v>
      </c>
      <c r="G198" s="123">
        <v>0</v>
      </c>
      <c r="H198" s="123">
        <v>0</v>
      </c>
      <c r="I198" s="123">
        <v>0</v>
      </c>
      <c r="J198" s="123">
        <v>0</v>
      </c>
      <c r="K198" s="123">
        <v>0</v>
      </c>
      <c r="L198" s="123">
        <v>0</v>
      </c>
      <c r="M198" s="123">
        <v>0</v>
      </c>
      <c r="N198" s="205">
        <v>0</v>
      </c>
      <c r="O198" s="205">
        <v>137385.9144790119</v>
      </c>
      <c r="P198" s="205">
        <v>0</v>
      </c>
      <c r="Q198" s="205">
        <v>0</v>
      </c>
      <c r="R198" s="205">
        <v>0</v>
      </c>
      <c r="S198" s="205">
        <v>0</v>
      </c>
      <c r="T198" s="205">
        <v>0</v>
      </c>
      <c r="U198" s="205">
        <v>0</v>
      </c>
      <c r="V198" s="205">
        <v>0</v>
      </c>
      <c r="W198" s="205">
        <v>0</v>
      </c>
      <c r="X198" s="205">
        <v>0</v>
      </c>
      <c r="Y198" s="205">
        <v>0</v>
      </c>
      <c r="Z198" s="123">
        <v>0</v>
      </c>
      <c r="AA198" s="123">
        <v>229941.58120421498</v>
      </c>
      <c r="AB198" s="123">
        <v>0</v>
      </c>
      <c r="AC198" s="123">
        <v>0</v>
      </c>
      <c r="AD198" s="123">
        <v>0</v>
      </c>
      <c r="AE198" s="123">
        <v>0</v>
      </c>
      <c r="AF198" s="123">
        <v>0</v>
      </c>
      <c r="AG198" s="123">
        <v>0</v>
      </c>
      <c r="AH198" s="123">
        <v>0</v>
      </c>
      <c r="AI198" s="123">
        <v>0</v>
      </c>
      <c r="AJ198" s="123">
        <v>0</v>
      </c>
      <c r="AK198" s="123">
        <v>0</v>
      </c>
      <c r="AL198" s="205">
        <v>687689.84893823357</v>
      </c>
      <c r="AM198" s="205">
        <v>8702812.7782168891</v>
      </c>
      <c r="AN198" s="205">
        <v>0</v>
      </c>
      <c r="AO198" s="205">
        <v>0</v>
      </c>
      <c r="AP198" s="205">
        <v>0</v>
      </c>
      <c r="AQ198" s="205">
        <v>0</v>
      </c>
      <c r="AR198" s="205">
        <v>0</v>
      </c>
      <c r="AS198" s="205">
        <v>0</v>
      </c>
      <c r="AT198" s="205">
        <v>0</v>
      </c>
      <c r="AU198" s="205">
        <v>0</v>
      </c>
      <c r="AV198" s="205">
        <v>0</v>
      </c>
      <c r="AW198" s="205">
        <v>0</v>
      </c>
      <c r="AX198" s="123">
        <v>0</v>
      </c>
      <c r="AY198" s="123">
        <v>1049723.9858154017</v>
      </c>
      <c r="AZ198" s="123">
        <v>0</v>
      </c>
      <c r="BA198" s="123">
        <v>0</v>
      </c>
      <c r="BB198" s="123">
        <v>0</v>
      </c>
      <c r="BC198" s="123">
        <v>0</v>
      </c>
      <c r="BD198" s="123">
        <v>0</v>
      </c>
      <c r="BE198" s="123">
        <v>0</v>
      </c>
      <c r="BF198" s="123">
        <v>0</v>
      </c>
      <c r="BG198" s="123">
        <v>0</v>
      </c>
      <c r="BH198" s="123">
        <v>0</v>
      </c>
      <c r="BI198" s="123">
        <v>0</v>
      </c>
      <c r="BJ198" s="205">
        <v>0</v>
      </c>
      <c r="BK198" s="205">
        <v>0</v>
      </c>
      <c r="BL198" s="205">
        <v>0</v>
      </c>
      <c r="BM198" s="205">
        <v>0</v>
      </c>
      <c r="BN198" s="205">
        <v>0</v>
      </c>
      <c r="BO198" s="205">
        <v>0</v>
      </c>
      <c r="BP198" s="205">
        <v>0</v>
      </c>
      <c r="BQ198" s="205">
        <v>0</v>
      </c>
      <c r="BR198" s="205">
        <v>0</v>
      </c>
      <c r="BS198" s="205">
        <v>0</v>
      </c>
      <c r="BT198" s="205">
        <v>0</v>
      </c>
      <c r="BU198" s="205">
        <v>0</v>
      </c>
      <c r="BV198" s="123">
        <v>0</v>
      </c>
      <c r="BW198" s="123">
        <v>0</v>
      </c>
      <c r="BX198" s="123">
        <v>0</v>
      </c>
      <c r="BY198" s="123">
        <v>0</v>
      </c>
      <c r="BZ198" s="123">
        <v>0</v>
      </c>
      <c r="CA198" s="123">
        <v>0</v>
      </c>
      <c r="CB198" s="123">
        <v>0</v>
      </c>
      <c r="CC198" s="123">
        <v>0</v>
      </c>
      <c r="CD198" s="123">
        <v>0</v>
      </c>
      <c r="CE198" s="123">
        <v>0</v>
      </c>
      <c r="CF198" s="123">
        <v>0</v>
      </c>
      <c r="CG198" s="123">
        <v>0</v>
      </c>
      <c r="CH198" s="205">
        <v>0</v>
      </c>
      <c r="CI198" s="205">
        <v>0</v>
      </c>
      <c r="CJ198" s="205">
        <v>0</v>
      </c>
      <c r="CK198" s="205">
        <v>0</v>
      </c>
      <c r="CL198" s="205">
        <v>0</v>
      </c>
      <c r="CM198" s="205">
        <v>0</v>
      </c>
      <c r="CN198" s="205">
        <v>0</v>
      </c>
      <c r="CO198" s="205">
        <v>0</v>
      </c>
      <c r="CP198" s="205">
        <v>0</v>
      </c>
      <c r="CQ198" s="205">
        <v>0</v>
      </c>
      <c r="CR198" s="205">
        <v>0</v>
      </c>
      <c r="CS198" s="205">
        <v>0</v>
      </c>
      <c r="CT198" s="123">
        <v>0</v>
      </c>
      <c r="CU198" s="123">
        <v>0</v>
      </c>
      <c r="CV198" s="123">
        <v>0</v>
      </c>
      <c r="CW198" s="123">
        <v>0</v>
      </c>
      <c r="CX198" s="123">
        <v>0</v>
      </c>
      <c r="CY198" s="123">
        <v>0</v>
      </c>
      <c r="CZ198" s="123">
        <v>0</v>
      </c>
      <c r="DA198" s="123">
        <v>0</v>
      </c>
      <c r="DB198" s="123">
        <v>0</v>
      </c>
      <c r="DC198" s="123">
        <v>0</v>
      </c>
      <c r="DD198" s="123">
        <v>0</v>
      </c>
      <c r="DE198" s="123">
        <v>0</v>
      </c>
      <c r="DF198" s="205">
        <v>0</v>
      </c>
      <c r="DG198" s="205">
        <v>0</v>
      </c>
      <c r="DH198" s="205">
        <v>0</v>
      </c>
      <c r="DI198" s="205">
        <v>0</v>
      </c>
      <c r="DJ198" s="205">
        <v>0</v>
      </c>
      <c r="DK198" s="205">
        <v>0</v>
      </c>
      <c r="DL198" s="205">
        <v>0</v>
      </c>
      <c r="DM198" s="205">
        <v>0</v>
      </c>
      <c r="DN198" s="205">
        <v>0</v>
      </c>
      <c r="DO198" s="205">
        <v>0</v>
      </c>
      <c r="DP198" s="205">
        <v>0</v>
      </c>
      <c r="DQ198" s="205">
        <v>0</v>
      </c>
    </row>
    <row r="199" spans="1:168" x14ac:dyDescent="0.25">
      <c r="A199" t="s">
        <v>729</v>
      </c>
      <c r="B199" s="206">
        <v>-9617561.7191751078</v>
      </c>
      <c r="C199" s="206">
        <v>-7221328.9957202151</v>
      </c>
      <c r="D199" s="206">
        <v>0</v>
      </c>
      <c r="E199" s="206">
        <v>0</v>
      </c>
      <c r="F199" s="206">
        <v>0</v>
      </c>
      <c r="G199" s="206">
        <v>0</v>
      </c>
      <c r="H199" s="206">
        <v>0</v>
      </c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7">
        <v>-7661682.969219801</v>
      </c>
      <c r="O199" s="207">
        <v>-6849616.6209330559</v>
      </c>
      <c r="P199" s="207">
        <v>0</v>
      </c>
      <c r="Q199" s="207">
        <v>0</v>
      </c>
      <c r="R199" s="207">
        <v>0</v>
      </c>
      <c r="S199" s="207">
        <v>0</v>
      </c>
      <c r="T199" s="207">
        <v>0</v>
      </c>
      <c r="U199" s="207">
        <v>0</v>
      </c>
      <c r="V199" s="207">
        <v>0</v>
      </c>
      <c r="W199" s="207">
        <v>0</v>
      </c>
      <c r="X199" s="207">
        <v>0</v>
      </c>
      <c r="Y199" s="207">
        <v>0</v>
      </c>
      <c r="Z199" s="206">
        <v>-9797281.5045607686</v>
      </c>
      <c r="AA199" s="206">
        <v>2021155.1809475278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7">
        <v>4299183.6023905091</v>
      </c>
      <c r="AM199" s="207">
        <v>34088308.278902568</v>
      </c>
      <c r="AN199" s="207">
        <v>0</v>
      </c>
      <c r="AO199" s="207">
        <v>0</v>
      </c>
      <c r="AP199" s="207">
        <v>0</v>
      </c>
      <c r="AQ199" s="207">
        <v>0</v>
      </c>
      <c r="AR199" s="207">
        <v>0</v>
      </c>
      <c r="AS199" s="207">
        <v>0</v>
      </c>
      <c r="AT199" s="207">
        <v>0</v>
      </c>
      <c r="AU199" s="207">
        <v>0</v>
      </c>
      <c r="AV199" s="207">
        <v>0</v>
      </c>
      <c r="AW199" s="207">
        <v>0</v>
      </c>
      <c r="AX199" s="206">
        <v>-4666519.0969584975</v>
      </c>
      <c r="AY199" s="206">
        <v>997453.95473612472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7">
        <v>-8294665.0917381262</v>
      </c>
      <c r="BK199" s="207">
        <v>-4670157.2514131758</v>
      </c>
      <c r="BL199" s="207">
        <v>0</v>
      </c>
      <c r="BM199" s="207">
        <v>0</v>
      </c>
      <c r="BN199" s="207">
        <v>0</v>
      </c>
      <c r="BO199" s="207">
        <v>0</v>
      </c>
      <c r="BP199" s="207">
        <v>0</v>
      </c>
      <c r="BQ199" s="207">
        <v>0</v>
      </c>
      <c r="BR199" s="207">
        <v>0</v>
      </c>
      <c r="BS199" s="207">
        <v>0</v>
      </c>
      <c r="BT199" s="207">
        <v>0</v>
      </c>
      <c r="BU199" s="207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7">
        <v>0</v>
      </c>
      <c r="CI199" s="207">
        <v>0</v>
      </c>
      <c r="CJ199" s="207">
        <v>0</v>
      </c>
      <c r="CK199" s="207">
        <v>0</v>
      </c>
      <c r="CL199" s="207">
        <v>0</v>
      </c>
      <c r="CM199" s="207">
        <v>0</v>
      </c>
      <c r="CN199" s="207">
        <v>0</v>
      </c>
      <c r="CO199" s="207">
        <v>0</v>
      </c>
      <c r="CP199" s="207">
        <v>0</v>
      </c>
      <c r="CQ199" s="207">
        <v>0</v>
      </c>
      <c r="CR199" s="207">
        <v>0</v>
      </c>
      <c r="CS199" s="207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7">
        <v>0</v>
      </c>
      <c r="DG199" s="207">
        <v>0</v>
      </c>
      <c r="DH199" s="207">
        <v>0</v>
      </c>
      <c r="DI199" s="207">
        <v>0</v>
      </c>
      <c r="DJ199" s="207">
        <v>0</v>
      </c>
      <c r="DK199" s="207">
        <v>0</v>
      </c>
      <c r="DL199" s="207">
        <v>0</v>
      </c>
      <c r="DM199" s="207">
        <v>0</v>
      </c>
      <c r="DN199" s="207">
        <v>0</v>
      </c>
      <c r="DO199" s="207">
        <v>0</v>
      </c>
      <c r="DP199" s="207">
        <v>0</v>
      </c>
      <c r="DQ199" s="207">
        <v>0</v>
      </c>
    </row>
    <row r="200" spans="1:168" x14ac:dyDescent="0.25">
      <c r="A200" s="160" t="s">
        <v>730</v>
      </c>
      <c r="B200" s="492">
        <v>-9617561.7191751078</v>
      </c>
      <c r="C200" s="492">
        <v>-4460318.7463386608</v>
      </c>
      <c r="D200" s="492">
        <v>0</v>
      </c>
      <c r="E200" s="492">
        <v>0</v>
      </c>
      <c r="F200" s="492">
        <v>0</v>
      </c>
      <c r="G200" s="492">
        <v>0</v>
      </c>
      <c r="H200" s="492">
        <v>0</v>
      </c>
      <c r="I200" s="492">
        <v>0</v>
      </c>
      <c r="J200" s="492">
        <v>0</v>
      </c>
      <c r="K200" s="492">
        <v>0</v>
      </c>
      <c r="L200" s="492">
        <v>0</v>
      </c>
      <c r="M200" s="492">
        <v>0</v>
      </c>
      <c r="N200" s="493">
        <v>-7661682.969219801</v>
      </c>
      <c r="O200" s="493">
        <v>-6849616.6209330559</v>
      </c>
      <c r="P200" s="493">
        <v>0</v>
      </c>
      <c r="Q200" s="493">
        <v>0</v>
      </c>
      <c r="R200" s="493">
        <v>0</v>
      </c>
      <c r="S200" s="493">
        <v>0</v>
      </c>
      <c r="T200" s="493">
        <v>0</v>
      </c>
      <c r="U200" s="493">
        <v>0</v>
      </c>
      <c r="V200" s="493">
        <v>0</v>
      </c>
      <c r="W200" s="493">
        <v>0</v>
      </c>
      <c r="X200" s="493">
        <v>0</v>
      </c>
      <c r="Y200" s="493">
        <v>0</v>
      </c>
      <c r="Z200" s="492">
        <v>-9797281.5045607686</v>
      </c>
      <c r="AA200" s="492">
        <v>-167897.88821203774</v>
      </c>
      <c r="AB200" s="492">
        <v>0</v>
      </c>
      <c r="AC200" s="492">
        <v>0</v>
      </c>
      <c r="AD200" s="492">
        <v>0</v>
      </c>
      <c r="AE200" s="492">
        <v>0</v>
      </c>
      <c r="AF200" s="492">
        <v>0</v>
      </c>
      <c r="AG200" s="492">
        <v>0</v>
      </c>
      <c r="AH200" s="492">
        <v>0</v>
      </c>
      <c r="AI200" s="492">
        <v>0</v>
      </c>
      <c r="AJ200" s="492">
        <v>0</v>
      </c>
      <c r="AK200" s="492">
        <v>0</v>
      </c>
      <c r="AL200" s="493">
        <v>4299183.6023905091</v>
      </c>
      <c r="AM200" s="493">
        <v>36462197.433529884</v>
      </c>
      <c r="AN200" s="493">
        <v>0</v>
      </c>
      <c r="AO200" s="493">
        <v>0</v>
      </c>
      <c r="AP200" s="493">
        <v>0</v>
      </c>
      <c r="AQ200" s="493">
        <v>0</v>
      </c>
      <c r="AR200" s="493">
        <v>0</v>
      </c>
      <c r="AS200" s="493">
        <v>0</v>
      </c>
      <c r="AT200" s="493">
        <v>0</v>
      </c>
      <c r="AU200" s="493">
        <v>0</v>
      </c>
      <c r="AV200" s="493">
        <v>0</v>
      </c>
      <c r="AW200" s="493">
        <v>0</v>
      </c>
      <c r="AX200" s="492">
        <v>-4666519.0969584975</v>
      </c>
      <c r="AY200" s="492">
        <v>3793966.7336494485</v>
      </c>
      <c r="AZ200" s="492">
        <v>0</v>
      </c>
      <c r="BA200" s="492">
        <v>0</v>
      </c>
      <c r="BB200" s="492">
        <v>0</v>
      </c>
      <c r="BC200" s="492">
        <v>0</v>
      </c>
      <c r="BD200" s="492">
        <v>0</v>
      </c>
      <c r="BE200" s="492">
        <v>0</v>
      </c>
      <c r="BF200" s="492">
        <v>0</v>
      </c>
      <c r="BG200" s="492">
        <v>0</v>
      </c>
      <c r="BH200" s="492">
        <v>0</v>
      </c>
      <c r="BI200" s="492">
        <v>0</v>
      </c>
      <c r="BJ200" s="493">
        <v>-8294665.0917381262</v>
      </c>
      <c r="BK200" s="493">
        <v>-2797203.8303945609</v>
      </c>
      <c r="BL200" s="493">
        <v>0</v>
      </c>
      <c r="BM200" s="493">
        <v>0</v>
      </c>
      <c r="BN200" s="493">
        <v>0</v>
      </c>
      <c r="BO200" s="493">
        <v>0</v>
      </c>
      <c r="BP200" s="493">
        <v>0</v>
      </c>
      <c r="BQ200" s="493">
        <v>0</v>
      </c>
      <c r="BR200" s="493">
        <v>0</v>
      </c>
      <c r="BS200" s="493">
        <v>0</v>
      </c>
      <c r="BT200" s="493">
        <v>0</v>
      </c>
      <c r="BU200" s="493">
        <v>0</v>
      </c>
      <c r="BV200" s="492">
        <v>0</v>
      </c>
      <c r="BW200" s="492">
        <v>0</v>
      </c>
      <c r="BX200" s="492">
        <v>0</v>
      </c>
      <c r="BY200" s="492">
        <v>0</v>
      </c>
      <c r="BZ200" s="492">
        <v>0</v>
      </c>
      <c r="CA200" s="492">
        <v>0</v>
      </c>
      <c r="CB200" s="492">
        <v>0</v>
      </c>
      <c r="CC200" s="492">
        <v>0</v>
      </c>
      <c r="CD200" s="492">
        <v>0</v>
      </c>
      <c r="CE200" s="492">
        <v>0</v>
      </c>
      <c r="CF200" s="492">
        <v>0</v>
      </c>
      <c r="CG200" s="492">
        <v>0</v>
      </c>
      <c r="CH200" s="493">
        <v>0</v>
      </c>
      <c r="CI200" s="493">
        <v>0</v>
      </c>
      <c r="CJ200" s="493">
        <v>0</v>
      </c>
      <c r="CK200" s="493">
        <v>0</v>
      </c>
      <c r="CL200" s="493">
        <v>0</v>
      </c>
      <c r="CM200" s="493">
        <v>0</v>
      </c>
      <c r="CN200" s="493">
        <v>0</v>
      </c>
      <c r="CO200" s="493">
        <v>0</v>
      </c>
      <c r="CP200" s="493">
        <v>0</v>
      </c>
      <c r="CQ200" s="493">
        <v>0</v>
      </c>
      <c r="CR200" s="493">
        <v>0</v>
      </c>
      <c r="CS200" s="493">
        <v>0</v>
      </c>
      <c r="CT200" s="492">
        <v>0</v>
      </c>
      <c r="CU200" s="492">
        <v>0</v>
      </c>
      <c r="CV200" s="492">
        <v>0</v>
      </c>
      <c r="CW200" s="492">
        <v>0</v>
      </c>
      <c r="CX200" s="492">
        <v>0</v>
      </c>
      <c r="CY200" s="492">
        <v>0</v>
      </c>
      <c r="CZ200" s="492">
        <v>0</v>
      </c>
      <c r="DA200" s="492">
        <v>0</v>
      </c>
      <c r="DB200" s="492">
        <v>0</v>
      </c>
      <c r="DC200" s="492">
        <v>0</v>
      </c>
      <c r="DD200" s="492">
        <v>0</v>
      </c>
      <c r="DE200" s="492">
        <v>0</v>
      </c>
      <c r="DF200" s="493">
        <v>0</v>
      </c>
      <c r="DG200" s="493">
        <v>0</v>
      </c>
      <c r="DH200" s="493">
        <v>0</v>
      </c>
      <c r="DI200" s="493">
        <v>0</v>
      </c>
      <c r="DJ200" s="493">
        <v>0</v>
      </c>
      <c r="DK200" s="493">
        <v>0</v>
      </c>
      <c r="DL200" s="493">
        <v>0</v>
      </c>
      <c r="DM200" s="493">
        <v>0</v>
      </c>
      <c r="DN200" s="493">
        <v>0</v>
      </c>
      <c r="DO200" s="493">
        <v>0</v>
      </c>
      <c r="DP200" s="493">
        <v>0</v>
      </c>
      <c r="DQ200" s="493">
        <v>0</v>
      </c>
    </row>
    <row r="201" spans="1:168" x14ac:dyDescent="0.25">
      <c r="A201" t="s">
        <v>731</v>
      </c>
      <c r="B201" s="123">
        <v>-56871.817881154631</v>
      </c>
      <c r="C201" s="123">
        <v>-487082.27361508267</v>
      </c>
      <c r="D201" s="123">
        <v>-231091.72785050026</v>
      </c>
      <c r="E201" s="123">
        <v>-242646.31424302529</v>
      </c>
      <c r="F201" s="123">
        <v>-254778.62995517656</v>
      </c>
      <c r="G201" s="123">
        <v>-267517.56145293539</v>
      </c>
      <c r="H201" s="123">
        <v>-280893.43952558213</v>
      </c>
      <c r="I201" s="123">
        <v>-294938.11150186125</v>
      </c>
      <c r="J201" s="123">
        <v>-309685.0170769543</v>
      </c>
      <c r="K201" s="123">
        <v>-325169.26793080202</v>
      </c>
      <c r="L201" s="123">
        <v>-341427.7313273421</v>
      </c>
      <c r="M201" s="123">
        <v>-358499.11789370922</v>
      </c>
      <c r="N201" s="205">
        <v>-93850.699432137888</v>
      </c>
      <c r="O201" s="205">
        <v>-671699.06748561154</v>
      </c>
      <c r="P201" s="205">
        <v>-263842.46785353031</v>
      </c>
      <c r="Q201" s="205">
        <v>-277034.59124620684</v>
      </c>
      <c r="R201" s="205">
        <v>-290886.32080851722</v>
      </c>
      <c r="S201" s="205">
        <v>-305430.63684894302</v>
      </c>
      <c r="T201" s="205">
        <v>-320702.16869139019</v>
      </c>
      <c r="U201" s="205">
        <v>-336737.27712595975</v>
      </c>
      <c r="V201" s="205">
        <v>-353574.14098225767</v>
      </c>
      <c r="W201" s="205">
        <v>-371252.84803137055</v>
      </c>
      <c r="X201" s="205">
        <v>-389815.49043293908</v>
      </c>
      <c r="Y201" s="205">
        <v>-409306.26495458605</v>
      </c>
      <c r="Z201" s="123">
        <v>-68079.073800055688</v>
      </c>
      <c r="AA201" s="123">
        <v>-531015.35874141904</v>
      </c>
      <c r="AB201" s="123">
        <v>-28213.691265714035</v>
      </c>
      <c r="AC201" s="123">
        <v>-29624.375828999735</v>
      </c>
      <c r="AD201" s="123">
        <v>-31105.594620449727</v>
      </c>
      <c r="AE201" s="123">
        <v>-32660.874351472212</v>
      </c>
      <c r="AF201" s="123">
        <v>-34293.918069045823</v>
      </c>
      <c r="AG201" s="123">
        <v>-36008.613972498119</v>
      </c>
      <c r="AH201" s="123">
        <v>-37809.044671123025</v>
      </c>
      <c r="AI201" s="123">
        <v>-39699.496904679174</v>
      </c>
      <c r="AJ201" s="123">
        <v>-41684.471749913137</v>
      </c>
      <c r="AK201" s="123">
        <v>-43768.695337408797</v>
      </c>
      <c r="AL201" s="205">
        <v>-534084.47371231474</v>
      </c>
      <c r="AM201" s="205">
        <v>-804584.15718999354</v>
      </c>
      <c r="AN201" s="205">
        <v>0</v>
      </c>
      <c r="AO201" s="205">
        <v>0</v>
      </c>
      <c r="AP201" s="205">
        <v>0</v>
      </c>
      <c r="AQ201" s="205">
        <v>0</v>
      </c>
      <c r="AR201" s="205">
        <v>0</v>
      </c>
      <c r="AS201" s="205">
        <v>0</v>
      </c>
      <c r="AT201" s="205">
        <v>0</v>
      </c>
      <c r="AU201" s="205">
        <v>0</v>
      </c>
      <c r="AV201" s="205">
        <v>0</v>
      </c>
      <c r="AW201" s="205">
        <v>0</v>
      </c>
      <c r="AX201" s="123">
        <v>-173568.72397298852</v>
      </c>
      <c r="AY201" s="123">
        <v>-604572.11742149072</v>
      </c>
      <c r="AZ201" s="123">
        <v>0</v>
      </c>
      <c r="BA201" s="123">
        <v>0</v>
      </c>
      <c r="BB201" s="123">
        <v>0</v>
      </c>
      <c r="BC201" s="123">
        <v>0</v>
      </c>
      <c r="BD201" s="123">
        <v>0</v>
      </c>
      <c r="BE201" s="123">
        <v>0</v>
      </c>
      <c r="BF201" s="123">
        <v>0</v>
      </c>
      <c r="BG201" s="123">
        <v>0</v>
      </c>
      <c r="BH201" s="123">
        <v>0</v>
      </c>
      <c r="BI201" s="123">
        <v>0</v>
      </c>
      <c r="BJ201" s="205">
        <v>0</v>
      </c>
      <c r="BK201" s="205">
        <v>-442875.64495123667</v>
      </c>
      <c r="BL201" s="205">
        <v>-76737.22835419621</v>
      </c>
      <c r="BM201" s="205">
        <v>-80574.08977190603</v>
      </c>
      <c r="BN201" s="205">
        <v>-84602.794260501338</v>
      </c>
      <c r="BO201" s="205">
        <v>-88832.933973526407</v>
      </c>
      <c r="BP201" s="205">
        <v>-93274.580672202719</v>
      </c>
      <c r="BQ201" s="205">
        <v>-97938.309705812848</v>
      </c>
      <c r="BR201" s="205">
        <v>-102835.2251911035</v>
      </c>
      <c r="BS201" s="205">
        <v>-107976.98645065867</v>
      </c>
      <c r="BT201" s="205">
        <v>-113375.8357731916</v>
      </c>
      <c r="BU201" s="205">
        <v>-119044.62756185117</v>
      </c>
      <c r="BV201" s="123">
        <v>0</v>
      </c>
      <c r="BW201" s="123">
        <v>0</v>
      </c>
      <c r="BX201" s="123">
        <v>0</v>
      </c>
      <c r="BY201" s="123">
        <v>0</v>
      </c>
      <c r="BZ201" s="123">
        <v>0</v>
      </c>
      <c r="CA201" s="123">
        <v>0</v>
      </c>
      <c r="CB201" s="123">
        <v>0</v>
      </c>
      <c r="CC201" s="123">
        <v>0</v>
      </c>
      <c r="CD201" s="123">
        <v>0</v>
      </c>
      <c r="CE201" s="123">
        <v>0</v>
      </c>
      <c r="CF201" s="123">
        <v>0</v>
      </c>
      <c r="CG201" s="123">
        <v>0</v>
      </c>
      <c r="CH201" s="205">
        <v>0</v>
      </c>
      <c r="CI201" s="205">
        <v>0</v>
      </c>
      <c r="CJ201" s="205">
        <v>0</v>
      </c>
      <c r="CK201" s="205">
        <v>0</v>
      </c>
      <c r="CL201" s="205">
        <v>0</v>
      </c>
      <c r="CM201" s="205">
        <v>0</v>
      </c>
      <c r="CN201" s="205">
        <v>0</v>
      </c>
      <c r="CO201" s="205">
        <v>0</v>
      </c>
      <c r="CP201" s="205">
        <v>0</v>
      </c>
      <c r="CQ201" s="205">
        <v>0</v>
      </c>
      <c r="CR201" s="205">
        <v>0</v>
      </c>
      <c r="CS201" s="205">
        <v>0</v>
      </c>
      <c r="CT201" s="123">
        <v>0</v>
      </c>
      <c r="CU201" s="123">
        <v>0</v>
      </c>
      <c r="CV201" s="123">
        <v>0</v>
      </c>
      <c r="CW201" s="123">
        <v>0</v>
      </c>
      <c r="CX201" s="123">
        <v>0</v>
      </c>
      <c r="CY201" s="123">
        <v>0</v>
      </c>
      <c r="CZ201" s="123">
        <v>0</v>
      </c>
      <c r="DA201" s="123">
        <v>0</v>
      </c>
      <c r="DB201" s="123">
        <v>0</v>
      </c>
      <c r="DC201" s="123">
        <v>0</v>
      </c>
      <c r="DD201" s="123">
        <v>0</v>
      </c>
      <c r="DE201" s="123">
        <v>0</v>
      </c>
      <c r="DF201" s="205">
        <v>0</v>
      </c>
      <c r="DG201" s="205">
        <v>0</v>
      </c>
      <c r="DH201" s="205">
        <v>0</v>
      </c>
      <c r="DI201" s="205">
        <v>0</v>
      </c>
      <c r="DJ201" s="205">
        <v>0</v>
      </c>
      <c r="DK201" s="205">
        <v>0</v>
      </c>
      <c r="DL201" s="205">
        <v>0</v>
      </c>
      <c r="DM201" s="205">
        <v>0</v>
      </c>
      <c r="DN201" s="205">
        <v>0</v>
      </c>
      <c r="DO201" s="205">
        <v>0</v>
      </c>
      <c r="DP201" s="205">
        <v>0</v>
      </c>
      <c r="DQ201" s="205">
        <v>0</v>
      </c>
    </row>
    <row r="202" spans="1:168" x14ac:dyDescent="0.25">
      <c r="A202" t="s">
        <v>732</v>
      </c>
      <c r="B202" s="123">
        <v>0</v>
      </c>
      <c r="C202" s="123">
        <v>0</v>
      </c>
      <c r="D202" s="123">
        <v>0</v>
      </c>
      <c r="E202" s="123">
        <v>0</v>
      </c>
      <c r="F202" s="123">
        <v>0</v>
      </c>
      <c r="G202" s="123">
        <v>0</v>
      </c>
      <c r="H202" s="123">
        <v>0</v>
      </c>
      <c r="I202" s="123">
        <v>0</v>
      </c>
      <c r="J202" s="123">
        <v>0</v>
      </c>
      <c r="K202" s="123">
        <v>0</v>
      </c>
      <c r="L202" s="123">
        <v>0</v>
      </c>
      <c r="M202" s="123">
        <v>0</v>
      </c>
      <c r="N202" s="123">
        <v>0</v>
      </c>
      <c r="O202" s="123">
        <v>0</v>
      </c>
      <c r="P202" s="123">
        <v>0</v>
      </c>
      <c r="Q202" s="123">
        <v>0</v>
      </c>
      <c r="R202" s="123">
        <v>0</v>
      </c>
      <c r="S202" s="123">
        <v>0</v>
      </c>
      <c r="T202" s="123">
        <v>0</v>
      </c>
      <c r="U202" s="123">
        <v>0</v>
      </c>
      <c r="V202" s="123">
        <v>0</v>
      </c>
      <c r="W202" s="123">
        <v>0</v>
      </c>
      <c r="X202" s="123">
        <v>0</v>
      </c>
      <c r="Y202" s="123">
        <v>0</v>
      </c>
      <c r="Z202" s="123">
        <v>0</v>
      </c>
      <c r="AA202" s="123">
        <v>0</v>
      </c>
      <c r="AB202" s="123">
        <v>0</v>
      </c>
      <c r="AC202" s="123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3">
        <v>0</v>
      </c>
      <c r="AJ202" s="123">
        <v>0</v>
      </c>
      <c r="AK202" s="123">
        <v>0</v>
      </c>
      <c r="AL202" s="123">
        <v>0</v>
      </c>
      <c r="AM202" s="123">
        <v>0</v>
      </c>
      <c r="AN202" s="123">
        <v>2965362.7443010849</v>
      </c>
      <c r="AO202" s="123">
        <v>3143284.5089591504</v>
      </c>
      <c r="AP202" s="123">
        <v>3331881.5794966994</v>
      </c>
      <c r="AQ202" s="123">
        <v>3531794.4742665011</v>
      </c>
      <c r="AR202" s="123">
        <v>3743702.1427224912</v>
      </c>
      <c r="AS202" s="123">
        <v>3968324.2712858408</v>
      </c>
      <c r="AT202" s="123">
        <v>4206423.7275629919</v>
      </c>
      <c r="AU202" s="123">
        <v>4458809.1512167715</v>
      </c>
      <c r="AV202" s="123">
        <v>4726337.7002897775</v>
      </c>
      <c r="AW202" s="123">
        <v>5009917.9623071635</v>
      </c>
      <c r="AX202" s="123">
        <v>0</v>
      </c>
      <c r="AY202" s="123">
        <v>0</v>
      </c>
      <c r="AZ202" s="123">
        <v>500958.4077177883</v>
      </c>
      <c r="BA202" s="123">
        <v>531015.91218085564</v>
      </c>
      <c r="BB202" s="123">
        <v>562876.86691170698</v>
      </c>
      <c r="BC202" s="123">
        <v>596649.47892640939</v>
      </c>
      <c r="BD202" s="123">
        <v>632448.44766199391</v>
      </c>
      <c r="BE202" s="123">
        <v>670395.35452171357</v>
      </c>
      <c r="BF202" s="123">
        <v>710619.07579301647</v>
      </c>
      <c r="BG202" s="123">
        <v>753256.22034059744</v>
      </c>
      <c r="BH202" s="123">
        <v>798451.59356103325</v>
      </c>
      <c r="BI202" s="123">
        <v>846358.68917469517</v>
      </c>
      <c r="BJ202" s="123">
        <v>0</v>
      </c>
      <c r="BK202" s="123">
        <v>0</v>
      </c>
      <c r="BL202" s="123">
        <v>0</v>
      </c>
      <c r="BM202" s="123">
        <v>0</v>
      </c>
      <c r="BN202" s="123">
        <v>0</v>
      </c>
      <c r="BO202" s="123">
        <v>0</v>
      </c>
      <c r="BP202" s="123">
        <v>0</v>
      </c>
      <c r="BQ202" s="123">
        <v>0</v>
      </c>
      <c r="BR202" s="123">
        <v>0</v>
      </c>
      <c r="BS202" s="123">
        <v>0</v>
      </c>
      <c r="BT202" s="123">
        <v>0</v>
      </c>
      <c r="BU202" s="123">
        <v>0</v>
      </c>
      <c r="BV202" s="123">
        <v>600000</v>
      </c>
      <c r="BW202" s="123">
        <v>636000</v>
      </c>
      <c r="BX202" s="123">
        <v>674160</v>
      </c>
      <c r="BY202" s="123">
        <v>714609.6</v>
      </c>
      <c r="BZ202" s="123">
        <v>757486.17599999998</v>
      </c>
      <c r="CA202" s="123">
        <v>802935.34655999998</v>
      </c>
      <c r="CB202" s="123">
        <v>851111.46735359996</v>
      </c>
      <c r="CC202" s="123">
        <v>902178.15539481596</v>
      </c>
      <c r="CD202" s="123">
        <v>956308.84471850493</v>
      </c>
      <c r="CE202" s="123">
        <v>1013687.3754016153</v>
      </c>
      <c r="CF202" s="123">
        <v>1074508.6179257124</v>
      </c>
      <c r="CG202" s="123">
        <v>1138979.135001255</v>
      </c>
      <c r="CH202" s="123">
        <v>600000</v>
      </c>
      <c r="CI202" s="123">
        <v>636000</v>
      </c>
      <c r="CJ202" s="123">
        <v>674160</v>
      </c>
      <c r="CK202" s="123">
        <v>714609.6</v>
      </c>
      <c r="CL202" s="123">
        <v>757486.17599999998</v>
      </c>
      <c r="CM202" s="123">
        <v>802935.34655999998</v>
      </c>
      <c r="CN202" s="123">
        <v>851111.46735359996</v>
      </c>
      <c r="CO202" s="123">
        <v>902178.15539481596</v>
      </c>
      <c r="CP202" s="123">
        <v>956308.84471850493</v>
      </c>
      <c r="CQ202" s="123">
        <v>1013687.3754016153</v>
      </c>
      <c r="CR202" s="123">
        <v>1074508.6179257124</v>
      </c>
      <c r="CS202" s="123">
        <v>1138979.135001255</v>
      </c>
      <c r="CT202" s="123">
        <v>600000</v>
      </c>
      <c r="CU202" s="123">
        <v>636000</v>
      </c>
      <c r="CV202" s="123">
        <v>674160</v>
      </c>
      <c r="CW202" s="123">
        <v>714609.6</v>
      </c>
      <c r="CX202" s="123">
        <v>757486.17599999998</v>
      </c>
      <c r="CY202" s="123">
        <v>802935.34655999998</v>
      </c>
      <c r="CZ202" s="123">
        <v>851111.46735359996</v>
      </c>
      <c r="DA202" s="123">
        <v>902178.15539481596</v>
      </c>
      <c r="DB202" s="123">
        <v>956308.84471850493</v>
      </c>
      <c r="DC202" s="123">
        <v>1013687.3754016153</v>
      </c>
      <c r="DD202" s="123">
        <v>1074508.6179257124</v>
      </c>
      <c r="DE202" s="123">
        <v>1138979.135001255</v>
      </c>
      <c r="DF202" s="123">
        <v>600000</v>
      </c>
      <c r="DG202" s="123">
        <v>636000</v>
      </c>
      <c r="DH202" s="123">
        <v>674160</v>
      </c>
      <c r="DI202" s="123">
        <v>714609.6</v>
      </c>
      <c r="DJ202" s="123">
        <v>757486.17599999998</v>
      </c>
      <c r="DK202" s="123">
        <v>802935.34655999998</v>
      </c>
      <c r="DL202" s="123">
        <v>851111.46735359996</v>
      </c>
      <c r="DM202" s="123">
        <v>902178.15539481596</v>
      </c>
      <c r="DN202" s="123">
        <v>956308.84471850493</v>
      </c>
      <c r="DO202" s="123">
        <v>1013687.3754016153</v>
      </c>
      <c r="DP202" s="123">
        <v>1074508.6179257124</v>
      </c>
      <c r="DQ202" s="123">
        <v>1138979.135001255</v>
      </c>
    </row>
    <row r="203" spans="1:168" x14ac:dyDescent="0.25">
      <c r="A203" t="s">
        <v>733</v>
      </c>
      <c r="B203" s="123">
        <v>-9674433.5370562617</v>
      </c>
      <c r="C203" s="123">
        <v>-4947401.0199537436</v>
      </c>
      <c r="D203" s="123">
        <v>-231091.72785050026</v>
      </c>
      <c r="E203" s="123">
        <v>-242646.31424302529</v>
      </c>
      <c r="F203" s="123">
        <v>-254778.62995517656</v>
      </c>
      <c r="G203" s="123">
        <v>-267517.56145293539</v>
      </c>
      <c r="H203" s="123">
        <v>-280893.43952558213</v>
      </c>
      <c r="I203" s="123">
        <v>-294938.11150186125</v>
      </c>
      <c r="J203" s="123">
        <v>-309685.0170769543</v>
      </c>
      <c r="K203" s="123">
        <v>-325169.26793080202</v>
      </c>
      <c r="L203" s="123">
        <v>-341427.7313273421</v>
      </c>
      <c r="M203" s="123">
        <v>-358499.11789370922</v>
      </c>
      <c r="N203" s="123">
        <v>-7755533.6686519384</v>
      </c>
      <c r="O203" s="123">
        <v>-7521315.6884186678</v>
      </c>
      <c r="P203" s="123">
        <v>-263842.46785353031</v>
      </c>
      <c r="Q203" s="123">
        <v>-277034.59124620684</v>
      </c>
      <c r="R203" s="123">
        <v>-290886.32080851722</v>
      </c>
      <c r="S203" s="123">
        <v>-305430.63684894302</v>
      </c>
      <c r="T203" s="123">
        <v>-320702.16869139019</v>
      </c>
      <c r="U203" s="123">
        <v>-336737.27712595975</v>
      </c>
      <c r="V203" s="123">
        <v>-353574.14098225767</v>
      </c>
      <c r="W203" s="123">
        <v>-371252.84803137055</v>
      </c>
      <c r="X203" s="123">
        <v>-389815.49043293908</v>
      </c>
      <c r="Y203" s="123">
        <v>-409306.26495458605</v>
      </c>
      <c r="Z203" s="123">
        <v>-9865360.5783608239</v>
      </c>
      <c r="AA203" s="123">
        <v>-698913.24695345678</v>
      </c>
      <c r="AB203" s="123">
        <v>-28213.691265714035</v>
      </c>
      <c r="AC203" s="123">
        <v>-29624.375828999735</v>
      </c>
      <c r="AD203" s="123">
        <v>-31105.594620449727</v>
      </c>
      <c r="AE203" s="123">
        <v>-32660.874351472212</v>
      </c>
      <c r="AF203" s="123">
        <v>-34293.918069045823</v>
      </c>
      <c r="AG203" s="123">
        <v>-36008.613972498119</v>
      </c>
      <c r="AH203" s="123">
        <v>-37809.044671123025</v>
      </c>
      <c r="AI203" s="123">
        <v>-39699.496904679174</v>
      </c>
      <c r="AJ203" s="123">
        <v>-41684.471749913137</v>
      </c>
      <c r="AK203" s="123">
        <v>-43768.695337408797</v>
      </c>
      <c r="AL203" s="123">
        <v>3765099.1286781942</v>
      </c>
      <c r="AM203" s="123">
        <v>35657613.276339889</v>
      </c>
      <c r="AN203" s="123">
        <v>2965362.7443010849</v>
      </c>
      <c r="AO203" s="123">
        <v>3143284.5089591504</v>
      </c>
      <c r="AP203" s="123">
        <v>3331881.5794966994</v>
      </c>
      <c r="AQ203" s="123">
        <v>3531794.4742665011</v>
      </c>
      <c r="AR203" s="123">
        <v>3743702.1427224912</v>
      </c>
      <c r="AS203" s="123">
        <v>3968324.2712858408</v>
      </c>
      <c r="AT203" s="123">
        <v>4206423.7275629919</v>
      </c>
      <c r="AU203" s="123">
        <v>4458809.1512167715</v>
      </c>
      <c r="AV203" s="123">
        <v>4726337.7002897775</v>
      </c>
      <c r="AW203" s="123">
        <v>5009917.9623071635</v>
      </c>
      <c r="AX203" s="123">
        <v>-4840087.8209314859</v>
      </c>
      <c r="AY203" s="123">
        <v>3189394.6162279579</v>
      </c>
      <c r="AZ203" s="123">
        <v>500958.4077177883</v>
      </c>
      <c r="BA203" s="123">
        <v>531015.91218085564</v>
      </c>
      <c r="BB203" s="123">
        <v>562876.86691170698</v>
      </c>
      <c r="BC203" s="123">
        <v>596649.47892640939</v>
      </c>
      <c r="BD203" s="123">
        <v>632448.44766199391</v>
      </c>
      <c r="BE203" s="123">
        <v>670395.35452171357</v>
      </c>
      <c r="BF203" s="123">
        <v>710619.07579301647</v>
      </c>
      <c r="BG203" s="123">
        <v>753256.22034059744</v>
      </c>
      <c r="BH203" s="123">
        <v>798451.59356103325</v>
      </c>
      <c r="BI203" s="123">
        <v>846358.68917469517</v>
      </c>
      <c r="BJ203" s="123">
        <v>-8294665.0917381262</v>
      </c>
      <c r="BK203" s="123">
        <v>-3240079.4753457978</v>
      </c>
      <c r="BL203" s="123">
        <v>-76737.22835419621</v>
      </c>
      <c r="BM203" s="123">
        <v>-80574.08977190603</v>
      </c>
      <c r="BN203" s="123">
        <v>-84602.794260501338</v>
      </c>
      <c r="BO203" s="123">
        <v>-88832.933973526407</v>
      </c>
      <c r="BP203" s="123">
        <v>-93274.580672202719</v>
      </c>
      <c r="BQ203" s="123">
        <v>-97938.309705812848</v>
      </c>
      <c r="BR203" s="123">
        <v>-102835.2251911035</v>
      </c>
      <c r="BS203" s="123">
        <v>-107976.98645065867</v>
      </c>
      <c r="BT203" s="123">
        <v>-113375.8357731916</v>
      </c>
      <c r="BU203" s="123">
        <v>-119044.62756185117</v>
      </c>
      <c r="BV203" s="123">
        <v>600000</v>
      </c>
      <c r="BW203" s="123">
        <v>636000</v>
      </c>
      <c r="BX203" s="123">
        <v>674160</v>
      </c>
      <c r="BY203" s="123">
        <v>714609.6</v>
      </c>
      <c r="BZ203" s="123">
        <v>757486.17599999998</v>
      </c>
      <c r="CA203" s="123">
        <v>802935.34655999998</v>
      </c>
      <c r="CB203" s="123">
        <v>851111.46735359996</v>
      </c>
      <c r="CC203" s="123">
        <v>902178.15539481596</v>
      </c>
      <c r="CD203" s="123">
        <v>956308.84471850493</v>
      </c>
      <c r="CE203" s="123">
        <v>1013687.3754016153</v>
      </c>
      <c r="CF203" s="123">
        <v>1074508.6179257124</v>
      </c>
      <c r="CG203" s="123">
        <v>1138979.135001255</v>
      </c>
      <c r="CH203" s="123">
        <v>600000</v>
      </c>
      <c r="CI203" s="123">
        <v>636000</v>
      </c>
      <c r="CJ203" s="123">
        <v>674160</v>
      </c>
      <c r="CK203" s="123">
        <v>714609.6</v>
      </c>
      <c r="CL203" s="123">
        <v>757486.17599999998</v>
      </c>
      <c r="CM203" s="123">
        <v>802935.34655999998</v>
      </c>
      <c r="CN203" s="123">
        <v>851111.46735359996</v>
      </c>
      <c r="CO203" s="123">
        <v>902178.15539481596</v>
      </c>
      <c r="CP203" s="123">
        <v>956308.84471850493</v>
      </c>
      <c r="CQ203" s="123">
        <v>1013687.3754016153</v>
      </c>
      <c r="CR203" s="123">
        <v>1074508.6179257124</v>
      </c>
      <c r="CS203" s="123">
        <v>1138979.135001255</v>
      </c>
      <c r="CT203" s="123">
        <v>600000</v>
      </c>
      <c r="CU203" s="123">
        <v>636000</v>
      </c>
      <c r="CV203" s="123">
        <v>674160</v>
      </c>
      <c r="CW203" s="123">
        <v>714609.6</v>
      </c>
      <c r="CX203" s="123">
        <v>757486.17599999998</v>
      </c>
      <c r="CY203" s="123">
        <v>802935.34655999998</v>
      </c>
      <c r="CZ203" s="123">
        <v>851111.46735359996</v>
      </c>
      <c r="DA203" s="123">
        <v>902178.15539481596</v>
      </c>
      <c r="DB203" s="123">
        <v>956308.84471850493</v>
      </c>
      <c r="DC203" s="123">
        <v>1013687.3754016153</v>
      </c>
      <c r="DD203" s="123">
        <v>1074508.6179257124</v>
      </c>
      <c r="DE203" s="123">
        <v>1138979.135001255</v>
      </c>
      <c r="DF203" s="123">
        <v>600000</v>
      </c>
      <c r="DG203" s="123">
        <v>636000</v>
      </c>
      <c r="DH203" s="123">
        <v>674160</v>
      </c>
      <c r="DI203" s="123">
        <v>714609.6</v>
      </c>
      <c r="DJ203" s="123">
        <v>757486.17599999998</v>
      </c>
      <c r="DK203" s="123">
        <v>802935.34655999998</v>
      </c>
      <c r="DL203" s="123">
        <v>851111.46735359996</v>
      </c>
      <c r="DM203" s="123">
        <v>902178.15539481596</v>
      </c>
      <c r="DN203" s="123">
        <v>956308.84471850493</v>
      </c>
      <c r="DO203" s="123">
        <v>1013687.3754016153</v>
      </c>
      <c r="DP203" s="123">
        <v>1074508.6179257124</v>
      </c>
      <c r="DQ203" s="123">
        <v>1138979.135001255</v>
      </c>
    </row>
    <row r="204" spans="1:168" x14ac:dyDescent="0.25">
      <c r="A204" s="123" t="s">
        <v>734</v>
      </c>
      <c r="B204" s="123">
        <v>325566.46294373833</v>
      </c>
      <c r="C204" s="123">
        <v>-4621834.5570100052</v>
      </c>
      <c r="D204" s="123">
        <v>-4852926.2848605057</v>
      </c>
      <c r="E204" s="123">
        <v>-5095572.5991035309</v>
      </c>
      <c r="F204" s="123">
        <v>-5350351.2290587071</v>
      </c>
      <c r="G204" s="123">
        <v>-5617868.7905116426</v>
      </c>
      <c r="H204" s="123">
        <v>-5898762.2300372245</v>
      </c>
      <c r="I204" s="123">
        <v>-6193700.3415390858</v>
      </c>
      <c r="J204" s="123">
        <v>-6503385.3586160401</v>
      </c>
      <c r="K204" s="123">
        <v>-6828554.626546842</v>
      </c>
      <c r="L204" s="123">
        <v>-7169982.3578741839</v>
      </c>
      <c r="M204" s="123">
        <v>-7528481.4757678928</v>
      </c>
      <c r="N204" s="123">
        <v>2244466.3313480616</v>
      </c>
      <c r="O204" s="123">
        <v>-5276849.3570706062</v>
      </c>
      <c r="P204" s="123">
        <v>-5540691.8249241365</v>
      </c>
      <c r="Q204" s="123">
        <v>-5817726.4161703438</v>
      </c>
      <c r="R204" s="123">
        <v>-6108612.7369788606</v>
      </c>
      <c r="S204" s="123">
        <v>-6414043.3738278039</v>
      </c>
      <c r="T204" s="123">
        <v>-6734745.5425191941</v>
      </c>
      <c r="U204" s="123">
        <v>-7071482.8196451534</v>
      </c>
      <c r="V204" s="123">
        <v>-7425056.9606274106</v>
      </c>
      <c r="W204" s="123">
        <v>-7796309.8086587815</v>
      </c>
      <c r="X204" s="123">
        <v>-8186125.299091721</v>
      </c>
      <c r="Y204" s="123">
        <v>-8595431.5640463065</v>
      </c>
      <c r="Z204" s="123">
        <v>134639.42163917609</v>
      </c>
      <c r="AA204" s="123">
        <v>-564273.82531428069</v>
      </c>
      <c r="AB204" s="123">
        <v>-592487.5165799947</v>
      </c>
      <c r="AC204" s="123">
        <v>-622111.89240899449</v>
      </c>
      <c r="AD204" s="123">
        <v>-653217.48702944419</v>
      </c>
      <c r="AE204" s="123">
        <v>-685878.36138091644</v>
      </c>
      <c r="AF204" s="123">
        <v>-720172.27944996231</v>
      </c>
      <c r="AG204" s="123">
        <v>-756180.89342246042</v>
      </c>
      <c r="AH204" s="123">
        <v>-793989.93809358345</v>
      </c>
      <c r="AI204" s="123">
        <v>-833689.43499826267</v>
      </c>
      <c r="AJ204" s="123">
        <v>-875373.90674817585</v>
      </c>
      <c r="AK204" s="123">
        <v>-919142.60208558466</v>
      </c>
      <c r="AL204" s="123">
        <v>13765099.128678195</v>
      </c>
      <c r="AM204" s="123">
        <v>49422712.405018084</v>
      </c>
      <c r="AN204" s="123">
        <v>52388075.149319172</v>
      </c>
      <c r="AO204" s="123">
        <v>55531359.658278324</v>
      </c>
      <c r="AP204" s="123">
        <v>58863241.23777502</v>
      </c>
      <c r="AQ204" s="123">
        <v>62395035.71204152</v>
      </c>
      <c r="AR204" s="123">
        <v>66138737.854764014</v>
      </c>
      <c r="AS204" s="123">
        <v>70107062.126049861</v>
      </c>
      <c r="AT204" s="123">
        <v>74313485.853612855</v>
      </c>
      <c r="AU204" s="123">
        <v>78772295.00482963</v>
      </c>
      <c r="AV204" s="123">
        <v>83498632.705119401</v>
      </c>
      <c r="AW204" s="123">
        <v>88508550.667426571</v>
      </c>
      <c r="AX204" s="123">
        <v>5159912.1790685141</v>
      </c>
      <c r="AY204" s="123">
        <v>8349306.7952964716</v>
      </c>
      <c r="AZ204" s="123">
        <v>8850265.2030142602</v>
      </c>
      <c r="BA204" s="123">
        <v>9381281.115195116</v>
      </c>
      <c r="BB204" s="123">
        <v>9944157.9821068235</v>
      </c>
      <c r="BC204" s="123">
        <v>10540807.461033233</v>
      </c>
      <c r="BD204" s="123">
        <v>11173255.908695227</v>
      </c>
      <c r="BE204" s="123">
        <v>11843651.263216941</v>
      </c>
      <c r="BF204" s="123">
        <v>12554270.339009957</v>
      </c>
      <c r="BG204" s="123">
        <v>13307526.559350554</v>
      </c>
      <c r="BH204" s="123">
        <v>14105978.152911587</v>
      </c>
      <c r="BI204" s="123">
        <v>14952336.842086282</v>
      </c>
      <c r="BJ204" s="123">
        <v>1705334.9082618738</v>
      </c>
      <c r="BK204" s="123">
        <v>-1534744.5670839241</v>
      </c>
      <c r="BL204" s="123">
        <v>-1611481.7954381204</v>
      </c>
      <c r="BM204" s="123">
        <v>-1692055.8852100265</v>
      </c>
      <c r="BN204" s="123">
        <v>-1776658.6794705279</v>
      </c>
      <c r="BO204" s="123">
        <v>-1865491.6134440543</v>
      </c>
      <c r="BP204" s="123">
        <v>-1958766.1941162569</v>
      </c>
      <c r="BQ204" s="123">
        <v>-2056704.5038220698</v>
      </c>
      <c r="BR204" s="123">
        <v>-2159539.7290131734</v>
      </c>
      <c r="BS204" s="123">
        <v>-2267516.715463832</v>
      </c>
      <c r="BT204" s="123">
        <v>-2380892.5512370234</v>
      </c>
      <c r="BU204" s="123">
        <v>-2499937.1787988748</v>
      </c>
      <c r="BV204" s="123">
        <v>10600000</v>
      </c>
      <c r="BW204" s="123">
        <v>11236000</v>
      </c>
      <c r="BX204" s="123">
        <v>11910160</v>
      </c>
      <c r="BY204" s="123">
        <v>12624769.6</v>
      </c>
      <c r="BZ204" s="123">
        <v>13382255.776000001</v>
      </c>
      <c r="CA204" s="123">
        <v>14185191.12256</v>
      </c>
      <c r="CB204" s="123">
        <v>15036302.589913599</v>
      </c>
      <c r="CC204" s="123">
        <v>15938480.745308416</v>
      </c>
      <c r="CD204" s="123">
        <v>16894789.590026923</v>
      </c>
      <c r="CE204" s="123">
        <v>17908476.965428539</v>
      </c>
      <c r="CF204" s="123">
        <v>18982985.58335425</v>
      </c>
      <c r="CG204" s="123">
        <v>20121964.718355503</v>
      </c>
      <c r="CH204" s="123">
        <v>10600000</v>
      </c>
      <c r="CI204" s="123">
        <v>11236000</v>
      </c>
      <c r="CJ204" s="123">
        <v>11910160</v>
      </c>
      <c r="CK204" s="123">
        <v>12624769.6</v>
      </c>
      <c r="CL204" s="123">
        <v>13382255.776000001</v>
      </c>
      <c r="CM204" s="123">
        <v>14185191.12256</v>
      </c>
      <c r="CN204" s="123">
        <v>15036302.589913599</v>
      </c>
      <c r="CO204" s="123">
        <v>15938480.745308416</v>
      </c>
      <c r="CP204" s="123">
        <v>16894789.590026923</v>
      </c>
      <c r="CQ204" s="123">
        <v>17908476.965428539</v>
      </c>
      <c r="CR204" s="123">
        <v>18982985.58335425</v>
      </c>
      <c r="CS204" s="123">
        <v>20121964.718355503</v>
      </c>
      <c r="CT204" s="123">
        <v>10600000</v>
      </c>
      <c r="CU204" s="123">
        <v>11236000</v>
      </c>
      <c r="CV204" s="123">
        <v>11910160</v>
      </c>
      <c r="CW204" s="123">
        <v>12624769.6</v>
      </c>
      <c r="CX204" s="123">
        <v>13382255.776000001</v>
      </c>
      <c r="CY204" s="123">
        <v>14185191.12256</v>
      </c>
      <c r="CZ204" s="123">
        <v>15036302.589913599</v>
      </c>
      <c r="DA204" s="123">
        <v>15938480.745308416</v>
      </c>
      <c r="DB204" s="123">
        <v>16894789.590026923</v>
      </c>
      <c r="DC204" s="123">
        <v>17908476.965428539</v>
      </c>
      <c r="DD204" s="123">
        <v>18982985.58335425</v>
      </c>
      <c r="DE204" s="123">
        <v>20121964.718355503</v>
      </c>
      <c r="DF204" s="123">
        <v>10600000</v>
      </c>
      <c r="DG204" s="123">
        <v>11236000</v>
      </c>
      <c r="DH204" s="123">
        <v>11910160</v>
      </c>
      <c r="DI204" s="123">
        <v>12624769.6</v>
      </c>
      <c r="DJ204" s="123">
        <v>13382255.776000001</v>
      </c>
      <c r="DK204" s="123">
        <v>14185191.12256</v>
      </c>
      <c r="DL204" s="123">
        <v>15036302.589913599</v>
      </c>
      <c r="DM204" s="123">
        <v>15938480.745308416</v>
      </c>
      <c r="DN204" s="123">
        <v>16894789.590026923</v>
      </c>
      <c r="DO204" s="123">
        <v>17908476.965428539</v>
      </c>
      <c r="DP204" s="123">
        <v>18982985.58335425</v>
      </c>
      <c r="DQ204" s="123">
        <v>20121964.718355503</v>
      </c>
      <c r="DR204" s="123"/>
      <c r="DS204" s="123"/>
      <c r="DT204" s="123"/>
      <c r="DU204" s="123"/>
      <c r="DV204" s="123"/>
      <c r="DW204" s="123"/>
      <c r="DX204" s="123"/>
      <c r="DY204" s="123"/>
      <c r="DZ204" s="123"/>
      <c r="EA204" s="123"/>
      <c r="EB204" s="123"/>
      <c r="EC204" s="123"/>
      <c r="ED204" s="123"/>
      <c r="EE204" s="123"/>
      <c r="EF204" s="123"/>
      <c r="EG204" s="123"/>
      <c r="EH204" s="123"/>
      <c r="EI204" s="123"/>
      <c r="EJ204" s="123"/>
      <c r="EK204" s="123"/>
      <c r="EL204" s="123"/>
      <c r="EM204" s="123"/>
      <c r="EN204" s="123"/>
      <c r="EO204" s="123"/>
      <c r="EP204" s="123"/>
      <c r="EQ204" s="123"/>
      <c r="ER204" s="123"/>
      <c r="ES204" s="123"/>
      <c r="ET204" s="123"/>
      <c r="EU204" s="123"/>
      <c r="EV204" s="123"/>
      <c r="EW204" s="123"/>
      <c r="EX204" s="123"/>
      <c r="EY204" s="123"/>
      <c r="EZ204" s="123"/>
      <c r="FA204" s="123"/>
      <c r="FB204" s="123"/>
      <c r="FC204" s="123"/>
      <c r="FD204" s="123"/>
      <c r="FE204" s="123"/>
      <c r="FF204" s="123"/>
      <c r="FG204" s="123"/>
      <c r="FH204" s="123"/>
      <c r="FI204" s="123"/>
      <c r="FJ204" s="123"/>
      <c r="FK204" s="123"/>
      <c r="FL204" s="123"/>
    </row>
    <row r="205" spans="1:168" x14ac:dyDescent="0.25">
      <c r="A205" s="123" t="s">
        <v>735</v>
      </c>
      <c r="B205" s="208">
        <v>-0.86864097144173857</v>
      </c>
      <c r="C205" s="208">
        <v>-0.49143705842059926</v>
      </c>
      <c r="D205" s="208" t="s">
        <v>12</v>
      </c>
      <c r="E205" s="208" t="s">
        <v>12</v>
      </c>
      <c r="F205" s="208" t="s">
        <v>12</v>
      </c>
      <c r="G205" s="208" t="s">
        <v>12</v>
      </c>
      <c r="H205" s="208" t="s">
        <v>12</v>
      </c>
      <c r="I205" s="208" t="s">
        <v>12</v>
      </c>
      <c r="J205" s="208" t="s">
        <v>12</v>
      </c>
      <c r="K205" s="208" t="s">
        <v>12</v>
      </c>
      <c r="L205" s="208" t="s">
        <v>12</v>
      </c>
      <c r="M205" s="208" t="s">
        <v>12</v>
      </c>
      <c r="N205" s="208">
        <v>-0.6529868261558055</v>
      </c>
      <c r="O205" s="208">
        <v>-0.47972323800298711</v>
      </c>
      <c r="P205" s="208" t="s">
        <v>12</v>
      </c>
      <c r="Q205" s="208" t="s">
        <v>12</v>
      </c>
      <c r="R205" s="208" t="s">
        <v>12</v>
      </c>
      <c r="S205" s="208" t="s">
        <v>12</v>
      </c>
      <c r="T205" s="208" t="s">
        <v>12</v>
      </c>
      <c r="U205" s="208" t="s">
        <v>12</v>
      </c>
      <c r="V205" s="208" t="s">
        <v>12</v>
      </c>
      <c r="W205" s="208" t="s">
        <v>12</v>
      </c>
      <c r="X205" s="208" t="s">
        <v>12</v>
      </c>
      <c r="Y205" s="208" t="s">
        <v>12</v>
      </c>
      <c r="Z205" s="208">
        <v>-0.86830874726368568</v>
      </c>
      <c r="AA205" s="208">
        <v>-6.4985282882112444E-2</v>
      </c>
      <c r="AB205" s="208" t="s">
        <v>12</v>
      </c>
      <c r="AC205" s="208" t="s">
        <v>12</v>
      </c>
      <c r="AD205" s="208" t="s">
        <v>12</v>
      </c>
      <c r="AE205" s="208" t="s">
        <v>12</v>
      </c>
      <c r="AF205" s="208" t="s">
        <v>12</v>
      </c>
      <c r="AG205" s="208" t="s">
        <v>12</v>
      </c>
      <c r="AH205" s="208" t="s">
        <v>12</v>
      </c>
      <c r="AI205" s="208" t="s">
        <v>12</v>
      </c>
      <c r="AJ205" s="208" t="s">
        <v>12</v>
      </c>
      <c r="AK205" s="208" t="s">
        <v>12</v>
      </c>
      <c r="AL205" s="208">
        <v>0.18204988201600519</v>
      </c>
      <c r="AM205" s="208">
        <v>1.1942885522934941</v>
      </c>
      <c r="AN205" s="208" t="s">
        <v>12</v>
      </c>
      <c r="AO205" s="208" t="s">
        <v>12</v>
      </c>
      <c r="AP205" s="208" t="s">
        <v>12</v>
      </c>
      <c r="AQ205" s="208" t="s">
        <v>12</v>
      </c>
      <c r="AR205" s="208" t="s">
        <v>12</v>
      </c>
      <c r="AS205" s="208" t="s">
        <v>12</v>
      </c>
      <c r="AT205" s="208" t="s">
        <v>12</v>
      </c>
      <c r="AU205" s="208" t="s">
        <v>12</v>
      </c>
      <c r="AV205" s="208" t="s">
        <v>12</v>
      </c>
      <c r="AW205" s="208" t="s">
        <v>12</v>
      </c>
      <c r="AX205" s="208">
        <v>-0.35928685883621753</v>
      </c>
      <c r="AY205" s="208">
        <v>0.18487792428960428</v>
      </c>
      <c r="AZ205" s="208" t="s">
        <v>12</v>
      </c>
      <c r="BA205" s="208" t="s">
        <v>12</v>
      </c>
      <c r="BB205" s="208" t="s">
        <v>12</v>
      </c>
      <c r="BC205" s="208" t="s">
        <v>12</v>
      </c>
      <c r="BD205" s="208" t="s">
        <v>12</v>
      </c>
      <c r="BE205" s="208" t="s">
        <v>12</v>
      </c>
      <c r="BF205" s="208" t="s">
        <v>12</v>
      </c>
      <c r="BG205" s="208" t="s">
        <v>12</v>
      </c>
      <c r="BH205" s="208" t="s">
        <v>12</v>
      </c>
      <c r="BI205" s="208" t="s">
        <v>12</v>
      </c>
      <c r="BJ205" s="208">
        <v>-0.9136649656572513</v>
      </c>
      <c r="BK205" s="208">
        <v>-0.30674298583670617</v>
      </c>
      <c r="BL205" s="208" t="s">
        <v>12</v>
      </c>
      <c r="BM205" s="208" t="s">
        <v>12</v>
      </c>
      <c r="BN205" s="208" t="s">
        <v>12</v>
      </c>
      <c r="BO205" s="208" t="s">
        <v>12</v>
      </c>
      <c r="BP205" s="208" t="s">
        <v>12</v>
      </c>
      <c r="BQ205" s="208" t="s">
        <v>12</v>
      </c>
      <c r="BR205" s="208" t="s">
        <v>12</v>
      </c>
      <c r="BS205" s="208" t="s">
        <v>12</v>
      </c>
      <c r="BT205" s="208" t="s">
        <v>12</v>
      </c>
      <c r="BU205" s="208" t="s">
        <v>12</v>
      </c>
      <c r="BV205" s="208" t="s">
        <v>12</v>
      </c>
      <c r="BW205" s="208" t="s">
        <v>12</v>
      </c>
      <c r="BX205" s="208" t="s">
        <v>12</v>
      </c>
      <c r="BY205" s="208" t="s">
        <v>12</v>
      </c>
      <c r="BZ205" s="208" t="s">
        <v>12</v>
      </c>
      <c r="CA205" s="208" t="s">
        <v>12</v>
      </c>
      <c r="CB205" s="208" t="s">
        <v>12</v>
      </c>
      <c r="CC205" s="208" t="s">
        <v>12</v>
      </c>
      <c r="CD205" s="208" t="s">
        <v>12</v>
      </c>
      <c r="CE205" s="208" t="s">
        <v>12</v>
      </c>
      <c r="CF205" s="208" t="s">
        <v>12</v>
      </c>
      <c r="CG205" s="208" t="s">
        <v>12</v>
      </c>
      <c r="CH205" s="208" t="s">
        <v>12</v>
      </c>
      <c r="CI205" s="208" t="s">
        <v>12</v>
      </c>
      <c r="CJ205" s="208" t="s">
        <v>12</v>
      </c>
      <c r="CK205" s="208" t="s">
        <v>12</v>
      </c>
      <c r="CL205" s="208" t="s">
        <v>12</v>
      </c>
      <c r="CM205" s="208" t="s">
        <v>12</v>
      </c>
      <c r="CN205" s="208" t="s">
        <v>12</v>
      </c>
      <c r="CO205" s="208" t="s">
        <v>12</v>
      </c>
      <c r="CP205" s="208" t="s">
        <v>12</v>
      </c>
      <c r="CQ205" s="208" t="s">
        <v>12</v>
      </c>
      <c r="CR205" s="208" t="s">
        <v>12</v>
      </c>
      <c r="CS205" s="208" t="s">
        <v>12</v>
      </c>
      <c r="CT205" s="208" t="s">
        <v>12</v>
      </c>
      <c r="CU205" s="208" t="s">
        <v>12</v>
      </c>
      <c r="CV205" s="208" t="s">
        <v>12</v>
      </c>
      <c r="CW205" s="208" t="s">
        <v>12</v>
      </c>
      <c r="CX205" s="208" t="s">
        <v>12</v>
      </c>
      <c r="CY205" s="208" t="s">
        <v>12</v>
      </c>
      <c r="CZ205" s="208" t="s">
        <v>12</v>
      </c>
      <c r="DA205" s="208" t="s">
        <v>12</v>
      </c>
      <c r="DB205" s="208" t="s">
        <v>12</v>
      </c>
      <c r="DC205" s="208" t="s">
        <v>12</v>
      </c>
      <c r="DD205" s="208" t="s">
        <v>12</v>
      </c>
      <c r="DE205" s="208" t="s">
        <v>12</v>
      </c>
      <c r="DF205" s="208" t="s">
        <v>12</v>
      </c>
      <c r="DG205" s="208" t="s">
        <v>12</v>
      </c>
      <c r="DH205" s="208" t="s">
        <v>12</v>
      </c>
      <c r="DI205" s="208" t="s">
        <v>12</v>
      </c>
      <c r="DJ205" s="208" t="s">
        <v>12</v>
      </c>
      <c r="DK205" s="208" t="s">
        <v>12</v>
      </c>
      <c r="DL205" s="208" t="s">
        <v>12</v>
      </c>
      <c r="DM205" s="208" t="s">
        <v>12</v>
      </c>
      <c r="DN205" s="208" t="s">
        <v>12</v>
      </c>
      <c r="DO205" s="208" t="s">
        <v>12</v>
      </c>
      <c r="DP205" s="208" t="s">
        <v>12</v>
      </c>
      <c r="DQ205" s="208" t="s">
        <v>12</v>
      </c>
      <c r="DR205" s="123"/>
      <c r="DS205" s="123"/>
      <c r="DT205" s="123"/>
      <c r="DU205" s="123"/>
      <c r="DV205" s="123"/>
      <c r="DW205" s="123"/>
      <c r="DX205" s="123"/>
      <c r="DY205" s="123"/>
      <c r="DZ205" s="123"/>
      <c r="EA205" s="123"/>
      <c r="EB205" s="123"/>
      <c r="EC205" s="123"/>
      <c r="ED205" s="123"/>
      <c r="EE205" s="123"/>
      <c r="EF205" s="123"/>
      <c r="EG205" s="123"/>
      <c r="EH205" s="123"/>
      <c r="EI205" s="123"/>
      <c r="EJ205" s="123"/>
      <c r="EK205" s="123"/>
      <c r="EL205" s="123"/>
      <c r="EM205" s="123"/>
      <c r="EN205" s="123"/>
      <c r="EO205" s="123"/>
      <c r="EP205" s="123"/>
      <c r="EQ205" s="123"/>
      <c r="ER205" s="123"/>
      <c r="ES205" s="123"/>
      <c r="ET205" s="123"/>
      <c r="EU205" s="123"/>
      <c r="EV205" s="123"/>
      <c r="EW205" s="123"/>
      <c r="EX205" s="123"/>
      <c r="EY205" s="123"/>
      <c r="EZ205" s="123"/>
      <c r="FA205" s="123"/>
      <c r="FB205" s="123"/>
      <c r="FC205" s="123"/>
      <c r="FD205" s="123"/>
      <c r="FE205" s="123"/>
      <c r="FF205" s="123"/>
      <c r="FG205" s="123"/>
      <c r="FH205" s="123"/>
      <c r="FI205" s="123"/>
      <c r="FJ205" s="123"/>
      <c r="FK205" s="123"/>
      <c r="FL205" s="123"/>
    </row>
    <row r="206" spans="1:168" x14ac:dyDescent="0.25">
      <c r="A206" s="123" t="s">
        <v>736</v>
      </c>
      <c r="B206" s="208">
        <v>-0.79852031367025467</v>
      </c>
      <c r="C206" s="208">
        <v>-0.1673006105776203</v>
      </c>
      <c r="D206" s="208" t="s">
        <v>12</v>
      </c>
      <c r="E206" s="208" t="s">
        <v>12</v>
      </c>
      <c r="F206" s="208" t="s">
        <v>12</v>
      </c>
      <c r="G206" s="208" t="s">
        <v>12</v>
      </c>
      <c r="H206" s="208" t="s">
        <v>12</v>
      </c>
      <c r="I206" s="208" t="s">
        <v>12</v>
      </c>
      <c r="J206" s="208" t="s">
        <v>12</v>
      </c>
      <c r="K206" s="208" t="s">
        <v>12</v>
      </c>
      <c r="L206" s="208" t="s">
        <v>12</v>
      </c>
      <c r="M206" s="208" t="s">
        <v>12</v>
      </c>
      <c r="N206" s="208">
        <v>-0.47205655186302653</v>
      </c>
      <c r="O206" s="208">
        <v>-0.17736197166368686</v>
      </c>
      <c r="P206" s="208" t="s">
        <v>12</v>
      </c>
      <c r="Q206" s="208" t="s">
        <v>12</v>
      </c>
      <c r="R206" s="208" t="s">
        <v>12</v>
      </c>
      <c r="S206" s="208" t="s">
        <v>12</v>
      </c>
      <c r="T206" s="208" t="s">
        <v>12</v>
      </c>
      <c r="U206" s="208" t="s">
        <v>12</v>
      </c>
      <c r="V206" s="208" t="s">
        <v>12</v>
      </c>
      <c r="W206" s="208" t="s">
        <v>12</v>
      </c>
      <c r="X206" s="208" t="s">
        <v>12</v>
      </c>
      <c r="Y206" s="208" t="s">
        <v>12</v>
      </c>
      <c r="Z206" s="208">
        <v>-0.99952367497224037</v>
      </c>
      <c r="AA206" s="208">
        <v>-9.9184005173756813E-3</v>
      </c>
      <c r="AB206" s="208" t="s">
        <v>12</v>
      </c>
      <c r="AC206" s="208" t="s">
        <v>12</v>
      </c>
      <c r="AD206" s="208" t="s">
        <v>12</v>
      </c>
      <c r="AE206" s="208" t="s">
        <v>12</v>
      </c>
      <c r="AF206" s="208" t="s">
        <v>12</v>
      </c>
      <c r="AG206" s="208" t="s">
        <v>12</v>
      </c>
      <c r="AH206" s="208" t="s">
        <v>12</v>
      </c>
      <c r="AI206" s="208" t="s">
        <v>12</v>
      </c>
      <c r="AJ206" s="208" t="s">
        <v>12</v>
      </c>
      <c r="AK206" s="208" t="s">
        <v>12</v>
      </c>
      <c r="AL206" s="208">
        <v>4.2820068064507937E-2</v>
      </c>
      <c r="AM206" s="208">
        <v>0.17754561506593097</v>
      </c>
      <c r="AN206" s="208" t="s">
        <v>12</v>
      </c>
      <c r="AO206" s="208" t="s">
        <v>12</v>
      </c>
      <c r="AP206" s="208" t="s">
        <v>12</v>
      </c>
      <c r="AQ206" s="208" t="s">
        <v>12</v>
      </c>
      <c r="AR206" s="208" t="s">
        <v>12</v>
      </c>
      <c r="AS206" s="208" t="s">
        <v>12</v>
      </c>
      <c r="AT206" s="208" t="s">
        <v>12</v>
      </c>
      <c r="AU206" s="208" t="s">
        <v>12</v>
      </c>
      <c r="AV206" s="208" t="s">
        <v>12</v>
      </c>
      <c r="AW206" s="208" t="s">
        <v>12</v>
      </c>
      <c r="AX206" s="208">
        <v>-0.12636766720232251</v>
      </c>
      <c r="AY206" s="208">
        <v>3.4333338601887572E-2</v>
      </c>
      <c r="AZ206" s="208" t="s">
        <v>12</v>
      </c>
      <c r="BA206" s="208" t="s">
        <v>12</v>
      </c>
      <c r="BB206" s="208" t="s">
        <v>12</v>
      </c>
      <c r="BC206" s="208" t="s">
        <v>12</v>
      </c>
      <c r="BD206" s="208" t="s">
        <v>12</v>
      </c>
      <c r="BE206" s="208" t="s">
        <v>12</v>
      </c>
      <c r="BF206" s="208" t="s">
        <v>12</v>
      </c>
      <c r="BG206" s="208" t="s">
        <v>12</v>
      </c>
      <c r="BH206" s="208" t="s">
        <v>12</v>
      </c>
      <c r="BI206" s="208" t="s">
        <v>12</v>
      </c>
      <c r="BJ206" s="208">
        <v>-0.9833603806363298</v>
      </c>
      <c r="BK206" s="208">
        <v>-9.1119082141996557E-2</v>
      </c>
      <c r="BL206" s="208" t="s">
        <v>12</v>
      </c>
      <c r="BM206" s="208" t="s">
        <v>12</v>
      </c>
      <c r="BN206" s="208" t="s">
        <v>12</v>
      </c>
      <c r="BO206" s="208" t="s">
        <v>12</v>
      </c>
      <c r="BP206" s="208" t="s">
        <v>12</v>
      </c>
      <c r="BQ206" s="208" t="s">
        <v>12</v>
      </c>
      <c r="BR206" s="208" t="s">
        <v>12</v>
      </c>
      <c r="BS206" s="208" t="s">
        <v>12</v>
      </c>
      <c r="BT206" s="208" t="s">
        <v>12</v>
      </c>
      <c r="BU206" s="208" t="s">
        <v>12</v>
      </c>
      <c r="BV206" s="208" t="s">
        <v>12</v>
      </c>
      <c r="BW206" s="208" t="s">
        <v>12</v>
      </c>
      <c r="BX206" s="208" t="s">
        <v>12</v>
      </c>
      <c r="BY206" s="208" t="s">
        <v>12</v>
      </c>
      <c r="BZ206" s="208" t="s">
        <v>12</v>
      </c>
      <c r="CA206" s="208" t="s">
        <v>12</v>
      </c>
      <c r="CB206" s="208" t="s">
        <v>12</v>
      </c>
      <c r="CC206" s="208" t="s">
        <v>12</v>
      </c>
      <c r="CD206" s="208" t="s">
        <v>12</v>
      </c>
      <c r="CE206" s="208" t="s">
        <v>12</v>
      </c>
      <c r="CF206" s="208" t="s">
        <v>12</v>
      </c>
      <c r="CG206" s="208" t="s">
        <v>12</v>
      </c>
      <c r="CH206" s="208" t="s">
        <v>12</v>
      </c>
      <c r="CI206" s="208" t="s">
        <v>12</v>
      </c>
      <c r="CJ206" s="208" t="s">
        <v>12</v>
      </c>
      <c r="CK206" s="208" t="s">
        <v>12</v>
      </c>
      <c r="CL206" s="208" t="s">
        <v>12</v>
      </c>
      <c r="CM206" s="208" t="s">
        <v>12</v>
      </c>
      <c r="CN206" s="208" t="s">
        <v>12</v>
      </c>
      <c r="CO206" s="208" t="s">
        <v>12</v>
      </c>
      <c r="CP206" s="208" t="s">
        <v>12</v>
      </c>
      <c r="CQ206" s="208" t="s">
        <v>12</v>
      </c>
      <c r="CR206" s="208" t="s">
        <v>12</v>
      </c>
      <c r="CS206" s="208" t="s">
        <v>12</v>
      </c>
      <c r="CT206" s="208" t="s">
        <v>12</v>
      </c>
      <c r="CU206" s="208" t="s">
        <v>12</v>
      </c>
      <c r="CV206" s="208" t="s">
        <v>12</v>
      </c>
      <c r="CW206" s="208" t="s">
        <v>12</v>
      </c>
      <c r="CX206" s="208" t="s">
        <v>12</v>
      </c>
      <c r="CY206" s="208" t="s">
        <v>12</v>
      </c>
      <c r="CZ206" s="208" t="s">
        <v>12</v>
      </c>
      <c r="DA206" s="208" t="s">
        <v>12</v>
      </c>
      <c r="DB206" s="208" t="s">
        <v>12</v>
      </c>
      <c r="DC206" s="208" t="s">
        <v>12</v>
      </c>
      <c r="DD206" s="208" t="s">
        <v>12</v>
      </c>
      <c r="DE206" s="208" t="s">
        <v>12</v>
      </c>
      <c r="DF206" s="208" t="s">
        <v>12</v>
      </c>
      <c r="DG206" s="208" t="s">
        <v>12</v>
      </c>
      <c r="DH206" s="208" t="s">
        <v>12</v>
      </c>
      <c r="DI206" s="208" t="s">
        <v>12</v>
      </c>
      <c r="DJ206" s="208" t="s">
        <v>12</v>
      </c>
      <c r="DK206" s="208" t="s">
        <v>12</v>
      </c>
      <c r="DL206" s="208" t="s">
        <v>12</v>
      </c>
      <c r="DM206" s="208" t="s">
        <v>12</v>
      </c>
      <c r="DN206" s="208" t="s">
        <v>12</v>
      </c>
      <c r="DO206" s="208" t="s">
        <v>12</v>
      </c>
      <c r="DP206" s="208" t="s">
        <v>12</v>
      </c>
      <c r="DQ206" s="208" t="s">
        <v>12</v>
      </c>
      <c r="DR206" s="123"/>
      <c r="DS206" s="123"/>
      <c r="DT206" s="123"/>
      <c r="DU206" s="123"/>
      <c r="DV206" s="123"/>
      <c r="DW206" s="123"/>
      <c r="DX206" s="123"/>
      <c r="DY206" s="123"/>
      <c r="DZ206" s="123"/>
      <c r="EA206" s="123"/>
      <c r="EB206" s="123"/>
      <c r="EC206" s="123"/>
      <c r="ED206" s="123"/>
      <c r="EE206" s="123"/>
      <c r="EF206" s="123"/>
      <c r="EG206" s="123"/>
      <c r="EH206" s="123"/>
      <c r="EI206" s="123"/>
      <c r="EJ206" s="123"/>
      <c r="EK206" s="123"/>
      <c r="EL206" s="123"/>
      <c r="EM206" s="123"/>
      <c r="EN206" s="123"/>
      <c r="EO206" s="123"/>
      <c r="EP206" s="123"/>
      <c r="EQ206" s="123"/>
      <c r="ER206" s="123"/>
      <c r="ES206" s="123"/>
      <c r="ET206" s="123"/>
      <c r="EU206" s="123"/>
      <c r="EV206" s="123"/>
      <c r="EW206" s="123"/>
      <c r="EX206" s="123"/>
      <c r="EY206" s="123"/>
      <c r="EZ206" s="123"/>
      <c r="FA206" s="123"/>
      <c r="FB206" s="123"/>
      <c r="FC206" s="123"/>
      <c r="FD206" s="123"/>
      <c r="FE206" s="123"/>
      <c r="FF206" s="123"/>
      <c r="FG206" s="123"/>
      <c r="FH206" s="123"/>
      <c r="FI206" s="123"/>
      <c r="FJ206" s="123"/>
      <c r="FK206" s="123"/>
      <c r="FL206" s="123"/>
    </row>
    <row r="207" spans="1:168" x14ac:dyDescent="0.25">
      <c r="A207" s="209" t="s">
        <v>737</v>
      </c>
      <c r="B207" s="216">
        <v>1</v>
      </c>
      <c r="C207" s="216">
        <v>2</v>
      </c>
      <c r="D207" s="216">
        <v>3</v>
      </c>
      <c r="E207" s="216">
        <v>4</v>
      </c>
      <c r="F207" s="216">
        <v>5</v>
      </c>
      <c r="G207" s="216">
        <v>6</v>
      </c>
      <c r="H207" s="216">
        <v>7</v>
      </c>
      <c r="I207" s="216">
        <v>8</v>
      </c>
      <c r="J207" s="216">
        <v>9</v>
      </c>
      <c r="K207" s="216">
        <v>10</v>
      </c>
      <c r="L207" s="216">
        <v>11</v>
      </c>
      <c r="M207" s="216">
        <v>12</v>
      </c>
      <c r="N207" s="216">
        <v>13</v>
      </c>
      <c r="O207" s="216">
        <v>14</v>
      </c>
      <c r="P207" s="216">
        <v>15</v>
      </c>
      <c r="Q207" s="216">
        <v>16</v>
      </c>
      <c r="R207" s="216">
        <v>17</v>
      </c>
      <c r="S207" s="216">
        <v>18</v>
      </c>
      <c r="T207" s="216">
        <v>19</v>
      </c>
      <c r="U207" s="216">
        <v>20</v>
      </c>
      <c r="V207" s="216">
        <v>21</v>
      </c>
      <c r="W207" s="216">
        <v>22</v>
      </c>
      <c r="X207" s="216">
        <v>23</v>
      </c>
      <c r="Y207" s="216">
        <v>24</v>
      </c>
      <c r="Z207" s="216">
        <v>25</v>
      </c>
      <c r="AA207" s="216">
        <v>26</v>
      </c>
      <c r="AB207" s="216">
        <v>27</v>
      </c>
      <c r="AC207" s="216">
        <v>28</v>
      </c>
      <c r="AD207" s="216">
        <v>29</v>
      </c>
      <c r="AE207" s="216">
        <v>30</v>
      </c>
      <c r="AF207" s="216">
        <v>31</v>
      </c>
      <c r="AG207" s="216">
        <v>32</v>
      </c>
      <c r="AH207" s="216">
        <v>33</v>
      </c>
      <c r="AI207" s="216">
        <v>34</v>
      </c>
      <c r="AJ207" s="216">
        <v>35</v>
      </c>
      <c r="AK207" s="216">
        <v>36</v>
      </c>
      <c r="AL207" s="216">
        <v>37</v>
      </c>
      <c r="AM207" s="216">
        <v>38</v>
      </c>
      <c r="AN207" s="216">
        <v>39</v>
      </c>
      <c r="AO207" s="216">
        <v>40</v>
      </c>
      <c r="AP207" s="216">
        <v>41</v>
      </c>
      <c r="AQ207" s="216">
        <v>42</v>
      </c>
      <c r="AR207" s="216">
        <v>43</v>
      </c>
      <c r="AS207" s="216">
        <v>44</v>
      </c>
      <c r="AT207" s="216">
        <v>45</v>
      </c>
      <c r="AU207" s="216">
        <v>46</v>
      </c>
      <c r="AV207" s="216">
        <v>47</v>
      </c>
      <c r="AW207" s="216">
        <v>48</v>
      </c>
      <c r="AX207" s="216">
        <v>49</v>
      </c>
      <c r="AY207" s="216">
        <v>50</v>
      </c>
      <c r="AZ207" s="216">
        <v>51</v>
      </c>
      <c r="BA207" s="216">
        <v>52</v>
      </c>
      <c r="BB207" s="216">
        <v>53</v>
      </c>
      <c r="BC207" s="216">
        <v>54</v>
      </c>
      <c r="BD207" s="216">
        <v>55</v>
      </c>
      <c r="BE207" s="216">
        <v>56</v>
      </c>
      <c r="BF207" s="216">
        <v>57</v>
      </c>
      <c r="BG207" s="216">
        <v>58</v>
      </c>
      <c r="BH207" s="216">
        <v>59</v>
      </c>
      <c r="BI207" s="216">
        <v>60</v>
      </c>
      <c r="BJ207" s="216">
        <v>61</v>
      </c>
      <c r="BK207" s="216">
        <v>62</v>
      </c>
      <c r="BL207" s="216">
        <v>63</v>
      </c>
      <c r="BM207" s="216">
        <v>64</v>
      </c>
      <c r="BN207" s="216">
        <v>65</v>
      </c>
      <c r="BO207" s="216">
        <v>66</v>
      </c>
      <c r="BP207" s="216">
        <v>67</v>
      </c>
      <c r="BQ207" s="216">
        <v>68</v>
      </c>
      <c r="BR207" s="216">
        <v>69</v>
      </c>
      <c r="BS207" s="216">
        <v>70</v>
      </c>
      <c r="BT207" s="216">
        <v>71</v>
      </c>
      <c r="BU207" s="216">
        <v>72</v>
      </c>
      <c r="BV207" s="216">
        <v>73</v>
      </c>
      <c r="BW207" s="216">
        <v>74</v>
      </c>
      <c r="BX207" s="216">
        <v>75</v>
      </c>
      <c r="BY207" s="216">
        <v>76</v>
      </c>
      <c r="BZ207" s="216">
        <v>77</v>
      </c>
      <c r="CA207" s="216">
        <v>78</v>
      </c>
      <c r="CB207" s="216">
        <v>79</v>
      </c>
      <c r="CC207" s="216">
        <v>80</v>
      </c>
      <c r="CD207" s="216">
        <v>81</v>
      </c>
      <c r="CE207" s="216">
        <v>82</v>
      </c>
      <c r="CF207" s="216">
        <v>83</v>
      </c>
      <c r="CG207" s="216">
        <v>84</v>
      </c>
      <c r="CH207" s="216">
        <v>85</v>
      </c>
      <c r="CI207" s="216">
        <v>86</v>
      </c>
      <c r="CJ207" s="216">
        <v>87</v>
      </c>
      <c r="CK207" s="216">
        <v>88</v>
      </c>
      <c r="CL207" s="216">
        <v>89</v>
      </c>
      <c r="CM207" s="216">
        <v>90</v>
      </c>
      <c r="CN207" s="216">
        <v>91</v>
      </c>
      <c r="CO207" s="216">
        <v>92</v>
      </c>
      <c r="CP207" s="216">
        <v>93</v>
      </c>
      <c r="CQ207" s="216">
        <v>94</v>
      </c>
      <c r="CR207" s="216">
        <v>95</v>
      </c>
      <c r="CS207" s="216">
        <v>96</v>
      </c>
      <c r="CT207" s="216">
        <v>97</v>
      </c>
      <c r="CU207" s="216">
        <v>98</v>
      </c>
      <c r="CV207" s="216">
        <v>99</v>
      </c>
      <c r="CW207" s="216">
        <v>100</v>
      </c>
      <c r="CX207" s="216">
        <v>101</v>
      </c>
      <c r="CY207" s="216">
        <v>102</v>
      </c>
      <c r="CZ207" s="216">
        <v>103</v>
      </c>
      <c r="DA207" s="216">
        <v>104</v>
      </c>
      <c r="DB207" s="216">
        <v>105</v>
      </c>
      <c r="DC207" s="216">
        <v>106</v>
      </c>
      <c r="DD207" s="216">
        <v>107</v>
      </c>
      <c r="DE207" s="216">
        <v>108</v>
      </c>
      <c r="DF207" s="216">
        <v>109</v>
      </c>
      <c r="DG207" s="216">
        <v>110</v>
      </c>
      <c r="DH207" s="216">
        <v>111</v>
      </c>
      <c r="DI207" s="216">
        <v>112</v>
      </c>
      <c r="DJ207" s="216">
        <v>113</v>
      </c>
      <c r="DK207" s="216">
        <v>114</v>
      </c>
      <c r="DL207" s="216">
        <v>115</v>
      </c>
      <c r="DM207" s="216">
        <v>116</v>
      </c>
      <c r="DN207" s="216">
        <v>117</v>
      </c>
      <c r="DO207" s="216">
        <v>118</v>
      </c>
      <c r="DP207" s="216">
        <v>119</v>
      </c>
      <c r="DQ207" s="216">
        <v>120</v>
      </c>
      <c r="DR207" s="209"/>
      <c r="DS207" s="209"/>
      <c r="DT207" s="209"/>
      <c r="DU207" s="209"/>
      <c r="DV207" s="209"/>
      <c r="DW207" s="209"/>
      <c r="DX207" s="209"/>
      <c r="DY207" s="209"/>
      <c r="DZ207" s="209"/>
      <c r="EA207" s="209"/>
      <c r="EB207" s="209"/>
      <c r="EC207" s="209"/>
      <c r="ED207" s="209"/>
      <c r="EE207" s="209"/>
      <c r="EF207" s="209"/>
      <c r="EG207" s="209"/>
      <c r="EH207" s="209"/>
      <c r="EI207" s="209"/>
      <c r="EJ207" s="209"/>
      <c r="EK207" s="209"/>
      <c r="EL207" s="209"/>
      <c r="EM207" s="209"/>
      <c r="EN207" s="209"/>
      <c r="EO207" s="209"/>
      <c r="EP207" s="209"/>
      <c r="EQ207" s="209"/>
      <c r="ER207" s="209"/>
      <c r="ES207" s="209"/>
      <c r="ET207" s="209"/>
      <c r="EU207" s="209"/>
      <c r="EV207" s="209"/>
      <c r="EW207" s="209"/>
      <c r="EX207" s="209"/>
      <c r="EY207" s="209"/>
      <c r="EZ207" s="209"/>
      <c r="FA207" s="209"/>
      <c r="FB207" s="209"/>
      <c r="FC207" s="209"/>
      <c r="FD207" s="209"/>
      <c r="FE207" s="209"/>
      <c r="FF207" s="209"/>
      <c r="FG207" s="209"/>
      <c r="FH207" s="209"/>
      <c r="FI207" s="209"/>
      <c r="FJ207" s="209"/>
      <c r="FK207" s="209"/>
      <c r="FL207" s="209"/>
    </row>
    <row r="208" spans="1:168" x14ac:dyDescent="0.25">
      <c r="A208" t="s">
        <v>738</v>
      </c>
      <c r="B208" s="124">
        <v>1153933.9863491917</v>
      </c>
      <c r="C208" s="124">
        <v>2629087.3831547895</v>
      </c>
      <c r="D208" s="124">
        <v>0</v>
      </c>
      <c r="E208" s="124">
        <v>0</v>
      </c>
      <c r="F208" s="124">
        <v>0</v>
      </c>
      <c r="G208" s="124">
        <v>0</v>
      </c>
      <c r="H208" s="124">
        <v>0</v>
      </c>
      <c r="I208" s="124">
        <v>0</v>
      </c>
      <c r="J208" s="124">
        <v>0</v>
      </c>
      <c r="K208" s="124">
        <v>0</v>
      </c>
      <c r="L208" s="124">
        <v>0</v>
      </c>
      <c r="M208" s="124">
        <v>0</v>
      </c>
      <c r="N208" s="124">
        <v>1046665</v>
      </c>
      <c r="O208" s="124">
        <v>3304534</v>
      </c>
      <c r="P208" s="124">
        <v>0</v>
      </c>
      <c r="Q208" s="124">
        <v>0</v>
      </c>
      <c r="R208" s="124">
        <v>0</v>
      </c>
      <c r="S208" s="124">
        <v>0</v>
      </c>
      <c r="T208" s="124">
        <v>0</v>
      </c>
      <c r="U208" s="124">
        <v>0</v>
      </c>
      <c r="V208" s="124">
        <v>0</v>
      </c>
      <c r="W208" s="124">
        <v>0</v>
      </c>
      <c r="X208" s="124">
        <v>0</v>
      </c>
      <c r="Y208" s="124">
        <v>0</v>
      </c>
      <c r="Z208" s="124">
        <v>1046946.4763377374</v>
      </c>
      <c r="AA208" s="124">
        <v>9037642.5943339374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4">
        <v>0</v>
      </c>
      <c r="AI208" s="124">
        <v>0</v>
      </c>
      <c r="AJ208" s="124">
        <v>0</v>
      </c>
      <c r="AK208" s="124">
        <v>0</v>
      </c>
      <c r="AL208" s="124">
        <v>3951022</v>
      </c>
      <c r="AM208" s="124">
        <v>9055551</v>
      </c>
      <c r="AN208" s="124">
        <v>0</v>
      </c>
      <c r="AO208" s="124">
        <v>0</v>
      </c>
      <c r="AP208" s="124">
        <v>0</v>
      </c>
      <c r="AQ208" s="124">
        <v>0</v>
      </c>
      <c r="AR208" s="124">
        <v>0</v>
      </c>
      <c r="AS208" s="124">
        <v>0</v>
      </c>
      <c r="AT208" s="124">
        <v>0</v>
      </c>
      <c r="AU208" s="124">
        <v>0</v>
      </c>
      <c r="AV208" s="124">
        <v>0</v>
      </c>
      <c r="AW208" s="124">
        <v>0</v>
      </c>
      <c r="AX208" s="124">
        <v>1989857</v>
      </c>
      <c r="AY208" s="124">
        <v>5529546</v>
      </c>
      <c r="AZ208" s="124">
        <v>0</v>
      </c>
      <c r="BA208" s="124">
        <v>0</v>
      </c>
      <c r="BB208" s="124">
        <v>0</v>
      </c>
      <c r="BC208" s="124">
        <v>0</v>
      </c>
      <c r="BD208" s="124">
        <v>0</v>
      </c>
      <c r="BE208" s="124">
        <v>0</v>
      </c>
      <c r="BF208" s="124">
        <v>0</v>
      </c>
      <c r="BG208" s="124">
        <v>0</v>
      </c>
      <c r="BH208" s="124">
        <v>0</v>
      </c>
      <c r="BI208" s="124">
        <v>0</v>
      </c>
      <c r="BJ208" s="124">
        <v>989092.93176678615</v>
      </c>
      <c r="BK208" s="124">
        <v>3159096.6299564466</v>
      </c>
      <c r="BL208" s="124">
        <v>0</v>
      </c>
      <c r="BM208" s="124">
        <v>0</v>
      </c>
      <c r="BN208" s="124">
        <v>0</v>
      </c>
      <c r="BO208" s="124">
        <v>0</v>
      </c>
      <c r="BP208" s="124">
        <v>0</v>
      </c>
      <c r="BQ208" s="124">
        <v>0</v>
      </c>
      <c r="BR208" s="124">
        <v>0</v>
      </c>
      <c r="BS208" s="124">
        <v>0</v>
      </c>
      <c r="BT208" s="124">
        <v>0</v>
      </c>
      <c r="BU208" s="124">
        <v>0</v>
      </c>
      <c r="BV208" s="124">
        <v>0</v>
      </c>
      <c r="BW208" s="124">
        <v>0</v>
      </c>
      <c r="BX208" s="124">
        <v>0</v>
      </c>
      <c r="BY208" s="124">
        <v>0</v>
      </c>
      <c r="BZ208" s="124">
        <v>0</v>
      </c>
      <c r="CA208" s="124">
        <v>0</v>
      </c>
      <c r="CB208" s="124">
        <v>0</v>
      </c>
      <c r="CC208" s="124">
        <v>0</v>
      </c>
      <c r="CD208" s="124">
        <v>0</v>
      </c>
      <c r="CE208" s="124">
        <v>0</v>
      </c>
      <c r="CF208" s="124">
        <v>0</v>
      </c>
      <c r="CG208" s="124">
        <v>0</v>
      </c>
      <c r="CH208" s="124">
        <v>0</v>
      </c>
      <c r="CI208" s="124">
        <v>0</v>
      </c>
      <c r="CJ208" s="124">
        <v>0</v>
      </c>
      <c r="CK208" s="124">
        <v>0</v>
      </c>
      <c r="CL208" s="124">
        <v>0</v>
      </c>
      <c r="CM208" s="124">
        <v>0</v>
      </c>
      <c r="CN208" s="124">
        <v>0</v>
      </c>
      <c r="CO208" s="124">
        <v>0</v>
      </c>
      <c r="CP208" s="124">
        <v>0</v>
      </c>
      <c r="CQ208" s="124">
        <v>0</v>
      </c>
      <c r="CR208" s="124">
        <v>0</v>
      </c>
      <c r="CS208" s="124">
        <v>0</v>
      </c>
      <c r="CT208" s="124">
        <v>0</v>
      </c>
      <c r="CU208" s="124">
        <v>0</v>
      </c>
      <c r="CV208" s="124">
        <v>0</v>
      </c>
      <c r="CW208" s="124">
        <v>0</v>
      </c>
      <c r="CX208" s="124">
        <v>0</v>
      </c>
      <c r="CY208" s="124">
        <v>0</v>
      </c>
      <c r="CZ208" s="124">
        <v>0</v>
      </c>
      <c r="DA208" s="124">
        <v>0</v>
      </c>
      <c r="DB208" s="124">
        <v>0</v>
      </c>
      <c r="DC208" s="124">
        <v>0</v>
      </c>
      <c r="DD208" s="124">
        <v>0</v>
      </c>
      <c r="DE208" s="124">
        <v>0</v>
      </c>
      <c r="DF208" s="124">
        <v>0</v>
      </c>
      <c r="DG208" s="124">
        <v>0</v>
      </c>
      <c r="DH208" s="124">
        <v>0</v>
      </c>
      <c r="DI208" s="124">
        <v>0</v>
      </c>
      <c r="DJ208" s="124">
        <v>0</v>
      </c>
      <c r="DK208" s="124">
        <v>0</v>
      </c>
      <c r="DL208" s="124">
        <v>0</v>
      </c>
      <c r="DM208" s="124">
        <v>0</v>
      </c>
      <c r="DN208" s="124">
        <v>0</v>
      </c>
      <c r="DO208" s="124">
        <v>0</v>
      </c>
      <c r="DP208" s="124">
        <v>0</v>
      </c>
      <c r="DQ208" s="124">
        <v>0</v>
      </c>
      <c r="DR208" s="123"/>
      <c r="DS208" s="123"/>
      <c r="DT208" s="123"/>
      <c r="DU208" s="123"/>
      <c r="DV208" s="123"/>
      <c r="DW208" s="123"/>
      <c r="DX208" s="123"/>
      <c r="DY208" s="123"/>
      <c r="DZ208" s="123"/>
      <c r="EA208" s="123"/>
      <c r="EB208" s="123"/>
      <c r="EC208" s="123"/>
      <c r="ED208" s="123"/>
      <c r="EE208" s="123"/>
      <c r="EF208" s="123"/>
      <c r="EG208" s="123"/>
      <c r="EH208" s="123"/>
      <c r="EI208" s="123"/>
      <c r="EJ208" s="123"/>
      <c r="EK208" s="123"/>
      <c r="EL208" s="123"/>
      <c r="EM208" s="123"/>
      <c r="EN208" s="123"/>
      <c r="EO208" s="123"/>
      <c r="EP208" s="123"/>
      <c r="EQ208" s="123"/>
      <c r="ER208" s="123"/>
      <c r="ES208" s="123"/>
      <c r="ET208" s="123"/>
      <c r="EU208" s="123"/>
      <c r="EV208" s="123"/>
      <c r="EW208" s="123"/>
      <c r="EX208" s="123"/>
      <c r="EY208" s="123"/>
      <c r="EZ208" s="123"/>
      <c r="FA208" s="123"/>
      <c r="FB208" s="123"/>
      <c r="FC208" s="123"/>
      <c r="FD208" s="123"/>
      <c r="FE208" s="123"/>
      <c r="FF208" s="123"/>
      <c r="FG208" s="123"/>
      <c r="FH208" s="123"/>
      <c r="FI208" s="123"/>
      <c r="FJ208" s="123"/>
      <c r="FK208" s="123"/>
      <c r="FL208" s="123"/>
    </row>
    <row r="209" spans="1:168" x14ac:dyDescent="0.25">
      <c r="A209" t="s">
        <v>739</v>
      </c>
      <c r="B209" s="124">
        <v>8530409</v>
      </c>
      <c r="C209" s="124">
        <v>29301065</v>
      </c>
      <c r="D209" s="124">
        <v>0</v>
      </c>
      <c r="E209" s="124">
        <v>0</v>
      </c>
      <c r="F209" s="124">
        <v>0</v>
      </c>
      <c r="G209" s="124">
        <v>0</v>
      </c>
      <c r="H209" s="124">
        <v>0</v>
      </c>
      <c r="I209" s="124">
        <v>0</v>
      </c>
      <c r="J209" s="124">
        <v>0</v>
      </c>
      <c r="K209" s="124">
        <v>0</v>
      </c>
      <c r="L209" s="124">
        <v>0</v>
      </c>
      <c r="M209" s="124">
        <v>0</v>
      </c>
      <c r="N209" s="124">
        <v>8530409</v>
      </c>
      <c r="O209" s="124">
        <v>29301065</v>
      </c>
      <c r="P209" s="124">
        <v>0</v>
      </c>
      <c r="Q209" s="124">
        <v>0</v>
      </c>
      <c r="R209" s="124">
        <v>0</v>
      </c>
      <c r="S209" s="124">
        <v>0</v>
      </c>
      <c r="T209" s="124">
        <v>0</v>
      </c>
      <c r="U209" s="124">
        <v>0</v>
      </c>
      <c r="V209" s="124">
        <v>0</v>
      </c>
      <c r="W209" s="124">
        <v>0</v>
      </c>
      <c r="X209" s="124">
        <v>0</v>
      </c>
      <c r="Y209" s="124">
        <v>0</v>
      </c>
      <c r="Z209" s="124">
        <v>8530409</v>
      </c>
      <c r="AA209" s="124">
        <v>29301065</v>
      </c>
      <c r="AB209" s="124">
        <v>0</v>
      </c>
      <c r="AC209" s="124">
        <v>0</v>
      </c>
      <c r="AD209" s="124">
        <v>0</v>
      </c>
      <c r="AE209" s="124">
        <v>0</v>
      </c>
      <c r="AF209" s="124">
        <v>0</v>
      </c>
      <c r="AG209" s="124">
        <v>0</v>
      </c>
      <c r="AH209" s="124">
        <v>0</v>
      </c>
      <c r="AI209" s="124">
        <v>0</v>
      </c>
      <c r="AJ209" s="124">
        <v>0</v>
      </c>
      <c r="AK209" s="124">
        <v>0</v>
      </c>
      <c r="AL209" s="124">
        <v>8530409</v>
      </c>
      <c r="AM209" s="124">
        <v>29301065</v>
      </c>
      <c r="AN209" s="124">
        <v>0</v>
      </c>
      <c r="AO209" s="124">
        <v>0</v>
      </c>
      <c r="AP209" s="124">
        <v>0</v>
      </c>
      <c r="AQ209" s="124">
        <v>0</v>
      </c>
      <c r="AR209" s="124">
        <v>0</v>
      </c>
      <c r="AS209" s="124">
        <v>0</v>
      </c>
      <c r="AT209" s="124">
        <v>0</v>
      </c>
      <c r="AU209" s="124">
        <v>0</v>
      </c>
      <c r="AV209" s="124">
        <v>0</v>
      </c>
      <c r="AW209" s="124">
        <v>0</v>
      </c>
      <c r="AX209" s="124">
        <v>8530409</v>
      </c>
      <c r="AY209" s="124">
        <v>29301065</v>
      </c>
      <c r="AZ209" s="124">
        <v>0</v>
      </c>
      <c r="BA209" s="124">
        <v>0</v>
      </c>
      <c r="BB209" s="124">
        <v>0</v>
      </c>
      <c r="BC209" s="124">
        <v>0</v>
      </c>
      <c r="BD209" s="124">
        <v>0</v>
      </c>
      <c r="BE209" s="124">
        <v>0</v>
      </c>
      <c r="BF209" s="124">
        <v>0</v>
      </c>
      <c r="BG209" s="124">
        <v>0</v>
      </c>
      <c r="BH209" s="124">
        <v>0</v>
      </c>
      <c r="BI209" s="124">
        <v>0</v>
      </c>
      <c r="BJ209" s="124">
        <v>8530409</v>
      </c>
      <c r="BK209" s="124">
        <v>29301065</v>
      </c>
      <c r="BL209" s="124">
        <v>0</v>
      </c>
      <c r="BM209" s="124">
        <v>0</v>
      </c>
      <c r="BN209" s="124">
        <v>0</v>
      </c>
      <c r="BO209" s="124">
        <v>0</v>
      </c>
      <c r="BP209" s="124">
        <v>0</v>
      </c>
      <c r="BQ209" s="124">
        <v>0</v>
      </c>
      <c r="BR209" s="124">
        <v>0</v>
      </c>
      <c r="BS209" s="124">
        <v>0</v>
      </c>
      <c r="BT209" s="124">
        <v>0</v>
      </c>
      <c r="BU209" s="124">
        <v>0</v>
      </c>
      <c r="BV209" s="124">
        <v>8530409</v>
      </c>
      <c r="BW209" s="124">
        <v>29301065</v>
      </c>
      <c r="BX209" s="124">
        <v>0</v>
      </c>
      <c r="BY209" s="124">
        <v>0</v>
      </c>
      <c r="BZ209" s="124">
        <v>0</v>
      </c>
      <c r="CA209" s="124">
        <v>0</v>
      </c>
      <c r="CB209" s="124">
        <v>0</v>
      </c>
      <c r="CC209" s="124">
        <v>0</v>
      </c>
      <c r="CD209" s="124">
        <v>0</v>
      </c>
      <c r="CE209" s="124">
        <v>0</v>
      </c>
      <c r="CF209" s="124">
        <v>0</v>
      </c>
      <c r="CG209" s="124">
        <v>0</v>
      </c>
      <c r="CH209" s="124">
        <v>8530409</v>
      </c>
      <c r="CI209" s="124">
        <v>29301065</v>
      </c>
      <c r="CJ209" s="124">
        <v>0</v>
      </c>
      <c r="CK209" s="124">
        <v>0</v>
      </c>
      <c r="CL209" s="124">
        <v>0</v>
      </c>
      <c r="CM209" s="124">
        <v>0</v>
      </c>
      <c r="CN209" s="124">
        <v>0</v>
      </c>
      <c r="CO209" s="124">
        <v>0</v>
      </c>
      <c r="CP209" s="124">
        <v>0</v>
      </c>
      <c r="CQ209" s="124">
        <v>0</v>
      </c>
      <c r="CR209" s="124">
        <v>0</v>
      </c>
      <c r="CS209" s="124">
        <v>0</v>
      </c>
      <c r="CT209" s="124">
        <v>8530409</v>
      </c>
      <c r="CU209" s="124">
        <v>29301065</v>
      </c>
      <c r="CV209" s="124">
        <v>0</v>
      </c>
      <c r="CW209" s="124">
        <v>0</v>
      </c>
      <c r="CX209" s="124">
        <v>0</v>
      </c>
      <c r="CY209" s="124">
        <v>0</v>
      </c>
      <c r="CZ209" s="124">
        <v>0</v>
      </c>
      <c r="DA209" s="124">
        <v>0</v>
      </c>
      <c r="DB209" s="124">
        <v>0</v>
      </c>
      <c r="DC209" s="124">
        <v>0</v>
      </c>
      <c r="DD209" s="124">
        <v>0</v>
      </c>
      <c r="DE209" s="124">
        <v>0</v>
      </c>
      <c r="DF209" s="124">
        <v>8530409</v>
      </c>
      <c r="DG209" s="124">
        <v>29301065</v>
      </c>
      <c r="DH209" s="124">
        <v>0</v>
      </c>
      <c r="DI209" s="124">
        <v>0</v>
      </c>
      <c r="DJ209" s="124">
        <v>0</v>
      </c>
      <c r="DK209" s="124">
        <v>0</v>
      </c>
      <c r="DL209" s="124">
        <v>0</v>
      </c>
      <c r="DM209" s="124">
        <v>0</v>
      </c>
      <c r="DN209" s="124">
        <v>0</v>
      </c>
      <c r="DO209" s="124">
        <v>0</v>
      </c>
      <c r="DP209" s="124">
        <v>0</v>
      </c>
      <c r="DQ209" s="124">
        <v>0</v>
      </c>
      <c r="DR209" s="123"/>
      <c r="DS209" s="123"/>
      <c r="DT209" s="123"/>
      <c r="DU209" s="123"/>
      <c r="DV209" s="123"/>
      <c r="DW209" s="123"/>
      <c r="DX209" s="123"/>
      <c r="DY209" s="123"/>
      <c r="DZ209" s="123"/>
      <c r="EA209" s="123"/>
      <c r="EB209" s="123"/>
      <c r="EC209" s="123"/>
      <c r="ED209" s="123"/>
      <c r="EE209" s="123"/>
      <c r="EF209" s="123"/>
      <c r="EG209" s="123"/>
      <c r="EH209" s="123"/>
      <c r="EI209" s="123"/>
      <c r="EJ209" s="123"/>
      <c r="EK209" s="123"/>
      <c r="EL209" s="123"/>
      <c r="EM209" s="123"/>
      <c r="EN209" s="123"/>
      <c r="EO209" s="123"/>
      <c r="EP209" s="123"/>
      <c r="EQ209" s="123"/>
      <c r="ER209" s="123"/>
      <c r="ES209" s="123"/>
      <c r="ET209" s="123"/>
      <c r="EU209" s="123"/>
      <c r="EV209" s="123"/>
      <c r="EW209" s="123"/>
      <c r="EX209" s="123"/>
      <c r="EY209" s="123"/>
      <c r="EZ209" s="123"/>
      <c r="FA209" s="123"/>
      <c r="FB209" s="123"/>
      <c r="FC209" s="123"/>
      <c r="FD209" s="123"/>
      <c r="FE209" s="123"/>
      <c r="FF209" s="123"/>
      <c r="FG209" s="123"/>
      <c r="FH209" s="123"/>
      <c r="FI209" s="123"/>
      <c r="FJ209" s="123"/>
      <c r="FK209" s="123"/>
      <c r="FL209" s="123"/>
    </row>
    <row r="210" spans="1:168" x14ac:dyDescent="0.25">
      <c r="A210" t="s">
        <v>740</v>
      </c>
      <c r="B210" s="210">
        <v>0.13527299644708615</v>
      </c>
      <c r="C210" s="210">
        <v>8.9726683421056178E-2</v>
      </c>
      <c r="D210" s="210">
        <v>0</v>
      </c>
      <c r="E210" s="210">
        <v>0</v>
      </c>
      <c r="F210" s="210">
        <v>0</v>
      </c>
      <c r="G210" s="210">
        <v>0</v>
      </c>
      <c r="H210" s="210">
        <v>0</v>
      </c>
      <c r="I210" s="210">
        <v>0</v>
      </c>
      <c r="J210" s="210">
        <v>0</v>
      </c>
      <c r="K210" s="210">
        <v>0</v>
      </c>
      <c r="L210" s="210">
        <v>0</v>
      </c>
      <c r="M210" s="210">
        <v>0</v>
      </c>
      <c r="N210" s="210">
        <v>0.12269810275216581</v>
      </c>
      <c r="O210" s="210">
        <v>0.11277863108388722</v>
      </c>
      <c r="P210" s="210">
        <v>0</v>
      </c>
      <c r="Q210" s="210">
        <v>0</v>
      </c>
      <c r="R210" s="210">
        <v>0</v>
      </c>
      <c r="S210" s="210">
        <v>0</v>
      </c>
      <c r="T210" s="210">
        <v>0</v>
      </c>
      <c r="U210" s="210">
        <v>0</v>
      </c>
      <c r="V210" s="210">
        <v>0</v>
      </c>
      <c r="W210" s="210">
        <v>0</v>
      </c>
      <c r="X210" s="210">
        <v>0</v>
      </c>
      <c r="Y210" s="210">
        <v>0</v>
      </c>
      <c r="Z210" s="210">
        <v>0.12273109956834864</v>
      </c>
      <c r="AA210" s="210">
        <v>0.30844075443448687</v>
      </c>
      <c r="AB210" s="210">
        <v>0</v>
      </c>
      <c r="AC210" s="210">
        <v>0</v>
      </c>
      <c r="AD210" s="210">
        <v>0</v>
      </c>
      <c r="AE210" s="210">
        <v>0</v>
      </c>
      <c r="AF210" s="210">
        <v>0</v>
      </c>
      <c r="AG210" s="210">
        <v>0</v>
      </c>
      <c r="AH210" s="210">
        <v>0</v>
      </c>
      <c r="AI210" s="210">
        <v>0</v>
      </c>
      <c r="AJ210" s="210">
        <v>0</v>
      </c>
      <c r="AK210" s="210">
        <v>0</v>
      </c>
      <c r="AL210" s="210">
        <v>0.46316911651012277</v>
      </c>
      <c r="AM210" s="210">
        <v>0.30905194060352414</v>
      </c>
      <c r="AN210" s="210">
        <v>0</v>
      </c>
      <c r="AO210" s="210">
        <v>0</v>
      </c>
      <c r="AP210" s="210">
        <v>0</v>
      </c>
      <c r="AQ210" s="210">
        <v>0</v>
      </c>
      <c r="AR210" s="210">
        <v>0</v>
      </c>
      <c r="AS210" s="210">
        <v>0</v>
      </c>
      <c r="AT210" s="210">
        <v>0</v>
      </c>
      <c r="AU210" s="210">
        <v>0</v>
      </c>
      <c r="AV210" s="210">
        <v>0</v>
      </c>
      <c r="AW210" s="210">
        <v>0</v>
      </c>
      <c r="AX210" s="210">
        <v>0.2332663064572871</v>
      </c>
      <c r="AY210" s="210">
        <v>0.18871484705419411</v>
      </c>
      <c r="AZ210" s="210">
        <v>0</v>
      </c>
      <c r="BA210" s="210">
        <v>0</v>
      </c>
      <c r="BB210" s="210">
        <v>0</v>
      </c>
      <c r="BC210" s="210">
        <v>0</v>
      </c>
      <c r="BD210" s="210">
        <v>0</v>
      </c>
      <c r="BE210" s="210">
        <v>0</v>
      </c>
      <c r="BF210" s="210">
        <v>0</v>
      </c>
      <c r="BG210" s="210">
        <v>0</v>
      </c>
      <c r="BH210" s="210">
        <v>0</v>
      </c>
      <c r="BI210" s="210">
        <v>0</v>
      </c>
      <c r="BJ210" s="210">
        <v>0.11594906314184773</v>
      </c>
      <c r="BK210" s="210">
        <v>0.10781507873370633</v>
      </c>
      <c r="BL210" s="210">
        <v>0</v>
      </c>
      <c r="BM210" s="210">
        <v>0</v>
      </c>
      <c r="BN210" s="210">
        <v>0</v>
      </c>
      <c r="BO210" s="210">
        <v>0</v>
      </c>
      <c r="BP210" s="210">
        <v>0</v>
      </c>
      <c r="BQ210" s="210">
        <v>0</v>
      </c>
      <c r="BR210" s="210">
        <v>0</v>
      </c>
      <c r="BS210" s="210">
        <v>0</v>
      </c>
      <c r="BT210" s="210">
        <v>0</v>
      </c>
      <c r="BU210" s="210">
        <v>0</v>
      </c>
      <c r="BV210" s="210">
        <v>0</v>
      </c>
      <c r="BW210" s="210">
        <v>0</v>
      </c>
      <c r="BX210" s="210">
        <v>0</v>
      </c>
      <c r="BY210" s="210">
        <v>0</v>
      </c>
      <c r="BZ210" s="210">
        <v>0</v>
      </c>
      <c r="CA210" s="210">
        <v>0</v>
      </c>
      <c r="CB210" s="210">
        <v>0</v>
      </c>
      <c r="CC210" s="210">
        <v>0</v>
      </c>
      <c r="CD210" s="210">
        <v>0</v>
      </c>
      <c r="CE210" s="210">
        <v>0</v>
      </c>
      <c r="CF210" s="210">
        <v>0</v>
      </c>
      <c r="CG210" s="210">
        <v>0</v>
      </c>
      <c r="CH210" s="210">
        <v>0</v>
      </c>
      <c r="CI210" s="210">
        <v>0</v>
      </c>
      <c r="CJ210" s="210">
        <v>0</v>
      </c>
      <c r="CK210" s="210">
        <v>0</v>
      </c>
      <c r="CL210" s="210">
        <v>0</v>
      </c>
      <c r="CM210" s="210">
        <v>0</v>
      </c>
      <c r="CN210" s="210">
        <v>0</v>
      </c>
      <c r="CO210" s="210">
        <v>0</v>
      </c>
      <c r="CP210" s="210">
        <v>0</v>
      </c>
      <c r="CQ210" s="210">
        <v>0</v>
      </c>
      <c r="CR210" s="210">
        <v>0</v>
      </c>
      <c r="CS210" s="210">
        <v>0</v>
      </c>
      <c r="CT210" s="210">
        <v>0</v>
      </c>
      <c r="CU210" s="210">
        <v>0</v>
      </c>
      <c r="CV210" s="210">
        <v>0</v>
      </c>
      <c r="CW210" s="210">
        <v>0</v>
      </c>
      <c r="CX210" s="210">
        <v>0</v>
      </c>
      <c r="CY210" s="210">
        <v>0</v>
      </c>
      <c r="CZ210" s="210">
        <v>0</v>
      </c>
      <c r="DA210" s="210">
        <v>0</v>
      </c>
      <c r="DB210" s="210">
        <v>0</v>
      </c>
      <c r="DC210" s="210">
        <v>0</v>
      </c>
      <c r="DD210" s="210">
        <v>0</v>
      </c>
      <c r="DE210" s="210">
        <v>0</v>
      </c>
      <c r="DF210" s="210">
        <v>0</v>
      </c>
      <c r="DG210" s="210">
        <v>0</v>
      </c>
      <c r="DH210" s="210">
        <v>0</v>
      </c>
      <c r="DI210" s="210">
        <v>0</v>
      </c>
      <c r="DJ210" s="210">
        <v>0</v>
      </c>
      <c r="DK210" s="210">
        <v>0</v>
      </c>
      <c r="DL210" s="210">
        <v>0</v>
      </c>
      <c r="DM210" s="210">
        <v>0</v>
      </c>
      <c r="DN210" s="210">
        <v>0</v>
      </c>
      <c r="DO210" s="210">
        <v>0</v>
      </c>
      <c r="DP210" s="210">
        <v>0</v>
      </c>
      <c r="DQ210" s="210">
        <v>0</v>
      </c>
      <c r="DR210" s="123"/>
      <c r="DS210" s="123"/>
      <c r="DT210" s="123"/>
      <c r="DU210" s="123"/>
      <c r="DV210" s="123"/>
      <c r="DW210" s="123"/>
      <c r="DX210" s="123"/>
      <c r="DY210" s="123"/>
      <c r="DZ210" s="123"/>
      <c r="EA210" s="123"/>
      <c r="EB210" s="123"/>
      <c r="EC210" s="123"/>
      <c r="ED210" s="123"/>
      <c r="EE210" s="123"/>
      <c r="EF210" s="123"/>
      <c r="EG210" s="123"/>
      <c r="EH210" s="123"/>
      <c r="EI210" s="123"/>
      <c r="EJ210" s="123"/>
      <c r="EK210" s="123"/>
      <c r="EL210" s="123"/>
      <c r="EM210" s="123"/>
      <c r="EN210" s="123"/>
      <c r="EO210" s="123"/>
      <c r="EP210" s="123"/>
      <c r="EQ210" s="123"/>
      <c r="ER210" s="123"/>
      <c r="ES210" s="123"/>
      <c r="ET210" s="123"/>
      <c r="EU210" s="123"/>
      <c r="EV210" s="123"/>
      <c r="EW210" s="123"/>
      <c r="EX210" s="123"/>
      <c r="EY210" s="123"/>
      <c r="EZ210" s="123"/>
      <c r="FA210" s="123"/>
      <c r="FB210" s="123"/>
      <c r="FC210" s="123"/>
      <c r="FD210" s="123"/>
      <c r="FE210" s="123"/>
      <c r="FF210" s="123"/>
      <c r="FG210" s="123"/>
      <c r="FH210" s="123"/>
      <c r="FI210" s="123"/>
      <c r="FJ210" s="123"/>
      <c r="FK210" s="123"/>
      <c r="FL210" s="123"/>
    </row>
    <row r="211" spans="1:168" x14ac:dyDescent="0.25">
      <c r="A211" t="s">
        <v>741</v>
      </c>
      <c r="B211" s="124">
        <v>1477634.814950041</v>
      </c>
      <c r="C211" s="124">
        <v>3686375.349907388</v>
      </c>
      <c r="D211" s="124">
        <v>0</v>
      </c>
      <c r="E211" s="124">
        <v>0</v>
      </c>
      <c r="F211" s="124">
        <v>0</v>
      </c>
      <c r="G211" s="124">
        <v>0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124">
        <v>0</v>
      </c>
      <c r="N211" s="124">
        <v>2063351.4594596326</v>
      </c>
      <c r="O211" s="124">
        <v>4845628.7351979446</v>
      </c>
      <c r="P211" s="124">
        <v>0</v>
      </c>
      <c r="Q211" s="124">
        <v>0</v>
      </c>
      <c r="R211" s="124">
        <v>0</v>
      </c>
      <c r="S211" s="124">
        <v>0</v>
      </c>
      <c r="T211" s="124">
        <v>0</v>
      </c>
      <c r="U211" s="124">
        <v>0</v>
      </c>
      <c r="V211" s="124">
        <v>0</v>
      </c>
      <c r="W211" s="124">
        <v>0</v>
      </c>
      <c r="X211" s="124">
        <v>0</v>
      </c>
      <c r="Y211" s="124">
        <v>0</v>
      </c>
      <c r="Z211" s="124">
        <v>1206250.7970405554</v>
      </c>
      <c r="AA211" s="124">
        <v>11351981.809359953</v>
      </c>
      <c r="AB211" s="124">
        <v>0</v>
      </c>
      <c r="AC211" s="124">
        <v>0</v>
      </c>
      <c r="AD211" s="124">
        <v>0</v>
      </c>
      <c r="AE211" s="124">
        <v>0</v>
      </c>
      <c r="AF211" s="124">
        <v>0</v>
      </c>
      <c r="AG211" s="124">
        <v>0</v>
      </c>
      <c r="AH211" s="124">
        <v>0</v>
      </c>
      <c r="AI211" s="124">
        <v>0</v>
      </c>
      <c r="AJ211" s="124">
        <v>0</v>
      </c>
      <c r="AK211" s="124">
        <v>0</v>
      </c>
      <c r="AL211" s="124">
        <v>16772802.281664485</v>
      </c>
      <c r="AM211" s="124">
        <v>37618102.834430754</v>
      </c>
      <c r="AN211" s="124">
        <v>0</v>
      </c>
      <c r="AO211" s="124">
        <v>0</v>
      </c>
      <c r="AP211" s="124">
        <v>0</v>
      </c>
      <c r="AQ211" s="124">
        <v>0</v>
      </c>
      <c r="AR211" s="124">
        <v>0</v>
      </c>
      <c r="AS211" s="124">
        <v>0</v>
      </c>
      <c r="AT211" s="124">
        <v>0</v>
      </c>
      <c r="AU211" s="124">
        <v>0</v>
      </c>
      <c r="AV211" s="124">
        <v>0</v>
      </c>
      <c r="AW211" s="124">
        <v>0</v>
      </c>
      <c r="AX211" s="124">
        <v>5895427.8529494749</v>
      </c>
      <c r="AY211" s="124">
        <v>11685944.70243755</v>
      </c>
      <c r="AZ211" s="124">
        <v>0</v>
      </c>
      <c r="BA211" s="124">
        <v>0</v>
      </c>
      <c r="BB211" s="124">
        <v>0</v>
      </c>
      <c r="BC211" s="124">
        <v>0</v>
      </c>
      <c r="BD211" s="124">
        <v>0</v>
      </c>
      <c r="BE211" s="124">
        <v>0</v>
      </c>
      <c r="BF211" s="124">
        <v>0</v>
      </c>
      <c r="BG211" s="124">
        <v>0</v>
      </c>
      <c r="BH211" s="124">
        <v>0</v>
      </c>
      <c r="BI211" s="124">
        <v>0</v>
      </c>
      <c r="BJ211" s="124">
        <v>1290613.5918746404</v>
      </c>
      <c r="BK211" s="124">
        <v>4503293.689736167</v>
      </c>
      <c r="BL211" s="124">
        <v>0</v>
      </c>
      <c r="BM211" s="124">
        <v>0</v>
      </c>
      <c r="BN211" s="124">
        <v>0</v>
      </c>
      <c r="BO211" s="124">
        <v>0</v>
      </c>
      <c r="BP211" s="124">
        <v>0</v>
      </c>
      <c r="BQ211" s="124">
        <v>0</v>
      </c>
      <c r="BR211" s="124">
        <v>0</v>
      </c>
      <c r="BS211" s="124">
        <v>0</v>
      </c>
      <c r="BT211" s="124">
        <v>0</v>
      </c>
      <c r="BU211" s="124">
        <v>0</v>
      </c>
      <c r="BV211" s="124">
        <v>0</v>
      </c>
      <c r="BW211" s="124">
        <v>0</v>
      </c>
      <c r="BX211" s="124">
        <v>0</v>
      </c>
      <c r="BY211" s="124">
        <v>0</v>
      </c>
      <c r="BZ211" s="124">
        <v>0</v>
      </c>
      <c r="CA211" s="124">
        <v>0</v>
      </c>
      <c r="CB211" s="124">
        <v>0</v>
      </c>
      <c r="CC211" s="124">
        <v>0</v>
      </c>
      <c r="CD211" s="124">
        <v>0</v>
      </c>
      <c r="CE211" s="124">
        <v>0</v>
      </c>
      <c r="CF211" s="124">
        <v>0</v>
      </c>
      <c r="CG211" s="124">
        <v>0</v>
      </c>
      <c r="CH211" s="124">
        <v>0</v>
      </c>
      <c r="CI211" s="124">
        <v>0</v>
      </c>
      <c r="CJ211" s="124">
        <v>0</v>
      </c>
      <c r="CK211" s="124">
        <v>0</v>
      </c>
      <c r="CL211" s="124">
        <v>0</v>
      </c>
      <c r="CM211" s="124">
        <v>0</v>
      </c>
      <c r="CN211" s="124">
        <v>0</v>
      </c>
      <c r="CO211" s="124">
        <v>0</v>
      </c>
      <c r="CP211" s="124">
        <v>0</v>
      </c>
      <c r="CQ211" s="124">
        <v>0</v>
      </c>
      <c r="CR211" s="124">
        <v>0</v>
      </c>
      <c r="CS211" s="124">
        <v>0</v>
      </c>
      <c r="CT211" s="124">
        <v>0</v>
      </c>
      <c r="CU211" s="124">
        <v>0</v>
      </c>
      <c r="CV211" s="124">
        <v>0</v>
      </c>
      <c r="CW211" s="124">
        <v>0</v>
      </c>
      <c r="CX211" s="124">
        <v>0</v>
      </c>
      <c r="CY211" s="124">
        <v>0</v>
      </c>
      <c r="CZ211" s="124">
        <v>0</v>
      </c>
      <c r="DA211" s="124">
        <v>0</v>
      </c>
      <c r="DB211" s="124">
        <v>0</v>
      </c>
      <c r="DC211" s="124">
        <v>0</v>
      </c>
      <c r="DD211" s="124">
        <v>0</v>
      </c>
      <c r="DE211" s="124">
        <v>0</v>
      </c>
      <c r="DF211" s="124">
        <v>0</v>
      </c>
      <c r="DG211" s="124">
        <v>0</v>
      </c>
      <c r="DH211" s="124">
        <v>0</v>
      </c>
      <c r="DI211" s="124">
        <v>0</v>
      </c>
      <c r="DJ211" s="124">
        <v>0</v>
      </c>
      <c r="DK211" s="124">
        <v>0</v>
      </c>
      <c r="DL211" s="124">
        <v>0</v>
      </c>
      <c r="DM211" s="124">
        <v>0</v>
      </c>
      <c r="DN211" s="124">
        <v>0</v>
      </c>
      <c r="DO211" s="124">
        <v>0</v>
      </c>
      <c r="DP211" s="124">
        <v>0</v>
      </c>
      <c r="DQ211" s="124">
        <v>0</v>
      </c>
      <c r="DR211" s="123"/>
      <c r="DS211" s="123"/>
      <c r="DT211" s="123"/>
      <c r="DU211" s="123"/>
      <c r="DV211" s="123"/>
      <c r="DW211" s="123"/>
      <c r="DX211" s="123"/>
      <c r="DY211" s="123"/>
      <c r="DZ211" s="123"/>
      <c r="EA211" s="123"/>
      <c r="EB211" s="123"/>
      <c r="EC211" s="123"/>
      <c r="ED211" s="123"/>
      <c r="EE211" s="123"/>
      <c r="EF211" s="123"/>
      <c r="EG211" s="123"/>
      <c r="EH211" s="123"/>
      <c r="EI211" s="123"/>
      <c r="EJ211" s="123"/>
      <c r="EK211" s="123"/>
      <c r="EL211" s="123"/>
      <c r="EM211" s="123"/>
      <c r="EN211" s="123"/>
      <c r="EO211" s="123"/>
      <c r="EP211" s="123"/>
      <c r="EQ211" s="123"/>
      <c r="ER211" s="123"/>
      <c r="ES211" s="123"/>
      <c r="ET211" s="123"/>
      <c r="EU211" s="123"/>
      <c r="EV211" s="123"/>
      <c r="EW211" s="123"/>
      <c r="EX211" s="123"/>
      <c r="EY211" s="123"/>
      <c r="EZ211" s="123"/>
      <c r="FA211" s="123"/>
      <c r="FB211" s="123"/>
      <c r="FC211" s="123"/>
      <c r="FD211" s="123"/>
      <c r="FE211" s="123"/>
      <c r="FF211" s="123"/>
      <c r="FG211" s="123"/>
      <c r="FH211" s="123"/>
      <c r="FI211" s="123"/>
      <c r="FJ211" s="123"/>
      <c r="FK211" s="123"/>
      <c r="FL211" s="123"/>
    </row>
    <row r="212" spans="1:168" x14ac:dyDescent="0.25">
      <c r="A212" t="s">
        <v>742</v>
      </c>
      <c r="B212" s="210">
        <v>5.1474627461375329E-2</v>
      </c>
      <c r="C212" s="210">
        <v>5.0024548259945539E-2</v>
      </c>
      <c r="D212" s="210">
        <v>0</v>
      </c>
      <c r="E212" s="210">
        <v>0</v>
      </c>
      <c r="F212" s="210">
        <v>0</v>
      </c>
      <c r="G212" s="210">
        <v>0</v>
      </c>
      <c r="H212" s="210">
        <v>0</v>
      </c>
      <c r="I212" s="210">
        <v>0</v>
      </c>
      <c r="J212" s="210">
        <v>0</v>
      </c>
      <c r="K212" s="210">
        <v>0</v>
      </c>
      <c r="L212" s="210">
        <v>0</v>
      </c>
      <c r="M212" s="210">
        <v>0</v>
      </c>
      <c r="N212" s="210">
        <v>7.1878549843968478E-2</v>
      </c>
      <c r="O212" s="210">
        <v>6.5755753417724605E-2</v>
      </c>
      <c r="P212" s="210">
        <v>0</v>
      </c>
      <c r="Q212" s="210">
        <v>0</v>
      </c>
      <c r="R212" s="210">
        <v>0</v>
      </c>
      <c r="S212" s="210">
        <v>0</v>
      </c>
      <c r="T212" s="210">
        <v>0</v>
      </c>
      <c r="U212" s="210">
        <v>0</v>
      </c>
      <c r="V212" s="210">
        <v>0</v>
      </c>
      <c r="W212" s="210">
        <v>0</v>
      </c>
      <c r="X212" s="210">
        <v>0</v>
      </c>
      <c r="Y212" s="210">
        <v>0</v>
      </c>
      <c r="Z212" s="210">
        <v>4.2020741372927765E-2</v>
      </c>
      <c r="AA212" s="210">
        <v>0.15404773197678243</v>
      </c>
      <c r="AB212" s="210">
        <v>0</v>
      </c>
      <c r="AC212" s="210">
        <v>0</v>
      </c>
      <c r="AD212" s="210">
        <v>0</v>
      </c>
      <c r="AE212" s="210">
        <v>0</v>
      </c>
      <c r="AF212" s="210">
        <v>0</v>
      </c>
      <c r="AG212" s="210">
        <v>0</v>
      </c>
      <c r="AH212" s="210">
        <v>0</v>
      </c>
      <c r="AI212" s="210">
        <v>0</v>
      </c>
      <c r="AJ212" s="210">
        <v>0</v>
      </c>
      <c r="AK212" s="210">
        <v>0</v>
      </c>
      <c r="AL212" s="210">
        <v>0.58429440088766194</v>
      </c>
      <c r="AM212" s="210">
        <v>0.51048209204628392</v>
      </c>
      <c r="AN212" s="210">
        <v>0</v>
      </c>
      <c r="AO212" s="210">
        <v>0</v>
      </c>
      <c r="AP212" s="210">
        <v>0</v>
      </c>
      <c r="AQ212" s="210">
        <v>0</v>
      </c>
      <c r="AR212" s="210">
        <v>0</v>
      </c>
      <c r="AS212" s="210">
        <v>0</v>
      </c>
      <c r="AT212" s="210">
        <v>0</v>
      </c>
      <c r="AU212" s="210">
        <v>0</v>
      </c>
      <c r="AV212" s="210">
        <v>0</v>
      </c>
      <c r="AW212" s="210">
        <v>0</v>
      </c>
      <c r="AX212" s="210">
        <v>0.20537209152469124</v>
      </c>
      <c r="AY212" s="210">
        <v>0.15857964782257686</v>
      </c>
      <c r="AZ212" s="210">
        <v>0</v>
      </c>
      <c r="BA212" s="210">
        <v>0</v>
      </c>
      <c r="BB212" s="210">
        <v>0</v>
      </c>
      <c r="BC212" s="210">
        <v>0</v>
      </c>
      <c r="BD212" s="210">
        <v>0</v>
      </c>
      <c r="BE212" s="210">
        <v>0</v>
      </c>
      <c r="BF212" s="210">
        <v>0</v>
      </c>
      <c r="BG212" s="210">
        <v>0</v>
      </c>
      <c r="BH212" s="210">
        <v>0</v>
      </c>
      <c r="BI212" s="210">
        <v>0</v>
      </c>
      <c r="BJ212" s="210">
        <v>4.495958890937525E-2</v>
      </c>
      <c r="BK212" s="210">
        <v>6.1110226476686555E-2</v>
      </c>
      <c r="BL212" s="210">
        <v>0</v>
      </c>
      <c r="BM212" s="210">
        <v>0</v>
      </c>
      <c r="BN212" s="210">
        <v>0</v>
      </c>
      <c r="BO212" s="210">
        <v>0</v>
      </c>
      <c r="BP212" s="210">
        <v>0</v>
      </c>
      <c r="BQ212" s="210">
        <v>0</v>
      </c>
      <c r="BR212" s="210">
        <v>0</v>
      </c>
      <c r="BS212" s="210">
        <v>0</v>
      </c>
      <c r="BT212" s="210">
        <v>0</v>
      </c>
      <c r="BU212" s="210">
        <v>0</v>
      </c>
      <c r="BV212" s="210">
        <v>0</v>
      </c>
      <c r="BW212" s="210">
        <v>0</v>
      </c>
      <c r="BX212" s="210">
        <v>0</v>
      </c>
      <c r="BY212" s="210">
        <v>0</v>
      </c>
      <c r="BZ212" s="210">
        <v>0</v>
      </c>
      <c r="CA212" s="210">
        <v>0</v>
      </c>
      <c r="CB212" s="210">
        <v>0</v>
      </c>
      <c r="CC212" s="210">
        <v>0</v>
      </c>
      <c r="CD212" s="210">
        <v>0</v>
      </c>
      <c r="CE212" s="210">
        <v>0</v>
      </c>
      <c r="CF212" s="210">
        <v>0</v>
      </c>
      <c r="CG212" s="210">
        <v>0</v>
      </c>
      <c r="CH212" s="210">
        <v>0</v>
      </c>
      <c r="CI212" s="210">
        <v>0</v>
      </c>
      <c r="CJ212" s="210">
        <v>0</v>
      </c>
      <c r="CK212" s="210">
        <v>0</v>
      </c>
      <c r="CL212" s="210">
        <v>0</v>
      </c>
      <c r="CM212" s="210">
        <v>0</v>
      </c>
      <c r="CN212" s="210">
        <v>0</v>
      </c>
      <c r="CO212" s="210">
        <v>0</v>
      </c>
      <c r="CP212" s="210">
        <v>0</v>
      </c>
      <c r="CQ212" s="210">
        <v>0</v>
      </c>
      <c r="CR212" s="210">
        <v>0</v>
      </c>
      <c r="CS212" s="210">
        <v>0</v>
      </c>
      <c r="CT212" s="210">
        <v>0</v>
      </c>
      <c r="CU212" s="210">
        <v>0</v>
      </c>
      <c r="CV212" s="210">
        <v>0</v>
      </c>
      <c r="CW212" s="210">
        <v>0</v>
      </c>
      <c r="CX212" s="210">
        <v>0</v>
      </c>
      <c r="CY212" s="210">
        <v>0</v>
      </c>
      <c r="CZ212" s="210">
        <v>0</v>
      </c>
      <c r="DA212" s="210">
        <v>0</v>
      </c>
      <c r="DB212" s="210">
        <v>0</v>
      </c>
      <c r="DC212" s="210">
        <v>0</v>
      </c>
      <c r="DD212" s="210">
        <v>0</v>
      </c>
      <c r="DE212" s="210">
        <v>0</v>
      </c>
      <c r="DF212" s="210">
        <v>0</v>
      </c>
      <c r="DG212" s="210">
        <v>0</v>
      </c>
      <c r="DH212" s="210">
        <v>0</v>
      </c>
      <c r="DI212" s="210">
        <v>0</v>
      </c>
      <c r="DJ212" s="210">
        <v>0</v>
      </c>
      <c r="DK212" s="210">
        <v>0</v>
      </c>
      <c r="DL212" s="210">
        <v>0</v>
      </c>
      <c r="DM212" s="210">
        <v>0</v>
      </c>
      <c r="DN212" s="210">
        <v>0</v>
      </c>
      <c r="DO212" s="210">
        <v>0</v>
      </c>
      <c r="DP212" s="210">
        <v>0</v>
      </c>
      <c r="DQ212" s="210">
        <v>0</v>
      </c>
      <c r="DR212" s="123"/>
      <c r="DS212" s="123"/>
      <c r="DT212" s="123"/>
      <c r="DU212" s="123"/>
      <c r="DV212" s="123"/>
      <c r="DW212" s="123"/>
      <c r="DX212" s="123"/>
      <c r="DY212" s="123"/>
      <c r="DZ212" s="123"/>
      <c r="EA212" s="123"/>
      <c r="EB212" s="123"/>
      <c r="EC212" s="123"/>
      <c r="ED212" s="123"/>
      <c r="EE212" s="123"/>
      <c r="EF212" s="123"/>
      <c r="EG212" s="123"/>
      <c r="EH212" s="123"/>
      <c r="EI212" s="123"/>
      <c r="EJ212" s="123"/>
      <c r="EK212" s="123"/>
      <c r="EL212" s="123"/>
      <c r="EM212" s="123"/>
      <c r="EN212" s="123"/>
      <c r="EO212" s="123"/>
      <c r="EP212" s="123"/>
      <c r="EQ212" s="123"/>
      <c r="ER212" s="123"/>
      <c r="ES212" s="123"/>
      <c r="ET212" s="123"/>
      <c r="EU212" s="123"/>
      <c r="EV212" s="123"/>
      <c r="EW212" s="123"/>
      <c r="EX212" s="123"/>
      <c r="EY212" s="123"/>
      <c r="EZ212" s="123"/>
      <c r="FA212" s="123"/>
      <c r="FB212" s="123"/>
      <c r="FC212" s="123"/>
      <c r="FD212" s="123"/>
      <c r="FE212" s="123"/>
      <c r="FF212" s="123"/>
      <c r="FG212" s="123"/>
      <c r="FH212" s="123"/>
      <c r="FI212" s="123"/>
      <c r="FJ212" s="123"/>
      <c r="FK212" s="123"/>
      <c r="FL212" s="123"/>
    </row>
    <row r="213" spans="1:168" x14ac:dyDescent="0.25">
      <c r="A213" t="s">
        <v>743</v>
      </c>
      <c r="B213">
        <v>1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</row>
    <row r="214" spans="1:168" ht="14.45" customHeight="1" x14ac:dyDescent="0.25">
      <c r="A214" s="246" t="s">
        <v>744</v>
      </c>
      <c r="B214" s="246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246"/>
      <c r="N214" s="322" t="s">
        <v>745</v>
      </c>
      <c r="O214" s="322"/>
      <c r="P214" s="322"/>
      <c r="Q214" s="322"/>
      <c r="R214" s="320" t="s">
        <v>746</v>
      </c>
      <c r="S214" s="320"/>
      <c r="T214" s="320"/>
      <c r="U214" s="320"/>
      <c r="V214" s="320"/>
      <c r="W214" s="320"/>
      <c r="X214" s="320"/>
      <c r="Y214" s="320"/>
      <c r="Z214" s="320"/>
      <c r="AA214" s="320"/>
      <c r="AB214" s="320"/>
      <c r="AC214" s="320"/>
      <c r="AD214" s="321" t="s">
        <v>747</v>
      </c>
      <c r="AE214" s="321" t="s">
        <v>497</v>
      </c>
      <c r="AF214" s="321"/>
      <c r="AG214" s="321"/>
      <c r="AH214" s="321"/>
      <c r="AI214" s="321"/>
      <c r="AJ214" s="321"/>
      <c r="AK214" s="321"/>
      <c r="AL214" s="321"/>
      <c r="AM214" s="321"/>
      <c r="AN214" s="321"/>
      <c r="AO214" s="321"/>
      <c r="AP214" s="321"/>
      <c r="AQ214" s="321" t="s">
        <v>748</v>
      </c>
      <c r="AR214" s="321"/>
      <c r="AS214" s="321"/>
      <c r="AT214" s="321"/>
      <c r="AU214" s="321"/>
      <c r="AV214" s="321"/>
      <c r="AW214" s="321"/>
      <c r="AX214" s="321"/>
      <c r="AY214" s="321"/>
      <c r="AZ214" s="321"/>
      <c r="BA214" s="321"/>
      <c r="BB214" s="321"/>
      <c r="BC214" s="321"/>
      <c r="BD214" s="321" t="s">
        <v>416</v>
      </c>
      <c r="BE214">
        <v>10</v>
      </c>
      <c r="BH214" t="s">
        <v>12</v>
      </c>
      <c r="BS214" s="320" t="s">
        <v>749</v>
      </c>
      <c r="BT214" s="320"/>
      <c r="BU214" s="320"/>
      <c r="BV214" s="320"/>
      <c r="BW214" s="320"/>
      <c r="BX214" s="320"/>
      <c r="BY214" s="320"/>
      <c r="BZ214" s="320"/>
      <c r="CA214" s="320"/>
      <c r="CB214" s="320"/>
      <c r="CC214" s="320"/>
      <c r="CD214" s="320"/>
      <c r="CF214" s="352" t="s">
        <v>750</v>
      </c>
      <c r="CG214" s="352"/>
      <c r="CH214" s="352"/>
      <c r="CI214" s="352"/>
      <c r="CJ214" s="352"/>
      <c r="CK214" s="352"/>
      <c r="CL214" s="352"/>
      <c r="CM214" s="352"/>
      <c r="CN214" s="352"/>
      <c r="CO214" s="352"/>
      <c r="CP214" s="352"/>
      <c r="CQ214" s="254" t="s">
        <v>751</v>
      </c>
      <c r="CR214" s="254"/>
      <c r="CS214" s="254"/>
      <c r="CT214" s="254"/>
      <c r="CU214" s="254"/>
      <c r="CV214" s="254"/>
      <c r="CW214" s="254"/>
      <c r="CX214" s="254"/>
      <c r="CY214" s="254"/>
      <c r="CZ214" s="254"/>
      <c r="DA214" s="254"/>
      <c r="DB214" t="s">
        <v>752</v>
      </c>
      <c r="DN214" s="240" t="s">
        <v>214</v>
      </c>
      <c r="DO214" s="240"/>
      <c r="DP214" s="240"/>
      <c r="DQ214" s="240"/>
      <c r="DR214" s="240"/>
      <c r="DS214" s="240"/>
      <c r="DT214" s="240"/>
      <c r="DU214" s="240"/>
      <c r="DV214" s="240"/>
      <c r="DW214" s="240"/>
      <c r="DY214" s="240" t="s">
        <v>753</v>
      </c>
      <c r="DZ214" s="240"/>
      <c r="EA214" s="240"/>
      <c r="EB214" s="240"/>
      <c r="EC214" s="240"/>
      <c r="ED214" s="240"/>
      <c r="EE214" s="240"/>
      <c r="EF214" s="240"/>
      <c r="EG214" s="240"/>
      <c r="EH214" s="240"/>
      <c r="EI214" s="424" t="s">
        <v>754</v>
      </c>
      <c r="EJ214" s="424"/>
      <c r="EK214" s="424"/>
      <c r="EL214" s="424"/>
      <c r="EM214" s="424"/>
      <c r="EN214" s="424"/>
      <c r="EO214" s="424"/>
      <c r="EP214" s="424"/>
      <c r="EQ214" s="424"/>
      <c r="ER214" s="424"/>
      <c r="ES214" s="439" t="s">
        <v>755</v>
      </c>
      <c r="ET214" s="439"/>
      <c r="EU214" s="439"/>
      <c r="EV214" s="439"/>
      <c r="EW214" s="439"/>
      <c r="EX214" s="439"/>
      <c r="EY214" s="439"/>
      <c r="EZ214" s="439"/>
      <c r="FA214" s="439"/>
      <c r="FB214" s="439"/>
      <c r="FC214" s="240" t="s">
        <v>741</v>
      </c>
      <c r="FD214" s="240"/>
      <c r="FE214" s="240"/>
      <c r="FF214" s="240"/>
      <c r="FG214" s="240"/>
      <c r="FH214" s="240"/>
      <c r="FI214" s="240"/>
      <c r="FJ214" s="240"/>
      <c r="FK214" s="240"/>
      <c r="FL214" s="240"/>
    </row>
    <row r="215" spans="1:168" ht="30" x14ac:dyDescent="0.25">
      <c r="A215" s="367" t="s">
        <v>756</v>
      </c>
      <c r="B215" s="367"/>
      <c r="C215" s="367" t="s">
        <v>594</v>
      </c>
      <c r="D215" s="367" t="s">
        <v>595</v>
      </c>
      <c r="E215" s="367" t="s">
        <v>596</v>
      </c>
      <c r="F215" s="367" t="s">
        <v>597</v>
      </c>
      <c r="G215" s="367" t="s">
        <v>598</v>
      </c>
      <c r="H215" s="367" t="s">
        <v>599</v>
      </c>
      <c r="I215" s="367" t="s">
        <v>600</v>
      </c>
      <c r="J215" s="367" t="s">
        <v>601</v>
      </c>
      <c r="K215" s="367" t="s">
        <v>602</v>
      </c>
      <c r="L215" s="367" t="s">
        <v>603</v>
      </c>
      <c r="M215" s="368"/>
      <c r="N215" s="367" t="s">
        <v>0</v>
      </c>
      <c r="O215" s="367" t="s">
        <v>1</v>
      </c>
      <c r="P215" s="367" t="s">
        <v>2</v>
      </c>
      <c r="Q215" s="367" t="s">
        <v>3</v>
      </c>
      <c r="R215" s="369">
        <v>2011</v>
      </c>
      <c r="S215" s="369">
        <v>2012</v>
      </c>
      <c r="T215" s="369">
        <v>2013</v>
      </c>
      <c r="U215" s="369">
        <v>2014</v>
      </c>
      <c r="V215" s="369">
        <v>2015</v>
      </c>
      <c r="W215" s="369">
        <v>2016</v>
      </c>
      <c r="X215" s="369">
        <v>2017</v>
      </c>
      <c r="Y215" s="369">
        <v>2018</v>
      </c>
      <c r="Z215" s="369">
        <v>2019</v>
      </c>
      <c r="AA215" s="369">
        <v>2020</v>
      </c>
      <c r="AB215" s="369">
        <v>2021</v>
      </c>
      <c r="AC215" s="369">
        <v>2022</v>
      </c>
      <c r="AD215" s="370"/>
      <c r="AE215" s="370">
        <v>2011</v>
      </c>
      <c r="AF215" s="370">
        <v>2012</v>
      </c>
      <c r="AG215" s="370">
        <v>2013</v>
      </c>
      <c r="AH215" s="370">
        <v>2014</v>
      </c>
      <c r="AI215" s="370">
        <v>2015</v>
      </c>
      <c r="AJ215" s="370">
        <v>2016</v>
      </c>
      <c r="AK215" s="370">
        <v>2017</v>
      </c>
      <c r="AL215" s="370">
        <v>2018</v>
      </c>
      <c r="AM215" s="370">
        <v>2019</v>
      </c>
      <c r="AN215" s="370">
        <v>2020</v>
      </c>
      <c r="AO215" s="370">
        <v>2021</v>
      </c>
      <c r="AP215" s="370">
        <v>2022</v>
      </c>
      <c r="AQ215" s="370" t="s">
        <v>594</v>
      </c>
      <c r="AR215" s="370" t="s">
        <v>595</v>
      </c>
      <c r="AS215" s="370" t="s">
        <v>596</v>
      </c>
      <c r="AT215" s="370" t="s">
        <v>597</v>
      </c>
      <c r="AU215" s="370" t="s">
        <v>598</v>
      </c>
      <c r="AV215" s="370" t="s">
        <v>599</v>
      </c>
      <c r="AW215" s="370" t="s">
        <v>600</v>
      </c>
      <c r="AX215" s="370" t="s">
        <v>601</v>
      </c>
      <c r="AY215" s="370" t="s">
        <v>602</v>
      </c>
      <c r="AZ215" s="370" t="s">
        <v>603</v>
      </c>
      <c r="BA215" s="370" t="s">
        <v>757</v>
      </c>
      <c r="BB215" s="370" t="s">
        <v>758</v>
      </c>
      <c r="BC215" s="370" t="s">
        <v>1</v>
      </c>
      <c r="BD215" s="368" t="s">
        <v>569</v>
      </c>
      <c r="BE215" s="368"/>
      <c r="BF215" s="370" t="s">
        <v>378</v>
      </c>
      <c r="BG215" s="370" t="s">
        <v>378</v>
      </c>
      <c r="BH215" s="370" t="s">
        <v>594</v>
      </c>
      <c r="BI215" s="370" t="s">
        <v>595</v>
      </c>
      <c r="BJ215" s="370" t="s">
        <v>596</v>
      </c>
      <c r="BK215" s="370" t="s">
        <v>597</v>
      </c>
      <c r="BL215" s="370" t="s">
        <v>598</v>
      </c>
      <c r="BM215" s="370" t="s">
        <v>599</v>
      </c>
      <c r="BN215" s="370" t="s">
        <v>600</v>
      </c>
      <c r="BO215" s="370" t="s">
        <v>601</v>
      </c>
      <c r="BP215" s="370" t="s">
        <v>602</v>
      </c>
      <c r="BQ215" s="370" t="s">
        <v>603</v>
      </c>
      <c r="BR215" s="368"/>
      <c r="BS215" s="369">
        <v>2011</v>
      </c>
      <c r="BT215" s="369">
        <v>2012</v>
      </c>
      <c r="BU215" s="369">
        <v>2013</v>
      </c>
      <c r="BV215" s="369">
        <v>2014</v>
      </c>
      <c r="BW215" s="369">
        <v>2015</v>
      </c>
      <c r="BX215" s="369">
        <v>2016</v>
      </c>
      <c r="BY215" s="369">
        <v>2017</v>
      </c>
      <c r="BZ215" s="369">
        <v>2018</v>
      </c>
      <c r="CA215" s="369">
        <v>2019</v>
      </c>
      <c r="CB215" s="369">
        <v>2020</v>
      </c>
      <c r="CC215" s="369">
        <v>2021</v>
      </c>
      <c r="CD215" s="369">
        <v>2022</v>
      </c>
      <c r="CE215" s="368" t="s">
        <v>759</v>
      </c>
      <c r="CF215" s="371" t="s">
        <v>594</v>
      </c>
      <c r="CG215" s="371" t="s">
        <v>595</v>
      </c>
      <c r="CH215" s="371" t="s">
        <v>596</v>
      </c>
      <c r="CI215" s="371" t="s">
        <v>597</v>
      </c>
      <c r="CJ215" s="371" t="s">
        <v>598</v>
      </c>
      <c r="CK215" s="371" t="s">
        <v>599</v>
      </c>
      <c r="CL215" s="371" t="s">
        <v>600</v>
      </c>
      <c r="CM215" s="371" t="s">
        <v>601</v>
      </c>
      <c r="CN215" s="371" t="s">
        <v>602</v>
      </c>
      <c r="CO215" s="371" t="s">
        <v>603</v>
      </c>
      <c r="CP215" s="371" t="s">
        <v>760</v>
      </c>
      <c r="CQ215" s="404" t="s">
        <v>594</v>
      </c>
      <c r="CR215" s="404" t="s">
        <v>595</v>
      </c>
      <c r="CS215" s="404" t="s">
        <v>596</v>
      </c>
      <c r="CT215" s="404" t="s">
        <v>597</v>
      </c>
      <c r="CU215" s="404" t="s">
        <v>598</v>
      </c>
      <c r="CV215" s="404" t="s">
        <v>599</v>
      </c>
      <c r="CW215" s="404" t="s">
        <v>600</v>
      </c>
      <c r="CX215" s="404" t="s">
        <v>601</v>
      </c>
      <c r="CY215" s="404" t="s">
        <v>602</v>
      </c>
      <c r="CZ215" s="404" t="s">
        <v>603</v>
      </c>
      <c r="DA215" s="405" t="s">
        <v>760</v>
      </c>
      <c r="DB215" s="370" t="s">
        <v>378</v>
      </c>
      <c r="DC215" s="370" t="s">
        <v>378</v>
      </c>
      <c r="DD215" s="370" t="s">
        <v>594</v>
      </c>
      <c r="DE215" s="370" t="s">
        <v>595</v>
      </c>
      <c r="DF215" s="370" t="s">
        <v>596</v>
      </c>
      <c r="DG215" s="370" t="s">
        <v>597</v>
      </c>
      <c r="DH215" s="370" t="s">
        <v>598</v>
      </c>
      <c r="DI215" s="370" t="s">
        <v>599</v>
      </c>
      <c r="DJ215" s="370" t="s">
        <v>600</v>
      </c>
      <c r="DK215" s="370" t="s">
        <v>601</v>
      </c>
      <c r="DL215" s="370" t="s">
        <v>602</v>
      </c>
      <c r="DM215" s="370" t="s">
        <v>603</v>
      </c>
      <c r="DN215" s="385" t="s">
        <v>594</v>
      </c>
      <c r="DO215" s="385" t="s">
        <v>595</v>
      </c>
      <c r="DP215" s="385" t="s">
        <v>596</v>
      </c>
      <c r="DQ215" s="385" t="s">
        <v>597</v>
      </c>
      <c r="DR215" s="385" t="s">
        <v>598</v>
      </c>
      <c r="DS215" s="385" t="s">
        <v>599</v>
      </c>
      <c r="DT215" s="385" t="s">
        <v>600</v>
      </c>
      <c r="DU215" s="385" t="s">
        <v>601</v>
      </c>
      <c r="DV215" s="385" t="s">
        <v>602</v>
      </c>
      <c r="DW215" s="385" t="s">
        <v>603</v>
      </c>
      <c r="DX215" s="368"/>
      <c r="DY215" s="385" t="s">
        <v>389</v>
      </c>
      <c r="DZ215" s="385"/>
      <c r="EA215" s="385"/>
      <c r="EB215" s="385"/>
      <c r="EC215" s="385"/>
      <c r="ED215" s="385"/>
      <c r="EE215" s="385"/>
      <c r="EF215" s="385"/>
      <c r="EG215" s="385"/>
      <c r="EH215" s="385"/>
      <c r="EI215" s="422" t="s">
        <v>594</v>
      </c>
      <c r="EJ215" s="422" t="s">
        <v>595</v>
      </c>
      <c r="EK215" s="422" t="s">
        <v>596</v>
      </c>
      <c r="EL215" s="422" t="s">
        <v>597</v>
      </c>
      <c r="EM215" s="422" t="s">
        <v>598</v>
      </c>
      <c r="EN215" s="422" t="s">
        <v>599</v>
      </c>
      <c r="EO215" s="422" t="s">
        <v>600</v>
      </c>
      <c r="EP215" s="422" t="s">
        <v>601</v>
      </c>
      <c r="EQ215" s="422" t="s">
        <v>602</v>
      </c>
      <c r="ER215" s="422" t="s">
        <v>603</v>
      </c>
      <c r="ES215" s="437" t="s">
        <v>594</v>
      </c>
      <c r="ET215" s="437" t="s">
        <v>595</v>
      </c>
      <c r="EU215" s="437" t="s">
        <v>596</v>
      </c>
      <c r="EV215" s="437" t="s">
        <v>597</v>
      </c>
      <c r="EW215" s="437" t="s">
        <v>598</v>
      </c>
      <c r="EX215" s="437" t="s">
        <v>599</v>
      </c>
      <c r="EY215" s="437" t="s">
        <v>600</v>
      </c>
      <c r="EZ215" s="437" t="s">
        <v>601</v>
      </c>
      <c r="FA215" s="437" t="s">
        <v>602</v>
      </c>
      <c r="FB215" s="437" t="s">
        <v>603</v>
      </c>
      <c r="FC215" s="385">
        <v>2011</v>
      </c>
      <c r="FD215" s="385">
        <v>2012</v>
      </c>
      <c r="FE215" s="385">
        <v>2013</v>
      </c>
      <c r="FF215" s="385">
        <v>2014</v>
      </c>
      <c r="FG215" s="385">
        <v>2015</v>
      </c>
      <c r="FH215" s="385">
        <v>2016</v>
      </c>
      <c r="FI215" s="385">
        <v>2017</v>
      </c>
      <c r="FJ215" s="385">
        <v>2018</v>
      </c>
      <c r="FK215" s="385">
        <v>2019</v>
      </c>
      <c r="FL215" s="385">
        <v>2020</v>
      </c>
    </row>
    <row r="216" spans="1:168" x14ac:dyDescent="0.25">
      <c r="A216" s="238">
        <v>1</v>
      </c>
      <c r="B216" s="238" t="s">
        <v>761</v>
      </c>
      <c r="C216" s="239" t="s">
        <v>85</v>
      </c>
      <c r="D216" s="239" t="s">
        <v>212</v>
      </c>
      <c r="E216" s="239" t="s">
        <v>85</v>
      </c>
      <c r="F216" s="239" t="s">
        <v>199</v>
      </c>
      <c r="G216" s="239" t="s">
        <v>104</v>
      </c>
      <c r="H216" s="239" t="s">
        <v>85</v>
      </c>
      <c r="I216" s="239" t="s">
        <v>11</v>
      </c>
      <c r="J216" s="239" t="s">
        <v>11</v>
      </c>
      <c r="K216" s="239" t="s">
        <v>11</v>
      </c>
      <c r="L216" s="239" t="s">
        <v>11</v>
      </c>
      <c r="N216">
        <v>1</v>
      </c>
      <c r="O216" t="s">
        <v>6</v>
      </c>
      <c r="P216" t="s">
        <v>6</v>
      </c>
      <c r="Q216" t="s">
        <v>7</v>
      </c>
      <c r="R216" s="2" t="s">
        <v>12</v>
      </c>
      <c r="S216" s="2" t="s">
        <v>12</v>
      </c>
      <c r="T216" s="2" t="s">
        <v>12</v>
      </c>
      <c r="U216" s="2" t="s">
        <v>12</v>
      </c>
      <c r="V216" s="2" t="s">
        <v>12</v>
      </c>
      <c r="W216" s="2" t="s">
        <v>12</v>
      </c>
      <c r="X216" s="2" t="s">
        <v>12</v>
      </c>
      <c r="Y216" s="2" t="s">
        <v>12</v>
      </c>
      <c r="Z216" s="2" t="s">
        <v>12</v>
      </c>
      <c r="AA216" s="2" t="s">
        <v>12</v>
      </c>
      <c r="AB216" s="2" t="s">
        <v>12</v>
      </c>
      <c r="AC216" s="2" t="s">
        <v>12</v>
      </c>
      <c r="AD216" t="s">
        <v>12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t="s">
        <v>12</v>
      </c>
      <c r="AR216" t="s">
        <v>12</v>
      </c>
      <c r="AS216" t="s">
        <v>12</v>
      </c>
      <c r="AT216" t="s">
        <v>12</v>
      </c>
      <c r="AU216" t="s">
        <v>12</v>
      </c>
      <c r="AV216" t="s">
        <v>12</v>
      </c>
      <c r="AW216" t="s">
        <v>12</v>
      </c>
      <c r="AX216" t="s">
        <v>12</v>
      </c>
      <c r="AY216" t="s">
        <v>12</v>
      </c>
      <c r="AZ216" t="s">
        <v>12</v>
      </c>
      <c r="BA216" t="s">
        <v>12</v>
      </c>
      <c r="BB216" t="s">
        <v>12</v>
      </c>
      <c r="BC216" t="s">
        <v>12</v>
      </c>
      <c r="BD216" t="s">
        <v>12</v>
      </c>
      <c r="BF216" s="313">
        <v>1</v>
      </c>
      <c r="BG216" s="313" t="s">
        <v>47</v>
      </c>
      <c r="BH216" t="s">
        <v>12</v>
      </c>
      <c r="BI216" t="s">
        <v>12</v>
      </c>
      <c r="BJ216" t="s">
        <v>12</v>
      </c>
      <c r="BK216" t="s">
        <v>762</v>
      </c>
      <c r="BL216" t="s">
        <v>12</v>
      </c>
      <c r="BM216" t="s">
        <v>12</v>
      </c>
      <c r="BN216" t="s">
        <v>12</v>
      </c>
      <c r="BO216" t="s">
        <v>12</v>
      </c>
      <c r="BP216" t="s">
        <v>12</v>
      </c>
      <c r="BQ216" t="s">
        <v>12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s="9" t="s">
        <v>12</v>
      </c>
      <c r="CF216" s="28" t="s">
        <v>12</v>
      </c>
      <c r="CG216" s="28" t="s">
        <v>12</v>
      </c>
      <c r="CH216" s="28" t="s">
        <v>12</v>
      </c>
      <c r="CI216" s="28" t="s">
        <v>12</v>
      </c>
      <c r="CJ216" s="28" t="s">
        <v>12</v>
      </c>
      <c r="CK216" s="28" t="s">
        <v>12</v>
      </c>
      <c r="CL216" s="28" t="s">
        <v>12</v>
      </c>
      <c r="CM216" s="28" t="s">
        <v>12</v>
      </c>
      <c r="CN216" s="28" t="s">
        <v>12</v>
      </c>
      <c r="CO216" s="28" t="s">
        <v>12</v>
      </c>
      <c r="CP216" s="28" t="s">
        <v>12</v>
      </c>
      <c r="CQ216" s="28" t="s">
        <v>12</v>
      </c>
      <c r="CR216" s="28" t="s">
        <v>12</v>
      </c>
      <c r="CS216" s="28" t="s">
        <v>12</v>
      </c>
      <c r="CT216" s="28" t="s">
        <v>12</v>
      </c>
      <c r="CU216" s="28" t="s">
        <v>12</v>
      </c>
      <c r="CV216" s="28" t="s">
        <v>12</v>
      </c>
      <c r="CW216" s="28" t="s">
        <v>12</v>
      </c>
      <c r="CX216" s="28" t="s">
        <v>12</v>
      </c>
      <c r="CY216" s="28" t="s">
        <v>12</v>
      </c>
      <c r="CZ216" s="28" t="s">
        <v>12</v>
      </c>
      <c r="DA216" s="28" t="s">
        <v>12</v>
      </c>
      <c r="DB216" s="313">
        <v>1</v>
      </c>
      <c r="DC216" s="313" t="s">
        <v>6</v>
      </c>
      <c r="DD216" s="386" t="s">
        <v>12</v>
      </c>
      <c r="DE216" s="386" t="s">
        <v>12</v>
      </c>
      <c r="DF216" s="386" t="s">
        <v>12</v>
      </c>
      <c r="DG216" s="386" t="s">
        <v>12</v>
      </c>
      <c r="DH216" s="386" t="s">
        <v>12</v>
      </c>
      <c r="DI216" s="386" t="s">
        <v>12</v>
      </c>
      <c r="DJ216" s="386" t="s">
        <v>12</v>
      </c>
      <c r="DK216" s="386" t="s">
        <v>12</v>
      </c>
      <c r="DL216" s="386" t="s">
        <v>12</v>
      </c>
      <c r="DM216" s="386" t="s">
        <v>12</v>
      </c>
      <c r="DN216" s="7" t="s">
        <v>12</v>
      </c>
      <c r="DO216" s="7" t="s">
        <v>12</v>
      </c>
      <c r="DP216" s="7" t="s">
        <v>12</v>
      </c>
      <c r="DQ216" s="7" t="s">
        <v>12</v>
      </c>
      <c r="DR216" s="7" t="s">
        <v>12</v>
      </c>
      <c r="DS216" s="7" t="s">
        <v>12</v>
      </c>
      <c r="DT216" s="7" t="s">
        <v>12</v>
      </c>
      <c r="DU216" s="7" t="s">
        <v>12</v>
      </c>
      <c r="DV216" s="7" t="s">
        <v>12</v>
      </c>
      <c r="DW216" s="7" t="s">
        <v>12</v>
      </c>
      <c r="DY216" s="9">
        <v>2900247</v>
      </c>
      <c r="EI216" s="423" t="s">
        <v>12</v>
      </c>
      <c r="EJ216" s="423" t="s">
        <v>12</v>
      </c>
      <c r="EK216" s="423" t="s">
        <v>12</v>
      </c>
      <c r="EL216" s="423" t="s">
        <v>12</v>
      </c>
      <c r="EM216" s="423" t="s">
        <v>12</v>
      </c>
      <c r="EN216" s="423" t="s">
        <v>12</v>
      </c>
      <c r="EO216" s="423" t="s">
        <v>12</v>
      </c>
      <c r="EP216" s="423" t="s">
        <v>12</v>
      </c>
      <c r="EQ216" s="423" t="s">
        <v>12</v>
      </c>
      <c r="ER216" s="423" t="s">
        <v>12</v>
      </c>
      <c r="ES216" s="438" t="s">
        <v>12</v>
      </c>
      <c r="ET216" s="438" t="s">
        <v>12</v>
      </c>
      <c r="EU216" s="438" t="s">
        <v>12</v>
      </c>
      <c r="EV216" s="438" t="s">
        <v>12</v>
      </c>
      <c r="EW216" s="438" t="s">
        <v>12</v>
      </c>
      <c r="EX216" s="438" t="s">
        <v>12</v>
      </c>
      <c r="EY216" s="438" t="s">
        <v>12</v>
      </c>
      <c r="EZ216" s="438" t="s">
        <v>12</v>
      </c>
      <c r="FA216" s="438" t="s">
        <v>12</v>
      </c>
      <c r="FB216" s="438" t="s">
        <v>12</v>
      </c>
      <c r="FC216" s="346">
        <v>0</v>
      </c>
      <c r="FD216" s="346">
        <v>0</v>
      </c>
      <c r="FE216" s="346">
        <v>0</v>
      </c>
      <c r="FF216" s="346">
        <v>0</v>
      </c>
      <c r="FG216" s="346">
        <v>0</v>
      </c>
      <c r="FH216" s="346">
        <v>0</v>
      </c>
      <c r="FI216" s="346">
        <v>0</v>
      </c>
      <c r="FJ216" s="346">
        <v>0</v>
      </c>
      <c r="FK216" s="346">
        <v>0</v>
      </c>
      <c r="FL216" s="346">
        <v>0</v>
      </c>
    </row>
    <row r="217" spans="1:168" x14ac:dyDescent="0.25">
      <c r="A217" s="238">
        <v>2</v>
      </c>
      <c r="B217" s="238" t="s">
        <v>763</v>
      </c>
      <c r="C217" s="239" t="s">
        <v>143</v>
      </c>
      <c r="D217" s="239" t="s">
        <v>128</v>
      </c>
      <c r="E217" s="239" t="s">
        <v>53</v>
      </c>
      <c r="F217" s="239" t="s">
        <v>47</v>
      </c>
      <c r="G217" s="239" t="s">
        <v>178</v>
      </c>
      <c r="H217" s="239" t="s">
        <v>81</v>
      </c>
      <c r="I217" s="239" t="s">
        <v>11</v>
      </c>
      <c r="J217" s="239" t="s">
        <v>11</v>
      </c>
      <c r="K217" s="239" t="s">
        <v>11</v>
      </c>
      <c r="L217" s="239" t="s">
        <v>11</v>
      </c>
      <c r="N217">
        <v>2</v>
      </c>
      <c r="O217" t="s">
        <v>8</v>
      </c>
      <c r="P217" t="s">
        <v>8</v>
      </c>
      <c r="Q217" t="s">
        <v>9</v>
      </c>
      <c r="R217" s="2" t="s">
        <v>12</v>
      </c>
      <c r="S217" s="2" t="s">
        <v>12</v>
      </c>
      <c r="T217" s="2" t="s">
        <v>12</v>
      </c>
      <c r="U217" s="2" t="s">
        <v>12</v>
      </c>
      <c r="V217" s="2" t="s">
        <v>12</v>
      </c>
      <c r="W217" s="2" t="s">
        <v>12</v>
      </c>
      <c r="X217" s="2" t="s">
        <v>12</v>
      </c>
      <c r="Y217" s="2" t="s">
        <v>12</v>
      </c>
      <c r="Z217" s="2" t="s">
        <v>12</v>
      </c>
      <c r="AA217" s="2" t="s">
        <v>12</v>
      </c>
      <c r="AB217" s="2" t="s">
        <v>12</v>
      </c>
      <c r="AC217" s="2" t="s">
        <v>12</v>
      </c>
      <c r="AD217" t="s">
        <v>12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t="s">
        <v>12</v>
      </c>
      <c r="AR217" t="s">
        <v>12</v>
      </c>
      <c r="AS217" t="s">
        <v>12</v>
      </c>
      <c r="AT217" t="s">
        <v>12</v>
      </c>
      <c r="AU217" t="s">
        <v>12</v>
      </c>
      <c r="AV217" t="s">
        <v>12</v>
      </c>
      <c r="AW217" t="s">
        <v>12</v>
      </c>
      <c r="AX217" t="s">
        <v>12</v>
      </c>
      <c r="AY217" t="s">
        <v>12</v>
      </c>
      <c r="AZ217" t="s">
        <v>12</v>
      </c>
      <c r="BA217" t="s">
        <v>12</v>
      </c>
      <c r="BB217" t="s">
        <v>12</v>
      </c>
      <c r="BC217" t="s">
        <v>12</v>
      </c>
      <c r="BD217" t="s">
        <v>12</v>
      </c>
      <c r="BF217" s="313">
        <v>2</v>
      </c>
      <c r="BG217" s="313" t="s">
        <v>53</v>
      </c>
      <c r="BH217" t="s">
        <v>12</v>
      </c>
      <c r="BI217" t="s">
        <v>12</v>
      </c>
      <c r="BJ217" t="s">
        <v>762</v>
      </c>
      <c r="BK217" t="s">
        <v>12</v>
      </c>
      <c r="BL217" t="s">
        <v>12</v>
      </c>
      <c r="BM217" t="s">
        <v>12</v>
      </c>
      <c r="BN217" t="s">
        <v>12</v>
      </c>
      <c r="BO217" t="s">
        <v>12</v>
      </c>
      <c r="BP217" t="s">
        <v>12</v>
      </c>
      <c r="BQ217" t="s">
        <v>12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 s="9" t="s">
        <v>12</v>
      </c>
      <c r="CF217" s="28" t="s">
        <v>12</v>
      </c>
      <c r="CG217" s="28" t="s">
        <v>12</v>
      </c>
      <c r="CH217" s="28" t="s">
        <v>12</v>
      </c>
      <c r="CI217" s="28" t="s">
        <v>12</v>
      </c>
      <c r="CJ217" s="28" t="s">
        <v>12</v>
      </c>
      <c r="CK217" s="28" t="s">
        <v>12</v>
      </c>
      <c r="CL217" s="28" t="s">
        <v>12</v>
      </c>
      <c r="CM217" s="28" t="s">
        <v>12</v>
      </c>
      <c r="CN217" s="28" t="s">
        <v>12</v>
      </c>
      <c r="CO217" s="28" t="s">
        <v>12</v>
      </c>
      <c r="CP217" s="28" t="s">
        <v>12</v>
      </c>
      <c r="CQ217" s="28" t="s">
        <v>12</v>
      </c>
      <c r="CR217" s="28" t="s">
        <v>12</v>
      </c>
      <c r="CS217" s="28" t="s">
        <v>12</v>
      </c>
      <c r="CT217" s="28" t="s">
        <v>12</v>
      </c>
      <c r="CU217" s="28" t="s">
        <v>12</v>
      </c>
      <c r="CV217" s="28" t="s">
        <v>12</v>
      </c>
      <c r="CW217" s="28" t="s">
        <v>12</v>
      </c>
      <c r="CX217" s="28" t="s">
        <v>12</v>
      </c>
      <c r="CY217" s="28" t="s">
        <v>12</v>
      </c>
      <c r="CZ217" s="28" t="s">
        <v>12</v>
      </c>
      <c r="DA217" s="28" t="s">
        <v>12</v>
      </c>
      <c r="DB217" s="313">
        <v>2</v>
      </c>
      <c r="DC217" s="313" t="s">
        <v>8</v>
      </c>
      <c r="DD217" s="386" t="s">
        <v>12</v>
      </c>
      <c r="DE217" s="386" t="s">
        <v>12</v>
      </c>
      <c r="DF217" s="386" t="s">
        <v>12</v>
      </c>
      <c r="DG217" s="386" t="s">
        <v>12</v>
      </c>
      <c r="DH217" s="386" t="s">
        <v>12</v>
      </c>
      <c r="DI217" s="386" t="s">
        <v>12</v>
      </c>
      <c r="DJ217" s="386" t="s">
        <v>12</v>
      </c>
      <c r="DK217" s="386" t="s">
        <v>12</v>
      </c>
      <c r="DL217" s="386" t="s">
        <v>12</v>
      </c>
      <c r="DM217" s="386" t="s">
        <v>12</v>
      </c>
      <c r="DN217" s="7" t="s">
        <v>12</v>
      </c>
      <c r="DO217" s="7" t="s">
        <v>12</v>
      </c>
      <c r="DP217" s="7" t="s">
        <v>12</v>
      </c>
      <c r="DQ217" s="7" t="s">
        <v>12</v>
      </c>
      <c r="DR217" s="7" t="s">
        <v>12</v>
      </c>
      <c r="DS217" s="7" t="s">
        <v>12</v>
      </c>
      <c r="DT217" s="7" t="s">
        <v>12</v>
      </c>
      <c r="DU217" s="7" t="s">
        <v>12</v>
      </c>
      <c r="DV217" s="7" t="s">
        <v>12</v>
      </c>
      <c r="DW217" s="7" t="s">
        <v>12</v>
      </c>
      <c r="DY217" s="9">
        <v>37439427</v>
      </c>
      <c r="EI217" s="423" t="s">
        <v>12</v>
      </c>
      <c r="EJ217" s="423" t="s">
        <v>12</v>
      </c>
      <c r="EK217" s="423" t="s">
        <v>12</v>
      </c>
      <c r="EL217" s="423" t="s">
        <v>12</v>
      </c>
      <c r="EM217" s="423" t="s">
        <v>12</v>
      </c>
      <c r="EN217" s="423" t="s">
        <v>12</v>
      </c>
      <c r="EO217" s="423" t="s">
        <v>12</v>
      </c>
      <c r="EP217" s="423" t="s">
        <v>12</v>
      </c>
      <c r="EQ217" s="423" t="s">
        <v>12</v>
      </c>
      <c r="ER217" s="423" t="s">
        <v>12</v>
      </c>
      <c r="ES217" s="438" t="s">
        <v>12</v>
      </c>
      <c r="ET217" s="438" t="s">
        <v>12</v>
      </c>
      <c r="EU217" s="438" t="s">
        <v>12</v>
      </c>
      <c r="EV217" s="438" t="s">
        <v>12</v>
      </c>
      <c r="EW217" s="438" t="s">
        <v>12</v>
      </c>
      <c r="EX217" s="438" t="s">
        <v>12</v>
      </c>
      <c r="EY217" s="438" t="s">
        <v>12</v>
      </c>
      <c r="EZ217" s="438" t="s">
        <v>12</v>
      </c>
      <c r="FA217" s="438" t="s">
        <v>12</v>
      </c>
      <c r="FB217" s="438" t="s">
        <v>12</v>
      </c>
      <c r="FC217" s="346">
        <v>0</v>
      </c>
      <c r="FD217" s="346">
        <v>0</v>
      </c>
      <c r="FE217" s="346">
        <v>0</v>
      </c>
      <c r="FF217" s="346">
        <v>0</v>
      </c>
      <c r="FG217" s="346">
        <v>0</v>
      </c>
      <c r="FH217" s="346">
        <v>0</v>
      </c>
      <c r="FI217" s="346">
        <v>0</v>
      </c>
      <c r="FJ217" s="346">
        <v>0</v>
      </c>
      <c r="FK217" s="346">
        <v>0</v>
      </c>
      <c r="FL217" s="346">
        <v>0</v>
      </c>
    </row>
    <row r="218" spans="1:168" x14ac:dyDescent="0.25">
      <c r="A218" s="238">
        <v>3</v>
      </c>
      <c r="B218" s="238" t="s">
        <v>764</v>
      </c>
      <c r="C218" s="239" t="s">
        <v>11</v>
      </c>
      <c r="D218" s="239" t="s">
        <v>11</v>
      </c>
      <c r="E218" s="239" t="s">
        <v>11</v>
      </c>
      <c r="F218" s="239" t="s">
        <v>11</v>
      </c>
      <c r="G218" s="239" t="s">
        <v>11</v>
      </c>
      <c r="H218" s="239" t="s">
        <v>11</v>
      </c>
      <c r="I218" s="239" t="s">
        <v>11</v>
      </c>
      <c r="J218" s="239" t="s">
        <v>11</v>
      </c>
      <c r="K218" s="239" t="s">
        <v>11</v>
      </c>
      <c r="L218" s="239" t="s">
        <v>11</v>
      </c>
      <c r="N218">
        <v>3</v>
      </c>
      <c r="O218" t="s">
        <v>10</v>
      </c>
      <c r="P218" t="s">
        <v>11</v>
      </c>
      <c r="Q218" t="s">
        <v>7</v>
      </c>
      <c r="R218" s="2" t="s">
        <v>12</v>
      </c>
      <c r="S218" s="2" t="s">
        <v>12</v>
      </c>
      <c r="T218" s="2" t="s">
        <v>12</v>
      </c>
      <c r="U218" s="2" t="s">
        <v>12</v>
      </c>
      <c r="V218" s="2" t="s">
        <v>12</v>
      </c>
      <c r="W218" s="2" t="s">
        <v>12</v>
      </c>
      <c r="X218" s="2" t="s">
        <v>12</v>
      </c>
      <c r="Y218" s="2" t="s">
        <v>12</v>
      </c>
      <c r="Z218" s="2" t="s">
        <v>12</v>
      </c>
      <c r="AA218" s="2" t="s">
        <v>12</v>
      </c>
      <c r="AB218" s="2" t="s">
        <v>12</v>
      </c>
      <c r="AC218" s="2" t="s">
        <v>12</v>
      </c>
      <c r="AD218" t="s">
        <v>12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t="s">
        <v>12</v>
      </c>
      <c r="AR218" t="s">
        <v>12</v>
      </c>
      <c r="AS218" t="s">
        <v>12</v>
      </c>
      <c r="AT218" t="s">
        <v>12</v>
      </c>
      <c r="AU218" t="s">
        <v>12</v>
      </c>
      <c r="AV218" t="s">
        <v>12</v>
      </c>
      <c r="AW218" t="s">
        <v>12</v>
      </c>
      <c r="AX218" t="s">
        <v>12</v>
      </c>
      <c r="AY218" t="s">
        <v>12</v>
      </c>
      <c r="AZ218" t="s">
        <v>12</v>
      </c>
      <c r="BA218" t="s">
        <v>12</v>
      </c>
      <c r="BB218" t="s">
        <v>12</v>
      </c>
      <c r="BC218" t="s">
        <v>12</v>
      </c>
      <c r="BD218" t="s">
        <v>12</v>
      </c>
      <c r="BF218" s="313">
        <v>3</v>
      </c>
      <c r="BG218" s="313" t="s">
        <v>81</v>
      </c>
      <c r="BH218" t="s">
        <v>12</v>
      </c>
      <c r="BI218" t="s">
        <v>12</v>
      </c>
      <c r="BJ218" t="s">
        <v>12</v>
      </c>
      <c r="BK218" t="s">
        <v>12</v>
      </c>
      <c r="BL218" t="s">
        <v>12</v>
      </c>
      <c r="BM218" t="s">
        <v>762</v>
      </c>
      <c r="BN218" t="s">
        <v>12</v>
      </c>
      <c r="BO218" t="s">
        <v>12</v>
      </c>
      <c r="BP218" t="s">
        <v>12</v>
      </c>
      <c r="BQ218" t="s">
        <v>12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 s="9" t="s">
        <v>12</v>
      </c>
      <c r="CF218" s="28" t="s">
        <v>12</v>
      </c>
      <c r="CG218" s="28" t="s">
        <v>12</v>
      </c>
      <c r="CH218" s="28" t="s">
        <v>12</v>
      </c>
      <c r="CI218" s="28" t="s">
        <v>12</v>
      </c>
      <c r="CJ218" s="28" t="s">
        <v>12</v>
      </c>
      <c r="CK218" s="28" t="s">
        <v>12</v>
      </c>
      <c r="CL218" s="28" t="s">
        <v>12</v>
      </c>
      <c r="CM218" s="28" t="s">
        <v>12</v>
      </c>
      <c r="CN218" s="28" t="s">
        <v>12</v>
      </c>
      <c r="CO218" s="28" t="s">
        <v>12</v>
      </c>
      <c r="CP218" s="28" t="s">
        <v>12</v>
      </c>
      <c r="CQ218" s="28" t="s">
        <v>12</v>
      </c>
      <c r="CR218" s="28" t="s">
        <v>12</v>
      </c>
      <c r="CS218" s="28" t="s">
        <v>12</v>
      </c>
      <c r="CT218" s="28" t="s">
        <v>12</v>
      </c>
      <c r="CU218" s="28" t="s">
        <v>12</v>
      </c>
      <c r="CV218" s="28" t="s">
        <v>12</v>
      </c>
      <c r="CW218" s="28" t="s">
        <v>12</v>
      </c>
      <c r="CX218" s="28" t="s">
        <v>12</v>
      </c>
      <c r="CY218" s="28" t="s">
        <v>12</v>
      </c>
      <c r="CZ218" s="28" t="s">
        <v>12</v>
      </c>
      <c r="DA218" s="28" t="s">
        <v>12</v>
      </c>
      <c r="DB218" s="313">
        <v>3</v>
      </c>
      <c r="DC218" s="313" t="s">
        <v>10</v>
      </c>
      <c r="DD218" s="386" t="s">
        <v>12</v>
      </c>
      <c r="DE218" s="386" t="s">
        <v>12</v>
      </c>
      <c r="DF218" s="386" t="s">
        <v>12</v>
      </c>
      <c r="DG218" s="386" t="s">
        <v>12</v>
      </c>
      <c r="DH218" s="386" t="s">
        <v>12</v>
      </c>
      <c r="DI218" s="386" t="s">
        <v>12</v>
      </c>
      <c r="DJ218" s="386" t="s">
        <v>12</v>
      </c>
      <c r="DK218" s="386" t="s">
        <v>12</v>
      </c>
      <c r="DL218" s="386" t="s">
        <v>12</v>
      </c>
      <c r="DM218" s="386" t="s">
        <v>12</v>
      </c>
      <c r="DN218" s="7" t="s">
        <v>12</v>
      </c>
      <c r="DO218" s="7" t="s">
        <v>12</v>
      </c>
      <c r="DP218" s="7" t="s">
        <v>12</v>
      </c>
      <c r="DQ218" s="7" t="s">
        <v>12</v>
      </c>
      <c r="DR218" s="7" t="s">
        <v>12</v>
      </c>
      <c r="DS218" s="7" t="s">
        <v>12</v>
      </c>
      <c r="DT218" s="7" t="s">
        <v>12</v>
      </c>
      <c r="DU218" s="7" t="s">
        <v>12</v>
      </c>
      <c r="DV218" s="7" t="s">
        <v>12</v>
      </c>
      <c r="DW218" s="7" t="s">
        <v>12</v>
      </c>
      <c r="DY218" s="9">
        <v>79316</v>
      </c>
      <c r="EI218" s="423" t="s">
        <v>12</v>
      </c>
      <c r="EJ218" s="423" t="s">
        <v>12</v>
      </c>
      <c r="EK218" s="423" t="s">
        <v>12</v>
      </c>
      <c r="EL218" s="423" t="s">
        <v>12</v>
      </c>
      <c r="EM218" s="423" t="s">
        <v>12</v>
      </c>
      <c r="EN218" s="423" t="s">
        <v>12</v>
      </c>
      <c r="EO218" s="423" t="s">
        <v>12</v>
      </c>
      <c r="EP218" s="423" t="s">
        <v>12</v>
      </c>
      <c r="EQ218" s="423" t="s">
        <v>12</v>
      </c>
      <c r="ER218" s="423" t="s">
        <v>12</v>
      </c>
      <c r="ES218" s="438" t="s">
        <v>12</v>
      </c>
      <c r="ET218" s="438" t="s">
        <v>12</v>
      </c>
      <c r="EU218" s="438" t="s">
        <v>12</v>
      </c>
      <c r="EV218" s="438" t="s">
        <v>12</v>
      </c>
      <c r="EW218" s="438" t="s">
        <v>12</v>
      </c>
      <c r="EX218" s="438" t="s">
        <v>12</v>
      </c>
      <c r="EY218" s="438" t="s">
        <v>12</v>
      </c>
      <c r="EZ218" s="438" t="s">
        <v>12</v>
      </c>
      <c r="FA218" s="438" t="s">
        <v>12</v>
      </c>
      <c r="FB218" s="438" t="s">
        <v>12</v>
      </c>
      <c r="FC218" s="346">
        <v>0</v>
      </c>
      <c r="FD218" s="346">
        <v>0</v>
      </c>
      <c r="FE218" s="346">
        <v>0</v>
      </c>
      <c r="FF218" s="346">
        <v>0</v>
      </c>
      <c r="FG218" s="346">
        <v>0</v>
      </c>
      <c r="FH218" s="346">
        <v>0</v>
      </c>
      <c r="FI218" s="346">
        <v>0</v>
      </c>
      <c r="FJ218" s="346">
        <v>0</v>
      </c>
      <c r="FK218" s="346">
        <v>0</v>
      </c>
      <c r="FL218" s="346">
        <v>0</v>
      </c>
    </row>
    <row r="219" spans="1:168" x14ac:dyDescent="0.25">
      <c r="A219" s="238">
        <v>4</v>
      </c>
      <c r="B219" s="238" t="s">
        <v>765</v>
      </c>
      <c r="C219" s="239" t="s">
        <v>11</v>
      </c>
      <c r="D219" s="239" t="s">
        <v>11</v>
      </c>
      <c r="E219" s="239" t="s">
        <v>11</v>
      </c>
      <c r="F219" s="239" t="s">
        <v>11</v>
      </c>
      <c r="G219" s="239" t="s">
        <v>11</v>
      </c>
      <c r="H219" s="239" t="s">
        <v>11</v>
      </c>
      <c r="I219" s="239" t="s">
        <v>11</v>
      </c>
      <c r="J219" s="239" t="s">
        <v>11</v>
      </c>
      <c r="K219" s="239" t="s">
        <v>11</v>
      </c>
      <c r="L219" s="239" t="s">
        <v>11</v>
      </c>
      <c r="N219">
        <v>4</v>
      </c>
      <c r="O219" t="s">
        <v>13</v>
      </c>
      <c r="P219" t="s">
        <v>13</v>
      </c>
      <c r="Q219" t="s">
        <v>14</v>
      </c>
      <c r="R219" s="2" t="s">
        <v>12</v>
      </c>
      <c r="S219" s="2" t="s">
        <v>12</v>
      </c>
      <c r="T219" s="2" t="s">
        <v>12</v>
      </c>
      <c r="U219" s="2" t="s">
        <v>12</v>
      </c>
      <c r="V219" s="2" t="s">
        <v>12</v>
      </c>
      <c r="W219" s="2" t="s">
        <v>12</v>
      </c>
      <c r="X219" s="2" t="s">
        <v>12</v>
      </c>
      <c r="Y219" s="2" t="s">
        <v>12</v>
      </c>
      <c r="Z219" s="2" t="s">
        <v>12</v>
      </c>
      <c r="AA219" s="2" t="s">
        <v>12</v>
      </c>
      <c r="AB219" s="2" t="s">
        <v>12</v>
      </c>
      <c r="AC219" s="2" t="s">
        <v>12</v>
      </c>
      <c r="AD219" t="s">
        <v>12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t="s">
        <v>12</v>
      </c>
      <c r="AR219" t="s">
        <v>12</v>
      </c>
      <c r="AS219" t="s">
        <v>12</v>
      </c>
      <c r="AT219" t="s">
        <v>12</v>
      </c>
      <c r="AU219" t="s">
        <v>12</v>
      </c>
      <c r="AV219" t="s">
        <v>12</v>
      </c>
      <c r="AW219" t="s">
        <v>12</v>
      </c>
      <c r="AX219" t="s">
        <v>12</v>
      </c>
      <c r="AY219" t="s">
        <v>12</v>
      </c>
      <c r="AZ219" t="s">
        <v>12</v>
      </c>
      <c r="BA219" t="s">
        <v>12</v>
      </c>
      <c r="BB219" t="s">
        <v>12</v>
      </c>
      <c r="BC219" t="s">
        <v>12</v>
      </c>
      <c r="BD219" t="s">
        <v>12</v>
      </c>
      <c r="BF219" s="313">
        <v>4</v>
      </c>
      <c r="BG219" s="313" t="s">
        <v>85</v>
      </c>
      <c r="BH219" t="s">
        <v>766</v>
      </c>
      <c r="BI219" t="s">
        <v>12</v>
      </c>
      <c r="BJ219" t="s">
        <v>766</v>
      </c>
      <c r="BK219" t="s">
        <v>12</v>
      </c>
      <c r="BL219" t="s">
        <v>12</v>
      </c>
      <c r="BM219" t="s">
        <v>766</v>
      </c>
      <c r="BN219" t="s">
        <v>12</v>
      </c>
      <c r="BO219" t="s">
        <v>12</v>
      </c>
      <c r="BP219" t="s">
        <v>12</v>
      </c>
      <c r="BQ219" t="s">
        <v>12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 s="9" t="s">
        <v>12</v>
      </c>
      <c r="CF219" s="28" t="s">
        <v>12</v>
      </c>
      <c r="CG219" s="28" t="s">
        <v>12</v>
      </c>
      <c r="CH219" s="28" t="s">
        <v>12</v>
      </c>
      <c r="CI219" s="28" t="s">
        <v>12</v>
      </c>
      <c r="CJ219" s="28" t="s">
        <v>12</v>
      </c>
      <c r="CK219" s="28" t="s">
        <v>12</v>
      </c>
      <c r="CL219" s="28" t="s">
        <v>12</v>
      </c>
      <c r="CM219" s="28" t="s">
        <v>12</v>
      </c>
      <c r="CN219" s="28" t="s">
        <v>12</v>
      </c>
      <c r="CO219" s="28" t="s">
        <v>12</v>
      </c>
      <c r="CP219" s="28" t="s">
        <v>12</v>
      </c>
      <c r="CQ219" s="28" t="s">
        <v>12</v>
      </c>
      <c r="CR219" s="28" t="s">
        <v>12</v>
      </c>
      <c r="CS219" s="28" t="s">
        <v>12</v>
      </c>
      <c r="CT219" s="28" t="s">
        <v>12</v>
      </c>
      <c r="CU219" s="28" t="s">
        <v>12</v>
      </c>
      <c r="CV219" s="28" t="s">
        <v>12</v>
      </c>
      <c r="CW219" s="28" t="s">
        <v>12</v>
      </c>
      <c r="CX219" s="28" t="s">
        <v>12</v>
      </c>
      <c r="CY219" s="28" t="s">
        <v>12</v>
      </c>
      <c r="CZ219" s="28" t="s">
        <v>12</v>
      </c>
      <c r="DA219" s="28" t="s">
        <v>12</v>
      </c>
      <c r="DB219" s="313">
        <v>4</v>
      </c>
      <c r="DC219" s="313" t="s">
        <v>13</v>
      </c>
      <c r="DD219" s="386" t="s">
        <v>12</v>
      </c>
      <c r="DE219" s="386" t="s">
        <v>12</v>
      </c>
      <c r="DF219" s="386" t="s">
        <v>12</v>
      </c>
      <c r="DG219" s="386" t="s">
        <v>12</v>
      </c>
      <c r="DH219" s="386" t="s">
        <v>12</v>
      </c>
      <c r="DI219" s="386" t="s">
        <v>12</v>
      </c>
      <c r="DJ219" s="386" t="s">
        <v>12</v>
      </c>
      <c r="DK219" s="386" t="s">
        <v>12</v>
      </c>
      <c r="DL219" s="386" t="s">
        <v>12</v>
      </c>
      <c r="DM219" s="386" t="s">
        <v>12</v>
      </c>
      <c r="DN219" s="7" t="s">
        <v>12</v>
      </c>
      <c r="DO219" s="7" t="s">
        <v>12</v>
      </c>
      <c r="DP219" s="7" t="s">
        <v>12</v>
      </c>
      <c r="DQ219" s="7" t="s">
        <v>12</v>
      </c>
      <c r="DR219" s="7" t="s">
        <v>12</v>
      </c>
      <c r="DS219" s="7" t="s">
        <v>12</v>
      </c>
      <c r="DT219" s="7" t="s">
        <v>12</v>
      </c>
      <c r="DU219" s="7" t="s">
        <v>12</v>
      </c>
      <c r="DV219" s="7" t="s">
        <v>12</v>
      </c>
      <c r="DW219" s="7" t="s">
        <v>12</v>
      </c>
      <c r="DY219" s="9">
        <v>22685632</v>
      </c>
      <c r="EI219" s="423" t="s">
        <v>12</v>
      </c>
      <c r="EJ219" s="423" t="s">
        <v>12</v>
      </c>
      <c r="EK219" s="423" t="s">
        <v>12</v>
      </c>
      <c r="EL219" s="423" t="s">
        <v>12</v>
      </c>
      <c r="EM219" s="423" t="s">
        <v>12</v>
      </c>
      <c r="EN219" s="423" t="s">
        <v>12</v>
      </c>
      <c r="EO219" s="423" t="s">
        <v>12</v>
      </c>
      <c r="EP219" s="423" t="s">
        <v>12</v>
      </c>
      <c r="EQ219" s="423" t="s">
        <v>12</v>
      </c>
      <c r="ER219" s="423" t="s">
        <v>12</v>
      </c>
      <c r="ES219" s="438" t="s">
        <v>12</v>
      </c>
      <c r="ET219" s="438" t="s">
        <v>12</v>
      </c>
      <c r="EU219" s="438" t="s">
        <v>12</v>
      </c>
      <c r="EV219" s="438" t="s">
        <v>12</v>
      </c>
      <c r="EW219" s="438" t="s">
        <v>12</v>
      </c>
      <c r="EX219" s="438" t="s">
        <v>12</v>
      </c>
      <c r="EY219" s="438" t="s">
        <v>12</v>
      </c>
      <c r="EZ219" s="438" t="s">
        <v>12</v>
      </c>
      <c r="FA219" s="438" t="s">
        <v>12</v>
      </c>
      <c r="FB219" s="438" t="s">
        <v>12</v>
      </c>
      <c r="FC219" s="346">
        <v>0</v>
      </c>
      <c r="FD219" s="346">
        <v>0</v>
      </c>
      <c r="FE219" s="346">
        <v>0</v>
      </c>
      <c r="FF219" s="346">
        <v>0</v>
      </c>
      <c r="FG219" s="346">
        <v>0</v>
      </c>
      <c r="FH219" s="346">
        <v>0</v>
      </c>
      <c r="FI219" s="346">
        <v>0</v>
      </c>
      <c r="FJ219" s="346">
        <v>0</v>
      </c>
      <c r="FK219" s="346">
        <v>0</v>
      </c>
      <c r="FL219" s="346">
        <v>0</v>
      </c>
    </row>
    <row r="220" spans="1:168" x14ac:dyDescent="0.25">
      <c r="A220" s="238">
        <v>5</v>
      </c>
      <c r="B220" s="238" t="s">
        <v>767</v>
      </c>
      <c r="C220" s="239" t="s">
        <v>11</v>
      </c>
      <c r="D220" s="239" t="s">
        <v>11</v>
      </c>
      <c r="E220" s="239" t="s">
        <v>11</v>
      </c>
      <c r="F220" s="239" t="s">
        <v>11</v>
      </c>
      <c r="G220" s="239" t="s">
        <v>11</v>
      </c>
      <c r="H220" s="239" t="s">
        <v>11</v>
      </c>
      <c r="I220" s="239" t="s">
        <v>11</v>
      </c>
      <c r="J220" s="239" t="s">
        <v>11</v>
      </c>
      <c r="K220" s="239" t="s">
        <v>11</v>
      </c>
      <c r="L220" s="239" t="s">
        <v>11</v>
      </c>
      <c r="N220">
        <v>5</v>
      </c>
      <c r="O220" t="s">
        <v>15</v>
      </c>
      <c r="P220" t="s">
        <v>11</v>
      </c>
      <c r="Q220" t="s">
        <v>16</v>
      </c>
      <c r="R220" s="2" t="s">
        <v>12</v>
      </c>
      <c r="S220" s="2" t="s">
        <v>12</v>
      </c>
      <c r="T220" s="2" t="s">
        <v>12</v>
      </c>
      <c r="U220" s="2" t="s">
        <v>12</v>
      </c>
      <c r="V220" s="2" t="s">
        <v>12</v>
      </c>
      <c r="W220" s="2" t="s">
        <v>12</v>
      </c>
      <c r="X220" s="2" t="s">
        <v>12</v>
      </c>
      <c r="Y220" s="2" t="s">
        <v>12</v>
      </c>
      <c r="Z220" s="2" t="s">
        <v>12</v>
      </c>
      <c r="AA220" s="2" t="s">
        <v>12</v>
      </c>
      <c r="AB220" s="2" t="s">
        <v>12</v>
      </c>
      <c r="AC220" s="2" t="s">
        <v>12</v>
      </c>
      <c r="AD220" t="s">
        <v>12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t="s">
        <v>12</v>
      </c>
      <c r="AR220" t="s">
        <v>12</v>
      </c>
      <c r="AS220" t="s">
        <v>12</v>
      </c>
      <c r="AT220" t="s">
        <v>12</v>
      </c>
      <c r="AU220" t="s">
        <v>12</v>
      </c>
      <c r="AV220" t="s">
        <v>12</v>
      </c>
      <c r="AW220" t="s">
        <v>12</v>
      </c>
      <c r="AX220" t="s">
        <v>12</v>
      </c>
      <c r="AY220" t="s">
        <v>12</v>
      </c>
      <c r="AZ220" t="s">
        <v>12</v>
      </c>
      <c r="BA220" t="s">
        <v>12</v>
      </c>
      <c r="BB220" t="s">
        <v>12</v>
      </c>
      <c r="BC220" t="s">
        <v>12</v>
      </c>
      <c r="BD220" t="s">
        <v>12</v>
      </c>
      <c r="BF220" s="313">
        <v>5</v>
      </c>
      <c r="BG220" s="313" t="s">
        <v>104</v>
      </c>
      <c r="BH220" t="s">
        <v>12</v>
      </c>
      <c r="BI220" t="s">
        <v>12</v>
      </c>
      <c r="BJ220" t="s">
        <v>12</v>
      </c>
      <c r="BK220" t="s">
        <v>12</v>
      </c>
      <c r="BL220" t="s">
        <v>766</v>
      </c>
      <c r="BM220" t="s">
        <v>12</v>
      </c>
      <c r="BN220" t="s">
        <v>12</v>
      </c>
      <c r="BO220" t="s">
        <v>12</v>
      </c>
      <c r="BP220" t="s">
        <v>12</v>
      </c>
      <c r="BQ220" t="s">
        <v>12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 s="9" t="s">
        <v>12</v>
      </c>
      <c r="CF220" s="28" t="s">
        <v>12</v>
      </c>
      <c r="CG220" s="28" t="s">
        <v>12</v>
      </c>
      <c r="CH220" s="28" t="s">
        <v>12</v>
      </c>
      <c r="CI220" s="28" t="s">
        <v>12</v>
      </c>
      <c r="CJ220" s="28" t="s">
        <v>12</v>
      </c>
      <c r="CK220" s="28" t="s">
        <v>12</v>
      </c>
      <c r="CL220" s="28" t="s">
        <v>12</v>
      </c>
      <c r="CM220" s="28" t="s">
        <v>12</v>
      </c>
      <c r="CN220" s="28" t="s">
        <v>12</v>
      </c>
      <c r="CO220" s="28" t="s">
        <v>12</v>
      </c>
      <c r="CP220" s="28" t="s">
        <v>12</v>
      </c>
      <c r="CQ220" s="28" t="s">
        <v>12</v>
      </c>
      <c r="CR220" s="28" t="s">
        <v>12</v>
      </c>
      <c r="CS220" s="28" t="s">
        <v>12</v>
      </c>
      <c r="CT220" s="28" t="s">
        <v>12</v>
      </c>
      <c r="CU220" s="28" t="s">
        <v>12</v>
      </c>
      <c r="CV220" s="28" t="s">
        <v>12</v>
      </c>
      <c r="CW220" s="28" t="s">
        <v>12</v>
      </c>
      <c r="CX220" s="28" t="s">
        <v>12</v>
      </c>
      <c r="CY220" s="28" t="s">
        <v>12</v>
      </c>
      <c r="CZ220" s="28" t="s">
        <v>12</v>
      </c>
      <c r="DA220" s="28" t="s">
        <v>12</v>
      </c>
      <c r="DB220" s="313">
        <v>5</v>
      </c>
      <c r="DC220" s="313" t="s">
        <v>15</v>
      </c>
      <c r="DD220" s="386" t="s">
        <v>12</v>
      </c>
      <c r="DE220" s="386" t="s">
        <v>12</v>
      </c>
      <c r="DF220" s="386" t="s">
        <v>12</v>
      </c>
      <c r="DG220" s="386" t="s">
        <v>12</v>
      </c>
      <c r="DH220" s="386" t="s">
        <v>12</v>
      </c>
      <c r="DI220" s="386" t="s">
        <v>12</v>
      </c>
      <c r="DJ220" s="386" t="s">
        <v>12</v>
      </c>
      <c r="DK220" s="386" t="s">
        <v>12</v>
      </c>
      <c r="DL220" s="386" t="s">
        <v>12</v>
      </c>
      <c r="DM220" s="386" t="s">
        <v>12</v>
      </c>
      <c r="DN220" s="7" t="s">
        <v>12</v>
      </c>
      <c r="DO220" s="7" t="s">
        <v>12</v>
      </c>
      <c r="DP220" s="7" t="s">
        <v>12</v>
      </c>
      <c r="DQ220" s="7" t="s">
        <v>12</v>
      </c>
      <c r="DR220" s="7" t="s">
        <v>12</v>
      </c>
      <c r="DS220" s="7" t="s">
        <v>12</v>
      </c>
      <c r="DT220" s="7" t="s">
        <v>12</v>
      </c>
      <c r="DU220" s="7" t="s">
        <v>12</v>
      </c>
      <c r="DV220" s="7" t="s">
        <v>12</v>
      </c>
      <c r="DW220" s="7" t="s">
        <v>12</v>
      </c>
      <c r="DY220" s="9" t="s">
        <v>11</v>
      </c>
      <c r="EI220" s="423" t="s">
        <v>12</v>
      </c>
      <c r="EJ220" s="423" t="s">
        <v>12</v>
      </c>
      <c r="EK220" s="423" t="s">
        <v>12</v>
      </c>
      <c r="EL220" s="423" t="s">
        <v>12</v>
      </c>
      <c r="EM220" s="423" t="s">
        <v>12</v>
      </c>
      <c r="EN220" s="423" t="s">
        <v>12</v>
      </c>
      <c r="EO220" s="423" t="s">
        <v>12</v>
      </c>
      <c r="EP220" s="423" t="s">
        <v>12</v>
      </c>
      <c r="EQ220" s="423" t="s">
        <v>12</v>
      </c>
      <c r="ER220" s="423" t="s">
        <v>12</v>
      </c>
      <c r="ES220" s="438" t="s">
        <v>12</v>
      </c>
      <c r="ET220" s="438" t="s">
        <v>12</v>
      </c>
      <c r="EU220" s="438" t="s">
        <v>12</v>
      </c>
      <c r="EV220" s="438" t="s">
        <v>12</v>
      </c>
      <c r="EW220" s="438" t="s">
        <v>12</v>
      </c>
      <c r="EX220" s="438" t="s">
        <v>12</v>
      </c>
      <c r="EY220" s="438" t="s">
        <v>12</v>
      </c>
      <c r="EZ220" s="438" t="s">
        <v>12</v>
      </c>
      <c r="FA220" s="438" t="s">
        <v>12</v>
      </c>
      <c r="FB220" s="438" t="s">
        <v>12</v>
      </c>
      <c r="FC220" s="346">
        <v>0</v>
      </c>
      <c r="FD220" s="346">
        <v>0</v>
      </c>
      <c r="FE220" s="346">
        <v>0</v>
      </c>
      <c r="FF220" s="346">
        <v>0</v>
      </c>
      <c r="FG220" s="346">
        <v>0</v>
      </c>
      <c r="FH220" s="346">
        <v>0</v>
      </c>
      <c r="FI220" s="346">
        <v>0</v>
      </c>
      <c r="FJ220" s="346">
        <v>0</v>
      </c>
      <c r="FK220" s="346">
        <v>0</v>
      </c>
      <c r="FL220" s="346">
        <v>0</v>
      </c>
    </row>
    <row r="221" spans="1:168" x14ac:dyDescent="0.25">
      <c r="A221" s="238">
        <v>6</v>
      </c>
      <c r="B221" s="238" t="s">
        <v>768</v>
      </c>
      <c r="C221" s="239" t="s">
        <v>11</v>
      </c>
      <c r="D221" s="239" t="s">
        <v>11</v>
      </c>
      <c r="E221" s="239" t="s">
        <v>11</v>
      </c>
      <c r="F221" s="239" t="s">
        <v>11</v>
      </c>
      <c r="G221" s="239" t="s">
        <v>11</v>
      </c>
      <c r="H221" s="239" t="s">
        <v>11</v>
      </c>
      <c r="I221" s="239" t="s">
        <v>11</v>
      </c>
      <c r="J221" s="239" t="s">
        <v>11</v>
      </c>
      <c r="K221" s="239" t="s">
        <v>11</v>
      </c>
      <c r="L221" s="239" t="s">
        <v>11</v>
      </c>
      <c r="N221">
        <v>6</v>
      </c>
      <c r="O221" t="s">
        <v>17</v>
      </c>
      <c r="P221" t="s">
        <v>17</v>
      </c>
      <c r="Q221" t="s">
        <v>18</v>
      </c>
      <c r="R221" s="2" t="s">
        <v>12</v>
      </c>
      <c r="S221" s="2" t="s">
        <v>12</v>
      </c>
      <c r="T221" s="2" t="s">
        <v>12</v>
      </c>
      <c r="U221" s="2" t="s">
        <v>12</v>
      </c>
      <c r="V221" s="2" t="s">
        <v>12</v>
      </c>
      <c r="W221" s="2" t="s">
        <v>12</v>
      </c>
      <c r="X221" s="2" t="s">
        <v>12</v>
      </c>
      <c r="Y221" s="2" t="s">
        <v>12</v>
      </c>
      <c r="Z221" s="2" t="s">
        <v>12</v>
      </c>
      <c r="AA221" s="2" t="s">
        <v>12</v>
      </c>
      <c r="AB221" s="2" t="s">
        <v>12</v>
      </c>
      <c r="AC221" s="2" t="s">
        <v>12</v>
      </c>
      <c r="AD221" t="s">
        <v>12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t="s">
        <v>12</v>
      </c>
      <c r="AR221" t="s">
        <v>12</v>
      </c>
      <c r="AS221" t="s">
        <v>12</v>
      </c>
      <c r="AT221" t="s">
        <v>12</v>
      </c>
      <c r="AU221" t="s">
        <v>12</v>
      </c>
      <c r="AV221" t="s">
        <v>12</v>
      </c>
      <c r="AW221" t="s">
        <v>12</v>
      </c>
      <c r="AX221" t="s">
        <v>12</v>
      </c>
      <c r="AY221" t="s">
        <v>12</v>
      </c>
      <c r="AZ221" t="s">
        <v>12</v>
      </c>
      <c r="BA221" t="s">
        <v>12</v>
      </c>
      <c r="BB221" t="s">
        <v>12</v>
      </c>
      <c r="BC221" t="s">
        <v>12</v>
      </c>
      <c r="BD221" t="s">
        <v>12</v>
      </c>
      <c r="BF221" s="313">
        <v>6</v>
      </c>
      <c r="BG221" s="313" t="s">
        <v>128</v>
      </c>
      <c r="BH221" t="s">
        <v>12</v>
      </c>
      <c r="BI221" t="s">
        <v>769</v>
      </c>
      <c r="BJ221" t="s">
        <v>12</v>
      </c>
      <c r="BK221" t="s">
        <v>12</v>
      </c>
      <c r="BL221" t="s">
        <v>12</v>
      </c>
      <c r="BM221" t="s">
        <v>12</v>
      </c>
      <c r="BN221" t="s">
        <v>12</v>
      </c>
      <c r="BO221" t="s">
        <v>12</v>
      </c>
      <c r="BP221" t="s">
        <v>12</v>
      </c>
      <c r="BQ221" t="s">
        <v>12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 s="9" t="s">
        <v>12</v>
      </c>
      <c r="CF221" s="28" t="s">
        <v>12</v>
      </c>
      <c r="CG221" s="28" t="s">
        <v>12</v>
      </c>
      <c r="CH221" s="28" t="s">
        <v>12</v>
      </c>
      <c r="CI221" s="28" t="s">
        <v>12</v>
      </c>
      <c r="CJ221" s="28" t="s">
        <v>12</v>
      </c>
      <c r="CK221" s="28" t="s">
        <v>12</v>
      </c>
      <c r="CL221" s="28" t="s">
        <v>12</v>
      </c>
      <c r="CM221" s="28" t="s">
        <v>12</v>
      </c>
      <c r="CN221" s="28" t="s">
        <v>12</v>
      </c>
      <c r="CO221" s="28" t="s">
        <v>12</v>
      </c>
      <c r="CP221" s="28" t="s">
        <v>12</v>
      </c>
      <c r="CQ221" s="28" t="s">
        <v>12</v>
      </c>
      <c r="CR221" s="28" t="s">
        <v>12</v>
      </c>
      <c r="CS221" s="28" t="s">
        <v>12</v>
      </c>
      <c r="CT221" s="28" t="s">
        <v>12</v>
      </c>
      <c r="CU221" s="28" t="s">
        <v>12</v>
      </c>
      <c r="CV221" s="28" t="s">
        <v>12</v>
      </c>
      <c r="CW221" s="28" t="s">
        <v>12</v>
      </c>
      <c r="CX221" s="28" t="s">
        <v>12</v>
      </c>
      <c r="CY221" s="28" t="s">
        <v>12</v>
      </c>
      <c r="CZ221" s="28" t="s">
        <v>12</v>
      </c>
      <c r="DA221" s="28" t="s">
        <v>12</v>
      </c>
      <c r="DB221" s="313">
        <v>6</v>
      </c>
      <c r="DC221" s="313" t="s">
        <v>17</v>
      </c>
      <c r="DD221" s="386" t="s">
        <v>12</v>
      </c>
      <c r="DE221" s="386" t="s">
        <v>12</v>
      </c>
      <c r="DF221" s="386" t="s">
        <v>12</v>
      </c>
      <c r="DG221" s="386" t="s">
        <v>12</v>
      </c>
      <c r="DH221" s="386" t="s">
        <v>12</v>
      </c>
      <c r="DI221" s="386" t="s">
        <v>12</v>
      </c>
      <c r="DJ221" s="386" t="s">
        <v>12</v>
      </c>
      <c r="DK221" s="386" t="s">
        <v>12</v>
      </c>
      <c r="DL221" s="386" t="s">
        <v>12</v>
      </c>
      <c r="DM221" s="386" t="s">
        <v>12</v>
      </c>
      <c r="DN221" s="7" t="s">
        <v>12</v>
      </c>
      <c r="DO221" s="7" t="s">
        <v>12</v>
      </c>
      <c r="DP221" s="7" t="s">
        <v>12</v>
      </c>
      <c r="DQ221" s="7" t="s">
        <v>12</v>
      </c>
      <c r="DR221" s="7" t="s">
        <v>12</v>
      </c>
      <c r="DS221" s="7" t="s">
        <v>12</v>
      </c>
      <c r="DT221" s="7" t="s">
        <v>12</v>
      </c>
      <c r="DU221" s="7" t="s">
        <v>12</v>
      </c>
      <c r="DV221" s="7" t="s">
        <v>12</v>
      </c>
      <c r="DW221" s="7" t="s">
        <v>12</v>
      </c>
      <c r="DY221" s="9">
        <v>42095224</v>
      </c>
      <c r="EI221" s="423" t="s">
        <v>12</v>
      </c>
      <c r="EJ221" s="423" t="s">
        <v>12</v>
      </c>
      <c r="EK221" s="423" t="s">
        <v>12</v>
      </c>
      <c r="EL221" s="423" t="s">
        <v>12</v>
      </c>
      <c r="EM221" s="423" t="s">
        <v>12</v>
      </c>
      <c r="EN221" s="423" t="s">
        <v>12</v>
      </c>
      <c r="EO221" s="423" t="s">
        <v>12</v>
      </c>
      <c r="EP221" s="423" t="s">
        <v>12</v>
      </c>
      <c r="EQ221" s="423" t="s">
        <v>12</v>
      </c>
      <c r="ER221" s="423" t="s">
        <v>12</v>
      </c>
      <c r="ES221" s="438" t="s">
        <v>12</v>
      </c>
      <c r="ET221" s="438" t="s">
        <v>12</v>
      </c>
      <c r="EU221" s="438" t="s">
        <v>12</v>
      </c>
      <c r="EV221" s="438" t="s">
        <v>12</v>
      </c>
      <c r="EW221" s="438" t="s">
        <v>12</v>
      </c>
      <c r="EX221" s="438" t="s">
        <v>12</v>
      </c>
      <c r="EY221" s="438" t="s">
        <v>12</v>
      </c>
      <c r="EZ221" s="438" t="s">
        <v>12</v>
      </c>
      <c r="FA221" s="438" t="s">
        <v>12</v>
      </c>
      <c r="FB221" s="438" t="s">
        <v>12</v>
      </c>
      <c r="FC221" s="346">
        <v>0</v>
      </c>
      <c r="FD221" s="346">
        <v>0</v>
      </c>
      <c r="FE221" s="346">
        <v>0</v>
      </c>
      <c r="FF221" s="346">
        <v>0</v>
      </c>
      <c r="FG221" s="346">
        <v>0</v>
      </c>
      <c r="FH221" s="346">
        <v>0</v>
      </c>
      <c r="FI221" s="346">
        <v>0</v>
      </c>
      <c r="FJ221" s="346">
        <v>0</v>
      </c>
      <c r="FK221" s="346">
        <v>0</v>
      </c>
      <c r="FL221" s="346">
        <v>0</v>
      </c>
    </row>
    <row r="222" spans="1:168" x14ac:dyDescent="0.25">
      <c r="A222" s="238">
        <v>7</v>
      </c>
      <c r="B222" s="238" t="s">
        <v>770</v>
      </c>
      <c r="C222" s="239" t="s">
        <v>11</v>
      </c>
      <c r="D222" s="239" t="s">
        <v>11</v>
      </c>
      <c r="E222" s="239" t="s">
        <v>11</v>
      </c>
      <c r="F222" s="239" t="s">
        <v>11</v>
      </c>
      <c r="G222" s="239" t="s">
        <v>11</v>
      </c>
      <c r="H222" s="239" t="s">
        <v>11</v>
      </c>
      <c r="I222" s="239" t="s">
        <v>11</v>
      </c>
      <c r="J222" s="239" t="s">
        <v>11</v>
      </c>
      <c r="K222" s="239" t="s">
        <v>11</v>
      </c>
      <c r="L222" s="239" t="s">
        <v>11</v>
      </c>
      <c r="N222">
        <v>7</v>
      </c>
      <c r="O222" t="s">
        <v>19</v>
      </c>
      <c r="P222" t="s">
        <v>19</v>
      </c>
      <c r="Q222" t="s">
        <v>7</v>
      </c>
      <c r="R222" s="2" t="s">
        <v>12</v>
      </c>
      <c r="S222" s="2" t="s">
        <v>12</v>
      </c>
      <c r="T222" s="2" t="s">
        <v>12</v>
      </c>
      <c r="U222" s="2" t="s">
        <v>12</v>
      </c>
      <c r="V222" s="2" t="s">
        <v>12</v>
      </c>
      <c r="W222" s="2" t="s">
        <v>12</v>
      </c>
      <c r="X222" s="2" t="s">
        <v>12</v>
      </c>
      <c r="Y222" s="2" t="s">
        <v>12</v>
      </c>
      <c r="Z222" s="2" t="s">
        <v>12</v>
      </c>
      <c r="AA222" s="2" t="s">
        <v>12</v>
      </c>
      <c r="AB222" s="2" t="s">
        <v>12</v>
      </c>
      <c r="AC222" s="2" t="s">
        <v>12</v>
      </c>
      <c r="AD222" t="s">
        <v>12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t="s">
        <v>12</v>
      </c>
      <c r="AR222" t="s">
        <v>12</v>
      </c>
      <c r="AS222" t="s">
        <v>12</v>
      </c>
      <c r="AT222" t="s">
        <v>12</v>
      </c>
      <c r="AU222" t="s">
        <v>12</v>
      </c>
      <c r="AV222" t="s">
        <v>12</v>
      </c>
      <c r="AW222" t="s">
        <v>12</v>
      </c>
      <c r="AX222" t="s">
        <v>12</v>
      </c>
      <c r="AY222" t="s">
        <v>12</v>
      </c>
      <c r="AZ222" t="s">
        <v>12</v>
      </c>
      <c r="BA222" t="s">
        <v>12</v>
      </c>
      <c r="BB222" t="s">
        <v>12</v>
      </c>
      <c r="BC222" t="s">
        <v>12</v>
      </c>
      <c r="BD222" t="s">
        <v>12</v>
      </c>
      <c r="BF222" s="313">
        <v>7</v>
      </c>
      <c r="BG222" s="313" t="s">
        <v>143</v>
      </c>
      <c r="BH222" t="s">
        <v>762</v>
      </c>
      <c r="BI222" t="s">
        <v>12</v>
      </c>
      <c r="BJ222" t="s">
        <v>12</v>
      </c>
      <c r="BK222" t="s">
        <v>12</v>
      </c>
      <c r="BL222" t="s">
        <v>12</v>
      </c>
      <c r="BM222" t="s">
        <v>12</v>
      </c>
      <c r="BN222" t="s">
        <v>12</v>
      </c>
      <c r="BO222" t="s">
        <v>12</v>
      </c>
      <c r="BP222" t="s">
        <v>12</v>
      </c>
      <c r="BQ222" t="s">
        <v>12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 s="9" t="s">
        <v>12</v>
      </c>
      <c r="CF222" s="28" t="s">
        <v>12</v>
      </c>
      <c r="CG222" s="28" t="s">
        <v>12</v>
      </c>
      <c r="CH222" s="28" t="s">
        <v>12</v>
      </c>
      <c r="CI222" s="28" t="s">
        <v>12</v>
      </c>
      <c r="CJ222" s="28" t="s">
        <v>12</v>
      </c>
      <c r="CK222" s="28" t="s">
        <v>12</v>
      </c>
      <c r="CL222" s="28" t="s">
        <v>12</v>
      </c>
      <c r="CM222" s="28" t="s">
        <v>12</v>
      </c>
      <c r="CN222" s="28" t="s">
        <v>12</v>
      </c>
      <c r="CO222" s="28" t="s">
        <v>12</v>
      </c>
      <c r="CP222" s="28" t="s">
        <v>12</v>
      </c>
      <c r="CQ222" s="28" t="s">
        <v>12</v>
      </c>
      <c r="CR222" s="28" t="s">
        <v>12</v>
      </c>
      <c r="CS222" s="28" t="s">
        <v>12</v>
      </c>
      <c r="CT222" s="28" t="s">
        <v>12</v>
      </c>
      <c r="CU222" s="28" t="s">
        <v>12</v>
      </c>
      <c r="CV222" s="28" t="s">
        <v>12</v>
      </c>
      <c r="CW222" s="28" t="s">
        <v>12</v>
      </c>
      <c r="CX222" s="28" t="s">
        <v>12</v>
      </c>
      <c r="CY222" s="28" t="s">
        <v>12</v>
      </c>
      <c r="CZ222" s="28" t="s">
        <v>12</v>
      </c>
      <c r="DA222" s="28" t="s">
        <v>12</v>
      </c>
      <c r="DB222" s="313">
        <v>7</v>
      </c>
      <c r="DC222" s="313" t="s">
        <v>19</v>
      </c>
      <c r="DD222" s="386" t="s">
        <v>12</v>
      </c>
      <c r="DE222" s="386" t="s">
        <v>12</v>
      </c>
      <c r="DF222" s="386" t="s">
        <v>12</v>
      </c>
      <c r="DG222" s="386" t="s">
        <v>12</v>
      </c>
      <c r="DH222" s="386" t="s">
        <v>12</v>
      </c>
      <c r="DI222" s="386" t="s">
        <v>12</v>
      </c>
      <c r="DJ222" s="386" t="s">
        <v>12</v>
      </c>
      <c r="DK222" s="386" t="s">
        <v>12</v>
      </c>
      <c r="DL222" s="386" t="s">
        <v>12</v>
      </c>
      <c r="DM222" s="386" t="s">
        <v>12</v>
      </c>
      <c r="DN222" s="7" t="s">
        <v>12</v>
      </c>
      <c r="DO222" s="7" t="s">
        <v>12</v>
      </c>
      <c r="DP222" s="7" t="s">
        <v>12</v>
      </c>
      <c r="DQ222" s="7" t="s">
        <v>12</v>
      </c>
      <c r="DR222" s="7" t="s">
        <v>12</v>
      </c>
      <c r="DS222" s="7" t="s">
        <v>12</v>
      </c>
      <c r="DT222" s="7" t="s">
        <v>12</v>
      </c>
      <c r="DU222" s="7" t="s">
        <v>12</v>
      </c>
      <c r="DV222" s="7" t="s">
        <v>12</v>
      </c>
      <c r="DW222" s="7" t="s">
        <v>12</v>
      </c>
      <c r="DY222" s="9">
        <v>2978339</v>
      </c>
      <c r="EI222" s="423" t="s">
        <v>12</v>
      </c>
      <c r="EJ222" s="423" t="s">
        <v>12</v>
      </c>
      <c r="EK222" s="423" t="s">
        <v>12</v>
      </c>
      <c r="EL222" s="423" t="s">
        <v>12</v>
      </c>
      <c r="EM222" s="423" t="s">
        <v>12</v>
      </c>
      <c r="EN222" s="423" t="s">
        <v>12</v>
      </c>
      <c r="EO222" s="423" t="s">
        <v>12</v>
      </c>
      <c r="EP222" s="423" t="s">
        <v>12</v>
      </c>
      <c r="EQ222" s="423" t="s">
        <v>12</v>
      </c>
      <c r="ER222" s="423" t="s">
        <v>12</v>
      </c>
      <c r="ES222" s="438" t="s">
        <v>12</v>
      </c>
      <c r="ET222" s="438" t="s">
        <v>12</v>
      </c>
      <c r="EU222" s="438" t="s">
        <v>12</v>
      </c>
      <c r="EV222" s="438" t="s">
        <v>12</v>
      </c>
      <c r="EW222" s="438" t="s">
        <v>12</v>
      </c>
      <c r="EX222" s="438" t="s">
        <v>12</v>
      </c>
      <c r="EY222" s="438" t="s">
        <v>12</v>
      </c>
      <c r="EZ222" s="438" t="s">
        <v>12</v>
      </c>
      <c r="FA222" s="438" t="s">
        <v>12</v>
      </c>
      <c r="FB222" s="438" t="s">
        <v>12</v>
      </c>
      <c r="FC222" s="346">
        <v>0</v>
      </c>
      <c r="FD222" s="346">
        <v>0</v>
      </c>
      <c r="FE222" s="346">
        <v>0</v>
      </c>
      <c r="FF222" s="346">
        <v>0</v>
      </c>
      <c r="FG222" s="346">
        <v>0</v>
      </c>
      <c r="FH222" s="346">
        <v>0</v>
      </c>
      <c r="FI222" s="346">
        <v>0</v>
      </c>
      <c r="FJ222" s="346">
        <v>0</v>
      </c>
      <c r="FK222" s="346">
        <v>0</v>
      </c>
      <c r="FL222" s="346">
        <v>0</v>
      </c>
    </row>
    <row r="223" spans="1:168" x14ac:dyDescent="0.25">
      <c r="A223" s="238">
        <v>8</v>
      </c>
      <c r="B223" s="238" t="s">
        <v>771</v>
      </c>
      <c r="C223" s="239" t="s">
        <v>11</v>
      </c>
      <c r="D223" s="239" t="s">
        <v>11</v>
      </c>
      <c r="E223" s="239" t="s">
        <v>11</v>
      </c>
      <c r="F223" s="239" t="s">
        <v>11</v>
      </c>
      <c r="G223" s="239" t="s">
        <v>11</v>
      </c>
      <c r="H223" s="239" t="s">
        <v>11</v>
      </c>
      <c r="I223" s="239" t="s">
        <v>11</v>
      </c>
      <c r="J223" s="239" t="s">
        <v>11</v>
      </c>
      <c r="K223" s="239" t="s">
        <v>11</v>
      </c>
      <c r="L223" s="239" t="s">
        <v>11</v>
      </c>
      <c r="N223">
        <v>8</v>
      </c>
      <c r="O223" t="s">
        <v>20</v>
      </c>
      <c r="P223" t="s">
        <v>20</v>
      </c>
      <c r="Q223" t="s">
        <v>21</v>
      </c>
      <c r="R223" s="2" t="s">
        <v>12</v>
      </c>
      <c r="S223" s="2" t="s">
        <v>12</v>
      </c>
      <c r="T223" s="2" t="s">
        <v>12</v>
      </c>
      <c r="U223" s="2" t="s">
        <v>12</v>
      </c>
      <c r="V223" s="2" t="s">
        <v>12</v>
      </c>
      <c r="W223" s="2" t="s">
        <v>12</v>
      </c>
      <c r="X223" s="2" t="s">
        <v>12</v>
      </c>
      <c r="Y223" s="2" t="s">
        <v>12</v>
      </c>
      <c r="Z223" s="2" t="s">
        <v>12</v>
      </c>
      <c r="AA223" s="2" t="s">
        <v>12</v>
      </c>
      <c r="AB223" s="2" t="s">
        <v>12</v>
      </c>
      <c r="AC223" s="2" t="s">
        <v>12</v>
      </c>
      <c r="AD223" t="s">
        <v>12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t="s">
        <v>12</v>
      </c>
      <c r="AR223" t="s">
        <v>12</v>
      </c>
      <c r="AS223" t="s">
        <v>12</v>
      </c>
      <c r="AT223" t="s">
        <v>12</v>
      </c>
      <c r="AU223" t="s">
        <v>12</v>
      </c>
      <c r="AV223" t="s">
        <v>12</v>
      </c>
      <c r="AW223" t="s">
        <v>12</v>
      </c>
      <c r="AX223" t="s">
        <v>12</v>
      </c>
      <c r="AY223" t="s">
        <v>12</v>
      </c>
      <c r="AZ223" t="s">
        <v>12</v>
      </c>
      <c r="BA223" t="s">
        <v>12</v>
      </c>
      <c r="BB223" t="s">
        <v>12</v>
      </c>
      <c r="BC223" t="s">
        <v>12</v>
      </c>
      <c r="BD223" t="s">
        <v>12</v>
      </c>
      <c r="BF223" s="313">
        <v>8</v>
      </c>
      <c r="BG223" s="313" t="s">
        <v>178</v>
      </c>
      <c r="BH223" t="s">
        <v>12</v>
      </c>
      <c r="BI223" t="s">
        <v>12</v>
      </c>
      <c r="BJ223" t="s">
        <v>12</v>
      </c>
      <c r="BK223" t="s">
        <v>12</v>
      </c>
      <c r="BL223" t="s">
        <v>762</v>
      </c>
      <c r="BM223" t="s">
        <v>12</v>
      </c>
      <c r="BN223" t="s">
        <v>12</v>
      </c>
      <c r="BO223" t="s">
        <v>12</v>
      </c>
      <c r="BP223" t="s">
        <v>12</v>
      </c>
      <c r="BQ223" t="s">
        <v>12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 s="9" t="s">
        <v>12</v>
      </c>
      <c r="CF223" s="28" t="s">
        <v>12</v>
      </c>
      <c r="CG223" s="28" t="s">
        <v>12</v>
      </c>
      <c r="CH223" s="28" t="s">
        <v>12</v>
      </c>
      <c r="CI223" s="28" t="s">
        <v>12</v>
      </c>
      <c r="CJ223" s="28" t="s">
        <v>12</v>
      </c>
      <c r="CK223" s="28" t="s">
        <v>12</v>
      </c>
      <c r="CL223" s="28" t="s">
        <v>12</v>
      </c>
      <c r="CM223" s="28" t="s">
        <v>12</v>
      </c>
      <c r="CN223" s="28" t="s">
        <v>12</v>
      </c>
      <c r="CO223" s="28" t="s">
        <v>12</v>
      </c>
      <c r="CP223" s="28" t="s">
        <v>12</v>
      </c>
      <c r="CQ223" s="28" t="s">
        <v>12</v>
      </c>
      <c r="CR223" s="28" t="s">
        <v>12</v>
      </c>
      <c r="CS223" s="28" t="s">
        <v>12</v>
      </c>
      <c r="CT223" s="28" t="s">
        <v>12</v>
      </c>
      <c r="CU223" s="28" t="s">
        <v>12</v>
      </c>
      <c r="CV223" s="28" t="s">
        <v>12</v>
      </c>
      <c r="CW223" s="28" t="s">
        <v>12</v>
      </c>
      <c r="CX223" s="28" t="s">
        <v>12</v>
      </c>
      <c r="CY223" s="28" t="s">
        <v>12</v>
      </c>
      <c r="CZ223" s="28" t="s">
        <v>12</v>
      </c>
      <c r="DA223" s="28" t="s">
        <v>12</v>
      </c>
      <c r="DB223" s="313">
        <v>8</v>
      </c>
      <c r="DC223" s="313" t="s">
        <v>20</v>
      </c>
      <c r="DD223" s="386" t="s">
        <v>12</v>
      </c>
      <c r="DE223" s="386" t="s">
        <v>12</v>
      </c>
      <c r="DF223" s="386" t="s">
        <v>12</v>
      </c>
      <c r="DG223" s="386" t="s">
        <v>12</v>
      </c>
      <c r="DH223" s="386" t="s">
        <v>12</v>
      </c>
      <c r="DI223" s="386" t="s">
        <v>12</v>
      </c>
      <c r="DJ223" s="386" t="s">
        <v>12</v>
      </c>
      <c r="DK223" s="386" t="s">
        <v>12</v>
      </c>
      <c r="DL223" s="386" t="s">
        <v>12</v>
      </c>
      <c r="DM223" s="386" t="s">
        <v>12</v>
      </c>
      <c r="DN223" s="7" t="s">
        <v>12</v>
      </c>
      <c r="DO223" s="7" t="s">
        <v>12</v>
      </c>
      <c r="DP223" s="7" t="s">
        <v>12</v>
      </c>
      <c r="DQ223" s="7" t="s">
        <v>12</v>
      </c>
      <c r="DR223" s="7" t="s">
        <v>12</v>
      </c>
      <c r="DS223" s="7" t="s">
        <v>12</v>
      </c>
      <c r="DT223" s="7" t="s">
        <v>12</v>
      </c>
      <c r="DU223" s="7" t="s">
        <v>12</v>
      </c>
      <c r="DV223" s="7" t="s">
        <v>12</v>
      </c>
      <c r="DW223" s="7" t="s">
        <v>12</v>
      </c>
      <c r="DY223" s="9">
        <v>22728254</v>
      </c>
      <c r="EI223" s="423" t="s">
        <v>12</v>
      </c>
      <c r="EJ223" s="423" t="s">
        <v>12</v>
      </c>
      <c r="EK223" s="423" t="s">
        <v>12</v>
      </c>
      <c r="EL223" s="423" t="s">
        <v>12</v>
      </c>
      <c r="EM223" s="423" t="s">
        <v>12</v>
      </c>
      <c r="EN223" s="423" t="s">
        <v>12</v>
      </c>
      <c r="EO223" s="423" t="s">
        <v>12</v>
      </c>
      <c r="EP223" s="423" t="s">
        <v>12</v>
      </c>
      <c r="EQ223" s="423" t="s">
        <v>12</v>
      </c>
      <c r="ER223" s="423" t="s">
        <v>12</v>
      </c>
      <c r="ES223" s="438" t="s">
        <v>12</v>
      </c>
      <c r="ET223" s="438" t="s">
        <v>12</v>
      </c>
      <c r="EU223" s="438" t="s">
        <v>12</v>
      </c>
      <c r="EV223" s="438" t="s">
        <v>12</v>
      </c>
      <c r="EW223" s="438" t="s">
        <v>12</v>
      </c>
      <c r="EX223" s="438" t="s">
        <v>12</v>
      </c>
      <c r="EY223" s="438" t="s">
        <v>12</v>
      </c>
      <c r="EZ223" s="438" t="s">
        <v>12</v>
      </c>
      <c r="FA223" s="438" t="s">
        <v>12</v>
      </c>
      <c r="FB223" s="438" t="s">
        <v>12</v>
      </c>
      <c r="FC223" s="346">
        <v>0</v>
      </c>
      <c r="FD223" s="346">
        <v>0</v>
      </c>
      <c r="FE223" s="346">
        <v>0</v>
      </c>
      <c r="FF223" s="346">
        <v>0</v>
      </c>
      <c r="FG223" s="346">
        <v>0</v>
      </c>
      <c r="FH223" s="346">
        <v>0</v>
      </c>
      <c r="FI223" s="346">
        <v>0</v>
      </c>
      <c r="FJ223" s="346">
        <v>0</v>
      </c>
      <c r="FK223" s="346">
        <v>0</v>
      </c>
      <c r="FL223" s="346">
        <v>0</v>
      </c>
    </row>
    <row r="224" spans="1:168" x14ac:dyDescent="0.25">
      <c r="A224" s="238">
        <v>9</v>
      </c>
      <c r="B224" s="238" t="s">
        <v>772</v>
      </c>
      <c r="C224" s="239" t="s">
        <v>11</v>
      </c>
      <c r="D224" s="239" t="s">
        <v>11</v>
      </c>
      <c r="E224" s="239" t="s">
        <v>11</v>
      </c>
      <c r="F224" s="239" t="s">
        <v>11</v>
      </c>
      <c r="G224" s="239" t="s">
        <v>11</v>
      </c>
      <c r="H224" s="239" t="s">
        <v>11</v>
      </c>
      <c r="I224" s="239" t="s">
        <v>11</v>
      </c>
      <c r="J224" s="239" t="s">
        <v>11</v>
      </c>
      <c r="K224" s="239" t="s">
        <v>11</v>
      </c>
      <c r="L224" s="239" t="s">
        <v>11</v>
      </c>
      <c r="N224">
        <v>9</v>
      </c>
      <c r="O224" t="s">
        <v>22</v>
      </c>
      <c r="P224" t="s">
        <v>22</v>
      </c>
      <c r="Q224" t="s">
        <v>23</v>
      </c>
      <c r="R224" s="2" t="s">
        <v>12</v>
      </c>
      <c r="S224" s="2" t="s">
        <v>12</v>
      </c>
      <c r="T224" s="2" t="s">
        <v>12</v>
      </c>
      <c r="U224" s="2" t="s">
        <v>12</v>
      </c>
      <c r="V224" s="2" t="s">
        <v>12</v>
      </c>
      <c r="W224" s="2" t="s">
        <v>12</v>
      </c>
      <c r="X224" s="2" t="s">
        <v>12</v>
      </c>
      <c r="Y224" s="2" t="s">
        <v>12</v>
      </c>
      <c r="Z224" s="2" t="s">
        <v>12</v>
      </c>
      <c r="AA224" s="2" t="s">
        <v>12</v>
      </c>
      <c r="AB224" s="2" t="s">
        <v>12</v>
      </c>
      <c r="AC224" s="2" t="s">
        <v>12</v>
      </c>
      <c r="AD224" t="s">
        <v>12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t="s">
        <v>12</v>
      </c>
      <c r="AR224" t="s">
        <v>12</v>
      </c>
      <c r="AS224" t="s">
        <v>12</v>
      </c>
      <c r="AT224" t="s">
        <v>12</v>
      </c>
      <c r="AU224" t="s">
        <v>12</v>
      </c>
      <c r="AV224" t="s">
        <v>12</v>
      </c>
      <c r="AW224" t="s">
        <v>12</v>
      </c>
      <c r="AX224" t="s">
        <v>12</v>
      </c>
      <c r="AY224" t="s">
        <v>12</v>
      </c>
      <c r="AZ224" t="s">
        <v>12</v>
      </c>
      <c r="BA224" t="s">
        <v>12</v>
      </c>
      <c r="BB224" t="s">
        <v>12</v>
      </c>
      <c r="BC224" t="s">
        <v>12</v>
      </c>
      <c r="BD224" t="s">
        <v>12</v>
      </c>
      <c r="BF224" s="313">
        <v>9</v>
      </c>
      <c r="BG224" s="313" t="s">
        <v>199</v>
      </c>
      <c r="BH224" t="s">
        <v>12</v>
      </c>
      <c r="BI224" t="s">
        <v>12</v>
      </c>
      <c r="BJ224" t="s">
        <v>12</v>
      </c>
      <c r="BK224" t="s">
        <v>766</v>
      </c>
      <c r="BL224" t="s">
        <v>12</v>
      </c>
      <c r="BM224" t="s">
        <v>12</v>
      </c>
      <c r="BN224" t="s">
        <v>12</v>
      </c>
      <c r="BO224" t="s">
        <v>12</v>
      </c>
      <c r="BP224" t="s">
        <v>12</v>
      </c>
      <c r="BQ224" t="s">
        <v>12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 s="9" t="s">
        <v>12</v>
      </c>
      <c r="CF224" s="28" t="s">
        <v>12</v>
      </c>
      <c r="CG224" s="28" t="s">
        <v>12</v>
      </c>
      <c r="CH224" s="28" t="s">
        <v>12</v>
      </c>
      <c r="CI224" s="28" t="s">
        <v>12</v>
      </c>
      <c r="CJ224" s="28" t="s">
        <v>12</v>
      </c>
      <c r="CK224" s="28" t="s">
        <v>12</v>
      </c>
      <c r="CL224" s="28" t="s">
        <v>12</v>
      </c>
      <c r="CM224" s="28" t="s">
        <v>12</v>
      </c>
      <c r="CN224" s="28" t="s">
        <v>12</v>
      </c>
      <c r="CO224" s="28" t="s">
        <v>12</v>
      </c>
      <c r="CP224" s="28" t="s">
        <v>12</v>
      </c>
      <c r="CQ224" s="28" t="s">
        <v>12</v>
      </c>
      <c r="CR224" s="28" t="s">
        <v>12</v>
      </c>
      <c r="CS224" s="28" t="s">
        <v>12</v>
      </c>
      <c r="CT224" s="28" t="s">
        <v>12</v>
      </c>
      <c r="CU224" s="28" t="s">
        <v>12</v>
      </c>
      <c r="CV224" s="28" t="s">
        <v>12</v>
      </c>
      <c r="CW224" s="28" t="s">
        <v>12</v>
      </c>
      <c r="CX224" s="28" t="s">
        <v>12</v>
      </c>
      <c r="CY224" s="28" t="s">
        <v>12</v>
      </c>
      <c r="CZ224" s="28" t="s">
        <v>12</v>
      </c>
      <c r="DA224" s="28" t="s">
        <v>12</v>
      </c>
      <c r="DB224" s="313">
        <v>9</v>
      </c>
      <c r="DC224" s="313" t="s">
        <v>22</v>
      </c>
      <c r="DD224" s="386" t="s">
        <v>12</v>
      </c>
      <c r="DE224" s="386" t="s">
        <v>12</v>
      </c>
      <c r="DF224" s="386" t="s">
        <v>12</v>
      </c>
      <c r="DG224" s="386" t="s">
        <v>12</v>
      </c>
      <c r="DH224" s="386" t="s">
        <v>12</v>
      </c>
      <c r="DI224" s="386" t="s">
        <v>12</v>
      </c>
      <c r="DJ224" s="386" t="s">
        <v>12</v>
      </c>
      <c r="DK224" s="386" t="s">
        <v>12</v>
      </c>
      <c r="DL224" s="386" t="s">
        <v>12</v>
      </c>
      <c r="DM224" s="386" t="s">
        <v>12</v>
      </c>
      <c r="DN224" s="7" t="s">
        <v>12</v>
      </c>
      <c r="DO224" s="7" t="s">
        <v>12</v>
      </c>
      <c r="DP224" s="7" t="s">
        <v>12</v>
      </c>
      <c r="DQ224" s="7" t="s">
        <v>12</v>
      </c>
      <c r="DR224" s="7" t="s">
        <v>12</v>
      </c>
      <c r="DS224" s="7" t="s">
        <v>12</v>
      </c>
      <c r="DT224" s="7" t="s">
        <v>12</v>
      </c>
      <c r="DU224" s="7" t="s">
        <v>12</v>
      </c>
      <c r="DV224" s="7" t="s">
        <v>12</v>
      </c>
      <c r="DW224" s="7" t="s">
        <v>12</v>
      </c>
      <c r="DY224" s="9">
        <v>8429991</v>
      </c>
      <c r="EI224" s="423" t="s">
        <v>12</v>
      </c>
      <c r="EJ224" s="423" t="s">
        <v>12</v>
      </c>
      <c r="EK224" s="423" t="s">
        <v>12</v>
      </c>
      <c r="EL224" s="423" t="s">
        <v>12</v>
      </c>
      <c r="EM224" s="423" t="s">
        <v>12</v>
      </c>
      <c r="EN224" s="423" t="s">
        <v>12</v>
      </c>
      <c r="EO224" s="423" t="s">
        <v>12</v>
      </c>
      <c r="EP224" s="423" t="s">
        <v>12</v>
      </c>
      <c r="EQ224" s="423" t="s">
        <v>12</v>
      </c>
      <c r="ER224" s="423" t="s">
        <v>12</v>
      </c>
      <c r="ES224" s="438" t="s">
        <v>12</v>
      </c>
      <c r="ET224" s="438" t="s">
        <v>12</v>
      </c>
      <c r="EU224" s="438" t="s">
        <v>12</v>
      </c>
      <c r="EV224" s="438" t="s">
        <v>12</v>
      </c>
      <c r="EW224" s="438" t="s">
        <v>12</v>
      </c>
      <c r="EX224" s="438" t="s">
        <v>12</v>
      </c>
      <c r="EY224" s="438" t="s">
        <v>12</v>
      </c>
      <c r="EZ224" s="438" t="s">
        <v>12</v>
      </c>
      <c r="FA224" s="438" t="s">
        <v>12</v>
      </c>
      <c r="FB224" s="438" t="s">
        <v>12</v>
      </c>
      <c r="FC224" s="346">
        <v>0</v>
      </c>
      <c r="FD224" s="346">
        <v>0</v>
      </c>
      <c r="FE224" s="346">
        <v>0</v>
      </c>
      <c r="FF224" s="346">
        <v>0</v>
      </c>
      <c r="FG224" s="346">
        <v>0</v>
      </c>
      <c r="FH224" s="346">
        <v>0</v>
      </c>
      <c r="FI224" s="346">
        <v>0</v>
      </c>
      <c r="FJ224" s="346">
        <v>0</v>
      </c>
      <c r="FK224" s="346">
        <v>0</v>
      </c>
      <c r="FL224" s="346">
        <v>0</v>
      </c>
    </row>
    <row r="225" spans="1:168" x14ac:dyDescent="0.25">
      <c r="A225" s="238">
        <v>10</v>
      </c>
      <c r="B225" s="238" t="s">
        <v>773</v>
      </c>
      <c r="C225" s="239" t="s">
        <v>11</v>
      </c>
      <c r="D225" s="239" t="s">
        <v>11</v>
      </c>
      <c r="E225" s="239" t="s">
        <v>11</v>
      </c>
      <c r="F225" s="239" t="s">
        <v>11</v>
      </c>
      <c r="G225" s="239" t="s">
        <v>11</v>
      </c>
      <c r="H225" s="239" t="s">
        <v>11</v>
      </c>
      <c r="I225" s="239" t="s">
        <v>11</v>
      </c>
      <c r="J225" s="239" t="s">
        <v>11</v>
      </c>
      <c r="K225" s="239" t="s">
        <v>11</v>
      </c>
      <c r="L225" s="239" t="s">
        <v>11</v>
      </c>
      <c r="N225">
        <v>10</v>
      </c>
      <c r="O225" t="s">
        <v>24</v>
      </c>
      <c r="P225" t="s">
        <v>24</v>
      </c>
      <c r="Q225" t="s">
        <v>25</v>
      </c>
      <c r="R225" s="2" t="s">
        <v>12</v>
      </c>
      <c r="S225" s="2" t="s">
        <v>12</v>
      </c>
      <c r="T225" s="2" t="s">
        <v>12</v>
      </c>
      <c r="U225" s="2" t="s">
        <v>12</v>
      </c>
      <c r="V225" s="2" t="s">
        <v>12</v>
      </c>
      <c r="W225" s="2" t="s">
        <v>12</v>
      </c>
      <c r="X225" s="2" t="s">
        <v>12</v>
      </c>
      <c r="Y225" s="2" t="s">
        <v>12</v>
      </c>
      <c r="Z225" s="2" t="s">
        <v>12</v>
      </c>
      <c r="AA225" s="2" t="s">
        <v>12</v>
      </c>
      <c r="AB225" s="2" t="s">
        <v>12</v>
      </c>
      <c r="AC225" s="2" t="s">
        <v>12</v>
      </c>
      <c r="AD225" t="s">
        <v>12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t="s">
        <v>12</v>
      </c>
      <c r="AR225" t="s">
        <v>12</v>
      </c>
      <c r="AS225" t="s">
        <v>12</v>
      </c>
      <c r="AT225" t="s">
        <v>12</v>
      </c>
      <c r="AU225" t="s">
        <v>12</v>
      </c>
      <c r="AV225" t="s">
        <v>12</v>
      </c>
      <c r="AW225" t="s">
        <v>12</v>
      </c>
      <c r="AX225" t="s">
        <v>12</v>
      </c>
      <c r="AY225" t="s">
        <v>12</v>
      </c>
      <c r="AZ225" t="s">
        <v>12</v>
      </c>
      <c r="BA225" t="s">
        <v>12</v>
      </c>
      <c r="BB225" t="s">
        <v>12</v>
      </c>
      <c r="BC225" t="s">
        <v>12</v>
      </c>
      <c r="BD225" t="s">
        <v>12</v>
      </c>
      <c r="BF225" s="313">
        <v>10</v>
      </c>
      <c r="BG225" s="313" t="s">
        <v>212</v>
      </c>
      <c r="BH225" t="s">
        <v>12</v>
      </c>
      <c r="BI225" t="s">
        <v>766</v>
      </c>
      <c r="BJ225" t="s">
        <v>12</v>
      </c>
      <c r="BK225" t="s">
        <v>12</v>
      </c>
      <c r="BL225" t="s">
        <v>12</v>
      </c>
      <c r="BM225" t="s">
        <v>12</v>
      </c>
      <c r="BN225" t="s">
        <v>12</v>
      </c>
      <c r="BO225" t="s">
        <v>12</v>
      </c>
      <c r="BP225" t="s">
        <v>12</v>
      </c>
      <c r="BQ225" t="s">
        <v>12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 s="9" t="s">
        <v>12</v>
      </c>
      <c r="CF225" s="28" t="s">
        <v>12</v>
      </c>
      <c r="CG225" s="28" t="s">
        <v>12</v>
      </c>
      <c r="CH225" s="28" t="s">
        <v>12</v>
      </c>
      <c r="CI225" s="28" t="s">
        <v>12</v>
      </c>
      <c r="CJ225" s="28" t="s">
        <v>12</v>
      </c>
      <c r="CK225" s="28" t="s">
        <v>12</v>
      </c>
      <c r="CL225" s="28" t="s">
        <v>12</v>
      </c>
      <c r="CM225" s="28" t="s">
        <v>12</v>
      </c>
      <c r="CN225" s="28" t="s">
        <v>12</v>
      </c>
      <c r="CO225" s="28" t="s">
        <v>12</v>
      </c>
      <c r="CP225" s="28" t="s">
        <v>12</v>
      </c>
      <c r="CQ225" s="28" t="s">
        <v>12</v>
      </c>
      <c r="CR225" s="28" t="s">
        <v>12</v>
      </c>
      <c r="CS225" s="28" t="s">
        <v>12</v>
      </c>
      <c r="CT225" s="28" t="s">
        <v>12</v>
      </c>
      <c r="CU225" s="28" t="s">
        <v>12</v>
      </c>
      <c r="CV225" s="28" t="s">
        <v>12</v>
      </c>
      <c r="CW225" s="28" t="s">
        <v>12</v>
      </c>
      <c r="CX225" s="28" t="s">
        <v>12</v>
      </c>
      <c r="CY225" s="28" t="s">
        <v>12</v>
      </c>
      <c r="CZ225" s="28" t="s">
        <v>12</v>
      </c>
      <c r="DA225" s="28" t="s">
        <v>12</v>
      </c>
      <c r="DB225" s="313">
        <v>10</v>
      </c>
      <c r="DC225" s="313" t="s">
        <v>24</v>
      </c>
      <c r="DD225" s="386" t="s">
        <v>12</v>
      </c>
      <c r="DE225" s="386" t="s">
        <v>12</v>
      </c>
      <c r="DF225" s="386" t="s">
        <v>12</v>
      </c>
      <c r="DG225" s="386" t="s">
        <v>12</v>
      </c>
      <c r="DH225" s="386" t="s">
        <v>12</v>
      </c>
      <c r="DI225" s="386" t="s">
        <v>12</v>
      </c>
      <c r="DJ225" s="386" t="s">
        <v>12</v>
      </c>
      <c r="DK225" s="386" t="s">
        <v>12</v>
      </c>
      <c r="DL225" s="386" t="s">
        <v>12</v>
      </c>
      <c r="DM225" s="386" t="s">
        <v>12</v>
      </c>
      <c r="DN225" s="7" t="s">
        <v>12</v>
      </c>
      <c r="DO225" s="7" t="s">
        <v>12</v>
      </c>
      <c r="DP225" s="7" t="s">
        <v>12</v>
      </c>
      <c r="DQ225" s="7" t="s">
        <v>12</v>
      </c>
      <c r="DR225" s="7" t="s">
        <v>12</v>
      </c>
      <c r="DS225" s="7" t="s">
        <v>12</v>
      </c>
      <c r="DT225" s="7" t="s">
        <v>12</v>
      </c>
      <c r="DU225" s="7" t="s">
        <v>12</v>
      </c>
      <c r="DV225" s="7" t="s">
        <v>12</v>
      </c>
      <c r="DW225" s="7" t="s">
        <v>12</v>
      </c>
      <c r="DY225" s="9">
        <v>9295784</v>
      </c>
      <c r="EI225" s="423" t="s">
        <v>12</v>
      </c>
      <c r="EJ225" s="423" t="s">
        <v>12</v>
      </c>
      <c r="EK225" s="423" t="s">
        <v>12</v>
      </c>
      <c r="EL225" s="423" t="s">
        <v>12</v>
      </c>
      <c r="EM225" s="423" t="s">
        <v>12</v>
      </c>
      <c r="EN225" s="423" t="s">
        <v>12</v>
      </c>
      <c r="EO225" s="423" t="s">
        <v>12</v>
      </c>
      <c r="EP225" s="423" t="s">
        <v>12</v>
      </c>
      <c r="EQ225" s="423" t="s">
        <v>12</v>
      </c>
      <c r="ER225" s="423" t="s">
        <v>12</v>
      </c>
      <c r="ES225" s="438" t="s">
        <v>12</v>
      </c>
      <c r="ET225" s="438" t="s">
        <v>12</v>
      </c>
      <c r="EU225" s="438" t="s">
        <v>12</v>
      </c>
      <c r="EV225" s="438" t="s">
        <v>12</v>
      </c>
      <c r="EW225" s="438" t="s">
        <v>12</v>
      </c>
      <c r="EX225" s="438" t="s">
        <v>12</v>
      </c>
      <c r="EY225" s="438" t="s">
        <v>12</v>
      </c>
      <c r="EZ225" s="438" t="s">
        <v>12</v>
      </c>
      <c r="FA225" s="438" t="s">
        <v>12</v>
      </c>
      <c r="FB225" s="438" t="s">
        <v>12</v>
      </c>
      <c r="FC225" s="346">
        <v>0</v>
      </c>
      <c r="FD225" s="346">
        <v>0</v>
      </c>
      <c r="FE225" s="346">
        <v>0</v>
      </c>
      <c r="FF225" s="346">
        <v>0</v>
      </c>
      <c r="FG225" s="346">
        <v>0</v>
      </c>
      <c r="FH225" s="346">
        <v>0</v>
      </c>
      <c r="FI225" s="346">
        <v>0</v>
      </c>
      <c r="FJ225" s="346">
        <v>0</v>
      </c>
      <c r="FK225" s="346">
        <v>0</v>
      </c>
      <c r="FL225" s="346">
        <v>0</v>
      </c>
    </row>
    <row r="226" spans="1:168" x14ac:dyDescent="0.25">
      <c r="N226">
        <v>11</v>
      </c>
      <c r="O226" t="s">
        <v>26</v>
      </c>
      <c r="P226" t="s">
        <v>26</v>
      </c>
      <c r="Q226" t="s">
        <v>16</v>
      </c>
      <c r="R226" s="2" t="s">
        <v>12</v>
      </c>
      <c r="S226" s="2" t="s">
        <v>12</v>
      </c>
      <c r="T226" s="2" t="s">
        <v>12</v>
      </c>
      <c r="U226" s="2" t="s">
        <v>12</v>
      </c>
      <c r="V226" s="2" t="s">
        <v>12</v>
      </c>
      <c r="W226" s="2" t="s">
        <v>12</v>
      </c>
      <c r="X226" s="2" t="s">
        <v>12</v>
      </c>
      <c r="Y226" s="2" t="s">
        <v>12</v>
      </c>
      <c r="Z226" s="2" t="s">
        <v>12</v>
      </c>
      <c r="AA226" s="2" t="s">
        <v>12</v>
      </c>
      <c r="AB226" s="2" t="s">
        <v>12</v>
      </c>
      <c r="AC226" s="2" t="s">
        <v>12</v>
      </c>
      <c r="AD226" t="s">
        <v>12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t="s">
        <v>12</v>
      </c>
      <c r="AR226" t="s">
        <v>12</v>
      </c>
      <c r="AS226" t="s">
        <v>12</v>
      </c>
      <c r="AT226" t="s">
        <v>12</v>
      </c>
      <c r="AU226" t="s">
        <v>12</v>
      </c>
      <c r="AV226" t="s">
        <v>12</v>
      </c>
      <c r="AW226" t="s">
        <v>12</v>
      </c>
      <c r="AX226" t="s">
        <v>12</v>
      </c>
      <c r="AY226" t="s">
        <v>12</v>
      </c>
      <c r="AZ226" t="s">
        <v>12</v>
      </c>
      <c r="BA226" t="s">
        <v>12</v>
      </c>
      <c r="BB226" t="s">
        <v>12</v>
      </c>
      <c r="BC226" t="s">
        <v>12</v>
      </c>
      <c r="BD226" t="s">
        <v>12</v>
      </c>
      <c r="BF226" s="313" t="s">
        <v>11</v>
      </c>
      <c r="BG226" s="313" t="s">
        <v>11</v>
      </c>
      <c r="BH226" t="s">
        <v>12</v>
      </c>
      <c r="BI226" t="s">
        <v>12</v>
      </c>
      <c r="BJ226" t="s">
        <v>12</v>
      </c>
      <c r="BK226" t="s">
        <v>12</v>
      </c>
      <c r="BL226" t="s">
        <v>12</v>
      </c>
      <c r="BM226" t="s">
        <v>12</v>
      </c>
      <c r="BN226" t="s">
        <v>12</v>
      </c>
      <c r="BO226" t="s">
        <v>12</v>
      </c>
      <c r="BP226" t="s">
        <v>12</v>
      </c>
      <c r="BQ226" t="s">
        <v>12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 s="9" t="s">
        <v>12</v>
      </c>
      <c r="CF226" s="28" t="s">
        <v>12</v>
      </c>
      <c r="CG226" s="28" t="s">
        <v>12</v>
      </c>
      <c r="CH226" s="28" t="s">
        <v>12</v>
      </c>
      <c r="CI226" s="28" t="s">
        <v>12</v>
      </c>
      <c r="CJ226" s="28" t="s">
        <v>12</v>
      </c>
      <c r="CK226" s="28" t="s">
        <v>12</v>
      </c>
      <c r="CL226" s="28" t="s">
        <v>12</v>
      </c>
      <c r="CM226" s="28" t="s">
        <v>12</v>
      </c>
      <c r="CN226" s="28" t="s">
        <v>12</v>
      </c>
      <c r="CO226" s="28" t="s">
        <v>12</v>
      </c>
      <c r="CP226" s="28" t="s">
        <v>12</v>
      </c>
      <c r="CQ226" s="28" t="s">
        <v>12</v>
      </c>
      <c r="CR226" s="28" t="s">
        <v>12</v>
      </c>
      <c r="CS226" s="28" t="s">
        <v>12</v>
      </c>
      <c r="CT226" s="28" t="s">
        <v>12</v>
      </c>
      <c r="CU226" s="28" t="s">
        <v>12</v>
      </c>
      <c r="CV226" s="28" t="s">
        <v>12</v>
      </c>
      <c r="CW226" s="28" t="s">
        <v>12</v>
      </c>
      <c r="CX226" s="28" t="s">
        <v>12</v>
      </c>
      <c r="CY226" s="28" t="s">
        <v>12</v>
      </c>
      <c r="CZ226" s="28" t="s">
        <v>12</v>
      </c>
      <c r="DA226" s="28" t="s">
        <v>12</v>
      </c>
      <c r="DB226" s="313">
        <v>11</v>
      </c>
      <c r="DC226" s="313" t="s">
        <v>26</v>
      </c>
      <c r="DD226" s="386" t="s">
        <v>12</v>
      </c>
      <c r="DE226" s="386" t="s">
        <v>12</v>
      </c>
      <c r="DF226" s="386" t="s">
        <v>12</v>
      </c>
      <c r="DG226" s="386" t="s">
        <v>12</v>
      </c>
      <c r="DH226" s="386" t="s">
        <v>12</v>
      </c>
      <c r="DI226" s="386" t="s">
        <v>12</v>
      </c>
      <c r="DJ226" s="386" t="s">
        <v>12</v>
      </c>
      <c r="DK226" s="386" t="s">
        <v>12</v>
      </c>
      <c r="DL226" s="386" t="s">
        <v>12</v>
      </c>
      <c r="DM226" s="386" t="s">
        <v>12</v>
      </c>
      <c r="DN226" s="7" t="s">
        <v>12</v>
      </c>
      <c r="DO226" s="7" t="s">
        <v>12</v>
      </c>
      <c r="DP226" s="7" t="s">
        <v>12</v>
      </c>
      <c r="DQ226" s="7" t="s">
        <v>12</v>
      </c>
      <c r="DR226" s="7" t="s">
        <v>12</v>
      </c>
      <c r="DS226" s="7" t="s">
        <v>12</v>
      </c>
      <c r="DT226" s="7" t="s">
        <v>12</v>
      </c>
      <c r="DU226" s="7" t="s">
        <v>12</v>
      </c>
      <c r="DV226" s="7" t="s">
        <v>12</v>
      </c>
      <c r="DW226" s="7" t="s">
        <v>12</v>
      </c>
      <c r="DY226" s="9">
        <v>372388</v>
      </c>
      <c r="EI226" s="423" t="s">
        <v>12</v>
      </c>
      <c r="EJ226" s="423" t="s">
        <v>12</v>
      </c>
      <c r="EK226" s="423" t="s">
        <v>12</v>
      </c>
      <c r="EL226" s="423" t="s">
        <v>12</v>
      </c>
      <c r="EM226" s="423" t="s">
        <v>12</v>
      </c>
      <c r="EN226" s="423" t="s">
        <v>12</v>
      </c>
      <c r="EO226" s="423" t="s">
        <v>12</v>
      </c>
      <c r="EP226" s="423" t="s">
        <v>12</v>
      </c>
      <c r="EQ226" s="423" t="s">
        <v>12</v>
      </c>
      <c r="ER226" s="423" t="s">
        <v>12</v>
      </c>
      <c r="ES226" s="438" t="s">
        <v>12</v>
      </c>
      <c r="ET226" s="438" t="s">
        <v>12</v>
      </c>
      <c r="EU226" s="438" t="s">
        <v>12</v>
      </c>
      <c r="EV226" s="438" t="s">
        <v>12</v>
      </c>
      <c r="EW226" s="438" t="s">
        <v>12</v>
      </c>
      <c r="EX226" s="438" t="s">
        <v>12</v>
      </c>
      <c r="EY226" s="438" t="s">
        <v>12</v>
      </c>
      <c r="EZ226" s="438" t="s">
        <v>12</v>
      </c>
      <c r="FA226" s="438" t="s">
        <v>12</v>
      </c>
      <c r="FB226" s="438" t="s">
        <v>12</v>
      </c>
      <c r="FC226" s="346">
        <v>0</v>
      </c>
      <c r="FD226" s="346">
        <v>0</v>
      </c>
      <c r="FE226" s="346">
        <v>0</v>
      </c>
      <c r="FF226" s="346">
        <v>0</v>
      </c>
      <c r="FG226" s="346">
        <v>0</v>
      </c>
      <c r="FH226" s="346">
        <v>0</v>
      </c>
      <c r="FI226" s="346">
        <v>0</v>
      </c>
      <c r="FJ226" s="346">
        <v>0</v>
      </c>
      <c r="FK226" s="346">
        <v>0</v>
      </c>
      <c r="FL226" s="346">
        <v>0</v>
      </c>
    </row>
    <row r="227" spans="1:168" ht="30" x14ac:dyDescent="0.25">
      <c r="A227" s="14" t="s">
        <v>774</v>
      </c>
      <c r="B227" s="14"/>
      <c r="C227" s="14" t="s">
        <v>594</v>
      </c>
      <c r="D227" s="14" t="s">
        <v>595</v>
      </c>
      <c r="E227" s="14" t="s">
        <v>596</v>
      </c>
      <c r="F227" s="14" t="s">
        <v>597</v>
      </c>
      <c r="G227" s="14" t="s">
        <v>598</v>
      </c>
      <c r="H227" s="14" t="s">
        <v>599</v>
      </c>
      <c r="I227" s="14" t="s">
        <v>600</v>
      </c>
      <c r="J227" s="14" t="s">
        <v>601</v>
      </c>
      <c r="K227" s="14" t="s">
        <v>602</v>
      </c>
      <c r="L227" s="14" t="s">
        <v>603</v>
      </c>
      <c r="N227">
        <v>12</v>
      </c>
      <c r="O227" t="s">
        <v>27</v>
      </c>
      <c r="P227" t="s">
        <v>27</v>
      </c>
      <c r="Q227" t="s">
        <v>9</v>
      </c>
      <c r="R227" s="2" t="s">
        <v>12</v>
      </c>
      <c r="S227" s="2" t="s">
        <v>12</v>
      </c>
      <c r="T227" s="2" t="s">
        <v>12</v>
      </c>
      <c r="U227" s="2" t="s">
        <v>12</v>
      </c>
      <c r="V227" s="2" t="s">
        <v>12</v>
      </c>
      <c r="W227" s="2" t="s">
        <v>12</v>
      </c>
      <c r="X227" s="2" t="s">
        <v>12</v>
      </c>
      <c r="Y227" s="2" t="s">
        <v>12</v>
      </c>
      <c r="Z227" s="2" t="s">
        <v>12</v>
      </c>
      <c r="AA227" s="2" t="s">
        <v>12</v>
      </c>
      <c r="AB227" s="2" t="s">
        <v>12</v>
      </c>
      <c r="AC227" s="2" t="s">
        <v>12</v>
      </c>
      <c r="AD227" t="s">
        <v>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t="s">
        <v>12</v>
      </c>
      <c r="AR227" t="s">
        <v>12</v>
      </c>
      <c r="AS227" t="s">
        <v>12</v>
      </c>
      <c r="AT227" t="s">
        <v>12</v>
      </c>
      <c r="AU227" t="s">
        <v>12</v>
      </c>
      <c r="AV227" t="s">
        <v>12</v>
      </c>
      <c r="AW227" t="s">
        <v>12</v>
      </c>
      <c r="AX227" t="s">
        <v>12</v>
      </c>
      <c r="AY227" t="s">
        <v>12</v>
      </c>
      <c r="AZ227" t="s">
        <v>12</v>
      </c>
      <c r="BA227" t="s">
        <v>12</v>
      </c>
      <c r="BB227" t="s">
        <v>12</v>
      </c>
      <c r="BC227" t="s">
        <v>12</v>
      </c>
      <c r="BD227" t="s">
        <v>12</v>
      </c>
      <c r="BF227" s="313" t="s">
        <v>11</v>
      </c>
      <c r="BG227" s="313" t="s">
        <v>11</v>
      </c>
      <c r="BH227" t="s">
        <v>12</v>
      </c>
      <c r="BI227" t="s">
        <v>12</v>
      </c>
      <c r="BJ227" t="s">
        <v>12</v>
      </c>
      <c r="BK227" t="s">
        <v>12</v>
      </c>
      <c r="BL227" t="s">
        <v>12</v>
      </c>
      <c r="BM227" t="s">
        <v>12</v>
      </c>
      <c r="BN227" t="s">
        <v>12</v>
      </c>
      <c r="BO227" t="s">
        <v>12</v>
      </c>
      <c r="BP227" t="s">
        <v>12</v>
      </c>
      <c r="BQ227" t="s">
        <v>12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 s="9" t="s">
        <v>12</v>
      </c>
      <c r="CF227" s="28" t="s">
        <v>12</v>
      </c>
      <c r="CG227" s="28" t="s">
        <v>12</v>
      </c>
      <c r="CH227" s="28" t="s">
        <v>12</v>
      </c>
      <c r="CI227" s="28" t="s">
        <v>12</v>
      </c>
      <c r="CJ227" s="28" t="s">
        <v>12</v>
      </c>
      <c r="CK227" s="28" t="s">
        <v>12</v>
      </c>
      <c r="CL227" s="28" t="s">
        <v>12</v>
      </c>
      <c r="CM227" s="28" t="s">
        <v>12</v>
      </c>
      <c r="CN227" s="28" t="s">
        <v>12</v>
      </c>
      <c r="CO227" s="28" t="s">
        <v>12</v>
      </c>
      <c r="CP227" s="28" t="s">
        <v>12</v>
      </c>
      <c r="CQ227" s="28" t="s">
        <v>12</v>
      </c>
      <c r="CR227" s="28" t="s">
        <v>12</v>
      </c>
      <c r="CS227" s="28" t="s">
        <v>12</v>
      </c>
      <c r="CT227" s="28" t="s">
        <v>12</v>
      </c>
      <c r="CU227" s="28" t="s">
        <v>12</v>
      </c>
      <c r="CV227" s="28" t="s">
        <v>12</v>
      </c>
      <c r="CW227" s="28" t="s">
        <v>12</v>
      </c>
      <c r="CX227" s="28" t="s">
        <v>12</v>
      </c>
      <c r="CY227" s="28" t="s">
        <v>12</v>
      </c>
      <c r="CZ227" s="28" t="s">
        <v>12</v>
      </c>
      <c r="DA227" s="28" t="s">
        <v>12</v>
      </c>
      <c r="DB227" s="313">
        <v>12</v>
      </c>
      <c r="DC227" s="313" t="s">
        <v>27</v>
      </c>
      <c r="DD227" s="386" t="s">
        <v>12</v>
      </c>
      <c r="DE227" s="386" t="s">
        <v>12</v>
      </c>
      <c r="DF227" s="386" t="s">
        <v>12</v>
      </c>
      <c r="DG227" s="386" t="s">
        <v>12</v>
      </c>
      <c r="DH227" s="386" t="s">
        <v>12</v>
      </c>
      <c r="DI227" s="386" t="s">
        <v>12</v>
      </c>
      <c r="DJ227" s="386" t="s">
        <v>12</v>
      </c>
      <c r="DK227" s="386" t="s">
        <v>12</v>
      </c>
      <c r="DL227" s="386" t="s">
        <v>12</v>
      </c>
      <c r="DM227" s="386" t="s">
        <v>12</v>
      </c>
      <c r="DN227" s="7" t="s">
        <v>12</v>
      </c>
      <c r="DO227" s="7" t="s">
        <v>12</v>
      </c>
      <c r="DP227" s="7" t="s">
        <v>12</v>
      </c>
      <c r="DQ227" s="7" t="s">
        <v>12</v>
      </c>
      <c r="DR227" s="7" t="s">
        <v>12</v>
      </c>
      <c r="DS227" s="7" t="s">
        <v>12</v>
      </c>
      <c r="DT227" s="7" t="s">
        <v>12</v>
      </c>
      <c r="DU227" s="7" t="s">
        <v>12</v>
      </c>
      <c r="DV227" s="7" t="s">
        <v>12</v>
      </c>
      <c r="DW227" s="7" t="s">
        <v>12</v>
      </c>
      <c r="DY227" s="9">
        <v>1333577</v>
      </c>
      <c r="EI227" s="423" t="s">
        <v>12</v>
      </c>
      <c r="EJ227" s="423" t="s">
        <v>12</v>
      </c>
      <c r="EK227" s="423" t="s">
        <v>12</v>
      </c>
      <c r="EL227" s="423" t="s">
        <v>12</v>
      </c>
      <c r="EM227" s="423" t="s">
        <v>12</v>
      </c>
      <c r="EN227" s="423" t="s">
        <v>12</v>
      </c>
      <c r="EO227" s="423" t="s">
        <v>12</v>
      </c>
      <c r="EP227" s="423" t="s">
        <v>12</v>
      </c>
      <c r="EQ227" s="423" t="s">
        <v>12</v>
      </c>
      <c r="ER227" s="423" t="s">
        <v>12</v>
      </c>
      <c r="ES227" s="438" t="s">
        <v>12</v>
      </c>
      <c r="ET227" s="438" t="s">
        <v>12</v>
      </c>
      <c r="EU227" s="438" t="s">
        <v>12</v>
      </c>
      <c r="EV227" s="438" t="s">
        <v>12</v>
      </c>
      <c r="EW227" s="438" t="s">
        <v>12</v>
      </c>
      <c r="EX227" s="438" t="s">
        <v>12</v>
      </c>
      <c r="EY227" s="438" t="s">
        <v>12</v>
      </c>
      <c r="EZ227" s="438" t="s">
        <v>12</v>
      </c>
      <c r="FA227" s="438" t="s">
        <v>12</v>
      </c>
      <c r="FB227" s="438" t="s">
        <v>12</v>
      </c>
      <c r="FC227" s="346">
        <v>0</v>
      </c>
      <c r="FD227" s="346">
        <v>0</v>
      </c>
      <c r="FE227" s="346">
        <v>0</v>
      </c>
      <c r="FF227" s="346">
        <v>0</v>
      </c>
      <c r="FG227" s="346">
        <v>0</v>
      </c>
      <c r="FH227" s="346">
        <v>0</v>
      </c>
      <c r="FI227" s="346">
        <v>0</v>
      </c>
      <c r="FJ227" s="346">
        <v>0</v>
      </c>
      <c r="FK227" s="346">
        <v>0</v>
      </c>
      <c r="FL227" s="346">
        <v>0</v>
      </c>
    </row>
    <row r="228" spans="1:168" x14ac:dyDescent="0.25">
      <c r="A228" s="238">
        <v>1</v>
      </c>
      <c r="B228" s="238" t="s">
        <v>761</v>
      </c>
      <c r="C228" s="239">
        <v>2011</v>
      </c>
      <c r="D228" s="239">
        <v>2011</v>
      </c>
      <c r="E228" s="239">
        <v>2011</v>
      </c>
      <c r="F228" s="239">
        <v>2011</v>
      </c>
      <c r="G228" s="239">
        <v>2011</v>
      </c>
      <c r="H228" s="239">
        <v>2011</v>
      </c>
      <c r="I228" s="239" t="s">
        <v>11</v>
      </c>
      <c r="J228" s="239" t="s">
        <v>11</v>
      </c>
      <c r="K228" s="239" t="s">
        <v>11</v>
      </c>
      <c r="L228" s="239" t="s">
        <v>11</v>
      </c>
      <c r="N228">
        <v>13</v>
      </c>
      <c r="O228" t="s">
        <v>28</v>
      </c>
      <c r="P228" t="s">
        <v>28</v>
      </c>
      <c r="Q228" t="s">
        <v>25</v>
      </c>
      <c r="R228" s="2" t="s">
        <v>12</v>
      </c>
      <c r="S228" s="2" t="s">
        <v>12</v>
      </c>
      <c r="T228" s="2" t="s">
        <v>12</v>
      </c>
      <c r="U228" s="2" t="s">
        <v>12</v>
      </c>
      <c r="V228" s="2" t="s">
        <v>12</v>
      </c>
      <c r="W228" s="2" t="s">
        <v>12</v>
      </c>
      <c r="X228" s="2" t="s">
        <v>12</v>
      </c>
      <c r="Y228" s="2" t="s">
        <v>12</v>
      </c>
      <c r="Z228" s="2" t="s">
        <v>12</v>
      </c>
      <c r="AA228" s="2" t="s">
        <v>12</v>
      </c>
      <c r="AB228" s="2" t="s">
        <v>12</v>
      </c>
      <c r="AC228" s="2" t="s">
        <v>12</v>
      </c>
      <c r="AD228" t="s">
        <v>12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t="s">
        <v>12</v>
      </c>
      <c r="AR228" t="s">
        <v>12</v>
      </c>
      <c r="AS228" t="s">
        <v>12</v>
      </c>
      <c r="AT228" t="s">
        <v>12</v>
      </c>
      <c r="AU228" t="s">
        <v>12</v>
      </c>
      <c r="AV228" t="s">
        <v>12</v>
      </c>
      <c r="AW228" t="s">
        <v>12</v>
      </c>
      <c r="AX228" t="s">
        <v>12</v>
      </c>
      <c r="AY228" t="s">
        <v>12</v>
      </c>
      <c r="AZ228" t="s">
        <v>12</v>
      </c>
      <c r="BA228" t="s">
        <v>12</v>
      </c>
      <c r="BB228" t="s">
        <v>12</v>
      </c>
      <c r="BC228" t="s">
        <v>12</v>
      </c>
      <c r="BD228" t="s">
        <v>12</v>
      </c>
      <c r="BF228" s="313" t="s">
        <v>11</v>
      </c>
      <c r="BG228" s="313" t="s">
        <v>11</v>
      </c>
      <c r="BH228" t="s">
        <v>12</v>
      </c>
      <c r="BI228" t="s">
        <v>12</v>
      </c>
      <c r="BJ228" t="s">
        <v>12</v>
      </c>
      <c r="BK228" t="s">
        <v>12</v>
      </c>
      <c r="BL228" t="s">
        <v>12</v>
      </c>
      <c r="BM228" t="s">
        <v>12</v>
      </c>
      <c r="BN228" t="s">
        <v>12</v>
      </c>
      <c r="BO228" t="s">
        <v>12</v>
      </c>
      <c r="BP228" t="s">
        <v>12</v>
      </c>
      <c r="BQ228" t="s">
        <v>12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 s="9" t="s">
        <v>12</v>
      </c>
      <c r="CF228" s="28" t="s">
        <v>12</v>
      </c>
      <c r="CG228" s="28" t="s">
        <v>12</v>
      </c>
      <c r="CH228" s="28" t="s">
        <v>12</v>
      </c>
      <c r="CI228" s="28" t="s">
        <v>12</v>
      </c>
      <c r="CJ228" s="28" t="s">
        <v>12</v>
      </c>
      <c r="CK228" s="28" t="s">
        <v>12</v>
      </c>
      <c r="CL228" s="28" t="s">
        <v>12</v>
      </c>
      <c r="CM228" s="28" t="s">
        <v>12</v>
      </c>
      <c r="CN228" s="28" t="s">
        <v>12</v>
      </c>
      <c r="CO228" s="28" t="s">
        <v>12</v>
      </c>
      <c r="CP228" s="28" t="s">
        <v>12</v>
      </c>
      <c r="CQ228" s="28" t="s">
        <v>12</v>
      </c>
      <c r="CR228" s="28" t="s">
        <v>12</v>
      </c>
      <c r="CS228" s="28" t="s">
        <v>12</v>
      </c>
      <c r="CT228" s="28" t="s">
        <v>12</v>
      </c>
      <c r="CU228" s="28" t="s">
        <v>12</v>
      </c>
      <c r="CV228" s="28" t="s">
        <v>12</v>
      </c>
      <c r="CW228" s="28" t="s">
        <v>12</v>
      </c>
      <c r="CX228" s="28" t="s">
        <v>12</v>
      </c>
      <c r="CY228" s="28" t="s">
        <v>12</v>
      </c>
      <c r="CZ228" s="28" t="s">
        <v>12</v>
      </c>
      <c r="DA228" s="28" t="s">
        <v>12</v>
      </c>
      <c r="DB228" s="313">
        <v>13</v>
      </c>
      <c r="DC228" s="313" t="s">
        <v>28</v>
      </c>
      <c r="DD228" s="386" t="s">
        <v>12</v>
      </c>
      <c r="DE228" s="386" t="s">
        <v>12</v>
      </c>
      <c r="DF228" s="386" t="s">
        <v>12</v>
      </c>
      <c r="DG228" s="386" t="s">
        <v>12</v>
      </c>
      <c r="DH228" s="386" t="s">
        <v>12</v>
      </c>
      <c r="DI228" s="386" t="s">
        <v>12</v>
      </c>
      <c r="DJ228" s="386" t="s">
        <v>12</v>
      </c>
      <c r="DK228" s="386" t="s">
        <v>12</v>
      </c>
      <c r="DL228" s="386" t="s">
        <v>12</v>
      </c>
      <c r="DM228" s="386" t="s">
        <v>12</v>
      </c>
      <c r="DN228" s="7" t="s">
        <v>12</v>
      </c>
      <c r="DO228" s="7" t="s">
        <v>12</v>
      </c>
      <c r="DP228" s="7" t="s">
        <v>12</v>
      </c>
      <c r="DQ228" s="7" t="s">
        <v>12</v>
      </c>
      <c r="DR228" s="7" t="s">
        <v>12</v>
      </c>
      <c r="DS228" s="7" t="s">
        <v>12</v>
      </c>
      <c r="DT228" s="7" t="s">
        <v>12</v>
      </c>
      <c r="DU228" s="7" t="s">
        <v>12</v>
      </c>
      <c r="DV228" s="7" t="s">
        <v>12</v>
      </c>
      <c r="DW228" s="7" t="s">
        <v>12</v>
      </c>
      <c r="DY228" s="9">
        <v>155257387</v>
      </c>
      <c r="EI228" s="423" t="s">
        <v>12</v>
      </c>
      <c r="EJ228" s="423" t="s">
        <v>12</v>
      </c>
      <c r="EK228" s="423" t="s">
        <v>12</v>
      </c>
      <c r="EL228" s="423" t="s">
        <v>12</v>
      </c>
      <c r="EM228" s="423" t="s">
        <v>12</v>
      </c>
      <c r="EN228" s="423" t="s">
        <v>12</v>
      </c>
      <c r="EO228" s="423" t="s">
        <v>12</v>
      </c>
      <c r="EP228" s="423" t="s">
        <v>12</v>
      </c>
      <c r="EQ228" s="423" t="s">
        <v>12</v>
      </c>
      <c r="ER228" s="423" t="s">
        <v>12</v>
      </c>
      <c r="ES228" s="438" t="s">
        <v>12</v>
      </c>
      <c r="ET228" s="438" t="s">
        <v>12</v>
      </c>
      <c r="EU228" s="438" t="s">
        <v>12</v>
      </c>
      <c r="EV228" s="438" t="s">
        <v>12</v>
      </c>
      <c r="EW228" s="438" t="s">
        <v>12</v>
      </c>
      <c r="EX228" s="438" t="s">
        <v>12</v>
      </c>
      <c r="EY228" s="438" t="s">
        <v>12</v>
      </c>
      <c r="EZ228" s="438" t="s">
        <v>12</v>
      </c>
      <c r="FA228" s="438" t="s">
        <v>12</v>
      </c>
      <c r="FB228" s="438" t="s">
        <v>12</v>
      </c>
      <c r="FC228" s="346">
        <v>0</v>
      </c>
      <c r="FD228" s="346">
        <v>0</v>
      </c>
      <c r="FE228" s="346">
        <v>0</v>
      </c>
      <c r="FF228" s="346">
        <v>0</v>
      </c>
      <c r="FG228" s="346">
        <v>0</v>
      </c>
      <c r="FH228" s="346">
        <v>0</v>
      </c>
      <c r="FI228" s="346">
        <v>0</v>
      </c>
      <c r="FJ228" s="346">
        <v>0</v>
      </c>
      <c r="FK228" s="346">
        <v>0</v>
      </c>
      <c r="FL228" s="346">
        <v>0</v>
      </c>
    </row>
    <row r="229" spans="1:168" x14ac:dyDescent="0.25">
      <c r="A229" s="238">
        <v>2</v>
      </c>
      <c r="B229" s="238" t="s">
        <v>763</v>
      </c>
      <c r="C229" s="239">
        <v>2012</v>
      </c>
      <c r="D229" s="239">
        <v>2012</v>
      </c>
      <c r="E229" s="239">
        <v>2012</v>
      </c>
      <c r="F229" s="239">
        <v>2012</v>
      </c>
      <c r="G229" s="239">
        <v>2012</v>
      </c>
      <c r="H229" s="239">
        <v>2012</v>
      </c>
      <c r="I229" s="239" t="s">
        <v>11</v>
      </c>
      <c r="J229" s="239" t="s">
        <v>11</v>
      </c>
      <c r="K229" s="239" t="s">
        <v>11</v>
      </c>
      <c r="L229" s="239" t="s">
        <v>11</v>
      </c>
      <c r="N229">
        <v>14</v>
      </c>
      <c r="O229" t="s">
        <v>29</v>
      </c>
      <c r="P229" t="s">
        <v>29</v>
      </c>
      <c r="Q229" t="s">
        <v>16</v>
      </c>
      <c r="R229" s="2" t="s">
        <v>12</v>
      </c>
      <c r="S229" s="2" t="s">
        <v>12</v>
      </c>
      <c r="T229" s="2" t="s">
        <v>12</v>
      </c>
      <c r="U229" s="2" t="s">
        <v>12</v>
      </c>
      <c r="V229" s="2" t="s">
        <v>12</v>
      </c>
      <c r="W229" s="2" t="s">
        <v>12</v>
      </c>
      <c r="X229" s="2" t="s">
        <v>12</v>
      </c>
      <c r="Y229" s="2" t="s">
        <v>12</v>
      </c>
      <c r="Z229" s="2" t="s">
        <v>12</v>
      </c>
      <c r="AA229" s="2" t="s">
        <v>12</v>
      </c>
      <c r="AB229" s="2" t="s">
        <v>12</v>
      </c>
      <c r="AC229" s="2" t="s">
        <v>12</v>
      </c>
      <c r="AD229" t="s">
        <v>12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t="s">
        <v>12</v>
      </c>
      <c r="AR229" t="s">
        <v>12</v>
      </c>
      <c r="AS229" t="s">
        <v>12</v>
      </c>
      <c r="AT229" t="s">
        <v>12</v>
      </c>
      <c r="AU229" t="s">
        <v>12</v>
      </c>
      <c r="AV229" t="s">
        <v>12</v>
      </c>
      <c r="AW229" t="s">
        <v>12</v>
      </c>
      <c r="AX229" t="s">
        <v>12</v>
      </c>
      <c r="AY229" t="s">
        <v>12</v>
      </c>
      <c r="AZ229" t="s">
        <v>12</v>
      </c>
      <c r="BA229" t="s">
        <v>12</v>
      </c>
      <c r="BB229" t="s">
        <v>12</v>
      </c>
      <c r="BC229" t="s">
        <v>12</v>
      </c>
      <c r="BD229" t="s">
        <v>12</v>
      </c>
      <c r="BF229" s="313" t="s">
        <v>11</v>
      </c>
      <c r="BG229" s="313" t="s">
        <v>11</v>
      </c>
      <c r="BH229" t="s">
        <v>12</v>
      </c>
      <c r="BI229" t="s">
        <v>12</v>
      </c>
      <c r="BJ229" t="s">
        <v>12</v>
      </c>
      <c r="BK229" t="s">
        <v>12</v>
      </c>
      <c r="BL229" t="s">
        <v>12</v>
      </c>
      <c r="BM229" t="s">
        <v>12</v>
      </c>
      <c r="BN229" t="s">
        <v>12</v>
      </c>
      <c r="BO229" t="s">
        <v>12</v>
      </c>
      <c r="BP229" t="s">
        <v>12</v>
      </c>
      <c r="BQ229" t="s">
        <v>12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 s="9" t="s">
        <v>12</v>
      </c>
      <c r="CF229" s="28" t="s">
        <v>12</v>
      </c>
      <c r="CG229" s="28" t="s">
        <v>12</v>
      </c>
      <c r="CH229" s="28" t="s">
        <v>12</v>
      </c>
      <c r="CI229" s="28" t="s">
        <v>12</v>
      </c>
      <c r="CJ229" s="28" t="s">
        <v>12</v>
      </c>
      <c r="CK229" s="28" t="s">
        <v>12</v>
      </c>
      <c r="CL229" s="28" t="s">
        <v>12</v>
      </c>
      <c r="CM229" s="28" t="s">
        <v>12</v>
      </c>
      <c r="CN229" s="28" t="s">
        <v>12</v>
      </c>
      <c r="CO229" s="28" t="s">
        <v>12</v>
      </c>
      <c r="CP229" s="28" t="s">
        <v>12</v>
      </c>
      <c r="CQ229" s="28" t="s">
        <v>12</v>
      </c>
      <c r="CR229" s="28" t="s">
        <v>12</v>
      </c>
      <c r="CS229" s="28" t="s">
        <v>12</v>
      </c>
      <c r="CT229" s="28" t="s">
        <v>12</v>
      </c>
      <c r="CU229" s="28" t="s">
        <v>12</v>
      </c>
      <c r="CV229" s="28" t="s">
        <v>12</v>
      </c>
      <c r="CW229" s="28" t="s">
        <v>12</v>
      </c>
      <c r="CX229" s="28" t="s">
        <v>12</v>
      </c>
      <c r="CY229" s="28" t="s">
        <v>12</v>
      </c>
      <c r="CZ229" s="28" t="s">
        <v>12</v>
      </c>
      <c r="DA229" s="28" t="s">
        <v>12</v>
      </c>
      <c r="DB229" s="313">
        <v>14</v>
      </c>
      <c r="DC229" s="313" t="s">
        <v>29</v>
      </c>
      <c r="DD229" s="386" t="s">
        <v>12</v>
      </c>
      <c r="DE229" s="386" t="s">
        <v>12</v>
      </c>
      <c r="DF229" s="386" t="s">
        <v>12</v>
      </c>
      <c r="DG229" s="386" t="s">
        <v>12</v>
      </c>
      <c r="DH229" s="386" t="s">
        <v>12</v>
      </c>
      <c r="DI229" s="386" t="s">
        <v>12</v>
      </c>
      <c r="DJ229" s="386" t="s">
        <v>12</v>
      </c>
      <c r="DK229" s="386" t="s">
        <v>12</v>
      </c>
      <c r="DL229" s="386" t="s">
        <v>12</v>
      </c>
      <c r="DM229" s="386" t="s">
        <v>12</v>
      </c>
      <c r="DN229" s="7" t="s">
        <v>12</v>
      </c>
      <c r="DO229" s="7" t="s">
        <v>12</v>
      </c>
      <c r="DP229" s="7" t="s">
        <v>12</v>
      </c>
      <c r="DQ229" s="7" t="s">
        <v>12</v>
      </c>
      <c r="DR229" s="7" t="s">
        <v>12</v>
      </c>
      <c r="DS229" s="7" t="s">
        <v>12</v>
      </c>
      <c r="DT229" s="7" t="s">
        <v>12</v>
      </c>
      <c r="DU229" s="7" t="s">
        <v>12</v>
      </c>
      <c r="DV229" s="7" t="s">
        <v>12</v>
      </c>
      <c r="DW229" s="7" t="s">
        <v>12</v>
      </c>
      <c r="DY229" s="9">
        <v>281580</v>
      </c>
      <c r="EI229" s="423" t="s">
        <v>12</v>
      </c>
      <c r="EJ229" s="423" t="s">
        <v>12</v>
      </c>
      <c r="EK229" s="423" t="s">
        <v>12</v>
      </c>
      <c r="EL229" s="423" t="s">
        <v>12</v>
      </c>
      <c r="EM229" s="423" t="s">
        <v>12</v>
      </c>
      <c r="EN229" s="423" t="s">
        <v>12</v>
      </c>
      <c r="EO229" s="423" t="s">
        <v>12</v>
      </c>
      <c r="EP229" s="423" t="s">
        <v>12</v>
      </c>
      <c r="EQ229" s="423" t="s">
        <v>12</v>
      </c>
      <c r="ER229" s="423" t="s">
        <v>12</v>
      </c>
      <c r="ES229" s="438" t="s">
        <v>12</v>
      </c>
      <c r="ET229" s="438" t="s">
        <v>12</v>
      </c>
      <c r="EU229" s="438" t="s">
        <v>12</v>
      </c>
      <c r="EV229" s="438" t="s">
        <v>12</v>
      </c>
      <c r="EW229" s="438" t="s">
        <v>12</v>
      </c>
      <c r="EX229" s="438" t="s">
        <v>12</v>
      </c>
      <c r="EY229" s="438" t="s">
        <v>12</v>
      </c>
      <c r="EZ229" s="438" t="s">
        <v>12</v>
      </c>
      <c r="FA229" s="438" t="s">
        <v>12</v>
      </c>
      <c r="FB229" s="438" t="s">
        <v>12</v>
      </c>
      <c r="FC229" s="346">
        <v>0</v>
      </c>
      <c r="FD229" s="346">
        <v>0</v>
      </c>
      <c r="FE229" s="346">
        <v>0</v>
      </c>
      <c r="FF229" s="346">
        <v>0</v>
      </c>
      <c r="FG229" s="346">
        <v>0</v>
      </c>
      <c r="FH229" s="346">
        <v>0</v>
      </c>
      <c r="FI229" s="346">
        <v>0</v>
      </c>
      <c r="FJ229" s="346">
        <v>0</v>
      </c>
      <c r="FK229" s="346">
        <v>0</v>
      </c>
      <c r="FL229" s="346">
        <v>0</v>
      </c>
    </row>
    <row r="230" spans="1:168" x14ac:dyDescent="0.25">
      <c r="A230" s="238">
        <v>3</v>
      </c>
      <c r="B230" s="238" t="s">
        <v>764</v>
      </c>
      <c r="C230" s="239" t="s">
        <v>11</v>
      </c>
      <c r="D230" s="239" t="s">
        <v>11</v>
      </c>
      <c r="E230" s="239" t="s">
        <v>11</v>
      </c>
      <c r="F230" s="239" t="s">
        <v>11</v>
      </c>
      <c r="G230" s="239" t="s">
        <v>11</v>
      </c>
      <c r="H230" s="239" t="s">
        <v>11</v>
      </c>
      <c r="I230" s="239" t="s">
        <v>11</v>
      </c>
      <c r="J230" s="239" t="s">
        <v>11</v>
      </c>
      <c r="K230" s="239" t="s">
        <v>11</v>
      </c>
      <c r="L230" s="239" t="s">
        <v>11</v>
      </c>
      <c r="N230">
        <v>15</v>
      </c>
      <c r="O230" t="s">
        <v>30</v>
      </c>
      <c r="P230" t="s">
        <v>30</v>
      </c>
      <c r="Q230" t="s">
        <v>7</v>
      </c>
      <c r="R230" s="2" t="s">
        <v>12</v>
      </c>
      <c r="S230" s="2" t="s">
        <v>12</v>
      </c>
      <c r="T230" s="2" t="s">
        <v>12</v>
      </c>
      <c r="U230" s="2" t="s">
        <v>12</v>
      </c>
      <c r="V230" s="2" t="s">
        <v>12</v>
      </c>
      <c r="W230" s="2" t="s">
        <v>12</v>
      </c>
      <c r="X230" s="2" t="s">
        <v>12</v>
      </c>
      <c r="Y230" s="2" t="s">
        <v>12</v>
      </c>
      <c r="Z230" s="2" t="s">
        <v>12</v>
      </c>
      <c r="AA230" s="2" t="s">
        <v>12</v>
      </c>
      <c r="AB230" s="2" t="s">
        <v>12</v>
      </c>
      <c r="AC230" s="2" t="s">
        <v>12</v>
      </c>
      <c r="AD230" t="s">
        <v>12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t="s">
        <v>12</v>
      </c>
      <c r="AR230" t="s">
        <v>12</v>
      </c>
      <c r="AS230" t="s">
        <v>12</v>
      </c>
      <c r="AT230" t="s">
        <v>12</v>
      </c>
      <c r="AU230" t="s">
        <v>12</v>
      </c>
      <c r="AV230" t="s">
        <v>12</v>
      </c>
      <c r="AW230" t="s">
        <v>12</v>
      </c>
      <c r="AX230" t="s">
        <v>12</v>
      </c>
      <c r="AY230" t="s">
        <v>12</v>
      </c>
      <c r="AZ230" t="s">
        <v>12</v>
      </c>
      <c r="BA230" t="s">
        <v>12</v>
      </c>
      <c r="BB230" t="s">
        <v>12</v>
      </c>
      <c r="BC230" t="s">
        <v>12</v>
      </c>
      <c r="BD230" t="s">
        <v>12</v>
      </c>
      <c r="BF230" s="313" t="s">
        <v>11</v>
      </c>
      <c r="BG230" s="313" t="s">
        <v>11</v>
      </c>
      <c r="BH230" t="s">
        <v>12</v>
      </c>
      <c r="BI230" t="s">
        <v>12</v>
      </c>
      <c r="BJ230" t="s">
        <v>12</v>
      </c>
      <c r="BK230" t="s">
        <v>12</v>
      </c>
      <c r="BL230" t="s">
        <v>12</v>
      </c>
      <c r="BM230" t="s">
        <v>12</v>
      </c>
      <c r="BN230" t="s">
        <v>12</v>
      </c>
      <c r="BO230" t="s">
        <v>12</v>
      </c>
      <c r="BP230" t="s">
        <v>12</v>
      </c>
      <c r="BQ230" t="s">
        <v>12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 s="9" t="s">
        <v>12</v>
      </c>
      <c r="CF230" s="28" t="s">
        <v>12</v>
      </c>
      <c r="CG230" s="28" t="s">
        <v>12</v>
      </c>
      <c r="CH230" s="28" t="s">
        <v>12</v>
      </c>
      <c r="CI230" s="28" t="s">
        <v>12</v>
      </c>
      <c r="CJ230" s="28" t="s">
        <v>12</v>
      </c>
      <c r="CK230" s="28" t="s">
        <v>12</v>
      </c>
      <c r="CL230" s="28" t="s">
        <v>12</v>
      </c>
      <c r="CM230" s="28" t="s">
        <v>12</v>
      </c>
      <c r="CN230" s="28" t="s">
        <v>12</v>
      </c>
      <c r="CO230" s="28" t="s">
        <v>12</v>
      </c>
      <c r="CP230" s="28" t="s">
        <v>12</v>
      </c>
      <c r="CQ230" s="28" t="s">
        <v>12</v>
      </c>
      <c r="CR230" s="28" t="s">
        <v>12</v>
      </c>
      <c r="CS230" s="28" t="s">
        <v>12</v>
      </c>
      <c r="CT230" s="28" t="s">
        <v>12</v>
      </c>
      <c r="CU230" s="28" t="s">
        <v>12</v>
      </c>
      <c r="CV230" s="28" t="s">
        <v>12</v>
      </c>
      <c r="CW230" s="28" t="s">
        <v>12</v>
      </c>
      <c r="CX230" s="28" t="s">
        <v>12</v>
      </c>
      <c r="CY230" s="28" t="s">
        <v>12</v>
      </c>
      <c r="CZ230" s="28" t="s">
        <v>12</v>
      </c>
      <c r="DA230" s="28" t="s">
        <v>12</v>
      </c>
      <c r="DB230" s="313">
        <v>15</v>
      </c>
      <c r="DC230" s="313" t="s">
        <v>30</v>
      </c>
      <c r="DD230" s="386" t="s">
        <v>12</v>
      </c>
      <c r="DE230" s="386" t="s">
        <v>12</v>
      </c>
      <c r="DF230" s="386" t="s">
        <v>12</v>
      </c>
      <c r="DG230" s="386" t="s">
        <v>12</v>
      </c>
      <c r="DH230" s="386" t="s">
        <v>12</v>
      </c>
      <c r="DI230" s="386" t="s">
        <v>12</v>
      </c>
      <c r="DJ230" s="386" t="s">
        <v>12</v>
      </c>
      <c r="DK230" s="386" t="s">
        <v>12</v>
      </c>
      <c r="DL230" s="386" t="s">
        <v>12</v>
      </c>
      <c r="DM230" s="386" t="s">
        <v>12</v>
      </c>
      <c r="DN230" s="7" t="s">
        <v>12</v>
      </c>
      <c r="DO230" s="7" t="s">
        <v>12</v>
      </c>
      <c r="DP230" s="7" t="s">
        <v>12</v>
      </c>
      <c r="DQ230" s="7" t="s">
        <v>12</v>
      </c>
      <c r="DR230" s="7" t="s">
        <v>12</v>
      </c>
      <c r="DS230" s="7" t="s">
        <v>12</v>
      </c>
      <c r="DT230" s="7" t="s">
        <v>12</v>
      </c>
      <c r="DU230" s="7" t="s">
        <v>12</v>
      </c>
      <c r="DV230" s="7" t="s">
        <v>12</v>
      </c>
      <c r="DW230" s="7" t="s">
        <v>12</v>
      </c>
      <c r="DY230" s="9">
        <v>9464000</v>
      </c>
      <c r="EI230" s="423" t="s">
        <v>12</v>
      </c>
      <c r="EJ230" s="423" t="s">
        <v>12</v>
      </c>
      <c r="EK230" s="423" t="s">
        <v>12</v>
      </c>
      <c r="EL230" s="423" t="s">
        <v>12</v>
      </c>
      <c r="EM230" s="423" t="s">
        <v>12</v>
      </c>
      <c r="EN230" s="423" t="s">
        <v>12</v>
      </c>
      <c r="EO230" s="423" t="s">
        <v>12</v>
      </c>
      <c r="EP230" s="423" t="s">
        <v>12</v>
      </c>
      <c r="EQ230" s="423" t="s">
        <v>12</v>
      </c>
      <c r="ER230" s="423" t="s">
        <v>12</v>
      </c>
      <c r="ES230" s="438" t="s">
        <v>12</v>
      </c>
      <c r="ET230" s="438" t="s">
        <v>12</v>
      </c>
      <c r="EU230" s="438" t="s">
        <v>12</v>
      </c>
      <c r="EV230" s="438" t="s">
        <v>12</v>
      </c>
      <c r="EW230" s="438" t="s">
        <v>12</v>
      </c>
      <c r="EX230" s="438" t="s">
        <v>12</v>
      </c>
      <c r="EY230" s="438" t="s">
        <v>12</v>
      </c>
      <c r="EZ230" s="438" t="s">
        <v>12</v>
      </c>
      <c r="FA230" s="438" t="s">
        <v>12</v>
      </c>
      <c r="FB230" s="438" t="s">
        <v>12</v>
      </c>
      <c r="FC230" s="346">
        <v>0</v>
      </c>
      <c r="FD230" s="346">
        <v>0</v>
      </c>
      <c r="FE230" s="346">
        <v>0</v>
      </c>
      <c r="FF230" s="346">
        <v>0</v>
      </c>
      <c r="FG230" s="346">
        <v>0</v>
      </c>
      <c r="FH230" s="346">
        <v>0</v>
      </c>
      <c r="FI230" s="346">
        <v>0</v>
      </c>
      <c r="FJ230" s="346">
        <v>0</v>
      </c>
      <c r="FK230" s="346">
        <v>0</v>
      </c>
      <c r="FL230" s="346">
        <v>0</v>
      </c>
    </row>
    <row r="231" spans="1:168" x14ac:dyDescent="0.25">
      <c r="A231" s="238">
        <v>4</v>
      </c>
      <c r="B231" s="238" t="s">
        <v>765</v>
      </c>
      <c r="C231" s="239" t="s">
        <v>11</v>
      </c>
      <c r="D231" s="239" t="s">
        <v>11</v>
      </c>
      <c r="E231" s="239" t="s">
        <v>11</v>
      </c>
      <c r="F231" s="239" t="s">
        <v>11</v>
      </c>
      <c r="G231" s="239" t="s">
        <v>11</v>
      </c>
      <c r="H231" s="239" t="s">
        <v>11</v>
      </c>
      <c r="I231" s="239" t="s">
        <v>11</v>
      </c>
      <c r="J231" s="239" t="s">
        <v>11</v>
      </c>
      <c r="K231" s="239" t="s">
        <v>11</v>
      </c>
      <c r="L231" s="239" t="s">
        <v>11</v>
      </c>
      <c r="N231">
        <v>16</v>
      </c>
      <c r="O231" t="s">
        <v>31</v>
      </c>
      <c r="P231" t="s">
        <v>31</v>
      </c>
      <c r="Q231" t="s">
        <v>23</v>
      </c>
      <c r="R231" s="2" t="s">
        <v>12</v>
      </c>
      <c r="S231" s="2" t="s">
        <v>12</v>
      </c>
      <c r="T231" s="2" t="s">
        <v>12</v>
      </c>
      <c r="U231" s="2" t="s">
        <v>12</v>
      </c>
      <c r="V231" s="2" t="s">
        <v>12</v>
      </c>
      <c r="W231" s="2" t="s">
        <v>12</v>
      </c>
      <c r="X231" s="2" t="s">
        <v>12</v>
      </c>
      <c r="Y231" s="2" t="s">
        <v>12</v>
      </c>
      <c r="Z231" s="2" t="s">
        <v>12</v>
      </c>
      <c r="AA231" s="2" t="s">
        <v>12</v>
      </c>
      <c r="AB231" s="2" t="s">
        <v>12</v>
      </c>
      <c r="AC231" s="2" t="s">
        <v>12</v>
      </c>
      <c r="AD231" t="s">
        <v>12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t="s">
        <v>12</v>
      </c>
      <c r="AR231" t="s">
        <v>12</v>
      </c>
      <c r="AS231" t="s">
        <v>12</v>
      </c>
      <c r="AT231" t="s">
        <v>12</v>
      </c>
      <c r="AU231" t="s">
        <v>12</v>
      </c>
      <c r="AV231" t="s">
        <v>12</v>
      </c>
      <c r="AW231" t="s">
        <v>12</v>
      </c>
      <c r="AX231" t="s">
        <v>12</v>
      </c>
      <c r="AY231" t="s">
        <v>12</v>
      </c>
      <c r="AZ231" t="s">
        <v>12</v>
      </c>
      <c r="BA231" t="s">
        <v>12</v>
      </c>
      <c r="BB231" t="s">
        <v>12</v>
      </c>
      <c r="BC231" t="s">
        <v>12</v>
      </c>
      <c r="BD231" t="s">
        <v>12</v>
      </c>
      <c r="BF231" s="313" t="s">
        <v>11</v>
      </c>
      <c r="BG231" s="313" t="s">
        <v>11</v>
      </c>
      <c r="BH231" t="s">
        <v>12</v>
      </c>
      <c r="BI231" t="s">
        <v>12</v>
      </c>
      <c r="BJ231" t="s">
        <v>12</v>
      </c>
      <c r="BK231" t="s">
        <v>12</v>
      </c>
      <c r="BL231" t="s">
        <v>12</v>
      </c>
      <c r="BM231" t="s">
        <v>12</v>
      </c>
      <c r="BN231" t="s">
        <v>12</v>
      </c>
      <c r="BO231" t="s">
        <v>12</v>
      </c>
      <c r="BP231" t="s">
        <v>12</v>
      </c>
      <c r="BQ231" t="s">
        <v>12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 s="9" t="s">
        <v>12</v>
      </c>
      <c r="CF231" s="28" t="s">
        <v>12</v>
      </c>
      <c r="CG231" s="28" t="s">
        <v>12</v>
      </c>
      <c r="CH231" s="28" t="s">
        <v>12</v>
      </c>
      <c r="CI231" s="28" t="s">
        <v>12</v>
      </c>
      <c r="CJ231" s="28" t="s">
        <v>12</v>
      </c>
      <c r="CK231" s="28" t="s">
        <v>12</v>
      </c>
      <c r="CL231" s="28" t="s">
        <v>12</v>
      </c>
      <c r="CM231" s="28" t="s">
        <v>12</v>
      </c>
      <c r="CN231" s="28" t="s">
        <v>12</v>
      </c>
      <c r="CO231" s="28" t="s">
        <v>12</v>
      </c>
      <c r="CP231" s="28" t="s">
        <v>12</v>
      </c>
      <c r="CQ231" s="28" t="s">
        <v>12</v>
      </c>
      <c r="CR231" s="28" t="s">
        <v>12</v>
      </c>
      <c r="CS231" s="28" t="s">
        <v>12</v>
      </c>
      <c r="CT231" s="28" t="s">
        <v>12</v>
      </c>
      <c r="CU231" s="28" t="s">
        <v>12</v>
      </c>
      <c r="CV231" s="28" t="s">
        <v>12</v>
      </c>
      <c r="CW231" s="28" t="s">
        <v>12</v>
      </c>
      <c r="CX231" s="28" t="s">
        <v>12</v>
      </c>
      <c r="CY231" s="28" t="s">
        <v>12</v>
      </c>
      <c r="CZ231" s="28" t="s">
        <v>12</v>
      </c>
      <c r="DA231" s="28" t="s">
        <v>12</v>
      </c>
      <c r="DB231" s="313">
        <v>16</v>
      </c>
      <c r="DC231" s="313" t="s">
        <v>31</v>
      </c>
      <c r="DD231" s="386" t="s">
        <v>12</v>
      </c>
      <c r="DE231" s="386" t="s">
        <v>12</v>
      </c>
      <c r="DF231" s="386" t="s">
        <v>12</v>
      </c>
      <c r="DG231" s="386" t="s">
        <v>12</v>
      </c>
      <c r="DH231" s="386" t="s">
        <v>12</v>
      </c>
      <c r="DI231" s="386" t="s">
        <v>12</v>
      </c>
      <c r="DJ231" s="386" t="s">
        <v>12</v>
      </c>
      <c r="DK231" s="386" t="s">
        <v>12</v>
      </c>
      <c r="DL231" s="386" t="s">
        <v>12</v>
      </c>
      <c r="DM231" s="386" t="s">
        <v>12</v>
      </c>
      <c r="DN231" s="7" t="s">
        <v>12</v>
      </c>
      <c r="DO231" s="7" t="s">
        <v>12</v>
      </c>
      <c r="DP231" s="7" t="s">
        <v>12</v>
      </c>
      <c r="DQ231" s="7" t="s">
        <v>12</v>
      </c>
      <c r="DR231" s="7" t="s">
        <v>12</v>
      </c>
      <c r="DS231" s="7" t="s">
        <v>12</v>
      </c>
      <c r="DT231" s="7" t="s">
        <v>12</v>
      </c>
      <c r="DU231" s="7" t="s">
        <v>12</v>
      </c>
      <c r="DV231" s="7" t="s">
        <v>12</v>
      </c>
      <c r="DW231" s="7" t="s">
        <v>12</v>
      </c>
      <c r="DY231" s="9">
        <v>11128246</v>
      </c>
      <c r="EI231" s="423" t="s">
        <v>12</v>
      </c>
      <c r="EJ231" s="423" t="s">
        <v>12</v>
      </c>
      <c r="EK231" s="423" t="s">
        <v>12</v>
      </c>
      <c r="EL231" s="423" t="s">
        <v>12</v>
      </c>
      <c r="EM231" s="423" t="s">
        <v>12</v>
      </c>
      <c r="EN231" s="423" t="s">
        <v>12</v>
      </c>
      <c r="EO231" s="423" t="s">
        <v>12</v>
      </c>
      <c r="EP231" s="423" t="s">
        <v>12</v>
      </c>
      <c r="EQ231" s="423" t="s">
        <v>12</v>
      </c>
      <c r="ER231" s="423" t="s">
        <v>12</v>
      </c>
      <c r="ES231" s="438" t="s">
        <v>12</v>
      </c>
      <c r="ET231" s="438" t="s">
        <v>12</v>
      </c>
      <c r="EU231" s="438" t="s">
        <v>12</v>
      </c>
      <c r="EV231" s="438" t="s">
        <v>12</v>
      </c>
      <c r="EW231" s="438" t="s">
        <v>12</v>
      </c>
      <c r="EX231" s="438" t="s">
        <v>12</v>
      </c>
      <c r="EY231" s="438" t="s">
        <v>12</v>
      </c>
      <c r="EZ231" s="438" t="s">
        <v>12</v>
      </c>
      <c r="FA231" s="438" t="s">
        <v>12</v>
      </c>
      <c r="FB231" s="438" t="s">
        <v>12</v>
      </c>
      <c r="FC231" s="346">
        <v>0</v>
      </c>
      <c r="FD231" s="346">
        <v>0</v>
      </c>
      <c r="FE231" s="346">
        <v>0</v>
      </c>
      <c r="FF231" s="346">
        <v>0</v>
      </c>
      <c r="FG231" s="346">
        <v>0</v>
      </c>
      <c r="FH231" s="346">
        <v>0</v>
      </c>
      <c r="FI231" s="346">
        <v>0</v>
      </c>
      <c r="FJ231" s="346">
        <v>0</v>
      </c>
      <c r="FK231" s="346">
        <v>0</v>
      </c>
      <c r="FL231" s="346">
        <v>0</v>
      </c>
    </row>
    <row r="232" spans="1:168" x14ac:dyDescent="0.25">
      <c r="A232" s="238">
        <v>5</v>
      </c>
      <c r="B232" s="238" t="s">
        <v>767</v>
      </c>
      <c r="C232" s="239" t="s">
        <v>11</v>
      </c>
      <c r="D232" s="239" t="s">
        <v>11</v>
      </c>
      <c r="E232" s="239" t="s">
        <v>11</v>
      </c>
      <c r="F232" s="239" t="s">
        <v>11</v>
      </c>
      <c r="G232" s="239" t="s">
        <v>11</v>
      </c>
      <c r="H232" s="239" t="s">
        <v>11</v>
      </c>
      <c r="I232" s="239" t="s">
        <v>11</v>
      </c>
      <c r="J232" s="239" t="s">
        <v>11</v>
      </c>
      <c r="K232" s="239" t="s">
        <v>11</v>
      </c>
      <c r="L232" s="239" t="s">
        <v>11</v>
      </c>
      <c r="N232">
        <v>17</v>
      </c>
      <c r="O232" t="s">
        <v>32</v>
      </c>
      <c r="P232" t="s">
        <v>32</v>
      </c>
      <c r="Q232" t="s">
        <v>33</v>
      </c>
      <c r="R232" s="2" t="s">
        <v>12</v>
      </c>
      <c r="S232" s="2" t="s">
        <v>12</v>
      </c>
      <c r="T232" s="2" t="s">
        <v>12</v>
      </c>
      <c r="U232" s="2" t="s">
        <v>12</v>
      </c>
      <c r="V232" s="2" t="s">
        <v>12</v>
      </c>
      <c r="W232" s="2" t="s">
        <v>12</v>
      </c>
      <c r="X232" s="2" t="s">
        <v>12</v>
      </c>
      <c r="Y232" s="2" t="s">
        <v>12</v>
      </c>
      <c r="Z232" s="2" t="s">
        <v>12</v>
      </c>
      <c r="AA232" s="2" t="s">
        <v>12</v>
      </c>
      <c r="AB232" s="2" t="s">
        <v>12</v>
      </c>
      <c r="AC232" s="2" t="s">
        <v>12</v>
      </c>
      <c r="AD232" t="s">
        <v>12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t="s">
        <v>12</v>
      </c>
      <c r="AR232" t="s">
        <v>12</v>
      </c>
      <c r="AS232" t="s">
        <v>12</v>
      </c>
      <c r="AT232" t="s">
        <v>12</v>
      </c>
      <c r="AU232" t="s">
        <v>12</v>
      </c>
      <c r="AV232" t="s">
        <v>12</v>
      </c>
      <c r="AW232" t="s">
        <v>12</v>
      </c>
      <c r="AX232" t="s">
        <v>12</v>
      </c>
      <c r="AY232" t="s">
        <v>12</v>
      </c>
      <c r="AZ232" t="s">
        <v>12</v>
      </c>
      <c r="BA232" t="s">
        <v>12</v>
      </c>
      <c r="BB232" t="s">
        <v>12</v>
      </c>
      <c r="BC232" t="s">
        <v>12</v>
      </c>
      <c r="BD232" t="s">
        <v>12</v>
      </c>
      <c r="BF232" s="313" t="s">
        <v>11</v>
      </c>
      <c r="BG232" s="313" t="s">
        <v>11</v>
      </c>
      <c r="BH232" t="s">
        <v>12</v>
      </c>
      <c r="BI232" t="s">
        <v>12</v>
      </c>
      <c r="BJ232" t="s">
        <v>12</v>
      </c>
      <c r="BK232" t="s">
        <v>12</v>
      </c>
      <c r="BL232" t="s">
        <v>12</v>
      </c>
      <c r="BM232" t="s">
        <v>12</v>
      </c>
      <c r="BN232" t="s">
        <v>12</v>
      </c>
      <c r="BO232" t="s">
        <v>12</v>
      </c>
      <c r="BP232" t="s">
        <v>12</v>
      </c>
      <c r="BQ232" t="s">
        <v>12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 s="9" t="s">
        <v>12</v>
      </c>
      <c r="CF232" s="28" t="s">
        <v>12</v>
      </c>
      <c r="CG232" s="28" t="s">
        <v>12</v>
      </c>
      <c r="CH232" s="28" t="s">
        <v>12</v>
      </c>
      <c r="CI232" s="28" t="s">
        <v>12</v>
      </c>
      <c r="CJ232" s="28" t="s">
        <v>12</v>
      </c>
      <c r="CK232" s="28" t="s">
        <v>12</v>
      </c>
      <c r="CL232" s="28" t="s">
        <v>12</v>
      </c>
      <c r="CM232" s="28" t="s">
        <v>12</v>
      </c>
      <c r="CN232" s="28" t="s">
        <v>12</v>
      </c>
      <c r="CO232" s="28" t="s">
        <v>12</v>
      </c>
      <c r="CP232" s="28" t="s">
        <v>12</v>
      </c>
      <c r="CQ232" s="28" t="s">
        <v>12</v>
      </c>
      <c r="CR232" s="28" t="s">
        <v>12</v>
      </c>
      <c r="CS232" s="28" t="s">
        <v>12</v>
      </c>
      <c r="CT232" s="28" t="s">
        <v>12</v>
      </c>
      <c r="CU232" s="28" t="s">
        <v>12</v>
      </c>
      <c r="CV232" s="28" t="s">
        <v>12</v>
      </c>
      <c r="CW232" s="28" t="s">
        <v>12</v>
      </c>
      <c r="CX232" s="28" t="s">
        <v>12</v>
      </c>
      <c r="CY232" s="28" t="s">
        <v>12</v>
      </c>
      <c r="CZ232" s="28" t="s">
        <v>12</v>
      </c>
      <c r="DA232" s="28" t="s">
        <v>12</v>
      </c>
      <c r="DB232" s="313">
        <v>17</v>
      </c>
      <c r="DC232" s="313" t="s">
        <v>32</v>
      </c>
      <c r="DD232" s="386" t="s">
        <v>12</v>
      </c>
      <c r="DE232" s="386" t="s">
        <v>12</v>
      </c>
      <c r="DF232" s="386" t="s">
        <v>12</v>
      </c>
      <c r="DG232" s="386" t="s">
        <v>12</v>
      </c>
      <c r="DH232" s="386" t="s">
        <v>12</v>
      </c>
      <c r="DI232" s="386" t="s">
        <v>12</v>
      </c>
      <c r="DJ232" s="386" t="s">
        <v>12</v>
      </c>
      <c r="DK232" s="386" t="s">
        <v>12</v>
      </c>
      <c r="DL232" s="386" t="s">
        <v>12</v>
      </c>
      <c r="DM232" s="386" t="s">
        <v>12</v>
      </c>
      <c r="DN232" s="7" t="s">
        <v>12</v>
      </c>
      <c r="DO232" s="7" t="s">
        <v>12</v>
      </c>
      <c r="DP232" s="7" t="s">
        <v>12</v>
      </c>
      <c r="DQ232" s="7" t="s">
        <v>12</v>
      </c>
      <c r="DR232" s="7" t="s">
        <v>12</v>
      </c>
      <c r="DS232" s="7" t="s">
        <v>12</v>
      </c>
      <c r="DT232" s="7" t="s">
        <v>12</v>
      </c>
      <c r="DU232" s="7" t="s">
        <v>12</v>
      </c>
      <c r="DV232" s="7" t="s">
        <v>12</v>
      </c>
      <c r="DW232" s="7" t="s">
        <v>12</v>
      </c>
      <c r="DY232" s="9">
        <v>336707</v>
      </c>
      <c r="EI232" s="423" t="s">
        <v>12</v>
      </c>
      <c r="EJ232" s="423" t="s">
        <v>12</v>
      </c>
      <c r="EK232" s="423" t="s">
        <v>12</v>
      </c>
      <c r="EL232" s="423" t="s">
        <v>12</v>
      </c>
      <c r="EM232" s="423" t="s">
        <v>12</v>
      </c>
      <c r="EN232" s="423" t="s">
        <v>12</v>
      </c>
      <c r="EO232" s="423" t="s">
        <v>12</v>
      </c>
      <c r="EP232" s="423" t="s">
        <v>12</v>
      </c>
      <c r="EQ232" s="423" t="s">
        <v>12</v>
      </c>
      <c r="ER232" s="423" t="s">
        <v>12</v>
      </c>
      <c r="ES232" s="438" t="s">
        <v>12</v>
      </c>
      <c r="ET232" s="438" t="s">
        <v>12</v>
      </c>
      <c r="EU232" s="438" t="s">
        <v>12</v>
      </c>
      <c r="EV232" s="438" t="s">
        <v>12</v>
      </c>
      <c r="EW232" s="438" t="s">
        <v>12</v>
      </c>
      <c r="EX232" s="438" t="s">
        <v>12</v>
      </c>
      <c r="EY232" s="438" t="s">
        <v>12</v>
      </c>
      <c r="EZ232" s="438" t="s">
        <v>12</v>
      </c>
      <c r="FA232" s="438" t="s">
        <v>12</v>
      </c>
      <c r="FB232" s="438" t="s">
        <v>12</v>
      </c>
      <c r="FC232" s="346">
        <v>0</v>
      </c>
      <c r="FD232" s="346">
        <v>0</v>
      </c>
      <c r="FE232" s="346">
        <v>0</v>
      </c>
      <c r="FF232" s="346">
        <v>0</v>
      </c>
      <c r="FG232" s="346">
        <v>0</v>
      </c>
      <c r="FH232" s="346">
        <v>0</v>
      </c>
      <c r="FI232" s="346">
        <v>0</v>
      </c>
      <c r="FJ232" s="346">
        <v>0</v>
      </c>
      <c r="FK232" s="346">
        <v>0</v>
      </c>
      <c r="FL232" s="346">
        <v>0</v>
      </c>
    </row>
    <row r="233" spans="1:168" x14ac:dyDescent="0.25">
      <c r="A233" s="238">
        <v>6</v>
      </c>
      <c r="B233" s="238" t="s">
        <v>768</v>
      </c>
      <c r="C233" s="239" t="s">
        <v>11</v>
      </c>
      <c r="D233" s="239" t="s">
        <v>11</v>
      </c>
      <c r="E233" s="239" t="s">
        <v>11</v>
      </c>
      <c r="F233" s="239" t="s">
        <v>11</v>
      </c>
      <c r="G233" s="239" t="s">
        <v>11</v>
      </c>
      <c r="H233" s="239" t="s">
        <v>11</v>
      </c>
      <c r="I233" s="239" t="s">
        <v>11</v>
      </c>
      <c r="J233" s="239" t="s">
        <v>11</v>
      </c>
      <c r="K233" s="239" t="s">
        <v>11</v>
      </c>
      <c r="L233" s="239" t="s">
        <v>11</v>
      </c>
      <c r="N233">
        <v>18</v>
      </c>
      <c r="O233" t="s">
        <v>34</v>
      </c>
      <c r="P233" t="s">
        <v>34</v>
      </c>
      <c r="Q233" t="s">
        <v>14</v>
      </c>
      <c r="R233" s="2" t="s">
        <v>12</v>
      </c>
      <c r="S233" s="2" t="s">
        <v>12</v>
      </c>
      <c r="T233" s="2" t="s">
        <v>12</v>
      </c>
      <c r="U233" s="2" t="s">
        <v>12</v>
      </c>
      <c r="V233" s="2" t="s">
        <v>12</v>
      </c>
      <c r="W233" s="2" t="s">
        <v>12</v>
      </c>
      <c r="X233" s="2" t="s">
        <v>12</v>
      </c>
      <c r="Y233" s="2" t="s">
        <v>12</v>
      </c>
      <c r="Z233" s="2" t="s">
        <v>12</v>
      </c>
      <c r="AA233" s="2" t="s">
        <v>12</v>
      </c>
      <c r="AB233" s="2" t="s">
        <v>12</v>
      </c>
      <c r="AC233" s="2" t="s">
        <v>12</v>
      </c>
      <c r="AD233" t="s">
        <v>12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t="s">
        <v>12</v>
      </c>
      <c r="AR233" t="s">
        <v>12</v>
      </c>
      <c r="AS233" t="s">
        <v>12</v>
      </c>
      <c r="AT233" t="s">
        <v>12</v>
      </c>
      <c r="AU233" t="s">
        <v>12</v>
      </c>
      <c r="AV233" t="s">
        <v>12</v>
      </c>
      <c r="AW233" t="s">
        <v>12</v>
      </c>
      <c r="AX233" t="s">
        <v>12</v>
      </c>
      <c r="AY233" t="s">
        <v>12</v>
      </c>
      <c r="AZ233" t="s">
        <v>12</v>
      </c>
      <c r="BA233" t="s">
        <v>12</v>
      </c>
      <c r="BB233" t="s">
        <v>12</v>
      </c>
      <c r="BC233" t="s">
        <v>12</v>
      </c>
      <c r="BD233" t="s">
        <v>12</v>
      </c>
      <c r="BF233" s="313" t="s">
        <v>11</v>
      </c>
      <c r="BG233" s="313" t="s">
        <v>11</v>
      </c>
      <c r="BH233" t="s">
        <v>12</v>
      </c>
      <c r="BI233" t="s">
        <v>12</v>
      </c>
      <c r="BJ233" t="s">
        <v>12</v>
      </c>
      <c r="BK233" t="s">
        <v>12</v>
      </c>
      <c r="BL233" t="s">
        <v>12</v>
      </c>
      <c r="BM233" t="s">
        <v>12</v>
      </c>
      <c r="BN233" t="s">
        <v>12</v>
      </c>
      <c r="BO233" t="s">
        <v>12</v>
      </c>
      <c r="BP233" t="s">
        <v>12</v>
      </c>
      <c r="BQ233" t="s">
        <v>12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 s="9" t="s">
        <v>12</v>
      </c>
      <c r="CF233" s="28" t="s">
        <v>12</v>
      </c>
      <c r="CG233" s="28" t="s">
        <v>12</v>
      </c>
      <c r="CH233" s="28" t="s">
        <v>12</v>
      </c>
      <c r="CI233" s="28" t="s">
        <v>12</v>
      </c>
      <c r="CJ233" s="28" t="s">
        <v>12</v>
      </c>
      <c r="CK233" s="28" t="s">
        <v>12</v>
      </c>
      <c r="CL233" s="28" t="s">
        <v>12</v>
      </c>
      <c r="CM233" s="28" t="s">
        <v>12</v>
      </c>
      <c r="CN233" s="28" t="s">
        <v>12</v>
      </c>
      <c r="CO233" s="28" t="s">
        <v>12</v>
      </c>
      <c r="CP233" s="28" t="s">
        <v>12</v>
      </c>
      <c r="CQ233" s="28" t="s">
        <v>12</v>
      </c>
      <c r="CR233" s="28" t="s">
        <v>12</v>
      </c>
      <c r="CS233" s="28" t="s">
        <v>12</v>
      </c>
      <c r="CT233" s="28" t="s">
        <v>12</v>
      </c>
      <c r="CU233" s="28" t="s">
        <v>12</v>
      </c>
      <c r="CV233" s="28" t="s">
        <v>12</v>
      </c>
      <c r="CW233" s="28" t="s">
        <v>12</v>
      </c>
      <c r="CX233" s="28" t="s">
        <v>12</v>
      </c>
      <c r="CY233" s="28" t="s">
        <v>12</v>
      </c>
      <c r="CZ233" s="28" t="s">
        <v>12</v>
      </c>
      <c r="DA233" s="28" t="s">
        <v>12</v>
      </c>
      <c r="DB233" s="313">
        <v>18</v>
      </c>
      <c r="DC233" s="313" t="s">
        <v>34</v>
      </c>
      <c r="DD233" s="386" t="s">
        <v>12</v>
      </c>
      <c r="DE233" s="386" t="s">
        <v>12</v>
      </c>
      <c r="DF233" s="386" t="s">
        <v>12</v>
      </c>
      <c r="DG233" s="386" t="s">
        <v>12</v>
      </c>
      <c r="DH233" s="386" t="s">
        <v>12</v>
      </c>
      <c r="DI233" s="386" t="s">
        <v>12</v>
      </c>
      <c r="DJ233" s="386" t="s">
        <v>12</v>
      </c>
      <c r="DK233" s="386" t="s">
        <v>12</v>
      </c>
      <c r="DL233" s="386" t="s">
        <v>12</v>
      </c>
      <c r="DM233" s="386" t="s">
        <v>12</v>
      </c>
      <c r="DN233" s="7" t="s">
        <v>12</v>
      </c>
      <c r="DO233" s="7" t="s">
        <v>12</v>
      </c>
      <c r="DP233" s="7" t="s">
        <v>12</v>
      </c>
      <c r="DQ233" s="7" t="s">
        <v>12</v>
      </c>
      <c r="DR233" s="7" t="s">
        <v>12</v>
      </c>
      <c r="DS233" s="7" t="s">
        <v>12</v>
      </c>
      <c r="DT233" s="7" t="s">
        <v>12</v>
      </c>
      <c r="DU233" s="7" t="s">
        <v>12</v>
      </c>
      <c r="DV233" s="7" t="s">
        <v>12</v>
      </c>
      <c r="DW233" s="7" t="s">
        <v>12</v>
      </c>
      <c r="DY233" s="9">
        <v>10049792</v>
      </c>
      <c r="EI233" s="423" t="s">
        <v>12</v>
      </c>
      <c r="EJ233" s="423" t="s">
        <v>12</v>
      </c>
      <c r="EK233" s="423" t="s">
        <v>12</v>
      </c>
      <c r="EL233" s="423" t="s">
        <v>12</v>
      </c>
      <c r="EM233" s="423" t="s">
        <v>12</v>
      </c>
      <c r="EN233" s="423" t="s">
        <v>12</v>
      </c>
      <c r="EO233" s="423" t="s">
        <v>12</v>
      </c>
      <c r="EP233" s="423" t="s">
        <v>12</v>
      </c>
      <c r="EQ233" s="423" t="s">
        <v>12</v>
      </c>
      <c r="ER233" s="423" t="s">
        <v>12</v>
      </c>
      <c r="ES233" s="438" t="s">
        <v>12</v>
      </c>
      <c r="ET233" s="438" t="s">
        <v>12</v>
      </c>
      <c r="EU233" s="438" t="s">
        <v>12</v>
      </c>
      <c r="EV233" s="438" t="s">
        <v>12</v>
      </c>
      <c r="EW233" s="438" t="s">
        <v>12</v>
      </c>
      <c r="EX233" s="438" t="s">
        <v>12</v>
      </c>
      <c r="EY233" s="438" t="s">
        <v>12</v>
      </c>
      <c r="EZ233" s="438" t="s">
        <v>12</v>
      </c>
      <c r="FA233" s="438" t="s">
        <v>12</v>
      </c>
      <c r="FB233" s="438" t="s">
        <v>12</v>
      </c>
      <c r="FC233" s="346">
        <v>0</v>
      </c>
      <c r="FD233" s="346">
        <v>0</v>
      </c>
      <c r="FE233" s="346">
        <v>0</v>
      </c>
      <c r="FF233" s="346">
        <v>0</v>
      </c>
      <c r="FG233" s="346">
        <v>0</v>
      </c>
      <c r="FH233" s="346">
        <v>0</v>
      </c>
      <c r="FI233" s="346">
        <v>0</v>
      </c>
      <c r="FJ233" s="346">
        <v>0</v>
      </c>
      <c r="FK233" s="346">
        <v>0</v>
      </c>
      <c r="FL233" s="346">
        <v>0</v>
      </c>
    </row>
    <row r="234" spans="1:168" x14ac:dyDescent="0.25">
      <c r="A234" s="238">
        <v>7</v>
      </c>
      <c r="B234" s="238" t="s">
        <v>770</v>
      </c>
      <c r="C234" s="239" t="s">
        <v>11</v>
      </c>
      <c r="D234" s="239" t="s">
        <v>11</v>
      </c>
      <c r="E234" s="239" t="s">
        <v>11</v>
      </c>
      <c r="F234" s="239" t="s">
        <v>11</v>
      </c>
      <c r="G234" s="239" t="s">
        <v>11</v>
      </c>
      <c r="H234" s="239" t="s">
        <v>11</v>
      </c>
      <c r="I234" s="239" t="s">
        <v>11</v>
      </c>
      <c r="J234" s="239" t="s">
        <v>11</v>
      </c>
      <c r="K234" s="239" t="s">
        <v>11</v>
      </c>
      <c r="L234" s="239" t="s">
        <v>11</v>
      </c>
      <c r="N234">
        <v>19</v>
      </c>
      <c r="O234" t="s">
        <v>35</v>
      </c>
      <c r="P234" t="s">
        <v>11</v>
      </c>
      <c r="Q234" t="s">
        <v>36</v>
      </c>
      <c r="R234" s="2" t="s">
        <v>12</v>
      </c>
      <c r="S234" s="2" t="s">
        <v>12</v>
      </c>
      <c r="T234" s="2" t="s">
        <v>12</v>
      </c>
      <c r="U234" s="2" t="s">
        <v>12</v>
      </c>
      <c r="V234" s="2" t="s">
        <v>12</v>
      </c>
      <c r="W234" s="2" t="s">
        <v>12</v>
      </c>
      <c r="X234" s="2" t="s">
        <v>12</v>
      </c>
      <c r="Y234" s="2" t="s">
        <v>12</v>
      </c>
      <c r="Z234" s="2" t="s">
        <v>12</v>
      </c>
      <c r="AA234" s="2" t="s">
        <v>12</v>
      </c>
      <c r="AB234" s="2" t="s">
        <v>12</v>
      </c>
      <c r="AC234" s="2" t="s">
        <v>12</v>
      </c>
      <c r="AD234" t="s">
        <v>12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t="s">
        <v>12</v>
      </c>
      <c r="AR234" t="s">
        <v>12</v>
      </c>
      <c r="AS234" t="s">
        <v>12</v>
      </c>
      <c r="AT234" t="s">
        <v>12</v>
      </c>
      <c r="AU234" t="s">
        <v>12</v>
      </c>
      <c r="AV234" t="s">
        <v>12</v>
      </c>
      <c r="AW234" t="s">
        <v>12</v>
      </c>
      <c r="AX234" t="s">
        <v>12</v>
      </c>
      <c r="AY234" t="s">
        <v>12</v>
      </c>
      <c r="AZ234" t="s">
        <v>12</v>
      </c>
      <c r="BA234" t="s">
        <v>12</v>
      </c>
      <c r="BB234" t="s">
        <v>12</v>
      </c>
      <c r="BC234" t="s">
        <v>12</v>
      </c>
      <c r="BD234" t="s">
        <v>12</v>
      </c>
      <c r="BF234" s="313" t="s">
        <v>11</v>
      </c>
      <c r="BG234" s="313" t="s">
        <v>11</v>
      </c>
      <c r="BH234" t="s">
        <v>12</v>
      </c>
      <c r="BI234" t="s">
        <v>12</v>
      </c>
      <c r="BJ234" t="s">
        <v>12</v>
      </c>
      <c r="BK234" t="s">
        <v>12</v>
      </c>
      <c r="BL234" t="s">
        <v>12</v>
      </c>
      <c r="BM234" t="s">
        <v>12</v>
      </c>
      <c r="BN234" t="s">
        <v>12</v>
      </c>
      <c r="BO234" t="s">
        <v>12</v>
      </c>
      <c r="BP234" t="s">
        <v>12</v>
      </c>
      <c r="BQ234" t="s">
        <v>12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s="9" t="s">
        <v>12</v>
      </c>
      <c r="CF234" s="28" t="s">
        <v>12</v>
      </c>
      <c r="CG234" s="28" t="s">
        <v>12</v>
      </c>
      <c r="CH234" s="28" t="s">
        <v>12</v>
      </c>
      <c r="CI234" s="28" t="s">
        <v>12</v>
      </c>
      <c r="CJ234" s="28" t="s">
        <v>12</v>
      </c>
      <c r="CK234" s="28" t="s">
        <v>12</v>
      </c>
      <c r="CL234" s="28" t="s">
        <v>12</v>
      </c>
      <c r="CM234" s="28" t="s">
        <v>12</v>
      </c>
      <c r="CN234" s="28" t="s">
        <v>12</v>
      </c>
      <c r="CO234" s="28" t="s">
        <v>12</v>
      </c>
      <c r="CP234" s="28" t="s">
        <v>12</v>
      </c>
      <c r="CQ234" s="28" t="s">
        <v>12</v>
      </c>
      <c r="CR234" s="28" t="s">
        <v>12</v>
      </c>
      <c r="CS234" s="28" t="s">
        <v>12</v>
      </c>
      <c r="CT234" s="28" t="s">
        <v>12</v>
      </c>
      <c r="CU234" s="28" t="s">
        <v>12</v>
      </c>
      <c r="CV234" s="28" t="s">
        <v>12</v>
      </c>
      <c r="CW234" s="28" t="s">
        <v>12</v>
      </c>
      <c r="CX234" s="28" t="s">
        <v>12</v>
      </c>
      <c r="CY234" s="28" t="s">
        <v>12</v>
      </c>
      <c r="CZ234" s="28" t="s">
        <v>12</v>
      </c>
      <c r="DA234" s="28" t="s">
        <v>12</v>
      </c>
      <c r="DB234" s="313">
        <v>19</v>
      </c>
      <c r="DC234" s="313" t="s">
        <v>35</v>
      </c>
      <c r="DD234" s="386" t="s">
        <v>12</v>
      </c>
      <c r="DE234" s="386" t="s">
        <v>12</v>
      </c>
      <c r="DF234" s="386" t="s">
        <v>12</v>
      </c>
      <c r="DG234" s="386" t="s">
        <v>12</v>
      </c>
      <c r="DH234" s="386" t="s">
        <v>12</v>
      </c>
      <c r="DI234" s="386" t="s">
        <v>12</v>
      </c>
      <c r="DJ234" s="386" t="s">
        <v>12</v>
      </c>
      <c r="DK234" s="386" t="s">
        <v>12</v>
      </c>
      <c r="DL234" s="386" t="s">
        <v>12</v>
      </c>
      <c r="DM234" s="386" t="s">
        <v>12</v>
      </c>
      <c r="DN234" s="7" t="s">
        <v>12</v>
      </c>
      <c r="DO234" s="7" t="s">
        <v>12</v>
      </c>
      <c r="DP234" s="7" t="s">
        <v>12</v>
      </c>
      <c r="DQ234" s="7" t="s">
        <v>12</v>
      </c>
      <c r="DR234" s="7" t="s">
        <v>12</v>
      </c>
      <c r="DS234" s="7" t="s">
        <v>12</v>
      </c>
      <c r="DT234" s="7" t="s">
        <v>12</v>
      </c>
      <c r="DU234" s="7" t="s">
        <v>12</v>
      </c>
      <c r="DV234" s="7" t="s">
        <v>12</v>
      </c>
      <c r="DW234" s="7" t="s">
        <v>12</v>
      </c>
      <c r="DY234" s="9">
        <v>64798</v>
      </c>
      <c r="EI234" s="423" t="s">
        <v>12</v>
      </c>
      <c r="EJ234" s="423" t="s">
        <v>12</v>
      </c>
      <c r="EK234" s="423" t="s">
        <v>12</v>
      </c>
      <c r="EL234" s="423" t="s">
        <v>12</v>
      </c>
      <c r="EM234" s="423" t="s">
        <v>12</v>
      </c>
      <c r="EN234" s="423" t="s">
        <v>12</v>
      </c>
      <c r="EO234" s="423" t="s">
        <v>12</v>
      </c>
      <c r="EP234" s="423" t="s">
        <v>12</v>
      </c>
      <c r="EQ234" s="423" t="s">
        <v>12</v>
      </c>
      <c r="ER234" s="423" t="s">
        <v>12</v>
      </c>
      <c r="ES234" s="438" t="s">
        <v>12</v>
      </c>
      <c r="ET234" s="438" t="s">
        <v>12</v>
      </c>
      <c r="EU234" s="438" t="s">
        <v>12</v>
      </c>
      <c r="EV234" s="438" t="s">
        <v>12</v>
      </c>
      <c r="EW234" s="438" t="s">
        <v>12</v>
      </c>
      <c r="EX234" s="438" t="s">
        <v>12</v>
      </c>
      <c r="EY234" s="438" t="s">
        <v>12</v>
      </c>
      <c r="EZ234" s="438" t="s">
        <v>12</v>
      </c>
      <c r="FA234" s="438" t="s">
        <v>12</v>
      </c>
      <c r="FB234" s="438" t="s">
        <v>12</v>
      </c>
      <c r="FC234" s="346">
        <v>0</v>
      </c>
      <c r="FD234" s="346">
        <v>0</v>
      </c>
      <c r="FE234" s="346">
        <v>0</v>
      </c>
      <c r="FF234" s="346">
        <v>0</v>
      </c>
      <c r="FG234" s="346">
        <v>0</v>
      </c>
      <c r="FH234" s="346">
        <v>0</v>
      </c>
      <c r="FI234" s="346">
        <v>0</v>
      </c>
      <c r="FJ234" s="346">
        <v>0</v>
      </c>
      <c r="FK234" s="346">
        <v>0</v>
      </c>
      <c r="FL234" s="346">
        <v>0</v>
      </c>
    </row>
    <row r="235" spans="1:168" x14ac:dyDescent="0.25">
      <c r="A235" s="238">
        <v>8</v>
      </c>
      <c r="B235" s="238" t="s">
        <v>771</v>
      </c>
      <c r="C235" s="239" t="s">
        <v>11</v>
      </c>
      <c r="D235" s="239" t="s">
        <v>11</v>
      </c>
      <c r="E235" s="239" t="s">
        <v>11</v>
      </c>
      <c r="F235" s="239" t="s">
        <v>11</v>
      </c>
      <c r="G235" s="239" t="s">
        <v>11</v>
      </c>
      <c r="H235" s="239" t="s">
        <v>11</v>
      </c>
      <c r="I235" s="239" t="s">
        <v>11</v>
      </c>
      <c r="J235" s="239" t="s">
        <v>11</v>
      </c>
      <c r="K235" s="239" t="s">
        <v>11</v>
      </c>
      <c r="L235" s="239" t="s">
        <v>11</v>
      </c>
      <c r="N235">
        <v>20</v>
      </c>
      <c r="O235" t="s">
        <v>37</v>
      </c>
      <c r="P235" t="s">
        <v>37</v>
      </c>
      <c r="Q235" t="s">
        <v>25</v>
      </c>
      <c r="R235" s="2" t="s">
        <v>12</v>
      </c>
      <c r="S235" s="2" t="s">
        <v>12</v>
      </c>
      <c r="T235" s="2" t="s">
        <v>12</v>
      </c>
      <c r="U235" s="2" t="s">
        <v>12</v>
      </c>
      <c r="V235" s="2" t="s">
        <v>12</v>
      </c>
      <c r="W235" s="2" t="s">
        <v>12</v>
      </c>
      <c r="X235" s="2" t="s">
        <v>12</v>
      </c>
      <c r="Y235" s="2" t="s">
        <v>12</v>
      </c>
      <c r="Z235" s="2" t="s">
        <v>12</v>
      </c>
      <c r="AA235" s="2" t="s">
        <v>12</v>
      </c>
      <c r="AB235" s="2" t="s">
        <v>12</v>
      </c>
      <c r="AC235" s="2" t="s">
        <v>12</v>
      </c>
      <c r="AD235" t="s">
        <v>12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t="s">
        <v>12</v>
      </c>
      <c r="AR235" t="s">
        <v>12</v>
      </c>
      <c r="AS235" t="s">
        <v>12</v>
      </c>
      <c r="AT235" t="s">
        <v>12</v>
      </c>
      <c r="AU235" t="s">
        <v>12</v>
      </c>
      <c r="AV235" t="s">
        <v>12</v>
      </c>
      <c r="AW235" t="s">
        <v>12</v>
      </c>
      <c r="AX235" t="s">
        <v>12</v>
      </c>
      <c r="AY235" t="s">
        <v>12</v>
      </c>
      <c r="AZ235" t="s">
        <v>12</v>
      </c>
      <c r="BA235" t="s">
        <v>12</v>
      </c>
      <c r="BB235" t="s">
        <v>12</v>
      </c>
      <c r="BC235" t="s">
        <v>12</v>
      </c>
      <c r="BD235" t="s">
        <v>12</v>
      </c>
      <c r="BF235" s="313" t="s">
        <v>11</v>
      </c>
      <c r="BG235" s="313" t="s">
        <v>11</v>
      </c>
      <c r="BH235" t="s">
        <v>12</v>
      </c>
      <c r="BI235" t="s">
        <v>12</v>
      </c>
      <c r="BJ235" t="s">
        <v>12</v>
      </c>
      <c r="BK235" t="s">
        <v>12</v>
      </c>
      <c r="BL235" t="s">
        <v>12</v>
      </c>
      <c r="BM235" t="s">
        <v>12</v>
      </c>
      <c r="BN235" t="s">
        <v>12</v>
      </c>
      <c r="BO235" t="s">
        <v>12</v>
      </c>
      <c r="BP235" t="s">
        <v>12</v>
      </c>
      <c r="BQ235" t="s">
        <v>12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 s="9" t="s">
        <v>12</v>
      </c>
      <c r="CF235" s="28" t="s">
        <v>12</v>
      </c>
      <c r="CG235" s="28" t="s">
        <v>12</v>
      </c>
      <c r="CH235" s="28" t="s">
        <v>12</v>
      </c>
      <c r="CI235" s="28" t="s">
        <v>12</v>
      </c>
      <c r="CJ235" s="28" t="s">
        <v>12</v>
      </c>
      <c r="CK235" s="28" t="s">
        <v>12</v>
      </c>
      <c r="CL235" s="28" t="s">
        <v>12</v>
      </c>
      <c r="CM235" s="28" t="s">
        <v>12</v>
      </c>
      <c r="CN235" s="28" t="s">
        <v>12</v>
      </c>
      <c r="CO235" s="28" t="s">
        <v>12</v>
      </c>
      <c r="CP235" s="28" t="s">
        <v>12</v>
      </c>
      <c r="CQ235" s="28" t="s">
        <v>12</v>
      </c>
      <c r="CR235" s="28" t="s">
        <v>12</v>
      </c>
      <c r="CS235" s="28" t="s">
        <v>12</v>
      </c>
      <c r="CT235" s="28" t="s">
        <v>12</v>
      </c>
      <c r="CU235" s="28" t="s">
        <v>12</v>
      </c>
      <c r="CV235" s="28" t="s">
        <v>12</v>
      </c>
      <c r="CW235" s="28" t="s">
        <v>12</v>
      </c>
      <c r="CX235" s="28" t="s">
        <v>12</v>
      </c>
      <c r="CY235" s="28" t="s">
        <v>12</v>
      </c>
      <c r="CZ235" s="28" t="s">
        <v>12</v>
      </c>
      <c r="DA235" s="28" t="s">
        <v>12</v>
      </c>
      <c r="DB235" s="313">
        <v>20</v>
      </c>
      <c r="DC235" s="313" t="s">
        <v>37</v>
      </c>
      <c r="DD235" s="386" t="s">
        <v>12</v>
      </c>
      <c r="DE235" s="386" t="s">
        <v>12</v>
      </c>
      <c r="DF235" s="386" t="s">
        <v>12</v>
      </c>
      <c r="DG235" s="386" t="s">
        <v>12</v>
      </c>
      <c r="DH235" s="386" t="s">
        <v>12</v>
      </c>
      <c r="DI235" s="386" t="s">
        <v>12</v>
      </c>
      <c r="DJ235" s="386" t="s">
        <v>12</v>
      </c>
      <c r="DK235" s="386" t="s">
        <v>12</v>
      </c>
      <c r="DL235" s="386" t="s">
        <v>12</v>
      </c>
      <c r="DM235" s="386" t="s">
        <v>12</v>
      </c>
      <c r="DN235" s="7" t="s">
        <v>12</v>
      </c>
      <c r="DO235" s="7" t="s">
        <v>12</v>
      </c>
      <c r="DP235" s="7" t="s">
        <v>12</v>
      </c>
      <c r="DQ235" s="7" t="s">
        <v>12</v>
      </c>
      <c r="DR235" s="7" t="s">
        <v>12</v>
      </c>
      <c r="DS235" s="7" t="s">
        <v>12</v>
      </c>
      <c r="DT235" s="7" t="s">
        <v>12</v>
      </c>
      <c r="DU235" s="7" t="s">
        <v>12</v>
      </c>
      <c r="DV235" s="7" t="s">
        <v>12</v>
      </c>
      <c r="DW235" s="7" t="s">
        <v>12</v>
      </c>
      <c r="DY235" s="9">
        <v>743711</v>
      </c>
      <c r="EI235" s="423" t="s">
        <v>12</v>
      </c>
      <c r="EJ235" s="423" t="s">
        <v>12</v>
      </c>
      <c r="EK235" s="423" t="s">
        <v>12</v>
      </c>
      <c r="EL235" s="423" t="s">
        <v>12</v>
      </c>
      <c r="EM235" s="423" t="s">
        <v>12</v>
      </c>
      <c r="EN235" s="423" t="s">
        <v>12</v>
      </c>
      <c r="EO235" s="423" t="s">
        <v>12</v>
      </c>
      <c r="EP235" s="423" t="s">
        <v>12</v>
      </c>
      <c r="EQ235" s="423" t="s">
        <v>12</v>
      </c>
      <c r="ER235" s="423" t="s">
        <v>12</v>
      </c>
      <c r="ES235" s="438" t="s">
        <v>12</v>
      </c>
      <c r="ET235" s="438" t="s">
        <v>12</v>
      </c>
      <c r="EU235" s="438" t="s">
        <v>12</v>
      </c>
      <c r="EV235" s="438" t="s">
        <v>12</v>
      </c>
      <c r="EW235" s="438" t="s">
        <v>12</v>
      </c>
      <c r="EX235" s="438" t="s">
        <v>12</v>
      </c>
      <c r="EY235" s="438" t="s">
        <v>12</v>
      </c>
      <c r="EZ235" s="438" t="s">
        <v>12</v>
      </c>
      <c r="FA235" s="438" t="s">
        <v>12</v>
      </c>
      <c r="FB235" s="438" t="s">
        <v>12</v>
      </c>
      <c r="FC235" s="346">
        <v>0</v>
      </c>
      <c r="FD235" s="346">
        <v>0</v>
      </c>
      <c r="FE235" s="346">
        <v>0</v>
      </c>
      <c r="FF235" s="346">
        <v>0</v>
      </c>
      <c r="FG235" s="346">
        <v>0</v>
      </c>
      <c r="FH235" s="346">
        <v>0</v>
      </c>
      <c r="FI235" s="346">
        <v>0</v>
      </c>
      <c r="FJ235" s="346">
        <v>0</v>
      </c>
      <c r="FK235" s="346">
        <v>0</v>
      </c>
      <c r="FL235" s="346">
        <v>0</v>
      </c>
    </row>
    <row r="236" spans="1:168" x14ac:dyDescent="0.25">
      <c r="A236" s="238">
        <v>9</v>
      </c>
      <c r="B236" s="238" t="s">
        <v>772</v>
      </c>
      <c r="C236" s="239" t="s">
        <v>11</v>
      </c>
      <c r="D236" s="239" t="s">
        <v>11</v>
      </c>
      <c r="E236" s="239" t="s">
        <v>11</v>
      </c>
      <c r="F236" s="239" t="s">
        <v>11</v>
      </c>
      <c r="G236" s="239" t="s">
        <v>11</v>
      </c>
      <c r="H236" s="239" t="s">
        <v>11</v>
      </c>
      <c r="I236" s="239" t="s">
        <v>11</v>
      </c>
      <c r="J236" s="239" t="s">
        <v>11</v>
      </c>
      <c r="K236" s="239" t="s">
        <v>11</v>
      </c>
      <c r="L236" s="239" t="s">
        <v>11</v>
      </c>
      <c r="N236">
        <v>21</v>
      </c>
      <c r="O236" t="s">
        <v>38</v>
      </c>
      <c r="P236" t="s">
        <v>38</v>
      </c>
      <c r="Q236" t="s">
        <v>18</v>
      </c>
      <c r="R236" s="2" t="s">
        <v>12</v>
      </c>
      <c r="S236" s="2" t="s">
        <v>12</v>
      </c>
      <c r="T236" s="2" t="s">
        <v>12</v>
      </c>
      <c r="U236" s="2" t="s">
        <v>12</v>
      </c>
      <c r="V236" s="2" t="s">
        <v>12</v>
      </c>
      <c r="W236" s="2" t="s">
        <v>12</v>
      </c>
      <c r="X236" s="2" t="s">
        <v>12</v>
      </c>
      <c r="Y236" s="2" t="s">
        <v>12</v>
      </c>
      <c r="Z236" s="2" t="s">
        <v>12</v>
      </c>
      <c r="AA236" s="2" t="s">
        <v>12</v>
      </c>
      <c r="AB236" s="2" t="s">
        <v>12</v>
      </c>
      <c r="AC236" s="2" t="s">
        <v>12</v>
      </c>
      <c r="AD236" t="s">
        <v>12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t="s">
        <v>12</v>
      </c>
      <c r="AR236" t="s">
        <v>12</v>
      </c>
      <c r="AS236" t="s">
        <v>12</v>
      </c>
      <c r="AT236" t="s">
        <v>12</v>
      </c>
      <c r="AU236" t="s">
        <v>12</v>
      </c>
      <c r="AV236" t="s">
        <v>12</v>
      </c>
      <c r="AW236" t="s">
        <v>12</v>
      </c>
      <c r="AX236" t="s">
        <v>12</v>
      </c>
      <c r="AY236" t="s">
        <v>12</v>
      </c>
      <c r="AZ236" t="s">
        <v>12</v>
      </c>
      <c r="BA236" t="s">
        <v>12</v>
      </c>
      <c r="BB236" t="s">
        <v>12</v>
      </c>
      <c r="BC236" t="s">
        <v>12</v>
      </c>
      <c r="BD236" t="s">
        <v>12</v>
      </c>
      <c r="BF236" s="313" t="s">
        <v>11</v>
      </c>
      <c r="BG236" s="313" t="s">
        <v>11</v>
      </c>
      <c r="BH236" t="s">
        <v>12</v>
      </c>
      <c r="BI236" t="s">
        <v>12</v>
      </c>
      <c r="BJ236" t="s">
        <v>12</v>
      </c>
      <c r="BK236" t="s">
        <v>12</v>
      </c>
      <c r="BL236" t="s">
        <v>12</v>
      </c>
      <c r="BM236" t="s">
        <v>12</v>
      </c>
      <c r="BN236" t="s">
        <v>12</v>
      </c>
      <c r="BO236" t="s">
        <v>12</v>
      </c>
      <c r="BP236" t="s">
        <v>12</v>
      </c>
      <c r="BQ236" t="s">
        <v>12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 s="9" t="s">
        <v>12</v>
      </c>
      <c r="CF236" s="28" t="s">
        <v>12</v>
      </c>
      <c r="CG236" s="28" t="s">
        <v>12</v>
      </c>
      <c r="CH236" s="28" t="s">
        <v>12</v>
      </c>
      <c r="CI236" s="28" t="s">
        <v>12</v>
      </c>
      <c r="CJ236" s="28" t="s">
        <v>12</v>
      </c>
      <c r="CK236" s="28" t="s">
        <v>12</v>
      </c>
      <c r="CL236" s="28" t="s">
        <v>12</v>
      </c>
      <c r="CM236" s="28" t="s">
        <v>12</v>
      </c>
      <c r="CN236" s="28" t="s">
        <v>12</v>
      </c>
      <c r="CO236" s="28" t="s">
        <v>12</v>
      </c>
      <c r="CP236" s="28" t="s">
        <v>12</v>
      </c>
      <c r="CQ236" s="28" t="s">
        <v>12</v>
      </c>
      <c r="CR236" s="28" t="s">
        <v>12</v>
      </c>
      <c r="CS236" s="28" t="s">
        <v>12</v>
      </c>
      <c r="CT236" s="28" t="s">
        <v>12</v>
      </c>
      <c r="CU236" s="28" t="s">
        <v>12</v>
      </c>
      <c r="CV236" s="28" t="s">
        <v>12</v>
      </c>
      <c r="CW236" s="28" t="s">
        <v>12</v>
      </c>
      <c r="CX236" s="28" t="s">
        <v>12</v>
      </c>
      <c r="CY236" s="28" t="s">
        <v>12</v>
      </c>
      <c r="CZ236" s="28" t="s">
        <v>12</v>
      </c>
      <c r="DA236" s="28" t="s">
        <v>12</v>
      </c>
      <c r="DB236" s="313">
        <v>21</v>
      </c>
      <c r="DC236" s="313" t="s">
        <v>38</v>
      </c>
      <c r="DD236" s="386" t="s">
        <v>12</v>
      </c>
      <c r="DE236" s="386" t="s">
        <v>12</v>
      </c>
      <c r="DF236" s="386" t="s">
        <v>12</v>
      </c>
      <c r="DG236" s="386" t="s">
        <v>12</v>
      </c>
      <c r="DH236" s="386" t="s">
        <v>12</v>
      </c>
      <c r="DI236" s="386" t="s">
        <v>12</v>
      </c>
      <c r="DJ236" s="386" t="s">
        <v>12</v>
      </c>
      <c r="DK236" s="386" t="s">
        <v>12</v>
      </c>
      <c r="DL236" s="386" t="s">
        <v>12</v>
      </c>
      <c r="DM236" s="386" t="s">
        <v>12</v>
      </c>
      <c r="DN236" s="7" t="s">
        <v>12</v>
      </c>
      <c r="DO236" s="7" t="s">
        <v>12</v>
      </c>
      <c r="DP236" s="7" t="s">
        <v>12</v>
      </c>
      <c r="DQ236" s="7" t="s">
        <v>12</v>
      </c>
      <c r="DR236" s="7" t="s">
        <v>12</v>
      </c>
      <c r="DS236" s="7" t="s">
        <v>12</v>
      </c>
      <c r="DT236" s="7" t="s">
        <v>12</v>
      </c>
      <c r="DU236" s="7" t="s">
        <v>12</v>
      </c>
      <c r="DV236" s="7" t="s">
        <v>12</v>
      </c>
      <c r="DW236" s="7" t="s">
        <v>12</v>
      </c>
      <c r="DY236" s="9">
        <v>10238762</v>
      </c>
      <c r="EI236" s="423" t="s">
        <v>12</v>
      </c>
      <c r="EJ236" s="423" t="s">
        <v>12</v>
      </c>
      <c r="EK236" s="423" t="s">
        <v>12</v>
      </c>
      <c r="EL236" s="423" t="s">
        <v>12</v>
      </c>
      <c r="EM236" s="423" t="s">
        <v>12</v>
      </c>
      <c r="EN236" s="423" t="s">
        <v>12</v>
      </c>
      <c r="EO236" s="423" t="s">
        <v>12</v>
      </c>
      <c r="EP236" s="423" t="s">
        <v>12</v>
      </c>
      <c r="EQ236" s="423" t="s">
        <v>12</v>
      </c>
      <c r="ER236" s="423" t="s">
        <v>12</v>
      </c>
      <c r="ES236" s="438" t="s">
        <v>12</v>
      </c>
      <c r="ET236" s="438" t="s">
        <v>12</v>
      </c>
      <c r="EU236" s="438" t="s">
        <v>12</v>
      </c>
      <c r="EV236" s="438" t="s">
        <v>12</v>
      </c>
      <c r="EW236" s="438" t="s">
        <v>12</v>
      </c>
      <c r="EX236" s="438" t="s">
        <v>12</v>
      </c>
      <c r="EY236" s="438" t="s">
        <v>12</v>
      </c>
      <c r="EZ236" s="438" t="s">
        <v>12</v>
      </c>
      <c r="FA236" s="438" t="s">
        <v>12</v>
      </c>
      <c r="FB236" s="438" t="s">
        <v>12</v>
      </c>
      <c r="FC236" s="346">
        <v>0</v>
      </c>
      <c r="FD236" s="346">
        <v>0</v>
      </c>
      <c r="FE236" s="346">
        <v>0</v>
      </c>
      <c r="FF236" s="346">
        <v>0</v>
      </c>
      <c r="FG236" s="346">
        <v>0</v>
      </c>
      <c r="FH236" s="346">
        <v>0</v>
      </c>
      <c r="FI236" s="346">
        <v>0</v>
      </c>
      <c r="FJ236" s="346">
        <v>0</v>
      </c>
      <c r="FK236" s="346">
        <v>0</v>
      </c>
      <c r="FL236" s="346">
        <v>0</v>
      </c>
    </row>
    <row r="237" spans="1:168" x14ac:dyDescent="0.25">
      <c r="A237" s="238">
        <v>10</v>
      </c>
      <c r="B237" s="238" t="s">
        <v>773</v>
      </c>
      <c r="C237" s="239" t="s">
        <v>11</v>
      </c>
      <c r="D237" s="239" t="s">
        <v>11</v>
      </c>
      <c r="E237" s="239" t="s">
        <v>11</v>
      </c>
      <c r="F237" s="239" t="s">
        <v>11</v>
      </c>
      <c r="G237" s="239" t="s">
        <v>11</v>
      </c>
      <c r="H237" s="239" t="s">
        <v>11</v>
      </c>
      <c r="I237" s="239" t="s">
        <v>11</v>
      </c>
      <c r="J237" s="239" t="s">
        <v>11</v>
      </c>
      <c r="K237" s="239" t="s">
        <v>11</v>
      </c>
      <c r="L237" s="239" t="s">
        <v>11</v>
      </c>
      <c r="N237">
        <v>22</v>
      </c>
      <c r="O237" t="s">
        <v>39</v>
      </c>
      <c r="P237" t="s">
        <v>39</v>
      </c>
      <c r="Q237" t="s">
        <v>14</v>
      </c>
      <c r="R237" s="2" t="s">
        <v>12</v>
      </c>
      <c r="S237" s="2" t="s">
        <v>12</v>
      </c>
      <c r="T237" s="2" t="s">
        <v>12</v>
      </c>
      <c r="U237" s="2" t="s">
        <v>12</v>
      </c>
      <c r="V237" s="2" t="s">
        <v>12</v>
      </c>
      <c r="W237" s="2" t="s">
        <v>12</v>
      </c>
      <c r="X237" s="2" t="s">
        <v>12</v>
      </c>
      <c r="Y237" s="2" t="s">
        <v>12</v>
      </c>
      <c r="Z237" s="2" t="s">
        <v>12</v>
      </c>
      <c r="AA237" s="2" t="s">
        <v>12</v>
      </c>
      <c r="AB237" s="2" t="s">
        <v>12</v>
      </c>
      <c r="AC237" s="2" t="s">
        <v>12</v>
      </c>
      <c r="AD237" t="s">
        <v>12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t="s">
        <v>12</v>
      </c>
      <c r="AR237" t="s">
        <v>12</v>
      </c>
      <c r="AS237" t="s">
        <v>12</v>
      </c>
      <c r="AT237" t="s">
        <v>12</v>
      </c>
      <c r="AU237" t="s">
        <v>12</v>
      </c>
      <c r="AV237" t="s">
        <v>12</v>
      </c>
      <c r="AW237" t="s">
        <v>12</v>
      </c>
      <c r="AX237" t="s">
        <v>12</v>
      </c>
      <c r="AY237" t="s">
        <v>12</v>
      </c>
      <c r="AZ237" t="s">
        <v>12</v>
      </c>
      <c r="BA237" t="s">
        <v>12</v>
      </c>
      <c r="BB237" t="s">
        <v>12</v>
      </c>
      <c r="BC237" t="s">
        <v>12</v>
      </c>
      <c r="BD237" t="s">
        <v>12</v>
      </c>
      <c r="BF237" s="313" t="s">
        <v>11</v>
      </c>
      <c r="BG237" s="313" t="s">
        <v>11</v>
      </c>
      <c r="BH237" t="s">
        <v>12</v>
      </c>
      <c r="BI237" t="s">
        <v>12</v>
      </c>
      <c r="BJ237" t="s">
        <v>12</v>
      </c>
      <c r="BK237" t="s">
        <v>12</v>
      </c>
      <c r="BL237" t="s">
        <v>12</v>
      </c>
      <c r="BM237" t="s">
        <v>12</v>
      </c>
      <c r="BN237" t="s">
        <v>12</v>
      </c>
      <c r="BO237" t="s">
        <v>12</v>
      </c>
      <c r="BP237" t="s">
        <v>12</v>
      </c>
      <c r="BQ237" t="s">
        <v>12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 s="9" t="s">
        <v>12</v>
      </c>
      <c r="CF237" s="28" t="s">
        <v>12</v>
      </c>
      <c r="CG237" s="28" t="s">
        <v>12</v>
      </c>
      <c r="CH237" s="28" t="s">
        <v>12</v>
      </c>
      <c r="CI237" s="28" t="s">
        <v>12</v>
      </c>
      <c r="CJ237" s="28" t="s">
        <v>12</v>
      </c>
      <c r="CK237" s="28" t="s">
        <v>12</v>
      </c>
      <c r="CL237" s="28" t="s">
        <v>12</v>
      </c>
      <c r="CM237" s="28" t="s">
        <v>12</v>
      </c>
      <c r="CN237" s="28" t="s">
        <v>12</v>
      </c>
      <c r="CO237" s="28" t="s">
        <v>12</v>
      </c>
      <c r="CP237" s="28" t="s">
        <v>12</v>
      </c>
      <c r="CQ237" s="28" t="s">
        <v>12</v>
      </c>
      <c r="CR237" s="28" t="s">
        <v>12</v>
      </c>
      <c r="CS237" s="28" t="s">
        <v>12</v>
      </c>
      <c r="CT237" s="28" t="s">
        <v>12</v>
      </c>
      <c r="CU237" s="28" t="s">
        <v>12</v>
      </c>
      <c r="CV237" s="28" t="s">
        <v>12</v>
      </c>
      <c r="CW237" s="28" t="s">
        <v>12</v>
      </c>
      <c r="CX237" s="28" t="s">
        <v>12</v>
      </c>
      <c r="CY237" s="28" t="s">
        <v>12</v>
      </c>
      <c r="CZ237" s="28" t="s">
        <v>12</v>
      </c>
      <c r="DA237" s="28" t="s">
        <v>12</v>
      </c>
      <c r="DB237" s="313">
        <v>22</v>
      </c>
      <c r="DC237" s="313" t="s">
        <v>39</v>
      </c>
      <c r="DD237" s="386" t="s">
        <v>12</v>
      </c>
      <c r="DE237" s="386" t="s">
        <v>12</v>
      </c>
      <c r="DF237" s="386" t="s">
        <v>12</v>
      </c>
      <c r="DG237" s="386" t="s">
        <v>12</v>
      </c>
      <c r="DH237" s="386" t="s">
        <v>12</v>
      </c>
      <c r="DI237" s="386" t="s">
        <v>12</v>
      </c>
      <c r="DJ237" s="386" t="s">
        <v>12</v>
      </c>
      <c r="DK237" s="386" t="s">
        <v>12</v>
      </c>
      <c r="DL237" s="386" t="s">
        <v>12</v>
      </c>
      <c r="DM237" s="386" t="s">
        <v>12</v>
      </c>
      <c r="DN237" s="7" t="s">
        <v>12</v>
      </c>
      <c r="DO237" s="7" t="s">
        <v>12</v>
      </c>
      <c r="DP237" s="7" t="s">
        <v>12</v>
      </c>
      <c r="DQ237" s="7" t="s">
        <v>12</v>
      </c>
      <c r="DR237" s="7" t="s">
        <v>12</v>
      </c>
      <c r="DS237" s="7" t="s">
        <v>12</v>
      </c>
      <c r="DT237" s="7" t="s">
        <v>12</v>
      </c>
      <c r="DU237" s="7" t="s">
        <v>12</v>
      </c>
      <c r="DV237" s="7" t="s">
        <v>12</v>
      </c>
      <c r="DW237" s="7" t="s">
        <v>12</v>
      </c>
      <c r="DY237" s="9">
        <v>2132822</v>
      </c>
      <c r="EI237" s="423" t="s">
        <v>12</v>
      </c>
      <c r="EJ237" s="423" t="s">
        <v>12</v>
      </c>
      <c r="EK237" s="423" t="s">
        <v>12</v>
      </c>
      <c r="EL237" s="423" t="s">
        <v>12</v>
      </c>
      <c r="EM237" s="423" t="s">
        <v>12</v>
      </c>
      <c r="EN237" s="423" t="s">
        <v>12</v>
      </c>
      <c r="EO237" s="423" t="s">
        <v>12</v>
      </c>
      <c r="EP237" s="423" t="s">
        <v>12</v>
      </c>
      <c r="EQ237" s="423" t="s">
        <v>12</v>
      </c>
      <c r="ER237" s="423" t="s">
        <v>12</v>
      </c>
      <c r="ES237" s="438" t="s">
        <v>12</v>
      </c>
      <c r="ET237" s="438" t="s">
        <v>12</v>
      </c>
      <c r="EU237" s="438" t="s">
        <v>12</v>
      </c>
      <c r="EV237" s="438" t="s">
        <v>12</v>
      </c>
      <c r="EW237" s="438" t="s">
        <v>12</v>
      </c>
      <c r="EX237" s="438" t="s">
        <v>12</v>
      </c>
      <c r="EY237" s="438" t="s">
        <v>12</v>
      </c>
      <c r="EZ237" s="438" t="s">
        <v>12</v>
      </c>
      <c r="FA237" s="438" t="s">
        <v>12</v>
      </c>
      <c r="FB237" s="438" t="s">
        <v>12</v>
      </c>
      <c r="FC237" s="346">
        <v>0</v>
      </c>
      <c r="FD237" s="346">
        <v>0</v>
      </c>
      <c r="FE237" s="346">
        <v>0</v>
      </c>
      <c r="FF237" s="346">
        <v>0</v>
      </c>
      <c r="FG237" s="346">
        <v>0</v>
      </c>
      <c r="FH237" s="346">
        <v>0</v>
      </c>
      <c r="FI237" s="346">
        <v>0</v>
      </c>
      <c r="FJ237" s="346">
        <v>0</v>
      </c>
      <c r="FK237" s="346">
        <v>0</v>
      </c>
      <c r="FL237" s="346">
        <v>0</v>
      </c>
    </row>
    <row r="238" spans="1:168" x14ac:dyDescent="0.25">
      <c r="C238" s="240">
        <v>1</v>
      </c>
      <c r="D238" s="240">
        <v>2</v>
      </c>
      <c r="E238" s="240">
        <v>3</v>
      </c>
      <c r="F238" s="240">
        <v>4</v>
      </c>
      <c r="G238" s="240">
        <v>5</v>
      </c>
      <c r="H238" s="240">
        <v>6</v>
      </c>
      <c r="I238" s="240">
        <v>7</v>
      </c>
      <c r="J238" s="240">
        <v>8</v>
      </c>
      <c r="K238" s="240">
        <v>9</v>
      </c>
      <c r="L238" s="240">
        <v>10</v>
      </c>
      <c r="N238">
        <v>23</v>
      </c>
      <c r="O238" t="s">
        <v>40</v>
      </c>
      <c r="P238" t="s">
        <v>40</v>
      </c>
      <c r="Q238" t="s">
        <v>18</v>
      </c>
      <c r="R238" s="2" t="s">
        <v>12</v>
      </c>
      <c r="S238" s="2" t="s">
        <v>12</v>
      </c>
      <c r="T238" s="2" t="s">
        <v>12</v>
      </c>
      <c r="U238" s="2" t="s">
        <v>12</v>
      </c>
      <c r="V238" s="2" t="s">
        <v>12</v>
      </c>
      <c r="W238" s="2" t="s">
        <v>12</v>
      </c>
      <c r="X238" s="2" t="s">
        <v>12</v>
      </c>
      <c r="Y238" s="2" t="s">
        <v>12</v>
      </c>
      <c r="Z238" s="2" t="s">
        <v>12</v>
      </c>
      <c r="AA238" s="2" t="s">
        <v>12</v>
      </c>
      <c r="AB238" s="2" t="s">
        <v>12</v>
      </c>
      <c r="AC238" s="2" t="s">
        <v>12</v>
      </c>
      <c r="AD238" t="s">
        <v>12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t="s">
        <v>12</v>
      </c>
      <c r="AR238" t="s">
        <v>12</v>
      </c>
      <c r="AS238" t="s">
        <v>12</v>
      </c>
      <c r="AT238" t="s">
        <v>12</v>
      </c>
      <c r="AU238" t="s">
        <v>12</v>
      </c>
      <c r="AV238" t="s">
        <v>12</v>
      </c>
      <c r="AW238" t="s">
        <v>12</v>
      </c>
      <c r="AX238" t="s">
        <v>12</v>
      </c>
      <c r="AY238" t="s">
        <v>12</v>
      </c>
      <c r="AZ238" t="s">
        <v>12</v>
      </c>
      <c r="BA238" t="s">
        <v>12</v>
      </c>
      <c r="BB238" t="s">
        <v>12</v>
      </c>
      <c r="BC238" t="s">
        <v>12</v>
      </c>
      <c r="BD238" t="s">
        <v>12</v>
      </c>
      <c r="BF238" s="313" t="s">
        <v>11</v>
      </c>
      <c r="BG238" s="313" t="s">
        <v>11</v>
      </c>
      <c r="BH238" t="s">
        <v>12</v>
      </c>
      <c r="BI238" t="s">
        <v>12</v>
      </c>
      <c r="BJ238" t="s">
        <v>12</v>
      </c>
      <c r="BK238" t="s">
        <v>12</v>
      </c>
      <c r="BL238" t="s">
        <v>12</v>
      </c>
      <c r="BM238" t="s">
        <v>12</v>
      </c>
      <c r="BN238" t="s">
        <v>12</v>
      </c>
      <c r="BO238" t="s">
        <v>12</v>
      </c>
      <c r="BP238" t="s">
        <v>12</v>
      </c>
      <c r="BQ238" t="s">
        <v>12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 s="9" t="s">
        <v>12</v>
      </c>
      <c r="CF238" s="28" t="s">
        <v>12</v>
      </c>
      <c r="CG238" s="28" t="s">
        <v>12</v>
      </c>
      <c r="CH238" s="28" t="s">
        <v>12</v>
      </c>
      <c r="CI238" s="28" t="s">
        <v>12</v>
      </c>
      <c r="CJ238" s="28" t="s">
        <v>12</v>
      </c>
      <c r="CK238" s="28" t="s">
        <v>12</v>
      </c>
      <c r="CL238" s="28" t="s">
        <v>12</v>
      </c>
      <c r="CM238" s="28" t="s">
        <v>12</v>
      </c>
      <c r="CN238" s="28" t="s">
        <v>12</v>
      </c>
      <c r="CO238" s="28" t="s">
        <v>12</v>
      </c>
      <c r="CP238" s="28" t="s">
        <v>12</v>
      </c>
      <c r="CQ238" s="28" t="s">
        <v>12</v>
      </c>
      <c r="CR238" s="28" t="s">
        <v>12</v>
      </c>
      <c r="CS238" s="28" t="s">
        <v>12</v>
      </c>
      <c r="CT238" s="28" t="s">
        <v>12</v>
      </c>
      <c r="CU238" s="28" t="s">
        <v>12</v>
      </c>
      <c r="CV238" s="28" t="s">
        <v>12</v>
      </c>
      <c r="CW238" s="28" t="s">
        <v>12</v>
      </c>
      <c r="CX238" s="28" t="s">
        <v>12</v>
      </c>
      <c r="CY238" s="28" t="s">
        <v>12</v>
      </c>
      <c r="CZ238" s="28" t="s">
        <v>12</v>
      </c>
      <c r="DA238" s="28" t="s">
        <v>12</v>
      </c>
      <c r="DB238" s="313">
        <v>23</v>
      </c>
      <c r="DC238" s="313" t="s">
        <v>40</v>
      </c>
      <c r="DD238" s="386" t="s">
        <v>12</v>
      </c>
      <c r="DE238" s="386" t="s">
        <v>12</v>
      </c>
      <c r="DF238" s="386" t="s">
        <v>12</v>
      </c>
      <c r="DG238" s="386" t="s">
        <v>12</v>
      </c>
      <c r="DH238" s="386" t="s">
        <v>12</v>
      </c>
      <c r="DI238" s="386" t="s">
        <v>12</v>
      </c>
      <c r="DJ238" s="386" t="s">
        <v>12</v>
      </c>
      <c r="DK238" s="386" t="s">
        <v>12</v>
      </c>
      <c r="DL238" s="386" t="s">
        <v>12</v>
      </c>
      <c r="DM238" s="386" t="s">
        <v>12</v>
      </c>
      <c r="DN238" s="7" t="s">
        <v>12</v>
      </c>
      <c r="DO238" s="7" t="s">
        <v>12</v>
      </c>
      <c r="DP238" s="7" t="s">
        <v>12</v>
      </c>
      <c r="DQ238" s="7" t="s">
        <v>12</v>
      </c>
      <c r="DR238" s="7" t="s">
        <v>12</v>
      </c>
      <c r="DS238" s="7" t="s">
        <v>12</v>
      </c>
      <c r="DT238" s="7" t="s">
        <v>12</v>
      </c>
      <c r="DU238" s="7" t="s">
        <v>12</v>
      </c>
      <c r="DV238" s="7" t="s">
        <v>12</v>
      </c>
      <c r="DW238" s="7" t="s">
        <v>12</v>
      </c>
      <c r="DY238" s="9">
        <v>202401584</v>
      </c>
      <c r="EI238" s="423" t="s">
        <v>12</v>
      </c>
      <c r="EJ238" s="423" t="s">
        <v>12</v>
      </c>
      <c r="EK238" s="423" t="s">
        <v>12</v>
      </c>
      <c r="EL238" s="423" t="s">
        <v>12</v>
      </c>
      <c r="EM238" s="423" t="s">
        <v>12</v>
      </c>
      <c r="EN238" s="423" t="s">
        <v>12</v>
      </c>
      <c r="EO238" s="423" t="s">
        <v>12</v>
      </c>
      <c r="EP238" s="423" t="s">
        <v>12</v>
      </c>
      <c r="EQ238" s="423" t="s">
        <v>12</v>
      </c>
      <c r="ER238" s="423" t="s">
        <v>12</v>
      </c>
      <c r="ES238" s="438" t="s">
        <v>12</v>
      </c>
      <c r="ET238" s="438" t="s">
        <v>12</v>
      </c>
      <c r="EU238" s="438" t="s">
        <v>12</v>
      </c>
      <c r="EV238" s="438" t="s">
        <v>12</v>
      </c>
      <c r="EW238" s="438" t="s">
        <v>12</v>
      </c>
      <c r="EX238" s="438" t="s">
        <v>12</v>
      </c>
      <c r="EY238" s="438" t="s">
        <v>12</v>
      </c>
      <c r="EZ238" s="438" t="s">
        <v>12</v>
      </c>
      <c r="FA238" s="438" t="s">
        <v>12</v>
      </c>
      <c r="FB238" s="438" t="s">
        <v>12</v>
      </c>
      <c r="FC238" s="346">
        <v>0</v>
      </c>
      <c r="FD238" s="346">
        <v>0</v>
      </c>
      <c r="FE238" s="346">
        <v>0</v>
      </c>
      <c r="FF238" s="346">
        <v>0</v>
      </c>
      <c r="FG238" s="346">
        <v>0</v>
      </c>
      <c r="FH238" s="346">
        <v>0</v>
      </c>
      <c r="FI238" s="346">
        <v>0</v>
      </c>
      <c r="FJ238" s="346">
        <v>0</v>
      </c>
      <c r="FK238" s="346">
        <v>0</v>
      </c>
      <c r="FL238" s="346">
        <v>0</v>
      </c>
    </row>
    <row r="239" spans="1:168" ht="30" x14ac:dyDescent="0.25">
      <c r="A239" s="14" t="s">
        <v>775</v>
      </c>
      <c r="B239" s="14"/>
      <c r="C239" s="14" t="s">
        <v>594</v>
      </c>
      <c r="D239" s="14" t="s">
        <v>595</v>
      </c>
      <c r="E239" s="14" t="s">
        <v>596</v>
      </c>
      <c r="F239" s="14" t="s">
        <v>597</v>
      </c>
      <c r="G239" s="14" t="s">
        <v>598</v>
      </c>
      <c r="H239" s="14" t="s">
        <v>599</v>
      </c>
      <c r="I239" s="14" t="s">
        <v>600</v>
      </c>
      <c r="J239" s="14" t="s">
        <v>601</v>
      </c>
      <c r="K239" s="14" t="s">
        <v>602</v>
      </c>
      <c r="L239" s="14" t="s">
        <v>603</v>
      </c>
      <c r="N239">
        <v>24</v>
      </c>
      <c r="O239" t="s">
        <v>41</v>
      </c>
      <c r="P239" t="s">
        <v>41</v>
      </c>
      <c r="Q239" t="s">
        <v>23</v>
      </c>
      <c r="R239" s="2" t="s">
        <v>12</v>
      </c>
      <c r="S239" s="2" t="s">
        <v>12</v>
      </c>
      <c r="T239" s="2" t="s">
        <v>12</v>
      </c>
      <c r="U239" s="2" t="s">
        <v>12</v>
      </c>
      <c r="V239" s="2" t="s">
        <v>12</v>
      </c>
      <c r="W239" s="2" t="s">
        <v>12</v>
      </c>
      <c r="X239" s="2" t="s">
        <v>12</v>
      </c>
      <c r="Y239" s="2" t="s">
        <v>12</v>
      </c>
      <c r="Z239" s="2" t="s">
        <v>12</v>
      </c>
      <c r="AA239" s="2" t="s">
        <v>12</v>
      </c>
      <c r="AB239" s="2" t="s">
        <v>12</v>
      </c>
      <c r="AC239" s="2" t="s">
        <v>12</v>
      </c>
      <c r="AD239" t="s">
        <v>12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t="s">
        <v>12</v>
      </c>
      <c r="AR239" t="s">
        <v>12</v>
      </c>
      <c r="AS239" t="s">
        <v>12</v>
      </c>
      <c r="AT239" t="s">
        <v>12</v>
      </c>
      <c r="AU239" t="s">
        <v>12</v>
      </c>
      <c r="AV239" t="s">
        <v>12</v>
      </c>
      <c r="AW239" t="s">
        <v>12</v>
      </c>
      <c r="AX239" t="s">
        <v>12</v>
      </c>
      <c r="AY239" t="s">
        <v>12</v>
      </c>
      <c r="AZ239" t="s">
        <v>12</v>
      </c>
      <c r="BA239" t="s">
        <v>12</v>
      </c>
      <c r="BB239" t="s">
        <v>12</v>
      </c>
      <c r="BC239" t="s">
        <v>12</v>
      </c>
      <c r="BD239" t="s">
        <v>12</v>
      </c>
      <c r="BF239" s="313" t="s">
        <v>11</v>
      </c>
      <c r="BG239" s="313" t="s">
        <v>11</v>
      </c>
      <c r="BH239" t="s">
        <v>12</v>
      </c>
      <c r="BI239" t="s">
        <v>12</v>
      </c>
      <c r="BJ239" t="s">
        <v>12</v>
      </c>
      <c r="BK239" t="s">
        <v>12</v>
      </c>
      <c r="BL239" t="s">
        <v>12</v>
      </c>
      <c r="BM239" t="s">
        <v>12</v>
      </c>
      <c r="BN239" t="s">
        <v>12</v>
      </c>
      <c r="BO239" t="s">
        <v>12</v>
      </c>
      <c r="BP239" t="s">
        <v>12</v>
      </c>
      <c r="BQ239" t="s">
        <v>12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 s="9" t="s">
        <v>12</v>
      </c>
      <c r="CF239" s="28" t="s">
        <v>12</v>
      </c>
      <c r="CG239" s="28" t="s">
        <v>12</v>
      </c>
      <c r="CH239" s="28" t="s">
        <v>12</v>
      </c>
      <c r="CI239" s="28" t="s">
        <v>12</v>
      </c>
      <c r="CJ239" s="28" t="s">
        <v>12</v>
      </c>
      <c r="CK239" s="28" t="s">
        <v>12</v>
      </c>
      <c r="CL239" s="28" t="s">
        <v>12</v>
      </c>
      <c r="CM239" s="28" t="s">
        <v>12</v>
      </c>
      <c r="CN239" s="28" t="s">
        <v>12</v>
      </c>
      <c r="CO239" s="28" t="s">
        <v>12</v>
      </c>
      <c r="CP239" s="28" t="s">
        <v>12</v>
      </c>
      <c r="CQ239" s="28" t="s">
        <v>12</v>
      </c>
      <c r="CR239" s="28" t="s">
        <v>12</v>
      </c>
      <c r="CS239" s="28" t="s">
        <v>12</v>
      </c>
      <c r="CT239" s="28" t="s">
        <v>12</v>
      </c>
      <c r="CU239" s="28" t="s">
        <v>12</v>
      </c>
      <c r="CV239" s="28" t="s">
        <v>12</v>
      </c>
      <c r="CW239" s="28" t="s">
        <v>12</v>
      </c>
      <c r="CX239" s="28" t="s">
        <v>12</v>
      </c>
      <c r="CY239" s="28" t="s">
        <v>12</v>
      </c>
      <c r="CZ239" s="28" t="s">
        <v>12</v>
      </c>
      <c r="DA239" s="28" t="s">
        <v>12</v>
      </c>
      <c r="DB239" s="313">
        <v>24</v>
      </c>
      <c r="DC239" s="313" t="s">
        <v>41</v>
      </c>
      <c r="DD239" s="386" t="s">
        <v>12</v>
      </c>
      <c r="DE239" s="386" t="s">
        <v>12</v>
      </c>
      <c r="DF239" s="386" t="s">
        <v>12</v>
      </c>
      <c r="DG239" s="386" t="s">
        <v>12</v>
      </c>
      <c r="DH239" s="386" t="s">
        <v>12</v>
      </c>
      <c r="DI239" s="386" t="s">
        <v>12</v>
      </c>
      <c r="DJ239" s="386" t="s">
        <v>12</v>
      </c>
      <c r="DK239" s="386" t="s">
        <v>12</v>
      </c>
      <c r="DL239" s="386" t="s">
        <v>12</v>
      </c>
      <c r="DM239" s="386" t="s">
        <v>12</v>
      </c>
      <c r="DN239" s="7" t="s">
        <v>12</v>
      </c>
      <c r="DO239" s="7" t="s">
        <v>12</v>
      </c>
      <c r="DP239" s="7" t="s">
        <v>12</v>
      </c>
      <c r="DQ239" s="7" t="s">
        <v>12</v>
      </c>
      <c r="DR239" s="7" t="s">
        <v>12</v>
      </c>
      <c r="DS239" s="7" t="s">
        <v>12</v>
      </c>
      <c r="DT239" s="7" t="s">
        <v>12</v>
      </c>
      <c r="DU239" s="7" t="s">
        <v>12</v>
      </c>
      <c r="DV239" s="7" t="s">
        <v>12</v>
      </c>
      <c r="DW239" s="7" t="s">
        <v>12</v>
      </c>
      <c r="DY239" s="9">
        <v>7305888</v>
      </c>
      <c r="EI239" s="423" t="s">
        <v>12</v>
      </c>
      <c r="EJ239" s="423" t="s">
        <v>12</v>
      </c>
      <c r="EK239" s="423" t="s">
        <v>12</v>
      </c>
      <c r="EL239" s="423" t="s">
        <v>12</v>
      </c>
      <c r="EM239" s="423" t="s">
        <v>12</v>
      </c>
      <c r="EN239" s="423" t="s">
        <v>12</v>
      </c>
      <c r="EO239" s="423" t="s">
        <v>12</v>
      </c>
      <c r="EP239" s="423" t="s">
        <v>12</v>
      </c>
      <c r="EQ239" s="423" t="s">
        <v>12</v>
      </c>
      <c r="ER239" s="423" t="s">
        <v>12</v>
      </c>
      <c r="ES239" s="438" t="s">
        <v>12</v>
      </c>
      <c r="ET239" s="438" t="s">
        <v>12</v>
      </c>
      <c r="EU239" s="438" t="s">
        <v>12</v>
      </c>
      <c r="EV239" s="438" t="s">
        <v>12</v>
      </c>
      <c r="EW239" s="438" t="s">
        <v>12</v>
      </c>
      <c r="EX239" s="438" t="s">
        <v>12</v>
      </c>
      <c r="EY239" s="438" t="s">
        <v>12</v>
      </c>
      <c r="EZ239" s="438" t="s">
        <v>12</v>
      </c>
      <c r="FA239" s="438" t="s">
        <v>12</v>
      </c>
      <c r="FB239" s="438" t="s">
        <v>12</v>
      </c>
      <c r="FC239" s="346">
        <v>0</v>
      </c>
      <c r="FD239" s="346">
        <v>0</v>
      </c>
      <c r="FE239" s="346">
        <v>0</v>
      </c>
      <c r="FF239" s="346">
        <v>0</v>
      </c>
      <c r="FG239" s="346">
        <v>0</v>
      </c>
      <c r="FH239" s="346">
        <v>0</v>
      </c>
      <c r="FI239" s="346">
        <v>0</v>
      </c>
      <c r="FJ239" s="346">
        <v>0</v>
      </c>
      <c r="FK239" s="346">
        <v>0</v>
      </c>
      <c r="FL239" s="346">
        <v>0</v>
      </c>
    </row>
    <row r="240" spans="1:168" x14ac:dyDescent="0.25">
      <c r="A240" s="238">
        <v>1</v>
      </c>
      <c r="B240" s="238" t="s">
        <v>761</v>
      </c>
      <c r="C240" s="241">
        <v>4.2211781327799995</v>
      </c>
      <c r="D240" s="241">
        <v>4.981799586923457</v>
      </c>
      <c r="E240" s="241">
        <v>3.3769425062239997</v>
      </c>
      <c r="F240" s="241">
        <v>2.6759523514567283</v>
      </c>
      <c r="G240" s="241">
        <v>4.369321409375468</v>
      </c>
      <c r="H240" s="241">
        <v>4.2211781327799995</v>
      </c>
      <c r="I240" s="241" t="s">
        <v>11</v>
      </c>
      <c r="J240" s="241" t="s">
        <v>11</v>
      </c>
      <c r="K240" s="241" t="s">
        <v>11</v>
      </c>
      <c r="L240" s="241" t="s">
        <v>11</v>
      </c>
      <c r="N240">
        <v>25</v>
      </c>
      <c r="O240" t="s">
        <v>42</v>
      </c>
      <c r="P240" t="s">
        <v>43</v>
      </c>
      <c r="Q240" t="s">
        <v>14</v>
      </c>
      <c r="R240" s="2" t="s">
        <v>12</v>
      </c>
      <c r="S240" s="2" t="s">
        <v>12</v>
      </c>
      <c r="T240" s="2" t="s">
        <v>12</v>
      </c>
      <c r="U240" s="2" t="s">
        <v>12</v>
      </c>
      <c r="V240" s="2" t="s">
        <v>12</v>
      </c>
      <c r="W240" s="2" t="s">
        <v>12</v>
      </c>
      <c r="X240" s="2" t="s">
        <v>12</v>
      </c>
      <c r="Y240" s="2" t="s">
        <v>12</v>
      </c>
      <c r="Z240" s="2" t="s">
        <v>12</v>
      </c>
      <c r="AA240" s="2" t="s">
        <v>12</v>
      </c>
      <c r="AB240" s="2" t="s">
        <v>12</v>
      </c>
      <c r="AC240" s="2" t="s">
        <v>12</v>
      </c>
      <c r="AD240" t="s">
        <v>12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t="s">
        <v>12</v>
      </c>
      <c r="AR240" t="s">
        <v>12</v>
      </c>
      <c r="AS240" t="s">
        <v>12</v>
      </c>
      <c r="AT240" t="s">
        <v>12</v>
      </c>
      <c r="AU240" t="s">
        <v>12</v>
      </c>
      <c r="AV240" t="s">
        <v>12</v>
      </c>
      <c r="AW240" t="s">
        <v>12</v>
      </c>
      <c r="AX240" t="s">
        <v>12</v>
      </c>
      <c r="AY240" t="s">
        <v>12</v>
      </c>
      <c r="AZ240" t="s">
        <v>12</v>
      </c>
      <c r="BA240" t="s">
        <v>12</v>
      </c>
      <c r="BB240" t="s">
        <v>12</v>
      </c>
      <c r="BC240" t="s">
        <v>12</v>
      </c>
      <c r="BD240" t="s">
        <v>12</v>
      </c>
      <c r="BF240" s="313" t="s">
        <v>11</v>
      </c>
      <c r="BG240" s="313" t="s">
        <v>11</v>
      </c>
      <c r="BH240" t="s">
        <v>12</v>
      </c>
      <c r="BI240" t="s">
        <v>12</v>
      </c>
      <c r="BJ240" t="s">
        <v>12</v>
      </c>
      <c r="BK240" t="s">
        <v>12</v>
      </c>
      <c r="BL240" t="s">
        <v>12</v>
      </c>
      <c r="BM240" t="s">
        <v>12</v>
      </c>
      <c r="BN240" t="s">
        <v>12</v>
      </c>
      <c r="BO240" t="s">
        <v>12</v>
      </c>
      <c r="BP240" t="s">
        <v>12</v>
      </c>
      <c r="BQ240" t="s">
        <v>12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 s="9" t="s">
        <v>12</v>
      </c>
      <c r="CF240" s="28" t="s">
        <v>12</v>
      </c>
      <c r="CG240" s="28" t="s">
        <v>12</v>
      </c>
      <c r="CH240" s="28" t="s">
        <v>12</v>
      </c>
      <c r="CI240" s="28" t="s">
        <v>12</v>
      </c>
      <c r="CJ240" s="28" t="s">
        <v>12</v>
      </c>
      <c r="CK240" s="28" t="s">
        <v>12</v>
      </c>
      <c r="CL240" s="28" t="s">
        <v>12</v>
      </c>
      <c r="CM240" s="28" t="s">
        <v>12</v>
      </c>
      <c r="CN240" s="28" t="s">
        <v>12</v>
      </c>
      <c r="CO240" s="28" t="s">
        <v>12</v>
      </c>
      <c r="CP240" s="28" t="s">
        <v>12</v>
      </c>
      <c r="CQ240" s="28" t="s">
        <v>12</v>
      </c>
      <c r="CR240" s="28" t="s">
        <v>12</v>
      </c>
      <c r="CS240" s="28" t="s">
        <v>12</v>
      </c>
      <c r="CT240" s="28" t="s">
        <v>12</v>
      </c>
      <c r="CU240" s="28" t="s">
        <v>12</v>
      </c>
      <c r="CV240" s="28" t="s">
        <v>12</v>
      </c>
      <c r="CW240" s="28" t="s">
        <v>12</v>
      </c>
      <c r="CX240" s="28" t="s">
        <v>12</v>
      </c>
      <c r="CY240" s="28" t="s">
        <v>12</v>
      </c>
      <c r="CZ240" s="28" t="s">
        <v>12</v>
      </c>
      <c r="DA240" s="28" t="s">
        <v>12</v>
      </c>
      <c r="DB240" s="313">
        <v>25</v>
      </c>
      <c r="DC240" s="313" t="s">
        <v>42</v>
      </c>
      <c r="DD240" s="386" t="s">
        <v>12</v>
      </c>
      <c r="DE240" s="386" t="s">
        <v>12</v>
      </c>
      <c r="DF240" s="386" t="s">
        <v>12</v>
      </c>
      <c r="DG240" s="386" t="s">
        <v>12</v>
      </c>
      <c r="DH240" s="386" t="s">
        <v>12</v>
      </c>
      <c r="DI240" s="386" t="s">
        <v>12</v>
      </c>
      <c r="DJ240" s="386" t="s">
        <v>12</v>
      </c>
      <c r="DK240" s="386" t="s">
        <v>12</v>
      </c>
      <c r="DL240" s="386" t="s">
        <v>12</v>
      </c>
      <c r="DM240" s="386" t="s">
        <v>12</v>
      </c>
      <c r="DN240" s="7" t="s">
        <v>12</v>
      </c>
      <c r="DO240" s="7" t="s">
        <v>12</v>
      </c>
      <c r="DP240" s="7" t="s">
        <v>12</v>
      </c>
      <c r="DQ240" s="7" t="s">
        <v>12</v>
      </c>
      <c r="DR240" s="7" t="s">
        <v>12</v>
      </c>
      <c r="DS240" s="7" t="s">
        <v>12</v>
      </c>
      <c r="DT240" s="7" t="s">
        <v>12</v>
      </c>
      <c r="DU240" s="7" t="s">
        <v>12</v>
      </c>
      <c r="DV240" s="7" t="s">
        <v>12</v>
      </c>
      <c r="DW240" s="7" t="s">
        <v>12</v>
      </c>
      <c r="DY240" s="9">
        <v>16590813</v>
      </c>
      <c r="EI240" s="423" t="s">
        <v>12</v>
      </c>
      <c r="EJ240" s="423" t="s">
        <v>12</v>
      </c>
      <c r="EK240" s="423" t="s">
        <v>12</v>
      </c>
      <c r="EL240" s="423" t="s">
        <v>12</v>
      </c>
      <c r="EM240" s="423" t="s">
        <v>12</v>
      </c>
      <c r="EN240" s="423" t="s">
        <v>12</v>
      </c>
      <c r="EO240" s="423" t="s">
        <v>12</v>
      </c>
      <c r="EP240" s="423" t="s">
        <v>12</v>
      </c>
      <c r="EQ240" s="423" t="s">
        <v>12</v>
      </c>
      <c r="ER240" s="423" t="s">
        <v>12</v>
      </c>
      <c r="ES240" s="438" t="s">
        <v>12</v>
      </c>
      <c r="ET240" s="438" t="s">
        <v>12</v>
      </c>
      <c r="EU240" s="438" t="s">
        <v>12</v>
      </c>
      <c r="EV240" s="438" t="s">
        <v>12</v>
      </c>
      <c r="EW240" s="438" t="s">
        <v>12</v>
      </c>
      <c r="EX240" s="438" t="s">
        <v>12</v>
      </c>
      <c r="EY240" s="438" t="s">
        <v>12</v>
      </c>
      <c r="EZ240" s="438" t="s">
        <v>12</v>
      </c>
      <c r="FA240" s="438" t="s">
        <v>12</v>
      </c>
      <c r="FB240" s="438" t="s">
        <v>12</v>
      </c>
      <c r="FC240" s="346">
        <v>0</v>
      </c>
      <c r="FD240" s="346">
        <v>0</v>
      </c>
      <c r="FE240" s="346">
        <v>0</v>
      </c>
      <c r="FF240" s="346">
        <v>0</v>
      </c>
      <c r="FG240" s="346">
        <v>0</v>
      </c>
      <c r="FH240" s="346">
        <v>0</v>
      </c>
      <c r="FI240" s="346">
        <v>0</v>
      </c>
      <c r="FJ240" s="346">
        <v>0</v>
      </c>
      <c r="FK240" s="346">
        <v>0</v>
      </c>
      <c r="FL240" s="346">
        <v>0</v>
      </c>
    </row>
    <row r="241" spans="1:168" x14ac:dyDescent="0.25">
      <c r="A241" s="238">
        <v>2</v>
      </c>
      <c r="B241" s="238" t="s">
        <v>763</v>
      </c>
      <c r="C241" s="241">
        <v>5.6560697076500563</v>
      </c>
      <c r="D241" s="241">
        <v>2.4976818130429614</v>
      </c>
      <c r="E241" s="241">
        <v>2.1388328933682632</v>
      </c>
      <c r="F241" s="241">
        <v>2.6925670495647371</v>
      </c>
      <c r="G241" s="241">
        <v>3.4349649047214692</v>
      </c>
      <c r="H241" s="241">
        <v>4.1115839244872197</v>
      </c>
      <c r="I241" s="241" t="s">
        <v>11</v>
      </c>
      <c r="J241" s="241" t="s">
        <v>11</v>
      </c>
      <c r="K241" s="241" t="s">
        <v>11</v>
      </c>
      <c r="L241" s="241" t="s">
        <v>11</v>
      </c>
      <c r="N241">
        <v>26</v>
      </c>
      <c r="O241" t="s">
        <v>44</v>
      </c>
      <c r="P241" t="s">
        <v>44</v>
      </c>
      <c r="Q241" t="s">
        <v>14</v>
      </c>
      <c r="R241" s="2" t="s">
        <v>12</v>
      </c>
      <c r="S241" s="2" t="s">
        <v>12</v>
      </c>
      <c r="T241" s="2" t="s">
        <v>12</v>
      </c>
      <c r="U241" s="2" t="s">
        <v>12</v>
      </c>
      <c r="V241" s="2" t="s">
        <v>12</v>
      </c>
      <c r="W241" s="2" t="s">
        <v>12</v>
      </c>
      <c r="X241" s="2" t="s">
        <v>12</v>
      </c>
      <c r="Y241" s="2" t="s">
        <v>12</v>
      </c>
      <c r="Z241" s="2" t="s">
        <v>12</v>
      </c>
      <c r="AA241" s="2" t="s">
        <v>12</v>
      </c>
      <c r="AB241" s="2" t="s">
        <v>12</v>
      </c>
      <c r="AC241" s="2" t="s">
        <v>12</v>
      </c>
      <c r="AD241" t="s">
        <v>12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t="s">
        <v>12</v>
      </c>
      <c r="AR241" t="s">
        <v>12</v>
      </c>
      <c r="AS241" t="s">
        <v>12</v>
      </c>
      <c r="AT241" t="s">
        <v>12</v>
      </c>
      <c r="AU241" t="s">
        <v>12</v>
      </c>
      <c r="AV241" t="s">
        <v>12</v>
      </c>
      <c r="AW241" t="s">
        <v>12</v>
      </c>
      <c r="AX241" t="s">
        <v>12</v>
      </c>
      <c r="AY241" t="s">
        <v>12</v>
      </c>
      <c r="AZ241" t="s">
        <v>12</v>
      </c>
      <c r="BA241" t="s">
        <v>12</v>
      </c>
      <c r="BB241" t="s">
        <v>12</v>
      </c>
      <c r="BC241" t="s">
        <v>12</v>
      </c>
      <c r="BD241" t="s">
        <v>12</v>
      </c>
      <c r="BF241" s="313" t="s">
        <v>11</v>
      </c>
      <c r="BG241" s="313" t="s">
        <v>11</v>
      </c>
      <c r="BH241" t="s">
        <v>12</v>
      </c>
      <c r="BI241" t="s">
        <v>12</v>
      </c>
      <c r="BJ241" t="s">
        <v>12</v>
      </c>
      <c r="BK241" t="s">
        <v>12</v>
      </c>
      <c r="BL241" t="s">
        <v>12</v>
      </c>
      <c r="BM241" t="s">
        <v>12</v>
      </c>
      <c r="BN241" t="s">
        <v>12</v>
      </c>
      <c r="BO241" t="s">
        <v>12</v>
      </c>
      <c r="BP241" t="s">
        <v>12</v>
      </c>
      <c r="BQ241" t="s">
        <v>12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 s="9" t="s">
        <v>12</v>
      </c>
      <c r="CF241" s="28" t="s">
        <v>12</v>
      </c>
      <c r="CG241" s="28" t="s">
        <v>12</v>
      </c>
      <c r="CH241" s="28" t="s">
        <v>12</v>
      </c>
      <c r="CI241" s="28" t="s">
        <v>12</v>
      </c>
      <c r="CJ241" s="28" t="s">
        <v>12</v>
      </c>
      <c r="CK241" s="28" t="s">
        <v>12</v>
      </c>
      <c r="CL241" s="28" t="s">
        <v>12</v>
      </c>
      <c r="CM241" s="28" t="s">
        <v>12</v>
      </c>
      <c r="CN241" s="28" t="s">
        <v>12</v>
      </c>
      <c r="CO241" s="28" t="s">
        <v>12</v>
      </c>
      <c r="CP241" s="28" t="s">
        <v>12</v>
      </c>
      <c r="CQ241" s="28" t="s">
        <v>12</v>
      </c>
      <c r="CR241" s="28" t="s">
        <v>12</v>
      </c>
      <c r="CS241" s="28" t="s">
        <v>12</v>
      </c>
      <c r="CT241" s="28" t="s">
        <v>12</v>
      </c>
      <c r="CU241" s="28" t="s">
        <v>12</v>
      </c>
      <c r="CV241" s="28" t="s">
        <v>12</v>
      </c>
      <c r="CW241" s="28" t="s">
        <v>12</v>
      </c>
      <c r="CX241" s="28" t="s">
        <v>12</v>
      </c>
      <c r="CY241" s="28" t="s">
        <v>12</v>
      </c>
      <c r="CZ241" s="28" t="s">
        <v>12</v>
      </c>
      <c r="DA241" s="28" t="s">
        <v>12</v>
      </c>
      <c r="DB241" s="313">
        <v>26</v>
      </c>
      <c r="DC241" s="313" t="s">
        <v>44</v>
      </c>
      <c r="DD241" s="386" t="s">
        <v>12</v>
      </c>
      <c r="DE241" s="386" t="s">
        <v>12</v>
      </c>
      <c r="DF241" s="386" t="s">
        <v>12</v>
      </c>
      <c r="DG241" s="386" t="s">
        <v>12</v>
      </c>
      <c r="DH241" s="386" t="s">
        <v>12</v>
      </c>
      <c r="DI241" s="386" t="s">
        <v>12</v>
      </c>
      <c r="DJ241" s="386" t="s">
        <v>12</v>
      </c>
      <c r="DK241" s="386" t="s">
        <v>12</v>
      </c>
      <c r="DL241" s="386" t="s">
        <v>12</v>
      </c>
      <c r="DM241" s="386" t="s">
        <v>12</v>
      </c>
      <c r="DN241" s="7" t="s">
        <v>12</v>
      </c>
      <c r="DO241" s="7" t="s">
        <v>12</v>
      </c>
      <c r="DP241" s="7" t="s">
        <v>12</v>
      </c>
      <c r="DQ241" s="7" t="s">
        <v>12</v>
      </c>
      <c r="DR241" s="7" t="s">
        <v>12</v>
      </c>
      <c r="DS241" s="7" t="s">
        <v>12</v>
      </c>
      <c r="DT241" s="7" t="s">
        <v>12</v>
      </c>
      <c r="DU241" s="7" t="s">
        <v>12</v>
      </c>
      <c r="DV241" s="7" t="s">
        <v>12</v>
      </c>
      <c r="DW241" s="7" t="s">
        <v>12</v>
      </c>
      <c r="DY241" s="9">
        <v>10124572</v>
      </c>
      <c r="EI241" s="423" t="s">
        <v>12</v>
      </c>
      <c r="EJ241" s="423" t="s">
        <v>12</v>
      </c>
      <c r="EK241" s="423" t="s">
        <v>12</v>
      </c>
      <c r="EL241" s="423" t="s">
        <v>12</v>
      </c>
      <c r="EM241" s="423" t="s">
        <v>12</v>
      </c>
      <c r="EN241" s="423" t="s">
        <v>12</v>
      </c>
      <c r="EO241" s="423" t="s">
        <v>12</v>
      </c>
      <c r="EP241" s="423" t="s">
        <v>12</v>
      </c>
      <c r="EQ241" s="423" t="s">
        <v>12</v>
      </c>
      <c r="ER241" s="423" t="s">
        <v>12</v>
      </c>
      <c r="ES241" s="438" t="s">
        <v>12</v>
      </c>
      <c r="ET241" s="438" t="s">
        <v>12</v>
      </c>
      <c r="EU241" s="438" t="s">
        <v>12</v>
      </c>
      <c r="EV241" s="438" t="s">
        <v>12</v>
      </c>
      <c r="EW241" s="438" t="s">
        <v>12</v>
      </c>
      <c r="EX241" s="438" t="s">
        <v>12</v>
      </c>
      <c r="EY241" s="438" t="s">
        <v>12</v>
      </c>
      <c r="EZ241" s="438" t="s">
        <v>12</v>
      </c>
      <c r="FA241" s="438" t="s">
        <v>12</v>
      </c>
      <c r="FB241" s="438" t="s">
        <v>12</v>
      </c>
      <c r="FC241" s="346">
        <v>0</v>
      </c>
      <c r="FD241" s="346">
        <v>0</v>
      </c>
      <c r="FE241" s="346">
        <v>0</v>
      </c>
      <c r="FF241" s="346">
        <v>0</v>
      </c>
      <c r="FG241" s="346">
        <v>0</v>
      </c>
      <c r="FH241" s="346">
        <v>0</v>
      </c>
      <c r="FI241" s="346">
        <v>0</v>
      </c>
      <c r="FJ241" s="346">
        <v>0</v>
      </c>
      <c r="FK241" s="346">
        <v>0</v>
      </c>
      <c r="FL241" s="346">
        <v>0</v>
      </c>
    </row>
    <row r="242" spans="1:168" x14ac:dyDescent="0.25">
      <c r="A242" s="238">
        <v>3</v>
      </c>
      <c r="B242" s="238" t="s">
        <v>764</v>
      </c>
      <c r="C242" s="241" t="s">
        <v>11</v>
      </c>
      <c r="D242" s="241" t="s">
        <v>11</v>
      </c>
      <c r="E242" s="241" t="s">
        <v>11</v>
      </c>
      <c r="F242" s="241" t="s">
        <v>11</v>
      </c>
      <c r="G242" s="241" t="s">
        <v>11</v>
      </c>
      <c r="H242" s="241" t="s">
        <v>11</v>
      </c>
      <c r="I242" s="241" t="s">
        <v>11</v>
      </c>
      <c r="J242" s="241" t="s">
        <v>11</v>
      </c>
      <c r="K242" s="241" t="s">
        <v>11</v>
      </c>
      <c r="L242" s="241" t="s">
        <v>11</v>
      </c>
      <c r="N242">
        <v>27</v>
      </c>
      <c r="O242" t="s">
        <v>45</v>
      </c>
      <c r="P242" t="s">
        <v>45</v>
      </c>
      <c r="Q242" t="s">
        <v>25</v>
      </c>
      <c r="R242" s="2" t="s">
        <v>12</v>
      </c>
      <c r="S242" s="2" t="s">
        <v>12</v>
      </c>
      <c r="T242" s="2" t="s">
        <v>12</v>
      </c>
      <c r="U242" s="2" t="s">
        <v>12</v>
      </c>
      <c r="V242" s="2" t="s">
        <v>12</v>
      </c>
      <c r="W242" s="2" t="s">
        <v>12</v>
      </c>
      <c r="X242" s="2" t="s">
        <v>12</v>
      </c>
      <c r="Y242" s="2" t="s">
        <v>12</v>
      </c>
      <c r="Z242" s="2" t="s">
        <v>12</v>
      </c>
      <c r="AA242" s="2" t="s">
        <v>12</v>
      </c>
      <c r="AB242" s="2" t="s">
        <v>12</v>
      </c>
      <c r="AC242" s="2" t="s">
        <v>12</v>
      </c>
      <c r="AD242" t="s">
        <v>12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t="s">
        <v>12</v>
      </c>
      <c r="AR242" t="s">
        <v>12</v>
      </c>
      <c r="AS242" t="s">
        <v>12</v>
      </c>
      <c r="AT242" t="s">
        <v>12</v>
      </c>
      <c r="AU242" t="s">
        <v>12</v>
      </c>
      <c r="AV242" t="s">
        <v>12</v>
      </c>
      <c r="AW242" t="s">
        <v>12</v>
      </c>
      <c r="AX242" t="s">
        <v>12</v>
      </c>
      <c r="AY242" t="s">
        <v>12</v>
      </c>
      <c r="AZ242" t="s">
        <v>12</v>
      </c>
      <c r="BA242" t="s">
        <v>12</v>
      </c>
      <c r="BB242" t="s">
        <v>12</v>
      </c>
      <c r="BC242" t="s">
        <v>12</v>
      </c>
      <c r="BD242" t="s">
        <v>12</v>
      </c>
      <c r="BF242" s="313" t="s">
        <v>11</v>
      </c>
      <c r="BG242" s="313" t="s">
        <v>11</v>
      </c>
      <c r="BH242" t="s">
        <v>12</v>
      </c>
      <c r="BI242" t="s">
        <v>12</v>
      </c>
      <c r="BJ242" t="s">
        <v>12</v>
      </c>
      <c r="BK242" t="s">
        <v>12</v>
      </c>
      <c r="BL242" t="s">
        <v>12</v>
      </c>
      <c r="BM242" t="s">
        <v>12</v>
      </c>
      <c r="BN242" t="s">
        <v>12</v>
      </c>
      <c r="BO242" t="s">
        <v>12</v>
      </c>
      <c r="BP242" t="s">
        <v>12</v>
      </c>
      <c r="BQ242" t="s">
        <v>12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 s="9" t="s">
        <v>12</v>
      </c>
      <c r="CF242" s="28" t="s">
        <v>12</v>
      </c>
      <c r="CG242" s="28" t="s">
        <v>12</v>
      </c>
      <c r="CH242" s="28" t="s">
        <v>12</v>
      </c>
      <c r="CI242" s="28" t="s">
        <v>12</v>
      </c>
      <c r="CJ242" s="28" t="s">
        <v>12</v>
      </c>
      <c r="CK242" s="28" t="s">
        <v>12</v>
      </c>
      <c r="CL242" s="28" t="s">
        <v>12</v>
      </c>
      <c r="CM242" s="28" t="s">
        <v>12</v>
      </c>
      <c r="CN242" s="28" t="s">
        <v>12</v>
      </c>
      <c r="CO242" s="28" t="s">
        <v>12</v>
      </c>
      <c r="CP242" s="28" t="s">
        <v>12</v>
      </c>
      <c r="CQ242" s="28" t="s">
        <v>12</v>
      </c>
      <c r="CR242" s="28" t="s">
        <v>12</v>
      </c>
      <c r="CS242" s="28" t="s">
        <v>12</v>
      </c>
      <c r="CT242" s="28" t="s">
        <v>12</v>
      </c>
      <c r="CU242" s="28" t="s">
        <v>12</v>
      </c>
      <c r="CV242" s="28" t="s">
        <v>12</v>
      </c>
      <c r="CW242" s="28" t="s">
        <v>12</v>
      </c>
      <c r="CX242" s="28" t="s">
        <v>12</v>
      </c>
      <c r="CY242" s="28" t="s">
        <v>12</v>
      </c>
      <c r="CZ242" s="28" t="s">
        <v>12</v>
      </c>
      <c r="DA242" s="28" t="s">
        <v>12</v>
      </c>
      <c r="DB242" s="313">
        <v>27</v>
      </c>
      <c r="DC242" s="313" t="s">
        <v>45</v>
      </c>
      <c r="DD242" s="386" t="s">
        <v>12</v>
      </c>
      <c r="DE242" s="386" t="s">
        <v>12</v>
      </c>
      <c r="DF242" s="386" t="s">
        <v>12</v>
      </c>
      <c r="DG242" s="386" t="s">
        <v>12</v>
      </c>
      <c r="DH242" s="386" t="s">
        <v>12</v>
      </c>
      <c r="DI242" s="386" t="s">
        <v>12</v>
      </c>
      <c r="DJ242" s="386" t="s">
        <v>12</v>
      </c>
      <c r="DK242" s="386" t="s">
        <v>12</v>
      </c>
      <c r="DL242" s="386" t="s">
        <v>12</v>
      </c>
      <c r="DM242" s="386" t="s">
        <v>12</v>
      </c>
      <c r="DN242" s="7" t="s">
        <v>12</v>
      </c>
      <c r="DO242" s="7" t="s">
        <v>12</v>
      </c>
      <c r="DP242" s="7" t="s">
        <v>12</v>
      </c>
      <c r="DQ242" s="7" t="s">
        <v>12</v>
      </c>
      <c r="DR242" s="7" t="s">
        <v>12</v>
      </c>
      <c r="DS242" s="7" t="s">
        <v>12</v>
      </c>
      <c r="DT242" s="7" t="s">
        <v>12</v>
      </c>
      <c r="DU242" s="7" t="s">
        <v>12</v>
      </c>
      <c r="DV242" s="7" t="s">
        <v>12</v>
      </c>
      <c r="DW242" s="7" t="s">
        <v>12</v>
      </c>
      <c r="DY242" s="9">
        <v>14832255</v>
      </c>
      <c r="EI242" s="423" t="s">
        <v>12</v>
      </c>
      <c r="EJ242" s="423" t="s">
        <v>12</v>
      </c>
      <c r="EK242" s="423" t="s">
        <v>12</v>
      </c>
      <c r="EL242" s="423" t="s">
        <v>12</v>
      </c>
      <c r="EM242" s="423" t="s">
        <v>12</v>
      </c>
      <c r="EN242" s="423" t="s">
        <v>12</v>
      </c>
      <c r="EO242" s="423" t="s">
        <v>12</v>
      </c>
      <c r="EP242" s="423" t="s">
        <v>12</v>
      </c>
      <c r="EQ242" s="423" t="s">
        <v>12</v>
      </c>
      <c r="ER242" s="423" t="s">
        <v>12</v>
      </c>
      <c r="ES242" s="438" t="s">
        <v>12</v>
      </c>
      <c r="ET242" s="438" t="s">
        <v>12</v>
      </c>
      <c r="EU242" s="438" t="s">
        <v>12</v>
      </c>
      <c r="EV242" s="438" t="s">
        <v>12</v>
      </c>
      <c r="EW242" s="438" t="s">
        <v>12</v>
      </c>
      <c r="EX242" s="438" t="s">
        <v>12</v>
      </c>
      <c r="EY242" s="438" t="s">
        <v>12</v>
      </c>
      <c r="EZ242" s="438" t="s">
        <v>12</v>
      </c>
      <c r="FA242" s="438" t="s">
        <v>12</v>
      </c>
      <c r="FB242" s="438" t="s">
        <v>12</v>
      </c>
      <c r="FC242" s="346">
        <v>0</v>
      </c>
      <c r="FD242" s="346">
        <v>0</v>
      </c>
      <c r="FE242" s="346">
        <v>0</v>
      </c>
      <c r="FF242" s="346">
        <v>0</v>
      </c>
      <c r="FG242" s="346">
        <v>0</v>
      </c>
      <c r="FH242" s="346">
        <v>0</v>
      </c>
      <c r="FI242" s="346">
        <v>0</v>
      </c>
      <c r="FJ242" s="346">
        <v>0</v>
      </c>
      <c r="FK242" s="346">
        <v>0</v>
      </c>
      <c r="FL242" s="346">
        <v>0</v>
      </c>
    </row>
    <row r="243" spans="1:168" x14ac:dyDescent="0.25">
      <c r="A243" s="238">
        <v>4</v>
      </c>
      <c r="B243" s="238" t="s">
        <v>765</v>
      </c>
      <c r="C243" s="241" t="s">
        <v>11</v>
      </c>
      <c r="D243" s="241" t="s">
        <v>11</v>
      </c>
      <c r="E243" s="241" t="s">
        <v>11</v>
      </c>
      <c r="F243" s="241" t="s">
        <v>11</v>
      </c>
      <c r="G243" s="241" t="s">
        <v>11</v>
      </c>
      <c r="H243" s="241" t="s">
        <v>11</v>
      </c>
      <c r="I243" s="241" t="s">
        <v>11</v>
      </c>
      <c r="J243" s="241" t="s">
        <v>11</v>
      </c>
      <c r="K243" s="241" t="s">
        <v>11</v>
      </c>
      <c r="L243" s="241" t="s">
        <v>11</v>
      </c>
      <c r="N243">
        <v>28</v>
      </c>
      <c r="O243" t="s">
        <v>46</v>
      </c>
      <c r="P243" t="s">
        <v>46</v>
      </c>
      <c r="Q243" t="s">
        <v>14</v>
      </c>
      <c r="R243" s="2" t="s">
        <v>12</v>
      </c>
      <c r="S243" s="2" t="s">
        <v>12</v>
      </c>
      <c r="T243" s="2" t="s">
        <v>12</v>
      </c>
      <c r="U243" s="2" t="s">
        <v>12</v>
      </c>
      <c r="V243" s="2" t="s">
        <v>12</v>
      </c>
      <c r="W243" s="2" t="s">
        <v>12</v>
      </c>
      <c r="X243" s="2" t="s">
        <v>12</v>
      </c>
      <c r="Y243" s="2" t="s">
        <v>12</v>
      </c>
      <c r="Z243" s="2" t="s">
        <v>12</v>
      </c>
      <c r="AA243" s="2" t="s">
        <v>12</v>
      </c>
      <c r="AB243" s="2" t="s">
        <v>12</v>
      </c>
      <c r="AC243" s="2" t="s">
        <v>12</v>
      </c>
      <c r="AD243" t="s">
        <v>12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t="s">
        <v>12</v>
      </c>
      <c r="AR243" t="s">
        <v>12</v>
      </c>
      <c r="AS243" t="s">
        <v>12</v>
      </c>
      <c r="AT243" t="s">
        <v>12</v>
      </c>
      <c r="AU243" t="s">
        <v>12</v>
      </c>
      <c r="AV243" t="s">
        <v>12</v>
      </c>
      <c r="AW243" t="s">
        <v>12</v>
      </c>
      <c r="AX243" t="s">
        <v>12</v>
      </c>
      <c r="AY243" t="s">
        <v>12</v>
      </c>
      <c r="AZ243" t="s">
        <v>12</v>
      </c>
      <c r="BA243" t="s">
        <v>12</v>
      </c>
      <c r="BB243" t="s">
        <v>12</v>
      </c>
      <c r="BC243" t="s">
        <v>12</v>
      </c>
      <c r="BD243" t="s">
        <v>12</v>
      </c>
      <c r="BF243" s="313" t="s">
        <v>11</v>
      </c>
      <c r="BG243" s="313" t="s">
        <v>11</v>
      </c>
      <c r="BH243" t="s">
        <v>12</v>
      </c>
      <c r="BI243" t="s">
        <v>12</v>
      </c>
      <c r="BJ243" t="s">
        <v>12</v>
      </c>
      <c r="BK243" t="s">
        <v>12</v>
      </c>
      <c r="BL243" t="s">
        <v>12</v>
      </c>
      <c r="BM243" t="s">
        <v>12</v>
      </c>
      <c r="BN243" t="s">
        <v>12</v>
      </c>
      <c r="BO243" t="s">
        <v>12</v>
      </c>
      <c r="BP243" t="s">
        <v>12</v>
      </c>
      <c r="BQ243" t="s">
        <v>12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s="9" t="s">
        <v>12</v>
      </c>
      <c r="CF243" s="28" t="s">
        <v>12</v>
      </c>
      <c r="CG243" s="28" t="s">
        <v>12</v>
      </c>
      <c r="CH243" s="28" t="s">
        <v>12</v>
      </c>
      <c r="CI243" s="28" t="s">
        <v>12</v>
      </c>
      <c r="CJ243" s="28" t="s">
        <v>12</v>
      </c>
      <c r="CK243" s="28" t="s">
        <v>12</v>
      </c>
      <c r="CL243" s="28" t="s">
        <v>12</v>
      </c>
      <c r="CM243" s="28" t="s">
        <v>12</v>
      </c>
      <c r="CN243" s="28" t="s">
        <v>12</v>
      </c>
      <c r="CO243" s="28" t="s">
        <v>12</v>
      </c>
      <c r="CP243" s="28" t="s">
        <v>12</v>
      </c>
      <c r="CQ243" s="28" t="s">
        <v>12</v>
      </c>
      <c r="CR243" s="28" t="s">
        <v>12</v>
      </c>
      <c r="CS243" s="28" t="s">
        <v>12</v>
      </c>
      <c r="CT243" s="28" t="s">
        <v>12</v>
      </c>
      <c r="CU243" s="28" t="s">
        <v>12</v>
      </c>
      <c r="CV243" s="28" t="s">
        <v>12</v>
      </c>
      <c r="CW243" s="28" t="s">
        <v>12</v>
      </c>
      <c r="CX243" s="28" t="s">
        <v>12</v>
      </c>
      <c r="CY243" s="28" t="s">
        <v>12</v>
      </c>
      <c r="CZ243" s="28" t="s">
        <v>12</v>
      </c>
      <c r="DA243" s="28" t="s">
        <v>12</v>
      </c>
      <c r="DB243" s="313">
        <v>28</v>
      </c>
      <c r="DC243" s="313" t="s">
        <v>46</v>
      </c>
      <c r="DD243" s="386" t="s">
        <v>12</v>
      </c>
      <c r="DE243" s="386" t="s">
        <v>12</v>
      </c>
      <c r="DF243" s="386" t="s">
        <v>12</v>
      </c>
      <c r="DG243" s="386" t="s">
        <v>12</v>
      </c>
      <c r="DH243" s="386" t="s">
        <v>12</v>
      </c>
      <c r="DI243" s="386" t="s">
        <v>12</v>
      </c>
      <c r="DJ243" s="386" t="s">
        <v>12</v>
      </c>
      <c r="DK243" s="386" t="s">
        <v>12</v>
      </c>
      <c r="DL243" s="386" t="s">
        <v>12</v>
      </c>
      <c r="DM243" s="386" t="s">
        <v>12</v>
      </c>
      <c r="DN243" s="7" t="s">
        <v>12</v>
      </c>
      <c r="DO243" s="7" t="s">
        <v>12</v>
      </c>
      <c r="DP243" s="7" t="s">
        <v>12</v>
      </c>
      <c r="DQ243" s="7" t="s">
        <v>12</v>
      </c>
      <c r="DR243" s="7" t="s">
        <v>12</v>
      </c>
      <c r="DS243" s="7" t="s">
        <v>12</v>
      </c>
      <c r="DT243" s="7" t="s">
        <v>12</v>
      </c>
      <c r="DU243" s="7" t="s">
        <v>12</v>
      </c>
      <c r="DV243" s="7" t="s">
        <v>12</v>
      </c>
      <c r="DW243" s="7" t="s">
        <v>12</v>
      </c>
      <c r="DY243" s="9">
        <v>21659488</v>
      </c>
      <c r="EI243" s="423" t="s">
        <v>12</v>
      </c>
      <c r="EJ243" s="423" t="s">
        <v>12</v>
      </c>
      <c r="EK243" s="423" t="s">
        <v>12</v>
      </c>
      <c r="EL243" s="423" t="s">
        <v>12</v>
      </c>
      <c r="EM243" s="423" t="s">
        <v>12</v>
      </c>
      <c r="EN243" s="423" t="s">
        <v>12</v>
      </c>
      <c r="EO243" s="423" t="s">
        <v>12</v>
      </c>
      <c r="EP243" s="423" t="s">
        <v>12</v>
      </c>
      <c r="EQ243" s="423" t="s">
        <v>12</v>
      </c>
      <c r="ER243" s="423" t="s">
        <v>12</v>
      </c>
      <c r="ES243" s="438" t="s">
        <v>12</v>
      </c>
      <c r="ET243" s="438" t="s">
        <v>12</v>
      </c>
      <c r="EU243" s="438" t="s">
        <v>12</v>
      </c>
      <c r="EV243" s="438" t="s">
        <v>12</v>
      </c>
      <c r="EW243" s="438" t="s">
        <v>12</v>
      </c>
      <c r="EX243" s="438" t="s">
        <v>12</v>
      </c>
      <c r="EY243" s="438" t="s">
        <v>12</v>
      </c>
      <c r="EZ243" s="438" t="s">
        <v>12</v>
      </c>
      <c r="FA243" s="438" t="s">
        <v>12</v>
      </c>
      <c r="FB243" s="438" t="s">
        <v>12</v>
      </c>
      <c r="FC243" s="346">
        <v>0</v>
      </c>
      <c r="FD243" s="346">
        <v>0</v>
      </c>
      <c r="FE243" s="346">
        <v>0</v>
      </c>
      <c r="FF243" s="346">
        <v>0</v>
      </c>
      <c r="FG243" s="346">
        <v>0</v>
      </c>
      <c r="FH243" s="346">
        <v>0</v>
      </c>
      <c r="FI243" s="346">
        <v>0</v>
      </c>
      <c r="FJ243" s="346">
        <v>0</v>
      </c>
      <c r="FK243" s="346">
        <v>0</v>
      </c>
      <c r="FL243" s="346">
        <v>0</v>
      </c>
    </row>
    <row r="244" spans="1:168" x14ac:dyDescent="0.25">
      <c r="A244" s="238">
        <v>5</v>
      </c>
      <c r="B244" s="238" t="s">
        <v>767</v>
      </c>
      <c r="C244" s="241" t="s">
        <v>11</v>
      </c>
      <c r="D244" s="241" t="s">
        <v>11</v>
      </c>
      <c r="E244" s="241" t="s">
        <v>11</v>
      </c>
      <c r="F244" s="241" t="s">
        <v>11</v>
      </c>
      <c r="G244" s="241" t="s">
        <v>11</v>
      </c>
      <c r="H244" s="241" t="s">
        <v>11</v>
      </c>
      <c r="I244" s="241" t="s">
        <v>11</v>
      </c>
      <c r="J244" s="241" t="s">
        <v>11</v>
      </c>
      <c r="K244" s="241" t="s">
        <v>11</v>
      </c>
      <c r="L244" s="241" t="s">
        <v>11</v>
      </c>
      <c r="N244">
        <v>29</v>
      </c>
      <c r="O244" t="s">
        <v>47</v>
      </c>
      <c r="P244" t="s">
        <v>47</v>
      </c>
      <c r="Q244" t="s">
        <v>36</v>
      </c>
      <c r="R244" s="2" t="s">
        <v>12</v>
      </c>
      <c r="S244" s="2">
        <v>363010</v>
      </c>
      <c r="T244" s="2" t="s">
        <v>12</v>
      </c>
      <c r="U244" s="2" t="s">
        <v>12</v>
      </c>
      <c r="V244" s="2" t="s">
        <v>12</v>
      </c>
      <c r="W244" s="2" t="s">
        <v>12</v>
      </c>
      <c r="X244" s="2" t="s">
        <v>12</v>
      </c>
      <c r="Y244" s="2" t="s">
        <v>12</v>
      </c>
      <c r="Z244" s="2" t="s">
        <v>12</v>
      </c>
      <c r="AA244" s="2" t="s">
        <v>12</v>
      </c>
      <c r="AB244" s="2" t="s">
        <v>12</v>
      </c>
      <c r="AC244" s="2" t="s">
        <v>12</v>
      </c>
      <c r="AD244">
        <v>2012</v>
      </c>
      <c r="AE244" s="2">
        <v>0</v>
      </c>
      <c r="AF244" s="2">
        <v>1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t="s">
        <v>12</v>
      </c>
      <c r="AR244" t="s">
        <v>12</v>
      </c>
      <c r="AS244" t="s">
        <v>12</v>
      </c>
      <c r="AT244">
        <v>2012</v>
      </c>
      <c r="AU244" t="s">
        <v>12</v>
      </c>
      <c r="AV244" t="s">
        <v>12</v>
      </c>
      <c r="AW244" t="s">
        <v>12</v>
      </c>
      <c r="AX244" t="s">
        <v>12</v>
      </c>
      <c r="AY244" t="s">
        <v>12</v>
      </c>
      <c r="AZ244" t="s">
        <v>12</v>
      </c>
      <c r="BA244">
        <v>2012</v>
      </c>
      <c r="BB244">
        <v>1</v>
      </c>
      <c r="BC244" t="s">
        <v>47</v>
      </c>
      <c r="BD244">
        <v>2012</v>
      </c>
      <c r="BF244" s="313" t="s">
        <v>11</v>
      </c>
      <c r="BG244" s="313" t="s">
        <v>11</v>
      </c>
      <c r="BH244" t="s">
        <v>12</v>
      </c>
      <c r="BI244" t="s">
        <v>12</v>
      </c>
      <c r="BJ244" t="s">
        <v>12</v>
      </c>
      <c r="BK244" t="s">
        <v>12</v>
      </c>
      <c r="BL244" t="s">
        <v>12</v>
      </c>
      <c r="BM244" t="s">
        <v>12</v>
      </c>
      <c r="BN244" t="s">
        <v>12</v>
      </c>
      <c r="BO244" t="s">
        <v>12</v>
      </c>
      <c r="BP244" t="s">
        <v>12</v>
      </c>
      <c r="BQ244" t="s">
        <v>12</v>
      </c>
      <c r="BS244">
        <v>0</v>
      </c>
      <c r="BT244">
        <v>8561660.4694740791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 s="9" t="s">
        <v>12</v>
      </c>
      <c r="CF244" s="28" t="s">
        <v>12</v>
      </c>
      <c r="CG244" s="28" t="s">
        <v>12</v>
      </c>
      <c r="CH244" s="28" t="s">
        <v>12</v>
      </c>
      <c r="CI244" s="28">
        <v>2.6925670495647371</v>
      </c>
      <c r="CJ244" s="28" t="s">
        <v>12</v>
      </c>
      <c r="CK244" s="28" t="s">
        <v>12</v>
      </c>
      <c r="CL244" s="28" t="s">
        <v>12</v>
      </c>
      <c r="CM244" s="28" t="s">
        <v>12</v>
      </c>
      <c r="CN244" s="28" t="s">
        <v>12</v>
      </c>
      <c r="CO244" s="28" t="s">
        <v>12</v>
      </c>
      <c r="CP244" s="28">
        <v>2.6925670495647371</v>
      </c>
      <c r="CQ244" s="28" t="s">
        <v>12</v>
      </c>
      <c r="CR244" s="28" t="s">
        <v>12</v>
      </c>
      <c r="CS244" s="28" t="s">
        <v>12</v>
      </c>
      <c r="CT244" s="28">
        <v>2.15405363965179</v>
      </c>
      <c r="CU244" s="28" t="s">
        <v>12</v>
      </c>
      <c r="CV244" s="28" t="s">
        <v>12</v>
      </c>
      <c r="CW244" s="28" t="s">
        <v>12</v>
      </c>
      <c r="CX244" s="28" t="s">
        <v>12</v>
      </c>
      <c r="CY244" s="28" t="s">
        <v>12</v>
      </c>
      <c r="CZ244" s="28" t="s">
        <v>12</v>
      </c>
      <c r="DA244" s="28">
        <v>2.15405363965179</v>
      </c>
      <c r="DB244" s="313">
        <v>29</v>
      </c>
      <c r="DC244" s="313" t="s">
        <v>47</v>
      </c>
      <c r="DD244" s="386" t="s">
        <v>12</v>
      </c>
      <c r="DE244" s="386" t="s">
        <v>12</v>
      </c>
      <c r="DF244" s="386" t="s">
        <v>12</v>
      </c>
      <c r="DG244" s="386" t="s">
        <v>12</v>
      </c>
      <c r="DH244" s="386" t="s">
        <v>12</v>
      </c>
      <c r="DI244" s="386" t="s">
        <v>12</v>
      </c>
      <c r="DJ244" s="386" t="s">
        <v>12</v>
      </c>
      <c r="DK244" s="386" t="s">
        <v>12</v>
      </c>
      <c r="DL244" s="386" t="s">
        <v>12</v>
      </c>
      <c r="DM244" s="386" t="s">
        <v>12</v>
      </c>
      <c r="DN244" s="7" t="s">
        <v>12</v>
      </c>
      <c r="DO244" s="7" t="s">
        <v>12</v>
      </c>
      <c r="DP244" s="7" t="s">
        <v>12</v>
      </c>
      <c r="DQ244" s="7" t="s">
        <v>12</v>
      </c>
      <c r="DR244" s="7" t="s">
        <v>12</v>
      </c>
      <c r="DS244" s="7" t="s">
        <v>12</v>
      </c>
      <c r="DT244" s="7" t="s">
        <v>12</v>
      </c>
      <c r="DU244" s="7" t="s">
        <v>12</v>
      </c>
      <c r="DV244" s="7" t="s">
        <v>12</v>
      </c>
      <c r="DW244" s="7" t="s">
        <v>12</v>
      </c>
      <c r="DY244" s="9">
        <v>34751476</v>
      </c>
      <c r="EI244" s="423" t="s">
        <v>12</v>
      </c>
      <c r="EJ244" s="423" t="s">
        <v>12</v>
      </c>
      <c r="EK244" s="423" t="s">
        <v>12</v>
      </c>
      <c r="EL244" s="423">
        <v>1</v>
      </c>
      <c r="EM244" s="423" t="s">
        <v>12</v>
      </c>
      <c r="EN244" s="423" t="s">
        <v>12</v>
      </c>
      <c r="EO244" s="423" t="s">
        <v>12</v>
      </c>
      <c r="EP244" s="423" t="s">
        <v>12</v>
      </c>
      <c r="EQ244" s="423" t="s">
        <v>12</v>
      </c>
      <c r="ER244" s="423" t="s">
        <v>12</v>
      </c>
      <c r="ES244" s="438">
        <v>1</v>
      </c>
      <c r="ET244" s="438">
        <v>1</v>
      </c>
      <c r="EU244" s="438">
        <v>1</v>
      </c>
      <c r="EV244" s="438">
        <v>363010</v>
      </c>
      <c r="EW244" s="438">
        <v>1</v>
      </c>
      <c r="EX244" s="438">
        <v>1</v>
      </c>
      <c r="EY244" s="438">
        <v>1</v>
      </c>
      <c r="EZ244" s="438">
        <v>1</v>
      </c>
      <c r="FA244" s="438">
        <v>1</v>
      </c>
      <c r="FB244" s="438" t="s">
        <v>12</v>
      </c>
      <c r="FC244" s="346">
        <v>0</v>
      </c>
      <c r="FD244" s="346">
        <v>1404225.6202000028</v>
      </c>
      <c r="FE244" s="346">
        <v>0</v>
      </c>
      <c r="FF244" s="346">
        <v>0</v>
      </c>
      <c r="FG244" s="346">
        <v>0</v>
      </c>
      <c r="FH244" s="346">
        <v>0</v>
      </c>
      <c r="FI244" s="346">
        <v>0</v>
      </c>
      <c r="FJ244" s="346">
        <v>0</v>
      </c>
      <c r="FK244" s="346">
        <v>0</v>
      </c>
      <c r="FL244" s="346">
        <v>0</v>
      </c>
    </row>
    <row r="245" spans="1:168" x14ac:dyDescent="0.25">
      <c r="A245" s="238">
        <v>6</v>
      </c>
      <c r="B245" s="238" t="s">
        <v>768</v>
      </c>
      <c r="C245" s="241" t="s">
        <v>11</v>
      </c>
      <c r="D245" s="241" t="s">
        <v>11</v>
      </c>
      <c r="E245" s="241" t="s">
        <v>11</v>
      </c>
      <c r="F245" s="241" t="s">
        <v>11</v>
      </c>
      <c r="G245" s="241" t="s">
        <v>11</v>
      </c>
      <c r="H245" s="241" t="s">
        <v>11</v>
      </c>
      <c r="I245" s="241" t="s">
        <v>11</v>
      </c>
      <c r="J245" s="241" t="s">
        <v>11</v>
      </c>
      <c r="K245" s="241" t="s">
        <v>11</v>
      </c>
      <c r="L245" s="241" t="s">
        <v>11</v>
      </c>
      <c r="N245">
        <v>30</v>
      </c>
      <c r="O245" t="s">
        <v>48</v>
      </c>
      <c r="P245" t="s">
        <v>11</v>
      </c>
      <c r="Q245" t="s">
        <v>16</v>
      </c>
      <c r="R245" s="2" t="s">
        <v>12</v>
      </c>
      <c r="S245" s="2" t="s">
        <v>12</v>
      </c>
      <c r="T245" s="2" t="s">
        <v>12</v>
      </c>
      <c r="U245" s="2" t="s">
        <v>12</v>
      </c>
      <c r="V245" s="2" t="s">
        <v>12</v>
      </c>
      <c r="W245" s="2" t="s">
        <v>12</v>
      </c>
      <c r="X245" s="2" t="s">
        <v>12</v>
      </c>
      <c r="Y245" s="2" t="s">
        <v>12</v>
      </c>
      <c r="Z245" s="2" t="s">
        <v>12</v>
      </c>
      <c r="AA245" s="2" t="s">
        <v>12</v>
      </c>
      <c r="AB245" s="2" t="s">
        <v>12</v>
      </c>
      <c r="AC245" s="2" t="s">
        <v>12</v>
      </c>
      <c r="AD245" t="s">
        <v>12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t="s">
        <v>12</v>
      </c>
      <c r="AR245" t="s">
        <v>12</v>
      </c>
      <c r="AS245" t="s">
        <v>12</v>
      </c>
      <c r="AT245" t="s">
        <v>12</v>
      </c>
      <c r="AU245" t="s">
        <v>12</v>
      </c>
      <c r="AV245" t="s">
        <v>12</v>
      </c>
      <c r="AW245" t="s">
        <v>12</v>
      </c>
      <c r="AX245" t="s">
        <v>12</v>
      </c>
      <c r="AY245" t="s">
        <v>12</v>
      </c>
      <c r="AZ245" t="s">
        <v>12</v>
      </c>
      <c r="BA245" t="s">
        <v>12</v>
      </c>
      <c r="BB245" t="s">
        <v>12</v>
      </c>
      <c r="BC245" t="s">
        <v>12</v>
      </c>
      <c r="BD245" t="s">
        <v>12</v>
      </c>
      <c r="BF245" s="313" t="s">
        <v>11</v>
      </c>
      <c r="BG245" s="313" t="s">
        <v>11</v>
      </c>
      <c r="BH245" t="s">
        <v>12</v>
      </c>
      <c r="BI245" t="s">
        <v>12</v>
      </c>
      <c r="BJ245" t="s">
        <v>12</v>
      </c>
      <c r="BK245" t="s">
        <v>12</v>
      </c>
      <c r="BL245" t="s">
        <v>12</v>
      </c>
      <c r="BM245" t="s">
        <v>12</v>
      </c>
      <c r="BN245" t="s">
        <v>12</v>
      </c>
      <c r="BO245" t="s">
        <v>12</v>
      </c>
      <c r="BP245" t="s">
        <v>12</v>
      </c>
      <c r="BQ245" t="s">
        <v>12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 s="9" t="s">
        <v>12</v>
      </c>
      <c r="CF245" s="28" t="s">
        <v>12</v>
      </c>
      <c r="CG245" s="28" t="s">
        <v>12</v>
      </c>
      <c r="CH245" s="28" t="s">
        <v>12</v>
      </c>
      <c r="CI245" s="28" t="s">
        <v>12</v>
      </c>
      <c r="CJ245" s="28" t="s">
        <v>12</v>
      </c>
      <c r="CK245" s="28" t="s">
        <v>12</v>
      </c>
      <c r="CL245" s="28" t="s">
        <v>12</v>
      </c>
      <c r="CM245" s="28" t="s">
        <v>12</v>
      </c>
      <c r="CN245" s="28" t="s">
        <v>12</v>
      </c>
      <c r="CO245" s="28" t="s">
        <v>12</v>
      </c>
      <c r="CP245" s="28" t="s">
        <v>12</v>
      </c>
      <c r="CQ245" s="28" t="s">
        <v>12</v>
      </c>
      <c r="CR245" s="28" t="s">
        <v>12</v>
      </c>
      <c r="CS245" s="28" t="s">
        <v>12</v>
      </c>
      <c r="CT245" s="28" t="s">
        <v>12</v>
      </c>
      <c r="CU245" s="28" t="s">
        <v>12</v>
      </c>
      <c r="CV245" s="28" t="s">
        <v>12</v>
      </c>
      <c r="CW245" s="28" t="s">
        <v>12</v>
      </c>
      <c r="CX245" s="28" t="s">
        <v>12</v>
      </c>
      <c r="CY245" s="28" t="s">
        <v>12</v>
      </c>
      <c r="CZ245" s="28" t="s">
        <v>12</v>
      </c>
      <c r="DA245" s="28" t="s">
        <v>12</v>
      </c>
      <c r="DB245" s="313">
        <v>30</v>
      </c>
      <c r="DC245" s="313" t="s">
        <v>48</v>
      </c>
      <c r="DD245" s="386" t="s">
        <v>12</v>
      </c>
      <c r="DE245" s="386" t="s">
        <v>12</v>
      </c>
      <c r="DF245" s="386" t="s">
        <v>12</v>
      </c>
      <c r="DG245" s="386" t="s">
        <v>12</v>
      </c>
      <c r="DH245" s="386" t="s">
        <v>12</v>
      </c>
      <c r="DI245" s="386" t="s">
        <v>12</v>
      </c>
      <c r="DJ245" s="386" t="s">
        <v>12</v>
      </c>
      <c r="DK245" s="386" t="s">
        <v>12</v>
      </c>
      <c r="DL245" s="386" t="s">
        <v>12</v>
      </c>
      <c r="DM245" s="386" t="s">
        <v>12</v>
      </c>
      <c r="DN245" s="7" t="s">
        <v>12</v>
      </c>
      <c r="DO245" s="7" t="s">
        <v>12</v>
      </c>
      <c r="DP245" s="7" t="s">
        <v>12</v>
      </c>
      <c r="DQ245" s="7" t="s">
        <v>12</v>
      </c>
      <c r="DR245" s="7" t="s">
        <v>12</v>
      </c>
      <c r="DS245" s="7" t="s">
        <v>12</v>
      </c>
      <c r="DT245" s="7" t="s">
        <v>12</v>
      </c>
      <c r="DU245" s="7" t="s">
        <v>12</v>
      </c>
      <c r="DV245" s="7" t="s">
        <v>12</v>
      </c>
      <c r="DW245" s="7" t="s">
        <v>12</v>
      </c>
      <c r="DY245" s="9">
        <v>57522</v>
      </c>
      <c r="EI245" s="423" t="s">
        <v>12</v>
      </c>
      <c r="EJ245" s="423" t="s">
        <v>12</v>
      </c>
      <c r="EK245" s="423" t="s">
        <v>12</v>
      </c>
      <c r="EL245" s="423" t="s">
        <v>12</v>
      </c>
      <c r="EM245" s="423" t="s">
        <v>12</v>
      </c>
      <c r="EN245" s="423" t="s">
        <v>12</v>
      </c>
      <c r="EO245" s="423" t="s">
        <v>12</v>
      </c>
      <c r="EP245" s="423" t="s">
        <v>12</v>
      </c>
      <c r="EQ245" s="423" t="s">
        <v>12</v>
      </c>
      <c r="ER245" s="423" t="s">
        <v>12</v>
      </c>
      <c r="ES245" s="438" t="s">
        <v>12</v>
      </c>
      <c r="ET245" s="438" t="s">
        <v>12</v>
      </c>
      <c r="EU245" s="438" t="s">
        <v>12</v>
      </c>
      <c r="EV245" s="438" t="s">
        <v>12</v>
      </c>
      <c r="EW245" s="438" t="s">
        <v>12</v>
      </c>
      <c r="EX245" s="438" t="s">
        <v>12</v>
      </c>
      <c r="EY245" s="438" t="s">
        <v>12</v>
      </c>
      <c r="EZ245" s="438" t="s">
        <v>12</v>
      </c>
      <c r="FA245" s="438" t="s">
        <v>12</v>
      </c>
      <c r="FB245" s="438" t="s">
        <v>12</v>
      </c>
      <c r="FC245" s="346">
        <v>0</v>
      </c>
      <c r="FD245" s="346">
        <v>0</v>
      </c>
      <c r="FE245" s="346">
        <v>0</v>
      </c>
      <c r="FF245" s="346">
        <v>0</v>
      </c>
      <c r="FG245" s="346">
        <v>0</v>
      </c>
      <c r="FH245" s="346">
        <v>0</v>
      </c>
      <c r="FI245" s="346">
        <v>0</v>
      </c>
      <c r="FJ245" s="346">
        <v>0</v>
      </c>
      <c r="FK245" s="346">
        <v>0</v>
      </c>
      <c r="FL245" s="346">
        <v>0</v>
      </c>
    </row>
    <row r="246" spans="1:168" x14ac:dyDescent="0.25">
      <c r="A246" s="238">
        <v>7</v>
      </c>
      <c r="B246" s="238" t="s">
        <v>770</v>
      </c>
      <c r="C246" s="241" t="s">
        <v>11</v>
      </c>
      <c r="D246" s="241" t="s">
        <v>11</v>
      </c>
      <c r="E246" s="241" t="s">
        <v>11</v>
      </c>
      <c r="F246" s="241" t="s">
        <v>11</v>
      </c>
      <c r="G246" s="241" t="s">
        <v>11</v>
      </c>
      <c r="H246" s="241" t="s">
        <v>11</v>
      </c>
      <c r="I246" s="241" t="s">
        <v>11</v>
      </c>
      <c r="J246" s="241" t="s">
        <v>11</v>
      </c>
      <c r="K246" s="241" t="s">
        <v>11</v>
      </c>
      <c r="L246" s="241" t="s">
        <v>11</v>
      </c>
      <c r="N246">
        <v>31</v>
      </c>
      <c r="O246" t="s">
        <v>49</v>
      </c>
      <c r="P246" t="s">
        <v>50</v>
      </c>
      <c r="Q246" t="s">
        <v>14</v>
      </c>
      <c r="R246" s="2" t="s">
        <v>12</v>
      </c>
      <c r="S246" s="2" t="s">
        <v>12</v>
      </c>
      <c r="T246" s="2" t="s">
        <v>12</v>
      </c>
      <c r="U246" s="2" t="s">
        <v>12</v>
      </c>
      <c r="V246" s="2" t="s">
        <v>12</v>
      </c>
      <c r="W246" s="2" t="s">
        <v>12</v>
      </c>
      <c r="X246" s="2" t="s">
        <v>12</v>
      </c>
      <c r="Y246" s="2" t="s">
        <v>12</v>
      </c>
      <c r="Z246" s="2" t="s">
        <v>12</v>
      </c>
      <c r="AA246" s="2" t="s">
        <v>12</v>
      </c>
      <c r="AB246" s="2" t="s">
        <v>12</v>
      </c>
      <c r="AC246" s="2" t="s">
        <v>12</v>
      </c>
      <c r="AD246" t="s">
        <v>12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t="s">
        <v>12</v>
      </c>
      <c r="AR246" t="s">
        <v>12</v>
      </c>
      <c r="AS246" t="s">
        <v>12</v>
      </c>
      <c r="AT246" t="s">
        <v>12</v>
      </c>
      <c r="AU246" t="s">
        <v>12</v>
      </c>
      <c r="AV246" t="s">
        <v>12</v>
      </c>
      <c r="AW246" t="s">
        <v>12</v>
      </c>
      <c r="AX246" t="s">
        <v>12</v>
      </c>
      <c r="AY246" t="s">
        <v>12</v>
      </c>
      <c r="AZ246" t="s">
        <v>12</v>
      </c>
      <c r="BA246" t="s">
        <v>12</v>
      </c>
      <c r="BB246" t="s">
        <v>12</v>
      </c>
      <c r="BC246" t="s">
        <v>12</v>
      </c>
      <c r="BD246" t="s">
        <v>12</v>
      </c>
      <c r="BF246" s="313" t="s">
        <v>11</v>
      </c>
      <c r="BG246" s="313" t="s">
        <v>11</v>
      </c>
      <c r="BH246" t="s">
        <v>12</v>
      </c>
      <c r="BI246" t="s">
        <v>12</v>
      </c>
      <c r="BJ246" t="s">
        <v>12</v>
      </c>
      <c r="BK246" t="s">
        <v>12</v>
      </c>
      <c r="BL246" t="s">
        <v>12</v>
      </c>
      <c r="BM246" t="s">
        <v>12</v>
      </c>
      <c r="BN246" t="s">
        <v>12</v>
      </c>
      <c r="BO246" t="s">
        <v>12</v>
      </c>
      <c r="BP246" t="s">
        <v>12</v>
      </c>
      <c r="BQ246" t="s">
        <v>12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 s="9" t="s">
        <v>12</v>
      </c>
      <c r="CF246" s="28" t="s">
        <v>12</v>
      </c>
      <c r="CG246" s="28" t="s">
        <v>12</v>
      </c>
      <c r="CH246" s="28" t="s">
        <v>12</v>
      </c>
      <c r="CI246" s="28" t="s">
        <v>12</v>
      </c>
      <c r="CJ246" s="28" t="s">
        <v>12</v>
      </c>
      <c r="CK246" s="28" t="s">
        <v>12</v>
      </c>
      <c r="CL246" s="28" t="s">
        <v>12</v>
      </c>
      <c r="CM246" s="28" t="s">
        <v>12</v>
      </c>
      <c r="CN246" s="28" t="s">
        <v>12</v>
      </c>
      <c r="CO246" s="28" t="s">
        <v>12</v>
      </c>
      <c r="CP246" s="28" t="s">
        <v>12</v>
      </c>
      <c r="CQ246" s="28" t="s">
        <v>12</v>
      </c>
      <c r="CR246" s="28" t="s">
        <v>12</v>
      </c>
      <c r="CS246" s="28" t="s">
        <v>12</v>
      </c>
      <c r="CT246" s="28" t="s">
        <v>12</v>
      </c>
      <c r="CU246" s="28" t="s">
        <v>12</v>
      </c>
      <c r="CV246" s="28" t="s">
        <v>12</v>
      </c>
      <c r="CW246" s="28" t="s">
        <v>12</v>
      </c>
      <c r="CX246" s="28" t="s">
        <v>12</v>
      </c>
      <c r="CY246" s="28" t="s">
        <v>12</v>
      </c>
      <c r="CZ246" s="28" t="s">
        <v>12</v>
      </c>
      <c r="DA246" s="28" t="s">
        <v>12</v>
      </c>
      <c r="DB246" s="313">
        <v>31</v>
      </c>
      <c r="DC246" s="313" t="s">
        <v>49</v>
      </c>
      <c r="DD246" s="386" t="s">
        <v>12</v>
      </c>
      <c r="DE246" s="386" t="s">
        <v>12</v>
      </c>
      <c r="DF246" s="386" t="s">
        <v>12</v>
      </c>
      <c r="DG246" s="386" t="s">
        <v>12</v>
      </c>
      <c r="DH246" s="386" t="s">
        <v>12</v>
      </c>
      <c r="DI246" s="386" t="s">
        <v>12</v>
      </c>
      <c r="DJ246" s="386" t="s">
        <v>12</v>
      </c>
      <c r="DK246" s="386" t="s">
        <v>12</v>
      </c>
      <c r="DL246" s="386" t="s">
        <v>12</v>
      </c>
      <c r="DM246" s="386" t="s">
        <v>12</v>
      </c>
      <c r="DN246" s="7" t="s">
        <v>12</v>
      </c>
      <c r="DO246" s="7" t="s">
        <v>12</v>
      </c>
      <c r="DP246" s="7" t="s">
        <v>12</v>
      </c>
      <c r="DQ246" s="7" t="s">
        <v>12</v>
      </c>
      <c r="DR246" s="7" t="s">
        <v>12</v>
      </c>
      <c r="DS246" s="7" t="s">
        <v>12</v>
      </c>
      <c r="DT246" s="7" t="s">
        <v>12</v>
      </c>
      <c r="DU246" s="7" t="s">
        <v>12</v>
      </c>
      <c r="DV246" s="7" t="s">
        <v>12</v>
      </c>
      <c r="DW246" s="7" t="s">
        <v>12</v>
      </c>
      <c r="DY246" s="9">
        <v>4619500</v>
      </c>
      <c r="EI246" s="423" t="s">
        <v>12</v>
      </c>
      <c r="EJ246" s="423" t="s">
        <v>12</v>
      </c>
      <c r="EK246" s="423" t="s">
        <v>12</v>
      </c>
      <c r="EL246" s="423" t="s">
        <v>12</v>
      </c>
      <c r="EM246" s="423" t="s">
        <v>12</v>
      </c>
      <c r="EN246" s="423" t="s">
        <v>12</v>
      </c>
      <c r="EO246" s="423" t="s">
        <v>12</v>
      </c>
      <c r="EP246" s="423" t="s">
        <v>12</v>
      </c>
      <c r="EQ246" s="423" t="s">
        <v>12</v>
      </c>
      <c r="ER246" s="423" t="s">
        <v>12</v>
      </c>
      <c r="ES246" s="438" t="s">
        <v>12</v>
      </c>
      <c r="ET246" s="438" t="s">
        <v>12</v>
      </c>
      <c r="EU246" s="438" t="s">
        <v>12</v>
      </c>
      <c r="EV246" s="438" t="s">
        <v>12</v>
      </c>
      <c r="EW246" s="438" t="s">
        <v>12</v>
      </c>
      <c r="EX246" s="438" t="s">
        <v>12</v>
      </c>
      <c r="EY246" s="438" t="s">
        <v>12</v>
      </c>
      <c r="EZ246" s="438" t="s">
        <v>12</v>
      </c>
      <c r="FA246" s="438" t="s">
        <v>12</v>
      </c>
      <c r="FB246" s="438" t="s">
        <v>12</v>
      </c>
      <c r="FC246" s="346">
        <v>0</v>
      </c>
      <c r="FD246" s="346">
        <v>0</v>
      </c>
      <c r="FE246" s="346">
        <v>0</v>
      </c>
      <c r="FF246" s="346">
        <v>0</v>
      </c>
      <c r="FG246" s="346">
        <v>0</v>
      </c>
      <c r="FH246" s="346">
        <v>0</v>
      </c>
      <c r="FI246" s="346">
        <v>0</v>
      </c>
      <c r="FJ246" s="346">
        <v>0</v>
      </c>
      <c r="FK246" s="346">
        <v>0</v>
      </c>
      <c r="FL246" s="346">
        <v>0</v>
      </c>
    </row>
    <row r="247" spans="1:168" x14ac:dyDescent="0.25">
      <c r="A247" s="238">
        <v>8</v>
      </c>
      <c r="B247" s="238" t="s">
        <v>771</v>
      </c>
      <c r="C247" s="241" t="s">
        <v>11</v>
      </c>
      <c r="D247" s="241" t="s">
        <v>11</v>
      </c>
      <c r="E247" s="241" t="s">
        <v>11</v>
      </c>
      <c r="F247" s="241" t="s">
        <v>11</v>
      </c>
      <c r="G247" s="241" t="s">
        <v>11</v>
      </c>
      <c r="H247" s="241" t="s">
        <v>11</v>
      </c>
      <c r="I247" s="241" t="s">
        <v>11</v>
      </c>
      <c r="J247" s="241" t="s">
        <v>11</v>
      </c>
      <c r="K247" s="241" t="s">
        <v>11</v>
      </c>
      <c r="L247" s="241" t="s">
        <v>11</v>
      </c>
      <c r="N247">
        <v>32</v>
      </c>
      <c r="O247" t="s">
        <v>51</v>
      </c>
      <c r="P247" t="s">
        <v>51</v>
      </c>
      <c r="Q247" t="s">
        <v>14</v>
      </c>
      <c r="R247" s="2" t="s">
        <v>12</v>
      </c>
      <c r="S247" s="2" t="s">
        <v>12</v>
      </c>
      <c r="T247" s="2" t="s">
        <v>12</v>
      </c>
      <c r="U247" s="2" t="s">
        <v>12</v>
      </c>
      <c r="V247" s="2" t="s">
        <v>12</v>
      </c>
      <c r="W247" s="2" t="s">
        <v>12</v>
      </c>
      <c r="X247" s="2" t="s">
        <v>12</v>
      </c>
      <c r="Y247" s="2" t="s">
        <v>12</v>
      </c>
      <c r="Z247" s="2" t="s">
        <v>12</v>
      </c>
      <c r="AA247" s="2" t="s">
        <v>12</v>
      </c>
      <c r="AB247" s="2" t="s">
        <v>12</v>
      </c>
      <c r="AC247" s="2" t="s">
        <v>12</v>
      </c>
      <c r="AD247" t="s">
        <v>12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t="s">
        <v>12</v>
      </c>
      <c r="AR247" t="s">
        <v>12</v>
      </c>
      <c r="AS247" t="s">
        <v>12</v>
      </c>
      <c r="AT247" t="s">
        <v>12</v>
      </c>
      <c r="AU247" t="s">
        <v>12</v>
      </c>
      <c r="AV247" t="s">
        <v>12</v>
      </c>
      <c r="AW247" t="s">
        <v>12</v>
      </c>
      <c r="AX247" t="s">
        <v>12</v>
      </c>
      <c r="AY247" t="s">
        <v>12</v>
      </c>
      <c r="AZ247" t="s">
        <v>12</v>
      </c>
      <c r="BA247" t="s">
        <v>12</v>
      </c>
      <c r="BB247" t="s">
        <v>12</v>
      </c>
      <c r="BC247" t="s">
        <v>12</v>
      </c>
      <c r="BD247" t="s">
        <v>12</v>
      </c>
      <c r="BF247" s="313" t="s">
        <v>11</v>
      </c>
      <c r="BG247" s="313" t="s">
        <v>11</v>
      </c>
      <c r="BH247" t="s">
        <v>12</v>
      </c>
      <c r="BI247" t="s">
        <v>12</v>
      </c>
      <c r="BJ247" t="s">
        <v>12</v>
      </c>
      <c r="BK247" t="s">
        <v>12</v>
      </c>
      <c r="BL247" t="s">
        <v>12</v>
      </c>
      <c r="BM247" t="s">
        <v>12</v>
      </c>
      <c r="BN247" t="s">
        <v>12</v>
      </c>
      <c r="BO247" t="s">
        <v>12</v>
      </c>
      <c r="BP247" t="s">
        <v>12</v>
      </c>
      <c r="BQ247" t="s">
        <v>12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 s="9" t="s">
        <v>12</v>
      </c>
      <c r="CF247" s="28" t="s">
        <v>12</v>
      </c>
      <c r="CG247" s="28" t="s">
        <v>12</v>
      </c>
      <c r="CH247" s="28" t="s">
        <v>12</v>
      </c>
      <c r="CI247" s="28" t="s">
        <v>12</v>
      </c>
      <c r="CJ247" s="28" t="s">
        <v>12</v>
      </c>
      <c r="CK247" s="28" t="s">
        <v>12</v>
      </c>
      <c r="CL247" s="28" t="s">
        <v>12</v>
      </c>
      <c r="CM247" s="28" t="s">
        <v>12</v>
      </c>
      <c r="CN247" s="28" t="s">
        <v>12</v>
      </c>
      <c r="CO247" s="28" t="s">
        <v>12</v>
      </c>
      <c r="CP247" s="28" t="s">
        <v>12</v>
      </c>
      <c r="CQ247" s="28" t="s">
        <v>12</v>
      </c>
      <c r="CR247" s="28" t="s">
        <v>12</v>
      </c>
      <c r="CS247" s="28" t="s">
        <v>12</v>
      </c>
      <c r="CT247" s="28" t="s">
        <v>12</v>
      </c>
      <c r="CU247" s="28" t="s">
        <v>12</v>
      </c>
      <c r="CV247" s="28" t="s">
        <v>12</v>
      </c>
      <c r="CW247" s="28" t="s">
        <v>12</v>
      </c>
      <c r="CX247" s="28" t="s">
        <v>12</v>
      </c>
      <c r="CY247" s="28" t="s">
        <v>12</v>
      </c>
      <c r="CZ247" s="28" t="s">
        <v>12</v>
      </c>
      <c r="DA247" s="28" t="s">
        <v>12</v>
      </c>
      <c r="DB247" s="313">
        <v>32</v>
      </c>
      <c r="DC247" s="313" t="s">
        <v>51</v>
      </c>
      <c r="DD247" s="386" t="s">
        <v>12</v>
      </c>
      <c r="DE247" s="386" t="s">
        <v>12</v>
      </c>
      <c r="DF247" s="386" t="s">
        <v>12</v>
      </c>
      <c r="DG247" s="386" t="s">
        <v>12</v>
      </c>
      <c r="DH247" s="386" t="s">
        <v>12</v>
      </c>
      <c r="DI247" s="386" t="s">
        <v>12</v>
      </c>
      <c r="DJ247" s="386" t="s">
        <v>12</v>
      </c>
      <c r="DK247" s="386" t="s">
        <v>12</v>
      </c>
      <c r="DL247" s="386" t="s">
        <v>12</v>
      </c>
      <c r="DM247" s="386" t="s">
        <v>12</v>
      </c>
      <c r="DN247" s="7" t="s">
        <v>12</v>
      </c>
      <c r="DO247" s="7" t="s">
        <v>12</v>
      </c>
      <c r="DP247" s="7" t="s">
        <v>12</v>
      </c>
      <c r="DQ247" s="7" t="s">
        <v>12</v>
      </c>
      <c r="DR247" s="7" t="s">
        <v>12</v>
      </c>
      <c r="DS247" s="7" t="s">
        <v>12</v>
      </c>
      <c r="DT247" s="7" t="s">
        <v>12</v>
      </c>
      <c r="DU247" s="7" t="s">
        <v>12</v>
      </c>
      <c r="DV247" s="7" t="s">
        <v>12</v>
      </c>
      <c r="DW247" s="7" t="s">
        <v>12</v>
      </c>
      <c r="DY247" s="9">
        <v>12715465</v>
      </c>
      <c r="EI247" s="423" t="s">
        <v>12</v>
      </c>
      <c r="EJ247" s="423" t="s">
        <v>12</v>
      </c>
      <c r="EK247" s="423" t="s">
        <v>12</v>
      </c>
      <c r="EL247" s="423" t="s">
        <v>12</v>
      </c>
      <c r="EM247" s="423" t="s">
        <v>12</v>
      </c>
      <c r="EN247" s="423" t="s">
        <v>12</v>
      </c>
      <c r="EO247" s="423" t="s">
        <v>12</v>
      </c>
      <c r="EP247" s="423" t="s">
        <v>12</v>
      </c>
      <c r="EQ247" s="423" t="s">
        <v>12</v>
      </c>
      <c r="ER247" s="423" t="s">
        <v>12</v>
      </c>
      <c r="ES247" s="438" t="s">
        <v>12</v>
      </c>
      <c r="ET247" s="438" t="s">
        <v>12</v>
      </c>
      <c r="EU247" s="438" t="s">
        <v>12</v>
      </c>
      <c r="EV247" s="438" t="s">
        <v>12</v>
      </c>
      <c r="EW247" s="438" t="s">
        <v>12</v>
      </c>
      <c r="EX247" s="438" t="s">
        <v>12</v>
      </c>
      <c r="EY247" s="438" t="s">
        <v>12</v>
      </c>
      <c r="EZ247" s="438" t="s">
        <v>12</v>
      </c>
      <c r="FA247" s="438" t="s">
        <v>12</v>
      </c>
      <c r="FB247" s="438" t="s">
        <v>12</v>
      </c>
      <c r="FC247" s="346">
        <v>0</v>
      </c>
      <c r="FD247" s="346">
        <v>0</v>
      </c>
      <c r="FE247" s="346">
        <v>0</v>
      </c>
      <c r="FF247" s="346">
        <v>0</v>
      </c>
      <c r="FG247" s="346">
        <v>0</v>
      </c>
      <c r="FH247" s="346">
        <v>0</v>
      </c>
      <c r="FI247" s="346">
        <v>0</v>
      </c>
      <c r="FJ247" s="346">
        <v>0</v>
      </c>
      <c r="FK247" s="346">
        <v>0</v>
      </c>
      <c r="FL247" s="346">
        <v>0</v>
      </c>
    </row>
    <row r="248" spans="1:168" x14ac:dyDescent="0.25">
      <c r="A248" s="238">
        <v>9</v>
      </c>
      <c r="B248" s="238" t="s">
        <v>772</v>
      </c>
      <c r="C248" s="241" t="s">
        <v>11</v>
      </c>
      <c r="D248" s="241" t="s">
        <v>11</v>
      </c>
      <c r="E248" s="241" t="s">
        <v>11</v>
      </c>
      <c r="F248" s="241" t="s">
        <v>11</v>
      </c>
      <c r="G248" s="241" t="s">
        <v>11</v>
      </c>
      <c r="H248" s="241" t="s">
        <v>11</v>
      </c>
      <c r="I248" s="241" t="s">
        <v>11</v>
      </c>
      <c r="J248" s="241" t="s">
        <v>11</v>
      </c>
      <c r="K248" s="241" t="s">
        <v>11</v>
      </c>
      <c r="L248" s="241" t="s">
        <v>11</v>
      </c>
      <c r="N248">
        <v>33</v>
      </c>
      <c r="O248" t="s">
        <v>52</v>
      </c>
      <c r="P248" t="s">
        <v>52</v>
      </c>
      <c r="Q248" t="s">
        <v>18</v>
      </c>
      <c r="R248" s="2" t="s">
        <v>12</v>
      </c>
      <c r="S248" s="2" t="s">
        <v>12</v>
      </c>
      <c r="T248" s="2" t="s">
        <v>12</v>
      </c>
      <c r="U248" s="2" t="s">
        <v>12</v>
      </c>
      <c r="V248" s="2" t="s">
        <v>12</v>
      </c>
      <c r="W248" s="2" t="s">
        <v>12</v>
      </c>
      <c r="X248" s="2" t="s">
        <v>12</v>
      </c>
      <c r="Y248" s="2" t="s">
        <v>12</v>
      </c>
      <c r="Z248" s="2" t="s">
        <v>12</v>
      </c>
      <c r="AA248" s="2" t="s">
        <v>12</v>
      </c>
      <c r="AB248" s="2" t="s">
        <v>12</v>
      </c>
      <c r="AC248" s="2" t="s">
        <v>12</v>
      </c>
      <c r="AD248" t="s">
        <v>12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t="s">
        <v>12</v>
      </c>
      <c r="AR248" t="s">
        <v>12</v>
      </c>
      <c r="AS248" t="s">
        <v>12</v>
      </c>
      <c r="AT248" t="s">
        <v>12</v>
      </c>
      <c r="AU248" t="s">
        <v>12</v>
      </c>
      <c r="AV248" t="s">
        <v>12</v>
      </c>
      <c r="AW248" t="s">
        <v>12</v>
      </c>
      <c r="AX248" t="s">
        <v>12</v>
      </c>
      <c r="AY248" t="s">
        <v>12</v>
      </c>
      <c r="AZ248" t="s">
        <v>12</v>
      </c>
      <c r="BA248" t="s">
        <v>12</v>
      </c>
      <c r="BB248" t="s">
        <v>12</v>
      </c>
      <c r="BC248" t="s">
        <v>12</v>
      </c>
      <c r="BD248" t="s">
        <v>12</v>
      </c>
      <c r="BF248" s="313" t="s">
        <v>11</v>
      </c>
      <c r="BG248" s="313" t="s">
        <v>11</v>
      </c>
      <c r="BH248" t="s">
        <v>12</v>
      </c>
      <c r="BI248" t="s">
        <v>12</v>
      </c>
      <c r="BJ248" t="s">
        <v>12</v>
      </c>
      <c r="BK248" t="s">
        <v>12</v>
      </c>
      <c r="BL248" t="s">
        <v>12</v>
      </c>
      <c r="BM248" t="s">
        <v>12</v>
      </c>
      <c r="BN248" t="s">
        <v>12</v>
      </c>
      <c r="BO248" t="s">
        <v>12</v>
      </c>
      <c r="BP248" t="s">
        <v>12</v>
      </c>
      <c r="BQ248" t="s">
        <v>12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 s="9" t="s">
        <v>12</v>
      </c>
      <c r="CF248" s="28" t="s">
        <v>12</v>
      </c>
      <c r="CG248" s="28" t="s">
        <v>12</v>
      </c>
      <c r="CH248" s="28" t="s">
        <v>12</v>
      </c>
      <c r="CI248" s="28" t="s">
        <v>12</v>
      </c>
      <c r="CJ248" s="28" t="s">
        <v>12</v>
      </c>
      <c r="CK248" s="28" t="s">
        <v>12</v>
      </c>
      <c r="CL248" s="28" t="s">
        <v>12</v>
      </c>
      <c r="CM248" s="28" t="s">
        <v>12</v>
      </c>
      <c r="CN248" s="28" t="s">
        <v>12</v>
      </c>
      <c r="CO248" s="28" t="s">
        <v>12</v>
      </c>
      <c r="CP248" s="28" t="s">
        <v>12</v>
      </c>
      <c r="CQ248" s="28" t="s">
        <v>12</v>
      </c>
      <c r="CR248" s="28" t="s">
        <v>12</v>
      </c>
      <c r="CS248" s="28" t="s">
        <v>12</v>
      </c>
      <c r="CT248" s="28" t="s">
        <v>12</v>
      </c>
      <c r="CU248" s="28" t="s">
        <v>12</v>
      </c>
      <c r="CV248" s="28" t="s">
        <v>12</v>
      </c>
      <c r="CW248" s="28" t="s">
        <v>12</v>
      </c>
      <c r="CX248" s="28" t="s">
        <v>12</v>
      </c>
      <c r="CY248" s="28" t="s">
        <v>12</v>
      </c>
      <c r="CZ248" s="28" t="s">
        <v>12</v>
      </c>
      <c r="DA248" s="28" t="s">
        <v>12</v>
      </c>
      <c r="DB248" s="313">
        <v>33</v>
      </c>
      <c r="DC248" s="313" t="s">
        <v>52</v>
      </c>
      <c r="DD248" s="386" t="s">
        <v>12</v>
      </c>
      <c r="DE248" s="386" t="s">
        <v>12</v>
      </c>
      <c r="DF248" s="386" t="s">
        <v>12</v>
      </c>
      <c r="DG248" s="386" t="s">
        <v>12</v>
      </c>
      <c r="DH248" s="386" t="s">
        <v>12</v>
      </c>
      <c r="DI248" s="386" t="s">
        <v>12</v>
      </c>
      <c r="DJ248" s="386" t="s">
        <v>12</v>
      </c>
      <c r="DK248" s="386" t="s">
        <v>12</v>
      </c>
      <c r="DL248" s="386" t="s">
        <v>12</v>
      </c>
      <c r="DM248" s="386" t="s">
        <v>12</v>
      </c>
      <c r="DN248" s="7" t="s">
        <v>12</v>
      </c>
      <c r="DO248" s="7" t="s">
        <v>12</v>
      </c>
      <c r="DP248" s="7" t="s">
        <v>12</v>
      </c>
      <c r="DQ248" s="7" t="s">
        <v>12</v>
      </c>
      <c r="DR248" s="7" t="s">
        <v>12</v>
      </c>
      <c r="DS248" s="7" t="s">
        <v>12</v>
      </c>
      <c r="DT248" s="7" t="s">
        <v>12</v>
      </c>
      <c r="DU248" s="7" t="s">
        <v>12</v>
      </c>
      <c r="DV248" s="7" t="s">
        <v>12</v>
      </c>
      <c r="DW248" s="7" t="s">
        <v>12</v>
      </c>
      <c r="DY248" s="9">
        <v>17388437</v>
      </c>
      <c r="EI248" s="423" t="s">
        <v>12</v>
      </c>
      <c r="EJ248" s="423" t="s">
        <v>12</v>
      </c>
      <c r="EK248" s="423" t="s">
        <v>12</v>
      </c>
      <c r="EL248" s="423" t="s">
        <v>12</v>
      </c>
      <c r="EM248" s="423" t="s">
        <v>12</v>
      </c>
      <c r="EN248" s="423" t="s">
        <v>12</v>
      </c>
      <c r="EO248" s="423" t="s">
        <v>12</v>
      </c>
      <c r="EP248" s="423" t="s">
        <v>12</v>
      </c>
      <c r="EQ248" s="423" t="s">
        <v>12</v>
      </c>
      <c r="ER248" s="423" t="s">
        <v>12</v>
      </c>
      <c r="ES248" s="438" t="s">
        <v>12</v>
      </c>
      <c r="ET248" s="438" t="s">
        <v>12</v>
      </c>
      <c r="EU248" s="438" t="s">
        <v>12</v>
      </c>
      <c r="EV248" s="438" t="s">
        <v>12</v>
      </c>
      <c r="EW248" s="438" t="s">
        <v>12</v>
      </c>
      <c r="EX248" s="438" t="s">
        <v>12</v>
      </c>
      <c r="EY248" s="438" t="s">
        <v>12</v>
      </c>
      <c r="EZ248" s="438" t="s">
        <v>12</v>
      </c>
      <c r="FA248" s="438" t="s">
        <v>12</v>
      </c>
      <c r="FB248" s="438" t="s">
        <v>12</v>
      </c>
      <c r="FC248" s="346">
        <v>0</v>
      </c>
      <c r="FD248" s="346">
        <v>0</v>
      </c>
      <c r="FE248" s="346">
        <v>0</v>
      </c>
      <c r="FF248" s="346">
        <v>0</v>
      </c>
      <c r="FG248" s="346">
        <v>0</v>
      </c>
      <c r="FH248" s="346">
        <v>0</v>
      </c>
      <c r="FI248" s="346">
        <v>0</v>
      </c>
      <c r="FJ248" s="346">
        <v>0</v>
      </c>
      <c r="FK248" s="346">
        <v>0</v>
      </c>
      <c r="FL248" s="346">
        <v>0</v>
      </c>
    </row>
    <row r="249" spans="1:168" x14ac:dyDescent="0.25">
      <c r="A249" s="238">
        <v>10</v>
      </c>
      <c r="B249" s="238" t="s">
        <v>773</v>
      </c>
      <c r="C249" s="241" t="s">
        <v>11</v>
      </c>
      <c r="D249" s="241" t="s">
        <v>11</v>
      </c>
      <c r="E249" s="241" t="s">
        <v>11</v>
      </c>
      <c r="F249" s="241" t="s">
        <v>11</v>
      </c>
      <c r="G249" s="241" t="s">
        <v>11</v>
      </c>
      <c r="H249" s="241" t="s">
        <v>11</v>
      </c>
      <c r="I249" s="241" t="s">
        <v>11</v>
      </c>
      <c r="J249" s="241" t="s">
        <v>11</v>
      </c>
      <c r="K249" s="241" t="s">
        <v>11</v>
      </c>
      <c r="L249" s="241" t="s">
        <v>11</v>
      </c>
      <c r="N249">
        <v>34</v>
      </c>
      <c r="O249" t="s">
        <v>53</v>
      </c>
      <c r="P249" t="s">
        <v>53</v>
      </c>
      <c r="Q249" t="s">
        <v>25</v>
      </c>
      <c r="R249" s="2" t="s">
        <v>12</v>
      </c>
      <c r="S249" s="2">
        <v>6984322</v>
      </c>
      <c r="T249" s="2" t="s">
        <v>12</v>
      </c>
      <c r="U249" s="2" t="s">
        <v>12</v>
      </c>
      <c r="V249" s="2" t="s">
        <v>12</v>
      </c>
      <c r="W249" s="2" t="s">
        <v>12</v>
      </c>
      <c r="X249" s="2" t="s">
        <v>12</v>
      </c>
      <c r="Y249" s="2" t="s">
        <v>12</v>
      </c>
      <c r="Z249" s="2" t="s">
        <v>12</v>
      </c>
      <c r="AA249" s="2" t="s">
        <v>12</v>
      </c>
      <c r="AB249" s="2" t="s">
        <v>12</v>
      </c>
      <c r="AC249" s="2" t="s">
        <v>12</v>
      </c>
      <c r="AD249">
        <v>2012</v>
      </c>
      <c r="AE249" s="2">
        <v>0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t="s">
        <v>12</v>
      </c>
      <c r="AR249" t="s">
        <v>12</v>
      </c>
      <c r="AS249">
        <v>2012</v>
      </c>
      <c r="AT249" t="s">
        <v>12</v>
      </c>
      <c r="AU249" t="s">
        <v>12</v>
      </c>
      <c r="AV249" t="s">
        <v>12</v>
      </c>
      <c r="AW249" t="s">
        <v>12</v>
      </c>
      <c r="AX249" t="s">
        <v>12</v>
      </c>
      <c r="AY249" t="s">
        <v>12</v>
      </c>
      <c r="AZ249" t="s">
        <v>12</v>
      </c>
      <c r="BA249">
        <v>2012</v>
      </c>
      <c r="BB249">
        <v>2</v>
      </c>
      <c r="BC249" t="s">
        <v>53</v>
      </c>
      <c r="BD249">
        <v>2012</v>
      </c>
      <c r="BF249" s="313" t="s">
        <v>11</v>
      </c>
      <c r="BG249" s="313" t="s">
        <v>11</v>
      </c>
      <c r="BH249" t="s">
        <v>12</v>
      </c>
      <c r="BI249" t="s">
        <v>12</v>
      </c>
      <c r="BJ249" t="s">
        <v>12</v>
      </c>
      <c r="BK249" t="s">
        <v>12</v>
      </c>
      <c r="BL249" t="s">
        <v>12</v>
      </c>
      <c r="BM249" t="s">
        <v>12</v>
      </c>
      <c r="BN249" t="s">
        <v>12</v>
      </c>
      <c r="BO249" t="s">
        <v>12</v>
      </c>
      <c r="BP249" t="s">
        <v>12</v>
      </c>
      <c r="BQ249" t="s">
        <v>12</v>
      </c>
      <c r="BS249">
        <v>0</v>
      </c>
      <c r="BT249">
        <v>53046231.355448335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 s="9" t="s">
        <v>12</v>
      </c>
      <c r="CF249" s="28" t="s">
        <v>12</v>
      </c>
      <c r="CG249" s="28" t="s">
        <v>12</v>
      </c>
      <c r="CH249" s="28">
        <v>2.1388328933682632</v>
      </c>
      <c r="CI249" s="28" t="s">
        <v>12</v>
      </c>
      <c r="CJ249" s="28" t="s">
        <v>12</v>
      </c>
      <c r="CK249" s="28" t="s">
        <v>12</v>
      </c>
      <c r="CL249" s="28" t="s">
        <v>12</v>
      </c>
      <c r="CM249" s="28" t="s">
        <v>12</v>
      </c>
      <c r="CN249" s="28" t="s">
        <v>12</v>
      </c>
      <c r="CO249" s="28" t="s">
        <v>12</v>
      </c>
      <c r="CP249" s="28">
        <v>2.1388328933682632</v>
      </c>
      <c r="CQ249" s="28" t="s">
        <v>12</v>
      </c>
      <c r="CR249" s="28" t="s">
        <v>12</v>
      </c>
      <c r="CS249" s="28">
        <v>1.6041246700261973</v>
      </c>
      <c r="CT249" s="28" t="s">
        <v>12</v>
      </c>
      <c r="CU249" s="28" t="s">
        <v>12</v>
      </c>
      <c r="CV249" s="28" t="s">
        <v>12</v>
      </c>
      <c r="CW249" s="28" t="s">
        <v>12</v>
      </c>
      <c r="CX249" s="28" t="s">
        <v>12</v>
      </c>
      <c r="CY249" s="28" t="s">
        <v>12</v>
      </c>
      <c r="CZ249" s="28" t="s">
        <v>12</v>
      </c>
      <c r="DA249" s="28">
        <v>1.6041246700261973</v>
      </c>
      <c r="DB249" s="313">
        <v>34</v>
      </c>
      <c r="DC249" s="313" t="s">
        <v>53</v>
      </c>
      <c r="DD249" s="386" t="s">
        <v>12</v>
      </c>
      <c r="DE249" s="386" t="s">
        <v>12</v>
      </c>
      <c r="DF249" s="386" t="s">
        <v>12</v>
      </c>
      <c r="DG249" s="386" t="s">
        <v>12</v>
      </c>
      <c r="DH249" s="386" t="s">
        <v>12</v>
      </c>
      <c r="DI249" s="386" t="s">
        <v>12</v>
      </c>
      <c r="DJ249" s="386" t="s">
        <v>12</v>
      </c>
      <c r="DK249" s="386" t="s">
        <v>12</v>
      </c>
      <c r="DL249" s="386" t="s">
        <v>12</v>
      </c>
      <c r="DM249" s="386" t="s">
        <v>12</v>
      </c>
      <c r="DN249" s="7" t="s">
        <v>12</v>
      </c>
      <c r="DO249" s="7" t="s">
        <v>12</v>
      </c>
      <c r="DP249" s="7" t="s">
        <v>12</v>
      </c>
      <c r="DQ249" s="7" t="s">
        <v>12</v>
      </c>
      <c r="DR249" s="7" t="s">
        <v>12</v>
      </c>
      <c r="DS249" s="7" t="s">
        <v>12</v>
      </c>
      <c r="DT249" s="7" t="s">
        <v>12</v>
      </c>
      <c r="DU249" s="7" t="s">
        <v>12</v>
      </c>
      <c r="DV249" s="7" t="s">
        <v>12</v>
      </c>
      <c r="DW249" s="7" t="s">
        <v>12</v>
      </c>
      <c r="DY249" s="9">
        <v>1350695000</v>
      </c>
      <c r="EI249" s="423" t="s">
        <v>12</v>
      </c>
      <c r="EJ249" s="423" t="s">
        <v>12</v>
      </c>
      <c r="EK249" s="423">
        <v>1</v>
      </c>
      <c r="EL249" s="423" t="s">
        <v>12</v>
      </c>
      <c r="EM249" s="423" t="s">
        <v>12</v>
      </c>
      <c r="EN249" s="423" t="s">
        <v>12</v>
      </c>
      <c r="EO249" s="423" t="s">
        <v>12</v>
      </c>
      <c r="EP249" s="423" t="s">
        <v>12</v>
      </c>
      <c r="EQ249" s="423" t="s">
        <v>12</v>
      </c>
      <c r="ER249" s="423" t="s">
        <v>12</v>
      </c>
      <c r="ES249" s="438">
        <v>1</v>
      </c>
      <c r="ET249" s="438">
        <v>1</v>
      </c>
      <c r="EU249" s="438">
        <v>6984322</v>
      </c>
      <c r="EV249" s="438">
        <v>1</v>
      </c>
      <c r="EW249" s="438">
        <v>1</v>
      </c>
      <c r="EX249" s="438">
        <v>1</v>
      </c>
      <c r="EY249" s="438">
        <v>1</v>
      </c>
      <c r="EZ249" s="438">
        <v>1</v>
      </c>
      <c r="FA249" s="438">
        <v>1</v>
      </c>
      <c r="FB249" s="438" t="s">
        <v>12</v>
      </c>
      <c r="FC249" s="346">
        <v>0</v>
      </c>
      <c r="FD249" s="346">
        <v>8589671.5105732642</v>
      </c>
      <c r="FE249" s="346">
        <v>0</v>
      </c>
      <c r="FF249" s="346">
        <v>0</v>
      </c>
      <c r="FG249" s="346">
        <v>0</v>
      </c>
      <c r="FH249" s="346">
        <v>0</v>
      </c>
      <c r="FI249" s="346">
        <v>0</v>
      </c>
      <c r="FJ249" s="346">
        <v>0</v>
      </c>
      <c r="FK249" s="346">
        <v>0</v>
      </c>
      <c r="FL249" s="346">
        <v>0</v>
      </c>
    </row>
    <row r="250" spans="1:168" x14ac:dyDescent="0.25">
      <c r="N250">
        <v>35</v>
      </c>
      <c r="O250" t="s">
        <v>54</v>
      </c>
      <c r="P250" t="s">
        <v>54</v>
      </c>
      <c r="Q250" t="s">
        <v>18</v>
      </c>
      <c r="R250" s="2" t="s">
        <v>12</v>
      </c>
      <c r="S250" s="2" t="s">
        <v>12</v>
      </c>
      <c r="T250" s="2" t="s">
        <v>12</v>
      </c>
      <c r="U250" s="2" t="s">
        <v>12</v>
      </c>
      <c r="V250" s="2" t="s">
        <v>12</v>
      </c>
      <c r="W250" s="2" t="s">
        <v>12</v>
      </c>
      <c r="X250" s="2" t="s">
        <v>12</v>
      </c>
      <c r="Y250" s="2" t="s">
        <v>12</v>
      </c>
      <c r="Z250" s="2" t="s">
        <v>12</v>
      </c>
      <c r="AA250" s="2" t="s">
        <v>12</v>
      </c>
      <c r="AB250" s="2" t="s">
        <v>12</v>
      </c>
      <c r="AC250" s="2" t="s">
        <v>12</v>
      </c>
      <c r="AD250" t="s">
        <v>12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t="s">
        <v>12</v>
      </c>
      <c r="AR250" t="s">
        <v>12</v>
      </c>
      <c r="AS250" t="s">
        <v>12</v>
      </c>
      <c r="AT250" t="s">
        <v>12</v>
      </c>
      <c r="AU250" t="s">
        <v>12</v>
      </c>
      <c r="AV250" t="s">
        <v>12</v>
      </c>
      <c r="AW250" t="s">
        <v>12</v>
      </c>
      <c r="AX250" t="s">
        <v>12</v>
      </c>
      <c r="AY250" t="s">
        <v>12</v>
      </c>
      <c r="AZ250" t="s">
        <v>12</v>
      </c>
      <c r="BA250" t="s">
        <v>12</v>
      </c>
      <c r="BB250" t="s">
        <v>12</v>
      </c>
      <c r="BC250" t="s">
        <v>12</v>
      </c>
      <c r="BD250" t="s">
        <v>12</v>
      </c>
      <c r="BF250" s="313" t="s">
        <v>11</v>
      </c>
      <c r="BG250" s="313" t="s">
        <v>11</v>
      </c>
      <c r="BH250" t="s">
        <v>12</v>
      </c>
      <c r="BI250" t="s">
        <v>12</v>
      </c>
      <c r="BJ250" t="s">
        <v>12</v>
      </c>
      <c r="BK250" t="s">
        <v>12</v>
      </c>
      <c r="BL250" t="s">
        <v>12</v>
      </c>
      <c r="BM250" t="s">
        <v>12</v>
      </c>
      <c r="BN250" t="s">
        <v>12</v>
      </c>
      <c r="BO250" t="s">
        <v>12</v>
      </c>
      <c r="BP250" t="s">
        <v>12</v>
      </c>
      <c r="BQ250" t="s">
        <v>12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 s="9" t="s">
        <v>12</v>
      </c>
      <c r="CF250" s="28" t="s">
        <v>12</v>
      </c>
      <c r="CG250" s="28" t="s">
        <v>12</v>
      </c>
      <c r="CH250" s="28" t="s">
        <v>12</v>
      </c>
      <c r="CI250" s="28" t="s">
        <v>12</v>
      </c>
      <c r="CJ250" s="28" t="s">
        <v>12</v>
      </c>
      <c r="CK250" s="28" t="s">
        <v>12</v>
      </c>
      <c r="CL250" s="28" t="s">
        <v>12</v>
      </c>
      <c r="CM250" s="28" t="s">
        <v>12</v>
      </c>
      <c r="CN250" s="28" t="s">
        <v>12</v>
      </c>
      <c r="CO250" s="28" t="s">
        <v>12</v>
      </c>
      <c r="CP250" s="28" t="s">
        <v>12</v>
      </c>
      <c r="CQ250" s="28" t="s">
        <v>12</v>
      </c>
      <c r="CR250" s="28" t="s">
        <v>12</v>
      </c>
      <c r="CS250" s="28" t="s">
        <v>12</v>
      </c>
      <c r="CT250" s="28" t="s">
        <v>12</v>
      </c>
      <c r="CU250" s="28" t="s">
        <v>12</v>
      </c>
      <c r="CV250" s="28" t="s">
        <v>12</v>
      </c>
      <c r="CW250" s="28" t="s">
        <v>12</v>
      </c>
      <c r="CX250" s="28" t="s">
        <v>12</v>
      </c>
      <c r="CY250" s="28" t="s">
        <v>12</v>
      </c>
      <c r="CZ250" s="28" t="s">
        <v>12</v>
      </c>
      <c r="DA250" s="28" t="s">
        <v>12</v>
      </c>
      <c r="DB250" s="313">
        <v>35</v>
      </c>
      <c r="DC250" s="313" t="s">
        <v>54</v>
      </c>
      <c r="DD250" s="386" t="s">
        <v>12</v>
      </c>
      <c r="DE250" s="386" t="s">
        <v>12</v>
      </c>
      <c r="DF250" s="386" t="s">
        <v>12</v>
      </c>
      <c r="DG250" s="386" t="s">
        <v>12</v>
      </c>
      <c r="DH250" s="386" t="s">
        <v>12</v>
      </c>
      <c r="DI250" s="386" t="s">
        <v>12</v>
      </c>
      <c r="DJ250" s="386" t="s">
        <v>12</v>
      </c>
      <c r="DK250" s="386" t="s">
        <v>12</v>
      </c>
      <c r="DL250" s="386" t="s">
        <v>12</v>
      </c>
      <c r="DM250" s="386" t="s">
        <v>12</v>
      </c>
      <c r="DN250" s="7" t="s">
        <v>12</v>
      </c>
      <c r="DO250" s="7" t="s">
        <v>12</v>
      </c>
      <c r="DP250" s="7" t="s">
        <v>12</v>
      </c>
      <c r="DQ250" s="7" t="s">
        <v>12</v>
      </c>
      <c r="DR250" s="7" t="s">
        <v>12</v>
      </c>
      <c r="DS250" s="7" t="s">
        <v>12</v>
      </c>
      <c r="DT250" s="7" t="s">
        <v>12</v>
      </c>
      <c r="DU250" s="7" t="s">
        <v>12</v>
      </c>
      <c r="DV250" s="7" t="s">
        <v>12</v>
      </c>
      <c r="DW250" s="7" t="s">
        <v>12</v>
      </c>
      <c r="DY250" s="9">
        <v>46881018</v>
      </c>
      <c r="EI250" s="423" t="s">
        <v>12</v>
      </c>
      <c r="EJ250" s="423" t="s">
        <v>12</v>
      </c>
      <c r="EK250" s="423" t="s">
        <v>12</v>
      </c>
      <c r="EL250" s="423" t="s">
        <v>12</v>
      </c>
      <c r="EM250" s="423" t="s">
        <v>12</v>
      </c>
      <c r="EN250" s="423" t="s">
        <v>12</v>
      </c>
      <c r="EO250" s="423" t="s">
        <v>12</v>
      </c>
      <c r="EP250" s="423" t="s">
        <v>12</v>
      </c>
      <c r="EQ250" s="423" t="s">
        <v>12</v>
      </c>
      <c r="ER250" s="423" t="s">
        <v>12</v>
      </c>
      <c r="ES250" s="438" t="s">
        <v>12</v>
      </c>
      <c r="ET250" s="438" t="s">
        <v>12</v>
      </c>
      <c r="EU250" s="438" t="s">
        <v>12</v>
      </c>
      <c r="EV250" s="438" t="s">
        <v>12</v>
      </c>
      <c r="EW250" s="438" t="s">
        <v>12</v>
      </c>
      <c r="EX250" s="438" t="s">
        <v>12</v>
      </c>
      <c r="EY250" s="438" t="s">
        <v>12</v>
      </c>
      <c r="EZ250" s="438" t="s">
        <v>12</v>
      </c>
      <c r="FA250" s="438" t="s">
        <v>12</v>
      </c>
      <c r="FB250" s="438" t="s">
        <v>12</v>
      </c>
      <c r="FC250" s="346">
        <v>0</v>
      </c>
      <c r="FD250" s="346">
        <v>0</v>
      </c>
      <c r="FE250" s="346">
        <v>0</v>
      </c>
      <c r="FF250" s="346">
        <v>0</v>
      </c>
      <c r="FG250" s="346">
        <v>0</v>
      </c>
      <c r="FH250" s="346">
        <v>0</v>
      </c>
      <c r="FI250" s="346">
        <v>0</v>
      </c>
      <c r="FJ250" s="346">
        <v>0</v>
      </c>
      <c r="FK250" s="346">
        <v>0</v>
      </c>
      <c r="FL250" s="346">
        <v>0</v>
      </c>
    </row>
    <row r="251" spans="1:168" ht="30" x14ac:dyDescent="0.25">
      <c r="A251" s="14" t="s">
        <v>776</v>
      </c>
      <c r="B251" s="14"/>
      <c r="C251" s="14" t="s">
        <v>594</v>
      </c>
      <c r="D251" s="14" t="s">
        <v>595</v>
      </c>
      <c r="E251" s="14" t="s">
        <v>596</v>
      </c>
      <c r="F251" s="14" t="s">
        <v>597</v>
      </c>
      <c r="G251" s="14" t="s">
        <v>598</v>
      </c>
      <c r="H251" s="14" t="s">
        <v>599</v>
      </c>
      <c r="I251" s="14" t="s">
        <v>600</v>
      </c>
      <c r="J251" s="14" t="s">
        <v>601</v>
      </c>
      <c r="K251" s="14" t="s">
        <v>602</v>
      </c>
      <c r="L251" s="14" t="s">
        <v>603</v>
      </c>
      <c r="N251">
        <v>36</v>
      </c>
      <c r="O251" t="s">
        <v>55</v>
      </c>
      <c r="P251" t="s">
        <v>55</v>
      </c>
      <c r="Q251" t="s">
        <v>14</v>
      </c>
      <c r="R251" s="2" t="s">
        <v>12</v>
      </c>
      <c r="S251" s="2" t="s">
        <v>12</v>
      </c>
      <c r="T251" s="2" t="s">
        <v>12</v>
      </c>
      <c r="U251" s="2" t="s">
        <v>12</v>
      </c>
      <c r="V251" s="2" t="s">
        <v>12</v>
      </c>
      <c r="W251" s="2" t="s">
        <v>12</v>
      </c>
      <c r="X251" s="2" t="s">
        <v>12</v>
      </c>
      <c r="Y251" s="2" t="s">
        <v>12</v>
      </c>
      <c r="Z251" s="2" t="s">
        <v>12</v>
      </c>
      <c r="AA251" s="2" t="s">
        <v>12</v>
      </c>
      <c r="AB251" s="2" t="s">
        <v>12</v>
      </c>
      <c r="AC251" s="2" t="s">
        <v>12</v>
      </c>
      <c r="AD251" t="s">
        <v>12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t="s">
        <v>12</v>
      </c>
      <c r="AR251" t="s">
        <v>12</v>
      </c>
      <c r="AS251" t="s">
        <v>12</v>
      </c>
      <c r="AT251" t="s">
        <v>12</v>
      </c>
      <c r="AU251" t="s">
        <v>12</v>
      </c>
      <c r="AV251" t="s">
        <v>12</v>
      </c>
      <c r="AW251" t="s">
        <v>12</v>
      </c>
      <c r="AX251" t="s">
        <v>12</v>
      </c>
      <c r="AY251" t="s">
        <v>12</v>
      </c>
      <c r="AZ251" t="s">
        <v>12</v>
      </c>
      <c r="BA251" t="s">
        <v>12</v>
      </c>
      <c r="BB251" t="s">
        <v>12</v>
      </c>
      <c r="BC251" t="s">
        <v>12</v>
      </c>
      <c r="BD251" t="s">
        <v>12</v>
      </c>
      <c r="BF251" s="313" t="s">
        <v>11</v>
      </c>
      <c r="BG251" s="313" t="s">
        <v>11</v>
      </c>
      <c r="BH251" t="s">
        <v>12</v>
      </c>
      <c r="BI251" t="s">
        <v>12</v>
      </c>
      <c r="BJ251" t="s">
        <v>12</v>
      </c>
      <c r="BK251" t="s">
        <v>12</v>
      </c>
      <c r="BL251" t="s">
        <v>12</v>
      </c>
      <c r="BM251" t="s">
        <v>12</v>
      </c>
      <c r="BN251" t="s">
        <v>12</v>
      </c>
      <c r="BO251" t="s">
        <v>12</v>
      </c>
      <c r="BP251" t="s">
        <v>12</v>
      </c>
      <c r="BQ251" t="s">
        <v>12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 s="9" t="s">
        <v>12</v>
      </c>
      <c r="CF251" s="28" t="s">
        <v>12</v>
      </c>
      <c r="CG251" s="28" t="s">
        <v>12</v>
      </c>
      <c r="CH251" s="28" t="s">
        <v>12</v>
      </c>
      <c r="CI251" s="28" t="s">
        <v>12</v>
      </c>
      <c r="CJ251" s="28" t="s">
        <v>12</v>
      </c>
      <c r="CK251" s="28" t="s">
        <v>12</v>
      </c>
      <c r="CL251" s="28" t="s">
        <v>12</v>
      </c>
      <c r="CM251" s="28" t="s">
        <v>12</v>
      </c>
      <c r="CN251" s="28" t="s">
        <v>12</v>
      </c>
      <c r="CO251" s="28" t="s">
        <v>12</v>
      </c>
      <c r="CP251" s="28" t="s">
        <v>12</v>
      </c>
      <c r="CQ251" s="28" t="s">
        <v>12</v>
      </c>
      <c r="CR251" s="28" t="s">
        <v>12</v>
      </c>
      <c r="CS251" s="28" t="s">
        <v>12</v>
      </c>
      <c r="CT251" s="28" t="s">
        <v>12</v>
      </c>
      <c r="CU251" s="28" t="s">
        <v>12</v>
      </c>
      <c r="CV251" s="28" t="s">
        <v>12</v>
      </c>
      <c r="CW251" s="28" t="s">
        <v>12</v>
      </c>
      <c r="CX251" s="28" t="s">
        <v>12</v>
      </c>
      <c r="CY251" s="28" t="s">
        <v>12</v>
      </c>
      <c r="CZ251" s="28" t="s">
        <v>12</v>
      </c>
      <c r="DA251" s="28" t="s">
        <v>12</v>
      </c>
      <c r="DB251" s="313">
        <v>36</v>
      </c>
      <c r="DC251" s="313" t="s">
        <v>55</v>
      </c>
      <c r="DD251" s="386" t="s">
        <v>12</v>
      </c>
      <c r="DE251" s="386" t="s">
        <v>12</v>
      </c>
      <c r="DF251" s="386" t="s">
        <v>12</v>
      </c>
      <c r="DG251" s="386" t="s">
        <v>12</v>
      </c>
      <c r="DH251" s="386" t="s">
        <v>12</v>
      </c>
      <c r="DI251" s="386" t="s">
        <v>12</v>
      </c>
      <c r="DJ251" s="386" t="s">
        <v>12</v>
      </c>
      <c r="DK251" s="386" t="s">
        <v>12</v>
      </c>
      <c r="DL251" s="386" t="s">
        <v>12</v>
      </c>
      <c r="DM251" s="386" t="s">
        <v>12</v>
      </c>
      <c r="DN251" s="7" t="s">
        <v>12</v>
      </c>
      <c r="DO251" s="7" t="s">
        <v>12</v>
      </c>
      <c r="DP251" s="7" t="s">
        <v>12</v>
      </c>
      <c r="DQ251" s="7" t="s">
        <v>12</v>
      </c>
      <c r="DR251" s="7" t="s">
        <v>12</v>
      </c>
      <c r="DS251" s="7" t="s">
        <v>12</v>
      </c>
      <c r="DT251" s="7" t="s">
        <v>12</v>
      </c>
      <c r="DU251" s="7" t="s">
        <v>12</v>
      </c>
      <c r="DV251" s="7" t="s">
        <v>12</v>
      </c>
      <c r="DW251" s="7" t="s">
        <v>12</v>
      </c>
      <c r="DY251" s="9">
        <v>733661</v>
      </c>
      <c r="EI251" s="423" t="s">
        <v>12</v>
      </c>
      <c r="EJ251" s="423" t="s">
        <v>12</v>
      </c>
      <c r="EK251" s="423" t="s">
        <v>12</v>
      </c>
      <c r="EL251" s="423" t="s">
        <v>12</v>
      </c>
      <c r="EM251" s="423" t="s">
        <v>12</v>
      </c>
      <c r="EN251" s="423" t="s">
        <v>12</v>
      </c>
      <c r="EO251" s="423" t="s">
        <v>12</v>
      </c>
      <c r="EP251" s="423" t="s">
        <v>12</v>
      </c>
      <c r="EQ251" s="423" t="s">
        <v>12</v>
      </c>
      <c r="ER251" s="423" t="s">
        <v>12</v>
      </c>
      <c r="ES251" s="438" t="s">
        <v>12</v>
      </c>
      <c r="ET251" s="438" t="s">
        <v>12</v>
      </c>
      <c r="EU251" s="438" t="s">
        <v>12</v>
      </c>
      <c r="EV251" s="438" t="s">
        <v>12</v>
      </c>
      <c r="EW251" s="438" t="s">
        <v>12</v>
      </c>
      <c r="EX251" s="438" t="s">
        <v>12</v>
      </c>
      <c r="EY251" s="438" t="s">
        <v>12</v>
      </c>
      <c r="EZ251" s="438" t="s">
        <v>12</v>
      </c>
      <c r="FA251" s="438" t="s">
        <v>12</v>
      </c>
      <c r="FB251" s="438" t="s">
        <v>12</v>
      </c>
      <c r="FC251" s="346">
        <v>0</v>
      </c>
      <c r="FD251" s="346">
        <v>0</v>
      </c>
      <c r="FE251" s="346">
        <v>0</v>
      </c>
      <c r="FF251" s="346">
        <v>0</v>
      </c>
      <c r="FG251" s="346">
        <v>0</v>
      </c>
      <c r="FH251" s="346">
        <v>0</v>
      </c>
      <c r="FI251" s="346">
        <v>0</v>
      </c>
      <c r="FJ251" s="346">
        <v>0</v>
      </c>
      <c r="FK251" s="346">
        <v>0</v>
      </c>
      <c r="FL251" s="346">
        <v>0</v>
      </c>
    </row>
    <row r="252" spans="1:168" x14ac:dyDescent="0.25">
      <c r="A252" s="238">
        <v>1</v>
      </c>
      <c r="B252" s="238" t="s">
        <v>761</v>
      </c>
      <c r="C252" s="241">
        <v>3.7990603195019994</v>
      </c>
      <c r="D252" s="241" t="s">
        <v>11</v>
      </c>
      <c r="E252" s="241">
        <v>4.2211781327799995</v>
      </c>
      <c r="F252" s="241" t="s">
        <v>11</v>
      </c>
      <c r="G252" s="241" t="s">
        <v>11</v>
      </c>
      <c r="H252" s="241">
        <v>3.7990603195019994</v>
      </c>
      <c r="I252" s="241" t="s">
        <v>11</v>
      </c>
      <c r="J252" s="241" t="s">
        <v>11</v>
      </c>
      <c r="K252" s="241" t="s">
        <v>11</v>
      </c>
      <c r="L252" s="241" t="s">
        <v>11</v>
      </c>
      <c r="N252">
        <v>37</v>
      </c>
      <c r="O252" t="s">
        <v>56</v>
      </c>
      <c r="P252" t="s">
        <v>57</v>
      </c>
      <c r="Q252" t="s">
        <v>33</v>
      </c>
      <c r="R252" s="2" t="s">
        <v>12</v>
      </c>
      <c r="S252" s="2" t="s">
        <v>12</v>
      </c>
      <c r="T252" s="2" t="s">
        <v>12</v>
      </c>
      <c r="U252" s="2" t="s">
        <v>12</v>
      </c>
      <c r="V252" s="2" t="s">
        <v>12</v>
      </c>
      <c r="W252" s="2" t="s">
        <v>12</v>
      </c>
      <c r="X252" s="2" t="s">
        <v>12</v>
      </c>
      <c r="Y252" s="2" t="s">
        <v>12</v>
      </c>
      <c r="Z252" s="2" t="s">
        <v>12</v>
      </c>
      <c r="AA252" s="2" t="s">
        <v>12</v>
      </c>
      <c r="AB252" s="2" t="s">
        <v>12</v>
      </c>
      <c r="AC252" s="2" t="s">
        <v>12</v>
      </c>
      <c r="AD252" t="s">
        <v>12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t="s">
        <v>12</v>
      </c>
      <c r="AR252" t="s">
        <v>12</v>
      </c>
      <c r="AS252" t="s">
        <v>12</v>
      </c>
      <c r="AT252" t="s">
        <v>12</v>
      </c>
      <c r="AU252" t="s">
        <v>12</v>
      </c>
      <c r="AV252" t="s">
        <v>12</v>
      </c>
      <c r="AW252" t="s">
        <v>12</v>
      </c>
      <c r="AX252" t="s">
        <v>12</v>
      </c>
      <c r="AY252" t="s">
        <v>12</v>
      </c>
      <c r="AZ252" t="s">
        <v>12</v>
      </c>
      <c r="BA252" t="s">
        <v>12</v>
      </c>
      <c r="BB252" t="s">
        <v>12</v>
      </c>
      <c r="BC252" t="s">
        <v>12</v>
      </c>
      <c r="BD252" t="s">
        <v>12</v>
      </c>
      <c r="BF252" s="313" t="s">
        <v>11</v>
      </c>
      <c r="BG252" s="313" t="s">
        <v>11</v>
      </c>
      <c r="BH252" t="s">
        <v>12</v>
      </c>
      <c r="BI252" t="s">
        <v>12</v>
      </c>
      <c r="BJ252" t="s">
        <v>12</v>
      </c>
      <c r="BK252" t="s">
        <v>12</v>
      </c>
      <c r="BL252" t="s">
        <v>12</v>
      </c>
      <c r="BM252" t="s">
        <v>12</v>
      </c>
      <c r="BN252" t="s">
        <v>12</v>
      </c>
      <c r="BO252" t="s">
        <v>12</v>
      </c>
      <c r="BP252" t="s">
        <v>12</v>
      </c>
      <c r="BQ252" t="s">
        <v>12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 s="9" t="s">
        <v>12</v>
      </c>
      <c r="CF252" s="28" t="s">
        <v>12</v>
      </c>
      <c r="CG252" s="28" t="s">
        <v>12</v>
      </c>
      <c r="CH252" s="28" t="s">
        <v>12</v>
      </c>
      <c r="CI252" s="28" t="s">
        <v>12</v>
      </c>
      <c r="CJ252" s="28" t="s">
        <v>12</v>
      </c>
      <c r="CK252" s="28" t="s">
        <v>12</v>
      </c>
      <c r="CL252" s="28" t="s">
        <v>12</v>
      </c>
      <c r="CM252" s="28" t="s">
        <v>12</v>
      </c>
      <c r="CN252" s="28" t="s">
        <v>12</v>
      </c>
      <c r="CO252" s="28" t="s">
        <v>12</v>
      </c>
      <c r="CP252" s="28" t="s">
        <v>12</v>
      </c>
      <c r="CQ252" s="28" t="s">
        <v>12</v>
      </c>
      <c r="CR252" s="28" t="s">
        <v>12</v>
      </c>
      <c r="CS252" s="28" t="s">
        <v>12</v>
      </c>
      <c r="CT252" s="28" t="s">
        <v>12</v>
      </c>
      <c r="CU252" s="28" t="s">
        <v>12</v>
      </c>
      <c r="CV252" s="28" t="s">
        <v>12</v>
      </c>
      <c r="CW252" s="28" t="s">
        <v>12</v>
      </c>
      <c r="CX252" s="28" t="s">
        <v>12</v>
      </c>
      <c r="CY252" s="28" t="s">
        <v>12</v>
      </c>
      <c r="CZ252" s="28" t="s">
        <v>12</v>
      </c>
      <c r="DA252" s="28" t="s">
        <v>12</v>
      </c>
      <c r="DB252" s="313">
        <v>37</v>
      </c>
      <c r="DC252" s="313" t="s">
        <v>56</v>
      </c>
      <c r="DD252" s="386" t="s">
        <v>12</v>
      </c>
      <c r="DE252" s="386" t="s">
        <v>12</v>
      </c>
      <c r="DF252" s="386" t="s">
        <v>12</v>
      </c>
      <c r="DG252" s="386" t="s">
        <v>12</v>
      </c>
      <c r="DH252" s="386" t="s">
        <v>12</v>
      </c>
      <c r="DI252" s="386" t="s">
        <v>12</v>
      </c>
      <c r="DJ252" s="386" t="s">
        <v>12</v>
      </c>
      <c r="DK252" s="386" t="s">
        <v>12</v>
      </c>
      <c r="DL252" s="386" t="s">
        <v>12</v>
      </c>
      <c r="DM252" s="386" t="s">
        <v>12</v>
      </c>
      <c r="DN252" s="7" t="s">
        <v>12</v>
      </c>
      <c r="DO252" s="7" t="s">
        <v>12</v>
      </c>
      <c r="DP252" s="7" t="s">
        <v>12</v>
      </c>
      <c r="DQ252" s="7" t="s">
        <v>12</v>
      </c>
      <c r="DR252" s="7" t="s">
        <v>12</v>
      </c>
      <c r="DS252" s="7" t="s">
        <v>12</v>
      </c>
      <c r="DT252" s="7" t="s">
        <v>12</v>
      </c>
      <c r="DU252" s="7" t="s">
        <v>12</v>
      </c>
      <c r="DV252" s="7" t="s">
        <v>12</v>
      </c>
      <c r="DW252" s="7" t="s">
        <v>12</v>
      </c>
      <c r="DY252" s="9">
        <v>4654148</v>
      </c>
      <c r="EI252" s="423" t="s">
        <v>12</v>
      </c>
      <c r="EJ252" s="423" t="s">
        <v>12</v>
      </c>
      <c r="EK252" s="423" t="s">
        <v>12</v>
      </c>
      <c r="EL252" s="423" t="s">
        <v>12</v>
      </c>
      <c r="EM252" s="423" t="s">
        <v>12</v>
      </c>
      <c r="EN252" s="423" t="s">
        <v>12</v>
      </c>
      <c r="EO252" s="423" t="s">
        <v>12</v>
      </c>
      <c r="EP252" s="423" t="s">
        <v>12</v>
      </c>
      <c r="EQ252" s="423" t="s">
        <v>12</v>
      </c>
      <c r="ER252" s="423" t="s">
        <v>12</v>
      </c>
      <c r="ES252" s="438" t="s">
        <v>12</v>
      </c>
      <c r="ET252" s="438" t="s">
        <v>12</v>
      </c>
      <c r="EU252" s="438" t="s">
        <v>12</v>
      </c>
      <c r="EV252" s="438" t="s">
        <v>12</v>
      </c>
      <c r="EW252" s="438" t="s">
        <v>12</v>
      </c>
      <c r="EX252" s="438" t="s">
        <v>12</v>
      </c>
      <c r="EY252" s="438" t="s">
        <v>12</v>
      </c>
      <c r="EZ252" s="438" t="s">
        <v>12</v>
      </c>
      <c r="FA252" s="438" t="s">
        <v>12</v>
      </c>
      <c r="FB252" s="438" t="s">
        <v>12</v>
      </c>
      <c r="FC252" s="346">
        <v>0</v>
      </c>
      <c r="FD252" s="346">
        <v>0</v>
      </c>
      <c r="FE252" s="346">
        <v>0</v>
      </c>
      <c r="FF252" s="346">
        <v>0</v>
      </c>
      <c r="FG252" s="346">
        <v>0</v>
      </c>
      <c r="FH252" s="346">
        <v>0</v>
      </c>
      <c r="FI252" s="346">
        <v>0</v>
      </c>
      <c r="FJ252" s="346">
        <v>0</v>
      </c>
      <c r="FK252" s="346">
        <v>0</v>
      </c>
      <c r="FL252" s="346">
        <v>0</v>
      </c>
    </row>
    <row r="253" spans="1:168" x14ac:dyDescent="0.25">
      <c r="A253" s="238">
        <v>2</v>
      </c>
      <c r="B253" s="238" t="s">
        <v>763</v>
      </c>
      <c r="C253" s="241" t="s">
        <v>11</v>
      </c>
      <c r="D253" s="241" t="s">
        <v>11</v>
      </c>
      <c r="E253" s="241" t="s">
        <v>11</v>
      </c>
      <c r="F253" s="241" t="s">
        <v>11</v>
      </c>
      <c r="G253" s="241" t="s">
        <v>11</v>
      </c>
      <c r="H253" s="241" t="s">
        <v>11</v>
      </c>
      <c r="I253" s="241" t="s">
        <v>11</v>
      </c>
      <c r="J253" s="241" t="s">
        <v>11</v>
      </c>
      <c r="K253" s="241" t="s">
        <v>11</v>
      </c>
      <c r="L253" s="241" t="s">
        <v>11</v>
      </c>
      <c r="N253">
        <v>38</v>
      </c>
      <c r="O253" t="s">
        <v>58</v>
      </c>
      <c r="P253" t="s">
        <v>58</v>
      </c>
      <c r="Q253" t="s">
        <v>7</v>
      </c>
      <c r="R253" s="2" t="s">
        <v>12</v>
      </c>
      <c r="S253" s="2" t="s">
        <v>12</v>
      </c>
      <c r="T253" s="2" t="s">
        <v>12</v>
      </c>
      <c r="U253" s="2" t="s">
        <v>12</v>
      </c>
      <c r="V253" s="2" t="s">
        <v>12</v>
      </c>
      <c r="W253" s="2" t="s">
        <v>12</v>
      </c>
      <c r="X253" s="2" t="s">
        <v>12</v>
      </c>
      <c r="Y253" s="2" t="s">
        <v>12</v>
      </c>
      <c r="Z253" s="2" t="s">
        <v>12</v>
      </c>
      <c r="AA253" s="2" t="s">
        <v>12</v>
      </c>
      <c r="AB253" s="2" t="s">
        <v>12</v>
      </c>
      <c r="AC253" s="2" t="s">
        <v>12</v>
      </c>
      <c r="AD253" t="s">
        <v>12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t="s">
        <v>12</v>
      </c>
      <c r="AR253" t="s">
        <v>12</v>
      </c>
      <c r="AS253" t="s">
        <v>12</v>
      </c>
      <c r="AT253" t="s">
        <v>12</v>
      </c>
      <c r="AU253" t="s">
        <v>12</v>
      </c>
      <c r="AV253" t="s">
        <v>12</v>
      </c>
      <c r="AW253" t="s">
        <v>12</v>
      </c>
      <c r="AX253" t="s">
        <v>12</v>
      </c>
      <c r="AY253" t="s">
        <v>12</v>
      </c>
      <c r="AZ253" t="s">
        <v>12</v>
      </c>
      <c r="BA253" t="s">
        <v>12</v>
      </c>
      <c r="BB253" t="s">
        <v>12</v>
      </c>
      <c r="BC253" t="s">
        <v>12</v>
      </c>
      <c r="BD253" t="s">
        <v>12</v>
      </c>
      <c r="BF253" s="313" t="s">
        <v>11</v>
      </c>
      <c r="BG253" s="313" t="s">
        <v>11</v>
      </c>
      <c r="BH253" t="s">
        <v>12</v>
      </c>
      <c r="BI253" t="s">
        <v>12</v>
      </c>
      <c r="BJ253" t="s">
        <v>12</v>
      </c>
      <c r="BK253" t="s">
        <v>12</v>
      </c>
      <c r="BL253" t="s">
        <v>12</v>
      </c>
      <c r="BM253" t="s">
        <v>12</v>
      </c>
      <c r="BN253" t="s">
        <v>12</v>
      </c>
      <c r="BO253" t="s">
        <v>12</v>
      </c>
      <c r="BP253" t="s">
        <v>12</v>
      </c>
      <c r="BQ253" t="s">
        <v>12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 s="9" t="s">
        <v>12</v>
      </c>
      <c r="CF253" s="28" t="s">
        <v>12</v>
      </c>
      <c r="CG253" s="28" t="s">
        <v>12</v>
      </c>
      <c r="CH253" s="28" t="s">
        <v>12</v>
      </c>
      <c r="CI253" s="28" t="s">
        <v>12</v>
      </c>
      <c r="CJ253" s="28" t="s">
        <v>12</v>
      </c>
      <c r="CK253" s="28" t="s">
        <v>12</v>
      </c>
      <c r="CL253" s="28" t="s">
        <v>12</v>
      </c>
      <c r="CM253" s="28" t="s">
        <v>12</v>
      </c>
      <c r="CN253" s="28" t="s">
        <v>12</v>
      </c>
      <c r="CO253" s="28" t="s">
        <v>12</v>
      </c>
      <c r="CP253" s="28" t="s">
        <v>12</v>
      </c>
      <c r="CQ253" s="28" t="s">
        <v>12</v>
      </c>
      <c r="CR253" s="28" t="s">
        <v>12</v>
      </c>
      <c r="CS253" s="28" t="s">
        <v>12</v>
      </c>
      <c r="CT253" s="28" t="s">
        <v>12</v>
      </c>
      <c r="CU253" s="28" t="s">
        <v>12</v>
      </c>
      <c r="CV253" s="28" t="s">
        <v>12</v>
      </c>
      <c r="CW253" s="28" t="s">
        <v>12</v>
      </c>
      <c r="CX253" s="28" t="s">
        <v>12</v>
      </c>
      <c r="CY253" s="28" t="s">
        <v>12</v>
      </c>
      <c r="CZ253" s="28" t="s">
        <v>12</v>
      </c>
      <c r="DA253" s="28" t="s">
        <v>12</v>
      </c>
      <c r="DB253" s="313">
        <v>38</v>
      </c>
      <c r="DC253" s="313" t="s">
        <v>58</v>
      </c>
      <c r="DD253" s="386" t="s">
        <v>12</v>
      </c>
      <c r="DE253" s="386" t="s">
        <v>12</v>
      </c>
      <c r="DF253" s="386" t="s">
        <v>12</v>
      </c>
      <c r="DG253" s="386" t="s">
        <v>12</v>
      </c>
      <c r="DH253" s="386" t="s">
        <v>12</v>
      </c>
      <c r="DI253" s="386" t="s">
        <v>12</v>
      </c>
      <c r="DJ253" s="386" t="s">
        <v>12</v>
      </c>
      <c r="DK253" s="386" t="s">
        <v>12</v>
      </c>
      <c r="DL253" s="386" t="s">
        <v>12</v>
      </c>
      <c r="DM253" s="386" t="s">
        <v>12</v>
      </c>
      <c r="DN253" s="7" t="s">
        <v>12</v>
      </c>
      <c r="DO253" s="7" t="s">
        <v>12</v>
      </c>
      <c r="DP253" s="7" t="s">
        <v>12</v>
      </c>
      <c r="DQ253" s="7" t="s">
        <v>12</v>
      </c>
      <c r="DR253" s="7" t="s">
        <v>12</v>
      </c>
      <c r="DS253" s="7" t="s">
        <v>12</v>
      </c>
      <c r="DT253" s="7" t="s">
        <v>12</v>
      </c>
      <c r="DU253" s="7" t="s">
        <v>12</v>
      </c>
      <c r="DV253" s="7" t="s">
        <v>12</v>
      </c>
      <c r="DW253" s="7" t="s">
        <v>12</v>
      </c>
      <c r="DY253" s="9">
        <v>4267558</v>
      </c>
      <c r="EI253" s="423" t="s">
        <v>12</v>
      </c>
      <c r="EJ253" s="423" t="s">
        <v>12</v>
      </c>
      <c r="EK253" s="423" t="s">
        <v>12</v>
      </c>
      <c r="EL253" s="423" t="s">
        <v>12</v>
      </c>
      <c r="EM253" s="423" t="s">
        <v>12</v>
      </c>
      <c r="EN253" s="423" t="s">
        <v>12</v>
      </c>
      <c r="EO253" s="423" t="s">
        <v>12</v>
      </c>
      <c r="EP253" s="423" t="s">
        <v>12</v>
      </c>
      <c r="EQ253" s="423" t="s">
        <v>12</v>
      </c>
      <c r="ER253" s="423" t="s">
        <v>12</v>
      </c>
      <c r="ES253" s="438" t="s">
        <v>12</v>
      </c>
      <c r="ET253" s="438" t="s">
        <v>12</v>
      </c>
      <c r="EU253" s="438" t="s">
        <v>12</v>
      </c>
      <c r="EV253" s="438" t="s">
        <v>12</v>
      </c>
      <c r="EW253" s="438" t="s">
        <v>12</v>
      </c>
      <c r="EX253" s="438" t="s">
        <v>12</v>
      </c>
      <c r="EY253" s="438" t="s">
        <v>12</v>
      </c>
      <c r="EZ253" s="438" t="s">
        <v>12</v>
      </c>
      <c r="FA253" s="438" t="s">
        <v>12</v>
      </c>
      <c r="FB253" s="438" t="s">
        <v>12</v>
      </c>
      <c r="FC253" s="346">
        <v>0</v>
      </c>
      <c r="FD253" s="346">
        <v>0</v>
      </c>
      <c r="FE253" s="346">
        <v>0</v>
      </c>
      <c r="FF253" s="346">
        <v>0</v>
      </c>
      <c r="FG253" s="346">
        <v>0</v>
      </c>
      <c r="FH253" s="346">
        <v>0</v>
      </c>
      <c r="FI253" s="346">
        <v>0</v>
      </c>
      <c r="FJ253" s="346">
        <v>0</v>
      </c>
      <c r="FK253" s="346">
        <v>0</v>
      </c>
      <c r="FL253" s="346">
        <v>0</v>
      </c>
    </row>
    <row r="254" spans="1:168" x14ac:dyDescent="0.25">
      <c r="A254" s="238">
        <v>3</v>
      </c>
      <c r="B254" s="238" t="s">
        <v>764</v>
      </c>
      <c r="C254" s="241" t="s">
        <v>11</v>
      </c>
      <c r="D254" s="241" t="s">
        <v>11</v>
      </c>
      <c r="E254" s="241" t="s">
        <v>11</v>
      </c>
      <c r="F254" s="241" t="s">
        <v>11</v>
      </c>
      <c r="G254" s="241" t="s">
        <v>11</v>
      </c>
      <c r="H254" s="241" t="s">
        <v>11</v>
      </c>
      <c r="I254" s="241" t="s">
        <v>11</v>
      </c>
      <c r="J254" s="241" t="s">
        <v>11</v>
      </c>
      <c r="K254" s="241" t="s">
        <v>11</v>
      </c>
      <c r="L254" s="241" t="s">
        <v>11</v>
      </c>
      <c r="N254">
        <v>39</v>
      </c>
      <c r="O254" t="s">
        <v>59</v>
      </c>
      <c r="P254" t="s">
        <v>59</v>
      </c>
      <c r="Q254" t="s">
        <v>16</v>
      </c>
      <c r="R254" s="2" t="s">
        <v>12</v>
      </c>
      <c r="S254" s="2" t="s">
        <v>12</v>
      </c>
      <c r="T254" s="2" t="s">
        <v>12</v>
      </c>
      <c r="U254" s="2" t="s">
        <v>12</v>
      </c>
      <c r="V254" s="2" t="s">
        <v>12</v>
      </c>
      <c r="W254" s="2" t="s">
        <v>12</v>
      </c>
      <c r="X254" s="2" t="s">
        <v>12</v>
      </c>
      <c r="Y254" s="2" t="s">
        <v>12</v>
      </c>
      <c r="Z254" s="2" t="s">
        <v>12</v>
      </c>
      <c r="AA254" s="2" t="s">
        <v>12</v>
      </c>
      <c r="AB254" s="2" t="s">
        <v>12</v>
      </c>
      <c r="AC254" s="2" t="s">
        <v>12</v>
      </c>
      <c r="AD254" t="s">
        <v>12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t="s">
        <v>12</v>
      </c>
      <c r="AR254" t="s">
        <v>12</v>
      </c>
      <c r="AS254" t="s">
        <v>12</v>
      </c>
      <c r="AT254" t="s">
        <v>12</v>
      </c>
      <c r="AU254" t="s">
        <v>12</v>
      </c>
      <c r="AV254" t="s">
        <v>12</v>
      </c>
      <c r="AW254" t="s">
        <v>12</v>
      </c>
      <c r="AX254" t="s">
        <v>12</v>
      </c>
      <c r="AY254" t="s">
        <v>12</v>
      </c>
      <c r="AZ254" t="s">
        <v>12</v>
      </c>
      <c r="BA254" t="s">
        <v>12</v>
      </c>
      <c r="BB254" t="s">
        <v>12</v>
      </c>
      <c r="BC254" t="s">
        <v>12</v>
      </c>
      <c r="BD254" t="s">
        <v>12</v>
      </c>
      <c r="BF254" s="313" t="s">
        <v>11</v>
      </c>
      <c r="BG254" s="313" t="s">
        <v>11</v>
      </c>
      <c r="BH254" t="s">
        <v>12</v>
      </c>
      <c r="BI254" t="s">
        <v>12</v>
      </c>
      <c r="BJ254" t="s">
        <v>12</v>
      </c>
      <c r="BK254" t="s">
        <v>12</v>
      </c>
      <c r="BL254" t="s">
        <v>12</v>
      </c>
      <c r="BM254" t="s">
        <v>12</v>
      </c>
      <c r="BN254" t="s">
        <v>12</v>
      </c>
      <c r="BO254" t="s">
        <v>12</v>
      </c>
      <c r="BP254" t="s">
        <v>12</v>
      </c>
      <c r="BQ254" t="s">
        <v>12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 s="9" t="s">
        <v>12</v>
      </c>
      <c r="CF254" s="28" t="s">
        <v>12</v>
      </c>
      <c r="CG254" s="28" t="s">
        <v>12</v>
      </c>
      <c r="CH254" s="28" t="s">
        <v>12</v>
      </c>
      <c r="CI254" s="28" t="s">
        <v>12</v>
      </c>
      <c r="CJ254" s="28" t="s">
        <v>12</v>
      </c>
      <c r="CK254" s="28" t="s">
        <v>12</v>
      </c>
      <c r="CL254" s="28" t="s">
        <v>12</v>
      </c>
      <c r="CM254" s="28" t="s">
        <v>12</v>
      </c>
      <c r="CN254" s="28" t="s">
        <v>12</v>
      </c>
      <c r="CO254" s="28" t="s">
        <v>12</v>
      </c>
      <c r="CP254" s="28" t="s">
        <v>12</v>
      </c>
      <c r="CQ254" s="28" t="s">
        <v>12</v>
      </c>
      <c r="CR254" s="28" t="s">
        <v>12</v>
      </c>
      <c r="CS254" s="28" t="s">
        <v>12</v>
      </c>
      <c r="CT254" s="28" t="s">
        <v>12</v>
      </c>
      <c r="CU254" s="28" t="s">
        <v>12</v>
      </c>
      <c r="CV254" s="28" t="s">
        <v>12</v>
      </c>
      <c r="CW254" s="28" t="s">
        <v>12</v>
      </c>
      <c r="CX254" s="28" t="s">
        <v>12</v>
      </c>
      <c r="CY254" s="28" t="s">
        <v>12</v>
      </c>
      <c r="CZ254" s="28" t="s">
        <v>12</v>
      </c>
      <c r="DA254" s="28" t="s">
        <v>12</v>
      </c>
      <c r="DB254" s="313">
        <v>39</v>
      </c>
      <c r="DC254" s="313" t="s">
        <v>59</v>
      </c>
      <c r="DD254" s="386" t="s">
        <v>12</v>
      </c>
      <c r="DE254" s="386" t="s">
        <v>12</v>
      </c>
      <c r="DF254" s="386" t="s">
        <v>12</v>
      </c>
      <c r="DG254" s="386" t="s">
        <v>12</v>
      </c>
      <c r="DH254" s="386" t="s">
        <v>12</v>
      </c>
      <c r="DI254" s="386" t="s">
        <v>12</v>
      </c>
      <c r="DJ254" s="386" t="s">
        <v>12</v>
      </c>
      <c r="DK254" s="386" t="s">
        <v>12</v>
      </c>
      <c r="DL254" s="386" t="s">
        <v>12</v>
      </c>
      <c r="DM254" s="386" t="s">
        <v>12</v>
      </c>
      <c r="DN254" s="7" t="s">
        <v>12</v>
      </c>
      <c r="DO254" s="7" t="s">
        <v>12</v>
      </c>
      <c r="DP254" s="7" t="s">
        <v>12</v>
      </c>
      <c r="DQ254" s="7" t="s">
        <v>12</v>
      </c>
      <c r="DR254" s="7" t="s">
        <v>12</v>
      </c>
      <c r="DS254" s="7" t="s">
        <v>12</v>
      </c>
      <c r="DT254" s="7" t="s">
        <v>12</v>
      </c>
      <c r="DU254" s="7" t="s">
        <v>12</v>
      </c>
      <c r="DV254" s="7" t="s">
        <v>12</v>
      </c>
      <c r="DW254" s="7" t="s">
        <v>12</v>
      </c>
      <c r="DY254" s="9">
        <v>11342631</v>
      </c>
      <c r="EI254" s="423" t="s">
        <v>12</v>
      </c>
      <c r="EJ254" s="423" t="s">
        <v>12</v>
      </c>
      <c r="EK254" s="423" t="s">
        <v>12</v>
      </c>
      <c r="EL254" s="423" t="s">
        <v>12</v>
      </c>
      <c r="EM254" s="423" t="s">
        <v>12</v>
      </c>
      <c r="EN254" s="423" t="s">
        <v>12</v>
      </c>
      <c r="EO254" s="423" t="s">
        <v>12</v>
      </c>
      <c r="EP254" s="423" t="s">
        <v>12</v>
      </c>
      <c r="EQ254" s="423" t="s">
        <v>12</v>
      </c>
      <c r="ER254" s="423" t="s">
        <v>12</v>
      </c>
      <c r="ES254" s="438" t="s">
        <v>12</v>
      </c>
      <c r="ET254" s="438" t="s">
        <v>12</v>
      </c>
      <c r="EU254" s="438" t="s">
        <v>12</v>
      </c>
      <c r="EV254" s="438" t="s">
        <v>12</v>
      </c>
      <c r="EW254" s="438" t="s">
        <v>12</v>
      </c>
      <c r="EX254" s="438" t="s">
        <v>12</v>
      </c>
      <c r="EY254" s="438" t="s">
        <v>12</v>
      </c>
      <c r="EZ254" s="438" t="s">
        <v>12</v>
      </c>
      <c r="FA254" s="438" t="s">
        <v>12</v>
      </c>
      <c r="FB254" s="438" t="s">
        <v>12</v>
      </c>
      <c r="FC254" s="346">
        <v>0</v>
      </c>
      <c r="FD254" s="346">
        <v>0</v>
      </c>
      <c r="FE254" s="346">
        <v>0</v>
      </c>
      <c r="FF254" s="346">
        <v>0</v>
      </c>
      <c r="FG254" s="346">
        <v>0</v>
      </c>
      <c r="FH254" s="346">
        <v>0</v>
      </c>
      <c r="FI254" s="346">
        <v>0</v>
      </c>
      <c r="FJ254" s="346">
        <v>0</v>
      </c>
      <c r="FK254" s="346">
        <v>0</v>
      </c>
      <c r="FL254" s="346">
        <v>0</v>
      </c>
    </row>
    <row r="255" spans="1:168" x14ac:dyDescent="0.25">
      <c r="A255" s="238">
        <v>4</v>
      </c>
      <c r="B255" s="238" t="s">
        <v>765</v>
      </c>
      <c r="C255" s="241" t="s">
        <v>11</v>
      </c>
      <c r="D255" s="241" t="s">
        <v>11</v>
      </c>
      <c r="E255" s="241" t="s">
        <v>11</v>
      </c>
      <c r="F255" s="241" t="s">
        <v>11</v>
      </c>
      <c r="G255" s="241" t="s">
        <v>11</v>
      </c>
      <c r="H255" s="241" t="s">
        <v>11</v>
      </c>
      <c r="I255" s="241" t="s">
        <v>11</v>
      </c>
      <c r="J255" s="241" t="s">
        <v>11</v>
      </c>
      <c r="K255" s="241" t="s">
        <v>11</v>
      </c>
      <c r="L255" s="241" t="s">
        <v>11</v>
      </c>
      <c r="N255">
        <v>40</v>
      </c>
      <c r="O255" t="s">
        <v>60</v>
      </c>
      <c r="P255" t="s">
        <v>60</v>
      </c>
      <c r="Q255" t="s">
        <v>23</v>
      </c>
      <c r="R255" s="2" t="s">
        <v>12</v>
      </c>
      <c r="S255" s="2" t="s">
        <v>12</v>
      </c>
      <c r="T255" s="2" t="s">
        <v>12</v>
      </c>
      <c r="U255" s="2" t="s">
        <v>12</v>
      </c>
      <c r="V255" s="2" t="s">
        <v>12</v>
      </c>
      <c r="W255" s="2" t="s">
        <v>12</v>
      </c>
      <c r="X255" s="2" t="s">
        <v>12</v>
      </c>
      <c r="Y255" s="2" t="s">
        <v>12</v>
      </c>
      <c r="Z255" s="2" t="s">
        <v>12</v>
      </c>
      <c r="AA255" s="2" t="s">
        <v>12</v>
      </c>
      <c r="AB255" s="2" t="s">
        <v>12</v>
      </c>
      <c r="AC255" s="2" t="s">
        <v>12</v>
      </c>
      <c r="AD255" t="s">
        <v>12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t="s">
        <v>12</v>
      </c>
      <c r="AR255" t="s">
        <v>12</v>
      </c>
      <c r="AS255" t="s">
        <v>12</v>
      </c>
      <c r="AT255" t="s">
        <v>12</v>
      </c>
      <c r="AU255" t="s">
        <v>12</v>
      </c>
      <c r="AV255" t="s">
        <v>12</v>
      </c>
      <c r="AW255" t="s">
        <v>12</v>
      </c>
      <c r="AX255" t="s">
        <v>12</v>
      </c>
      <c r="AY255" t="s">
        <v>12</v>
      </c>
      <c r="AZ255" t="s">
        <v>12</v>
      </c>
      <c r="BA255" t="s">
        <v>12</v>
      </c>
      <c r="BB255" t="s">
        <v>12</v>
      </c>
      <c r="BC255" t="s">
        <v>12</v>
      </c>
      <c r="BD255" t="s">
        <v>12</v>
      </c>
      <c r="BF255" s="313" t="s">
        <v>11</v>
      </c>
      <c r="BG255" s="313" t="s">
        <v>11</v>
      </c>
      <c r="BH255" t="s">
        <v>12</v>
      </c>
      <c r="BI255" t="s">
        <v>12</v>
      </c>
      <c r="BJ255" t="s">
        <v>12</v>
      </c>
      <c r="BK255" t="s">
        <v>12</v>
      </c>
      <c r="BL255" t="s">
        <v>12</v>
      </c>
      <c r="BM255" t="s">
        <v>12</v>
      </c>
      <c r="BN255" t="s">
        <v>12</v>
      </c>
      <c r="BO255" t="s">
        <v>12</v>
      </c>
      <c r="BP255" t="s">
        <v>12</v>
      </c>
      <c r="BQ255" t="s">
        <v>12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 s="9" t="s">
        <v>12</v>
      </c>
      <c r="CF255" s="28" t="s">
        <v>12</v>
      </c>
      <c r="CG255" s="28" t="s">
        <v>12</v>
      </c>
      <c r="CH255" s="28" t="s">
        <v>12</v>
      </c>
      <c r="CI255" s="28" t="s">
        <v>12</v>
      </c>
      <c r="CJ255" s="28" t="s">
        <v>12</v>
      </c>
      <c r="CK255" s="28" t="s">
        <v>12</v>
      </c>
      <c r="CL255" s="28" t="s">
        <v>12</v>
      </c>
      <c r="CM255" s="28" t="s">
        <v>12</v>
      </c>
      <c r="CN255" s="28" t="s">
        <v>12</v>
      </c>
      <c r="CO255" s="28" t="s">
        <v>12</v>
      </c>
      <c r="CP255" s="28" t="s">
        <v>12</v>
      </c>
      <c r="CQ255" s="28" t="s">
        <v>12</v>
      </c>
      <c r="CR255" s="28" t="s">
        <v>12</v>
      </c>
      <c r="CS255" s="28" t="s">
        <v>12</v>
      </c>
      <c r="CT255" s="28" t="s">
        <v>12</v>
      </c>
      <c r="CU255" s="28" t="s">
        <v>12</v>
      </c>
      <c r="CV255" s="28" t="s">
        <v>12</v>
      </c>
      <c r="CW255" s="28" t="s">
        <v>12</v>
      </c>
      <c r="CX255" s="28" t="s">
        <v>12</v>
      </c>
      <c r="CY255" s="28" t="s">
        <v>12</v>
      </c>
      <c r="CZ255" s="28" t="s">
        <v>12</v>
      </c>
      <c r="DA255" s="28" t="s">
        <v>12</v>
      </c>
      <c r="DB255" s="313">
        <v>40</v>
      </c>
      <c r="DC255" s="313" t="s">
        <v>60</v>
      </c>
      <c r="DD255" s="386" t="s">
        <v>12</v>
      </c>
      <c r="DE255" s="386" t="s">
        <v>12</v>
      </c>
      <c r="DF255" s="386" t="s">
        <v>12</v>
      </c>
      <c r="DG255" s="386" t="s">
        <v>12</v>
      </c>
      <c r="DH255" s="386" t="s">
        <v>12</v>
      </c>
      <c r="DI255" s="386" t="s">
        <v>12</v>
      </c>
      <c r="DJ255" s="386" t="s">
        <v>12</v>
      </c>
      <c r="DK255" s="386" t="s">
        <v>12</v>
      </c>
      <c r="DL255" s="386" t="s">
        <v>12</v>
      </c>
      <c r="DM255" s="386" t="s">
        <v>12</v>
      </c>
      <c r="DN255" s="7" t="s">
        <v>12</v>
      </c>
      <c r="DO255" s="7" t="s">
        <v>12</v>
      </c>
      <c r="DP255" s="7" t="s">
        <v>12</v>
      </c>
      <c r="DQ255" s="7" t="s">
        <v>12</v>
      </c>
      <c r="DR255" s="7" t="s">
        <v>12</v>
      </c>
      <c r="DS255" s="7" t="s">
        <v>12</v>
      </c>
      <c r="DT255" s="7" t="s">
        <v>12</v>
      </c>
      <c r="DU255" s="7" t="s">
        <v>12</v>
      </c>
      <c r="DV255" s="7" t="s">
        <v>12</v>
      </c>
      <c r="DW255" s="7" t="s">
        <v>12</v>
      </c>
      <c r="DY255" s="9">
        <v>1129303</v>
      </c>
      <c r="EI255" s="423" t="s">
        <v>12</v>
      </c>
      <c r="EJ255" s="423" t="s">
        <v>12</v>
      </c>
      <c r="EK255" s="423" t="s">
        <v>12</v>
      </c>
      <c r="EL255" s="423" t="s">
        <v>12</v>
      </c>
      <c r="EM255" s="423" t="s">
        <v>12</v>
      </c>
      <c r="EN255" s="423" t="s">
        <v>12</v>
      </c>
      <c r="EO255" s="423" t="s">
        <v>12</v>
      </c>
      <c r="EP255" s="423" t="s">
        <v>12</v>
      </c>
      <c r="EQ255" s="423" t="s">
        <v>12</v>
      </c>
      <c r="ER255" s="423" t="s">
        <v>12</v>
      </c>
      <c r="ES255" s="438" t="s">
        <v>12</v>
      </c>
      <c r="ET255" s="438" t="s">
        <v>12</v>
      </c>
      <c r="EU255" s="438" t="s">
        <v>12</v>
      </c>
      <c r="EV255" s="438" t="s">
        <v>12</v>
      </c>
      <c r="EW255" s="438" t="s">
        <v>12</v>
      </c>
      <c r="EX255" s="438" t="s">
        <v>12</v>
      </c>
      <c r="EY255" s="438" t="s">
        <v>12</v>
      </c>
      <c r="EZ255" s="438" t="s">
        <v>12</v>
      </c>
      <c r="FA255" s="438" t="s">
        <v>12</v>
      </c>
      <c r="FB255" s="438" t="s">
        <v>12</v>
      </c>
      <c r="FC255" s="346">
        <v>0</v>
      </c>
      <c r="FD255" s="346">
        <v>0</v>
      </c>
      <c r="FE255" s="346">
        <v>0</v>
      </c>
      <c r="FF255" s="346">
        <v>0</v>
      </c>
      <c r="FG255" s="346">
        <v>0</v>
      </c>
      <c r="FH255" s="346">
        <v>0</v>
      </c>
      <c r="FI255" s="346">
        <v>0</v>
      </c>
      <c r="FJ255" s="346">
        <v>0</v>
      </c>
      <c r="FK255" s="346">
        <v>0</v>
      </c>
      <c r="FL255" s="346">
        <v>0</v>
      </c>
    </row>
    <row r="256" spans="1:168" x14ac:dyDescent="0.25">
      <c r="A256" s="238">
        <v>5</v>
      </c>
      <c r="B256" s="238" t="s">
        <v>767</v>
      </c>
      <c r="C256" s="241" t="s">
        <v>11</v>
      </c>
      <c r="D256" s="241" t="s">
        <v>11</v>
      </c>
      <c r="E256" s="241" t="s">
        <v>11</v>
      </c>
      <c r="F256" s="241" t="s">
        <v>11</v>
      </c>
      <c r="G256" s="241" t="s">
        <v>11</v>
      </c>
      <c r="H256" s="241" t="s">
        <v>11</v>
      </c>
      <c r="I256" s="241" t="s">
        <v>11</v>
      </c>
      <c r="J256" s="241" t="s">
        <v>11</v>
      </c>
      <c r="K256" s="241" t="s">
        <v>11</v>
      </c>
      <c r="L256" s="241" t="s">
        <v>11</v>
      </c>
      <c r="N256">
        <v>41</v>
      </c>
      <c r="O256" t="s">
        <v>61</v>
      </c>
      <c r="P256" t="s">
        <v>62</v>
      </c>
      <c r="Q256" t="s">
        <v>23</v>
      </c>
      <c r="R256" s="2" t="s">
        <v>12</v>
      </c>
      <c r="S256" s="2" t="s">
        <v>12</v>
      </c>
      <c r="T256" s="2" t="s">
        <v>12</v>
      </c>
      <c r="U256" s="2" t="s">
        <v>12</v>
      </c>
      <c r="V256" s="2" t="s">
        <v>12</v>
      </c>
      <c r="W256" s="2" t="s">
        <v>12</v>
      </c>
      <c r="X256" s="2" t="s">
        <v>12</v>
      </c>
      <c r="Y256" s="2" t="s">
        <v>12</v>
      </c>
      <c r="Z256" s="2" t="s">
        <v>12</v>
      </c>
      <c r="AA256" s="2" t="s">
        <v>12</v>
      </c>
      <c r="AB256" s="2" t="s">
        <v>12</v>
      </c>
      <c r="AC256" s="2" t="s">
        <v>12</v>
      </c>
      <c r="AD256" t="s">
        <v>12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t="s">
        <v>12</v>
      </c>
      <c r="AR256" t="s">
        <v>12</v>
      </c>
      <c r="AS256" t="s">
        <v>12</v>
      </c>
      <c r="AT256" t="s">
        <v>12</v>
      </c>
      <c r="AU256" t="s">
        <v>12</v>
      </c>
      <c r="AV256" t="s">
        <v>12</v>
      </c>
      <c r="AW256" t="s">
        <v>12</v>
      </c>
      <c r="AX256" t="s">
        <v>12</v>
      </c>
      <c r="AY256" t="s">
        <v>12</v>
      </c>
      <c r="AZ256" t="s">
        <v>12</v>
      </c>
      <c r="BA256" t="s">
        <v>12</v>
      </c>
      <c r="BB256" t="s">
        <v>12</v>
      </c>
      <c r="BC256" t="s">
        <v>12</v>
      </c>
      <c r="BD256" t="s">
        <v>12</v>
      </c>
      <c r="BF256" s="313" t="s">
        <v>11</v>
      </c>
      <c r="BG256" s="313" t="s">
        <v>11</v>
      </c>
      <c r="BH256" t="s">
        <v>12</v>
      </c>
      <c r="BI256" t="s">
        <v>12</v>
      </c>
      <c r="BJ256" t="s">
        <v>12</v>
      </c>
      <c r="BK256" t="s">
        <v>12</v>
      </c>
      <c r="BL256" t="s">
        <v>12</v>
      </c>
      <c r="BM256" t="s">
        <v>12</v>
      </c>
      <c r="BN256" t="s">
        <v>12</v>
      </c>
      <c r="BO256" t="s">
        <v>12</v>
      </c>
      <c r="BP256" t="s">
        <v>12</v>
      </c>
      <c r="BQ256" t="s">
        <v>12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 s="9" t="s">
        <v>12</v>
      </c>
      <c r="CF256" s="28" t="s">
        <v>12</v>
      </c>
      <c r="CG256" s="28" t="s">
        <v>12</v>
      </c>
      <c r="CH256" s="28" t="s">
        <v>12</v>
      </c>
      <c r="CI256" s="28" t="s">
        <v>12</v>
      </c>
      <c r="CJ256" s="28" t="s">
        <v>12</v>
      </c>
      <c r="CK256" s="28" t="s">
        <v>12</v>
      </c>
      <c r="CL256" s="28" t="s">
        <v>12</v>
      </c>
      <c r="CM256" s="28" t="s">
        <v>12</v>
      </c>
      <c r="CN256" s="28" t="s">
        <v>12</v>
      </c>
      <c r="CO256" s="28" t="s">
        <v>12</v>
      </c>
      <c r="CP256" s="28" t="s">
        <v>12</v>
      </c>
      <c r="CQ256" s="28" t="s">
        <v>12</v>
      </c>
      <c r="CR256" s="28" t="s">
        <v>12</v>
      </c>
      <c r="CS256" s="28" t="s">
        <v>12</v>
      </c>
      <c r="CT256" s="28" t="s">
        <v>12</v>
      </c>
      <c r="CU256" s="28" t="s">
        <v>12</v>
      </c>
      <c r="CV256" s="28" t="s">
        <v>12</v>
      </c>
      <c r="CW256" s="28" t="s">
        <v>12</v>
      </c>
      <c r="CX256" s="28" t="s">
        <v>12</v>
      </c>
      <c r="CY256" s="28" t="s">
        <v>12</v>
      </c>
      <c r="CZ256" s="28" t="s">
        <v>12</v>
      </c>
      <c r="DA256" s="28" t="s">
        <v>12</v>
      </c>
      <c r="DB256" s="313">
        <v>41</v>
      </c>
      <c r="DC256" s="313" t="s">
        <v>61</v>
      </c>
      <c r="DD256" s="386" t="s">
        <v>12</v>
      </c>
      <c r="DE256" s="386" t="s">
        <v>12</v>
      </c>
      <c r="DF256" s="386" t="s">
        <v>12</v>
      </c>
      <c r="DG256" s="386" t="s">
        <v>12</v>
      </c>
      <c r="DH256" s="386" t="s">
        <v>12</v>
      </c>
      <c r="DI256" s="386" t="s">
        <v>12</v>
      </c>
      <c r="DJ256" s="386" t="s">
        <v>12</v>
      </c>
      <c r="DK256" s="386" t="s">
        <v>12</v>
      </c>
      <c r="DL256" s="386" t="s">
        <v>12</v>
      </c>
      <c r="DM256" s="386" t="s">
        <v>12</v>
      </c>
      <c r="DN256" s="7" t="s">
        <v>12</v>
      </c>
      <c r="DO256" s="7" t="s">
        <v>12</v>
      </c>
      <c r="DP256" s="7" t="s">
        <v>12</v>
      </c>
      <c r="DQ256" s="7" t="s">
        <v>12</v>
      </c>
      <c r="DR256" s="7" t="s">
        <v>12</v>
      </c>
      <c r="DS256" s="7" t="s">
        <v>12</v>
      </c>
      <c r="DT256" s="7" t="s">
        <v>12</v>
      </c>
      <c r="DU256" s="7" t="s">
        <v>12</v>
      </c>
      <c r="DV256" s="7" t="s">
        <v>12</v>
      </c>
      <c r="DW256" s="7" t="s">
        <v>12</v>
      </c>
      <c r="DY256" s="9">
        <v>10510785</v>
      </c>
      <c r="EI256" s="423" t="s">
        <v>12</v>
      </c>
      <c r="EJ256" s="423" t="s">
        <v>12</v>
      </c>
      <c r="EK256" s="423" t="s">
        <v>12</v>
      </c>
      <c r="EL256" s="423" t="s">
        <v>12</v>
      </c>
      <c r="EM256" s="423" t="s">
        <v>12</v>
      </c>
      <c r="EN256" s="423" t="s">
        <v>12</v>
      </c>
      <c r="EO256" s="423" t="s">
        <v>12</v>
      </c>
      <c r="EP256" s="423" t="s">
        <v>12</v>
      </c>
      <c r="EQ256" s="423" t="s">
        <v>12</v>
      </c>
      <c r="ER256" s="423" t="s">
        <v>12</v>
      </c>
      <c r="ES256" s="438" t="s">
        <v>12</v>
      </c>
      <c r="ET256" s="438" t="s">
        <v>12</v>
      </c>
      <c r="EU256" s="438" t="s">
        <v>12</v>
      </c>
      <c r="EV256" s="438" t="s">
        <v>12</v>
      </c>
      <c r="EW256" s="438" t="s">
        <v>12</v>
      </c>
      <c r="EX256" s="438" t="s">
        <v>12</v>
      </c>
      <c r="EY256" s="438" t="s">
        <v>12</v>
      </c>
      <c r="EZ256" s="438" t="s">
        <v>12</v>
      </c>
      <c r="FA256" s="438" t="s">
        <v>12</v>
      </c>
      <c r="FB256" s="438" t="s">
        <v>12</v>
      </c>
      <c r="FC256" s="346">
        <v>0</v>
      </c>
      <c r="FD256" s="346">
        <v>0</v>
      </c>
      <c r="FE256" s="346">
        <v>0</v>
      </c>
      <c r="FF256" s="346">
        <v>0</v>
      </c>
      <c r="FG256" s="346">
        <v>0</v>
      </c>
      <c r="FH256" s="346">
        <v>0</v>
      </c>
      <c r="FI256" s="346">
        <v>0</v>
      </c>
      <c r="FJ256" s="346">
        <v>0</v>
      </c>
      <c r="FK256" s="346">
        <v>0</v>
      </c>
      <c r="FL256" s="346">
        <v>0</v>
      </c>
    </row>
    <row r="257" spans="1:168" x14ac:dyDescent="0.25">
      <c r="A257" s="238">
        <v>6</v>
      </c>
      <c r="B257" s="238" t="s">
        <v>768</v>
      </c>
      <c r="C257" s="241" t="s">
        <v>11</v>
      </c>
      <c r="D257" s="241" t="s">
        <v>11</v>
      </c>
      <c r="E257" s="241" t="s">
        <v>11</v>
      </c>
      <c r="F257" s="241" t="s">
        <v>11</v>
      </c>
      <c r="G257" s="241" t="s">
        <v>11</v>
      </c>
      <c r="H257" s="241" t="s">
        <v>11</v>
      </c>
      <c r="I257" s="241" t="s">
        <v>11</v>
      </c>
      <c r="J257" s="241" t="s">
        <v>11</v>
      </c>
      <c r="K257" s="241" t="s">
        <v>11</v>
      </c>
      <c r="L257" s="241" t="s">
        <v>11</v>
      </c>
      <c r="N257">
        <v>42</v>
      </c>
      <c r="O257" t="s">
        <v>63</v>
      </c>
      <c r="P257" t="s">
        <v>64</v>
      </c>
      <c r="Q257" t="s">
        <v>14</v>
      </c>
      <c r="R257" s="2" t="s">
        <v>12</v>
      </c>
      <c r="S257" s="2" t="s">
        <v>12</v>
      </c>
      <c r="T257" s="2" t="s">
        <v>12</v>
      </c>
      <c r="U257" s="2" t="s">
        <v>12</v>
      </c>
      <c r="V257" s="2" t="s">
        <v>12</v>
      </c>
      <c r="W257" s="2" t="s">
        <v>12</v>
      </c>
      <c r="X257" s="2" t="s">
        <v>12</v>
      </c>
      <c r="Y257" s="2" t="s">
        <v>12</v>
      </c>
      <c r="Z257" s="2" t="s">
        <v>12</v>
      </c>
      <c r="AA257" s="2" t="s">
        <v>12</v>
      </c>
      <c r="AB257" s="2" t="s">
        <v>12</v>
      </c>
      <c r="AC257" s="2" t="s">
        <v>12</v>
      </c>
      <c r="AD257" t="s">
        <v>12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t="s">
        <v>12</v>
      </c>
      <c r="AR257" t="s">
        <v>12</v>
      </c>
      <c r="AS257" t="s">
        <v>12</v>
      </c>
      <c r="AT257" t="s">
        <v>12</v>
      </c>
      <c r="AU257" t="s">
        <v>12</v>
      </c>
      <c r="AV257" t="s">
        <v>12</v>
      </c>
      <c r="AW257" t="s">
        <v>12</v>
      </c>
      <c r="AX257" t="s">
        <v>12</v>
      </c>
      <c r="AY257" t="s">
        <v>12</v>
      </c>
      <c r="AZ257" t="s">
        <v>12</v>
      </c>
      <c r="BA257" t="s">
        <v>12</v>
      </c>
      <c r="BB257" t="s">
        <v>12</v>
      </c>
      <c r="BC257" t="s">
        <v>12</v>
      </c>
      <c r="BD257" t="s">
        <v>12</v>
      </c>
      <c r="BF257" s="313" t="s">
        <v>11</v>
      </c>
      <c r="BG257" s="313" t="s">
        <v>11</v>
      </c>
      <c r="BH257" t="s">
        <v>12</v>
      </c>
      <c r="BI257" t="s">
        <v>12</v>
      </c>
      <c r="BJ257" t="s">
        <v>12</v>
      </c>
      <c r="BK257" t="s">
        <v>12</v>
      </c>
      <c r="BL257" t="s">
        <v>12</v>
      </c>
      <c r="BM257" t="s">
        <v>12</v>
      </c>
      <c r="BN257" t="s">
        <v>12</v>
      </c>
      <c r="BO257" t="s">
        <v>12</v>
      </c>
      <c r="BP257" t="s">
        <v>12</v>
      </c>
      <c r="BQ257" t="s">
        <v>12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 s="9" t="s">
        <v>12</v>
      </c>
      <c r="CF257" s="28" t="s">
        <v>12</v>
      </c>
      <c r="CG257" s="28" t="s">
        <v>12</v>
      </c>
      <c r="CH257" s="28" t="s">
        <v>12</v>
      </c>
      <c r="CI257" s="28" t="s">
        <v>12</v>
      </c>
      <c r="CJ257" s="28" t="s">
        <v>12</v>
      </c>
      <c r="CK257" s="28" t="s">
        <v>12</v>
      </c>
      <c r="CL257" s="28" t="s">
        <v>12</v>
      </c>
      <c r="CM257" s="28" t="s">
        <v>12</v>
      </c>
      <c r="CN257" s="28" t="s">
        <v>12</v>
      </c>
      <c r="CO257" s="28" t="s">
        <v>12</v>
      </c>
      <c r="CP257" s="28" t="s">
        <v>12</v>
      </c>
      <c r="CQ257" s="28" t="s">
        <v>12</v>
      </c>
      <c r="CR257" s="28" t="s">
        <v>12</v>
      </c>
      <c r="CS257" s="28" t="s">
        <v>12</v>
      </c>
      <c r="CT257" s="28" t="s">
        <v>12</v>
      </c>
      <c r="CU257" s="28" t="s">
        <v>12</v>
      </c>
      <c r="CV257" s="28" t="s">
        <v>12</v>
      </c>
      <c r="CW257" s="28" t="s">
        <v>12</v>
      </c>
      <c r="CX257" s="28" t="s">
        <v>12</v>
      </c>
      <c r="CY257" s="28" t="s">
        <v>12</v>
      </c>
      <c r="CZ257" s="28" t="s">
        <v>12</v>
      </c>
      <c r="DA257" s="28" t="s">
        <v>12</v>
      </c>
      <c r="DB257" s="313">
        <v>42</v>
      </c>
      <c r="DC257" s="313" t="s">
        <v>63</v>
      </c>
      <c r="DD257" s="386" t="s">
        <v>12</v>
      </c>
      <c r="DE257" s="386" t="s">
        <v>12</v>
      </c>
      <c r="DF257" s="386" t="s">
        <v>12</v>
      </c>
      <c r="DG257" s="386" t="s">
        <v>12</v>
      </c>
      <c r="DH257" s="386" t="s">
        <v>12</v>
      </c>
      <c r="DI257" s="386" t="s">
        <v>12</v>
      </c>
      <c r="DJ257" s="386" t="s">
        <v>12</v>
      </c>
      <c r="DK257" s="386" t="s">
        <v>12</v>
      </c>
      <c r="DL257" s="386" t="s">
        <v>12</v>
      </c>
      <c r="DM257" s="386" t="s">
        <v>12</v>
      </c>
      <c r="DN257" s="7" t="s">
        <v>12</v>
      </c>
      <c r="DO257" s="7" t="s">
        <v>12</v>
      </c>
      <c r="DP257" s="7" t="s">
        <v>12</v>
      </c>
      <c r="DQ257" s="7" t="s">
        <v>12</v>
      </c>
      <c r="DR257" s="7" t="s">
        <v>12</v>
      </c>
      <c r="DS257" s="7" t="s">
        <v>12</v>
      </c>
      <c r="DT257" s="7" t="s">
        <v>12</v>
      </c>
      <c r="DU257" s="7" t="s">
        <v>12</v>
      </c>
      <c r="DV257" s="7" t="s">
        <v>12</v>
      </c>
      <c r="DW257" s="7" t="s">
        <v>12</v>
      </c>
      <c r="DY257" s="9">
        <v>70291160</v>
      </c>
      <c r="EI257" s="423" t="s">
        <v>12</v>
      </c>
      <c r="EJ257" s="423" t="s">
        <v>12</v>
      </c>
      <c r="EK257" s="423" t="s">
        <v>12</v>
      </c>
      <c r="EL257" s="423" t="s">
        <v>12</v>
      </c>
      <c r="EM257" s="423" t="s">
        <v>12</v>
      </c>
      <c r="EN257" s="423" t="s">
        <v>12</v>
      </c>
      <c r="EO257" s="423" t="s">
        <v>12</v>
      </c>
      <c r="EP257" s="423" t="s">
        <v>12</v>
      </c>
      <c r="EQ257" s="423" t="s">
        <v>12</v>
      </c>
      <c r="ER257" s="423" t="s">
        <v>12</v>
      </c>
      <c r="ES257" s="438" t="s">
        <v>12</v>
      </c>
      <c r="ET257" s="438" t="s">
        <v>12</v>
      </c>
      <c r="EU257" s="438" t="s">
        <v>12</v>
      </c>
      <c r="EV257" s="438" t="s">
        <v>12</v>
      </c>
      <c r="EW257" s="438" t="s">
        <v>12</v>
      </c>
      <c r="EX257" s="438" t="s">
        <v>12</v>
      </c>
      <c r="EY257" s="438" t="s">
        <v>12</v>
      </c>
      <c r="EZ257" s="438" t="s">
        <v>12</v>
      </c>
      <c r="FA257" s="438" t="s">
        <v>12</v>
      </c>
      <c r="FB257" s="438" t="s">
        <v>12</v>
      </c>
      <c r="FC257" s="346">
        <v>0</v>
      </c>
      <c r="FD257" s="346">
        <v>0</v>
      </c>
      <c r="FE257" s="346">
        <v>0</v>
      </c>
      <c r="FF257" s="346">
        <v>0</v>
      </c>
      <c r="FG257" s="346">
        <v>0</v>
      </c>
      <c r="FH257" s="346">
        <v>0</v>
      </c>
      <c r="FI257" s="346">
        <v>0</v>
      </c>
      <c r="FJ257" s="346">
        <v>0</v>
      </c>
      <c r="FK257" s="346">
        <v>0</v>
      </c>
      <c r="FL257" s="346">
        <v>0</v>
      </c>
    </row>
    <row r="258" spans="1:168" x14ac:dyDescent="0.25">
      <c r="A258" s="238">
        <v>7</v>
      </c>
      <c r="B258" s="238" t="s">
        <v>770</v>
      </c>
      <c r="C258" s="241" t="s">
        <v>11</v>
      </c>
      <c r="D258" s="241" t="s">
        <v>11</v>
      </c>
      <c r="E258" s="241" t="s">
        <v>11</v>
      </c>
      <c r="F258" s="241" t="s">
        <v>11</v>
      </c>
      <c r="G258" s="241" t="s">
        <v>11</v>
      </c>
      <c r="H258" s="241" t="s">
        <v>11</v>
      </c>
      <c r="I258" s="241" t="s">
        <v>11</v>
      </c>
      <c r="J258" s="241" t="s">
        <v>11</v>
      </c>
      <c r="K258" s="241" t="s">
        <v>11</v>
      </c>
      <c r="L258" s="241" t="s">
        <v>11</v>
      </c>
      <c r="N258">
        <v>43</v>
      </c>
      <c r="O258" t="s">
        <v>65</v>
      </c>
      <c r="P258" t="s">
        <v>65</v>
      </c>
      <c r="Q258" t="s">
        <v>23</v>
      </c>
      <c r="R258" s="2" t="s">
        <v>12</v>
      </c>
      <c r="S258" s="2" t="s">
        <v>12</v>
      </c>
      <c r="T258" s="2" t="s">
        <v>12</v>
      </c>
      <c r="U258" s="2" t="s">
        <v>12</v>
      </c>
      <c r="V258" s="2" t="s">
        <v>12</v>
      </c>
      <c r="W258" s="2" t="s">
        <v>12</v>
      </c>
      <c r="X258" s="2" t="s">
        <v>12</v>
      </c>
      <c r="Y258" s="2" t="s">
        <v>12</v>
      </c>
      <c r="Z258" s="2" t="s">
        <v>12</v>
      </c>
      <c r="AA258" s="2" t="s">
        <v>12</v>
      </c>
      <c r="AB258" s="2" t="s">
        <v>12</v>
      </c>
      <c r="AC258" s="2" t="s">
        <v>12</v>
      </c>
      <c r="AD258" t="s">
        <v>12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t="s">
        <v>12</v>
      </c>
      <c r="AR258" t="s">
        <v>12</v>
      </c>
      <c r="AS258" t="s">
        <v>12</v>
      </c>
      <c r="AT258" t="s">
        <v>12</v>
      </c>
      <c r="AU258" t="s">
        <v>12</v>
      </c>
      <c r="AV258" t="s">
        <v>12</v>
      </c>
      <c r="AW258" t="s">
        <v>12</v>
      </c>
      <c r="AX258" t="s">
        <v>12</v>
      </c>
      <c r="AY258" t="s">
        <v>12</v>
      </c>
      <c r="AZ258" t="s">
        <v>12</v>
      </c>
      <c r="BA258" t="s">
        <v>12</v>
      </c>
      <c r="BB258" t="s">
        <v>12</v>
      </c>
      <c r="BC258" t="s">
        <v>12</v>
      </c>
      <c r="BD258" t="s">
        <v>12</v>
      </c>
      <c r="BF258" s="313" t="s">
        <v>11</v>
      </c>
      <c r="BG258" s="313" t="s">
        <v>11</v>
      </c>
      <c r="BH258" t="s">
        <v>12</v>
      </c>
      <c r="BI258" t="s">
        <v>12</v>
      </c>
      <c r="BJ258" t="s">
        <v>12</v>
      </c>
      <c r="BK258" t="s">
        <v>12</v>
      </c>
      <c r="BL258" t="s">
        <v>12</v>
      </c>
      <c r="BM258" t="s">
        <v>12</v>
      </c>
      <c r="BN258" t="s">
        <v>12</v>
      </c>
      <c r="BO258" t="s">
        <v>12</v>
      </c>
      <c r="BP258" t="s">
        <v>12</v>
      </c>
      <c r="BQ258" t="s">
        <v>12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 s="9" t="s">
        <v>12</v>
      </c>
      <c r="CF258" s="28" t="s">
        <v>12</v>
      </c>
      <c r="CG258" s="28" t="s">
        <v>12</v>
      </c>
      <c r="CH258" s="28" t="s">
        <v>12</v>
      </c>
      <c r="CI258" s="28" t="s">
        <v>12</v>
      </c>
      <c r="CJ258" s="28" t="s">
        <v>12</v>
      </c>
      <c r="CK258" s="28" t="s">
        <v>12</v>
      </c>
      <c r="CL258" s="28" t="s">
        <v>12</v>
      </c>
      <c r="CM258" s="28" t="s">
        <v>12</v>
      </c>
      <c r="CN258" s="28" t="s">
        <v>12</v>
      </c>
      <c r="CO258" s="28" t="s">
        <v>12</v>
      </c>
      <c r="CP258" s="28" t="s">
        <v>12</v>
      </c>
      <c r="CQ258" s="28" t="s">
        <v>12</v>
      </c>
      <c r="CR258" s="28" t="s">
        <v>12</v>
      </c>
      <c r="CS258" s="28" t="s">
        <v>12</v>
      </c>
      <c r="CT258" s="28" t="s">
        <v>12</v>
      </c>
      <c r="CU258" s="28" t="s">
        <v>12</v>
      </c>
      <c r="CV258" s="28" t="s">
        <v>12</v>
      </c>
      <c r="CW258" s="28" t="s">
        <v>12</v>
      </c>
      <c r="CX258" s="28" t="s">
        <v>12</v>
      </c>
      <c r="CY258" s="28" t="s">
        <v>12</v>
      </c>
      <c r="CZ258" s="28" t="s">
        <v>12</v>
      </c>
      <c r="DA258" s="28" t="s">
        <v>12</v>
      </c>
      <c r="DB258" s="313">
        <v>43</v>
      </c>
      <c r="DC258" s="313" t="s">
        <v>65</v>
      </c>
      <c r="DD258" s="386" t="s">
        <v>12</v>
      </c>
      <c r="DE258" s="386" t="s">
        <v>12</v>
      </c>
      <c r="DF258" s="386" t="s">
        <v>12</v>
      </c>
      <c r="DG258" s="386" t="s">
        <v>12</v>
      </c>
      <c r="DH258" s="386" t="s">
        <v>12</v>
      </c>
      <c r="DI258" s="386" t="s">
        <v>12</v>
      </c>
      <c r="DJ258" s="386" t="s">
        <v>12</v>
      </c>
      <c r="DK258" s="386" t="s">
        <v>12</v>
      </c>
      <c r="DL258" s="386" t="s">
        <v>12</v>
      </c>
      <c r="DM258" s="386" t="s">
        <v>12</v>
      </c>
      <c r="DN258" s="7" t="s">
        <v>12</v>
      </c>
      <c r="DO258" s="7" t="s">
        <v>12</v>
      </c>
      <c r="DP258" s="7" t="s">
        <v>12</v>
      </c>
      <c r="DQ258" s="7" t="s">
        <v>12</v>
      </c>
      <c r="DR258" s="7" t="s">
        <v>12</v>
      </c>
      <c r="DS258" s="7" t="s">
        <v>12</v>
      </c>
      <c r="DT258" s="7" t="s">
        <v>12</v>
      </c>
      <c r="DU258" s="7" t="s">
        <v>12</v>
      </c>
      <c r="DV258" s="7" t="s">
        <v>12</v>
      </c>
      <c r="DW258" s="7" t="s">
        <v>12</v>
      </c>
      <c r="DY258" s="9">
        <v>5591572</v>
      </c>
      <c r="EI258" s="423" t="s">
        <v>12</v>
      </c>
      <c r="EJ258" s="423" t="s">
        <v>12</v>
      </c>
      <c r="EK258" s="423" t="s">
        <v>12</v>
      </c>
      <c r="EL258" s="423" t="s">
        <v>12</v>
      </c>
      <c r="EM258" s="423" t="s">
        <v>12</v>
      </c>
      <c r="EN258" s="423" t="s">
        <v>12</v>
      </c>
      <c r="EO258" s="423" t="s">
        <v>12</v>
      </c>
      <c r="EP258" s="423" t="s">
        <v>12</v>
      </c>
      <c r="EQ258" s="423" t="s">
        <v>12</v>
      </c>
      <c r="ER258" s="423" t="s">
        <v>12</v>
      </c>
      <c r="ES258" s="438" t="s">
        <v>12</v>
      </c>
      <c r="ET258" s="438" t="s">
        <v>12</v>
      </c>
      <c r="EU258" s="438" t="s">
        <v>12</v>
      </c>
      <c r="EV258" s="438" t="s">
        <v>12</v>
      </c>
      <c r="EW258" s="438" t="s">
        <v>12</v>
      </c>
      <c r="EX258" s="438" t="s">
        <v>12</v>
      </c>
      <c r="EY258" s="438" t="s">
        <v>12</v>
      </c>
      <c r="EZ258" s="438" t="s">
        <v>12</v>
      </c>
      <c r="FA258" s="438" t="s">
        <v>12</v>
      </c>
      <c r="FB258" s="438" t="s">
        <v>12</v>
      </c>
      <c r="FC258" s="346">
        <v>0</v>
      </c>
      <c r="FD258" s="346">
        <v>0</v>
      </c>
      <c r="FE258" s="346">
        <v>0</v>
      </c>
      <c r="FF258" s="346">
        <v>0</v>
      </c>
      <c r="FG258" s="346">
        <v>0</v>
      </c>
      <c r="FH258" s="346">
        <v>0</v>
      </c>
      <c r="FI258" s="346">
        <v>0</v>
      </c>
      <c r="FJ258" s="346">
        <v>0</v>
      </c>
      <c r="FK258" s="346">
        <v>0</v>
      </c>
      <c r="FL258" s="346">
        <v>0</v>
      </c>
    </row>
    <row r="259" spans="1:168" x14ac:dyDescent="0.25">
      <c r="A259" s="238">
        <v>8</v>
      </c>
      <c r="B259" s="238" t="s">
        <v>771</v>
      </c>
      <c r="C259" s="241" t="s">
        <v>11</v>
      </c>
      <c r="D259" s="241" t="s">
        <v>11</v>
      </c>
      <c r="E259" s="241" t="s">
        <v>11</v>
      </c>
      <c r="F259" s="241" t="s">
        <v>11</v>
      </c>
      <c r="G259" s="241" t="s">
        <v>11</v>
      </c>
      <c r="H259" s="241" t="s">
        <v>11</v>
      </c>
      <c r="I259" s="241" t="s">
        <v>11</v>
      </c>
      <c r="J259" s="241" t="s">
        <v>11</v>
      </c>
      <c r="K259" s="241" t="s">
        <v>11</v>
      </c>
      <c r="L259" s="241" t="s">
        <v>11</v>
      </c>
      <c r="N259">
        <v>44</v>
      </c>
      <c r="O259" t="s">
        <v>66</v>
      </c>
      <c r="P259" t="s">
        <v>66</v>
      </c>
      <c r="Q259" t="s">
        <v>14</v>
      </c>
      <c r="R259" s="2" t="s">
        <v>12</v>
      </c>
      <c r="S259" s="2" t="s">
        <v>12</v>
      </c>
      <c r="T259" s="2" t="s">
        <v>12</v>
      </c>
      <c r="U259" s="2" t="s">
        <v>12</v>
      </c>
      <c r="V259" s="2" t="s">
        <v>12</v>
      </c>
      <c r="W259" s="2" t="s">
        <v>12</v>
      </c>
      <c r="X259" s="2" t="s">
        <v>12</v>
      </c>
      <c r="Y259" s="2" t="s">
        <v>12</v>
      </c>
      <c r="Z259" s="2" t="s">
        <v>12</v>
      </c>
      <c r="AA259" s="2" t="s">
        <v>12</v>
      </c>
      <c r="AB259" s="2" t="s">
        <v>12</v>
      </c>
      <c r="AC259" s="2" t="s">
        <v>12</v>
      </c>
      <c r="AD259" t="s">
        <v>12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t="s">
        <v>12</v>
      </c>
      <c r="AR259" t="s">
        <v>12</v>
      </c>
      <c r="AS259" t="s">
        <v>12</v>
      </c>
      <c r="AT259" t="s">
        <v>12</v>
      </c>
      <c r="AU259" t="s">
        <v>12</v>
      </c>
      <c r="AV259" t="s">
        <v>12</v>
      </c>
      <c r="AW259" t="s">
        <v>12</v>
      </c>
      <c r="AX259" t="s">
        <v>12</v>
      </c>
      <c r="AY259" t="s">
        <v>12</v>
      </c>
      <c r="AZ259" t="s">
        <v>12</v>
      </c>
      <c r="BA259" t="s">
        <v>12</v>
      </c>
      <c r="BB259" t="s">
        <v>12</v>
      </c>
      <c r="BC259" t="s">
        <v>12</v>
      </c>
      <c r="BD259" t="s">
        <v>12</v>
      </c>
      <c r="BF259" s="313" t="s">
        <v>11</v>
      </c>
      <c r="BG259" s="313" t="s">
        <v>11</v>
      </c>
      <c r="BH259" t="s">
        <v>12</v>
      </c>
      <c r="BI259" t="s">
        <v>12</v>
      </c>
      <c r="BJ259" t="s">
        <v>12</v>
      </c>
      <c r="BK259" t="s">
        <v>12</v>
      </c>
      <c r="BL259" t="s">
        <v>12</v>
      </c>
      <c r="BM259" t="s">
        <v>12</v>
      </c>
      <c r="BN259" t="s">
        <v>12</v>
      </c>
      <c r="BO259" t="s">
        <v>12</v>
      </c>
      <c r="BP259" t="s">
        <v>12</v>
      </c>
      <c r="BQ259" t="s">
        <v>12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 s="9" t="s">
        <v>12</v>
      </c>
      <c r="CF259" s="28" t="s">
        <v>12</v>
      </c>
      <c r="CG259" s="28" t="s">
        <v>12</v>
      </c>
      <c r="CH259" s="28" t="s">
        <v>12</v>
      </c>
      <c r="CI259" s="28" t="s">
        <v>12</v>
      </c>
      <c r="CJ259" s="28" t="s">
        <v>12</v>
      </c>
      <c r="CK259" s="28" t="s">
        <v>12</v>
      </c>
      <c r="CL259" s="28" t="s">
        <v>12</v>
      </c>
      <c r="CM259" s="28" t="s">
        <v>12</v>
      </c>
      <c r="CN259" s="28" t="s">
        <v>12</v>
      </c>
      <c r="CO259" s="28" t="s">
        <v>12</v>
      </c>
      <c r="CP259" s="28" t="s">
        <v>12</v>
      </c>
      <c r="CQ259" s="28" t="s">
        <v>12</v>
      </c>
      <c r="CR259" s="28" t="s">
        <v>12</v>
      </c>
      <c r="CS259" s="28" t="s">
        <v>12</v>
      </c>
      <c r="CT259" s="28" t="s">
        <v>12</v>
      </c>
      <c r="CU259" s="28" t="s">
        <v>12</v>
      </c>
      <c r="CV259" s="28" t="s">
        <v>12</v>
      </c>
      <c r="CW259" s="28" t="s">
        <v>12</v>
      </c>
      <c r="CX259" s="28" t="s">
        <v>12</v>
      </c>
      <c r="CY259" s="28" t="s">
        <v>12</v>
      </c>
      <c r="CZ259" s="28" t="s">
        <v>12</v>
      </c>
      <c r="DA259" s="28" t="s">
        <v>12</v>
      </c>
      <c r="DB259" s="313">
        <v>44</v>
      </c>
      <c r="DC259" s="313" t="s">
        <v>66</v>
      </c>
      <c r="DD259" s="386" t="s">
        <v>12</v>
      </c>
      <c r="DE259" s="386" t="s">
        <v>12</v>
      </c>
      <c r="DF259" s="386" t="s">
        <v>12</v>
      </c>
      <c r="DG259" s="386" t="s">
        <v>12</v>
      </c>
      <c r="DH259" s="386" t="s">
        <v>12</v>
      </c>
      <c r="DI259" s="386" t="s">
        <v>12</v>
      </c>
      <c r="DJ259" s="386" t="s">
        <v>12</v>
      </c>
      <c r="DK259" s="386" t="s">
        <v>12</v>
      </c>
      <c r="DL259" s="386" t="s">
        <v>12</v>
      </c>
      <c r="DM259" s="386" t="s">
        <v>12</v>
      </c>
      <c r="DN259" s="7" t="s">
        <v>12</v>
      </c>
      <c r="DO259" s="7" t="s">
        <v>12</v>
      </c>
      <c r="DP259" s="7" t="s">
        <v>12</v>
      </c>
      <c r="DQ259" s="7" t="s">
        <v>12</v>
      </c>
      <c r="DR259" s="7" t="s">
        <v>12</v>
      </c>
      <c r="DS259" s="7" t="s">
        <v>12</v>
      </c>
      <c r="DT259" s="7" t="s">
        <v>12</v>
      </c>
      <c r="DU259" s="7" t="s">
        <v>12</v>
      </c>
      <c r="DV259" s="7" t="s">
        <v>12</v>
      </c>
      <c r="DW259" s="7" t="s">
        <v>12</v>
      </c>
      <c r="DY259" s="9">
        <v>853069</v>
      </c>
      <c r="EI259" s="423" t="s">
        <v>12</v>
      </c>
      <c r="EJ259" s="423" t="s">
        <v>12</v>
      </c>
      <c r="EK259" s="423" t="s">
        <v>12</v>
      </c>
      <c r="EL259" s="423" t="s">
        <v>12</v>
      </c>
      <c r="EM259" s="423" t="s">
        <v>12</v>
      </c>
      <c r="EN259" s="423" t="s">
        <v>12</v>
      </c>
      <c r="EO259" s="423" t="s">
        <v>12</v>
      </c>
      <c r="EP259" s="423" t="s">
        <v>12</v>
      </c>
      <c r="EQ259" s="423" t="s">
        <v>12</v>
      </c>
      <c r="ER259" s="423" t="s">
        <v>12</v>
      </c>
      <c r="ES259" s="438" t="s">
        <v>12</v>
      </c>
      <c r="ET259" s="438" t="s">
        <v>12</v>
      </c>
      <c r="EU259" s="438" t="s">
        <v>12</v>
      </c>
      <c r="EV259" s="438" t="s">
        <v>12</v>
      </c>
      <c r="EW259" s="438" t="s">
        <v>12</v>
      </c>
      <c r="EX259" s="438" t="s">
        <v>12</v>
      </c>
      <c r="EY259" s="438" t="s">
        <v>12</v>
      </c>
      <c r="EZ259" s="438" t="s">
        <v>12</v>
      </c>
      <c r="FA259" s="438" t="s">
        <v>12</v>
      </c>
      <c r="FB259" s="438" t="s">
        <v>12</v>
      </c>
      <c r="FC259" s="346">
        <v>0</v>
      </c>
      <c r="FD259" s="346">
        <v>0</v>
      </c>
      <c r="FE259" s="346">
        <v>0</v>
      </c>
      <c r="FF259" s="346">
        <v>0</v>
      </c>
      <c r="FG259" s="346">
        <v>0</v>
      </c>
      <c r="FH259" s="346">
        <v>0</v>
      </c>
      <c r="FI259" s="346">
        <v>0</v>
      </c>
      <c r="FJ259" s="346">
        <v>0</v>
      </c>
      <c r="FK259" s="346">
        <v>0</v>
      </c>
      <c r="FL259" s="346">
        <v>0</v>
      </c>
    </row>
    <row r="260" spans="1:168" x14ac:dyDescent="0.25">
      <c r="A260" s="238">
        <v>9</v>
      </c>
      <c r="B260" s="238" t="s">
        <v>772</v>
      </c>
      <c r="C260" s="241" t="s">
        <v>11</v>
      </c>
      <c r="D260" s="241" t="s">
        <v>11</v>
      </c>
      <c r="E260" s="241" t="s">
        <v>11</v>
      </c>
      <c r="F260" s="241" t="s">
        <v>11</v>
      </c>
      <c r="G260" s="241" t="s">
        <v>11</v>
      </c>
      <c r="H260" s="241" t="s">
        <v>11</v>
      </c>
      <c r="I260" s="241" t="s">
        <v>11</v>
      </c>
      <c r="J260" s="241" t="s">
        <v>11</v>
      </c>
      <c r="K260" s="241" t="s">
        <v>11</v>
      </c>
      <c r="L260" s="241" t="s">
        <v>11</v>
      </c>
      <c r="N260">
        <v>45</v>
      </c>
      <c r="O260" t="s">
        <v>67</v>
      </c>
      <c r="P260" t="s">
        <v>67</v>
      </c>
      <c r="Q260" t="s">
        <v>16</v>
      </c>
      <c r="R260" s="2" t="s">
        <v>12</v>
      </c>
      <c r="S260" s="2" t="s">
        <v>12</v>
      </c>
      <c r="T260" s="2" t="s">
        <v>12</v>
      </c>
      <c r="U260" s="2" t="s">
        <v>12</v>
      </c>
      <c r="V260" s="2" t="s">
        <v>12</v>
      </c>
      <c r="W260" s="2" t="s">
        <v>12</v>
      </c>
      <c r="X260" s="2" t="s">
        <v>12</v>
      </c>
      <c r="Y260" s="2" t="s">
        <v>12</v>
      </c>
      <c r="Z260" s="2" t="s">
        <v>12</v>
      </c>
      <c r="AA260" s="2" t="s">
        <v>12</v>
      </c>
      <c r="AB260" s="2" t="s">
        <v>12</v>
      </c>
      <c r="AC260" s="2" t="s">
        <v>12</v>
      </c>
      <c r="AD260" t="s">
        <v>12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t="s">
        <v>12</v>
      </c>
      <c r="AR260" t="s">
        <v>12</v>
      </c>
      <c r="AS260" t="s">
        <v>12</v>
      </c>
      <c r="AT260" t="s">
        <v>12</v>
      </c>
      <c r="AU260" t="s">
        <v>12</v>
      </c>
      <c r="AV260" t="s">
        <v>12</v>
      </c>
      <c r="AW260" t="s">
        <v>12</v>
      </c>
      <c r="AX260" t="s">
        <v>12</v>
      </c>
      <c r="AY260" t="s">
        <v>12</v>
      </c>
      <c r="AZ260" t="s">
        <v>12</v>
      </c>
      <c r="BA260" t="s">
        <v>12</v>
      </c>
      <c r="BB260" t="s">
        <v>12</v>
      </c>
      <c r="BC260" t="s">
        <v>12</v>
      </c>
      <c r="BD260" t="s">
        <v>12</v>
      </c>
      <c r="BF260" s="313" t="s">
        <v>11</v>
      </c>
      <c r="BG260" s="313" t="s">
        <v>11</v>
      </c>
      <c r="BH260" t="s">
        <v>12</v>
      </c>
      <c r="BI260" t="s">
        <v>12</v>
      </c>
      <c r="BJ260" t="s">
        <v>12</v>
      </c>
      <c r="BK260" t="s">
        <v>12</v>
      </c>
      <c r="BL260" t="s">
        <v>12</v>
      </c>
      <c r="BM260" t="s">
        <v>12</v>
      </c>
      <c r="BN260" t="s">
        <v>12</v>
      </c>
      <c r="BO260" t="s">
        <v>12</v>
      </c>
      <c r="BP260" t="s">
        <v>12</v>
      </c>
      <c r="BQ260" t="s">
        <v>12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 s="9" t="s">
        <v>12</v>
      </c>
      <c r="CF260" s="28" t="s">
        <v>12</v>
      </c>
      <c r="CG260" s="28" t="s">
        <v>12</v>
      </c>
      <c r="CH260" s="28" t="s">
        <v>12</v>
      </c>
      <c r="CI260" s="28" t="s">
        <v>12</v>
      </c>
      <c r="CJ260" s="28" t="s">
        <v>12</v>
      </c>
      <c r="CK260" s="28" t="s">
        <v>12</v>
      </c>
      <c r="CL260" s="28" t="s">
        <v>12</v>
      </c>
      <c r="CM260" s="28" t="s">
        <v>12</v>
      </c>
      <c r="CN260" s="28" t="s">
        <v>12</v>
      </c>
      <c r="CO260" s="28" t="s">
        <v>12</v>
      </c>
      <c r="CP260" s="28" t="s">
        <v>12</v>
      </c>
      <c r="CQ260" s="28" t="s">
        <v>12</v>
      </c>
      <c r="CR260" s="28" t="s">
        <v>12</v>
      </c>
      <c r="CS260" s="28" t="s">
        <v>12</v>
      </c>
      <c r="CT260" s="28" t="s">
        <v>12</v>
      </c>
      <c r="CU260" s="28" t="s">
        <v>12</v>
      </c>
      <c r="CV260" s="28" t="s">
        <v>12</v>
      </c>
      <c r="CW260" s="28" t="s">
        <v>12</v>
      </c>
      <c r="CX260" s="28" t="s">
        <v>12</v>
      </c>
      <c r="CY260" s="28" t="s">
        <v>12</v>
      </c>
      <c r="CZ260" s="28" t="s">
        <v>12</v>
      </c>
      <c r="DA260" s="28" t="s">
        <v>12</v>
      </c>
      <c r="DB260" s="313">
        <v>45</v>
      </c>
      <c r="DC260" s="313" t="s">
        <v>67</v>
      </c>
      <c r="DD260" s="386" t="s">
        <v>12</v>
      </c>
      <c r="DE260" s="386" t="s">
        <v>12</v>
      </c>
      <c r="DF260" s="386" t="s">
        <v>12</v>
      </c>
      <c r="DG260" s="386" t="s">
        <v>12</v>
      </c>
      <c r="DH260" s="386" t="s">
        <v>12</v>
      </c>
      <c r="DI260" s="386" t="s">
        <v>12</v>
      </c>
      <c r="DJ260" s="386" t="s">
        <v>12</v>
      </c>
      <c r="DK260" s="386" t="s">
        <v>12</v>
      </c>
      <c r="DL260" s="386" t="s">
        <v>12</v>
      </c>
      <c r="DM260" s="386" t="s">
        <v>12</v>
      </c>
      <c r="DN260" s="7" t="s">
        <v>12</v>
      </c>
      <c r="DO260" s="7" t="s">
        <v>12</v>
      </c>
      <c r="DP260" s="7" t="s">
        <v>12</v>
      </c>
      <c r="DQ260" s="7" t="s">
        <v>12</v>
      </c>
      <c r="DR260" s="7" t="s">
        <v>12</v>
      </c>
      <c r="DS260" s="7" t="s">
        <v>12</v>
      </c>
      <c r="DT260" s="7" t="s">
        <v>12</v>
      </c>
      <c r="DU260" s="7" t="s">
        <v>12</v>
      </c>
      <c r="DV260" s="7" t="s">
        <v>12</v>
      </c>
      <c r="DW260" s="7" t="s">
        <v>12</v>
      </c>
      <c r="DY260" s="9">
        <v>71685</v>
      </c>
      <c r="EI260" s="423" t="s">
        <v>12</v>
      </c>
      <c r="EJ260" s="423" t="s">
        <v>12</v>
      </c>
      <c r="EK260" s="423" t="s">
        <v>12</v>
      </c>
      <c r="EL260" s="423" t="s">
        <v>12</v>
      </c>
      <c r="EM260" s="423" t="s">
        <v>12</v>
      </c>
      <c r="EN260" s="423" t="s">
        <v>12</v>
      </c>
      <c r="EO260" s="423" t="s">
        <v>12</v>
      </c>
      <c r="EP260" s="423" t="s">
        <v>12</v>
      </c>
      <c r="EQ260" s="423" t="s">
        <v>12</v>
      </c>
      <c r="ER260" s="423" t="s">
        <v>12</v>
      </c>
      <c r="ES260" s="438" t="s">
        <v>12</v>
      </c>
      <c r="ET260" s="438" t="s">
        <v>12</v>
      </c>
      <c r="EU260" s="438" t="s">
        <v>12</v>
      </c>
      <c r="EV260" s="438" t="s">
        <v>12</v>
      </c>
      <c r="EW260" s="438" t="s">
        <v>12</v>
      </c>
      <c r="EX260" s="438" t="s">
        <v>12</v>
      </c>
      <c r="EY260" s="438" t="s">
        <v>12</v>
      </c>
      <c r="EZ260" s="438" t="s">
        <v>12</v>
      </c>
      <c r="FA260" s="438" t="s">
        <v>12</v>
      </c>
      <c r="FB260" s="438" t="s">
        <v>12</v>
      </c>
      <c r="FC260" s="346">
        <v>0</v>
      </c>
      <c r="FD260" s="346">
        <v>0</v>
      </c>
      <c r="FE260" s="346">
        <v>0</v>
      </c>
      <c r="FF260" s="346">
        <v>0</v>
      </c>
      <c r="FG260" s="346">
        <v>0</v>
      </c>
      <c r="FH260" s="346">
        <v>0</v>
      </c>
      <c r="FI260" s="346">
        <v>0</v>
      </c>
      <c r="FJ260" s="346">
        <v>0</v>
      </c>
      <c r="FK260" s="346">
        <v>0</v>
      </c>
      <c r="FL260" s="346">
        <v>0</v>
      </c>
    </row>
    <row r="261" spans="1:168" x14ac:dyDescent="0.25">
      <c r="A261" s="238">
        <v>10</v>
      </c>
      <c r="B261" s="238" t="s">
        <v>773</v>
      </c>
      <c r="C261" s="241" t="s">
        <v>11</v>
      </c>
      <c r="D261" s="241" t="s">
        <v>11</v>
      </c>
      <c r="E261" s="241" t="s">
        <v>11</v>
      </c>
      <c r="F261" s="241" t="s">
        <v>11</v>
      </c>
      <c r="G261" s="241" t="s">
        <v>11</v>
      </c>
      <c r="H261" s="241" t="s">
        <v>11</v>
      </c>
      <c r="I261" s="241" t="s">
        <v>11</v>
      </c>
      <c r="J261" s="241" t="s">
        <v>11</v>
      </c>
      <c r="K261" s="241" t="s">
        <v>11</v>
      </c>
      <c r="L261" s="241" t="s">
        <v>11</v>
      </c>
      <c r="N261">
        <v>46</v>
      </c>
      <c r="O261" t="s">
        <v>68</v>
      </c>
      <c r="P261" t="s">
        <v>69</v>
      </c>
      <c r="Q261" t="s">
        <v>16</v>
      </c>
      <c r="R261" s="2" t="s">
        <v>12</v>
      </c>
      <c r="S261" s="2" t="s">
        <v>12</v>
      </c>
      <c r="T261" s="2" t="s">
        <v>12</v>
      </c>
      <c r="U261" s="2" t="s">
        <v>12</v>
      </c>
      <c r="V261" s="2" t="s">
        <v>12</v>
      </c>
      <c r="W261" s="2" t="s">
        <v>12</v>
      </c>
      <c r="X261" s="2" t="s">
        <v>12</v>
      </c>
      <c r="Y261" s="2" t="s">
        <v>12</v>
      </c>
      <c r="Z261" s="2" t="s">
        <v>12</v>
      </c>
      <c r="AA261" s="2" t="s">
        <v>12</v>
      </c>
      <c r="AB261" s="2" t="s">
        <v>12</v>
      </c>
      <c r="AC261" s="2" t="s">
        <v>12</v>
      </c>
      <c r="AD261" t="s">
        <v>12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t="s">
        <v>12</v>
      </c>
      <c r="AR261" t="s">
        <v>12</v>
      </c>
      <c r="AS261" t="s">
        <v>12</v>
      </c>
      <c r="AT261" t="s">
        <v>12</v>
      </c>
      <c r="AU261" t="s">
        <v>12</v>
      </c>
      <c r="AV261" t="s">
        <v>12</v>
      </c>
      <c r="AW261" t="s">
        <v>12</v>
      </c>
      <c r="AX261" t="s">
        <v>12</v>
      </c>
      <c r="AY261" t="s">
        <v>12</v>
      </c>
      <c r="AZ261" t="s">
        <v>12</v>
      </c>
      <c r="BA261" t="s">
        <v>12</v>
      </c>
      <c r="BB261" t="s">
        <v>12</v>
      </c>
      <c r="BC261" t="s">
        <v>12</v>
      </c>
      <c r="BD261" t="s">
        <v>12</v>
      </c>
      <c r="BF261" s="313" t="s">
        <v>11</v>
      </c>
      <c r="BG261" s="313" t="s">
        <v>11</v>
      </c>
      <c r="BH261" t="s">
        <v>12</v>
      </c>
      <c r="BI261" t="s">
        <v>12</v>
      </c>
      <c r="BJ261" t="s">
        <v>12</v>
      </c>
      <c r="BK261" t="s">
        <v>12</v>
      </c>
      <c r="BL261" t="s">
        <v>12</v>
      </c>
      <c r="BM261" t="s">
        <v>12</v>
      </c>
      <c r="BN261" t="s">
        <v>12</v>
      </c>
      <c r="BO261" t="s">
        <v>12</v>
      </c>
      <c r="BP261" t="s">
        <v>12</v>
      </c>
      <c r="BQ261" t="s">
        <v>12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 s="9" t="s">
        <v>12</v>
      </c>
      <c r="CF261" s="28" t="s">
        <v>12</v>
      </c>
      <c r="CG261" s="28" t="s">
        <v>12</v>
      </c>
      <c r="CH261" s="28" t="s">
        <v>12</v>
      </c>
      <c r="CI261" s="28" t="s">
        <v>12</v>
      </c>
      <c r="CJ261" s="28" t="s">
        <v>12</v>
      </c>
      <c r="CK261" s="28" t="s">
        <v>12</v>
      </c>
      <c r="CL261" s="28" t="s">
        <v>12</v>
      </c>
      <c r="CM261" s="28" t="s">
        <v>12</v>
      </c>
      <c r="CN261" s="28" t="s">
        <v>12</v>
      </c>
      <c r="CO261" s="28" t="s">
        <v>12</v>
      </c>
      <c r="CP261" s="28" t="s">
        <v>12</v>
      </c>
      <c r="CQ261" s="28" t="s">
        <v>12</v>
      </c>
      <c r="CR261" s="28" t="s">
        <v>12</v>
      </c>
      <c r="CS261" s="28" t="s">
        <v>12</v>
      </c>
      <c r="CT261" s="28" t="s">
        <v>12</v>
      </c>
      <c r="CU261" s="28" t="s">
        <v>12</v>
      </c>
      <c r="CV261" s="28" t="s">
        <v>12</v>
      </c>
      <c r="CW261" s="28" t="s">
        <v>12</v>
      </c>
      <c r="CX261" s="28" t="s">
        <v>12</v>
      </c>
      <c r="CY261" s="28" t="s">
        <v>12</v>
      </c>
      <c r="CZ261" s="28" t="s">
        <v>12</v>
      </c>
      <c r="DA261" s="28" t="s">
        <v>12</v>
      </c>
      <c r="DB261" s="313">
        <v>46</v>
      </c>
      <c r="DC261" s="313" t="s">
        <v>68</v>
      </c>
      <c r="DD261" s="386" t="s">
        <v>12</v>
      </c>
      <c r="DE261" s="386" t="s">
        <v>12</v>
      </c>
      <c r="DF261" s="386" t="s">
        <v>12</v>
      </c>
      <c r="DG261" s="386" t="s">
        <v>12</v>
      </c>
      <c r="DH261" s="386" t="s">
        <v>12</v>
      </c>
      <c r="DI261" s="386" t="s">
        <v>12</v>
      </c>
      <c r="DJ261" s="386" t="s">
        <v>12</v>
      </c>
      <c r="DK261" s="386" t="s">
        <v>12</v>
      </c>
      <c r="DL261" s="386" t="s">
        <v>12</v>
      </c>
      <c r="DM261" s="386" t="s">
        <v>12</v>
      </c>
      <c r="DN261" s="7" t="s">
        <v>12</v>
      </c>
      <c r="DO261" s="7" t="s">
        <v>12</v>
      </c>
      <c r="DP261" s="7" t="s">
        <v>12</v>
      </c>
      <c r="DQ261" s="7" t="s">
        <v>12</v>
      </c>
      <c r="DR261" s="7" t="s">
        <v>12</v>
      </c>
      <c r="DS261" s="7" t="s">
        <v>12</v>
      </c>
      <c r="DT261" s="7" t="s">
        <v>12</v>
      </c>
      <c r="DU261" s="7" t="s">
        <v>12</v>
      </c>
      <c r="DV261" s="7" t="s">
        <v>12</v>
      </c>
      <c r="DW261" s="7" t="s">
        <v>12</v>
      </c>
      <c r="DY261" s="9">
        <v>10155036</v>
      </c>
      <c r="EI261" s="423" t="s">
        <v>12</v>
      </c>
      <c r="EJ261" s="423" t="s">
        <v>12</v>
      </c>
      <c r="EK261" s="423" t="s">
        <v>12</v>
      </c>
      <c r="EL261" s="423" t="s">
        <v>12</v>
      </c>
      <c r="EM261" s="423" t="s">
        <v>12</v>
      </c>
      <c r="EN261" s="423" t="s">
        <v>12</v>
      </c>
      <c r="EO261" s="423" t="s">
        <v>12</v>
      </c>
      <c r="EP261" s="423" t="s">
        <v>12</v>
      </c>
      <c r="EQ261" s="423" t="s">
        <v>12</v>
      </c>
      <c r="ER261" s="423" t="s">
        <v>12</v>
      </c>
      <c r="ES261" s="438" t="s">
        <v>12</v>
      </c>
      <c r="ET261" s="438" t="s">
        <v>12</v>
      </c>
      <c r="EU261" s="438" t="s">
        <v>12</v>
      </c>
      <c r="EV261" s="438" t="s">
        <v>12</v>
      </c>
      <c r="EW261" s="438" t="s">
        <v>12</v>
      </c>
      <c r="EX261" s="438" t="s">
        <v>12</v>
      </c>
      <c r="EY261" s="438" t="s">
        <v>12</v>
      </c>
      <c r="EZ261" s="438" t="s">
        <v>12</v>
      </c>
      <c r="FA261" s="438" t="s">
        <v>12</v>
      </c>
      <c r="FB261" s="438" t="s">
        <v>12</v>
      </c>
      <c r="FC261" s="346">
        <v>0</v>
      </c>
      <c r="FD261" s="346">
        <v>0</v>
      </c>
      <c r="FE261" s="346">
        <v>0</v>
      </c>
      <c r="FF261" s="346">
        <v>0</v>
      </c>
      <c r="FG261" s="346">
        <v>0</v>
      </c>
      <c r="FH261" s="346">
        <v>0</v>
      </c>
      <c r="FI261" s="346">
        <v>0</v>
      </c>
      <c r="FJ261" s="346">
        <v>0</v>
      </c>
      <c r="FK261" s="346">
        <v>0</v>
      </c>
      <c r="FL261" s="346">
        <v>0</v>
      </c>
    </row>
    <row r="262" spans="1:168" x14ac:dyDescent="0.25">
      <c r="N262">
        <v>47</v>
      </c>
      <c r="O262" t="s">
        <v>70</v>
      </c>
      <c r="P262" t="s">
        <v>70</v>
      </c>
      <c r="Q262" t="s">
        <v>18</v>
      </c>
      <c r="R262" s="2" t="s">
        <v>12</v>
      </c>
      <c r="S262" s="2" t="s">
        <v>12</v>
      </c>
      <c r="T262" s="2" t="s">
        <v>12</v>
      </c>
      <c r="U262" s="2" t="s">
        <v>12</v>
      </c>
      <c r="V262" s="2" t="s">
        <v>12</v>
      </c>
      <c r="W262" s="2" t="s">
        <v>12</v>
      </c>
      <c r="X262" s="2" t="s">
        <v>12</v>
      </c>
      <c r="Y262" s="2" t="s">
        <v>12</v>
      </c>
      <c r="Z262" s="2" t="s">
        <v>12</v>
      </c>
      <c r="AA262" s="2" t="s">
        <v>12</v>
      </c>
      <c r="AB262" s="2" t="s">
        <v>12</v>
      </c>
      <c r="AC262" s="2" t="s">
        <v>12</v>
      </c>
      <c r="AD262" t="s">
        <v>12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t="s">
        <v>12</v>
      </c>
      <c r="AR262" t="s">
        <v>12</v>
      </c>
      <c r="AS262" t="s">
        <v>12</v>
      </c>
      <c r="AT262" t="s">
        <v>12</v>
      </c>
      <c r="AU262" t="s">
        <v>12</v>
      </c>
      <c r="AV262" t="s">
        <v>12</v>
      </c>
      <c r="AW262" t="s">
        <v>12</v>
      </c>
      <c r="AX262" t="s">
        <v>12</v>
      </c>
      <c r="AY262" t="s">
        <v>12</v>
      </c>
      <c r="AZ262" t="s">
        <v>12</v>
      </c>
      <c r="BA262" t="s">
        <v>12</v>
      </c>
      <c r="BB262" t="s">
        <v>12</v>
      </c>
      <c r="BC262" t="s">
        <v>12</v>
      </c>
      <c r="BD262" t="s">
        <v>12</v>
      </c>
      <c r="BF262" s="313" t="s">
        <v>11</v>
      </c>
      <c r="BG262" s="313" t="s">
        <v>11</v>
      </c>
      <c r="BH262" t="s">
        <v>12</v>
      </c>
      <c r="BI262" t="s">
        <v>12</v>
      </c>
      <c r="BJ262" t="s">
        <v>12</v>
      </c>
      <c r="BK262" t="s">
        <v>12</v>
      </c>
      <c r="BL262" t="s">
        <v>12</v>
      </c>
      <c r="BM262" t="s">
        <v>12</v>
      </c>
      <c r="BN262" t="s">
        <v>12</v>
      </c>
      <c r="BO262" t="s">
        <v>12</v>
      </c>
      <c r="BP262" t="s">
        <v>12</v>
      </c>
      <c r="BQ262" t="s">
        <v>12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 s="9" t="s">
        <v>12</v>
      </c>
      <c r="CF262" s="28" t="s">
        <v>12</v>
      </c>
      <c r="CG262" s="28" t="s">
        <v>12</v>
      </c>
      <c r="CH262" s="28" t="s">
        <v>12</v>
      </c>
      <c r="CI262" s="28" t="s">
        <v>12</v>
      </c>
      <c r="CJ262" s="28" t="s">
        <v>12</v>
      </c>
      <c r="CK262" s="28" t="s">
        <v>12</v>
      </c>
      <c r="CL262" s="28" t="s">
        <v>12</v>
      </c>
      <c r="CM262" s="28" t="s">
        <v>12</v>
      </c>
      <c r="CN262" s="28" t="s">
        <v>12</v>
      </c>
      <c r="CO262" s="28" t="s">
        <v>12</v>
      </c>
      <c r="CP262" s="28" t="s">
        <v>12</v>
      </c>
      <c r="CQ262" s="28" t="s">
        <v>12</v>
      </c>
      <c r="CR262" s="28" t="s">
        <v>12</v>
      </c>
      <c r="CS262" s="28" t="s">
        <v>12</v>
      </c>
      <c r="CT262" s="28" t="s">
        <v>12</v>
      </c>
      <c r="CU262" s="28" t="s">
        <v>12</v>
      </c>
      <c r="CV262" s="28" t="s">
        <v>12</v>
      </c>
      <c r="CW262" s="28" t="s">
        <v>12</v>
      </c>
      <c r="CX262" s="28" t="s">
        <v>12</v>
      </c>
      <c r="CY262" s="28" t="s">
        <v>12</v>
      </c>
      <c r="CZ262" s="28" t="s">
        <v>12</v>
      </c>
      <c r="DA262" s="28" t="s">
        <v>12</v>
      </c>
      <c r="DB262" s="313">
        <v>47</v>
      </c>
      <c r="DC262" s="313" t="s">
        <v>70</v>
      </c>
      <c r="DD262" s="386" t="s">
        <v>12</v>
      </c>
      <c r="DE262" s="386" t="s">
        <v>12</v>
      </c>
      <c r="DF262" s="386" t="s">
        <v>12</v>
      </c>
      <c r="DG262" s="386" t="s">
        <v>12</v>
      </c>
      <c r="DH262" s="386" t="s">
        <v>12</v>
      </c>
      <c r="DI262" s="386" t="s">
        <v>12</v>
      </c>
      <c r="DJ262" s="386" t="s">
        <v>12</v>
      </c>
      <c r="DK262" s="386" t="s">
        <v>12</v>
      </c>
      <c r="DL262" s="386" t="s">
        <v>12</v>
      </c>
      <c r="DM262" s="386" t="s">
        <v>12</v>
      </c>
      <c r="DN262" s="7" t="s">
        <v>12</v>
      </c>
      <c r="DO262" s="7" t="s">
        <v>12</v>
      </c>
      <c r="DP262" s="7" t="s">
        <v>12</v>
      </c>
      <c r="DQ262" s="7" t="s">
        <v>12</v>
      </c>
      <c r="DR262" s="7" t="s">
        <v>12</v>
      </c>
      <c r="DS262" s="7" t="s">
        <v>12</v>
      </c>
      <c r="DT262" s="7" t="s">
        <v>12</v>
      </c>
      <c r="DU262" s="7" t="s">
        <v>12</v>
      </c>
      <c r="DV262" s="7" t="s">
        <v>12</v>
      </c>
      <c r="DW262" s="7" t="s">
        <v>12</v>
      </c>
      <c r="DY262" s="9">
        <v>15419493</v>
      </c>
      <c r="EI262" s="423" t="s">
        <v>12</v>
      </c>
      <c r="EJ262" s="423" t="s">
        <v>12</v>
      </c>
      <c r="EK262" s="423" t="s">
        <v>12</v>
      </c>
      <c r="EL262" s="423" t="s">
        <v>12</v>
      </c>
      <c r="EM262" s="423" t="s">
        <v>12</v>
      </c>
      <c r="EN262" s="423" t="s">
        <v>12</v>
      </c>
      <c r="EO262" s="423" t="s">
        <v>12</v>
      </c>
      <c r="EP262" s="423" t="s">
        <v>12</v>
      </c>
      <c r="EQ262" s="423" t="s">
        <v>12</v>
      </c>
      <c r="ER262" s="423" t="s">
        <v>12</v>
      </c>
      <c r="ES262" s="438" t="s">
        <v>12</v>
      </c>
      <c r="ET262" s="438" t="s">
        <v>12</v>
      </c>
      <c r="EU262" s="438" t="s">
        <v>12</v>
      </c>
      <c r="EV262" s="438" t="s">
        <v>12</v>
      </c>
      <c r="EW262" s="438" t="s">
        <v>12</v>
      </c>
      <c r="EX262" s="438" t="s">
        <v>12</v>
      </c>
      <c r="EY262" s="438" t="s">
        <v>12</v>
      </c>
      <c r="EZ262" s="438" t="s">
        <v>12</v>
      </c>
      <c r="FA262" s="438" t="s">
        <v>12</v>
      </c>
      <c r="FB262" s="438" t="s">
        <v>12</v>
      </c>
      <c r="FC262" s="346">
        <v>0</v>
      </c>
      <c r="FD262" s="346">
        <v>0</v>
      </c>
      <c r="FE262" s="346">
        <v>0</v>
      </c>
      <c r="FF262" s="346">
        <v>0</v>
      </c>
      <c r="FG262" s="346">
        <v>0</v>
      </c>
      <c r="FH262" s="346">
        <v>0</v>
      </c>
      <c r="FI262" s="346">
        <v>0</v>
      </c>
      <c r="FJ262" s="346">
        <v>0</v>
      </c>
      <c r="FK262" s="346">
        <v>0</v>
      </c>
      <c r="FL262" s="346">
        <v>0</v>
      </c>
    </row>
    <row r="263" spans="1:168" ht="30" x14ac:dyDescent="0.25">
      <c r="A263" s="14" t="s">
        <v>497</v>
      </c>
      <c r="B263" s="14"/>
      <c r="C263" s="14" t="s">
        <v>594</v>
      </c>
      <c r="D263" s="14" t="s">
        <v>595</v>
      </c>
      <c r="E263" s="14" t="s">
        <v>596</v>
      </c>
      <c r="F263" s="14" t="s">
        <v>597</v>
      </c>
      <c r="G263" s="14" t="s">
        <v>598</v>
      </c>
      <c r="H263" s="14" t="s">
        <v>599</v>
      </c>
      <c r="I263" s="14" t="s">
        <v>600</v>
      </c>
      <c r="J263" s="14" t="s">
        <v>601</v>
      </c>
      <c r="K263" s="14" t="s">
        <v>602</v>
      </c>
      <c r="L263" s="14" t="s">
        <v>603</v>
      </c>
      <c r="N263">
        <v>48</v>
      </c>
      <c r="O263" t="s">
        <v>71</v>
      </c>
      <c r="P263" t="s">
        <v>71</v>
      </c>
      <c r="Q263" t="s">
        <v>9</v>
      </c>
      <c r="R263" s="2" t="s">
        <v>12</v>
      </c>
      <c r="S263" s="2" t="s">
        <v>12</v>
      </c>
      <c r="T263" s="2" t="s">
        <v>12</v>
      </c>
      <c r="U263" s="2" t="s">
        <v>12</v>
      </c>
      <c r="V263" s="2" t="s">
        <v>12</v>
      </c>
      <c r="W263" s="2" t="s">
        <v>12</v>
      </c>
      <c r="X263" s="2" t="s">
        <v>12</v>
      </c>
      <c r="Y263" s="2" t="s">
        <v>12</v>
      </c>
      <c r="Z263" s="2" t="s">
        <v>12</v>
      </c>
      <c r="AA263" s="2" t="s">
        <v>12</v>
      </c>
      <c r="AB263" s="2" t="s">
        <v>12</v>
      </c>
      <c r="AC263" s="2" t="s">
        <v>12</v>
      </c>
      <c r="AD263" t="s">
        <v>12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t="s">
        <v>12</v>
      </c>
      <c r="AR263" t="s">
        <v>12</v>
      </c>
      <c r="AS263" t="s">
        <v>12</v>
      </c>
      <c r="AT263" t="s">
        <v>12</v>
      </c>
      <c r="AU263" t="s">
        <v>12</v>
      </c>
      <c r="AV263" t="s">
        <v>12</v>
      </c>
      <c r="AW263" t="s">
        <v>12</v>
      </c>
      <c r="AX263" t="s">
        <v>12</v>
      </c>
      <c r="AY263" t="s">
        <v>12</v>
      </c>
      <c r="AZ263" t="s">
        <v>12</v>
      </c>
      <c r="BA263" t="s">
        <v>12</v>
      </c>
      <c r="BB263" t="s">
        <v>12</v>
      </c>
      <c r="BC263" t="s">
        <v>12</v>
      </c>
      <c r="BD263" t="s">
        <v>12</v>
      </c>
      <c r="BF263" s="313" t="s">
        <v>11</v>
      </c>
      <c r="BG263" s="313" t="s">
        <v>11</v>
      </c>
      <c r="BH263" t="s">
        <v>12</v>
      </c>
      <c r="BI263" t="s">
        <v>12</v>
      </c>
      <c r="BJ263" t="s">
        <v>12</v>
      </c>
      <c r="BK263" t="s">
        <v>12</v>
      </c>
      <c r="BL263" t="s">
        <v>12</v>
      </c>
      <c r="BM263" t="s">
        <v>12</v>
      </c>
      <c r="BN263" t="s">
        <v>12</v>
      </c>
      <c r="BO263" t="s">
        <v>12</v>
      </c>
      <c r="BP263" t="s">
        <v>12</v>
      </c>
      <c r="BQ263" t="s">
        <v>12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 s="9" t="s">
        <v>12</v>
      </c>
      <c r="CF263" s="28" t="s">
        <v>12</v>
      </c>
      <c r="CG263" s="28" t="s">
        <v>12</v>
      </c>
      <c r="CH263" s="28" t="s">
        <v>12</v>
      </c>
      <c r="CI263" s="28" t="s">
        <v>12</v>
      </c>
      <c r="CJ263" s="28" t="s">
        <v>12</v>
      </c>
      <c r="CK263" s="28" t="s">
        <v>12</v>
      </c>
      <c r="CL263" s="28" t="s">
        <v>12</v>
      </c>
      <c r="CM263" s="28" t="s">
        <v>12</v>
      </c>
      <c r="CN263" s="28" t="s">
        <v>12</v>
      </c>
      <c r="CO263" s="28" t="s">
        <v>12</v>
      </c>
      <c r="CP263" s="28" t="s">
        <v>12</v>
      </c>
      <c r="CQ263" s="28" t="s">
        <v>12</v>
      </c>
      <c r="CR263" s="28" t="s">
        <v>12</v>
      </c>
      <c r="CS263" s="28" t="s">
        <v>12</v>
      </c>
      <c r="CT263" s="28" t="s">
        <v>12</v>
      </c>
      <c r="CU263" s="28" t="s">
        <v>12</v>
      </c>
      <c r="CV263" s="28" t="s">
        <v>12</v>
      </c>
      <c r="CW263" s="28" t="s">
        <v>12</v>
      </c>
      <c r="CX263" s="28" t="s">
        <v>12</v>
      </c>
      <c r="CY263" s="28" t="s">
        <v>12</v>
      </c>
      <c r="CZ263" s="28" t="s">
        <v>12</v>
      </c>
      <c r="DA263" s="28" t="s">
        <v>12</v>
      </c>
      <c r="DB263" s="313">
        <v>48</v>
      </c>
      <c r="DC263" s="313" t="s">
        <v>71</v>
      </c>
      <c r="DD263" s="386" t="s">
        <v>12</v>
      </c>
      <c r="DE263" s="386" t="s">
        <v>12</v>
      </c>
      <c r="DF263" s="386" t="s">
        <v>12</v>
      </c>
      <c r="DG263" s="386" t="s">
        <v>12</v>
      </c>
      <c r="DH263" s="386" t="s">
        <v>12</v>
      </c>
      <c r="DI263" s="386" t="s">
        <v>12</v>
      </c>
      <c r="DJ263" s="386" t="s">
        <v>12</v>
      </c>
      <c r="DK263" s="386" t="s">
        <v>12</v>
      </c>
      <c r="DL263" s="386" t="s">
        <v>12</v>
      </c>
      <c r="DM263" s="386" t="s">
        <v>12</v>
      </c>
      <c r="DN263" s="7" t="s">
        <v>12</v>
      </c>
      <c r="DO263" s="7" t="s">
        <v>12</v>
      </c>
      <c r="DP263" s="7" t="s">
        <v>12</v>
      </c>
      <c r="DQ263" s="7" t="s">
        <v>12</v>
      </c>
      <c r="DR263" s="7" t="s">
        <v>12</v>
      </c>
      <c r="DS263" s="7" t="s">
        <v>12</v>
      </c>
      <c r="DT263" s="7" t="s">
        <v>12</v>
      </c>
      <c r="DU263" s="7" t="s">
        <v>12</v>
      </c>
      <c r="DV263" s="7" t="s">
        <v>12</v>
      </c>
      <c r="DW263" s="7" t="s">
        <v>12</v>
      </c>
      <c r="DY263" s="9">
        <v>85660902</v>
      </c>
      <c r="EI263" s="423" t="s">
        <v>12</v>
      </c>
      <c r="EJ263" s="423" t="s">
        <v>12</v>
      </c>
      <c r="EK263" s="423" t="s">
        <v>12</v>
      </c>
      <c r="EL263" s="423" t="s">
        <v>12</v>
      </c>
      <c r="EM263" s="423" t="s">
        <v>12</v>
      </c>
      <c r="EN263" s="423" t="s">
        <v>12</v>
      </c>
      <c r="EO263" s="423" t="s">
        <v>12</v>
      </c>
      <c r="EP263" s="423" t="s">
        <v>12</v>
      </c>
      <c r="EQ263" s="423" t="s">
        <v>12</v>
      </c>
      <c r="ER263" s="423" t="s">
        <v>12</v>
      </c>
      <c r="ES263" s="438" t="s">
        <v>12</v>
      </c>
      <c r="ET263" s="438" t="s">
        <v>12</v>
      </c>
      <c r="EU263" s="438" t="s">
        <v>12</v>
      </c>
      <c r="EV263" s="438" t="s">
        <v>12</v>
      </c>
      <c r="EW263" s="438" t="s">
        <v>12</v>
      </c>
      <c r="EX263" s="438" t="s">
        <v>12</v>
      </c>
      <c r="EY263" s="438" t="s">
        <v>12</v>
      </c>
      <c r="EZ263" s="438" t="s">
        <v>12</v>
      </c>
      <c r="FA263" s="438" t="s">
        <v>12</v>
      </c>
      <c r="FB263" s="438" t="s">
        <v>12</v>
      </c>
      <c r="FC263" s="346">
        <v>0</v>
      </c>
      <c r="FD263" s="346">
        <v>0</v>
      </c>
      <c r="FE263" s="346">
        <v>0</v>
      </c>
      <c r="FF263" s="346">
        <v>0</v>
      </c>
      <c r="FG263" s="346">
        <v>0</v>
      </c>
      <c r="FH263" s="346">
        <v>0</v>
      </c>
      <c r="FI263" s="346">
        <v>0</v>
      </c>
      <c r="FJ263" s="346">
        <v>0</v>
      </c>
      <c r="FK263" s="346">
        <v>0</v>
      </c>
      <c r="FL263" s="346">
        <v>0</v>
      </c>
    </row>
    <row r="264" spans="1:168" x14ac:dyDescent="0.25">
      <c r="A264" s="238">
        <v>1</v>
      </c>
      <c r="B264" s="238" t="s">
        <v>761</v>
      </c>
      <c r="C264" s="242">
        <v>2</v>
      </c>
      <c r="D264" s="242">
        <v>0</v>
      </c>
      <c r="E264" s="242">
        <v>2</v>
      </c>
      <c r="F264" s="242">
        <v>0</v>
      </c>
      <c r="G264" s="242">
        <v>0</v>
      </c>
      <c r="H264" s="242">
        <v>2</v>
      </c>
      <c r="I264" s="242" t="s">
        <v>11</v>
      </c>
      <c r="J264" s="242" t="s">
        <v>11</v>
      </c>
      <c r="K264" s="242" t="s">
        <v>11</v>
      </c>
      <c r="L264" s="242" t="s">
        <v>11</v>
      </c>
      <c r="N264">
        <v>49</v>
      </c>
      <c r="O264" t="s">
        <v>72</v>
      </c>
      <c r="P264" t="s">
        <v>73</v>
      </c>
      <c r="Q264" t="s">
        <v>33</v>
      </c>
      <c r="R264" s="2" t="s">
        <v>12</v>
      </c>
      <c r="S264" s="2" t="s">
        <v>12</v>
      </c>
      <c r="T264" s="2" t="s">
        <v>12</v>
      </c>
      <c r="U264" s="2" t="s">
        <v>12</v>
      </c>
      <c r="V264" s="2" t="s">
        <v>12</v>
      </c>
      <c r="W264" s="2" t="s">
        <v>12</v>
      </c>
      <c r="X264" s="2" t="s">
        <v>12</v>
      </c>
      <c r="Y264" s="2" t="s">
        <v>12</v>
      </c>
      <c r="Z264" s="2" t="s">
        <v>12</v>
      </c>
      <c r="AA264" s="2" t="s">
        <v>12</v>
      </c>
      <c r="AB264" s="2" t="s">
        <v>12</v>
      </c>
      <c r="AC264" s="2" t="s">
        <v>12</v>
      </c>
      <c r="AD264" t="s">
        <v>12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t="s">
        <v>12</v>
      </c>
      <c r="AR264" t="s">
        <v>12</v>
      </c>
      <c r="AS264" t="s">
        <v>12</v>
      </c>
      <c r="AT264" t="s">
        <v>12</v>
      </c>
      <c r="AU264" t="s">
        <v>12</v>
      </c>
      <c r="AV264" t="s">
        <v>12</v>
      </c>
      <c r="AW264" t="s">
        <v>12</v>
      </c>
      <c r="AX264" t="s">
        <v>12</v>
      </c>
      <c r="AY264" t="s">
        <v>12</v>
      </c>
      <c r="AZ264" t="s">
        <v>12</v>
      </c>
      <c r="BA264" t="s">
        <v>12</v>
      </c>
      <c r="BB264" t="s">
        <v>12</v>
      </c>
      <c r="BC264" t="s">
        <v>12</v>
      </c>
      <c r="BD264" t="s">
        <v>12</v>
      </c>
      <c r="BF264" s="313" t="s">
        <v>11</v>
      </c>
      <c r="BG264" s="313" t="s">
        <v>11</v>
      </c>
      <c r="BH264" t="s">
        <v>12</v>
      </c>
      <c r="BI264" t="s">
        <v>12</v>
      </c>
      <c r="BJ264" t="s">
        <v>12</v>
      </c>
      <c r="BK264" t="s">
        <v>12</v>
      </c>
      <c r="BL264" t="s">
        <v>12</v>
      </c>
      <c r="BM264" t="s">
        <v>12</v>
      </c>
      <c r="BN264" t="s">
        <v>12</v>
      </c>
      <c r="BO264" t="s">
        <v>12</v>
      </c>
      <c r="BP264" t="s">
        <v>12</v>
      </c>
      <c r="BQ264" t="s">
        <v>12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 s="9" t="s">
        <v>12</v>
      </c>
      <c r="CF264" s="28" t="s">
        <v>12</v>
      </c>
      <c r="CG264" s="28" t="s">
        <v>12</v>
      </c>
      <c r="CH264" s="28" t="s">
        <v>12</v>
      </c>
      <c r="CI264" s="28" t="s">
        <v>12</v>
      </c>
      <c r="CJ264" s="28" t="s">
        <v>12</v>
      </c>
      <c r="CK264" s="28" t="s">
        <v>12</v>
      </c>
      <c r="CL264" s="28" t="s">
        <v>12</v>
      </c>
      <c r="CM264" s="28" t="s">
        <v>12</v>
      </c>
      <c r="CN264" s="28" t="s">
        <v>12</v>
      </c>
      <c r="CO264" s="28" t="s">
        <v>12</v>
      </c>
      <c r="CP264" s="28" t="s">
        <v>12</v>
      </c>
      <c r="CQ264" s="28" t="s">
        <v>12</v>
      </c>
      <c r="CR264" s="28" t="s">
        <v>12</v>
      </c>
      <c r="CS264" s="28" t="s">
        <v>12</v>
      </c>
      <c r="CT264" s="28" t="s">
        <v>12</v>
      </c>
      <c r="CU264" s="28" t="s">
        <v>12</v>
      </c>
      <c r="CV264" s="28" t="s">
        <v>12</v>
      </c>
      <c r="CW264" s="28" t="s">
        <v>12</v>
      </c>
      <c r="CX264" s="28" t="s">
        <v>12</v>
      </c>
      <c r="CY264" s="28" t="s">
        <v>12</v>
      </c>
      <c r="CZ264" s="28" t="s">
        <v>12</v>
      </c>
      <c r="DA264" s="28" t="s">
        <v>12</v>
      </c>
      <c r="DB264" s="313">
        <v>49</v>
      </c>
      <c r="DC264" s="313" t="s">
        <v>72</v>
      </c>
      <c r="DD264" s="386" t="s">
        <v>12</v>
      </c>
      <c r="DE264" s="386" t="s">
        <v>12</v>
      </c>
      <c r="DF264" s="386" t="s">
        <v>12</v>
      </c>
      <c r="DG264" s="386" t="s">
        <v>12</v>
      </c>
      <c r="DH264" s="386" t="s">
        <v>12</v>
      </c>
      <c r="DI264" s="386" t="s">
        <v>12</v>
      </c>
      <c r="DJ264" s="386" t="s">
        <v>12</v>
      </c>
      <c r="DK264" s="386" t="s">
        <v>12</v>
      </c>
      <c r="DL264" s="386" t="s">
        <v>12</v>
      </c>
      <c r="DM264" s="386" t="s">
        <v>12</v>
      </c>
      <c r="DN264" s="7" t="s">
        <v>12</v>
      </c>
      <c r="DO264" s="7" t="s">
        <v>12</v>
      </c>
      <c r="DP264" s="7" t="s">
        <v>12</v>
      </c>
      <c r="DQ264" s="7" t="s">
        <v>12</v>
      </c>
      <c r="DR264" s="7" t="s">
        <v>12</v>
      </c>
      <c r="DS264" s="7" t="s">
        <v>12</v>
      </c>
      <c r="DT264" s="7" t="s">
        <v>12</v>
      </c>
      <c r="DU264" s="7" t="s">
        <v>12</v>
      </c>
      <c r="DV264" s="7" t="s">
        <v>12</v>
      </c>
      <c r="DW264" s="7" t="s">
        <v>12</v>
      </c>
      <c r="DY264" s="9">
        <v>6072233</v>
      </c>
      <c r="EI264" s="423" t="s">
        <v>12</v>
      </c>
      <c r="EJ264" s="423" t="s">
        <v>12</v>
      </c>
      <c r="EK264" s="423" t="s">
        <v>12</v>
      </c>
      <c r="EL264" s="423" t="s">
        <v>12</v>
      </c>
      <c r="EM264" s="423" t="s">
        <v>12</v>
      </c>
      <c r="EN264" s="423" t="s">
        <v>12</v>
      </c>
      <c r="EO264" s="423" t="s">
        <v>12</v>
      </c>
      <c r="EP264" s="423" t="s">
        <v>12</v>
      </c>
      <c r="EQ264" s="423" t="s">
        <v>12</v>
      </c>
      <c r="ER264" s="423" t="s">
        <v>12</v>
      </c>
      <c r="ES264" s="438" t="s">
        <v>12</v>
      </c>
      <c r="ET264" s="438" t="s">
        <v>12</v>
      </c>
      <c r="EU264" s="438" t="s">
        <v>12</v>
      </c>
      <c r="EV264" s="438" t="s">
        <v>12</v>
      </c>
      <c r="EW264" s="438" t="s">
        <v>12</v>
      </c>
      <c r="EX264" s="438" t="s">
        <v>12</v>
      </c>
      <c r="EY264" s="438" t="s">
        <v>12</v>
      </c>
      <c r="EZ264" s="438" t="s">
        <v>12</v>
      </c>
      <c r="FA264" s="438" t="s">
        <v>12</v>
      </c>
      <c r="FB264" s="438" t="s">
        <v>12</v>
      </c>
      <c r="FC264" s="346">
        <v>0</v>
      </c>
      <c r="FD264" s="346">
        <v>0</v>
      </c>
      <c r="FE264" s="346">
        <v>0</v>
      </c>
      <c r="FF264" s="346">
        <v>0</v>
      </c>
      <c r="FG264" s="346">
        <v>0</v>
      </c>
      <c r="FH264" s="346">
        <v>0</v>
      </c>
      <c r="FI264" s="346">
        <v>0</v>
      </c>
      <c r="FJ264" s="346">
        <v>0</v>
      </c>
      <c r="FK264" s="346">
        <v>0</v>
      </c>
      <c r="FL264" s="346">
        <v>0</v>
      </c>
    </row>
    <row r="265" spans="1:168" x14ac:dyDescent="0.25">
      <c r="A265" s="238">
        <v>2</v>
      </c>
      <c r="B265" s="238" t="s">
        <v>763</v>
      </c>
      <c r="C265" s="242">
        <v>0</v>
      </c>
      <c r="D265" s="242">
        <v>0</v>
      </c>
      <c r="E265" s="242">
        <v>0</v>
      </c>
      <c r="F265" s="242">
        <v>0</v>
      </c>
      <c r="G265" s="242">
        <v>0</v>
      </c>
      <c r="H265" s="242">
        <v>0</v>
      </c>
      <c r="I265" s="242" t="s">
        <v>11</v>
      </c>
      <c r="J265" s="242" t="s">
        <v>11</v>
      </c>
      <c r="K265" s="242" t="s">
        <v>11</v>
      </c>
      <c r="L265" s="242" t="s">
        <v>11</v>
      </c>
      <c r="N265">
        <v>50</v>
      </c>
      <c r="O265" t="s">
        <v>74</v>
      </c>
      <c r="P265" t="s">
        <v>75</v>
      </c>
      <c r="Q265" t="s">
        <v>14</v>
      </c>
      <c r="R265" s="2" t="s">
        <v>12</v>
      </c>
      <c r="S265" s="2" t="s">
        <v>12</v>
      </c>
      <c r="T265" s="2" t="s">
        <v>12</v>
      </c>
      <c r="U265" s="2" t="s">
        <v>12</v>
      </c>
      <c r="V265" s="2" t="s">
        <v>12</v>
      </c>
      <c r="W265" s="2" t="s">
        <v>12</v>
      </c>
      <c r="X265" s="2" t="s">
        <v>12</v>
      </c>
      <c r="Y265" s="2" t="s">
        <v>12</v>
      </c>
      <c r="Z265" s="2" t="s">
        <v>12</v>
      </c>
      <c r="AA265" s="2" t="s">
        <v>12</v>
      </c>
      <c r="AB265" s="2" t="s">
        <v>12</v>
      </c>
      <c r="AC265" s="2" t="s">
        <v>12</v>
      </c>
      <c r="AD265" t="s">
        <v>12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t="s">
        <v>12</v>
      </c>
      <c r="AR265" t="s">
        <v>12</v>
      </c>
      <c r="AS265" t="s">
        <v>12</v>
      </c>
      <c r="AT265" t="s">
        <v>12</v>
      </c>
      <c r="AU265" t="s">
        <v>12</v>
      </c>
      <c r="AV265" t="s">
        <v>12</v>
      </c>
      <c r="AW265" t="s">
        <v>12</v>
      </c>
      <c r="AX265" t="s">
        <v>12</v>
      </c>
      <c r="AY265" t="s">
        <v>12</v>
      </c>
      <c r="AZ265" t="s">
        <v>12</v>
      </c>
      <c r="BA265" t="s">
        <v>12</v>
      </c>
      <c r="BB265" t="s">
        <v>12</v>
      </c>
      <c r="BC265" t="s">
        <v>12</v>
      </c>
      <c r="BD265" t="s">
        <v>12</v>
      </c>
      <c r="BF265" s="313" t="s">
        <v>11</v>
      </c>
      <c r="BG265" s="313" t="s">
        <v>11</v>
      </c>
      <c r="BH265" t="s">
        <v>12</v>
      </c>
      <c r="BI265" t="s">
        <v>12</v>
      </c>
      <c r="BJ265" t="s">
        <v>12</v>
      </c>
      <c r="BK265" t="s">
        <v>12</v>
      </c>
      <c r="BL265" t="s">
        <v>12</v>
      </c>
      <c r="BM265" t="s">
        <v>12</v>
      </c>
      <c r="BN265" t="s">
        <v>12</v>
      </c>
      <c r="BO265" t="s">
        <v>12</v>
      </c>
      <c r="BP265" t="s">
        <v>12</v>
      </c>
      <c r="BQ265" t="s">
        <v>12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 s="9" t="s">
        <v>12</v>
      </c>
      <c r="CF265" s="28" t="s">
        <v>12</v>
      </c>
      <c r="CG265" s="28" t="s">
        <v>12</v>
      </c>
      <c r="CH265" s="28" t="s">
        <v>12</v>
      </c>
      <c r="CI265" s="28" t="s">
        <v>12</v>
      </c>
      <c r="CJ265" s="28" t="s">
        <v>12</v>
      </c>
      <c r="CK265" s="28" t="s">
        <v>12</v>
      </c>
      <c r="CL265" s="28" t="s">
        <v>12</v>
      </c>
      <c r="CM265" s="28" t="s">
        <v>12</v>
      </c>
      <c r="CN265" s="28" t="s">
        <v>12</v>
      </c>
      <c r="CO265" s="28" t="s">
        <v>12</v>
      </c>
      <c r="CP265" s="28" t="s">
        <v>12</v>
      </c>
      <c r="CQ265" s="28" t="s">
        <v>12</v>
      </c>
      <c r="CR265" s="28" t="s">
        <v>12</v>
      </c>
      <c r="CS265" s="28" t="s">
        <v>12</v>
      </c>
      <c r="CT265" s="28" t="s">
        <v>12</v>
      </c>
      <c r="CU265" s="28" t="s">
        <v>12</v>
      </c>
      <c r="CV265" s="28" t="s">
        <v>12</v>
      </c>
      <c r="CW265" s="28" t="s">
        <v>12</v>
      </c>
      <c r="CX265" s="28" t="s">
        <v>12</v>
      </c>
      <c r="CY265" s="28" t="s">
        <v>12</v>
      </c>
      <c r="CZ265" s="28" t="s">
        <v>12</v>
      </c>
      <c r="DA265" s="28" t="s">
        <v>12</v>
      </c>
      <c r="DB265" s="313">
        <v>50</v>
      </c>
      <c r="DC265" s="313" t="s">
        <v>74</v>
      </c>
      <c r="DD265" s="386" t="s">
        <v>12</v>
      </c>
      <c r="DE265" s="386" t="s">
        <v>12</v>
      </c>
      <c r="DF265" s="386" t="s">
        <v>12</v>
      </c>
      <c r="DG265" s="386" t="s">
        <v>12</v>
      </c>
      <c r="DH265" s="386" t="s">
        <v>12</v>
      </c>
      <c r="DI265" s="386" t="s">
        <v>12</v>
      </c>
      <c r="DJ265" s="386" t="s">
        <v>12</v>
      </c>
      <c r="DK265" s="386" t="s">
        <v>12</v>
      </c>
      <c r="DL265" s="386" t="s">
        <v>12</v>
      </c>
      <c r="DM265" s="386" t="s">
        <v>12</v>
      </c>
      <c r="DN265" s="7" t="s">
        <v>12</v>
      </c>
      <c r="DO265" s="7" t="s">
        <v>12</v>
      </c>
      <c r="DP265" s="7" t="s">
        <v>12</v>
      </c>
      <c r="DQ265" s="7" t="s">
        <v>12</v>
      </c>
      <c r="DR265" s="7" t="s">
        <v>12</v>
      </c>
      <c r="DS265" s="7" t="s">
        <v>12</v>
      </c>
      <c r="DT265" s="7" t="s">
        <v>12</v>
      </c>
      <c r="DU265" s="7" t="s">
        <v>12</v>
      </c>
      <c r="DV265" s="7" t="s">
        <v>12</v>
      </c>
      <c r="DW265" s="7" t="s">
        <v>12</v>
      </c>
      <c r="DY265" s="9">
        <v>773729</v>
      </c>
      <c r="EI265" s="423" t="s">
        <v>12</v>
      </c>
      <c r="EJ265" s="423" t="s">
        <v>12</v>
      </c>
      <c r="EK265" s="423" t="s">
        <v>12</v>
      </c>
      <c r="EL265" s="423" t="s">
        <v>12</v>
      </c>
      <c r="EM265" s="423" t="s">
        <v>12</v>
      </c>
      <c r="EN265" s="423" t="s">
        <v>12</v>
      </c>
      <c r="EO265" s="423" t="s">
        <v>12</v>
      </c>
      <c r="EP265" s="423" t="s">
        <v>12</v>
      </c>
      <c r="EQ265" s="423" t="s">
        <v>12</v>
      </c>
      <c r="ER265" s="423" t="s">
        <v>12</v>
      </c>
      <c r="ES265" s="438" t="s">
        <v>12</v>
      </c>
      <c r="ET265" s="438" t="s">
        <v>12</v>
      </c>
      <c r="EU265" s="438" t="s">
        <v>12</v>
      </c>
      <c r="EV265" s="438" t="s">
        <v>12</v>
      </c>
      <c r="EW265" s="438" t="s">
        <v>12</v>
      </c>
      <c r="EX265" s="438" t="s">
        <v>12</v>
      </c>
      <c r="EY265" s="438" t="s">
        <v>12</v>
      </c>
      <c r="EZ265" s="438" t="s">
        <v>12</v>
      </c>
      <c r="FA265" s="438" t="s">
        <v>12</v>
      </c>
      <c r="FB265" s="438" t="s">
        <v>12</v>
      </c>
      <c r="FC265" s="346">
        <v>0</v>
      </c>
      <c r="FD265" s="346">
        <v>0</v>
      </c>
      <c r="FE265" s="346">
        <v>0</v>
      </c>
      <c r="FF265" s="346">
        <v>0</v>
      </c>
      <c r="FG265" s="346">
        <v>0</v>
      </c>
      <c r="FH265" s="346">
        <v>0</v>
      </c>
      <c r="FI265" s="346">
        <v>0</v>
      </c>
      <c r="FJ265" s="346">
        <v>0</v>
      </c>
      <c r="FK265" s="346">
        <v>0</v>
      </c>
      <c r="FL265" s="346">
        <v>0</v>
      </c>
    </row>
    <row r="266" spans="1:168" x14ac:dyDescent="0.25">
      <c r="A266" s="238">
        <v>3</v>
      </c>
      <c r="B266" s="238" t="s">
        <v>764</v>
      </c>
      <c r="C266" s="242" t="s">
        <v>11</v>
      </c>
      <c r="D266" s="242" t="s">
        <v>11</v>
      </c>
      <c r="E266" s="242" t="s">
        <v>11</v>
      </c>
      <c r="F266" s="242" t="s">
        <v>11</v>
      </c>
      <c r="G266" s="242" t="s">
        <v>11</v>
      </c>
      <c r="H266" s="242" t="s">
        <v>11</v>
      </c>
      <c r="I266" s="242" t="s">
        <v>11</v>
      </c>
      <c r="J266" s="242" t="s">
        <v>11</v>
      </c>
      <c r="K266" s="242" t="s">
        <v>11</v>
      </c>
      <c r="L266" s="242" t="s">
        <v>11</v>
      </c>
      <c r="N266">
        <v>51</v>
      </c>
      <c r="O266" t="s">
        <v>76</v>
      </c>
      <c r="P266" t="s">
        <v>76</v>
      </c>
      <c r="Q266" t="s">
        <v>14</v>
      </c>
      <c r="R266" s="2" t="s">
        <v>12</v>
      </c>
      <c r="S266" s="2" t="s">
        <v>12</v>
      </c>
      <c r="T266" s="2" t="s">
        <v>12</v>
      </c>
      <c r="U266" s="2" t="s">
        <v>12</v>
      </c>
      <c r="V266" s="2" t="s">
        <v>12</v>
      </c>
      <c r="W266" s="2" t="s">
        <v>12</v>
      </c>
      <c r="X266" s="2" t="s">
        <v>12</v>
      </c>
      <c r="Y266" s="2" t="s">
        <v>12</v>
      </c>
      <c r="Z266" s="2" t="s">
        <v>12</v>
      </c>
      <c r="AA266" s="2" t="s">
        <v>12</v>
      </c>
      <c r="AB266" s="2" t="s">
        <v>12</v>
      </c>
      <c r="AC266" s="2" t="s">
        <v>12</v>
      </c>
      <c r="AD266" t="s">
        <v>12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t="s">
        <v>12</v>
      </c>
      <c r="AR266" t="s">
        <v>12</v>
      </c>
      <c r="AS266" t="s">
        <v>12</v>
      </c>
      <c r="AT266" t="s">
        <v>12</v>
      </c>
      <c r="AU266" t="s">
        <v>12</v>
      </c>
      <c r="AV266" t="s">
        <v>12</v>
      </c>
      <c r="AW266" t="s">
        <v>12</v>
      </c>
      <c r="AX266" t="s">
        <v>12</v>
      </c>
      <c r="AY266" t="s">
        <v>12</v>
      </c>
      <c r="AZ266" t="s">
        <v>12</v>
      </c>
      <c r="BA266" t="s">
        <v>12</v>
      </c>
      <c r="BB266" t="s">
        <v>12</v>
      </c>
      <c r="BC266" t="s">
        <v>12</v>
      </c>
      <c r="BD266" t="s">
        <v>12</v>
      </c>
      <c r="BF266" s="313" t="s">
        <v>11</v>
      </c>
      <c r="BG266" s="313" t="s">
        <v>11</v>
      </c>
      <c r="BH266" t="s">
        <v>12</v>
      </c>
      <c r="BI266" t="s">
        <v>12</v>
      </c>
      <c r="BJ266" t="s">
        <v>12</v>
      </c>
      <c r="BK266" t="s">
        <v>12</v>
      </c>
      <c r="BL266" t="s">
        <v>12</v>
      </c>
      <c r="BM266" t="s">
        <v>12</v>
      </c>
      <c r="BN266" t="s">
        <v>12</v>
      </c>
      <c r="BO266" t="s">
        <v>12</v>
      </c>
      <c r="BP266" t="s">
        <v>12</v>
      </c>
      <c r="BQ266" t="s">
        <v>12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 s="9" t="s">
        <v>12</v>
      </c>
      <c r="CF266" s="28" t="s">
        <v>12</v>
      </c>
      <c r="CG266" s="28" t="s">
        <v>12</v>
      </c>
      <c r="CH266" s="28" t="s">
        <v>12</v>
      </c>
      <c r="CI266" s="28" t="s">
        <v>12</v>
      </c>
      <c r="CJ266" s="28" t="s">
        <v>12</v>
      </c>
      <c r="CK266" s="28" t="s">
        <v>12</v>
      </c>
      <c r="CL266" s="28" t="s">
        <v>12</v>
      </c>
      <c r="CM266" s="28" t="s">
        <v>12</v>
      </c>
      <c r="CN266" s="28" t="s">
        <v>12</v>
      </c>
      <c r="CO266" s="28" t="s">
        <v>12</v>
      </c>
      <c r="CP266" s="28" t="s">
        <v>12</v>
      </c>
      <c r="CQ266" s="28" t="s">
        <v>12</v>
      </c>
      <c r="CR266" s="28" t="s">
        <v>12</v>
      </c>
      <c r="CS266" s="28" t="s">
        <v>12</v>
      </c>
      <c r="CT266" s="28" t="s">
        <v>12</v>
      </c>
      <c r="CU266" s="28" t="s">
        <v>12</v>
      </c>
      <c r="CV266" s="28" t="s">
        <v>12</v>
      </c>
      <c r="CW266" s="28" t="s">
        <v>12</v>
      </c>
      <c r="CX266" s="28" t="s">
        <v>12</v>
      </c>
      <c r="CY266" s="28" t="s">
        <v>12</v>
      </c>
      <c r="CZ266" s="28" t="s">
        <v>12</v>
      </c>
      <c r="DA266" s="28" t="s">
        <v>12</v>
      </c>
      <c r="DB266" s="313">
        <v>51</v>
      </c>
      <c r="DC266" s="313" t="s">
        <v>76</v>
      </c>
      <c r="DD266" s="386" t="s">
        <v>12</v>
      </c>
      <c r="DE266" s="386" t="s">
        <v>12</v>
      </c>
      <c r="DF266" s="386" t="s">
        <v>12</v>
      </c>
      <c r="DG266" s="386" t="s">
        <v>12</v>
      </c>
      <c r="DH266" s="386" t="s">
        <v>12</v>
      </c>
      <c r="DI266" s="386" t="s">
        <v>12</v>
      </c>
      <c r="DJ266" s="386" t="s">
        <v>12</v>
      </c>
      <c r="DK266" s="386" t="s">
        <v>12</v>
      </c>
      <c r="DL266" s="386" t="s">
        <v>12</v>
      </c>
      <c r="DM266" s="386" t="s">
        <v>12</v>
      </c>
      <c r="DN266" s="7" t="s">
        <v>12</v>
      </c>
      <c r="DO266" s="7" t="s">
        <v>12</v>
      </c>
      <c r="DP266" s="7" t="s">
        <v>12</v>
      </c>
      <c r="DQ266" s="7" t="s">
        <v>12</v>
      </c>
      <c r="DR266" s="7" t="s">
        <v>12</v>
      </c>
      <c r="DS266" s="7" t="s">
        <v>12</v>
      </c>
      <c r="DT266" s="7" t="s">
        <v>12</v>
      </c>
      <c r="DU266" s="7" t="s">
        <v>12</v>
      </c>
      <c r="DV266" s="7" t="s">
        <v>12</v>
      </c>
      <c r="DW266" s="7" t="s">
        <v>12</v>
      </c>
      <c r="DY266" s="9">
        <v>0</v>
      </c>
      <c r="EI266" s="423" t="s">
        <v>12</v>
      </c>
      <c r="EJ266" s="423" t="s">
        <v>12</v>
      </c>
      <c r="EK266" s="423" t="s">
        <v>12</v>
      </c>
      <c r="EL266" s="423" t="s">
        <v>12</v>
      </c>
      <c r="EM266" s="423" t="s">
        <v>12</v>
      </c>
      <c r="EN266" s="423" t="s">
        <v>12</v>
      </c>
      <c r="EO266" s="423" t="s">
        <v>12</v>
      </c>
      <c r="EP266" s="423" t="s">
        <v>12</v>
      </c>
      <c r="EQ266" s="423" t="s">
        <v>12</v>
      </c>
      <c r="ER266" s="423" t="s">
        <v>12</v>
      </c>
      <c r="ES266" s="438" t="s">
        <v>12</v>
      </c>
      <c r="ET266" s="438" t="s">
        <v>12</v>
      </c>
      <c r="EU266" s="438" t="s">
        <v>12</v>
      </c>
      <c r="EV266" s="438" t="s">
        <v>12</v>
      </c>
      <c r="EW266" s="438" t="s">
        <v>12</v>
      </c>
      <c r="EX266" s="438" t="s">
        <v>12</v>
      </c>
      <c r="EY266" s="438" t="s">
        <v>12</v>
      </c>
      <c r="EZ266" s="438" t="s">
        <v>12</v>
      </c>
      <c r="FA266" s="438" t="s">
        <v>12</v>
      </c>
      <c r="FB266" s="438" t="s">
        <v>12</v>
      </c>
      <c r="FC266" s="346">
        <v>0</v>
      </c>
      <c r="FD266" s="346">
        <v>0</v>
      </c>
      <c r="FE266" s="346">
        <v>0</v>
      </c>
      <c r="FF266" s="346">
        <v>0</v>
      </c>
      <c r="FG266" s="346">
        <v>0</v>
      </c>
      <c r="FH266" s="346">
        <v>0</v>
      </c>
      <c r="FI266" s="346">
        <v>0</v>
      </c>
      <c r="FJ266" s="346">
        <v>0</v>
      </c>
      <c r="FK266" s="346">
        <v>0</v>
      </c>
      <c r="FL266" s="346">
        <v>0</v>
      </c>
    </row>
    <row r="267" spans="1:168" x14ac:dyDescent="0.25">
      <c r="A267" s="238">
        <v>4</v>
      </c>
      <c r="B267" s="238" t="s">
        <v>765</v>
      </c>
      <c r="C267" s="242" t="s">
        <v>11</v>
      </c>
      <c r="D267" s="242" t="s">
        <v>11</v>
      </c>
      <c r="E267" s="242" t="s">
        <v>11</v>
      </c>
      <c r="F267" s="242" t="s">
        <v>11</v>
      </c>
      <c r="G267" s="242" t="s">
        <v>11</v>
      </c>
      <c r="H267" s="242" t="s">
        <v>11</v>
      </c>
      <c r="I267" s="242" t="s">
        <v>11</v>
      </c>
      <c r="J267" s="242" t="s">
        <v>11</v>
      </c>
      <c r="K267" s="242" t="s">
        <v>11</v>
      </c>
      <c r="L267" s="242" t="s">
        <v>11</v>
      </c>
      <c r="N267">
        <v>52</v>
      </c>
      <c r="O267" t="s">
        <v>77</v>
      </c>
      <c r="P267" t="s">
        <v>77</v>
      </c>
      <c r="Q267" t="s">
        <v>23</v>
      </c>
      <c r="R267" s="2" t="s">
        <v>12</v>
      </c>
      <c r="S267" s="2" t="s">
        <v>12</v>
      </c>
      <c r="T267" s="2" t="s">
        <v>12</v>
      </c>
      <c r="U267" s="2" t="s">
        <v>12</v>
      </c>
      <c r="V267" s="2" t="s">
        <v>12</v>
      </c>
      <c r="W267" s="2" t="s">
        <v>12</v>
      </c>
      <c r="X267" s="2" t="s">
        <v>12</v>
      </c>
      <c r="Y267" s="2" t="s">
        <v>12</v>
      </c>
      <c r="Z267" s="2" t="s">
        <v>12</v>
      </c>
      <c r="AA267" s="2" t="s">
        <v>12</v>
      </c>
      <c r="AB267" s="2" t="s">
        <v>12</v>
      </c>
      <c r="AC267" s="2" t="s">
        <v>12</v>
      </c>
      <c r="AD267" t="s">
        <v>12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t="s">
        <v>12</v>
      </c>
      <c r="AR267" t="s">
        <v>12</v>
      </c>
      <c r="AS267" t="s">
        <v>12</v>
      </c>
      <c r="AT267" t="s">
        <v>12</v>
      </c>
      <c r="AU267" t="s">
        <v>12</v>
      </c>
      <c r="AV267" t="s">
        <v>12</v>
      </c>
      <c r="AW267" t="s">
        <v>12</v>
      </c>
      <c r="AX267" t="s">
        <v>12</v>
      </c>
      <c r="AY267" t="s">
        <v>12</v>
      </c>
      <c r="AZ267" t="s">
        <v>12</v>
      </c>
      <c r="BA267" t="s">
        <v>12</v>
      </c>
      <c r="BB267" t="s">
        <v>12</v>
      </c>
      <c r="BC267" t="s">
        <v>12</v>
      </c>
      <c r="BD267" t="s">
        <v>12</v>
      </c>
      <c r="BF267" s="313" t="s">
        <v>11</v>
      </c>
      <c r="BG267" s="313" t="s">
        <v>11</v>
      </c>
      <c r="BH267" t="s">
        <v>12</v>
      </c>
      <c r="BI267" t="s">
        <v>12</v>
      </c>
      <c r="BJ267" t="s">
        <v>12</v>
      </c>
      <c r="BK267" t="s">
        <v>12</v>
      </c>
      <c r="BL267" t="s">
        <v>12</v>
      </c>
      <c r="BM267" t="s">
        <v>12</v>
      </c>
      <c r="BN267" t="s">
        <v>12</v>
      </c>
      <c r="BO267" t="s">
        <v>12</v>
      </c>
      <c r="BP267" t="s">
        <v>12</v>
      </c>
      <c r="BQ267" t="s">
        <v>12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 s="9" t="s">
        <v>12</v>
      </c>
      <c r="CF267" s="28" t="s">
        <v>12</v>
      </c>
      <c r="CG267" s="28" t="s">
        <v>12</v>
      </c>
      <c r="CH267" s="28" t="s">
        <v>12</v>
      </c>
      <c r="CI267" s="28" t="s">
        <v>12</v>
      </c>
      <c r="CJ267" s="28" t="s">
        <v>12</v>
      </c>
      <c r="CK267" s="28" t="s">
        <v>12</v>
      </c>
      <c r="CL267" s="28" t="s">
        <v>12</v>
      </c>
      <c r="CM267" s="28" t="s">
        <v>12</v>
      </c>
      <c r="CN267" s="28" t="s">
        <v>12</v>
      </c>
      <c r="CO267" s="28" t="s">
        <v>12</v>
      </c>
      <c r="CP267" s="28" t="s">
        <v>12</v>
      </c>
      <c r="CQ267" s="28" t="s">
        <v>12</v>
      </c>
      <c r="CR267" s="28" t="s">
        <v>12</v>
      </c>
      <c r="CS267" s="28" t="s">
        <v>12</v>
      </c>
      <c r="CT267" s="28" t="s">
        <v>12</v>
      </c>
      <c r="CU267" s="28" t="s">
        <v>12</v>
      </c>
      <c r="CV267" s="28" t="s">
        <v>12</v>
      </c>
      <c r="CW267" s="28" t="s">
        <v>12</v>
      </c>
      <c r="CX267" s="28" t="s">
        <v>12</v>
      </c>
      <c r="CY267" s="28" t="s">
        <v>12</v>
      </c>
      <c r="CZ267" s="28" t="s">
        <v>12</v>
      </c>
      <c r="DA267" s="28" t="s">
        <v>12</v>
      </c>
      <c r="DB267" s="313">
        <v>52</v>
      </c>
      <c r="DC267" s="313" t="s">
        <v>77</v>
      </c>
      <c r="DD267" s="386" t="s">
        <v>12</v>
      </c>
      <c r="DE267" s="386" t="s">
        <v>12</v>
      </c>
      <c r="DF267" s="386" t="s">
        <v>12</v>
      </c>
      <c r="DG267" s="386" t="s">
        <v>12</v>
      </c>
      <c r="DH267" s="386" t="s">
        <v>12</v>
      </c>
      <c r="DI267" s="386" t="s">
        <v>12</v>
      </c>
      <c r="DJ267" s="386" t="s">
        <v>12</v>
      </c>
      <c r="DK267" s="386" t="s">
        <v>12</v>
      </c>
      <c r="DL267" s="386" t="s">
        <v>12</v>
      </c>
      <c r="DM267" s="386" t="s">
        <v>12</v>
      </c>
      <c r="DN267" s="7" t="s">
        <v>12</v>
      </c>
      <c r="DO267" s="7" t="s">
        <v>12</v>
      </c>
      <c r="DP267" s="7" t="s">
        <v>12</v>
      </c>
      <c r="DQ267" s="7" t="s">
        <v>12</v>
      </c>
      <c r="DR267" s="7" t="s">
        <v>12</v>
      </c>
      <c r="DS267" s="7" t="s">
        <v>12</v>
      </c>
      <c r="DT267" s="7" t="s">
        <v>12</v>
      </c>
      <c r="DU267" s="7" t="s">
        <v>12</v>
      </c>
      <c r="DV267" s="7" t="s">
        <v>12</v>
      </c>
      <c r="DW267" s="7" t="s">
        <v>12</v>
      </c>
      <c r="DY267" s="9">
        <v>1322696</v>
      </c>
      <c r="EI267" s="423" t="s">
        <v>12</v>
      </c>
      <c r="EJ267" s="423" t="s">
        <v>12</v>
      </c>
      <c r="EK267" s="423" t="s">
        <v>12</v>
      </c>
      <c r="EL267" s="423" t="s">
        <v>12</v>
      </c>
      <c r="EM267" s="423" t="s">
        <v>12</v>
      </c>
      <c r="EN267" s="423" t="s">
        <v>12</v>
      </c>
      <c r="EO267" s="423" t="s">
        <v>12</v>
      </c>
      <c r="EP267" s="423" t="s">
        <v>12</v>
      </c>
      <c r="EQ267" s="423" t="s">
        <v>12</v>
      </c>
      <c r="ER267" s="423" t="s">
        <v>12</v>
      </c>
      <c r="ES267" s="438" t="s">
        <v>12</v>
      </c>
      <c r="ET267" s="438" t="s">
        <v>12</v>
      </c>
      <c r="EU267" s="438" t="s">
        <v>12</v>
      </c>
      <c r="EV267" s="438" t="s">
        <v>12</v>
      </c>
      <c r="EW267" s="438" t="s">
        <v>12</v>
      </c>
      <c r="EX267" s="438" t="s">
        <v>12</v>
      </c>
      <c r="EY267" s="438" t="s">
        <v>12</v>
      </c>
      <c r="EZ267" s="438" t="s">
        <v>12</v>
      </c>
      <c r="FA267" s="438" t="s">
        <v>12</v>
      </c>
      <c r="FB267" s="438" t="s">
        <v>12</v>
      </c>
      <c r="FC267" s="346">
        <v>0</v>
      </c>
      <c r="FD267" s="346">
        <v>0</v>
      </c>
      <c r="FE267" s="346">
        <v>0</v>
      </c>
      <c r="FF267" s="346">
        <v>0</v>
      </c>
      <c r="FG267" s="346">
        <v>0</v>
      </c>
      <c r="FH267" s="346">
        <v>0</v>
      </c>
      <c r="FI267" s="346">
        <v>0</v>
      </c>
      <c r="FJ267" s="346">
        <v>0</v>
      </c>
      <c r="FK267" s="346">
        <v>0</v>
      </c>
      <c r="FL267" s="346">
        <v>0</v>
      </c>
    </row>
    <row r="268" spans="1:168" x14ac:dyDescent="0.25">
      <c r="A268" s="238">
        <v>5</v>
      </c>
      <c r="B268" s="238" t="s">
        <v>767</v>
      </c>
      <c r="C268" s="242" t="s">
        <v>11</v>
      </c>
      <c r="D268" s="242" t="s">
        <v>11</v>
      </c>
      <c r="E268" s="242" t="s">
        <v>11</v>
      </c>
      <c r="F268" s="242" t="s">
        <v>11</v>
      </c>
      <c r="G268" s="242" t="s">
        <v>11</v>
      </c>
      <c r="H268" s="242" t="s">
        <v>11</v>
      </c>
      <c r="I268" s="242" t="s">
        <v>11</v>
      </c>
      <c r="J268" s="242" t="s">
        <v>11</v>
      </c>
      <c r="K268" s="242" t="s">
        <v>11</v>
      </c>
      <c r="L268" s="242" t="s">
        <v>11</v>
      </c>
      <c r="N268">
        <v>53</v>
      </c>
      <c r="O268" t="s">
        <v>78</v>
      </c>
      <c r="P268" t="s">
        <v>78</v>
      </c>
      <c r="Q268" t="s">
        <v>14</v>
      </c>
      <c r="R268" s="2" t="s">
        <v>12</v>
      </c>
      <c r="S268" s="2" t="s">
        <v>12</v>
      </c>
      <c r="T268" s="2" t="s">
        <v>12</v>
      </c>
      <c r="U268" s="2" t="s">
        <v>12</v>
      </c>
      <c r="V268" s="2" t="s">
        <v>12</v>
      </c>
      <c r="W268" s="2" t="s">
        <v>12</v>
      </c>
      <c r="X268" s="2" t="s">
        <v>12</v>
      </c>
      <c r="Y268" s="2" t="s">
        <v>12</v>
      </c>
      <c r="Z268" s="2" t="s">
        <v>12</v>
      </c>
      <c r="AA268" s="2" t="s">
        <v>12</v>
      </c>
      <c r="AB268" s="2" t="s">
        <v>12</v>
      </c>
      <c r="AC268" s="2" t="s">
        <v>12</v>
      </c>
      <c r="AD268" t="s">
        <v>12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t="s">
        <v>12</v>
      </c>
      <c r="AR268" t="s">
        <v>12</v>
      </c>
      <c r="AS268" t="s">
        <v>12</v>
      </c>
      <c r="AT268" t="s">
        <v>12</v>
      </c>
      <c r="AU268" t="s">
        <v>12</v>
      </c>
      <c r="AV268" t="s">
        <v>12</v>
      </c>
      <c r="AW268" t="s">
        <v>12</v>
      </c>
      <c r="AX268" t="s">
        <v>12</v>
      </c>
      <c r="AY268" t="s">
        <v>12</v>
      </c>
      <c r="AZ268" t="s">
        <v>12</v>
      </c>
      <c r="BA268" t="s">
        <v>12</v>
      </c>
      <c r="BB268" t="s">
        <v>12</v>
      </c>
      <c r="BC268" t="s">
        <v>12</v>
      </c>
      <c r="BD268" t="s">
        <v>12</v>
      </c>
      <c r="BF268" s="313" t="s">
        <v>11</v>
      </c>
      <c r="BG268" s="313" t="s">
        <v>11</v>
      </c>
      <c r="BH268" t="s">
        <v>12</v>
      </c>
      <c r="BI268" t="s">
        <v>12</v>
      </c>
      <c r="BJ268" t="s">
        <v>12</v>
      </c>
      <c r="BK268" t="s">
        <v>12</v>
      </c>
      <c r="BL268" t="s">
        <v>12</v>
      </c>
      <c r="BM268" t="s">
        <v>12</v>
      </c>
      <c r="BN268" t="s">
        <v>12</v>
      </c>
      <c r="BO268" t="s">
        <v>12</v>
      </c>
      <c r="BP268" t="s">
        <v>12</v>
      </c>
      <c r="BQ268" t="s">
        <v>12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 s="9" t="s">
        <v>12</v>
      </c>
      <c r="CF268" s="28" t="s">
        <v>12</v>
      </c>
      <c r="CG268" s="28" t="s">
        <v>12</v>
      </c>
      <c r="CH268" s="28" t="s">
        <v>12</v>
      </c>
      <c r="CI268" s="28" t="s">
        <v>12</v>
      </c>
      <c r="CJ268" s="28" t="s">
        <v>12</v>
      </c>
      <c r="CK268" s="28" t="s">
        <v>12</v>
      </c>
      <c r="CL268" s="28" t="s">
        <v>12</v>
      </c>
      <c r="CM268" s="28" t="s">
        <v>12</v>
      </c>
      <c r="CN268" s="28" t="s">
        <v>12</v>
      </c>
      <c r="CO268" s="28" t="s">
        <v>12</v>
      </c>
      <c r="CP268" s="28" t="s">
        <v>12</v>
      </c>
      <c r="CQ268" s="28" t="s">
        <v>12</v>
      </c>
      <c r="CR268" s="28" t="s">
        <v>12</v>
      </c>
      <c r="CS268" s="28" t="s">
        <v>12</v>
      </c>
      <c r="CT268" s="28" t="s">
        <v>12</v>
      </c>
      <c r="CU268" s="28" t="s">
        <v>12</v>
      </c>
      <c r="CV268" s="28" t="s">
        <v>12</v>
      </c>
      <c r="CW268" s="28" t="s">
        <v>12</v>
      </c>
      <c r="CX268" s="28" t="s">
        <v>12</v>
      </c>
      <c r="CY268" s="28" t="s">
        <v>12</v>
      </c>
      <c r="CZ268" s="28" t="s">
        <v>12</v>
      </c>
      <c r="DA268" s="28" t="s">
        <v>12</v>
      </c>
      <c r="DB268" s="313">
        <v>53</v>
      </c>
      <c r="DC268" s="313" t="s">
        <v>78</v>
      </c>
      <c r="DD268" s="386" t="s">
        <v>12</v>
      </c>
      <c r="DE268" s="386" t="s">
        <v>12</v>
      </c>
      <c r="DF268" s="386" t="s">
        <v>12</v>
      </c>
      <c r="DG268" s="386" t="s">
        <v>12</v>
      </c>
      <c r="DH268" s="386" t="s">
        <v>12</v>
      </c>
      <c r="DI268" s="386" t="s">
        <v>12</v>
      </c>
      <c r="DJ268" s="386" t="s">
        <v>12</v>
      </c>
      <c r="DK268" s="386" t="s">
        <v>12</v>
      </c>
      <c r="DL268" s="386" t="s">
        <v>12</v>
      </c>
      <c r="DM268" s="386" t="s">
        <v>12</v>
      </c>
      <c r="DN268" s="7" t="s">
        <v>12</v>
      </c>
      <c r="DO268" s="7" t="s">
        <v>12</v>
      </c>
      <c r="DP268" s="7" t="s">
        <v>12</v>
      </c>
      <c r="DQ268" s="7" t="s">
        <v>12</v>
      </c>
      <c r="DR268" s="7" t="s">
        <v>12</v>
      </c>
      <c r="DS268" s="7" t="s">
        <v>12</v>
      </c>
      <c r="DT268" s="7" t="s">
        <v>12</v>
      </c>
      <c r="DU268" s="7" t="s">
        <v>12</v>
      </c>
      <c r="DV268" s="7" t="s">
        <v>12</v>
      </c>
      <c r="DW268" s="7" t="s">
        <v>12</v>
      </c>
      <c r="DY268" s="9">
        <v>92191211</v>
      </c>
      <c r="EI268" s="423" t="s">
        <v>12</v>
      </c>
      <c r="EJ268" s="423" t="s">
        <v>12</v>
      </c>
      <c r="EK268" s="423" t="s">
        <v>12</v>
      </c>
      <c r="EL268" s="423" t="s">
        <v>12</v>
      </c>
      <c r="EM268" s="423" t="s">
        <v>12</v>
      </c>
      <c r="EN268" s="423" t="s">
        <v>12</v>
      </c>
      <c r="EO268" s="423" t="s">
        <v>12</v>
      </c>
      <c r="EP268" s="423" t="s">
        <v>12</v>
      </c>
      <c r="EQ268" s="423" t="s">
        <v>12</v>
      </c>
      <c r="ER268" s="423" t="s">
        <v>12</v>
      </c>
      <c r="ES268" s="438" t="s">
        <v>12</v>
      </c>
      <c r="ET268" s="438" t="s">
        <v>12</v>
      </c>
      <c r="EU268" s="438" t="s">
        <v>12</v>
      </c>
      <c r="EV268" s="438" t="s">
        <v>12</v>
      </c>
      <c r="EW268" s="438" t="s">
        <v>12</v>
      </c>
      <c r="EX268" s="438" t="s">
        <v>12</v>
      </c>
      <c r="EY268" s="438" t="s">
        <v>12</v>
      </c>
      <c r="EZ268" s="438" t="s">
        <v>12</v>
      </c>
      <c r="FA268" s="438" t="s">
        <v>12</v>
      </c>
      <c r="FB268" s="438" t="s">
        <v>12</v>
      </c>
      <c r="FC268" s="346">
        <v>0</v>
      </c>
      <c r="FD268" s="346">
        <v>0</v>
      </c>
      <c r="FE268" s="346">
        <v>0</v>
      </c>
      <c r="FF268" s="346">
        <v>0</v>
      </c>
      <c r="FG268" s="346">
        <v>0</v>
      </c>
      <c r="FH268" s="346">
        <v>0</v>
      </c>
      <c r="FI268" s="346">
        <v>0</v>
      </c>
      <c r="FJ268" s="346">
        <v>0</v>
      </c>
      <c r="FK268" s="346">
        <v>0</v>
      </c>
      <c r="FL268" s="346">
        <v>0</v>
      </c>
    </row>
    <row r="269" spans="1:168" x14ac:dyDescent="0.25">
      <c r="A269" s="238">
        <v>6</v>
      </c>
      <c r="B269" s="238" t="s">
        <v>768</v>
      </c>
      <c r="C269" s="242" t="s">
        <v>11</v>
      </c>
      <c r="D269" s="242" t="s">
        <v>11</v>
      </c>
      <c r="E269" s="242" t="s">
        <v>11</v>
      </c>
      <c r="F269" s="242" t="s">
        <v>11</v>
      </c>
      <c r="G269" s="242" t="s">
        <v>11</v>
      </c>
      <c r="H269" s="242" t="s">
        <v>11</v>
      </c>
      <c r="I269" s="242" t="s">
        <v>11</v>
      </c>
      <c r="J269" s="242" t="s">
        <v>11</v>
      </c>
      <c r="K269" s="242" t="s">
        <v>11</v>
      </c>
      <c r="L269" s="242" t="s">
        <v>11</v>
      </c>
      <c r="N269">
        <v>54</v>
      </c>
      <c r="O269" t="s">
        <v>79</v>
      </c>
      <c r="P269" t="s">
        <v>79</v>
      </c>
      <c r="Q269" t="s">
        <v>21</v>
      </c>
      <c r="R269" s="2" t="s">
        <v>12</v>
      </c>
      <c r="S269" s="2" t="s">
        <v>12</v>
      </c>
      <c r="T269" s="2" t="s">
        <v>12</v>
      </c>
      <c r="U269" s="2" t="s">
        <v>12</v>
      </c>
      <c r="V269" s="2" t="s">
        <v>12</v>
      </c>
      <c r="W269" s="2" t="s">
        <v>12</v>
      </c>
      <c r="X269" s="2" t="s">
        <v>12</v>
      </c>
      <c r="Y269" s="2" t="s">
        <v>12</v>
      </c>
      <c r="Z269" s="2" t="s">
        <v>12</v>
      </c>
      <c r="AA269" s="2" t="s">
        <v>12</v>
      </c>
      <c r="AB269" s="2" t="s">
        <v>12</v>
      </c>
      <c r="AC269" s="2" t="s">
        <v>12</v>
      </c>
      <c r="AD269" t="s">
        <v>12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t="s">
        <v>12</v>
      </c>
      <c r="AR269" t="s">
        <v>12</v>
      </c>
      <c r="AS269" t="s">
        <v>12</v>
      </c>
      <c r="AT269" t="s">
        <v>12</v>
      </c>
      <c r="AU269" t="s">
        <v>12</v>
      </c>
      <c r="AV269" t="s">
        <v>12</v>
      </c>
      <c r="AW269" t="s">
        <v>12</v>
      </c>
      <c r="AX269" t="s">
        <v>12</v>
      </c>
      <c r="AY269" t="s">
        <v>12</v>
      </c>
      <c r="AZ269" t="s">
        <v>12</v>
      </c>
      <c r="BA269" t="s">
        <v>12</v>
      </c>
      <c r="BB269" t="s">
        <v>12</v>
      </c>
      <c r="BC269" t="s">
        <v>12</v>
      </c>
      <c r="BD269" t="s">
        <v>12</v>
      </c>
      <c r="BF269" s="313" t="s">
        <v>11</v>
      </c>
      <c r="BG269" s="313" t="s">
        <v>11</v>
      </c>
      <c r="BH269" t="s">
        <v>12</v>
      </c>
      <c r="BI269" t="s">
        <v>12</v>
      </c>
      <c r="BJ269" t="s">
        <v>12</v>
      </c>
      <c r="BK269" t="s">
        <v>12</v>
      </c>
      <c r="BL269" t="s">
        <v>12</v>
      </c>
      <c r="BM269" t="s">
        <v>12</v>
      </c>
      <c r="BN269" t="s">
        <v>12</v>
      </c>
      <c r="BO269" t="s">
        <v>12</v>
      </c>
      <c r="BP269" t="s">
        <v>12</v>
      </c>
      <c r="BQ269" t="s">
        <v>12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 s="9" t="s">
        <v>12</v>
      </c>
      <c r="CF269" s="28" t="s">
        <v>12</v>
      </c>
      <c r="CG269" s="28" t="s">
        <v>12</v>
      </c>
      <c r="CH269" s="28" t="s">
        <v>12</v>
      </c>
      <c r="CI269" s="28" t="s">
        <v>12</v>
      </c>
      <c r="CJ269" s="28" t="s">
        <v>12</v>
      </c>
      <c r="CK269" s="28" t="s">
        <v>12</v>
      </c>
      <c r="CL269" s="28" t="s">
        <v>12</v>
      </c>
      <c r="CM269" s="28" t="s">
        <v>12</v>
      </c>
      <c r="CN269" s="28" t="s">
        <v>12</v>
      </c>
      <c r="CO269" s="28" t="s">
        <v>12</v>
      </c>
      <c r="CP269" s="28" t="s">
        <v>12</v>
      </c>
      <c r="CQ269" s="28" t="s">
        <v>12</v>
      </c>
      <c r="CR269" s="28" t="s">
        <v>12</v>
      </c>
      <c r="CS269" s="28" t="s">
        <v>12</v>
      </c>
      <c r="CT269" s="28" t="s">
        <v>12</v>
      </c>
      <c r="CU269" s="28" t="s">
        <v>12</v>
      </c>
      <c r="CV269" s="28" t="s">
        <v>12</v>
      </c>
      <c r="CW269" s="28" t="s">
        <v>12</v>
      </c>
      <c r="CX269" s="28" t="s">
        <v>12</v>
      </c>
      <c r="CY269" s="28" t="s">
        <v>12</v>
      </c>
      <c r="CZ269" s="28" t="s">
        <v>12</v>
      </c>
      <c r="DA269" s="28" t="s">
        <v>12</v>
      </c>
      <c r="DB269" s="313">
        <v>54</v>
      </c>
      <c r="DC269" s="313" t="s">
        <v>79</v>
      </c>
      <c r="DD269" s="386" t="s">
        <v>12</v>
      </c>
      <c r="DE269" s="386" t="s">
        <v>12</v>
      </c>
      <c r="DF269" s="386" t="s">
        <v>12</v>
      </c>
      <c r="DG269" s="386" t="s">
        <v>12</v>
      </c>
      <c r="DH269" s="386" t="s">
        <v>12</v>
      </c>
      <c r="DI269" s="386" t="s">
        <v>12</v>
      </c>
      <c r="DJ269" s="386" t="s">
        <v>12</v>
      </c>
      <c r="DK269" s="386" t="s">
        <v>12</v>
      </c>
      <c r="DL269" s="386" t="s">
        <v>12</v>
      </c>
      <c r="DM269" s="386" t="s">
        <v>12</v>
      </c>
      <c r="DN269" s="7" t="s">
        <v>12</v>
      </c>
      <c r="DO269" s="7" t="s">
        <v>12</v>
      </c>
      <c r="DP269" s="7" t="s">
        <v>12</v>
      </c>
      <c r="DQ269" s="7" t="s">
        <v>12</v>
      </c>
      <c r="DR269" s="7" t="s">
        <v>12</v>
      </c>
      <c r="DS269" s="7" t="s">
        <v>12</v>
      </c>
      <c r="DT269" s="7" t="s">
        <v>12</v>
      </c>
      <c r="DU269" s="7" t="s">
        <v>12</v>
      </c>
      <c r="DV269" s="7" t="s">
        <v>12</v>
      </c>
      <c r="DW269" s="7" t="s">
        <v>12</v>
      </c>
      <c r="DY269" s="9">
        <v>874158</v>
      </c>
      <c r="EI269" s="423" t="s">
        <v>12</v>
      </c>
      <c r="EJ269" s="423" t="s">
        <v>12</v>
      </c>
      <c r="EK269" s="423" t="s">
        <v>12</v>
      </c>
      <c r="EL269" s="423" t="s">
        <v>12</v>
      </c>
      <c r="EM269" s="423" t="s">
        <v>12</v>
      </c>
      <c r="EN269" s="423" t="s">
        <v>12</v>
      </c>
      <c r="EO269" s="423" t="s">
        <v>12</v>
      </c>
      <c r="EP269" s="423" t="s">
        <v>12</v>
      </c>
      <c r="EQ269" s="423" t="s">
        <v>12</v>
      </c>
      <c r="ER269" s="423" t="s">
        <v>12</v>
      </c>
      <c r="ES269" s="438" t="s">
        <v>12</v>
      </c>
      <c r="ET269" s="438" t="s">
        <v>12</v>
      </c>
      <c r="EU269" s="438" t="s">
        <v>12</v>
      </c>
      <c r="EV269" s="438" t="s">
        <v>12</v>
      </c>
      <c r="EW269" s="438" t="s">
        <v>12</v>
      </c>
      <c r="EX269" s="438" t="s">
        <v>12</v>
      </c>
      <c r="EY269" s="438" t="s">
        <v>12</v>
      </c>
      <c r="EZ269" s="438" t="s">
        <v>12</v>
      </c>
      <c r="FA269" s="438" t="s">
        <v>12</v>
      </c>
      <c r="FB269" s="438" t="s">
        <v>12</v>
      </c>
      <c r="FC269" s="346">
        <v>0</v>
      </c>
      <c r="FD269" s="346">
        <v>0</v>
      </c>
      <c r="FE269" s="346">
        <v>0</v>
      </c>
      <c r="FF269" s="346">
        <v>0</v>
      </c>
      <c r="FG269" s="346">
        <v>0</v>
      </c>
      <c r="FH269" s="346">
        <v>0</v>
      </c>
      <c r="FI269" s="346">
        <v>0</v>
      </c>
      <c r="FJ269" s="346">
        <v>0</v>
      </c>
      <c r="FK269" s="346">
        <v>0</v>
      </c>
      <c r="FL269" s="346">
        <v>0</v>
      </c>
    </row>
    <row r="270" spans="1:168" x14ac:dyDescent="0.25">
      <c r="A270" s="238">
        <v>7</v>
      </c>
      <c r="B270" s="238" t="s">
        <v>770</v>
      </c>
      <c r="C270" s="242" t="s">
        <v>11</v>
      </c>
      <c r="D270" s="242" t="s">
        <v>11</v>
      </c>
      <c r="E270" s="242" t="s">
        <v>11</v>
      </c>
      <c r="F270" s="242" t="s">
        <v>11</v>
      </c>
      <c r="G270" s="242" t="s">
        <v>11</v>
      </c>
      <c r="H270" s="242" t="s">
        <v>11</v>
      </c>
      <c r="I270" s="242" t="s">
        <v>11</v>
      </c>
      <c r="J270" s="242" t="s">
        <v>11</v>
      </c>
      <c r="K270" s="242" t="s">
        <v>11</v>
      </c>
      <c r="L270" s="242" t="s">
        <v>11</v>
      </c>
      <c r="N270">
        <v>55</v>
      </c>
      <c r="O270" t="s">
        <v>80</v>
      </c>
      <c r="P270" t="s">
        <v>80</v>
      </c>
      <c r="Q270" t="s">
        <v>23</v>
      </c>
      <c r="R270" s="2" t="s">
        <v>12</v>
      </c>
      <c r="S270" s="2" t="s">
        <v>12</v>
      </c>
      <c r="T270" s="2" t="s">
        <v>12</v>
      </c>
      <c r="U270" s="2" t="s">
        <v>12</v>
      </c>
      <c r="V270" s="2" t="s">
        <v>12</v>
      </c>
      <c r="W270" s="2" t="s">
        <v>12</v>
      </c>
      <c r="X270" s="2" t="s">
        <v>12</v>
      </c>
      <c r="Y270" s="2" t="s">
        <v>12</v>
      </c>
      <c r="Z270" s="2" t="s">
        <v>12</v>
      </c>
      <c r="AA270" s="2" t="s">
        <v>12</v>
      </c>
      <c r="AB270" s="2" t="s">
        <v>12</v>
      </c>
      <c r="AC270" s="2" t="s">
        <v>12</v>
      </c>
      <c r="AD270" t="s">
        <v>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t="s">
        <v>12</v>
      </c>
      <c r="AR270" t="s">
        <v>12</v>
      </c>
      <c r="AS270" t="s">
        <v>12</v>
      </c>
      <c r="AT270" t="s">
        <v>12</v>
      </c>
      <c r="AU270" t="s">
        <v>12</v>
      </c>
      <c r="AV270" t="s">
        <v>12</v>
      </c>
      <c r="AW270" t="s">
        <v>12</v>
      </c>
      <c r="AX270" t="s">
        <v>12</v>
      </c>
      <c r="AY270" t="s">
        <v>12</v>
      </c>
      <c r="AZ270" t="s">
        <v>12</v>
      </c>
      <c r="BA270" t="s">
        <v>12</v>
      </c>
      <c r="BB270" t="s">
        <v>12</v>
      </c>
      <c r="BC270" t="s">
        <v>12</v>
      </c>
      <c r="BD270" t="s">
        <v>12</v>
      </c>
      <c r="BF270" s="313" t="s">
        <v>11</v>
      </c>
      <c r="BG270" s="313" t="s">
        <v>11</v>
      </c>
      <c r="BH270" t="s">
        <v>12</v>
      </c>
      <c r="BI270" t="s">
        <v>12</v>
      </c>
      <c r="BJ270" t="s">
        <v>12</v>
      </c>
      <c r="BK270" t="s">
        <v>12</v>
      </c>
      <c r="BL270" t="s">
        <v>12</v>
      </c>
      <c r="BM270" t="s">
        <v>12</v>
      </c>
      <c r="BN270" t="s">
        <v>12</v>
      </c>
      <c r="BO270" t="s">
        <v>12</v>
      </c>
      <c r="BP270" t="s">
        <v>12</v>
      </c>
      <c r="BQ270" t="s">
        <v>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 s="9" t="s">
        <v>12</v>
      </c>
      <c r="CF270" s="28" t="s">
        <v>12</v>
      </c>
      <c r="CG270" s="28" t="s">
        <v>12</v>
      </c>
      <c r="CH270" s="28" t="s">
        <v>12</v>
      </c>
      <c r="CI270" s="28" t="s">
        <v>12</v>
      </c>
      <c r="CJ270" s="28" t="s">
        <v>12</v>
      </c>
      <c r="CK270" s="28" t="s">
        <v>12</v>
      </c>
      <c r="CL270" s="28" t="s">
        <v>12</v>
      </c>
      <c r="CM270" s="28" t="s">
        <v>12</v>
      </c>
      <c r="CN270" s="28" t="s">
        <v>12</v>
      </c>
      <c r="CO270" s="28" t="s">
        <v>12</v>
      </c>
      <c r="CP270" s="28" t="s">
        <v>12</v>
      </c>
      <c r="CQ270" s="28" t="s">
        <v>12</v>
      </c>
      <c r="CR270" s="28" t="s">
        <v>12</v>
      </c>
      <c r="CS270" s="28" t="s">
        <v>12</v>
      </c>
      <c r="CT270" s="28" t="s">
        <v>12</v>
      </c>
      <c r="CU270" s="28" t="s">
        <v>12</v>
      </c>
      <c r="CV270" s="28" t="s">
        <v>12</v>
      </c>
      <c r="CW270" s="28" t="s">
        <v>12</v>
      </c>
      <c r="CX270" s="28" t="s">
        <v>12</v>
      </c>
      <c r="CY270" s="28" t="s">
        <v>12</v>
      </c>
      <c r="CZ270" s="28" t="s">
        <v>12</v>
      </c>
      <c r="DA270" s="28" t="s">
        <v>12</v>
      </c>
      <c r="DB270" s="313">
        <v>55</v>
      </c>
      <c r="DC270" s="313" t="s">
        <v>80</v>
      </c>
      <c r="DD270" s="386" t="s">
        <v>12</v>
      </c>
      <c r="DE270" s="386" t="s">
        <v>12</v>
      </c>
      <c r="DF270" s="386" t="s">
        <v>12</v>
      </c>
      <c r="DG270" s="386" t="s">
        <v>12</v>
      </c>
      <c r="DH270" s="386" t="s">
        <v>12</v>
      </c>
      <c r="DI270" s="386" t="s">
        <v>12</v>
      </c>
      <c r="DJ270" s="386" t="s">
        <v>12</v>
      </c>
      <c r="DK270" s="386" t="s">
        <v>12</v>
      </c>
      <c r="DL270" s="386" t="s">
        <v>12</v>
      </c>
      <c r="DM270" s="386" t="s">
        <v>12</v>
      </c>
      <c r="DN270" s="7" t="s">
        <v>12</v>
      </c>
      <c r="DO270" s="7" t="s">
        <v>12</v>
      </c>
      <c r="DP270" s="7" t="s">
        <v>12</v>
      </c>
      <c r="DQ270" s="7" t="s">
        <v>12</v>
      </c>
      <c r="DR270" s="7" t="s">
        <v>12</v>
      </c>
      <c r="DS270" s="7" t="s">
        <v>12</v>
      </c>
      <c r="DT270" s="7" t="s">
        <v>12</v>
      </c>
      <c r="DU270" s="7" t="s">
        <v>12</v>
      </c>
      <c r="DV270" s="7" t="s">
        <v>12</v>
      </c>
      <c r="DW270" s="7" t="s">
        <v>12</v>
      </c>
      <c r="DY270" s="9">
        <v>5413971</v>
      </c>
      <c r="EI270" s="423" t="s">
        <v>12</v>
      </c>
      <c r="EJ270" s="423" t="s">
        <v>12</v>
      </c>
      <c r="EK270" s="423" t="s">
        <v>12</v>
      </c>
      <c r="EL270" s="423" t="s">
        <v>12</v>
      </c>
      <c r="EM270" s="423" t="s">
        <v>12</v>
      </c>
      <c r="EN270" s="423" t="s">
        <v>12</v>
      </c>
      <c r="EO270" s="423" t="s">
        <v>12</v>
      </c>
      <c r="EP270" s="423" t="s">
        <v>12</v>
      </c>
      <c r="EQ270" s="423" t="s">
        <v>12</v>
      </c>
      <c r="ER270" s="423" t="s">
        <v>12</v>
      </c>
      <c r="ES270" s="438" t="s">
        <v>12</v>
      </c>
      <c r="ET270" s="438" t="s">
        <v>12</v>
      </c>
      <c r="EU270" s="438" t="s">
        <v>12</v>
      </c>
      <c r="EV270" s="438" t="s">
        <v>12</v>
      </c>
      <c r="EW270" s="438" t="s">
        <v>12</v>
      </c>
      <c r="EX270" s="438" t="s">
        <v>12</v>
      </c>
      <c r="EY270" s="438" t="s">
        <v>12</v>
      </c>
      <c r="EZ270" s="438" t="s">
        <v>12</v>
      </c>
      <c r="FA270" s="438" t="s">
        <v>12</v>
      </c>
      <c r="FB270" s="438" t="s">
        <v>12</v>
      </c>
      <c r="FC270" s="346">
        <v>0</v>
      </c>
      <c r="FD270" s="346">
        <v>0</v>
      </c>
      <c r="FE270" s="346">
        <v>0</v>
      </c>
      <c r="FF270" s="346">
        <v>0</v>
      </c>
      <c r="FG270" s="346">
        <v>0</v>
      </c>
      <c r="FH270" s="346">
        <v>0</v>
      </c>
      <c r="FI270" s="346">
        <v>0</v>
      </c>
      <c r="FJ270" s="346">
        <v>0</v>
      </c>
      <c r="FK270" s="346">
        <v>0</v>
      </c>
      <c r="FL270" s="346">
        <v>0</v>
      </c>
    </row>
    <row r="271" spans="1:168" x14ac:dyDescent="0.25">
      <c r="A271" s="238">
        <v>8</v>
      </c>
      <c r="B271" s="238" t="s">
        <v>771</v>
      </c>
      <c r="C271" s="242" t="s">
        <v>11</v>
      </c>
      <c r="D271" s="242" t="s">
        <v>11</v>
      </c>
      <c r="E271" s="242" t="s">
        <v>11</v>
      </c>
      <c r="F271" s="242" t="s">
        <v>11</v>
      </c>
      <c r="G271" s="242" t="s">
        <v>11</v>
      </c>
      <c r="H271" s="242" t="s">
        <v>11</v>
      </c>
      <c r="I271" s="242" t="s">
        <v>11</v>
      </c>
      <c r="J271" s="242" t="s">
        <v>11</v>
      </c>
      <c r="K271" s="242" t="s">
        <v>11</v>
      </c>
      <c r="L271" s="242" t="s">
        <v>11</v>
      </c>
      <c r="N271">
        <v>56</v>
      </c>
      <c r="O271" t="s">
        <v>81</v>
      </c>
      <c r="P271" t="s">
        <v>81</v>
      </c>
      <c r="Q271" t="s">
        <v>23</v>
      </c>
      <c r="R271" s="2" t="s">
        <v>12</v>
      </c>
      <c r="S271" s="2">
        <v>884654</v>
      </c>
      <c r="T271" s="2" t="s">
        <v>12</v>
      </c>
      <c r="U271" s="2" t="s">
        <v>12</v>
      </c>
      <c r="V271" s="2" t="s">
        <v>12</v>
      </c>
      <c r="W271" s="2" t="s">
        <v>12</v>
      </c>
      <c r="X271" s="2" t="s">
        <v>12</v>
      </c>
      <c r="Y271" s="2" t="s">
        <v>12</v>
      </c>
      <c r="Z271" s="2" t="s">
        <v>12</v>
      </c>
      <c r="AA271" s="2" t="s">
        <v>12</v>
      </c>
      <c r="AB271" s="2" t="s">
        <v>12</v>
      </c>
      <c r="AC271" s="2" t="s">
        <v>12</v>
      </c>
      <c r="AD271">
        <v>2012</v>
      </c>
      <c r="AE271" s="2">
        <v>0</v>
      </c>
      <c r="AF271" s="2">
        <v>1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t="s">
        <v>12</v>
      </c>
      <c r="AR271" t="s">
        <v>12</v>
      </c>
      <c r="AS271" t="s">
        <v>12</v>
      </c>
      <c r="AT271" t="s">
        <v>12</v>
      </c>
      <c r="AU271" t="s">
        <v>12</v>
      </c>
      <c r="AV271">
        <v>2012</v>
      </c>
      <c r="AW271" t="s">
        <v>12</v>
      </c>
      <c r="AX271" t="s">
        <v>12</v>
      </c>
      <c r="AY271" t="s">
        <v>12</v>
      </c>
      <c r="AZ271" t="s">
        <v>12</v>
      </c>
      <c r="BA271">
        <v>2012</v>
      </c>
      <c r="BB271">
        <v>3</v>
      </c>
      <c r="BC271" t="s">
        <v>81</v>
      </c>
      <c r="BD271">
        <v>2012</v>
      </c>
      <c r="BF271" s="313" t="s">
        <v>11</v>
      </c>
      <c r="BG271" s="313" t="s">
        <v>11</v>
      </c>
      <c r="BH271" t="s">
        <v>12</v>
      </c>
      <c r="BI271" t="s">
        <v>12</v>
      </c>
      <c r="BJ271" t="s">
        <v>12</v>
      </c>
      <c r="BK271" t="s">
        <v>12</v>
      </c>
      <c r="BL271" t="s">
        <v>12</v>
      </c>
      <c r="BM271" t="s">
        <v>12</v>
      </c>
      <c r="BN271" t="s">
        <v>12</v>
      </c>
      <c r="BO271" t="s">
        <v>12</v>
      </c>
      <c r="BP271" t="s">
        <v>12</v>
      </c>
      <c r="BQ271" t="s">
        <v>12</v>
      </c>
      <c r="BS271">
        <v>0</v>
      </c>
      <c r="BT271">
        <v>13412235.182075288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 s="9" t="s">
        <v>12</v>
      </c>
      <c r="CF271" s="28" t="s">
        <v>12</v>
      </c>
      <c r="CG271" s="28" t="s">
        <v>12</v>
      </c>
      <c r="CH271" s="28" t="s">
        <v>12</v>
      </c>
      <c r="CI271" s="28" t="s">
        <v>12</v>
      </c>
      <c r="CJ271" s="28" t="s">
        <v>12</v>
      </c>
      <c r="CK271" s="28">
        <v>4.1115839244872197</v>
      </c>
      <c r="CL271" s="28" t="s">
        <v>12</v>
      </c>
      <c r="CM271" s="28" t="s">
        <v>12</v>
      </c>
      <c r="CN271" s="28" t="s">
        <v>12</v>
      </c>
      <c r="CO271" s="28" t="s">
        <v>12</v>
      </c>
      <c r="CP271" s="28">
        <v>4.1115839244872197</v>
      </c>
      <c r="CQ271" s="28" t="s">
        <v>12</v>
      </c>
      <c r="CR271" s="28" t="s">
        <v>12</v>
      </c>
      <c r="CS271" s="28" t="s">
        <v>12</v>
      </c>
      <c r="CT271" s="28" t="s">
        <v>12</v>
      </c>
      <c r="CU271" s="28" t="s">
        <v>12</v>
      </c>
      <c r="CV271" s="28">
        <v>3.0836879433654145</v>
      </c>
      <c r="CW271" s="28" t="s">
        <v>12</v>
      </c>
      <c r="CX271" s="28" t="s">
        <v>12</v>
      </c>
      <c r="CY271" s="28" t="s">
        <v>12</v>
      </c>
      <c r="CZ271" s="28" t="s">
        <v>12</v>
      </c>
      <c r="DA271" s="28">
        <v>3.0836879433654145</v>
      </c>
      <c r="DB271" s="313">
        <v>56</v>
      </c>
      <c r="DC271" s="313" t="s">
        <v>81</v>
      </c>
      <c r="DD271" s="386" t="s">
        <v>12</v>
      </c>
      <c r="DE271" s="386" t="s">
        <v>12</v>
      </c>
      <c r="DF271" s="386" t="s">
        <v>12</v>
      </c>
      <c r="DG271" s="386" t="s">
        <v>12</v>
      </c>
      <c r="DH271" s="386" t="s">
        <v>12</v>
      </c>
      <c r="DI271" s="386" t="s">
        <v>12</v>
      </c>
      <c r="DJ271" s="386" t="s">
        <v>12</v>
      </c>
      <c r="DK271" s="386" t="s">
        <v>12</v>
      </c>
      <c r="DL271" s="386" t="s">
        <v>12</v>
      </c>
      <c r="DM271" s="386" t="s">
        <v>12</v>
      </c>
      <c r="DN271" s="7" t="s">
        <v>12</v>
      </c>
      <c r="DO271" s="7" t="s">
        <v>12</v>
      </c>
      <c r="DP271" s="7" t="s">
        <v>12</v>
      </c>
      <c r="DQ271" s="7" t="s">
        <v>12</v>
      </c>
      <c r="DR271" s="7" t="s">
        <v>12</v>
      </c>
      <c r="DS271" s="7" t="s">
        <v>12</v>
      </c>
      <c r="DT271" s="7" t="s">
        <v>12</v>
      </c>
      <c r="DU271" s="7" t="s">
        <v>12</v>
      </c>
      <c r="DV271" s="7" t="s">
        <v>12</v>
      </c>
      <c r="DW271" s="7" t="s">
        <v>12</v>
      </c>
      <c r="DY271" s="9">
        <v>65659790</v>
      </c>
      <c r="EI271" s="423" t="s">
        <v>12</v>
      </c>
      <c r="EJ271" s="423" t="s">
        <v>12</v>
      </c>
      <c r="EK271" s="423" t="s">
        <v>12</v>
      </c>
      <c r="EL271" s="423" t="s">
        <v>12</v>
      </c>
      <c r="EM271" s="423" t="s">
        <v>12</v>
      </c>
      <c r="EN271" s="423">
        <v>1</v>
      </c>
      <c r="EO271" s="423" t="s">
        <v>12</v>
      </c>
      <c r="EP271" s="423" t="s">
        <v>12</v>
      </c>
      <c r="EQ271" s="423" t="s">
        <v>12</v>
      </c>
      <c r="ER271" s="423" t="s">
        <v>12</v>
      </c>
      <c r="ES271" s="438">
        <v>1</v>
      </c>
      <c r="ET271" s="438">
        <v>1</v>
      </c>
      <c r="EU271" s="438">
        <v>1</v>
      </c>
      <c r="EV271" s="438">
        <v>1</v>
      </c>
      <c r="EW271" s="438">
        <v>1</v>
      </c>
      <c r="EX271" s="438">
        <v>884654</v>
      </c>
      <c r="EY271" s="438">
        <v>1</v>
      </c>
      <c r="EZ271" s="438">
        <v>1</v>
      </c>
      <c r="FA271" s="438">
        <v>1</v>
      </c>
      <c r="FB271" s="438" t="s">
        <v>12</v>
      </c>
      <c r="FC271" s="346">
        <v>0</v>
      </c>
      <c r="FD271" s="346">
        <v>1700607.1852849356</v>
      </c>
      <c r="FE271" s="346">
        <v>0</v>
      </c>
      <c r="FF271" s="346">
        <v>0</v>
      </c>
      <c r="FG271" s="346">
        <v>0</v>
      </c>
      <c r="FH271" s="346">
        <v>0</v>
      </c>
      <c r="FI271" s="346">
        <v>0</v>
      </c>
      <c r="FJ271" s="346">
        <v>0</v>
      </c>
      <c r="FK271" s="346">
        <v>0</v>
      </c>
      <c r="FL271" s="346">
        <v>0</v>
      </c>
    </row>
    <row r="272" spans="1:168" x14ac:dyDescent="0.25">
      <c r="A272" s="238">
        <v>9</v>
      </c>
      <c r="B272" s="238" t="s">
        <v>772</v>
      </c>
      <c r="C272" s="242" t="s">
        <v>11</v>
      </c>
      <c r="D272" s="242" t="s">
        <v>11</v>
      </c>
      <c r="E272" s="242" t="s">
        <v>11</v>
      </c>
      <c r="F272" s="242" t="s">
        <v>11</v>
      </c>
      <c r="G272" s="242" t="s">
        <v>11</v>
      </c>
      <c r="H272" s="242" t="s">
        <v>11</v>
      </c>
      <c r="I272" s="242" t="s">
        <v>11</v>
      </c>
      <c r="J272" s="242" t="s">
        <v>11</v>
      </c>
      <c r="K272" s="242" t="s">
        <v>11</v>
      </c>
      <c r="L272" s="242" t="s">
        <v>11</v>
      </c>
      <c r="N272">
        <v>57</v>
      </c>
      <c r="O272" t="s">
        <v>82</v>
      </c>
      <c r="P272" t="s">
        <v>82</v>
      </c>
      <c r="Q272" t="s">
        <v>14</v>
      </c>
      <c r="R272" s="2" t="s">
        <v>12</v>
      </c>
      <c r="S272" s="2" t="s">
        <v>12</v>
      </c>
      <c r="T272" s="2" t="s">
        <v>12</v>
      </c>
      <c r="U272" s="2" t="s">
        <v>12</v>
      </c>
      <c r="V272" s="2" t="s">
        <v>12</v>
      </c>
      <c r="W272" s="2" t="s">
        <v>12</v>
      </c>
      <c r="X272" s="2" t="s">
        <v>12</v>
      </c>
      <c r="Y272" s="2" t="s">
        <v>12</v>
      </c>
      <c r="Z272" s="2" t="s">
        <v>12</v>
      </c>
      <c r="AA272" s="2" t="s">
        <v>12</v>
      </c>
      <c r="AB272" s="2" t="s">
        <v>12</v>
      </c>
      <c r="AC272" s="2" t="s">
        <v>12</v>
      </c>
      <c r="AD272" t="s">
        <v>12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t="s">
        <v>12</v>
      </c>
      <c r="AR272" t="s">
        <v>12</v>
      </c>
      <c r="AS272" t="s">
        <v>12</v>
      </c>
      <c r="AT272" t="s">
        <v>12</v>
      </c>
      <c r="AU272" t="s">
        <v>12</v>
      </c>
      <c r="AV272" t="s">
        <v>12</v>
      </c>
      <c r="AW272" t="s">
        <v>12</v>
      </c>
      <c r="AX272" t="s">
        <v>12</v>
      </c>
      <c r="AY272" t="s">
        <v>12</v>
      </c>
      <c r="AZ272" t="s">
        <v>12</v>
      </c>
      <c r="BA272" t="s">
        <v>12</v>
      </c>
      <c r="BB272" t="s">
        <v>12</v>
      </c>
      <c r="BC272" t="s">
        <v>12</v>
      </c>
      <c r="BD272" t="s">
        <v>12</v>
      </c>
      <c r="BF272" s="313" t="s">
        <v>11</v>
      </c>
      <c r="BG272" s="313" t="s">
        <v>11</v>
      </c>
      <c r="BH272" t="s">
        <v>12</v>
      </c>
      <c r="BI272" t="s">
        <v>12</v>
      </c>
      <c r="BJ272" t="s">
        <v>12</v>
      </c>
      <c r="BK272" t="s">
        <v>12</v>
      </c>
      <c r="BL272" t="s">
        <v>12</v>
      </c>
      <c r="BM272" t="s">
        <v>12</v>
      </c>
      <c r="BN272" t="s">
        <v>12</v>
      </c>
      <c r="BO272" t="s">
        <v>12</v>
      </c>
      <c r="BP272" t="s">
        <v>12</v>
      </c>
      <c r="BQ272" t="s">
        <v>12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 s="9" t="s">
        <v>12</v>
      </c>
      <c r="CF272" s="28" t="s">
        <v>12</v>
      </c>
      <c r="CG272" s="28" t="s">
        <v>12</v>
      </c>
      <c r="CH272" s="28" t="s">
        <v>12</v>
      </c>
      <c r="CI272" s="28" t="s">
        <v>12</v>
      </c>
      <c r="CJ272" s="28" t="s">
        <v>12</v>
      </c>
      <c r="CK272" s="28" t="s">
        <v>12</v>
      </c>
      <c r="CL272" s="28" t="s">
        <v>12</v>
      </c>
      <c r="CM272" s="28" t="s">
        <v>12</v>
      </c>
      <c r="CN272" s="28" t="s">
        <v>12</v>
      </c>
      <c r="CO272" s="28" t="s">
        <v>12</v>
      </c>
      <c r="CP272" s="28" t="s">
        <v>12</v>
      </c>
      <c r="CQ272" s="28" t="s">
        <v>12</v>
      </c>
      <c r="CR272" s="28" t="s">
        <v>12</v>
      </c>
      <c r="CS272" s="28" t="s">
        <v>12</v>
      </c>
      <c r="CT272" s="28" t="s">
        <v>12</v>
      </c>
      <c r="CU272" s="28" t="s">
        <v>12</v>
      </c>
      <c r="CV272" s="28" t="s">
        <v>12</v>
      </c>
      <c r="CW272" s="28" t="s">
        <v>12</v>
      </c>
      <c r="CX272" s="28" t="s">
        <v>12</v>
      </c>
      <c r="CY272" s="28" t="s">
        <v>12</v>
      </c>
      <c r="CZ272" s="28" t="s">
        <v>12</v>
      </c>
      <c r="DA272" s="28" t="s">
        <v>12</v>
      </c>
      <c r="DB272" s="313">
        <v>57</v>
      </c>
      <c r="DC272" s="313" t="s">
        <v>82</v>
      </c>
      <c r="DD272" s="386" t="s">
        <v>12</v>
      </c>
      <c r="DE272" s="386" t="s">
        <v>12</v>
      </c>
      <c r="DF272" s="386" t="s">
        <v>12</v>
      </c>
      <c r="DG272" s="386" t="s">
        <v>12</v>
      </c>
      <c r="DH272" s="386" t="s">
        <v>12</v>
      </c>
      <c r="DI272" s="386" t="s">
        <v>12</v>
      </c>
      <c r="DJ272" s="386" t="s">
        <v>12</v>
      </c>
      <c r="DK272" s="386" t="s">
        <v>12</v>
      </c>
      <c r="DL272" s="386" t="s">
        <v>12</v>
      </c>
      <c r="DM272" s="386" t="s">
        <v>12</v>
      </c>
      <c r="DN272" s="7" t="s">
        <v>12</v>
      </c>
      <c r="DO272" s="7" t="s">
        <v>12</v>
      </c>
      <c r="DP272" s="7" t="s">
        <v>12</v>
      </c>
      <c r="DQ272" s="7" t="s">
        <v>12</v>
      </c>
      <c r="DR272" s="7" t="s">
        <v>12</v>
      </c>
      <c r="DS272" s="7" t="s">
        <v>12</v>
      </c>
      <c r="DT272" s="7" t="s">
        <v>12</v>
      </c>
      <c r="DU272" s="7" t="s">
        <v>12</v>
      </c>
      <c r="DV272" s="7" t="s">
        <v>12</v>
      </c>
      <c r="DW272" s="7" t="s">
        <v>12</v>
      </c>
      <c r="DY272" s="9">
        <v>1613489</v>
      </c>
      <c r="EI272" s="423" t="s">
        <v>12</v>
      </c>
      <c r="EJ272" s="423" t="s">
        <v>12</v>
      </c>
      <c r="EK272" s="423" t="s">
        <v>12</v>
      </c>
      <c r="EL272" s="423" t="s">
        <v>12</v>
      </c>
      <c r="EM272" s="423" t="s">
        <v>12</v>
      </c>
      <c r="EN272" s="423" t="s">
        <v>12</v>
      </c>
      <c r="EO272" s="423" t="s">
        <v>12</v>
      </c>
      <c r="EP272" s="423" t="s">
        <v>12</v>
      </c>
      <c r="EQ272" s="423" t="s">
        <v>12</v>
      </c>
      <c r="ER272" s="423" t="s">
        <v>12</v>
      </c>
      <c r="ES272" s="438" t="s">
        <v>12</v>
      </c>
      <c r="ET272" s="438" t="s">
        <v>12</v>
      </c>
      <c r="EU272" s="438" t="s">
        <v>12</v>
      </c>
      <c r="EV272" s="438" t="s">
        <v>12</v>
      </c>
      <c r="EW272" s="438" t="s">
        <v>12</v>
      </c>
      <c r="EX272" s="438" t="s">
        <v>12</v>
      </c>
      <c r="EY272" s="438" t="s">
        <v>12</v>
      </c>
      <c r="EZ272" s="438" t="s">
        <v>12</v>
      </c>
      <c r="FA272" s="438" t="s">
        <v>12</v>
      </c>
      <c r="FB272" s="438" t="s">
        <v>12</v>
      </c>
      <c r="FC272" s="346">
        <v>0</v>
      </c>
      <c r="FD272" s="346">
        <v>0</v>
      </c>
      <c r="FE272" s="346">
        <v>0</v>
      </c>
      <c r="FF272" s="346">
        <v>0</v>
      </c>
      <c r="FG272" s="346">
        <v>0</v>
      </c>
      <c r="FH272" s="346">
        <v>0</v>
      </c>
      <c r="FI272" s="346">
        <v>0</v>
      </c>
      <c r="FJ272" s="346">
        <v>0</v>
      </c>
      <c r="FK272" s="346">
        <v>0</v>
      </c>
      <c r="FL272" s="346">
        <v>0</v>
      </c>
    </row>
    <row r="273" spans="1:168" x14ac:dyDescent="0.25">
      <c r="A273" s="238">
        <v>10</v>
      </c>
      <c r="B273" s="238" t="s">
        <v>773</v>
      </c>
      <c r="C273" s="242" t="s">
        <v>11</v>
      </c>
      <c r="D273" s="242" t="s">
        <v>11</v>
      </c>
      <c r="E273" s="242" t="s">
        <v>11</v>
      </c>
      <c r="F273" s="242" t="s">
        <v>11</v>
      </c>
      <c r="G273" s="242" t="s">
        <v>11</v>
      </c>
      <c r="H273" s="242" t="s">
        <v>11</v>
      </c>
      <c r="I273" s="242" t="s">
        <v>11</v>
      </c>
      <c r="J273" s="242" t="s">
        <v>11</v>
      </c>
      <c r="K273" s="242" t="s">
        <v>11</v>
      </c>
      <c r="L273" s="242" t="s">
        <v>11</v>
      </c>
      <c r="N273">
        <v>58</v>
      </c>
      <c r="O273" t="s">
        <v>83</v>
      </c>
      <c r="P273" t="s">
        <v>83</v>
      </c>
      <c r="Q273" t="s">
        <v>14</v>
      </c>
      <c r="R273" s="2" t="s">
        <v>12</v>
      </c>
      <c r="S273" s="2" t="s">
        <v>12</v>
      </c>
      <c r="T273" s="2" t="s">
        <v>12</v>
      </c>
      <c r="U273" s="2" t="s">
        <v>12</v>
      </c>
      <c r="V273" s="2" t="s">
        <v>12</v>
      </c>
      <c r="W273" s="2" t="s">
        <v>12</v>
      </c>
      <c r="X273" s="2" t="s">
        <v>12</v>
      </c>
      <c r="Y273" s="2" t="s">
        <v>12</v>
      </c>
      <c r="Z273" s="2" t="s">
        <v>12</v>
      </c>
      <c r="AA273" s="2" t="s">
        <v>12</v>
      </c>
      <c r="AB273" s="2" t="s">
        <v>12</v>
      </c>
      <c r="AC273" s="2" t="s">
        <v>12</v>
      </c>
      <c r="AD273" t="s">
        <v>12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t="s">
        <v>12</v>
      </c>
      <c r="AR273" t="s">
        <v>12</v>
      </c>
      <c r="AS273" t="s">
        <v>12</v>
      </c>
      <c r="AT273" t="s">
        <v>12</v>
      </c>
      <c r="AU273" t="s">
        <v>12</v>
      </c>
      <c r="AV273" t="s">
        <v>12</v>
      </c>
      <c r="AW273" t="s">
        <v>12</v>
      </c>
      <c r="AX273" t="s">
        <v>12</v>
      </c>
      <c r="AY273" t="s">
        <v>12</v>
      </c>
      <c r="AZ273" t="s">
        <v>12</v>
      </c>
      <c r="BA273" t="s">
        <v>12</v>
      </c>
      <c r="BB273" t="s">
        <v>12</v>
      </c>
      <c r="BC273" t="s">
        <v>12</v>
      </c>
      <c r="BD273" t="s">
        <v>12</v>
      </c>
      <c r="BF273" s="313" t="s">
        <v>11</v>
      </c>
      <c r="BG273" s="313" t="s">
        <v>11</v>
      </c>
      <c r="BH273" t="s">
        <v>12</v>
      </c>
      <c r="BI273" t="s">
        <v>12</v>
      </c>
      <c r="BJ273" t="s">
        <v>12</v>
      </c>
      <c r="BK273" t="s">
        <v>12</v>
      </c>
      <c r="BL273" t="s">
        <v>12</v>
      </c>
      <c r="BM273" t="s">
        <v>12</v>
      </c>
      <c r="BN273" t="s">
        <v>12</v>
      </c>
      <c r="BO273" t="s">
        <v>12</v>
      </c>
      <c r="BP273" t="s">
        <v>12</v>
      </c>
      <c r="BQ273" t="s">
        <v>12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 s="9" t="s">
        <v>12</v>
      </c>
      <c r="CF273" s="28" t="s">
        <v>12</v>
      </c>
      <c r="CG273" s="28" t="s">
        <v>12</v>
      </c>
      <c r="CH273" s="28" t="s">
        <v>12</v>
      </c>
      <c r="CI273" s="28" t="s">
        <v>12</v>
      </c>
      <c r="CJ273" s="28" t="s">
        <v>12</v>
      </c>
      <c r="CK273" s="28" t="s">
        <v>12</v>
      </c>
      <c r="CL273" s="28" t="s">
        <v>12</v>
      </c>
      <c r="CM273" s="28" t="s">
        <v>12</v>
      </c>
      <c r="CN273" s="28" t="s">
        <v>12</v>
      </c>
      <c r="CO273" s="28" t="s">
        <v>12</v>
      </c>
      <c r="CP273" s="28" t="s">
        <v>12</v>
      </c>
      <c r="CQ273" s="28" t="s">
        <v>12</v>
      </c>
      <c r="CR273" s="28" t="s">
        <v>12</v>
      </c>
      <c r="CS273" s="28" t="s">
        <v>12</v>
      </c>
      <c r="CT273" s="28" t="s">
        <v>12</v>
      </c>
      <c r="CU273" s="28" t="s">
        <v>12</v>
      </c>
      <c r="CV273" s="28" t="s">
        <v>12</v>
      </c>
      <c r="CW273" s="28" t="s">
        <v>12</v>
      </c>
      <c r="CX273" s="28" t="s">
        <v>12</v>
      </c>
      <c r="CY273" s="28" t="s">
        <v>12</v>
      </c>
      <c r="CZ273" s="28" t="s">
        <v>12</v>
      </c>
      <c r="DA273" s="28" t="s">
        <v>12</v>
      </c>
      <c r="DB273" s="313">
        <v>58</v>
      </c>
      <c r="DC273" s="313" t="s">
        <v>83</v>
      </c>
      <c r="DD273" s="386" t="s">
        <v>12</v>
      </c>
      <c r="DE273" s="386" t="s">
        <v>12</v>
      </c>
      <c r="DF273" s="386" t="s">
        <v>12</v>
      </c>
      <c r="DG273" s="386" t="s">
        <v>12</v>
      </c>
      <c r="DH273" s="386" t="s">
        <v>12</v>
      </c>
      <c r="DI273" s="386" t="s">
        <v>12</v>
      </c>
      <c r="DJ273" s="386" t="s">
        <v>12</v>
      </c>
      <c r="DK273" s="386" t="s">
        <v>12</v>
      </c>
      <c r="DL273" s="386" t="s">
        <v>12</v>
      </c>
      <c r="DM273" s="386" t="s">
        <v>12</v>
      </c>
      <c r="DN273" s="7" t="s">
        <v>12</v>
      </c>
      <c r="DO273" s="7" t="s">
        <v>12</v>
      </c>
      <c r="DP273" s="7" t="s">
        <v>12</v>
      </c>
      <c r="DQ273" s="7" t="s">
        <v>12</v>
      </c>
      <c r="DR273" s="7" t="s">
        <v>12</v>
      </c>
      <c r="DS273" s="7" t="s">
        <v>12</v>
      </c>
      <c r="DT273" s="7" t="s">
        <v>12</v>
      </c>
      <c r="DU273" s="7" t="s">
        <v>12</v>
      </c>
      <c r="DV273" s="7" t="s">
        <v>12</v>
      </c>
      <c r="DW273" s="7" t="s">
        <v>12</v>
      </c>
      <c r="DY273" s="9">
        <v>1807108</v>
      </c>
      <c r="EI273" s="423" t="s">
        <v>12</v>
      </c>
      <c r="EJ273" s="423" t="s">
        <v>12</v>
      </c>
      <c r="EK273" s="423" t="s">
        <v>12</v>
      </c>
      <c r="EL273" s="423" t="s">
        <v>12</v>
      </c>
      <c r="EM273" s="423" t="s">
        <v>12</v>
      </c>
      <c r="EN273" s="423" t="s">
        <v>12</v>
      </c>
      <c r="EO273" s="423" t="s">
        <v>12</v>
      </c>
      <c r="EP273" s="423" t="s">
        <v>12</v>
      </c>
      <c r="EQ273" s="423" t="s">
        <v>12</v>
      </c>
      <c r="ER273" s="423" t="s">
        <v>12</v>
      </c>
      <c r="ES273" s="438" t="s">
        <v>12</v>
      </c>
      <c r="ET273" s="438" t="s">
        <v>12</v>
      </c>
      <c r="EU273" s="438" t="s">
        <v>12</v>
      </c>
      <c r="EV273" s="438" t="s">
        <v>12</v>
      </c>
      <c r="EW273" s="438" t="s">
        <v>12</v>
      </c>
      <c r="EX273" s="438" t="s">
        <v>12</v>
      </c>
      <c r="EY273" s="438" t="s">
        <v>12</v>
      </c>
      <c r="EZ273" s="438" t="s">
        <v>12</v>
      </c>
      <c r="FA273" s="438" t="s">
        <v>12</v>
      </c>
      <c r="FB273" s="438" t="s">
        <v>12</v>
      </c>
      <c r="FC273" s="346">
        <v>0</v>
      </c>
      <c r="FD273" s="346">
        <v>0</v>
      </c>
      <c r="FE273" s="346">
        <v>0</v>
      </c>
      <c r="FF273" s="346">
        <v>0</v>
      </c>
      <c r="FG273" s="346">
        <v>0</v>
      </c>
      <c r="FH273" s="346">
        <v>0</v>
      </c>
      <c r="FI273" s="346">
        <v>0</v>
      </c>
      <c r="FJ273" s="346">
        <v>0</v>
      </c>
      <c r="FK273" s="346">
        <v>0</v>
      </c>
      <c r="FL273" s="346">
        <v>0</v>
      </c>
    </row>
    <row r="274" spans="1:168" x14ac:dyDescent="0.25">
      <c r="N274">
        <v>59</v>
      </c>
      <c r="O274" t="s">
        <v>84</v>
      </c>
      <c r="P274" t="s">
        <v>84</v>
      </c>
      <c r="Q274" t="s">
        <v>7</v>
      </c>
      <c r="R274" s="2" t="s">
        <v>12</v>
      </c>
      <c r="S274" s="2" t="s">
        <v>12</v>
      </c>
      <c r="T274" s="2" t="s">
        <v>12</v>
      </c>
      <c r="U274" s="2" t="s">
        <v>12</v>
      </c>
      <c r="V274" s="2" t="s">
        <v>12</v>
      </c>
      <c r="W274" s="2" t="s">
        <v>12</v>
      </c>
      <c r="X274" s="2" t="s">
        <v>12</v>
      </c>
      <c r="Y274" s="2" t="s">
        <v>12</v>
      </c>
      <c r="Z274" s="2" t="s">
        <v>12</v>
      </c>
      <c r="AA274" s="2" t="s">
        <v>12</v>
      </c>
      <c r="AB274" s="2" t="s">
        <v>12</v>
      </c>
      <c r="AC274" s="2" t="s">
        <v>12</v>
      </c>
      <c r="AD274" t="s">
        <v>12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t="s">
        <v>12</v>
      </c>
      <c r="AR274" t="s">
        <v>12</v>
      </c>
      <c r="AS274" t="s">
        <v>12</v>
      </c>
      <c r="AT274" t="s">
        <v>12</v>
      </c>
      <c r="AU274" t="s">
        <v>12</v>
      </c>
      <c r="AV274" t="s">
        <v>12</v>
      </c>
      <c r="AW274" t="s">
        <v>12</v>
      </c>
      <c r="AX274" t="s">
        <v>12</v>
      </c>
      <c r="AY274" t="s">
        <v>12</v>
      </c>
      <c r="AZ274" t="s">
        <v>12</v>
      </c>
      <c r="BA274" t="s">
        <v>12</v>
      </c>
      <c r="BB274" t="s">
        <v>12</v>
      </c>
      <c r="BC274" t="s">
        <v>12</v>
      </c>
      <c r="BD274" t="s">
        <v>12</v>
      </c>
      <c r="BF274" s="313" t="s">
        <v>11</v>
      </c>
      <c r="BG274" s="313" t="s">
        <v>11</v>
      </c>
      <c r="BH274" t="s">
        <v>12</v>
      </c>
      <c r="BI274" t="s">
        <v>12</v>
      </c>
      <c r="BJ274" t="s">
        <v>12</v>
      </c>
      <c r="BK274" t="s">
        <v>12</v>
      </c>
      <c r="BL274" t="s">
        <v>12</v>
      </c>
      <c r="BM274" t="s">
        <v>12</v>
      </c>
      <c r="BN274" t="s">
        <v>12</v>
      </c>
      <c r="BO274" t="s">
        <v>12</v>
      </c>
      <c r="BP274" t="s">
        <v>12</v>
      </c>
      <c r="BQ274" t="s">
        <v>12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 s="9" t="s">
        <v>12</v>
      </c>
      <c r="CF274" s="28" t="s">
        <v>12</v>
      </c>
      <c r="CG274" s="28" t="s">
        <v>12</v>
      </c>
      <c r="CH274" s="28" t="s">
        <v>12</v>
      </c>
      <c r="CI274" s="28" t="s">
        <v>12</v>
      </c>
      <c r="CJ274" s="28" t="s">
        <v>12</v>
      </c>
      <c r="CK274" s="28" t="s">
        <v>12</v>
      </c>
      <c r="CL274" s="28" t="s">
        <v>12</v>
      </c>
      <c r="CM274" s="28" t="s">
        <v>12</v>
      </c>
      <c r="CN274" s="28" t="s">
        <v>12</v>
      </c>
      <c r="CO274" s="28" t="s">
        <v>12</v>
      </c>
      <c r="CP274" s="28" t="s">
        <v>12</v>
      </c>
      <c r="CQ274" s="28" t="s">
        <v>12</v>
      </c>
      <c r="CR274" s="28" t="s">
        <v>12</v>
      </c>
      <c r="CS274" s="28" t="s">
        <v>12</v>
      </c>
      <c r="CT274" s="28" t="s">
        <v>12</v>
      </c>
      <c r="CU274" s="28" t="s">
        <v>12</v>
      </c>
      <c r="CV274" s="28" t="s">
        <v>12</v>
      </c>
      <c r="CW274" s="28" t="s">
        <v>12</v>
      </c>
      <c r="CX274" s="28" t="s">
        <v>12</v>
      </c>
      <c r="CY274" s="28" t="s">
        <v>12</v>
      </c>
      <c r="CZ274" s="28" t="s">
        <v>12</v>
      </c>
      <c r="DA274" s="28" t="s">
        <v>12</v>
      </c>
      <c r="DB274" s="313">
        <v>59</v>
      </c>
      <c r="DC274" s="313" t="s">
        <v>84</v>
      </c>
      <c r="DD274" s="386" t="s">
        <v>12</v>
      </c>
      <c r="DE274" s="386" t="s">
        <v>12</v>
      </c>
      <c r="DF274" s="386" t="s">
        <v>12</v>
      </c>
      <c r="DG274" s="386" t="s">
        <v>12</v>
      </c>
      <c r="DH274" s="386" t="s">
        <v>12</v>
      </c>
      <c r="DI274" s="386" t="s">
        <v>12</v>
      </c>
      <c r="DJ274" s="386" t="s">
        <v>12</v>
      </c>
      <c r="DK274" s="386" t="s">
        <v>12</v>
      </c>
      <c r="DL274" s="386" t="s">
        <v>12</v>
      </c>
      <c r="DM274" s="386" t="s">
        <v>12</v>
      </c>
      <c r="DN274" s="7" t="s">
        <v>12</v>
      </c>
      <c r="DO274" s="7" t="s">
        <v>12</v>
      </c>
      <c r="DP274" s="7" t="s">
        <v>12</v>
      </c>
      <c r="DQ274" s="7" t="s">
        <v>12</v>
      </c>
      <c r="DR274" s="7" t="s">
        <v>12</v>
      </c>
      <c r="DS274" s="7" t="s">
        <v>12</v>
      </c>
      <c r="DT274" s="7" t="s">
        <v>12</v>
      </c>
      <c r="DU274" s="7" t="s">
        <v>12</v>
      </c>
      <c r="DV274" s="7" t="s">
        <v>12</v>
      </c>
      <c r="DW274" s="7" t="s">
        <v>12</v>
      </c>
      <c r="DY274" s="9">
        <v>3825000</v>
      </c>
      <c r="EI274" s="423" t="s">
        <v>12</v>
      </c>
      <c r="EJ274" s="423" t="s">
        <v>12</v>
      </c>
      <c r="EK274" s="423" t="s">
        <v>12</v>
      </c>
      <c r="EL274" s="423" t="s">
        <v>12</v>
      </c>
      <c r="EM274" s="423" t="s">
        <v>12</v>
      </c>
      <c r="EN274" s="423" t="s">
        <v>12</v>
      </c>
      <c r="EO274" s="423" t="s">
        <v>12</v>
      </c>
      <c r="EP274" s="423" t="s">
        <v>12</v>
      </c>
      <c r="EQ274" s="423" t="s">
        <v>12</v>
      </c>
      <c r="ER274" s="423" t="s">
        <v>12</v>
      </c>
      <c r="ES274" s="438" t="s">
        <v>12</v>
      </c>
      <c r="ET274" s="438" t="s">
        <v>12</v>
      </c>
      <c r="EU274" s="438" t="s">
        <v>12</v>
      </c>
      <c r="EV274" s="438" t="s">
        <v>12</v>
      </c>
      <c r="EW274" s="438" t="s">
        <v>12</v>
      </c>
      <c r="EX274" s="438" t="s">
        <v>12</v>
      </c>
      <c r="EY274" s="438" t="s">
        <v>12</v>
      </c>
      <c r="EZ274" s="438" t="s">
        <v>12</v>
      </c>
      <c r="FA274" s="438" t="s">
        <v>12</v>
      </c>
      <c r="FB274" s="438" t="s">
        <v>12</v>
      </c>
      <c r="FC274" s="346">
        <v>0</v>
      </c>
      <c r="FD274" s="346">
        <v>0</v>
      </c>
      <c r="FE274" s="346">
        <v>0</v>
      </c>
      <c r="FF274" s="346">
        <v>0</v>
      </c>
      <c r="FG274" s="346">
        <v>0</v>
      </c>
      <c r="FH274" s="346">
        <v>0</v>
      </c>
      <c r="FI274" s="346">
        <v>0</v>
      </c>
      <c r="FJ274" s="346">
        <v>0</v>
      </c>
      <c r="FK274" s="346">
        <v>0</v>
      </c>
      <c r="FL274" s="346">
        <v>0</v>
      </c>
    </row>
    <row r="275" spans="1:168" ht="30" x14ac:dyDescent="0.25">
      <c r="A275" s="14" t="s">
        <v>777</v>
      </c>
      <c r="B275" s="14"/>
      <c r="C275" s="14" t="s">
        <v>594</v>
      </c>
      <c r="D275" s="14" t="s">
        <v>595</v>
      </c>
      <c r="E275" s="14" t="s">
        <v>596</v>
      </c>
      <c r="F275" s="14" t="s">
        <v>597</v>
      </c>
      <c r="G275" s="14" t="s">
        <v>598</v>
      </c>
      <c r="H275" s="14" t="s">
        <v>599</v>
      </c>
      <c r="I275" s="14" t="s">
        <v>600</v>
      </c>
      <c r="J275" s="14" t="s">
        <v>601</v>
      </c>
      <c r="K275" s="14" t="s">
        <v>602</v>
      </c>
      <c r="L275" s="14" t="s">
        <v>603</v>
      </c>
      <c r="N275">
        <v>60</v>
      </c>
      <c r="O275" t="s">
        <v>85</v>
      </c>
      <c r="P275" t="s">
        <v>85</v>
      </c>
      <c r="Q275" t="s">
        <v>23</v>
      </c>
      <c r="R275" s="2">
        <v>1542865</v>
      </c>
      <c r="S275" s="2">
        <v>3460121</v>
      </c>
      <c r="T275" s="2" t="s">
        <v>12</v>
      </c>
      <c r="U275" s="2" t="s">
        <v>12</v>
      </c>
      <c r="V275" s="2" t="s">
        <v>12</v>
      </c>
      <c r="W275" s="2" t="s">
        <v>12</v>
      </c>
      <c r="X275" s="2" t="s">
        <v>12</v>
      </c>
      <c r="Y275" s="2" t="s">
        <v>12</v>
      </c>
      <c r="Z275" s="2" t="s">
        <v>12</v>
      </c>
      <c r="AA275" s="2" t="s">
        <v>12</v>
      </c>
      <c r="AB275" s="2" t="s">
        <v>12</v>
      </c>
      <c r="AC275" s="2" t="s">
        <v>12</v>
      </c>
      <c r="AD275">
        <v>2011</v>
      </c>
      <c r="AE275" s="2">
        <v>3</v>
      </c>
      <c r="AF275" s="2">
        <v>3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>
        <v>2011</v>
      </c>
      <c r="AR275" t="s">
        <v>12</v>
      </c>
      <c r="AS275">
        <v>2011</v>
      </c>
      <c r="AT275" t="s">
        <v>12</v>
      </c>
      <c r="AU275" t="s">
        <v>12</v>
      </c>
      <c r="AV275">
        <v>2011</v>
      </c>
      <c r="AW275" t="s">
        <v>12</v>
      </c>
      <c r="AX275" t="s">
        <v>12</v>
      </c>
      <c r="AY275" t="s">
        <v>12</v>
      </c>
      <c r="AZ275" t="s">
        <v>12</v>
      </c>
      <c r="BA275">
        <v>2011</v>
      </c>
      <c r="BB275">
        <v>4</v>
      </c>
      <c r="BC275" t="s">
        <v>85</v>
      </c>
      <c r="BD275">
        <v>2011</v>
      </c>
      <c r="BF275" s="313" t="s">
        <v>11</v>
      </c>
      <c r="BG275" s="313" t="s">
        <v>11</v>
      </c>
      <c r="BH275" t="s">
        <v>12</v>
      </c>
      <c r="BI275" t="s">
        <v>12</v>
      </c>
      <c r="BJ275" t="s">
        <v>12</v>
      </c>
      <c r="BK275" t="s">
        <v>12</v>
      </c>
      <c r="BL275" t="s">
        <v>12</v>
      </c>
      <c r="BM275" t="s">
        <v>12</v>
      </c>
      <c r="BN275" t="s">
        <v>12</v>
      </c>
      <c r="BO275" t="s">
        <v>12</v>
      </c>
      <c r="BP275" t="s">
        <v>12</v>
      </c>
      <c r="BQ275" t="s">
        <v>12</v>
      </c>
      <c r="BS275">
        <v>30420533.315033011</v>
      </c>
      <c r="BT275">
        <v>67279097.65035364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 s="9">
        <v>7759873.569392656</v>
      </c>
      <c r="CF275" s="28">
        <v>4.2211781327799995</v>
      </c>
      <c r="CG275" s="28" t="s">
        <v>12</v>
      </c>
      <c r="CH275" s="28">
        <v>3.3769425062239997</v>
      </c>
      <c r="CI275" s="28" t="s">
        <v>12</v>
      </c>
      <c r="CJ275" s="28" t="s">
        <v>12</v>
      </c>
      <c r="CK275" s="28">
        <v>4.2211781327799995</v>
      </c>
      <c r="CL275" s="28" t="s">
        <v>12</v>
      </c>
      <c r="CM275" s="28" t="s">
        <v>12</v>
      </c>
      <c r="CN275" s="28" t="s">
        <v>12</v>
      </c>
      <c r="CO275" s="28" t="s">
        <v>12</v>
      </c>
      <c r="CP275" s="28">
        <v>3.9397662572613328</v>
      </c>
      <c r="CQ275" s="28">
        <v>3.3769425062239997</v>
      </c>
      <c r="CR275" s="28" t="s">
        <v>12</v>
      </c>
      <c r="CS275" s="28">
        <v>2.7015540049792</v>
      </c>
      <c r="CT275" s="28" t="s">
        <v>12</v>
      </c>
      <c r="CU275" s="28" t="s">
        <v>12</v>
      </c>
      <c r="CV275" s="28">
        <v>3.1658835995849994</v>
      </c>
      <c r="CW275" s="28" t="s">
        <v>12</v>
      </c>
      <c r="CX275" s="28" t="s">
        <v>12</v>
      </c>
      <c r="CY275" s="28" t="s">
        <v>12</v>
      </c>
      <c r="CZ275" s="28" t="s">
        <v>12</v>
      </c>
      <c r="DA275" s="28">
        <v>3.0814600369293998</v>
      </c>
      <c r="DB275" s="313">
        <v>60</v>
      </c>
      <c r="DC275" s="313" t="s">
        <v>85</v>
      </c>
      <c r="DD275" s="386">
        <v>1.2070156640521357</v>
      </c>
      <c r="DE275" s="386" t="s">
        <v>12</v>
      </c>
      <c r="DF275" s="386">
        <v>0.96124696031886803</v>
      </c>
      <c r="DG275" s="386" t="s">
        <v>12</v>
      </c>
      <c r="DH275" s="386" t="s">
        <v>12</v>
      </c>
      <c r="DI275" s="386">
        <v>1.299523691766435</v>
      </c>
      <c r="DJ275" s="386" t="s">
        <v>12</v>
      </c>
      <c r="DK275" s="386" t="s">
        <v>12</v>
      </c>
      <c r="DL275" s="386" t="s">
        <v>12</v>
      </c>
      <c r="DM275" s="386" t="s">
        <v>12</v>
      </c>
      <c r="DN275" s="7">
        <v>1.2070156640521357</v>
      </c>
      <c r="DO275" s="7" t="s">
        <v>12</v>
      </c>
      <c r="DP275" s="7">
        <v>0.96124696031886803</v>
      </c>
      <c r="DQ275" s="7" t="s">
        <v>12</v>
      </c>
      <c r="DR275" s="7" t="s">
        <v>12</v>
      </c>
      <c r="DS275" s="7">
        <v>1.299523691766435</v>
      </c>
      <c r="DT275" s="7" t="s">
        <v>12</v>
      </c>
      <c r="DU275" s="7" t="s">
        <v>12</v>
      </c>
      <c r="DV275" s="7" t="s">
        <v>12</v>
      </c>
      <c r="DW275" s="7" t="s">
        <v>12</v>
      </c>
      <c r="DY275" s="9">
        <v>80425823</v>
      </c>
      <c r="EI275" s="423">
        <v>0</v>
      </c>
      <c r="EJ275" s="423" t="s">
        <v>12</v>
      </c>
      <c r="EK275" s="423">
        <v>0</v>
      </c>
      <c r="EL275" s="423" t="s">
        <v>12</v>
      </c>
      <c r="EM275" s="423" t="s">
        <v>12</v>
      </c>
      <c r="EN275" s="423">
        <v>0</v>
      </c>
      <c r="EO275" s="423" t="s">
        <v>12</v>
      </c>
      <c r="EP275" s="423" t="s">
        <v>12</v>
      </c>
      <c r="EQ275" s="423" t="s">
        <v>12</v>
      </c>
      <c r="ER275" s="423" t="s">
        <v>12</v>
      </c>
      <c r="ES275" s="438">
        <v>2546750.3831547895</v>
      </c>
      <c r="ET275" s="438">
        <v>1</v>
      </c>
      <c r="EU275" s="438">
        <v>2053320.5943339372</v>
      </c>
      <c r="EV275" s="438">
        <v>1</v>
      </c>
      <c r="EW275" s="438">
        <v>1</v>
      </c>
      <c r="EX275" s="438">
        <v>2274442.6299564466</v>
      </c>
      <c r="EY275" s="438">
        <v>1</v>
      </c>
      <c r="EZ275" s="438">
        <v>1</v>
      </c>
      <c r="FA275" s="438">
        <v>1</v>
      </c>
      <c r="FB275" s="438" t="s">
        <v>12</v>
      </c>
      <c r="FC275" s="346">
        <v>3974499.2038652366</v>
      </c>
      <c r="FD275" s="346">
        <v>9064218.0398611948</v>
      </c>
      <c r="FE275" s="346">
        <v>0</v>
      </c>
      <c r="FF275" s="346">
        <v>0</v>
      </c>
      <c r="FG275" s="346">
        <v>0</v>
      </c>
      <c r="FH275" s="346">
        <v>0</v>
      </c>
      <c r="FI275" s="346">
        <v>0</v>
      </c>
      <c r="FJ275" s="346">
        <v>0</v>
      </c>
      <c r="FK275" s="346">
        <v>0</v>
      </c>
      <c r="FL275" s="346">
        <v>0</v>
      </c>
    </row>
    <row r="276" spans="1:168" x14ac:dyDescent="0.25">
      <c r="A276" s="238">
        <v>1</v>
      </c>
      <c r="B276" s="238" t="s">
        <v>761</v>
      </c>
      <c r="C276" s="243">
        <v>3.3769425062239997</v>
      </c>
      <c r="D276" s="243">
        <v>3.4872597108464198</v>
      </c>
      <c r="E276" s="243">
        <v>2.7015540049792</v>
      </c>
      <c r="F276" s="243">
        <v>1.6055714108740369</v>
      </c>
      <c r="G276" s="243">
        <v>3.276991057031601</v>
      </c>
      <c r="H276" s="243">
        <v>3.1658835995849994</v>
      </c>
      <c r="I276" s="243" t="s">
        <v>11</v>
      </c>
      <c r="J276" s="243" t="s">
        <v>11</v>
      </c>
      <c r="K276" s="243" t="s">
        <v>11</v>
      </c>
      <c r="L276" s="243" t="s">
        <v>11</v>
      </c>
      <c r="N276">
        <v>61</v>
      </c>
      <c r="O276" t="s">
        <v>86</v>
      </c>
      <c r="P276" t="s">
        <v>86</v>
      </c>
      <c r="Q276" t="s">
        <v>14</v>
      </c>
      <c r="R276" s="2" t="s">
        <v>12</v>
      </c>
      <c r="S276" s="2" t="s">
        <v>12</v>
      </c>
      <c r="T276" s="2" t="s">
        <v>12</v>
      </c>
      <c r="U276" s="2" t="s">
        <v>12</v>
      </c>
      <c r="V276" s="2" t="s">
        <v>12</v>
      </c>
      <c r="W276" s="2" t="s">
        <v>12</v>
      </c>
      <c r="X276" s="2" t="s">
        <v>12</v>
      </c>
      <c r="Y276" s="2" t="s">
        <v>12</v>
      </c>
      <c r="Z276" s="2" t="s">
        <v>12</v>
      </c>
      <c r="AA276" s="2" t="s">
        <v>12</v>
      </c>
      <c r="AB276" s="2" t="s">
        <v>12</v>
      </c>
      <c r="AC276" s="2" t="s">
        <v>12</v>
      </c>
      <c r="AD276" t="s">
        <v>12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t="s">
        <v>12</v>
      </c>
      <c r="AR276" t="s">
        <v>12</v>
      </c>
      <c r="AS276" t="s">
        <v>12</v>
      </c>
      <c r="AT276" t="s">
        <v>12</v>
      </c>
      <c r="AU276" t="s">
        <v>12</v>
      </c>
      <c r="AV276" t="s">
        <v>12</v>
      </c>
      <c r="AW276" t="s">
        <v>12</v>
      </c>
      <c r="AX276" t="s">
        <v>12</v>
      </c>
      <c r="AY276" t="s">
        <v>12</v>
      </c>
      <c r="AZ276" t="s">
        <v>12</v>
      </c>
      <c r="BA276" t="s">
        <v>12</v>
      </c>
      <c r="BB276" t="s">
        <v>12</v>
      </c>
      <c r="BC276" t="s">
        <v>12</v>
      </c>
      <c r="BD276" t="s">
        <v>12</v>
      </c>
      <c r="BF276" s="313" t="s">
        <v>11</v>
      </c>
      <c r="BG276" s="313" t="s">
        <v>11</v>
      </c>
      <c r="BH276" t="s">
        <v>12</v>
      </c>
      <c r="BI276" t="s">
        <v>12</v>
      </c>
      <c r="BJ276" t="s">
        <v>12</v>
      </c>
      <c r="BK276" t="s">
        <v>12</v>
      </c>
      <c r="BL276" t="s">
        <v>12</v>
      </c>
      <c r="BM276" t="s">
        <v>12</v>
      </c>
      <c r="BN276" t="s">
        <v>12</v>
      </c>
      <c r="BO276" t="s">
        <v>12</v>
      </c>
      <c r="BP276" t="s">
        <v>12</v>
      </c>
      <c r="BQ276" t="s">
        <v>12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 s="9" t="s">
        <v>12</v>
      </c>
      <c r="CF276" s="28" t="s">
        <v>12</v>
      </c>
      <c r="CG276" s="28" t="s">
        <v>12</v>
      </c>
      <c r="CH276" s="28" t="s">
        <v>12</v>
      </c>
      <c r="CI276" s="28" t="s">
        <v>12</v>
      </c>
      <c r="CJ276" s="28" t="s">
        <v>12</v>
      </c>
      <c r="CK276" s="28" t="s">
        <v>12</v>
      </c>
      <c r="CL276" s="28" t="s">
        <v>12</v>
      </c>
      <c r="CM276" s="28" t="s">
        <v>12</v>
      </c>
      <c r="CN276" s="28" t="s">
        <v>12</v>
      </c>
      <c r="CO276" s="28" t="s">
        <v>12</v>
      </c>
      <c r="CP276" s="28" t="s">
        <v>12</v>
      </c>
      <c r="CQ276" s="28" t="s">
        <v>12</v>
      </c>
      <c r="CR276" s="28" t="s">
        <v>12</v>
      </c>
      <c r="CS276" s="28" t="s">
        <v>12</v>
      </c>
      <c r="CT276" s="28" t="s">
        <v>12</v>
      </c>
      <c r="CU276" s="28" t="s">
        <v>12</v>
      </c>
      <c r="CV276" s="28" t="s">
        <v>12</v>
      </c>
      <c r="CW276" s="28" t="s">
        <v>12</v>
      </c>
      <c r="CX276" s="28" t="s">
        <v>12</v>
      </c>
      <c r="CY276" s="28" t="s">
        <v>12</v>
      </c>
      <c r="CZ276" s="28" t="s">
        <v>12</v>
      </c>
      <c r="DA276" s="28" t="s">
        <v>12</v>
      </c>
      <c r="DB276" s="313">
        <v>61</v>
      </c>
      <c r="DC276" s="313" t="s">
        <v>86</v>
      </c>
      <c r="DD276" s="386" t="s">
        <v>12</v>
      </c>
      <c r="DE276" s="386" t="s">
        <v>12</v>
      </c>
      <c r="DF276" s="386" t="s">
        <v>12</v>
      </c>
      <c r="DG276" s="386" t="s">
        <v>12</v>
      </c>
      <c r="DH276" s="386" t="s">
        <v>12</v>
      </c>
      <c r="DI276" s="386" t="s">
        <v>12</v>
      </c>
      <c r="DJ276" s="386" t="s">
        <v>12</v>
      </c>
      <c r="DK276" s="386" t="s">
        <v>12</v>
      </c>
      <c r="DL276" s="386" t="s">
        <v>12</v>
      </c>
      <c r="DM276" s="386" t="s">
        <v>12</v>
      </c>
      <c r="DN276" s="7" t="s">
        <v>12</v>
      </c>
      <c r="DO276" s="7" t="s">
        <v>12</v>
      </c>
      <c r="DP276" s="7" t="s">
        <v>12</v>
      </c>
      <c r="DQ276" s="7" t="s">
        <v>12</v>
      </c>
      <c r="DR276" s="7" t="s">
        <v>12</v>
      </c>
      <c r="DS276" s="7" t="s">
        <v>12</v>
      </c>
      <c r="DT276" s="7" t="s">
        <v>12</v>
      </c>
      <c r="DU276" s="7" t="s">
        <v>12</v>
      </c>
      <c r="DV276" s="7" t="s">
        <v>12</v>
      </c>
      <c r="DW276" s="7" t="s">
        <v>12</v>
      </c>
      <c r="DY276" s="9">
        <v>25544565</v>
      </c>
      <c r="EI276" s="423" t="s">
        <v>12</v>
      </c>
      <c r="EJ276" s="423" t="s">
        <v>12</v>
      </c>
      <c r="EK276" s="423" t="s">
        <v>12</v>
      </c>
      <c r="EL276" s="423" t="s">
        <v>12</v>
      </c>
      <c r="EM276" s="423" t="s">
        <v>12</v>
      </c>
      <c r="EN276" s="423" t="s">
        <v>12</v>
      </c>
      <c r="EO276" s="423" t="s">
        <v>12</v>
      </c>
      <c r="EP276" s="423" t="s">
        <v>12</v>
      </c>
      <c r="EQ276" s="423" t="s">
        <v>12</v>
      </c>
      <c r="ER276" s="423" t="s">
        <v>12</v>
      </c>
      <c r="ES276" s="438" t="s">
        <v>12</v>
      </c>
      <c r="ET276" s="438" t="s">
        <v>12</v>
      </c>
      <c r="EU276" s="438" t="s">
        <v>12</v>
      </c>
      <c r="EV276" s="438" t="s">
        <v>12</v>
      </c>
      <c r="EW276" s="438" t="s">
        <v>12</v>
      </c>
      <c r="EX276" s="438" t="s">
        <v>12</v>
      </c>
      <c r="EY276" s="438" t="s">
        <v>12</v>
      </c>
      <c r="EZ276" s="438" t="s">
        <v>12</v>
      </c>
      <c r="FA276" s="438" t="s">
        <v>12</v>
      </c>
      <c r="FB276" s="438" t="s">
        <v>12</v>
      </c>
      <c r="FC276" s="346">
        <v>0</v>
      </c>
      <c r="FD276" s="346">
        <v>0</v>
      </c>
      <c r="FE276" s="346">
        <v>0</v>
      </c>
      <c r="FF276" s="346">
        <v>0</v>
      </c>
      <c r="FG276" s="346">
        <v>0</v>
      </c>
      <c r="FH276" s="346">
        <v>0</v>
      </c>
      <c r="FI276" s="346">
        <v>0</v>
      </c>
      <c r="FJ276" s="346">
        <v>0</v>
      </c>
      <c r="FK276" s="346">
        <v>0</v>
      </c>
      <c r="FL276" s="346">
        <v>0</v>
      </c>
    </row>
    <row r="277" spans="1:168" x14ac:dyDescent="0.25">
      <c r="A277" s="238">
        <v>2</v>
      </c>
      <c r="B277" s="238" t="s">
        <v>763</v>
      </c>
      <c r="C277" s="243">
        <v>4.2420522807375427</v>
      </c>
      <c r="D277" s="243">
        <v>1.8732613597822212</v>
      </c>
      <c r="E277" s="243">
        <v>1.6041246700261973</v>
      </c>
      <c r="F277" s="243">
        <v>2.15405363965179</v>
      </c>
      <c r="G277" s="243">
        <v>2.5762236785411021</v>
      </c>
      <c r="H277" s="243">
        <v>3.0836879433654145</v>
      </c>
      <c r="I277" s="243" t="s">
        <v>11</v>
      </c>
      <c r="J277" s="243" t="s">
        <v>11</v>
      </c>
      <c r="K277" s="243" t="s">
        <v>11</v>
      </c>
      <c r="L277" s="243" t="s">
        <v>11</v>
      </c>
      <c r="N277">
        <v>62</v>
      </c>
      <c r="O277" t="s">
        <v>87</v>
      </c>
      <c r="P277" t="s">
        <v>87</v>
      </c>
      <c r="Q277" t="s">
        <v>23</v>
      </c>
      <c r="R277" s="2" t="s">
        <v>12</v>
      </c>
      <c r="S277" s="2" t="s">
        <v>12</v>
      </c>
      <c r="T277" s="2" t="s">
        <v>12</v>
      </c>
      <c r="U277" s="2" t="s">
        <v>12</v>
      </c>
      <c r="V277" s="2" t="s">
        <v>12</v>
      </c>
      <c r="W277" s="2" t="s">
        <v>12</v>
      </c>
      <c r="X277" s="2" t="s">
        <v>12</v>
      </c>
      <c r="Y277" s="2" t="s">
        <v>12</v>
      </c>
      <c r="Z277" s="2" t="s">
        <v>12</v>
      </c>
      <c r="AA277" s="2" t="s">
        <v>12</v>
      </c>
      <c r="AB277" s="2" t="s">
        <v>12</v>
      </c>
      <c r="AC277" s="2" t="s">
        <v>12</v>
      </c>
      <c r="AD277" t="s">
        <v>12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t="s">
        <v>12</v>
      </c>
      <c r="AR277" t="s">
        <v>12</v>
      </c>
      <c r="AS277" t="s">
        <v>12</v>
      </c>
      <c r="AT277" t="s">
        <v>12</v>
      </c>
      <c r="AU277" t="s">
        <v>12</v>
      </c>
      <c r="AV277" t="s">
        <v>12</v>
      </c>
      <c r="AW277" t="s">
        <v>12</v>
      </c>
      <c r="AX277" t="s">
        <v>12</v>
      </c>
      <c r="AY277" t="s">
        <v>12</v>
      </c>
      <c r="AZ277" t="s">
        <v>12</v>
      </c>
      <c r="BA277" t="s">
        <v>12</v>
      </c>
      <c r="BB277" t="s">
        <v>12</v>
      </c>
      <c r="BC277" t="s">
        <v>12</v>
      </c>
      <c r="BD277" t="s">
        <v>12</v>
      </c>
      <c r="BF277" s="313" t="s">
        <v>11</v>
      </c>
      <c r="BG277" s="313" t="s">
        <v>11</v>
      </c>
      <c r="BH277" t="s">
        <v>12</v>
      </c>
      <c r="BI277" t="s">
        <v>12</v>
      </c>
      <c r="BJ277" t="s">
        <v>12</v>
      </c>
      <c r="BK277" t="s">
        <v>12</v>
      </c>
      <c r="BL277" t="s">
        <v>12</v>
      </c>
      <c r="BM277" t="s">
        <v>12</v>
      </c>
      <c r="BN277" t="s">
        <v>12</v>
      </c>
      <c r="BO277" t="s">
        <v>12</v>
      </c>
      <c r="BP277" t="s">
        <v>12</v>
      </c>
      <c r="BQ277" t="s">
        <v>12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s="9" t="s">
        <v>12</v>
      </c>
      <c r="CF277" s="28" t="s">
        <v>12</v>
      </c>
      <c r="CG277" s="28" t="s">
        <v>12</v>
      </c>
      <c r="CH277" s="28" t="s">
        <v>12</v>
      </c>
      <c r="CI277" s="28" t="s">
        <v>12</v>
      </c>
      <c r="CJ277" s="28" t="s">
        <v>12</v>
      </c>
      <c r="CK277" s="28" t="s">
        <v>12</v>
      </c>
      <c r="CL277" s="28" t="s">
        <v>12</v>
      </c>
      <c r="CM277" s="28" t="s">
        <v>12</v>
      </c>
      <c r="CN277" s="28" t="s">
        <v>12</v>
      </c>
      <c r="CO277" s="28" t="s">
        <v>12</v>
      </c>
      <c r="CP277" s="28" t="s">
        <v>12</v>
      </c>
      <c r="CQ277" s="28" t="s">
        <v>12</v>
      </c>
      <c r="CR277" s="28" t="s">
        <v>12</v>
      </c>
      <c r="CS277" s="28" t="s">
        <v>12</v>
      </c>
      <c r="CT277" s="28" t="s">
        <v>12</v>
      </c>
      <c r="CU277" s="28" t="s">
        <v>12</v>
      </c>
      <c r="CV277" s="28" t="s">
        <v>12</v>
      </c>
      <c r="CW277" s="28" t="s">
        <v>12</v>
      </c>
      <c r="CX277" s="28" t="s">
        <v>12</v>
      </c>
      <c r="CY277" s="28" t="s">
        <v>12</v>
      </c>
      <c r="CZ277" s="28" t="s">
        <v>12</v>
      </c>
      <c r="DA277" s="28" t="s">
        <v>12</v>
      </c>
      <c r="DB277" s="313">
        <v>62</v>
      </c>
      <c r="DC277" s="313" t="s">
        <v>87</v>
      </c>
      <c r="DD277" s="386" t="s">
        <v>12</v>
      </c>
      <c r="DE277" s="386" t="s">
        <v>12</v>
      </c>
      <c r="DF277" s="386" t="s">
        <v>12</v>
      </c>
      <c r="DG277" s="386" t="s">
        <v>12</v>
      </c>
      <c r="DH277" s="386" t="s">
        <v>12</v>
      </c>
      <c r="DI277" s="386" t="s">
        <v>12</v>
      </c>
      <c r="DJ277" s="386" t="s">
        <v>12</v>
      </c>
      <c r="DK277" s="386" t="s">
        <v>12</v>
      </c>
      <c r="DL277" s="386" t="s">
        <v>12</v>
      </c>
      <c r="DM277" s="386" t="s">
        <v>12</v>
      </c>
      <c r="DN277" s="7" t="s">
        <v>12</v>
      </c>
      <c r="DO277" s="7" t="s">
        <v>12</v>
      </c>
      <c r="DP277" s="7" t="s">
        <v>12</v>
      </c>
      <c r="DQ277" s="7" t="s">
        <v>12</v>
      </c>
      <c r="DR277" s="7" t="s">
        <v>12</v>
      </c>
      <c r="DS277" s="7" t="s">
        <v>12</v>
      </c>
      <c r="DT277" s="7" t="s">
        <v>12</v>
      </c>
      <c r="DU277" s="7" t="s">
        <v>12</v>
      </c>
      <c r="DV277" s="7" t="s">
        <v>12</v>
      </c>
      <c r="DW277" s="7" t="s">
        <v>12</v>
      </c>
      <c r="DY277" s="9">
        <v>11045011</v>
      </c>
      <c r="EI277" s="423" t="s">
        <v>12</v>
      </c>
      <c r="EJ277" s="423" t="s">
        <v>12</v>
      </c>
      <c r="EK277" s="423" t="s">
        <v>12</v>
      </c>
      <c r="EL277" s="423" t="s">
        <v>12</v>
      </c>
      <c r="EM277" s="423" t="s">
        <v>12</v>
      </c>
      <c r="EN277" s="423" t="s">
        <v>12</v>
      </c>
      <c r="EO277" s="423" t="s">
        <v>12</v>
      </c>
      <c r="EP277" s="423" t="s">
        <v>12</v>
      </c>
      <c r="EQ277" s="423" t="s">
        <v>12</v>
      </c>
      <c r="ER277" s="423" t="s">
        <v>12</v>
      </c>
      <c r="ES277" s="438" t="s">
        <v>12</v>
      </c>
      <c r="ET277" s="438" t="s">
        <v>12</v>
      </c>
      <c r="EU277" s="438" t="s">
        <v>12</v>
      </c>
      <c r="EV277" s="438" t="s">
        <v>12</v>
      </c>
      <c r="EW277" s="438" t="s">
        <v>12</v>
      </c>
      <c r="EX277" s="438" t="s">
        <v>12</v>
      </c>
      <c r="EY277" s="438" t="s">
        <v>12</v>
      </c>
      <c r="EZ277" s="438" t="s">
        <v>12</v>
      </c>
      <c r="FA277" s="438" t="s">
        <v>12</v>
      </c>
      <c r="FB277" s="438" t="s">
        <v>12</v>
      </c>
      <c r="FC277" s="346">
        <v>0</v>
      </c>
      <c r="FD277" s="346">
        <v>0</v>
      </c>
      <c r="FE277" s="346">
        <v>0</v>
      </c>
      <c r="FF277" s="346">
        <v>0</v>
      </c>
      <c r="FG277" s="346">
        <v>0</v>
      </c>
      <c r="FH277" s="346">
        <v>0</v>
      </c>
      <c r="FI277" s="346">
        <v>0</v>
      </c>
      <c r="FJ277" s="346">
        <v>0</v>
      </c>
      <c r="FK277" s="346">
        <v>0</v>
      </c>
      <c r="FL277" s="346">
        <v>0</v>
      </c>
    </row>
    <row r="278" spans="1:168" x14ac:dyDescent="0.25">
      <c r="A278" s="238">
        <v>3</v>
      </c>
      <c r="B278" s="238" t="s">
        <v>764</v>
      </c>
      <c r="C278" s="243" t="s">
        <v>11</v>
      </c>
      <c r="D278" s="243" t="s">
        <v>11</v>
      </c>
      <c r="E278" s="243" t="s">
        <v>11</v>
      </c>
      <c r="F278" s="243" t="s">
        <v>11</v>
      </c>
      <c r="G278" s="243" t="s">
        <v>11</v>
      </c>
      <c r="H278" s="243" t="s">
        <v>11</v>
      </c>
      <c r="I278" s="243" t="s">
        <v>11</v>
      </c>
      <c r="J278" s="243" t="s">
        <v>11</v>
      </c>
      <c r="K278" s="243" t="s">
        <v>11</v>
      </c>
      <c r="L278" s="243" t="s">
        <v>11</v>
      </c>
      <c r="N278">
        <v>63</v>
      </c>
      <c r="O278" t="s">
        <v>88</v>
      </c>
      <c r="P278" t="s">
        <v>11</v>
      </c>
      <c r="Q278" t="s">
        <v>16</v>
      </c>
      <c r="R278" s="2" t="s">
        <v>12</v>
      </c>
      <c r="S278" s="2" t="s">
        <v>12</v>
      </c>
      <c r="T278" s="2" t="s">
        <v>12</v>
      </c>
      <c r="U278" s="2" t="s">
        <v>12</v>
      </c>
      <c r="V278" s="2" t="s">
        <v>12</v>
      </c>
      <c r="W278" s="2" t="s">
        <v>12</v>
      </c>
      <c r="X278" s="2" t="s">
        <v>12</v>
      </c>
      <c r="Y278" s="2" t="s">
        <v>12</v>
      </c>
      <c r="Z278" s="2" t="s">
        <v>12</v>
      </c>
      <c r="AA278" s="2" t="s">
        <v>12</v>
      </c>
      <c r="AB278" s="2" t="s">
        <v>12</v>
      </c>
      <c r="AC278" s="2" t="s">
        <v>12</v>
      </c>
      <c r="AD278" t="s">
        <v>12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t="s">
        <v>12</v>
      </c>
      <c r="AR278" t="s">
        <v>12</v>
      </c>
      <c r="AS278" t="s">
        <v>12</v>
      </c>
      <c r="AT278" t="s">
        <v>12</v>
      </c>
      <c r="AU278" t="s">
        <v>12</v>
      </c>
      <c r="AV278" t="s">
        <v>12</v>
      </c>
      <c r="AW278" t="s">
        <v>12</v>
      </c>
      <c r="AX278" t="s">
        <v>12</v>
      </c>
      <c r="AY278" t="s">
        <v>12</v>
      </c>
      <c r="AZ278" t="s">
        <v>12</v>
      </c>
      <c r="BA278" t="s">
        <v>12</v>
      </c>
      <c r="BB278" t="s">
        <v>12</v>
      </c>
      <c r="BC278" t="s">
        <v>12</v>
      </c>
      <c r="BD278" t="s">
        <v>12</v>
      </c>
      <c r="BF278" s="313" t="s">
        <v>11</v>
      </c>
      <c r="BG278" s="313" t="s">
        <v>11</v>
      </c>
      <c r="BH278" t="s">
        <v>12</v>
      </c>
      <c r="BI278" t="s">
        <v>12</v>
      </c>
      <c r="BJ278" t="s">
        <v>12</v>
      </c>
      <c r="BK278" t="s">
        <v>12</v>
      </c>
      <c r="BL278" t="s">
        <v>12</v>
      </c>
      <c r="BM278" t="s">
        <v>12</v>
      </c>
      <c r="BN278" t="s">
        <v>12</v>
      </c>
      <c r="BO278" t="s">
        <v>12</v>
      </c>
      <c r="BP278" t="s">
        <v>12</v>
      </c>
      <c r="BQ278" t="s">
        <v>12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 s="9" t="s">
        <v>12</v>
      </c>
      <c r="CF278" s="28" t="s">
        <v>12</v>
      </c>
      <c r="CG278" s="28" t="s">
        <v>12</v>
      </c>
      <c r="CH278" s="28" t="s">
        <v>12</v>
      </c>
      <c r="CI278" s="28" t="s">
        <v>12</v>
      </c>
      <c r="CJ278" s="28" t="s">
        <v>12</v>
      </c>
      <c r="CK278" s="28" t="s">
        <v>12</v>
      </c>
      <c r="CL278" s="28" t="s">
        <v>12</v>
      </c>
      <c r="CM278" s="28" t="s">
        <v>12</v>
      </c>
      <c r="CN278" s="28" t="s">
        <v>12</v>
      </c>
      <c r="CO278" s="28" t="s">
        <v>12</v>
      </c>
      <c r="CP278" s="28" t="s">
        <v>12</v>
      </c>
      <c r="CQ278" s="28" t="s">
        <v>12</v>
      </c>
      <c r="CR278" s="28" t="s">
        <v>12</v>
      </c>
      <c r="CS278" s="28" t="s">
        <v>12</v>
      </c>
      <c r="CT278" s="28" t="s">
        <v>12</v>
      </c>
      <c r="CU278" s="28" t="s">
        <v>12</v>
      </c>
      <c r="CV278" s="28" t="s">
        <v>12</v>
      </c>
      <c r="CW278" s="28" t="s">
        <v>12</v>
      </c>
      <c r="CX278" s="28" t="s">
        <v>12</v>
      </c>
      <c r="CY278" s="28" t="s">
        <v>12</v>
      </c>
      <c r="CZ278" s="28" t="s">
        <v>12</v>
      </c>
      <c r="DA278" s="28" t="s">
        <v>12</v>
      </c>
      <c r="DB278" s="313">
        <v>63</v>
      </c>
      <c r="DC278" s="313" t="s">
        <v>88</v>
      </c>
      <c r="DD278" s="386" t="s">
        <v>12</v>
      </c>
      <c r="DE278" s="386" t="s">
        <v>12</v>
      </c>
      <c r="DF278" s="386" t="s">
        <v>12</v>
      </c>
      <c r="DG278" s="386" t="s">
        <v>12</v>
      </c>
      <c r="DH278" s="386" t="s">
        <v>12</v>
      </c>
      <c r="DI278" s="386" t="s">
        <v>12</v>
      </c>
      <c r="DJ278" s="386" t="s">
        <v>12</v>
      </c>
      <c r="DK278" s="386" t="s">
        <v>12</v>
      </c>
      <c r="DL278" s="386" t="s">
        <v>12</v>
      </c>
      <c r="DM278" s="386" t="s">
        <v>12</v>
      </c>
      <c r="DN278" s="7" t="s">
        <v>12</v>
      </c>
      <c r="DO278" s="7" t="s">
        <v>12</v>
      </c>
      <c r="DP278" s="7" t="s">
        <v>12</v>
      </c>
      <c r="DQ278" s="7" t="s">
        <v>12</v>
      </c>
      <c r="DR278" s="7" t="s">
        <v>12</v>
      </c>
      <c r="DS278" s="7" t="s">
        <v>12</v>
      </c>
      <c r="DT278" s="7" t="s">
        <v>12</v>
      </c>
      <c r="DU278" s="7" t="s">
        <v>12</v>
      </c>
      <c r="DV278" s="7" t="s">
        <v>12</v>
      </c>
      <c r="DW278" s="7" t="s">
        <v>12</v>
      </c>
      <c r="DY278" s="9">
        <v>105476</v>
      </c>
      <c r="EI278" s="423" t="s">
        <v>12</v>
      </c>
      <c r="EJ278" s="423" t="s">
        <v>12</v>
      </c>
      <c r="EK278" s="423" t="s">
        <v>12</v>
      </c>
      <c r="EL278" s="423" t="s">
        <v>12</v>
      </c>
      <c r="EM278" s="423" t="s">
        <v>12</v>
      </c>
      <c r="EN278" s="423" t="s">
        <v>12</v>
      </c>
      <c r="EO278" s="423" t="s">
        <v>12</v>
      </c>
      <c r="EP278" s="423" t="s">
        <v>12</v>
      </c>
      <c r="EQ278" s="423" t="s">
        <v>12</v>
      </c>
      <c r="ER278" s="423" t="s">
        <v>12</v>
      </c>
      <c r="ES278" s="438" t="s">
        <v>12</v>
      </c>
      <c r="ET278" s="438" t="s">
        <v>12</v>
      </c>
      <c r="EU278" s="438" t="s">
        <v>12</v>
      </c>
      <c r="EV278" s="438" t="s">
        <v>12</v>
      </c>
      <c r="EW278" s="438" t="s">
        <v>12</v>
      </c>
      <c r="EX278" s="438" t="s">
        <v>12</v>
      </c>
      <c r="EY278" s="438" t="s">
        <v>12</v>
      </c>
      <c r="EZ278" s="438" t="s">
        <v>12</v>
      </c>
      <c r="FA278" s="438" t="s">
        <v>12</v>
      </c>
      <c r="FB278" s="438" t="s">
        <v>12</v>
      </c>
      <c r="FC278" s="346">
        <v>0</v>
      </c>
      <c r="FD278" s="346">
        <v>0</v>
      </c>
      <c r="FE278" s="346">
        <v>0</v>
      </c>
      <c r="FF278" s="346">
        <v>0</v>
      </c>
      <c r="FG278" s="346">
        <v>0</v>
      </c>
      <c r="FH278" s="346">
        <v>0</v>
      </c>
      <c r="FI278" s="346">
        <v>0</v>
      </c>
      <c r="FJ278" s="346">
        <v>0</v>
      </c>
      <c r="FK278" s="346">
        <v>0</v>
      </c>
      <c r="FL278" s="346">
        <v>0</v>
      </c>
    </row>
    <row r="279" spans="1:168" x14ac:dyDescent="0.25">
      <c r="A279" s="238">
        <v>4</v>
      </c>
      <c r="B279" s="238" t="s">
        <v>765</v>
      </c>
      <c r="C279" s="243" t="s">
        <v>11</v>
      </c>
      <c r="D279" s="243" t="s">
        <v>11</v>
      </c>
      <c r="E279" s="243" t="s">
        <v>11</v>
      </c>
      <c r="F279" s="243" t="s">
        <v>11</v>
      </c>
      <c r="G279" s="243" t="s">
        <v>11</v>
      </c>
      <c r="H279" s="243" t="s">
        <v>11</v>
      </c>
      <c r="I279" s="243" t="s">
        <v>11</v>
      </c>
      <c r="J279" s="243" t="s">
        <v>11</v>
      </c>
      <c r="K279" s="243" t="s">
        <v>11</v>
      </c>
      <c r="L279" s="243" t="s">
        <v>11</v>
      </c>
      <c r="N279">
        <v>64</v>
      </c>
      <c r="O279" t="s">
        <v>89</v>
      </c>
      <c r="P279" t="s">
        <v>89</v>
      </c>
      <c r="Q279" t="s">
        <v>33</v>
      </c>
      <c r="R279" s="2" t="s">
        <v>12</v>
      </c>
      <c r="S279" s="2" t="s">
        <v>12</v>
      </c>
      <c r="T279" s="2" t="s">
        <v>12</v>
      </c>
      <c r="U279" s="2" t="s">
        <v>12</v>
      </c>
      <c r="V279" s="2" t="s">
        <v>12</v>
      </c>
      <c r="W279" s="2" t="s">
        <v>12</v>
      </c>
      <c r="X279" s="2" t="s">
        <v>12</v>
      </c>
      <c r="Y279" s="2" t="s">
        <v>12</v>
      </c>
      <c r="Z279" s="2" t="s">
        <v>12</v>
      </c>
      <c r="AA279" s="2" t="s">
        <v>12</v>
      </c>
      <c r="AB279" s="2" t="s">
        <v>12</v>
      </c>
      <c r="AC279" s="2" t="s">
        <v>12</v>
      </c>
      <c r="AD279" t="s">
        <v>12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t="s">
        <v>12</v>
      </c>
      <c r="AR279" t="s">
        <v>12</v>
      </c>
      <c r="AS279" t="s">
        <v>12</v>
      </c>
      <c r="AT279" t="s">
        <v>12</v>
      </c>
      <c r="AU279" t="s">
        <v>12</v>
      </c>
      <c r="AV279" t="s">
        <v>12</v>
      </c>
      <c r="AW279" t="s">
        <v>12</v>
      </c>
      <c r="AX279" t="s">
        <v>12</v>
      </c>
      <c r="AY279" t="s">
        <v>12</v>
      </c>
      <c r="AZ279" t="s">
        <v>12</v>
      </c>
      <c r="BA279" t="s">
        <v>12</v>
      </c>
      <c r="BB279" t="s">
        <v>12</v>
      </c>
      <c r="BC279" t="s">
        <v>12</v>
      </c>
      <c r="BD279" t="s">
        <v>12</v>
      </c>
      <c r="BF279" s="313" t="s">
        <v>11</v>
      </c>
      <c r="BG279" s="313" t="s">
        <v>11</v>
      </c>
      <c r="BH279" t="s">
        <v>12</v>
      </c>
      <c r="BI279" t="s">
        <v>12</v>
      </c>
      <c r="BJ279" t="s">
        <v>12</v>
      </c>
      <c r="BK279" t="s">
        <v>12</v>
      </c>
      <c r="BL279" t="s">
        <v>12</v>
      </c>
      <c r="BM279" t="s">
        <v>12</v>
      </c>
      <c r="BN279" t="s">
        <v>12</v>
      </c>
      <c r="BO279" t="s">
        <v>12</v>
      </c>
      <c r="BP279" t="s">
        <v>12</v>
      </c>
      <c r="BQ279" t="s">
        <v>12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 s="9" t="s">
        <v>12</v>
      </c>
      <c r="CF279" s="28" t="s">
        <v>12</v>
      </c>
      <c r="CG279" s="28" t="s">
        <v>12</v>
      </c>
      <c r="CH279" s="28" t="s">
        <v>12</v>
      </c>
      <c r="CI279" s="28" t="s">
        <v>12</v>
      </c>
      <c r="CJ279" s="28" t="s">
        <v>12</v>
      </c>
      <c r="CK279" s="28" t="s">
        <v>12</v>
      </c>
      <c r="CL279" s="28" t="s">
        <v>12</v>
      </c>
      <c r="CM279" s="28" t="s">
        <v>12</v>
      </c>
      <c r="CN279" s="28" t="s">
        <v>12</v>
      </c>
      <c r="CO279" s="28" t="s">
        <v>12</v>
      </c>
      <c r="CP279" s="28" t="s">
        <v>12</v>
      </c>
      <c r="CQ279" s="28" t="s">
        <v>12</v>
      </c>
      <c r="CR279" s="28" t="s">
        <v>12</v>
      </c>
      <c r="CS279" s="28" t="s">
        <v>12</v>
      </c>
      <c r="CT279" s="28" t="s">
        <v>12</v>
      </c>
      <c r="CU279" s="28" t="s">
        <v>12</v>
      </c>
      <c r="CV279" s="28" t="s">
        <v>12</v>
      </c>
      <c r="CW279" s="28" t="s">
        <v>12</v>
      </c>
      <c r="CX279" s="28" t="s">
        <v>12</v>
      </c>
      <c r="CY279" s="28" t="s">
        <v>12</v>
      </c>
      <c r="CZ279" s="28" t="s">
        <v>12</v>
      </c>
      <c r="DA279" s="28" t="s">
        <v>12</v>
      </c>
      <c r="DB279" s="313">
        <v>64</v>
      </c>
      <c r="DC279" s="313" t="s">
        <v>89</v>
      </c>
      <c r="DD279" s="386" t="s">
        <v>12</v>
      </c>
      <c r="DE279" s="386" t="s">
        <v>12</v>
      </c>
      <c r="DF279" s="386" t="s">
        <v>12</v>
      </c>
      <c r="DG279" s="386" t="s">
        <v>12</v>
      </c>
      <c r="DH279" s="386" t="s">
        <v>12</v>
      </c>
      <c r="DI279" s="386" t="s">
        <v>12</v>
      </c>
      <c r="DJ279" s="386" t="s">
        <v>12</v>
      </c>
      <c r="DK279" s="386" t="s">
        <v>12</v>
      </c>
      <c r="DL279" s="386" t="s">
        <v>12</v>
      </c>
      <c r="DM279" s="386" t="s">
        <v>12</v>
      </c>
      <c r="DN279" s="7" t="s">
        <v>12</v>
      </c>
      <c r="DO279" s="7" t="s">
        <v>12</v>
      </c>
      <c r="DP279" s="7" t="s">
        <v>12</v>
      </c>
      <c r="DQ279" s="7" t="s">
        <v>12</v>
      </c>
      <c r="DR279" s="7" t="s">
        <v>12</v>
      </c>
      <c r="DS279" s="7" t="s">
        <v>12</v>
      </c>
      <c r="DT279" s="7" t="s">
        <v>12</v>
      </c>
      <c r="DU279" s="7" t="s">
        <v>12</v>
      </c>
      <c r="DV279" s="7" t="s">
        <v>12</v>
      </c>
      <c r="DW279" s="7" t="s">
        <v>12</v>
      </c>
      <c r="DY279" s="9">
        <v>15368759</v>
      </c>
      <c r="EI279" s="423" t="s">
        <v>12</v>
      </c>
      <c r="EJ279" s="423" t="s">
        <v>12</v>
      </c>
      <c r="EK279" s="423" t="s">
        <v>12</v>
      </c>
      <c r="EL279" s="423" t="s">
        <v>12</v>
      </c>
      <c r="EM279" s="423" t="s">
        <v>12</v>
      </c>
      <c r="EN279" s="423" t="s">
        <v>12</v>
      </c>
      <c r="EO279" s="423" t="s">
        <v>12</v>
      </c>
      <c r="EP279" s="423" t="s">
        <v>12</v>
      </c>
      <c r="EQ279" s="423" t="s">
        <v>12</v>
      </c>
      <c r="ER279" s="423" t="s">
        <v>12</v>
      </c>
      <c r="ES279" s="438" t="s">
        <v>12</v>
      </c>
      <c r="ET279" s="438" t="s">
        <v>12</v>
      </c>
      <c r="EU279" s="438" t="s">
        <v>12</v>
      </c>
      <c r="EV279" s="438" t="s">
        <v>12</v>
      </c>
      <c r="EW279" s="438" t="s">
        <v>12</v>
      </c>
      <c r="EX279" s="438" t="s">
        <v>12</v>
      </c>
      <c r="EY279" s="438" t="s">
        <v>12</v>
      </c>
      <c r="EZ279" s="438" t="s">
        <v>12</v>
      </c>
      <c r="FA279" s="438" t="s">
        <v>12</v>
      </c>
      <c r="FB279" s="438" t="s">
        <v>12</v>
      </c>
      <c r="FC279" s="346">
        <v>0</v>
      </c>
      <c r="FD279" s="346">
        <v>0</v>
      </c>
      <c r="FE279" s="346">
        <v>0</v>
      </c>
      <c r="FF279" s="346">
        <v>0</v>
      </c>
      <c r="FG279" s="346">
        <v>0</v>
      </c>
      <c r="FH279" s="346">
        <v>0</v>
      </c>
      <c r="FI279" s="346">
        <v>0</v>
      </c>
      <c r="FJ279" s="346">
        <v>0</v>
      </c>
      <c r="FK279" s="346">
        <v>0</v>
      </c>
      <c r="FL279" s="346">
        <v>0</v>
      </c>
    </row>
    <row r="280" spans="1:168" x14ac:dyDescent="0.25">
      <c r="A280" s="238">
        <v>5</v>
      </c>
      <c r="B280" s="238" t="s">
        <v>767</v>
      </c>
      <c r="C280" s="243" t="s">
        <v>11</v>
      </c>
      <c r="D280" s="243" t="s">
        <v>11</v>
      </c>
      <c r="E280" s="243" t="s">
        <v>11</v>
      </c>
      <c r="F280" s="243" t="s">
        <v>11</v>
      </c>
      <c r="G280" s="243" t="s">
        <v>11</v>
      </c>
      <c r="H280" s="243" t="s">
        <v>11</v>
      </c>
      <c r="I280" s="243" t="s">
        <v>11</v>
      </c>
      <c r="J280" s="243" t="s">
        <v>11</v>
      </c>
      <c r="K280" s="243" t="s">
        <v>11</v>
      </c>
      <c r="L280" s="243" t="s">
        <v>11</v>
      </c>
      <c r="N280">
        <v>65</v>
      </c>
      <c r="O280" t="s">
        <v>90</v>
      </c>
      <c r="P280" t="s">
        <v>90</v>
      </c>
      <c r="Q280" t="s">
        <v>14</v>
      </c>
      <c r="R280" s="2" t="s">
        <v>12</v>
      </c>
      <c r="S280" s="2" t="s">
        <v>12</v>
      </c>
      <c r="T280" s="2" t="s">
        <v>12</v>
      </c>
      <c r="U280" s="2" t="s">
        <v>12</v>
      </c>
      <c r="V280" s="2" t="s">
        <v>12</v>
      </c>
      <c r="W280" s="2" t="s">
        <v>12</v>
      </c>
      <c r="X280" s="2" t="s">
        <v>12</v>
      </c>
      <c r="Y280" s="2" t="s">
        <v>12</v>
      </c>
      <c r="Z280" s="2" t="s">
        <v>12</v>
      </c>
      <c r="AA280" s="2" t="s">
        <v>12</v>
      </c>
      <c r="AB280" s="2" t="s">
        <v>12</v>
      </c>
      <c r="AC280" s="2" t="s">
        <v>12</v>
      </c>
      <c r="AD280" t="s">
        <v>12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t="s">
        <v>12</v>
      </c>
      <c r="AR280" t="s">
        <v>12</v>
      </c>
      <c r="AS280" t="s">
        <v>12</v>
      </c>
      <c r="AT280" t="s">
        <v>12</v>
      </c>
      <c r="AU280" t="s">
        <v>12</v>
      </c>
      <c r="AV280" t="s">
        <v>12</v>
      </c>
      <c r="AW280" t="s">
        <v>12</v>
      </c>
      <c r="AX280" t="s">
        <v>12</v>
      </c>
      <c r="AY280" t="s">
        <v>12</v>
      </c>
      <c r="AZ280" t="s">
        <v>12</v>
      </c>
      <c r="BA280" t="s">
        <v>12</v>
      </c>
      <c r="BB280" t="s">
        <v>12</v>
      </c>
      <c r="BC280" t="s">
        <v>12</v>
      </c>
      <c r="BD280" t="s">
        <v>12</v>
      </c>
      <c r="BF280" s="313" t="s">
        <v>11</v>
      </c>
      <c r="BG280" s="313" t="s">
        <v>11</v>
      </c>
      <c r="BH280" t="s">
        <v>12</v>
      </c>
      <c r="BI280" t="s">
        <v>12</v>
      </c>
      <c r="BJ280" t="s">
        <v>12</v>
      </c>
      <c r="BK280" t="s">
        <v>12</v>
      </c>
      <c r="BL280" t="s">
        <v>12</v>
      </c>
      <c r="BM280" t="s">
        <v>12</v>
      </c>
      <c r="BN280" t="s">
        <v>12</v>
      </c>
      <c r="BO280" t="s">
        <v>12</v>
      </c>
      <c r="BP280" t="s">
        <v>12</v>
      </c>
      <c r="BQ280" t="s">
        <v>12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 s="9" t="s">
        <v>12</v>
      </c>
      <c r="CF280" s="28" t="s">
        <v>12</v>
      </c>
      <c r="CG280" s="28" t="s">
        <v>12</v>
      </c>
      <c r="CH280" s="28" t="s">
        <v>12</v>
      </c>
      <c r="CI280" s="28" t="s">
        <v>12</v>
      </c>
      <c r="CJ280" s="28" t="s">
        <v>12</v>
      </c>
      <c r="CK280" s="28" t="s">
        <v>12</v>
      </c>
      <c r="CL280" s="28" t="s">
        <v>12</v>
      </c>
      <c r="CM280" s="28" t="s">
        <v>12</v>
      </c>
      <c r="CN280" s="28" t="s">
        <v>12</v>
      </c>
      <c r="CO280" s="28" t="s">
        <v>12</v>
      </c>
      <c r="CP280" s="28" t="s">
        <v>12</v>
      </c>
      <c r="CQ280" s="28" t="s">
        <v>12</v>
      </c>
      <c r="CR280" s="28" t="s">
        <v>12</v>
      </c>
      <c r="CS280" s="28" t="s">
        <v>12</v>
      </c>
      <c r="CT280" s="28" t="s">
        <v>12</v>
      </c>
      <c r="CU280" s="28" t="s">
        <v>12</v>
      </c>
      <c r="CV280" s="28" t="s">
        <v>12</v>
      </c>
      <c r="CW280" s="28" t="s">
        <v>12</v>
      </c>
      <c r="CX280" s="28" t="s">
        <v>12</v>
      </c>
      <c r="CY280" s="28" t="s">
        <v>12</v>
      </c>
      <c r="CZ280" s="28" t="s">
        <v>12</v>
      </c>
      <c r="DA280" s="28" t="s">
        <v>12</v>
      </c>
      <c r="DB280" s="313">
        <v>65</v>
      </c>
      <c r="DC280" s="313" t="s">
        <v>90</v>
      </c>
      <c r="DD280" s="386" t="s">
        <v>12</v>
      </c>
      <c r="DE280" s="386" t="s">
        <v>12</v>
      </c>
      <c r="DF280" s="386" t="s">
        <v>12</v>
      </c>
      <c r="DG280" s="386" t="s">
        <v>12</v>
      </c>
      <c r="DH280" s="386" t="s">
        <v>12</v>
      </c>
      <c r="DI280" s="386" t="s">
        <v>12</v>
      </c>
      <c r="DJ280" s="386" t="s">
        <v>12</v>
      </c>
      <c r="DK280" s="386" t="s">
        <v>12</v>
      </c>
      <c r="DL280" s="386" t="s">
        <v>12</v>
      </c>
      <c r="DM280" s="386" t="s">
        <v>12</v>
      </c>
      <c r="DN280" s="7" t="s">
        <v>12</v>
      </c>
      <c r="DO280" s="7" t="s">
        <v>12</v>
      </c>
      <c r="DP280" s="7" t="s">
        <v>12</v>
      </c>
      <c r="DQ280" s="7" t="s">
        <v>12</v>
      </c>
      <c r="DR280" s="7" t="s">
        <v>12</v>
      </c>
      <c r="DS280" s="7" t="s">
        <v>12</v>
      </c>
      <c r="DT280" s="7" t="s">
        <v>12</v>
      </c>
      <c r="DU280" s="7" t="s">
        <v>12</v>
      </c>
      <c r="DV280" s="7" t="s">
        <v>12</v>
      </c>
      <c r="DW280" s="7" t="s">
        <v>12</v>
      </c>
      <c r="DY280" s="9">
        <v>11628767</v>
      </c>
      <c r="EI280" s="423" t="s">
        <v>12</v>
      </c>
      <c r="EJ280" s="423" t="s">
        <v>12</v>
      </c>
      <c r="EK280" s="423" t="s">
        <v>12</v>
      </c>
      <c r="EL280" s="423" t="s">
        <v>12</v>
      </c>
      <c r="EM280" s="423" t="s">
        <v>12</v>
      </c>
      <c r="EN280" s="423" t="s">
        <v>12</v>
      </c>
      <c r="EO280" s="423" t="s">
        <v>12</v>
      </c>
      <c r="EP280" s="423" t="s">
        <v>12</v>
      </c>
      <c r="EQ280" s="423" t="s">
        <v>12</v>
      </c>
      <c r="ER280" s="423" t="s">
        <v>12</v>
      </c>
      <c r="ES280" s="438" t="s">
        <v>12</v>
      </c>
      <c r="ET280" s="438" t="s">
        <v>12</v>
      </c>
      <c r="EU280" s="438" t="s">
        <v>12</v>
      </c>
      <c r="EV280" s="438" t="s">
        <v>12</v>
      </c>
      <c r="EW280" s="438" t="s">
        <v>12</v>
      </c>
      <c r="EX280" s="438" t="s">
        <v>12</v>
      </c>
      <c r="EY280" s="438" t="s">
        <v>12</v>
      </c>
      <c r="EZ280" s="438" t="s">
        <v>12</v>
      </c>
      <c r="FA280" s="438" t="s">
        <v>12</v>
      </c>
      <c r="FB280" s="438" t="s">
        <v>12</v>
      </c>
      <c r="FC280" s="346">
        <v>0</v>
      </c>
      <c r="FD280" s="346">
        <v>0</v>
      </c>
      <c r="FE280" s="346">
        <v>0</v>
      </c>
      <c r="FF280" s="346">
        <v>0</v>
      </c>
      <c r="FG280" s="346">
        <v>0</v>
      </c>
      <c r="FH280" s="346">
        <v>0</v>
      </c>
      <c r="FI280" s="346">
        <v>0</v>
      </c>
      <c r="FJ280" s="346">
        <v>0</v>
      </c>
      <c r="FK280" s="346">
        <v>0</v>
      </c>
      <c r="FL280" s="346">
        <v>0</v>
      </c>
    </row>
    <row r="281" spans="1:168" x14ac:dyDescent="0.25">
      <c r="A281" s="238">
        <v>6</v>
      </c>
      <c r="B281" s="238" t="s">
        <v>768</v>
      </c>
      <c r="C281" s="243" t="s">
        <v>11</v>
      </c>
      <c r="D281" s="243" t="s">
        <v>11</v>
      </c>
      <c r="E281" s="243" t="s">
        <v>11</v>
      </c>
      <c r="F281" s="243" t="s">
        <v>11</v>
      </c>
      <c r="G281" s="243" t="s">
        <v>11</v>
      </c>
      <c r="H281" s="243" t="s">
        <v>11</v>
      </c>
      <c r="I281" s="243" t="s">
        <v>11</v>
      </c>
      <c r="J281" s="243" t="s">
        <v>11</v>
      </c>
      <c r="K281" s="243" t="s">
        <v>11</v>
      </c>
      <c r="L281" s="243" t="s">
        <v>11</v>
      </c>
      <c r="N281">
        <v>66</v>
      </c>
      <c r="O281" t="s">
        <v>91</v>
      </c>
      <c r="P281" t="s">
        <v>91</v>
      </c>
      <c r="Q281" t="s">
        <v>18</v>
      </c>
      <c r="R281" s="2" t="s">
        <v>12</v>
      </c>
      <c r="S281" s="2" t="s">
        <v>12</v>
      </c>
      <c r="T281" s="2" t="s">
        <v>12</v>
      </c>
      <c r="U281" s="2" t="s">
        <v>12</v>
      </c>
      <c r="V281" s="2" t="s">
        <v>12</v>
      </c>
      <c r="W281" s="2" t="s">
        <v>12</v>
      </c>
      <c r="X281" s="2" t="s">
        <v>12</v>
      </c>
      <c r="Y281" s="2" t="s">
        <v>12</v>
      </c>
      <c r="Z281" s="2" t="s">
        <v>12</v>
      </c>
      <c r="AA281" s="2" t="s">
        <v>12</v>
      </c>
      <c r="AB281" s="2" t="s">
        <v>12</v>
      </c>
      <c r="AC281" s="2" t="s">
        <v>12</v>
      </c>
      <c r="AD281" t="s">
        <v>12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t="s">
        <v>12</v>
      </c>
      <c r="AR281" t="s">
        <v>12</v>
      </c>
      <c r="AS281" t="s">
        <v>12</v>
      </c>
      <c r="AT281" t="s">
        <v>12</v>
      </c>
      <c r="AU281" t="s">
        <v>12</v>
      </c>
      <c r="AV281" t="s">
        <v>12</v>
      </c>
      <c r="AW281" t="s">
        <v>12</v>
      </c>
      <c r="AX281" t="s">
        <v>12</v>
      </c>
      <c r="AY281" t="s">
        <v>12</v>
      </c>
      <c r="AZ281" t="s">
        <v>12</v>
      </c>
      <c r="BA281" t="s">
        <v>12</v>
      </c>
      <c r="BB281" t="s">
        <v>12</v>
      </c>
      <c r="BC281" t="s">
        <v>12</v>
      </c>
      <c r="BD281" t="s">
        <v>12</v>
      </c>
      <c r="BF281" s="313" t="s">
        <v>11</v>
      </c>
      <c r="BG281" s="313" t="s">
        <v>11</v>
      </c>
      <c r="BH281" t="s">
        <v>12</v>
      </c>
      <c r="BI281" t="s">
        <v>12</v>
      </c>
      <c r="BJ281" t="s">
        <v>12</v>
      </c>
      <c r="BK281" t="s">
        <v>12</v>
      </c>
      <c r="BL281" t="s">
        <v>12</v>
      </c>
      <c r="BM281" t="s">
        <v>12</v>
      </c>
      <c r="BN281" t="s">
        <v>12</v>
      </c>
      <c r="BO281" t="s">
        <v>12</v>
      </c>
      <c r="BP281" t="s">
        <v>12</v>
      </c>
      <c r="BQ281" t="s">
        <v>12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 s="9" t="s">
        <v>12</v>
      </c>
      <c r="CF281" s="28" t="s">
        <v>12</v>
      </c>
      <c r="CG281" s="28" t="s">
        <v>12</v>
      </c>
      <c r="CH281" s="28" t="s">
        <v>12</v>
      </c>
      <c r="CI281" s="28" t="s">
        <v>12</v>
      </c>
      <c r="CJ281" s="28" t="s">
        <v>12</v>
      </c>
      <c r="CK281" s="28" t="s">
        <v>12</v>
      </c>
      <c r="CL281" s="28" t="s">
        <v>12</v>
      </c>
      <c r="CM281" s="28" t="s">
        <v>12</v>
      </c>
      <c r="CN281" s="28" t="s">
        <v>12</v>
      </c>
      <c r="CO281" s="28" t="s">
        <v>12</v>
      </c>
      <c r="CP281" s="28" t="s">
        <v>12</v>
      </c>
      <c r="CQ281" s="28" t="s">
        <v>12</v>
      </c>
      <c r="CR281" s="28" t="s">
        <v>12</v>
      </c>
      <c r="CS281" s="28" t="s">
        <v>12</v>
      </c>
      <c r="CT281" s="28" t="s">
        <v>12</v>
      </c>
      <c r="CU281" s="28" t="s">
        <v>12</v>
      </c>
      <c r="CV281" s="28" t="s">
        <v>12</v>
      </c>
      <c r="CW281" s="28" t="s">
        <v>12</v>
      </c>
      <c r="CX281" s="28" t="s">
        <v>12</v>
      </c>
      <c r="CY281" s="28" t="s">
        <v>12</v>
      </c>
      <c r="CZ281" s="28" t="s">
        <v>12</v>
      </c>
      <c r="DA281" s="28" t="s">
        <v>12</v>
      </c>
      <c r="DB281" s="313">
        <v>66</v>
      </c>
      <c r="DC281" s="313" t="s">
        <v>91</v>
      </c>
      <c r="DD281" s="386" t="s">
        <v>12</v>
      </c>
      <c r="DE281" s="386" t="s">
        <v>12</v>
      </c>
      <c r="DF281" s="386" t="s">
        <v>12</v>
      </c>
      <c r="DG281" s="386" t="s">
        <v>12</v>
      </c>
      <c r="DH281" s="386" t="s">
        <v>12</v>
      </c>
      <c r="DI281" s="386" t="s">
        <v>12</v>
      </c>
      <c r="DJ281" s="386" t="s">
        <v>12</v>
      </c>
      <c r="DK281" s="386" t="s">
        <v>12</v>
      </c>
      <c r="DL281" s="386" t="s">
        <v>12</v>
      </c>
      <c r="DM281" s="386" t="s">
        <v>12</v>
      </c>
      <c r="DN281" s="7" t="s">
        <v>12</v>
      </c>
      <c r="DO281" s="7" t="s">
        <v>12</v>
      </c>
      <c r="DP281" s="7" t="s">
        <v>12</v>
      </c>
      <c r="DQ281" s="7" t="s">
        <v>12</v>
      </c>
      <c r="DR281" s="7" t="s">
        <v>12</v>
      </c>
      <c r="DS281" s="7" t="s">
        <v>12</v>
      </c>
      <c r="DT281" s="7" t="s">
        <v>12</v>
      </c>
      <c r="DU281" s="7" t="s">
        <v>12</v>
      </c>
      <c r="DV281" s="7" t="s">
        <v>12</v>
      </c>
      <c r="DW281" s="7" t="s">
        <v>12</v>
      </c>
      <c r="DY281" s="9">
        <v>758410</v>
      </c>
      <c r="EI281" s="423" t="s">
        <v>12</v>
      </c>
      <c r="EJ281" s="423" t="s">
        <v>12</v>
      </c>
      <c r="EK281" s="423" t="s">
        <v>12</v>
      </c>
      <c r="EL281" s="423" t="s">
        <v>12</v>
      </c>
      <c r="EM281" s="423" t="s">
        <v>12</v>
      </c>
      <c r="EN281" s="423" t="s">
        <v>12</v>
      </c>
      <c r="EO281" s="423" t="s">
        <v>12</v>
      </c>
      <c r="EP281" s="423" t="s">
        <v>12</v>
      </c>
      <c r="EQ281" s="423" t="s">
        <v>12</v>
      </c>
      <c r="ER281" s="423" t="s">
        <v>12</v>
      </c>
      <c r="ES281" s="438" t="s">
        <v>12</v>
      </c>
      <c r="ET281" s="438" t="s">
        <v>12</v>
      </c>
      <c r="EU281" s="438" t="s">
        <v>12</v>
      </c>
      <c r="EV281" s="438" t="s">
        <v>12</v>
      </c>
      <c r="EW281" s="438" t="s">
        <v>12</v>
      </c>
      <c r="EX281" s="438" t="s">
        <v>12</v>
      </c>
      <c r="EY281" s="438" t="s">
        <v>12</v>
      </c>
      <c r="EZ281" s="438" t="s">
        <v>12</v>
      </c>
      <c r="FA281" s="438" t="s">
        <v>12</v>
      </c>
      <c r="FB281" s="438" t="s">
        <v>12</v>
      </c>
      <c r="FC281" s="346">
        <v>0</v>
      </c>
      <c r="FD281" s="346">
        <v>0</v>
      </c>
      <c r="FE281" s="346">
        <v>0</v>
      </c>
      <c r="FF281" s="346">
        <v>0</v>
      </c>
      <c r="FG281" s="346">
        <v>0</v>
      </c>
      <c r="FH281" s="346">
        <v>0</v>
      </c>
      <c r="FI281" s="346">
        <v>0</v>
      </c>
      <c r="FJ281" s="346">
        <v>0</v>
      </c>
      <c r="FK281" s="346">
        <v>0</v>
      </c>
      <c r="FL281" s="346">
        <v>0</v>
      </c>
    </row>
    <row r="282" spans="1:168" x14ac:dyDescent="0.25">
      <c r="A282" s="238">
        <v>7</v>
      </c>
      <c r="B282" s="238" t="s">
        <v>770</v>
      </c>
      <c r="C282" s="243" t="s">
        <v>11</v>
      </c>
      <c r="D282" s="243" t="s">
        <v>11</v>
      </c>
      <c r="E282" s="243" t="s">
        <v>11</v>
      </c>
      <c r="F282" s="243" t="s">
        <v>11</v>
      </c>
      <c r="G282" s="243" t="s">
        <v>11</v>
      </c>
      <c r="H282" s="243" t="s">
        <v>11</v>
      </c>
      <c r="I282" s="243" t="s">
        <v>11</v>
      </c>
      <c r="J282" s="243" t="s">
        <v>11</v>
      </c>
      <c r="K282" s="243" t="s">
        <v>11</v>
      </c>
      <c r="L282" s="243" t="s">
        <v>11</v>
      </c>
      <c r="N282">
        <v>67</v>
      </c>
      <c r="O282" t="s">
        <v>92</v>
      </c>
      <c r="P282" t="s">
        <v>92</v>
      </c>
      <c r="Q282" t="s">
        <v>16</v>
      </c>
      <c r="R282" s="2" t="s">
        <v>12</v>
      </c>
      <c r="S282" s="2" t="s">
        <v>12</v>
      </c>
      <c r="T282" s="2" t="s">
        <v>12</v>
      </c>
      <c r="U282" s="2" t="s">
        <v>12</v>
      </c>
      <c r="V282" s="2" t="s">
        <v>12</v>
      </c>
      <c r="W282" s="2" t="s">
        <v>12</v>
      </c>
      <c r="X282" s="2" t="s">
        <v>12</v>
      </c>
      <c r="Y282" s="2" t="s">
        <v>12</v>
      </c>
      <c r="Z282" s="2" t="s">
        <v>12</v>
      </c>
      <c r="AA282" s="2" t="s">
        <v>12</v>
      </c>
      <c r="AB282" s="2" t="s">
        <v>12</v>
      </c>
      <c r="AC282" s="2" t="s">
        <v>12</v>
      </c>
      <c r="AD282" t="s">
        <v>12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t="s">
        <v>12</v>
      </c>
      <c r="AR282" t="s">
        <v>12</v>
      </c>
      <c r="AS282" t="s">
        <v>12</v>
      </c>
      <c r="AT282" t="s">
        <v>12</v>
      </c>
      <c r="AU282" t="s">
        <v>12</v>
      </c>
      <c r="AV282" t="s">
        <v>12</v>
      </c>
      <c r="AW282" t="s">
        <v>12</v>
      </c>
      <c r="AX282" t="s">
        <v>12</v>
      </c>
      <c r="AY282" t="s">
        <v>12</v>
      </c>
      <c r="AZ282" t="s">
        <v>12</v>
      </c>
      <c r="BA282" t="s">
        <v>12</v>
      </c>
      <c r="BB282" t="s">
        <v>12</v>
      </c>
      <c r="BC282" t="s">
        <v>12</v>
      </c>
      <c r="BD282" t="s">
        <v>12</v>
      </c>
      <c r="BF282" s="313" t="s">
        <v>11</v>
      </c>
      <c r="BG282" s="313" t="s">
        <v>11</v>
      </c>
      <c r="BH282" t="s">
        <v>12</v>
      </c>
      <c r="BI282" t="s">
        <v>12</v>
      </c>
      <c r="BJ282" t="s">
        <v>12</v>
      </c>
      <c r="BK282" t="s">
        <v>12</v>
      </c>
      <c r="BL282" t="s">
        <v>12</v>
      </c>
      <c r="BM282" t="s">
        <v>12</v>
      </c>
      <c r="BN282" t="s">
        <v>12</v>
      </c>
      <c r="BO282" t="s">
        <v>12</v>
      </c>
      <c r="BP282" t="s">
        <v>12</v>
      </c>
      <c r="BQ282" t="s">
        <v>12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 s="9" t="s">
        <v>12</v>
      </c>
      <c r="CF282" s="28" t="s">
        <v>12</v>
      </c>
      <c r="CG282" s="28" t="s">
        <v>12</v>
      </c>
      <c r="CH282" s="28" t="s">
        <v>12</v>
      </c>
      <c r="CI282" s="28" t="s">
        <v>12</v>
      </c>
      <c r="CJ282" s="28" t="s">
        <v>12</v>
      </c>
      <c r="CK282" s="28" t="s">
        <v>12</v>
      </c>
      <c r="CL282" s="28" t="s">
        <v>12</v>
      </c>
      <c r="CM282" s="28" t="s">
        <v>12</v>
      </c>
      <c r="CN282" s="28" t="s">
        <v>12</v>
      </c>
      <c r="CO282" s="28" t="s">
        <v>12</v>
      </c>
      <c r="CP282" s="28" t="s">
        <v>12</v>
      </c>
      <c r="CQ282" s="28" t="s">
        <v>12</v>
      </c>
      <c r="CR282" s="28" t="s">
        <v>12</v>
      </c>
      <c r="CS282" s="28" t="s">
        <v>12</v>
      </c>
      <c r="CT282" s="28" t="s">
        <v>12</v>
      </c>
      <c r="CU282" s="28" t="s">
        <v>12</v>
      </c>
      <c r="CV282" s="28" t="s">
        <v>12</v>
      </c>
      <c r="CW282" s="28" t="s">
        <v>12</v>
      </c>
      <c r="CX282" s="28" t="s">
        <v>12</v>
      </c>
      <c r="CY282" s="28" t="s">
        <v>12</v>
      </c>
      <c r="CZ282" s="28" t="s">
        <v>12</v>
      </c>
      <c r="DA282" s="28" t="s">
        <v>12</v>
      </c>
      <c r="DB282" s="313">
        <v>67</v>
      </c>
      <c r="DC282" s="313" t="s">
        <v>92</v>
      </c>
      <c r="DD282" s="386" t="s">
        <v>12</v>
      </c>
      <c r="DE282" s="386" t="s">
        <v>12</v>
      </c>
      <c r="DF282" s="386" t="s">
        <v>12</v>
      </c>
      <c r="DG282" s="386" t="s">
        <v>12</v>
      </c>
      <c r="DH282" s="386" t="s">
        <v>12</v>
      </c>
      <c r="DI282" s="386" t="s">
        <v>12</v>
      </c>
      <c r="DJ282" s="386" t="s">
        <v>12</v>
      </c>
      <c r="DK282" s="386" t="s">
        <v>12</v>
      </c>
      <c r="DL282" s="386" t="s">
        <v>12</v>
      </c>
      <c r="DM282" s="386" t="s">
        <v>12</v>
      </c>
      <c r="DN282" s="7" t="s">
        <v>12</v>
      </c>
      <c r="DO282" s="7" t="s">
        <v>12</v>
      </c>
      <c r="DP282" s="7" t="s">
        <v>12</v>
      </c>
      <c r="DQ282" s="7" t="s">
        <v>12</v>
      </c>
      <c r="DR282" s="7" t="s">
        <v>12</v>
      </c>
      <c r="DS282" s="7" t="s">
        <v>12</v>
      </c>
      <c r="DT282" s="7" t="s">
        <v>12</v>
      </c>
      <c r="DU282" s="7" t="s">
        <v>12</v>
      </c>
      <c r="DV282" s="7" t="s">
        <v>12</v>
      </c>
      <c r="DW282" s="7" t="s">
        <v>12</v>
      </c>
      <c r="DY282" s="9">
        <v>10288828</v>
      </c>
      <c r="EI282" s="423" t="s">
        <v>12</v>
      </c>
      <c r="EJ282" s="423" t="s">
        <v>12</v>
      </c>
      <c r="EK282" s="423" t="s">
        <v>12</v>
      </c>
      <c r="EL282" s="423" t="s">
        <v>12</v>
      </c>
      <c r="EM282" s="423" t="s">
        <v>12</v>
      </c>
      <c r="EN282" s="423" t="s">
        <v>12</v>
      </c>
      <c r="EO282" s="423" t="s">
        <v>12</v>
      </c>
      <c r="EP282" s="423" t="s">
        <v>12</v>
      </c>
      <c r="EQ282" s="423" t="s">
        <v>12</v>
      </c>
      <c r="ER282" s="423" t="s">
        <v>12</v>
      </c>
      <c r="ES282" s="438" t="s">
        <v>12</v>
      </c>
      <c r="ET282" s="438" t="s">
        <v>12</v>
      </c>
      <c r="EU282" s="438" t="s">
        <v>12</v>
      </c>
      <c r="EV282" s="438" t="s">
        <v>12</v>
      </c>
      <c r="EW282" s="438" t="s">
        <v>12</v>
      </c>
      <c r="EX282" s="438" t="s">
        <v>12</v>
      </c>
      <c r="EY282" s="438" t="s">
        <v>12</v>
      </c>
      <c r="EZ282" s="438" t="s">
        <v>12</v>
      </c>
      <c r="FA282" s="438" t="s">
        <v>12</v>
      </c>
      <c r="FB282" s="438" t="s">
        <v>12</v>
      </c>
      <c r="FC282" s="346">
        <v>0</v>
      </c>
      <c r="FD282" s="346">
        <v>0</v>
      </c>
      <c r="FE282" s="346">
        <v>0</v>
      </c>
      <c r="FF282" s="346">
        <v>0</v>
      </c>
      <c r="FG282" s="346">
        <v>0</v>
      </c>
      <c r="FH282" s="346">
        <v>0</v>
      </c>
      <c r="FI282" s="346">
        <v>0</v>
      </c>
      <c r="FJ282" s="346">
        <v>0</v>
      </c>
      <c r="FK282" s="346">
        <v>0</v>
      </c>
      <c r="FL282" s="346">
        <v>0</v>
      </c>
    </row>
    <row r="283" spans="1:168" x14ac:dyDescent="0.25">
      <c r="A283" s="238">
        <v>8</v>
      </c>
      <c r="B283" s="238" t="s">
        <v>771</v>
      </c>
      <c r="C283" s="243" t="s">
        <v>11</v>
      </c>
      <c r="D283" s="243" t="s">
        <v>11</v>
      </c>
      <c r="E283" s="243" t="s">
        <v>11</v>
      </c>
      <c r="F283" s="243" t="s">
        <v>11</v>
      </c>
      <c r="G283" s="243" t="s">
        <v>11</v>
      </c>
      <c r="H283" s="243" t="s">
        <v>11</v>
      </c>
      <c r="I283" s="243" t="s">
        <v>11</v>
      </c>
      <c r="J283" s="243" t="s">
        <v>11</v>
      </c>
      <c r="K283" s="243" t="s">
        <v>11</v>
      </c>
      <c r="L283" s="243" t="s">
        <v>11</v>
      </c>
      <c r="N283">
        <v>68</v>
      </c>
      <c r="O283" t="s">
        <v>93</v>
      </c>
      <c r="P283" t="s">
        <v>93</v>
      </c>
      <c r="Q283" t="s">
        <v>33</v>
      </c>
      <c r="R283" s="2" t="s">
        <v>12</v>
      </c>
      <c r="S283" s="2" t="s">
        <v>12</v>
      </c>
      <c r="T283" s="2" t="s">
        <v>12</v>
      </c>
      <c r="U283" s="2" t="s">
        <v>12</v>
      </c>
      <c r="V283" s="2" t="s">
        <v>12</v>
      </c>
      <c r="W283" s="2" t="s">
        <v>12</v>
      </c>
      <c r="X283" s="2" t="s">
        <v>12</v>
      </c>
      <c r="Y283" s="2" t="s">
        <v>12</v>
      </c>
      <c r="Z283" s="2" t="s">
        <v>12</v>
      </c>
      <c r="AA283" s="2" t="s">
        <v>12</v>
      </c>
      <c r="AB283" s="2" t="s">
        <v>12</v>
      </c>
      <c r="AC283" s="2" t="s">
        <v>12</v>
      </c>
      <c r="AD283" t="s">
        <v>12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t="s">
        <v>12</v>
      </c>
      <c r="AR283" t="s">
        <v>12</v>
      </c>
      <c r="AS283" t="s">
        <v>12</v>
      </c>
      <c r="AT283" t="s">
        <v>12</v>
      </c>
      <c r="AU283" t="s">
        <v>12</v>
      </c>
      <c r="AV283" t="s">
        <v>12</v>
      </c>
      <c r="AW283" t="s">
        <v>12</v>
      </c>
      <c r="AX283" t="s">
        <v>12</v>
      </c>
      <c r="AY283" t="s">
        <v>12</v>
      </c>
      <c r="AZ283" t="s">
        <v>12</v>
      </c>
      <c r="BA283" t="s">
        <v>12</v>
      </c>
      <c r="BB283" t="s">
        <v>12</v>
      </c>
      <c r="BC283" t="s">
        <v>12</v>
      </c>
      <c r="BD283" t="s">
        <v>12</v>
      </c>
      <c r="BF283" s="313" t="s">
        <v>11</v>
      </c>
      <c r="BG283" s="313" t="s">
        <v>11</v>
      </c>
      <c r="BH283" t="s">
        <v>12</v>
      </c>
      <c r="BI283" t="s">
        <v>12</v>
      </c>
      <c r="BJ283" t="s">
        <v>12</v>
      </c>
      <c r="BK283" t="s">
        <v>12</v>
      </c>
      <c r="BL283" t="s">
        <v>12</v>
      </c>
      <c r="BM283" t="s">
        <v>12</v>
      </c>
      <c r="BN283" t="s">
        <v>12</v>
      </c>
      <c r="BO283" t="s">
        <v>12</v>
      </c>
      <c r="BP283" t="s">
        <v>12</v>
      </c>
      <c r="BQ283" t="s">
        <v>12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 s="9" t="s">
        <v>12</v>
      </c>
      <c r="CF283" s="28" t="s">
        <v>12</v>
      </c>
      <c r="CG283" s="28" t="s">
        <v>12</v>
      </c>
      <c r="CH283" s="28" t="s">
        <v>12</v>
      </c>
      <c r="CI283" s="28" t="s">
        <v>12</v>
      </c>
      <c r="CJ283" s="28" t="s">
        <v>12</v>
      </c>
      <c r="CK283" s="28" t="s">
        <v>12</v>
      </c>
      <c r="CL283" s="28" t="s">
        <v>12</v>
      </c>
      <c r="CM283" s="28" t="s">
        <v>12</v>
      </c>
      <c r="CN283" s="28" t="s">
        <v>12</v>
      </c>
      <c r="CO283" s="28" t="s">
        <v>12</v>
      </c>
      <c r="CP283" s="28" t="s">
        <v>12</v>
      </c>
      <c r="CQ283" s="28" t="s">
        <v>12</v>
      </c>
      <c r="CR283" s="28" t="s">
        <v>12</v>
      </c>
      <c r="CS283" s="28" t="s">
        <v>12</v>
      </c>
      <c r="CT283" s="28" t="s">
        <v>12</v>
      </c>
      <c r="CU283" s="28" t="s">
        <v>12</v>
      </c>
      <c r="CV283" s="28" t="s">
        <v>12</v>
      </c>
      <c r="CW283" s="28" t="s">
        <v>12</v>
      </c>
      <c r="CX283" s="28" t="s">
        <v>12</v>
      </c>
      <c r="CY283" s="28" t="s">
        <v>12</v>
      </c>
      <c r="CZ283" s="28" t="s">
        <v>12</v>
      </c>
      <c r="DA283" s="28" t="s">
        <v>12</v>
      </c>
      <c r="DB283" s="313">
        <v>68</v>
      </c>
      <c r="DC283" s="313" t="s">
        <v>93</v>
      </c>
      <c r="DD283" s="386" t="s">
        <v>12</v>
      </c>
      <c r="DE283" s="386" t="s">
        <v>12</v>
      </c>
      <c r="DF283" s="386" t="s">
        <v>12</v>
      </c>
      <c r="DG283" s="386" t="s">
        <v>12</v>
      </c>
      <c r="DH283" s="386" t="s">
        <v>12</v>
      </c>
      <c r="DI283" s="386" t="s">
        <v>12</v>
      </c>
      <c r="DJ283" s="386" t="s">
        <v>12</v>
      </c>
      <c r="DK283" s="386" t="s">
        <v>12</v>
      </c>
      <c r="DL283" s="386" t="s">
        <v>12</v>
      </c>
      <c r="DM283" s="386" t="s">
        <v>12</v>
      </c>
      <c r="DN283" s="7" t="s">
        <v>12</v>
      </c>
      <c r="DO283" s="7" t="s">
        <v>12</v>
      </c>
      <c r="DP283" s="7" t="s">
        <v>12</v>
      </c>
      <c r="DQ283" s="7" t="s">
        <v>12</v>
      </c>
      <c r="DR283" s="7" t="s">
        <v>12</v>
      </c>
      <c r="DS283" s="7" t="s">
        <v>12</v>
      </c>
      <c r="DT283" s="7" t="s">
        <v>12</v>
      </c>
      <c r="DU283" s="7" t="s">
        <v>12</v>
      </c>
      <c r="DV283" s="7" t="s">
        <v>12</v>
      </c>
      <c r="DW283" s="7" t="s">
        <v>12</v>
      </c>
      <c r="DY283" s="9">
        <v>7736131</v>
      </c>
      <c r="EI283" s="423" t="s">
        <v>12</v>
      </c>
      <c r="EJ283" s="423" t="s">
        <v>12</v>
      </c>
      <c r="EK283" s="423" t="s">
        <v>12</v>
      </c>
      <c r="EL283" s="423" t="s">
        <v>12</v>
      </c>
      <c r="EM283" s="423" t="s">
        <v>12</v>
      </c>
      <c r="EN283" s="423" t="s">
        <v>12</v>
      </c>
      <c r="EO283" s="423" t="s">
        <v>12</v>
      </c>
      <c r="EP283" s="423" t="s">
        <v>12</v>
      </c>
      <c r="EQ283" s="423" t="s">
        <v>12</v>
      </c>
      <c r="ER283" s="423" t="s">
        <v>12</v>
      </c>
      <c r="ES283" s="438" t="s">
        <v>12</v>
      </c>
      <c r="ET283" s="438" t="s">
        <v>12</v>
      </c>
      <c r="EU283" s="438" t="s">
        <v>12</v>
      </c>
      <c r="EV283" s="438" t="s">
        <v>12</v>
      </c>
      <c r="EW283" s="438" t="s">
        <v>12</v>
      </c>
      <c r="EX283" s="438" t="s">
        <v>12</v>
      </c>
      <c r="EY283" s="438" t="s">
        <v>12</v>
      </c>
      <c r="EZ283" s="438" t="s">
        <v>12</v>
      </c>
      <c r="FA283" s="438" t="s">
        <v>12</v>
      </c>
      <c r="FB283" s="438" t="s">
        <v>12</v>
      </c>
      <c r="FC283" s="346">
        <v>0</v>
      </c>
      <c r="FD283" s="346">
        <v>0</v>
      </c>
      <c r="FE283" s="346">
        <v>0</v>
      </c>
      <c r="FF283" s="346">
        <v>0</v>
      </c>
      <c r="FG283" s="346">
        <v>0</v>
      </c>
      <c r="FH283" s="346">
        <v>0</v>
      </c>
      <c r="FI283" s="346">
        <v>0</v>
      </c>
      <c r="FJ283" s="346">
        <v>0</v>
      </c>
      <c r="FK283" s="346">
        <v>0</v>
      </c>
      <c r="FL283" s="346">
        <v>0</v>
      </c>
    </row>
    <row r="284" spans="1:168" x14ac:dyDescent="0.25">
      <c r="A284" s="238">
        <v>9</v>
      </c>
      <c r="B284" s="238" t="s">
        <v>772</v>
      </c>
      <c r="C284" s="243" t="s">
        <v>11</v>
      </c>
      <c r="D284" s="243" t="s">
        <v>11</v>
      </c>
      <c r="E284" s="243" t="s">
        <v>11</v>
      </c>
      <c r="F284" s="243" t="s">
        <v>11</v>
      </c>
      <c r="G284" s="243" t="s">
        <v>11</v>
      </c>
      <c r="H284" s="243" t="s">
        <v>11</v>
      </c>
      <c r="I284" s="243" t="s">
        <v>11</v>
      </c>
      <c r="J284" s="243" t="s">
        <v>11</v>
      </c>
      <c r="K284" s="243" t="s">
        <v>11</v>
      </c>
      <c r="L284" s="243" t="s">
        <v>11</v>
      </c>
      <c r="N284">
        <v>69</v>
      </c>
      <c r="O284" t="s">
        <v>94</v>
      </c>
      <c r="P284" t="s">
        <v>94</v>
      </c>
      <c r="Q284" t="s">
        <v>23</v>
      </c>
      <c r="R284" s="2" t="s">
        <v>12</v>
      </c>
      <c r="S284" s="2" t="s">
        <v>12</v>
      </c>
      <c r="T284" s="2" t="s">
        <v>12</v>
      </c>
      <c r="U284" s="2" t="s">
        <v>12</v>
      </c>
      <c r="V284" s="2" t="s">
        <v>12</v>
      </c>
      <c r="W284" s="2" t="s">
        <v>12</v>
      </c>
      <c r="X284" s="2" t="s">
        <v>12</v>
      </c>
      <c r="Y284" s="2" t="s">
        <v>12</v>
      </c>
      <c r="Z284" s="2" t="s">
        <v>12</v>
      </c>
      <c r="AA284" s="2" t="s">
        <v>12</v>
      </c>
      <c r="AB284" s="2" t="s">
        <v>12</v>
      </c>
      <c r="AC284" s="2" t="s">
        <v>12</v>
      </c>
      <c r="AD284" t="s">
        <v>12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t="s">
        <v>12</v>
      </c>
      <c r="AR284" t="s">
        <v>12</v>
      </c>
      <c r="AS284" t="s">
        <v>12</v>
      </c>
      <c r="AT284" t="s">
        <v>12</v>
      </c>
      <c r="AU284" t="s">
        <v>12</v>
      </c>
      <c r="AV284" t="s">
        <v>12</v>
      </c>
      <c r="AW284" t="s">
        <v>12</v>
      </c>
      <c r="AX284" t="s">
        <v>12</v>
      </c>
      <c r="AY284" t="s">
        <v>12</v>
      </c>
      <c r="AZ284" t="s">
        <v>12</v>
      </c>
      <c r="BA284" t="s">
        <v>12</v>
      </c>
      <c r="BB284" t="s">
        <v>12</v>
      </c>
      <c r="BC284" t="s">
        <v>12</v>
      </c>
      <c r="BD284" t="s">
        <v>12</v>
      </c>
      <c r="BF284" s="313" t="s">
        <v>11</v>
      </c>
      <c r="BG284" s="313" t="s">
        <v>11</v>
      </c>
      <c r="BH284" t="s">
        <v>12</v>
      </c>
      <c r="BI284" t="s">
        <v>12</v>
      </c>
      <c r="BJ284" t="s">
        <v>12</v>
      </c>
      <c r="BK284" t="s">
        <v>12</v>
      </c>
      <c r="BL284" t="s">
        <v>12</v>
      </c>
      <c r="BM284" t="s">
        <v>12</v>
      </c>
      <c r="BN284" t="s">
        <v>12</v>
      </c>
      <c r="BO284" t="s">
        <v>12</v>
      </c>
      <c r="BP284" t="s">
        <v>12</v>
      </c>
      <c r="BQ284" t="s">
        <v>12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 s="9" t="s">
        <v>12</v>
      </c>
      <c r="CF284" s="28" t="s">
        <v>12</v>
      </c>
      <c r="CG284" s="28" t="s">
        <v>12</v>
      </c>
      <c r="CH284" s="28" t="s">
        <v>12</v>
      </c>
      <c r="CI284" s="28" t="s">
        <v>12</v>
      </c>
      <c r="CJ284" s="28" t="s">
        <v>12</v>
      </c>
      <c r="CK284" s="28" t="s">
        <v>12</v>
      </c>
      <c r="CL284" s="28" t="s">
        <v>12</v>
      </c>
      <c r="CM284" s="28" t="s">
        <v>12</v>
      </c>
      <c r="CN284" s="28" t="s">
        <v>12</v>
      </c>
      <c r="CO284" s="28" t="s">
        <v>12</v>
      </c>
      <c r="CP284" s="28" t="s">
        <v>12</v>
      </c>
      <c r="CQ284" s="28" t="s">
        <v>12</v>
      </c>
      <c r="CR284" s="28" t="s">
        <v>12</v>
      </c>
      <c r="CS284" s="28" t="s">
        <v>12</v>
      </c>
      <c r="CT284" s="28" t="s">
        <v>12</v>
      </c>
      <c r="CU284" s="28" t="s">
        <v>12</v>
      </c>
      <c r="CV284" s="28" t="s">
        <v>12</v>
      </c>
      <c r="CW284" s="28" t="s">
        <v>12</v>
      </c>
      <c r="CX284" s="28" t="s">
        <v>12</v>
      </c>
      <c r="CY284" s="28" t="s">
        <v>12</v>
      </c>
      <c r="CZ284" s="28" t="s">
        <v>12</v>
      </c>
      <c r="DA284" s="28" t="s">
        <v>12</v>
      </c>
      <c r="DB284" s="313">
        <v>69</v>
      </c>
      <c r="DC284" s="313" t="s">
        <v>94</v>
      </c>
      <c r="DD284" s="386" t="s">
        <v>12</v>
      </c>
      <c r="DE284" s="386" t="s">
        <v>12</v>
      </c>
      <c r="DF284" s="386" t="s">
        <v>12</v>
      </c>
      <c r="DG284" s="386" t="s">
        <v>12</v>
      </c>
      <c r="DH284" s="386" t="s">
        <v>12</v>
      </c>
      <c r="DI284" s="386" t="s">
        <v>12</v>
      </c>
      <c r="DJ284" s="386" t="s">
        <v>12</v>
      </c>
      <c r="DK284" s="386" t="s">
        <v>12</v>
      </c>
      <c r="DL284" s="386" t="s">
        <v>12</v>
      </c>
      <c r="DM284" s="386" t="s">
        <v>12</v>
      </c>
      <c r="DN284" s="7" t="s">
        <v>12</v>
      </c>
      <c r="DO284" s="7" t="s">
        <v>12</v>
      </c>
      <c r="DP284" s="7" t="s">
        <v>12</v>
      </c>
      <c r="DQ284" s="7" t="s">
        <v>12</v>
      </c>
      <c r="DR284" s="7" t="s">
        <v>12</v>
      </c>
      <c r="DS284" s="7" t="s">
        <v>12</v>
      </c>
      <c r="DT284" s="7" t="s">
        <v>12</v>
      </c>
      <c r="DU284" s="7" t="s">
        <v>12</v>
      </c>
      <c r="DV284" s="7" t="s">
        <v>12</v>
      </c>
      <c r="DW284" s="7" t="s">
        <v>12</v>
      </c>
      <c r="DY284" s="9">
        <v>9920362</v>
      </c>
      <c r="EI284" s="423" t="s">
        <v>12</v>
      </c>
      <c r="EJ284" s="423" t="s">
        <v>12</v>
      </c>
      <c r="EK284" s="423" t="s">
        <v>12</v>
      </c>
      <c r="EL284" s="423" t="s">
        <v>12</v>
      </c>
      <c r="EM284" s="423" t="s">
        <v>12</v>
      </c>
      <c r="EN284" s="423" t="s">
        <v>12</v>
      </c>
      <c r="EO284" s="423" t="s">
        <v>12</v>
      </c>
      <c r="EP284" s="423" t="s">
        <v>12</v>
      </c>
      <c r="EQ284" s="423" t="s">
        <v>12</v>
      </c>
      <c r="ER284" s="423" t="s">
        <v>12</v>
      </c>
      <c r="ES284" s="438" t="s">
        <v>12</v>
      </c>
      <c r="ET284" s="438" t="s">
        <v>12</v>
      </c>
      <c r="EU284" s="438" t="s">
        <v>12</v>
      </c>
      <c r="EV284" s="438" t="s">
        <v>12</v>
      </c>
      <c r="EW284" s="438" t="s">
        <v>12</v>
      </c>
      <c r="EX284" s="438" t="s">
        <v>12</v>
      </c>
      <c r="EY284" s="438" t="s">
        <v>12</v>
      </c>
      <c r="EZ284" s="438" t="s">
        <v>12</v>
      </c>
      <c r="FA284" s="438" t="s">
        <v>12</v>
      </c>
      <c r="FB284" s="438" t="s">
        <v>12</v>
      </c>
      <c r="FC284" s="346">
        <v>0</v>
      </c>
      <c r="FD284" s="346">
        <v>0</v>
      </c>
      <c r="FE284" s="346">
        <v>0</v>
      </c>
      <c r="FF284" s="346">
        <v>0</v>
      </c>
      <c r="FG284" s="346">
        <v>0</v>
      </c>
      <c r="FH284" s="346">
        <v>0</v>
      </c>
      <c r="FI284" s="346">
        <v>0</v>
      </c>
      <c r="FJ284" s="346">
        <v>0</v>
      </c>
      <c r="FK284" s="346">
        <v>0</v>
      </c>
      <c r="FL284" s="346">
        <v>0</v>
      </c>
    </row>
    <row r="285" spans="1:168" x14ac:dyDescent="0.25">
      <c r="A285" s="238">
        <v>10</v>
      </c>
      <c r="B285" s="238" t="s">
        <v>773</v>
      </c>
      <c r="C285" s="243" t="s">
        <v>11</v>
      </c>
      <c r="D285" s="243" t="s">
        <v>11</v>
      </c>
      <c r="E285" s="243" t="s">
        <v>11</v>
      </c>
      <c r="F285" s="243" t="s">
        <v>11</v>
      </c>
      <c r="G285" s="243" t="s">
        <v>11</v>
      </c>
      <c r="H285" s="243" t="s">
        <v>11</v>
      </c>
      <c r="I285" s="243" t="s">
        <v>11</v>
      </c>
      <c r="J285" s="243" t="s">
        <v>11</v>
      </c>
      <c r="K285" s="243" t="s">
        <v>11</v>
      </c>
      <c r="L285" s="243" t="s">
        <v>11</v>
      </c>
      <c r="N285">
        <v>70</v>
      </c>
      <c r="O285" t="s">
        <v>95</v>
      </c>
      <c r="P285" t="s">
        <v>95</v>
      </c>
      <c r="Q285" t="s">
        <v>7</v>
      </c>
      <c r="R285" s="2" t="s">
        <v>12</v>
      </c>
      <c r="S285" s="2" t="s">
        <v>12</v>
      </c>
      <c r="T285" s="2" t="s">
        <v>12</v>
      </c>
      <c r="U285" s="2" t="s">
        <v>12</v>
      </c>
      <c r="V285" s="2" t="s">
        <v>12</v>
      </c>
      <c r="W285" s="2" t="s">
        <v>12</v>
      </c>
      <c r="X285" s="2" t="s">
        <v>12</v>
      </c>
      <c r="Y285" s="2" t="s">
        <v>12</v>
      </c>
      <c r="Z285" s="2" t="s">
        <v>12</v>
      </c>
      <c r="AA285" s="2" t="s">
        <v>12</v>
      </c>
      <c r="AB285" s="2" t="s">
        <v>12</v>
      </c>
      <c r="AC285" s="2" t="s">
        <v>12</v>
      </c>
      <c r="AD285" t="s">
        <v>12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t="s">
        <v>12</v>
      </c>
      <c r="AR285" t="s">
        <v>12</v>
      </c>
      <c r="AS285" t="s">
        <v>12</v>
      </c>
      <c r="AT285" t="s">
        <v>12</v>
      </c>
      <c r="AU285" t="s">
        <v>12</v>
      </c>
      <c r="AV285" t="s">
        <v>12</v>
      </c>
      <c r="AW285" t="s">
        <v>12</v>
      </c>
      <c r="AX285" t="s">
        <v>12</v>
      </c>
      <c r="AY285" t="s">
        <v>12</v>
      </c>
      <c r="AZ285" t="s">
        <v>12</v>
      </c>
      <c r="BA285" t="s">
        <v>12</v>
      </c>
      <c r="BB285" t="s">
        <v>12</v>
      </c>
      <c r="BC285" t="s">
        <v>12</v>
      </c>
      <c r="BD285" t="s">
        <v>12</v>
      </c>
      <c r="BF285" s="313" t="s">
        <v>11</v>
      </c>
      <c r="BG285" s="313" t="s">
        <v>11</v>
      </c>
      <c r="BH285" t="s">
        <v>12</v>
      </c>
      <c r="BI285" t="s">
        <v>12</v>
      </c>
      <c r="BJ285" t="s">
        <v>12</v>
      </c>
      <c r="BK285" t="s">
        <v>12</v>
      </c>
      <c r="BL285" t="s">
        <v>12</v>
      </c>
      <c r="BM285" t="s">
        <v>12</v>
      </c>
      <c r="BN285" t="s">
        <v>12</v>
      </c>
      <c r="BO285" t="s">
        <v>12</v>
      </c>
      <c r="BP285" t="s">
        <v>12</v>
      </c>
      <c r="BQ285" t="s">
        <v>12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 s="9" t="s">
        <v>12</v>
      </c>
      <c r="CF285" s="28" t="s">
        <v>12</v>
      </c>
      <c r="CG285" s="28" t="s">
        <v>12</v>
      </c>
      <c r="CH285" s="28" t="s">
        <v>12</v>
      </c>
      <c r="CI285" s="28" t="s">
        <v>12</v>
      </c>
      <c r="CJ285" s="28" t="s">
        <v>12</v>
      </c>
      <c r="CK285" s="28" t="s">
        <v>12</v>
      </c>
      <c r="CL285" s="28" t="s">
        <v>12</v>
      </c>
      <c r="CM285" s="28" t="s">
        <v>12</v>
      </c>
      <c r="CN285" s="28" t="s">
        <v>12</v>
      </c>
      <c r="CO285" s="28" t="s">
        <v>12</v>
      </c>
      <c r="CP285" s="28" t="s">
        <v>12</v>
      </c>
      <c r="CQ285" s="28" t="s">
        <v>12</v>
      </c>
      <c r="CR285" s="28" t="s">
        <v>12</v>
      </c>
      <c r="CS285" s="28" t="s">
        <v>12</v>
      </c>
      <c r="CT285" s="28" t="s">
        <v>12</v>
      </c>
      <c r="CU285" s="28" t="s">
        <v>12</v>
      </c>
      <c r="CV285" s="28" t="s">
        <v>12</v>
      </c>
      <c r="CW285" s="28" t="s">
        <v>12</v>
      </c>
      <c r="CX285" s="28" t="s">
        <v>12</v>
      </c>
      <c r="CY285" s="28" t="s">
        <v>12</v>
      </c>
      <c r="CZ285" s="28" t="s">
        <v>12</v>
      </c>
      <c r="DA285" s="28" t="s">
        <v>12</v>
      </c>
      <c r="DB285" s="313">
        <v>70</v>
      </c>
      <c r="DC285" s="313" t="s">
        <v>95</v>
      </c>
      <c r="DD285" s="386" t="s">
        <v>12</v>
      </c>
      <c r="DE285" s="386" t="s">
        <v>12</v>
      </c>
      <c r="DF285" s="386" t="s">
        <v>12</v>
      </c>
      <c r="DG285" s="386" t="s">
        <v>12</v>
      </c>
      <c r="DH285" s="386" t="s">
        <v>12</v>
      </c>
      <c r="DI285" s="386" t="s">
        <v>12</v>
      </c>
      <c r="DJ285" s="386" t="s">
        <v>12</v>
      </c>
      <c r="DK285" s="386" t="s">
        <v>12</v>
      </c>
      <c r="DL285" s="386" t="s">
        <v>12</v>
      </c>
      <c r="DM285" s="386" t="s">
        <v>12</v>
      </c>
      <c r="DN285" s="7" t="s">
        <v>12</v>
      </c>
      <c r="DO285" s="7" t="s">
        <v>12</v>
      </c>
      <c r="DP285" s="7" t="s">
        <v>12</v>
      </c>
      <c r="DQ285" s="7" t="s">
        <v>12</v>
      </c>
      <c r="DR285" s="7" t="s">
        <v>12</v>
      </c>
      <c r="DS285" s="7" t="s">
        <v>12</v>
      </c>
      <c r="DT285" s="7" t="s">
        <v>12</v>
      </c>
      <c r="DU285" s="7" t="s">
        <v>12</v>
      </c>
      <c r="DV285" s="7" t="s">
        <v>12</v>
      </c>
      <c r="DW285" s="7" t="s">
        <v>12</v>
      </c>
      <c r="DY285" s="9">
        <v>320716</v>
      </c>
      <c r="EI285" s="423" t="s">
        <v>12</v>
      </c>
      <c r="EJ285" s="423" t="s">
        <v>12</v>
      </c>
      <c r="EK285" s="423" t="s">
        <v>12</v>
      </c>
      <c r="EL285" s="423" t="s">
        <v>12</v>
      </c>
      <c r="EM285" s="423" t="s">
        <v>12</v>
      </c>
      <c r="EN285" s="423" t="s">
        <v>12</v>
      </c>
      <c r="EO285" s="423" t="s">
        <v>12</v>
      </c>
      <c r="EP285" s="423" t="s">
        <v>12</v>
      </c>
      <c r="EQ285" s="423" t="s">
        <v>12</v>
      </c>
      <c r="ER285" s="423" t="s">
        <v>12</v>
      </c>
      <c r="ES285" s="438" t="s">
        <v>12</v>
      </c>
      <c r="ET285" s="438" t="s">
        <v>12</v>
      </c>
      <c r="EU285" s="438" t="s">
        <v>12</v>
      </c>
      <c r="EV285" s="438" t="s">
        <v>12</v>
      </c>
      <c r="EW285" s="438" t="s">
        <v>12</v>
      </c>
      <c r="EX285" s="438" t="s">
        <v>12</v>
      </c>
      <c r="EY285" s="438" t="s">
        <v>12</v>
      </c>
      <c r="EZ285" s="438" t="s">
        <v>12</v>
      </c>
      <c r="FA285" s="438" t="s">
        <v>12</v>
      </c>
      <c r="FB285" s="438" t="s">
        <v>12</v>
      </c>
      <c r="FC285" s="346">
        <v>0</v>
      </c>
      <c r="FD285" s="346">
        <v>0</v>
      </c>
      <c r="FE285" s="346">
        <v>0</v>
      </c>
      <c r="FF285" s="346">
        <v>0</v>
      </c>
      <c r="FG285" s="346">
        <v>0</v>
      </c>
      <c r="FH285" s="346">
        <v>0</v>
      </c>
      <c r="FI285" s="346">
        <v>0</v>
      </c>
      <c r="FJ285" s="346">
        <v>0</v>
      </c>
      <c r="FK285" s="346">
        <v>0</v>
      </c>
      <c r="FL285" s="346">
        <v>0</v>
      </c>
    </row>
    <row r="286" spans="1:168" x14ac:dyDescent="0.25">
      <c r="N286">
        <v>71</v>
      </c>
      <c r="O286" t="s">
        <v>96</v>
      </c>
      <c r="P286" t="s">
        <v>96</v>
      </c>
      <c r="Q286" t="s">
        <v>25</v>
      </c>
      <c r="R286" s="2" t="s">
        <v>12</v>
      </c>
      <c r="S286" s="2" t="s">
        <v>12</v>
      </c>
      <c r="T286" s="2" t="s">
        <v>12</v>
      </c>
      <c r="U286" s="2" t="s">
        <v>12</v>
      </c>
      <c r="V286" s="2" t="s">
        <v>12</v>
      </c>
      <c r="W286" s="2" t="s">
        <v>12</v>
      </c>
      <c r="X286" s="2" t="s">
        <v>12</v>
      </c>
      <c r="Y286" s="2" t="s">
        <v>12</v>
      </c>
      <c r="Z286" s="2" t="s">
        <v>12</v>
      </c>
      <c r="AA286" s="2" t="s">
        <v>12</v>
      </c>
      <c r="AB286" s="2" t="s">
        <v>12</v>
      </c>
      <c r="AC286" s="2" t="s">
        <v>12</v>
      </c>
      <c r="AD286" t="s">
        <v>12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t="s">
        <v>12</v>
      </c>
      <c r="AR286" t="s">
        <v>12</v>
      </c>
      <c r="AS286" t="s">
        <v>12</v>
      </c>
      <c r="AT286" t="s">
        <v>12</v>
      </c>
      <c r="AU286" t="s">
        <v>12</v>
      </c>
      <c r="AV286" t="s">
        <v>12</v>
      </c>
      <c r="AW286" t="s">
        <v>12</v>
      </c>
      <c r="AX286" t="s">
        <v>12</v>
      </c>
      <c r="AY286" t="s">
        <v>12</v>
      </c>
      <c r="AZ286" t="s">
        <v>12</v>
      </c>
      <c r="BA286" t="s">
        <v>12</v>
      </c>
      <c r="BB286" t="s">
        <v>12</v>
      </c>
      <c r="BC286" t="s">
        <v>12</v>
      </c>
      <c r="BD286" t="s">
        <v>12</v>
      </c>
      <c r="BF286" s="313" t="s">
        <v>11</v>
      </c>
      <c r="BG286" s="313" t="s">
        <v>11</v>
      </c>
      <c r="BH286" t="s">
        <v>12</v>
      </c>
      <c r="BI286" t="s">
        <v>12</v>
      </c>
      <c r="BJ286" t="s">
        <v>12</v>
      </c>
      <c r="BK286" t="s">
        <v>12</v>
      </c>
      <c r="BL286" t="s">
        <v>12</v>
      </c>
      <c r="BM286" t="s">
        <v>12</v>
      </c>
      <c r="BN286" t="s">
        <v>12</v>
      </c>
      <c r="BO286" t="s">
        <v>12</v>
      </c>
      <c r="BP286" t="s">
        <v>12</v>
      </c>
      <c r="BQ286" t="s">
        <v>12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 s="9" t="s">
        <v>12</v>
      </c>
      <c r="CF286" s="28" t="s">
        <v>12</v>
      </c>
      <c r="CG286" s="28" t="s">
        <v>12</v>
      </c>
      <c r="CH286" s="28" t="s">
        <v>12</v>
      </c>
      <c r="CI286" s="28" t="s">
        <v>12</v>
      </c>
      <c r="CJ286" s="28" t="s">
        <v>12</v>
      </c>
      <c r="CK286" s="28" t="s">
        <v>12</v>
      </c>
      <c r="CL286" s="28" t="s">
        <v>12</v>
      </c>
      <c r="CM286" s="28" t="s">
        <v>12</v>
      </c>
      <c r="CN286" s="28" t="s">
        <v>12</v>
      </c>
      <c r="CO286" s="28" t="s">
        <v>12</v>
      </c>
      <c r="CP286" s="28" t="s">
        <v>12</v>
      </c>
      <c r="CQ286" s="28" t="s">
        <v>12</v>
      </c>
      <c r="CR286" s="28" t="s">
        <v>12</v>
      </c>
      <c r="CS286" s="28" t="s">
        <v>12</v>
      </c>
      <c r="CT286" s="28" t="s">
        <v>12</v>
      </c>
      <c r="CU286" s="28" t="s">
        <v>12</v>
      </c>
      <c r="CV286" s="28" t="s">
        <v>12</v>
      </c>
      <c r="CW286" s="28" t="s">
        <v>12</v>
      </c>
      <c r="CX286" s="28" t="s">
        <v>12</v>
      </c>
      <c r="CY286" s="28" t="s">
        <v>12</v>
      </c>
      <c r="CZ286" s="28" t="s">
        <v>12</v>
      </c>
      <c r="DA286" s="28" t="s">
        <v>12</v>
      </c>
      <c r="DB286" s="313">
        <v>71</v>
      </c>
      <c r="DC286" s="313" t="s">
        <v>96</v>
      </c>
      <c r="DD286" s="386" t="s">
        <v>12</v>
      </c>
      <c r="DE286" s="386" t="s">
        <v>12</v>
      </c>
      <c r="DF286" s="386" t="s">
        <v>12</v>
      </c>
      <c r="DG286" s="386" t="s">
        <v>12</v>
      </c>
      <c r="DH286" s="386" t="s">
        <v>12</v>
      </c>
      <c r="DI286" s="386" t="s">
        <v>12</v>
      </c>
      <c r="DJ286" s="386" t="s">
        <v>12</v>
      </c>
      <c r="DK286" s="386" t="s">
        <v>12</v>
      </c>
      <c r="DL286" s="386" t="s">
        <v>12</v>
      </c>
      <c r="DM286" s="386" t="s">
        <v>12</v>
      </c>
      <c r="DN286" s="7" t="s">
        <v>12</v>
      </c>
      <c r="DO286" s="7" t="s">
        <v>12</v>
      </c>
      <c r="DP286" s="7" t="s">
        <v>12</v>
      </c>
      <c r="DQ286" s="7" t="s">
        <v>12</v>
      </c>
      <c r="DR286" s="7" t="s">
        <v>12</v>
      </c>
      <c r="DS286" s="7" t="s">
        <v>12</v>
      </c>
      <c r="DT286" s="7" t="s">
        <v>12</v>
      </c>
      <c r="DU286" s="7" t="s">
        <v>12</v>
      </c>
      <c r="DV286" s="7" t="s">
        <v>12</v>
      </c>
      <c r="DW286" s="7" t="s">
        <v>12</v>
      </c>
      <c r="DY286" s="9">
        <v>1263589639</v>
      </c>
      <c r="EI286" s="423" t="s">
        <v>12</v>
      </c>
      <c r="EJ286" s="423" t="s">
        <v>12</v>
      </c>
      <c r="EK286" s="423" t="s">
        <v>12</v>
      </c>
      <c r="EL286" s="423" t="s">
        <v>12</v>
      </c>
      <c r="EM286" s="423" t="s">
        <v>12</v>
      </c>
      <c r="EN286" s="423" t="s">
        <v>12</v>
      </c>
      <c r="EO286" s="423" t="s">
        <v>12</v>
      </c>
      <c r="EP286" s="423" t="s">
        <v>12</v>
      </c>
      <c r="EQ286" s="423" t="s">
        <v>12</v>
      </c>
      <c r="ER286" s="423" t="s">
        <v>12</v>
      </c>
      <c r="ES286" s="438" t="s">
        <v>12</v>
      </c>
      <c r="ET286" s="438" t="s">
        <v>12</v>
      </c>
      <c r="EU286" s="438" t="s">
        <v>12</v>
      </c>
      <c r="EV286" s="438" t="s">
        <v>12</v>
      </c>
      <c r="EW286" s="438" t="s">
        <v>12</v>
      </c>
      <c r="EX286" s="438" t="s">
        <v>12</v>
      </c>
      <c r="EY286" s="438" t="s">
        <v>12</v>
      </c>
      <c r="EZ286" s="438" t="s">
        <v>12</v>
      </c>
      <c r="FA286" s="438" t="s">
        <v>12</v>
      </c>
      <c r="FB286" s="438" t="s">
        <v>12</v>
      </c>
      <c r="FC286" s="346">
        <v>0</v>
      </c>
      <c r="FD286" s="346">
        <v>0</v>
      </c>
      <c r="FE286" s="346">
        <v>0</v>
      </c>
      <c r="FF286" s="346">
        <v>0</v>
      </c>
      <c r="FG286" s="346">
        <v>0</v>
      </c>
      <c r="FH286" s="346">
        <v>0</v>
      </c>
      <c r="FI286" s="346">
        <v>0</v>
      </c>
      <c r="FJ286" s="346">
        <v>0</v>
      </c>
      <c r="FK286" s="346">
        <v>0</v>
      </c>
      <c r="FL286" s="346">
        <v>0</v>
      </c>
    </row>
    <row r="287" spans="1:168" ht="45" x14ac:dyDescent="0.25">
      <c r="A287" s="14" t="s">
        <v>778</v>
      </c>
      <c r="B287" s="14"/>
      <c r="C287" s="14" t="s">
        <v>594</v>
      </c>
      <c r="D287" s="14" t="s">
        <v>595</v>
      </c>
      <c r="E287" s="14" t="s">
        <v>596</v>
      </c>
      <c r="F287" s="14" t="s">
        <v>597</v>
      </c>
      <c r="G287" s="14" t="s">
        <v>598</v>
      </c>
      <c r="H287" s="14" t="s">
        <v>599</v>
      </c>
      <c r="I287" s="14" t="s">
        <v>600</v>
      </c>
      <c r="J287" s="14" t="s">
        <v>601</v>
      </c>
      <c r="K287" s="14" t="s">
        <v>602</v>
      </c>
      <c r="L287" s="14" t="s">
        <v>603</v>
      </c>
      <c r="N287">
        <v>72</v>
      </c>
      <c r="O287" t="s">
        <v>97</v>
      </c>
      <c r="P287" t="s">
        <v>97</v>
      </c>
      <c r="Q287" t="s">
        <v>25</v>
      </c>
      <c r="R287" s="2" t="s">
        <v>12</v>
      </c>
      <c r="S287" s="2" t="s">
        <v>12</v>
      </c>
      <c r="T287" s="2" t="s">
        <v>12</v>
      </c>
      <c r="U287" s="2" t="s">
        <v>12</v>
      </c>
      <c r="V287" s="2" t="s">
        <v>12</v>
      </c>
      <c r="W287" s="2" t="s">
        <v>12</v>
      </c>
      <c r="X287" s="2" t="s">
        <v>12</v>
      </c>
      <c r="Y287" s="2" t="s">
        <v>12</v>
      </c>
      <c r="Z287" s="2" t="s">
        <v>12</v>
      </c>
      <c r="AA287" s="2" t="s">
        <v>12</v>
      </c>
      <c r="AB287" s="2" t="s">
        <v>12</v>
      </c>
      <c r="AC287" s="2" t="s">
        <v>12</v>
      </c>
      <c r="AD287" t="s">
        <v>12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t="s">
        <v>12</v>
      </c>
      <c r="AR287" t="s">
        <v>12</v>
      </c>
      <c r="AS287" t="s">
        <v>12</v>
      </c>
      <c r="AT287" t="s">
        <v>12</v>
      </c>
      <c r="AU287" t="s">
        <v>12</v>
      </c>
      <c r="AV287" t="s">
        <v>12</v>
      </c>
      <c r="AW287" t="s">
        <v>12</v>
      </c>
      <c r="AX287" t="s">
        <v>12</v>
      </c>
      <c r="AY287" t="s">
        <v>12</v>
      </c>
      <c r="AZ287" t="s">
        <v>12</v>
      </c>
      <c r="BA287" t="s">
        <v>12</v>
      </c>
      <c r="BB287" t="s">
        <v>12</v>
      </c>
      <c r="BC287" t="s">
        <v>12</v>
      </c>
      <c r="BD287" t="s">
        <v>12</v>
      </c>
      <c r="BF287" s="313" t="s">
        <v>11</v>
      </c>
      <c r="BG287" s="313" t="s">
        <v>11</v>
      </c>
      <c r="BH287" t="s">
        <v>12</v>
      </c>
      <c r="BI287" t="s">
        <v>12</v>
      </c>
      <c r="BJ287" t="s">
        <v>12</v>
      </c>
      <c r="BK287" t="s">
        <v>12</v>
      </c>
      <c r="BL287" t="s">
        <v>12</v>
      </c>
      <c r="BM287" t="s">
        <v>12</v>
      </c>
      <c r="BN287" t="s">
        <v>12</v>
      </c>
      <c r="BO287" t="s">
        <v>12</v>
      </c>
      <c r="BP287" t="s">
        <v>12</v>
      </c>
      <c r="BQ287" t="s">
        <v>12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 s="9" t="s">
        <v>12</v>
      </c>
      <c r="CF287" s="28" t="s">
        <v>12</v>
      </c>
      <c r="CG287" s="28" t="s">
        <v>12</v>
      </c>
      <c r="CH287" s="28" t="s">
        <v>12</v>
      </c>
      <c r="CI287" s="28" t="s">
        <v>12</v>
      </c>
      <c r="CJ287" s="28" t="s">
        <v>12</v>
      </c>
      <c r="CK287" s="28" t="s">
        <v>12</v>
      </c>
      <c r="CL287" s="28" t="s">
        <v>12</v>
      </c>
      <c r="CM287" s="28" t="s">
        <v>12</v>
      </c>
      <c r="CN287" s="28" t="s">
        <v>12</v>
      </c>
      <c r="CO287" s="28" t="s">
        <v>12</v>
      </c>
      <c r="CP287" s="28" t="s">
        <v>12</v>
      </c>
      <c r="CQ287" s="28" t="s">
        <v>12</v>
      </c>
      <c r="CR287" s="28" t="s">
        <v>12</v>
      </c>
      <c r="CS287" s="28" t="s">
        <v>12</v>
      </c>
      <c r="CT287" s="28" t="s">
        <v>12</v>
      </c>
      <c r="CU287" s="28" t="s">
        <v>12</v>
      </c>
      <c r="CV287" s="28" t="s">
        <v>12</v>
      </c>
      <c r="CW287" s="28" t="s">
        <v>12</v>
      </c>
      <c r="CX287" s="28" t="s">
        <v>12</v>
      </c>
      <c r="CY287" s="28" t="s">
        <v>12</v>
      </c>
      <c r="CZ287" s="28" t="s">
        <v>12</v>
      </c>
      <c r="DA287" s="28" t="s">
        <v>12</v>
      </c>
      <c r="DB287" s="313">
        <v>72</v>
      </c>
      <c r="DC287" s="313" t="s">
        <v>97</v>
      </c>
      <c r="DD287" s="386" t="s">
        <v>12</v>
      </c>
      <c r="DE287" s="386" t="s">
        <v>12</v>
      </c>
      <c r="DF287" s="386" t="s">
        <v>12</v>
      </c>
      <c r="DG287" s="386" t="s">
        <v>12</v>
      </c>
      <c r="DH287" s="386" t="s">
        <v>12</v>
      </c>
      <c r="DI287" s="386" t="s">
        <v>12</v>
      </c>
      <c r="DJ287" s="386" t="s">
        <v>12</v>
      </c>
      <c r="DK287" s="386" t="s">
        <v>12</v>
      </c>
      <c r="DL287" s="386" t="s">
        <v>12</v>
      </c>
      <c r="DM287" s="386" t="s">
        <v>12</v>
      </c>
      <c r="DN287" s="7" t="s">
        <v>12</v>
      </c>
      <c r="DO287" s="7" t="s">
        <v>12</v>
      </c>
      <c r="DP287" s="7" t="s">
        <v>12</v>
      </c>
      <c r="DQ287" s="7" t="s">
        <v>12</v>
      </c>
      <c r="DR287" s="7" t="s">
        <v>12</v>
      </c>
      <c r="DS287" s="7" t="s">
        <v>12</v>
      </c>
      <c r="DT287" s="7" t="s">
        <v>12</v>
      </c>
      <c r="DU287" s="7" t="s">
        <v>12</v>
      </c>
      <c r="DV287" s="7" t="s">
        <v>12</v>
      </c>
      <c r="DW287" s="7" t="s">
        <v>12</v>
      </c>
      <c r="DY287" s="9">
        <v>248037853</v>
      </c>
      <c r="EI287" s="423" t="s">
        <v>12</v>
      </c>
      <c r="EJ287" s="423" t="s">
        <v>12</v>
      </c>
      <c r="EK287" s="423" t="s">
        <v>12</v>
      </c>
      <c r="EL287" s="423" t="s">
        <v>12</v>
      </c>
      <c r="EM287" s="423" t="s">
        <v>12</v>
      </c>
      <c r="EN287" s="423" t="s">
        <v>12</v>
      </c>
      <c r="EO287" s="423" t="s">
        <v>12</v>
      </c>
      <c r="EP287" s="423" t="s">
        <v>12</v>
      </c>
      <c r="EQ287" s="423" t="s">
        <v>12</v>
      </c>
      <c r="ER287" s="423" t="s">
        <v>12</v>
      </c>
      <c r="ES287" s="438" t="s">
        <v>12</v>
      </c>
      <c r="ET287" s="438" t="s">
        <v>12</v>
      </c>
      <c r="EU287" s="438" t="s">
        <v>12</v>
      </c>
      <c r="EV287" s="438" t="s">
        <v>12</v>
      </c>
      <c r="EW287" s="438" t="s">
        <v>12</v>
      </c>
      <c r="EX287" s="438" t="s">
        <v>12</v>
      </c>
      <c r="EY287" s="438" t="s">
        <v>12</v>
      </c>
      <c r="EZ287" s="438" t="s">
        <v>12</v>
      </c>
      <c r="FA287" s="438" t="s">
        <v>12</v>
      </c>
      <c r="FB287" s="438" t="s">
        <v>12</v>
      </c>
      <c r="FC287" s="346">
        <v>0</v>
      </c>
      <c r="FD287" s="346">
        <v>0</v>
      </c>
      <c r="FE287" s="346">
        <v>0</v>
      </c>
      <c r="FF287" s="346">
        <v>0</v>
      </c>
      <c r="FG287" s="346">
        <v>0</v>
      </c>
      <c r="FH287" s="346">
        <v>0</v>
      </c>
      <c r="FI287" s="346">
        <v>0</v>
      </c>
      <c r="FJ287" s="346">
        <v>0</v>
      </c>
      <c r="FK287" s="346">
        <v>0</v>
      </c>
      <c r="FL287" s="346">
        <v>0</v>
      </c>
    </row>
    <row r="288" spans="1:168" x14ac:dyDescent="0.25">
      <c r="A288" s="238">
        <v>1</v>
      </c>
      <c r="B288" s="238" t="s">
        <v>761</v>
      </c>
      <c r="C288" s="241">
        <v>2.9337188022821001</v>
      </c>
      <c r="D288" s="241" t="s">
        <v>11</v>
      </c>
      <c r="E288" s="241">
        <v>3.2714130529044998</v>
      </c>
      <c r="F288" s="241" t="s">
        <v>11</v>
      </c>
      <c r="G288" s="241" t="s">
        <v>11</v>
      </c>
      <c r="H288" s="241">
        <v>3.0392482556016001</v>
      </c>
      <c r="I288" s="241" t="s">
        <v>11</v>
      </c>
      <c r="J288" s="241" t="s">
        <v>11</v>
      </c>
      <c r="K288" s="241" t="s">
        <v>11</v>
      </c>
      <c r="L288" s="241" t="s">
        <v>11</v>
      </c>
      <c r="N288">
        <v>73</v>
      </c>
      <c r="O288" t="s">
        <v>98</v>
      </c>
      <c r="P288" t="s">
        <v>98</v>
      </c>
      <c r="Q288" t="s">
        <v>9</v>
      </c>
      <c r="R288" s="2" t="s">
        <v>12</v>
      </c>
      <c r="S288" s="2" t="s">
        <v>12</v>
      </c>
      <c r="T288" s="2" t="s">
        <v>12</v>
      </c>
      <c r="U288" s="2" t="s">
        <v>12</v>
      </c>
      <c r="V288" s="2" t="s">
        <v>12</v>
      </c>
      <c r="W288" s="2" t="s">
        <v>12</v>
      </c>
      <c r="X288" s="2" t="s">
        <v>12</v>
      </c>
      <c r="Y288" s="2" t="s">
        <v>12</v>
      </c>
      <c r="Z288" s="2" t="s">
        <v>12</v>
      </c>
      <c r="AA288" s="2" t="s">
        <v>12</v>
      </c>
      <c r="AB288" s="2" t="s">
        <v>12</v>
      </c>
      <c r="AC288" s="2" t="s">
        <v>12</v>
      </c>
      <c r="AD288" t="s">
        <v>12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t="s">
        <v>12</v>
      </c>
      <c r="AR288" t="s">
        <v>12</v>
      </c>
      <c r="AS288" t="s">
        <v>12</v>
      </c>
      <c r="AT288" t="s">
        <v>12</v>
      </c>
      <c r="AU288" t="s">
        <v>12</v>
      </c>
      <c r="AV288" t="s">
        <v>12</v>
      </c>
      <c r="AW288" t="s">
        <v>12</v>
      </c>
      <c r="AX288" t="s">
        <v>12</v>
      </c>
      <c r="AY288" t="s">
        <v>12</v>
      </c>
      <c r="AZ288" t="s">
        <v>12</v>
      </c>
      <c r="BA288" t="s">
        <v>12</v>
      </c>
      <c r="BB288" t="s">
        <v>12</v>
      </c>
      <c r="BC288" t="s">
        <v>12</v>
      </c>
      <c r="BD288" t="s">
        <v>12</v>
      </c>
      <c r="BF288" s="313" t="s">
        <v>11</v>
      </c>
      <c r="BG288" s="313" t="s">
        <v>11</v>
      </c>
      <c r="BH288" t="s">
        <v>12</v>
      </c>
      <c r="BI288" t="s">
        <v>12</v>
      </c>
      <c r="BJ288" t="s">
        <v>12</v>
      </c>
      <c r="BK288" t="s">
        <v>12</v>
      </c>
      <c r="BL288" t="s">
        <v>12</v>
      </c>
      <c r="BM288" t="s">
        <v>12</v>
      </c>
      <c r="BN288" t="s">
        <v>12</v>
      </c>
      <c r="BO288" t="s">
        <v>12</v>
      </c>
      <c r="BP288" t="s">
        <v>12</v>
      </c>
      <c r="BQ288" t="s">
        <v>12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 s="9" t="s">
        <v>12</v>
      </c>
      <c r="CF288" s="28" t="s">
        <v>12</v>
      </c>
      <c r="CG288" s="28" t="s">
        <v>12</v>
      </c>
      <c r="CH288" s="28" t="s">
        <v>12</v>
      </c>
      <c r="CI288" s="28" t="s">
        <v>12</v>
      </c>
      <c r="CJ288" s="28" t="s">
        <v>12</v>
      </c>
      <c r="CK288" s="28" t="s">
        <v>12</v>
      </c>
      <c r="CL288" s="28" t="s">
        <v>12</v>
      </c>
      <c r="CM288" s="28" t="s">
        <v>12</v>
      </c>
      <c r="CN288" s="28" t="s">
        <v>12</v>
      </c>
      <c r="CO288" s="28" t="s">
        <v>12</v>
      </c>
      <c r="CP288" s="28" t="s">
        <v>12</v>
      </c>
      <c r="CQ288" s="28" t="s">
        <v>12</v>
      </c>
      <c r="CR288" s="28" t="s">
        <v>12</v>
      </c>
      <c r="CS288" s="28" t="s">
        <v>12</v>
      </c>
      <c r="CT288" s="28" t="s">
        <v>12</v>
      </c>
      <c r="CU288" s="28" t="s">
        <v>12</v>
      </c>
      <c r="CV288" s="28" t="s">
        <v>12</v>
      </c>
      <c r="CW288" s="28" t="s">
        <v>12</v>
      </c>
      <c r="CX288" s="28" t="s">
        <v>12</v>
      </c>
      <c r="CY288" s="28" t="s">
        <v>12</v>
      </c>
      <c r="CZ288" s="28" t="s">
        <v>12</v>
      </c>
      <c r="DA288" s="28" t="s">
        <v>12</v>
      </c>
      <c r="DB288" s="313">
        <v>73</v>
      </c>
      <c r="DC288" s="313" t="s">
        <v>98</v>
      </c>
      <c r="DD288" s="386" t="s">
        <v>12</v>
      </c>
      <c r="DE288" s="386" t="s">
        <v>12</v>
      </c>
      <c r="DF288" s="386" t="s">
        <v>12</v>
      </c>
      <c r="DG288" s="386" t="s">
        <v>12</v>
      </c>
      <c r="DH288" s="386" t="s">
        <v>12</v>
      </c>
      <c r="DI288" s="386" t="s">
        <v>12</v>
      </c>
      <c r="DJ288" s="386" t="s">
        <v>12</v>
      </c>
      <c r="DK288" s="386" t="s">
        <v>12</v>
      </c>
      <c r="DL288" s="386" t="s">
        <v>12</v>
      </c>
      <c r="DM288" s="386" t="s">
        <v>12</v>
      </c>
      <c r="DN288" s="7" t="s">
        <v>12</v>
      </c>
      <c r="DO288" s="7" t="s">
        <v>12</v>
      </c>
      <c r="DP288" s="7" t="s">
        <v>12</v>
      </c>
      <c r="DQ288" s="7" t="s">
        <v>12</v>
      </c>
      <c r="DR288" s="7" t="s">
        <v>12</v>
      </c>
      <c r="DS288" s="7" t="s">
        <v>12</v>
      </c>
      <c r="DT288" s="7" t="s">
        <v>12</v>
      </c>
      <c r="DU288" s="7" t="s">
        <v>12</v>
      </c>
      <c r="DV288" s="7" t="s">
        <v>12</v>
      </c>
      <c r="DW288" s="7" t="s">
        <v>12</v>
      </c>
      <c r="DY288" s="9">
        <v>76156975</v>
      </c>
      <c r="EI288" s="423" t="s">
        <v>12</v>
      </c>
      <c r="EJ288" s="423" t="s">
        <v>12</v>
      </c>
      <c r="EK288" s="423" t="s">
        <v>12</v>
      </c>
      <c r="EL288" s="423" t="s">
        <v>12</v>
      </c>
      <c r="EM288" s="423" t="s">
        <v>12</v>
      </c>
      <c r="EN288" s="423" t="s">
        <v>12</v>
      </c>
      <c r="EO288" s="423" t="s">
        <v>12</v>
      </c>
      <c r="EP288" s="423" t="s">
        <v>12</v>
      </c>
      <c r="EQ288" s="423" t="s">
        <v>12</v>
      </c>
      <c r="ER288" s="423" t="s">
        <v>12</v>
      </c>
      <c r="ES288" s="438" t="s">
        <v>12</v>
      </c>
      <c r="ET288" s="438" t="s">
        <v>12</v>
      </c>
      <c r="EU288" s="438" t="s">
        <v>12</v>
      </c>
      <c r="EV288" s="438" t="s">
        <v>12</v>
      </c>
      <c r="EW288" s="438" t="s">
        <v>12</v>
      </c>
      <c r="EX288" s="438" t="s">
        <v>12</v>
      </c>
      <c r="EY288" s="438" t="s">
        <v>12</v>
      </c>
      <c r="EZ288" s="438" t="s">
        <v>12</v>
      </c>
      <c r="FA288" s="438" t="s">
        <v>12</v>
      </c>
      <c r="FB288" s="438" t="s">
        <v>12</v>
      </c>
      <c r="FC288" s="346">
        <v>0</v>
      </c>
      <c r="FD288" s="346">
        <v>0</v>
      </c>
      <c r="FE288" s="346">
        <v>0</v>
      </c>
      <c r="FF288" s="346">
        <v>0</v>
      </c>
      <c r="FG288" s="346">
        <v>0</v>
      </c>
      <c r="FH288" s="346">
        <v>0</v>
      </c>
      <c r="FI288" s="346">
        <v>0</v>
      </c>
      <c r="FJ288" s="346">
        <v>0</v>
      </c>
      <c r="FK288" s="346">
        <v>0</v>
      </c>
      <c r="FL288" s="346">
        <v>0</v>
      </c>
    </row>
    <row r="289" spans="1:168" x14ac:dyDescent="0.25">
      <c r="A289" s="238">
        <v>2</v>
      </c>
      <c r="B289" s="238" t="s">
        <v>763</v>
      </c>
      <c r="C289" s="241" t="s">
        <v>11</v>
      </c>
      <c r="D289" s="241" t="s">
        <v>11</v>
      </c>
      <c r="E289" s="241" t="s">
        <v>11</v>
      </c>
      <c r="F289" s="241" t="s">
        <v>11</v>
      </c>
      <c r="G289" s="241" t="s">
        <v>11</v>
      </c>
      <c r="H289" s="241" t="s">
        <v>11</v>
      </c>
      <c r="I289" s="241" t="s">
        <v>11</v>
      </c>
      <c r="J289" s="241" t="s">
        <v>11</v>
      </c>
      <c r="K289" s="241" t="s">
        <v>11</v>
      </c>
      <c r="L289" s="241" t="s">
        <v>11</v>
      </c>
      <c r="N289">
        <v>74</v>
      </c>
      <c r="O289" t="s">
        <v>99</v>
      </c>
      <c r="P289" t="s">
        <v>99</v>
      </c>
      <c r="Q289" t="s">
        <v>9</v>
      </c>
      <c r="R289" s="2" t="s">
        <v>12</v>
      </c>
      <c r="S289" s="2" t="s">
        <v>12</v>
      </c>
      <c r="T289" s="2" t="s">
        <v>12</v>
      </c>
      <c r="U289" s="2" t="s">
        <v>12</v>
      </c>
      <c r="V289" s="2" t="s">
        <v>12</v>
      </c>
      <c r="W289" s="2" t="s">
        <v>12</v>
      </c>
      <c r="X289" s="2" t="s">
        <v>12</v>
      </c>
      <c r="Y289" s="2" t="s">
        <v>12</v>
      </c>
      <c r="Z289" s="2" t="s">
        <v>12</v>
      </c>
      <c r="AA289" s="2" t="s">
        <v>12</v>
      </c>
      <c r="AB289" s="2" t="s">
        <v>12</v>
      </c>
      <c r="AC289" s="2" t="s">
        <v>12</v>
      </c>
      <c r="AD289" t="s">
        <v>12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t="s">
        <v>12</v>
      </c>
      <c r="AR289" t="s">
        <v>12</v>
      </c>
      <c r="AS289" t="s">
        <v>12</v>
      </c>
      <c r="AT289" t="s">
        <v>12</v>
      </c>
      <c r="AU289" t="s">
        <v>12</v>
      </c>
      <c r="AV289" t="s">
        <v>12</v>
      </c>
      <c r="AW289" t="s">
        <v>12</v>
      </c>
      <c r="AX289" t="s">
        <v>12</v>
      </c>
      <c r="AY289" t="s">
        <v>12</v>
      </c>
      <c r="AZ289" t="s">
        <v>12</v>
      </c>
      <c r="BA289" t="s">
        <v>12</v>
      </c>
      <c r="BB289" t="s">
        <v>12</v>
      </c>
      <c r="BC289" t="s">
        <v>12</v>
      </c>
      <c r="BD289" t="s">
        <v>12</v>
      </c>
      <c r="BF289" s="313" t="s">
        <v>11</v>
      </c>
      <c r="BG289" s="313" t="s">
        <v>11</v>
      </c>
      <c r="BH289" t="s">
        <v>12</v>
      </c>
      <c r="BI289" t="s">
        <v>12</v>
      </c>
      <c r="BJ289" t="s">
        <v>12</v>
      </c>
      <c r="BK289" t="s">
        <v>12</v>
      </c>
      <c r="BL289" t="s">
        <v>12</v>
      </c>
      <c r="BM289" t="s">
        <v>12</v>
      </c>
      <c r="BN289" t="s">
        <v>12</v>
      </c>
      <c r="BO289" t="s">
        <v>12</v>
      </c>
      <c r="BP289" t="s">
        <v>12</v>
      </c>
      <c r="BQ289" t="s">
        <v>12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 s="9" t="s">
        <v>12</v>
      </c>
      <c r="CF289" s="28" t="s">
        <v>12</v>
      </c>
      <c r="CG289" s="28" t="s">
        <v>12</v>
      </c>
      <c r="CH289" s="28" t="s">
        <v>12</v>
      </c>
      <c r="CI289" s="28" t="s">
        <v>12</v>
      </c>
      <c r="CJ289" s="28" t="s">
        <v>12</v>
      </c>
      <c r="CK289" s="28" t="s">
        <v>12</v>
      </c>
      <c r="CL289" s="28" t="s">
        <v>12</v>
      </c>
      <c r="CM289" s="28" t="s">
        <v>12</v>
      </c>
      <c r="CN289" s="28" t="s">
        <v>12</v>
      </c>
      <c r="CO289" s="28" t="s">
        <v>12</v>
      </c>
      <c r="CP289" s="28" t="s">
        <v>12</v>
      </c>
      <c r="CQ289" s="28" t="s">
        <v>12</v>
      </c>
      <c r="CR289" s="28" t="s">
        <v>12</v>
      </c>
      <c r="CS289" s="28" t="s">
        <v>12</v>
      </c>
      <c r="CT289" s="28" t="s">
        <v>12</v>
      </c>
      <c r="CU289" s="28" t="s">
        <v>12</v>
      </c>
      <c r="CV289" s="28" t="s">
        <v>12</v>
      </c>
      <c r="CW289" s="28" t="s">
        <v>12</v>
      </c>
      <c r="CX289" s="28" t="s">
        <v>12</v>
      </c>
      <c r="CY289" s="28" t="s">
        <v>12</v>
      </c>
      <c r="CZ289" s="28" t="s">
        <v>12</v>
      </c>
      <c r="DA289" s="28" t="s">
        <v>12</v>
      </c>
      <c r="DB289" s="313">
        <v>74</v>
      </c>
      <c r="DC289" s="313" t="s">
        <v>99</v>
      </c>
      <c r="DD289" s="386" t="s">
        <v>12</v>
      </c>
      <c r="DE289" s="386" t="s">
        <v>12</v>
      </c>
      <c r="DF289" s="386" t="s">
        <v>12</v>
      </c>
      <c r="DG289" s="386" t="s">
        <v>12</v>
      </c>
      <c r="DH289" s="386" t="s">
        <v>12</v>
      </c>
      <c r="DI289" s="386" t="s">
        <v>12</v>
      </c>
      <c r="DJ289" s="386" t="s">
        <v>12</v>
      </c>
      <c r="DK289" s="386" t="s">
        <v>12</v>
      </c>
      <c r="DL289" s="386" t="s">
        <v>12</v>
      </c>
      <c r="DM289" s="386" t="s">
        <v>12</v>
      </c>
      <c r="DN289" s="7" t="s">
        <v>12</v>
      </c>
      <c r="DO289" s="7" t="s">
        <v>12</v>
      </c>
      <c r="DP289" s="7" t="s">
        <v>12</v>
      </c>
      <c r="DQ289" s="7" t="s">
        <v>12</v>
      </c>
      <c r="DR289" s="7" t="s">
        <v>12</v>
      </c>
      <c r="DS289" s="7" t="s">
        <v>12</v>
      </c>
      <c r="DT289" s="7" t="s">
        <v>12</v>
      </c>
      <c r="DU289" s="7" t="s">
        <v>12</v>
      </c>
      <c r="DV289" s="7" t="s">
        <v>12</v>
      </c>
      <c r="DW289" s="7" t="s">
        <v>12</v>
      </c>
      <c r="DY289" s="9">
        <v>32957622</v>
      </c>
      <c r="EI289" s="423" t="s">
        <v>12</v>
      </c>
      <c r="EJ289" s="423" t="s">
        <v>12</v>
      </c>
      <c r="EK289" s="423" t="s">
        <v>12</v>
      </c>
      <c r="EL289" s="423" t="s">
        <v>12</v>
      </c>
      <c r="EM289" s="423" t="s">
        <v>12</v>
      </c>
      <c r="EN289" s="423" t="s">
        <v>12</v>
      </c>
      <c r="EO289" s="423" t="s">
        <v>12</v>
      </c>
      <c r="EP289" s="423" t="s">
        <v>12</v>
      </c>
      <c r="EQ289" s="423" t="s">
        <v>12</v>
      </c>
      <c r="ER289" s="423" t="s">
        <v>12</v>
      </c>
      <c r="ES289" s="438" t="s">
        <v>12</v>
      </c>
      <c r="ET289" s="438" t="s">
        <v>12</v>
      </c>
      <c r="EU289" s="438" t="s">
        <v>12</v>
      </c>
      <c r="EV289" s="438" t="s">
        <v>12</v>
      </c>
      <c r="EW289" s="438" t="s">
        <v>12</v>
      </c>
      <c r="EX289" s="438" t="s">
        <v>12</v>
      </c>
      <c r="EY289" s="438" t="s">
        <v>12</v>
      </c>
      <c r="EZ289" s="438" t="s">
        <v>12</v>
      </c>
      <c r="FA289" s="438" t="s">
        <v>12</v>
      </c>
      <c r="FB289" s="438" t="s">
        <v>12</v>
      </c>
      <c r="FC289" s="346">
        <v>0</v>
      </c>
      <c r="FD289" s="346">
        <v>0</v>
      </c>
      <c r="FE289" s="346">
        <v>0</v>
      </c>
      <c r="FF289" s="346">
        <v>0</v>
      </c>
      <c r="FG289" s="346">
        <v>0</v>
      </c>
      <c r="FH289" s="346">
        <v>0</v>
      </c>
      <c r="FI289" s="346">
        <v>0</v>
      </c>
      <c r="FJ289" s="346">
        <v>0</v>
      </c>
      <c r="FK289" s="346">
        <v>0</v>
      </c>
      <c r="FL289" s="346">
        <v>0</v>
      </c>
    </row>
    <row r="290" spans="1:168" x14ac:dyDescent="0.25">
      <c r="A290" s="238">
        <v>3</v>
      </c>
      <c r="B290" s="238" t="s">
        <v>764</v>
      </c>
      <c r="C290" s="241" t="s">
        <v>11</v>
      </c>
      <c r="D290" s="241" t="s">
        <v>11</v>
      </c>
      <c r="E290" s="241" t="s">
        <v>11</v>
      </c>
      <c r="F290" s="241" t="s">
        <v>11</v>
      </c>
      <c r="G290" s="241" t="s">
        <v>11</v>
      </c>
      <c r="H290" s="241" t="s">
        <v>11</v>
      </c>
      <c r="I290" s="241" t="s">
        <v>11</v>
      </c>
      <c r="J290" s="241" t="s">
        <v>11</v>
      </c>
      <c r="K290" s="241" t="s">
        <v>11</v>
      </c>
      <c r="L290" s="241" t="s">
        <v>11</v>
      </c>
      <c r="N290">
        <v>75</v>
      </c>
      <c r="O290" t="s">
        <v>100</v>
      </c>
      <c r="P290" t="s">
        <v>100</v>
      </c>
      <c r="Q290" t="s">
        <v>9</v>
      </c>
      <c r="R290" s="2" t="s">
        <v>12</v>
      </c>
      <c r="S290" s="2" t="s">
        <v>12</v>
      </c>
      <c r="T290" s="2" t="s">
        <v>12</v>
      </c>
      <c r="U290" s="2" t="s">
        <v>12</v>
      </c>
      <c r="V290" s="2" t="s">
        <v>12</v>
      </c>
      <c r="W290" s="2" t="s">
        <v>12</v>
      </c>
      <c r="X290" s="2" t="s">
        <v>12</v>
      </c>
      <c r="Y290" s="2" t="s">
        <v>12</v>
      </c>
      <c r="Z290" s="2" t="s">
        <v>12</v>
      </c>
      <c r="AA290" s="2" t="s">
        <v>12</v>
      </c>
      <c r="AB290" s="2" t="s">
        <v>12</v>
      </c>
      <c r="AC290" s="2" t="s">
        <v>12</v>
      </c>
      <c r="AD290" t="s">
        <v>12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t="s">
        <v>12</v>
      </c>
      <c r="AR290" t="s">
        <v>12</v>
      </c>
      <c r="AS290" t="s">
        <v>12</v>
      </c>
      <c r="AT290" t="s">
        <v>12</v>
      </c>
      <c r="AU290" t="s">
        <v>12</v>
      </c>
      <c r="AV290" t="s">
        <v>12</v>
      </c>
      <c r="AW290" t="s">
        <v>12</v>
      </c>
      <c r="AX290" t="s">
        <v>12</v>
      </c>
      <c r="AY290" t="s">
        <v>12</v>
      </c>
      <c r="AZ290" t="s">
        <v>12</v>
      </c>
      <c r="BA290" t="s">
        <v>12</v>
      </c>
      <c r="BB290" t="s">
        <v>12</v>
      </c>
      <c r="BC290" t="s">
        <v>12</v>
      </c>
      <c r="BD290" t="s">
        <v>12</v>
      </c>
      <c r="BF290" s="313" t="s">
        <v>11</v>
      </c>
      <c r="BG290" s="313" t="s">
        <v>11</v>
      </c>
      <c r="BH290" t="s">
        <v>12</v>
      </c>
      <c r="BI290" t="s">
        <v>12</v>
      </c>
      <c r="BJ290" t="s">
        <v>12</v>
      </c>
      <c r="BK290" t="s">
        <v>12</v>
      </c>
      <c r="BL290" t="s">
        <v>12</v>
      </c>
      <c r="BM290" t="s">
        <v>12</v>
      </c>
      <c r="BN290" t="s">
        <v>12</v>
      </c>
      <c r="BO290" t="s">
        <v>12</v>
      </c>
      <c r="BP290" t="s">
        <v>12</v>
      </c>
      <c r="BQ290" t="s">
        <v>12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 s="9" t="s">
        <v>12</v>
      </c>
      <c r="CF290" s="28" t="s">
        <v>12</v>
      </c>
      <c r="CG290" s="28" t="s">
        <v>12</v>
      </c>
      <c r="CH290" s="28" t="s">
        <v>12</v>
      </c>
      <c r="CI290" s="28" t="s">
        <v>12</v>
      </c>
      <c r="CJ290" s="28" t="s">
        <v>12</v>
      </c>
      <c r="CK290" s="28" t="s">
        <v>12</v>
      </c>
      <c r="CL290" s="28" t="s">
        <v>12</v>
      </c>
      <c r="CM290" s="28" t="s">
        <v>12</v>
      </c>
      <c r="CN290" s="28" t="s">
        <v>12</v>
      </c>
      <c r="CO290" s="28" t="s">
        <v>12</v>
      </c>
      <c r="CP290" s="28" t="s">
        <v>12</v>
      </c>
      <c r="CQ290" s="28" t="s">
        <v>12</v>
      </c>
      <c r="CR290" s="28" t="s">
        <v>12</v>
      </c>
      <c r="CS290" s="28" t="s">
        <v>12</v>
      </c>
      <c r="CT290" s="28" t="s">
        <v>12</v>
      </c>
      <c r="CU290" s="28" t="s">
        <v>12</v>
      </c>
      <c r="CV290" s="28" t="s">
        <v>12</v>
      </c>
      <c r="CW290" s="28" t="s">
        <v>12</v>
      </c>
      <c r="CX290" s="28" t="s">
        <v>12</v>
      </c>
      <c r="CY290" s="28" t="s">
        <v>12</v>
      </c>
      <c r="CZ290" s="28" t="s">
        <v>12</v>
      </c>
      <c r="DA290" s="28" t="s">
        <v>12</v>
      </c>
      <c r="DB290" s="313">
        <v>75</v>
      </c>
      <c r="DC290" s="313" t="s">
        <v>100</v>
      </c>
      <c r="DD290" s="386" t="s">
        <v>12</v>
      </c>
      <c r="DE290" s="386" t="s">
        <v>12</v>
      </c>
      <c r="DF290" s="386" t="s">
        <v>12</v>
      </c>
      <c r="DG290" s="386" t="s">
        <v>12</v>
      </c>
      <c r="DH290" s="386" t="s">
        <v>12</v>
      </c>
      <c r="DI290" s="386" t="s">
        <v>12</v>
      </c>
      <c r="DJ290" s="386" t="s">
        <v>12</v>
      </c>
      <c r="DK290" s="386" t="s">
        <v>12</v>
      </c>
      <c r="DL290" s="386" t="s">
        <v>12</v>
      </c>
      <c r="DM290" s="386" t="s">
        <v>12</v>
      </c>
      <c r="DN290" s="7" t="s">
        <v>12</v>
      </c>
      <c r="DO290" s="7" t="s">
        <v>12</v>
      </c>
      <c r="DP290" s="7" t="s">
        <v>12</v>
      </c>
      <c r="DQ290" s="7" t="s">
        <v>12</v>
      </c>
      <c r="DR290" s="7" t="s">
        <v>12</v>
      </c>
      <c r="DS290" s="7" t="s">
        <v>12</v>
      </c>
      <c r="DT290" s="7" t="s">
        <v>12</v>
      </c>
      <c r="DU290" s="7" t="s">
        <v>12</v>
      </c>
      <c r="DV290" s="7" t="s">
        <v>12</v>
      </c>
      <c r="DW290" s="7" t="s">
        <v>12</v>
      </c>
      <c r="DY290" s="9">
        <v>7910500</v>
      </c>
      <c r="EI290" s="423" t="s">
        <v>12</v>
      </c>
      <c r="EJ290" s="423" t="s">
        <v>12</v>
      </c>
      <c r="EK290" s="423" t="s">
        <v>12</v>
      </c>
      <c r="EL290" s="423" t="s">
        <v>12</v>
      </c>
      <c r="EM290" s="423" t="s">
        <v>12</v>
      </c>
      <c r="EN290" s="423" t="s">
        <v>12</v>
      </c>
      <c r="EO290" s="423" t="s">
        <v>12</v>
      </c>
      <c r="EP290" s="423" t="s">
        <v>12</v>
      </c>
      <c r="EQ290" s="423" t="s">
        <v>12</v>
      </c>
      <c r="ER290" s="423" t="s">
        <v>12</v>
      </c>
      <c r="ES290" s="438" t="s">
        <v>12</v>
      </c>
      <c r="ET290" s="438" t="s">
        <v>12</v>
      </c>
      <c r="EU290" s="438" t="s">
        <v>12</v>
      </c>
      <c r="EV290" s="438" t="s">
        <v>12</v>
      </c>
      <c r="EW290" s="438" t="s">
        <v>12</v>
      </c>
      <c r="EX290" s="438" t="s">
        <v>12</v>
      </c>
      <c r="EY290" s="438" t="s">
        <v>12</v>
      </c>
      <c r="EZ290" s="438" t="s">
        <v>12</v>
      </c>
      <c r="FA290" s="438" t="s">
        <v>12</v>
      </c>
      <c r="FB290" s="438" t="s">
        <v>12</v>
      </c>
      <c r="FC290" s="346">
        <v>0</v>
      </c>
      <c r="FD290" s="346">
        <v>0</v>
      </c>
      <c r="FE290" s="346">
        <v>0</v>
      </c>
      <c r="FF290" s="346">
        <v>0</v>
      </c>
      <c r="FG290" s="346">
        <v>0</v>
      </c>
      <c r="FH290" s="346">
        <v>0</v>
      </c>
      <c r="FI290" s="346">
        <v>0</v>
      </c>
      <c r="FJ290" s="346">
        <v>0</v>
      </c>
      <c r="FK290" s="346">
        <v>0</v>
      </c>
      <c r="FL290" s="346">
        <v>0</v>
      </c>
    </row>
    <row r="291" spans="1:168" x14ac:dyDescent="0.25">
      <c r="A291" s="238">
        <v>4</v>
      </c>
      <c r="B291" s="238" t="s">
        <v>765</v>
      </c>
      <c r="C291" s="241" t="s">
        <v>11</v>
      </c>
      <c r="D291" s="241" t="s">
        <v>11</v>
      </c>
      <c r="E291" s="241" t="s">
        <v>11</v>
      </c>
      <c r="F291" s="241" t="s">
        <v>11</v>
      </c>
      <c r="G291" s="241" t="s">
        <v>11</v>
      </c>
      <c r="H291" s="241" t="s">
        <v>11</v>
      </c>
      <c r="I291" s="241" t="s">
        <v>11</v>
      </c>
      <c r="J291" s="241" t="s">
        <v>11</v>
      </c>
      <c r="K291" s="241" t="s">
        <v>11</v>
      </c>
      <c r="L291" s="241" t="s">
        <v>11</v>
      </c>
      <c r="N291">
        <v>76</v>
      </c>
      <c r="O291" t="s">
        <v>101</v>
      </c>
      <c r="P291" t="s">
        <v>101</v>
      </c>
      <c r="Q291" t="s">
        <v>23</v>
      </c>
      <c r="R291" s="2" t="s">
        <v>12</v>
      </c>
      <c r="S291" s="2" t="s">
        <v>12</v>
      </c>
      <c r="T291" s="2" t="s">
        <v>12</v>
      </c>
      <c r="U291" s="2" t="s">
        <v>12</v>
      </c>
      <c r="V291" s="2" t="s">
        <v>12</v>
      </c>
      <c r="W291" s="2" t="s">
        <v>12</v>
      </c>
      <c r="X291" s="2" t="s">
        <v>12</v>
      </c>
      <c r="Y291" s="2" t="s">
        <v>12</v>
      </c>
      <c r="Z291" s="2" t="s">
        <v>12</v>
      </c>
      <c r="AA291" s="2" t="s">
        <v>12</v>
      </c>
      <c r="AB291" s="2" t="s">
        <v>12</v>
      </c>
      <c r="AC291" s="2" t="s">
        <v>12</v>
      </c>
      <c r="AD291" t="s">
        <v>12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t="s">
        <v>12</v>
      </c>
      <c r="AR291" t="s">
        <v>12</v>
      </c>
      <c r="AS291" t="s">
        <v>12</v>
      </c>
      <c r="AT291" t="s">
        <v>12</v>
      </c>
      <c r="AU291" t="s">
        <v>12</v>
      </c>
      <c r="AV291" t="s">
        <v>12</v>
      </c>
      <c r="AW291" t="s">
        <v>12</v>
      </c>
      <c r="AX291" t="s">
        <v>12</v>
      </c>
      <c r="AY291" t="s">
        <v>12</v>
      </c>
      <c r="AZ291" t="s">
        <v>12</v>
      </c>
      <c r="BA291" t="s">
        <v>12</v>
      </c>
      <c r="BB291" t="s">
        <v>12</v>
      </c>
      <c r="BC291" t="s">
        <v>12</v>
      </c>
      <c r="BD291" t="s">
        <v>12</v>
      </c>
      <c r="BF291" s="313" t="s">
        <v>11</v>
      </c>
      <c r="BG291" s="313" t="s">
        <v>11</v>
      </c>
      <c r="BH291" t="s">
        <v>12</v>
      </c>
      <c r="BI291" t="s">
        <v>12</v>
      </c>
      <c r="BJ291" t="s">
        <v>12</v>
      </c>
      <c r="BK291" t="s">
        <v>12</v>
      </c>
      <c r="BL291" t="s">
        <v>12</v>
      </c>
      <c r="BM291" t="s">
        <v>12</v>
      </c>
      <c r="BN291" t="s">
        <v>12</v>
      </c>
      <c r="BO291" t="s">
        <v>12</v>
      </c>
      <c r="BP291" t="s">
        <v>12</v>
      </c>
      <c r="BQ291" t="s">
        <v>12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 s="9" t="s">
        <v>12</v>
      </c>
      <c r="CF291" s="28" t="s">
        <v>12</v>
      </c>
      <c r="CG291" s="28" t="s">
        <v>12</v>
      </c>
      <c r="CH291" s="28" t="s">
        <v>12</v>
      </c>
      <c r="CI291" s="28" t="s">
        <v>12</v>
      </c>
      <c r="CJ291" s="28" t="s">
        <v>12</v>
      </c>
      <c r="CK291" s="28" t="s">
        <v>12</v>
      </c>
      <c r="CL291" s="28" t="s">
        <v>12</v>
      </c>
      <c r="CM291" s="28" t="s">
        <v>12</v>
      </c>
      <c r="CN291" s="28" t="s">
        <v>12</v>
      </c>
      <c r="CO291" s="28" t="s">
        <v>12</v>
      </c>
      <c r="CP291" s="28" t="s">
        <v>12</v>
      </c>
      <c r="CQ291" s="28" t="s">
        <v>12</v>
      </c>
      <c r="CR291" s="28" t="s">
        <v>12</v>
      </c>
      <c r="CS291" s="28" t="s">
        <v>12</v>
      </c>
      <c r="CT291" s="28" t="s">
        <v>12</v>
      </c>
      <c r="CU291" s="28" t="s">
        <v>12</v>
      </c>
      <c r="CV291" s="28" t="s">
        <v>12</v>
      </c>
      <c r="CW291" s="28" t="s">
        <v>12</v>
      </c>
      <c r="CX291" s="28" t="s">
        <v>12</v>
      </c>
      <c r="CY291" s="28" t="s">
        <v>12</v>
      </c>
      <c r="CZ291" s="28" t="s">
        <v>12</v>
      </c>
      <c r="DA291" s="28" t="s">
        <v>12</v>
      </c>
      <c r="DB291" s="313">
        <v>76</v>
      </c>
      <c r="DC291" s="313" t="s">
        <v>101</v>
      </c>
      <c r="DD291" s="386" t="s">
        <v>12</v>
      </c>
      <c r="DE291" s="386" t="s">
        <v>12</v>
      </c>
      <c r="DF291" s="386" t="s">
        <v>12</v>
      </c>
      <c r="DG291" s="386" t="s">
        <v>12</v>
      </c>
      <c r="DH291" s="386" t="s">
        <v>12</v>
      </c>
      <c r="DI291" s="386" t="s">
        <v>12</v>
      </c>
      <c r="DJ291" s="386" t="s">
        <v>12</v>
      </c>
      <c r="DK291" s="386" t="s">
        <v>12</v>
      </c>
      <c r="DL291" s="386" t="s">
        <v>12</v>
      </c>
      <c r="DM291" s="386" t="s">
        <v>12</v>
      </c>
      <c r="DN291" s="7" t="s">
        <v>12</v>
      </c>
      <c r="DO291" s="7" t="s">
        <v>12</v>
      </c>
      <c r="DP291" s="7" t="s">
        <v>12</v>
      </c>
      <c r="DQ291" s="7" t="s">
        <v>12</v>
      </c>
      <c r="DR291" s="7" t="s">
        <v>12</v>
      </c>
      <c r="DS291" s="7" t="s">
        <v>12</v>
      </c>
      <c r="DT291" s="7" t="s">
        <v>12</v>
      </c>
      <c r="DU291" s="7" t="s">
        <v>12</v>
      </c>
      <c r="DV291" s="7" t="s">
        <v>12</v>
      </c>
      <c r="DW291" s="7" t="s">
        <v>12</v>
      </c>
      <c r="DY291" s="9">
        <v>59539717</v>
      </c>
      <c r="EI291" s="423" t="s">
        <v>12</v>
      </c>
      <c r="EJ291" s="423" t="s">
        <v>12</v>
      </c>
      <c r="EK291" s="423" t="s">
        <v>12</v>
      </c>
      <c r="EL291" s="423" t="s">
        <v>12</v>
      </c>
      <c r="EM291" s="423" t="s">
        <v>12</v>
      </c>
      <c r="EN291" s="423" t="s">
        <v>12</v>
      </c>
      <c r="EO291" s="423" t="s">
        <v>12</v>
      </c>
      <c r="EP291" s="423" t="s">
        <v>12</v>
      </c>
      <c r="EQ291" s="423" t="s">
        <v>12</v>
      </c>
      <c r="ER291" s="423" t="s">
        <v>12</v>
      </c>
      <c r="ES291" s="438" t="s">
        <v>12</v>
      </c>
      <c r="ET291" s="438" t="s">
        <v>12</v>
      </c>
      <c r="EU291" s="438" t="s">
        <v>12</v>
      </c>
      <c r="EV291" s="438" t="s">
        <v>12</v>
      </c>
      <c r="EW291" s="438" t="s">
        <v>12</v>
      </c>
      <c r="EX291" s="438" t="s">
        <v>12</v>
      </c>
      <c r="EY291" s="438" t="s">
        <v>12</v>
      </c>
      <c r="EZ291" s="438" t="s">
        <v>12</v>
      </c>
      <c r="FA291" s="438" t="s">
        <v>12</v>
      </c>
      <c r="FB291" s="438" t="s">
        <v>12</v>
      </c>
      <c r="FC291" s="346">
        <v>0</v>
      </c>
      <c r="FD291" s="346">
        <v>0</v>
      </c>
      <c r="FE291" s="346">
        <v>0</v>
      </c>
      <c r="FF291" s="346">
        <v>0</v>
      </c>
      <c r="FG291" s="346">
        <v>0</v>
      </c>
      <c r="FH291" s="346">
        <v>0</v>
      </c>
      <c r="FI291" s="346">
        <v>0</v>
      </c>
      <c r="FJ291" s="346">
        <v>0</v>
      </c>
      <c r="FK291" s="346">
        <v>0</v>
      </c>
      <c r="FL291" s="346">
        <v>0</v>
      </c>
    </row>
    <row r="292" spans="1:168" x14ac:dyDescent="0.25">
      <c r="A292" s="238">
        <v>5</v>
      </c>
      <c r="B292" s="238" t="s">
        <v>767</v>
      </c>
      <c r="C292" s="241" t="s">
        <v>11</v>
      </c>
      <c r="D292" s="241" t="s">
        <v>11</v>
      </c>
      <c r="E292" s="241" t="s">
        <v>11</v>
      </c>
      <c r="F292" s="241" t="s">
        <v>11</v>
      </c>
      <c r="G292" s="241" t="s">
        <v>11</v>
      </c>
      <c r="H292" s="241" t="s">
        <v>11</v>
      </c>
      <c r="I292" s="241" t="s">
        <v>11</v>
      </c>
      <c r="J292" s="241" t="s">
        <v>11</v>
      </c>
      <c r="K292" s="241" t="s">
        <v>11</v>
      </c>
      <c r="L292" s="241" t="s">
        <v>11</v>
      </c>
      <c r="N292">
        <v>77</v>
      </c>
      <c r="O292" t="s">
        <v>102</v>
      </c>
      <c r="P292" t="s">
        <v>11</v>
      </c>
      <c r="Q292" t="s">
        <v>14</v>
      </c>
      <c r="R292" s="2" t="s">
        <v>12</v>
      </c>
      <c r="S292" s="2" t="s">
        <v>12</v>
      </c>
      <c r="T292" s="2" t="s">
        <v>12</v>
      </c>
      <c r="U292" s="2" t="s">
        <v>12</v>
      </c>
      <c r="V292" s="2" t="s">
        <v>12</v>
      </c>
      <c r="W292" s="2" t="s">
        <v>12</v>
      </c>
      <c r="X292" s="2" t="s">
        <v>12</v>
      </c>
      <c r="Y292" s="2" t="s">
        <v>12</v>
      </c>
      <c r="Z292" s="2" t="s">
        <v>12</v>
      </c>
      <c r="AA292" s="2" t="s">
        <v>12</v>
      </c>
      <c r="AB292" s="2" t="s">
        <v>12</v>
      </c>
      <c r="AC292" s="2" t="s">
        <v>12</v>
      </c>
      <c r="AD292" t="s">
        <v>12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t="s">
        <v>12</v>
      </c>
      <c r="AR292" t="s">
        <v>12</v>
      </c>
      <c r="AS292" t="s">
        <v>12</v>
      </c>
      <c r="AT292" t="s">
        <v>12</v>
      </c>
      <c r="AU292" t="s">
        <v>12</v>
      </c>
      <c r="AV292" t="s">
        <v>12</v>
      </c>
      <c r="AW292" t="s">
        <v>12</v>
      </c>
      <c r="AX292" t="s">
        <v>12</v>
      </c>
      <c r="AY292" t="s">
        <v>12</v>
      </c>
      <c r="AZ292" t="s">
        <v>12</v>
      </c>
      <c r="BA292" t="s">
        <v>12</v>
      </c>
      <c r="BB292" t="s">
        <v>12</v>
      </c>
      <c r="BC292" t="s">
        <v>12</v>
      </c>
      <c r="BD292" t="s">
        <v>12</v>
      </c>
      <c r="BF292" s="313" t="s">
        <v>11</v>
      </c>
      <c r="BG292" s="313" t="s">
        <v>11</v>
      </c>
      <c r="BH292" t="s">
        <v>12</v>
      </c>
      <c r="BI292" t="s">
        <v>12</v>
      </c>
      <c r="BJ292" t="s">
        <v>12</v>
      </c>
      <c r="BK292" t="s">
        <v>12</v>
      </c>
      <c r="BL292" t="s">
        <v>12</v>
      </c>
      <c r="BM292" t="s">
        <v>12</v>
      </c>
      <c r="BN292" t="s">
        <v>12</v>
      </c>
      <c r="BO292" t="s">
        <v>12</v>
      </c>
      <c r="BP292" t="s">
        <v>12</v>
      </c>
      <c r="BQ292" t="s">
        <v>12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 s="9" t="s">
        <v>12</v>
      </c>
      <c r="CF292" s="28" t="s">
        <v>12</v>
      </c>
      <c r="CG292" s="28" t="s">
        <v>12</v>
      </c>
      <c r="CH292" s="28" t="s">
        <v>12</v>
      </c>
      <c r="CI292" s="28" t="s">
        <v>12</v>
      </c>
      <c r="CJ292" s="28" t="s">
        <v>12</v>
      </c>
      <c r="CK292" s="28" t="s">
        <v>12</v>
      </c>
      <c r="CL292" s="28" t="s">
        <v>12</v>
      </c>
      <c r="CM292" s="28" t="s">
        <v>12</v>
      </c>
      <c r="CN292" s="28" t="s">
        <v>12</v>
      </c>
      <c r="CO292" s="28" t="s">
        <v>12</v>
      </c>
      <c r="CP292" s="28" t="s">
        <v>12</v>
      </c>
      <c r="CQ292" s="28" t="s">
        <v>12</v>
      </c>
      <c r="CR292" s="28" t="s">
        <v>12</v>
      </c>
      <c r="CS292" s="28" t="s">
        <v>12</v>
      </c>
      <c r="CT292" s="28" t="s">
        <v>12</v>
      </c>
      <c r="CU292" s="28" t="s">
        <v>12</v>
      </c>
      <c r="CV292" s="28" t="s">
        <v>12</v>
      </c>
      <c r="CW292" s="28" t="s">
        <v>12</v>
      </c>
      <c r="CX292" s="28" t="s">
        <v>12</v>
      </c>
      <c r="CY292" s="28" t="s">
        <v>12</v>
      </c>
      <c r="CZ292" s="28" t="s">
        <v>12</v>
      </c>
      <c r="DA292" s="28" t="s">
        <v>12</v>
      </c>
      <c r="DB292" s="313">
        <v>77</v>
      </c>
      <c r="DC292" s="313" t="s">
        <v>102</v>
      </c>
      <c r="DD292" s="386" t="s">
        <v>12</v>
      </c>
      <c r="DE292" s="386" t="s">
        <v>12</v>
      </c>
      <c r="DF292" s="386" t="s">
        <v>12</v>
      </c>
      <c r="DG292" s="386" t="s">
        <v>12</v>
      </c>
      <c r="DH292" s="386" t="s">
        <v>12</v>
      </c>
      <c r="DI292" s="386" t="s">
        <v>12</v>
      </c>
      <c r="DJ292" s="386" t="s">
        <v>12</v>
      </c>
      <c r="DK292" s="386" t="s">
        <v>12</v>
      </c>
      <c r="DL292" s="386" t="s">
        <v>12</v>
      </c>
      <c r="DM292" s="386" t="s">
        <v>12</v>
      </c>
      <c r="DN292" s="7" t="s">
        <v>12</v>
      </c>
      <c r="DO292" s="7" t="s">
        <v>12</v>
      </c>
      <c r="DP292" s="7" t="s">
        <v>12</v>
      </c>
      <c r="DQ292" s="7" t="s">
        <v>12</v>
      </c>
      <c r="DR292" s="7" t="s">
        <v>12</v>
      </c>
      <c r="DS292" s="7" t="s">
        <v>12</v>
      </c>
      <c r="DT292" s="7" t="s">
        <v>12</v>
      </c>
      <c r="DU292" s="7" t="s">
        <v>12</v>
      </c>
      <c r="DV292" s="7" t="s">
        <v>12</v>
      </c>
      <c r="DW292" s="7" t="s">
        <v>12</v>
      </c>
      <c r="DY292" s="9" t="s">
        <v>11</v>
      </c>
      <c r="EI292" s="423" t="s">
        <v>12</v>
      </c>
      <c r="EJ292" s="423" t="s">
        <v>12</v>
      </c>
      <c r="EK292" s="423" t="s">
        <v>12</v>
      </c>
      <c r="EL292" s="423" t="s">
        <v>12</v>
      </c>
      <c r="EM292" s="423" t="s">
        <v>12</v>
      </c>
      <c r="EN292" s="423" t="s">
        <v>12</v>
      </c>
      <c r="EO292" s="423" t="s">
        <v>12</v>
      </c>
      <c r="EP292" s="423" t="s">
        <v>12</v>
      </c>
      <c r="EQ292" s="423" t="s">
        <v>12</v>
      </c>
      <c r="ER292" s="423" t="s">
        <v>12</v>
      </c>
      <c r="ES292" s="438" t="s">
        <v>12</v>
      </c>
      <c r="ET292" s="438" t="s">
        <v>12</v>
      </c>
      <c r="EU292" s="438" t="s">
        <v>12</v>
      </c>
      <c r="EV292" s="438" t="s">
        <v>12</v>
      </c>
      <c r="EW292" s="438" t="s">
        <v>12</v>
      </c>
      <c r="EX292" s="438" t="s">
        <v>12</v>
      </c>
      <c r="EY292" s="438" t="s">
        <v>12</v>
      </c>
      <c r="EZ292" s="438" t="s">
        <v>12</v>
      </c>
      <c r="FA292" s="438" t="s">
        <v>12</v>
      </c>
      <c r="FB292" s="438" t="s">
        <v>12</v>
      </c>
      <c r="FC292" s="346">
        <v>0</v>
      </c>
      <c r="FD292" s="346">
        <v>0</v>
      </c>
      <c r="FE292" s="346">
        <v>0</v>
      </c>
      <c r="FF292" s="346">
        <v>0</v>
      </c>
      <c r="FG292" s="346">
        <v>0</v>
      </c>
      <c r="FH292" s="346">
        <v>0</v>
      </c>
      <c r="FI292" s="346">
        <v>0</v>
      </c>
      <c r="FJ292" s="346">
        <v>0</v>
      </c>
      <c r="FK292" s="346">
        <v>0</v>
      </c>
      <c r="FL292" s="346">
        <v>0</v>
      </c>
    </row>
    <row r="293" spans="1:168" x14ac:dyDescent="0.25">
      <c r="A293" s="238">
        <v>6</v>
      </c>
      <c r="B293" s="238" t="s">
        <v>768</v>
      </c>
      <c r="C293" s="241" t="s">
        <v>11</v>
      </c>
      <c r="D293" s="241" t="s">
        <v>11</v>
      </c>
      <c r="E293" s="241" t="s">
        <v>11</v>
      </c>
      <c r="F293" s="241" t="s">
        <v>11</v>
      </c>
      <c r="G293" s="241" t="s">
        <v>11</v>
      </c>
      <c r="H293" s="241" t="s">
        <v>11</v>
      </c>
      <c r="I293" s="241" t="s">
        <v>11</v>
      </c>
      <c r="J293" s="241" t="s">
        <v>11</v>
      </c>
      <c r="K293" s="241" t="s">
        <v>11</v>
      </c>
      <c r="L293" s="241" t="s">
        <v>11</v>
      </c>
      <c r="N293">
        <v>78</v>
      </c>
      <c r="O293" t="s">
        <v>103</v>
      </c>
      <c r="P293" t="s">
        <v>103</v>
      </c>
      <c r="Q293" t="s">
        <v>16</v>
      </c>
      <c r="R293" s="2" t="s">
        <v>12</v>
      </c>
      <c r="S293" s="2" t="s">
        <v>12</v>
      </c>
      <c r="T293" s="2" t="s">
        <v>12</v>
      </c>
      <c r="U293" s="2" t="s">
        <v>12</v>
      </c>
      <c r="V293" s="2" t="s">
        <v>12</v>
      </c>
      <c r="W293" s="2" t="s">
        <v>12</v>
      </c>
      <c r="X293" s="2" t="s">
        <v>12</v>
      </c>
      <c r="Y293" s="2" t="s">
        <v>12</v>
      </c>
      <c r="Z293" s="2" t="s">
        <v>12</v>
      </c>
      <c r="AA293" s="2" t="s">
        <v>12</v>
      </c>
      <c r="AB293" s="2" t="s">
        <v>12</v>
      </c>
      <c r="AC293" s="2" t="s">
        <v>12</v>
      </c>
      <c r="AD293" t="s">
        <v>12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t="s">
        <v>12</v>
      </c>
      <c r="AR293" t="s">
        <v>12</v>
      </c>
      <c r="AS293" t="s">
        <v>12</v>
      </c>
      <c r="AT293" t="s">
        <v>12</v>
      </c>
      <c r="AU293" t="s">
        <v>12</v>
      </c>
      <c r="AV293" t="s">
        <v>12</v>
      </c>
      <c r="AW293" t="s">
        <v>12</v>
      </c>
      <c r="AX293" t="s">
        <v>12</v>
      </c>
      <c r="AY293" t="s">
        <v>12</v>
      </c>
      <c r="AZ293" t="s">
        <v>12</v>
      </c>
      <c r="BA293" t="s">
        <v>12</v>
      </c>
      <c r="BB293" t="s">
        <v>12</v>
      </c>
      <c r="BC293" t="s">
        <v>12</v>
      </c>
      <c r="BD293" t="s">
        <v>12</v>
      </c>
      <c r="BF293" s="313" t="s">
        <v>11</v>
      </c>
      <c r="BG293" s="313" t="s">
        <v>11</v>
      </c>
      <c r="BH293" t="s">
        <v>12</v>
      </c>
      <c r="BI293" t="s">
        <v>12</v>
      </c>
      <c r="BJ293" t="s">
        <v>12</v>
      </c>
      <c r="BK293" t="s">
        <v>12</v>
      </c>
      <c r="BL293" t="s">
        <v>12</v>
      </c>
      <c r="BM293" t="s">
        <v>12</v>
      </c>
      <c r="BN293" t="s">
        <v>12</v>
      </c>
      <c r="BO293" t="s">
        <v>12</v>
      </c>
      <c r="BP293" t="s">
        <v>12</v>
      </c>
      <c r="BQ293" t="s">
        <v>12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 s="9" t="s">
        <v>12</v>
      </c>
      <c r="CF293" s="28" t="s">
        <v>12</v>
      </c>
      <c r="CG293" s="28" t="s">
        <v>12</v>
      </c>
      <c r="CH293" s="28" t="s">
        <v>12</v>
      </c>
      <c r="CI293" s="28" t="s">
        <v>12</v>
      </c>
      <c r="CJ293" s="28" t="s">
        <v>12</v>
      </c>
      <c r="CK293" s="28" t="s">
        <v>12</v>
      </c>
      <c r="CL293" s="28" t="s">
        <v>12</v>
      </c>
      <c r="CM293" s="28" t="s">
        <v>12</v>
      </c>
      <c r="CN293" s="28" t="s">
        <v>12</v>
      </c>
      <c r="CO293" s="28" t="s">
        <v>12</v>
      </c>
      <c r="CP293" s="28" t="s">
        <v>12</v>
      </c>
      <c r="CQ293" s="28" t="s">
        <v>12</v>
      </c>
      <c r="CR293" s="28" t="s">
        <v>12</v>
      </c>
      <c r="CS293" s="28" t="s">
        <v>12</v>
      </c>
      <c r="CT293" s="28" t="s">
        <v>12</v>
      </c>
      <c r="CU293" s="28" t="s">
        <v>12</v>
      </c>
      <c r="CV293" s="28" t="s">
        <v>12</v>
      </c>
      <c r="CW293" s="28" t="s">
        <v>12</v>
      </c>
      <c r="CX293" s="28" t="s">
        <v>12</v>
      </c>
      <c r="CY293" s="28" t="s">
        <v>12</v>
      </c>
      <c r="CZ293" s="28" t="s">
        <v>12</v>
      </c>
      <c r="DA293" s="28" t="s">
        <v>12</v>
      </c>
      <c r="DB293" s="313">
        <v>78</v>
      </c>
      <c r="DC293" s="313" t="s">
        <v>103</v>
      </c>
      <c r="DD293" s="386" t="s">
        <v>12</v>
      </c>
      <c r="DE293" s="386" t="s">
        <v>12</v>
      </c>
      <c r="DF293" s="386" t="s">
        <v>12</v>
      </c>
      <c r="DG293" s="386" t="s">
        <v>12</v>
      </c>
      <c r="DH293" s="386" t="s">
        <v>12</v>
      </c>
      <c r="DI293" s="386" t="s">
        <v>12</v>
      </c>
      <c r="DJ293" s="386" t="s">
        <v>12</v>
      </c>
      <c r="DK293" s="386" t="s">
        <v>12</v>
      </c>
      <c r="DL293" s="386" t="s">
        <v>12</v>
      </c>
      <c r="DM293" s="386" t="s">
        <v>12</v>
      </c>
      <c r="DN293" s="7" t="s">
        <v>12</v>
      </c>
      <c r="DO293" s="7" t="s">
        <v>12</v>
      </c>
      <c r="DP293" s="7" t="s">
        <v>12</v>
      </c>
      <c r="DQ293" s="7" t="s">
        <v>12</v>
      </c>
      <c r="DR293" s="7" t="s">
        <v>12</v>
      </c>
      <c r="DS293" s="7" t="s">
        <v>12</v>
      </c>
      <c r="DT293" s="7" t="s">
        <v>12</v>
      </c>
      <c r="DU293" s="7" t="s">
        <v>12</v>
      </c>
      <c r="DV293" s="7" t="s">
        <v>12</v>
      </c>
      <c r="DW293" s="7" t="s">
        <v>12</v>
      </c>
      <c r="DY293" s="9">
        <v>2707805</v>
      </c>
      <c r="EI293" s="423" t="s">
        <v>12</v>
      </c>
      <c r="EJ293" s="423" t="s">
        <v>12</v>
      </c>
      <c r="EK293" s="423" t="s">
        <v>12</v>
      </c>
      <c r="EL293" s="423" t="s">
        <v>12</v>
      </c>
      <c r="EM293" s="423" t="s">
        <v>12</v>
      </c>
      <c r="EN293" s="423" t="s">
        <v>12</v>
      </c>
      <c r="EO293" s="423" t="s">
        <v>12</v>
      </c>
      <c r="EP293" s="423" t="s">
        <v>12</v>
      </c>
      <c r="EQ293" s="423" t="s">
        <v>12</v>
      </c>
      <c r="ER293" s="423" t="s">
        <v>12</v>
      </c>
      <c r="ES293" s="438" t="s">
        <v>12</v>
      </c>
      <c r="ET293" s="438" t="s">
        <v>12</v>
      </c>
      <c r="EU293" s="438" t="s">
        <v>12</v>
      </c>
      <c r="EV293" s="438" t="s">
        <v>12</v>
      </c>
      <c r="EW293" s="438" t="s">
        <v>12</v>
      </c>
      <c r="EX293" s="438" t="s">
        <v>12</v>
      </c>
      <c r="EY293" s="438" t="s">
        <v>12</v>
      </c>
      <c r="EZ293" s="438" t="s">
        <v>12</v>
      </c>
      <c r="FA293" s="438" t="s">
        <v>12</v>
      </c>
      <c r="FB293" s="438" t="s">
        <v>12</v>
      </c>
      <c r="FC293" s="346">
        <v>0</v>
      </c>
      <c r="FD293" s="346">
        <v>0</v>
      </c>
      <c r="FE293" s="346">
        <v>0</v>
      </c>
      <c r="FF293" s="346">
        <v>0</v>
      </c>
      <c r="FG293" s="346">
        <v>0</v>
      </c>
      <c r="FH293" s="346">
        <v>0</v>
      </c>
      <c r="FI293" s="346">
        <v>0</v>
      </c>
      <c r="FJ293" s="346">
        <v>0</v>
      </c>
      <c r="FK293" s="346">
        <v>0</v>
      </c>
      <c r="FL293" s="346">
        <v>0</v>
      </c>
    </row>
    <row r="294" spans="1:168" x14ac:dyDescent="0.25">
      <c r="A294" s="238">
        <v>7</v>
      </c>
      <c r="B294" s="238" t="s">
        <v>770</v>
      </c>
      <c r="C294" s="241" t="s">
        <v>11</v>
      </c>
      <c r="D294" s="241" t="s">
        <v>11</v>
      </c>
      <c r="E294" s="241" t="s">
        <v>11</v>
      </c>
      <c r="F294" s="241" t="s">
        <v>11</v>
      </c>
      <c r="G294" s="241" t="s">
        <v>11</v>
      </c>
      <c r="H294" s="241" t="s">
        <v>11</v>
      </c>
      <c r="I294" s="241" t="s">
        <v>11</v>
      </c>
      <c r="J294" s="241" t="s">
        <v>11</v>
      </c>
      <c r="K294" s="241" t="s">
        <v>11</v>
      </c>
      <c r="L294" s="241" t="s">
        <v>11</v>
      </c>
      <c r="N294">
        <v>79</v>
      </c>
      <c r="O294" t="s">
        <v>104</v>
      </c>
      <c r="P294" t="s">
        <v>104</v>
      </c>
      <c r="Q294" t="s">
        <v>25</v>
      </c>
      <c r="R294" s="2">
        <v>1989857</v>
      </c>
      <c r="S294" s="2">
        <v>4824346</v>
      </c>
      <c r="T294" s="2" t="s">
        <v>12</v>
      </c>
      <c r="U294" s="2" t="s">
        <v>12</v>
      </c>
      <c r="V294" s="2" t="s">
        <v>12</v>
      </c>
      <c r="W294" s="2" t="s">
        <v>12</v>
      </c>
      <c r="X294" s="2" t="s">
        <v>12</v>
      </c>
      <c r="Y294" s="2" t="s">
        <v>12</v>
      </c>
      <c r="Z294" s="2" t="s">
        <v>12</v>
      </c>
      <c r="AA294" s="2" t="s">
        <v>12</v>
      </c>
      <c r="AB294" s="2" t="s">
        <v>12</v>
      </c>
      <c r="AC294" s="2" t="s">
        <v>12</v>
      </c>
      <c r="AD294">
        <v>2011</v>
      </c>
      <c r="AE294" s="2">
        <v>1</v>
      </c>
      <c r="AF294" s="2">
        <v>1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t="s">
        <v>12</v>
      </c>
      <c r="AR294" t="s">
        <v>12</v>
      </c>
      <c r="AS294" t="s">
        <v>12</v>
      </c>
      <c r="AT294" t="s">
        <v>12</v>
      </c>
      <c r="AU294">
        <v>2011</v>
      </c>
      <c r="AV294" t="s">
        <v>12</v>
      </c>
      <c r="AW294" t="s">
        <v>12</v>
      </c>
      <c r="AX294" t="s">
        <v>12</v>
      </c>
      <c r="AY294" t="s">
        <v>12</v>
      </c>
      <c r="AZ294" t="s">
        <v>12</v>
      </c>
      <c r="BA294">
        <v>2011</v>
      </c>
      <c r="BB294">
        <v>5</v>
      </c>
      <c r="BC294" t="s">
        <v>104</v>
      </c>
      <c r="BD294">
        <v>2011</v>
      </c>
      <c r="BF294" s="313" t="s">
        <v>11</v>
      </c>
      <c r="BG294" s="313" t="s">
        <v>11</v>
      </c>
      <c r="BH294" t="s">
        <v>12</v>
      </c>
      <c r="BI294" t="s">
        <v>12</v>
      </c>
      <c r="BJ294" t="s">
        <v>12</v>
      </c>
      <c r="BK294" t="s">
        <v>12</v>
      </c>
      <c r="BL294" t="s">
        <v>12</v>
      </c>
      <c r="BM294" t="s">
        <v>12</v>
      </c>
      <c r="BN294" t="s">
        <v>12</v>
      </c>
      <c r="BO294" t="s">
        <v>12</v>
      </c>
      <c r="BP294" t="s">
        <v>12</v>
      </c>
      <c r="BQ294" t="s">
        <v>12</v>
      </c>
      <c r="BS294">
        <v>38301631.486020893</v>
      </c>
      <c r="BT294">
        <v>83859373.725545689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 s="9">
        <v>11696475.841086069</v>
      </c>
      <c r="CF294" s="28" t="s">
        <v>12</v>
      </c>
      <c r="CG294" s="28" t="s">
        <v>12</v>
      </c>
      <c r="CH294" s="28" t="s">
        <v>12</v>
      </c>
      <c r="CI294" s="28" t="s">
        <v>12</v>
      </c>
      <c r="CJ294" s="28">
        <v>4.369321409375468</v>
      </c>
      <c r="CK294" s="28" t="s">
        <v>12</v>
      </c>
      <c r="CL294" s="28" t="s">
        <v>12</v>
      </c>
      <c r="CM294" s="28" t="s">
        <v>12</v>
      </c>
      <c r="CN294" s="28" t="s">
        <v>12</v>
      </c>
      <c r="CO294" s="28" t="s">
        <v>12</v>
      </c>
      <c r="CP294" s="28">
        <v>4.369321409375468</v>
      </c>
      <c r="CQ294" s="28" t="s">
        <v>12</v>
      </c>
      <c r="CR294" s="28" t="s">
        <v>12</v>
      </c>
      <c r="CS294" s="28" t="s">
        <v>12</v>
      </c>
      <c r="CT294" s="28" t="s">
        <v>12</v>
      </c>
      <c r="CU294" s="28">
        <v>3.276991057031601</v>
      </c>
      <c r="CV294" s="28" t="s">
        <v>12</v>
      </c>
      <c r="CW294" s="28" t="s">
        <v>12</v>
      </c>
      <c r="CX294" s="28" t="s">
        <v>12</v>
      </c>
      <c r="CY294" s="28" t="s">
        <v>12</v>
      </c>
      <c r="CZ294" s="28" t="s">
        <v>12</v>
      </c>
      <c r="DA294" s="28">
        <v>3.276991057031601</v>
      </c>
      <c r="DB294" s="313">
        <v>79</v>
      </c>
      <c r="DC294" s="313" t="s">
        <v>104</v>
      </c>
      <c r="DD294" s="386" t="s">
        <v>12</v>
      </c>
      <c r="DE294" s="386" t="s">
        <v>12</v>
      </c>
      <c r="DF294" s="386" t="s">
        <v>12</v>
      </c>
      <c r="DG294" s="386" t="s">
        <v>12</v>
      </c>
      <c r="DH294" s="386">
        <v>1.4244686929764301</v>
      </c>
      <c r="DI294" s="386" t="s">
        <v>12</v>
      </c>
      <c r="DJ294" s="386" t="s">
        <v>12</v>
      </c>
      <c r="DK294" s="386" t="s">
        <v>12</v>
      </c>
      <c r="DL294" s="386" t="s">
        <v>12</v>
      </c>
      <c r="DM294" s="386" t="s">
        <v>12</v>
      </c>
      <c r="DN294" s="7" t="s">
        <v>12</v>
      </c>
      <c r="DO294" s="7" t="s">
        <v>12</v>
      </c>
      <c r="DP294" s="7" t="s">
        <v>12</v>
      </c>
      <c r="DQ294" s="7" t="s">
        <v>12</v>
      </c>
      <c r="DR294" s="7">
        <v>1.4244686929764301</v>
      </c>
      <c r="DS294" s="7" t="s">
        <v>12</v>
      </c>
      <c r="DT294" s="7" t="s">
        <v>12</v>
      </c>
      <c r="DU294" s="7" t="s">
        <v>12</v>
      </c>
      <c r="DV294" s="7" t="s">
        <v>12</v>
      </c>
      <c r="DW294" s="7" t="s">
        <v>12</v>
      </c>
      <c r="DY294" s="9">
        <v>127561489</v>
      </c>
      <c r="EI294" s="423" t="s">
        <v>12</v>
      </c>
      <c r="EJ294" s="423" t="s">
        <v>12</v>
      </c>
      <c r="EK294" s="423" t="s">
        <v>12</v>
      </c>
      <c r="EL294" s="423" t="s">
        <v>12</v>
      </c>
      <c r="EM294" s="423">
        <v>0</v>
      </c>
      <c r="EN294" s="423" t="s">
        <v>12</v>
      </c>
      <c r="EO294" s="423" t="s">
        <v>12</v>
      </c>
      <c r="EP294" s="423" t="s">
        <v>12</v>
      </c>
      <c r="EQ294" s="423" t="s">
        <v>12</v>
      </c>
      <c r="ER294" s="423" t="s">
        <v>12</v>
      </c>
      <c r="ES294" s="438">
        <v>1</v>
      </c>
      <c r="ET294" s="438">
        <v>1</v>
      </c>
      <c r="EU294" s="438">
        <v>1</v>
      </c>
      <c r="EV294" s="438">
        <v>1</v>
      </c>
      <c r="EW294" s="438">
        <v>4824346</v>
      </c>
      <c r="EX294" s="438">
        <v>1</v>
      </c>
      <c r="EY294" s="438">
        <v>1</v>
      </c>
      <c r="EZ294" s="438">
        <v>1</v>
      </c>
      <c r="FA294" s="438">
        <v>1</v>
      </c>
      <c r="FB294" s="438" t="s">
        <v>12</v>
      </c>
      <c r="FC294" s="346">
        <v>5895427.8529494749</v>
      </c>
      <c r="FD294" s="346">
        <v>10427354.666800028</v>
      </c>
      <c r="FE294" s="346">
        <v>0</v>
      </c>
      <c r="FF294" s="346">
        <v>0</v>
      </c>
      <c r="FG294" s="346">
        <v>0</v>
      </c>
      <c r="FH294" s="346">
        <v>0</v>
      </c>
      <c r="FI294" s="346">
        <v>0</v>
      </c>
      <c r="FJ294" s="346">
        <v>0</v>
      </c>
      <c r="FK294" s="346">
        <v>0</v>
      </c>
      <c r="FL294" s="346">
        <v>0</v>
      </c>
    </row>
    <row r="295" spans="1:168" x14ac:dyDescent="0.25">
      <c r="A295" s="238">
        <v>8</v>
      </c>
      <c r="B295" s="238" t="s">
        <v>771</v>
      </c>
      <c r="C295" s="241" t="s">
        <v>11</v>
      </c>
      <c r="D295" s="241" t="s">
        <v>11</v>
      </c>
      <c r="E295" s="241" t="s">
        <v>11</v>
      </c>
      <c r="F295" s="241" t="s">
        <v>11</v>
      </c>
      <c r="G295" s="241" t="s">
        <v>11</v>
      </c>
      <c r="H295" s="241" t="s">
        <v>11</v>
      </c>
      <c r="I295" s="241" t="s">
        <v>11</v>
      </c>
      <c r="J295" s="241" t="s">
        <v>11</v>
      </c>
      <c r="K295" s="241" t="s">
        <v>11</v>
      </c>
      <c r="L295" s="241" t="s">
        <v>11</v>
      </c>
      <c r="N295">
        <v>80</v>
      </c>
      <c r="O295" t="s">
        <v>105</v>
      </c>
      <c r="P295" t="s">
        <v>105</v>
      </c>
      <c r="Q295" t="s">
        <v>9</v>
      </c>
      <c r="R295" s="2" t="s">
        <v>12</v>
      </c>
      <c r="S295" s="2" t="s">
        <v>12</v>
      </c>
      <c r="T295" s="2" t="s">
        <v>12</v>
      </c>
      <c r="U295" s="2" t="s">
        <v>12</v>
      </c>
      <c r="V295" s="2" t="s">
        <v>12</v>
      </c>
      <c r="W295" s="2" t="s">
        <v>12</v>
      </c>
      <c r="X295" s="2" t="s">
        <v>12</v>
      </c>
      <c r="Y295" s="2" t="s">
        <v>12</v>
      </c>
      <c r="Z295" s="2" t="s">
        <v>12</v>
      </c>
      <c r="AA295" s="2" t="s">
        <v>12</v>
      </c>
      <c r="AB295" s="2" t="s">
        <v>12</v>
      </c>
      <c r="AC295" s="2" t="s">
        <v>12</v>
      </c>
      <c r="AD295" t="s">
        <v>12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t="s">
        <v>12</v>
      </c>
      <c r="AR295" t="s">
        <v>12</v>
      </c>
      <c r="AS295" t="s">
        <v>12</v>
      </c>
      <c r="AT295" t="s">
        <v>12</v>
      </c>
      <c r="AU295" t="s">
        <v>12</v>
      </c>
      <c r="AV295" t="s">
        <v>12</v>
      </c>
      <c r="AW295" t="s">
        <v>12</v>
      </c>
      <c r="AX295" t="s">
        <v>12</v>
      </c>
      <c r="AY295" t="s">
        <v>12</v>
      </c>
      <c r="AZ295" t="s">
        <v>12</v>
      </c>
      <c r="BA295" t="s">
        <v>12</v>
      </c>
      <c r="BB295" t="s">
        <v>12</v>
      </c>
      <c r="BC295" t="s">
        <v>12</v>
      </c>
      <c r="BD295" t="s">
        <v>12</v>
      </c>
      <c r="BF295" s="313" t="s">
        <v>11</v>
      </c>
      <c r="BG295" s="313" t="s">
        <v>11</v>
      </c>
      <c r="BH295" t="s">
        <v>12</v>
      </c>
      <c r="BI295" t="s">
        <v>12</v>
      </c>
      <c r="BJ295" t="s">
        <v>12</v>
      </c>
      <c r="BK295" t="s">
        <v>12</v>
      </c>
      <c r="BL295" t="s">
        <v>12</v>
      </c>
      <c r="BM295" t="s">
        <v>12</v>
      </c>
      <c r="BN295" t="s">
        <v>12</v>
      </c>
      <c r="BO295" t="s">
        <v>12</v>
      </c>
      <c r="BP295" t="s">
        <v>12</v>
      </c>
      <c r="BQ295" t="s">
        <v>12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 s="9" t="s">
        <v>12</v>
      </c>
      <c r="CF295" s="28" t="s">
        <v>12</v>
      </c>
      <c r="CG295" s="28" t="s">
        <v>12</v>
      </c>
      <c r="CH295" s="28" t="s">
        <v>12</v>
      </c>
      <c r="CI295" s="28" t="s">
        <v>12</v>
      </c>
      <c r="CJ295" s="28" t="s">
        <v>12</v>
      </c>
      <c r="CK295" s="28" t="s">
        <v>12</v>
      </c>
      <c r="CL295" s="28" t="s">
        <v>12</v>
      </c>
      <c r="CM295" s="28" t="s">
        <v>12</v>
      </c>
      <c r="CN295" s="28" t="s">
        <v>12</v>
      </c>
      <c r="CO295" s="28" t="s">
        <v>12</v>
      </c>
      <c r="CP295" s="28" t="s">
        <v>12</v>
      </c>
      <c r="CQ295" s="28" t="s">
        <v>12</v>
      </c>
      <c r="CR295" s="28" t="s">
        <v>12</v>
      </c>
      <c r="CS295" s="28" t="s">
        <v>12</v>
      </c>
      <c r="CT295" s="28" t="s">
        <v>12</v>
      </c>
      <c r="CU295" s="28" t="s">
        <v>12</v>
      </c>
      <c r="CV295" s="28" t="s">
        <v>12</v>
      </c>
      <c r="CW295" s="28" t="s">
        <v>12</v>
      </c>
      <c r="CX295" s="28" t="s">
        <v>12</v>
      </c>
      <c r="CY295" s="28" t="s">
        <v>12</v>
      </c>
      <c r="CZ295" s="28" t="s">
        <v>12</v>
      </c>
      <c r="DA295" s="28" t="s">
        <v>12</v>
      </c>
      <c r="DB295" s="313">
        <v>80</v>
      </c>
      <c r="DC295" s="313" t="s">
        <v>105</v>
      </c>
      <c r="DD295" s="386" t="s">
        <v>12</v>
      </c>
      <c r="DE295" s="386" t="s">
        <v>12</v>
      </c>
      <c r="DF295" s="386" t="s">
        <v>12</v>
      </c>
      <c r="DG295" s="386" t="s">
        <v>12</v>
      </c>
      <c r="DH295" s="386" t="s">
        <v>12</v>
      </c>
      <c r="DI295" s="386" t="s">
        <v>12</v>
      </c>
      <c r="DJ295" s="386" t="s">
        <v>12</v>
      </c>
      <c r="DK295" s="386" t="s">
        <v>12</v>
      </c>
      <c r="DL295" s="386" t="s">
        <v>12</v>
      </c>
      <c r="DM295" s="386" t="s">
        <v>12</v>
      </c>
      <c r="DN295" s="7" t="s">
        <v>12</v>
      </c>
      <c r="DO295" s="7" t="s">
        <v>12</v>
      </c>
      <c r="DP295" s="7" t="s">
        <v>12</v>
      </c>
      <c r="DQ295" s="7" t="s">
        <v>12</v>
      </c>
      <c r="DR295" s="7" t="s">
        <v>12</v>
      </c>
      <c r="DS295" s="7" t="s">
        <v>12</v>
      </c>
      <c r="DT295" s="7" t="s">
        <v>12</v>
      </c>
      <c r="DU295" s="7" t="s">
        <v>12</v>
      </c>
      <c r="DV295" s="7" t="s">
        <v>12</v>
      </c>
      <c r="DW295" s="7" t="s">
        <v>12</v>
      </c>
      <c r="DY295" s="9">
        <v>6994451</v>
      </c>
      <c r="EI295" s="423" t="s">
        <v>12</v>
      </c>
      <c r="EJ295" s="423" t="s">
        <v>12</v>
      </c>
      <c r="EK295" s="423" t="s">
        <v>12</v>
      </c>
      <c r="EL295" s="423" t="s">
        <v>12</v>
      </c>
      <c r="EM295" s="423" t="s">
        <v>12</v>
      </c>
      <c r="EN295" s="423" t="s">
        <v>12</v>
      </c>
      <c r="EO295" s="423" t="s">
        <v>12</v>
      </c>
      <c r="EP295" s="423" t="s">
        <v>12</v>
      </c>
      <c r="EQ295" s="423" t="s">
        <v>12</v>
      </c>
      <c r="ER295" s="423" t="s">
        <v>12</v>
      </c>
      <c r="ES295" s="438" t="s">
        <v>12</v>
      </c>
      <c r="ET295" s="438" t="s">
        <v>12</v>
      </c>
      <c r="EU295" s="438" t="s">
        <v>12</v>
      </c>
      <c r="EV295" s="438" t="s">
        <v>12</v>
      </c>
      <c r="EW295" s="438" t="s">
        <v>12</v>
      </c>
      <c r="EX295" s="438" t="s">
        <v>12</v>
      </c>
      <c r="EY295" s="438" t="s">
        <v>12</v>
      </c>
      <c r="EZ295" s="438" t="s">
        <v>12</v>
      </c>
      <c r="FA295" s="438" t="s">
        <v>12</v>
      </c>
      <c r="FB295" s="438" t="s">
        <v>12</v>
      </c>
      <c r="FC295" s="346">
        <v>0</v>
      </c>
      <c r="FD295" s="346">
        <v>0</v>
      </c>
      <c r="FE295" s="346">
        <v>0</v>
      </c>
      <c r="FF295" s="346">
        <v>0</v>
      </c>
      <c r="FG295" s="346">
        <v>0</v>
      </c>
      <c r="FH295" s="346">
        <v>0</v>
      </c>
      <c r="FI295" s="346">
        <v>0</v>
      </c>
      <c r="FJ295" s="346">
        <v>0</v>
      </c>
      <c r="FK295" s="346">
        <v>0</v>
      </c>
      <c r="FL295" s="346">
        <v>0</v>
      </c>
    </row>
    <row r="296" spans="1:168" x14ac:dyDescent="0.25">
      <c r="A296" s="238">
        <v>9</v>
      </c>
      <c r="B296" s="238" t="s">
        <v>772</v>
      </c>
      <c r="C296" s="241" t="s">
        <v>11</v>
      </c>
      <c r="D296" s="241" t="s">
        <v>11</v>
      </c>
      <c r="E296" s="241" t="s">
        <v>11</v>
      </c>
      <c r="F296" s="241" t="s">
        <v>11</v>
      </c>
      <c r="G296" s="241" t="s">
        <v>11</v>
      </c>
      <c r="H296" s="241" t="s">
        <v>11</v>
      </c>
      <c r="I296" s="241" t="s">
        <v>11</v>
      </c>
      <c r="J296" s="241" t="s">
        <v>11</v>
      </c>
      <c r="K296" s="241" t="s">
        <v>11</v>
      </c>
      <c r="L296" s="241" t="s">
        <v>11</v>
      </c>
      <c r="N296">
        <v>81</v>
      </c>
      <c r="O296" t="s">
        <v>106</v>
      </c>
      <c r="P296" t="s">
        <v>106</v>
      </c>
      <c r="Q296" t="s">
        <v>25</v>
      </c>
      <c r="R296" s="2" t="s">
        <v>12</v>
      </c>
      <c r="S296" s="2" t="s">
        <v>12</v>
      </c>
      <c r="T296" s="2" t="s">
        <v>12</v>
      </c>
      <c r="U296" s="2" t="s">
        <v>12</v>
      </c>
      <c r="V296" s="2" t="s">
        <v>12</v>
      </c>
      <c r="W296" s="2" t="s">
        <v>12</v>
      </c>
      <c r="X296" s="2" t="s">
        <v>12</v>
      </c>
      <c r="Y296" s="2" t="s">
        <v>12</v>
      </c>
      <c r="Z296" s="2" t="s">
        <v>12</v>
      </c>
      <c r="AA296" s="2" t="s">
        <v>12</v>
      </c>
      <c r="AB296" s="2" t="s">
        <v>12</v>
      </c>
      <c r="AC296" s="2" t="s">
        <v>12</v>
      </c>
      <c r="AD296" t="s">
        <v>12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t="s">
        <v>12</v>
      </c>
      <c r="AR296" t="s">
        <v>12</v>
      </c>
      <c r="AS296" t="s">
        <v>12</v>
      </c>
      <c r="AT296" t="s">
        <v>12</v>
      </c>
      <c r="AU296" t="s">
        <v>12</v>
      </c>
      <c r="AV296" t="s">
        <v>12</v>
      </c>
      <c r="AW296" t="s">
        <v>12</v>
      </c>
      <c r="AX296" t="s">
        <v>12</v>
      </c>
      <c r="AY296" t="s">
        <v>12</v>
      </c>
      <c r="AZ296" t="s">
        <v>12</v>
      </c>
      <c r="BA296" t="s">
        <v>12</v>
      </c>
      <c r="BB296" t="s">
        <v>12</v>
      </c>
      <c r="BC296" t="s">
        <v>12</v>
      </c>
      <c r="BD296" t="s">
        <v>12</v>
      </c>
      <c r="BF296" s="313" t="s">
        <v>11</v>
      </c>
      <c r="BG296" s="313" t="s">
        <v>11</v>
      </c>
      <c r="BH296" t="s">
        <v>12</v>
      </c>
      <c r="BI296" t="s">
        <v>12</v>
      </c>
      <c r="BJ296" t="s">
        <v>12</v>
      </c>
      <c r="BK296" t="s">
        <v>12</v>
      </c>
      <c r="BL296" t="s">
        <v>12</v>
      </c>
      <c r="BM296" t="s">
        <v>12</v>
      </c>
      <c r="BN296" t="s">
        <v>12</v>
      </c>
      <c r="BO296" t="s">
        <v>12</v>
      </c>
      <c r="BP296" t="s">
        <v>12</v>
      </c>
      <c r="BQ296" t="s">
        <v>12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 s="9" t="s">
        <v>12</v>
      </c>
      <c r="CF296" s="28" t="s">
        <v>12</v>
      </c>
      <c r="CG296" s="28" t="s">
        <v>12</v>
      </c>
      <c r="CH296" s="28" t="s">
        <v>12</v>
      </c>
      <c r="CI296" s="28" t="s">
        <v>12</v>
      </c>
      <c r="CJ296" s="28" t="s">
        <v>12</v>
      </c>
      <c r="CK296" s="28" t="s">
        <v>12</v>
      </c>
      <c r="CL296" s="28" t="s">
        <v>12</v>
      </c>
      <c r="CM296" s="28" t="s">
        <v>12</v>
      </c>
      <c r="CN296" s="28" t="s">
        <v>12</v>
      </c>
      <c r="CO296" s="28" t="s">
        <v>12</v>
      </c>
      <c r="CP296" s="28" t="s">
        <v>12</v>
      </c>
      <c r="CQ296" s="28" t="s">
        <v>12</v>
      </c>
      <c r="CR296" s="28" t="s">
        <v>12</v>
      </c>
      <c r="CS296" s="28" t="s">
        <v>12</v>
      </c>
      <c r="CT296" s="28" t="s">
        <v>12</v>
      </c>
      <c r="CU296" s="28" t="s">
        <v>12</v>
      </c>
      <c r="CV296" s="28" t="s">
        <v>12</v>
      </c>
      <c r="CW296" s="28" t="s">
        <v>12</v>
      </c>
      <c r="CX296" s="28" t="s">
        <v>12</v>
      </c>
      <c r="CY296" s="28" t="s">
        <v>12</v>
      </c>
      <c r="CZ296" s="28" t="s">
        <v>12</v>
      </c>
      <c r="DA296" s="28" t="s">
        <v>12</v>
      </c>
      <c r="DB296" s="313">
        <v>81</v>
      </c>
      <c r="DC296" s="313" t="s">
        <v>106</v>
      </c>
      <c r="DD296" s="386" t="s">
        <v>12</v>
      </c>
      <c r="DE296" s="386" t="s">
        <v>12</v>
      </c>
      <c r="DF296" s="386" t="s">
        <v>12</v>
      </c>
      <c r="DG296" s="386" t="s">
        <v>12</v>
      </c>
      <c r="DH296" s="386" t="s">
        <v>12</v>
      </c>
      <c r="DI296" s="386" t="s">
        <v>12</v>
      </c>
      <c r="DJ296" s="386" t="s">
        <v>12</v>
      </c>
      <c r="DK296" s="386" t="s">
        <v>12</v>
      </c>
      <c r="DL296" s="386" t="s">
        <v>12</v>
      </c>
      <c r="DM296" s="386" t="s">
        <v>12</v>
      </c>
      <c r="DN296" s="7" t="s">
        <v>12</v>
      </c>
      <c r="DO296" s="7" t="s">
        <v>12</v>
      </c>
      <c r="DP296" s="7" t="s">
        <v>12</v>
      </c>
      <c r="DQ296" s="7" t="s">
        <v>12</v>
      </c>
      <c r="DR296" s="7" t="s">
        <v>12</v>
      </c>
      <c r="DS296" s="7" t="s">
        <v>12</v>
      </c>
      <c r="DT296" s="7" t="s">
        <v>12</v>
      </c>
      <c r="DU296" s="7" t="s">
        <v>12</v>
      </c>
      <c r="DV296" s="7" t="s">
        <v>12</v>
      </c>
      <c r="DW296" s="7" t="s">
        <v>12</v>
      </c>
      <c r="DY296" s="9">
        <v>16791425</v>
      </c>
      <c r="EI296" s="423" t="s">
        <v>12</v>
      </c>
      <c r="EJ296" s="423" t="s">
        <v>12</v>
      </c>
      <c r="EK296" s="423" t="s">
        <v>12</v>
      </c>
      <c r="EL296" s="423" t="s">
        <v>12</v>
      </c>
      <c r="EM296" s="423" t="s">
        <v>12</v>
      </c>
      <c r="EN296" s="423" t="s">
        <v>12</v>
      </c>
      <c r="EO296" s="423" t="s">
        <v>12</v>
      </c>
      <c r="EP296" s="423" t="s">
        <v>12</v>
      </c>
      <c r="EQ296" s="423" t="s">
        <v>12</v>
      </c>
      <c r="ER296" s="423" t="s">
        <v>12</v>
      </c>
      <c r="ES296" s="438" t="s">
        <v>12</v>
      </c>
      <c r="ET296" s="438" t="s">
        <v>12</v>
      </c>
      <c r="EU296" s="438" t="s">
        <v>12</v>
      </c>
      <c r="EV296" s="438" t="s">
        <v>12</v>
      </c>
      <c r="EW296" s="438" t="s">
        <v>12</v>
      </c>
      <c r="EX296" s="438" t="s">
        <v>12</v>
      </c>
      <c r="EY296" s="438" t="s">
        <v>12</v>
      </c>
      <c r="EZ296" s="438" t="s">
        <v>12</v>
      </c>
      <c r="FA296" s="438" t="s">
        <v>12</v>
      </c>
      <c r="FB296" s="438" t="s">
        <v>12</v>
      </c>
      <c r="FC296" s="346">
        <v>0</v>
      </c>
      <c r="FD296" s="346">
        <v>0</v>
      </c>
      <c r="FE296" s="346">
        <v>0</v>
      </c>
      <c r="FF296" s="346">
        <v>0</v>
      </c>
      <c r="FG296" s="346">
        <v>0</v>
      </c>
      <c r="FH296" s="346">
        <v>0</v>
      </c>
      <c r="FI296" s="346">
        <v>0</v>
      </c>
      <c r="FJ296" s="346">
        <v>0</v>
      </c>
      <c r="FK296" s="346">
        <v>0</v>
      </c>
      <c r="FL296" s="346">
        <v>0</v>
      </c>
    </row>
    <row r="297" spans="1:168" x14ac:dyDescent="0.25">
      <c r="A297" s="238">
        <v>10</v>
      </c>
      <c r="B297" s="238" t="s">
        <v>773</v>
      </c>
      <c r="C297" s="241" t="s">
        <v>11</v>
      </c>
      <c r="D297" s="241" t="s">
        <v>11</v>
      </c>
      <c r="E297" s="241" t="s">
        <v>11</v>
      </c>
      <c r="F297" s="241" t="s">
        <v>11</v>
      </c>
      <c r="G297" s="241" t="s">
        <v>11</v>
      </c>
      <c r="H297" s="241" t="s">
        <v>11</v>
      </c>
      <c r="I297" s="241" t="s">
        <v>11</v>
      </c>
      <c r="J297" s="241" t="s">
        <v>11</v>
      </c>
      <c r="K297" s="241" t="s">
        <v>11</v>
      </c>
      <c r="L297" s="241" t="s">
        <v>11</v>
      </c>
      <c r="N297">
        <v>82</v>
      </c>
      <c r="O297" t="s">
        <v>107</v>
      </c>
      <c r="P297" t="s">
        <v>107</v>
      </c>
      <c r="Q297" t="s">
        <v>14</v>
      </c>
      <c r="R297" s="2" t="s">
        <v>12</v>
      </c>
      <c r="S297" s="2" t="s">
        <v>12</v>
      </c>
      <c r="T297" s="2" t="s">
        <v>12</v>
      </c>
      <c r="U297" s="2" t="s">
        <v>12</v>
      </c>
      <c r="V297" s="2" t="s">
        <v>12</v>
      </c>
      <c r="W297" s="2" t="s">
        <v>12</v>
      </c>
      <c r="X297" s="2" t="s">
        <v>12</v>
      </c>
      <c r="Y297" s="2" t="s">
        <v>12</v>
      </c>
      <c r="Z297" s="2" t="s">
        <v>12</v>
      </c>
      <c r="AA297" s="2" t="s">
        <v>12</v>
      </c>
      <c r="AB297" s="2" t="s">
        <v>12</v>
      </c>
      <c r="AC297" s="2" t="s">
        <v>12</v>
      </c>
      <c r="AD297" t="s">
        <v>12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t="s">
        <v>12</v>
      </c>
      <c r="AR297" t="s">
        <v>12</v>
      </c>
      <c r="AS297" t="s">
        <v>12</v>
      </c>
      <c r="AT297" t="s">
        <v>12</v>
      </c>
      <c r="AU297" t="s">
        <v>12</v>
      </c>
      <c r="AV297" t="s">
        <v>12</v>
      </c>
      <c r="AW297" t="s">
        <v>12</v>
      </c>
      <c r="AX297" t="s">
        <v>12</v>
      </c>
      <c r="AY297" t="s">
        <v>12</v>
      </c>
      <c r="AZ297" t="s">
        <v>12</v>
      </c>
      <c r="BA297" t="s">
        <v>12</v>
      </c>
      <c r="BB297" t="s">
        <v>12</v>
      </c>
      <c r="BC297" t="s">
        <v>12</v>
      </c>
      <c r="BD297" t="s">
        <v>12</v>
      </c>
      <c r="BF297" s="313" t="s">
        <v>11</v>
      </c>
      <c r="BG297" s="313" t="s">
        <v>11</v>
      </c>
      <c r="BH297" t="s">
        <v>12</v>
      </c>
      <c r="BI297" t="s">
        <v>12</v>
      </c>
      <c r="BJ297" t="s">
        <v>12</v>
      </c>
      <c r="BK297" t="s">
        <v>12</v>
      </c>
      <c r="BL297" t="s">
        <v>12</v>
      </c>
      <c r="BM297" t="s">
        <v>12</v>
      </c>
      <c r="BN297" t="s">
        <v>12</v>
      </c>
      <c r="BO297" t="s">
        <v>12</v>
      </c>
      <c r="BP297" t="s">
        <v>12</v>
      </c>
      <c r="BQ297" t="s">
        <v>12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 s="9" t="s">
        <v>12</v>
      </c>
      <c r="CF297" s="28" t="s">
        <v>12</v>
      </c>
      <c r="CG297" s="28" t="s">
        <v>12</v>
      </c>
      <c r="CH297" s="28" t="s">
        <v>12</v>
      </c>
      <c r="CI297" s="28" t="s">
        <v>12</v>
      </c>
      <c r="CJ297" s="28" t="s">
        <v>12</v>
      </c>
      <c r="CK297" s="28" t="s">
        <v>12</v>
      </c>
      <c r="CL297" s="28" t="s">
        <v>12</v>
      </c>
      <c r="CM297" s="28" t="s">
        <v>12</v>
      </c>
      <c r="CN297" s="28" t="s">
        <v>12</v>
      </c>
      <c r="CO297" s="28" t="s">
        <v>12</v>
      </c>
      <c r="CP297" s="28" t="s">
        <v>12</v>
      </c>
      <c r="CQ297" s="28" t="s">
        <v>12</v>
      </c>
      <c r="CR297" s="28" t="s">
        <v>12</v>
      </c>
      <c r="CS297" s="28" t="s">
        <v>12</v>
      </c>
      <c r="CT297" s="28" t="s">
        <v>12</v>
      </c>
      <c r="CU297" s="28" t="s">
        <v>12</v>
      </c>
      <c r="CV297" s="28" t="s">
        <v>12</v>
      </c>
      <c r="CW297" s="28" t="s">
        <v>12</v>
      </c>
      <c r="CX297" s="28" t="s">
        <v>12</v>
      </c>
      <c r="CY297" s="28" t="s">
        <v>12</v>
      </c>
      <c r="CZ297" s="28" t="s">
        <v>12</v>
      </c>
      <c r="DA297" s="28" t="s">
        <v>12</v>
      </c>
      <c r="DB297" s="313">
        <v>82</v>
      </c>
      <c r="DC297" s="313" t="s">
        <v>107</v>
      </c>
      <c r="DD297" s="386" t="s">
        <v>12</v>
      </c>
      <c r="DE297" s="386" t="s">
        <v>12</v>
      </c>
      <c r="DF297" s="386" t="s">
        <v>12</v>
      </c>
      <c r="DG297" s="386" t="s">
        <v>12</v>
      </c>
      <c r="DH297" s="386" t="s">
        <v>12</v>
      </c>
      <c r="DI297" s="386" t="s">
        <v>12</v>
      </c>
      <c r="DJ297" s="386" t="s">
        <v>12</v>
      </c>
      <c r="DK297" s="386" t="s">
        <v>12</v>
      </c>
      <c r="DL297" s="386" t="s">
        <v>12</v>
      </c>
      <c r="DM297" s="386" t="s">
        <v>12</v>
      </c>
      <c r="DN297" s="7" t="s">
        <v>12</v>
      </c>
      <c r="DO297" s="7" t="s">
        <v>12</v>
      </c>
      <c r="DP297" s="7" t="s">
        <v>12</v>
      </c>
      <c r="DQ297" s="7" t="s">
        <v>12</v>
      </c>
      <c r="DR297" s="7" t="s">
        <v>12</v>
      </c>
      <c r="DS297" s="7" t="s">
        <v>12</v>
      </c>
      <c r="DT297" s="7" t="s">
        <v>12</v>
      </c>
      <c r="DU297" s="7" t="s">
        <v>12</v>
      </c>
      <c r="DV297" s="7" t="s">
        <v>12</v>
      </c>
      <c r="DW297" s="7" t="s">
        <v>12</v>
      </c>
      <c r="DY297" s="9">
        <v>42542978</v>
      </c>
      <c r="EI297" s="423" t="s">
        <v>12</v>
      </c>
      <c r="EJ297" s="423" t="s">
        <v>12</v>
      </c>
      <c r="EK297" s="423" t="s">
        <v>12</v>
      </c>
      <c r="EL297" s="423" t="s">
        <v>12</v>
      </c>
      <c r="EM297" s="423" t="s">
        <v>12</v>
      </c>
      <c r="EN297" s="423" t="s">
        <v>12</v>
      </c>
      <c r="EO297" s="423" t="s">
        <v>12</v>
      </c>
      <c r="EP297" s="423" t="s">
        <v>12</v>
      </c>
      <c r="EQ297" s="423" t="s">
        <v>12</v>
      </c>
      <c r="ER297" s="423" t="s">
        <v>12</v>
      </c>
      <c r="ES297" s="438" t="s">
        <v>12</v>
      </c>
      <c r="ET297" s="438" t="s">
        <v>12</v>
      </c>
      <c r="EU297" s="438" t="s">
        <v>12</v>
      </c>
      <c r="EV297" s="438" t="s">
        <v>12</v>
      </c>
      <c r="EW297" s="438" t="s">
        <v>12</v>
      </c>
      <c r="EX297" s="438" t="s">
        <v>12</v>
      </c>
      <c r="EY297" s="438" t="s">
        <v>12</v>
      </c>
      <c r="EZ297" s="438" t="s">
        <v>12</v>
      </c>
      <c r="FA297" s="438" t="s">
        <v>12</v>
      </c>
      <c r="FB297" s="438" t="s">
        <v>12</v>
      </c>
      <c r="FC297" s="346">
        <v>0</v>
      </c>
      <c r="FD297" s="346">
        <v>0</v>
      </c>
      <c r="FE297" s="346">
        <v>0</v>
      </c>
      <c r="FF297" s="346">
        <v>0</v>
      </c>
      <c r="FG297" s="346">
        <v>0</v>
      </c>
      <c r="FH297" s="346">
        <v>0</v>
      </c>
      <c r="FI297" s="346">
        <v>0</v>
      </c>
      <c r="FJ297" s="346">
        <v>0</v>
      </c>
      <c r="FK297" s="346">
        <v>0</v>
      </c>
      <c r="FL297" s="346">
        <v>0</v>
      </c>
    </row>
    <row r="298" spans="1:168" x14ac:dyDescent="0.25">
      <c r="N298">
        <v>83</v>
      </c>
      <c r="O298" t="s">
        <v>108</v>
      </c>
      <c r="P298" t="s">
        <v>108</v>
      </c>
      <c r="Q298" t="s">
        <v>7</v>
      </c>
      <c r="R298" s="2" t="s">
        <v>12</v>
      </c>
      <c r="S298" s="2" t="s">
        <v>12</v>
      </c>
      <c r="T298" s="2" t="s">
        <v>12</v>
      </c>
      <c r="U298" s="2" t="s">
        <v>12</v>
      </c>
      <c r="V298" s="2" t="s">
        <v>12</v>
      </c>
      <c r="W298" s="2" t="s">
        <v>12</v>
      </c>
      <c r="X298" s="2" t="s">
        <v>12</v>
      </c>
      <c r="Y298" s="2" t="s">
        <v>12</v>
      </c>
      <c r="Z298" s="2" t="s">
        <v>12</v>
      </c>
      <c r="AA298" s="2" t="s">
        <v>12</v>
      </c>
      <c r="AB298" s="2" t="s">
        <v>12</v>
      </c>
      <c r="AC298" s="2" t="s">
        <v>12</v>
      </c>
      <c r="AD298" t="s">
        <v>12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t="s">
        <v>12</v>
      </c>
      <c r="AR298" t="s">
        <v>12</v>
      </c>
      <c r="AS298" t="s">
        <v>12</v>
      </c>
      <c r="AT298" t="s">
        <v>12</v>
      </c>
      <c r="AU298" t="s">
        <v>12</v>
      </c>
      <c r="AV298" t="s">
        <v>12</v>
      </c>
      <c r="AW298" t="s">
        <v>12</v>
      </c>
      <c r="AX298" t="s">
        <v>12</v>
      </c>
      <c r="AY298" t="s">
        <v>12</v>
      </c>
      <c r="AZ298" t="s">
        <v>12</v>
      </c>
      <c r="BA298" t="s">
        <v>12</v>
      </c>
      <c r="BB298" t="s">
        <v>12</v>
      </c>
      <c r="BC298" t="s">
        <v>12</v>
      </c>
      <c r="BD298" t="s">
        <v>12</v>
      </c>
      <c r="BF298" s="313" t="s">
        <v>11</v>
      </c>
      <c r="BG298" s="313" t="s">
        <v>11</v>
      </c>
      <c r="BH298" t="s">
        <v>12</v>
      </c>
      <c r="BI298" t="s">
        <v>12</v>
      </c>
      <c r="BJ298" t="s">
        <v>12</v>
      </c>
      <c r="BK298" t="s">
        <v>12</v>
      </c>
      <c r="BL298" t="s">
        <v>12</v>
      </c>
      <c r="BM298" t="s">
        <v>12</v>
      </c>
      <c r="BN298" t="s">
        <v>12</v>
      </c>
      <c r="BO298" t="s">
        <v>12</v>
      </c>
      <c r="BP298" t="s">
        <v>12</v>
      </c>
      <c r="BQ298" t="s">
        <v>12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 s="9" t="s">
        <v>12</v>
      </c>
      <c r="CF298" s="28" t="s">
        <v>12</v>
      </c>
      <c r="CG298" s="28" t="s">
        <v>12</v>
      </c>
      <c r="CH298" s="28" t="s">
        <v>12</v>
      </c>
      <c r="CI298" s="28" t="s">
        <v>12</v>
      </c>
      <c r="CJ298" s="28" t="s">
        <v>12</v>
      </c>
      <c r="CK298" s="28" t="s">
        <v>12</v>
      </c>
      <c r="CL298" s="28" t="s">
        <v>12</v>
      </c>
      <c r="CM298" s="28" t="s">
        <v>12</v>
      </c>
      <c r="CN298" s="28" t="s">
        <v>12</v>
      </c>
      <c r="CO298" s="28" t="s">
        <v>12</v>
      </c>
      <c r="CP298" s="28" t="s">
        <v>12</v>
      </c>
      <c r="CQ298" s="28" t="s">
        <v>12</v>
      </c>
      <c r="CR298" s="28" t="s">
        <v>12</v>
      </c>
      <c r="CS298" s="28" t="s">
        <v>12</v>
      </c>
      <c r="CT298" s="28" t="s">
        <v>12</v>
      </c>
      <c r="CU298" s="28" t="s">
        <v>12</v>
      </c>
      <c r="CV298" s="28" t="s">
        <v>12</v>
      </c>
      <c r="CW298" s="28" t="s">
        <v>12</v>
      </c>
      <c r="CX298" s="28" t="s">
        <v>12</v>
      </c>
      <c r="CY298" s="28" t="s">
        <v>12</v>
      </c>
      <c r="CZ298" s="28" t="s">
        <v>12</v>
      </c>
      <c r="DA298" s="28" t="s">
        <v>12</v>
      </c>
      <c r="DB298" s="313">
        <v>83</v>
      </c>
      <c r="DC298" s="313" t="s">
        <v>108</v>
      </c>
      <c r="DD298" s="386" t="s">
        <v>12</v>
      </c>
      <c r="DE298" s="386" t="s">
        <v>12</v>
      </c>
      <c r="DF298" s="386" t="s">
        <v>12</v>
      </c>
      <c r="DG298" s="386" t="s">
        <v>12</v>
      </c>
      <c r="DH298" s="386" t="s">
        <v>12</v>
      </c>
      <c r="DI298" s="386" t="s">
        <v>12</v>
      </c>
      <c r="DJ298" s="386" t="s">
        <v>12</v>
      </c>
      <c r="DK298" s="386" t="s">
        <v>12</v>
      </c>
      <c r="DL298" s="386" t="s">
        <v>12</v>
      </c>
      <c r="DM298" s="386" t="s">
        <v>12</v>
      </c>
      <c r="DN298" s="7" t="s">
        <v>12</v>
      </c>
      <c r="DO298" s="7" t="s">
        <v>12</v>
      </c>
      <c r="DP298" s="7" t="s">
        <v>12</v>
      </c>
      <c r="DQ298" s="7" t="s">
        <v>12</v>
      </c>
      <c r="DR298" s="7" t="s">
        <v>12</v>
      </c>
      <c r="DS298" s="7" t="s">
        <v>12</v>
      </c>
      <c r="DT298" s="7" t="s">
        <v>12</v>
      </c>
      <c r="DU298" s="7" t="s">
        <v>12</v>
      </c>
      <c r="DV298" s="7" t="s">
        <v>12</v>
      </c>
      <c r="DW298" s="7" t="s">
        <v>12</v>
      </c>
      <c r="DY298" s="9">
        <v>1805200</v>
      </c>
      <c r="EI298" s="423" t="s">
        <v>12</v>
      </c>
      <c r="EJ298" s="423" t="s">
        <v>12</v>
      </c>
      <c r="EK298" s="423" t="s">
        <v>12</v>
      </c>
      <c r="EL298" s="423" t="s">
        <v>12</v>
      </c>
      <c r="EM298" s="423" t="s">
        <v>12</v>
      </c>
      <c r="EN298" s="423" t="s">
        <v>12</v>
      </c>
      <c r="EO298" s="423" t="s">
        <v>12</v>
      </c>
      <c r="EP298" s="423" t="s">
        <v>12</v>
      </c>
      <c r="EQ298" s="423" t="s">
        <v>12</v>
      </c>
      <c r="ER298" s="423" t="s">
        <v>12</v>
      </c>
      <c r="ES298" s="438" t="s">
        <v>12</v>
      </c>
      <c r="ET298" s="438" t="s">
        <v>12</v>
      </c>
      <c r="EU298" s="438" t="s">
        <v>12</v>
      </c>
      <c r="EV298" s="438" t="s">
        <v>12</v>
      </c>
      <c r="EW298" s="438" t="s">
        <v>12</v>
      </c>
      <c r="EX298" s="438" t="s">
        <v>12</v>
      </c>
      <c r="EY298" s="438" t="s">
        <v>12</v>
      </c>
      <c r="EZ298" s="438" t="s">
        <v>12</v>
      </c>
      <c r="FA298" s="438" t="s">
        <v>12</v>
      </c>
      <c r="FB298" s="438" t="s">
        <v>12</v>
      </c>
      <c r="FC298" s="346">
        <v>0</v>
      </c>
      <c r="FD298" s="346">
        <v>0</v>
      </c>
      <c r="FE298" s="346">
        <v>0</v>
      </c>
      <c r="FF298" s="346">
        <v>0</v>
      </c>
      <c r="FG298" s="346">
        <v>0</v>
      </c>
      <c r="FH298" s="346">
        <v>0</v>
      </c>
      <c r="FI298" s="346">
        <v>0</v>
      </c>
      <c r="FJ298" s="346">
        <v>0</v>
      </c>
      <c r="FK298" s="346">
        <v>0</v>
      </c>
      <c r="FL298" s="346">
        <v>0</v>
      </c>
    </row>
    <row r="299" spans="1:168" ht="30" x14ac:dyDescent="0.25">
      <c r="A299" s="14" t="s">
        <v>779</v>
      </c>
      <c r="B299" s="14"/>
      <c r="C299" s="14" t="s">
        <v>594</v>
      </c>
      <c r="D299" s="14" t="s">
        <v>595</v>
      </c>
      <c r="E299" s="14" t="s">
        <v>596</v>
      </c>
      <c r="F299" s="14" t="s">
        <v>597</v>
      </c>
      <c r="G299" s="14" t="s">
        <v>598</v>
      </c>
      <c r="H299" s="14" t="s">
        <v>599</v>
      </c>
      <c r="I299" s="14" t="s">
        <v>600</v>
      </c>
      <c r="J299" s="14" t="s">
        <v>601</v>
      </c>
      <c r="K299" s="14" t="s">
        <v>602</v>
      </c>
      <c r="L299" s="14" t="s">
        <v>603</v>
      </c>
      <c r="N299">
        <v>84</v>
      </c>
      <c r="O299" t="s">
        <v>109</v>
      </c>
      <c r="P299" t="s">
        <v>109</v>
      </c>
      <c r="Q299" t="s">
        <v>9</v>
      </c>
      <c r="R299" s="2" t="s">
        <v>12</v>
      </c>
      <c r="S299" s="2" t="s">
        <v>12</v>
      </c>
      <c r="T299" s="2" t="s">
        <v>12</v>
      </c>
      <c r="U299" s="2" t="s">
        <v>12</v>
      </c>
      <c r="V299" s="2" t="s">
        <v>12</v>
      </c>
      <c r="W299" s="2" t="s">
        <v>12</v>
      </c>
      <c r="X299" s="2" t="s">
        <v>12</v>
      </c>
      <c r="Y299" s="2" t="s">
        <v>12</v>
      </c>
      <c r="Z299" s="2" t="s">
        <v>12</v>
      </c>
      <c r="AA299" s="2" t="s">
        <v>12</v>
      </c>
      <c r="AB299" s="2" t="s">
        <v>12</v>
      </c>
      <c r="AC299" s="2" t="s">
        <v>12</v>
      </c>
      <c r="AD299" t="s">
        <v>12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t="s">
        <v>12</v>
      </c>
      <c r="AR299" t="s">
        <v>12</v>
      </c>
      <c r="AS299" t="s">
        <v>12</v>
      </c>
      <c r="AT299" t="s">
        <v>12</v>
      </c>
      <c r="AU299" t="s">
        <v>12</v>
      </c>
      <c r="AV299" t="s">
        <v>12</v>
      </c>
      <c r="AW299" t="s">
        <v>12</v>
      </c>
      <c r="AX299" t="s">
        <v>12</v>
      </c>
      <c r="AY299" t="s">
        <v>12</v>
      </c>
      <c r="AZ299" t="s">
        <v>12</v>
      </c>
      <c r="BA299" t="s">
        <v>12</v>
      </c>
      <c r="BB299" t="s">
        <v>12</v>
      </c>
      <c r="BC299" t="s">
        <v>12</v>
      </c>
      <c r="BD299" t="s">
        <v>12</v>
      </c>
      <c r="BF299" s="313" t="s">
        <v>11</v>
      </c>
      <c r="BG299" s="313" t="s">
        <v>11</v>
      </c>
      <c r="BH299" t="s">
        <v>12</v>
      </c>
      <c r="BI299" t="s">
        <v>12</v>
      </c>
      <c r="BJ299" t="s">
        <v>12</v>
      </c>
      <c r="BK299" t="s">
        <v>12</v>
      </c>
      <c r="BL299" t="s">
        <v>12</v>
      </c>
      <c r="BM299" t="s">
        <v>12</v>
      </c>
      <c r="BN299" t="s">
        <v>12</v>
      </c>
      <c r="BO299" t="s">
        <v>12</v>
      </c>
      <c r="BP299" t="s">
        <v>12</v>
      </c>
      <c r="BQ299" t="s">
        <v>12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 s="9" t="s">
        <v>12</v>
      </c>
      <c r="CF299" s="28" t="s">
        <v>12</v>
      </c>
      <c r="CG299" s="28" t="s">
        <v>12</v>
      </c>
      <c r="CH299" s="28" t="s">
        <v>12</v>
      </c>
      <c r="CI299" s="28" t="s">
        <v>12</v>
      </c>
      <c r="CJ299" s="28" t="s">
        <v>12</v>
      </c>
      <c r="CK299" s="28" t="s">
        <v>12</v>
      </c>
      <c r="CL299" s="28" t="s">
        <v>12</v>
      </c>
      <c r="CM299" s="28" t="s">
        <v>12</v>
      </c>
      <c r="CN299" s="28" t="s">
        <v>12</v>
      </c>
      <c r="CO299" s="28" t="s">
        <v>12</v>
      </c>
      <c r="CP299" s="28" t="s">
        <v>12</v>
      </c>
      <c r="CQ299" s="28" t="s">
        <v>12</v>
      </c>
      <c r="CR299" s="28" t="s">
        <v>12</v>
      </c>
      <c r="CS299" s="28" t="s">
        <v>12</v>
      </c>
      <c r="CT299" s="28" t="s">
        <v>12</v>
      </c>
      <c r="CU299" s="28" t="s">
        <v>12</v>
      </c>
      <c r="CV299" s="28" t="s">
        <v>12</v>
      </c>
      <c r="CW299" s="28" t="s">
        <v>12</v>
      </c>
      <c r="CX299" s="28" t="s">
        <v>12</v>
      </c>
      <c r="CY299" s="28" t="s">
        <v>12</v>
      </c>
      <c r="CZ299" s="28" t="s">
        <v>12</v>
      </c>
      <c r="DA299" s="28" t="s">
        <v>12</v>
      </c>
      <c r="DB299" s="313">
        <v>84</v>
      </c>
      <c r="DC299" s="313" t="s">
        <v>109</v>
      </c>
      <c r="DD299" s="386" t="s">
        <v>12</v>
      </c>
      <c r="DE299" s="386" t="s">
        <v>12</v>
      </c>
      <c r="DF299" s="386" t="s">
        <v>12</v>
      </c>
      <c r="DG299" s="386" t="s">
        <v>12</v>
      </c>
      <c r="DH299" s="386" t="s">
        <v>12</v>
      </c>
      <c r="DI299" s="386" t="s">
        <v>12</v>
      </c>
      <c r="DJ299" s="386" t="s">
        <v>12</v>
      </c>
      <c r="DK299" s="386" t="s">
        <v>12</v>
      </c>
      <c r="DL299" s="386" t="s">
        <v>12</v>
      </c>
      <c r="DM299" s="386" t="s">
        <v>12</v>
      </c>
      <c r="DN299" s="7" t="s">
        <v>12</v>
      </c>
      <c r="DO299" s="7" t="s">
        <v>12</v>
      </c>
      <c r="DP299" s="7" t="s">
        <v>12</v>
      </c>
      <c r="DQ299" s="7" t="s">
        <v>12</v>
      </c>
      <c r="DR299" s="7" t="s">
        <v>12</v>
      </c>
      <c r="DS299" s="7" t="s">
        <v>12</v>
      </c>
      <c r="DT299" s="7" t="s">
        <v>12</v>
      </c>
      <c r="DU299" s="7" t="s">
        <v>12</v>
      </c>
      <c r="DV299" s="7" t="s">
        <v>12</v>
      </c>
      <c r="DW299" s="7" t="s">
        <v>12</v>
      </c>
      <c r="DY299" s="9">
        <v>3419581</v>
      </c>
      <c r="EI299" s="423" t="s">
        <v>12</v>
      </c>
      <c r="EJ299" s="423" t="s">
        <v>12</v>
      </c>
      <c r="EK299" s="423" t="s">
        <v>12</v>
      </c>
      <c r="EL299" s="423" t="s">
        <v>12</v>
      </c>
      <c r="EM299" s="423" t="s">
        <v>12</v>
      </c>
      <c r="EN299" s="423" t="s">
        <v>12</v>
      </c>
      <c r="EO299" s="423" t="s">
        <v>12</v>
      </c>
      <c r="EP299" s="423" t="s">
        <v>12</v>
      </c>
      <c r="EQ299" s="423" t="s">
        <v>12</v>
      </c>
      <c r="ER299" s="423" t="s">
        <v>12</v>
      </c>
      <c r="ES299" s="438" t="s">
        <v>12</v>
      </c>
      <c r="ET299" s="438" t="s">
        <v>12</v>
      </c>
      <c r="EU299" s="438" t="s">
        <v>12</v>
      </c>
      <c r="EV299" s="438" t="s">
        <v>12</v>
      </c>
      <c r="EW299" s="438" t="s">
        <v>12</v>
      </c>
      <c r="EX299" s="438" t="s">
        <v>12</v>
      </c>
      <c r="EY299" s="438" t="s">
        <v>12</v>
      </c>
      <c r="EZ299" s="438" t="s">
        <v>12</v>
      </c>
      <c r="FA299" s="438" t="s">
        <v>12</v>
      </c>
      <c r="FB299" s="438" t="s">
        <v>12</v>
      </c>
      <c r="FC299" s="346">
        <v>0</v>
      </c>
      <c r="FD299" s="346">
        <v>0</v>
      </c>
      <c r="FE299" s="346">
        <v>0</v>
      </c>
      <c r="FF299" s="346">
        <v>0</v>
      </c>
      <c r="FG299" s="346">
        <v>0</v>
      </c>
      <c r="FH299" s="346">
        <v>0</v>
      </c>
      <c r="FI299" s="346">
        <v>0</v>
      </c>
      <c r="FJ299" s="346">
        <v>0</v>
      </c>
      <c r="FK299" s="346">
        <v>0</v>
      </c>
      <c r="FL299" s="346">
        <v>0</v>
      </c>
    </row>
    <row r="300" spans="1:168" x14ac:dyDescent="0.25">
      <c r="A300" s="238">
        <v>1</v>
      </c>
      <c r="B300" s="238" t="s">
        <v>761</v>
      </c>
      <c r="C300" s="244">
        <v>2546750.3831547895</v>
      </c>
      <c r="D300" s="244">
        <v>2435826</v>
      </c>
      <c r="E300" s="244">
        <v>2053320.5943339372</v>
      </c>
      <c r="F300" s="244">
        <v>8692541</v>
      </c>
      <c r="G300" s="244">
        <v>4824346</v>
      </c>
      <c r="H300" s="244">
        <v>2274442.6299564466</v>
      </c>
      <c r="I300" s="244" t="s">
        <v>11</v>
      </c>
      <c r="J300" s="244" t="s">
        <v>11</v>
      </c>
      <c r="K300" s="244" t="s">
        <v>11</v>
      </c>
      <c r="L300" s="244" t="s">
        <v>11</v>
      </c>
      <c r="N300">
        <v>85</v>
      </c>
      <c r="O300" t="s">
        <v>110</v>
      </c>
      <c r="P300" t="s">
        <v>110</v>
      </c>
      <c r="Q300" t="s">
        <v>25</v>
      </c>
      <c r="R300" s="2" t="s">
        <v>12</v>
      </c>
      <c r="S300" s="2" t="s">
        <v>12</v>
      </c>
      <c r="T300" s="2" t="s">
        <v>12</v>
      </c>
      <c r="U300" s="2" t="s">
        <v>12</v>
      </c>
      <c r="V300" s="2" t="s">
        <v>12</v>
      </c>
      <c r="W300" s="2" t="s">
        <v>12</v>
      </c>
      <c r="X300" s="2" t="s">
        <v>12</v>
      </c>
      <c r="Y300" s="2" t="s">
        <v>12</v>
      </c>
      <c r="Z300" s="2" t="s">
        <v>12</v>
      </c>
      <c r="AA300" s="2" t="s">
        <v>12</v>
      </c>
      <c r="AB300" s="2" t="s">
        <v>12</v>
      </c>
      <c r="AC300" s="2" t="s">
        <v>12</v>
      </c>
      <c r="AD300" t="s">
        <v>12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t="s">
        <v>12</v>
      </c>
      <c r="AR300" t="s">
        <v>12</v>
      </c>
      <c r="AS300" t="s">
        <v>12</v>
      </c>
      <c r="AT300" t="s">
        <v>12</v>
      </c>
      <c r="AU300" t="s">
        <v>12</v>
      </c>
      <c r="AV300" t="s">
        <v>12</v>
      </c>
      <c r="AW300" t="s">
        <v>12</v>
      </c>
      <c r="AX300" t="s">
        <v>12</v>
      </c>
      <c r="AY300" t="s">
        <v>12</v>
      </c>
      <c r="AZ300" t="s">
        <v>12</v>
      </c>
      <c r="BA300" t="s">
        <v>12</v>
      </c>
      <c r="BB300" t="s">
        <v>12</v>
      </c>
      <c r="BC300" t="s">
        <v>12</v>
      </c>
      <c r="BD300" t="s">
        <v>12</v>
      </c>
      <c r="BF300" s="313" t="s">
        <v>11</v>
      </c>
      <c r="BG300" s="313" t="s">
        <v>11</v>
      </c>
      <c r="BH300" t="s">
        <v>12</v>
      </c>
      <c r="BI300" t="s">
        <v>12</v>
      </c>
      <c r="BJ300" t="s">
        <v>12</v>
      </c>
      <c r="BK300" t="s">
        <v>12</v>
      </c>
      <c r="BL300" t="s">
        <v>12</v>
      </c>
      <c r="BM300" t="s">
        <v>12</v>
      </c>
      <c r="BN300" t="s">
        <v>12</v>
      </c>
      <c r="BO300" t="s">
        <v>12</v>
      </c>
      <c r="BP300" t="s">
        <v>12</v>
      </c>
      <c r="BQ300" t="s">
        <v>12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 s="9" t="s">
        <v>12</v>
      </c>
      <c r="CF300" s="28" t="s">
        <v>12</v>
      </c>
      <c r="CG300" s="28" t="s">
        <v>12</v>
      </c>
      <c r="CH300" s="28" t="s">
        <v>12</v>
      </c>
      <c r="CI300" s="28" t="s">
        <v>12</v>
      </c>
      <c r="CJ300" s="28" t="s">
        <v>12</v>
      </c>
      <c r="CK300" s="28" t="s">
        <v>12</v>
      </c>
      <c r="CL300" s="28" t="s">
        <v>12</v>
      </c>
      <c r="CM300" s="28" t="s">
        <v>12</v>
      </c>
      <c r="CN300" s="28" t="s">
        <v>12</v>
      </c>
      <c r="CO300" s="28" t="s">
        <v>12</v>
      </c>
      <c r="CP300" s="28" t="s">
        <v>12</v>
      </c>
      <c r="CQ300" s="28" t="s">
        <v>12</v>
      </c>
      <c r="CR300" s="28" t="s">
        <v>12</v>
      </c>
      <c r="CS300" s="28" t="s">
        <v>12</v>
      </c>
      <c r="CT300" s="28" t="s">
        <v>12</v>
      </c>
      <c r="CU300" s="28" t="s">
        <v>12</v>
      </c>
      <c r="CV300" s="28" t="s">
        <v>12</v>
      </c>
      <c r="CW300" s="28" t="s">
        <v>12</v>
      </c>
      <c r="CX300" s="28" t="s">
        <v>12</v>
      </c>
      <c r="CY300" s="28" t="s">
        <v>12</v>
      </c>
      <c r="CZ300" s="28" t="s">
        <v>12</v>
      </c>
      <c r="DA300" s="28" t="s">
        <v>12</v>
      </c>
      <c r="DB300" s="313">
        <v>85</v>
      </c>
      <c r="DC300" s="313" t="s">
        <v>110</v>
      </c>
      <c r="DD300" s="386" t="s">
        <v>12</v>
      </c>
      <c r="DE300" s="386" t="s">
        <v>12</v>
      </c>
      <c r="DF300" s="386" t="s">
        <v>12</v>
      </c>
      <c r="DG300" s="386" t="s">
        <v>12</v>
      </c>
      <c r="DH300" s="386" t="s">
        <v>12</v>
      </c>
      <c r="DI300" s="386" t="s">
        <v>12</v>
      </c>
      <c r="DJ300" s="386" t="s">
        <v>12</v>
      </c>
      <c r="DK300" s="386" t="s">
        <v>12</v>
      </c>
      <c r="DL300" s="386" t="s">
        <v>12</v>
      </c>
      <c r="DM300" s="386" t="s">
        <v>12</v>
      </c>
      <c r="DN300" s="7" t="s">
        <v>12</v>
      </c>
      <c r="DO300" s="7" t="s">
        <v>12</v>
      </c>
      <c r="DP300" s="7" t="s">
        <v>12</v>
      </c>
      <c r="DQ300" s="7" t="s">
        <v>12</v>
      </c>
      <c r="DR300" s="7" t="s">
        <v>12</v>
      </c>
      <c r="DS300" s="7" t="s">
        <v>12</v>
      </c>
      <c r="DT300" s="7" t="s">
        <v>12</v>
      </c>
      <c r="DU300" s="7" t="s">
        <v>12</v>
      </c>
      <c r="DV300" s="7" t="s">
        <v>12</v>
      </c>
      <c r="DW300" s="7" t="s">
        <v>12</v>
      </c>
      <c r="DY300" s="9">
        <v>6473050</v>
      </c>
      <c r="EI300" s="423" t="s">
        <v>12</v>
      </c>
      <c r="EJ300" s="423" t="s">
        <v>12</v>
      </c>
      <c r="EK300" s="423" t="s">
        <v>12</v>
      </c>
      <c r="EL300" s="423" t="s">
        <v>12</v>
      </c>
      <c r="EM300" s="423" t="s">
        <v>12</v>
      </c>
      <c r="EN300" s="423" t="s">
        <v>12</v>
      </c>
      <c r="EO300" s="423" t="s">
        <v>12</v>
      </c>
      <c r="EP300" s="423" t="s">
        <v>12</v>
      </c>
      <c r="EQ300" s="423" t="s">
        <v>12</v>
      </c>
      <c r="ER300" s="423" t="s">
        <v>12</v>
      </c>
      <c r="ES300" s="438" t="s">
        <v>12</v>
      </c>
      <c r="ET300" s="438" t="s">
        <v>12</v>
      </c>
      <c r="EU300" s="438" t="s">
        <v>12</v>
      </c>
      <c r="EV300" s="438" t="s">
        <v>12</v>
      </c>
      <c r="EW300" s="438" t="s">
        <v>12</v>
      </c>
      <c r="EX300" s="438" t="s">
        <v>12</v>
      </c>
      <c r="EY300" s="438" t="s">
        <v>12</v>
      </c>
      <c r="EZ300" s="438" t="s">
        <v>12</v>
      </c>
      <c r="FA300" s="438" t="s">
        <v>12</v>
      </c>
      <c r="FB300" s="438" t="s">
        <v>12</v>
      </c>
      <c r="FC300" s="346">
        <v>0</v>
      </c>
      <c r="FD300" s="346">
        <v>0</v>
      </c>
      <c r="FE300" s="346">
        <v>0</v>
      </c>
      <c r="FF300" s="346">
        <v>0</v>
      </c>
      <c r="FG300" s="346">
        <v>0</v>
      </c>
      <c r="FH300" s="346">
        <v>0</v>
      </c>
      <c r="FI300" s="346">
        <v>0</v>
      </c>
      <c r="FJ300" s="346">
        <v>0</v>
      </c>
      <c r="FK300" s="346">
        <v>0</v>
      </c>
      <c r="FL300" s="346">
        <v>0</v>
      </c>
    </row>
    <row r="301" spans="1:168" x14ac:dyDescent="0.25">
      <c r="A301" s="238">
        <v>2</v>
      </c>
      <c r="B301" s="238" t="s">
        <v>763</v>
      </c>
      <c r="C301" s="244">
        <v>82337</v>
      </c>
      <c r="D301" s="244">
        <v>868708</v>
      </c>
      <c r="E301" s="244">
        <v>6984322</v>
      </c>
      <c r="F301" s="244">
        <v>363010</v>
      </c>
      <c r="G301" s="244">
        <v>705200</v>
      </c>
      <c r="H301" s="244">
        <v>884654</v>
      </c>
      <c r="I301" s="244" t="s">
        <v>11</v>
      </c>
      <c r="J301" s="244" t="s">
        <v>11</v>
      </c>
      <c r="K301" s="244" t="s">
        <v>11</v>
      </c>
      <c r="L301" s="244" t="s">
        <v>11</v>
      </c>
      <c r="N301">
        <v>86</v>
      </c>
      <c r="O301" t="s">
        <v>111</v>
      </c>
      <c r="P301" t="s">
        <v>111</v>
      </c>
      <c r="Q301" t="s">
        <v>23</v>
      </c>
      <c r="R301" s="2" t="s">
        <v>12</v>
      </c>
      <c r="S301" s="2" t="s">
        <v>12</v>
      </c>
      <c r="T301" s="2" t="s">
        <v>12</v>
      </c>
      <c r="U301" s="2" t="s">
        <v>12</v>
      </c>
      <c r="V301" s="2" t="s">
        <v>12</v>
      </c>
      <c r="W301" s="2" t="s">
        <v>12</v>
      </c>
      <c r="X301" s="2" t="s">
        <v>12</v>
      </c>
      <c r="Y301" s="2" t="s">
        <v>12</v>
      </c>
      <c r="Z301" s="2" t="s">
        <v>12</v>
      </c>
      <c r="AA301" s="2" t="s">
        <v>12</v>
      </c>
      <c r="AB301" s="2" t="s">
        <v>12</v>
      </c>
      <c r="AC301" s="2" t="s">
        <v>12</v>
      </c>
      <c r="AD301" t="s">
        <v>12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t="s">
        <v>12</v>
      </c>
      <c r="AR301" t="s">
        <v>12</v>
      </c>
      <c r="AS301" t="s">
        <v>12</v>
      </c>
      <c r="AT301" t="s">
        <v>12</v>
      </c>
      <c r="AU301" t="s">
        <v>12</v>
      </c>
      <c r="AV301" t="s">
        <v>12</v>
      </c>
      <c r="AW301" t="s">
        <v>12</v>
      </c>
      <c r="AX301" t="s">
        <v>12</v>
      </c>
      <c r="AY301" t="s">
        <v>12</v>
      </c>
      <c r="AZ301" t="s">
        <v>12</v>
      </c>
      <c r="BA301" t="s">
        <v>12</v>
      </c>
      <c r="BB301" t="s">
        <v>12</v>
      </c>
      <c r="BC301" t="s">
        <v>12</v>
      </c>
      <c r="BD301" t="s">
        <v>12</v>
      </c>
      <c r="BF301" s="313" t="s">
        <v>11</v>
      </c>
      <c r="BG301" s="313" t="s">
        <v>11</v>
      </c>
      <c r="BH301" t="s">
        <v>12</v>
      </c>
      <c r="BI301" t="s">
        <v>12</v>
      </c>
      <c r="BJ301" t="s">
        <v>12</v>
      </c>
      <c r="BK301" t="s">
        <v>12</v>
      </c>
      <c r="BL301" t="s">
        <v>12</v>
      </c>
      <c r="BM301" t="s">
        <v>12</v>
      </c>
      <c r="BN301" t="s">
        <v>12</v>
      </c>
      <c r="BO301" t="s">
        <v>12</v>
      </c>
      <c r="BP301" t="s">
        <v>12</v>
      </c>
      <c r="BQ301" t="s">
        <v>12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 s="9" t="s">
        <v>12</v>
      </c>
      <c r="CF301" s="28" t="s">
        <v>12</v>
      </c>
      <c r="CG301" s="28" t="s">
        <v>12</v>
      </c>
      <c r="CH301" s="28" t="s">
        <v>12</v>
      </c>
      <c r="CI301" s="28" t="s">
        <v>12</v>
      </c>
      <c r="CJ301" s="28" t="s">
        <v>12</v>
      </c>
      <c r="CK301" s="28" t="s">
        <v>12</v>
      </c>
      <c r="CL301" s="28" t="s">
        <v>12</v>
      </c>
      <c r="CM301" s="28" t="s">
        <v>12</v>
      </c>
      <c r="CN301" s="28" t="s">
        <v>12</v>
      </c>
      <c r="CO301" s="28" t="s">
        <v>12</v>
      </c>
      <c r="CP301" s="28" t="s">
        <v>12</v>
      </c>
      <c r="CQ301" s="28" t="s">
        <v>12</v>
      </c>
      <c r="CR301" s="28" t="s">
        <v>12</v>
      </c>
      <c r="CS301" s="28" t="s">
        <v>12</v>
      </c>
      <c r="CT301" s="28" t="s">
        <v>12</v>
      </c>
      <c r="CU301" s="28" t="s">
        <v>12</v>
      </c>
      <c r="CV301" s="28" t="s">
        <v>12</v>
      </c>
      <c r="CW301" s="28" t="s">
        <v>12</v>
      </c>
      <c r="CX301" s="28" t="s">
        <v>12</v>
      </c>
      <c r="CY301" s="28" t="s">
        <v>12</v>
      </c>
      <c r="CZ301" s="28" t="s">
        <v>12</v>
      </c>
      <c r="DA301" s="28" t="s">
        <v>12</v>
      </c>
      <c r="DB301" s="313">
        <v>86</v>
      </c>
      <c r="DC301" s="313" t="s">
        <v>111</v>
      </c>
      <c r="DD301" s="386" t="s">
        <v>12</v>
      </c>
      <c r="DE301" s="386" t="s">
        <v>12</v>
      </c>
      <c r="DF301" s="386" t="s">
        <v>12</v>
      </c>
      <c r="DG301" s="386" t="s">
        <v>12</v>
      </c>
      <c r="DH301" s="386" t="s">
        <v>12</v>
      </c>
      <c r="DI301" s="386" t="s">
        <v>12</v>
      </c>
      <c r="DJ301" s="386" t="s">
        <v>12</v>
      </c>
      <c r="DK301" s="386" t="s">
        <v>12</v>
      </c>
      <c r="DL301" s="386" t="s">
        <v>12</v>
      </c>
      <c r="DM301" s="386" t="s">
        <v>12</v>
      </c>
      <c r="DN301" s="7" t="s">
        <v>12</v>
      </c>
      <c r="DO301" s="7" t="s">
        <v>12</v>
      </c>
      <c r="DP301" s="7" t="s">
        <v>12</v>
      </c>
      <c r="DQ301" s="7" t="s">
        <v>12</v>
      </c>
      <c r="DR301" s="7" t="s">
        <v>12</v>
      </c>
      <c r="DS301" s="7" t="s">
        <v>12</v>
      </c>
      <c r="DT301" s="7" t="s">
        <v>12</v>
      </c>
      <c r="DU301" s="7" t="s">
        <v>12</v>
      </c>
      <c r="DV301" s="7" t="s">
        <v>12</v>
      </c>
      <c r="DW301" s="7" t="s">
        <v>12</v>
      </c>
      <c r="DY301" s="9">
        <v>2034319</v>
      </c>
      <c r="EI301" s="423" t="s">
        <v>12</v>
      </c>
      <c r="EJ301" s="423" t="s">
        <v>12</v>
      </c>
      <c r="EK301" s="423" t="s">
        <v>12</v>
      </c>
      <c r="EL301" s="423" t="s">
        <v>12</v>
      </c>
      <c r="EM301" s="423" t="s">
        <v>12</v>
      </c>
      <c r="EN301" s="423" t="s">
        <v>12</v>
      </c>
      <c r="EO301" s="423" t="s">
        <v>12</v>
      </c>
      <c r="EP301" s="423" t="s">
        <v>12</v>
      </c>
      <c r="EQ301" s="423" t="s">
        <v>12</v>
      </c>
      <c r="ER301" s="423" t="s">
        <v>12</v>
      </c>
      <c r="ES301" s="438" t="s">
        <v>12</v>
      </c>
      <c r="ET301" s="438" t="s">
        <v>12</v>
      </c>
      <c r="EU301" s="438" t="s">
        <v>12</v>
      </c>
      <c r="EV301" s="438" t="s">
        <v>12</v>
      </c>
      <c r="EW301" s="438" t="s">
        <v>12</v>
      </c>
      <c r="EX301" s="438" t="s">
        <v>12</v>
      </c>
      <c r="EY301" s="438" t="s">
        <v>12</v>
      </c>
      <c r="EZ301" s="438" t="s">
        <v>12</v>
      </c>
      <c r="FA301" s="438" t="s">
        <v>12</v>
      </c>
      <c r="FB301" s="438" t="s">
        <v>12</v>
      </c>
      <c r="FC301" s="346">
        <v>0</v>
      </c>
      <c r="FD301" s="346">
        <v>0</v>
      </c>
      <c r="FE301" s="346">
        <v>0</v>
      </c>
      <c r="FF301" s="346">
        <v>0</v>
      </c>
      <c r="FG301" s="346">
        <v>0</v>
      </c>
      <c r="FH301" s="346">
        <v>0</v>
      </c>
      <c r="FI301" s="346">
        <v>0</v>
      </c>
      <c r="FJ301" s="346">
        <v>0</v>
      </c>
      <c r="FK301" s="346">
        <v>0</v>
      </c>
      <c r="FL301" s="346">
        <v>0</v>
      </c>
    </row>
    <row r="302" spans="1:168" x14ac:dyDescent="0.25">
      <c r="A302" s="238">
        <v>3</v>
      </c>
      <c r="B302" s="238" t="s">
        <v>764</v>
      </c>
      <c r="C302" s="244" t="s">
        <v>11</v>
      </c>
      <c r="D302" s="244" t="s">
        <v>11</v>
      </c>
      <c r="E302" s="244" t="s">
        <v>11</v>
      </c>
      <c r="F302" s="244" t="s">
        <v>11</v>
      </c>
      <c r="G302" s="244" t="s">
        <v>11</v>
      </c>
      <c r="H302" s="244" t="s">
        <v>11</v>
      </c>
      <c r="I302" s="244" t="s">
        <v>11</v>
      </c>
      <c r="J302" s="244" t="s">
        <v>11</v>
      </c>
      <c r="K302" s="244" t="s">
        <v>11</v>
      </c>
      <c r="L302" s="244" t="s">
        <v>11</v>
      </c>
      <c r="N302">
        <v>87</v>
      </c>
      <c r="O302" t="s">
        <v>112</v>
      </c>
      <c r="P302" t="s">
        <v>112</v>
      </c>
      <c r="Q302" t="s">
        <v>9</v>
      </c>
      <c r="R302" s="2" t="s">
        <v>12</v>
      </c>
      <c r="S302" s="2" t="s">
        <v>12</v>
      </c>
      <c r="T302" s="2" t="s">
        <v>12</v>
      </c>
      <c r="U302" s="2" t="s">
        <v>12</v>
      </c>
      <c r="V302" s="2" t="s">
        <v>12</v>
      </c>
      <c r="W302" s="2" t="s">
        <v>12</v>
      </c>
      <c r="X302" s="2" t="s">
        <v>12</v>
      </c>
      <c r="Y302" s="2" t="s">
        <v>12</v>
      </c>
      <c r="Z302" s="2" t="s">
        <v>12</v>
      </c>
      <c r="AA302" s="2" t="s">
        <v>12</v>
      </c>
      <c r="AB302" s="2" t="s">
        <v>12</v>
      </c>
      <c r="AC302" s="2" t="s">
        <v>12</v>
      </c>
      <c r="AD302" t="s">
        <v>12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t="s">
        <v>12</v>
      </c>
      <c r="AR302" t="s">
        <v>12</v>
      </c>
      <c r="AS302" t="s">
        <v>12</v>
      </c>
      <c r="AT302" t="s">
        <v>12</v>
      </c>
      <c r="AU302" t="s">
        <v>12</v>
      </c>
      <c r="AV302" t="s">
        <v>12</v>
      </c>
      <c r="AW302" t="s">
        <v>12</v>
      </c>
      <c r="AX302" t="s">
        <v>12</v>
      </c>
      <c r="AY302" t="s">
        <v>12</v>
      </c>
      <c r="AZ302" t="s">
        <v>12</v>
      </c>
      <c r="BA302" t="s">
        <v>12</v>
      </c>
      <c r="BB302" t="s">
        <v>12</v>
      </c>
      <c r="BC302" t="s">
        <v>12</v>
      </c>
      <c r="BD302" t="s">
        <v>12</v>
      </c>
      <c r="BF302" s="313" t="s">
        <v>11</v>
      </c>
      <c r="BG302" s="313" t="s">
        <v>11</v>
      </c>
      <c r="BH302" t="s">
        <v>12</v>
      </c>
      <c r="BI302" t="s">
        <v>12</v>
      </c>
      <c r="BJ302" t="s">
        <v>12</v>
      </c>
      <c r="BK302" t="s">
        <v>12</v>
      </c>
      <c r="BL302" t="s">
        <v>12</v>
      </c>
      <c r="BM302" t="s">
        <v>12</v>
      </c>
      <c r="BN302" t="s">
        <v>12</v>
      </c>
      <c r="BO302" t="s">
        <v>12</v>
      </c>
      <c r="BP302" t="s">
        <v>12</v>
      </c>
      <c r="BQ302" t="s">
        <v>12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 s="9" t="s">
        <v>12</v>
      </c>
      <c r="CF302" s="28" t="s">
        <v>12</v>
      </c>
      <c r="CG302" s="28" t="s">
        <v>12</v>
      </c>
      <c r="CH302" s="28" t="s">
        <v>12</v>
      </c>
      <c r="CI302" s="28" t="s">
        <v>12</v>
      </c>
      <c r="CJ302" s="28" t="s">
        <v>12</v>
      </c>
      <c r="CK302" s="28" t="s">
        <v>12</v>
      </c>
      <c r="CL302" s="28" t="s">
        <v>12</v>
      </c>
      <c r="CM302" s="28" t="s">
        <v>12</v>
      </c>
      <c r="CN302" s="28" t="s">
        <v>12</v>
      </c>
      <c r="CO302" s="28" t="s">
        <v>12</v>
      </c>
      <c r="CP302" s="28" t="s">
        <v>12</v>
      </c>
      <c r="CQ302" s="28" t="s">
        <v>12</v>
      </c>
      <c r="CR302" s="28" t="s">
        <v>12</v>
      </c>
      <c r="CS302" s="28" t="s">
        <v>12</v>
      </c>
      <c r="CT302" s="28" t="s">
        <v>12</v>
      </c>
      <c r="CU302" s="28" t="s">
        <v>12</v>
      </c>
      <c r="CV302" s="28" t="s">
        <v>12</v>
      </c>
      <c r="CW302" s="28" t="s">
        <v>12</v>
      </c>
      <c r="CX302" s="28" t="s">
        <v>12</v>
      </c>
      <c r="CY302" s="28" t="s">
        <v>12</v>
      </c>
      <c r="CZ302" s="28" t="s">
        <v>12</v>
      </c>
      <c r="DA302" s="28" t="s">
        <v>12</v>
      </c>
      <c r="DB302" s="313">
        <v>87</v>
      </c>
      <c r="DC302" s="313" t="s">
        <v>112</v>
      </c>
      <c r="DD302" s="386" t="s">
        <v>12</v>
      </c>
      <c r="DE302" s="386" t="s">
        <v>12</v>
      </c>
      <c r="DF302" s="386" t="s">
        <v>12</v>
      </c>
      <c r="DG302" s="386" t="s">
        <v>12</v>
      </c>
      <c r="DH302" s="386" t="s">
        <v>12</v>
      </c>
      <c r="DI302" s="386" t="s">
        <v>12</v>
      </c>
      <c r="DJ302" s="386" t="s">
        <v>12</v>
      </c>
      <c r="DK302" s="386" t="s">
        <v>12</v>
      </c>
      <c r="DL302" s="386" t="s">
        <v>12</v>
      </c>
      <c r="DM302" s="386" t="s">
        <v>12</v>
      </c>
      <c r="DN302" s="7" t="s">
        <v>12</v>
      </c>
      <c r="DO302" s="7" t="s">
        <v>12</v>
      </c>
      <c r="DP302" s="7" t="s">
        <v>12</v>
      </c>
      <c r="DQ302" s="7" t="s">
        <v>12</v>
      </c>
      <c r="DR302" s="7" t="s">
        <v>12</v>
      </c>
      <c r="DS302" s="7" t="s">
        <v>12</v>
      </c>
      <c r="DT302" s="7" t="s">
        <v>12</v>
      </c>
      <c r="DU302" s="7" t="s">
        <v>12</v>
      </c>
      <c r="DV302" s="7" t="s">
        <v>12</v>
      </c>
      <c r="DW302" s="7" t="s">
        <v>12</v>
      </c>
      <c r="DY302" s="9">
        <v>4924257</v>
      </c>
      <c r="EI302" s="423" t="s">
        <v>12</v>
      </c>
      <c r="EJ302" s="423" t="s">
        <v>12</v>
      </c>
      <c r="EK302" s="423" t="s">
        <v>12</v>
      </c>
      <c r="EL302" s="423" t="s">
        <v>12</v>
      </c>
      <c r="EM302" s="423" t="s">
        <v>12</v>
      </c>
      <c r="EN302" s="423" t="s">
        <v>12</v>
      </c>
      <c r="EO302" s="423" t="s">
        <v>12</v>
      </c>
      <c r="EP302" s="423" t="s">
        <v>12</v>
      </c>
      <c r="EQ302" s="423" t="s">
        <v>12</v>
      </c>
      <c r="ER302" s="423" t="s">
        <v>12</v>
      </c>
      <c r="ES302" s="438" t="s">
        <v>12</v>
      </c>
      <c r="ET302" s="438" t="s">
        <v>12</v>
      </c>
      <c r="EU302" s="438" t="s">
        <v>12</v>
      </c>
      <c r="EV302" s="438" t="s">
        <v>12</v>
      </c>
      <c r="EW302" s="438" t="s">
        <v>12</v>
      </c>
      <c r="EX302" s="438" t="s">
        <v>12</v>
      </c>
      <c r="EY302" s="438" t="s">
        <v>12</v>
      </c>
      <c r="EZ302" s="438" t="s">
        <v>12</v>
      </c>
      <c r="FA302" s="438" t="s">
        <v>12</v>
      </c>
      <c r="FB302" s="438" t="s">
        <v>12</v>
      </c>
      <c r="FC302" s="346">
        <v>0</v>
      </c>
      <c r="FD302" s="346">
        <v>0</v>
      </c>
      <c r="FE302" s="346">
        <v>0</v>
      </c>
      <c r="FF302" s="346">
        <v>0</v>
      </c>
      <c r="FG302" s="346">
        <v>0</v>
      </c>
      <c r="FH302" s="346">
        <v>0</v>
      </c>
      <c r="FI302" s="346">
        <v>0</v>
      </c>
      <c r="FJ302" s="346">
        <v>0</v>
      </c>
      <c r="FK302" s="346">
        <v>0</v>
      </c>
      <c r="FL302" s="346">
        <v>0</v>
      </c>
    </row>
    <row r="303" spans="1:168" x14ac:dyDescent="0.25">
      <c r="A303" s="238">
        <v>4</v>
      </c>
      <c r="B303" s="238" t="s">
        <v>765</v>
      </c>
      <c r="C303" s="244" t="s">
        <v>11</v>
      </c>
      <c r="D303" s="244" t="s">
        <v>11</v>
      </c>
      <c r="E303" s="244" t="s">
        <v>11</v>
      </c>
      <c r="F303" s="244" t="s">
        <v>11</v>
      </c>
      <c r="G303" s="244" t="s">
        <v>11</v>
      </c>
      <c r="H303" s="244" t="s">
        <v>11</v>
      </c>
      <c r="I303" s="244" t="s">
        <v>11</v>
      </c>
      <c r="J303" s="244" t="s">
        <v>11</v>
      </c>
      <c r="K303" s="244" t="s">
        <v>11</v>
      </c>
      <c r="L303" s="244" t="s">
        <v>11</v>
      </c>
      <c r="N303">
        <v>88</v>
      </c>
      <c r="O303" t="s">
        <v>113</v>
      </c>
      <c r="P303" t="s">
        <v>113</v>
      </c>
      <c r="Q303" t="s">
        <v>14</v>
      </c>
      <c r="R303" s="2" t="s">
        <v>12</v>
      </c>
      <c r="S303" s="2" t="s">
        <v>12</v>
      </c>
      <c r="T303" s="2" t="s">
        <v>12</v>
      </c>
      <c r="U303" s="2" t="s">
        <v>12</v>
      </c>
      <c r="V303" s="2" t="s">
        <v>12</v>
      </c>
      <c r="W303" s="2" t="s">
        <v>12</v>
      </c>
      <c r="X303" s="2" t="s">
        <v>12</v>
      </c>
      <c r="Y303" s="2" t="s">
        <v>12</v>
      </c>
      <c r="Z303" s="2" t="s">
        <v>12</v>
      </c>
      <c r="AA303" s="2" t="s">
        <v>12</v>
      </c>
      <c r="AB303" s="2" t="s">
        <v>12</v>
      </c>
      <c r="AC303" s="2" t="s">
        <v>12</v>
      </c>
      <c r="AD303" t="s">
        <v>12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t="s">
        <v>12</v>
      </c>
      <c r="AR303" t="s">
        <v>12</v>
      </c>
      <c r="AS303" t="s">
        <v>12</v>
      </c>
      <c r="AT303" t="s">
        <v>12</v>
      </c>
      <c r="AU303" t="s">
        <v>12</v>
      </c>
      <c r="AV303" t="s">
        <v>12</v>
      </c>
      <c r="AW303" t="s">
        <v>12</v>
      </c>
      <c r="AX303" t="s">
        <v>12</v>
      </c>
      <c r="AY303" t="s">
        <v>12</v>
      </c>
      <c r="AZ303" t="s">
        <v>12</v>
      </c>
      <c r="BA303" t="s">
        <v>12</v>
      </c>
      <c r="BB303" t="s">
        <v>12</v>
      </c>
      <c r="BC303" t="s">
        <v>12</v>
      </c>
      <c r="BD303" t="s">
        <v>12</v>
      </c>
      <c r="BF303" s="313" t="s">
        <v>11</v>
      </c>
      <c r="BG303" s="313" t="s">
        <v>11</v>
      </c>
      <c r="BH303" t="s">
        <v>12</v>
      </c>
      <c r="BI303" t="s">
        <v>12</v>
      </c>
      <c r="BJ303" t="s">
        <v>12</v>
      </c>
      <c r="BK303" t="s">
        <v>12</v>
      </c>
      <c r="BL303" t="s">
        <v>12</v>
      </c>
      <c r="BM303" t="s">
        <v>12</v>
      </c>
      <c r="BN303" t="s">
        <v>12</v>
      </c>
      <c r="BO303" t="s">
        <v>12</v>
      </c>
      <c r="BP303" t="s">
        <v>12</v>
      </c>
      <c r="BQ303" t="s">
        <v>12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 s="9" t="s">
        <v>12</v>
      </c>
      <c r="CF303" s="28" t="s">
        <v>12</v>
      </c>
      <c r="CG303" s="28" t="s">
        <v>12</v>
      </c>
      <c r="CH303" s="28" t="s">
        <v>12</v>
      </c>
      <c r="CI303" s="28" t="s">
        <v>12</v>
      </c>
      <c r="CJ303" s="28" t="s">
        <v>12</v>
      </c>
      <c r="CK303" s="28" t="s">
        <v>12</v>
      </c>
      <c r="CL303" s="28" t="s">
        <v>12</v>
      </c>
      <c r="CM303" s="28" t="s">
        <v>12</v>
      </c>
      <c r="CN303" s="28" t="s">
        <v>12</v>
      </c>
      <c r="CO303" s="28" t="s">
        <v>12</v>
      </c>
      <c r="CP303" s="28" t="s">
        <v>12</v>
      </c>
      <c r="CQ303" s="28" t="s">
        <v>12</v>
      </c>
      <c r="CR303" s="28" t="s">
        <v>12</v>
      </c>
      <c r="CS303" s="28" t="s">
        <v>12</v>
      </c>
      <c r="CT303" s="28" t="s">
        <v>12</v>
      </c>
      <c r="CU303" s="28" t="s">
        <v>12</v>
      </c>
      <c r="CV303" s="28" t="s">
        <v>12</v>
      </c>
      <c r="CW303" s="28" t="s">
        <v>12</v>
      </c>
      <c r="CX303" s="28" t="s">
        <v>12</v>
      </c>
      <c r="CY303" s="28" t="s">
        <v>12</v>
      </c>
      <c r="CZ303" s="28" t="s">
        <v>12</v>
      </c>
      <c r="DA303" s="28" t="s">
        <v>12</v>
      </c>
      <c r="DB303" s="313">
        <v>88</v>
      </c>
      <c r="DC303" s="313" t="s">
        <v>113</v>
      </c>
      <c r="DD303" s="386" t="s">
        <v>12</v>
      </c>
      <c r="DE303" s="386" t="s">
        <v>12</v>
      </c>
      <c r="DF303" s="386" t="s">
        <v>12</v>
      </c>
      <c r="DG303" s="386" t="s">
        <v>12</v>
      </c>
      <c r="DH303" s="386" t="s">
        <v>12</v>
      </c>
      <c r="DI303" s="386" t="s">
        <v>12</v>
      </c>
      <c r="DJ303" s="386" t="s">
        <v>12</v>
      </c>
      <c r="DK303" s="386" t="s">
        <v>12</v>
      </c>
      <c r="DL303" s="386" t="s">
        <v>12</v>
      </c>
      <c r="DM303" s="386" t="s">
        <v>12</v>
      </c>
      <c r="DN303" s="7" t="s">
        <v>12</v>
      </c>
      <c r="DO303" s="7" t="s">
        <v>12</v>
      </c>
      <c r="DP303" s="7" t="s">
        <v>12</v>
      </c>
      <c r="DQ303" s="7" t="s">
        <v>12</v>
      </c>
      <c r="DR303" s="7" t="s">
        <v>12</v>
      </c>
      <c r="DS303" s="7" t="s">
        <v>12</v>
      </c>
      <c r="DT303" s="7" t="s">
        <v>12</v>
      </c>
      <c r="DU303" s="7" t="s">
        <v>12</v>
      </c>
      <c r="DV303" s="7" t="s">
        <v>12</v>
      </c>
      <c r="DW303" s="7" t="s">
        <v>12</v>
      </c>
      <c r="DY303" s="9">
        <v>2057331</v>
      </c>
      <c r="EI303" s="423" t="s">
        <v>12</v>
      </c>
      <c r="EJ303" s="423" t="s">
        <v>12</v>
      </c>
      <c r="EK303" s="423" t="s">
        <v>12</v>
      </c>
      <c r="EL303" s="423" t="s">
        <v>12</v>
      </c>
      <c r="EM303" s="423" t="s">
        <v>12</v>
      </c>
      <c r="EN303" s="423" t="s">
        <v>12</v>
      </c>
      <c r="EO303" s="423" t="s">
        <v>12</v>
      </c>
      <c r="EP303" s="423" t="s">
        <v>12</v>
      </c>
      <c r="EQ303" s="423" t="s">
        <v>12</v>
      </c>
      <c r="ER303" s="423" t="s">
        <v>12</v>
      </c>
      <c r="ES303" s="438" t="s">
        <v>12</v>
      </c>
      <c r="ET303" s="438" t="s">
        <v>12</v>
      </c>
      <c r="EU303" s="438" t="s">
        <v>12</v>
      </c>
      <c r="EV303" s="438" t="s">
        <v>12</v>
      </c>
      <c r="EW303" s="438" t="s">
        <v>12</v>
      </c>
      <c r="EX303" s="438" t="s">
        <v>12</v>
      </c>
      <c r="EY303" s="438" t="s">
        <v>12</v>
      </c>
      <c r="EZ303" s="438" t="s">
        <v>12</v>
      </c>
      <c r="FA303" s="438" t="s">
        <v>12</v>
      </c>
      <c r="FB303" s="438" t="s">
        <v>12</v>
      </c>
      <c r="FC303" s="346">
        <v>0</v>
      </c>
      <c r="FD303" s="346">
        <v>0</v>
      </c>
      <c r="FE303" s="346">
        <v>0</v>
      </c>
      <c r="FF303" s="346">
        <v>0</v>
      </c>
      <c r="FG303" s="346">
        <v>0</v>
      </c>
      <c r="FH303" s="346">
        <v>0</v>
      </c>
      <c r="FI303" s="346">
        <v>0</v>
      </c>
      <c r="FJ303" s="346">
        <v>0</v>
      </c>
      <c r="FK303" s="346">
        <v>0</v>
      </c>
      <c r="FL303" s="346">
        <v>0</v>
      </c>
    </row>
    <row r="304" spans="1:168" x14ac:dyDescent="0.25">
      <c r="A304" s="238">
        <v>5</v>
      </c>
      <c r="B304" s="238" t="s">
        <v>767</v>
      </c>
      <c r="C304" s="244" t="s">
        <v>11</v>
      </c>
      <c r="D304" s="244" t="s">
        <v>11</v>
      </c>
      <c r="E304" s="244" t="s">
        <v>11</v>
      </c>
      <c r="F304" s="244" t="s">
        <v>11</v>
      </c>
      <c r="G304" s="244" t="s">
        <v>11</v>
      </c>
      <c r="H304" s="244" t="s">
        <v>11</v>
      </c>
      <c r="I304" s="244" t="s">
        <v>11</v>
      </c>
      <c r="J304" s="244" t="s">
        <v>11</v>
      </c>
      <c r="K304" s="244" t="s">
        <v>11</v>
      </c>
      <c r="L304" s="244" t="s">
        <v>11</v>
      </c>
      <c r="N304">
        <v>89</v>
      </c>
      <c r="O304" t="s">
        <v>114</v>
      </c>
      <c r="P304" t="s">
        <v>114</v>
      </c>
      <c r="Q304" t="s">
        <v>14</v>
      </c>
      <c r="R304" s="2" t="s">
        <v>12</v>
      </c>
      <c r="S304" s="2" t="s">
        <v>12</v>
      </c>
      <c r="T304" s="2" t="s">
        <v>12</v>
      </c>
      <c r="U304" s="2" t="s">
        <v>12</v>
      </c>
      <c r="V304" s="2" t="s">
        <v>12</v>
      </c>
      <c r="W304" s="2" t="s">
        <v>12</v>
      </c>
      <c r="X304" s="2" t="s">
        <v>12</v>
      </c>
      <c r="Y304" s="2" t="s">
        <v>12</v>
      </c>
      <c r="Z304" s="2" t="s">
        <v>12</v>
      </c>
      <c r="AA304" s="2" t="s">
        <v>12</v>
      </c>
      <c r="AB304" s="2" t="s">
        <v>12</v>
      </c>
      <c r="AC304" s="2" t="s">
        <v>12</v>
      </c>
      <c r="AD304" t="s">
        <v>12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t="s">
        <v>12</v>
      </c>
      <c r="AR304" t="s">
        <v>12</v>
      </c>
      <c r="AS304" t="s">
        <v>12</v>
      </c>
      <c r="AT304" t="s">
        <v>12</v>
      </c>
      <c r="AU304" t="s">
        <v>12</v>
      </c>
      <c r="AV304" t="s">
        <v>12</v>
      </c>
      <c r="AW304" t="s">
        <v>12</v>
      </c>
      <c r="AX304" t="s">
        <v>12</v>
      </c>
      <c r="AY304" t="s">
        <v>12</v>
      </c>
      <c r="AZ304" t="s">
        <v>12</v>
      </c>
      <c r="BA304" t="s">
        <v>12</v>
      </c>
      <c r="BB304" t="s">
        <v>12</v>
      </c>
      <c r="BC304" t="s">
        <v>12</v>
      </c>
      <c r="BD304" t="s">
        <v>12</v>
      </c>
      <c r="BF304" s="313" t="s">
        <v>11</v>
      </c>
      <c r="BG304" s="313" t="s">
        <v>11</v>
      </c>
      <c r="BH304" t="s">
        <v>12</v>
      </c>
      <c r="BI304" t="s">
        <v>12</v>
      </c>
      <c r="BJ304" t="s">
        <v>12</v>
      </c>
      <c r="BK304" t="s">
        <v>12</v>
      </c>
      <c r="BL304" t="s">
        <v>12</v>
      </c>
      <c r="BM304" t="s">
        <v>12</v>
      </c>
      <c r="BN304" t="s">
        <v>12</v>
      </c>
      <c r="BO304" t="s">
        <v>12</v>
      </c>
      <c r="BP304" t="s">
        <v>12</v>
      </c>
      <c r="BQ304" t="s">
        <v>12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 s="9" t="s">
        <v>12</v>
      </c>
      <c r="CF304" s="28" t="s">
        <v>12</v>
      </c>
      <c r="CG304" s="28" t="s">
        <v>12</v>
      </c>
      <c r="CH304" s="28" t="s">
        <v>12</v>
      </c>
      <c r="CI304" s="28" t="s">
        <v>12</v>
      </c>
      <c r="CJ304" s="28" t="s">
        <v>12</v>
      </c>
      <c r="CK304" s="28" t="s">
        <v>12</v>
      </c>
      <c r="CL304" s="28" t="s">
        <v>12</v>
      </c>
      <c r="CM304" s="28" t="s">
        <v>12</v>
      </c>
      <c r="CN304" s="28" t="s">
        <v>12</v>
      </c>
      <c r="CO304" s="28" t="s">
        <v>12</v>
      </c>
      <c r="CP304" s="28" t="s">
        <v>12</v>
      </c>
      <c r="CQ304" s="28" t="s">
        <v>12</v>
      </c>
      <c r="CR304" s="28" t="s">
        <v>12</v>
      </c>
      <c r="CS304" s="28" t="s">
        <v>12</v>
      </c>
      <c r="CT304" s="28" t="s">
        <v>12</v>
      </c>
      <c r="CU304" s="28" t="s">
        <v>12</v>
      </c>
      <c r="CV304" s="28" t="s">
        <v>12</v>
      </c>
      <c r="CW304" s="28" t="s">
        <v>12</v>
      </c>
      <c r="CX304" s="28" t="s">
        <v>12</v>
      </c>
      <c r="CY304" s="28" t="s">
        <v>12</v>
      </c>
      <c r="CZ304" s="28" t="s">
        <v>12</v>
      </c>
      <c r="DA304" s="28" t="s">
        <v>12</v>
      </c>
      <c r="DB304" s="313">
        <v>89</v>
      </c>
      <c r="DC304" s="313" t="s">
        <v>114</v>
      </c>
      <c r="DD304" s="386" t="s">
        <v>12</v>
      </c>
      <c r="DE304" s="386" t="s">
        <v>12</v>
      </c>
      <c r="DF304" s="386" t="s">
        <v>12</v>
      </c>
      <c r="DG304" s="386" t="s">
        <v>12</v>
      </c>
      <c r="DH304" s="386" t="s">
        <v>12</v>
      </c>
      <c r="DI304" s="386" t="s">
        <v>12</v>
      </c>
      <c r="DJ304" s="386" t="s">
        <v>12</v>
      </c>
      <c r="DK304" s="386" t="s">
        <v>12</v>
      </c>
      <c r="DL304" s="386" t="s">
        <v>12</v>
      </c>
      <c r="DM304" s="386" t="s">
        <v>12</v>
      </c>
      <c r="DN304" s="7" t="s">
        <v>12</v>
      </c>
      <c r="DO304" s="7" t="s">
        <v>12</v>
      </c>
      <c r="DP304" s="7" t="s">
        <v>12</v>
      </c>
      <c r="DQ304" s="7" t="s">
        <v>12</v>
      </c>
      <c r="DR304" s="7" t="s">
        <v>12</v>
      </c>
      <c r="DS304" s="7" t="s">
        <v>12</v>
      </c>
      <c r="DT304" s="7" t="s">
        <v>12</v>
      </c>
      <c r="DU304" s="7" t="s">
        <v>12</v>
      </c>
      <c r="DV304" s="7" t="s">
        <v>12</v>
      </c>
      <c r="DW304" s="7" t="s">
        <v>12</v>
      </c>
      <c r="DY304" s="9">
        <v>4190155</v>
      </c>
      <c r="EI304" s="423" t="s">
        <v>12</v>
      </c>
      <c r="EJ304" s="423" t="s">
        <v>12</v>
      </c>
      <c r="EK304" s="423" t="s">
        <v>12</v>
      </c>
      <c r="EL304" s="423" t="s">
        <v>12</v>
      </c>
      <c r="EM304" s="423" t="s">
        <v>12</v>
      </c>
      <c r="EN304" s="423" t="s">
        <v>12</v>
      </c>
      <c r="EO304" s="423" t="s">
        <v>12</v>
      </c>
      <c r="EP304" s="423" t="s">
        <v>12</v>
      </c>
      <c r="EQ304" s="423" t="s">
        <v>12</v>
      </c>
      <c r="ER304" s="423" t="s">
        <v>12</v>
      </c>
      <c r="ES304" s="438" t="s">
        <v>12</v>
      </c>
      <c r="ET304" s="438" t="s">
        <v>12</v>
      </c>
      <c r="EU304" s="438" t="s">
        <v>12</v>
      </c>
      <c r="EV304" s="438" t="s">
        <v>12</v>
      </c>
      <c r="EW304" s="438" t="s">
        <v>12</v>
      </c>
      <c r="EX304" s="438" t="s">
        <v>12</v>
      </c>
      <c r="EY304" s="438" t="s">
        <v>12</v>
      </c>
      <c r="EZ304" s="438" t="s">
        <v>12</v>
      </c>
      <c r="FA304" s="438" t="s">
        <v>12</v>
      </c>
      <c r="FB304" s="438" t="s">
        <v>12</v>
      </c>
      <c r="FC304" s="346">
        <v>0</v>
      </c>
      <c r="FD304" s="346">
        <v>0</v>
      </c>
      <c r="FE304" s="346">
        <v>0</v>
      </c>
      <c r="FF304" s="346">
        <v>0</v>
      </c>
      <c r="FG304" s="346">
        <v>0</v>
      </c>
      <c r="FH304" s="346">
        <v>0</v>
      </c>
      <c r="FI304" s="346">
        <v>0</v>
      </c>
      <c r="FJ304" s="346">
        <v>0</v>
      </c>
      <c r="FK304" s="346">
        <v>0</v>
      </c>
      <c r="FL304" s="346">
        <v>0</v>
      </c>
    </row>
    <row r="305" spans="1:168" x14ac:dyDescent="0.25">
      <c r="A305" s="238">
        <v>6</v>
      </c>
      <c r="B305" s="238" t="s">
        <v>768</v>
      </c>
      <c r="C305" s="244" t="s">
        <v>11</v>
      </c>
      <c r="D305" s="244" t="s">
        <v>11</v>
      </c>
      <c r="E305" s="244" t="s">
        <v>11</v>
      </c>
      <c r="F305" s="244" t="s">
        <v>11</v>
      </c>
      <c r="G305" s="244" t="s">
        <v>11</v>
      </c>
      <c r="H305" s="244" t="s">
        <v>11</v>
      </c>
      <c r="I305" s="244" t="s">
        <v>11</v>
      </c>
      <c r="J305" s="244" t="s">
        <v>11</v>
      </c>
      <c r="K305" s="244" t="s">
        <v>11</v>
      </c>
      <c r="L305" s="244" t="s">
        <v>11</v>
      </c>
      <c r="N305">
        <v>90</v>
      </c>
      <c r="O305" t="s">
        <v>115</v>
      </c>
      <c r="P305" t="s">
        <v>115</v>
      </c>
      <c r="Q305" t="s">
        <v>9</v>
      </c>
      <c r="R305" s="2" t="s">
        <v>12</v>
      </c>
      <c r="S305" s="2" t="s">
        <v>12</v>
      </c>
      <c r="T305" s="2" t="s">
        <v>12</v>
      </c>
      <c r="U305" s="2" t="s">
        <v>12</v>
      </c>
      <c r="V305" s="2" t="s">
        <v>12</v>
      </c>
      <c r="W305" s="2" t="s">
        <v>12</v>
      </c>
      <c r="X305" s="2" t="s">
        <v>12</v>
      </c>
      <c r="Y305" s="2" t="s">
        <v>12</v>
      </c>
      <c r="Z305" s="2" t="s">
        <v>12</v>
      </c>
      <c r="AA305" s="2" t="s">
        <v>12</v>
      </c>
      <c r="AB305" s="2" t="s">
        <v>12</v>
      </c>
      <c r="AC305" s="2" t="s">
        <v>12</v>
      </c>
      <c r="AD305" t="s">
        <v>12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t="s">
        <v>12</v>
      </c>
      <c r="AR305" t="s">
        <v>12</v>
      </c>
      <c r="AS305" t="s">
        <v>12</v>
      </c>
      <c r="AT305" t="s">
        <v>12</v>
      </c>
      <c r="AU305" t="s">
        <v>12</v>
      </c>
      <c r="AV305" t="s">
        <v>12</v>
      </c>
      <c r="AW305" t="s">
        <v>12</v>
      </c>
      <c r="AX305" t="s">
        <v>12</v>
      </c>
      <c r="AY305" t="s">
        <v>12</v>
      </c>
      <c r="AZ305" t="s">
        <v>12</v>
      </c>
      <c r="BA305" t="s">
        <v>12</v>
      </c>
      <c r="BB305" t="s">
        <v>12</v>
      </c>
      <c r="BC305" t="s">
        <v>12</v>
      </c>
      <c r="BD305" t="s">
        <v>12</v>
      </c>
      <c r="BF305" s="313" t="s">
        <v>11</v>
      </c>
      <c r="BG305" s="313" t="s">
        <v>11</v>
      </c>
      <c r="BH305" t="s">
        <v>12</v>
      </c>
      <c r="BI305" t="s">
        <v>12</v>
      </c>
      <c r="BJ305" t="s">
        <v>12</v>
      </c>
      <c r="BK305" t="s">
        <v>12</v>
      </c>
      <c r="BL305" t="s">
        <v>12</v>
      </c>
      <c r="BM305" t="s">
        <v>12</v>
      </c>
      <c r="BN305" t="s">
        <v>12</v>
      </c>
      <c r="BO305" t="s">
        <v>12</v>
      </c>
      <c r="BP305" t="s">
        <v>12</v>
      </c>
      <c r="BQ305" t="s">
        <v>12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 s="9" t="s">
        <v>12</v>
      </c>
      <c r="CF305" s="28" t="s">
        <v>12</v>
      </c>
      <c r="CG305" s="28" t="s">
        <v>12</v>
      </c>
      <c r="CH305" s="28" t="s">
        <v>12</v>
      </c>
      <c r="CI305" s="28" t="s">
        <v>12</v>
      </c>
      <c r="CJ305" s="28" t="s">
        <v>12</v>
      </c>
      <c r="CK305" s="28" t="s">
        <v>12</v>
      </c>
      <c r="CL305" s="28" t="s">
        <v>12</v>
      </c>
      <c r="CM305" s="28" t="s">
        <v>12</v>
      </c>
      <c r="CN305" s="28" t="s">
        <v>12</v>
      </c>
      <c r="CO305" s="28" t="s">
        <v>12</v>
      </c>
      <c r="CP305" s="28" t="s">
        <v>12</v>
      </c>
      <c r="CQ305" s="28" t="s">
        <v>12</v>
      </c>
      <c r="CR305" s="28" t="s">
        <v>12</v>
      </c>
      <c r="CS305" s="28" t="s">
        <v>12</v>
      </c>
      <c r="CT305" s="28" t="s">
        <v>12</v>
      </c>
      <c r="CU305" s="28" t="s">
        <v>12</v>
      </c>
      <c r="CV305" s="28" t="s">
        <v>12</v>
      </c>
      <c r="CW305" s="28" t="s">
        <v>12</v>
      </c>
      <c r="CX305" s="28" t="s">
        <v>12</v>
      </c>
      <c r="CY305" s="28" t="s">
        <v>12</v>
      </c>
      <c r="CZ305" s="28" t="s">
        <v>12</v>
      </c>
      <c r="DA305" s="28" t="s">
        <v>12</v>
      </c>
      <c r="DB305" s="313">
        <v>90</v>
      </c>
      <c r="DC305" s="313" t="s">
        <v>115</v>
      </c>
      <c r="DD305" s="386" t="s">
        <v>12</v>
      </c>
      <c r="DE305" s="386" t="s">
        <v>12</v>
      </c>
      <c r="DF305" s="386" t="s">
        <v>12</v>
      </c>
      <c r="DG305" s="386" t="s">
        <v>12</v>
      </c>
      <c r="DH305" s="386" t="s">
        <v>12</v>
      </c>
      <c r="DI305" s="386" t="s">
        <v>12</v>
      </c>
      <c r="DJ305" s="386" t="s">
        <v>12</v>
      </c>
      <c r="DK305" s="386" t="s">
        <v>12</v>
      </c>
      <c r="DL305" s="386" t="s">
        <v>12</v>
      </c>
      <c r="DM305" s="386" t="s">
        <v>12</v>
      </c>
      <c r="DN305" s="7" t="s">
        <v>12</v>
      </c>
      <c r="DO305" s="7" t="s">
        <v>12</v>
      </c>
      <c r="DP305" s="7" t="s">
        <v>12</v>
      </c>
      <c r="DQ305" s="7" t="s">
        <v>12</v>
      </c>
      <c r="DR305" s="7" t="s">
        <v>12</v>
      </c>
      <c r="DS305" s="7" t="s">
        <v>12</v>
      </c>
      <c r="DT305" s="7" t="s">
        <v>12</v>
      </c>
      <c r="DU305" s="7" t="s">
        <v>12</v>
      </c>
      <c r="DV305" s="7" t="s">
        <v>12</v>
      </c>
      <c r="DW305" s="7" t="s">
        <v>12</v>
      </c>
      <c r="DY305" s="9">
        <v>6283403</v>
      </c>
      <c r="EI305" s="423" t="s">
        <v>12</v>
      </c>
      <c r="EJ305" s="423" t="s">
        <v>12</v>
      </c>
      <c r="EK305" s="423" t="s">
        <v>12</v>
      </c>
      <c r="EL305" s="423" t="s">
        <v>12</v>
      </c>
      <c r="EM305" s="423" t="s">
        <v>12</v>
      </c>
      <c r="EN305" s="423" t="s">
        <v>12</v>
      </c>
      <c r="EO305" s="423" t="s">
        <v>12</v>
      </c>
      <c r="EP305" s="423" t="s">
        <v>12</v>
      </c>
      <c r="EQ305" s="423" t="s">
        <v>12</v>
      </c>
      <c r="ER305" s="423" t="s">
        <v>12</v>
      </c>
      <c r="ES305" s="438" t="s">
        <v>12</v>
      </c>
      <c r="ET305" s="438" t="s">
        <v>12</v>
      </c>
      <c r="EU305" s="438" t="s">
        <v>12</v>
      </c>
      <c r="EV305" s="438" t="s">
        <v>12</v>
      </c>
      <c r="EW305" s="438" t="s">
        <v>12</v>
      </c>
      <c r="EX305" s="438" t="s">
        <v>12</v>
      </c>
      <c r="EY305" s="438" t="s">
        <v>12</v>
      </c>
      <c r="EZ305" s="438" t="s">
        <v>12</v>
      </c>
      <c r="FA305" s="438" t="s">
        <v>12</v>
      </c>
      <c r="FB305" s="438" t="s">
        <v>12</v>
      </c>
      <c r="FC305" s="346">
        <v>0</v>
      </c>
      <c r="FD305" s="346">
        <v>0</v>
      </c>
      <c r="FE305" s="346">
        <v>0</v>
      </c>
      <c r="FF305" s="346">
        <v>0</v>
      </c>
      <c r="FG305" s="346">
        <v>0</v>
      </c>
      <c r="FH305" s="346">
        <v>0</v>
      </c>
      <c r="FI305" s="346">
        <v>0</v>
      </c>
      <c r="FJ305" s="346">
        <v>0</v>
      </c>
      <c r="FK305" s="346">
        <v>0</v>
      </c>
      <c r="FL305" s="346">
        <v>0</v>
      </c>
    </row>
    <row r="306" spans="1:168" x14ac:dyDescent="0.25">
      <c r="A306" s="238">
        <v>7</v>
      </c>
      <c r="B306" s="238" t="s">
        <v>770</v>
      </c>
      <c r="C306" s="244" t="s">
        <v>11</v>
      </c>
      <c r="D306" s="244" t="s">
        <v>11</v>
      </c>
      <c r="E306" s="244" t="s">
        <v>11</v>
      </c>
      <c r="F306" s="244" t="s">
        <v>11</v>
      </c>
      <c r="G306" s="244" t="s">
        <v>11</v>
      </c>
      <c r="H306" s="244" t="s">
        <v>11</v>
      </c>
      <c r="I306" s="244" t="s">
        <v>11</v>
      </c>
      <c r="J306" s="244" t="s">
        <v>11</v>
      </c>
      <c r="K306" s="244" t="s">
        <v>11</v>
      </c>
      <c r="L306" s="244" t="s">
        <v>11</v>
      </c>
      <c r="N306">
        <v>91</v>
      </c>
      <c r="O306" t="s">
        <v>116</v>
      </c>
      <c r="P306" t="s">
        <v>116</v>
      </c>
      <c r="Q306" t="s">
        <v>7</v>
      </c>
      <c r="R306" s="2" t="s">
        <v>12</v>
      </c>
      <c r="S306" s="2" t="s">
        <v>12</v>
      </c>
      <c r="T306" s="2" t="s">
        <v>12</v>
      </c>
      <c r="U306" s="2" t="s">
        <v>12</v>
      </c>
      <c r="V306" s="2" t="s">
        <v>12</v>
      </c>
      <c r="W306" s="2" t="s">
        <v>12</v>
      </c>
      <c r="X306" s="2" t="s">
        <v>12</v>
      </c>
      <c r="Y306" s="2" t="s">
        <v>12</v>
      </c>
      <c r="Z306" s="2" t="s">
        <v>12</v>
      </c>
      <c r="AA306" s="2" t="s">
        <v>12</v>
      </c>
      <c r="AB306" s="2" t="s">
        <v>12</v>
      </c>
      <c r="AC306" s="2" t="s">
        <v>12</v>
      </c>
      <c r="AD306" t="s">
        <v>12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t="s">
        <v>12</v>
      </c>
      <c r="AR306" t="s">
        <v>12</v>
      </c>
      <c r="AS306" t="s">
        <v>12</v>
      </c>
      <c r="AT306" t="s">
        <v>12</v>
      </c>
      <c r="AU306" t="s">
        <v>12</v>
      </c>
      <c r="AV306" t="s">
        <v>12</v>
      </c>
      <c r="AW306" t="s">
        <v>12</v>
      </c>
      <c r="AX306" t="s">
        <v>12</v>
      </c>
      <c r="AY306" t="s">
        <v>12</v>
      </c>
      <c r="AZ306" t="s">
        <v>12</v>
      </c>
      <c r="BA306" t="s">
        <v>12</v>
      </c>
      <c r="BB306" t="s">
        <v>12</v>
      </c>
      <c r="BC306" t="s">
        <v>12</v>
      </c>
      <c r="BD306" t="s">
        <v>12</v>
      </c>
      <c r="BF306" s="313" t="s">
        <v>11</v>
      </c>
      <c r="BG306" s="313" t="s">
        <v>11</v>
      </c>
      <c r="BH306" t="s">
        <v>12</v>
      </c>
      <c r="BI306" t="s">
        <v>12</v>
      </c>
      <c r="BJ306" t="s">
        <v>12</v>
      </c>
      <c r="BK306" t="s">
        <v>12</v>
      </c>
      <c r="BL306" t="s">
        <v>12</v>
      </c>
      <c r="BM306" t="s">
        <v>12</v>
      </c>
      <c r="BN306" t="s">
        <v>12</v>
      </c>
      <c r="BO306" t="s">
        <v>12</v>
      </c>
      <c r="BP306" t="s">
        <v>12</v>
      </c>
      <c r="BQ306" t="s">
        <v>12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 s="9" t="s">
        <v>12</v>
      </c>
      <c r="CF306" s="28" t="s">
        <v>12</v>
      </c>
      <c r="CG306" s="28" t="s">
        <v>12</v>
      </c>
      <c r="CH306" s="28" t="s">
        <v>12</v>
      </c>
      <c r="CI306" s="28" t="s">
        <v>12</v>
      </c>
      <c r="CJ306" s="28" t="s">
        <v>12</v>
      </c>
      <c r="CK306" s="28" t="s">
        <v>12</v>
      </c>
      <c r="CL306" s="28" t="s">
        <v>12</v>
      </c>
      <c r="CM306" s="28" t="s">
        <v>12</v>
      </c>
      <c r="CN306" s="28" t="s">
        <v>12</v>
      </c>
      <c r="CO306" s="28" t="s">
        <v>12</v>
      </c>
      <c r="CP306" s="28" t="s">
        <v>12</v>
      </c>
      <c r="CQ306" s="28" t="s">
        <v>12</v>
      </c>
      <c r="CR306" s="28" t="s">
        <v>12</v>
      </c>
      <c r="CS306" s="28" t="s">
        <v>12</v>
      </c>
      <c r="CT306" s="28" t="s">
        <v>12</v>
      </c>
      <c r="CU306" s="28" t="s">
        <v>12</v>
      </c>
      <c r="CV306" s="28" t="s">
        <v>12</v>
      </c>
      <c r="CW306" s="28" t="s">
        <v>12</v>
      </c>
      <c r="CX306" s="28" t="s">
        <v>12</v>
      </c>
      <c r="CY306" s="28" t="s">
        <v>12</v>
      </c>
      <c r="CZ306" s="28" t="s">
        <v>12</v>
      </c>
      <c r="DA306" s="28" t="s">
        <v>12</v>
      </c>
      <c r="DB306" s="313">
        <v>91</v>
      </c>
      <c r="DC306" s="313" t="s">
        <v>116</v>
      </c>
      <c r="DD306" s="386" t="s">
        <v>12</v>
      </c>
      <c r="DE306" s="386" t="s">
        <v>12</v>
      </c>
      <c r="DF306" s="386" t="s">
        <v>12</v>
      </c>
      <c r="DG306" s="386" t="s">
        <v>12</v>
      </c>
      <c r="DH306" s="386" t="s">
        <v>12</v>
      </c>
      <c r="DI306" s="386" t="s">
        <v>12</v>
      </c>
      <c r="DJ306" s="386" t="s">
        <v>12</v>
      </c>
      <c r="DK306" s="386" t="s">
        <v>12</v>
      </c>
      <c r="DL306" s="386" t="s">
        <v>12</v>
      </c>
      <c r="DM306" s="386" t="s">
        <v>12</v>
      </c>
      <c r="DN306" s="7" t="s">
        <v>12</v>
      </c>
      <c r="DO306" s="7" t="s">
        <v>12</v>
      </c>
      <c r="DP306" s="7" t="s">
        <v>12</v>
      </c>
      <c r="DQ306" s="7" t="s">
        <v>12</v>
      </c>
      <c r="DR306" s="7" t="s">
        <v>12</v>
      </c>
      <c r="DS306" s="7" t="s">
        <v>12</v>
      </c>
      <c r="DT306" s="7" t="s">
        <v>12</v>
      </c>
      <c r="DU306" s="7" t="s">
        <v>12</v>
      </c>
      <c r="DV306" s="7" t="s">
        <v>12</v>
      </c>
      <c r="DW306" s="7" t="s">
        <v>12</v>
      </c>
      <c r="DY306" s="9">
        <v>36791</v>
      </c>
      <c r="EI306" s="423" t="s">
        <v>12</v>
      </c>
      <c r="EJ306" s="423" t="s">
        <v>12</v>
      </c>
      <c r="EK306" s="423" t="s">
        <v>12</v>
      </c>
      <c r="EL306" s="423" t="s">
        <v>12</v>
      </c>
      <c r="EM306" s="423" t="s">
        <v>12</v>
      </c>
      <c r="EN306" s="423" t="s">
        <v>12</v>
      </c>
      <c r="EO306" s="423" t="s">
        <v>12</v>
      </c>
      <c r="EP306" s="423" t="s">
        <v>12</v>
      </c>
      <c r="EQ306" s="423" t="s">
        <v>12</v>
      </c>
      <c r="ER306" s="423" t="s">
        <v>12</v>
      </c>
      <c r="ES306" s="438" t="s">
        <v>12</v>
      </c>
      <c r="ET306" s="438" t="s">
        <v>12</v>
      </c>
      <c r="EU306" s="438" t="s">
        <v>12</v>
      </c>
      <c r="EV306" s="438" t="s">
        <v>12</v>
      </c>
      <c r="EW306" s="438" t="s">
        <v>12</v>
      </c>
      <c r="EX306" s="438" t="s">
        <v>12</v>
      </c>
      <c r="EY306" s="438" t="s">
        <v>12</v>
      </c>
      <c r="EZ306" s="438" t="s">
        <v>12</v>
      </c>
      <c r="FA306" s="438" t="s">
        <v>12</v>
      </c>
      <c r="FB306" s="438" t="s">
        <v>12</v>
      </c>
      <c r="FC306" s="346">
        <v>0</v>
      </c>
      <c r="FD306" s="346">
        <v>0</v>
      </c>
      <c r="FE306" s="346">
        <v>0</v>
      </c>
      <c r="FF306" s="346">
        <v>0</v>
      </c>
      <c r="FG306" s="346">
        <v>0</v>
      </c>
      <c r="FH306" s="346">
        <v>0</v>
      </c>
      <c r="FI306" s="346">
        <v>0</v>
      </c>
      <c r="FJ306" s="346">
        <v>0</v>
      </c>
      <c r="FK306" s="346">
        <v>0</v>
      </c>
      <c r="FL306" s="346">
        <v>0</v>
      </c>
    </row>
    <row r="307" spans="1:168" x14ac:dyDescent="0.25">
      <c r="A307" s="238">
        <v>8</v>
      </c>
      <c r="B307" s="238" t="s">
        <v>771</v>
      </c>
      <c r="C307" s="244" t="s">
        <v>11</v>
      </c>
      <c r="D307" s="244" t="s">
        <v>11</v>
      </c>
      <c r="E307" s="244" t="s">
        <v>11</v>
      </c>
      <c r="F307" s="244" t="s">
        <v>11</v>
      </c>
      <c r="G307" s="244" t="s">
        <v>11</v>
      </c>
      <c r="H307" s="244" t="s">
        <v>11</v>
      </c>
      <c r="I307" s="244" t="s">
        <v>11</v>
      </c>
      <c r="J307" s="244" t="s">
        <v>11</v>
      </c>
      <c r="K307" s="244" t="s">
        <v>11</v>
      </c>
      <c r="L307" s="244" t="s">
        <v>11</v>
      </c>
      <c r="N307">
        <v>92</v>
      </c>
      <c r="O307" t="s">
        <v>117</v>
      </c>
      <c r="P307" t="s">
        <v>117</v>
      </c>
      <c r="Q307" t="s">
        <v>23</v>
      </c>
      <c r="R307" s="2" t="s">
        <v>12</v>
      </c>
      <c r="S307" s="2" t="s">
        <v>12</v>
      </c>
      <c r="T307" s="2" t="s">
        <v>12</v>
      </c>
      <c r="U307" s="2" t="s">
        <v>12</v>
      </c>
      <c r="V307" s="2" t="s">
        <v>12</v>
      </c>
      <c r="W307" s="2" t="s">
        <v>12</v>
      </c>
      <c r="X307" s="2" t="s">
        <v>12</v>
      </c>
      <c r="Y307" s="2" t="s">
        <v>12</v>
      </c>
      <c r="Z307" s="2" t="s">
        <v>12</v>
      </c>
      <c r="AA307" s="2" t="s">
        <v>12</v>
      </c>
      <c r="AB307" s="2" t="s">
        <v>12</v>
      </c>
      <c r="AC307" s="2" t="s">
        <v>12</v>
      </c>
      <c r="AD307" t="s">
        <v>12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t="s">
        <v>12</v>
      </c>
      <c r="AR307" t="s">
        <v>12</v>
      </c>
      <c r="AS307" t="s">
        <v>12</v>
      </c>
      <c r="AT307" t="s">
        <v>12</v>
      </c>
      <c r="AU307" t="s">
        <v>12</v>
      </c>
      <c r="AV307" t="s">
        <v>12</v>
      </c>
      <c r="AW307" t="s">
        <v>12</v>
      </c>
      <c r="AX307" t="s">
        <v>12</v>
      </c>
      <c r="AY307" t="s">
        <v>12</v>
      </c>
      <c r="AZ307" t="s">
        <v>12</v>
      </c>
      <c r="BA307" t="s">
        <v>12</v>
      </c>
      <c r="BB307" t="s">
        <v>12</v>
      </c>
      <c r="BC307" t="s">
        <v>12</v>
      </c>
      <c r="BD307" t="s">
        <v>12</v>
      </c>
      <c r="BF307" s="313" t="s">
        <v>11</v>
      </c>
      <c r="BG307" s="313" t="s">
        <v>11</v>
      </c>
      <c r="BH307" t="s">
        <v>12</v>
      </c>
      <c r="BI307" t="s">
        <v>12</v>
      </c>
      <c r="BJ307" t="s">
        <v>12</v>
      </c>
      <c r="BK307" t="s">
        <v>12</v>
      </c>
      <c r="BL307" t="s">
        <v>12</v>
      </c>
      <c r="BM307" t="s">
        <v>12</v>
      </c>
      <c r="BN307" t="s">
        <v>12</v>
      </c>
      <c r="BO307" t="s">
        <v>12</v>
      </c>
      <c r="BP307" t="s">
        <v>12</v>
      </c>
      <c r="BQ307" t="s">
        <v>12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 s="9" t="s">
        <v>12</v>
      </c>
      <c r="CF307" s="28" t="s">
        <v>12</v>
      </c>
      <c r="CG307" s="28" t="s">
        <v>12</v>
      </c>
      <c r="CH307" s="28" t="s">
        <v>12</v>
      </c>
      <c r="CI307" s="28" t="s">
        <v>12</v>
      </c>
      <c r="CJ307" s="28" t="s">
        <v>12</v>
      </c>
      <c r="CK307" s="28" t="s">
        <v>12</v>
      </c>
      <c r="CL307" s="28" t="s">
        <v>12</v>
      </c>
      <c r="CM307" s="28" t="s">
        <v>12</v>
      </c>
      <c r="CN307" s="28" t="s">
        <v>12</v>
      </c>
      <c r="CO307" s="28" t="s">
        <v>12</v>
      </c>
      <c r="CP307" s="28" t="s">
        <v>12</v>
      </c>
      <c r="CQ307" s="28" t="s">
        <v>12</v>
      </c>
      <c r="CR307" s="28" t="s">
        <v>12</v>
      </c>
      <c r="CS307" s="28" t="s">
        <v>12</v>
      </c>
      <c r="CT307" s="28" t="s">
        <v>12</v>
      </c>
      <c r="CU307" s="28" t="s">
        <v>12</v>
      </c>
      <c r="CV307" s="28" t="s">
        <v>12</v>
      </c>
      <c r="CW307" s="28" t="s">
        <v>12</v>
      </c>
      <c r="CX307" s="28" t="s">
        <v>12</v>
      </c>
      <c r="CY307" s="28" t="s">
        <v>12</v>
      </c>
      <c r="CZ307" s="28" t="s">
        <v>12</v>
      </c>
      <c r="DA307" s="28" t="s">
        <v>12</v>
      </c>
      <c r="DB307" s="313">
        <v>92</v>
      </c>
      <c r="DC307" s="313" t="s">
        <v>117</v>
      </c>
      <c r="DD307" s="386" t="s">
        <v>12</v>
      </c>
      <c r="DE307" s="386" t="s">
        <v>12</v>
      </c>
      <c r="DF307" s="386" t="s">
        <v>12</v>
      </c>
      <c r="DG307" s="386" t="s">
        <v>12</v>
      </c>
      <c r="DH307" s="386" t="s">
        <v>12</v>
      </c>
      <c r="DI307" s="386" t="s">
        <v>12</v>
      </c>
      <c r="DJ307" s="386" t="s">
        <v>12</v>
      </c>
      <c r="DK307" s="386" t="s">
        <v>12</v>
      </c>
      <c r="DL307" s="386" t="s">
        <v>12</v>
      </c>
      <c r="DM307" s="386" t="s">
        <v>12</v>
      </c>
      <c r="DN307" s="7" t="s">
        <v>12</v>
      </c>
      <c r="DO307" s="7" t="s">
        <v>12</v>
      </c>
      <c r="DP307" s="7" t="s">
        <v>12</v>
      </c>
      <c r="DQ307" s="7" t="s">
        <v>12</v>
      </c>
      <c r="DR307" s="7" t="s">
        <v>12</v>
      </c>
      <c r="DS307" s="7" t="s">
        <v>12</v>
      </c>
      <c r="DT307" s="7" t="s">
        <v>12</v>
      </c>
      <c r="DU307" s="7" t="s">
        <v>12</v>
      </c>
      <c r="DV307" s="7" t="s">
        <v>12</v>
      </c>
      <c r="DW307" s="7" t="s">
        <v>12</v>
      </c>
      <c r="DY307" s="9">
        <v>2987773</v>
      </c>
      <c r="EI307" s="423" t="s">
        <v>12</v>
      </c>
      <c r="EJ307" s="423" t="s">
        <v>12</v>
      </c>
      <c r="EK307" s="423" t="s">
        <v>12</v>
      </c>
      <c r="EL307" s="423" t="s">
        <v>12</v>
      </c>
      <c r="EM307" s="423" t="s">
        <v>12</v>
      </c>
      <c r="EN307" s="423" t="s">
        <v>12</v>
      </c>
      <c r="EO307" s="423" t="s">
        <v>12</v>
      </c>
      <c r="EP307" s="423" t="s">
        <v>12</v>
      </c>
      <c r="EQ307" s="423" t="s">
        <v>12</v>
      </c>
      <c r="ER307" s="423" t="s">
        <v>12</v>
      </c>
      <c r="ES307" s="438" t="s">
        <v>12</v>
      </c>
      <c r="ET307" s="438" t="s">
        <v>12</v>
      </c>
      <c r="EU307" s="438" t="s">
        <v>12</v>
      </c>
      <c r="EV307" s="438" t="s">
        <v>12</v>
      </c>
      <c r="EW307" s="438" t="s">
        <v>12</v>
      </c>
      <c r="EX307" s="438" t="s">
        <v>12</v>
      </c>
      <c r="EY307" s="438" t="s">
        <v>12</v>
      </c>
      <c r="EZ307" s="438" t="s">
        <v>12</v>
      </c>
      <c r="FA307" s="438" t="s">
        <v>12</v>
      </c>
      <c r="FB307" s="438" t="s">
        <v>12</v>
      </c>
      <c r="FC307" s="346">
        <v>0</v>
      </c>
      <c r="FD307" s="346">
        <v>0</v>
      </c>
      <c r="FE307" s="346">
        <v>0</v>
      </c>
      <c r="FF307" s="346">
        <v>0</v>
      </c>
      <c r="FG307" s="346">
        <v>0</v>
      </c>
      <c r="FH307" s="346">
        <v>0</v>
      </c>
      <c r="FI307" s="346">
        <v>0</v>
      </c>
      <c r="FJ307" s="346">
        <v>0</v>
      </c>
      <c r="FK307" s="346">
        <v>0</v>
      </c>
      <c r="FL307" s="346">
        <v>0</v>
      </c>
    </row>
    <row r="308" spans="1:168" x14ac:dyDescent="0.25">
      <c r="A308" s="238">
        <v>9</v>
      </c>
      <c r="B308" s="238" t="s">
        <v>772</v>
      </c>
      <c r="C308" s="244" t="s">
        <v>11</v>
      </c>
      <c r="D308" s="244" t="s">
        <v>11</v>
      </c>
      <c r="E308" s="244" t="s">
        <v>11</v>
      </c>
      <c r="F308" s="244" t="s">
        <v>11</v>
      </c>
      <c r="G308" s="244" t="s">
        <v>11</v>
      </c>
      <c r="H308" s="244" t="s">
        <v>11</v>
      </c>
      <c r="I308" s="244" t="s">
        <v>11</v>
      </c>
      <c r="J308" s="244" t="s">
        <v>11</v>
      </c>
      <c r="K308" s="244" t="s">
        <v>11</v>
      </c>
      <c r="L308" s="244" t="s">
        <v>11</v>
      </c>
      <c r="N308">
        <v>93</v>
      </c>
      <c r="O308" t="s">
        <v>118</v>
      </c>
      <c r="P308" t="s">
        <v>118</v>
      </c>
      <c r="Q308" t="s">
        <v>23</v>
      </c>
      <c r="R308" s="2" t="s">
        <v>12</v>
      </c>
      <c r="S308" s="2" t="s">
        <v>12</v>
      </c>
      <c r="T308" s="2" t="s">
        <v>12</v>
      </c>
      <c r="U308" s="2" t="s">
        <v>12</v>
      </c>
      <c r="V308" s="2" t="s">
        <v>12</v>
      </c>
      <c r="W308" s="2" t="s">
        <v>12</v>
      </c>
      <c r="X308" s="2" t="s">
        <v>12</v>
      </c>
      <c r="Y308" s="2" t="s">
        <v>12</v>
      </c>
      <c r="Z308" s="2" t="s">
        <v>12</v>
      </c>
      <c r="AA308" s="2" t="s">
        <v>12</v>
      </c>
      <c r="AB308" s="2" t="s">
        <v>12</v>
      </c>
      <c r="AC308" s="2" t="s">
        <v>12</v>
      </c>
      <c r="AD308" t="s">
        <v>12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t="s">
        <v>12</v>
      </c>
      <c r="AR308" t="s">
        <v>12</v>
      </c>
      <c r="AS308" t="s">
        <v>12</v>
      </c>
      <c r="AT308" t="s">
        <v>12</v>
      </c>
      <c r="AU308" t="s">
        <v>12</v>
      </c>
      <c r="AV308" t="s">
        <v>12</v>
      </c>
      <c r="AW308" t="s">
        <v>12</v>
      </c>
      <c r="AX308" t="s">
        <v>12</v>
      </c>
      <c r="AY308" t="s">
        <v>12</v>
      </c>
      <c r="AZ308" t="s">
        <v>12</v>
      </c>
      <c r="BA308" t="s">
        <v>12</v>
      </c>
      <c r="BB308" t="s">
        <v>12</v>
      </c>
      <c r="BC308" t="s">
        <v>12</v>
      </c>
      <c r="BD308" t="s">
        <v>12</v>
      </c>
      <c r="BF308" s="313" t="s">
        <v>11</v>
      </c>
      <c r="BG308" s="313" t="s">
        <v>11</v>
      </c>
      <c r="BH308" t="s">
        <v>12</v>
      </c>
      <c r="BI308" t="s">
        <v>12</v>
      </c>
      <c r="BJ308" t="s">
        <v>12</v>
      </c>
      <c r="BK308" t="s">
        <v>12</v>
      </c>
      <c r="BL308" t="s">
        <v>12</v>
      </c>
      <c r="BM308" t="s">
        <v>12</v>
      </c>
      <c r="BN308" t="s">
        <v>12</v>
      </c>
      <c r="BO308" t="s">
        <v>12</v>
      </c>
      <c r="BP308" t="s">
        <v>12</v>
      </c>
      <c r="BQ308" t="s">
        <v>12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 s="9" t="s">
        <v>12</v>
      </c>
      <c r="CF308" s="28" t="s">
        <v>12</v>
      </c>
      <c r="CG308" s="28" t="s">
        <v>12</v>
      </c>
      <c r="CH308" s="28" t="s">
        <v>12</v>
      </c>
      <c r="CI308" s="28" t="s">
        <v>12</v>
      </c>
      <c r="CJ308" s="28" t="s">
        <v>12</v>
      </c>
      <c r="CK308" s="28" t="s">
        <v>12</v>
      </c>
      <c r="CL308" s="28" t="s">
        <v>12</v>
      </c>
      <c r="CM308" s="28" t="s">
        <v>12</v>
      </c>
      <c r="CN308" s="28" t="s">
        <v>12</v>
      </c>
      <c r="CO308" s="28" t="s">
        <v>12</v>
      </c>
      <c r="CP308" s="28" t="s">
        <v>12</v>
      </c>
      <c r="CQ308" s="28" t="s">
        <v>12</v>
      </c>
      <c r="CR308" s="28" t="s">
        <v>12</v>
      </c>
      <c r="CS308" s="28" t="s">
        <v>12</v>
      </c>
      <c r="CT308" s="28" t="s">
        <v>12</v>
      </c>
      <c r="CU308" s="28" t="s">
        <v>12</v>
      </c>
      <c r="CV308" s="28" t="s">
        <v>12</v>
      </c>
      <c r="CW308" s="28" t="s">
        <v>12</v>
      </c>
      <c r="CX308" s="28" t="s">
        <v>12</v>
      </c>
      <c r="CY308" s="28" t="s">
        <v>12</v>
      </c>
      <c r="CZ308" s="28" t="s">
        <v>12</v>
      </c>
      <c r="DA308" s="28" t="s">
        <v>12</v>
      </c>
      <c r="DB308" s="313">
        <v>93</v>
      </c>
      <c r="DC308" s="313" t="s">
        <v>118</v>
      </c>
      <c r="DD308" s="386" t="s">
        <v>12</v>
      </c>
      <c r="DE308" s="386" t="s">
        <v>12</v>
      </c>
      <c r="DF308" s="386" t="s">
        <v>12</v>
      </c>
      <c r="DG308" s="386" t="s">
        <v>12</v>
      </c>
      <c r="DH308" s="386" t="s">
        <v>12</v>
      </c>
      <c r="DI308" s="386" t="s">
        <v>12</v>
      </c>
      <c r="DJ308" s="386" t="s">
        <v>12</v>
      </c>
      <c r="DK308" s="386" t="s">
        <v>12</v>
      </c>
      <c r="DL308" s="386" t="s">
        <v>12</v>
      </c>
      <c r="DM308" s="386" t="s">
        <v>12</v>
      </c>
      <c r="DN308" s="7" t="s">
        <v>12</v>
      </c>
      <c r="DO308" s="7" t="s">
        <v>12</v>
      </c>
      <c r="DP308" s="7" t="s">
        <v>12</v>
      </c>
      <c r="DQ308" s="7" t="s">
        <v>12</v>
      </c>
      <c r="DR308" s="7" t="s">
        <v>12</v>
      </c>
      <c r="DS308" s="7" t="s">
        <v>12</v>
      </c>
      <c r="DT308" s="7" t="s">
        <v>12</v>
      </c>
      <c r="DU308" s="7" t="s">
        <v>12</v>
      </c>
      <c r="DV308" s="7" t="s">
        <v>12</v>
      </c>
      <c r="DW308" s="7" t="s">
        <v>12</v>
      </c>
      <c r="DY308" s="9">
        <v>530946</v>
      </c>
      <c r="EI308" s="423" t="s">
        <v>12</v>
      </c>
      <c r="EJ308" s="423" t="s">
        <v>12</v>
      </c>
      <c r="EK308" s="423" t="s">
        <v>12</v>
      </c>
      <c r="EL308" s="423" t="s">
        <v>12</v>
      </c>
      <c r="EM308" s="423" t="s">
        <v>12</v>
      </c>
      <c r="EN308" s="423" t="s">
        <v>12</v>
      </c>
      <c r="EO308" s="423" t="s">
        <v>12</v>
      </c>
      <c r="EP308" s="423" t="s">
        <v>12</v>
      </c>
      <c r="EQ308" s="423" t="s">
        <v>12</v>
      </c>
      <c r="ER308" s="423" t="s">
        <v>12</v>
      </c>
      <c r="ES308" s="438" t="s">
        <v>12</v>
      </c>
      <c r="ET308" s="438" t="s">
        <v>12</v>
      </c>
      <c r="EU308" s="438" t="s">
        <v>12</v>
      </c>
      <c r="EV308" s="438" t="s">
        <v>12</v>
      </c>
      <c r="EW308" s="438" t="s">
        <v>12</v>
      </c>
      <c r="EX308" s="438" t="s">
        <v>12</v>
      </c>
      <c r="EY308" s="438" t="s">
        <v>12</v>
      </c>
      <c r="EZ308" s="438" t="s">
        <v>12</v>
      </c>
      <c r="FA308" s="438" t="s">
        <v>12</v>
      </c>
      <c r="FB308" s="438" t="s">
        <v>12</v>
      </c>
      <c r="FC308" s="346">
        <v>0</v>
      </c>
      <c r="FD308" s="346">
        <v>0</v>
      </c>
      <c r="FE308" s="346">
        <v>0</v>
      </c>
      <c r="FF308" s="346">
        <v>0</v>
      </c>
      <c r="FG308" s="346">
        <v>0</v>
      </c>
      <c r="FH308" s="346">
        <v>0</v>
      </c>
      <c r="FI308" s="346">
        <v>0</v>
      </c>
      <c r="FJ308" s="346">
        <v>0</v>
      </c>
      <c r="FK308" s="346">
        <v>0</v>
      </c>
      <c r="FL308" s="346">
        <v>0</v>
      </c>
    </row>
    <row r="309" spans="1:168" x14ac:dyDescent="0.25">
      <c r="A309" s="238">
        <v>10</v>
      </c>
      <c r="B309" s="238" t="s">
        <v>773</v>
      </c>
      <c r="C309" s="244" t="s">
        <v>11</v>
      </c>
      <c r="D309" s="244" t="s">
        <v>11</v>
      </c>
      <c r="E309" s="244" t="s">
        <v>11</v>
      </c>
      <c r="F309" s="244" t="s">
        <v>11</v>
      </c>
      <c r="G309" s="244" t="s">
        <v>11</v>
      </c>
      <c r="H309" s="244" t="s">
        <v>11</v>
      </c>
      <c r="I309" s="244" t="s">
        <v>11</v>
      </c>
      <c r="J309" s="244" t="s">
        <v>11</v>
      </c>
      <c r="K309" s="244" t="s">
        <v>11</v>
      </c>
      <c r="L309" s="244" t="s">
        <v>11</v>
      </c>
      <c r="N309">
        <v>94</v>
      </c>
      <c r="O309" t="s">
        <v>119</v>
      </c>
      <c r="P309" t="s">
        <v>119</v>
      </c>
      <c r="Q309" t="s">
        <v>14</v>
      </c>
      <c r="R309" s="2" t="s">
        <v>12</v>
      </c>
      <c r="S309" s="2" t="s">
        <v>12</v>
      </c>
      <c r="T309" s="2" t="s">
        <v>12</v>
      </c>
      <c r="U309" s="2" t="s">
        <v>12</v>
      </c>
      <c r="V309" s="2" t="s">
        <v>12</v>
      </c>
      <c r="W309" s="2" t="s">
        <v>12</v>
      </c>
      <c r="X309" s="2" t="s">
        <v>12</v>
      </c>
      <c r="Y309" s="2" t="s">
        <v>12</v>
      </c>
      <c r="Z309" s="2" t="s">
        <v>12</v>
      </c>
      <c r="AA309" s="2" t="s">
        <v>12</v>
      </c>
      <c r="AB309" s="2" t="s">
        <v>12</v>
      </c>
      <c r="AC309" s="2" t="s">
        <v>12</v>
      </c>
      <c r="AD309" t="s">
        <v>12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t="s">
        <v>12</v>
      </c>
      <c r="AR309" t="s">
        <v>12</v>
      </c>
      <c r="AS309" t="s">
        <v>12</v>
      </c>
      <c r="AT309" t="s">
        <v>12</v>
      </c>
      <c r="AU309" t="s">
        <v>12</v>
      </c>
      <c r="AV309" t="s">
        <v>12</v>
      </c>
      <c r="AW309" t="s">
        <v>12</v>
      </c>
      <c r="AX309" t="s">
        <v>12</v>
      </c>
      <c r="AY309" t="s">
        <v>12</v>
      </c>
      <c r="AZ309" t="s">
        <v>12</v>
      </c>
      <c r="BA309" t="s">
        <v>12</v>
      </c>
      <c r="BB309" t="s">
        <v>12</v>
      </c>
      <c r="BC309" t="s">
        <v>12</v>
      </c>
      <c r="BD309" t="s">
        <v>12</v>
      </c>
      <c r="BF309" s="313" t="s">
        <v>11</v>
      </c>
      <c r="BG309" s="313" t="s">
        <v>11</v>
      </c>
      <c r="BH309" t="s">
        <v>12</v>
      </c>
      <c r="BI309" t="s">
        <v>12</v>
      </c>
      <c r="BJ309" t="s">
        <v>12</v>
      </c>
      <c r="BK309" t="s">
        <v>12</v>
      </c>
      <c r="BL309" t="s">
        <v>12</v>
      </c>
      <c r="BM309" t="s">
        <v>12</v>
      </c>
      <c r="BN309" t="s">
        <v>12</v>
      </c>
      <c r="BO309" t="s">
        <v>12</v>
      </c>
      <c r="BP309" t="s">
        <v>12</v>
      </c>
      <c r="BQ309" t="s">
        <v>12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 s="9" t="s">
        <v>12</v>
      </c>
      <c r="CF309" s="28" t="s">
        <v>12</v>
      </c>
      <c r="CG309" s="28" t="s">
        <v>12</v>
      </c>
      <c r="CH309" s="28" t="s">
        <v>12</v>
      </c>
      <c r="CI309" s="28" t="s">
        <v>12</v>
      </c>
      <c r="CJ309" s="28" t="s">
        <v>12</v>
      </c>
      <c r="CK309" s="28" t="s">
        <v>12</v>
      </c>
      <c r="CL309" s="28" t="s">
        <v>12</v>
      </c>
      <c r="CM309" s="28" t="s">
        <v>12</v>
      </c>
      <c r="CN309" s="28" t="s">
        <v>12</v>
      </c>
      <c r="CO309" s="28" t="s">
        <v>12</v>
      </c>
      <c r="CP309" s="28" t="s">
        <v>12</v>
      </c>
      <c r="CQ309" s="28" t="s">
        <v>12</v>
      </c>
      <c r="CR309" s="28" t="s">
        <v>12</v>
      </c>
      <c r="CS309" s="28" t="s">
        <v>12</v>
      </c>
      <c r="CT309" s="28" t="s">
        <v>12</v>
      </c>
      <c r="CU309" s="28" t="s">
        <v>12</v>
      </c>
      <c r="CV309" s="28" t="s">
        <v>12</v>
      </c>
      <c r="CW309" s="28" t="s">
        <v>12</v>
      </c>
      <c r="CX309" s="28" t="s">
        <v>12</v>
      </c>
      <c r="CY309" s="28" t="s">
        <v>12</v>
      </c>
      <c r="CZ309" s="28" t="s">
        <v>12</v>
      </c>
      <c r="DA309" s="28" t="s">
        <v>12</v>
      </c>
      <c r="DB309" s="313">
        <v>94</v>
      </c>
      <c r="DC309" s="313" t="s">
        <v>119</v>
      </c>
      <c r="DD309" s="386" t="s">
        <v>12</v>
      </c>
      <c r="DE309" s="386" t="s">
        <v>12</v>
      </c>
      <c r="DF309" s="386" t="s">
        <v>12</v>
      </c>
      <c r="DG309" s="386" t="s">
        <v>12</v>
      </c>
      <c r="DH309" s="386" t="s">
        <v>12</v>
      </c>
      <c r="DI309" s="386" t="s">
        <v>12</v>
      </c>
      <c r="DJ309" s="386" t="s">
        <v>12</v>
      </c>
      <c r="DK309" s="386" t="s">
        <v>12</v>
      </c>
      <c r="DL309" s="386" t="s">
        <v>12</v>
      </c>
      <c r="DM309" s="386" t="s">
        <v>12</v>
      </c>
      <c r="DN309" s="7" t="s">
        <v>12</v>
      </c>
      <c r="DO309" s="7" t="s">
        <v>12</v>
      </c>
      <c r="DP309" s="7" t="s">
        <v>12</v>
      </c>
      <c r="DQ309" s="7" t="s">
        <v>12</v>
      </c>
      <c r="DR309" s="7" t="s">
        <v>12</v>
      </c>
      <c r="DS309" s="7" t="s">
        <v>12</v>
      </c>
      <c r="DT309" s="7" t="s">
        <v>12</v>
      </c>
      <c r="DU309" s="7" t="s">
        <v>12</v>
      </c>
      <c r="DV309" s="7" t="s">
        <v>12</v>
      </c>
      <c r="DW309" s="7" t="s">
        <v>12</v>
      </c>
      <c r="DY309" s="9">
        <v>22293720</v>
      </c>
      <c r="EI309" s="423" t="s">
        <v>12</v>
      </c>
      <c r="EJ309" s="423" t="s">
        <v>12</v>
      </c>
      <c r="EK309" s="423" t="s">
        <v>12</v>
      </c>
      <c r="EL309" s="423" t="s">
        <v>12</v>
      </c>
      <c r="EM309" s="423" t="s">
        <v>12</v>
      </c>
      <c r="EN309" s="423" t="s">
        <v>12</v>
      </c>
      <c r="EO309" s="423" t="s">
        <v>12</v>
      </c>
      <c r="EP309" s="423" t="s">
        <v>12</v>
      </c>
      <c r="EQ309" s="423" t="s">
        <v>12</v>
      </c>
      <c r="ER309" s="423" t="s">
        <v>12</v>
      </c>
      <c r="ES309" s="438" t="s">
        <v>12</v>
      </c>
      <c r="ET309" s="438" t="s">
        <v>12</v>
      </c>
      <c r="EU309" s="438" t="s">
        <v>12</v>
      </c>
      <c r="EV309" s="438" t="s">
        <v>12</v>
      </c>
      <c r="EW309" s="438" t="s">
        <v>12</v>
      </c>
      <c r="EX309" s="438" t="s">
        <v>12</v>
      </c>
      <c r="EY309" s="438" t="s">
        <v>12</v>
      </c>
      <c r="EZ309" s="438" t="s">
        <v>12</v>
      </c>
      <c r="FA309" s="438" t="s">
        <v>12</v>
      </c>
      <c r="FB309" s="438" t="s">
        <v>12</v>
      </c>
      <c r="FC309" s="346">
        <v>0</v>
      </c>
      <c r="FD309" s="346">
        <v>0</v>
      </c>
      <c r="FE309" s="346">
        <v>0</v>
      </c>
      <c r="FF309" s="346">
        <v>0</v>
      </c>
      <c r="FG309" s="346">
        <v>0</v>
      </c>
      <c r="FH309" s="346">
        <v>0</v>
      </c>
      <c r="FI309" s="346">
        <v>0</v>
      </c>
      <c r="FJ309" s="346">
        <v>0</v>
      </c>
      <c r="FK309" s="346">
        <v>0</v>
      </c>
      <c r="FL309" s="346">
        <v>0</v>
      </c>
    </row>
    <row r="310" spans="1:168" x14ac:dyDescent="0.25">
      <c r="N310">
        <v>95</v>
      </c>
      <c r="O310" t="s">
        <v>120</v>
      </c>
      <c r="P310" t="s">
        <v>120</v>
      </c>
      <c r="Q310" t="s">
        <v>14</v>
      </c>
      <c r="R310" s="2" t="s">
        <v>12</v>
      </c>
      <c r="S310" s="2" t="s">
        <v>12</v>
      </c>
      <c r="T310" s="2" t="s">
        <v>12</v>
      </c>
      <c r="U310" s="2" t="s">
        <v>12</v>
      </c>
      <c r="V310" s="2" t="s">
        <v>12</v>
      </c>
      <c r="W310" s="2" t="s">
        <v>12</v>
      </c>
      <c r="X310" s="2" t="s">
        <v>12</v>
      </c>
      <c r="Y310" s="2" t="s">
        <v>12</v>
      </c>
      <c r="Z310" s="2" t="s">
        <v>12</v>
      </c>
      <c r="AA310" s="2" t="s">
        <v>12</v>
      </c>
      <c r="AB310" s="2" t="s">
        <v>12</v>
      </c>
      <c r="AC310" s="2" t="s">
        <v>12</v>
      </c>
      <c r="AD310" t="s">
        <v>12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t="s">
        <v>12</v>
      </c>
      <c r="AR310" t="s">
        <v>12</v>
      </c>
      <c r="AS310" t="s">
        <v>12</v>
      </c>
      <c r="AT310" t="s">
        <v>12</v>
      </c>
      <c r="AU310" t="s">
        <v>12</v>
      </c>
      <c r="AV310" t="s">
        <v>12</v>
      </c>
      <c r="AW310" t="s">
        <v>12</v>
      </c>
      <c r="AX310" t="s">
        <v>12</v>
      </c>
      <c r="AY310" t="s">
        <v>12</v>
      </c>
      <c r="AZ310" t="s">
        <v>12</v>
      </c>
      <c r="BA310" t="s">
        <v>12</v>
      </c>
      <c r="BB310" t="s">
        <v>12</v>
      </c>
      <c r="BC310" t="s">
        <v>12</v>
      </c>
      <c r="BD310" t="s">
        <v>12</v>
      </c>
      <c r="BF310" s="313" t="s">
        <v>11</v>
      </c>
      <c r="BG310" s="313" t="s">
        <v>11</v>
      </c>
      <c r="BH310" t="s">
        <v>12</v>
      </c>
      <c r="BI310" t="s">
        <v>12</v>
      </c>
      <c r="BJ310" t="s">
        <v>12</v>
      </c>
      <c r="BK310" t="s">
        <v>12</v>
      </c>
      <c r="BL310" t="s">
        <v>12</v>
      </c>
      <c r="BM310" t="s">
        <v>12</v>
      </c>
      <c r="BN310" t="s">
        <v>12</v>
      </c>
      <c r="BO310" t="s">
        <v>12</v>
      </c>
      <c r="BP310" t="s">
        <v>12</v>
      </c>
      <c r="BQ310" t="s">
        <v>12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 s="9" t="s">
        <v>12</v>
      </c>
      <c r="CF310" s="28" t="s">
        <v>12</v>
      </c>
      <c r="CG310" s="28" t="s">
        <v>12</v>
      </c>
      <c r="CH310" s="28" t="s">
        <v>12</v>
      </c>
      <c r="CI310" s="28" t="s">
        <v>12</v>
      </c>
      <c r="CJ310" s="28" t="s">
        <v>12</v>
      </c>
      <c r="CK310" s="28" t="s">
        <v>12</v>
      </c>
      <c r="CL310" s="28" t="s">
        <v>12</v>
      </c>
      <c r="CM310" s="28" t="s">
        <v>12</v>
      </c>
      <c r="CN310" s="28" t="s">
        <v>12</v>
      </c>
      <c r="CO310" s="28" t="s">
        <v>12</v>
      </c>
      <c r="CP310" s="28" t="s">
        <v>12</v>
      </c>
      <c r="CQ310" s="28" t="s">
        <v>12</v>
      </c>
      <c r="CR310" s="28" t="s">
        <v>12</v>
      </c>
      <c r="CS310" s="28" t="s">
        <v>12</v>
      </c>
      <c r="CT310" s="28" t="s">
        <v>12</v>
      </c>
      <c r="CU310" s="28" t="s">
        <v>12</v>
      </c>
      <c r="CV310" s="28" t="s">
        <v>12</v>
      </c>
      <c r="CW310" s="28" t="s">
        <v>12</v>
      </c>
      <c r="CX310" s="28" t="s">
        <v>12</v>
      </c>
      <c r="CY310" s="28" t="s">
        <v>12</v>
      </c>
      <c r="CZ310" s="28" t="s">
        <v>12</v>
      </c>
      <c r="DA310" s="28" t="s">
        <v>12</v>
      </c>
      <c r="DB310" s="313">
        <v>95</v>
      </c>
      <c r="DC310" s="313" t="s">
        <v>120</v>
      </c>
      <c r="DD310" s="386" t="s">
        <v>12</v>
      </c>
      <c r="DE310" s="386" t="s">
        <v>12</v>
      </c>
      <c r="DF310" s="386" t="s">
        <v>12</v>
      </c>
      <c r="DG310" s="386" t="s">
        <v>12</v>
      </c>
      <c r="DH310" s="386" t="s">
        <v>12</v>
      </c>
      <c r="DI310" s="386" t="s">
        <v>12</v>
      </c>
      <c r="DJ310" s="386" t="s">
        <v>12</v>
      </c>
      <c r="DK310" s="386" t="s">
        <v>12</v>
      </c>
      <c r="DL310" s="386" t="s">
        <v>12</v>
      </c>
      <c r="DM310" s="386" t="s">
        <v>12</v>
      </c>
      <c r="DN310" s="7" t="s">
        <v>12</v>
      </c>
      <c r="DO310" s="7" t="s">
        <v>12</v>
      </c>
      <c r="DP310" s="7" t="s">
        <v>12</v>
      </c>
      <c r="DQ310" s="7" t="s">
        <v>12</v>
      </c>
      <c r="DR310" s="7" t="s">
        <v>12</v>
      </c>
      <c r="DS310" s="7" t="s">
        <v>12</v>
      </c>
      <c r="DT310" s="7" t="s">
        <v>12</v>
      </c>
      <c r="DU310" s="7" t="s">
        <v>12</v>
      </c>
      <c r="DV310" s="7" t="s">
        <v>12</v>
      </c>
      <c r="DW310" s="7" t="s">
        <v>12</v>
      </c>
      <c r="DY310" s="9">
        <v>15700436</v>
      </c>
      <c r="EI310" s="423" t="s">
        <v>12</v>
      </c>
      <c r="EJ310" s="423" t="s">
        <v>12</v>
      </c>
      <c r="EK310" s="423" t="s">
        <v>12</v>
      </c>
      <c r="EL310" s="423" t="s">
        <v>12</v>
      </c>
      <c r="EM310" s="423" t="s">
        <v>12</v>
      </c>
      <c r="EN310" s="423" t="s">
        <v>12</v>
      </c>
      <c r="EO310" s="423" t="s">
        <v>12</v>
      </c>
      <c r="EP310" s="423" t="s">
        <v>12</v>
      </c>
      <c r="EQ310" s="423" t="s">
        <v>12</v>
      </c>
      <c r="ER310" s="423" t="s">
        <v>12</v>
      </c>
      <c r="ES310" s="438" t="s">
        <v>12</v>
      </c>
      <c r="ET310" s="438" t="s">
        <v>12</v>
      </c>
      <c r="EU310" s="438" t="s">
        <v>12</v>
      </c>
      <c r="EV310" s="438" t="s">
        <v>12</v>
      </c>
      <c r="EW310" s="438" t="s">
        <v>12</v>
      </c>
      <c r="EX310" s="438" t="s">
        <v>12</v>
      </c>
      <c r="EY310" s="438" t="s">
        <v>12</v>
      </c>
      <c r="EZ310" s="438" t="s">
        <v>12</v>
      </c>
      <c r="FA310" s="438" t="s">
        <v>12</v>
      </c>
      <c r="FB310" s="438" t="s">
        <v>12</v>
      </c>
      <c r="FC310" s="346">
        <v>0</v>
      </c>
      <c r="FD310" s="346">
        <v>0</v>
      </c>
      <c r="FE310" s="346">
        <v>0</v>
      </c>
      <c r="FF310" s="346">
        <v>0</v>
      </c>
      <c r="FG310" s="346">
        <v>0</v>
      </c>
      <c r="FH310" s="346">
        <v>0</v>
      </c>
      <c r="FI310" s="346">
        <v>0</v>
      </c>
      <c r="FJ310" s="346">
        <v>0</v>
      </c>
      <c r="FK310" s="346">
        <v>0</v>
      </c>
      <c r="FL310" s="346">
        <v>0</v>
      </c>
    </row>
    <row r="311" spans="1:168" ht="30" x14ac:dyDescent="0.25">
      <c r="A311" s="14" t="s">
        <v>780</v>
      </c>
      <c r="B311" s="14"/>
      <c r="C311" s="14" t="s">
        <v>594</v>
      </c>
      <c r="D311" s="14" t="s">
        <v>595</v>
      </c>
      <c r="E311" s="14" t="s">
        <v>596</v>
      </c>
      <c r="F311" s="14" t="s">
        <v>597</v>
      </c>
      <c r="G311" s="14" t="s">
        <v>598</v>
      </c>
      <c r="H311" s="14" t="s">
        <v>599</v>
      </c>
      <c r="I311" s="14" t="s">
        <v>600</v>
      </c>
      <c r="J311" s="14" t="s">
        <v>601</v>
      </c>
      <c r="K311" s="14" t="s">
        <v>602</v>
      </c>
      <c r="L311" s="14" t="s">
        <v>603</v>
      </c>
      <c r="N311">
        <v>96</v>
      </c>
      <c r="O311" t="s">
        <v>121</v>
      </c>
      <c r="P311" t="s">
        <v>121</v>
      </c>
      <c r="Q311" t="s">
        <v>25</v>
      </c>
      <c r="R311" s="2" t="s">
        <v>12</v>
      </c>
      <c r="S311" s="2" t="s">
        <v>12</v>
      </c>
      <c r="T311" s="2" t="s">
        <v>12</v>
      </c>
      <c r="U311" s="2" t="s">
        <v>12</v>
      </c>
      <c r="V311" s="2" t="s">
        <v>12</v>
      </c>
      <c r="W311" s="2" t="s">
        <v>12</v>
      </c>
      <c r="X311" s="2" t="s">
        <v>12</v>
      </c>
      <c r="Y311" s="2" t="s">
        <v>12</v>
      </c>
      <c r="Z311" s="2" t="s">
        <v>12</v>
      </c>
      <c r="AA311" s="2" t="s">
        <v>12</v>
      </c>
      <c r="AB311" s="2" t="s">
        <v>12</v>
      </c>
      <c r="AC311" s="2" t="s">
        <v>12</v>
      </c>
      <c r="AD311" t="s">
        <v>12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t="s">
        <v>12</v>
      </c>
      <c r="AR311" t="s">
        <v>12</v>
      </c>
      <c r="AS311" t="s">
        <v>12</v>
      </c>
      <c r="AT311" t="s">
        <v>12</v>
      </c>
      <c r="AU311" t="s">
        <v>12</v>
      </c>
      <c r="AV311" t="s">
        <v>12</v>
      </c>
      <c r="AW311" t="s">
        <v>12</v>
      </c>
      <c r="AX311" t="s">
        <v>12</v>
      </c>
      <c r="AY311" t="s">
        <v>12</v>
      </c>
      <c r="AZ311" t="s">
        <v>12</v>
      </c>
      <c r="BA311" t="s">
        <v>12</v>
      </c>
      <c r="BB311" t="s">
        <v>12</v>
      </c>
      <c r="BC311" t="s">
        <v>12</v>
      </c>
      <c r="BD311" t="s">
        <v>12</v>
      </c>
      <c r="BF311" s="313" t="s">
        <v>11</v>
      </c>
      <c r="BG311" s="313" t="s">
        <v>11</v>
      </c>
      <c r="BH311" t="s">
        <v>12</v>
      </c>
      <c r="BI311" t="s">
        <v>12</v>
      </c>
      <c r="BJ311" t="s">
        <v>12</v>
      </c>
      <c r="BK311" t="s">
        <v>12</v>
      </c>
      <c r="BL311" t="s">
        <v>12</v>
      </c>
      <c r="BM311" t="s">
        <v>12</v>
      </c>
      <c r="BN311" t="s">
        <v>12</v>
      </c>
      <c r="BO311" t="s">
        <v>12</v>
      </c>
      <c r="BP311" t="s">
        <v>12</v>
      </c>
      <c r="BQ311" t="s">
        <v>12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 s="9" t="s">
        <v>12</v>
      </c>
      <c r="CF311" s="28" t="s">
        <v>12</v>
      </c>
      <c r="CG311" s="28" t="s">
        <v>12</v>
      </c>
      <c r="CH311" s="28" t="s">
        <v>12</v>
      </c>
      <c r="CI311" s="28" t="s">
        <v>12</v>
      </c>
      <c r="CJ311" s="28" t="s">
        <v>12</v>
      </c>
      <c r="CK311" s="28" t="s">
        <v>12</v>
      </c>
      <c r="CL311" s="28" t="s">
        <v>12</v>
      </c>
      <c r="CM311" s="28" t="s">
        <v>12</v>
      </c>
      <c r="CN311" s="28" t="s">
        <v>12</v>
      </c>
      <c r="CO311" s="28" t="s">
        <v>12</v>
      </c>
      <c r="CP311" s="28" t="s">
        <v>12</v>
      </c>
      <c r="CQ311" s="28" t="s">
        <v>12</v>
      </c>
      <c r="CR311" s="28" t="s">
        <v>12</v>
      </c>
      <c r="CS311" s="28" t="s">
        <v>12</v>
      </c>
      <c r="CT311" s="28" t="s">
        <v>12</v>
      </c>
      <c r="CU311" s="28" t="s">
        <v>12</v>
      </c>
      <c r="CV311" s="28" t="s">
        <v>12</v>
      </c>
      <c r="CW311" s="28" t="s">
        <v>12</v>
      </c>
      <c r="CX311" s="28" t="s">
        <v>12</v>
      </c>
      <c r="CY311" s="28" t="s">
        <v>12</v>
      </c>
      <c r="CZ311" s="28" t="s">
        <v>12</v>
      </c>
      <c r="DA311" s="28" t="s">
        <v>12</v>
      </c>
      <c r="DB311" s="313">
        <v>96</v>
      </c>
      <c r="DC311" s="313" t="s">
        <v>121</v>
      </c>
      <c r="DD311" s="386" t="s">
        <v>12</v>
      </c>
      <c r="DE311" s="386" t="s">
        <v>12</v>
      </c>
      <c r="DF311" s="386" t="s">
        <v>12</v>
      </c>
      <c r="DG311" s="386" t="s">
        <v>12</v>
      </c>
      <c r="DH311" s="386" t="s">
        <v>12</v>
      </c>
      <c r="DI311" s="386" t="s">
        <v>12</v>
      </c>
      <c r="DJ311" s="386" t="s">
        <v>12</v>
      </c>
      <c r="DK311" s="386" t="s">
        <v>12</v>
      </c>
      <c r="DL311" s="386" t="s">
        <v>12</v>
      </c>
      <c r="DM311" s="386" t="s">
        <v>12</v>
      </c>
      <c r="DN311" s="7" t="s">
        <v>12</v>
      </c>
      <c r="DO311" s="7" t="s">
        <v>12</v>
      </c>
      <c r="DP311" s="7" t="s">
        <v>12</v>
      </c>
      <c r="DQ311" s="7" t="s">
        <v>12</v>
      </c>
      <c r="DR311" s="7" t="s">
        <v>12</v>
      </c>
      <c r="DS311" s="7" t="s">
        <v>12</v>
      </c>
      <c r="DT311" s="7" t="s">
        <v>12</v>
      </c>
      <c r="DU311" s="7" t="s">
        <v>12</v>
      </c>
      <c r="DV311" s="7" t="s">
        <v>12</v>
      </c>
      <c r="DW311" s="7" t="s">
        <v>12</v>
      </c>
      <c r="DY311" s="9">
        <v>29021940</v>
      </c>
      <c r="EI311" s="423" t="s">
        <v>12</v>
      </c>
      <c r="EJ311" s="423" t="s">
        <v>12</v>
      </c>
      <c r="EK311" s="423" t="s">
        <v>12</v>
      </c>
      <c r="EL311" s="423" t="s">
        <v>12</v>
      </c>
      <c r="EM311" s="423" t="s">
        <v>12</v>
      </c>
      <c r="EN311" s="423" t="s">
        <v>12</v>
      </c>
      <c r="EO311" s="423" t="s">
        <v>12</v>
      </c>
      <c r="EP311" s="423" t="s">
        <v>12</v>
      </c>
      <c r="EQ311" s="423" t="s">
        <v>12</v>
      </c>
      <c r="ER311" s="423" t="s">
        <v>12</v>
      </c>
      <c r="ES311" s="438" t="s">
        <v>12</v>
      </c>
      <c r="ET311" s="438" t="s">
        <v>12</v>
      </c>
      <c r="EU311" s="438" t="s">
        <v>12</v>
      </c>
      <c r="EV311" s="438" t="s">
        <v>12</v>
      </c>
      <c r="EW311" s="438" t="s">
        <v>12</v>
      </c>
      <c r="EX311" s="438" t="s">
        <v>12</v>
      </c>
      <c r="EY311" s="438" t="s">
        <v>12</v>
      </c>
      <c r="EZ311" s="438" t="s">
        <v>12</v>
      </c>
      <c r="FA311" s="438" t="s">
        <v>12</v>
      </c>
      <c r="FB311" s="438" t="s">
        <v>12</v>
      </c>
      <c r="FC311" s="346">
        <v>0</v>
      </c>
      <c r="FD311" s="346">
        <v>0</v>
      </c>
      <c r="FE311" s="346">
        <v>0</v>
      </c>
      <c r="FF311" s="346">
        <v>0</v>
      </c>
      <c r="FG311" s="346">
        <v>0</v>
      </c>
      <c r="FH311" s="346">
        <v>0</v>
      </c>
      <c r="FI311" s="346">
        <v>0</v>
      </c>
      <c r="FJ311" s="346">
        <v>0</v>
      </c>
      <c r="FK311" s="346">
        <v>0</v>
      </c>
      <c r="FL311" s="346">
        <v>0</v>
      </c>
    </row>
    <row r="312" spans="1:168" x14ac:dyDescent="0.25">
      <c r="A312" s="238">
        <v>1</v>
      </c>
      <c r="B312" s="238" t="s">
        <v>761</v>
      </c>
      <c r="C312" s="249">
        <v>1.8761633146050725</v>
      </c>
      <c r="D312" s="249">
        <v>1.894872411135571</v>
      </c>
      <c r="E312" s="249">
        <v>1.8674732418601669</v>
      </c>
      <c r="F312" s="249">
        <v>1.9841235772000534</v>
      </c>
      <c r="G312" s="249">
        <v>1.8406172014876661</v>
      </c>
      <c r="H312" s="249">
        <v>1.8719615923057988</v>
      </c>
      <c r="I312" s="249" t="s">
        <v>11</v>
      </c>
      <c r="J312" s="249" t="s">
        <v>11</v>
      </c>
      <c r="K312" s="249" t="s">
        <v>11</v>
      </c>
      <c r="L312" s="249" t="s">
        <v>11</v>
      </c>
      <c r="N312">
        <v>97</v>
      </c>
      <c r="O312" t="s">
        <v>122</v>
      </c>
      <c r="P312" t="s">
        <v>122</v>
      </c>
      <c r="Q312" t="s">
        <v>25</v>
      </c>
      <c r="R312" s="2" t="s">
        <v>12</v>
      </c>
      <c r="S312" s="2" t="s">
        <v>12</v>
      </c>
      <c r="T312" s="2" t="s">
        <v>12</v>
      </c>
      <c r="U312" s="2" t="s">
        <v>12</v>
      </c>
      <c r="V312" s="2" t="s">
        <v>12</v>
      </c>
      <c r="W312" s="2" t="s">
        <v>12</v>
      </c>
      <c r="X312" s="2" t="s">
        <v>12</v>
      </c>
      <c r="Y312" s="2" t="s">
        <v>12</v>
      </c>
      <c r="Z312" s="2" t="s">
        <v>12</v>
      </c>
      <c r="AA312" s="2" t="s">
        <v>12</v>
      </c>
      <c r="AB312" s="2" t="s">
        <v>12</v>
      </c>
      <c r="AC312" s="2" t="s">
        <v>12</v>
      </c>
      <c r="AD312" t="s">
        <v>12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t="s">
        <v>12</v>
      </c>
      <c r="AR312" t="s">
        <v>12</v>
      </c>
      <c r="AS312" t="s">
        <v>12</v>
      </c>
      <c r="AT312" t="s">
        <v>12</v>
      </c>
      <c r="AU312" t="s">
        <v>12</v>
      </c>
      <c r="AV312" t="s">
        <v>12</v>
      </c>
      <c r="AW312" t="s">
        <v>12</v>
      </c>
      <c r="AX312" t="s">
        <v>12</v>
      </c>
      <c r="AY312" t="s">
        <v>12</v>
      </c>
      <c r="AZ312" t="s">
        <v>12</v>
      </c>
      <c r="BA312" t="s">
        <v>12</v>
      </c>
      <c r="BB312" t="s">
        <v>12</v>
      </c>
      <c r="BC312" t="s">
        <v>12</v>
      </c>
      <c r="BD312" t="s">
        <v>12</v>
      </c>
      <c r="BF312" s="313" t="s">
        <v>11</v>
      </c>
      <c r="BG312" s="313" t="s">
        <v>11</v>
      </c>
      <c r="BH312" t="s">
        <v>12</v>
      </c>
      <c r="BI312" t="s">
        <v>12</v>
      </c>
      <c r="BJ312" t="s">
        <v>12</v>
      </c>
      <c r="BK312" t="s">
        <v>12</v>
      </c>
      <c r="BL312" t="s">
        <v>12</v>
      </c>
      <c r="BM312" t="s">
        <v>12</v>
      </c>
      <c r="BN312" t="s">
        <v>12</v>
      </c>
      <c r="BO312" t="s">
        <v>12</v>
      </c>
      <c r="BP312" t="s">
        <v>12</v>
      </c>
      <c r="BQ312" t="s">
        <v>12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 s="9" t="s">
        <v>12</v>
      </c>
      <c r="CF312" s="28" t="s">
        <v>12</v>
      </c>
      <c r="CG312" s="28" t="s">
        <v>12</v>
      </c>
      <c r="CH312" s="28" t="s">
        <v>12</v>
      </c>
      <c r="CI312" s="28" t="s">
        <v>12</v>
      </c>
      <c r="CJ312" s="28" t="s">
        <v>12</v>
      </c>
      <c r="CK312" s="28" t="s">
        <v>12</v>
      </c>
      <c r="CL312" s="28" t="s">
        <v>12</v>
      </c>
      <c r="CM312" s="28" t="s">
        <v>12</v>
      </c>
      <c r="CN312" s="28" t="s">
        <v>12</v>
      </c>
      <c r="CO312" s="28" t="s">
        <v>12</v>
      </c>
      <c r="CP312" s="28" t="s">
        <v>12</v>
      </c>
      <c r="CQ312" s="28" t="s">
        <v>12</v>
      </c>
      <c r="CR312" s="28" t="s">
        <v>12</v>
      </c>
      <c r="CS312" s="28" t="s">
        <v>12</v>
      </c>
      <c r="CT312" s="28" t="s">
        <v>12</v>
      </c>
      <c r="CU312" s="28" t="s">
        <v>12</v>
      </c>
      <c r="CV312" s="28" t="s">
        <v>12</v>
      </c>
      <c r="CW312" s="28" t="s">
        <v>12</v>
      </c>
      <c r="CX312" s="28" t="s">
        <v>12</v>
      </c>
      <c r="CY312" s="28" t="s">
        <v>12</v>
      </c>
      <c r="CZ312" s="28" t="s">
        <v>12</v>
      </c>
      <c r="DA312" s="28" t="s">
        <v>12</v>
      </c>
      <c r="DB312" s="313">
        <v>97</v>
      </c>
      <c r="DC312" s="313" t="s">
        <v>122</v>
      </c>
      <c r="DD312" s="386" t="s">
        <v>12</v>
      </c>
      <c r="DE312" s="386" t="s">
        <v>12</v>
      </c>
      <c r="DF312" s="386" t="s">
        <v>12</v>
      </c>
      <c r="DG312" s="386" t="s">
        <v>12</v>
      </c>
      <c r="DH312" s="386" t="s">
        <v>12</v>
      </c>
      <c r="DI312" s="386" t="s">
        <v>12</v>
      </c>
      <c r="DJ312" s="386" t="s">
        <v>12</v>
      </c>
      <c r="DK312" s="386" t="s">
        <v>12</v>
      </c>
      <c r="DL312" s="386" t="s">
        <v>12</v>
      </c>
      <c r="DM312" s="386" t="s">
        <v>12</v>
      </c>
      <c r="DN312" s="7" t="s">
        <v>12</v>
      </c>
      <c r="DO312" s="7" t="s">
        <v>12</v>
      </c>
      <c r="DP312" s="7" t="s">
        <v>12</v>
      </c>
      <c r="DQ312" s="7" t="s">
        <v>12</v>
      </c>
      <c r="DR312" s="7" t="s">
        <v>12</v>
      </c>
      <c r="DS312" s="7" t="s">
        <v>12</v>
      </c>
      <c r="DT312" s="7" t="s">
        <v>12</v>
      </c>
      <c r="DU312" s="7" t="s">
        <v>12</v>
      </c>
      <c r="DV312" s="7" t="s">
        <v>12</v>
      </c>
      <c r="DW312" s="7" t="s">
        <v>12</v>
      </c>
      <c r="DY312" s="9">
        <v>385000</v>
      </c>
      <c r="EI312" s="423" t="s">
        <v>12</v>
      </c>
      <c r="EJ312" s="423" t="s">
        <v>12</v>
      </c>
      <c r="EK312" s="423" t="s">
        <v>12</v>
      </c>
      <c r="EL312" s="423" t="s">
        <v>12</v>
      </c>
      <c r="EM312" s="423" t="s">
        <v>12</v>
      </c>
      <c r="EN312" s="423" t="s">
        <v>12</v>
      </c>
      <c r="EO312" s="423" t="s">
        <v>12</v>
      </c>
      <c r="EP312" s="423" t="s">
        <v>12</v>
      </c>
      <c r="EQ312" s="423" t="s">
        <v>12</v>
      </c>
      <c r="ER312" s="423" t="s">
        <v>12</v>
      </c>
      <c r="ES312" s="438" t="s">
        <v>12</v>
      </c>
      <c r="ET312" s="438" t="s">
        <v>12</v>
      </c>
      <c r="EU312" s="438" t="s">
        <v>12</v>
      </c>
      <c r="EV312" s="438" t="s">
        <v>12</v>
      </c>
      <c r="EW312" s="438" t="s">
        <v>12</v>
      </c>
      <c r="EX312" s="438" t="s">
        <v>12</v>
      </c>
      <c r="EY312" s="438" t="s">
        <v>12</v>
      </c>
      <c r="EZ312" s="438" t="s">
        <v>12</v>
      </c>
      <c r="FA312" s="438" t="s">
        <v>12</v>
      </c>
      <c r="FB312" s="438" t="s">
        <v>12</v>
      </c>
      <c r="FC312" s="346">
        <v>0</v>
      </c>
      <c r="FD312" s="346">
        <v>0</v>
      </c>
      <c r="FE312" s="346">
        <v>0</v>
      </c>
      <c r="FF312" s="346">
        <v>0</v>
      </c>
      <c r="FG312" s="346">
        <v>0</v>
      </c>
      <c r="FH312" s="346">
        <v>0</v>
      </c>
      <c r="FI312" s="346">
        <v>0</v>
      </c>
      <c r="FJ312" s="346">
        <v>0</v>
      </c>
      <c r="FK312" s="346">
        <v>0</v>
      </c>
      <c r="FL312" s="346">
        <v>0</v>
      </c>
    </row>
    <row r="313" spans="1:168" x14ac:dyDescent="0.25">
      <c r="A313" s="238">
        <v>2</v>
      </c>
      <c r="B313" s="238" t="s">
        <v>763</v>
      </c>
      <c r="C313" s="249">
        <v>1.7565648696113259</v>
      </c>
      <c r="D313" s="249">
        <v>2.6402092831626058</v>
      </c>
      <c r="E313" s="249">
        <v>2.8873612575760856</v>
      </c>
      <c r="F313" s="249">
        <v>2.2644074845687152</v>
      </c>
      <c r="G313" s="249">
        <v>2.0900200091366359</v>
      </c>
      <c r="H313" s="249">
        <v>1.9181739603716623</v>
      </c>
      <c r="I313" s="249" t="s">
        <v>11</v>
      </c>
      <c r="J313" s="249" t="s">
        <v>11</v>
      </c>
      <c r="K313" s="249" t="s">
        <v>11</v>
      </c>
      <c r="L313" s="249" t="s">
        <v>11</v>
      </c>
      <c r="N313">
        <v>98</v>
      </c>
      <c r="O313" t="s">
        <v>123</v>
      </c>
      <c r="P313" t="s">
        <v>123</v>
      </c>
      <c r="Q313" t="s">
        <v>14</v>
      </c>
      <c r="R313" s="2" t="s">
        <v>12</v>
      </c>
      <c r="S313" s="2" t="s">
        <v>12</v>
      </c>
      <c r="T313" s="2" t="s">
        <v>12</v>
      </c>
      <c r="U313" s="2" t="s">
        <v>12</v>
      </c>
      <c r="V313" s="2" t="s">
        <v>12</v>
      </c>
      <c r="W313" s="2" t="s">
        <v>12</v>
      </c>
      <c r="X313" s="2" t="s">
        <v>12</v>
      </c>
      <c r="Y313" s="2" t="s">
        <v>12</v>
      </c>
      <c r="Z313" s="2" t="s">
        <v>12</v>
      </c>
      <c r="AA313" s="2" t="s">
        <v>12</v>
      </c>
      <c r="AB313" s="2" t="s">
        <v>12</v>
      </c>
      <c r="AC313" s="2" t="s">
        <v>12</v>
      </c>
      <c r="AD313" t="s">
        <v>12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t="s">
        <v>12</v>
      </c>
      <c r="AR313" t="s">
        <v>12</v>
      </c>
      <c r="AS313" t="s">
        <v>12</v>
      </c>
      <c r="AT313" t="s">
        <v>12</v>
      </c>
      <c r="AU313" t="s">
        <v>12</v>
      </c>
      <c r="AV313" t="s">
        <v>12</v>
      </c>
      <c r="AW313" t="s">
        <v>12</v>
      </c>
      <c r="AX313" t="s">
        <v>12</v>
      </c>
      <c r="AY313" t="s">
        <v>12</v>
      </c>
      <c r="AZ313" t="s">
        <v>12</v>
      </c>
      <c r="BA313" t="s">
        <v>12</v>
      </c>
      <c r="BB313" t="s">
        <v>12</v>
      </c>
      <c r="BC313" t="s">
        <v>12</v>
      </c>
      <c r="BD313" t="s">
        <v>12</v>
      </c>
      <c r="BF313" s="313" t="s">
        <v>11</v>
      </c>
      <c r="BG313" s="313" t="s">
        <v>11</v>
      </c>
      <c r="BH313" t="s">
        <v>12</v>
      </c>
      <c r="BI313" t="s">
        <v>12</v>
      </c>
      <c r="BJ313" t="s">
        <v>12</v>
      </c>
      <c r="BK313" t="s">
        <v>12</v>
      </c>
      <c r="BL313" t="s">
        <v>12</v>
      </c>
      <c r="BM313" t="s">
        <v>12</v>
      </c>
      <c r="BN313" t="s">
        <v>12</v>
      </c>
      <c r="BO313" t="s">
        <v>12</v>
      </c>
      <c r="BP313" t="s">
        <v>12</v>
      </c>
      <c r="BQ313" t="s">
        <v>12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 s="9" t="s">
        <v>12</v>
      </c>
      <c r="CF313" s="28" t="s">
        <v>12</v>
      </c>
      <c r="CG313" s="28" t="s">
        <v>12</v>
      </c>
      <c r="CH313" s="28" t="s">
        <v>12</v>
      </c>
      <c r="CI313" s="28" t="s">
        <v>12</v>
      </c>
      <c r="CJ313" s="28" t="s">
        <v>12</v>
      </c>
      <c r="CK313" s="28" t="s">
        <v>12</v>
      </c>
      <c r="CL313" s="28" t="s">
        <v>12</v>
      </c>
      <c r="CM313" s="28" t="s">
        <v>12</v>
      </c>
      <c r="CN313" s="28" t="s">
        <v>12</v>
      </c>
      <c r="CO313" s="28" t="s">
        <v>12</v>
      </c>
      <c r="CP313" s="28" t="s">
        <v>12</v>
      </c>
      <c r="CQ313" s="28" t="s">
        <v>12</v>
      </c>
      <c r="CR313" s="28" t="s">
        <v>12</v>
      </c>
      <c r="CS313" s="28" t="s">
        <v>12</v>
      </c>
      <c r="CT313" s="28" t="s">
        <v>12</v>
      </c>
      <c r="CU313" s="28" t="s">
        <v>12</v>
      </c>
      <c r="CV313" s="28" t="s">
        <v>12</v>
      </c>
      <c r="CW313" s="28" t="s">
        <v>12</v>
      </c>
      <c r="CX313" s="28" t="s">
        <v>12</v>
      </c>
      <c r="CY313" s="28" t="s">
        <v>12</v>
      </c>
      <c r="CZ313" s="28" t="s">
        <v>12</v>
      </c>
      <c r="DA313" s="28" t="s">
        <v>12</v>
      </c>
      <c r="DB313" s="313">
        <v>98</v>
      </c>
      <c r="DC313" s="313" t="s">
        <v>123</v>
      </c>
      <c r="DD313" s="386" t="s">
        <v>12</v>
      </c>
      <c r="DE313" s="386" t="s">
        <v>12</v>
      </c>
      <c r="DF313" s="386" t="s">
        <v>12</v>
      </c>
      <c r="DG313" s="386" t="s">
        <v>12</v>
      </c>
      <c r="DH313" s="386" t="s">
        <v>12</v>
      </c>
      <c r="DI313" s="386" t="s">
        <v>12</v>
      </c>
      <c r="DJ313" s="386" t="s">
        <v>12</v>
      </c>
      <c r="DK313" s="386" t="s">
        <v>12</v>
      </c>
      <c r="DL313" s="386" t="s">
        <v>12</v>
      </c>
      <c r="DM313" s="386" t="s">
        <v>12</v>
      </c>
      <c r="DN313" s="7" t="s">
        <v>12</v>
      </c>
      <c r="DO313" s="7" t="s">
        <v>12</v>
      </c>
      <c r="DP313" s="7" t="s">
        <v>12</v>
      </c>
      <c r="DQ313" s="7" t="s">
        <v>12</v>
      </c>
      <c r="DR313" s="7" t="s">
        <v>12</v>
      </c>
      <c r="DS313" s="7" t="s">
        <v>12</v>
      </c>
      <c r="DT313" s="7" t="s">
        <v>12</v>
      </c>
      <c r="DU313" s="7" t="s">
        <v>12</v>
      </c>
      <c r="DV313" s="7" t="s">
        <v>12</v>
      </c>
      <c r="DW313" s="7" t="s">
        <v>12</v>
      </c>
      <c r="DY313" s="9">
        <v>16112333</v>
      </c>
      <c r="EI313" s="423" t="s">
        <v>12</v>
      </c>
      <c r="EJ313" s="423" t="s">
        <v>12</v>
      </c>
      <c r="EK313" s="423" t="s">
        <v>12</v>
      </c>
      <c r="EL313" s="423" t="s">
        <v>12</v>
      </c>
      <c r="EM313" s="423" t="s">
        <v>12</v>
      </c>
      <c r="EN313" s="423" t="s">
        <v>12</v>
      </c>
      <c r="EO313" s="423" t="s">
        <v>12</v>
      </c>
      <c r="EP313" s="423" t="s">
        <v>12</v>
      </c>
      <c r="EQ313" s="423" t="s">
        <v>12</v>
      </c>
      <c r="ER313" s="423" t="s">
        <v>12</v>
      </c>
      <c r="ES313" s="438" t="s">
        <v>12</v>
      </c>
      <c r="ET313" s="438" t="s">
        <v>12</v>
      </c>
      <c r="EU313" s="438" t="s">
        <v>12</v>
      </c>
      <c r="EV313" s="438" t="s">
        <v>12</v>
      </c>
      <c r="EW313" s="438" t="s">
        <v>12</v>
      </c>
      <c r="EX313" s="438" t="s">
        <v>12</v>
      </c>
      <c r="EY313" s="438" t="s">
        <v>12</v>
      </c>
      <c r="EZ313" s="438" t="s">
        <v>12</v>
      </c>
      <c r="FA313" s="438" t="s">
        <v>12</v>
      </c>
      <c r="FB313" s="438" t="s">
        <v>12</v>
      </c>
      <c r="FC313" s="346">
        <v>0</v>
      </c>
      <c r="FD313" s="346">
        <v>0</v>
      </c>
      <c r="FE313" s="346">
        <v>0</v>
      </c>
      <c r="FF313" s="346">
        <v>0</v>
      </c>
      <c r="FG313" s="346">
        <v>0</v>
      </c>
      <c r="FH313" s="346">
        <v>0</v>
      </c>
      <c r="FI313" s="346">
        <v>0</v>
      </c>
      <c r="FJ313" s="346">
        <v>0</v>
      </c>
      <c r="FK313" s="346">
        <v>0</v>
      </c>
      <c r="FL313" s="346">
        <v>0</v>
      </c>
    </row>
    <row r="314" spans="1:168" x14ac:dyDescent="0.25">
      <c r="A314" s="238">
        <v>3</v>
      </c>
      <c r="B314" s="238" t="s">
        <v>764</v>
      </c>
      <c r="C314" s="249" t="s">
        <v>11</v>
      </c>
      <c r="D314" s="249" t="s">
        <v>11</v>
      </c>
      <c r="E314" s="249" t="s">
        <v>11</v>
      </c>
      <c r="F314" s="249" t="s">
        <v>11</v>
      </c>
      <c r="G314" s="249" t="s">
        <v>11</v>
      </c>
      <c r="H314" s="249" t="s">
        <v>11</v>
      </c>
      <c r="I314" s="249" t="s">
        <v>11</v>
      </c>
      <c r="J314" s="249" t="s">
        <v>11</v>
      </c>
      <c r="K314" s="249" t="s">
        <v>11</v>
      </c>
      <c r="L314" s="249" t="s">
        <v>11</v>
      </c>
      <c r="N314">
        <v>99</v>
      </c>
      <c r="O314" t="s">
        <v>124</v>
      </c>
      <c r="P314" t="s">
        <v>124</v>
      </c>
      <c r="Q314" t="s">
        <v>23</v>
      </c>
      <c r="R314" s="2" t="s">
        <v>12</v>
      </c>
      <c r="S314" s="2" t="s">
        <v>12</v>
      </c>
      <c r="T314" s="2" t="s">
        <v>12</v>
      </c>
      <c r="U314" s="2" t="s">
        <v>12</v>
      </c>
      <c r="V314" s="2" t="s">
        <v>12</v>
      </c>
      <c r="W314" s="2" t="s">
        <v>12</v>
      </c>
      <c r="X314" s="2" t="s">
        <v>12</v>
      </c>
      <c r="Y314" s="2" t="s">
        <v>12</v>
      </c>
      <c r="Z314" s="2" t="s">
        <v>12</v>
      </c>
      <c r="AA314" s="2" t="s">
        <v>12</v>
      </c>
      <c r="AB314" s="2" t="s">
        <v>12</v>
      </c>
      <c r="AC314" s="2" t="s">
        <v>12</v>
      </c>
      <c r="AD314" t="s">
        <v>12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t="s">
        <v>12</v>
      </c>
      <c r="AR314" t="s">
        <v>12</v>
      </c>
      <c r="AS314" t="s">
        <v>12</v>
      </c>
      <c r="AT314" t="s">
        <v>12</v>
      </c>
      <c r="AU314" t="s">
        <v>12</v>
      </c>
      <c r="AV314" t="s">
        <v>12</v>
      </c>
      <c r="AW314" t="s">
        <v>12</v>
      </c>
      <c r="AX314" t="s">
        <v>12</v>
      </c>
      <c r="AY314" t="s">
        <v>12</v>
      </c>
      <c r="AZ314" t="s">
        <v>12</v>
      </c>
      <c r="BA314" t="s">
        <v>12</v>
      </c>
      <c r="BB314" t="s">
        <v>12</v>
      </c>
      <c r="BC314" t="s">
        <v>12</v>
      </c>
      <c r="BD314" t="s">
        <v>12</v>
      </c>
      <c r="BF314" s="313" t="s">
        <v>11</v>
      </c>
      <c r="BG314" s="313" t="s">
        <v>11</v>
      </c>
      <c r="BH314" t="s">
        <v>12</v>
      </c>
      <c r="BI314" t="s">
        <v>12</v>
      </c>
      <c r="BJ314" t="s">
        <v>12</v>
      </c>
      <c r="BK314" t="s">
        <v>12</v>
      </c>
      <c r="BL314" t="s">
        <v>12</v>
      </c>
      <c r="BM314" t="s">
        <v>12</v>
      </c>
      <c r="BN314" t="s">
        <v>12</v>
      </c>
      <c r="BO314" t="s">
        <v>12</v>
      </c>
      <c r="BP314" t="s">
        <v>12</v>
      </c>
      <c r="BQ314" t="s">
        <v>12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 s="9" t="s">
        <v>12</v>
      </c>
      <c r="CF314" s="28" t="s">
        <v>12</v>
      </c>
      <c r="CG314" s="28" t="s">
        <v>12</v>
      </c>
      <c r="CH314" s="28" t="s">
        <v>12</v>
      </c>
      <c r="CI314" s="28" t="s">
        <v>12</v>
      </c>
      <c r="CJ314" s="28" t="s">
        <v>12</v>
      </c>
      <c r="CK314" s="28" t="s">
        <v>12</v>
      </c>
      <c r="CL314" s="28" t="s">
        <v>12</v>
      </c>
      <c r="CM314" s="28" t="s">
        <v>12</v>
      </c>
      <c r="CN314" s="28" t="s">
        <v>12</v>
      </c>
      <c r="CO314" s="28" t="s">
        <v>12</v>
      </c>
      <c r="CP314" s="28" t="s">
        <v>12</v>
      </c>
      <c r="CQ314" s="28" t="s">
        <v>12</v>
      </c>
      <c r="CR314" s="28" t="s">
        <v>12</v>
      </c>
      <c r="CS314" s="28" t="s">
        <v>12</v>
      </c>
      <c r="CT314" s="28" t="s">
        <v>12</v>
      </c>
      <c r="CU314" s="28" t="s">
        <v>12</v>
      </c>
      <c r="CV314" s="28" t="s">
        <v>12</v>
      </c>
      <c r="CW314" s="28" t="s">
        <v>12</v>
      </c>
      <c r="CX314" s="28" t="s">
        <v>12</v>
      </c>
      <c r="CY314" s="28" t="s">
        <v>12</v>
      </c>
      <c r="CZ314" s="28" t="s">
        <v>12</v>
      </c>
      <c r="DA314" s="28" t="s">
        <v>12</v>
      </c>
      <c r="DB314" s="313">
        <v>99</v>
      </c>
      <c r="DC314" s="313" t="s">
        <v>124</v>
      </c>
      <c r="DD314" s="386" t="s">
        <v>12</v>
      </c>
      <c r="DE314" s="386" t="s">
        <v>12</v>
      </c>
      <c r="DF314" s="386" t="s">
        <v>12</v>
      </c>
      <c r="DG314" s="386" t="s">
        <v>12</v>
      </c>
      <c r="DH314" s="386" t="s">
        <v>12</v>
      </c>
      <c r="DI314" s="386" t="s">
        <v>12</v>
      </c>
      <c r="DJ314" s="386" t="s">
        <v>12</v>
      </c>
      <c r="DK314" s="386" t="s">
        <v>12</v>
      </c>
      <c r="DL314" s="386" t="s">
        <v>12</v>
      </c>
      <c r="DM314" s="386" t="s">
        <v>12</v>
      </c>
      <c r="DN314" s="7" t="s">
        <v>12</v>
      </c>
      <c r="DO314" s="7" t="s">
        <v>12</v>
      </c>
      <c r="DP314" s="7" t="s">
        <v>12</v>
      </c>
      <c r="DQ314" s="7" t="s">
        <v>12</v>
      </c>
      <c r="DR314" s="7" t="s">
        <v>12</v>
      </c>
      <c r="DS314" s="7" t="s">
        <v>12</v>
      </c>
      <c r="DT314" s="7" t="s">
        <v>12</v>
      </c>
      <c r="DU314" s="7" t="s">
        <v>12</v>
      </c>
      <c r="DV314" s="7" t="s">
        <v>12</v>
      </c>
      <c r="DW314" s="7" t="s">
        <v>12</v>
      </c>
      <c r="DY314" s="9">
        <v>419455</v>
      </c>
      <c r="EI314" s="423" t="s">
        <v>12</v>
      </c>
      <c r="EJ314" s="423" t="s">
        <v>12</v>
      </c>
      <c r="EK314" s="423" t="s">
        <v>12</v>
      </c>
      <c r="EL314" s="423" t="s">
        <v>12</v>
      </c>
      <c r="EM314" s="423" t="s">
        <v>12</v>
      </c>
      <c r="EN314" s="423" t="s">
        <v>12</v>
      </c>
      <c r="EO314" s="423" t="s">
        <v>12</v>
      </c>
      <c r="EP314" s="423" t="s">
        <v>12</v>
      </c>
      <c r="EQ314" s="423" t="s">
        <v>12</v>
      </c>
      <c r="ER314" s="423" t="s">
        <v>12</v>
      </c>
      <c r="ES314" s="438" t="s">
        <v>12</v>
      </c>
      <c r="ET314" s="438" t="s">
        <v>12</v>
      </c>
      <c r="EU314" s="438" t="s">
        <v>12</v>
      </c>
      <c r="EV314" s="438" t="s">
        <v>12</v>
      </c>
      <c r="EW314" s="438" t="s">
        <v>12</v>
      </c>
      <c r="EX314" s="438" t="s">
        <v>12</v>
      </c>
      <c r="EY314" s="438" t="s">
        <v>12</v>
      </c>
      <c r="EZ314" s="438" t="s">
        <v>12</v>
      </c>
      <c r="FA314" s="438" t="s">
        <v>12</v>
      </c>
      <c r="FB314" s="438" t="s">
        <v>12</v>
      </c>
      <c r="FC314" s="346">
        <v>0</v>
      </c>
      <c r="FD314" s="346">
        <v>0</v>
      </c>
      <c r="FE314" s="346">
        <v>0</v>
      </c>
      <c r="FF314" s="346">
        <v>0</v>
      </c>
      <c r="FG314" s="346">
        <v>0</v>
      </c>
      <c r="FH314" s="346">
        <v>0</v>
      </c>
      <c r="FI314" s="346">
        <v>0</v>
      </c>
      <c r="FJ314" s="346">
        <v>0</v>
      </c>
      <c r="FK314" s="346">
        <v>0</v>
      </c>
      <c r="FL314" s="346">
        <v>0</v>
      </c>
    </row>
    <row r="315" spans="1:168" x14ac:dyDescent="0.25">
      <c r="A315" s="238">
        <v>4</v>
      </c>
      <c r="B315" s="238" t="s">
        <v>765</v>
      </c>
      <c r="C315" s="249" t="s">
        <v>11</v>
      </c>
      <c r="D315" s="249" t="s">
        <v>11</v>
      </c>
      <c r="E315" s="249" t="s">
        <v>11</v>
      </c>
      <c r="F315" s="249" t="s">
        <v>11</v>
      </c>
      <c r="G315" s="249" t="s">
        <v>11</v>
      </c>
      <c r="H315" s="249" t="s">
        <v>11</v>
      </c>
      <c r="I315" s="249" t="s">
        <v>11</v>
      </c>
      <c r="J315" s="249" t="s">
        <v>11</v>
      </c>
      <c r="K315" s="249" t="s">
        <v>11</v>
      </c>
      <c r="L315" s="249" t="s">
        <v>11</v>
      </c>
      <c r="N315">
        <v>100</v>
      </c>
      <c r="O315" t="s">
        <v>125</v>
      </c>
      <c r="P315" t="s">
        <v>11</v>
      </c>
      <c r="Q315" t="s">
        <v>16</v>
      </c>
      <c r="R315" s="2" t="s">
        <v>12</v>
      </c>
      <c r="S315" s="2" t="s">
        <v>12</v>
      </c>
      <c r="T315" s="2" t="s">
        <v>12</v>
      </c>
      <c r="U315" s="2" t="s">
        <v>12</v>
      </c>
      <c r="V315" s="2" t="s">
        <v>12</v>
      </c>
      <c r="W315" s="2" t="s">
        <v>12</v>
      </c>
      <c r="X315" s="2" t="s">
        <v>12</v>
      </c>
      <c r="Y315" s="2" t="s">
        <v>12</v>
      </c>
      <c r="Z315" s="2" t="s">
        <v>12</v>
      </c>
      <c r="AA315" s="2" t="s">
        <v>12</v>
      </c>
      <c r="AB315" s="2" t="s">
        <v>12</v>
      </c>
      <c r="AC315" s="2" t="s">
        <v>12</v>
      </c>
      <c r="AD315" t="s">
        <v>12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t="s">
        <v>12</v>
      </c>
      <c r="AR315" t="s">
        <v>12</v>
      </c>
      <c r="AS315" t="s">
        <v>12</v>
      </c>
      <c r="AT315" t="s">
        <v>12</v>
      </c>
      <c r="AU315" t="s">
        <v>12</v>
      </c>
      <c r="AV315" t="s">
        <v>12</v>
      </c>
      <c r="AW315" t="s">
        <v>12</v>
      </c>
      <c r="AX315" t="s">
        <v>12</v>
      </c>
      <c r="AY315" t="s">
        <v>12</v>
      </c>
      <c r="AZ315" t="s">
        <v>12</v>
      </c>
      <c r="BA315" t="s">
        <v>12</v>
      </c>
      <c r="BB315" t="s">
        <v>12</v>
      </c>
      <c r="BC315" t="s">
        <v>12</v>
      </c>
      <c r="BD315" t="s">
        <v>12</v>
      </c>
      <c r="BF315" s="313" t="s">
        <v>11</v>
      </c>
      <c r="BG315" s="313" t="s">
        <v>11</v>
      </c>
      <c r="BH315" t="s">
        <v>12</v>
      </c>
      <c r="BI315" t="s">
        <v>12</v>
      </c>
      <c r="BJ315" t="s">
        <v>12</v>
      </c>
      <c r="BK315" t="s">
        <v>12</v>
      </c>
      <c r="BL315" t="s">
        <v>12</v>
      </c>
      <c r="BM315" t="s">
        <v>12</v>
      </c>
      <c r="BN315" t="s">
        <v>12</v>
      </c>
      <c r="BO315" t="s">
        <v>12</v>
      </c>
      <c r="BP315" t="s">
        <v>12</v>
      </c>
      <c r="BQ315" t="s">
        <v>12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 s="9" t="s">
        <v>12</v>
      </c>
      <c r="CF315" s="28" t="s">
        <v>12</v>
      </c>
      <c r="CG315" s="28" t="s">
        <v>12</v>
      </c>
      <c r="CH315" s="28" t="s">
        <v>12</v>
      </c>
      <c r="CI315" s="28" t="s">
        <v>12</v>
      </c>
      <c r="CJ315" s="28" t="s">
        <v>12</v>
      </c>
      <c r="CK315" s="28" t="s">
        <v>12</v>
      </c>
      <c r="CL315" s="28" t="s">
        <v>12</v>
      </c>
      <c r="CM315" s="28" t="s">
        <v>12</v>
      </c>
      <c r="CN315" s="28" t="s">
        <v>12</v>
      </c>
      <c r="CO315" s="28" t="s">
        <v>12</v>
      </c>
      <c r="CP315" s="28" t="s">
        <v>12</v>
      </c>
      <c r="CQ315" s="28" t="s">
        <v>12</v>
      </c>
      <c r="CR315" s="28" t="s">
        <v>12</v>
      </c>
      <c r="CS315" s="28" t="s">
        <v>12</v>
      </c>
      <c r="CT315" s="28" t="s">
        <v>12</v>
      </c>
      <c r="CU315" s="28" t="s">
        <v>12</v>
      </c>
      <c r="CV315" s="28" t="s">
        <v>12</v>
      </c>
      <c r="CW315" s="28" t="s">
        <v>12</v>
      </c>
      <c r="CX315" s="28" t="s">
        <v>12</v>
      </c>
      <c r="CY315" s="28" t="s">
        <v>12</v>
      </c>
      <c r="CZ315" s="28" t="s">
        <v>12</v>
      </c>
      <c r="DA315" s="28" t="s">
        <v>12</v>
      </c>
      <c r="DB315" s="313">
        <v>100</v>
      </c>
      <c r="DC315" s="313" t="s">
        <v>125</v>
      </c>
      <c r="DD315" s="386" t="s">
        <v>12</v>
      </c>
      <c r="DE315" s="386" t="s">
        <v>12</v>
      </c>
      <c r="DF315" s="386" t="s">
        <v>12</v>
      </c>
      <c r="DG315" s="386" t="s">
        <v>12</v>
      </c>
      <c r="DH315" s="386" t="s">
        <v>12</v>
      </c>
      <c r="DI315" s="386" t="s">
        <v>12</v>
      </c>
      <c r="DJ315" s="386" t="s">
        <v>12</v>
      </c>
      <c r="DK315" s="386" t="s">
        <v>12</v>
      </c>
      <c r="DL315" s="386" t="s">
        <v>12</v>
      </c>
      <c r="DM315" s="386" t="s">
        <v>12</v>
      </c>
      <c r="DN315" s="7" t="s">
        <v>12</v>
      </c>
      <c r="DO315" s="7" t="s">
        <v>12</v>
      </c>
      <c r="DP315" s="7" t="s">
        <v>12</v>
      </c>
      <c r="DQ315" s="7" t="s">
        <v>12</v>
      </c>
      <c r="DR315" s="7" t="s">
        <v>12</v>
      </c>
      <c r="DS315" s="7" t="s">
        <v>12</v>
      </c>
      <c r="DT315" s="7" t="s">
        <v>12</v>
      </c>
      <c r="DU315" s="7" t="s">
        <v>12</v>
      </c>
      <c r="DV315" s="7" t="s">
        <v>12</v>
      </c>
      <c r="DW315" s="7" t="s">
        <v>12</v>
      </c>
      <c r="DY315" s="9" t="s">
        <v>11</v>
      </c>
      <c r="EI315" s="423" t="s">
        <v>12</v>
      </c>
      <c r="EJ315" s="423" t="s">
        <v>12</v>
      </c>
      <c r="EK315" s="423" t="s">
        <v>12</v>
      </c>
      <c r="EL315" s="423" t="s">
        <v>12</v>
      </c>
      <c r="EM315" s="423" t="s">
        <v>12</v>
      </c>
      <c r="EN315" s="423" t="s">
        <v>12</v>
      </c>
      <c r="EO315" s="423" t="s">
        <v>12</v>
      </c>
      <c r="EP315" s="423" t="s">
        <v>12</v>
      </c>
      <c r="EQ315" s="423" t="s">
        <v>12</v>
      </c>
      <c r="ER315" s="423" t="s">
        <v>12</v>
      </c>
      <c r="ES315" s="438" t="s">
        <v>12</v>
      </c>
      <c r="ET315" s="438" t="s">
        <v>12</v>
      </c>
      <c r="EU315" s="438" t="s">
        <v>12</v>
      </c>
      <c r="EV315" s="438" t="s">
        <v>12</v>
      </c>
      <c r="EW315" s="438" t="s">
        <v>12</v>
      </c>
      <c r="EX315" s="438" t="s">
        <v>12</v>
      </c>
      <c r="EY315" s="438" t="s">
        <v>12</v>
      </c>
      <c r="EZ315" s="438" t="s">
        <v>12</v>
      </c>
      <c r="FA315" s="438" t="s">
        <v>12</v>
      </c>
      <c r="FB315" s="438" t="s">
        <v>12</v>
      </c>
      <c r="FC315" s="346">
        <v>0</v>
      </c>
      <c r="FD315" s="346">
        <v>0</v>
      </c>
      <c r="FE315" s="346">
        <v>0</v>
      </c>
      <c r="FF315" s="346">
        <v>0</v>
      </c>
      <c r="FG315" s="346">
        <v>0</v>
      </c>
      <c r="FH315" s="346">
        <v>0</v>
      </c>
      <c r="FI315" s="346">
        <v>0</v>
      </c>
      <c r="FJ315" s="346">
        <v>0</v>
      </c>
      <c r="FK315" s="346">
        <v>0</v>
      </c>
      <c r="FL315" s="346">
        <v>0</v>
      </c>
    </row>
    <row r="316" spans="1:168" x14ac:dyDescent="0.25">
      <c r="A316" s="238">
        <v>5</v>
      </c>
      <c r="B316" s="238" t="s">
        <v>767</v>
      </c>
      <c r="C316" s="249" t="s">
        <v>11</v>
      </c>
      <c r="D316" s="249" t="s">
        <v>11</v>
      </c>
      <c r="E316" s="249" t="s">
        <v>11</v>
      </c>
      <c r="F316" s="249" t="s">
        <v>11</v>
      </c>
      <c r="G316" s="249" t="s">
        <v>11</v>
      </c>
      <c r="H316" s="249" t="s">
        <v>11</v>
      </c>
      <c r="I316" s="249" t="s">
        <v>11</v>
      </c>
      <c r="J316" s="249" t="s">
        <v>11</v>
      </c>
      <c r="K316" s="249" t="s">
        <v>11</v>
      </c>
      <c r="L316" s="249" t="s">
        <v>11</v>
      </c>
      <c r="N316">
        <v>101</v>
      </c>
      <c r="O316" t="s">
        <v>126</v>
      </c>
      <c r="P316" t="s">
        <v>126</v>
      </c>
      <c r="Q316" t="s">
        <v>14</v>
      </c>
      <c r="R316" s="2" t="s">
        <v>12</v>
      </c>
      <c r="S316" s="2" t="s">
        <v>12</v>
      </c>
      <c r="T316" s="2" t="s">
        <v>12</v>
      </c>
      <c r="U316" s="2" t="s">
        <v>12</v>
      </c>
      <c r="V316" s="2" t="s">
        <v>12</v>
      </c>
      <c r="W316" s="2" t="s">
        <v>12</v>
      </c>
      <c r="X316" s="2" t="s">
        <v>12</v>
      </c>
      <c r="Y316" s="2" t="s">
        <v>12</v>
      </c>
      <c r="Z316" s="2" t="s">
        <v>12</v>
      </c>
      <c r="AA316" s="2" t="s">
        <v>12</v>
      </c>
      <c r="AB316" s="2" t="s">
        <v>12</v>
      </c>
      <c r="AC316" s="2" t="s">
        <v>12</v>
      </c>
      <c r="AD316" t="s">
        <v>12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t="s">
        <v>12</v>
      </c>
      <c r="AR316" t="s">
        <v>12</v>
      </c>
      <c r="AS316" t="s">
        <v>12</v>
      </c>
      <c r="AT316" t="s">
        <v>12</v>
      </c>
      <c r="AU316" t="s">
        <v>12</v>
      </c>
      <c r="AV316" t="s">
        <v>12</v>
      </c>
      <c r="AW316" t="s">
        <v>12</v>
      </c>
      <c r="AX316" t="s">
        <v>12</v>
      </c>
      <c r="AY316" t="s">
        <v>12</v>
      </c>
      <c r="AZ316" t="s">
        <v>12</v>
      </c>
      <c r="BA316" t="s">
        <v>12</v>
      </c>
      <c r="BB316" t="s">
        <v>12</v>
      </c>
      <c r="BC316" t="s">
        <v>12</v>
      </c>
      <c r="BD316" t="s">
        <v>12</v>
      </c>
      <c r="BF316" s="313" t="s">
        <v>11</v>
      </c>
      <c r="BG316" s="313" t="s">
        <v>11</v>
      </c>
      <c r="BH316" t="s">
        <v>12</v>
      </c>
      <c r="BI316" t="s">
        <v>12</v>
      </c>
      <c r="BJ316" t="s">
        <v>12</v>
      </c>
      <c r="BK316" t="s">
        <v>12</v>
      </c>
      <c r="BL316" t="s">
        <v>12</v>
      </c>
      <c r="BM316" t="s">
        <v>12</v>
      </c>
      <c r="BN316" t="s">
        <v>12</v>
      </c>
      <c r="BO316" t="s">
        <v>12</v>
      </c>
      <c r="BP316" t="s">
        <v>12</v>
      </c>
      <c r="BQ316" t="s">
        <v>12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 s="9" t="s">
        <v>12</v>
      </c>
      <c r="CF316" s="28" t="s">
        <v>12</v>
      </c>
      <c r="CG316" s="28" t="s">
        <v>12</v>
      </c>
      <c r="CH316" s="28" t="s">
        <v>12</v>
      </c>
      <c r="CI316" s="28" t="s">
        <v>12</v>
      </c>
      <c r="CJ316" s="28" t="s">
        <v>12</v>
      </c>
      <c r="CK316" s="28" t="s">
        <v>12</v>
      </c>
      <c r="CL316" s="28" t="s">
        <v>12</v>
      </c>
      <c r="CM316" s="28" t="s">
        <v>12</v>
      </c>
      <c r="CN316" s="28" t="s">
        <v>12</v>
      </c>
      <c r="CO316" s="28" t="s">
        <v>12</v>
      </c>
      <c r="CP316" s="28" t="s">
        <v>12</v>
      </c>
      <c r="CQ316" s="28" t="s">
        <v>12</v>
      </c>
      <c r="CR316" s="28" t="s">
        <v>12</v>
      </c>
      <c r="CS316" s="28" t="s">
        <v>12</v>
      </c>
      <c r="CT316" s="28" t="s">
        <v>12</v>
      </c>
      <c r="CU316" s="28" t="s">
        <v>12</v>
      </c>
      <c r="CV316" s="28" t="s">
        <v>12</v>
      </c>
      <c r="CW316" s="28" t="s">
        <v>12</v>
      </c>
      <c r="CX316" s="28" t="s">
        <v>12</v>
      </c>
      <c r="CY316" s="28" t="s">
        <v>12</v>
      </c>
      <c r="CZ316" s="28" t="s">
        <v>12</v>
      </c>
      <c r="DA316" s="28" t="s">
        <v>12</v>
      </c>
      <c r="DB316" s="313">
        <v>101</v>
      </c>
      <c r="DC316" s="313" t="s">
        <v>126</v>
      </c>
      <c r="DD316" s="386" t="s">
        <v>12</v>
      </c>
      <c r="DE316" s="386" t="s">
        <v>12</v>
      </c>
      <c r="DF316" s="386" t="s">
        <v>12</v>
      </c>
      <c r="DG316" s="386" t="s">
        <v>12</v>
      </c>
      <c r="DH316" s="386" t="s">
        <v>12</v>
      </c>
      <c r="DI316" s="386" t="s">
        <v>12</v>
      </c>
      <c r="DJ316" s="386" t="s">
        <v>12</v>
      </c>
      <c r="DK316" s="386" t="s">
        <v>12</v>
      </c>
      <c r="DL316" s="386" t="s">
        <v>12</v>
      </c>
      <c r="DM316" s="386" t="s">
        <v>12</v>
      </c>
      <c r="DN316" s="7" t="s">
        <v>12</v>
      </c>
      <c r="DO316" s="7" t="s">
        <v>12</v>
      </c>
      <c r="DP316" s="7" t="s">
        <v>12</v>
      </c>
      <c r="DQ316" s="7" t="s">
        <v>12</v>
      </c>
      <c r="DR316" s="7" t="s">
        <v>12</v>
      </c>
      <c r="DS316" s="7" t="s">
        <v>12</v>
      </c>
      <c r="DT316" s="7" t="s">
        <v>12</v>
      </c>
      <c r="DU316" s="7" t="s">
        <v>12</v>
      </c>
      <c r="DV316" s="7" t="s">
        <v>12</v>
      </c>
      <c r="DW316" s="7" t="s">
        <v>12</v>
      </c>
      <c r="DY316" s="9">
        <v>3777067</v>
      </c>
      <c r="EI316" s="423" t="s">
        <v>12</v>
      </c>
      <c r="EJ316" s="423" t="s">
        <v>12</v>
      </c>
      <c r="EK316" s="423" t="s">
        <v>12</v>
      </c>
      <c r="EL316" s="423" t="s">
        <v>12</v>
      </c>
      <c r="EM316" s="423" t="s">
        <v>12</v>
      </c>
      <c r="EN316" s="423" t="s">
        <v>12</v>
      </c>
      <c r="EO316" s="423" t="s">
        <v>12</v>
      </c>
      <c r="EP316" s="423" t="s">
        <v>12</v>
      </c>
      <c r="EQ316" s="423" t="s">
        <v>12</v>
      </c>
      <c r="ER316" s="423" t="s">
        <v>12</v>
      </c>
      <c r="ES316" s="438" t="s">
        <v>12</v>
      </c>
      <c r="ET316" s="438" t="s">
        <v>12</v>
      </c>
      <c r="EU316" s="438" t="s">
        <v>12</v>
      </c>
      <c r="EV316" s="438" t="s">
        <v>12</v>
      </c>
      <c r="EW316" s="438" t="s">
        <v>12</v>
      </c>
      <c r="EX316" s="438" t="s">
        <v>12</v>
      </c>
      <c r="EY316" s="438" t="s">
        <v>12</v>
      </c>
      <c r="EZ316" s="438" t="s">
        <v>12</v>
      </c>
      <c r="FA316" s="438" t="s">
        <v>12</v>
      </c>
      <c r="FB316" s="438" t="s">
        <v>12</v>
      </c>
      <c r="FC316" s="346">
        <v>0</v>
      </c>
      <c r="FD316" s="346">
        <v>0</v>
      </c>
      <c r="FE316" s="346">
        <v>0</v>
      </c>
      <c r="FF316" s="346">
        <v>0</v>
      </c>
      <c r="FG316" s="346">
        <v>0</v>
      </c>
      <c r="FH316" s="346">
        <v>0</v>
      </c>
      <c r="FI316" s="346">
        <v>0</v>
      </c>
      <c r="FJ316" s="346">
        <v>0</v>
      </c>
      <c r="FK316" s="346">
        <v>0</v>
      </c>
      <c r="FL316" s="346">
        <v>0</v>
      </c>
    </row>
    <row r="317" spans="1:168" x14ac:dyDescent="0.25">
      <c r="A317" s="238">
        <v>6</v>
      </c>
      <c r="B317" s="238" t="s">
        <v>768</v>
      </c>
      <c r="C317" s="249" t="s">
        <v>11</v>
      </c>
      <c r="D317" s="249" t="s">
        <v>11</v>
      </c>
      <c r="E317" s="249" t="s">
        <v>11</v>
      </c>
      <c r="F317" s="249" t="s">
        <v>11</v>
      </c>
      <c r="G317" s="249" t="s">
        <v>11</v>
      </c>
      <c r="H317" s="249" t="s">
        <v>11</v>
      </c>
      <c r="I317" s="249" t="s">
        <v>11</v>
      </c>
      <c r="J317" s="249" t="s">
        <v>11</v>
      </c>
      <c r="K317" s="249" t="s">
        <v>11</v>
      </c>
      <c r="L317" s="249" t="s">
        <v>11</v>
      </c>
      <c r="N317">
        <v>102</v>
      </c>
      <c r="O317" t="s">
        <v>127</v>
      </c>
      <c r="P317" t="s">
        <v>127</v>
      </c>
      <c r="Q317" t="s">
        <v>14</v>
      </c>
      <c r="R317" s="2" t="s">
        <v>12</v>
      </c>
      <c r="S317" s="2" t="s">
        <v>12</v>
      </c>
      <c r="T317" s="2" t="s">
        <v>12</v>
      </c>
      <c r="U317" s="2" t="s">
        <v>12</v>
      </c>
      <c r="V317" s="2" t="s">
        <v>12</v>
      </c>
      <c r="W317" s="2" t="s">
        <v>12</v>
      </c>
      <c r="X317" s="2" t="s">
        <v>12</v>
      </c>
      <c r="Y317" s="2" t="s">
        <v>12</v>
      </c>
      <c r="Z317" s="2" t="s">
        <v>12</v>
      </c>
      <c r="AA317" s="2" t="s">
        <v>12</v>
      </c>
      <c r="AB317" s="2" t="s">
        <v>12</v>
      </c>
      <c r="AC317" s="2" t="s">
        <v>12</v>
      </c>
      <c r="AD317" t="s">
        <v>12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t="s">
        <v>12</v>
      </c>
      <c r="AR317" t="s">
        <v>12</v>
      </c>
      <c r="AS317" t="s">
        <v>12</v>
      </c>
      <c r="AT317" t="s">
        <v>12</v>
      </c>
      <c r="AU317" t="s">
        <v>12</v>
      </c>
      <c r="AV317" t="s">
        <v>12</v>
      </c>
      <c r="AW317" t="s">
        <v>12</v>
      </c>
      <c r="AX317" t="s">
        <v>12</v>
      </c>
      <c r="AY317" t="s">
        <v>12</v>
      </c>
      <c r="AZ317" t="s">
        <v>12</v>
      </c>
      <c r="BA317" t="s">
        <v>12</v>
      </c>
      <c r="BB317" t="s">
        <v>12</v>
      </c>
      <c r="BC317" t="s">
        <v>12</v>
      </c>
      <c r="BD317" t="s">
        <v>12</v>
      </c>
      <c r="BF317" s="313" t="s">
        <v>11</v>
      </c>
      <c r="BG317" s="313" t="s">
        <v>11</v>
      </c>
      <c r="BH317" t="s">
        <v>12</v>
      </c>
      <c r="BI317" t="s">
        <v>12</v>
      </c>
      <c r="BJ317" t="s">
        <v>12</v>
      </c>
      <c r="BK317" t="s">
        <v>12</v>
      </c>
      <c r="BL317" t="s">
        <v>12</v>
      </c>
      <c r="BM317" t="s">
        <v>12</v>
      </c>
      <c r="BN317" t="s">
        <v>12</v>
      </c>
      <c r="BO317" t="s">
        <v>12</v>
      </c>
      <c r="BP317" t="s">
        <v>12</v>
      </c>
      <c r="BQ317" t="s">
        <v>12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 s="9" t="s">
        <v>12</v>
      </c>
      <c r="CF317" s="28" t="s">
        <v>12</v>
      </c>
      <c r="CG317" s="28" t="s">
        <v>12</v>
      </c>
      <c r="CH317" s="28" t="s">
        <v>12</v>
      </c>
      <c r="CI317" s="28" t="s">
        <v>12</v>
      </c>
      <c r="CJ317" s="28" t="s">
        <v>12</v>
      </c>
      <c r="CK317" s="28" t="s">
        <v>12</v>
      </c>
      <c r="CL317" s="28" t="s">
        <v>12</v>
      </c>
      <c r="CM317" s="28" t="s">
        <v>12</v>
      </c>
      <c r="CN317" s="28" t="s">
        <v>12</v>
      </c>
      <c r="CO317" s="28" t="s">
        <v>12</v>
      </c>
      <c r="CP317" s="28" t="s">
        <v>12</v>
      </c>
      <c r="CQ317" s="28" t="s">
        <v>12</v>
      </c>
      <c r="CR317" s="28" t="s">
        <v>12</v>
      </c>
      <c r="CS317" s="28" t="s">
        <v>12</v>
      </c>
      <c r="CT317" s="28" t="s">
        <v>12</v>
      </c>
      <c r="CU317" s="28" t="s">
        <v>12</v>
      </c>
      <c r="CV317" s="28" t="s">
        <v>12</v>
      </c>
      <c r="CW317" s="28" t="s">
        <v>12</v>
      </c>
      <c r="CX317" s="28" t="s">
        <v>12</v>
      </c>
      <c r="CY317" s="28" t="s">
        <v>12</v>
      </c>
      <c r="CZ317" s="28" t="s">
        <v>12</v>
      </c>
      <c r="DA317" s="28" t="s">
        <v>12</v>
      </c>
      <c r="DB317" s="313">
        <v>102</v>
      </c>
      <c r="DC317" s="313" t="s">
        <v>127</v>
      </c>
      <c r="DD317" s="386" t="s">
        <v>12</v>
      </c>
      <c r="DE317" s="386" t="s">
        <v>12</v>
      </c>
      <c r="DF317" s="386" t="s">
        <v>12</v>
      </c>
      <c r="DG317" s="386" t="s">
        <v>12</v>
      </c>
      <c r="DH317" s="386" t="s">
        <v>12</v>
      </c>
      <c r="DI317" s="386" t="s">
        <v>12</v>
      </c>
      <c r="DJ317" s="386" t="s">
        <v>12</v>
      </c>
      <c r="DK317" s="386" t="s">
        <v>12</v>
      </c>
      <c r="DL317" s="386" t="s">
        <v>12</v>
      </c>
      <c r="DM317" s="386" t="s">
        <v>12</v>
      </c>
      <c r="DN317" s="7" t="s">
        <v>12</v>
      </c>
      <c r="DO317" s="7" t="s">
        <v>12</v>
      </c>
      <c r="DP317" s="7" t="s">
        <v>12</v>
      </c>
      <c r="DQ317" s="7" t="s">
        <v>12</v>
      </c>
      <c r="DR317" s="7" t="s">
        <v>12</v>
      </c>
      <c r="DS317" s="7" t="s">
        <v>12</v>
      </c>
      <c r="DT317" s="7" t="s">
        <v>12</v>
      </c>
      <c r="DU317" s="7" t="s">
        <v>12</v>
      </c>
      <c r="DV317" s="7" t="s">
        <v>12</v>
      </c>
      <c r="DW317" s="7" t="s">
        <v>12</v>
      </c>
      <c r="DY317" s="9">
        <v>1255882</v>
      </c>
      <c r="EI317" s="423" t="s">
        <v>12</v>
      </c>
      <c r="EJ317" s="423" t="s">
        <v>12</v>
      </c>
      <c r="EK317" s="423" t="s">
        <v>12</v>
      </c>
      <c r="EL317" s="423" t="s">
        <v>12</v>
      </c>
      <c r="EM317" s="423" t="s">
        <v>12</v>
      </c>
      <c r="EN317" s="423" t="s">
        <v>12</v>
      </c>
      <c r="EO317" s="423" t="s">
        <v>12</v>
      </c>
      <c r="EP317" s="423" t="s">
        <v>12</v>
      </c>
      <c r="EQ317" s="423" t="s">
        <v>12</v>
      </c>
      <c r="ER317" s="423" t="s">
        <v>12</v>
      </c>
      <c r="ES317" s="438" t="s">
        <v>12</v>
      </c>
      <c r="ET317" s="438" t="s">
        <v>12</v>
      </c>
      <c r="EU317" s="438" t="s">
        <v>12</v>
      </c>
      <c r="EV317" s="438" t="s">
        <v>12</v>
      </c>
      <c r="EW317" s="438" t="s">
        <v>12</v>
      </c>
      <c r="EX317" s="438" t="s">
        <v>12</v>
      </c>
      <c r="EY317" s="438" t="s">
        <v>12</v>
      </c>
      <c r="EZ317" s="438" t="s">
        <v>12</v>
      </c>
      <c r="FA317" s="438" t="s">
        <v>12</v>
      </c>
      <c r="FB317" s="438" t="s">
        <v>12</v>
      </c>
      <c r="FC317" s="346">
        <v>0</v>
      </c>
      <c r="FD317" s="346">
        <v>0</v>
      </c>
      <c r="FE317" s="346">
        <v>0</v>
      </c>
      <c r="FF317" s="346">
        <v>0</v>
      </c>
      <c r="FG317" s="346">
        <v>0</v>
      </c>
      <c r="FH317" s="346">
        <v>0</v>
      </c>
      <c r="FI317" s="346">
        <v>0</v>
      </c>
      <c r="FJ317" s="346">
        <v>0</v>
      </c>
      <c r="FK317" s="346">
        <v>0</v>
      </c>
      <c r="FL317" s="346">
        <v>0</v>
      </c>
    </row>
    <row r="318" spans="1:168" x14ac:dyDescent="0.25">
      <c r="A318" s="238">
        <v>7</v>
      </c>
      <c r="B318" s="238" t="s">
        <v>770</v>
      </c>
      <c r="C318" s="249" t="s">
        <v>11</v>
      </c>
      <c r="D318" s="249" t="s">
        <v>11</v>
      </c>
      <c r="E318" s="249" t="s">
        <v>11</v>
      </c>
      <c r="F318" s="249" t="s">
        <v>11</v>
      </c>
      <c r="G318" s="249" t="s">
        <v>11</v>
      </c>
      <c r="H318" s="249" t="s">
        <v>11</v>
      </c>
      <c r="I318" s="249" t="s">
        <v>11</v>
      </c>
      <c r="J318" s="249" t="s">
        <v>11</v>
      </c>
      <c r="K318" s="249" t="s">
        <v>11</v>
      </c>
      <c r="L318" s="249" t="s">
        <v>11</v>
      </c>
      <c r="N318">
        <v>103</v>
      </c>
      <c r="O318" t="s">
        <v>128</v>
      </c>
      <c r="P318" t="s">
        <v>128</v>
      </c>
      <c r="Q318" t="s">
        <v>33</v>
      </c>
      <c r="R318" s="2" t="s">
        <v>12</v>
      </c>
      <c r="S318" s="2">
        <v>868708</v>
      </c>
      <c r="T318" s="2" t="s">
        <v>12</v>
      </c>
      <c r="U318" s="2" t="s">
        <v>12</v>
      </c>
      <c r="V318" s="2" t="s">
        <v>12</v>
      </c>
      <c r="W318" s="2" t="s">
        <v>12</v>
      </c>
      <c r="X318" s="2" t="s">
        <v>12</v>
      </c>
      <c r="Y318" s="2" t="s">
        <v>12</v>
      </c>
      <c r="Z318" s="2" t="s">
        <v>12</v>
      </c>
      <c r="AA318" s="2" t="s">
        <v>12</v>
      </c>
      <c r="AB318" s="2" t="s">
        <v>12</v>
      </c>
      <c r="AC318" s="2" t="s">
        <v>12</v>
      </c>
      <c r="AD318">
        <v>2012</v>
      </c>
      <c r="AE318" s="2">
        <v>0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t="s">
        <v>12</v>
      </c>
      <c r="AR318">
        <v>2012</v>
      </c>
      <c r="AS318" t="s">
        <v>12</v>
      </c>
      <c r="AT318" t="s">
        <v>12</v>
      </c>
      <c r="AU318" t="s">
        <v>12</v>
      </c>
      <c r="AV318" t="s">
        <v>12</v>
      </c>
      <c r="AW318" t="s">
        <v>12</v>
      </c>
      <c r="AX318" t="s">
        <v>12</v>
      </c>
      <c r="AY318" t="s">
        <v>12</v>
      </c>
      <c r="AZ318" t="s">
        <v>12</v>
      </c>
      <c r="BA318">
        <v>2012</v>
      </c>
      <c r="BB318">
        <v>6</v>
      </c>
      <c r="BC318" t="s">
        <v>128</v>
      </c>
      <c r="BD318">
        <v>2012</v>
      </c>
      <c r="BF318" s="313" t="s">
        <v>11</v>
      </c>
      <c r="BG318" s="313" t="s">
        <v>11</v>
      </c>
      <c r="BH318" t="s">
        <v>12</v>
      </c>
      <c r="BI318" t="s">
        <v>12</v>
      </c>
      <c r="BJ318" t="s">
        <v>12</v>
      </c>
      <c r="BK318" t="s">
        <v>12</v>
      </c>
      <c r="BL318" t="s">
        <v>12</v>
      </c>
      <c r="BM318" t="s">
        <v>12</v>
      </c>
      <c r="BN318" t="s">
        <v>12</v>
      </c>
      <c r="BO318" t="s">
        <v>12</v>
      </c>
      <c r="BP318" t="s">
        <v>12</v>
      </c>
      <c r="BQ318" t="s">
        <v>12</v>
      </c>
      <c r="BS318">
        <v>0</v>
      </c>
      <c r="BT318">
        <v>7730143.191369893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 s="9" t="s">
        <v>12</v>
      </c>
      <c r="CF318" s="28" t="s">
        <v>12</v>
      </c>
      <c r="CG318" s="28">
        <v>2.4976818130429614</v>
      </c>
      <c r="CH318" s="28" t="s">
        <v>12</v>
      </c>
      <c r="CI318" s="28" t="s">
        <v>12</v>
      </c>
      <c r="CJ318" s="28" t="s">
        <v>12</v>
      </c>
      <c r="CK318" s="28" t="s">
        <v>12</v>
      </c>
      <c r="CL318" s="28" t="s">
        <v>12</v>
      </c>
      <c r="CM318" s="28" t="s">
        <v>12</v>
      </c>
      <c r="CN318" s="28" t="s">
        <v>12</v>
      </c>
      <c r="CO318" s="28" t="s">
        <v>12</v>
      </c>
      <c r="CP318" s="28">
        <v>2.4976818130429614</v>
      </c>
      <c r="CQ318" s="28" t="s">
        <v>12</v>
      </c>
      <c r="CR318" s="28">
        <v>1.8732613597822212</v>
      </c>
      <c r="CS318" s="28" t="s">
        <v>12</v>
      </c>
      <c r="CT318" s="28" t="s">
        <v>12</v>
      </c>
      <c r="CU318" s="28" t="s">
        <v>12</v>
      </c>
      <c r="CV318" s="28" t="s">
        <v>12</v>
      </c>
      <c r="CW318" s="28" t="s">
        <v>12</v>
      </c>
      <c r="CX318" s="28" t="s">
        <v>12</v>
      </c>
      <c r="CY318" s="28" t="s">
        <v>12</v>
      </c>
      <c r="CZ318" s="28" t="s">
        <v>12</v>
      </c>
      <c r="DA318" s="28">
        <v>1.8732613597822212</v>
      </c>
      <c r="DB318" s="313">
        <v>103</v>
      </c>
      <c r="DC318" s="313" t="s">
        <v>128</v>
      </c>
      <c r="DD318" s="386" t="s">
        <v>12</v>
      </c>
      <c r="DE318" s="386" t="s">
        <v>12</v>
      </c>
      <c r="DF318" s="386" t="s">
        <v>12</v>
      </c>
      <c r="DG318" s="386" t="s">
        <v>12</v>
      </c>
      <c r="DH318" s="386" t="s">
        <v>12</v>
      </c>
      <c r="DI318" s="386" t="s">
        <v>12</v>
      </c>
      <c r="DJ318" s="386" t="s">
        <v>12</v>
      </c>
      <c r="DK318" s="386" t="s">
        <v>12</v>
      </c>
      <c r="DL318" s="386" t="s">
        <v>12</v>
      </c>
      <c r="DM318" s="386" t="s">
        <v>12</v>
      </c>
      <c r="DN318" s="7" t="s">
        <v>12</v>
      </c>
      <c r="DO318" s="7" t="s">
        <v>12</v>
      </c>
      <c r="DP318" s="7" t="s">
        <v>12</v>
      </c>
      <c r="DQ318" s="7" t="s">
        <v>12</v>
      </c>
      <c r="DR318" s="7" t="s">
        <v>12</v>
      </c>
      <c r="DS318" s="7" t="s">
        <v>12</v>
      </c>
      <c r="DT318" s="7" t="s">
        <v>12</v>
      </c>
      <c r="DU318" s="7" t="s">
        <v>12</v>
      </c>
      <c r="DV318" s="7" t="s">
        <v>12</v>
      </c>
      <c r="DW318" s="7" t="s">
        <v>12</v>
      </c>
      <c r="DY318" s="9">
        <v>122070963</v>
      </c>
      <c r="EI318" s="423" t="s">
        <v>12</v>
      </c>
      <c r="EJ318" s="423">
        <v>0</v>
      </c>
      <c r="EK318" s="423" t="s">
        <v>12</v>
      </c>
      <c r="EL318" s="423" t="s">
        <v>12</v>
      </c>
      <c r="EM318" s="423" t="s">
        <v>12</v>
      </c>
      <c r="EN318" s="423" t="s">
        <v>12</v>
      </c>
      <c r="EO318" s="423" t="s">
        <v>12</v>
      </c>
      <c r="EP318" s="423" t="s">
        <v>12</v>
      </c>
      <c r="EQ318" s="423" t="s">
        <v>12</v>
      </c>
      <c r="ER318" s="423" t="s">
        <v>12</v>
      </c>
      <c r="ES318" s="438">
        <v>1</v>
      </c>
      <c r="ET318" s="438">
        <v>868708</v>
      </c>
      <c r="EU318" s="438">
        <v>1</v>
      </c>
      <c r="EV318" s="438">
        <v>1</v>
      </c>
      <c r="EW318" s="438">
        <v>1</v>
      </c>
      <c r="EX318" s="438">
        <v>1</v>
      </c>
      <c r="EY318" s="438">
        <v>1</v>
      </c>
      <c r="EZ318" s="438">
        <v>1</v>
      </c>
      <c r="FA318" s="438">
        <v>1</v>
      </c>
      <c r="FB318" s="438" t="s">
        <v>12</v>
      </c>
      <c r="FC318" s="346">
        <v>0</v>
      </c>
      <c r="FD318" s="346">
        <v>1172227.9533529226</v>
      </c>
      <c r="FE318" s="346">
        <v>0</v>
      </c>
      <c r="FF318" s="346">
        <v>0</v>
      </c>
      <c r="FG318" s="346">
        <v>0</v>
      </c>
      <c r="FH318" s="346">
        <v>0</v>
      </c>
      <c r="FI318" s="346">
        <v>0</v>
      </c>
      <c r="FJ318" s="346">
        <v>0</v>
      </c>
      <c r="FK318" s="346">
        <v>0</v>
      </c>
      <c r="FL318" s="346">
        <v>0</v>
      </c>
    </row>
    <row r="319" spans="1:168" x14ac:dyDescent="0.25">
      <c r="A319" s="238">
        <v>8</v>
      </c>
      <c r="B319" s="238" t="s">
        <v>771</v>
      </c>
      <c r="C319" s="249" t="s">
        <v>11</v>
      </c>
      <c r="D319" s="249" t="s">
        <v>11</v>
      </c>
      <c r="E319" s="249" t="s">
        <v>11</v>
      </c>
      <c r="F319" s="249" t="s">
        <v>11</v>
      </c>
      <c r="G319" s="249" t="s">
        <v>11</v>
      </c>
      <c r="H319" s="249" t="s">
        <v>11</v>
      </c>
      <c r="I319" s="249" t="s">
        <v>11</v>
      </c>
      <c r="J319" s="249" t="s">
        <v>11</v>
      </c>
      <c r="K319" s="249" t="s">
        <v>11</v>
      </c>
      <c r="L319" s="249" t="s">
        <v>11</v>
      </c>
      <c r="N319">
        <v>104</v>
      </c>
      <c r="O319" t="s">
        <v>129</v>
      </c>
      <c r="P319" t="s">
        <v>129</v>
      </c>
      <c r="Q319" t="s">
        <v>7</v>
      </c>
      <c r="R319" s="2" t="s">
        <v>12</v>
      </c>
      <c r="S319" s="2" t="s">
        <v>12</v>
      </c>
      <c r="T319" s="2" t="s">
        <v>12</v>
      </c>
      <c r="U319" s="2" t="s">
        <v>12</v>
      </c>
      <c r="V319" s="2" t="s">
        <v>12</v>
      </c>
      <c r="W319" s="2" t="s">
        <v>12</v>
      </c>
      <c r="X319" s="2" t="s">
        <v>12</v>
      </c>
      <c r="Y319" s="2" t="s">
        <v>12</v>
      </c>
      <c r="Z319" s="2" t="s">
        <v>12</v>
      </c>
      <c r="AA319" s="2" t="s">
        <v>12</v>
      </c>
      <c r="AB319" s="2" t="s">
        <v>12</v>
      </c>
      <c r="AC319" s="2" t="s">
        <v>12</v>
      </c>
      <c r="AD319" t="s">
        <v>12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t="s">
        <v>12</v>
      </c>
      <c r="AR319" t="s">
        <v>12</v>
      </c>
      <c r="AS319" t="s">
        <v>12</v>
      </c>
      <c r="AT319" t="s">
        <v>12</v>
      </c>
      <c r="AU319" t="s">
        <v>12</v>
      </c>
      <c r="AV319" t="s">
        <v>12</v>
      </c>
      <c r="AW319" t="s">
        <v>12</v>
      </c>
      <c r="AX319" t="s">
        <v>12</v>
      </c>
      <c r="AY319" t="s">
        <v>12</v>
      </c>
      <c r="AZ319" t="s">
        <v>12</v>
      </c>
      <c r="BA319" t="s">
        <v>12</v>
      </c>
      <c r="BB319" t="s">
        <v>12</v>
      </c>
      <c r="BC319" t="s">
        <v>12</v>
      </c>
      <c r="BD319" t="s">
        <v>12</v>
      </c>
      <c r="BF319" s="313" t="s">
        <v>11</v>
      </c>
      <c r="BG319" s="313" t="s">
        <v>11</v>
      </c>
      <c r="BH319" t="s">
        <v>12</v>
      </c>
      <c r="BI319" t="s">
        <v>12</v>
      </c>
      <c r="BJ319" t="s">
        <v>12</v>
      </c>
      <c r="BK319" t="s">
        <v>12</v>
      </c>
      <c r="BL319" t="s">
        <v>12</v>
      </c>
      <c r="BM319" t="s">
        <v>12</v>
      </c>
      <c r="BN319" t="s">
        <v>12</v>
      </c>
      <c r="BO319" t="s">
        <v>12</v>
      </c>
      <c r="BP319" t="s">
        <v>12</v>
      </c>
      <c r="BQ319" t="s">
        <v>12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 s="9" t="s">
        <v>12</v>
      </c>
      <c r="CF319" s="28" t="s">
        <v>12</v>
      </c>
      <c r="CG319" s="28" t="s">
        <v>12</v>
      </c>
      <c r="CH319" s="28" t="s">
        <v>12</v>
      </c>
      <c r="CI319" s="28" t="s">
        <v>12</v>
      </c>
      <c r="CJ319" s="28" t="s">
        <v>12</v>
      </c>
      <c r="CK319" s="28" t="s">
        <v>12</v>
      </c>
      <c r="CL319" s="28" t="s">
        <v>12</v>
      </c>
      <c r="CM319" s="28" t="s">
        <v>12</v>
      </c>
      <c r="CN319" s="28" t="s">
        <v>12</v>
      </c>
      <c r="CO319" s="28" t="s">
        <v>12</v>
      </c>
      <c r="CP319" s="28" t="s">
        <v>12</v>
      </c>
      <c r="CQ319" s="28" t="s">
        <v>12</v>
      </c>
      <c r="CR319" s="28" t="s">
        <v>12</v>
      </c>
      <c r="CS319" s="28" t="s">
        <v>12</v>
      </c>
      <c r="CT319" s="28" t="s">
        <v>12</v>
      </c>
      <c r="CU319" s="28" t="s">
        <v>12</v>
      </c>
      <c r="CV319" s="28" t="s">
        <v>12</v>
      </c>
      <c r="CW319" s="28" t="s">
        <v>12</v>
      </c>
      <c r="CX319" s="28" t="s">
        <v>12</v>
      </c>
      <c r="CY319" s="28" t="s">
        <v>12</v>
      </c>
      <c r="CZ319" s="28" t="s">
        <v>12</v>
      </c>
      <c r="DA319" s="28" t="s">
        <v>12</v>
      </c>
      <c r="DB319" s="313">
        <v>104</v>
      </c>
      <c r="DC319" s="313" t="s">
        <v>129</v>
      </c>
      <c r="DD319" s="386" t="s">
        <v>12</v>
      </c>
      <c r="DE319" s="386" t="s">
        <v>12</v>
      </c>
      <c r="DF319" s="386" t="s">
        <v>12</v>
      </c>
      <c r="DG319" s="386" t="s">
        <v>12</v>
      </c>
      <c r="DH319" s="386" t="s">
        <v>12</v>
      </c>
      <c r="DI319" s="386" t="s">
        <v>12</v>
      </c>
      <c r="DJ319" s="386" t="s">
        <v>12</v>
      </c>
      <c r="DK319" s="386" t="s">
        <v>12</v>
      </c>
      <c r="DL319" s="386" t="s">
        <v>12</v>
      </c>
      <c r="DM319" s="386" t="s">
        <v>12</v>
      </c>
      <c r="DN319" s="7" t="s">
        <v>12</v>
      </c>
      <c r="DO319" s="7" t="s">
        <v>12</v>
      </c>
      <c r="DP319" s="7" t="s">
        <v>12</v>
      </c>
      <c r="DQ319" s="7" t="s">
        <v>12</v>
      </c>
      <c r="DR319" s="7" t="s">
        <v>12</v>
      </c>
      <c r="DS319" s="7" t="s">
        <v>12</v>
      </c>
      <c r="DT319" s="7" t="s">
        <v>12</v>
      </c>
      <c r="DU319" s="7" t="s">
        <v>12</v>
      </c>
      <c r="DV319" s="7" t="s">
        <v>12</v>
      </c>
      <c r="DW319" s="7" t="s">
        <v>12</v>
      </c>
      <c r="DY319" s="9">
        <v>3559519</v>
      </c>
      <c r="EI319" s="423" t="s">
        <v>12</v>
      </c>
      <c r="EJ319" s="423" t="s">
        <v>12</v>
      </c>
      <c r="EK319" s="423" t="s">
        <v>12</v>
      </c>
      <c r="EL319" s="423" t="s">
        <v>12</v>
      </c>
      <c r="EM319" s="423" t="s">
        <v>12</v>
      </c>
      <c r="EN319" s="423" t="s">
        <v>12</v>
      </c>
      <c r="EO319" s="423" t="s">
        <v>12</v>
      </c>
      <c r="EP319" s="423" t="s">
        <v>12</v>
      </c>
      <c r="EQ319" s="423" t="s">
        <v>12</v>
      </c>
      <c r="ER319" s="423" t="s">
        <v>12</v>
      </c>
      <c r="ES319" s="438" t="s">
        <v>12</v>
      </c>
      <c r="ET319" s="438" t="s">
        <v>12</v>
      </c>
      <c r="EU319" s="438" t="s">
        <v>12</v>
      </c>
      <c r="EV319" s="438" t="s">
        <v>12</v>
      </c>
      <c r="EW319" s="438" t="s">
        <v>12</v>
      </c>
      <c r="EX319" s="438" t="s">
        <v>12</v>
      </c>
      <c r="EY319" s="438" t="s">
        <v>12</v>
      </c>
      <c r="EZ319" s="438" t="s">
        <v>12</v>
      </c>
      <c r="FA319" s="438" t="s">
        <v>12</v>
      </c>
      <c r="FB319" s="438" t="s">
        <v>12</v>
      </c>
      <c r="FC319" s="346">
        <v>0</v>
      </c>
      <c r="FD319" s="346">
        <v>0</v>
      </c>
      <c r="FE319" s="346">
        <v>0</v>
      </c>
      <c r="FF319" s="346">
        <v>0</v>
      </c>
      <c r="FG319" s="346">
        <v>0</v>
      </c>
      <c r="FH319" s="346">
        <v>0</v>
      </c>
      <c r="FI319" s="346">
        <v>0</v>
      </c>
      <c r="FJ319" s="346">
        <v>0</v>
      </c>
      <c r="FK319" s="346">
        <v>0</v>
      </c>
      <c r="FL319" s="346">
        <v>0</v>
      </c>
    </row>
    <row r="320" spans="1:168" x14ac:dyDescent="0.25">
      <c r="A320" s="238">
        <v>9</v>
      </c>
      <c r="B320" s="238" t="s">
        <v>772</v>
      </c>
      <c r="C320" s="249" t="s">
        <v>11</v>
      </c>
      <c r="D320" s="249" t="s">
        <v>11</v>
      </c>
      <c r="E320" s="249" t="s">
        <v>11</v>
      </c>
      <c r="F320" s="249" t="s">
        <v>11</v>
      </c>
      <c r="G320" s="249" t="s">
        <v>11</v>
      </c>
      <c r="H320" s="249" t="s">
        <v>11</v>
      </c>
      <c r="I320" s="249" t="s">
        <v>11</v>
      </c>
      <c r="J320" s="249" t="s">
        <v>11</v>
      </c>
      <c r="K320" s="249" t="s">
        <v>11</v>
      </c>
      <c r="L320" s="249" t="s">
        <v>11</v>
      </c>
      <c r="N320">
        <v>105</v>
      </c>
      <c r="O320" t="s">
        <v>130</v>
      </c>
      <c r="P320" t="s">
        <v>11</v>
      </c>
      <c r="Q320" t="s">
        <v>7</v>
      </c>
      <c r="R320" s="2" t="s">
        <v>12</v>
      </c>
      <c r="S320" s="2" t="s">
        <v>12</v>
      </c>
      <c r="T320" s="2" t="s">
        <v>12</v>
      </c>
      <c r="U320" s="2" t="s">
        <v>12</v>
      </c>
      <c r="V320" s="2" t="s">
        <v>12</v>
      </c>
      <c r="W320" s="2" t="s">
        <v>12</v>
      </c>
      <c r="X320" s="2" t="s">
        <v>12</v>
      </c>
      <c r="Y320" s="2" t="s">
        <v>12</v>
      </c>
      <c r="Z320" s="2" t="s">
        <v>12</v>
      </c>
      <c r="AA320" s="2" t="s">
        <v>12</v>
      </c>
      <c r="AB320" s="2" t="s">
        <v>12</v>
      </c>
      <c r="AC320" s="2" t="s">
        <v>12</v>
      </c>
      <c r="AD320" t="s">
        <v>12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t="s">
        <v>12</v>
      </c>
      <c r="AR320" t="s">
        <v>12</v>
      </c>
      <c r="AS320" t="s">
        <v>12</v>
      </c>
      <c r="AT320" t="s">
        <v>12</v>
      </c>
      <c r="AU320" t="s">
        <v>12</v>
      </c>
      <c r="AV320" t="s">
        <v>12</v>
      </c>
      <c r="AW320" t="s">
        <v>12</v>
      </c>
      <c r="AX320" t="s">
        <v>12</v>
      </c>
      <c r="AY320" t="s">
        <v>12</v>
      </c>
      <c r="AZ320" t="s">
        <v>12</v>
      </c>
      <c r="BA320" t="s">
        <v>12</v>
      </c>
      <c r="BB320" t="s">
        <v>12</v>
      </c>
      <c r="BC320" t="s">
        <v>12</v>
      </c>
      <c r="BD320" t="s">
        <v>12</v>
      </c>
      <c r="BF320" s="313" t="s">
        <v>11</v>
      </c>
      <c r="BG320" s="313" t="s">
        <v>11</v>
      </c>
      <c r="BH320" t="s">
        <v>12</v>
      </c>
      <c r="BI320" t="s">
        <v>12</v>
      </c>
      <c r="BJ320" t="s">
        <v>12</v>
      </c>
      <c r="BK320" t="s">
        <v>12</v>
      </c>
      <c r="BL320" t="s">
        <v>12</v>
      </c>
      <c r="BM320" t="s">
        <v>12</v>
      </c>
      <c r="BN320" t="s">
        <v>12</v>
      </c>
      <c r="BO320" t="s">
        <v>12</v>
      </c>
      <c r="BP320" t="s">
        <v>12</v>
      </c>
      <c r="BQ320" t="s">
        <v>12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 s="9" t="s">
        <v>12</v>
      </c>
      <c r="CF320" s="28" t="s">
        <v>12</v>
      </c>
      <c r="CG320" s="28" t="s">
        <v>12</v>
      </c>
      <c r="CH320" s="28" t="s">
        <v>12</v>
      </c>
      <c r="CI320" s="28" t="s">
        <v>12</v>
      </c>
      <c r="CJ320" s="28" t="s">
        <v>12</v>
      </c>
      <c r="CK320" s="28" t="s">
        <v>12</v>
      </c>
      <c r="CL320" s="28" t="s">
        <v>12</v>
      </c>
      <c r="CM320" s="28" t="s">
        <v>12</v>
      </c>
      <c r="CN320" s="28" t="s">
        <v>12</v>
      </c>
      <c r="CO320" s="28" t="s">
        <v>12</v>
      </c>
      <c r="CP320" s="28" t="s">
        <v>12</v>
      </c>
      <c r="CQ320" s="28" t="s">
        <v>12</v>
      </c>
      <c r="CR320" s="28" t="s">
        <v>12</v>
      </c>
      <c r="CS320" s="28" t="s">
        <v>12</v>
      </c>
      <c r="CT320" s="28" t="s">
        <v>12</v>
      </c>
      <c r="CU320" s="28" t="s">
        <v>12</v>
      </c>
      <c r="CV320" s="28" t="s">
        <v>12</v>
      </c>
      <c r="CW320" s="28" t="s">
        <v>12</v>
      </c>
      <c r="CX320" s="28" t="s">
        <v>12</v>
      </c>
      <c r="CY320" s="28" t="s">
        <v>12</v>
      </c>
      <c r="CZ320" s="28" t="s">
        <v>12</v>
      </c>
      <c r="DA320" s="28" t="s">
        <v>12</v>
      </c>
      <c r="DB320" s="313">
        <v>105</v>
      </c>
      <c r="DC320" s="313" t="s">
        <v>130</v>
      </c>
      <c r="DD320" s="386" t="s">
        <v>12</v>
      </c>
      <c r="DE320" s="386" t="s">
        <v>12</v>
      </c>
      <c r="DF320" s="386" t="s">
        <v>12</v>
      </c>
      <c r="DG320" s="386" t="s">
        <v>12</v>
      </c>
      <c r="DH320" s="386" t="s">
        <v>12</v>
      </c>
      <c r="DI320" s="386" t="s">
        <v>12</v>
      </c>
      <c r="DJ320" s="386" t="s">
        <v>12</v>
      </c>
      <c r="DK320" s="386" t="s">
        <v>12</v>
      </c>
      <c r="DL320" s="386" t="s">
        <v>12</v>
      </c>
      <c r="DM320" s="386" t="s">
        <v>12</v>
      </c>
      <c r="DN320" s="7" t="s">
        <v>12</v>
      </c>
      <c r="DO320" s="7" t="s">
        <v>12</v>
      </c>
      <c r="DP320" s="7" t="s">
        <v>12</v>
      </c>
      <c r="DQ320" s="7" t="s">
        <v>12</v>
      </c>
      <c r="DR320" s="7" t="s">
        <v>12</v>
      </c>
      <c r="DS320" s="7" t="s">
        <v>12</v>
      </c>
      <c r="DT320" s="7" t="s">
        <v>12</v>
      </c>
      <c r="DU320" s="7" t="s">
        <v>12</v>
      </c>
      <c r="DV320" s="7" t="s">
        <v>12</v>
      </c>
      <c r="DW320" s="7" t="s">
        <v>12</v>
      </c>
      <c r="DY320" s="9">
        <v>37404</v>
      </c>
      <c r="EI320" s="423" t="s">
        <v>12</v>
      </c>
      <c r="EJ320" s="423" t="s">
        <v>12</v>
      </c>
      <c r="EK320" s="423" t="s">
        <v>12</v>
      </c>
      <c r="EL320" s="423" t="s">
        <v>12</v>
      </c>
      <c r="EM320" s="423" t="s">
        <v>12</v>
      </c>
      <c r="EN320" s="423" t="s">
        <v>12</v>
      </c>
      <c r="EO320" s="423" t="s">
        <v>12</v>
      </c>
      <c r="EP320" s="423" t="s">
        <v>12</v>
      </c>
      <c r="EQ320" s="423" t="s">
        <v>12</v>
      </c>
      <c r="ER320" s="423" t="s">
        <v>12</v>
      </c>
      <c r="ES320" s="438" t="s">
        <v>12</v>
      </c>
      <c r="ET320" s="438" t="s">
        <v>12</v>
      </c>
      <c r="EU320" s="438" t="s">
        <v>12</v>
      </c>
      <c r="EV320" s="438" t="s">
        <v>12</v>
      </c>
      <c r="EW320" s="438" t="s">
        <v>12</v>
      </c>
      <c r="EX320" s="438" t="s">
        <v>12</v>
      </c>
      <c r="EY320" s="438" t="s">
        <v>12</v>
      </c>
      <c r="EZ320" s="438" t="s">
        <v>12</v>
      </c>
      <c r="FA320" s="438" t="s">
        <v>12</v>
      </c>
      <c r="FB320" s="438" t="s">
        <v>12</v>
      </c>
      <c r="FC320" s="346">
        <v>0</v>
      </c>
      <c r="FD320" s="346">
        <v>0</v>
      </c>
      <c r="FE320" s="346">
        <v>0</v>
      </c>
      <c r="FF320" s="346">
        <v>0</v>
      </c>
      <c r="FG320" s="346">
        <v>0</v>
      </c>
      <c r="FH320" s="346">
        <v>0</v>
      </c>
      <c r="FI320" s="346">
        <v>0</v>
      </c>
      <c r="FJ320" s="346">
        <v>0</v>
      </c>
      <c r="FK320" s="346">
        <v>0</v>
      </c>
      <c r="FL320" s="346">
        <v>0</v>
      </c>
    </row>
    <row r="321" spans="1:168" x14ac:dyDescent="0.25">
      <c r="A321" s="238">
        <v>10</v>
      </c>
      <c r="B321" s="238" t="s">
        <v>773</v>
      </c>
      <c r="C321" s="249" t="s">
        <v>11</v>
      </c>
      <c r="D321" s="249" t="s">
        <v>11</v>
      </c>
      <c r="E321" s="249" t="s">
        <v>11</v>
      </c>
      <c r="F321" s="249" t="s">
        <v>11</v>
      </c>
      <c r="G321" s="249" t="s">
        <v>11</v>
      </c>
      <c r="H321" s="249" t="s">
        <v>11</v>
      </c>
      <c r="I321" s="249" t="s">
        <v>11</v>
      </c>
      <c r="J321" s="249" t="s">
        <v>11</v>
      </c>
      <c r="K321" s="249" t="s">
        <v>11</v>
      </c>
      <c r="L321" s="249" t="s">
        <v>11</v>
      </c>
      <c r="N321">
        <v>106</v>
      </c>
      <c r="O321" t="s">
        <v>131</v>
      </c>
      <c r="P321" t="s">
        <v>131</v>
      </c>
      <c r="Q321" t="s">
        <v>25</v>
      </c>
      <c r="R321" s="2" t="s">
        <v>12</v>
      </c>
      <c r="S321" s="2" t="s">
        <v>12</v>
      </c>
      <c r="T321" s="2" t="s">
        <v>12</v>
      </c>
      <c r="U321" s="2" t="s">
        <v>12</v>
      </c>
      <c r="V321" s="2" t="s">
        <v>12</v>
      </c>
      <c r="W321" s="2" t="s">
        <v>12</v>
      </c>
      <c r="X321" s="2" t="s">
        <v>12</v>
      </c>
      <c r="Y321" s="2" t="s">
        <v>12</v>
      </c>
      <c r="Z321" s="2" t="s">
        <v>12</v>
      </c>
      <c r="AA321" s="2" t="s">
        <v>12</v>
      </c>
      <c r="AB321" s="2" t="s">
        <v>12</v>
      </c>
      <c r="AC321" s="2" t="s">
        <v>12</v>
      </c>
      <c r="AD321" t="s">
        <v>12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t="s">
        <v>12</v>
      </c>
      <c r="AR321" t="s">
        <v>12</v>
      </c>
      <c r="AS321" t="s">
        <v>12</v>
      </c>
      <c r="AT321" t="s">
        <v>12</v>
      </c>
      <c r="AU321" t="s">
        <v>12</v>
      </c>
      <c r="AV321" t="s">
        <v>12</v>
      </c>
      <c r="AW321" t="s">
        <v>12</v>
      </c>
      <c r="AX321" t="s">
        <v>12</v>
      </c>
      <c r="AY321" t="s">
        <v>12</v>
      </c>
      <c r="AZ321" t="s">
        <v>12</v>
      </c>
      <c r="BA321" t="s">
        <v>12</v>
      </c>
      <c r="BB321" t="s">
        <v>12</v>
      </c>
      <c r="BC321" t="s">
        <v>12</v>
      </c>
      <c r="BD321" t="s">
        <v>12</v>
      </c>
      <c r="BF321" s="313" t="s">
        <v>11</v>
      </c>
      <c r="BG321" s="313" t="s">
        <v>11</v>
      </c>
      <c r="BH321" t="s">
        <v>12</v>
      </c>
      <c r="BI321" t="s">
        <v>12</v>
      </c>
      <c r="BJ321" t="s">
        <v>12</v>
      </c>
      <c r="BK321" t="s">
        <v>12</v>
      </c>
      <c r="BL321" t="s">
        <v>12</v>
      </c>
      <c r="BM321" t="s">
        <v>12</v>
      </c>
      <c r="BN321" t="s">
        <v>12</v>
      </c>
      <c r="BO321" t="s">
        <v>12</v>
      </c>
      <c r="BP321" t="s">
        <v>12</v>
      </c>
      <c r="BQ321" t="s">
        <v>12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 s="9" t="s">
        <v>12</v>
      </c>
      <c r="CF321" s="28" t="s">
        <v>12</v>
      </c>
      <c r="CG321" s="28" t="s">
        <v>12</v>
      </c>
      <c r="CH321" s="28" t="s">
        <v>12</v>
      </c>
      <c r="CI321" s="28" t="s">
        <v>12</v>
      </c>
      <c r="CJ321" s="28" t="s">
        <v>12</v>
      </c>
      <c r="CK321" s="28" t="s">
        <v>12</v>
      </c>
      <c r="CL321" s="28" t="s">
        <v>12</v>
      </c>
      <c r="CM321" s="28" t="s">
        <v>12</v>
      </c>
      <c r="CN321" s="28" t="s">
        <v>12</v>
      </c>
      <c r="CO321" s="28" t="s">
        <v>12</v>
      </c>
      <c r="CP321" s="28" t="s">
        <v>12</v>
      </c>
      <c r="CQ321" s="28" t="s">
        <v>12</v>
      </c>
      <c r="CR321" s="28" t="s">
        <v>12</v>
      </c>
      <c r="CS321" s="28" t="s">
        <v>12</v>
      </c>
      <c r="CT321" s="28" t="s">
        <v>12</v>
      </c>
      <c r="CU321" s="28" t="s">
        <v>12</v>
      </c>
      <c r="CV321" s="28" t="s">
        <v>12</v>
      </c>
      <c r="CW321" s="28" t="s">
        <v>12</v>
      </c>
      <c r="CX321" s="28" t="s">
        <v>12</v>
      </c>
      <c r="CY321" s="28" t="s">
        <v>12</v>
      </c>
      <c r="CZ321" s="28" t="s">
        <v>12</v>
      </c>
      <c r="DA321" s="28" t="s">
        <v>12</v>
      </c>
      <c r="DB321" s="313">
        <v>106</v>
      </c>
      <c r="DC321" s="313" t="s">
        <v>131</v>
      </c>
      <c r="DD321" s="386" t="s">
        <v>12</v>
      </c>
      <c r="DE321" s="386" t="s">
        <v>12</v>
      </c>
      <c r="DF321" s="386" t="s">
        <v>12</v>
      </c>
      <c r="DG321" s="386" t="s">
        <v>12</v>
      </c>
      <c r="DH321" s="386" t="s">
        <v>12</v>
      </c>
      <c r="DI321" s="386" t="s">
        <v>12</v>
      </c>
      <c r="DJ321" s="386" t="s">
        <v>12</v>
      </c>
      <c r="DK321" s="386" t="s">
        <v>12</v>
      </c>
      <c r="DL321" s="386" t="s">
        <v>12</v>
      </c>
      <c r="DM321" s="386" t="s">
        <v>12</v>
      </c>
      <c r="DN321" s="7" t="s">
        <v>12</v>
      </c>
      <c r="DO321" s="7" t="s">
        <v>12</v>
      </c>
      <c r="DP321" s="7" t="s">
        <v>12</v>
      </c>
      <c r="DQ321" s="7" t="s">
        <v>12</v>
      </c>
      <c r="DR321" s="7" t="s">
        <v>12</v>
      </c>
      <c r="DS321" s="7" t="s">
        <v>12</v>
      </c>
      <c r="DT321" s="7" t="s">
        <v>12</v>
      </c>
      <c r="DU321" s="7" t="s">
        <v>12</v>
      </c>
      <c r="DV321" s="7" t="s">
        <v>12</v>
      </c>
      <c r="DW321" s="7" t="s">
        <v>12</v>
      </c>
      <c r="DY321" s="9">
        <v>2808339</v>
      </c>
      <c r="EI321" s="423" t="s">
        <v>12</v>
      </c>
      <c r="EJ321" s="423" t="s">
        <v>12</v>
      </c>
      <c r="EK321" s="423" t="s">
        <v>12</v>
      </c>
      <c r="EL321" s="423" t="s">
        <v>12</v>
      </c>
      <c r="EM321" s="423" t="s">
        <v>12</v>
      </c>
      <c r="EN321" s="423" t="s">
        <v>12</v>
      </c>
      <c r="EO321" s="423" t="s">
        <v>12</v>
      </c>
      <c r="EP321" s="423" t="s">
        <v>12</v>
      </c>
      <c r="EQ321" s="423" t="s">
        <v>12</v>
      </c>
      <c r="ER321" s="423" t="s">
        <v>12</v>
      </c>
      <c r="ES321" s="438" t="s">
        <v>12</v>
      </c>
      <c r="ET321" s="438" t="s">
        <v>12</v>
      </c>
      <c r="EU321" s="438" t="s">
        <v>12</v>
      </c>
      <c r="EV321" s="438" t="s">
        <v>12</v>
      </c>
      <c r="EW321" s="438" t="s">
        <v>12</v>
      </c>
      <c r="EX321" s="438" t="s">
        <v>12</v>
      </c>
      <c r="EY321" s="438" t="s">
        <v>12</v>
      </c>
      <c r="EZ321" s="438" t="s">
        <v>12</v>
      </c>
      <c r="FA321" s="438" t="s">
        <v>12</v>
      </c>
      <c r="FB321" s="438" t="s">
        <v>12</v>
      </c>
      <c r="FC321" s="346">
        <v>0</v>
      </c>
      <c r="FD321" s="346">
        <v>0</v>
      </c>
      <c r="FE321" s="346">
        <v>0</v>
      </c>
      <c r="FF321" s="346">
        <v>0</v>
      </c>
      <c r="FG321" s="346">
        <v>0</v>
      </c>
      <c r="FH321" s="346">
        <v>0</v>
      </c>
      <c r="FI321" s="346">
        <v>0</v>
      </c>
      <c r="FJ321" s="346">
        <v>0</v>
      </c>
      <c r="FK321" s="346">
        <v>0</v>
      </c>
      <c r="FL321" s="346">
        <v>0</v>
      </c>
    </row>
    <row r="322" spans="1:168" x14ac:dyDescent="0.25">
      <c r="N322">
        <v>107</v>
      </c>
      <c r="O322" t="s">
        <v>132</v>
      </c>
      <c r="P322" t="s">
        <v>132</v>
      </c>
      <c r="Q322" t="s">
        <v>7</v>
      </c>
      <c r="R322" s="2" t="s">
        <v>12</v>
      </c>
      <c r="S322" s="2" t="s">
        <v>12</v>
      </c>
      <c r="T322" s="2" t="s">
        <v>12</v>
      </c>
      <c r="U322" s="2" t="s">
        <v>12</v>
      </c>
      <c r="V322" s="2" t="s">
        <v>12</v>
      </c>
      <c r="W322" s="2" t="s">
        <v>12</v>
      </c>
      <c r="X322" s="2" t="s">
        <v>12</v>
      </c>
      <c r="Y322" s="2" t="s">
        <v>12</v>
      </c>
      <c r="Z322" s="2" t="s">
        <v>12</v>
      </c>
      <c r="AA322" s="2" t="s">
        <v>12</v>
      </c>
      <c r="AB322" s="2" t="s">
        <v>12</v>
      </c>
      <c r="AC322" s="2" t="s">
        <v>12</v>
      </c>
      <c r="AD322" t="s">
        <v>12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t="s">
        <v>12</v>
      </c>
      <c r="AR322" t="s">
        <v>12</v>
      </c>
      <c r="AS322" t="s">
        <v>12</v>
      </c>
      <c r="AT322" t="s">
        <v>12</v>
      </c>
      <c r="AU322" t="s">
        <v>12</v>
      </c>
      <c r="AV322" t="s">
        <v>12</v>
      </c>
      <c r="AW322" t="s">
        <v>12</v>
      </c>
      <c r="AX322" t="s">
        <v>12</v>
      </c>
      <c r="AY322" t="s">
        <v>12</v>
      </c>
      <c r="AZ322" t="s">
        <v>12</v>
      </c>
      <c r="BA322" t="s">
        <v>12</v>
      </c>
      <c r="BB322" t="s">
        <v>12</v>
      </c>
      <c r="BC322" t="s">
        <v>12</v>
      </c>
      <c r="BD322" t="s">
        <v>12</v>
      </c>
      <c r="BF322" s="313" t="s">
        <v>11</v>
      </c>
      <c r="BG322" s="313" t="s">
        <v>11</v>
      </c>
      <c r="BH322" t="s">
        <v>12</v>
      </c>
      <c r="BI322" t="s">
        <v>12</v>
      </c>
      <c r="BJ322" t="s">
        <v>12</v>
      </c>
      <c r="BK322" t="s">
        <v>12</v>
      </c>
      <c r="BL322" t="s">
        <v>12</v>
      </c>
      <c r="BM322" t="s">
        <v>12</v>
      </c>
      <c r="BN322" t="s">
        <v>12</v>
      </c>
      <c r="BO322" t="s">
        <v>12</v>
      </c>
      <c r="BP322" t="s">
        <v>12</v>
      </c>
      <c r="BQ322" t="s">
        <v>12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 s="9" t="s">
        <v>12</v>
      </c>
      <c r="CF322" s="28" t="s">
        <v>12</v>
      </c>
      <c r="CG322" s="28" t="s">
        <v>12</v>
      </c>
      <c r="CH322" s="28" t="s">
        <v>12</v>
      </c>
      <c r="CI322" s="28" t="s">
        <v>12</v>
      </c>
      <c r="CJ322" s="28" t="s">
        <v>12</v>
      </c>
      <c r="CK322" s="28" t="s">
        <v>12</v>
      </c>
      <c r="CL322" s="28" t="s">
        <v>12</v>
      </c>
      <c r="CM322" s="28" t="s">
        <v>12</v>
      </c>
      <c r="CN322" s="28" t="s">
        <v>12</v>
      </c>
      <c r="CO322" s="28" t="s">
        <v>12</v>
      </c>
      <c r="CP322" s="28" t="s">
        <v>12</v>
      </c>
      <c r="CQ322" s="28" t="s">
        <v>12</v>
      </c>
      <c r="CR322" s="28" t="s">
        <v>12</v>
      </c>
      <c r="CS322" s="28" t="s">
        <v>12</v>
      </c>
      <c r="CT322" s="28" t="s">
        <v>12</v>
      </c>
      <c r="CU322" s="28" t="s">
        <v>12</v>
      </c>
      <c r="CV322" s="28" t="s">
        <v>12</v>
      </c>
      <c r="CW322" s="28" t="s">
        <v>12</v>
      </c>
      <c r="CX322" s="28" t="s">
        <v>12</v>
      </c>
      <c r="CY322" s="28" t="s">
        <v>12</v>
      </c>
      <c r="CZ322" s="28" t="s">
        <v>12</v>
      </c>
      <c r="DA322" s="28" t="s">
        <v>12</v>
      </c>
      <c r="DB322" s="313">
        <v>107</v>
      </c>
      <c r="DC322" s="313" t="s">
        <v>132</v>
      </c>
      <c r="DD322" s="386" t="s">
        <v>12</v>
      </c>
      <c r="DE322" s="386" t="s">
        <v>12</v>
      </c>
      <c r="DF322" s="386" t="s">
        <v>12</v>
      </c>
      <c r="DG322" s="386" t="s">
        <v>12</v>
      </c>
      <c r="DH322" s="386" t="s">
        <v>12</v>
      </c>
      <c r="DI322" s="386" t="s">
        <v>12</v>
      </c>
      <c r="DJ322" s="386" t="s">
        <v>12</v>
      </c>
      <c r="DK322" s="386" t="s">
        <v>12</v>
      </c>
      <c r="DL322" s="386" t="s">
        <v>12</v>
      </c>
      <c r="DM322" s="386" t="s">
        <v>12</v>
      </c>
      <c r="DN322" s="7" t="s">
        <v>12</v>
      </c>
      <c r="DO322" s="7" t="s">
        <v>12</v>
      </c>
      <c r="DP322" s="7" t="s">
        <v>12</v>
      </c>
      <c r="DQ322" s="7" t="s">
        <v>12</v>
      </c>
      <c r="DR322" s="7" t="s">
        <v>12</v>
      </c>
      <c r="DS322" s="7" t="s">
        <v>12</v>
      </c>
      <c r="DT322" s="7" t="s">
        <v>12</v>
      </c>
      <c r="DU322" s="7" t="s">
        <v>12</v>
      </c>
      <c r="DV322" s="7" t="s">
        <v>12</v>
      </c>
      <c r="DW322" s="7" t="s">
        <v>12</v>
      </c>
      <c r="DY322" s="9">
        <v>620601</v>
      </c>
      <c r="EI322" s="423" t="s">
        <v>12</v>
      </c>
      <c r="EJ322" s="423" t="s">
        <v>12</v>
      </c>
      <c r="EK322" s="423" t="s">
        <v>12</v>
      </c>
      <c r="EL322" s="423" t="s">
        <v>12</v>
      </c>
      <c r="EM322" s="423" t="s">
        <v>12</v>
      </c>
      <c r="EN322" s="423" t="s">
        <v>12</v>
      </c>
      <c r="EO322" s="423" t="s">
        <v>12</v>
      </c>
      <c r="EP322" s="423" t="s">
        <v>12</v>
      </c>
      <c r="EQ322" s="423" t="s">
        <v>12</v>
      </c>
      <c r="ER322" s="423" t="s">
        <v>12</v>
      </c>
      <c r="ES322" s="438" t="s">
        <v>12</v>
      </c>
      <c r="ET322" s="438" t="s">
        <v>12</v>
      </c>
      <c r="EU322" s="438" t="s">
        <v>12</v>
      </c>
      <c r="EV322" s="438" t="s">
        <v>12</v>
      </c>
      <c r="EW322" s="438" t="s">
        <v>12</v>
      </c>
      <c r="EX322" s="438" t="s">
        <v>12</v>
      </c>
      <c r="EY322" s="438" t="s">
        <v>12</v>
      </c>
      <c r="EZ322" s="438" t="s">
        <v>12</v>
      </c>
      <c r="FA322" s="438" t="s">
        <v>12</v>
      </c>
      <c r="FB322" s="438" t="s">
        <v>12</v>
      </c>
      <c r="FC322" s="346">
        <v>0</v>
      </c>
      <c r="FD322" s="346">
        <v>0</v>
      </c>
      <c r="FE322" s="346">
        <v>0</v>
      </c>
      <c r="FF322" s="346">
        <v>0</v>
      </c>
      <c r="FG322" s="346">
        <v>0</v>
      </c>
      <c r="FH322" s="346">
        <v>0</v>
      </c>
      <c r="FI322" s="346">
        <v>0</v>
      </c>
      <c r="FJ322" s="346">
        <v>0</v>
      </c>
      <c r="FK322" s="346">
        <v>0</v>
      </c>
      <c r="FL322" s="346">
        <v>0</v>
      </c>
    </row>
    <row r="323" spans="1:168" ht="30" x14ac:dyDescent="0.25">
      <c r="A323" s="14" t="s">
        <v>781</v>
      </c>
      <c r="B323" s="14"/>
      <c r="C323" s="14" t="s">
        <v>594</v>
      </c>
      <c r="D323" s="14" t="s">
        <v>595</v>
      </c>
      <c r="E323" s="14" t="s">
        <v>596</v>
      </c>
      <c r="F323" s="14" t="s">
        <v>597</v>
      </c>
      <c r="G323" s="14" t="s">
        <v>598</v>
      </c>
      <c r="H323" s="14" t="s">
        <v>599</v>
      </c>
      <c r="I323" s="14" t="s">
        <v>600</v>
      </c>
      <c r="J323" s="14" t="s">
        <v>601</v>
      </c>
      <c r="K323" s="14" t="s">
        <v>602</v>
      </c>
      <c r="L323" s="14" t="s">
        <v>603</v>
      </c>
      <c r="N323">
        <v>108</v>
      </c>
      <c r="O323" t="s">
        <v>133</v>
      </c>
      <c r="P323" t="s">
        <v>133</v>
      </c>
      <c r="Q323" t="s">
        <v>9</v>
      </c>
      <c r="R323" s="2" t="s">
        <v>12</v>
      </c>
      <c r="S323" s="2" t="s">
        <v>12</v>
      </c>
      <c r="T323" s="2" t="s">
        <v>12</v>
      </c>
      <c r="U323" s="2" t="s">
        <v>12</v>
      </c>
      <c r="V323" s="2" t="s">
        <v>12</v>
      </c>
      <c r="W323" s="2" t="s">
        <v>12</v>
      </c>
      <c r="X323" s="2" t="s">
        <v>12</v>
      </c>
      <c r="Y323" s="2" t="s">
        <v>12</v>
      </c>
      <c r="Z323" s="2" t="s">
        <v>12</v>
      </c>
      <c r="AA323" s="2" t="s">
        <v>12</v>
      </c>
      <c r="AB323" s="2" t="s">
        <v>12</v>
      </c>
      <c r="AC323" s="2" t="s">
        <v>12</v>
      </c>
      <c r="AD323" t="s">
        <v>12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t="s">
        <v>12</v>
      </c>
      <c r="AR323" t="s">
        <v>12</v>
      </c>
      <c r="AS323" t="s">
        <v>12</v>
      </c>
      <c r="AT323" t="s">
        <v>12</v>
      </c>
      <c r="AU323" t="s">
        <v>12</v>
      </c>
      <c r="AV323" t="s">
        <v>12</v>
      </c>
      <c r="AW323" t="s">
        <v>12</v>
      </c>
      <c r="AX323" t="s">
        <v>12</v>
      </c>
      <c r="AY323" t="s">
        <v>12</v>
      </c>
      <c r="AZ323" t="s">
        <v>12</v>
      </c>
      <c r="BA323" t="s">
        <v>12</v>
      </c>
      <c r="BB323" t="s">
        <v>12</v>
      </c>
      <c r="BC323" t="s">
        <v>12</v>
      </c>
      <c r="BD323" t="s">
        <v>12</v>
      </c>
      <c r="BF323" s="313" t="s">
        <v>11</v>
      </c>
      <c r="BG323" s="313" t="s">
        <v>11</v>
      </c>
      <c r="BH323" t="s">
        <v>12</v>
      </c>
      <c r="BI323" t="s">
        <v>12</v>
      </c>
      <c r="BJ323" t="s">
        <v>12</v>
      </c>
      <c r="BK323" t="s">
        <v>12</v>
      </c>
      <c r="BL323" t="s">
        <v>12</v>
      </c>
      <c r="BM323" t="s">
        <v>12</v>
      </c>
      <c r="BN323" t="s">
        <v>12</v>
      </c>
      <c r="BO323" t="s">
        <v>12</v>
      </c>
      <c r="BP323" t="s">
        <v>12</v>
      </c>
      <c r="BQ323" t="s">
        <v>12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 s="9" t="s">
        <v>12</v>
      </c>
      <c r="CF323" s="28" t="s">
        <v>12</v>
      </c>
      <c r="CG323" s="28" t="s">
        <v>12</v>
      </c>
      <c r="CH323" s="28" t="s">
        <v>12</v>
      </c>
      <c r="CI323" s="28" t="s">
        <v>12</v>
      </c>
      <c r="CJ323" s="28" t="s">
        <v>12</v>
      </c>
      <c r="CK323" s="28" t="s">
        <v>12</v>
      </c>
      <c r="CL323" s="28" t="s">
        <v>12</v>
      </c>
      <c r="CM323" s="28" t="s">
        <v>12</v>
      </c>
      <c r="CN323" s="28" t="s">
        <v>12</v>
      </c>
      <c r="CO323" s="28" t="s">
        <v>12</v>
      </c>
      <c r="CP323" s="28" t="s">
        <v>12</v>
      </c>
      <c r="CQ323" s="28" t="s">
        <v>12</v>
      </c>
      <c r="CR323" s="28" t="s">
        <v>12</v>
      </c>
      <c r="CS323" s="28" t="s">
        <v>12</v>
      </c>
      <c r="CT323" s="28" t="s">
        <v>12</v>
      </c>
      <c r="CU323" s="28" t="s">
        <v>12</v>
      </c>
      <c r="CV323" s="28" t="s">
        <v>12</v>
      </c>
      <c r="CW323" s="28" t="s">
        <v>12</v>
      </c>
      <c r="CX323" s="28" t="s">
        <v>12</v>
      </c>
      <c r="CY323" s="28" t="s">
        <v>12</v>
      </c>
      <c r="CZ323" s="28" t="s">
        <v>12</v>
      </c>
      <c r="DA323" s="28" t="s">
        <v>12</v>
      </c>
      <c r="DB323" s="313">
        <v>108</v>
      </c>
      <c r="DC323" s="313" t="s">
        <v>133</v>
      </c>
      <c r="DD323" s="386" t="s">
        <v>12</v>
      </c>
      <c r="DE323" s="386" t="s">
        <v>12</v>
      </c>
      <c r="DF323" s="386" t="s">
        <v>12</v>
      </c>
      <c r="DG323" s="386" t="s">
        <v>12</v>
      </c>
      <c r="DH323" s="386" t="s">
        <v>12</v>
      </c>
      <c r="DI323" s="386" t="s">
        <v>12</v>
      </c>
      <c r="DJ323" s="386" t="s">
        <v>12</v>
      </c>
      <c r="DK323" s="386" t="s">
        <v>12</v>
      </c>
      <c r="DL323" s="386" t="s">
        <v>12</v>
      </c>
      <c r="DM323" s="386" t="s">
        <v>12</v>
      </c>
      <c r="DN323" s="7" t="s">
        <v>12</v>
      </c>
      <c r="DO323" s="7" t="s">
        <v>12</v>
      </c>
      <c r="DP323" s="7" t="s">
        <v>12</v>
      </c>
      <c r="DQ323" s="7" t="s">
        <v>12</v>
      </c>
      <c r="DR323" s="7" t="s">
        <v>12</v>
      </c>
      <c r="DS323" s="7" t="s">
        <v>12</v>
      </c>
      <c r="DT323" s="7" t="s">
        <v>12</v>
      </c>
      <c r="DU323" s="7" t="s">
        <v>12</v>
      </c>
      <c r="DV323" s="7" t="s">
        <v>12</v>
      </c>
      <c r="DW323" s="7" t="s">
        <v>12</v>
      </c>
      <c r="DY323" s="9">
        <v>32984190</v>
      </c>
      <c r="EI323" s="423" t="s">
        <v>12</v>
      </c>
      <c r="EJ323" s="423" t="s">
        <v>12</v>
      </c>
      <c r="EK323" s="423" t="s">
        <v>12</v>
      </c>
      <c r="EL323" s="423" t="s">
        <v>12</v>
      </c>
      <c r="EM323" s="423" t="s">
        <v>12</v>
      </c>
      <c r="EN323" s="423" t="s">
        <v>12</v>
      </c>
      <c r="EO323" s="423" t="s">
        <v>12</v>
      </c>
      <c r="EP323" s="423" t="s">
        <v>12</v>
      </c>
      <c r="EQ323" s="423" t="s">
        <v>12</v>
      </c>
      <c r="ER323" s="423" t="s">
        <v>12</v>
      </c>
      <c r="ES323" s="438" t="s">
        <v>12</v>
      </c>
      <c r="ET323" s="438" t="s">
        <v>12</v>
      </c>
      <c r="EU323" s="438" t="s">
        <v>12</v>
      </c>
      <c r="EV323" s="438" t="s">
        <v>12</v>
      </c>
      <c r="EW323" s="438" t="s">
        <v>12</v>
      </c>
      <c r="EX323" s="438" t="s">
        <v>12</v>
      </c>
      <c r="EY323" s="438" t="s">
        <v>12</v>
      </c>
      <c r="EZ323" s="438" t="s">
        <v>12</v>
      </c>
      <c r="FA323" s="438" t="s">
        <v>12</v>
      </c>
      <c r="FB323" s="438" t="s">
        <v>12</v>
      </c>
      <c r="FC323" s="346">
        <v>0</v>
      </c>
      <c r="FD323" s="346">
        <v>0</v>
      </c>
      <c r="FE323" s="346">
        <v>0</v>
      </c>
      <c r="FF323" s="346">
        <v>0</v>
      </c>
      <c r="FG323" s="346">
        <v>0</v>
      </c>
      <c r="FH323" s="346">
        <v>0</v>
      </c>
      <c r="FI323" s="346">
        <v>0</v>
      </c>
      <c r="FJ323" s="346">
        <v>0</v>
      </c>
      <c r="FK323" s="346">
        <v>0</v>
      </c>
      <c r="FL323" s="346">
        <v>0</v>
      </c>
    </row>
    <row r="324" spans="1:168" x14ac:dyDescent="0.25">
      <c r="A324" s="238">
        <v>1</v>
      </c>
      <c r="B324" s="238" t="s">
        <v>761</v>
      </c>
      <c r="C324" s="244">
        <v>3499221.2366232765</v>
      </c>
      <c r="D324" s="244">
        <v>3673400.781845022</v>
      </c>
      <c r="E324" s="244">
        <v>2762310.2987866877</v>
      </c>
      <c r="F324" s="244">
        <v>36213877.214230753</v>
      </c>
      <c r="G324" s="244">
        <v>10427354.666800028</v>
      </c>
      <c r="H324" s="244">
        <v>2802686.5044512311</v>
      </c>
      <c r="I324" s="244" t="s">
        <v>11</v>
      </c>
      <c r="J324" s="244" t="s">
        <v>11</v>
      </c>
      <c r="K324" s="244" t="s">
        <v>11</v>
      </c>
      <c r="L324" s="244" t="s">
        <v>11</v>
      </c>
      <c r="N324">
        <v>109</v>
      </c>
      <c r="O324" t="s">
        <v>134</v>
      </c>
      <c r="P324" t="s">
        <v>134</v>
      </c>
      <c r="Q324" t="s">
        <v>14</v>
      </c>
      <c r="R324" s="2" t="s">
        <v>12</v>
      </c>
      <c r="S324" s="2" t="s">
        <v>12</v>
      </c>
      <c r="T324" s="2" t="s">
        <v>12</v>
      </c>
      <c r="U324" s="2" t="s">
        <v>12</v>
      </c>
      <c r="V324" s="2" t="s">
        <v>12</v>
      </c>
      <c r="W324" s="2" t="s">
        <v>12</v>
      </c>
      <c r="X324" s="2" t="s">
        <v>12</v>
      </c>
      <c r="Y324" s="2" t="s">
        <v>12</v>
      </c>
      <c r="Z324" s="2" t="s">
        <v>12</v>
      </c>
      <c r="AA324" s="2" t="s">
        <v>12</v>
      </c>
      <c r="AB324" s="2" t="s">
        <v>12</v>
      </c>
      <c r="AC324" s="2" t="s">
        <v>12</v>
      </c>
      <c r="AD324" t="s">
        <v>12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t="s">
        <v>12</v>
      </c>
      <c r="AR324" t="s">
        <v>12</v>
      </c>
      <c r="AS324" t="s">
        <v>12</v>
      </c>
      <c r="AT324" t="s">
        <v>12</v>
      </c>
      <c r="AU324" t="s">
        <v>12</v>
      </c>
      <c r="AV324" t="s">
        <v>12</v>
      </c>
      <c r="AW324" t="s">
        <v>12</v>
      </c>
      <c r="AX324" t="s">
        <v>12</v>
      </c>
      <c r="AY324" t="s">
        <v>12</v>
      </c>
      <c r="AZ324" t="s">
        <v>12</v>
      </c>
      <c r="BA324" t="s">
        <v>12</v>
      </c>
      <c r="BB324" t="s">
        <v>12</v>
      </c>
      <c r="BC324" t="s">
        <v>12</v>
      </c>
      <c r="BD324" t="s">
        <v>12</v>
      </c>
      <c r="BF324" s="313" t="s">
        <v>11</v>
      </c>
      <c r="BG324" s="313" t="s">
        <v>11</v>
      </c>
      <c r="BH324" t="s">
        <v>12</v>
      </c>
      <c r="BI324" t="s">
        <v>12</v>
      </c>
      <c r="BJ324" t="s">
        <v>12</v>
      </c>
      <c r="BK324" t="s">
        <v>12</v>
      </c>
      <c r="BL324" t="s">
        <v>12</v>
      </c>
      <c r="BM324" t="s">
        <v>12</v>
      </c>
      <c r="BN324" t="s">
        <v>12</v>
      </c>
      <c r="BO324" t="s">
        <v>12</v>
      </c>
      <c r="BP324" t="s">
        <v>12</v>
      </c>
      <c r="BQ324" t="s">
        <v>12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 s="9" t="s">
        <v>12</v>
      </c>
      <c r="CF324" s="28" t="s">
        <v>12</v>
      </c>
      <c r="CG324" s="28" t="s">
        <v>12</v>
      </c>
      <c r="CH324" s="28" t="s">
        <v>12</v>
      </c>
      <c r="CI324" s="28" t="s">
        <v>12</v>
      </c>
      <c r="CJ324" s="28" t="s">
        <v>12</v>
      </c>
      <c r="CK324" s="28" t="s">
        <v>12</v>
      </c>
      <c r="CL324" s="28" t="s">
        <v>12</v>
      </c>
      <c r="CM324" s="28" t="s">
        <v>12</v>
      </c>
      <c r="CN324" s="28" t="s">
        <v>12</v>
      </c>
      <c r="CO324" s="28" t="s">
        <v>12</v>
      </c>
      <c r="CP324" s="28" t="s">
        <v>12</v>
      </c>
      <c r="CQ324" s="28" t="s">
        <v>12</v>
      </c>
      <c r="CR324" s="28" t="s">
        <v>12</v>
      </c>
      <c r="CS324" s="28" t="s">
        <v>12</v>
      </c>
      <c r="CT324" s="28" t="s">
        <v>12</v>
      </c>
      <c r="CU324" s="28" t="s">
        <v>12</v>
      </c>
      <c r="CV324" s="28" t="s">
        <v>12</v>
      </c>
      <c r="CW324" s="28" t="s">
        <v>12</v>
      </c>
      <c r="CX324" s="28" t="s">
        <v>12</v>
      </c>
      <c r="CY324" s="28" t="s">
        <v>12</v>
      </c>
      <c r="CZ324" s="28" t="s">
        <v>12</v>
      </c>
      <c r="DA324" s="28" t="s">
        <v>12</v>
      </c>
      <c r="DB324" s="313">
        <v>109</v>
      </c>
      <c r="DC324" s="313" t="s">
        <v>134</v>
      </c>
      <c r="DD324" s="386" t="s">
        <v>12</v>
      </c>
      <c r="DE324" s="386" t="s">
        <v>12</v>
      </c>
      <c r="DF324" s="386" t="s">
        <v>12</v>
      </c>
      <c r="DG324" s="386" t="s">
        <v>12</v>
      </c>
      <c r="DH324" s="386" t="s">
        <v>12</v>
      </c>
      <c r="DI324" s="386" t="s">
        <v>12</v>
      </c>
      <c r="DJ324" s="386" t="s">
        <v>12</v>
      </c>
      <c r="DK324" s="386" t="s">
        <v>12</v>
      </c>
      <c r="DL324" s="386" t="s">
        <v>12</v>
      </c>
      <c r="DM324" s="386" t="s">
        <v>12</v>
      </c>
      <c r="DN324" s="7" t="s">
        <v>12</v>
      </c>
      <c r="DO324" s="7" t="s">
        <v>12</v>
      </c>
      <c r="DP324" s="7" t="s">
        <v>12</v>
      </c>
      <c r="DQ324" s="7" t="s">
        <v>12</v>
      </c>
      <c r="DR324" s="7" t="s">
        <v>12</v>
      </c>
      <c r="DS324" s="7" t="s">
        <v>12</v>
      </c>
      <c r="DT324" s="7" t="s">
        <v>12</v>
      </c>
      <c r="DU324" s="7" t="s">
        <v>12</v>
      </c>
      <c r="DV324" s="7" t="s">
        <v>12</v>
      </c>
      <c r="DW324" s="7" t="s">
        <v>12</v>
      </c>
      <c r="DY324" s="9">
        <v>25732928</v>
      </c>
      <c r="EI324" s="423" t="s">
        <v>12</v>
      </c>
      <c r="EJ324" s="423" t="s">
        <v>12</v>
      </c>
      <c r="EK324" s="423" t="s">
        <v>12</v>
      </c>
      <c r="EL324" s="423" t="s">
        <v>12</v>
      </c>
      <c r="EM324" s="423" t="s">
        <v>12</v>
      </c>
      <c r="EN324" s="423" t="s">
        <v>12</v>
      </c>
      <c r="EO324" s="423" t="s">
        <v>12</v>
      </c>
      <c r="EP324" s="423" t="s">
        <v>12</v>
      </c>
      <c r="EQ324" s="423" t="s">
        <v>12</v>
      </c>
      <c r="ER324" s="423" t="s">
        <v>12</v>
      </c>
      <c r="ES324" s="438" t="s">
        <v>12</v>
      </c>
      <c r="ET324" s="438" t="s">
        <v>12</v>
      </c>
      <c r="EU324" s="438" t="s">
        <v>12</v>
      </c>
      <c r="EV324" s="438" t="s">
        <v>12</v>
      </c>
      <c r="EW324" s="438" t="s">
        <v>12</v>
      </c>
      <c r="EX324" s="438" t="s">
        <v>12</v>
      </c>
      <c r="EY324" s="438" t="s">
        <v>12</v>
      </c>
      <c r="EZ324" s="438" t="s">
        <v>12</v>
      </c>
      <c r="FA324" s="438" t="s">
        <v>12</v>
      </c>
      <c r="FB324" s="438" t="s">
        <v>12</v>
      </c>
      <c r="FC324" s="346">
        <v>0</v>
      </c>
      <c r="FD324" s="346">
        <v>0</v>
      </c>
      <c r="FE324" s="346">
        <v>0</v>
      </c>
      <c r="FF324" s="346">
        <v>0</v>
      </c>
      <c r="FG324" s="346">
        <v>0</v>
      </c>
      <c r="FH324" s="346">
        <v>0</v>
      </c>
      <c r="FI324" s="346">
        <v>0</v>
      </c>
      <c r="FJ324" s="346">
        <v>0</v>
      </c>
      <c r="FK324" s="346">
        <v>0</v>
      </c>
      <c r="FL324" s="346">
        <v>0</v>
      </c>
    </row>
    <row r="325" spans="1:168" x14ac:dyDescent="0.25">
      <c r="A325" s="238">
        <v>2</v>
      </c>
      <c r="B325" s="238" t="s">
        <v>763</v>
      </c>
      <c r="C325" s="244">
        <v>187154.11328411143</v>
      </c>
      <c r="D325" s="244">
        <v>1172227.9533529226</v>
      </c>
      <c r="E325" s="244">
        <v>8589671.5105732642</v>
      </c>
      <c r="F325" s="244">
        <v>1404225.6202000028</v>
      </c>
      <c r="G325" s="244">
        <v>1258590.0356375212</v>
      </c>
      <c r="H325" s="244">
        <v>1700607.1852849356</v>
      </c>
      <c r="I325" s="244" t="s">
        <v>11</v>
      </c>
      <c r="J325" s="244" t="s">
        <v>11</v>
      </c>
      <c r="K325" s="244" t="s">
        <v>11</v>
      </c>
      <c r="L325" s="244" t="s">
        <v>11</v>
      </c>
      <c r="N325">
        <v>110</v>
      </c>
      <c r="O325" t="s">
        <v>135</v>
      </c>
      <c r="P325" t="s">
        <v>135</v>
      </c>
      <c r="Q325" t="s">
        <v>14</v>
      </c>
      <c r="R325" s="2" t="s">
        <v>12</v>
      </c>
      <c r="S325" s="2" t="s">
        <v>12</v>
      </c>
      <c r="T325" s="2" t="s">
        <v>12</v>
      </c>
      <c r="U325" s="2" t="s">
        <v>12</v>
      </c>
      <c r="V325" s="2" t="s">
        <v>12</v>
      </c>
      <c r="W325" s="2" t="s">
        <v>12</v>
      </c>
      <c r="X325" s="2" t="s">
        <v>12</v>
      </c>
      <c r="Y325" s="2" t="s">
        <v>12</v>
      </c>
      <c r="Z325" s="2" t="s">
        <v>12</v>
      </c>
      <c r="AA325" s="2" t="s">
        <v>12</v>
      </c>
      <c r="AB325" s="2" t="s">
        <v>12</v>
      </c>
      <c r="AC325" s="2" t="s">
        <v>12</v>
      </c>
      <c r="AD325" t="s">
        <v>12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t="s">
        <v>12</v>
      </c>
      <c r="AR325" t="s">
        <v>12</v>
      </c>
      <c r="AS325" t="s">
        <v>12</v>
      </c>
      <c r="AT325" t="s">
        <v>12</v>
      </c>
      <c r="AU325" t="s">
        <v>12</v>
      </c>
      <c r="AV325" t="s">
        <v>12</v>
      </c>
      <c r="AW325" t="s">
        <v>12</v>
      </c>
      <c r="AX325" t="s">
        <v>12</v>
      </c>
      <c r="AY325" t="s">
        <v>12</v>
      </c>
      <c r="AZ325" t="s">
        <v>12</v>
      </c>
      <c r="BA325" t="s">
        <v>12</v>
      </c>
      <c r="BB325" t="s">
        <v>12</v>
      </c>
      <c r="BC325" t="s">
        <v>12</v>
      </c>
      <c r="BD325" t="s">
        <v>12</v>
      </c>
      <c r="BF325" s="313" t="s">
        <v>11</v>
      </c>
      <c r="BG325" s="313" t="s">
        <v>11</v>
      </c>
      <c r="BH325" t="s">
        <v>12</v>
      </c>
      <c r="BI325" t="s">
        <v>12</v>
      </c>
      <c r="BJ325" t="s">
        <v>12</v>
      </c>
      <c r="BK325" t="s">
        <v>12</v>
      </c>
      <c r="BL325" t="s">
        <v>12</v>
      </c>
      <c r="BM325" t="s">
        <v>12</v>
      </c>
      <c r="BN325" t="s">
        <v>12</v>
      </c>
      <c r="BO325" t="s">
        <v>12</v>
      </c>
      <c r="BP325" t="s">
        <v>12</v>
      </c>
      <c r="BQ325" t="s">
        <v>12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 s="9" t="s">
        <v>12</v>
      </c>
      <c r="CF325" s="28" t="s">
        <v>12</v>
      </c>
      <c r="CG325" s="28" t="s">
        <v>12</v>
      </c>
      <c r="CH325" s="28" t="s">
        <v>12</v>
      </c>
      <c r="CI325" s="28" t="s">
        <v>12</v>
      </c>
      <c r="CJ325" s="28" t="s">
        <v>12</v>
      </c>
      <c r="CK325" s="28" t="s">
        <v>12</v>
      </c>
      <c r="CL325" s="28" t="s">
        <v>12</v>
      </c>
      <c r="CM325" s="28" t="s">
        <v>12</v>
      </c>
      <c r="CN325" s="28" t="s">
        <v>12</v>
      </c>
      <c r="CO325" s="28" t="s">
        <v>12</v>
      </c>
      <c r="CP325" s="28" t="s">
        <v>12</v>
      </c>
      <c r="CQ325" s="28" t="s">
        <v>12</v>
      </c>
      <c r="CR325" s="28" t="s">
        <v>12</v>
      </c>
      <c r="CS325" s="28" t="s">
        <v>12</v>
      </c>
      <c r="CT325" s="28" t="s">
        <v>12</v>
      </c>
      <c r="CU325" s="28" t="s">
        <v>12</v>
      </c>
      <c r="CV325" s="28" t="s">
        <v>12</v>
      </c>
      <c r="CW325" s="28" t="s">
        <v>12</v>
      </c>
      <c r="CX325" s="28" t="s">
        <v>12</v>
      </c>
      <c r="CY325" s="28" t="s">
        <v>12</v>
      </c>
      <c r="CZ325" s="28" t="s">
        <v>12</v>
      </c>
      <c r="DA325" s="28" t="s">
        <v>12</v>
      </c>
      <c r="DB325" s="313">
        <v>110</v>
      </c>
      <c r="DC325" s="313" t="s">
        <v>135</v>
      </c>
      <c r="DD325" s="386" t="s">
        <v>12</v>
      </c>
      <c r="DE325" s="386" t="s">
        <v>12</v>
      </c>
      <c r="DF325" s="386" t="s">
        <v>12</v>
      </c>
      <c r="DG325" s="386" t="s">
        <v>12</v>
      </c>
      <c r="DH325" s="386" t="s">
        <v>12</v>
      </c>
      <c r="DI325" s="386" t="s">
        <v>12</v>
      </c>
      <c r="DJ325" s="386" t="s">
        <v>12</v>
      </c>
      <c r="DK325" s="386" t="s">
        <v>12</v>
      </c>
      <c r="DL325" s="386" t="s">
        <v>12</v>
      </c>
      <c r="DM325" s="386" t="s">
        <v>12</v>
      </c>
      <c r="DN325" s="7" t="s">
        <v>12</v>
      </c>
      <c r="DO325" s="7" t="s">
        <v>12</v>
      </c>
      <c r="DP325" s="7" t="s">
        <v>12</v>
      </c>
      <c r="DQ325" s="7" t="s">
        <v>12</v>
      </c>
      <c r="DR325" s="7" t="s">
        <v>12</v>
      </c>
      <c r="DS325" s="7" t="s">
        <v>12</v>
      </c>
      <c r="DT325" s="7" t="s">
        <v>12</v>
      </c>
      <c r="DU325" s="7" t="s">
        <v>12</v>
      </c>
      <c r="DV325" s="7" t="s">
        <v>12</v>
      </c>
      <c r="DW325" s="7" t="s">
        <v>12</v>
      </c>
      <c r="DY325" s="9">
        <v>2291645</v>
      </c>
      <c r="EI325" s="423" t="s">
        <v>12</v>
      </c>
      <c r="EJ325" s="423" t="s">
        <v>12</v>
      </c>
      <c r="EK325" s="423" t="s">
        <v>12</v>
      </c>
      <c r="EL325" s="423" t="s">
        <v>12</v>
      </c>
      <c r="EM325" s="423" t="s">
        <v>12</v>
      </c>
      <c r="EN325" s="423" t="s">
        <v>12</v>
      </c>
      <c r="EO325" s="423" t="s">
        <v>12</v>
      </c>
      <c r="EP325" s="423" t="s">
        <v>12</v>
      </c>
      <c r="EQ325" s="423" t="s">
        <v>12</v>
      </c>
      <c r="ER325" s="423" t="s">
        <v>12</v>
      </c>
      <c r="ES325" s="438" t="s">
        <v>12</v>
      </c>
      <c r="ET325" s="438" t="s">
        <v>12</v>
      </c>
      <c r="EU325" s="438" t="s">
        <v>12</v>
      </c>
      <c r="EV325" s="438" t="s">
        <v>12</v>
      </c>
      <c r="EW325" s="438" t="s">
        <v>12</v>
      </c>
      <c r="EX325" s="438" t="s">
        <v>12</v>
      </c>
      <c r="EY325" s="438" t="s">
        <v>12</v>
      </c>
      <c r="EZ325" s="438" t="s">
        <v>12</v>
      </c>
      <c r="FA325" s="438" t="s">
        <v>12</v>
      </c>
      <c r="FB325" s="438" t="s">
        <v>12</v>
      </c>
      <c r="FC325" s="346">
        <v>0</v>
      </c>
      <c r="FD325" s="346">
        <v>0</v>
      </c>
      <c r="FE325" s="346">
        <v>0</v>
      </c>
      <c r="FF325" s="346">
        <v>0</v>
      </c>
      <c r="FG325" s="346">
        <v>0</v>
      </c>
      <c r="FH325" s="346">
        <v>0</v>
      </c>
      <c r="FI325" s="346">
        <v>0</v>
      </c>
      <c r="FJ325" s="346">
        <v>0</v>
      </c>
      <c r="FK325" s="346">
        <v>0</v>
      </c>
      <c r="FL325" s="346">
        <v>0</v>
      </c>
    </row>
    <row r="326" spans="1:168" x14ac:dyDescent="0.25">
      <c r="A326" s="238">
        <v>3</v>
      </c>
      <c r="B326" s="238" t="s">
        <v>764</v>
      </c>
      <c r="C326" s="244" t="s">
        <v>11</v>
      </c>
      <c r="D326" s="244" t="s">
        <v>11</v>
      </c>
      <c r="E326" s="244" t="s">
        <v>11</v>
      </c>
      <c r="F326" s="244" t="s">
        <v>11</v>
      </c>
      <c r="G326" s="244" t="s">
        <v>11</v>
      </c>
      <c r="H326" s="244" t="s">
        <v>11</v>
      </c>
      <c r="I326" s="244" t="s">
        <v>11</v>
      </c>
      <c r="J326" s="244" t="s">
        <v>11</v>
      </c>
      <c r="K326" s="244" t="s">
        <v>11</v>
      </c>
      <c r="L326" s="244" t="s">
        <v>11</v>
      </c>
      <c r="N326">
        <v>111</v>
      </c>
      <c r="O326" t="s">
        <v>136</v>
      </c>
      <c r="P326" t="s">
        <v>136</v>
      </c>
      <c r="Q326" t="s">
        <v>25</v>
      </c>
      <c r="R326" s="2" t="s">
        <v>12</v>
      </c>
      <c r="S326" s="2" t="s">
        <v>12</v>
      </c>
      <c r="T326" s="2" t="s">
        <v>12</v>
      </c>
      <c r="U326" s="2" t="s">
        <v>12</v>
      </c>
      <c r="V326" s="2" t="s">
        <v>12</v>
      </c>
      <c r="W326" s="2" t="s">
        <v>12</v>
      </c>
      <c r="X326" s="2" t="s">
        <v>12</v>
      </c>
      <c r="Y326" s="2" t="s">
        <v>12</v>
      </c>
      <c r="Z326" s="2" t="s">
        <v>12</v>
      </c>
      <c r="AA326" s="2" t="s">
        <v>12</v>
      </c>
      <c r="AB326" s="2" t="s">
        <v>12</v>
      </c>
      <c r="AC326" s="2" t="s">
        <v>12</v>
      </c>
      <c r="AD326" t="s">
        <v>12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t="s">
        <v>12</v>
      </c>
      <c r="AR326" t="s">
        <v>12</v>
      </c>
      <c r="AS326" t="s">
        <v>12</v>
      </c>
      <c r="AT326" t="s">
        <v>12</v>
      </c>
      <c r="AU326" t="s">
        <v>12</v>
      </c>
      <c r="AV326" t="s">
        <v>12</v>
      </c>
      <c r="AW326" t="s">
        <v>12</v>
      </c>
      <c r="AX326" t="s">
        <v>12</v>
      </c>
      <c r="AY326" t="s">
        <v>12</v>
      </c>
      <c r="AZ326" t="s">
        <v>12</v>
      </c>
      <c r="BA326" t="s">
        <v>12</v>
      </c>
      <c r="BB326" t="s">
        <v>12</v>
      </c>
      <c r="BC326" t="s">
        <v>12</v>
      </c>
      <c r="BD326" t="s">
        <v>12</v>
      </c>
      <c r="BF326" s="313" t="s">
        <v>11</v>
      </c>
      <c r="BG326" s="313" t="s">
        <v>11</v>
      </c>
      <c r="BH326" t="s">
        <v>12</v>
      </c>
      <c r="BI326" t="s">
        <v>12</v>
      </c>
      <c r="BJ326" t="s">
        <v>12</v>
      </c>
      <c r="BK326" t="s">
        <v>12</v>
      </c>
      <c r="BL326" t="s">
        <v>12</v>
      </c>
      <c r="BM326" t="s">
        <v>12</v>
      </c>
      <c r="BN326" t="s">
        <v>12</v>
      </c>
      <c r="BO326" t="s">
        <v>12</v>
      </c>
      <c r="BP326" t="s">
        <v>12</v>
      </c>
      <c r="BQ326" t="s">
        <v>12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 s="9" t="s">
        <v>12</v>
      </c>
      <c r="CF326" s="28" t="s">
        <v>12</v>
      </c>
      <c r="CG326" s="28" t="s">
        <v>12</v>
      </c>
      <c r="CH326" s="28" t="s">
        <v>12</v>
      </c>
      <c r="CI326" s="28" t="s">
        <v>12</v>
      </c>
      <c r="CJ326" s="28" t="s">
        <v>12</v>
      </c>
      <c r="CK326" s="28" t="s">
        <v>12</v>
      </c>
      <c r="CL326" s="28" t="s">
        <v>12</v>
      </c>
      <c r="CM326" s="28" t="s">
        <v>12</v>
      </c>
      <c r="CN326" s="28" t="s">
        <v>12</v>
      </c>
      <c r="CO326" s="28" t="s">
        <v>12</v>
      </c>
      <c r="CP326" s="28" t="s">
        <v>12</v>
      </c>
      <c r="CQ326" s="28" t="s">
        <v>12</v>
      </c>
      <c r="CR326" s="28" t="s">
        <v>12</v>
      </c>
      <c r="CS326" s="28" t="s">
        <v>12</v>
      </c>
      <c r="CT326" s="28" t="s">
        <v>12</v>
      </c>
      <c r="CU326" s="28" t="s">
        <v>12</v>
      </c>
      <c r="CV326" s="28" t="s">
        <v>12</v>
      </c>
      <c r="CW326" s="28" t="s">
        <v>12</v>
      </c>
      <c r="CX326" s="28" t="s">
        <v>12</v>
      </c>
      <c r="CY326" s="28" t="s">
        <v>12</v>
      </c>
      <c r="CZ326" s="28" t="s">
        <v>12</v>
      </c>
      <c r="DA326" s="28" t="s">
        <v>12</v>
      </c>
      <c r="DB326" s="313">
        <v>111</v>
      </c>
      <c r="DC326" s="313" t="s">
        <v>136</v>
      </c>
      <c r="DD326" s="386" t="s">
        <v>12</v>
      </c>
      <c r="DE326" s="386" t="s">
        <v>12</v>
      </c>
      <c r="DF326" s="386" t="s">
        <v>12</v>
      </c>
      <c r="DG326" s="386" t="s">
        <v>12</v>
      </c>
      <c r="DH326" s="386" t="s">
        <v>12</v>
      </c>
      <c r="DI326" s="386" t="s">
        <v>12</v>
      </c>
      <c r="DJ326" s="386" t="s">
        <v>12</v>
      </c>
      <c r="DK326" s="386" t="s">
        <v>12</v>
      </c>
      <c r="DL326" s="386" t="s">
        <v>12</v>
      </c>
      <c r="DM326" s="386" t="s">
        <v>12</v>
      </c>
      <c r="DN326" s="7" t="s">
        <v>12</v>
      </c>
      <c r="DO326" s="7" t="s">
        <v>12</v>
      </c>
      <c r="DP326" s="7" t="s">
        <v>12</v>
      </c>
      <c r="DQ326" s="7" t="s">
        <v>12</v>
      </c>
      <c r="DR326" s="7" t="s">
        <v>12</v>
      </c>
      <c r="DS326" s="7" t="s">
        <v>12</v>
      </c>
      <c r="DT326" s="7" t="s">
        <v>12</v>
      </c>
      <c r="DU326" s="7" t="s">
        <v>12</v>
      </c>
      <c r="DV326" s="7" t="s">
        <v>12</v>
      </c>
      <c r="DW326" s="7" t="s">
        <v>12</v>
      </c>
      <c r="DY326" s="9">
        <v>27500515</v>
      </c>
      <c r="EI326" s="423" t="s">
        <v>12</v>
      </c>
      <c r="EJ326" s="423" t="s">
        <v>12</v>
      </c>
      <c r="EK326" s="423" t="s">
        <v>12</v>
      </c>
      <c r="EL326" s="423" t="s">
        <v>12</v>
      </c>
      <c r="EM326" s="423" t="s">
        <v>12</v>
      </c>
      <c r="EN326" s="423" t="s">
        <v>12</v>
      </c>
      <c r="EO326" s="423" t="s">
        <v>12</v>
      </c>
      <c r="EP326" s="423" t="s">
        <v>12</v>
      </c>
      <c r="EQ326" s="423" t="s">
        <v>12</v>
      </c>
      <c r="ER326" s="423" t="s">
        <v>12</v>
      </c>
      <c r="ES326" s="438" t="s">
        <v>12</v>
      </c>
      <c r="ET326" s="438" t="s">
        <v>12</v>
      </c>
      <c r="EU326" s="438" t="s">
        <v>12</v>
      </c>
      <c r="EV326" s="438" t="s">
        <v>12</v>
      </c>
      <c r="EW326" s="438" t="s">
        <v>12</v>
      </c>
      <c r="EX326" s="438" t="s">
        <v>12</v>
      </c>
      <c r="EY326" s="438" t="s">
        <v>12</v>
      </c>
      <c r="EZ326" s="438" t="s">
        <v>12</v>
      </c>
      <c r="FA326" s="438" t="s">
        <v>12</v>
      </c>
      <c r="FB326" s="438" t="s">
        <v>12</v>
      </c>
      <c r="FC326" s="346">
        <v>0</v>
      </c>
      <c r="FD326" s="346">
        <v>0</v>
      </c>
      <c r="FE326" s="346">
        <v>0</v>
      </c>
      <c r="FF326" s="346">
        <v>0</v>
      </c>
      <c r="FG326" s="346">
        <v>0</v>
      </c>
      <c r="FH326" s="346">
        <v>0</v>
      </c>
      <c r="FI326" s="346">
        <v>0</v>
      </c>
      <c r="FJ326" s="346">
        <v>0</v>
      </c>
      <c r="FK326" s="346">
        <v>0</v>
      </c>
      <c r="FL326" s="346">
        <v>0</v>
      </c>
    </row>
    <row r="327" spans="1:168" x14ac:dyDescent="0.25">
      <c r="A327" s="238">
        <v>4</v>
      </c>
      <c r="B327" s="238" t="s">
        <v>765</v>
      </c>
      <c r="C327" s="244" t="s">
        <v>11</v>
      </c>
      <c r="D327" s="244" t="s">
        <v>11</v>
      </c>
      <c r="E327" s="244" t="s">
        <v>11</v>
      </c>
      <c r="F327" s="244" t="s">
        <v>11</v>
      </c>
      <c r="G327" s="244" t="s">
        <v>11</v>
      </c>
      <c r="H327" s="244" t="s">
        <v>11</v>
      </c>
      <c r="I327" s="244" t="s">
        <v>11</v>
      </c>
      <c r="J327" s="244" t="s">
        <v>11</v>
      </c>
      <c r="K327" s="244" t="s">
        <v>11</v>
      </c>
      <c r="L327" s="244" t="s">
        <v>11</v>
      </c>
      <c r="N327">
        <v>112</v>
      </c>
      <c r="O327" t="s">
        <v>137</v>
      </c>
      <c r="P327" t="s">
        <v>137</v>
      </c>
      <c r="Q327" t="s">
        <v>23</v>
      </c>
      <c r="R327" s="2" t="s">
        <v>12</v>
      </c>
      <c r="S327" s="2" t="s">
        <v>12</v>
      </c>
      <c r="T327" s="2" t="s">
        <v>12</v>
      </c>
      <c r="U327" s="2" t="s">
        <v>12</v>
      </c>
      <c r="V327" s="2" t="s">
        <v>12</v>
      </c>
      <c r="W327" s="2" t="s">
        <v>12</v>
      </c>
      <c r="X327" s="2" t="s">
        <v>12</v>
      </c>
      <c r="Y327" s="2" t="s">
        <v>12</v>
      </c>
      <c r="Z327" s="2" t="s">
        <v>12</v>
      </c>
      <c r="AA327" s="2" t="s">
        <v>12</v>
      </c>
      <c r="AB327" s="2" t="s">
        <v>12</v>
      </c>
      <c r="AC327" s="2" t="s">
        <v>12</v>
      </c>
      <c r="AD327" t="s">
        <v>12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t="s">
        <v>12</v>
      </c>
      <c r="AR327" t="s">
        <v>12</v>
      </c>
      <c r="AS327" t="s">
        <v>12</v>
      </c>
      <c r="AT327" t="s">
        <v>12</v>
      </c>
      <c r="AU327" t="s">
        <v>12</v>
      </c>
      <c r="AV327" t="s">
        <v>12</v>
      </c>
      <c r="AW327" t="s">
        <v>12</v>
      </c>
      <c r="AX327" t="s">
        <v>12</v>
      </c>
      <c r="AY327" t="s">
        <v>12</v>
      </c>
      <c r="AZ327" t="s">
        <v>12</v>
      </c>
      <c r="BA327" t="s">
        <v>12</v>
      </c>
      <c r="BB327" t="s">
        <v>12</v>
      </c>
      <c r="BC327" t="s">
        <v>12</v>
      </c>
      <c r="BD327" t="s">
        <v>12</v>
      </c>
      <c r="BF327" s="313" t="s">
        <v>11</v>
      </c>
      <c r="BG327" s="313" t="s">
        <v>11</v>
      </c>
      <c r="BH327" t="s">
        <v>12</v>
      </c>
      <c r="BI327" t="s">
        <v>12</v>
      </c>
      <c r="BJ327" t="s">
        <v>12</v>
      </c>
      <c r="BK327" t="s">
        <v>12</v>
      </c>
      <c r="BL327" t="s">
        <v>12</v>
      </c>
      <c r="BM327" t="s">
        <v>12</v>
      </c>
      <c r="BN327" t="s">
        <v>12</v>
      </c>
      <c r="BO327" t="s">
        <v>12</v>
      </c>
      <c r="BP327" t="s">
        <v>12</v>
      </c>
      <c r="BQ327" t="s">
        <v>12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 s="9" t="s">
        <v>12</v>
      </c>
      <c r="CF327" s="28" t="s">
        <v>12</v>
      </c>
      <c r="CG327" s="28" t="s">
        <v>12</v>
      </c>
      <c r="CH327" s="28" t="s">
        <v>12</v>
      </c>
      <c r="CI327" s="28" t="s">
        <v>12</v>
      </c>
      <c r="CJ327" s="28" t="s">
        <v>12</v>
      </c>
      <c r="CK327" s="28" t="s">
        <v>12</v>
      </c>
      <c r="CL327" s="28" t="s">
        <v>12</v>
      </c>
      <c r="CM327" s="28" t="s">
        <v>12</v>
      </c>
      <c r="CN327" s="28" t="s">
        <v>12</v>
      </c>
      <c r="CO327" s="28" t="s">
        <v>12</v>
      </c>
      <c r="CP327" s="28" t="s">
        <v>12</v>
      </c>
      <c r="CQ327" s="28" t="s">
        <v>12</v>
      </c>
      <c r="CR327" s="28" t="s">
        <v>12</v>
      </c>
      <c r="CS327" s="28" t="s">
        <v>12</v>
      </c>
      <c r="CT327" s="28" t="s">
        <v>12</v>
      </c>
      <c r="CU327" s="28" t="s">
        <v>12</v>
      </c>
      <c r="CV327" s="28" t="s">
        <v>12</v>
      </c>
      <c r="CW327" s="28" t="s">
        <v>12</v>
      </c>
      <c r="CX327" s="28" t="s">
        <v>12</v>
      </c>
      <c r="CY327" s="28" t="s">
        <v>12</v>
      </c>
      <c r="CZ327" s="28" t="s">
        <v>12</v>
      </c>
      <c r="DA327" s="28" t="s">
        <v>12</v>
      </c>
      <c r="DB327" s="313">
        <v>112</v>
      </c>
      <c r="DC327" s="313" t="s">
        <v>137</v>
      </c>
      <c r="DD327" s="386" t="s">
        <v>12</v>
      </c>
      <c r="DE327" s="386" t="s">
        <v>12</v>
      </c>
      <c r="DF327" s="386" t="s">
        <v>12</v>
      </c>
      <c r="DG327" s="386" t="s">
        <v>12</v>
      </c>
      <c r="DH327" s="386" t="s">
        <v>12</v>
      </c>
      <c r="DI327" s="386" t="s">
        <v>12</v>
      </c>
      <c r="DJ327" s="386" t="s">
        <v>12</v>
      </c>
      <c r="DK327" s="386" t="s">
        <v>12</v>
      </c>
      <c r="DL327" s="386" t="s">
        <v>12</v>
      </c>
      <c r="DM327" s="386" t="s">
        <v>12</v>
      </c>
      <c r="DN327" s="7" t="s">
        <v>12</v>
      </c>
      <c r="DO327" s="7" t="s">
        <v>12</v>
      </c>
      <c r="DP327" s="7" t="s">
        <v>12</v>
      </c>
      <c r="DQ327" s="7" t="s">
        <v>12</v>
      </c>
      <c r="DR327" s="7" t="s">
        <v>12</v>
      </c>
      <c r="DS327" s="7" t="s">
        <v>12</v>
      </c>
      <c r="DT327" s="7" t="s">
        <v>12</v>
      </c>
      <c r="DU327" s="7" t="s">
        <v>12</v>
      </c>
      <c r="DV327" s="7" t="s">
        <v>12</v>
      </c>
      <c r="DW327" s="7" t="s">
        <v>12</v>
      </c>
      <c r="DY327" s="9">
        <v>16754962</v>
      </c>
      <c r="EI327" s="423" t="s">
        <v>12</v>
      </c>
      <c r="EJ327" s="423" t="s">
        <v>12</v>
      </c>
      <c r="EK327" s="423" t="s">
        <v>12</v>
      </c>
      <c r="EL327" s="423" t="s">
        <v>12</v>
      </c>
      <c r="EM327" s="423" t="s">
        <v>12</v>
      </c>
      <c r="EN327" s="423" t="s">
        <v>12</v>
      </c>
      <c r="EO327" s="423" t="s">
        <v>12</v>
      </c>
      <c r="EP327" s="423" t="s">
        <v>12</v>
      </c>
      <c r="EQ327" s="423" t="s">
        <v>12</v>
      </c>
      <c r="ER327" s="423" t="s">
        <v>12</v>
      </c>
      <c r="ES327" s="438" t="s">
        <v>12</v>
      </c>
      <c r="ET327" s="438" t="s">
        <v>12</v>
      </c>
      <c r="EU327" s="438" t="s">
        <v>12</v>
      </c>
      <c r="EV327" s="438" t="s">
        <v>12</v>
      </c>
      <c r="EW327" s="438" t="s">
        <v>12</v>
      </c>
      <c r="EX327" s="438" t="s">
        <v>12</v>
      </c>
      <c r="EY327" s="438" t="s">
        <v>12</v>
      </c>
      <c r="EZ327" s="438" t="s">
        <v>12</v>
      </c>
      <c r="FA327" s="438" t="s">
        <v>12</v>
      </c>
      <c r="FB327" s="438" t="s">
        <v>12</v>
      </c>
      <c r="FC327" s="346">
        <v>0</v>
      </c>
      <c r="FD327" s="346">
        <v>0</v>
      </c>
      <c r="FE327" s="346">
        <v>0</v>
      </c>
      <c r="FF327" s="346">
        <v>0</v>
      </c>
      <c r="FG327" s="346">
        <v>0</v>
      </c>
      <c r="FH327" s="346">
        <v>0</v>
      </c>
      <c r="FI327" s="346">
        <v>0</v>
      </c>
      <c r="FJ327" s="346">
        <v>0</v>
      </c>
      <c r="FK327" s="346">
        <v>0</v>
      </c>
      <c r="FL327" s="346">
        <v>0</v>
      </c>
    </row>
    <row r="328" spans="1:168" x14ac:dyDescent="0.25">
      <c r="A328" s="238">
        <v>5</v>
      </c>
      <c r="B328" s="238" t="s">
        <v>767</v>
      </c>
      <c r="C328" s="244" t="s">
        <v>11</v>
      </c>
      <c r="D328" s="244" t="s">
        <v>11</v>
      </c>
      <c r="E328" s="244" t="s">
        <v>11</v>
      </c>
      <c r="F328" s="244" t="s">
        <v>11</v>
      </c>
      <c r="G328" s="244" t="s">
        <v>11</v>
      </c>
      <c r="H328" s="244" t="s">
        <v>11</v>
      </c>
      <c r="I328" s="244" t="s">
        <v>11</v>
      </c>
      <c r="J328" s="244" t="s">
        <v>11</v>
      </c>
      <c r="K328" s="244" t="s">
        <v>11</v>
      </c>
      <c r="L328" s="244" t="s">
        <v>11</v>
      </c>
      <c r="N328">
        <v>113</v>
      </c>
      <c r="O328" t="s">
        <v>138</v>
      </c>
      <c r="P328" t="s">
        <v>139</v>
      </c>
      <c r="Q328" t="s">
        <v>21</v>
      </c>
      <c r="R328" s="2" t="s">
        <v>12</v>
      </c>
      <c r="S328" s="2" t="s">
        <v>12</v>
      </c>
      <c r="T328" s="2" t="s">
        <v>12</v>
      </c>
      <c r="U328" s="2" t="s">
        <v>12</v>
      </c>
      <c r="V328" s="2" t="s">
        <v>12</v>
      </c>
      <c r="W328" s="2" t="s">
        <v>12</v>
      </c>
      <c r="X328" s="2" t="s">
        <v>12</v>
      </c>
      <c r="Y328" s="2" t="s">
        <v>12</v>
      </c>
      <c r="Z328" s="2" t="s">
        <v>12</v>
      </c>
      <c r="AA328" s="2" t="s">
        <v>12</v>
      </c>
      <c r="AB328" s="2" t="s">
        <v>12</v>
      </c>
      <c r="AC328" s="2" t="s">
        <v>12</v>
      </c>
      <c r="AD328" t="s">
        <v>12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t="s">
        <v>12</v>
      </c>
      <c r="AR328" t="s">
        <v>12</v>
      </c>
      <c r="AS328" t="s">
        <v>12</v>
      </c>
      <c r="AT328" t="s">
        <v>12</v>
      </c>
      <c r="AU328" t="s">
        <v>12</v>
      </c>
      <c r="AV328" t="s">
        <v>12</v>
      </c>
      <c r="AW328" t="s">
        <v>12</v>
      </c>
      <c r="AX328" t="s">
        <v>12</v>
      </c>
      <c r="AY328" t="s">
        <v>12</v>
      </c>
      <c r="AZ328" t="s">
        <v>12</v>
      </c>
      <c r="BA328" t="s">
        <v>12</v>
      </c>
      <c r="BB328" t="s">
        <v>12</v>
      </c>
      <c r="BC328" t="s">
        <v>12</v>
      </c>
      <c r="BD328" t="s">
        <v>12</v>
      </c>
      <c r="BF328" s="313" t="s">
        <v>11</v>
      </c>
      <c r="BG328" s="313" t="s">
        <v>11</v>
      </c>
      <c r="BH328" t="s">
        <v>12</v>
      </c>
      <c r="BI328" t="s">
        <v>12</v>
      </c>
      <c r="BJ328" t="s">
        <v>12</v>
      </c>
      <c r="BK328" t="s">
        <v>12</v>
      </c>
      <c r="BL328" t="s">
        <v>12</v>
      </c>
      <c r="BM328" t="s">
        <v>12</v>
      </c>
      <c r="BN328" t="s">
        <v>12</v>
      </c>
      <c r="BO328" t="s">
        <v>12</v>
      </c>
      <c r="BP328" t="s">
        <v>12</v>
      </c>
      <c r="BQ328" t="s">
        <v>12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 s="9" t="s">
        <v>12</v>
      </c>
      <c r="CF328" s="28" t="s">
        <v>12</v>
      </c>
      <c r="CG328" s="28" t="s">
        <v>12</v>
      </c>
      <c r="CH328" s="28" t="s">
        <v>12</v>
      </c>
      <c r="CI328" s="28" t="s">
        <v>12</v>
      </c>
      <c r="CJ328" s="28" t="s">
        <v>12</v>
      </c>
      <c r="CK328" s="28" t="s">
        <v>12</v>
      </c>
      <c r="CL328" s="28" t="s">
        <v>12</v>
      </c>
      <c r="CM328" s="28" t="s">
        <v>12</v>
      </c>
      <c r="CN328" s="28" t="s">
        <v>12</v>
      </c>
      <c r="CO328" s="28" t="s">
        <v>12</v>
      </c>
      <c r="CP328" s="28" t="s">
        <v>12</v>
      </c>
      <c r="CQ328" s="28" t="s">
        <v>12</v>
      </c>
      <c r="CR328" s="28" t="s">
        <v>12</v>
      </c>
      <c r="CS328" s="28" t="s">
        <v>12</v>
      </c>
      <c r="CT328" s="28" t="s">
        <v>12</v>
      </c>
      <c r="CU328" s="28" t="s">
        <v>12</v>
      </c>
      <c r="CV328" s="28" t="s">
        <v>12</v>
      </c>
      <c r="CW328" s="28" t="s">
        <v>12</v>
      </c>
      <c r="CX328" s="28" t="s">
        <v>12</v>
      </c>
      <c r="CY328" s="28" t="s">
        <v>12</v>
      </c>
      <c r="CZ328" s="28" t="s">
        <v>12</v>
      </c>
      <c r="DA328" s="28" t="s">
        <v>12</v>
      </c>
      <c r="DB328" s="313">
        <v>113</v>
      </c>
      <c r="DC328" s="313" t="s">
        <v>138</v>
      </c>
      <c r="DD328" s="386" t="s">
        <v>12</v>
      </c>
      <c r="DE328" s="386" t="s">
        <v>12</v>
      </c>
      <c r="DF328" s="386" t="s">
        <v>12</v>
      </c>
      <c r="DG328" s="386" t="s">
        <v>12</v>
      </c>
      <c r="DH328" s="386" t="s">
        <v>12</v>
      </c>
      <c r="DI328" s="386" t="s">
        <v>12</v>
      </c>
      <c r="DJ328" s="386" t="s">
        <v>12</v>
      </c>
      <c r="DK328" s="386" t="s">
        <v>12</v>
      </c>
      <c r="DL328" s="386" t="s">
        <v>12</v>
      </c>
      <c r="DM328" s="386" t="s">
        <v>12</v>
      </c>
      <c r="DN328" s="7" t="s">
        <v>12</v>
      </c>
      <c r="DO328" s="7" t="s">
        <v>12</v>
      </c>
      <c r="DP328" s="7" t="s">
        <v>12</v>
      </c>
      <c r="DQ328" s="7" t="s">
        <v>12</v>
      </c>
      <c r="DR328" s="7" t="s">
        <v>12</v>
      </c>
      <c r="DS328" s="7" t="s">
        <v>12</v>
      </c>
      <c r="DT328" s="7" t="s">
        <v>12</v>
      </c>
      <c r="DU328" s="7" t="s">
        <v>12</v>
      </c>
      <c r="DV328" s="7" t="s">
        <v>12</v>
      </c>
      <c r="DW328" s="7" t="s">
        <v>12</v>
      </c>
      <c r="DY328" s="9">
        <v>4408100</v>
      </c>
      <c r="EI328" s="423" t="s">
        <v>12</v>
      </c>
      <c r="EJ328" s="423" t="s">
        <v>12</v>
      </c>
      <c r="EK328" s="423" t="s">
        <v>12</v>
      </c>
      <c r="EL328" s="423" t="s">
        <v>12</v>
      </c>
      <c r="EM328" s="423" t="s">
        <v>12</v>
      </c>
      <c r="EN328" s="423" t="s">
        <v>12</v>
      </c>
      <c r="EO328" s="423" t="s">
        <v>12</v>
      </c>
      <c r="EP328" s="423" t="s">
        <v>12</v>
      </c>
      <c r="EQ328" s="423" t="s">
        <v>12</v>
      </c>
      <c r="ER328" s="423" t="s">
        <v>12</v>
      </c>
      <c r="ES328" s="438" t="s">
        <v>12</v>
      </c>
      <c r="ET328" s="438" t="s">
        <v>12</v>
      </c>
      <c r="EU328" s="438" t="s">
        <v>12</v>
      </c>
      <c r="EV328" s="438" t="s">
        <v>12</v>
      </c>
      <c r="EW328" s="438" t="s">
        <v>12</v>
      </c>
      <c r="EX328" s="438" t="s">
        <v>12</v>
      </c>
      <c r="EY328" s="438" t="s">
        <v>12</v>
      </c>
      <c r="EZ328" s="438" t="s">
        <v>12</v>
      </c>
      <c r="FA328" s="438" t="s">
        <v>12</v>
      </c>
      <c r="FB328" s="438" t="s">
        <v>12</v>
      </c>
      <c r="FC328" s="346">
        <v>0</v>
      </c>
      <c r="FD328" s="346">
        <v>0</v>
      </c>
      <c r="FE328" s="346">
        <v>0</v>
      </c>
      <c r="FF328" s="346">
        <v>0</v>
      </c>
      <c r="FG328" s="346">
        <v>0</v>
      </c>
      <c r="FH328" s="346">
        <v>0</v>
      </c>
      <c r="FI328" s="346">
        <v>0</v>
      </c>
      <c r="FJ328" s="346">
        <v>0</v>
      </c>
      <c r="FK328" s="346">
        <v>0</v>
      </c>
      <c r="FL328" s="346">
        <v>0</v>
      </c>
    </row>
    <row r="329" spans="1:168" x14ac:dyDescent="0.25">
      <c r="A329" s="238">
        <v>6</v>
      </c>
      <c r="B329" s="238" t="s">
        <v>768</v>
      </c>
      <c r="C329" s="244" t="s">
        <v>11</v>
      </c>
      <c r="D329" s="244" t="s">
        <v>11</v>
      </c>
      <c r="E329" s="244" t="s">
        <v>11</v>
      </c>
      <c r="F329" s="244" t="s">
        <v>11</v>
      </c>
      <c r="G329" s="244" t="s">
        <v>11</v>
      </c>
      <c r="H329" s="244" t="s">
        <v>11</v>
      </c>
      <c r="I329" s="244" t="s">
        <v>11</v>
      </c>
      <c r="J329" s="244" t="s">
        <v>11</v>
      </c>
      <c r="K329" s="244" t="s">
        <v>11</v>
      </c>
      <c r="L329" s="244" t="s">
        <v>11</v>
      </c>
      <c r="N329">
        <v>114</v>
      </c>
      <c r="O329" t="s">
        <v>140</v>
      </c>
      <c r="P329" t="s">
        <v>140</v>
      </c>
      <c r="Q329" t="s">
        <v>33</v>
      </c>
      <c r="R329" s="2" t="s">
        <v>12</v>
      </c>
      <c r="S329" s="2" t="s">
        <v>12</v>
      </c>
      <c r="T329" s="2" t="s">
        <v>12</v>
      </c>
      <c r="U329" s="2" t="s">
        <v>12</v>
      </c>
      <c r="V329" s="2" t="s">
        <v>12</v>
      </c>
      <c r="W329" s="2" t="s">
        <v>12</v>
      </c>
      <c r="X329" s="2" t="s">
        <v>12</v>
      </c>
      <c r="Y329" s="2" t="s">
        <v>12</v>
      </c>
      <c r="Z329" s="2" t="s">
        <v>12</v>
      </c>
      <c r="AA329" s="2" t="s">
        <v>12</v>
      </c>
      <c r="AB329" s="2" t="s">
        <v>12</v>
      </c>
      <c r="AC329" s="2" t="s">
        <v>12</v>
      </c>
      <c r="AD329" t="s">
        <v>12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t="s">
        <v>12</v>
      </c>
      <c r="AR329" t="s">
        <v>12</v>
      </c>
      <c r="AS329" t="s">
        <v>12</v>
      </c>
      <c r="AT329" t="s">
        <v>12</v>
      </c>
      <c r="AU329" t="s">
        <v>12</v>
      </c>
      <c r="AV329" t="s">
        <v>12</v>
      </c>
      <c r="AW329" t="s">
        <v>12</v>
      </c>
      <c r="AX329" t="s">
        <v>12</v>
      </c>
      <c r="AY329" t="s">
        <v>12</v>
      </c>
      <c r="AZ329" t="s">
        <v>12</v>
      </c>
      <c r="BA329" t="s">
        <v>12</v>
      </c>
      <c r="BB329" t="s">
        <v>12</v>
      </c>
      <c r="BC329" t="s">
        <v>12</v>
      </c>
      <c r="BD329" t="s">
        <v>12</v>
      </c>
      <c r="BF329" s="313" t="s">
        <v>11</v>
      </c>
      <c r="BG329" s="313" t="s">
        <v>11</v>
      </c>
      <c r="BH329" t="s">
        <v>12</v>
      </c>
      <c r="BI329" t="s">
        <v>12</v>
      </c>
      <c r="BJ329" t="s">
        <v>12</v>
      </c>
      <c r="BK329" t="s">
        <v>12</v>
      </c>
      <c r="BL329" t="s">
        <v>12</v>
      </c>
      <c r="BM329" t="s">
        <v>12</v>
      </c>
      <c r="BN329" t="s">
        <v>12</v>
      </c>
      <c r="BO329" t="s">
        <v>12</v>
      </c>
      <c r="BP329" t="s">
        <v>12</v>
      </c>
      <c r="BQ329" t="s">
        <v>12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 s="9" t="s">
        <v>12</v>
      </c>
      <c r="CF329" s="28" t="s">
        <v>12</v>
      </c>
      <c r="CG329" s="28" t="s">
        <v>12</v>
      </c>
      <c r="CH329" s="28" t="s">
        <v>12</v>
      </c>
      <c r="CI329" s="28" t="s">
        <v>12</v>
      </c>
      <c r="CJ329" s="28" t="s">
        <v>12</v>
      </c>
      <c r="CK329" s="28" t="s">
        <v>12</v>
      </c>
      <c r="CL329" s="28" t="s">
        <v>12</v>
      </c>
      <c r="CM329" s="28" t="s">
        <v>12</v>
      </c>
      <c r="CN329" s="28" t="s">
        <v>12</v>
      </c>
      <c r="CO329" s="28" t="s">
        <v>12</v>
      </c>
      <c r="CP329" s="28" t="s">
        <v>12</v>
      </c>
      <c r="CQ329" s="28" t="s">
        <v>12</v>
      </c>
      <c r="CR329" s="28" t="s">
        <v>12</v>
      </c>
      <c r="CS329" s="28" t="s">
        <v>12</v>
      </c>
      <c r="CT329" s="28" t="s">
        <v>12</v>
      </c>
      <c r="CU329" s="28" t="s">
        <v>12</v>
      </c>
      <c r="CV329" s="28" t="s">
        <v>12</v>
      </c>
      <c r="CW329" s="28" t="s">
        <v>12</v>
      </c>
      <c r="CX329" s="28" t="s">
        <v>12</v>
      </c>
      <c r="CY329" s="28" t="s">
        <v>12</v>
      </c>
      <c r="CZ329" s="28" t="s">
        <v>12</v>
      </c>
      <c r="DA329" s="28" t="s">
        <v>12</v>
      </c>
      <c r="DB329" s="313">
        <v>114</v>
      </c>
      <c r="DC329" s="313" t="s">
        <v>140</v>
      </c>
      <c r="DD329" s="386" t="s">
        <v>12</v>
      </c>
      <c r="DE329" s="386" t="s">
        <v>12</v>
      </c>
      <c r="DF329" s="386" t="s">
        <v>12</v>
      </c>
      <c r="DG329" s="386" t="s">
        <v>12</v>
      </c>
      <c r="DH329" s="386" t="s">
        <v>12</v>
      </c>
      <c r="DI329" s="386" t="s">
        <v>12</v>
      </c>
      <c r="DJ329" s="386" t="s">
        <v>12</v>
      </c>
      <c r="DK329" s="386" t="s">
        <v>12</v>
      </c>
      <c r="DL329" s="386" t="s">
        <v>12</v>
      </c>
      <c r="DM329" s="386" t="s">
        <v>12</v>
      </c>
      <c r="DN329" s="7" t="s">
        <v>12</v>
      </c>
      <c r="DO329" s="7" t="s">
        <v>12</v>
      </c>
      <c r="DP329" s="7" t="s">
        <v>12</v>
      </c>
      <c r="DQ329" s="7" t="s">
        <v>12</v>
      </c>
      <c r="DR329" s="7" t="s">
        <v>12</v>
      </c>
      <c r="DS329" s="7" t="s">
        <v>12</v>
      </c>
      <c r="DT329" s="7" t="s">
        <v>12</v>
      </c>
      <c r="DU329" s="7" t="s">
        <v>12</v>
      </c>
      <c r="DV329" s="7" t="s">
        <v>12</v>
      </c>
      <c r="DW329" s="7" t="s">
        <v>12</v>
      </c>
      <c r="DY329" s="9">
        <v>5877034</v>
      </c>
      <c r="EI329" s="423" t="s">
        <v>12</v>
      </c>
      <c r="EJ329" s="423" t="s">
        <v>12</v>
      </c>
      <c r="EK329" s="423" t="s">
        <v>12</v>
      </c>
      <c r="EL329" s="423" t="s">
        <v>12</v>
      </c>
      <c r="EM329" s="423" t="s">
        <v>12</v>
      </c>
      <c r="EN329" s="423" t="s">
        <v>12</v>
      </c>
      <c r="EO329" s="423" t="s">
        <v>12</v>
      </c>
      <c r="EP329" s="423" t="s">
        <v>12</v>
      </c>
      <c r="EQ329" s="423" t="s">
        <v>12</v>
      </c>
      <c r="ER329" s="423" t="s">
        <v>12</v>
      </c>
      <c r="ES329" s="438" t="s">
        <v>12</v>
      </c>
      <c r="ET329" s="438" t="s">
        <v>12</v>
      </c>
      <c r="EU329" s="438" t="s">
        <v>12</v>
      </c>
      <c r="EV329" s="438" t="s">
        <v>12</v>
      </c>
      <c r="EW329" s="438" t="s">
        <v>12</v>
      </c>
      <c r="EX329" s="438" t="s">
        <v>12</v>
      </c>
      <c r="EY329" s="438" t="s">
        <v>12</v>
      </c>
      <c r="EZ329" s="438" t="s">
        <v>12</v>
      </c>
      <c r="FA329" s="438" t="s">
        <v>12</v>
      </c>
      <c r="FB329" s="438" t="s">
        <v>12</v>
      </c>
      <c r="FC329" s="346">
        <v>0</v>
      </c>
      <c r="FD329" s="346">
        <v>0</v>
      </c>
      <c r="FE329" s="346">
        <v>0</v>
      </c>
      <c r="FF329" s="346">
        <v>0</v>
      </c>
      <c r="FG329" s="346">
        <v>0</v>
      </c>
      <c r="FH329" s="346">
        <v>0</v>
      </c>
      <c r="FI329" s="346">
        <v>0</v>
      </c>
      <c r="FJ329" s="346">
        <v>0</v>
      </c>
      <c r="FK329" s="346">
        <v>0</v>
      </c>
      <c r="FL329" s="346">
        <v>0</v>
      </c>
    </row>
    <row r="330" spans="1:168" x14ac:dyDescent="0.25">
      <c r="A330" s="238">
        <v>7</v>
      </c>
      <c r="B330" s="238" t="s">
        <v>770</v>
      </c>
      <c r="C330" s="244" t="s">
        <v>11</v>
      </c>
      <c r="D330" s="244" t="s">
        <v>11</v>
      </c>
      <c r="E330" s="244" t="s">
        <v>11</v>
      </c>
      <c r="F330" s="244" t="s">
        <v>11</v>
      </c>
      <c r="G330" s="244" t="s">
        <v>11</v>
      </c>
      <c r="H330" s="244" t="s">
        <v>11</v>
      </c>
      <c r="I330" s="244" t="s">
        <v>11</v>
      </c>
      <c r="J330" s="244" t="s">
        <v>11</v>
      </c>
      <c r="K330" s="244" t="s">
        <v>11</v>
      </c>
      <c r="L330" s="244" t="s">
        <v>11</v>
      </c>
      <c r="N330">
        <v>115</v>
      </c>
      <c r="O330" t="s">
        <v>141</v>
      </c>
      <c r="P330" t="s">
        <v>141</v>
      </c>
      <c r="Q330" t="s">
        <v>14</v>
      </c>
      <c r="R330" s="2" t="s">
        <v>12</v>
      </c>
      <c r="S330" s="2" t="s">
        <v>12</v>
      </c>
      <c r="T330" s="2" t="s">
        <v>12</v>
      </c>
      <c r="U330" s="2" t="s">
        <v>12</v>
      </c>
      <c r="V330" s="2" t="s">
        <v>12</v>
      </c>
      <c r="W330" s="2" t="s">
        <v>12</v>
      </c>
      <c r="X330" s="2" t="s">
        <v>12</v>
      </c>
      <c r="Y330" s="2" t="s">
        <v>12</v>
      </c>
      <c r="Z330" s="2" t="s">
        <v>12</v>
      </c>
      <c r="AA330" s="2" t="s">
        <v>12</v>
      </c>
      <c r="AB330" s="2" t="s">
        <v>12</v>
      </c>
      <c r="AC330" s="2" t="s">
        <v>12</v>
      </c>
      <c r="AD330" t="s">
        <v>12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t="s">
        <v>12</v>
      </c>
      <c r="AR330" t="s">
        <v>12</v>
      </c>
      <c r="AS330" t="s">
        <v>12</v>
      </c>
      <c r="AT330" t="s">
        <v>12</v>
      </c>
      <c r="AU330" t="s">
        <v>12</v>
      </c>
      <c r="AV330" t="s">
        <v>12</v>
      </c>
      <c r="AW330" t="s">
        <v>12</v>
      </c>
      <c r="AX330" t="s">
        <v>12</v>
      </c>
      <c r="AY330" t="s">
        <v>12</v>
      </c>
      <c r="AZ330" t="s">
        <v>12</v>
      </c>
      <c r="BA330" t="s">
        <v>12</v>
      </c>
      <c r="BB330" t="s">
        <v>12</v>
      </c>
      <c r="BC330" t="s">
        <v>12</v>
      </c>
      <c r="BD330" t="s">
        <v>12</v>
      </c>
      <c r="BF330" s="313" t="s">
        <v>11</v>
      </c>
      <c r="BG330" s="313" t="s">
        <v>11</v>
      </c>
      <c r="BH330" t="s">
        <v>12</v>
      </c>
      <c r="BI330" t="s">
        <v>12</v>
      </c>
      <c r="BJ330" t="s">
        <v>12</v>
      </c>
      <c r="BK330" t="s">
        <v>12</v>
      </c>
      <c r="BL330" t="s">
        <v>12</v>
      </c>
      <c r="BM330" t="s">
        <v>12</v>
      </c>
      <c r="BN330" t="s">
        <v>12</v>
      </c>
      <c r="BO330" t="s">
        <v>12</v>
      </c>
      <c r="BP330" t="s">
        <v>12</v>
      </c>
      <c r="BQ330" t="s">
        <v>12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 s="9" t="s">
        <v>12</v>
      </c>
      <c r="CF330" s="28" t="s">
        <v>12</v>
      </c>
      <c r="CG330" s="28" t="s">
        <v>12</v>
      </c>
      <c r="CH330" s="28" t="s">
        <v>12</v>
      </c>
      <c r="CI330" s="28" t="s">
        <v>12</v>
      </c>
      <c r="CJ330" s="28" t="s">
        <v>12</v>
      </c>
      <c r="CK330" s="28" t="s">
        <v>12</v>
      </c>
      <c r="CL330" s="28" t="s">
        <v>12</v>
      </c>
      <c r="CM330" s="28" t="s">
        <v>12</v>
      </c>
      <c r="CN330" s="28" t="s">
        <v>12</v>
      </c>
      <c r="CO330" s="28" t="s">
        <v>12</v>
      </c>
      <c r="CP330" s="28" t="s">
        <v>12</v>
      </c>
      <c r="CQ330" s="28" t="s">
        <v>12</v>
      </c>
      <c r="CR330" s="28" t="s">
        <v>12</v>
      </c>
      <c r="CS330" s="28" t="s">
        <v>12</v>
      </c>
      <c r="CT330" s="28" t="s">
        <v>12</v>
      </c>
      <c r="CU330" s="28" t="s">
        <v>12</v>
      </c>
      <c r="CV330" s="28" t="s">
        <v>12</v>
      </c>
      <c r="CW330" s="28" t="s">
        <v>12</v>
      </c>
      <c r="CX330" s="28" t="s">
        <v>12</v>
      </c>
      <c r="CY330" s="28" t="s">
        <v>12</v>
      </c>
      <c r="CZ330" s="28" t="s">
        <v>12</v>
      </c>
      <c r="DA330" s="28" t="s">
        <v>12</v>
      </c>
      <c r="DB330" s="313">
        <v>115</v>
      </c>
      <c r="DC330" s="313" t="s">
        <v>141</v>
      </c>
      <c r="DD330" s="386" t="s">
        <v>12</v>
      </c>
      <c r="DE330" s="386" t="s">
        <v>12</v>
      </c>
      <c r="DF330" s="386" t="s">
        <v>12</v>
      </c>
      <c r="DG330" s="386" t="s">
        <v>12</v>
      </c>
      <c r="DH330" s="386" t="s">
        <v>12</v>
      </c>
      <c r="DI330" s="386" t="s">
        <v>12</v>
      </c>
      <c r="DJ330" s="386" t="s">
        <v>12</v>
      </c>
      <c r="DK330" s="386" t="s">
        <v>12</v>
      </c>
      <c r="DL330" s="386" t="s">
        <v>12</v>
      </c>
      <c r="DM330" s="386" t="s">
        <v>12</v>
      </c>
      <c r="DN330" s="7" t="s">
        <v>12</v>
      </c>
      <c r="DO330" s="7" t="s">
        <v>12</v>
      </c>
      <c r="DP330" s="7" t="s">
        <v>12</v>
      </c>
      <c r="DQ330" s="7" t="s">
        <v>12</v>
      </c>
      <c r="DR330" s="7" t="s">
        <v>12</v>
      </c>
      <c r="DS330" s="7" t="s">
        <v>12</v>
      </c>
      <c r="DT330" s="7" t="s">
        <v>12</v>
      </c>
      <c r="DU330" s="7" t="s">
        <v>12</v>
      </c>
      <c r="DV330" s="7" t="s">
        <v>12</v>
      </c>
      <c r="DW330" s="7" t="s">
        <v>12</v>
      </c>
      <c r="DY330" s="9">
        <v>17635782</v>
      </c>
      <c r="EI330" s="423" t="s">
        <v>12</v>
      </c>
      <c r="EJ330" s="423" t="s">
        <v>12</v>
      </c>
      <c r="EK330" s="423" t="s">
        <v>12</v>
      </c>
      <c r="EL330" s="423" t="s">
        <v>12</v>
      </c>
      <c r="EM330" s="423" t="s">
        <v>12</v>
      </c>
      <c r="EN330" s="423" t="s">
        <v>12</v>
      </c>
      <c r="EO330" s="423" t="s">
        <v>12</v>
      </c>
      <c r="EP330" s="423" t="s">
        <v>12</v>
      </c>
      <c r="EQ330" s="423" t="s">
        <v>12</v>
      </c>
      <c r="ER330" s="423" t="s">
        <v>12</v>
      </c>
      <c r="ES330" s="438" t="s">
        <v>12</v>
      </c>
      <c r="ET330" s="438" t="s">
        <v>12</v>
      </c>
      <c r="EU330" s="438" t="s">
        <v>12</v>
      </c>
      <c r="EV330" s="438" t="s">
        <v>12</v>
      </c>
      <c r="EW330" s="438" t="s">
        <v>12</v>
      </c>
      <c r="EX330" s="438" t="s">
        <v>12</v>
      </c>
      <c r="EY330" s="438" t="s">
        <v>12</v>
      </c>
      <c r="EZ330" s="438" t="s">
        <v>12</v>
      </c>
      <c r="FA330" s="438" t="s">
        <v>12</v>
      </c>
      <c r="FB330" s="438" t="s">
        <v>12</v>
      </c>
      <c r="FC330" s="346">
        <v>0</v>
      </c>
      <c r="FD330" s="346">
        <v>0</v>
      </c>
      <c r="FE330" s="346">
        <v>0</v>
      </c>
      <c r="FF330" s="346">
        <v>0</v>
      </c>
      <c r="FG330" s="346">
        <v>0</v>
      </c>
      <c r="FH330" s="346">
        <v>0</v>
      </c>
      <c r="FI330" s="346">
        <v>0</v>
      </c>
      <c r="FJ330" s="346">
        <v>0</v>
      </c>
      <c r="FK330" s="346">
        <v>0</v>
      </c>
      <c r="FL330" s="346">
        <v>0</v>
      </c>
    </row>
    <row r="331" spans="1:168" x14ac:dyDescent="0.25">
      <c r="A331" s="238">
        <v>8</v>
      </c>
      <c r="B331" s="238" t="s">
        <v>771</v>
      </c>
      <c r="C331" s="244" t="s">
        <v>11</v>
      </c>
      <c r="D331" s="244" t="s">
        <v>11</v>
      </c>
      <c r="E331" s="244" t="s">
        <v>11</v>
      </c>
      <c r="F331" s="244" t="s">
        <v>11</v>
      </c>
      <c r="G331" s="244" t="s">
        <v>11</v>
      </c>
      <c r="H331" s="244" t="s">
        <v>11</v>
      </c>
      <c r="I331" s="244" t="s">
        <v>11</v>
      </c>
      <c r="J331" s="244" t="s">
        <v>11</v>
      </c>
      <c r="K331" s="244" t="s">
        <v>11</v>
      </c>
      <c r="L331" s="244" t="s">
        <v>11</v>
      </c>
      <c r="N331">
        <v>116</v>
      </c>
      <c r="O331" t="s">
        <v>142</v>
      </c>
      <c r="P331" t="s">
        <v>142</v>
      </c>
      <c r="Q331" t="s">
        <v>14</v>
      </c>
      <c r="R331" s="2" t="s">
        <v>12</v>
      </c>
      <c r="S331" s="2" t="s">
        <v>12</v>
      </c>
      <c r="T331" s="2" t="s">
        <v>12</v>
      </c>
      <c r="U331" s="2" t="s">
        <v>12</v>
      </c>
      <c r="V331" s="2" t="s">
        <v>12</v>
      </c>
      <c r="W331" s="2" t="s">
        <v>12</v>
      </c>
      <c r="X331" s="2" t="s">
        <v>12</v>
      </c>
      <c r="Y331" s="2" t="s">
        <v>12</v>
      </c>
      <c r="Z331" s="2" t="s">
        <v>12</v>
      </c>
      <c r="AA331" s="2" t="s">
        <v>12</v>
      </c>
      <c r="AB331" s="2" t="s">
        <v>12</v>
      </c>
      <c r="AC331" s="2" t="s">
        <v>12</v>
      </c>
      <c r="AD331" t="s">
        <v>12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t="s">
        <v>12</v>
      </c>
      <c r="AR331" t="s">
        <v>12</v>
      </c>
      <c r="AS331" t="s">
        <v>12</v>
      </c>
      <c r="AT331" t="s">
        <v>12</v>
      </c>
      <c r="AU331" t="s">
        <v>12</v>
      </c>
      <c r="AV331" t="s">
        <v>12</v>
      </c>
      <c r="AW331" t="s">
        <v>12</v>
      </c>
      <c r="AX331" t="s">
        <v>12</v>
      </c>
      <c r="AY331" t="s">
        <v>12</v>
      </c>
      <c r="AZ331" t="s">
        <v>12</v>
      </c>
      <c r="BA331" t="s">
        <v>12</v>
      </c>
      <c r="BB331" t="s">
        <v>12</v>
      </c>
      <c r="BC331" t="s">
        <v>12</v>
      </c>
      <c r="BD331" t="s">
        <v>12</v>
      </c>
      <c r="BF331" s="313" t="s">
        <v>11</v>
      </c>
      <c r="BG331" s="313" t="s">
        <v>11</v>
      </c>
      <c r="BH331" t="s">
        <v>12</v>
      </c>
      <c r="BI331" t="s">
        <v>12</v>
      </c>
      <c r="BJ331" t="s">
        <v>12</v>
      </c>
      <c r="BK331" t="s">
        <v>12</v>
      </c>
      <c r="BL331" t="s">
        <v>12</v>
      </c>
      <c r="BM331" t="s">
        <v>12</v>
      </c>
      <c r="BN331" t="s">
        <v>12</v>
      </c>
      <c r="BO331" t="s">
        <v>12</v>
      </c>
      <c r="BP331" t="s">
        <v>12</v>
      </c>
      <c r="BQ331" t="s">
        <v>12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 s="9" t="s">
        <v>12</v>
      </c>
      <c r="CF331" s="28" t="s">
        <v>12</v>
      </c>
      <c r="CG331" s="28" t="s">
        <v>12</v>
      </c>
      <c r="CH331" s="28" t="s">
        <v>12</v>
      </c>
      <c r="CI331" s="28" t="s">
        <v>12</v>
      </c>
      <c r="CJ331" s="28" t="s">
        <v>12</v>
      </c>
      <c r="CK331" s="28" t="s">
        <v>12</v>
      </c>
      <c r="CL331" s="28" t="s">
        <v>12</v>
      </c>
      <c r="CM331" s="28" t="s">
        <v>12</v>
      </c>
      <c r="CN331" s="28" t="s">
        <v>12</v>
      </c>
      <c r="CO331" s="28" t="s">
        <v>12</v>
      </c>
      <c r="CP331" s="28" t="s">
        <v>12</v>
      </c>
      <c r="CQ331" s="28" t="s">
        <v>12</v>
      </c>
      <c r="CR331" s="28" t="s">
        <v>12</v>
      </c>
      <c r="CS331" s="28" t="s">
        <v>12</v>
      </c>
      <c r="CT331" s="28" t="s">
        <v>12</v>
      </c>
      <c r="CU331" s="28" t="s">
        <v>12</v>
      </c>
      <c r="CV331" s="28" t="s">
        <v>12</v>
      </c>
      <c r="CW331" s="28" t="s">
        <v>12</v>
      </c>
      <c r="CX331" s="28" t="s">
        <v>12</v>
      </c>
      <c r="CY331" s="28" t="s">
        <v>12</v>
      </c>
      <c r="CZ331" s="28" t="s">
        <v>12</v>
      </c>
      <c r="DA331" s="28" t="s">
        <v>12</v>
      </c>
      <c r="DB331" s="313">
        <v>116</v>
      </c>
      <c r="DC331" s="313" t="s">
        <v>142</v>
      </c>
      <c r="DD331" s="386" t="s">
        <v>12</v>
      </c>
      <c r="DE331" s="386" t="s">
        <v>12</v>
      </c>
      <c r="DF331" s="386" t="s">
        <v>12</v>
      </c>
      <c r="DG331" s="386" t="s">
        <v>12</v>
      </c>
      <c r="DH331" s="386" t="s">
        <v>12</v>
      </c>
      <c r="DI331" s="386" t="s">
        <v>12</v>
      </c>
      <c r="DJ331" s="386" t="s">
        <v>12</v>
      </c>
      <c r="DK331" s="386" t="s">
        <v>12</v>
      </c>
      <c r="DL331" s="386" t="s">
        <v>12</v>
      </c>
      <c r="DM331" s="386" t="s">
        <v>12</v>
      </c>
      <c r="DN331" s="7" t="s">
        <v>12</v>
      </c>
      <c r="DO331" s="7" t="s">
        <v>12</v>
      </c>
      <c r="DP331" s="7" t="s">
        <v>12</v>
      </c>
      <c r="DQ331" s="7" t="s">
        <v>12</v>
      </c>
      <c r="DR331" s="7" t="s">
        <v>12</v>
      </c>
      <c r="DS331" s="7" t="s">
        <v>12</v>
      </c>
      <c r="DT331" s="7" t="s">
        <v>12</v>
      </c>
      <c r="DU331" s="7" t="s">
        <v>12</v>
      </c>
      <c r="DV331" s="7" t="s">
        <v>12</v>
      </c>
      <c r="DW331" s="7" t="s">
        <v>12</v>
      </c>
      <c r="DY331" s="9">
        <v>168240403</v>
      </c>
      <c r="EI331" s="423" t="s">
        <v>12</v>
      </c>
      <c r="EJ331" s="423" t="s">
        <v>12</v>
      </c>
      <c r="EK331" s="423" t="s">
        <v>12</v>
      </c>
      <c r="EL331" s="423" t="s">
        <v>12</v>
      </c>
      <c r="EM331" s="423" t="s">
        <v>12</v>
      </c>
      <c r="EN331" s="423" t="s">
        <v>12</v>
      </c>
      <c r="EO331" s="423" t="s">
        <v>12</v>
      </c>
      <c r="EP331" s="423" t="s">
        <v>12</v>
      </c>
      <c r="EQ331" s="423" t="s">
        <v>12</v>
      </c>
      <c r="ER331" s="423" t="s">
        <v>12</v>
      </c>
      <c r="ES331" s="438" t="s">
        <v>12</v>
      </c>
      <c r="ET331" s="438" t="s">
        <v>12</v>
      </c>
      <c r="EU331" s="438" t="s">
        <v>12</v>
      </c>
      <c r="EV331" s="438" t="s">
        <v>12</v>
      </c>
      <c r="EW331" s="438" t="s">
        <v>12</v>
      </c>
      <c r="EX331" s="438" t="s">
        <v>12</v>
      </c>
      <c r="EY331" s="438" t="s">
        <v>12</v>
      </c>
      <c r="EZ331" s="438" t="s">
        <v>12</v>
      </c>
      <c r="FA331" s="438" t="s">
        <v>12</v>
      </c>
      <c r="FB331" s="438" t="s">
        <v>12</v>
      </c>
      <c r="FC331" s="346">
        <v>0</v>
      </c>
      <c r="FD331" s="346">
        <v>0</v>
      </c>
      <c r="FE331" s="346">
        <v>0</v>
      </c>
      <c r="FF331" s="346">
        <v>0</v>
      </c>
      <c r="FG331" s="346">
        <v>0</v>
      </c>
      <c r="FH331" s="346">
        <v>0</v>
      </c>
      <c r="FI331" s="346">
        <v>0</v>
      </c>
      <c r="FJ331" s="346">
        <v>0</v>
      </c>
      <c r="FK331" s="346">
        <v>0</v>
      </c>
      <c r="FL331" s="346">
        <v>0</v>
      </c>
    </row>
    <row r="332" spans="1:168" x14ac:dyDescent="0.25">
      <c r="A332" s="238">
        <v>9</v>
      </c>
      <c r="B332" s="238" t="s">
        <v>772</v>
      </c>
      <c r="C332" s="244" t="s">
        <v>11</v>
      </c>
      <c r="D332" s="244" t="s">
        <v>11</v>
      </c>
      <c r="E332" s="244" t="s">
        <v>11</v>
      </c>
      <c r="F332" s="244" t="s">
        <v>11</v>
      </c>
      <c r="G332" s="244" t="s">
        <v>11</v>
      </c>
      <c r="H332" s="244" t="s">
        <v>11</v>
      </c>
      <c r="I332" s="244" t="s">
        <v>11</v>
      </c>
      <c r="J332" s="244" t="s">
        <v>11</v>
      </c>
      <c r="K332" s="244" t="s">
        <v>11</v>
      </c>
      <c r="L332" s="244" t="s">
        <v>11</v>
      </c>
      <c r="N332">
        <v>117</v>
      </c>
      <c r="O332" t="s">
        <v>143</v>
      </c>
      <c r="P332" t="s">
        <v>143</v>
      </c>
      <c r="Q332" t="s">
        <v>7</v>
      </c>
      <c r="R332" s="2" t="s">
        <v>12</v>
      </c>
      <c r="S332" s="2">
        <v>82337</v>
      </c>
      <c r="T332" s="2" t="s">
        <v>12</v>
      </c>
      <c r="U332" s="2" t="s">
        <v>12</v>
      </c>
      <c r="V332" s="2" t="s">
        <v>12</v>
      </c>
      <c r="W332" s="2" t="s">
        <v>12</v>
      </c>
      <c r="X332" s="2" t="s">
        <v>12</v>
      </c>
      <c r="Y332" s="2" t="s">
        <v>12</v>
      </c>
      <c r="Z332" s="2" t="s">
        <v>12</v>
      </c>
      <c r="AA332" s="2" t="s">
        <v>12</v>
      </c>
      <c r="AB332" s="2" t="s">
        <v>12</v>
      </c>
      <c r="AC332" s="2" t="s">
        <v>12</v>
      </c>
      <c r="AD332">
        <v>2012</v>
      </c>
      <c r="AE332" s="2">
        <v>0</v>
      </c>
      <c r="AF332" s="2">
        <v>1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>
        <v>2012</v>
      </c>
      <c r="AR332" t="s">
        <v>12</v>
      </c>
      <c r="AS332" t="s">
        <v>12</v>
      </c>
      <c r="AT332" t="s">
        <v>12</v>
      </c>
      <c r="AU332" t="s">
        <v>12</v>
      </c>
      <c r="AV332" t="s">
        <v>12</v>
      </c>
      <c r="AW332" t="s">
        <v>12</v>
      </c>
      <c r="AX332" t="s">
        <v>12</v>
      </c>
      <c r="AY332" t="s">
        <v>12</v>
      </c>
      <c r="AZ332" t="s">
        <v>12</v>
      </c>
      <c r="BA332">
        <v>2012</v>
      </c>
      <c r="BB332">
        <v>7</v>
      </c>
      <c r="BC332" t="s">
        <v>143</v>
      </c>
      <c r="BD332">
        <v>2012</v>
      </c>
      <c r="BF332" s="313" t="s">
        <v>11</v>
      </c>
      <c r="BG332" s="313" t="s">
        <v>11</v>
      </c>
      <c r="BH332" t="s">
        <v>12</v>
      </c>
      <c r="BI332" t="s">
        <v>12</v>
      </c>
      <c r="BJ332" t="s">
        <v>12</v>
      </c>
      <c r="BK332" t="s">
        <v>12</v>
      </c>
      <c r="BL332" t="s">
        <v>12</v>
      </c>
      <c r="BM332" t="s">
        <v>12</v>
      </c>
      <c r="BN332" t="s">
        <v>12</v>
      </c>
      <c r="BO332" t="s">
        <v>12</v>
      </c>
      <c r="BP332" t="s">
        <v>12</v>
      </c>
      <c r="BQ332" t="s">
        <v>12</v>
      </c>
      <c r="BS332">
        <v>0</v>
      </c>
      <c r="BT332">
        <v>1859423.5306972978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 s="9" t="s">
        <v>12</v>
      </c>
      <c r="CF332" s="28">
        <v>5.6560697076500563</v>
      </c>
      <c r="CG332" s="28" t="s">
        <v>12</v>
      </c>
      <c r="CH332" s="28" t="s">
        <v>12</v>
      </c>
      <c r="CI332" s="28" t="s">
        <v>12</v>
      </c>
      <c r="CJ332" s="28" t="s">
        <v>12</v>
      </c>
      <c r="CK332" s="28" t="s">
        <v>12</v>
      </c>
      <c r="CL332" s="28" t="s">
        <v>12</v>
      </c>
      <c r="CM332" s="28" t="s">
        <v>12</v>
      </c>
      <c r="CN332" s="28" t="s">
        <v>12</v>
      </c>
      <c r="CO332" s="28" t="s">
        <v>12</v>
      </c>
      <c r="CP332" s="28">
        <v>5.6560697076500563</v>
      </c>
      <c r="CQ332" s="28">
        <v>4.2420522807375427</v>
      </c>
      <c r="CR332" s="28" t="s">
        <v>12</v>
      </c>
      <c r="CS332" s="28" t="s">
        <v>12</v>
      </c>
      <c r="CT332" s="28" t="s">
        <v>12</v>
      </c>
      <c r="CU332" s="28" t="s">
        <v>12</v>
      </c>
      <c r="CV332" s="28" t="s">
        <v>12</v>
      </c>
      <c r="CW332" s="28" t="s">
        <v>12</v>
      </c>
      <c r="CX332" s="28" t="s">
        <v>12</v>
      </c>
      <c r="CY332" s="28" t="s">
        <v>12</v>
      </c>
      <c r="CZ332" s="28" t="s">
        <v>12</v>
      </c>
      <c r="DA332" s="28">
        <v>4.2420522807375427</v>
      </c>
      <c r="DB332" s="313">
        <v>117</v>
      </c>
      <c r="DC332" s="313" t="s">
        <v>143</v>
      </c>
      <c r="DD332" s="386" t="s">
        <v>12</v>
      </c>
      <c r="DE332" s="386" t="s">
        <v>12</v>
      </c>
      <c r="DF332" s="386" t="s">
        <v>12</v>
      </c>
      <c r="DG332" s="386" t="s">
        <v>12</v>
      </c>
      <c r="DH332" s="386" t="s">
        <v>12</v>
      </c>
      <c r="DI332" s="386" t="s">
        <v>12</v>
      </c>
      <c r="DJ332" s="386" t="s">
        <v>12</v>
      </c>
      <c r="DK332" s="386" t="s">
        <v>12</v>
      </c>
      <c r="DL332" s="386" t="s">
        <v>12</v>
      </c>
      <c r="DM332" s="386" t="s">
        <v>12</v>
      </c>
      <c r="DN332" s="7" t="s">
        <v>12</v>
      </c>
      <c r="DO332" s="7" t="s">
        <v>12</v>
      </c>
      <c r="DP332" s="7" t="s">
        <v>12</v>
      </c>
      <c r="DQ332" s="7" t="s">
        <v>12</v>
      </c>
      <c r="DR332" s="7" t="s">
        <v>12</v>
      </c>
      <c r="DS332" s="7" t="s">
        <v>12</v>
      </c>
      <c r="DT332" s="7" t="s">
        <v>12</v>
      </c>
      <c r="DU332" s="7" t="s">
        <v>12</v>
      </c>
      <c r="DV332" s="7" t="s">
        <v>12</v>
      </c>
      <c r="DW332" s="7" t="s">
        <v>12</v>
      </c>
      <c r="DY332" s="9">
        <v>5018573</v>
      </c>
      <c r="EI332" s="423">
        <v>1</v>
      </c>
      <c r="EJ332" s="423" t="s">
        <v>12</v>
      </c>
      <c r="EK332" s="423" t="s">
        <v>12</v>
      </c>
      <c r="EL332" s="423" t="s">
        <v>12</v>
      </c>
      <c r="EM332" s="423" t="s">
        <v>12</v>
      </c>
      <c r="EN332" s="423" t="s">
        <v>12</v>
      </c>
      <c r="EO332" s="423" t="s">
        <v>12</v>
      </c>
      <c r="EP332" s="423" t="s">
        <v>12</v>
      </c>
      <c r="EQ332" s="423" t="s">
        <v>12</v>
      </c>
      <c r="ER332" s="423" t="s">
        <v>12</v>
      </c>
      <c r="ES332" s="438">
        <v>82337</v>
      </c>
      <c r="ET332" s="438">
        <v>1</v>
      </c>
      <c r="EU332" s="438">
        <v>1</v>
      </c>
      <c r="EV332" s="438">
        <v>1</v>
      </c>
      <c r="EW332" s="438">
        <v>1</v>
      </c>
      <c r="EX332" s="438">
        <v>1</v>
      </c>
      <c r="EY332" s="438">
        <v>1</v>
      </c>
      <c r="EZ332" s="438">
        <v>1</v>
      </c>
      <c r="FA332" s="438">
        <v>1</v>
      </c>
      <c r="FB332" s="438" t="s">
        <v>12</v>
      </c>
      <c r="FC332" s="346">
        <v>0</v>
      </c>
      <c r="FD332" s="346">
        <v>187154.11328411143</v>
      </c>
      <c r="FE332" s="346">
        <v>0</v>
      </c>
      <c r="FF332" s="346">
        <v>0</v>
      </c>
      <c r="FG332" s="346">
        <v>0</v>
      </c>
      <c r="FH332" s="346">
        <v>0</v>
      </c>
      <c r="FI332" s="346">
        <v>0</v>
      </c>
      <c r="FJ332" s="346">
        <v>0</v>
      </c>
      <c r="FK332" s="346">
        <v>0</v>
      </c>
      <c r="FL332" s="346">
        <v>0</v>
      </c>
    </row>
    <row r="333" spans="1:168" x14ac:dyDescent="0.25">
      <c r="A333" s="238">
        <v>10</v>
      </c>
      <c r="B333" s="238" t="s">
        <v>773</v>
      </c>
      <c r="C333" s="244" t="s">
        <v>11</v>
      </c>
      <c r="D333" s="244" t="s">
        <v>11</v>
      </c>
      <c r="E333" s="244" t="s">
        <v>11</v>
      </c>
      <c r="F333" s="244" t="s">
        <v>11</v>
      </c>
      <c r="G333" s="244" t="s">
        <v>11</v>
      </c>
      <c r="H333" s="244" t="s">
        <v>11</v>
      </c>
      <c r="I333" s="244" t="s">
        <v>11</v>
      </c>
      <c r="J333" s="244" t="s">
        <v>11</v>
      </c>
      <c r="K333" s="244" t="s">
        <v>11</v>
      </c>
      <c r="L333" s="244" t="s">
        <v>11</v>
      </c>
      <c r="N333">
        <v>118</v>
      </c>
      <c r="O333" t="s">
        <v>144</v>
      </c>
      <c r="P333" t="s">
        <v>144</v>
      </c>
      <c r="Q333" t="s">
        <v>9</v>
      </c>
      <c r="R333" s="2" t="s">
        <v>12</v>
      </c>
      <c r="S333" s="2" t="s">
        <v>12</v>
      </c>
      <c r="T333" s="2" t="s">
        <v>12</v>
      </c>
      <c r="U333" s="2" t="s">
        <v>12</v>
      </c>
      <c r="V333" s="2" t="s">
        <v>12</v>
      </c>
      <c r="W333" s="2" t="s">
        <v>12</v>
      </c>
      <c r="X333" s="2" t="s">
        <v>12</v>
      </c>
      <c r="Y333" s="2" t="s">
        <v>12</v>
      </c>
      <c r="Z333" s="2" t="s">
        <v>12</v>
      </c>
      <c r="AA333" s="2" t="s">
        <v>12</v>
      </c>
      <c r="AB333" s="2" t="s">
        <v>12</v>
      </c>
      <c r="AC333" s="2" t="s">
        <v>12</v>
      </c>
      <c r="AD333" t="s">
        <v>12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t="s">
        <v>12</v>
      </c>
      <c r="AR333" t="s">
        <v>12</v>
      </c>
      <c r="AS333" t="s">
        <v>12</v>
      </c>
      <c r="AT333" t="s">
        <v>12</v>
      </c>
      <c r="AU333" t="s">
        <v>12</v>
      </c>
      <c r="AV333" t="s">
        <v>12</v>
      </c>
      <c r="AW333" t="s">
        <v>12</v>
      </c>
      <c r="AX333" t="s">
        <v>12</v>
      </c>
      <c r="AY333" t="s">
        <v>12</v>
      </c>
      <c r="AZ333" t="s">
        <v>12</v>
      </c>
      <c r="BA333" t="s">
        <v>12</v>
      </c>
      <c r="BB333" t="s">
        <v>12</v>
      </c>
      <c r="BC333" t="s">
        <v>12</v>
      </c>
      <c r="BD333" t="s">
        <v>12</v>
      </c>
      <c r="BF333" s="313" t="s">
        <v>11</v>
      </c>
      <c r="BG333" s="313" t="s">
        <v>11</v>
      </c>
      <c r="BH333" t="s">
        <v>12</v>
      </c>
      <c r="BI333" t="s">
        <v>12</v>
      </c>
      <c r="BJ333" t="s">
        <v>12</v>
      </c>
      <c r="BK333" t="s">
        <v>12</v>
      </c>
      <c r="BL333" t="s">
        <v>12</v>
      </c>
      <c r="BM333" t="s">
        <v>12</v>
      </c>
      <c r="BN333" t="s">
        <v>12</v>
      </c>
      <c r="BO333" t="s">
        <v>12</v>
      </c>
      <c r="BP333" t="s">
        <v>12</v>
      </c>
      <c r="BQ333" t="s">
        <v>12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 s="9" t="s">
        <v>12</v>
      </c>
      <c r="CF333" s="28" t="s">
        <v>12</v>
      </c>
      <c r="CG333" s="28" t="s">
        <v>12</v>
      </c>
      <c r="CH333" s="28" t="s">
        <v>12</v>
      </c>
      <c r="CI333" s="28" t="s">
        <v>12</v>
      </c>
      <c r="CJ333" s="28" t="s">
        <v>12</v>
      </c>
      <c r="CK333" s="28" t="s">
        <v>12</v>
      </c>
      <c r="CL333" s="28" t="s">
        <v>12</v>
      </c>
      <c r="CM333" s="28" t="s">
        <v>12</v>
      </c>
      <c r="CN333" s="28" t="s">
        <v>12</v>
      </c>
      <c r="CO333" s="28" t="s">
        <v>12</v>
      </c>
      <c r="CP333" s="28" t="s">
        <v>12</v>
      </c>
      <c r="CQ333" s="28" t="s">
        <v>12</v>
      </c>
      <c r="CR333" s="28" t="s">
        <v>12</v>
      </c>
      <c r="CS333" s="28" t="s">
        <v>12</v>
      </c>
      <c r="CT333" s="28" t="s">
        <v>12</v>
      </c>
      <c r="CU333" s="28" t="s">
        <v>12</v>
      </c>
      <c r="CV333" s="28" t="s">
        <v>12</v>
      </c>
      <c r="CW333" s="28" t="s">
        <v>12</v>
      </c>
      <c r="CX333" s="28" t="s">
        <v>12</v>
      </c>
      <c r="CY333" s="28" t="s">
        <v>12</v>
      </c>
      <c r="CZ333" s="28" t="s">
        <v>12</v>
      </c>
      <c r="DA333" s="28" t="s">
        <v>12</v>
      </c>
      <c r="DB333" s="313">
        <v>118</v>
      </c>
      <c r="DC333" s="313" t="s">
        <v>144</v>
      </c>
      <c r="DD333" s="386" t="s">
        <v>12</v>
      </c>
      <c r="DE333" s="386" t="s">
        <v>12</v>
      </c>
      <c r="DF333" s="386" t="s">
        <v>12</v>
      </c>
      <c r="DG333" s="386" t="s">
        <v>12</v>
      </c>
      <c r="DH333" s="386" t="s">
        <v>12</v>
      </c>
      <c r="DI333" s="386" t="s">
        <v>12</v>
      </c>
      <c r="DJ333" s="386" t="s">
        <v>12</v>
      </c>
      <c r="DK333" s="386" t="s">
        <v>12</v>
      </c>
      <c r="DL333" s="386" t="s">
        <v>12</v>
      </c>
      <c r="DM333" s="386" t="s">
        <v>12</v>
      </c>
      <c r="DN333" s="7" t="s">
        <v>12</v>
      </c>
      <c r="DO333" s="7" t="s">
        <v>12</v>
      </c>
      <c r="DP333" s="7" t="s">
        <v>12</v>
      </c>
      <c r="DQ333" s="7" t="s">
        <v>12</v>
      </c>
      <c r="DR333" s="7" t="s">
        <v>12</v>
      </c>
      <c r="DS333" s="7" t="s">
        <v>12</v>
      </c>
      <c r="DT333" s="7" t="s">
        <v>12</v>
      </c>
      <c r="DU333" s="7" t="s">
        <v>12</v>
      </c>
      <c r="DV333" s="7" t="s">
        <v>12</v>
      </c>
      <c r="DW333" s="7" t="s">
        <v>12</v>
      </c>
      <c r="DY333" s="9">
        <v>3545192</v>
      </c>
      <c r="EI333" s="423" t="s">
        <v>12</v>
      </c>
      <c r="EJ333" s="423" t="s">
        <v>12</v>
      </c>
      <c r="EK333" s="423" t="s">
        <v>12</v>
      </c>
      <c r="EL333" s="423" t="s">
        <v>12</v>
      </c>
      <c r="EM333" s="423" t="s">
        <v>12</v>
      </c>
      <c r="EN333" s="423" t="s">
        <v>12</v>
      </c>
      <c r="EO333" s="423" t="s">
        <v>12</v>
      </c>
      <c r="EP333" s="423" t="s">
        <v>12</v>
      </c>
      <c r="EQ333" s="423" t="s">
        <v>12</v>
      </c>
      <c r="ER333" s="423" t="s">
        <v>12</v>
      </c>
      <c r="ES333" s="438" t="s">
        <v>12</v>
      </c>
      <c r="ET333" s="438" t="s">
        <v>12</v>
      </c>
      <c r="EU333" s="438" t="s">
        <v>12</v>
      </c>
      <c r="EV333" s="438" t="s">
        <v>12</v>
      </c>
      <c r="EW333" s="438" t="s">
        <v>12</v>
      </c>
      <c r="EX333" s="438" t="s">
        <v>12</v>
      </c>
      <c r="EY333" s="438" t="s">
        <v>12</v>
      </c>
      <c r="EZ333" s="438" t="s">
        <v>12</v>
      </c>
      <c r="FA333" s="438" t="s">
        <v>12</v>
      </c>
      <c r="FB333" s="438" t="s">
        <v>12</v>
      </c>
      <c r="FC333" s="346">
        <v>0</v>
      </c>
      <c r="FD333" s="346">
        <v>0</v>
      </c>
      <c r="FE333" s="346">
        <v>0</v>
      </c>
      <c r="FF333" s="346">
        <v>0</v>
      </c>
      <c r="FG333" s="346">
        <v>0</v>
      </c>
      <c r="FH333" s="346">
        <v>0</v>
      </c>
      <c r="FI333" s="346">
        <v>0</v>
      </c>
      <c r="FJ333" s="346">
        <v>0</v>
      </c>
      <c r="FK333" s="346">
        <v>0</v>
      </c>
      <c r="FL333" s="346">
        <v>0</v>
      </c>
    </row>
    <row r="334" spans="1:168" x14ac:dyDescent="0.25">
      <c r="N334">
        <v>119</v>
      </c>
      <c r="O334" t="s">
        <v>145</v>
      </c>
      <c r="P334" t="s">
        <v>145</v>
      </c>
      <c r="Q334" t="s">
        <v>25</v>
      </c>
      <c r="R334" s="2" t="s">
        <v>12</v>
      </c>
      <c r="S334" s="2" t="s">
        <v>12</v>
      </c>
      <c r="T334" s="2" t="s">
        <v>12</v>
      </c>
      <c r="U334" s="2" t="s">
        <v>12</v>
      </c>
      <c r="V334" s="2" t="s">
        <v>12</v>
      </c>
      <c r="W334" s="2" t="s">
        <v>12</v>
      </c>
      <c r="X334" s="2" t="s">
        <v>12</v>
      </c>
      <c r="Y334" s="2" t="s">
        <v>12</v>
      </c>
      <c r="Z334" s="2" t="s">
        <v>12</v>
      </c>
      <c r="AA334" s="2" t="s">
        <v>12</v>
      </c>
      <c r="AB334" s="2" t="s">
        <v>12</v>
      </c>
      <c r="AC334" s="2" t="s">
        <v>12</v>
      </c>
      <c r="AD334" t="s">
        <v>12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t="s">
        <v>12</v>
      </c>
      <c r="AR334" t="s">
        <v>12</v>
      </c>
      <c r="AS334" t="s">
        <v>12</v>
      </c>
      <c r="AT334" t="s">
        <v>12</v>
      </c>
      <c r="AU334" t="s">
        <v>12</v>
      </c>
      <c r="AV334" t="s">
        <v>12</v>
      </c>
      <c r="AW334" t="s">
        <v>12</v>
      </c>
      <c r="AX334" t="s">
        <v>12</v>
      </c>
      <c r="AY334" t="s">
        <v>12</v>
      </c>
      <c r="AZ334" t="s">
        <v>12</v>
      </c>
      <c r="BA334" t="s">
        <v>12</v>
      </c>
      <c r="BB334" t="s">
        <v>12</v>
      </c>
      <c r="BC334" t="s">
        <v>12</v>
      </c>
      <c r="BD334" t="s">
        <v>12</v>
      </c>
      <c r="BF334" s="313" t="s">
        <v>11</v>
      </c>
      <c r="BG334" s="313" t="s">
        <v>11</v>
      </c>
      <c r="BH334" t="s">
        <v>12</v>
      </c>
      <c r="BI334" t="s">
        <v>12</v>
      </c>
      <c r="BJ334" t="s">
        <v>12</v>
      </c>
      <c r="BK334" t="s">
        <v>12</v>
      </c>
      <c r="BL334" t="s">
        <v>12</v>
      </c>
      <c r="BM334" t="s">
        <v>12</v>
      </c>
      <c r="BN334" t="s">
        <v>12</v>
      </c>
      <c r="BO334" t="s">
        <v>12</v>
      </c>
      <c r="BP334" t="s">
        <v>12</v>
      </c>
      <c r="BQ334" t="s">
        <v>12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 s="9" t="s">
        <v>12</v>
      </c>
      <c r="CF334" s="28" t="s">
        <v>12</v>
      </c>
      <c r="CG334" s="28" t="s">
        <v>12</v>
      </c>
      <c r="CH334" s="28" t="s">
        <v>12</v>
      </c>
      <c r="CI334" s="28" t="s">
        <v>12</v>
      </c>
      <c r="CJ334" s="28" t="s">
        <v>12</v>
      </c>
      <c r="CK334" s="28" t="s">
        <v>12</v>
      </c>
      <c r="CL334" s="28" t="s">
        <v>12</v>
      </c>
      <c r="CM334" s="28" t="s">
        <v>12</v>
      </c>
      <c r="CN334" s="28" t="s">
        <v>12</v>
      </c>
      <c r="CO334" s="28" t="s">
        <v>12</v>
      </c>
      <c r="CP334" s="28" t="s">
        <v>12</v>
      </c>
      <c r="CQ334" s="28" t="s">
        <v>12</v>
      </c>
      <c r="CR334" s="28" t="s">
        <v>12</v>
      </c>
      <c r="CS334" s="28" t="s">
        <v>12</v>
      </c>
      <c r="CT334" s="28" t="s">
        <v>12</v>
      </c>
      <c r="CU334" s="28" t="s">
        <v>12</v>
      </c>
      <c r="CV334" s="28" t="s">
        <v>12</v>
      </c>
      <c r="CW334" s="28" t="s">
        <v>12</v>
      </c>
      <c r="CX334" s="28" t="s">
        <v>12</v>
      </c>
      <c r="CY334" s="28" t="s">
        <v>12</v>
      </c>
      <c r="CZ334" s="28" t="s">
        <v>12</v>
      </c>
      <c r="DA334" s="28" t="s">
        <v>12</v>
      </c>
      <c r="DB334" s="313">
        <v>119</v>
      </c>
      <c r="DC334" s="313" t="s">
        <v>145</v>
      </c>
      <c r="DD334" s="386" t="s">
        <v>12</v>
      </c>
      <c r="DE334" s="386" t="s">
        <v>12</v>
      </c>
      <c r="DF334" s="386" t="s">
        <v>12</v>
      </c>
      <c r="DG334" s="386" t="s">
        <v>12</v>
      </c>
      <c r="DH334" s="386" t="s">
        <v>12</v>
      </c>
      <c r="DI334" s="386" t="s">
        <v>12</v>
      </c>
      <c r="DJ334" s="386" t="s">
        <v>12</v>
      </c>
      <c r="DK334" s="386" t="s">
        <v>12</v>
      </c>
      <c r="DL334" s="386" t="s">
        <v>12</v>
      </c>
      <c r="DM334" s="386" t="s">
        <v>12</v>
      </c>
      <c r="DN334" s="7" t="s">
        <v>12</v>
      </c>
      <c r="DO334" s="7" t="s">
        <v>12</v>
      </c>
      <c r="DP334" s="7" t="s">
        <v>12</v>
      </c>
      <c r="DQ334" s="7" t="s">
        <v>12</v>
      </c>
      <c r="DR334" s="7" t="s">
        <v>12</v>
      </c>
      <c r="DS334" s="7" t="s">
        <v>12</v>
      </c>
      <c r="DT334" s="7" t="s">
        <v>12</v>
      </c>
      <c r="DU334" s="7" t="s">
        <v>12</v>
      </c>
      <c r="DV334" s="7" t="s">
        <v>12</v>
      </c>
      <c r="DW334" s="7" t="s">
        <v>12</v>
      </c>
      <c r="DY334" s="9">
        <v>177392252</v>
      </c>
      <c r="EI334" s="423" t="s">
        <v>12</v>
      </c>
      <c r="EJ334" s="423" t="s">
        <v>12</v>
      </c>
      <c r="EK334" s="423" t="s">
        <v>12</v>
      </c>
      <c r="EL334" s="423" t="s">
        <v>12</v>
      </c>
      <c r="EM334" s="423" t="s">
        <v>12</v>
      </c>
      <c r="EN334" s="423" t="s">
        <v>12</v>
      </c>
      <c r="EO334" s="423" t="s">
        <v>12</v>
      </c>
      <c r="EP334" s="423" t="s">
        <v>12</v>
      </c>
      <c r="EQ334" s="423" t="s">
        <v>12</v>
      </c>
      <c r="ER334" s="423" t="s">
        <v>12</v>
      </c>
      <c r="ES334" s="438" t="s">
        <v>12</v>
      </c>
      <c r="ET334" s="438" t="s">
        <v>12</v>
      </c>
      <c r="EU334" s="438" t="s">
        <v>12</v>
      </c>
      <c r="EV334" s="438" t="s">
        <v>12</v>
      </c>
      <c r="EW334" s="438" t="s">
        <v>12</v>
      </c>
      <c r="EX334" s="438" t="s">
        <v>12</v>
      </c>
      <c r="EY334" s="438" t="s">
        <v>12</v>
      </c>
      <c r="EZ334" s="438" t="s">
        <v>12</v>
      </c>
      <c r="FA334" s="438" t="s">
        <v>12</v>
      </c>
      <c r="FB334" s="438" t="s">
        <v>12</v>
      </c>
      <c r="FC334" s="346">
        <v>0</v>
      </c>
      <c r="FD334" s="346">
        <v>0</v>
      </c>
      <c r="FE334" s="346">
        <v>0</v>
      </c>
      <c r="FF334" s="346">
        <v>0</v>
      </c>
      <c r="FG334" s="346">
        <v>0</v>
      </c>
      <c r="FH334" s="346">
        <v>0</v>
      </c>
      <c r="FI334" s="346">
        <v>0</v>
      </c>
      <c r="FJ334" s="346">
        <v>0</v>
      </c>
      <c r="FK334" s="346">
        <v>0</v>
      </c>
      <c r="FL334" s="346">
        <v>0</v>
      </c>
    </row>
    <row r="335" spans="1:168" ht="30" x14ac:dyDescent="0.25">
      <c r="A335" s="14" t="s">
        <v>782</v>
      </c>
      <c r="B335" s="14"/>
      <c r="C335" s="14" t="s">
        <v>594</v>
      </c>
      <c r="D335" s="14" t="s">
        <v>595</v>
      </c>
      <c r="E335" s="14" t="s">
        <v>596</v>
      </c>
      <c r="F335" s="14" t="s">
        <v>597</v>
      </c>
      <c r="G335" s="14" t="s">
        <v>598</v>
      </c>
      <c r="H335" s="14" t="s">
        <v>599</v>
      </c>
      <c r="I335" s="14" t="s">
        <v>600</v>
      </c>
      <c r="J335" s="14" t="s">
        <v>601</v>
      </c>
      <c r="K335" s="14" t="s">
        <v>602</v>
      </c>
      <c r="L335" s="14" t="s">
        <v>603</v>
      </c>
      <c r="N335">
        <v>120</v>
      </c>
      <c r="O335" t="s">
        <v>146</v>
      </c>
      <c r="P335" t="s">
        <v>146</v>
      </c>
      <c r="Q335" t="s">
        <v>33</v>
      </c>
      <c r="R335" s="2" t="s">
        <v>12</v>
      </c>
      <c r="S335" s="2" t="s">
        <v>12</v>
      </c>
      <c r="T335" s="2" t="s">
        <v>12</v>
      </c>
      <c r="U335" s="2" t="s">
        <v>12</v>
      </c>
      <c r="V335" s="2" t="s">
        <v>12</v>
      </c>
      <c r="W335" s="2" t="s">
        <v>12</v>
      </c>
      <c r="X335" s="2" t="s">
        <v>12</v>
      </c>
      <c r="Y335" s="2" t="s">
        <v>12</v>
      </c>
      <c r="Z335" s="2" t="s">
        <v>12</v>
      </c>
      <c r="AA335" s="2" t="s">
        <v>12</v>
      </c>
      <c r="AB335" s="2" t="s">
        <v>12</v>
      </c>
      <c r="AC335" s="2" t="s">
        <v>12</v>
      </c>
      <c r="AD335" t="s">
        <v>12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t="s">
        <v>12</v>
      </c>
      <c r="AR335" t="s">
        <v>12</v>
      </c>
      <c r="AS335" t="s">
        <v>12</v>
      </c>
      <c r="AT335" t="s">
        <v>12</v>
      </c>
      <c r="AU335" t="s">
        <v>12</v>
      </c>
      <c r="AV335" t="s">
        <v>12</v>
      </c>
      <c r="AW335" t="s">
        <v>12</v>
      </c>
      <c r="AX335" t="s">
        <v>12</v>
      </c>
      <c r="AY335" t="s">
        <v>12</v>
      </c>
      <c r="AZ335" t="s">
        <v>12</v>
      </c>
      <c r="BA335" t="s">
        <v>12</v>
      </c>
      <c r="BB335" t="s">
        <v>12</v>
      </c>
      <c r="BC335" t="s">
        <v>12</v>
      </c>
      <c r="BD335" t="s">
        <v>12</v>
      </c>
      <c r="BF335" s="313" t="s">
        <v>11</v>
      </c>
      <c r="BG335" s="313" t="s">
        <v>11</v>
      </c>
      <c r="BH335" t="s">
        <v>12</v>
      </c>
      <c r="BI335" t="s">
        <v>12</v>
      </c>
      <c r="BJ335" t="s">
        <v>12</v>
      </c>
      <c r="BK335" t="s">
        <v>12</v>
      </c>
      <c r="BL335" t="s">
        <v>12</v>
      </c>
      <c r="BM335" t="s">
        <v>12</v>
      </c>
      <c r="BN335" t="s">
        <v>12</v>
      </c>
      <c r="BO335" t="s">
        <v>12</v>
      </c>
      <c r="BP335" t="s">
        <v>12</v>
      </c>
      <c r="BQ335" t="s">
        <v>12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s="9" t="s">
        <v>12</v>
      </c>
      <c r="CF335" s="28" t="s">
        <v>12</v>
      </c>
      <c r="CG335" s="28" t="s">
        <v>12</v>
      </c>
      <c r="CH335" s="28" t="s">
        <v>12</v>
      </c>
      <c r="CI335" s="28" t="s">
        <v>12</v>
      </c>
      <c r="CJ335" s="28" t="s">
        <v>12</v>
      </c>
      <c r="CK335" s="28" t="s">
        <v>12</v>
      </c>
      <c r="CL335" s="28" t="s">
        <v>12</v>
      </c>
      <c r="CM335" s="28" t="s">
        <v>12</v>
      </c>
      <c r="CN335" s="28" t="s">
        <v>12</v>
      </c>
      <c r="CO335" s="28" t="s">
        <v>12</v>
      </c>
      <c r="CP335" s="28" t="s">
        <v>12</v>
      </c>
      <c r="CQ335" s="28" t="s">
        <v>12</v>
      </c>
      <c r="CR335" s="28" t="s">
        <v>12</v>
      </c>
      <c r="CS335" s="28" t="s">
        <v>12</v>
      </c>
      <c r="CT335" s="28" t="s">
        <v>12</v>
      </c>
      <c r="CU335" s="28" t="s">
        <v>12</v>
      </c>
      <c r="CV335" s="28" t="s">
        <v>12</v>
      </c>
      <c r="CW335" s="28" t="s">
        <v>12</v>
      </c>
      <c r="CX335" s="28" t="s">
        <v>12</v>
      </c>
      <c r="CY335" s="28" t="s">
        <v>12</v>
      </c>
      <c r="CZ335" s="28" t="s">
        <v>12</v>
      </c>
      <c r="DA335" s="28" t="s">
        <v>12</v>
      </c>
      <c r="DB335" s="313">
        <v>120</v>
      </c>
      <c r="DC335" s="313" t="s">
        <v>146</v>
      </c>
      <c r="DD335" s="386" t="s">
        <v>12</v>
      </c>
      <c r="DE335" s="386" t="s">
        <v>12</v>
      </c>
      <c r="DF335" s="386" t="s">
        <v>12</v>
      </c>
      <c r="DG335" s="386" t="s">
        <v>12</v>
      </c>
      <c r="DH335" s="386" t="s">
        <v>12</v>
      </c>
      <c r="DI335" s="386" t="s">
        <v>12</v>
      </c>
      <c r="DJ335" s="386" t="s">
        <v>12</v>
      </c>
      <c r="DK335" s="386" t="s">
        <v>12</v>
      </c>
      <c r="DL335" s="386" t="s">
        <v>12</v>
      </c>
      <c r="DM335" s="386" t="s">
        <v>12</v>
      </c>
      <c r="DN335" s="7" t="s">
        <v>12</v>
      </c>
      <c r="DO335" s="7" t="s">
        <v>12</v>
      </c>
      <c r="DP335" s="7" t="s">
        <v>12</v>
      </c>
      <c r="DQ335" s="7" t="s">
        <v>12</v>
      </c>
      <c r="DR335" s="7" t="s">
        <v>12</v>
      </c>
      <c r="DS335" s="7" t="s">
        <v>12</v>
      </c>
      <c r="DT335" s="7" t="s">
        <v>12</v>
      </c>
      <c r="DU335" s="7" t="s">
        <v>12</v>
      </c>
      <c r="DV335" s="7" t="s">
        <v>12</v>
      </c>
      <c r="DW335" s="7" t="s">
        <v>12</v>
      </c>
      <c r="DY335" s="9">
        <v>3743761</v>
      </c>
      <c r="EI335" s="423" t="s">
        <v>12</v>
      </c>
      <c r="EJ335" s="423" t="s">
        <v>12</v>
      </c>
      <c r="EK335" s="423" t="s">
        <v>12</v>
      </c>
      <c r="EL335" s="423" t="s">
        <v>12</v>
      </c>
      <c r="EM335" s="423" t="s">
        <v>12</v>
      </c>
      <c r="EN335" s="423" t="s">
        <v>12</v>
      </c>
      <c r="EO335" s="423" t="s">
        <v>12</v>
      </c>
      <c r="EP335" s="423" t="s">
        <v>12</v>
      </c>
      <c r="EQ335" s="423" t="s">
        <v>12</v>
      </c>
      <c r="ER335" s="423" t="s">
        <v>12</v>
      </c>
      <c r="ES335" s="438" t="s">
        <v>12</v>
      </c>
      <c r="ET335" s="438" t="s">
        <v>12</v>
      </c>
      <c r="EU335" s="438" t="s">
        <v>12</v>
      </c>
      <c r="EV335" s="438" t="s">
        <v>12</v>
      </c>
      <c r="EW335" s="438" t="s">
        <v>12</v>
      </c>
      <c r="EX335" s="438" t="s">
        <v>12</v>
      </c>
      <c r="EY335" s="438" t="s">
        <v>12</v>
      </c>
      <c r="EZ335" s="438" t="s">
        <v>12</v>
      </c>
      <c r="FA335" s="438" t="s">
        <v>12</v>
      </c>
      <c r="FB335" s="438" t="s">
        <v>12</v>
      </c>
      <c r="FC335" s="346">
        <v>0</v>
      </c>
      <c r="FD335" s="346">
        <v>0</v>
      </c>
      <c r="FE335" s="346">
        <v>0</v>
      </c>
      <c r="FF335" s="346">
        <v>0</v>
      </c>
      <c r="FG335" s="346">
        <v>0</v>
      </c>
      <c r="FH335" s="346">
        <v>0</v>
      </c>
      <c r="FI335" s="346">
        <v>0</v>
      </c>
      <c r="FJ335" s="346">
        <v>0</v>
      </c>
      <c r="FK335" s="346">
        <v>0</v>
      </c>
      <c r="FL335" s="346">
        <v>0</v>
      </c>
    </row>
    <row r="336" spans="1:168" x14ac:dyDescent="0.25">
      <c r="A336" s="238">
        <v>1</v>
      </c>
      <c r="B336" s="238" t="s">
        <v>761</v>
      </c>
      <c r="C336" s="245">
        <v>0.38604777833398873</v>
      </c>
      <c r="D336" s="245">
        <v>1</v>
      </c>
      <c r="E336" s="245">
        <v>0.30474888033794345</v>
      </c>
      <c r="F336" s="245">
        <v>1</v>
      </c>
      <c r="G336" s="245">
        <v>1</v>
      </c>
      <c r="H336" s="245">
        <v>0.30920334132806787</v>
      </c>
      <c r="I336" s="245" t="s">
        <v>11</v>
      </c>
      <c r="J336" s="245" t="s">
        <v>11</v>
      </c>
      <c r="K336" s="245" t="s">
        <v>11</v>
      </c>
      <c r="L336" s="245" t="s">
        <v>11</v>
      </c>
      <c r="N336">
        <v>121</v>
      </c>
      <c r="O336" t="s">
        <v>147</v>
      </c>
      <c r="P336" t="s">
        <v>148</v>
      </c>
      <c r="Q336" t="s">
        <v>21</v>
      </c>
      <c r="R336" s="2" t="s">
        <v>12</v>
      </c>
      <c r="S336" s="2" t="s">
        <v>12</v>
      </c>
      <c r="T336" s="2" t="s">
        <v>12</v>
      </c>
      <c r="U336" s="2" t="s">
        <v>12</v>
      </c>
      <c r="V336" s="2" t="s">
        <v>12</v>
      </c>
      <c r="W336" s="2" t="s">
        <v>12</v>
      </c>
      <c r="X336" s="2" t="s">
        <v>12</v>
      </c>
      <c r="Y336" s="2" t="s">
        <v>12</v>
      </c>
      <c r="Z336" s="2" t="s">
        <v>12</v>
      </c>
      <c r="AA336" s="2" t="s">
        <v>12</v>
      </c>
      <c r="AB336" s="2" t="s">
        <v>12</v>
      </c>
      <c r="AC336" s="2" t="s">
        <v>12</v>
      </c>
      <c r="AD336" t="s">
        <v>12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t="s">
        <v>12</v>
      </c>
      <c r="AR336" t="s">
        <v>12</v>
      </c>
      <c r="AS336" t="s">
        <v>12</v>
      </c>
      <c r="AT336" t="s">
        <v>12</v>
      </c>
      <c r="AU336" t="s">
        <v>12</v>
      </c>
      <c r="AV336" t="s">
        <v>12</v>
      </c>
      <c r="AW336" t="s">
        <v>12</v>
      </c>
      <c r="AX336" t="s">
        <v>12</v>
      </c>
      <c r="AY336" t="s">
        <v>12</v>
      </c>
      <c r="AZ336" t="s">
        <v>12</v>
      </c>
      <c r="BA336" t="s">
        <v>12</v>
      </c>
      <c r="BB336" t="s">
        <v>12</v>
      </c>
      <c r="BC336" t="s">
        <v>12</v>
      </c>
      <c r="BD336" t="s">
        <v>12</v>
      </c>
      <c r="BF336" s="313" t="s">
        <v>11</v>
      </c>
      <c r="BG336" s="313" t="s">
        <v>11</v>
      </c>
      <c r="BH336" t="s">
        <v>12</v>
      </c>
      <c r="BI336" t="s">
        <v>12</v>
      </c>
      <c r="BJ336" t="s">
        <v>12</v>
      </c>
      <c r="BK336" t="s">
        <v>12</v>
      </c>
      <c r="BL336" t="s">
        <v>12</v>
      </c>
      <c r="BM336" t="s">
        <v>12</v>
      </c>
      <c r="BN336" t="s">
        <v>12</v>
      </c>
      <c r="BO336" t="s">
        <v>12</v>
      </c>
      <c r="BP336" t="s">
        <v>12</v>
      </c>
      <c r="BQ336" t="s">
        <v>12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 s="9" t="s">
        <v>12</v>
      </c>
      <c r="CF336" s="28" t="s">
        <v>12</v>
      </c>
      <c r="CG336" s="28" t="s">
        <v>12</v>
      </c>
      <c r="CH336" s="28" t="s">
        <v>12</v>
      </c>
      <c r="CI336" s="28" t="s">
        <v>12</v>
      </c>
      <c r="CJ336" s="28" t="s">
        <v>12</v>
      </c>
      <c r="CK336" s="28" t="s">
        <v>12</v>
      </c>
      <c r="CL336" s="28" t="s">
        <v>12</v>
      </c>
      <c r="CM336" s="28" t="s">
        <v>12</v>
      </c>
      <c r="CN336" s="28" t="s">
        <v>12</v>
      </c>
      <c r="CO336" s="28" t="s">
        <v>12</v>
      </c>
      <c r="CP336" s="28" t="s">
        <v>12</v>
      </c>
      <c r="CQ336" s="28" t="s">
        <v>12</v>
      </c>
      <c r="CR336" s="28" t="s">
        <v>12</v>
      </c>
      <c r="CS336" s="28" t="s">
        <v>12</v>
      </c>
      <c r="CT336" s="28" t="s">
        <v>12</v>
      </c>
      <c r="CU336" s="28" t="s">
        <v>12</v>
      </c>
      <c r="CV336" s="28" t="s">
        <v>12</v>
      </c>
      <c r="CW336" s="28" t="s">
        <v>12</v>
      </c>
      <c r="CX336" s="28" t="s">
        <v>12</v>
      </c>
      <c r="CY336" s="28" t="s">
        <v>12</v>
      </c>
      <c r="CZ336" s="28" t="s">
        <v>12</v>
      </c>
      <c r="DA336" s="28" t="s">
        <v>12</v>
      </c>
      <c r="DB336" s="313">
        <v>121</v>
      </c>
      <c r="DC336" s="313" t="s">
        <v>147</v>
      </c>
      <c r="DD336" s="386" t="s">
        <v>12</v>
      </c>
      <c r="DE336" s="386" t="s">
        <v>12</v>
      </c>
      <c r="DF336" s="386" t="s">
        <v>12</v>
      </c>
      <c r="DG336" s="386" t="s">
        <v>12</v>
      </c>
      <c r="DH336" s="386" t="s">
        <v>12</v>
      </c>
      <c r="DI336" s="386" t="s">
        <v>12</v>
      </c>
      <c r="DJ336" s="386" t="s">
        <v>12</v>
      </c>
      <c r="DK336" s="386" t="s">
        <v>12</v>
      </c>
      <c r="DL336" s="386" t="s">
        <v>12</v>
      </c>
      <c r="DM336" s="386" t="s">
        <v>12</v>
      </c>
      <c r="DN336" s="7" t="s">
        <v>12</v>
      </c>
      <c r="DO336" s="7" t="s">
        <v>12</v>
      </c>
      <c r="DP336" s="7" t="s">
        <v>12</v>
      </c>
      <c r="DQ336" s="7" t="s">
        <v>12</v>
      </c>
      <c r="DR336" s="7" t="s">
        <v>12</v>
      </c>
      <c r="DS336" s="7" t="s">
        <v>12</v>
      </c>
      <c r="DT336" s="7" t="s">
        <v>12</v>
      </c>
      <c r="DU336" s="7" t="s">
        <v>12</v>
      </c>
      <c r="DV336" s="7" t="s">
        <v>12</v>
      </c>
      <c r="DW336" s="7" t="s">
        <v>12</v>
      </c>
      <c r="DY336" s="9">
        <v>7154870</v>
      </c>
      <c r="EI336" s="423" t="s">
        <v>12</v>
      </c>
      <c r="EJ336" s="423" t="s">
        <v>12</v>
      </c>
      <c r="EK336" s="423" t="s">
        <v>12</v>
      </c>
      <c r="EL336" s="423" t="s">
        <v>12</v>
      </c>
      <c r="EM336" s="423" t="s">
        <v>12</v>
      </c>
      <c r="EN336" s="423" t="s">
        <v>12</v>
      </c>
      <c r="EO336" s="423" t="s">
        <v>12</v>
      </c>
      <c r="EP336" s="423" t="s">
        <v>12</v>
      </c>
      <c r="EQ336" s="423" t="s">
        <v>12</v>
      </c>
      <c r="ER336" s="423" t="s">
        <v>12</v>
      </c>
      <c r="ES336" s="438" t="s">
        <v>12</v>
      </c>
      <c r="ET336" s="438" t="s">
        <v>12</v>
      </c>
      <c r="EU336" s="438" t="s">
        <v>12</v>
      </c>
      <c r="EV336" s="438" t="s">
        <v>12</v>
      </c>
      <c r="EW336" s="438" t="s">
        <v>12</v>
      </c>
      <c r="EX336" s="438" t="s">
        <v>12</v>
      </c>
      <c r="EY336" s="438" t="s">
        <v>12</v>
      </c>
      <c r="EZ336" s="438" t="s">
        <v>12</v>
      </c>
      <c r="FA336" s="438" t="s">
        <v>12</v>
      </c>
      <c r="FB336" s="438" t="s">
        <v>12</v>
      </c>
      <c r="FC336" s="346">
        <v>0</v>
      </c>
      <c r="FD336" s="346">
        <v>0</v>
      </c>
      <c r="FE336" s="346">
        <v>0</v>
      </c>
      <c r="FF336" s="346">
        <v>0</v>
      </c>
      <c r="FG336" s="346">
        <v>0</v>
      </c>
      <c r="FH336" s="346">
        <v>0</v>
      </c>
      <c r="FI336" s="346">
        <v>0</v>
      </c>
      <c r="FJ336" s="346">
        <v>0</v>
      </c>
      <c r="FK336" s="346">
        <v>0</v>
      </c>
      <c r="FL336" s="346">
        <v>0</v>
      </c>
    </row>
    <row r="337" spans="1:168" x14ac:dyDescent="0.25">
      <c r="A337" s="238">
        <v>2</v>
      </c>
      <c r="B337" s="238" t="s">
        <v>763</v>
      </c>
      <c r="C337" s="245">
        <v>1</v>
      </c>
      <c r="D337" s="245">
        <v>1</v>
      </c>
      <c r="E337" s="245">
        <v>1</v>
      </c>
      <c r="F337" s="245">
        <v>1</v>
      </c>
      <c r="G337" s="245">
        <v>1</v>
      </c>
      <c r="H337" s="245">
        <v>1</v>
      </c>
      <c r="I337" s="245" t="s">
        <v>11</v>
      </c>
      <c r="J337" s="245" t="s">
        <v>11</v>
      </c>
      <c r="K337" s="245" t="s">
        <v>11</v>
      </c>
      <c r="L337" s="245" t="s">
        <v>11</v>
      </c>
      <c r="N337">
        <v>122</v>
      </c>
      <c r="O337" t="s">
        <v>149</v>
      </c>
      <c r="P337" t="s">
        <v>149</v>
      </c>
      <c r="Q337" t="s">
        <v>18</v>
      </c>
      <c r="R337" s="2" t="s">
        <v>12</v>
      </c>
      <c r="S337" s="2" t="s">
        <v>12</v>
      </c>
      <c r="T337" s="2" t="s">
        <v>12</v>
      </c>
      <c r="U337" s="2" t="s">
        <v>12</v>
      </c>
      <c r="V337" s="2" t="s">
        <v>12</v>
      </c>
      <c r="W337" s="2" t="s">
        <v>12</v>
      </c>
      <c r="X337" s="2" t="s">
        <v>12</v>
      </c>
      <c r="Y337" s="2" t="s">
        <v>12</v>
      </c>
      <c r="Z337" s="2" t="s">
        <v>12</v>
      </c>
      <c r="AA337" s="2" t="s">
        <v>12</v>
      </c>
      <c r="AB337" s="2" t="s">
        <v>12</v>
      </c>
      <c r="AC337" s="2" t="s">
        <v>12</v>
      </c>
      <c r="AD337" t="s">
        <v>12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t="s">
        <v>12</v>
      </c>
      <c r="AR337" t="s">
        <v>12</v>
      </c>
      <c r="AS337" t="s">
        <v>12</v>
      </c>
      <c r="AT337" t="s">
        <v>12</v>
      </c>
      <c r="AU337" t="s">
        <v>12</v>
      </c>
      <c r="AV337" t="s">
        <v>12</v>
      </c>
      <c r="AW337" t="s">
        <v>12</v>
      </c>
      <c r="AX337" t="s">
        <v>12</v>
      </c>
      <c r="AY337" t="s">
        <v>12</v>
      </c>
      <c r="AZ337" t="s">
        <v>12</v>
      </c>
      <c r="BA337" t="s">
        <v>12</v>
      </c>
      <c r="BB337" t="s">
        <v>12</v>
      </c>
      <c r="BC337" t="s">
        <v>12</v>
      </c>
      <c r="BD337" t="s">
        <v>12</v>
      </c>
      <c r="BF337" s="313" t="s">
        <v>11</v>
      </c>
      <c r="BG337" s="313" t="s">
        <v>11</v>
      </c>
      <c r="BH337" t="s">
        <v>12</v>
      </c>
      <c r="BI337" t="s">
        <v>12</v>
      </c>
      <c r="BJ337" t="s">
        <v>12</v>
      </c>
      <c r="BK337" t="s">
        <v>12</v>
      </c>
      <c r="BL337" t="s">
        <v>12</v>
      </c>
      <c r="BM337" t="s">
        <v>12</v>
      </c>
      <c r="BN337" t="s">
        <v>12</v>
      </c>
      <c r="BO337" t="s">
        <v>12</v>
      </c>
      <c r="BP337" t="s">
        <v>12</v>
      </c>
      <c r="BQ337" t="s">
        <v>12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 s="9" t="s">
        <v>12</v>
      </c>
      <c r="CF337" s="28" t="s">
        <v>12</v>
      </c>
      <c r="CG337" s="28" t="s">
        <v>12</v>
      </c>
      <c r="CH337" s="28" t="s">
        <v>12</v>
      </c>
      <c r="CI337" s="28" t="s">
        <v>12</v>
      </c>
      <c r="CJ337" s="28" t="s">
        <v>12</v>
      </c>
      <c r="CK337" s="28" t="s">
        <v>12</v>
      </c>
      <c r="CL337" s="28" t="s">
        <v>12</v>
      </c>
      <c r="CM337" s="28" t="s">
        <v>12</v>
      </c>
      <c r="CN337" s="28" t="s">
        <v>12</v>
      </c>
      <c r="CO337" s="28" t="s">
        <v>12</v>
      </c>
      <c r="CP337" s="28" t="s">
        <v>12</v>
      </c>
      <c r="CQ337" s="28" t="s">
        <v>12</v>
      </c>
      <c r="CR337" s="28" t="s">
        <v>12</v>
      </c>
      <c r="CS337" s="28" t="s">
        <v>12</v>
      </c>
      <c r="CT337" s="28" t="s">
        <v>12</v>
      </c>
      <c r="CU337" s="28" t="s">
        <v>12</v>
      </c>
      <c r="CV337" s="28" t="s">
        <v>12</v>
      </c>
      <c r="CW337" s="28" t="s">
        <v>12</v>
      </c>
      <c r="CX337" s="28" t="s">
        <v>12</v>
      </c>
      <c r="CY337" s="28" t="s">
        <v>12</v>
      </c>
      <c r="CZ337" s="28" t="s">
        <v>12</v>
      </c>
      <c r="DA337" s="28" t="s">
        <v>12</v>
      </c>
      <c r="DB337" s="313">
        <v>122</v>
      </c>
      <c r="DC337" s="313" t="s">
        <v>149</v>
      </c>
      <c r="DD337" s="386" t="s">
        <v>12</v>
      </c>
      <c r="DE337" s="386" t="s">
        <v>12</v>
      </c>
      <c r="DF337" s="386" t="s">
        <v>12</v>
      </c>
      <c r="DG337" s="386" t="s">
        <v>12</v>
      </c>
      <c r="DH337" s="386" t="s">
        <v>12</v>
      </c>
      <c r="DI337" s="386" t="s">
        <v>12</v>
      </c>
      <c r="DJ337" s="386" t="s">
        <v>12</v>
      </c>
      <c r="DK337" s="386" t="s">
        <v>12</v>
      </c>
      <c r="DL337" s="386" t="s">
        <v>12</v>
      </c>
      <c r="DM337" s="386" t="s">
        <v>12</v>
      </c>
      <c r="DN337" s="7" t="s">
        <v>12</v>
      </c>
      <c r="DO337" s="7" t="s">
        <v>12</v>
      </c>
      <c r="DP337" s="7" t="s">
        <v>12</v>
      </c>
      <c r="DQ337" s="7" t="s">
        <v>12</v>
      </c>
      <c r="DR337" s="7" t="s">
        <v>12</v>
      </c>
      <c r="DS337" s="7" t="s">
        <v>12</v>
      </c>
      <c r="DT337" s="7" t="s">
        <v>12</v>
      </c>
      <c r="DU337" s="7" t="s">
        <v>12</v>
      </c>
      <c r="DV337" s="7" t="s">
        <v>12</v>
      </c>
      <c r="DW337" s="7" t="s">
        <v>12</v>
      </c>
      <c r="DY337" s="9">
        <v>6379162</v>
      </c>
      <c r="EI337" s="423" t="s">
        <v>12</v>
      </c>
      <c r="EJ337" s="423" t="s">
        <v>12</v>
      </c>
      <c r="EK337" s="423" t="s">
        <v>12</v>
      </c>
      <c r="EL337" s="423" t="s">
        <v>12</v>
      </c>
      <c r="EM337" s="423" t="s">
        <v>12</v>
      </c>
      <c r="EN337" s="423" t="s">
        <v>12</v>
      </c>
      <c r="EO337" s="423" t="s">
        <v>12</v>
      </c>
      <c r="EP337" s="423" t="s">
        <v>12</v>
      </c>
      <c r="EQ337" s="423" t="s">
        <v>12</v>
      </c>
      <c r="ER337" s="423" t="s">
        <v>12</v>
      </c>
      <c r="ES337" s="438" t="s">
        <v>12</v>
      </c>
      <c r="ET337" s="438" t="s">
        <v>12</v>
      </c>
      <c r="EU337" s="438" t="s">
        <v>12</v>
      </c>
      <c r="EV337" s="438" t="s">
        <v>12</v>
      </c>
      <c r="EW337" s="438" t="s">
        <v>12</v>
      </c>
      <c r="EX337" s="438" t="s">
        <v>12</v>
      </c>
      <c r="EY337" s="438" t="s">
        <v>12</v>
      </c>
      <c r="EZ337" s="438" t="s">
        <v>12</v>
      </c>
      <c r="FA337" s="438" t="s">
        <v>12</v>
      </c>
      <c r="FB337" s="438" t="s">
        <v>12</v>
      </c>
      <c r="FC337" s="346">
        <v>0</v>
      </c>
      <c r="FD337" s="346">
        <v>0</v>
      </c>
      <c r="FE337" s="346">
        <v>0</v>
      </c>
      <c r="FF337" s="346">
        <v>0</v>
      </c>
      <c r="FG337" s="346">
        <v>0</v>
      </c>
      <c r="FH337" s="346">
        <v>0</v>
      </c>
      <c r="FI337" s="346">
        <v>0</v>
      </c>
      <c r="FJ337" s="346">
        <v>0</v>
      </c>
      <c r="FK337" s="346">
        <v>0</v>
      </c>
      <c r="FL337" s="346">
        <v>0</v>
      </c>
    </row>
    <row r="338" spans="1:168" x14ac:dyDescent="0.25">
      <c r="A338" s="238">
        <v>3</v>
      </c>
      <c r="B338" s="238" t="s">
        <v>764</v>
      </c>
      <c r="C338" s="245" t="s">
        <v>11</v>
      </c>
      <c r="D338" s="245" t="s">
        <v>11</v>
      </c>
      <c r="E338" s="245" t="s">
        <v>11</v>
      </c>
      <c r="F338" s="245" t="s">
        <v>11</v>
      </c>
      <c r="G338" s="245" t="s">
        <v>11</v>
      </c>
      <c r="H338" s="245" t="s">
        <v>11</v>
      </c>
      <c r="I338" s="245" t="s">
        <v>11</v>
      </c>
      <c r="J338" s="245" t="s">
        <v>11</v>
      </c>
      <c r="K338" s="245" t="s">
        <v>11</v>
      </c>
      <c r="L338" s="245" t="s">
        <v>11</v>
      </c>
      <c r="N338">
        <v>123</v>
      </c>
      <c r="O338" t="s">
        <v>150</v>
      </c>
      <c r="P338" t="s">
        <v>150</v>
      </c>
      <c r="Q338" t="s">
        <v>18</v>
      </c>
      <c r="R338" s="2" t="s">
        <v>12</v>
      </c>
      <c r="S338" s="2" t="s">
        <v>12</v>
      </c>
      <c r="T338" s="2" t="s">
        <v>12</v>
      </c>
      <c r="U338" s="2" t="s">
        <v>12</v>
      </c>
      <c r="V338" s="2" t="s">
        <v>12</v>
      </c>
      <c r="W338" s="2" t="s">
        <v>12</v>
      </c>
      <c r="X338" s="2" t="s">
        <v>12</v>
      </c>
      <c r="Y338" s="2" t="s">
        <v>12</v>
      </c>
      <c r="Z338" s="2" t="s">
        <v>12</v>
      </c>
      <c r="AA338" s="2" t="s">
        <v>12</v>
      </c>
      <c r="AB338" s="2" t="s">
        <v>12</v>
      </c>
      <c r="AC338" s="2" t="s">
        <v>12</v>
      </c>
      <c r="AD338" t="s">
        <v>12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t="s">
        <v>12</v>
      </c>
      <c r="AR338" t="s">
        <v>12</v>
      </c>
      <c r="AS338" t="s">
        <v>12</v>
      </c>
      <c r="AT338" t="s">
        <v>12</v>
      </c>
      <c r="AU338" t="s">
        <v>12</v>
      </c>
      <c r="AV338" t="s">
        <v>12</v>
      </c>
      <c r="AW338" t="s">
        <v>12</v>
      </c>
      <c r="AX338" t="s">
        <v>12</v>
      </c>
      <c r="AY338" t="s">
        <v>12</v>
      </c>
      <c r="AZ338" t="s">
        <v>12</v>
      </c>
      <c r="BA338" t="s">
        <v>12</v>
      </c>
      <c r="BB338" t="s">
        <v>12</v>
      </c>
      <c r="BC338" t="s">
        <v>12</v>
      </c>
      <c r="BD338" t="s">
        <v>12</v>
      </c>
      <c r="BF338" s="313" t="s">
        <v>11</v>
      </c>
      <c r="BG338" s="313" t="s">
        <v>11</v>
      </c>
      <c r="BH338" t="s">
        <v>12</v>
      </c>
      <c r="BI338" t="s">
        <v>12</v>
      </c>
      <c r="BJ338" t="s">
        <v>12</v>
      </c>
      <c r="BK338" t="s">
        <v>12</v>
      </c>
      <c r="BL338" t="s">
        <v>12</v>
      </c>
      <c r="BM338" t="s">
        <v>12</v>
      </c>
      <c r="BN338" t="s">
        <v>12</v>
      </c>
      <c r="BO338" t="s">
        <v>12</v>
      </c>
      <c r="BP338" t="s">
        <v>12</v>
      </c>
      <c r="BQ338" t="s">
        <v>12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 s="9" t="s">
        <v>12</v>
      </c>
      <c r="CF338" s="28" t="s">
        <v>12</v>
      </c>
      <c r="CG338" s="28" t="s">
        <v>12</v>
      </c>
      <c r="CH338" s="28" t="s">
        <v>12</v>
      </c>
      <c r="CI338" s="28" t="s">
        <v>12</v>
      </c>
      <c r="CJ338" s="28" t="s">
        <v>12</v>
      </c>
      <c r="CK338" s="28" t="s">
        <v>12</v>
      </c>
      <c r="CL338" s="28" t="s">
        <v>12</v>
      </c>
      <c r="CM338" s="28" t="s">
        <v>12</v>
      </c>
      <c r="CN338" s="28" t="s">
        <v>12</v>
      </c>
      <c r="CO338" s="28" t="s">
        <v>12</v>
      </c>
      <c r="CP338" s="28" t="s">
        <v>12</v>
      </c>
      <c r="CQ338" s="28" t="s">
        <v>12</v>
      </c>
      <c r="CR338" s="28" t="s">
        <v>12</v>
      </c>
      <c r="CS338" s="28" t="s">
        <v>12</v>
      </c>
      <c r="CT338" s="28" t="s">
        <v>12</v>
      </c>
      <c r="CU338" s="28" t="s">
        <v>12</v>
      </c>
      <c r="CV338" s="28" t="s">
        <v>12</v>
      </c>
      <c r="CW338" s="28" t="s">
        <v>12</v>
      </c>
      <c r="CX338" s="28" t="s">
        <v>12</v>
      </c>
      <c r="CY338" s="28" t="s">
        <v>12</v>
      </c>
      <c r="CZ338" s="28" t="s">
        <v>12</v>
      </c>
      <c r="DA338" s="28" t="s">
        <v>12</v>
      </c>
      <c r="DB338" s="313">
        <v>123</v>
      </c>
      <c r="DC338" s="313" t="s">
        <v>150</v>
      </c>
      <c r="DD338" s="386" t="s">
        <v>12</v>
      </c>
      <c r="DE338" s="386" t="s">
        <v>12</v>
      </c>
      <c r="DF338" s="386" t="s">
        <v>12</v>
      </c>
      <c r="DG338" s="386" t="s">
        <v>12</v>
      </c>
      <c r="DH338" s="386" t="s">
        <v>12</v>
      </c>
      <c r="DI338" s="386" t="s">
        <v>12</v>
      </c>
      <c r="DJ338" s="386" t="s">
        <v>12</v>
      </c>
      <c r="DK338" s="386" t="s">
        <v>12</v>
      </c>
      <c r="DL338" s="386" t="s">
        <v>12</v>
      </c>
      <c r="DM338" s="386" t="s">
        <v>12</v>
      </c>
      <c r="DN338" s="7" t="s">
        <v>12</v>
      </c>
      <c r="DO338" s="7" t="s">
        <v>12</v>
      </c>
      <c r="DP338" s="7" t="s">
        <v>12</v>
      </c>
      <c r="DQ338" s="7" t="s">
        <v>12</v>
      </c>
      <c r="DR338" s="7" t="s">
        <v>12</v>
      </c>
      <c r="DS338" s="7" t="s">
        <v>12</v>
      </c>
      <c r="DT338" s="7" t="s">
        <v>12</v>
      </c>
      <c r="DU338" s="7" t="s">
        <v>12</v>
      </c>
      <c r="DV338" s="7" t="s">
        <v>12</v>
      </c>
      <c r="DW338" s="7" t="s">
        <v>12</v>
      </c>
      <c r="DY338" s="9">
        <v>30158768</v>
      </c>
      <c r="EI338" s="423" t="s">
        <v>12</v>
      </c>
      <c r="EJ338" s="423" t="s">
        <v>12</v>
      </c>
      <c r="EK338" s="423" t="s">
        <v>12</v>
      </c>
      <c r="EL338" s="423" t="s">
        <v>12</v>
      </c>
      <c r="EM338" s="423" t="s">
        <v>12</v>
      </c>
      <c r="EN338" s="423" t="s">
        <v>12</v>
      </c>
      <c r="EO338" s="423" t="s">
        <v>12</v>
      </c>
      <c r="EP338" s="423" t="s">
        <v>12</v>
      </c>
      <c r="EQ338" s="423" t="s">
        <v>12</v>
      </c>
      <c r="ER338" s="423" t="s">
        <v>12</v>
      </c>
      <c r="ES338" s="438" t="s">
        <v>12</v>
      </c>
      <c r="ET338" s="438" t="s">
        <v>12</v>
      </c>
      <c r="EU338" s="438" t="s">
        <v>12</v>
      </c>
      <c r="EV338" s="438" t="s">
        <v>12</v>
      </c>
      <c r="EW338" s="438" t="s">
        <v>12</v>
      </c>
      <c r="EX338" s="438" t="s">
        <v>12</v>
      </c>
      <c r="EY338" s="438" t="s">
        <v>12</v>
      </c>
      <c r="EZ338" s="438" t="s">
        <v>12</v>
      </c>
      <c r="FA338" s="438" t="s">
        <v>12</v>
      </c>
      <c r="FB338" s="438" t="s">
        <v>12</v>
      </c>
      <c r="FC338" s="346">
        <v>0</v>
      </c>
      <c r="FD338" s="346">
        <v>0</v>
      </c>
      <c r="FE338" s="346">
        <v>0</v>
      </c>
      <c r="FF338" s="346">
        <v>0</v>
      </c>
      <c r="FG338" s="346">
        <v>0</v>
      </c>
      <c r="FH338" s="346">
        <v>0</v>
      </c>
      <c r="FI338" s="346">
        <v>0</v>
      </c>
      <c r="FJ338" s="346">
        <v>0</v>
      </c>
      <c r="FK338" s="346">
        <v>0</v>
      </c>
      <c r="FL338" s="346">
        <v>0</v>
      </c>
    </row>
    <row r="339" spans="1:168" x14ac:dyDescent="0.25">
      <c r="A339" s="238">
        <v>4</v>
      </c>
      <c r="B339" s="238" t="s">
        <v>765</v>
      </c>
      <c r="C339" s="245" t="s">
        <v>11</v>
      </c>
      <c r="D339" s="245" t="s">
        <v>11</v>
      </c>
      <c r="E339" s="245" t="s">
        <v>11</v>
      </c>
      <c r="F339" s="245" t="s">
        <v>11</v>
      </c>
      <c r="G339" s="245" t="s">
        <v>11</v>
      </c>
      <c r="H339" s="245" t="s">
        <v>11</v>
      </c>
      <c r="I339" s="245" t="s">
        <v>11</v>
      </c>
      <c r="J339" s="245" t="s">
        <v>11</v>
      </c>
      <c r="K339" s="245" t="s">
        <v>11</v>
      </c>
      <c r="L339" s="245" t="s">
        <v>11</v>
      </c>
      <c r="N339">
        <v>124</v>
      </c>
      <c r="O339" t="s">
        <v>151</v>
      </c>
      <c r="P339" t="s">
        <v>151</v>
      </c>
      <c r="Q339" t="s">
        <v>25</v>
      </c>
      <c r="R339" s="2" t="s">
        <v>12</v>
      </c>
      <c r="S339" s="2" t="s">
        <v>12</v>
      </c>
      <c r="T339" s="2" t="s">
        <v>12</v>
      </c>
      <c r="U339" s="2" t="s">
        <v>12</v>
      </c>
      <c r="V339" s="2" t="s">
        <v>12</v>
      </c>
      <c r="W339" s="2" t="s">
        <v>12</v>
      </c>
      <c r="X339" s="2" t="s">
        <v>12</v>
      </c>
      <c r="Y339" s="2" t="s">
        <v>12</v>
      </c>
      <c r="Z339" s="2" t="s">
        <v>12</v>
      </c>
      <c r="AA339" s="2" t="s">
        <v>12</v>
      </c>
      <c r="AB339" s="2" t="s">
        <v>12</v>
      </c>
      <c r="AC339" s="2" t="s">
        <v>12</v>
      </c>
      <c r="AD339" t="s">
        <v>12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t="s">
        <v>12</v>
      </c>
      <c r="AR339" t="s">
        <v>12</v>
      </c>
      <c r="AS339" t="s">
        <v>12</v>
      </c>
      <c r="AT339" t="s">
        <v>12</v>
      </c>
      <c r="AU339" t="s">
        <v>12</v>
      </c>
      <c r="AV339" t="s">
        <v>12</v>
      </c>
      <c r="AW339" t="s">
        <v>12</v>
      </c>
      <c r="AX339" t="s">
        <v>12</v>
      </c>
      <c r="AY339" t="s">
        <v>12</v>
      </c>
      <c r="AZ339" t="s">
        <v>12</v>
      </c>
      <c r="BA339" t="s">
        <v>12</v>
      </c>
      <c r="BB339" t="s">
        <v>12</v>
      </c>
      <c r="BC339" t="s">
        <v>12</v>
      </c>
      <c r="BD339" t="s">
        <v>12</v>
      </c>
      <c r="BF339" s="313" t="s">
        <v>11</v>
      </c>
      <c r="BG339" s="313" t="s">
        <v>11</v>
      </c>
      <c r="BH339" t="s">
        <v>12</v>
      </c>
      <c r="BI339" t="s">
        <v>12</v>
      </c>
      <c r="BJ339" t="s">
        <v>12</v>
      </c>
      <c r="BK339" t="s">
        <v>12</v>
      </c>
      <c r="BL339" t="s">
        <v>12</v>
      </c>
      <c r="BM339" t="s">
        <v>12</v>
      </c>
      <c r="BN339" t="s">
        <v>12</v>
      </c>
      <c r="BO339" t="s">
        <v>12</v>
      </c>
      <c r="BP339" t="s">
        <v>12</v>
      </c>
      <c r="BQ339" t="s">
        <v>12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 s="9" t="s">
        <v>12</v>
      </c>
      <c r="CF339" s="28" t="s">
        <v>12</v>
      </c>
      <c r="CG339" s="28" t="s">
        <v>12</v>
      </c>
      <c r="CH339" s="28" t="s">
        <v>12</v>
      </c>
      <c r="CI339" s="28" t="s">
        <v>12</v>
      </c>
      <c r="CJ339" s="28" t="s">
        <v>12</v>
      </c>
      <c r="CK339" s="28" t="s">
        <v>12</v>
      </c>
      <c r="CL339" s="28" t="s">
        <v>12</v>
      </c>
      <c r="CM339" s="28" t="s">
        <v>12</v>
      </c>
      <c r="CN339" s="28" t="s">
        <v>12</v>
      </c>
      <c r="CO339" s="28" t="s">
        <v>12</v>
      </c>
      <c r="CP339" s="28" t="s">
        <v>12</v>
      </c>
      <c r="CQ339" s="28" t="s">
        <v>12</v>
      </c>
      <c r="CR339" s="28" t="s">
        <v>12</v>
      </c>
      <c r="CS339" s="28" t="s">
        <v>12</v>
      </c>
      <c r="CT339" s="28" t="s">
        <v>12</v>
      </c>
      <c r="CU339" s="28" t="s">
        <v>12</v>
      </c>
      <c r="CV339" s="28" t="s">
        <v>12</v>
      </c>
      <c r="CW339" s="28" t="s">
        <v>12</v>
      </c>
      <c r="CX339" s="28" t="s">
        <v>12</v>
      </c>
      <c r="CY339" s="28" t="s">
        <v>12</v>
      </c>
      <c r="CZ339" s="28" t="s">
        <v>12</v>
      </c>
      <c r="DA339" s="28" t="s">
        <v>12</v>
      </c>
      <c r="DB339" s="313">
        <v>124</v>
      </c>
      <c r="DC339" s="313" t="s">
        <v>151</v>
      </c>
      <c r="DD339" s="386" t="s">
        <v>12</v>
      </c>
      <c r="DE339" s="386" t="s">
        <v>12</v>
      </c>
      <c r="DF339" s="386" t="s">
        <v>12</v>
      </c>
      <c r="DG339" s="386" t="s">
        <v>12</v>
      </c>
      <c r="DH339" s="386" t="s">
        <v>12</v>
      </c>
      <c r="DI339" s="386" t="s">
        <v>12</v>
      </c>
      <c r="DJ339" s="386" t="s">
        <v>12</v>
      </c>
      <c r="DK339" s="386" t="s">
        <v>12</v>
      </c>
      <c r="DL339" s="386" t="s">
        <v>12</v>
      </c>
      <c r="DM339" s="386" t="s">
        <v>12</v>
      </c>
      <c r="DN339" s="7" t="s">
        <v>12</v>
      </c>
      <c r="DO339" s="7" t="s">
        <v>12</v>
      </c>
      <c r="DP339" s="7" t="s">
        <v>12</v>
      </c>
      <c r="DQ339" s="7" t="s">
        <v>12</v>
      </c>
      <c r="DR339" s="7" t="s">
        <v>12</v>
      </c>
      <c r="DS339" s="7" t="s">
        <v>12</v>
      </c>
      <c r="DT339" s="7" t="s">
        <v>12</v>
      </c>
      <c r="DU339" s="7" t="s">
        <v>12</v>
      </c>
      <c r="DV339" s="7" t="s">
        <v>12</v>
      </c>
      <c r="DW339" s="7" t="s">
        <v>12</v>
      </c>
      <c r="DY339" s="9">
        <v>96017322</v>
      </c>
      <c r="EI339" s="423" t="s">
        <v>12</v>
      </c>
      <c r="EJ339" s="423" t="s">
        <v>12</v>
      </c>
      <c r="EK339" s="423" t="s">
        <v>12</v>
      </c>
      <c r="EL339" s="423" t="s">
        <v>12</v>
      </c>
      <c r="EM339" s="423" t="s">
        <v>12</v>
      </c>
      <c r="EN339" s="423" t="s">
        <v>12</v>
      </c>
      <c r="EO339" s="423" t="s">
        <v>12</v>
      </c>
      <c r="EP339" s="423" t="s">
        <v>12</v>
      </c>
      <c r="EQ339" s="423" t="s">
        <v>12</v>
      </c>
      <c r="ER339" s="423" t="s">
        <v>12</v>
      </c>
      <c r="ES339" s="438" t="s">
        <v>12</v>
      </c>
      <c r="ET339" s="438" t="s">
        <v>12</v>
      </c>
      <c r="EU339" s="438" t="s">
        <v>12</v>
      </c>
      <c r="EV339" s="438" t="s">
        <v>12</v>
      </c>
      <c r="EW339" s="438" t="s">
        <v>12</v>
      </c>
      <c r="EX339" s="438" t="s">
        <v>12</v>
      </c>
      <c r="EY339" s="438" t="s">
        <v>12</v>
      </c>
      <c r="EZ339" s="438" t="s">
        <v>12</v>
      </c>
      <c r="FA339" s="438" t="s">
        <v>12</v>
      </c>
      <c r="FB339" s="438" t="s">
        <v>12</v>
      </c>
      <c r="FC339" s="346">
        <v>0</v>
      </c>
      <c r="FD339" s="346">
        <v>0</v>
      </c>
      <c r="FE339" s="346">
        <v>0</v>
      </c>
      <c r="FF339" s="346">
        <v>0</v>
      </c>
      <c r="FG339" s="346">
        <v>0</v>
      </c>
      <c r="FH339" s="346">
        <v>0</v>
      </c>
      <c r="FI339" s="346">
        <v>0</v>
      </c>
      <c r="FJ339" s="346">
        <v>0</v>
      </c>
      <c r="FK339" s="346">
        <v>0</v>
      </c>
      <c r="FL339" s="346">
        <v>0</v>
      </c>
    </row>
    <row r="340" spans="1:168" x14ac:dyDescent="0.25">
      <c r="A340" s="238">
        <v>5</v>
      </c>
      <c r="B340" s="238" t="s">
        <v>767</v>
      </c>
      <c r="C340" s="245" t="s">
        <v>11</v>
      </c>
      <c r="D340" s="245" t="s">
        <v>11</v>
      </c>
      <c r="E340" s="245" t="s">
        <v>11</v>
      </c>
      <c r="F340" s="245" t="s">
        <v>11</v>
      </c>
      <c r="G340" s="245" t="s">
        <v>11</v>
      </c>
      <c r="H340" s="245" t="s">
        <v>11</v>
      </c>
      <c r="I340" s="245" t="s">
        <v>11</v>
      </c>
      <c r="J340" s="245" t="s">
        <v>11</v>
      </c>
      <c r="K340" s="245" t="s">
        <v>11</v>
      </c>
      <c r="L340" s="245" t="s">
        <v>11</v>
      </c>
      <c r="N340">
        <v>125</v>
      </c>
      <c r="O340" t="s">
        <v>152</v>
      </c>
      <c r="P340" t="s">
        <v>152</v>
      </c>
      <c r="Q340" t="s">
        <v>23</v>
      </c>
      <c r="R340" s="2" t="s">
        <v>12</v>
      </c>
      <c r="S340" s="2" t="s">
        <v>12</v>
      </c>
      <c r="T340" s="2" t="s">
        <v>12</v>
      </c>
      <c r="U340" s="2" t="s">
        <v>12</v>
      </c>
      <c r="V340" s="2" t="s">
        <v>12</v>
      </c>
      <c r="W340" s="2" t="s">
        <v>12</v>
      </c>
      <c r="X340" s="2" t="s">
        <v>12</v>
      </c>
      <c r="Y340" s="2" t="s">
        <v>12</v>
      </c>
      <c r="Z340" s="2" t="s">
        <v>12</v>
      </c>
      <c r="AA340" s="2" t="s">
        <v>12</v>
      </c>
      <c r="AB340" s="2" t="s">
        <v>12</v>
      </c>
      <c r="AC340" s="2" t="s">
        <v>12</v>
      </c>
      <c r="AD340" t="s">
        <v>12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t="s">
        <v>12</v>
      </c>
      <c r="AR340" t="s">
        <v>12</v>
      </c>
      <c r="AS340" t="s">
        <v>12</v>
      </c>
      <c r="AT340" t="s">
        <v>12</v>
      </c>
      <c r="AU340" t="s">
        <v>12</v>
      </c>
      <c r="AV340" t="s">
        <v>12</v>
      </c>
      <c r="AW340" t="s">
        <v>12</v>
      </c>
      <c r="AX340" t="s">
        <v>12</v>
      </c>
      <c r="AY340" t="s">
        <v>12</v>
      </c>
      <c r="AZ340" t="s">
        <v>12</v>
      </c>
      <c r="BA340" t="s">
        <v>12</v>
      </c>
      <c r="BB340" t="s">
        <v>12</v>
      </c>
      <c r="BC340" t="s">
        <v>12</v>
      </c>
      <c r="BD340" t="s">
        <v>12</v>
      </c>
      <c r="BF340" s="313" t="s">
        <v>11</v>
      </c>
      <c r="BG340" s="313" t="s">
        <v>11</v>
      </c>
      <c r="BH340" t="s">
        <v>12</v>
      </c>
      <c r="BI340" t="s">
        <v>12</v>
      </c>
      <c r="BJ340" t="s">
        <v>12</v>
      </c>
      <c r="BK340" t="s">
        <v>12</v>
      </c>
      <c r="BL340" t="s">
        <v>12</v>
      </c>
      <c r="BM340" t="s">
        <v>12</v>
      </c>
      <c r="BN340" t="s">
        <v>12</v>
      </c>
      <c r="BO340" t="s">
        <v>12</v>
      </c>
      <c r="BP340" t="s">
        <v>12</v>
      </c>
      <c r="BQ340" t="s">
        <v>12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 s="9" t="s">
        <v>12</v>
      </c>
      <c r="CF340" s="28" t="s">
        <v>12</v>
      </c>
      <c r="CG340" s="28" t="s">
        <v>12</v>
      </c>
      <c r="CH340" s="28" t="s">
        <v>12</v>
      </c>
      <c r="CI340" s="28" t="s">
        <v>12</v>
      </c>
      <c r="CJ340" s="28" t="s">
        <v>12</v>
      </c>
      <c r="CK340" s="28" t="s">
        <v>12</v>
      </c>
      <c r="CL340" s="28" t="s">
        <v>12</v>
      </c>
      <c r="CM340" s="28" t="s">
        <v>12</v>
      </c>
      <c r="CN340" s="28" t="s">
        <v>12</v>
      </c>
      <c r="CO340" s="28" t="s">
        <v>12</v>
      </c>
      <c r="CP340" s="28" t="s">
        <v>12</v>
      </c>
      <c r="CQ340" s="28" t="s">
        <v>12</v>
      </c>
      <c r="CR340" s="28" t="s">
        <v>12</v>
      </c>
      <c r="CS340" s="28" t="s">
        <v>12</v>
      </c>
      <c r="CT340" s="28" t="s">
        <v>12</v>
      </c>
      <c r="CU340" s="28" t="s">
        <v>12</v>
      </c>
      <c r="CV340" s="28" t="s">
        <v>12</v>
      </c>
      <c r="CW340" s="28" t="s">
        <v>12</v>
      </c>
      <c r="CX340" s="28" t="s">
        <v>12</v>
      </c>
      <c r="CY340" s="28" t="s">
        <v>12</v>
      </c>
      <c r="CZ340" s="28" t="s">
        <v>12</v>
      </c>
      <c r="DA340" s="28" t="s">
        <v>12</v>
      </c>
      <c r="DB340" s="313">
        <v>125</v>
      </c>
      <c r="DC340" s="313" t="s">
        <v>152</v>
      </c>
      <c r="DD340" s="386" t="s">
        <v>12</v>
      </c>
      <c r="DE340" s="386" t="s">
        <v>12</v>
      </c>
      <c r="DF340" s="386" t="s">
        <v>12</v>
      </c>
      <c r="DG340" s="386" t="s">
        <v>12</v>
      </c>
      <c r="DH340" s="386" t="s">
        <v>12</v>
      </c>
      <c r="DI340" s="386" t="s">
        <v>12</v>
      </c>
      <c r="DJ340" s="386" t="s">
        <v>12</v>
      </c>
      <c r="DK340" s="386" t="s">
        <v>12</v>
      </c>
      <c r="DL340" s="386" t="s">
        <v>12</v>
      </c>
      <c r="DM340" s="386" t="s">
        <v>12</v>
      </c>
      <c r="DN340" s="7" t="s">
        <v>12</v>
      </c>
      <c r="DO340" s="7" t="s">
        <v>12</v>
      </c>
      <c r="DP340" s="7" t="s">
        <v>12</v>
      </c>
      <c r="DQ340" s="7" t="s">
        <v>12</v>
      </c>
      <c r="DR340" s="7" t="s">
        <v>12</v>
      </c>
      <c r="DS340" s="7" t="s">
        <v>12</v>
      </c>
      <c r="DT340" s="7" t="s">
        <v>12</v>
      </c>
      <c r="DU340" s="7" t="s">
        <v>12</v>
      </c>
      <c r="DV340" s="7" t="s">
        <v>12</v>
      </c>
      <c r="DW340" s="7" t="s">
        <v>12</v>
      </c>
      <c r="DY340" s="9">
        <v>38063164</v>
      </c>
      <c r="EI340" s="423" t="s">
        <v>12</v>
      </c>
      <c r="EJ340" s="423" t="s">
        <v>12</v>
      </c>
      <c r="EK340" s="423" t="s">
        <v>12</v>
      </c>
      <c r="EL340" s="423" t="s">
        <v>12</v>
      </c>
      <c r="EM340" s="423" t="s">
        <v>12</v>
      </c>
      <c r="EN340" s="423" t="s">
        <v>12</v>
      </c>
      <c r="EO340" s="423" t="s">
        <v>12</v>
      </c>
      <c r="EP340" s="423" t="s">
        <v>12</v>
      </c>
      <c r="EQ340" s="423" t="s">
        <v>12</v>
      </c>
      <c r="ER340" s="423" t="s">
        <v>12</v>
      </c>
      <c r="ES340" s="438" t="s">
        <v>12</v>
      </c>
      <c r="ET340" s="438" t="s">
        <v>12</v>
      </c>
      <c r="EU340" s="438" t="s">
        <v>12</v>
      </c>
      <c r="EV340" s="438" t="s">
        <v>12</v>
      </c>
      <c r="EW340" s="438" t="s">
        <v>12</v>
      </c>
      <c r="EX340" s="438" t="s">
        <v>12</v>
      </c>
      <c r="EY340" s="438" t="s">
        <v>12</v>
      </c>
      <c r="EZ340" s="438" t="s">
        <v>12</v>
      </c>
      <c r="FA340" s="438" t="s">
        <v>12</v>
      </c>
      <c r="FB340" s="438" t="s">
        <v>12</v>
      </c>
      <c r="FC340" s="346">
        <v>0</v>
      </c>
      <c r="FD340" s="346">
        <v>0</v>
      </c>
      <c r="FE340" s="346">
        <v>0</v>
      </c>
      <c r="FF340" s="346">
        <v>0</v>
      </c>
      <c r="FG340" s="346">
        <v>0</v>
      </c>
      <c r="FH340" s="346">
        <v>0</v>
      </c>
      <c r="FI340" s="346">
        <v>0</v>
      </c>
      <c r="FJ340" s="346">
        <v>0</v>
      </c>
      <c r="FK340" s="346">
        <v>0</v>
      </c>
      <c r="FL340" s="346">
        <v>0</v>
      </c>
    </row>
    <row r="341" spans="1:168" x14ac:dyDescent="0.25">
      <c r="A341" s="238">
        <v>6</v>
      </c>
      <c r="B341" s="238" t="s">
        <v>768</v>
      </c>
      <c r="C341" s="245" t="s">
        <v>11</v>
      </c>
      <c r="D341" s="245" t="s">
        <v>11</v>
      </c>
      <c r="E341" s="245" t="s">
        <v>11</v>
      </c>
      <c r="F341" s="245" t="s">
        <v>11</v>
      </c>
      <c r="G341" s="245" t="s">
        <v>11</v>
      </c>
      <c r="H341" s="245" t="s">
        <v>11</v>
      </c>
      <c r="I341" s="245" t="s">
        <v>11</v>
      </c>
      <c r="J341" s="245" t="s">
        <v>11</v>
      </c>
      <c r="K341" s="245" t="s">
        <v>11</v>
      </c>
      <c r="L341" s="245" t="s">
        <v>11</v>
      </c>
      <c r="N341">
        <v>126</v>
      </c>
      <c r="O341" t="s">
        <v>153</v>
      </c>
      <c r="P341" t="s">
        <v>153</v>
      </c>
      <c r="Q341" t="s">
        <v>23</v>
      </c>
      <c r="R341" s="2" t="s">
        <v>12</v>
      </c>
      <c r="S341" s="2" t="s">
        <v>12</v>
      </c>
      <c r="T341" s="2" t="s">
        <v>12</v>
      </c>
      <c r="U341" s="2" t="s">
        <v>12</v>
      </c>
      <c r="V341" s="2" t="s">
        <v>12</v>
      </c>
      <c r="W341" s="2" t="s">
        <v>12</v>
      </c>
      <c r="X341" s="2" t="s">
        <v>12</v>
      </c>
      <c r="Y341" s="2" t="s">
        <v>12</v>
      </c>
      <c r="Z341" s="2" t="s">
        <v>12</v>
      </c>
      <c r="AA341" s="2" t="s">
        <v>12</v>
      </c>
      <c r="AB341" s="2" t="s">
        <v>12</v>
      </c>
      <c r="AC341" s="2" t="s">
        <v>12</v>
      </c>
      <c r="AD341" t="s">
        <v>12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t="s">
        <v>12</v>
      </c>
      <c r="AR341" t="s">
        <v>12</v>
      </c>
      <c r="AS341" t="s">
        <v>12</v>
      </c>
      <c r="AT341" t="s">
        <v>12</v>
      </c>
      <c r="AU341" t="s">
        <v>12</v>
      </c>
      <c r="AV341" t="s">
        <v>12</v>
      </c>
      <c r="AW341" t="s">
        <v>12</v>
      </c>
      <c r="AX341" t="s">
        <v>12</v>
      </c>
      <c r="AY341" t="s">
        <v>12</v>
      </c>
      <c r="AZ341" t="s">
        <v>12</v>
      </c>
      <c r="BA341" t="s">
        <v>12</v>
      </c>
      <c r="BB341" t="s">
        <v>12</v>
      </c>
      <c r="BC341" t="s">
        <v>12</v>
      </c>
      <c r="BD341" t="s">
        <v>12</v>
      </c>
      <c r="BF341" s="313" t="s">
        <v>11</v>
      </c>
      <c r="BG341" s="313" t="s">
        <v>11</v>
      </c>
      <c r="BH341" t="s">
        <v>12</v>
      </c>
      <c r="BI341" t="s">
        <v>12</v>
      </c>
      <c r="BJ341" t="s">
        <v>12</v>
      </c>
      <c r="BK341" t="s">
        <v>12</v>
      </c>
      <c r="BL341" t="s">
        <v>12</v>
      </c>
      <c r="BM341" t="s">
        <v>12</v>
      </c>
      <c r="BN341" t="s">
        <v>12</v>
      </c>
      <c r="BO341" t="s">
        <v>12</v>
      </c>
      <c r="BP341" t="s">
        <v>12</v>
      </c>
      <c r="BQ341" t="s">
        <v>12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 s="9" t="s">
        <v>12</v>
      </c>
      <c r="CF341" s="28" t="s">
        <v>12</v>
      </c>
      <c r="CG341" s="28" t="s">
        <v>12</v>
      </c>
      <c r="CH341" s="28" t="s">
        <v>12</v>
      </c>
      <c r="CI341" s="28" t="s">
        <v>12</v>
      </c>
      <c r="CJ341" s="28" t="s">
        <v>12</v>
      </c>
      <c r="CK341" s="28" t="s">
        <v>12</v>
      </c>
      <c r="CL341" s="28" t="s">
        <v>12</v>
      </c>
      <c r="CM341" s="28" t="s">
        <v>12</v>
      </c>
      <c r="CN341" s="28" t="s">
        <v>12</v>
      </c>
      <c r="CO341" s="28" t="s">
        <v>12</v>
      </c>
      <c r="CP341" s="28" t="s">
        <v>12</v>
      </c>
      <c r="CQ341" s="28" t="s">
        <v>12</v>
      </c>
      <c r="CR341" s="28" t="s">
        <v>12</v>
      </c>
      <c r="CS341" s="28" t="s">
        <v>12</v>
      </c>
      <c r="CT341" s="28" t="s">
        <v>12</v>
      </c>
      <c r="CU341" s="28" t="s">
        <v>12</v>
      </c>
      <c r="CV341" s="28" t="s">
        <v>12</v>
      </c>
      <c r="CW341" s="28" t="s">
        <v>12</v>
      </c>
      <c r="CX341" s="28" t="s">
        <v>12</v>
      </c>
      <c r="CY341" s="28" t="s">
        <v>12</v>
      </c>
      <c r="CZ341" s="28" t="s">
        <v>12</v>
      </c>
      <c r="DA341" s="28" t="s">
        <v>12</v>
      </c>
      <c r="DB341" s="313">
        <v>126</v>
      </c>
      <c r="DC341" s="313" t="s">
        <v>153</v>
      </c>
      <c r="DD341" s="386" t="s">
        <v>12</v>
      </c>
      <c r="DE341" s="386" t="s">
        <v>12</v>
      </c>
      <c r="DF341" s="386" t="s">
        <v>12</v>
      </c>
      <c r="DG341" s="386" t="s">
        <v>12</v>
      </c>
      <c r="DH341" s="386" t="s">
        <v>12</v>
      </c>
      <c r="DI341" s="386" t="s">
        <v>12</v>
      </c>
      <c r="DJ341" s="386" t="s">
        <v>12</v>
      </c>
      <c r="DK341" s="386" t="s">
        <v>12</v>
      </c>
      <c r="DL341" s="386" t="s">
        <v>12</v>
      </c>
      <c r="DM341" s="386" t="s">
        <v>12</v>
      </c>
      <c r="DN341" s="7" t="s">
        <v>12</v>
      </c>
      <c r="DO341" s="7" t="s">
        <v>12</v>
      </c>
      <c r="DP341" s="7" t="s">
        <v>12</v>
      </c>
      <c r="DQ341" s="7" t="s">
        <v>12</v>
      </c>
      <c r="DR341" s="7" t="s">
        <v>12</v>
      </c>
      <c r="DS341" s="7" t="s">
        <v>12</v>
      </c>
      <c r="DT341" s="7" t="s">
        <v>12</v>
      </c>
      <c r="DU341" s="7" t="s">
        <v>12</v>
      </c>
      <c r="DV341" s="7" t="s">
        <v>12</v>
      </c>
      <c r="DW341" s="7" t="s">
        <v>12</v>
      </c>
      <c r="DY341" s="9">
        <v>10514844</v>
      </c>
      <c r="EI341" s="423" t="s">
        <v>12</v>
      </c>
      <c r="EJ341" s="423" t="s">
        <v>12</v>
      </c>
      <c r="EK341" s="423" t="s">
        <v>12</v>
      </c>
      <c r="EL341" s="423" t="s">
        <v>12</v>
      </c>
      <c r="EM341" s="423" t="s">
        <v>12</v>
      </c>
      <c r="EN341" s="423" t="s">
        <v>12</v>
      </c>
      <c r="EO341" s="423" t="s">
        <v>12</v>
      </c>
      <c r="EP341" s="423" t="s">
        <v>12</v>
      </c>
      <c r="EQ341" s="423" t="s">
        <v>12</v>
      </c>
      <c r="ER341" s="423" t="s">
        <v>12</v>
      </c>
      <c r="ES341" s="438" t="s">
        <v>12</v>
      </c>
      <c r="ET341" s="438" t="s">
        <v>12</v>
      </c>
      <c r="EU341" s="438" t="s">
        <v>12</v>
      </c>
      <c r="EV341" s="438" t="s">
        <v>12</v>
      </c>
      <c r="EW341" s="438" t="s">
        <v>12</v>
      </c>
      <c r="EX341" s="438" t="s">
        <v>12</v>
      </c>
      <c r="EY341" s="438" t="s">
        <v>12</v>
      </c>
      <c r="EZ341" s="438" t="s">
        <v>12</v>
      </c>
      <c r="FA341" s="438" t="s">
        <v>12</v>
      </c>
      <c r="FB341" s="438" t="s">
        <v>12</v>
      </c>
      <c r="FC341" s="346">
        <v>0</v>
      </c>
      <c r="FD341" s="346">
        <v>0</v>
      </c>
      <c r="FE341" s="346">
        <v>0</v>
      </c>
      <c r="FF341" s="346">
        <v>0</v>
      </c>
      <c r="FG341" s="346">
        <v>0</v>
      </c>
      <c r="FH341" s="346">
        <v>0</v>
      </c>
      <c r="FI341" s="346">
        <v>0</v>
      </c>
      <c r="FJ341" s="346">
        <v>0</v>
      </c>
      <c r="FK341" s="346">
        <v>0</v>
      </c>
      <c r="FL341" s="346">
        <v>0</v>
      </c>
    </row>
    <row r="342" spans="1:168" x14ac:dyDescent="0.25">
      <c r="A342" s="238">
        <v>7</v>
      </c>
      <c r="B342" s="238" t="s">
        <v>770</v>
      </c>
      <c r="C342" s="245" t="s">
        <v>11</v>
      </c>
      <c r="D342" s="245" t="s">
        <v>11</v>
      </c>
      <c r="E342" s="245" t="s">
        <v>11</v>
      </c>
      <c r="F342" s="245" t="s">
        <v>11</v>
      </c>
      <c r="G342" s="245" t="s">
        <v>11</v>
      </c>
      <c r="H342" s="245" t="s">
        <v>11</v>
      </c>
      <c r="I342" s="245" t="s">
        <v>11</v>
      </c>
      <c r="J342" s="245" t="s">
        <v>11</v>
      </c>
      <c r="K342" s="245" t="s">
        <v>11</v>
      </c>
      <c r="L342" s="245" t="s">
        <v>11</v>
      </c>
      <c r="N342">
        <v>127</v>
      </c>
      <c r="O342" t="s">
        <v>154</v>
      </c>
      <c r="P342" t="s">
        <v>11</v>
      </c>
      <c r="Q342" t="s">
        <v>16</v>
      </c>
      <c r="R342" s="2" t="s">
        <v>12</v>
      </c>
      <c r="S342" s="2" t="s">
        <v>12</v>
      </c>
      <c r="T342" s="2" t="s">
        <v>12</v>
      </c>
      <c r="U342" s="2" t="s">
        <v>12</v>
      </c>
      <c r="V342" s="2" t="s">
        <v>12</v>
      </c>
      <c r="W342" s="2" t="s">
        <v>12</v>
      </c>
      <c r="X342" s="2" t="s">
        <v>12</v>
      </c>
      <c r="Y342" s="2" t="s">
        <v>12</v>
      </c>
      <c r="Z342" s="2" t="s">
        <v>12</v>
      </c>
      <c r="AA342" s="2" t="s">
        <v>12</v>
      </c>
      <c r="AB342" s="2" t="s">
        <v>12</v>
      </c>
      <c r="AC342" s="2" t="s">
        <v>12</v>
      </c>
      <c r="AD342" t="s">
        <v>12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t="s">
        <v>12</v>
      </c>
      <c r="AR342" t="s">
        <v>12</v>
      </c>
      <c r="AS342" t="s">
        <v>12</v>
      </c>
      <c r="AT342" t="s">
        <v>12</v>
      </c>
      <c r="AU342" t="s">
        <v>12</v>
      </c>
      <c r="AV342" t="s">
        <v>12</v>
      </c>
      <c r="AW342" t="s">
        <v>12</v>
      </c>
      <c r="AX342" t="s">
        <v>12</v>
      </c>
      <c r="AY342" t="s">
        <v>12</v>
      </c>
      <c r="AZ342" t="s">
        <v>12</v>
      </c>
      <c r="BA342" t="s">
        <v>12</v>
      </c>
      <c r="BB342" t="s">
        <v>12</v>
      </c>
      <c r="BC342" t="s">
        <v>12</v>
      </c>
      <c r="BD342" t="s">
        <v>12</v>
      </c>
      <c r="BF342" s="313" t="s">
        <v>11</v>
      </c>
      <c r="BG342" s="313" t="s">
        <v>11</v>
      </c>
      <c r="BH342" t="s">
        <v>12</v>
      </c>
      <c r="BI342" t="s">
        <v>12</v>
      </c>
      <c r="BJ342" t="s">
        <v>12</v>
      </c>
      <c r="BK342" t="s">
        <v>12</v>
      </c>
      <c r="BL342" t="s">
        <v>12</v>
      </c>
      <c r="BM342" t="s">
        <v>12</v>
      </c>
      <c r="BN342" t="s">
        <v>12</v>
      </c>
      <c r="BO342" t="s">
        <v>12</v>
      </c>
      <c r="BP342" t="s">
        <v>12</v>
      </c>
      <c r="BQ342" t="s">
        <v>12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 s="9" t="s">
        <v>12</v>
      </c>
      <c r="CF342" s="28" t="s">
        <v>12</v>
      </c>
      <c r="CG342" s="28" t="s">
        <v>12</v>
      </c>
      <c r="CH342" s="28" t="s">
        <v>12</v>
      </c>
      <c r="CI342" s="28" t="s">
        <v>12</v>
      </c>
      <c r="CJ342" s="28" t="s">
        <v>12</v>
      </c>
      <c r="CK342" s="28" t="s">
        <v>12</v>
      </c>
      <c r="CL342" s="28" t="s">
        <v>12</v>
      </c>
      <c r="CM342" s="28" t="s">
        <v>12</v>
      </c>
      <c r="CN342" s="28" t="s">
        <v>12</v>
      </c>
      <c r="CO342" s="28" t="s">
        <v>12</v>
      </c>
      <c r="CP342" s="28" t="s">
        <v>12</v>
      </c>
      <c r="CQ342" s="28" t="s">
        <v>12</v>
      </c>
      <c r="CR342" s="28" t="s">
        <v>12</v>
      </c>
      <c r="CS342" s="28" t="s">
        <v>12</v>
      </c>
      <c r="CT342" s="28" t="s">
        <v>12</v>
      </c>
      <c r="CU342" s="28" t="s">
        <v>12</v>
      </c>
      <c r="CV342" s="28" t="s">
        <v>12</v>
      </c>
      <c r="CW342" s="28" t="s">
        <v>12</v>
      </c>
      <c r="CX342" s="28" t="s">
        <v>12</v>
      </c>
      <c r="CY342" s="28" t="s">
        <v>12</v>
      </c>
      <c r="CZ342" s="28" t="s">
        <v>12</v>
      </c>
      <c r="DA342" s="28" t="s">
        <v>12</v>
      </c>
      <c r="DB342" s="313">
        <v>127</v>
      </c>
      <c r="DC342" s="313" t="s">
        <v>154</v>
      </c>
      <c r="DD342" s="386" t="s">
        <v>12</v>
      </c>
      <c r="DE342" s="386" t="s">
        <v>12</v>
      </c>
      <c r="DF342" s="386" t="s">
        <v>12</v>
      </c>
      <c r="DG342" s="386" t="s">
        <v>12</v>
      </c>
      <c r="DH342" s="386" t="s">
        <v>12</v>
      </c>
      <c r="DI342" s="386" t="s">
        <v>12</v>
      </c>
      <c r="DJ342" s="386" t="s">
        <v>12</v>
      </c>
      <c r="DK342" s="386" t="s">
        <v>12</v>
      </c>
      <c r="DL342" s="386" t="s">
        <v>12</v>
      </c>
      <c r="DM342" s="386" t="s">
        <v>12</v>
      </c>
      <c r="DN342" s="7" t="s">
        <v>12</v>
      </c>
      <c r="DO342" s="7" t="s">
        <v>12</v>
      </c>
      <c r="DP342" s="7" t="s">
        <v>12</v>
      </c>
      <c r="DQ342" s="7" t="s">
        <v>12</v>
      </c>
      <c r="DR342" s="7" t="s">
        <v>12</v>
      </c>
      <c r="DS342" s="7" t="s">
        <v>12</v>
      </c>
      <c r="DT342" s="7" t="s">
        <v>12</v>
      </c>
      <c r="DU342" s="7" t="s">
        <v>12</v>
      </c>
      <c r="DV342" s="7" t="s">
        <v>12</v>
      </c>
      <c r="DW342" s="7" t="s">
        <v>12</v>
      </c>
      <c r="DY342" s="9">
        <v>3634487</v>
      </c>
      <c r="EI342" s="423" t="s">
        <v>12</v>
      </c>
      <c r="EJ342" s="423" t="s">
        <v>12</v>
      </c>
      <c r="EK342" s="423" t="s">
        <v>12</v>
      </c>
      <c r="EL342" s="423" t="s">
        <v>12</v>
      </c>
      <c r="EM342" s="423" t="s">
        <v>12</v>
      </c>
      <c r="EN342" s="423" t="s">
        <v>12</v>
      </c>
      <c r="EO342" s="423" t="s">
        <v>12</v>
      </c>
      <c r="EP342" s="423" t="s">
        <v>12</v>
      </c>
      <c r="EQ342" s="423" t="s">
        <v>12</v>
      </c>
      <c r="ER342" s="423" t="s">
        <v>12</v>
      </c>
      <c r="ES342" s="438" t="s">
        <v>12</v>
      </c>
      <c r="ET342" s="438" t="s">
        <v>12</v>
      </c>
      <c r="EU342" s="438" t="s">
        <v>12</v>
      </c>
      <c r="EV342" s="438" t="s">
        <v>12</v>
      </c>
      <c r="EW342" s="438" t="s">
        <v>12</v>
      </c>
      <c r="EX342" s="438" t="s">
        <v>12</v>
      </c>
      <c r="EY342" s="438" t="s">
        <v>12</v>
      </c>
      <c r="EZ342" s="438" t="s">
        <v>12</v>
      </c>
      <c r="FA342" s="438" t="s">
        <v>12</v>
      </c>
      <c r="FB342" s="438" t="s">
        <v>12</v>
      </c>
      <c r="FC342" s="346">
        <v>0</v>
      </c>
      <c r="FD342" s="346">
        <v>0</v>
      </c>
      <c r="FE342" s="346">
        <v>0</v>
      </c>
      <c r="FF342" s="346">
        <v>0</v>
      </c>
      <c r="FG342" s="346">
        <v>0</v>
      </c>
      <c r="FH342" s="346">
        <v>0</v>
      </c>
      <c r="FI342" s="346">
        <v>0</v>
      </c>
      <c r="FJ342" s="346">
        <v>0</v>
      </c>
      <c r="FK342" s="346">
        <v>0</v>
      </c>
      <c r="FL342" s="346">
        <v>0</v>
      </c>
    </row>
    <row r="343" spans="1:168" x14ac:dyDescent="0.25">
      <c r="A343" s="238">
        <v>8</v>
      </c>
      <c r="B343" s="238" t="s">
        <v>771</v>
      </c>
      <c r="C343" s="245" t="s">
        <v>11</v>
      </c>
      <c r="D343" s="245" t="s">
        <v>11</v>
      </c>
      <c r="E343" s="245" t="s">
        <v>11</v>
      </c>
      <c r="F343" s="245" t="s">
        <v>11</v>
      </c>
      <c r="G343" s="245" t="s">
        <v>11</v>
      </c>
      <c r="H343" s="245" t="s">
        <v>11</v>
      </c>
      <c r="I343" s="245" t="s">
        <v>11</v>
      </c>
      <c r="J343" s="245" t="s">
        <v>11</v>
      </c>
      <c r="K343" s="245" t="s">
        <v>11</v>
      </c>
      <c r="L343" s="245" t="s">
        <v>11</v>
      </c>
      <c r="N343">
        <v>128</v>
      </c>
      <c r="O343" t="s">
        <v>155</v>
      </c>
      <c r="P343" t="s">
        <v>155</v>
      </c>
      <c r="Q343" t="s">
        <v>9</v>
      </c>
      <c r="R343" s="2" t="s">
        <v>12</v>
      </c>
      <c r="S343" s="2" t="s">
        <v>12</v>
      </c>
      <c r="T343" s="2" t="s">
        <v>12</v>
      </c>
      <c r="U343" s="2" t="s">
        <v>12</v>
      </c>
      <c r="V343" s="2" t="s">
        <v>12</v>
      </c>
      <c r="W343" s="2" t="s">
        <v>12</v>
      </c>
      <c r="X343" s="2" t="s">
        <v>12</v>
      </c>
      <c r="Y343" s="2" t="s">
        <v>12</v>
      </c>
      <c r="Z343" s="2" t="s">
        <v>12</v>
      </c>
      <c r="AA343" s="2" t="s">
        <v>12</v>
      </c>
      <c r="AB343" s="2" t="s">
        <v>12</v>
      </c>
      <c r="AC343" s="2" t="s">
        <v>12</v>
      </c>
      <c r="AD343" t="s">
        <v>12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t="s">
        <v>12</v>
      </c>
      <c r="AR343" t="s">
        <v>12</v>
      </c>
      <c r="AS343" t="s">
        <v>12</v>
      </c>
      <c r="AT343" t="s">
        <v>12</v>
      </c>
      <c r="AU343" t="s">
        <v>12</v>
      </c>
      <c r="AV343" t="s">
        <v>12</v>
      </c>
      <c r="AW343" t="s">
        <v>12</v>
      </c>
      <c r="AX343" t="s">
        <v>12</v>
      </c>
      <c r="AY343" t="s">
        <v>12</v>
      </c>
      <c r="AZ343" t="s">
        <v>12</v>
      </c>
      <c r="BA343" t="s">
        <v>12</v>
      </c>
      <c r="BB343" t="s">
        <v>12</v>
      </c>
      <c r="BC343" t="s">
        <v>12</v>
      </c>
      <c r="BD343" t="s">
        <v>12</v>
      </c>
      <c r="BF343" s="313" t="s">
        <v>11</v>
      </c>
      <c r="BG343" s="313" t="s">
        <v>11</v>
      </c>
      <c r="BH343" t="s">
        <v>12</v>
      </c>
      <c r="BI343" t="s">
        <v>12</v>
      </c>
      <c r="BJ343" t="s">
        <v>12</v>
      </c>
      <c r="BK343" t="s">
        <v>12</v>
      </c>
      <c r="BL343" t="s">
        <v>12</v>
      </c>
      <c r="BM343" t="s">
        <v>12</v>
      </c>
      <c r="BN343" t="s">
        <v>12</v>
      </c>
      <c r="BO343" t="s">
        <v>12</v>
      </c>
      <c r="BP343" t="s">
        <v>12</v>
      </c>
      <c r="BQ343" t="s">
        <v>12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 s="9" t="s">
        <v>12</v>
      </c>
      <c r="CF343" s="28" t="s">
        <v>12</v>
      </c>
      <c r="CG343" s="28" t="s">
        <v>12</v>
      </c>
      <c r="CH343" s="28" t="s">
        <v>12</v>
      </c>
      <c r="CI343" s="28" t="s">
        <v>12</v>
      </c>
      <c r="CJ343" s="28" t="s">
        <v>12</v>
      </c>
      <c r="CK343" s="28" t="s">
        <v>12</v>
      </c>
      <c r="CL343" s="28" t="s">
        <v>12</v>
      </c>
      <c r="CM343" s="28" t="s">
        <v>12</v>
      </c>
      <c r="CN343" s="28" t="s">
        <v>12</v>
      </c>
      <c r="CO343" s="28" t="s">
        <v>12</v>
      </c>
      <c r="CP343" s="28" t="s">
        <v>12</v>
      </c>
      <c r="CQ343" s="28" t="s">
        <v>12</v>
      </c>
      <c r="CR343" s="28" t="s">
        <v>12</v>
      </c>
      <c r="CS343" s="28" t="s">
        <v>12</v>
      </c>
      <c r="CT343" s="28" t="s">
        <v>12</v>
      </c>
      <c r="CU343" s="28" t="s">
        <v>12</v>
      </c>
      <c r="CV343" s="28" t="s">
        <v>12</v>
      </c>
      <c r="CW343" s="28" t="s">
        <v>12</v>
      </c>
      <c r="CX343" s="28" t="s">
        <v>12</v>
      </c>
      <c r="CY343" s="28" t="s">
        <v>12</v>
      </c>
      <c r="CZ343" s="28" t="s">
        <v>12</v>
      </c>
      <c r="DA343" s="28" t="s">
        <v>12</v>
      </c>
      <c r="DB343" s="313">
        <v>128</v>
      </c>
      <c r="DC343" s="313" t="s">
        <v>155</v>
      </c>
      <c r="DD343" s="386" t="s">
        <v>12</v>
      </c>
      <c r="DE343" s="386" t="s">
        <v>12</v>
      </c>
      <c r="DF343" s="386" t="s">
        <v>12</v>
      </c>
      <c r="DG343" s="386" t="s">
        <v>12</v>
      </c>
      <c r="DH343" s="386" t="s">
        <v>12</v>
      </c>
      <c r="DI343" s="386" t="s">
        <v>12</v>
      </c>
      <c r="DJ343" s="386" t="s">
        <v>12</v>
      </c>
      <c r="DK343" s="386" t="s">
        <v>12</v>
      </c>
      <c r="DL343" s="386" t="s">
        <v>12</v>
      </c>
      <c r="DM343" s="386" t="s">
        <v>12</v>
      </c>
      <c r="DN343" s="7" t="s">
        <v>12</v>
      </c>
      <c r="DO343" s="7" t="s">
        <v>12</v>
      </c>
      <c r="DP343" s="7" t="s">
        <v>12</v>
      </c>
      <c r="DQ343" s="7" t="s">
        <v>12</v>
      </c>
      <c r="DR343" s="7" t="s">
        <v>12</v>
      </c>
      <c r="DS343" s="7" t="s">
        <v>12</v>
      </c>
      <c r="DT343" s="7" t="s">
        <v>12</v>
      </c>
      <c r="DU343" s="7" t="s">
        <v>12</v>
      </c>
      <c r="DV343" s="7" t="s">
        <v>12</v>
      </c>
      <c r="DW343" s="7" t="s">
        <v>12</v>
      </c>
      <c r="DY343" s="9">
        <v>2015624</v>
      </c>
      <c r="EI343" s="423" t="s">
        <v>12</v>
      </c>
      <c r="EJ343" s="423" t="s">
        <v>12</v>
      </c>
      <c r="EK343" s="423" t="s">
        <v>12</v>
      </c>
      <c r="EL343" s="423" t="s">
        <v>12</v>
      </c>
      <c r="EM343" s="423" t="s">
        <v>12</v>
      </c>
      <c r="EN343" s="423" t="s">
        <v>12</v>
      </c>
      <c r="EO343" s="423" t="s">
        <v>12</v>
      </c>
      <c r="EP343" s="423" t="s">
        <v>12</v>
      </c>
      <c r="EQ343" s="423" t="s">
        <v>12</v>
      </c>
      <c r="ER343" s="423" t="s">
        <v>12</v>
      </c>
      <c r="ES343" s="438" t="s">
        <v>12</v>
      </c>
      <c r="ET343" s="438" t="s">
        <v>12</v>
      </c>
      <c r="EU343" s="438" t="s">
        <v>12</v>
      </c>
      <c r="EV343" s="438" t="s">
        <v>12</v>
      </c>
      <c r="EW343" s="438" t="s">
        <v>12</v>
      </c>
      <c r="EX343" s="438" t="s">
        <v>12</v>
      </c>
      <c r="EY343" s="438" t="s">
        <v>12</v>
      </c>
      <c r="EZ343" s="438" t="s">
        <v>12</v>
      </c>
      <c r="FA343" s="438" t="s">
        <v>12</v>
      </c>
      <c r="FB343" s="438" t="s">
        <v>12</v>
      </c>
      <c r="FC343" s="346">
        <v>0</v>
      </c>
      <c r="FD343" s="346">
        <v>0</v>
      </c>
      <c r="FE343" s="346">
        <v>0</v>
      </c>
      <c r="FF343" s="346">
        <v>0</v>
      </c>
      <c r="FG343" s="346">
        <v>0</v>
      </c>
      <c r="FH343" s="346">
        <v>0</v>
      </c>
      <c r="FI343" s="346">
        <v>0</v>
      </c>
      <c r="FJ343" s="346">
        <v>0</v>
      </c>
      <c r="FK343" s="346">
        <v>0</v>
      </c>
      <c r="FL343" s="346">
        <v>0</v>
      </c>
    </row>
    <row r="344" spans="1:168" x14ac:dyDescent="0.25">
      <c r="A344" s="238">
        <v>9</v>
      </c>
      <c r="B344" s="238" t="s">
        <v>772</v>
      </c>
      <c r="C344" s="245" t="s">
        <v>11</v>
      </c>
      <c r="D344" s="245" t="s">
        <v>11</v>
      </c>
      <c r="E344" s="245" t="s">
        <v>11</v>
      </c>
      <c r="F344" s="245" t="s">
        <v>11</v>
      </c>
      <c r="G344" s="245" t="s">
        <v>11</v>
      </c>
      <c r="H344" s="245" t="s">
        <v>11</v>
      </c>
      <c r="I344" s="245" t="s">
        <v>11</v>
      </c>
      <c r="J344" s="245" t="s">
        <v>11</v>
      </c>
      <c r="K344" s="245" t="s">
        <v>11</v>
      </c>
      <c r="L344" s="245" t="s">
        <v>11</v>
      </c>
      <c r="N344">
        <v>129</v>
      </c>
      <c r="O344" t="s">
        <v>156</v>
      </c>
      <c r="P344" t="s">
        <v>156</v>
      </c>
      <c r="Q344" t="s">
        <v>23</v>
      </c>
      <c r="R344" s="2" t="s">
        <v>12</v>
      </c>
      <c r="S344" s="2" t="s">
        <v>12</v>
      </c>
      <c r="T344" s="2" t="s">
        <v>12</v>
      </c>
      <c r="U344" s="2" t="s">
        <v>12</v>
      </c>
      <c r="V344" s="2" t="s">
        <v>12</v>
      </c>
      <c r="W344" s="2" t="s">
        <v>12</v>
      </c>
      <c r="X344" s="2" t="s">
        <v>12</v>
      </c>
      <c r="Y344" s="2" t="s">
        <v>12</v>
      </c>
      <c r="Z344" s="2" t="s">
        <v>12</v>
      </c>
      <c r="AA344" s="2" t="s">
        <v>12</v>
      </c>
      <c r="AB344" s="2" t="s">
        <v>12</v>
      </c>
      <c r="AC344" s="2" t="s">
        <v>12</v>
      </c>
      <c r="AD344" t="s">
        <v>12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t="s">
        <v>12</v>
      </c>
      <c r="AR344" t="s">
        <v>12</v>
      </c>
      <c r="AS344" t="s">
        <v>12</v>
      </c>
      <c r="AT344" t="s">
        <v>12</v>
      </c>
      <c r="AU344" t="s">
        <v>12</v>
      </c>
      <c r="AV344" t="s">
        <v>12</v>
      </c>
      <c r="AW344" t="s">
        <v>12</v>
      </c>
      <c r="AX344" t="s">
        <v>12</v>
      </c>
      <c r="AY344" t="s">
        <v>12</v>
      </c>
      <c r="AZ344" t="s">
        <v>12</v>
      </c>
      <c r="BA344" t="s">
        <v>12</v>
      </c>
      <c r="BB344" t="s">
        <v>12</v>
      </c>
      <c r="BC344" t="s">
        <v>12</v>
      </c>
      <c r="BD344" t="s">
        <v>12</v>
      </c>
      <c r="BF344" s="313" t="s">
        <v>11</v>
      </c>
      <c r="BG344" s="313" t="s">
        <v>11</v>
      </c>
      <c r="BH344" t="s">
        <v>12</v>
      </c>
      <c r="BI344" t="s">
        <v>12</v>
      </c>
      <c r="BJ344" t="s">
        <v>12</v>
      </c>
      <c r="BK344" t="s">
        <v>12</v>
      </c>
      <c r="BL344" t="s">
        <v>12</v>
      </c>
      <c r="BM344" t="s">
        <v>12</v>
      </c>
      <c r="BN344" t="s">
        <v>12</v>
      </c>
      <c r="BO344" t="s">
        <v>12</v>
      </c>
      <c r="BP344" t="s">
        <v>12</v>
      </c>
      <c r="BQ344" t="s">
        <v>12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 s="9" t="s">
        <v>12</v>
      </c>
      <c r="CF344" s="28" t="s">
        <v>12</v>
      </c>
      <c r="CG344" s="28" t="s">
        <v>12</v>
      </c>
      <c r="CH344" s="28" t="s">
        <v>12</v>
      </c>
      <c r="CI344" s="28" t="s">
        <v>12</v>
      </c>
      <c r="CJ344" s="28" t="s">
        <v>12</v>
      </c>
      <c r="CK344" s="28" t="s">
        <v>12</v>
      </c>
      <c r="CL344" s="28" t="s">
        <v>12</v>
      </c>
      <c r="CM344" s="28" t="s">
        <v>12</v>
      </c>
      <c r="CN344" s="28" t="s">
        <v>12</v>
      </c>
      <c r="CO344" s="28" t="s">
        <v>12</v>
      </c>
      <c r="CP344" s="28" t="s">
        <v>12</v>
      </c>
      <c r="CQ344" s="28" t="s">
        <v>12</v>
      </c>
      <c r="CR344" s="28" t="s">
        <v>12</v>
      </c>
      <c r="CS344" s="28" t="s">
        <v>12</v>
      </c>
      <c r="CT344" s="28" t="s">
        <v>12</v>
      </c>
      <c r="CU344" s="28" t="s">
        <v>12</v>
      </c>
      <c r="CV344" s="28" t="s">
        <v>12</v>
      </c>
      <c r="CW344" s="28" t="s">
        <v>12</v>
      </c>
      <c r="CX344" s="28" t="s">
        <v>12</v>
      </c>
      <c r="CY344" s="28" t="s">
        <v>12</v>
      </c>
      <c r="CZ344" s="28" t="s">
        <v>12</v>
      </c>
      <c r="DA344" s="28" t="s">
        <v>12</v>
      </c>
      <c r="DB344" s="313">
        <v>129</v>
      </c>
      <c r="DC344" s="313" t="s">
        <v>156</v>
      </c>
      <c r="DD344" s="386" t="s">
        <v>12</v>
      </c>
      <c r="DE344" s="386" t="s">
        <v>12</v>
      </c>
      <c r="DF344" s="386" t="s">
        <v>12</v>
      </c>
      <c r="DG344" s="386" t="s">
        <v>12</v>
      </c>
      <c r="DH344" s="386" t="s">
        <v>12</v>
      </c>
      <c r="DI344" s="386" t="s">
        <v>12</v>
      </c>
      <c r="DJ344" s="386" t="s">
        <v>12</v>
      </c>
      <c r="DK344" s="386" t="s">
        <v>12</v>
      </c>
      <c r="DL344" s="386" t="s">
        <v>12</v>
      </c>
      <c r="DM344" s="386" t="s">
        <v>12</v>
      </c>
      <c r="DN344" s="7" t="s">
        <v>12</v>
      </c>
      <c r="DO344" s="7" t="s">
        <v>12</v>
      </c>
      <c r="DP344" s="7" t="s">
        <v>12</v>
      </c>
      <c r="DQ344" s="7" t="s">
        <v>12</v>
      </c>
      <c r="DR344" s="7" t="s">
        <v>12</v>
      </c>
      <c r="DS344" s="7" t="s">
        <v>12</v>
      </c>
      <c r="DT344" s="7" t="s">
        <v>12</v>
      </c>
      <c r="DU344" s="7" t="s">
        <v>12</v>
      </c>
      <c r="DV344" s="7" t="s">
        <v>12</v>
      </c>
      <c r="DW344" s="7" t="s">
        <v>12</v>
      </c>
      <c r="DY344" s="9">
        <v>20058035</v>
      </c>
      <c r="EI344" s="423" t="s">
        <v>12</v>
      </c>
      <c r="EJ344" s="423" t="s">
        <v>12</v>
      </c>
      <c r="EK344" s="423" t="s">
        <v>12</v>
      </c>
      <c r="EL344" s="423" t="s">
        <v>12</v>
      </c>
      <c r="EM344" s="423" t="s">
        <v>12</v>
      </c>
      <c r="EN344" s="423" t="s">
        <v>12</v>
      </c>
      <c r="EO344" s="423" t="s">
        <v>12</v>
      </c>
      <c r="EP344" s="423" t="s">
        <v>12</v>
      </c>
      <c r="EQ344" s="423" t="s">
        <v>12</v>
      </c>
      <c r="ER344" s="423" t="s">
        <v>12</v>
      </c>
      <c r="ES344" s="438" t="s">
        <v>12</v>
      </c>
      <c r="ET344" s="438" t="s">
        <v>12</v>
      </c>
      <c r="EU344" s="438" t="s">
        <v>12</v>
      </c>
      <c r="EV344" s="438" t="s">
        <v>12</v>
      </c>
      <c r="EW344" s="438" t="s">
        <v>12</v>
      </c>
      <c r="EX344" s="438" t="s">
        <v>12</v>
      </c>
      <c r="EY344" s="438" t="s">
        <v>12</v>
      </c>
      <c r="EZ344" s="438" t="s">
        <v>12</v>
      </c>
      <c r="FA344" s="438" t="s">
        <v>12</v>
      </c>
      <c r="FB344" s="438" t="s">
        <v>12</v>
      </c>
      <c r="FC344" s="346">
        <v>0</v>
      </c>
      <c r="FD344" s="346">
        <v>0</v>
      </c>
      <c r="FE344" s="346">
        <v>0</v>
      </c>
      <c r="FF344" s="346">
        <v>0</v>
      </c>
      <c r="FG344" s="346">
        <v>0</v>
      </c>
      <c r="FH344" s="346">
        <v>0</v>
      </c>
      <c r="FI344" s="346">
        <v>0</v>
      </c>
      <c r="FJ344" s="346">
        <v>0</v>
      </c>
      <c r="FK344" s="346">
        <v>0</v>
      </c>
      <c r="FL344" s="346">
        <v>0</v>
      </c>
    </row>
    <row r="345" spans="1:168" x14ac:dyDescent="0.25">
      <c r="A345" s="238">
        <v>10</v>
      </c>
      <c r="B345" s="238" t="s">
        <v>773</v>
      </c>
      <c r="C345" s="245" t="s">
        <v>11</v>
      </c>
      <c r="D345" s="245" t="s">
        <v>11</v>
      </c>
      <c r="E345" s="245" t="s">
        <v>11</v>
      </c>
      <c r="F345" s="245" t="s">
        <v>11</v>
      </c>
      <c r="G345" s="245" t="s">
        <v>11</v>
      </c>
      <c r="H345" s="245" t="s">
        <v>11</v>
      </c>
      <c r="I345" s="245" t="s">
        <v>11</v>
      </c>
      <c r="J345" s="245" t="s">
        <v>11</v>
      </c>
      <c r="K345" s="245" t="s">
        <v>11</v>
      </c>
      <c r="L345" s="245" t="s">
        <v>11</v>
      </c>
      <c r="N345">
        <v>130</v>
      </c>
      <c r="O345" t="s">
        <v>157</v>
      </c>
      <c r="P345" t="s">
        <v>158</v>
      </c>
      <c r="Q345" t="s">
        <v>7</v>
      </c>
      <c r="R345" s="2" t="s">
        <v>12</v>
      </c>
      <c r="S345" s="2" t="s">
        <v>12</v>
      </c>
      <c r="T345" s="2" t="s">
        <v>12</v>
      </c>
      <c r="U345" s="2" t="s">
        <v>12</v>
      </c>
      <c r="V345" s="2" t="s">
        <v>12</v>
      </c>
      <c r="W345" s="2" t="s">
        <v>12</v>
      </c>
      <c r="X345" s="2" t="s">
        <v>12</v>
      </c>
      <c r="Y345" s="2" t="s">
        <v>12</v>
      </c>
      <c r="Z345" s="2" t="s">
        <v>12</v>
      </c>
      <c r="AA345" s="2" t="s">
        <v>12</v>
      </c>
      <c r="AB345" s="2" t="s">
        <v>12</v>
      </c>
      <c r="AC345" s="2" t="s">
        <v>12</v>
      </c>
      <c r="AD345" t="s">
        <v>12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t="s">
        <v>12</v>
      </c>
      <c r="AR345" t="s">
        <v>12</v>
      </c>
      <c r="AS345" t="s">
        <v>12</v>
      </c>
      <c r="AT345" t="s">
        <v>12</v>
      </c>
      <c r="AU345" t="s">
        <v>12</v>
      </c>
      <c r="AV345" t="s">
        <v>12</v>
      </c>
      <c r="AW345" t="s">
        <v>12</v>
      </c>
      <c r="AX345" t="s">
        <v>12</v>
      </c>
      <c r="AY345" t="s">
        <v>12</v>
      </c>
      <c r="AZ345" t="s">
        <v>12</v>
      </c>
      <c r="BA345" t="s">
        <v>12</v>
      </c>
      <c r="BB345" t="s">
        <v>12</v>
      </c>
      <c r="BC345" t="s">
        <v>12</v>
      </c>
      <c r="BD345" t="s">
        <v>12</v>
      </c>
      <c r="BF345" s="313" t="s">
        <v>11</v>
      </c>
      <c r="BG345" s="313" t="s">
        <v>11</v>
      </c>
      <c r="BH345" t="s">
        <v>12</v>
      </c>
      <c r="BI345" t="s">
        <v>12</v>
      </c>
      <c r="BJ345" t="s">
        <v>12</v>
      </c>
      <c r="BK345" t="s">
        <v>12</v>
      </c>
      <c r="BL345" t="s">
        <v>12</v>
      </c>
      <c r="BM345" t="s">
        <v>12</v>
      </c>
      <c r="BN345" t="s">
        <v>12</v>
      </c>
      <c r="BO345" t="s">
        <v>12</v>
      </c>
      <c r="BP345" t="s">
        <v>12</v>
      </c>
      <c r="BQ345" t="s">
        <v>12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 s="9" t="s">
        <v>12</v>
      </c>
      <c r="CF345" s="28" t="s">
        <v>12</v>
      </c>
      <c r="CG345" s="28" t="s">
        <v>12</v>
      </c>
      <c r="CH345" s="28" t="s">
        <v>12</v>
      </c>
      <c r="CI345" s="28" t="s">
        <v>12</v>
      </c>
      <c r="CJ345" s="28" t="s">
        <v>12</v>
      </c>
      <c r="CK345" s="28" t="s">
        <v>12</v>
      </c>
      <c r="CL345" s="28" t="s">
        <v>12</v>
      </c>
      <c r="CM345" s="28" t="s">
        <v>12</v>
      </c>
      <c r="CN345" s="28" t="s">
        <v>12</v>
      </c>
      <c r="CO345" s="28" t="s">
        <v>12</v>
      </c>
      <c r="CP345" s="28" t="s">
        <v>12</v>
      </c>
      <c r="CQ345" s="28" t="s">
        <v>12</v>
      </c>
      <c r="CR345" s="28" t="s">
        <v>12</v>
      </c>
      <c r="CS345" s="28" t="s">
        <v>12</v>
      </c>
      <c r="CT345" s="28" t="s">
        <v>12</v>
      </c>
      <c r="CU345" s="28" t="s">
        <v>12</v>
      </c>
      <c r="CV345" s="28" t="s">
        <v>12</v>
      </c>
      <c r="CW345" s="28" t="s">
        <v>12</v>
      </c>
      <c r="CX345" s="28" t="s">
        <v>12</v>
      </c>
      <c r="CY345" s="28" t="s">
        <v>12</v>
      </c>
      <c r="CZ345" s="28" t="s">
        <v>12</v>
      </c>
      <c r="DA345" s="28" t="s">
        <v>12</v>
      </c>
      <c r="DB345" s="313">
        <v>130</v>
      </c>
      <c r="DC345" s="313" t="s">
        <v>157</v>
      </c>
      <c r="DD345" s="386" t="s">
        <v>12</v>
      </c>
      <c r="DE345" s="386" t="s">
        <v>12</v>
      </c>
      <c r="DF345" s="386" t="s">
        <v>12</v>
      </c>
      <c r="DG345" s="386" t="s">
        <v>12</v>
      </c>
      <c r="DH345" s="386" t="s">
        <v>12</v>
      </c>
      <c r="DI345" s="386" t="s">
        <v>12</v>
      </c>
      <c r="DJ345" s="386" t="s">
        <v>12</v>
      </c>
      <c r="DK345" s="386" t="s">
        <v>12</v>
      </c>
      <c r="DL345" s="386" t="s">
        <v>12</v>
      </c>
      <c r="DM345" s="386" t="s">
        <v>12</v>
      </c>
      <c r="DN345" s="7" t="s">
        <v>12</v>
      </c>
      <c r="DO345" s="7" t="s">
        <v>12</v>
      </c>
      <c r="DP345" s="7" t="s">
        <v>12</v>
      </c>
      <c r="DQ345" s="7" t="s">
        <v>12</v>
      </c>
      <c r="DR345" s="7" t="s">
        <v>12</v>
      </c>
      <c r="DS345" s="7" t="s">
        <v>12</v>
      </c>
      <c r="DT345" s="7" t="s">
        <v>12</v>
      </c>
      <c r="DU345" s="7" t="s">
        <v>12</v>
      </c>
      <c r="DV345" s="7" t="s">
        <v>12</v>
      </c>
      <c r="DW345" s="7" t="s">
        <v>12</v>
      </c>
      <c r="DY345" s="9">
        <v>143201676</v>
      </c>
      <c r="EI345" s="423" t="s">
        <v>12</v>
      </c>
      <c r="EJ345" s="423" t="s">
        <v>12</v>
      </c>
      <c r="EK345" s="423" t="s">
        <v>12</v>
      </c>
      <c r="EL345" s="423" t="s">
        <v>12</v>
      </c>
      <c r="EM345" s="423" t="s">
        <v>12</v>
      </c>
      <c r="EN345" s="423" t="s">
        <v>12</v>
      </c>
      <c r="EO345" s="423" t="s">
        <v>12</v>
      </c>
      <c r="EP345" s="423" t="s">
        <v>12</v>
      </c>
      <c r="EQ345" s="423" t="s">
        <v>12</v>
      </c>
      <c r="ER345" s="423" t="s">
        <v>12</v>
      </c>
      <c r="ES345" s="438" t="s">
        <v>12</v>
      </c>
      <c r="ET345" s="438" t="s">
        <v>12</v>
      </c>
      <c r="EU345" s="438" t="s">
        <v>12</v>
      </c>
      <c r="EV345" s="438" t="s">
        <v>12</v>
      </c>
      <c r="EW345" s="438" t="s">
        <v>12</v>
      </c>
      <c r="EX345" s="438" t="s">
        <v>12</v>
      </c>
      <c r="EY345" s="438" t="s">
        <v>12</v>
      </c>
      <c r="EZ345" s="438" t="s">
        <v>12</v>
      </c>
      <c r="FA345" s="438" t="s">
        <v>12</v>
      </c>
      <c r="FB345" s="438" t="s">
        <v>12</v>
      </c>
      <c r="FC345" s="346">
        <v>0</v>
      </c>
      <c r="FD345" s="346">
        <v>0</v>
      </c>
      <c r="FE345" s="346">
        <v>0</v>
      </c>
      <c r="FF345" s="346">
        <v>0</v>
      </c>
      <c r="FG345" s="346">
        <v>0</v>
      </c>
      <c r="FH345" s="346">
        <v>0</v>
      </c>
      <c r="FI345" s="346">
        <v>0</v>
      </c>
      <c r="FJ345" s="346">
        <v>0</v>
      </c>
      <c r="FK345" s="346">
        <v>0</v>
      </c>
      <c r="FL345" s="346">
        <v>0</v>
      </c>
    </row>
    <row r="346" spans="1:168" x14ac:dyDescent="0.25">
      <c r="N346">
        <v>131</v>
      </c>
      <c r="O346" t="s">
        <v>159</v>
      </c>
      <c r="P346" t="s">
        <v>159</v>
      </c>
      <c r="Q346" t="s">
        <v>14</v>
      </c>
      <c r="R346" s="2" t="s">
        <v>12</v>
      </c>
      <c r="S346" s="2" t="s">
        <v>12</v>
      </c>
      <c r="T346" s="2" t="s">
        <v>12</v>
      </c>
      <c r="U346" s="2" t="s">
        <v>12</v>
      </c>
      <c r="V346" s="2" t="s">
        <v>12</v>
      </c>
      <c r="W346" s="2" t="s">
        <v>12</v>
      </c>
      <c r="X346" s="2" t="s">
        <v>12</v>
      </c>
      <c r="Y346" s="2" t="s">
        <v>12</v>
      </c>
      <c r="Z346" s="2" t="s">
        <v>12</v>
      </c>
      <c r="AA346" s="2" t="s">
        <v>12</v>
      </c>
      <c r="AB346" s="2" t="s">
        <v>12</v>
      </c>
      <c r="AC346" s="2" t="s">
        <v>12</v>
      </c>
      <c r="AD346" t="s">
        <v>12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t="s">
        <v>12</v>
      </c>
      <c r="AR346" t="s">
        <v>12</v>
      </c>
      <c r="AS346" t="s">
        <v>12</v>
      </c>
      <c r="AT346" t="s">
        <v>12</v>
      </c>
      <c r="AU346" t="s">
        <v>12</v>
      </c>
      <c r="AV346" t="s">
        <v>12</v>
      </c>
      <c r="AW346" t="s">
        <v>12</v>
      </c>
      <c r="AX346" t="s">
        <v>12</v>
      </c>
      <c r="AY346" t="s">
        <v>12</v>
      </c>
      <c r="AZ346" t="s">
        <v>12</v>
      </c>
      <c r="BA346" t="s">
        <v>12</v>
      </c>
      <c r="BB346" t="s">
        <v>12</v>
      </c>
      <c r="BC346" t="s">
        <v>12</v>
      </c>
      <c r="BD346" t="s">
        <v>12</v>
      </c>
      <c r="BF346" s="313" t="s">
        <v>11</v>
      </c>
      <c r="BG346" s="313" t="s">
        <v>11</v>
      </c>
      <c r="BH346" t="s">
        <v>12</v>
      </c>
      <c r="BI346" t="s">
        <v>12</v>
      </c>
      <c r="BJ346" t="s">
        <v>12</v>
      </c>
      <c r="BK346" t="s">
        <v>12</v>
      </c>
      <c r="BL346" t="s">
        <v>12</v>
      </c>
      <c r="BM346" t="s">
        <v>12</v>
      </c>
      <c r="BN346" t="s">
        <v>12</v>
      </c>
      <c r="BO346" t="s">
        <v>12</v>
      </c>
      <c r="BP346" t="s">
        <v>12</v>
      </c>
      <c r="BQ346" t="s">
        <v>12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 s="9" t="s">
        <v>12</v>
      </c>
      <c r="CF346" s="28" t="s">
        <v>12</v>
      </c>
      <c r="CG346" s="28" t="s">
        <v>12</v>
      </c>
      <c r="CH346" s="28" t="s">
        <v>12</v>
      </c>
      <c r="CI346" s="28" t="s">
        <v>12</v>
      </c>
      <c r="CJ346" s="28" t="s">
        <v>12</v>
      </c>
      <c r="CK346" s="28" t="s">
        <v>12</v>
      </c>
      <c r="CL346" s="28" t="s">
        <v>12</v>
      </c>
      <c r="CM346" s="28" t="s">
        <v>12</v>
      </c>
      <c r="CN346" s="28" t="s">
        <v>12</v>
      </c>
      <c r="CO346" s="28" t="s">
        <v>12</v>
      </c>
      <c r="CP346" s="28" t="s">
        <v>12</v>
      </c>
      <c r="CQ346" s="28" t="s">
        <v>12</v>
      </c>
      <c r="CR346" s="28" t="s">
        <v>12</v>
      </c>
      <c r="CS346" s="28" t="s">
        <v>12</v>
      </c>
      <c r="CT346" s="28" t="s">
        <v>12</v>
      </c>
      <c r="CU346" s="28" t="s">
        <v>12</v>
      </c>
      <c r="CV346" s="28" t="s">
        <v>12</v>
      </c>
      <c r="CW346" s="28" t="s">
        <v>12</v>
      </c>
      <c r="CX346" s="28" t="s">
        <v>12</v>
      </c>
      <c r="CY346" s="28" t="s">
        <v>12</v>
      </c>
      <c r="CZ346" s="28" t="s">
        <v>12</v>
      </c>
      <c r="DA346" s="28" t="s">
        <v>12</v>
      </c>
      <c r="DB346" s="313">
        <v>131</v>
      </c>
      <c r="DC346" s="313" t="s">
        <v>159</v>
      </c>
      <c r="DD346" s="386" t="s">
        <v>12</v>
      </c>
      <c r="DE346" s="386" t="s">
        <v>12</v>
      </c>
      <c r="DF346" s="386" t="s">
        <v>12</v>
      </c>
      <c r="DG346" s="386" t="s">
        <v>12</v>
      </c>
      <c r="DH346" s="386" t="s">
        <v>12</v>
      </c>
      <c r="DI346" s="386" t="s">
        <v>12</v>
      </c>
      <c r="DJ346" s="386" t="s">
        <v>12</v>
      </c>
      <c r="DK346" s="386" t="s">
        <v>12</v>
      </c>
      <c r="DL346" s="386" t="s">
        <v>12</v>
      </c>
      <c r="DM346" s="386" t="s">
        <v>12</v>
      </c>
      <c r="DN346" s="7" t="s">
        <v>12</v>
      </c>
      <c r="DO346" s="7" t="s">
        <v>12</v>
      </c>
      <c r="DP346" s="7" t="s">
        <v>12</v>
      </c>
      <c r="DQ346" s="7" t="s">
        <v>12</v>
      </c>
      <c r="DR346" s="7" t="s">
        <v>12</v>
      </c>
      <c r="DS346" s="7" t="s">
        <v>12</v>
      </c>
      <c r="DT346" s="7" t="s">
        <v>12</v>
      </c>
      <c r="DU346" s="7" t="s">
        <v>12</v>
      </c>
      <c r="DV346" s="7" t="s">
        <v>12</v>
      </c>
      <c r="DW346" s="7" t="s">
        <v>12</v>
      </c>
      <c r="DY346" s="9">
        <v>10817350</v>
      </c>
      <c r="EI346" s="423" t="s">
        <v>12</v>
      </c>
      <c r="EJ346" s="423" t="s">
        <v>12</v>
      </c>
      <c r="EK346" s="423" t="s">
        <v>12</v>
      </c>
      <c r="EL346" s="423" t="s">
        <v>12</v>
      </c>
      <c r="EM346" s="423" t="s">
        <v>12</v>
      </c>
      <c r="EN346" s="423" t="s">
        <v>12</v>
      </c>
      <c r="EO346" s="423" t="s">
        <v>12</v>
      </c>
      <c r="EP346" s="423" t="s">
        <v>12</v>
      </c>
      <c r="EQ346" s="423" t="s">
        <v>12</v>
      </c>
      <c r="ER346" s="423" t="s">
        <v>12</v>
      </c>
      <c r="ES346" s="438" t="s">
        <v>12</v>
      </c>
      <c r="ET346" s="438" t="s">
        <v>12</v>
      </c>
      <c r="EU346" s="438" t="s">
        <v>12</v>
      </c>
      <c r="EV346" s="438" t="s">
        <v>12</v>
      </c>
      <c r="EW346" s="438" t="s">
        <v>12</v>
      </c>
      <c r="EX346" s="438" t="s">
        <v>12</v>
      </c>
      <c r="EY346" s="438" t="s">
        <v>12</v>
      </c>
      <c r="EZ346" s="438" t="s">
        <v>12</v>
      </c>
      <c r="FA346" s="438" t="s">
        <v>12</v>
      </c>
      <c r="FB346" s="438" t="s">
        <v>12</v>
      </c>
      <c r="FC346" s="346">
        <v>0</v>
      </c>
      <c r="FD346" s="346">
        <v>0</v>
      </c>
      <c r="FE346" s="346">
        <v>0</v>
      </c>
      <c r="FF346" s="346">
        <v>0</v>
      </c>
      <c r="FG346" s="346">
        <v>0</v>
      </c>
      <c r="FH346" s="346">
        <v>0</v>
      </c>
      <c r="FI346" s="346">
        <v>0</v>
      </c>
      <c r="FJ346" s="346">
        <v>0</v>
      </c>
      <c r="FK346" s="346">
        <v>0</v>
      </c>
      <c r="FL346" s="346">
        <v>0</v>
      </c>
    </row>
    <row r="347" spans="1:168" ht="30" x14ac:dyDescent="0.25">
      <c r="A347" s="14" t="s">
        <v>783</v>
      </c>
      <c r="B347" s="14"/>
      <c r="C347" s="14" t="s">
        <v>594</v>
      </c>
      <c r="D347" s="14" t="s">
        <v>595</v>
      </c>
      <c r="E347" s="14" t="s">
        <v>596</v>
      </c>
      <c r="F347" s="14" t="s">
        <v>597</v>
      </c>
      <c r="G347" s="14" t="s">
        <v>598</v>
      </c>
      <c r="H347" s="14" t="s">
        <v>599</v>
      </c>
      <c r="I347" s="14" t="s">
        <v>600</v>
      </c>
      <c r="J347" s="14" t="s">
        <v>601</v>
      </c>
      <c r="K347" s="14" t="s">
        <v>602</v>
      </c>
      <c r="L347" s="14" t="s">
        <v>603</v>
      </c>
      <c r="N347">
        <v>132</v>
      </c>
      <c r="O347" t="s">
        <v>160</v>
      </c>
      <c r="P347" t="s">
        <v>161</v>
      </c>
      <c r="Q347" t="s">
        <v>16</v>
      </c>
      <c r="R347" s="2" t="s">
        <v>12</v>
      </c>
      <c r="S347" s="2" t="s">
        <v>12</v>
      </c>
      <c r="T347" s="2" t="s">
        <v>12</v>
      </c>
      <c r="U347" s="2" t="s">
        <v>12</v>
      </c>
      <c r="V347" s="2" t="s">
        <v>12</v>
      </c>
      <c r="W347" s="2" t="s">
        <v>12</v>
      </c>
      <c r="X347" s="2" t="s">
        <v>12</v>
      </c>
      <c r="Y347" s="2" t="s">
        <v>12</v>
      </c>
      <c r="Z347" s="2" t="s">
        <v>12</v>
      </c>
      <c r="AA347" s="2" t="s">
        <v>12</v>
      </c>
      <c r="AB347" s="2" t="s">
        <v>12</v>
      </c>
      <c r="AC347" s="2" t="s">
        <v>12</v>
      </c>
      <c r="AD347" t="s">
        <v>12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t="s">
        <v>12</v>
      </c>
      <c r="AR347" t="s">
        <v>12</v>
      </c>
      <c r="AS347" t="s">
        <v>12</v>
      </c>
      <c r="AT347" t="s">
        <v>12</v>
      </c>
      <c r="AU347" t="s">
        <v>12</v>
      </c>
      <c r="AV347" t="s">
        <v>12</v>
      </c>
      <c r="AW347" t="s">
        <v>12</v>
      </c>
      <c r="AX347" t="s">
        <v>12</v>
      </c>
      <c r="AY347" t="s">
        <v>12</v>
      </c>
      <c r="AZ347" t="s">
        <v>12</v>
      </c>
      <c r="BA347" t="s">
        <v>12</v>
      </c>
      <c r="BB347" t="s">
        <v>12</v>
      </c>
      <c r="BC347" t="s">
        <v>12</v>
      </c>
      <c r="BD347" t="s">
        <v>12</v>
      </c>
      <c r="BF347" s="313" t="s">
        <v>11</v>
      </c>
      <c r="BG347" s="313" t="s">
        <v>11</v>
      </c>
      <c r="BH347" t="s">
        <v>12</v>
      </c>
      <c r="BI347" t="s">
        <v>12</v>
      </c>
      <c r="BJ347" t="s">
        <v>12</v>
      </c>
      <c r="BK347" t="s">
        <v>12</v>
      </c>
      <c r="BL347" t="s">
        <v>12</v>
      </c>
      <c r="BM347" t="s">
        <v>12</v>
      </c>
      <c r="BN347" t="s">
        <v>12</v>
      </c>
      <c r="BO347" t="s">
        <v>12</v>
      </c>
      <c r="BP347" t="s">
        <v>12</v>
      </c>
      <c r="BQ347" t="s">
        <v>12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 s="9" t="s">
        <v>12</v>
      </c>
      <c r="CF347" s="28" t="s">
        <v>12</v>
      </c>
      <c r="CG347" s="28" t="s">
        <v>12</v>
      </c>
      <c r="CH347" s="28" t="s">
        <v>12</v>
      </c>
      <c r="CI347" s="28" t="s">
        <v>12</v>
      </c>
      <c r="CJ347" s="28" t="s">
        <v>12</v>
      </c>
      <c r="CK347" s="28" t="s">
        <v>12</v>
      </c>
      <c r="CL347" s="28" t="s">
        <v>12</v>
      </c>
      <c r="CM347" s="28" t="s">
        <v>12</v>
      </c>
      <c r="CN347" s="28" t="s">
        <v>12</v>
      </c>
      <c r="CO347" s="28" t="s">
        <v>12</v>
      </c>
      <c r="CP347" s="28" t="s">
        <v>12</v>
      </c>
      <c r="CQ347" s="28" t="s">
        <v>12</v>
      </c>
      <c r="CR347" s="28" t="s">
        <v>12</v>
      </c>
      <c r="CS347" s="28" t="s">
        <v>12</v>
      </c>
      <c r="CT347" s="28" t="s">
        <v>12</v>
      </c>
      <c r="CU347" s="28" t="s">
        <v>12</v>
      </c>
      <c r="CV347" s="28" t="s">
        <v>12</v>
      </c>
      <c r="CW347" s="28" t="s">
        <v>12</v>
      </c>
      <c r="CX347" s="28" t="s">
        <v>12</v>
      </c>
      <c r="CY347" s="28" t="s">
        <v>12</v>
      </c>
      <c r="CZ347" s="28" t="s">
        <v>12</v>
      </c>
      <c r="DA347" s="28" t="s">
        <v>12</v>
      </c>
      <c r="DB347" s="313">
        <v>132</v>
      </c>
      <c r="DC347" s="313" t="s">
        <v>160</v>
      </c>
      <c r="DD347" s="386" t="s">
        <v>12</v>
      </c>
      <c r="DE347" s="386" t="s">
        <v>12</v>
      </c>
      <c r="DF347" s="386" t="s">
        <v>12</v>
      </c>
      <c r="DG347" s="386" t="s">
        <v>12</v>
      </c>
      <c r="DH347" s="386" t="s">
        <v>12</v>
      </c>
      <c r="DI347" s="386" t="s">
        <v>12</v>
      </c>
      <c r="DJ347" s="386" t="s">
        <v>12</v>
      </c>
      <c r="DK347" s="386" t="s">
        <v>12</v>
      </c>
      <c r="DL347" s="386" t="s">
        <v>12</v>
      </c>
      <c r="DM347" s="386" t="s">
        <v>12</v>
      </c>
      <c r="DN347" s="7" t="s">
        <v>12</v>
      </c>
      <c r="DO347" s="7" t="s">
        <v>12</v>
      </c>
      <c r="DP347" s="7" t="s">
        <v>12</v>
      </c>
      <c r="DQ347" s="7" t="s">
        <v>12</v>
      </c>
      <c r="DR347" s="7" t="s">
        <v>12</v>
      </c>
      <c r="DS347" s="7" t="s">
        <v>12</v>
      </c>
      <c r="DT347" s="7" t="s">
        <v>12</v>
      </c>
      <c r="DU347" s="7" t="s">
        <v>12</v>
      </c>
      <c r="DV347" s="7" t="s">
        <v>12</v>
      </c>
      <c r="DW347" s="7" t="s">
        <v>12</v>
      </c>
      <c r="DY347" s="9">
        <v>180890</v>
      </c>
      <c r="EI347" s="423" t="s">
        <v>12</v>
      </c>
      <c r="EJ347" s="423" t="s">
        <v>12</v>
      </c>
      <c r="EK347" s="423" t="s">
        <v>12</v>
      </c>
      <c r="EL347" s="423" t="s">
        <v>12</v>
      </c>
      <c r="EM347" s="423" t="s">
        <v>12</v>
      </c>
      <c r="EN347" s="423" t="s">
        <v>12</v>
      </c>
      <c r="EO347" s="423" t="s">
        <v>12</v>
      </c>
      <c r="EP347" s="423" t="s">
        <v>12</v>
      </c>
      <c r="EQ347" s="423" t="s">
        <v>12</v>
      </c>
      <c r="ER347" s="423" t="s">
        <v>12</v>
      </c>
      <c r="ES347" s="438" t="s">
        <v>12</v>
      </c>
      <c r="ET347" s="438" t="s">
        <v>12</v>
      </c>
      <c r="EU347" s="438" t="s">
        <v>12</v>
      </c>
      <c r="EV347" s="438" t="s">
        <v>12</v>
      </c>
      <c r="EW347" s="438" t="s">
        <v>12</v>
      </c>
      <c r="EX347" s="438" t="s">
        <v>12</v>
      </c>
      <c r="EY347" s="438" t="s">
        <v>12</v>
      </c>
      <c r="EZ347" s="438" t="s">
        <v>12</v>
      </c>
      <c r="FA347" s="438" t="s">
        <v>12</v>
      </c>
      <c r="FB347" s="438" t="s">
        <v>12</v>
      </c>
      <c r="FC347" s="346">
        <v>0</v>
      </c>
      <c r="FD347" s="346">
        <v>0</v>
      </c>
      <c r="FE347" s="346">
        <v>0</v>
      </c>
      <c r="FF347" s="346">
        <v>0</v>
      </c>
      <c r="FG347" s="346">
        <v>0</v>
      </c>
      <c r="FH347" s="346">
        <v>0</v>
      </c>
      <c r="FI347" s="346">
        <v>0</v>
      </c>
      <c r="FJ347" s="346">
        <v>0</v>
      </c>
      <c r="FK347" s="346">
        <v>0</v>
      </c>
      <c r="FL347" s="346">
        <v>0</v>
      </c>
    </row>
    <row r="348" spans="1:168" x14ac:dyDescent="0.25">
      <c r="A348" s="238">
        <v>1</v>
      </c>
      <c r="B348" s="238" t="s">
        <v>761</v>
      </c>
      <c r="C348" s="245">
        <v>0.41190357641721531</v>
      </c>
      <c r="D348" s="245">
        <v>1</v>
      </c>
      <c r="E348" s="245">
        <v>0.25892283822015089</v>
      </c>
      <c r="F348" s="245">
        <v>1</v>
      </c>
      <c r="G348" s="245">
        <v>1</v>
      </c>
      <c r="H348" s="245">
        <v>0.3291735853626338</v>
      </c>
      <c r="I348" s="245" t="s">
        <v>11</v>
      </c>
      <c r="J348" s="245" t="s">
        <v>11</v>
      </c>
      <c r="K348" s="245" t="s">
        <v>11</v>
      </c>
      <c r="L348" s="245" t="s">
        <v>11</v>
      </c>
      <c r="N348">
        <v>133</v>
      </c>
      <c r="O348" t="s">
        <v>162</v>
      </c>
      <c r="P348" t="s">
        <v>162</v>
      </c>
      <c r="Q348" t="s">
        <v>21</v>
      </c>
      <c r="R348" s="2" t="s">
        <v>12</v>
      </c>
      <c r="S348" s="2" t="s">
        <v>12</v>
      </c>
      <c r="T348" s="2" t="s">
        <v>12</v>
      </c>
      <c r="U348" s="2" t="s">
        <v>12</v>
      </c>
      <c r="V348" s="2" t="s">
        <v>12</v>
      </c>
      <c r="W348" s="2" t="s">
        <v>12</v>
      </c>
      <c r="X348" s="2" t="s">
        <v>12</v>
      </c>
      <c r="Y348" s="2" t="s">
        <v>12</v>
      </c>
      <c r="Z348" s="2" t="s">
        <v>12</v>
      </c>
      <c r="AA348" s="2" t="s">
        <v>12</v>
      </c>
      <c r="AB348" s="2" t="s">
        <v>12</v>
      </c>
      <c r="AC348" s="2" t="s">
        <v>12</v>
      </c>
      <c r="AD348" t="s">
        <v>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t="s">
        <v>12</v>
      </c>
      <c r="AR348" t="s">
        <v>12</v>
      </c>
      <c r="AS348" t="s">
        <v>12</v>
      </c>
      <c r="AT348" t="s">
        <v>12</v>
      </c>
      <c r="AU348" t="s">
        <v>12</v>
      </c>
      <c r="AV348" t="s">
        <v>12</v>
      </c>
      <c r="AW348" t="s">
        <v>12</v>
      </c>
      <c r="AX348" t="s">
        <v>12</v>
      </c>
      <c r="AY348" t="s">
        <v>12</v>
      </c>
      <c r="AZ348" t="s">
        <v>12</v>
      </c>
      <c r="BA348" t="s">
        <v>12</v>
      </c>
      <c r="BB348" t="s">
        <v>12</v>
      </c>
      <c r="BC348" t="s">
        <v>12</v>
      </c>
      <c r="BD348" t="s">
        <v>12</v>
      </c>
      <c r="BF348" s="313" t="s">
        <v>11</v>
      </c>
      <c r="BG348" s="313" t="s">
        <v>11</v>
      </c>
      <c r="BH348" t="s">
        <v>12</v>
      </c>
      <c r="BI348" t="s">
        <v>12</v>
      </c>
      <c r="BJ348" t="s">
        <v>12</v>
      </c>
      <c r="BK348" t="s">
        <v>12</v>
      </c>
      <c r="BL348" t="s">
        <v>12</v>
      </c>
      <c r="BM348" t="s">
        <v>12</v>
      </c>
      <c r="BN348" t="s">
        <v>12</v>
      </c>
      <c r="BO348" t="s">
        <v>12</v>
      </c>
      <c r="BP348" t="s">
        <v>12</v>
      </c>
      <c r="BQ348" t="s">
        <v>12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 s="9" t="s">
        <v>12</v>
      </c>
      <c r="CF348" s="28" t="s">
        <v>12</v>
      </c>
      <c r="CG348" s="28" t="s">
        <v>12</v>
      </c>
      <c r="CH348" s="28" t="s">
        <v>12</v>
      </c>
      <c r="CI348" s="28" t="s">
        <v>12</v>
      </c>
      <c r="CJ348" s="28" t="s">
        <v>12</v>
      </c>
      <c r="CK348" s="28" t="s">
        <v>12</v>
      </c>
      <c r="CL348" s="28" t="s">
        <v>12</v>
      </c>
      <c r="CM348" s="28" t="s">
        <v>12</v>
      </c>
      <c r="CN348" s="28" t="s">
        <v>12</v>
      </c>
      <c r="CO348" s="28" t="s">
        <v>12</v>
      </c>
      <c r="CP348" s="28" t="s">
        <v>12</v>
      </c>
      <c r="CQ348" s="28" t="s">
        <v>12</v>
      </c>
      <c r="CR348" s="28" t="s">
        <v>12</v>
      </c>
      <c r="CS348" s="28" t="s">
        <v>12</v>
      </c>
      <c r="CT348" s="28" t="s">
        <v>12</v>
      </c>
      <c r="CU348" s="28" t="s">
        <v>12</v>
      </c>
      <c r="CV348" s="28" t="s">
        <v>12</v>
      </c>
      <c r="CW348" s="28" t="s">
        <v>12</v>
      </c>
      <c r="CX348" s="28" t="s">
        <v>12</v>
      </c>
      <c r="CY348" s="28" t="s">
        <v>12</v>
      </c>
      <c r="CZ348" s="28" t="s">
        <v>12</v>
      </c>
      <c r="DA348" s="28" t="s">
        <v>12</v>
      </c>
      <c r="DB348" s="313">
        <v>133</v>
      </c>
      <c r="DC348" s="313" t="s">
        <v>162</v>
      </c>
      <c r="DD348" s="386" t="s">
        <v>12</v>
      </c>
      <c r="DE348" s="386" t="s">
        <v>12</v>
      </c>
      <c r="DF348" s="386" t="s">
        <v>12</v>
      </c>
      <c r="DG348" s="386" t="s">
        <v>12</v>
      </c>
      <c r="DH348" s="386" t="s">
        <v>12</v>
      </c>
      <c r="DI348" s="386" t="s">
        <v>12</v>
      </c>
      <c r="DJ348" s="386" t="s">
        <v>12</v>
      </c>
      <c r="DK348" s="386" t="s">
        <v>12</v>
      </c>
      <c r="DL348" s="386" t="s">
        <v>12</v>
      </c>
      <c r="DM348" s="386" t="s">
        <v>12</v>
      </c>
      <c r="DN348" s="7" t="s">
        <v>12</v>
      </c>
      <c r="DO348" s="7" t="s">
        <v>12</v>
      </c>
      <c r="DP348" s="7" t="s">
        <v>12</v>
      </c>
      <c r="DQ348" s="7" t="s">
        <v>12</v>
      </c>
      <c r="DR348" s="7" t="s">
        <v>12</v>
      </c>
      <c r="DS348" s="7" t="s">
        <v>12</v>
      </c>
      <c r="DT348" s="7" t="s">
        <v>12</v>
      </c>
      <c r="DU348" s="7" t="s">
        <v>12</v>
      </c>
      <c r="DV348" s="7" t="s">
        <v>12</v>
      </c>
      <c r="DW348" s="7" t="s">
        <v>12</v>
      </c>
      <c r="DY348" s="9">
        <v>188901</v>
      </c>
      <c r="EI348" s="423" t="s">
        <v>12</v>
      </c>
      <c r="EJ348" s="423" t="s">
        <v>12</v>
      </c>
      <c r="EK348" s="423" t="s">
        <v>12</v>
      </c>
      <c r="EL348" s="423" t="s">
        <v>12</v>
      </c>
      <c r="EM348" s="423" t="s">
        <v>12</v>
      </c>
      <c r="EN348" s="423" t="s">
        <v>12</v>
      </c>
      <c r="EO348" s="423" t="s">
        <v>12</v>
      </c>
      <c r="EP348" s="423" t="s">
        <v>12</v>
      </c>
      <c r="EQ348" s="423" t="s">
        <v>12</v>
      </c>
      <c r="ER348" s="423" t="s">
        <v>12</v>
      </c>
      <c r="ES348" s="438" t="s">
        <v>12</v>
      </c>
      <c r="ET348" s="438" t="s">
        <v>12</v>
      </c>
      <c r="EU348" s="438" t="s">
        <v>12</v>
      </c>
      <c r="EV348" s="438" t="s">
        <v>12</v>
      </c>
      <c r="EW348" s="438" t="s">
        <v>12</v>
      </c>
      <c r="EX348" s="438" t="s">
        <v>12</v>
      </c>
      <c r="EY348" s="438" t="s">
        <v>12</v>
      </c>
      <c r="EZ348" s="438" t="s">
        <v>12</v>
      </c>
      <c r="FA348" s="438" t="s">
        <v>12</v>
      </c>
      <c r="FB348" s="438" t="s">
        <v>12</v>
      </c>
      <c r="FC348" s="346">
        <v>0</v>
      </c>
      <c r="FD348" s="346">
        <v>0</v>
      </c>
      <c r="FE348" s="346">
        <v>0</v>
      </c>
      <c r="FF348" s="346">
        <v>0</v>
      </c>
      <c r="FG348" s="346">
        <v>0</v>
      </c>
      <c r="FH348" s="346">
        <v>0</v>
      </c>
      <c r="FI348" s="346">
        <v>0</v>
      </c>
      <c r="FJ348" s="346">
        <v>0</v>
      </c>
      <c r="FK348" s="346">
        <v>0</v>
      </c>
      <c r="FL348" s="346">
        <v>0</v>
      </c>
    </row>
    <row r="349" spans="1:168" x14ac:dyDescent="0.25">
      <c r="A349" s="238">
        <v>2</v>
      </c>
      <c r="B349" s="238" t="s">
        <v>763</v>
      </c>
      <c r="C349" s="245">
        <v>1</v>
      </c>
      <c r="D349" s="245">
        <v>1</v>
      </c>
      <c r="E349" s="245">
        <v>1</v>
      </c>
      <c r="F349" s="245">
        <v>1</v>
      </c>
      <c r="G349" s="245">
        <v>1</v>
      </c>
      <c r="H349" s="245">
        <v>1</v>
      </c>
      <c r="I349" s="245" t="s">
        <v>11</v>
      </c>
      <c r="J349" s="245" t="s">
        <v>11</v>
      </c>
      <c r="K349" s="245" t="s">
        <v>11</v>
      </c>
      <c r="L349" s="245" t="s">
        <v>11</v>
      </c>
      <c r="N349">
        <v>134</v>
      </c>
      <c r="O349" t="s">
        <v>163</v>
      </c>
      <c r="P349" t="s">
        <v>164</v>
      </c>
      <c r="Q349" t="s">
        <v>9</v>
      </c>
      <c r="R349" s="2" t="s">
        <v>12</v>
      </c>
      <c r="S349" s="2" t="s">
        <v>12</v>
      </c>
      <c r="T349" s="2" t="s">
        <v>12</v>
      </c>
      <c r="U349" s="2" t="s">
        <v>12</v>
      </c>
      <c r="V349" s="2" t="s">
        <v>12</v>
      </c>
      <c r="W349" s="2" t="s">
        <v>12</v>
      </c>
      <c r="X349" s="2" t="s">
        <v>12</v>
      </c>
      <c r="Y349" s="2" t="s">
        <v>12</v>
      </c>
      <c r="Z349" s="2" t="s">
        <v>12</v>
      </c>
      <c r="AA349" s="2" t="s">
        <v>12</v>
      </c>
      <c r="AB349" s="2" t="s">
        <v>12</v>
      </c>
      <c r="AC349" s="2" t="s">
        <v>12</v>
      </c>
      <c r="AD349" t="s">
        <v>12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t="s">
        <v>12</v>
      </c>
      <c r="AR349" t="s">
        <v>12</v>
      </c>
      <c r="AS349" t="s">
        <v>12</v>
      </c>
      <c r="AT349" t="s">
        <v>12</v>
      </c>
      <c r="AU349" t="s">
        <v>12</v>
      </c>
      <c r="AV349" t="s">
        <v>12</v>
      </c>
      <c r="AW349" t="s">
        <v>12</v>
      </c>
      <c r="AX349" t="s">
        <v>12</v>
      </c>
      <c r="AY349" t="s">
        <v>12</v>
      </c>
      <c r="AZ349" t="s">
        <v>12</v>
      </c>
      <c r="BA349" t="s">
        <v>12</v>
      </c>
      <c r="BB349" t="s">
        <v>12</v>
      </c>
      <c r="BC349" t="s">
        <v>12</v>
      </c>
      <c r="BD349" t="s">
        <v>12</v>
      </c>
      <c r="BF349" s="313" t="s">
        <v>11</v>
      </c>
      <c r="BG349" s="313" t="s">
        <v>11</v>
      </c>
      <c r="BH349" t="s">
        <v>12</v>
      </c>
      <c r="BI349" t="s">
        <v>12</v>
      </c>
      <c r="BJ349" t="s">
        <v>12</v>
      </c>
      <c r="BK349" t="s">
        <v>12</v>
      </c>
      <c r="BL349" t="s">
        <v>12</v>
      </c>
      <c r="BM349" t="s">
        <v>12</v>
      </c>
      <c r="BN349" t="s">
        <v>12</v>
      </c>
      <c r="BO349" t="s">
        <v>12</v>
      </c>
      <c r="BP349" t="s">
        <v>12</v>
      </c>
      <c r="BQ349" t="s">
        <v>12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 s="9" t="s">
        <v>12</v>
      </c>
      <c r="CF349" s="28" t="s">
        <v>12</v>
      </c>
      <c r="CG349" s="28" t="s">
        <v>12</v>
      </c>
      <c r="CH349" s="28" t="s">
        <v>12</v>
      </c>
      <c r="CI349" s="28" t="s">
        <v>12</v>
      </c>
      <c r="CJ349" s="28" t="s">
        <v>12</v>
      </c>
      <c r="CK349" s="28" t="s">
        <v>12</v>
      </c>
      <c r="CL349" s="28" t="s">
        <v>12</v>
      </c>
      <c r="CM349" s="28" t="s">
        <v>12</v>
      </c>
      <c r="CN349" s="28" t="s">
        <v>12</v>
      </c>
      <c r="CO349" s="28" t="s">
        <v>12</v>
      </c>
      <c r="CP349" s="28" t="s">
        <v>12</v>
      </c>
      <c r="CQ349" s="28" t="s">
        <v>12</v>
      </c>
      <c r="CR349" s="28" t="s">
        <v>12</v>
      </c>
      <c r="CS349" s="28" t="s">
        <v>12</v>
      </c>
      <c r="CT349" s="28" t="s">
        <v>12</v>
      </c>
      <c r="CU349" s="28" t="s">
        <v>12</v>
      </c>
      <c r="CV349" s="28" t="s">
        <v>12</v>
      </c>
      <c r="CW349" s="28" t="s">
        <v>12</v>
      </c>
      <c r="CX349" s="28" t="s">
        <v>12</v>
      </c>
      <c r="CY349" s="28" t="s">
        <v>12</v>
      </c>
      <c r="CZ349" s="28" t="s">
        <v>12</v>
      </c>
      <c r="DA349" s="28" t="s">
        <v>12</v>
      </c>
      <c r="DB349" s="313">
        <v>134</v>
      </c>
      <c r="DC349" s="313" t="s">
        <v>163</v>
      </c>
      <c r="DD349" s="386" t="s">
        <v>12</v>
      </c>
      <c r="DE349" s="386" t="s">
        <v>12</v>
      </c>
      <c r="DF349" s="386" t="s">
        <v>12</v>
      </c>
      <c r="DG349" s="386" t="s">
        <v>12</v>
      </c>
      <c r="DH349" s="386" t="s">
        <v>12</v>
      </c>
      <c r="DI349" s="386" t="s">
        <v>12</v>
      </c>
      <c r="DJ349" s="386" t="s">
        <v>12</v>
      </c>
      <c r="DK349" s="386" t="s">
        <v>12</v>
      </c>
      <c r="DL349" s="386" t="s">
        <v>12</v>
      </c>
      <c r="DM349" s="386" t="s">
        <v>12</v>
      </c>
      <c r="DN349" s="7" t="s">
        <v>12</v>
      </c>
      <c r="DO349" s="7" t="s">
        <v>12</v>
      </c>
      <c r="DP349" s="7" t="s">
        <v>12</v>
      </c>
      <c r="DQ349" s="7" t="s">
        <v>12</v>
      </c>
      <c r="DR349" s="7" t="s">
        <v>12</v>
      </c>
      <c r="DS349" s="7" t="s">
        <v>12</v>
      </c>
      <c r="DT349" s="7" t="s">
        <v>12</v>
      </c>
      <c r="DU349" s="7" t="s">
        <v>12</v>
      </c>
      <c r="DV349" s="7" t="s">
        <v>12</v>
      </c>
      <c r="DW349" s="7" t="s">
        <v>12</v>
      </c>
      <c r="DY349" s="9">
        <v>29496047</v>
      </c>
      <c r="EI349" s="423" t="s">
        <v>12</v>
      </c>
      <c r="EJ349" s="423" t="s">
        <v>12</v>
      </c>
      <c r="EK349" s="423" t="s">
        <v>12</v>
      </c>
      <c r="EL349" s="423" t="s">
        <v>12</v>
      </c>
      <c r="EM349" s="423" t="s">
        <v>12</v>
      </c>
      <c r="EN349" s="423" t="s">
        <v>12</v>
      </c>
      <c r="EO349" s="423" t="s">
        <v>12</v>
      </c>
      <c r="EP349" s="423" t="s">
        <v>12</v>
      </c>
      <c r="EQ349" s="423" t="s">
        <v>12</v>
      </c>
      <c r="ER349" s="423" t="s">
        <v>12</v>
      </c>
      <c r="ES349" s="438" t="s">
        <v>12</v>
      </c>
      <c r="ET349" s="438" t="s">
        <v>12</v>
      </c>
      <c r="EU349" s="438" t="s">
        <v>12</v>
      </c>
      <c r="EV349" s="438" t="s">
        <v>12</v>
      </c>
      <c r="EW349" s="438" t="s">
        <v>12</v>
      </c>
      <c r="EX349" s="438" t="s">
        <v>12</v>
      </c>
      <c r="EY349" s="438" t="s">
        <v>12</v>
      </c>
      <c r="EZ349" s="438" t="s">
        <v>12</v>
      </c>
      <c r="FA349" s="438" t="s">
        <v>12</v>
      </c>
      <c r="FB349" s="438" t="s">
        <v>12</v>
      </c>
      <c r="FC349" s="346">
        <v>0</v>
      </c>
      <c r="FD349" s="346">
        <v>0</v>
      </c>
      <c r="FE349" s="346">
        <v>0</v>
      </c>
      <c r="FF349" s="346">
        <v>0</v>
      </c>
      <c r="FG349" s="346">
        <v>0</v>
      </c>
      <c r="FH349" s="346">
        <v>0</v>
      </c>
      <c r="FI349" s="346">
        <v>0</v>
      </c>
      <c r="FJ349" s="346">
        <v>0</v>
      </c>
      <c r="FK349" s="346">
        <v>0</v>
      </c>
      <c r="FL349" s="346">
        <v>0</v>
      </c>
    </row>
    <row r="350" spans="1:168" x14ac:dyDescent="0.25">
      <c r="A350" s="238">
        <v>3</v>
      </c>
      <c r="B350" s="238" t="s">
        <v>764</v>
      </c>
      <c r="C350" s="245" t="s">
        <v>11</v>
      </c>
      <c r="D350" s="245" t="s">
        <v>11</v>
      </c>
      <c r="E350" s="245" t="s">
        <v>11</v>
      </c>
      <c r="F350" s="245" t="s">
        <v>11</v>
      </c>
      <c r="G350" s="245" t="s">
        <v>11</v>
      </c>
      <c r="H350" s="245" t="s">
        <v>11</v>
      </c>
      <c r="I350" s="245" t="s">
        <v>11</v>
      </c>
      <c r="J350" s="245" t="s">
        <v>11</v>
      </c>
      <c r="K350" s="245" t="s">
        <v>11</v>
      </c>
      <c r="L350" s="245" t="s">
        <v>11</v>
      </c>
      <c r="N350">
        <v>135</v>
      </c>
      <c r="O350" t="s">
        <v>165</v>
      </c>
      <c r="P350" t="s">
        <v>165</v>
      </c>
      <c r="Q350" t="s">
        <v>14</v>
      </c>
      <c r="R350" s="2" t="s">
        <v>12</v>
      </c>
      <c r="S350" s="2" t="s">
        <v>12</v>
      </c>
      <c r="T350" s="2" t="s">
        <v>12</v>
      </c>
      <c r="U350" s="2" t="s">
        <v>12</v>
      </c>
      <c r="V350" s="2" t="s">
        <v>12</v>
      </c>
      <c r="W350" s="2" t="s">
        <v>12</v>
      </c>
      <c r="X350" s="2" t="s">
        <v>12</v>
      </c>
      <c r="Y350" s="2" t="s">
        <v>12</v>
      </c>
      <c r="Z350" s="2" t="s">
        <v>12</v>
      </c>
      <c r="AA350" s="2" t="s">
        <v>12</v>
      </c>
      <c r="AB350" s="2" t="s">
        <v>12</v>
      </c>
      <c r="AC350" s="2" t="s">
        <v>12</v>
      </c>
      <c r="AD350" t="s">
        <v>12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t="s">
        <v>12</v>
      </c>
      <c r="AR350" t="s">
        <v>12</v>
      </c>
      <c r="AS350" t="s">
        <v>12</v>
      </c>
      <c r="AT350" t="s">
        <v>12</v>
      </c>
      <c r="AU350" t="s">
        <v>12</v>
      </c>
      <c r="AV350" t="s">
        <v>12</v>
      </c>
      <c r="AW350" t="s">
        <v>12</v>
      </c>
      <c r="AX350" t="s">
        <v>12</v>
      </c>
      <c r="AY350" t="s">
        <v>12</v>
      </c>
      <c r="AZ350" t="s">
        <v>12</v>
      </c>
      <c r="BA350" t="s">
        <v>12</v>
      </c>
      <c r="BB350" t="s">
        <v>12</v>
      </c>
      <c r="BC350" t="s">
        <v>12</v>
      </c>
      <c r="BD350" t="s">
        <v>12</v>
      </c>
      <c r="BF350" s="313" t="s">
        <v>11</v>
      </c>
      <c r="BG350" s="313" t="s">
        <v>11</v>
      </c>
      <c r="BH350" t="s">
        <v>12</v>
      </c>
      <c r="BI350" t="s">
        <v>12</v>
      </c>
      <c r="BJ350" t="s">
        <v>12</v>
      </c>
      <c r="BK350" t="s">
        <v>12</v>
      </c>
      <c r="BL350" t="s">
        <v>12</v>
      </c>
      <c r="BM350" t="s">
        <v>12</v>
      </c>
      <c r="BN350" t="s">
        <v>12</v>
      </c>
      <c r="BO350" t="s">
        <v>12</v>
      </c>
      <c r="BP350" t="s">
        <v>12</v>
      </c>
      <c r="BQ350" t="s">
        <v>12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 s="9" t="s">
        <v>12</v>
      </c>
      <c r="CF350" s="28" t="s">
        <v>12</v>
      </c>
      <c r="CG350" s="28" t="s">
        <v>12</v>
      </c>
      <c r="CH350" s="28" t="s">
        <v>12</v>
      </c>
      <c r="CI350" s="28" t="s">
        <v>12</v>
      </c>
      <c r="CJ350" s="28" t="s">
        <v>12</v>
      </c>
      <c r="CK350" s="28" t="s">
        <v>12</v>
      </c>
      <c r="CL350" s="28" t="s">
        <v>12</v>
      </c>
      <c r="CM350" s="28" t="s">
        <v>12</v>
      </c>
      <c r="CN350" s="28" t="s">
        <v>12</v>
      </c>
      <c r="CO350" s="28" t="s">
        <v>12</v>
      </c>
      <c r="CP350" s="28" t="s">
        <v>12</v>
      </c>
      <c r="CQ350" s="28" t="s">
        <v>12</v>
      </c>
      <c r="CR350" s="28" t="s">
        <v>12</v>
      </c>
      <c r="CS350" s="28" t="s">
        <v>12</v>
      </c>
      <c r="CT350" s="28" t="s">
        <v>12</v>
      </c>
      <c r="CU350" s="28" t="s">
        <v>12</v>
      </c>
      <c r="CV350" s="28" t="s">
        <v>12</v>
      </c>
      <c r="CW350" s="28" t="s">
        <v>12</v>
      </c>
      <c r="CX350" s="28" t="s">
        <v>12</v>
      </c>
      <c r="CY350" s="28" t="s">
        <v>12</v>
      </c>
      <c r="CZ350" s="28" t="s">
        <v>12</v>
      </c>
      <c r="DA350" s="28" t="s">
        <v>12</v>
      </c>
      <c r="DB350" s="313">
        <v>135</v>
      </c>
      <c r="DC350" s="313" t="s">
        <v>165</v>
      </c>
      <c r="DD350" s="386" t="s">
        <v>12</v>
      </c>
      <c r="DE350" s="386" t="s">
        <v>12</v>
      </c>
      <c r="DF350" s="386" t="s">
        <v>12</v>
      </c>
      <c r="DG350" s="386" t="s">
        <v>12</v>
      </c>
      <c r="DH350" s="386" t="s">
        <v>12</v>
      </c>
      <c r="DI350" s="386" t="s">
        <v>12</v>
      </c>
      <c r="DJ350" s="386" t="s">
        <v>12</v>
      </c>
      <c r="DK350" s="386" t="s">
        <v>12</v>
      </c>
      <c r="DL350" s="386" t="s">
        <v>12</v>
      </c>
      <c r="DM350" s="386" t="s">
        <v>12</v>
      </c>
      <c r="DN350" s="7" t="s">
        <v>12</v>
      </c>
      <c r="DO350" s="7" t="s">
        <v>12</v>
      </c>
      <c r="DP350" s="7" t="s">
        <v>12</v>
      </c>
      <c r="DQ350" s="7" t="s">
        <v>12</v>
      </c>
      <c r="DR350" s="7" t="s">
        <v>12</v>
      </c>
      <c r="DS350" s="7" t="s">
        <v>12</v>
      </c>
      <c r="DT350" s="7" t="s">
        <v>12</v>
      </c>
      <c r="DU350" s="7" t="s">
        <v>12</v>
      </c>
      <c r="DV350" s="7" t="s">
        <v>12</v>
      </c>
      <c r="DW350" s="7" t="s">
        <v>12</v>
      </c>
      <c r="DY350" s="9">
        <v>13780108</v>
      </c>
      <c r="EI350" s="423" t="s">
        <v>12</v>
      </c>
      <c r="EJ350" s="423" t="s">
        <v>12</v>
      </c>
      <c r="EK350" s="423" t="s">
        <v>12</v>
      </c>
      <c r="EL350" s="423" t="s">
        <v>12</v>
      </c>
      <c r="EM350" s="423" t="s">
        <v>12</v>
      </c>
      <c r="EN350" s="423" t="s">
        <v>12</v>
      </c>
      <c r="EO350" s="423" t="s">
        <v>12</v>
      </c>
      <c r="EP350" s="423" t="s">
        <v>12</v>
      </c>
      <c r="EQ350" s="423" t="s">
        <v>12</v>
      </c>
      <c r="ER350" s="423" t="s">
        <v>12</v>
      </c>
      <c r="ES350" s="438" t="s">
        <v>12</v>
      </c>
      <c r="ET350" s="438" t="s">
        <v>12</v>
      </c>
      <c r="EU350" s="438" t="s">
        <v>12</v>
      </c>
      <c r="EV350" s="438" t="s">
        <v>12</v>
      </c>
      <c r="EW350" s="438" t="s">
        <v>12</v>
      </c>
      <c r="EX350" s="438" t="s">
        <v>12</v>
      </c>
      <c r="EY350" s="438" t="s">
        <v>12</v>
      </c>
      <c r="EZ350" s="438" t="s">
        <v>12</v>
      </c>
      <c r="FA350" s="438" t="s">
        <v>12</v>
      </c>
      <c r="FB350" s="438" t="s">
        <v>12</v>
      </c>
      <c r="FC350" s="346">
        <v>0</v>
      </c>
      <c r="FD350" s="346">
        <v>0</v>
      </c>
      <c r="FE350" s="346">
        <v>0</v>
      </c>
      <c r="FF350" s="346">
        <v>0</v>
      </c>
      <c r="FG350" s="346">
        <v>0</v>
      </c>
      <c r="FH350" s="346">
        <v>0</v>
      </c>
      <c r="FI350" s="346">
        <v>0</v>
      </c>
      <c r="FJ350" s="346">
        <v>0</v>
      </c>
      <c r="FK350" s="346">
        <v>0</v>
      </c>
      <c r="FL350" s="346">
        <v>0</v>
      </c>
    </row>
    <row r="351" spans="1:168" x14ac:dyDescent="0.25">
      <c r="A351" s="238">
        <v>4</v>
      </c>
      <c r="B351" s="238" t="s">
        <v>765</v>
      </c>
      <c r="C351" s="245" t="s">
        <v>11</v>
      </c>
      <c r="D351" s="245" t="s">
        <v>11</v>
      </c>
      <c r="E351" s="245" t="s">
        <v>11</v>
      </c>
      <c r="F351" s="245" t="s">
        <v>11</v>
      </c>
      <c r="G351" s="245" t="s">
        <v>11</v>
      </c>
      <c r="H351" s="245" t="s">
        <v>11</v>
      </c>
      <c r="I351" s="245" t="s">
        <v>11</v>
      </c>
      <c r="J351" s="245" t="s">
        <v>11</v>
      </c>
      <c r="K351" s="245" t="s">
        <v>11</v>
      </c>
      <c r="L351" s="245" t="s">
        <v>11</v>
      </c>
      <c r="N351">
        <v>136</v>
      </c>
      <c r="O351" t="s">
        <v>166</v>
      </c>
      <c r="P351" t="s">
        <v>166</v>
      </c>
      <c r="Q351" t="s">
        <v>7</v>
      </c>
      <c r="R351" s="2" t="s">
        <v>12</v>
      </c>
      <c r="S351" s="2" t="s">
        <v>12</v>
      </c>
      <c r="T351" s="2" t="s">
        <v>12</v>
      </c>
      <c r="U351" s="2" t="s">
        <v>12</v>
      </c>
      <c r="V351" s="2" t="s">
        <v>12</v>
      </c>
      <c r="W351" s="2" t="s">
        <v>12</v>
      </c>
      <c r="X351" s="2" t="s">
        <v>12</v>
      </c>
      <c r="Y351" s="2" t="s">
        <v>12</v>
      </c>
      <c r="Z351" s="2" t="s">
        <v>12</v>
      </c>
      <c r="AA351" s="2" t="s">
        <v>12</v>
      </c>
      <c r="AB351" s="2" t="s">
        <v>12</v>
      </c>
      <c r="AC351" s="2" t="s">
        <v>12</v>
      </c>
      <c r="AD351" t="s">
        <v>12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t="s">
        <v>12</v>
      </c>
      <c r="AR351" t="s">
        <v>12</v>
      </c>
      <c r="AS351" t="s">
        <v>12</v>
      </c>
      <c r="AT351" t="s">
        <v>12</v>
      </c>
      <c r="AU351" t="s">
        <v>12</v>
      </c>
      <c r="AV351" t="s">
        <v>12</v>
      </c>
      <c r="AW351" t="s">
        <v>12</v>
      </c>
      <c r="AX351" t="s">
        <v>12</v>
      </c>
      <c r="AY351" t="s">
        <v>12</v>
      </c>
      <c r="AZ351" t="s">
        <v>12</v>
      </c>
      <c r="BA351" t="s">
        <v>12</v>
      </c>
      <c r="BB351" t="s">
        <v>12</v>
      </c>
      <c r="BC351" t="s">
        <v>12</v>
      </c>
      <c r="BD351" t="s">
        <v>12</v>
      </c>
      <c r="BF351" s="313" t="s">
        <v>11</v>
      </c>
      <c r="BG351" s="313" t="s">
        <v>11</v>
      </c>
      <c r="BH351" t="s">
        <v>12</v>
      </c>
      <c r="BI351" t="s">
        <v>12</v>
      </c>
      <c r="BJ351" t="s">
        <v>12</v>
      </c>
      <c r="BK351" t="s">
        <v>12</v>
      </c>
      <c r="BL351" t="s">
        <v>12</v>
      </c>
      <c r="BM351" t="s">
        <v>12</v>
      </c>
      <c r="BN351" t="s">
        <v>12</v>
      </c>
      <c r="BO351" t="s">
        <v>12</v>
      </c>
      <c r="BP351" t="s">
        <v>12</v>
      </c>
      <c r="BQ351" t="s">
        <v>12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 s="9" t="s">
        <v>12</v>
      </c>
      <c r="CF351" s="28" t="s">
        <v>12</v>
      </c>
      <c r="CG351" s="28" t="s">
        <v>12</v>
      </c>
      <c r="CH351" s="28" t="s">
        <v>12</v>
      </c>
      <c r="CI351" s="28" t="s">
        <v>12</v>
      </c>
      <c r="CJ351" s="28" t="s">
        <v>12</v>
      </c>
      <c r="CK351" s="28" t="s">
        <v>12</v>
      </c>
      <c r="CL351" s="28" t="s">
        <v>12</v>
      </c>
      <c r="CM351" s="28" t="s">
        <v>12</v>
      </c>
      <c r="CN351" s="28" t="s">
        <v>12</v>
      </c>
      <c r="CO351" s="28" t="s">
        <v>12</v>
      </c>
      <c r="CP351" s="28" t="s">
        <v>12</v>
      </c>
      <c r="CQ351" s="28" t="s">
        <v>12</v>
      </c>
      <c r="CR351" s="28" t="s">
        <v>12</v>
      </c>
      <c r="CS351" s="28" t="s">
        <v>12</v>
      </c>
      <c r="CT351" s="28" t="s">
        <v>12</v>
      </c>
      <c r="CU351" s="28" t="s">
        <v>12</v>
      </c>
      <c r="CV351" s="28" t="s">
        <v>12</v>
      </c>
      <c r="CW351" s="28" t="s">
        <v>12</v>
      </c>
      <c r="CX351" s="28" t="s">
        <v>12</v>
      </c>
      <c r="CY351" s="28" t="s">
        <v>12</v>
      </c>
      <c r="CZ351" s="28" t="s">
        <v>12</v>
      </c>
      <c r="DA351" s="28" t="s">
        <v>12</v>
      </c>
      <c r="DB351" s="313">
        <v>136</v>
      </c>
      <c r="DC351" s="313" t="s">
        <v>166</v>
      </c>
      <c r="DD351" s="386" t="s">
        <v>12</v>
      </c>
      <c r="DE351" s="386" t="s">
        <v>12</v>
      </c>
      <c r="DF351" s="386" t="s">
        <v>12</v>
      </c>
      <c r="DG351" s="386" t="s">
        <v>12</v>
      </c>
      <c r="DH351" s="386" t="s">
        <v>12</v>
      </c>
      <c r="DI351" s="386" t="s">
        <v>12</v>
      </c>
      <c r="DJ351" s="386" t="s">
        <v>12</v>
      </c>
      <c r="DK351" s="386" t="s">
        <v>12</v>
      </c>
      <c r="DL351" s="386" t="s">
        <v>12</v>
      </c>
      <c r="DM351" s="386" t="s">
        <v>12</v>
      </c>
      <c r="DN351" s="7" t="s">
        <v>12</v>
      </c>
      <c r="DO351" s="7" t="s">
        <v>12</v>
      </c>
      <c r="DP351" s="7" t="s">
        <v>12</v>
      </c>
      <c r="DQ351" s="7" t="s">
        <v>12</v>
      </c>
      <c r="DR351" s="7" t="s">
        <v>12</v>
      </c>
      <c r="DS351" s="7" t="s">
        <v>12</v>
      </c>
      <c r="DT351" s="7" t="s">
        <v>12</v>
      </c>
      <c r="DU351" s="7" t="s">
        <v>12</v>
      </c>
      <c r="DV351" s="7" t="s">
        <v>12</v>
      </c>
      <c r="DW351" s="7" t="s">
        <v>12</v>
      </c>
      <c r="DY351" s="9">
        <v>7199077</v>
      </c>
      <c r="EI351" s="423" t="s">
        <v>12</v>
      </c>
      <c r="EJ351" s="423" t="s">
        <v>12</v>
      </c>
      <c r="EK351" s="423" t="s">
        <v>12</v>
      </c>
      <c r="EL351" s="423" t="s">
        <v>12</v>
      </c>
      <c r="EM351" s="423" t="s">
        <v>12</v>
      </c>
      <c r="EN351" s="423" t="s">
        <v>12</v>
      </c>
      <c r="EO351" s="423" t="s">
        <v>12</v>
      </c>
      <c r="EP351" s="423" t="s">
        <v>12</v>
      </c>
      <c r="EQ351" s="423" t="s">
        <v>12</v>
      </c>
      <c r="ER351" s="423" t="s">
        <v>12</v>
      </c>
      <c r="ES351" s="438" t="s">
        <v>12</v>
      </c>
      <c r="ET351" s="438" t="s">
        <v>12</v>
      </c>
      <c r="EU351" s="438" t="s">
        <v>12</v>
      </c>
      <c r="EV351" s="438" t="s">
        <v>12</v>
      </c>
      <c r="EW351" s="438" t="s">
        <v>12</v>
      </c>
      <c r="EX351" s="438" t="s">
        <v>12</v>
      </c>
      <c r="EY351" s="438" t="s">
        <v>12</v>
      </c>
      <c r="EZ351" s="438" t="s">
        <v>12</v>
      </c>
      <c r="FA351" s="438" t="s">
        <v>12</v>
      </c>
      <c r="FB351" s="438" t="s">
        <v>12</v>
      </c>
      <c r="FC351" s="346">
        <v>0</v>
      </c>
      <c r="FD351" s="346">
        <v>0</v>
      </c>
      <c r="FE351" s="346">
        <v>0</v>
      </c>
      <c r="FF351" s="346">
        <v>0</v>
      </c>
      <c r="FG351" s="346">
        <v>0</v>
      </c>
      <c r="FH351" s="346">
        <v>0</v>
      </c>
      <c r="FI351" s="346">
        <v>0</v>
      </c>
      <c r="FJ351" s="346">
        <v>0</v>
      </c>
      <c r="FK351" s="346">
        <v>0</v>
      </c>
      <c r="FL351" s="346">
        <v>0</v>
      </c>
    </row>
    <row r="352" spans="1:168" x14ac:dyDescent="0.25">
      <c r="A352" s="238">
        <v>5</v>
      </c>
      <c r="B352" s="238" t="s">
        <v>767</v>
      </c>
      <c r="C352" s="245" t="s">
        <v>11</v>
      </c>
      <c r="D352" s="245" t="s">
        <v>11</v>
      </c>
      <c r="E352" s="245" t="s">
        <v>11</v>
      </c>
      <c r="F352" s="245" t="s">
        <v>11</v>
      </c>
      <c r="G352" s="245" t="s">
        <v>11</v>
      </c>
      <c r="H352" s="245" t="s">
        <v>11</v>
      </c>
      <c r="I352" s="245" t="s">
        <v>11</v>
      </c>
      <c r="J352" s="245" t="s">
        <v>11</v>
      </c>
      <c r="K352" s="245" t="s">
        <v>11</v>
      </c>
      <c r="L352" s="245" t="s">
        <v>11</v>
      </c>
      <c r="N352">
        <v>137</v>
      </c>
      <c r="O352" t="s">
        <v>167</v>
      </c>
      <c r="P352" t="s">
        <v>167</v>
      </c>
      <c r="Q352" t="s">
        <v>14</v>
      </c>
      <c r="R352" s="2" t="s">
        <v>12</v>
      </c>
      <c r="S352" s="2" t="s">
        <v>12</v>
      </c>
      <c r="T352" s="2" t="s">
        <v>12</v>
      </c>
      <c r="U352" s="2" t="s">
        <v>12</v>
      </c>
      <c r="V352" s="2" t="s">
        <v>12</v>
      </c>
      <c r="W352" s="2" t="s">
        <v>12</v>
      </c>
      <c r="X352" s="2" t="s">
        <v>12</v>
      </c>
      <c r="Y352" s="2" t="s">
        <v>12</v>
      </c>
      <c r="Z352" s="2" t="s">
        <v>12</v>
      </c>
      <c r="AA352" s="2" t="s">
        <v>12</v>
      </c>
      <c r="AB352" s="2" t="s">
        <v>12</v>
      </c>
      <c r="AC352" s="2" t="s">
        <v>12</v>
      </c>
      <c r="AD352" t="s">
        <v>12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t="s">
        <v>12</v>
      </c>
      <c r="AR352" t="s">
        <v>12</v>
      </c>
      <c r="AS352" t="s">
        <v>12</v>
      </c>
      <c r="AT352" t="s">
        <v>12</v>
      </c>
      <c r="AU352" t="s">
        <v>12</v>
      </c>
      <c r="AV352" t="s">
        <v>12</v>
      </c>
      <c r="AW352" t="s">
        <v>12</v>
      </c>
      <c r="AX352" t="s">
        <v>12</v>
      </c>
      <c r="AY352" t="s">
        <v>12</v>
      </c>
      <c r="AZ352" t="s">
        <v>12</v>
      </c>
      <c r="BA352" t="s">
        <v>12</v>
      </c>
      <c r="BB352" t="s">
        <v>12</v>
      </c>
      <c r="BC352" t="s">
        <v>12</v>
      </c>
      <c r="BD352" t="s">
        <v>12</v>
      </c>
      <c r="BF352" s="313" t="s">
        <v>11</v>
      </c>
      <c r="BG352" s="313" t="s">
        <v>11</v>
      </c>
      <c r="BH352" t="s">
        <v>12</v>
      </c>
      <c r="BI352" t="s">
        <v>12</v>
      </c>
      <c r="BJ352" t="s">
        <v>12</v>
      </c>
      <c r="BK352" t="s">
        <v>12</v>
      </c>
      <c r="BL352" t="s">
        <v>12</v>
      </c>
      <c r="BM352" t="s">
        <v>12</v>
      </c>
      <c r="BN352" t="s">
        <v>12</v>
      </c>
      <c r="BO352" t="s">
        <v>12</v>
      </c>
      <c r="BP352" t="s">
        <v>12</v>
      </c>
      <c r="BQ352" t="s">
        <v>12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 s="9" t="s">
        <v>12</v>
      </c>
      <c r="CF352" s="28" t="s">
        <v>12</v>
      </c>
      <c r="CG352" s="28" t="s">
        <v>12</v>
      </c>
      <c r="CH352" s="28" t="s">
        <v>12</v>
      </c>
      <c r="CI352" s="28" t="s">
        <v>12</v>
      </c>
      <c r="CJ352" s="28" t="s">
        <v>12</v>
      </c>
      <c r="CK352" s="28" t="s">
        <v>12</v>
      </c>
      <c r="CL352" s="28" t="s">
        <v>12</v>
      </c>
      <c r="CM352" s="28" t="s">
        <v>12</v>
      </c>
      <c r="CN352" s="28" t="s">
        <v>12</v>
      </c>
      <c r="CO352" s="28" t="s">
        <v>12</v>
      </c>
      <c r="CP352" s="28" t="s">
        <v>12</v>
      </c>
      <c r="CQ352" s="28" t="s">
        <v>12</v>
      </c>
      <c r="CR352" s="28" t="s">
        <v>12</v>
      </c>
      <c r="CS352" s="28" t="s">
        <v>12</v>
      </c>
      <c r="CT352" s="28" t="s">
        <v>12</v>
      </c>
      <c r="CU352" s="28" t="s">
        <v>12</v>
      </c>
      <c r="CV352" s="28" t="s">
        <v>12</v>
      </c>
      <c r="CW352" s="28" t="s">
        <v>12</v>
      </c>
      <c r="CX352" s="28" t="s">
        <v>12</v>
      </c>
      <c r="CY352" s="28" t="s">
        <v>12</v>
      </c>
      <c r="CZ352" s="28" t="s">
        <v>12</v>
      </c>
      <c r="DA352" s="28" t="s">
        <v>12</v>
      </c>
      <c r="DB352" s="313">
        <v>137</v>
      </c>
      <c r="DC352" s="313" t="s">
        <v>167</v>
      </c>
      <c r="DD352" s="386" t="s">
        <v>12</v>
      </c>
      <c r="DE352" s="386" t="s">
        <v>12</v>
      </c>
      <c r="DF352" s="386" t="s">
        <v>12</v>
      </c>
      <c r="DG352" s="386" t="s">
        <v>12</v>
      </c>
      <c r="DH352" s="386" t="s">
        <v>12</v>
      </c>
      <c r="DI352" s="386" t="s">
        <v>12</v>
      </c>
      <c r="DJ352" s="386" t="s">
        <v>12</v>
      </c>
      <c r="DK352" s="386" t="s">
        <v>12</v>
      </c>
      <c r="DL352" s="386" t="s">
        <v>12</v>
      </c>
      <c r="DM352" s="386" t="s">
        <v>12</v>
      </c>
      <c r="DN352" s="7" t="s">
        <v>12</v>
      </c>
      <c r="DO352" s="7" t="s">
        <v>12</v>
      </c>
      <c r="DP352" s="7" t="s">
        <v>12</v>
      </c>
      <c r="DQ352" s="7" t="s">
        <v>12</v>
      </c>
      <c r="DR352" s="7" t="s">
        <v>12</v>
      </c>
      <c r="DS352" s="7" t="s">
        <v>12</v>
      </c>
      <c r="DT352" s="7" t="s">
        <v>12</v>
      </c>
      <c r="DU352" s="7" t="s">
        <v>12</v>
      </c>
      <c r="DV352" s="7" t="s">
        <v>12</v>
      </c>
      <c r="DW352" s="7" t="s">
        <v>12</v>
      </c>
      <c r="DY352" s="9">
        <v>88303</v>
      </c>
      <c r="EI352" s="423" t="s">
        <v>12</v>
      </c>
      <c r="EJ352" s="423" t="s">
        <v>12</v>
      </c>
      <c r="EK352" s="423" t="s">
        <v>12</v>
      </c>
      <c r="EL352" s="423" t="s">
        <v>12</v>
      </c>
      <c r="EM352" s="423" t="s">
        <v>12</v>
      </c>
      <c r="EN352" s="423" t="s">
        <v>12</v>
      </c>
      <c r="EO352" s="423" t="s">
        <v>12</v>
      </c>
      <c r="EP352" s="423" t="s">
        <v>12</v>
      </c>
      <c r="EQ352" s="423" t="s">
        <v>12</v>
      </c>
      <c r="ER352" s="423" t="s">
        <v>12</v>
      </c>
      <c r="ES352" s="438" t="s">
        <v>12</v>
      </c>
      <c r="ET352" s="438" t="s">
        <v>12</v>
      </c>
      <c r="EU352" s="438" t="s">
        <v>12</v>
      </c>
      <c r="EV352" s="438" t="s">
        <v>12</v>
      </c>
      <c r="EW352" s="438" t="s">
        <v>12</v>
      </c>
      <c r="EX352" s="438" t="s">
        <v>12</v>
      </c>
      <c r="EY352" s="438" t="s">
        <v>12</v>
      </c>
      <c r="EZ352" s="438" t="s">
        <v>12</v>
      </c>
      <c r="FA352" s="438" t="s">
        <v>12</v>
      </c>
      <c r="FB352" s="438" t="s">
        <v>12</v>
      </c>
      <c r="FC352" s="346">
        <v>0</v>
      </c>
      <c r="FD352" s="346">
        <v>0</v>
      </c>
      <c r="FE352" s="346">
        <v>0</v>
      </c>
      <c r="FF352" s="346">
        <v>0</v>
      </c>
      <c r="FG352" s="346">
        <v>0</v>
      </c>
      <c r="FH352" s="346">
        <v>0</v>
      </c>
      <c r="FI352" s="346">
        <v>0</v>
      </c>
      <c r="FJ352" s="346">
        <v>0</v>
      </c>
      <c r="FK352" s="346">
        <v>0</v>
      </c>
      <c r="FL352" s="346">
        <v>0</v>
      </c>
    </row>
    <row r="353" spans="1:168" x14ac:dyDescent="0.25">
      <c r="A353" s="238">
        <v>6</v>
      </c>
      <c r="B353" s="238" t="s">
        <v>768</v>
      </c>
      <c r="C353" s="245" t="s">
        <v>11</v>
      </c>
      <c r="D353" s="245" t="s">
        <v>11</v>
      </c>
      <c r="E353" s="245" t="s">
        <v>11</v>
      </c>
      <c r="F353" s="245" t="s">
        <v>11</v>
      </c>
      <c r="G353" s="245" t="s">
        <v>11</v>
      </c>
      <c r="H353" s="245" t="s">
        <v>11</v>
      </c>
      <c r="I353" s="245" t="s">
        <v>11</v>
      </c>
      <c r="J353" s="245" t="s">
        <v>11</v>
      </c>
      <c r="K353" s="245" t="s">
        <v>11</v>
      </c>
      <c r="L353" s="245" t="s">
        <v>11</v>
      </c>
      <c r="N353">
        <v>138</v>
      </c>
      <c r="O353" t="s">
        <v>168</v>
      </c>
      <c r="P353" t="s">
        <v>169</v>
      </c>
      <c r="Q353" t="s">
        <v>14</v>
      </c>
      <c r="R353" s="2" t="s">
        <v>12</v>
      </c>
      <c r="S353" s="2" t="s">
        <v>12</v>
      </c>
      <c r="T353" s="2" t="s">
        <v>12</v>
      </c>
      <c r="U353" s="2" t="s">
        <v>12</v>
      </c>
      <c r="V353" s="2" t="s">
        <v>12</v>
      </c>
      <c r="W353" s="2" t="s">
        <v>12</v>
      </c>
      <c r="X353" s="2" t="s">
        <v>12</v>
      </c>
      <c r="Y353" s="2" t="s">
        <v>12</v>
      </c>
      <c r="Z353" s="2" t="s">
        <v>12</v>
      </c>
      <c r="AA353" s="2" t="s">
        <v>12</v>
      </c>
      <c r="AB353" s="2" t="s">
        <v>12</v>
      </c>
      <c r="AC353" s="2" t="s">
        <v>12</v>
      </c>
      <c r="AD353" t="s">
        <v>12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t="s">
        <v>12</v>
      </c>
      <c r="AR353" t="s">
        <v>12</v>
      </c>
      <c r="AS353" t="s">
        <v>12</v>
      </c>
      <c r="AT353" t="s">
        <v>12</v>
      </c>
      <c r="AU353" t="s">
        <v>12</v>
      </c>
      <c r="AV353" t="s">
        <v>12</v>
      </c>
      <c r="AW353" t="s">
        <v>12</v>
      </c>
      <c r="AX353" t="s">
        <v>12</v>
      </c>
      <c r="AY353" t="s">
        <v>12</v>
      </c>
      <c r="AZ353" t="s">
        <v>12</v>
      </c>
      <c r="BA353" t="s">
        <v>12</v>
      </c>
      <c r="BB353" t="s">
        <v>12</v>
      </c>
      <c r="BC353" t="s">
        <v>12</v>
      </c>
      <c r="BD353" t="s">
        <v>12</v>
      </c>
      <c r="BF353" s="313" t="s">
        <v>11</v>
      </c>
      <c r="BG353" s="313" t="s">
        <v>11</v>
      </c>
      <c r="BH353" t="s">
        <v>12</v>
      </c>
      <c r="BI353" t="s">
        <v>12</v>
      </c>
      <c r="BJ353" t="s">
        <v>12</v>
      </c>
      <c r="BK353" t="s">
        <v>12</v>
      </c>
      <c r="BL353" t="s">
        <v>12</v>
      </c>
      <c r="BM353" t="s">
        <v>12</v>
      </c>
      <c r="BN353" t="s">
        <v>12</v>
      </c>
      <c r="BO353" t="s">
        <v>12</v>
      </c>
      <c r="BP353" t="s">
        <v>12</v>
      </c>
      <c r="BQ353" t="s">
        <v>12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 s="9" t="s">
        <v>12</v>
      </c>
      <c r="CF353" s="28" t="s">
        <v>12</v>
      </c>
      <c r="CG353" s="28" t="s">
        <v>12</v>
      </c>
      <c r="CH353" s="28" t="s">
        <v>12</v>
      </c>
      <c r="CI353" s="28" t="s">
        <v>12</v>
      </c>
      <c r="CJ353" s="28" t="s">
        <v>12</v>
      </c>
      <c r="CK353" s="28" t="s">
        <v>12</v>
      </c>
      <c r="CL353" s="28" t="s">
        <v>12</v>
      </c>
      <c r="CM353" s="28" t="s">
        <v>12</v>
      </c>
      <c r="CN353" s="28" t="s">
        <v>12</v>
      </c>
      <c r="CO353" s="28" t="s">
        <v>12</v>
      </c>
      <c r="CP353" s="28" t="s">
        <v>12</v>
      </c>
      <c r="CQ353" s="28" t="s">
        <v>12</v>
      </c>
      <c r="CR353" s="28" t="s">
        <v>12</v>
      </c>
      <c r="CS353" s="28" t="s">
        <v>12</v>
      </c>
      <c r="CT353" s="28" t="s">
        <v>12</v>
      </c>
      <c r="CU353" s="28" t="s">
        <v>12</v>
      </c>
      <c r="CV353" s="28" t="s">
        <v>12</v>
      </c>
      <c r="CW353" s="28" t="s">
        <v>12</v>
      </c>
      <c r="CX353" s="28" t="s">
        <v>12</v>
      </c>
      <c r="CY353" s="28" t="s">
        <v>12</v>
      </c>
      <c r="CZ353" s="28" t="s">
        <v>12</v>
      </c>
      <c r="DA353" s="28" t="s">
        <v>12</v>
      </c>
      <c r="DB353" s="313">
        <v>138</v>
      </c>
      <c r="DC353" s="313" t="s">
        <v>168</v>
      </c>
      <c r="DD353" s="386" t="s">
        <v>12</v>
      </c>
      <c r="DE353" s="386" t="s">
        <v>12</v>
      </c>
      <c r="DF353" s="386" t="s">
        <v>12</v>
      </c>
      <c r="DG353" s="386" t="s">
        <v>12</v>
      </c>
      <c r="DH353" s="386" t="s">
        <v>12</v>
      </c>
      <c r="DI353" s="386" t="s">
        <v>12</v>
      </c>
      <c r="DJ353" s="386" t="s">
        <v>12</v>
      </c>
      <c r="DK353" s="386" t="s">
        <v>12</v>
      </c>
      <c r="DL353" s="386" t="s">
        <v>12</v>
      </c>
      <c r="DM353" s="386" t="s">
        <v>12</v>
      </c>
      <c r="DN353" s="7" t="s">
        <v>12</v>
      </c>
      <c r="DO353" s="7" t="s">
        <v>12</v>
      </c>
      <c r="DP353" s="7" t="s">
        <v>12</v>
      </c>
      <c r="DQ353" s="7" t="s">
        <v>12</v>
      </c>
      <c r="DR353" s="7" t="s">
        <v>12</v>
      </c>
      <c r="DS353" s="7" t="s">
        <v>12</v>
      </c>
      <c r="DT353" s="7" t="s">
        <v>12</v>
      </c>
      <c r="DU353" s="7" t="s">
        <v>12</v>
      </c>
      <c r="DV353" s="7" t="s">
        <v>12</v>
      </c>
      <c r="DW353" s="7" t="s">
        <v>12</v>
      </c>
      <c r="DY353" s="9">
        <v>6043157</v>
      </c>
      <c r="EI353" s="423" t="s">
        <v>12</v>
      </c>
      <c r="EJ353" s="423" t="s">
        <v>12</v>
      </c>
      <c r="EK353" s="423" t="s">
        <v>12</v>
      </c>
      <c r="EL353" s="423" t="s">
        <v>12</v>
      </c>
      <c r="EM353" s="423" t="s">
        <v>12</v>
      </c>
      <c r="EN353" s="423" t="s">
        <v>12</v>
      </c>
      <c r="EO353" s="423" t="s">
        <v>12</v>
      </c>
      <c r="EP353" s="423" t="s">
        <v>12</v>
      </c>
      <c r="EQ353" s="423" t="s">
        <v>12</v>
      </c>
      <c r="ER353" s="423" t="s">
        <v>12</v>
      </c>
      <c r="ES353" s="438" t="s">
        <v>12</v>
      </c>
      <c r="ET353" s="438" t="s">
        <v>12</v>
      </c>
      <c r="EU353" s="438" t="s">
        <v>12</v>
      </c>
      <c r="EV353" s="438" t="s">
        <v>12</v>
      </c>
      <c r="EW353" s="438" t="s">
        <v>12</v>
      </c>
      <c r="EX353" s="438" t="s">
        <v>12</v>
      </c>
      <c r="EY353" s="438" t="s">
        <v>12</v>
      </c>
      <c r="EZ353" s="438" t="s">
        <v>12</v>
      </c>
      <c r="FA353" s="438" t="s">
        <v>12</v>
      </c>
      <c r="FB353" s="438" t="s">
        <v>12</v>
      </c>
      <c r="FC353" s="346">
        <v>0</v>
      </c>
      <c r="FD353" s="346">
        <v>0</v>
      </c>
      <c r="FE353" s="346">
        <v>0</v>
      </c>
      <c r="FF353" s="346">
        <v>0</v>
      </c>
      <c r="FG353" s="346">
        <v>0</v>
      </c>
      <c r="FH353" s="346">
        <v>0</v>
      </c>
      <c r="FI353" s="346">
        <v>0</v>
      </c>
      <c r="FJ353" s="346">
        <v>0</v>
      </c>
      <c r="FK353" s="346">
        <v>0</v>
      </c>
      <c r="FL353" s="346">
        <v>0</v>
      </c>
    </row>
    <row r="354" spans="1:168" x14ac:dyDescent="0.25">
      <c r="A354" s="238">
        <v>7</v>
      </c>
      <c r="B354" s="238" t="s">
        <v>770</v>
      </c>
      <c r="C354" s="245" t="s">
        <v>11</v>
      </c>
      <c r="D354" s="245" t="s">
        <v>11</v>
      </c>
      <c r="E354" s="245" t="s">
        <v>11</v>
      </c>
      <c r="F354" s="245" t="s">
        <v>11</v>
      </c>
      <c r="G354" s="245" t="s">
        <v>11</v>
      </c>
      <c r="H354" s="245" t="s">
        <v>11</v>
      </c>
      <c r="I354" s="245" t="s">
        <v>11</v>
      </c>
      <c r="J354" s="245" t="s">
        <v>11</v>
      </c>
      <c r="K354" s="245" t="s">
        <v>11</v>
      </c>
      <c r="L354" s="245" t="s">
        <v>11</v>
      </c>
      <c r="N354">
        <v>139</v>
      </c>
      <c r="O354" t="s">
        <v>170</v>
      </c>
      <c r="P354" t="s">
        <v>170</v>
      </c>
      <c r="Q354" t="s">
        <v>25</v>
      </c>
      <c r="R354" s="2" t="s">
        <v>12</v>
      </c>
      <c r="S354" s="2" t="s">
        <v>12</v>
      </c>
      <c r="T354" s="2" t="s">
        <v>12</v>
      </c>
      <c r="U354" s="2" t="s">
        <v>12</v>
      </c>
      <c r="V354" s="2" t="s">
        <v>12</v>
      </c>
      <c r="W354" s="2" t="s">
        <v>12</v>
      </c>
      <c r="X354" s="2" t="s">
        <v>12</v>
      </c>
      <c r="Y354" s="2" t="s">
        <v>12</v>
      </c>
      <c r="Z354" s="2" t="s">
        <v>12</v>
      </c>
      <c r="AA354" s="2" t="s">
        <v>12</v>
      </c>
      <c r="AB354" s="2" t="s">
        <v>12</v>
      </c>
      <c r="AC354" s="2" t="s">
        <v>12</v>
      </c>
      <c r="AD354" t="s">
        <v>12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t="s">
        <v>12</v>
      </c>
      <c r="AR354" t="s">
        <v>12</v>
      </c>
      <c r="AS354" t="s">
        <v>12</v>
      </c>
      <c r="AT354" t="s">
        <v>12</v>
      </c>
      <c r="AU354" t="s">
        <v>12</v>
      </c>
      <c r="AV354" t="s">
        <v>12</v>
      </c>
      <c r="AW354" t="s">
        <v>12</v>
      </c>
      <c r="AX354" t="s">
        <v>12</v>
      </c>
      <c r="AY354" t="s">
        <v>12</v>
      </c>
      <c r="AZ354" t="s">
        <v>12</v>
      </c>
      <c r="BA354" t="s">
        <v>12</v>
      </c>
      <c r="BB354" t="s">
        <v>12</v>
      </c>
      <c r="BC354" t="s">
        <v>12</v>
      </c>
      <c r="BD354" t="s">
        <v>12</v>
      </c>
      <c r="BF354" s="313" t="s">
        <v>11</v>
      </c>
      <c r="BG354" s="313" t="s">
        <v>11</v>
      </c>
      <c r="BH354" t="s">
        <v>12</v>
      </c>
      <c r="BI354" t="s">
        <v>12</v>
      </c>
      <c r="BJ354" t="s">
        <v>12</v>
      </c>
      <c r="BK354" t="s">
        <v>12</v>
      </c>
      <c r="BL354" t="s">
        <v>12</v>
      </c>
      <c r="BM354" t="s">
        <v>12</v>
      </c>
      <c r="BN354" t="s">
        <v>12</v>
      </c>
      <c r="BO354" t="s">
        <v>12</v>
      </c>
      <c r="BP354" t="s">
        <v>12</v>
      </c>
      <c r="BQ354" t="s">
        <v>12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 s="9" t="s">
        <v>12</v>
      </c>
      <c r="CF354" s="28" t="s">
        <v>12</v>
      </c>
      <c r="CG354" s="28" t="s">
        <v>12</v>
      </c>
      <c r="CH354" s="28" t="s">
        <v>12</v>
      </c>
      <c r="CI354" s="28" t="s">
        <v>12</v>
      </c>
      <c r="CJ354" s="28" t="s">
        <v>12</v>
      </c>
      <c r="CK354" s="28" t="s">
        <v>12</v>
      </c>
      <c r="CL354" s="28" t="s">
        <v>12</v>
      </c>
      <c r="CM354" s="28" t="s">
        <v>12</v>
      </c>
      <c r="CN354" s="28" t="s">
        <v>12</v>
      </c>
      <c r="CO354" s="28" t="s">
        <v>12</v>
      </c>
      <c r="CP354" s="28" t="s">
        <v>12</v>
      </c>
      <c r="CQ354" s="28" t="s">
        <v>12</v>
      </c>
      <c r="CR354" s="28" t="s">
        <v>12</v>
      </c>
      <c r="CS354" s="28" t="s">
        <v>12</v>
      </c>
      <c r="CT354" s="28" t="s">
        <v>12</v>
      </c>
      <c r="CU354" s="28" t="s">
        <v>12</v>
      </c>
      <c r="CV354" s="28" t="s">
        <v>12</v>
      </c>
      <c r="CW354" s="28" t="s">
        <v>12</v>
      </c>
      <c r="CX354" s="28" t="s">
        <v>12</v>
      </c>
      <c r="CY354" s="28" t="s">
        <v>12</v>
      </c>
      <c r="CZ354" s="28" t="s">
        <v>12</v>
      </c>
      <c r="DA354" s="28" t="s">
        <v>12</v>
      </c>
      <c r="DB354" s="313">
        <v>139</v>
      </c>
      <c r="DC354" s="313" t="s">
        <v>170</v>
      </c>
      <c r="DD354" s="386" t="s">
        <v>12</v>
      </c>
      <c r="DE354" s="386" t="s">
        <v>12</v>
      </c>
      <c r="DF354" s="386" t="s">
        <v>12</v>
      </c>
      <c r="DG354" s="386" t="s">
        <v>12</v>
      </c>
      <c r="DH354" s="386" t="s">
        <v>12</v>
      </c>
      <c r="DI354" s="386" t="s">
        <v>12</v>
      </c>
      <c r="DJ354" s="386" t="s">
        <v>12</v>
      </c>
      <c r="DK354" s="386" t="s">
        <v>12</v>
      </c>
      <c r="DL354" s="386" t="s">
        <v>12</v>
      </c>
      <c r="DM354" s="386" t="s">
        <v>12</v>
      </c>
      <c r="DN354" s="7" t="s">
        <v>12</v>
      </c>
      <c r="DO354" s="7" t="s">
        <v>12</v>
      </c>
      <c r="DP354" s="7" t="s">
        <v>12</v>
      </c>
      <c r="DQ354" s="7" t="s">
        <v>12</v>
      </c>
      <c r="DR354" s="7" t="s">
        <v>12</v>
      </c>
      <c r="DS354" s="7" t="s">
        <v>12</v>
      </c>
      <c r="DT354" s="7" t="s">
        <v>12</v>
      </c>
      <c r="DU354" s="7" t="s">
        <v>12</v>
      </c>
      <c r="DV354" s="7" t="s">
        <v>12</v>
      </c>
      <c r="DW354" s="7" t="s">
        <v>12</v>
      </c>
      <c r="DY354" s="9">
        <v>5312437</v>
      </c>
      <c r="EI354" s="423" t="s">
        <v>12</v>
      </c>
      <c r="EJ354" s="423" t="s">
        <v>12</v>
      </c>
      <c r="EK354" s="423" t="s">
        <v>12</v>
      </c>
      <c r="EL354" s="423" t="s">
        <v>12</v>
      </c>
      <c r="EM354" s="423" t="s">
        <v>12</v>
      </c>
      <c r="EN354" s="423" t="s">
        <v>12</v>
      </c>
      <c r="EO354" s="423" t="s">
        <v>12</v>
      </c>
      <c r="EP354" s="423" t="s">
        <v>12</v>
      </c>
      <c r="EQ354" s="423" t="s">
        <v>12</v>
      </c>
      <c r="ER354" s="423" t="s">
        <v>12</v>
      </c>
      <c r="ES354" s="438" t="s">
        <v>12</v>
      </c>
      <c r="ET354" s="438" t="s">
        <v>12</v>
      </c>
      <c r="EU354" s="438" t="s">
        <v>12</v>
      </c>
      <c r="EV354" s="438" t="s">
        <v>12</v>
      </c>
      <c r="EW354" s="438" t="s">
        <v>12</v>
      </c>
      <c r="EX354" s="438" t="s">
        <v>12</v>
      </c>
      <c r="EY354" s="438" t="s">
        <v>12</v>
      </c>
      <c r="EZ354" s="438" t="s">
        <v>12</v>
      </c>
      <c r="FA354" s="438" t="s">
        <v>12</v>
      </c>
      <c r="FB354" s="438" t="s">
        <v>12</v>
      </c>
      <c r="FC354" s="346">
        <v>0</v>
      </c>
      <c r="FD354" s="346">
        <v>0</v>
      </c>
      <c r="FE354" s="346">
        <v>0</v>
      </c>
      <c r="FF354" s="346">
        <v>0</v>
      </c>
      <c r="FG354" s="346">
        <v>0</v>
      </c>
      <c r="FH354" s="346">
        <v>0</v>
      </c>
      <c r="FI354" s="346">
        <v>0</v>
      </c>
      <c r="FJ354" s="346">
        <v>0</v>
      </c>
      <c r="FK354" s="346">
        <v>0</v>
      </c>
      <c r="FL354" s="346">
        <v>0</v>
      </c>
    </row>
    <row r="355" spans="1:168" x14ac:dyDescent="0.25">
      <c r="A355" s="238">
        <v>8</v>
      </c>
      <c r="B355" s="238" t="s">
        <v>771</v>
      </c>
      <c r="C355" s="245" t="s">
        <v>11</v>
      </c>
      <c r="D355" s="245" t="s">
        <v>11</v>
      </c>
      <c r="E355" s="245" t="s">
        <v>11</v>
      </c>
      <c r="F355" s="245" t="s">
        <v>11</v>
      </c>
      <c r="G355" s="245" t="s">
        <v>11</v>
      </c>
      <c r="H355" s="245" t="s">
        <v>11</v>
      </c>
      <c r="I355" s="245" t="s">
        <v>11</v>
      </c>
      <c r="J355" s="245" t="s">
        <v>11</v>
      </c>
      <c r="K355" s="245" t="s">
        <v>11</v>
      </c>
      <c r="L355" s="245" t="s">
        <v>11</v>
      </c>
      <c r="N355">
        <v>140</v>
      </c>
      <c r="O355" t="s">
        <v>171</v>
      </c>
      <c r="P355" t="s">
        <v>171</v>
      </c>
      <c r="Q355" t="s">
        <v>23</v>
      </c>
      <c r="R355" s="2" t="s">
        <v>12</v>
      </c>
      <c r="S355" s="2" t="s">
        <v>12</v>
      </c>
      <c r="T355" s="2" t="s">
        <v>12</v>
      </c>
      <c r="U355" s="2" t="s">
        <v>12</v>
      </c>
      <c r="V355" s="2" t="s">
        <v>12</v>
      </c>
      <c r="W355" s="2" t="s">
        <v>12</v>
      </c>
      <c r="X355" s="2" t="s">
        <v>12</v>
      </c>
      <c r="Y355" s="2" t="s">
        <v>12</v>
      </c>
      <c r="Z355" s="2" t="s">
        <v>12</v>
      </c>
      <c r="AA355" s="2" t="s">
        <v>12</v>
      </c>
      <c r="AB355" s="2" t="s">
        <v>12</v>
      </c>
      <c r="AC355" s="2" t="s">
        <v>12</v>
      </c>
      <c r="AD355" t="s">
        <v>12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t="s">
        <v>12</v>
      </c>
      <c r="AR355" t="s">
        <v>12</v>
      </c>
      <c r="AS355" t="s">
        <v>12</v>
      </c>
      <c r="AT355" t="s">
        <v>12</v>
      </c>
      <c r="AU355" t="s">
        <v>12</v>
      </c>
      <c r="AV355" t="s">
        <v>12</v>
      </c>
      <c r="AW355" t="s">
        <v>12</v>
      </c>
      <c r="AX355" t="s">
        <v>12</v>
      </c>
      <c r="AY355" t="s">
        <v>12</v>
      </c>
      <c r="AZ355" t="s">
        <v>12</v>
      </c>
      <c r="BA355" t="s">
        <v>12</v>
      </c>
      <c r="BB355" t="s">
        <v>12</v>
      </c>
      <c r="BC355" t="s">
        <v>12</v>
      </c>
      <c r="BD355" t="s">
        <v>12</v>
      </c>
      <c r="BF355" s="313" t="s">
        <v>11</v>
      </c>
      <c r="BG355" s="313" t="s">
        <v>11</v>
      </c>
      <c r="BH355" t="s">
        <v>12</v>
      </c>
      <c r="BI355" t="s">
        <v>12</v>
      </c>
      <c r="BJ355" t="s">
        <v>12</v>
      </c>
      <c r="BK355" t="s">
        <v>12</v>
      </c>
      <c r="BL355" t="s">
        <v>12</v>
      </c>
      <c r="BM355" t="s">
        <v>12</v>
      </c>
      <c r="BN355" t="s">
        <v>12</v>
      </c>
      <c r="BO355" t="s">
        <v>12</v>
      </c>
      <c r="BP355" t="s">
        <v>12</v>
      </c>
      <c r="BQ355" t="s">
        <v>12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 s="9" t="s">
        <v>12</v>
      </c>
      <c r="CF355" s="28" t="s">
        <v>12</v>
      </c>
      <c r="CG355" s="28" t="s">
        <v>12</v>
      </c>
      <c r="CH355" s="28" t="s">
        <v>12</v>
      </c>
      <c r="CI355" s="28" t="s">
        <v>12</v>
      </c>
      <c r="CJ355" s="28" t="s">
        <v>12</v>
      </c>
      <c r="CK355" s="28" t="s">
        <v>12</v>
      </c>
      <c r="CL355" s="28" t="s">
        <v>12</v>
      </c>
      <c r="CM355" s="28" t="s">
        <v>12</v>
      </c>
      <c r="CN355" s="28" t="s">
        <v>12</v>
      </c>
      <c r="CO355" s="28" t="s">
        <v>12</v>
      </c>
      <c r="CP355" s="28" t="s">
        <v>12</v>
      </c>
      <c r="CQ355" s="28" t="s">
        <v>12</v>
      </c>
      <c r="CR355" s="28" t="s">
        <v>12</v>
      </c>
      <c r="CS355" s="28" t="s">
        <v>12</v>
      </c>
      <c r="CT355" s="28" t="s">
        <v>12</v>
      </c>
      <c r="CU355" s="28" t="s">
        <v>12</v>
      </c>
      <c r="CV355" s="28" t="s">
        <v>12</v>
      </c>
      <c r="CW355" s="28" t="s">
        <v>12</v>
      </c>
      <c r="CX355" s="28" t="s">
        <v>12</v>
      </c>
      <c r="CY355" s="28" t="s">
        <v>12</v>
      </c>
      <c r="CZ355" s="28" t="s">
        <v>12</v>
      </c>
      <c r="DA355" s="28" t="s">
        <v>12</v>
      </c>
      <c r="DB355" s="313">
        <v>140</v>
      </c>
      <c r="DC355" s="313" t="s">
        <v>171</v>
      </c>
      <c r="DD355" s="386" t="s">
        <v>12</v>
      </c>
      <c r="DE355" s="386" t="s">
        <v>12</v>
      </c>
      <c r="DF355" s="386" t="s">
        <v>12</v>
      </c>
      <c r="DG355" s="386" t="s">
        <v>12</v>
      </c>
      <c r="DH355" s="386" t="s">
        <v>12</v>
      </c>
      <c r="DI355" s="386" t="s">
        <v>12</v>
      </c>
      <c r="DJ355" s="386" t="s">
        <v>12</v>
      </c>
      <c r="DK355" s="386" t="s">
        <v>12</v>
      </c>
      <c r="DL355" s="386" t="s">
        <v>12</v>
      </c>
      <c r="DM355" s="386" t="s">
        <v>12</v>
      </c>
      <c r="DN355" s="7" t="s">
        <v>12</v>
      </c>
      <c r="DO355" s="7" t="s">
        <v>12</v>
      </c>
      <c r="DP355" s="7" t="s">
        <v>12</v>
      </c>
      <c r="DQ355" s="7" t="s">
        <v>12</v>
      </c>
      <c r="DR355" s="7" t="s">
        <v>12</v>
      </c>
      <c r="DS355" s="7" t="s">
        <v>12</v>
      </c>
      <c r="DT355" s="7" t="s">
        <v>12</v>
      </c>
      <c r="DU355" s="7" t="s">
        <v>12</v>
      </c>
      <c r="DV355" s="7" t="s">
        <v>12</v>
      </c>
      <c r="DW355" s="7" t="s">
        <v>12</v>
      </c>
      <c r="DY355" s="9">
        <v>5407579</v>
      </c>
      <c r="EI355" s="423" t="s">
        <v>12</v>
      </c>
      <c r="EJ355" s="423" t="s">
        <v>12</v>
      </c>
      <c r="EK355" s="423" t="s">
        <v>12</v>
      </c>
      <c r="EL355" s="423" t="s">
        <v>12</v>
      </c>
      <c r="EM355" s="423" t="s">
        <v>12</v>
      </c>
      <c r="EN355" s="423" t="s">
        <v>12</v>
      </c>
      <c r="EO355" s="423" t="s">
        <v>12</v>
      </c>
      <c r="EP355" s="423" t="s">
        <v>12</v>
      </c>
      <c r="EQ355" s="423" t="s">
        <v>12</v>
      </c>
      <c r="ER355" s="423" t="s">
        <v>12</v>
      </c>
      <c r="ES355" s="438" t="s">
        <v>12</v>
      </c>
      <c r="ET355" s="438" t="s">
        <v>12</v>
      </c>
      <c r="EU355" s="438" t="s">
        <v>12</v>
      </c>
      <c r="EV355" s="438" t="s">
        <v>12</v>
      </c>
      <c r="EW355" s="438" t="s">
        <v>12</v>
      </c>
      <c r="EX355" s="438" t="s">
        <v>12</v>
      </c>
      <c r="EY355" s="438" t="s">
        <v>12</v>
      </c>
      <c r="EZ355" s="438" t="s">
        <v>12</v>
      </c>
      <c r="FA355" s="438" t="s">
        <v>12</v>
      </c>
      <c r="FB355" s="438" t="s">
        <v>12</v>
      </c>
      <c r="FC355" s="346">
        <v>0</v>
      </c>
      <c r="FD355" s="346">
        <v>0</v>
      </c>
      <c r="FE355" s="346">
        <v>0</v>
      </c>
      <c r="FF355" s="346">
        <v>0</v>
      </c>
      <c r="FG355" s="346">
        <v>0</v>
      </c>
      <c r="FH355" s="346">
        <v>0</v>
      </c>
      <c r="FI355" s="346">
        <v>0</v>
      </c>
      <c r="FJ355" s="346">
        <v>0</v>
      </c>
      <c r="FK355" s="346">
        <v>0</v>
      </c>
      <c r="FL355" s="346">
        <v>0</v>
      </c>
    </row>
    <row r="356" spans="1:168" x14ac:dyDescent="0.25">
      <c r="A356" s="238">
        <v>9</v>
      </c>
      <c r="B356" s="238" t="s">
        <v>772</v>
      </c>
      <c r="C356" s="245" t="s">
        <v>11</v>
      </c>
      <c r="D356" s="245" t="s">
        <v>11</v>
      </c>
      <c r="E356" s="245" t="s">
        <v>11</v>
      </c>
      <c r="F356" s="245" t="s">
        <v>11</v>
      </c>
      <c r="G356" s="245" t="s">
        <v>11</v>
      </c>
      <c r="H356" s="245" t="s">
        <v>11</v>
      </c>
      <c r="I356" s="245" t="s">
        <v>11</v>
      </c>
      <c r="J356" s="245" t="s">
        <v>11</v>
      </c>
      <c r="K356" s="245" t="s">
        <v>11</v>
      </c>
      <c r="L356" s="245" t="s">
        <v>11</v>
      </c>
      <c r="N356">
        <v>141</v>
      </c>
      <c r="O356" t="s">
        <v>172</v>
      </c>
      <c r="P356" t="s">
        <v>172</v>
      </c>
      <c r="Q356" t="s">
        <v>23</v>
      </c>
      <c r="R356" s="2" t="s">
        <v>12</v>
      </c>
      <c r="S356" s="2" t="s">
        <v>12</v>
      </c>
      <c r="T356" s="2" t="s">
        <v>12</v>
      </c>
      <c r="U356" s="2" t="s">
        <v>12</v>
      </c>
      <c r="V356" s="2" t="s">
        <v>12</v>
      </c>
      <c r="W356" s="2" t="s">
        <v>12</v>
      </c>
      <c r="X356" s="2" t="s">
        <v>12</v>
      </c>
      <c r="Y356" s="2" t="s">
        <v>12</v>
      </c>
      <c r="Z356" s="2" t="s">
        <v>12</v>
      </c>
      <c r="AA356" s="2" t="s">
        <v>12</v>
      </c>
      <c r="AB356" s="2" t="s">
        <v>12</v>
      </c>
      <c r="AC356" s="2" t="s">
        <v>12</v>
      </c>
      <c r="AD356" t="s">
        <v>12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t="s">
        <v>12</v>
      </c>
      <c r="AR356" t="s">
        <v>12</v>
      </c>
      <c r="AS356" t="s">
        <v>12</v>
      </c>
      <c r="AT356" t="s">
        <v>12</v>
      </c>
      <c r="AU356" t="s">
        <v>12</v>
      </c>
      <c r="AV356" t="s">
        <v>12</v>
      </c>
      <c r="AW356" t="s">
        <v>12</v>
      </c>
      <c r="AX356" t="s">
        <v>12</v>
      </c>
      <c r="AY356" t="s">
        <v>12</v>
      </c>
      <c r="AZ356" t="s">
        <v>12</v>
      </c>
      <c r="BA356" t="s">
        <v>12</v>
      </c>
      <c r="BB356" t="s">
        <v>12</v>
      </c>
      <c r="BC356" t="s">
        <v>12</v>
      </c>
      <c r="BD356" t="s">
        <v>12</v>
      </c>
      <c r="BF356" s="313" t="s">
        <v>11</v>
      </c>
      <c r="BG356" s="313" t="s">
        <v>11</v>
      </c>
      <c r="BH356" t="s">
        <v>12</v>
      </c>
      <c r="BI356" t="s">
        <v>12</v>
      </c>
      <c r="BJ356" t="s">
        <v>12</v>
      </c>
      <c r="BK356" t="s">
        <v>12</v>
      </c>
      <c r="BL356" t="s">
        <v>12</v>
      </c>
      <c r="BM356" t="s">
        <v>12</v>
      </c>
      <c r="BN356" t="s">
        <v>12</v>
      </c>
      <c r="BO356" t="s">
        <v>12</v>
      </c>
      <c r="BP356" t="s">
        <v>12</v>
      </c>
      <c r="BQ356" t="s">
        <v>12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 s="9" t="s">
        <v>12</v>
      </c>
      <c r="CF356" s="28" t="s">
        <v>12</v>
      </c>
      <c r="CG356" s="28" t="s">
        <v>12</v>
      </c>
      <c r="CH356" s="28" t="s">
        <v>12</v>
      </c>
      <c r="CI356" s="28" t="s">
        <v>12</v>
      </c>
      <c r="CJ356" s="28" t="s">
        <v>12</v>
      </c>
      <c r="CK356" s="28" t="s">
        <v>12</v>
      </c>
      <c r="CL356" s="28" t="s">
        <v>12</v>
      </c>
      <c r="CM356" s="28" t="s">
        <v>12</v>
      </c>
      <c r="CN356" s="28" t="s">
        <v>12</v>
      </c>
      <c r="CO356" s="28" t="s">
        <v>12</v>
      </c>
      <c r="CP356" s="28" t="s">
        <v>12</v>
      </c>
      <c r="CQ356" s="28" t="s">
        <v>12</v>
      </c>
      <c r="CR356" s="28" t="s">
        <v>12</v>
      </c>
      <c r="CS356" s="28" t="s">
        <v>12</v>
      </c>
      <c r="CT356" s="28" t="s">
        <v>12</v>
      </c>
      <c r="CU356" s="28" t="s">
        <v>12</v>
      </c>
      <c r="CV356" s="28" t="s">
        <v>12</v>
      </c>
      <c r="CW356" s="28" t="s">
        <v>12</v>
      </c>
      <c r="CX356" s="28" t="s">
        <v>12</v>
      </c>
      <c r="CY356" s="28" t="s">
        <v>12</v>
      </c>
      <c r="CZ356" s="28" t="s">
        <v>12</v>
      </c>
      <c r="DA356" s="28" t="s">
        <v>12</v>
      </c>
      <c r="DB356" s="313">
        <v>141</v>
      </c>
      <c r="DC356" s="313" t="s">
        <v>172</v>
      </c>
      <c r="DD356" s="386" t="s">
        <v>12</v>
      </c>
      <c r="DE356" s="386" t="s">
        <v>12</v>
      </c>
      <c r="DF356" s="386" t="s">
        <v>12</v>
      </c>
      <c r="DG356" s="386" t="s">
        <v>12</v>
      </c>
      <c r="DH356" s="386" t="s">
        <v>12</v>
      </c>
      <c r="DI356" s="386" t="s">
        <v>12</v>
      </c>
      <c r="DJ356" s="386" t="s">
        <v>12</v>
      </c>
      <c r="DK356" s="386" t="s">
        <v>12</v>
      </c>
      <c r="DL356" s="386" t="s">
        <v>12</v>
      </c>
      <c r="DM356" s="386" t="s">
        <v>12</v>
      </c>
      <c r="DN356" s="7" t="s">
        <v>12</v>
      </c>
      <c r="DO356" s="7" t="s">
        <v>12</v>
      </c>
      <c r="DP356" s="7" t="s">
        <v>12</v>
      </c>
      <c r="DQ356" s="7" t="s">
        <v>12</v>
      </c>
      <c r="DR356" s="7" t="s">
        <v>12</v>
      </c>
      <c r="DS356" s="7" t="s">
        <v>12</v>
      </c>
      <c r="DT356" s="7" t="s">
        <v>12</v>
      </c>
      <c r="DU356" s="7" t="s">
        <v>12</v>
      </c>
      <c r="DV356" s="7" t="s">
        <v>12</v>
      </c>
      <c r="DW356" s="7" t="s">
        <v>12</v>
      </c>
      <c r="DY356" s="9">
        <v>2057159</v>
      </c>
      <c r="EI356" s="423" t="s">
        <v>12</v>
      </c>
      <c r="EJ356" s="423" t="s">
        <v>12</v>
      </c>
      <c r="EK356" s="423" t="s">
        <v>12</v>
      </c>
      <c r="EL356" s="423" t="s">
        <v>12</v>
      </c>
      <c r="EM356" s="423" t="s">
        <v>12</v>
      </c>
      <c r="EN356" s="423" t="s">
        <v>12</v>
      </c>
      <c r="EO356" s="423" t="s">
        <v>12</v>
      </c>
      <c r="EP356" s="423" t="s">
        <v>12</v>
      </c>
      <c r="EQ356" s="423" t="s">
        <v>12</v>
      </c>
      <c r="ER356" s="423" t="s">
        <v>12</v>
      </c>
      <c r="ES356" s="438" t="s">
        <v>12</v>
      </c>
      <c r="ET356" s="438" t="s">
        <v>12</v>
      </c>
      <c r="EU356" s="438" t="s">
        <v>12</v>
      </c>
      <c r="EV356" s="438" t="s">
        <v>12</v>
      </c>
      <c r="EW356" s="438" t="s">
        <v>12</v>
      </c>
      <c r="EX356" s="438" t="s">
        <v>12</v>
      </c>
      <c r="EY356" s="438" t="s">
        <v>12</v>
      </c>
      <c r="EZ356" s="438" t="s">
        <v>12</v>
      </c>
      <c r="FA356" s="438" t="s">
        <v>12</v>
      </c>
      <c r="FB356" s="438" t="s">
        <v>12</v>
      </c>
      <c r="FC356" s="346">
        <v>0</v>
      </c>
      <c r="FD356" s="346">
        <v>0</v>
      </c>
      <c r="FE356" s="346">
        <v>0</v>
      </c>
      <c r="FF356" s="346">
        <v>0</v>
      </c>
      <c r="FG356" s="346">
        <v>0</v>
      </c>
      <c r="FH356" s="346">
        <v>0</v>
      </c>
      <c r="FI356" s="346">
        <v>0</v>
      </c>
      <c r="FJ356" s="346">
        <v>0</v>
      </c>
      <c r="FK356" s="346">
        <v>0</v>
      </c>
      <c r="FL356" s="346">
        <v>0</v>
      </c>
    </row>
    <row r="357" spans="1:168" x14ac:dyDescent="0.25">
      <c r="A357" s="238">
        <v>10</v>
      </c>
      <c r="B357" s="238" t="s">
        <v>773</v>
      </c>
      <c r="C357" s="245" t="s">
        <v>11</v>
      </c>
      <c r="D357" s="245" t="s">
        <v>11</v>
      </c>
      <c r="E357" s="245" t="s">
        <v>11</v>
      </c>
      <c r="F357" s="245" t="s">
        <v>11</v>
      </c>
      <c r="G357" s="245" t="s">
        <v>11</v>
      </c>
      <c r="H357" s="245" t="s">
        <v>11</v>
      </c>
      <c r="I357" s="245" t="s">
        <v>11</v>
      </c>
      <c r="J357" s="245" t="s">
        <v>11</v>
      </c>
      <c r="K357" s="245" t="s">
        <v>11</v>
      </c>
      <c r="L357" s="245" t="s">
        <v>11</v>
      </c>
      <c r="N357">
        <v>142</v>
      </c>
      <c r="O357" t="s">
        <v>173</v>
      </c>
      <c r="P357" t="s">
        <v>174</v>
      </c>
      <c r="Q357" t="s">
        <v>25</v>
      </c>
      <c r="R357" s="2" t="s">
        <v>12</v>
      </c>
      <c r="S357" s="2" t="s">
        <v>12</v>
      </c>
      <c r="T357" s="2" t="s">
        <v>12</v>
      </c>
      <c r="U357" s="2" t="s">
        <v>12</v>
      </c>
      <c r="V357" s="2" t="s">
        <v>12</v>
      </c>
      <c r="W357" s="2" t="s">
        <v>12</v>
      </c>
      <c r="X357" s="2" t="s">
        <v>12</v>
      </c>
      <c r="Y357" s="2" t="s">
        <v>12</v>
      </c>
      <c r="Z357" s="2" t="s">
        <v>12</v>
      </c>
      <c r="AA357" s="2" t="s">
        <v>12</v>
      </c>
      <c r="AB357" s="2" t="s">
        <v>12</v>
      </c>
      <c r="AC357" s="2" t="s">
        <v>12</v>
      </c>
      <c r="AD357" t="s">
        <v>12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t="s">
        <v>12</v>
      </c>
      <c r="AR357" t="s">
        <v>12</v>
      </c>
      <c r="AS357" t="s">
        <v>12</v>
      </c>
      <c r="AT357" t="s">
        <v>12</v>
      </c>
      <c r="AU357" t="s">
        <v>12</v>
      </c>
      <c r="AV357" t="s">
        <v>12</v>
      </c>
      <c r="AW357" t="s">
        <v>12</v>
      </c>
      <c r="AX357" t="s">
        <v>12</v>
      </c>
      <c r="AY357" t="s">
        <v>12</v>
      </c>
      <c r="AZ357" t="s">
        <v>12</v>
      </c>
      <c r="BA357" t="s">
        <v>12</v>
      </c>
      <c r="BB357" t="s">
        <v>12</v>
      </c>
      <c r="BC357" t="s">
        <v>12</v>
      </c>
      <c r="BD357" t="s">
        <v>12</v>
      </c>
      <c r="BF357" s="313" t="s">
        <v>11</v>
      </c>
      <c r="BG357" s="313" t="s">
        <v>11</v>
      </c>
      <c r="BH357" t="s">
        <v>12</v>
      </c>
      <c r="BI357" t="s">
        <v>12</v>
      </c>
      <c r="BJ357" t="s">
        <v>12</v>
      </c>
      <c r="BK357" t="s">
        <v>12</v>
      </c>
      <c r="BL357" t="s">
        <v>12</v>
      </c>
      <c r="BM357" t="s">
        <v>12</v>
      </c>
      <c r="BN357" t="s">
        <v>12</v>
      </c>
      <c r="BO357" t="s">
        <v>12</v>
      </c>
      <c r="BP357" t="s">
        <v>12</v>
      </c>
      <c r="BQ357" t="s">
        <v>12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 s="9" t="s">
        <v>12</v>
      </c>
      <c r="CF357" s="28" t="s">
        <v>12</v>
      </c>
      <c r="CG357" s="28" t="s">
        <v>12</v>
      </c>
      <c r="CH357" s="28" t="s">
        <v>12</v>
      </c>
      <c r="CI357" s="28" t="s">
        <v>12</v>
      </c>
      <c r="CJ357" s="28" t="s">
        <v>12</v>
      </c>
      <c r="CK357" s="28" t="s">
        <v>12</v>
      </c>
      <c r="CL357" s="28" t="s">
        <v>12</v>
      </c>
      <c r="CM357" s="28" t="s">
        <v>12</v>
      </c>
      <c r="CN357" s="28" t="s">
        <v>12</v>
      </c>
      <c r="CO357" s="28" t="s">
        <v>12</v>
      </c>
      <c r="CP357" s="28" t="s">
        <v>12</v>
      </c>
      <c r="CQ357" s="28" t="s">
        <v>12</v>
      </c>
      <c r="CR357" s="28" t="s">
        <v>12</v>
      </c>
      <c r="CS357" s="28" t="s">
        <v>12</v>
      </c>
      <c r="CT357" s="28" t="s">
        <v>12</v>
      </c>
      <c r="CU357" s="28" t="s">
        <v>12</v>
      </c>
      <c r="CV357" s="28" t="s">
        <v>12</v>
      </c>
      <c r="CW357" s="28" t="s">
        <v>12</v>
      </c>
      <c r="CX357" s="28" t="s">
        <v>12</v>
      </c>
      <c r="CY357" s="28" t="s">
        <v>12</v>
      </c>
      <c r="CZ357" s="28" t="s">
        <v>12</v>
      </c>
      <c r="DA357" s="28" t="s">
        <v>12</v>
      </c>
      <c r="DB357" s="313">
        <v>142</v>
      </c>
      <c r="DC357" s="313" t="s">
        <v>173</v>
      </c>
      <c r="DD357" s="386" t="s">
        <v>12</v>
      </c>
      <c r="DE357" s="386" t="s">
        <v>12</v>
      </c>
      <c r="DF357" s="386" t="s">
        <v>12</v>
      </c>
      <c r="DG357" s="386" t="s">
        <v>12</v>
      </c>
      <c r="DH357" s="386" t="s">
        <v>12</v>
      </c>
      <c r="DI357" s="386" t="s">
        <v>12</v>
      </c>
      <c r="DJ357" s="386" t="s">
        <v>12</v>
      </c>
      <c r="DK357" s="386" t="s">
        <v>12</v>
      </c>
      <c r="DL357" s="386" t="s">
        <v>12</v>
      </c>
      <c r="DM357" s="386" t="s">
        <v>12</v>
      </c>
      <c r="DN357" s="7" t="s">
        <v>12</v>
      </c>
      <c r="DO357" s="7" t="s">
        <v>12</v>
      </c>
      <c r="DP357" s="7" t="s">
        <v>12</v>
      </c>
      <c r="DQ357" s="7" t="s">
        <v>12</v>
      </c>
      <c r="DR357" s="7" t="s">
        <v>12</v>
      </c>
      <c r="DS357" s="7" t="s">
        <v>12</v>
      </c>
      <c r="DT357" s="7" t="s">
        <v>12</v>
      </c>
      <c r="DU357" s="7" t="s">
        <v>12</v>
      </c>
      <c r="DV357" s="7" t="s">
        <v>12</v>
      </c>
      <c r="DW357" s="7" t="s">
        <v>12</v>
      </c>
      <c r="DY357" s="9">
        <v>549162</v>
      </c>
      <c r="EI357" s="423" t="s">
        <v>12</v>
      </c>
      <c r="EJ357" s="423" t="s">
        <v>12</v>
      </c>
      <c r="EK357" s="423" t="s">
        <v>12</v>
      </c>
      <c r="EL357" s="423" t="s">
        <v>12</v>
      </c>
      <c r="EM357" s="423" t="s">
        <v>12</v>
      </c>
      <c r="EN357" s="423" t="s">
        <v>12</v>
      </c>
      <c r="EO357" s="423" t="s">
        <v>12</v>
      </c>
      <c r="EP357" s="423" t="s">
        <v>12</v>
      </c>
      <c r="EQ357" s="423" t="s">
        <v>12</v>
      </c>
      <c r="ER357" s="423" t="s">
        <v>12</v>
      </c>
      <c r="ES357" s="438" t="s">
        <v>12</v>
      </c>
      <c r="ET357" s="438" t="s">
        <v>12</v>
      </c>
      <c r="EU357" s="438" t="s">
        <v>12</v>
      </c>
      <c r="EV357" s="438" t="s">
        <v>12</v>
      </c>
      <c r="EW357" s="438" t="s">
        <v>12</v>
      </c>
      <c r="EX357" s="438" t="s">
        <v>12</v>
      </c>
      <c r="EY357" s="438" t="s">
        <v>12</v>
      </c>
      <c r="EZ357" s="438" t="s">
        <v>12</v>
      </c>
      <c r="FA357" s="438" t="s">
        <v>12</v>
      </c>
      <c r="FB357" s="438" t="s">
        <v>12</v>
      </c>
      <c r="FC357" s="346">
        <v>0</v>
      </c>
      <c r="FD357" s="346">
        <v>0</v>
      </c>
      <c r="FE357" s="346">
        <v>0</v>
      </c>
      <c r="FF357" s="346">
        <v>0</v>
      </c>
      <c r="FG357" s="346">
        <v>0</v>
      </c>
      <c r="FH357" s="346">
        <v>0</v>
      </c>
      <c r="FI357" s="346">
        <v>0</v>
      </c>
      <c r="FJ357" s="346">
        <v>0</v>
      </c>
      <c r="FK357" s="346">
        <v>0</v>
      </c>
      <c r="FL357" s="346">
        <v>0</v>
      </c>
    </row>
    <row r="358" spans="1:168" x14ac:dyDescent="0.25">
      <c r="N358">
        <v>143</v>
      </c>
      <c r="O358" t="s">
        <v>175</v>
      </c>
      <c r="P358" t="s">
        <v>175</v>
      </c>
      <c r="Q358" t="s">
        <v>14</v>
      </c>
      <c r="R358" s="2" t="s">
        <v>12</v>
      </c>
      <c r="S358" s="2" t="s">
        <v>12</v>
      </c>
      <c r="T358" s="2" t="s">
        <v>12</v>
      </c>
      <c r="U358" s="2" t="s">
        <v>12</v>
      </c>
      <c r="V358" s="2" t="s">
        <v>12</v>
      </c>
      <c r="W358" s="2" t="s">
        <v>12</v>
      </c>
      <c r="X358" s="2" t="s">
        <v>12</v>
      </c>
      <c r="Y358" s="2" t="s">
        <v>12</v>
      </c>
      <c r="Z358" s="2" t="s">
        <v>12</v>
      </c>
      <c r="AA358" s="2" t="s">
        <v>12</v>
      </c>
      <c r="AB358" s="2" t="s">
        <v>12</v>
      </c>
      <c r="AC358" s="2" t="s">
        <v>12</v>
      </c>
      <c r="AD358" t="s">
        <v>12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t="s">
        <v>12</v>
      </c>
      <c r="AR358" t="s">
        <v>12</v>
      </c>
      <c r="AS358" t="s">
        <v>12</v>
      </c>
      <c r="AT358" t="s">
        <v>12</v>
      </c>
      <c r="AU358" t="s">
        <v>12</v>
      </c>
      <c r="AV358" t="s">
        <v>12</v>
      </c>
      <c r="AW358" t="s">
        <v>12</v>
      </c>
      <c r="AX358" t="s">
        <v>12</v>
      </c>
      <c r="AY358" t="s">
        <v>12</v>
      </c>
      <c r="AZ358" t="s">
        <v>12</v>
      </c>
      <c r="BA358" t="s">
        <v>12</v>
      </c>
      <c r="BB358" t="s">
        <v>12</v>
      </c>
      <c r="BC358" t="s">
        <v>12</v>
      </c>
      <c r="BD358" t="s">
        <v>12</v>
      </c>
      <c r="BF358" s="313" t="s">
        <v>11</v>
      </c>
      <c r="BG358" s="313" t="s">
        <v>11</v>
      </c>
      <c r="BH358" t="s">
        <v>12</v>
      </c>
      <c r="BI358" t="s">
        <v>12</v>
      </c>
      <c r="BJ358" t="s">
        <v>12</v>
      </c>
      <c r="BK358" t="s">
        <v>12</v>
      </c>
      <c r="BL358" t="s">
        <v>12</v>
      </c>
      <c r="BM358" t="s">
        <v>12</v>
      </c>
      <c r="BN358" t="s">
        <v>12</v>
      </c>
      <c r="BO358" t="s">
        <v>12</v>
      </c>
      <c r="BP358" t="s">
        <v>12</v>
      </c>
      <c r="BQ358" t="s">
        <v>12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 s="9" t="s">
        <v>12</v>
      </c>
      <c r="CF358" s="28" t="s">
        <v>12</v>
      </c>
      <c r="CG358" s="28" t="s">
        <v>12</v>
      </c>
      <c r="CH358" s="28" t="s">
        <v>12</v>
      </c>
      <c r="CI358" s="28" t="s">
        <v>12</v>
      </c>
      <c r="CJ358" s="28" t="s">
        <v>12</v>
      </c>
      <c r="CK358" s="28" t="s">
        <v>12</v>
      </c>
      <c r="CL358" s="28" t="s">
        <v>12</v>
      </c>
      <c r="CM358" s="28" t="s">
        <v>12</v>
      </c>
      <c r="CN358" s="28" t="s">
        <v>12</v>
      </c>
      <c r="CO358" s="28" t="s">
        <v>12</v>
      </c>
      <c r="CP358" s="28" t="s">
        <v>12</v>
      </c>
      <c r="CQ358" s="28" t="s">
        <v>12</v>
      </c>
      <c r="CR358" s="28" t="s">
        <v>12</v>
      </c>
      <c r="CS358" s="28" t="s">
        <v>12</v>
      </c>
      <c r="CT358" s="28" t="s">
        <v>12</v>
      </c>
      <c r="CU358" s="28" t="s">
        <v>12</v>
      </c>
      <c r="CV358" s="28" t="s">
        <v>12</v>
      </c>
      <c r="CW358" s="28" t="s">
        <v>12</v>
      </c>
      <c r="CX358" s="28" t="s">
        <v>12</v>
      </c>
      <c r="CY358" s="28" t="s">
        <v>12</v>
      </c>
      <c r="CZ358" s="28" t="s">
        <v>12</v>
      </c>
      <c r="DA358" s="28" t="s">
        <v>12</v>
      </c>
      <c r="DB358" s="313">
        <v>143</v>
      </c>
      <c r="DC358" s="313" t="s">
        <v>175</v>
      </c>
      <c r="DD358" s="386" t="s">
        <v>12</v>
      </c>
      <c r="DE358" s="386" t="s">
        <v>12</v>
      </c>
      <c r="DF358" s="386" t="s">
        <v>12</v>
      </c>
      <c r="DG358" s="386" t="s">
        <v>12</v>
      </c>
      <c r="DH358" s="386" t="s">
        <v>12</v>
      </c>
      <c r="DI358" s="386" t="s">
        <v>12</v>
      </c>
      <c r="DJ358" s="386" t="s">
        <v>12</v>
      </c>
      <c r="DK358" s="386" t="s">
        <v>12</v>
      </c>
      <c r="DL358" s="386" t="s">
        <v>12</v>
      </c>
      <c r="DM358" s="386" t="s">
        <v>12</v>
      </c>
      <c r="DN358" s="7" t="s">
        <v>12</v>
      </c>
      <c r="DO358" s="7" t="s">
        <v>12</v>
      </c>
      <c r="DP358" s="7" t="s">
        <v>12</v>
      </c>
      <c r="DQ358" s="7" t="s">
        <v>12</v>
      </c>
      <c r="DR358" s="7" t="s">
        <v>12</v>
      </c>
      <c r="DS358" s="7" t="s">
        <v>12</v>
      </c>
      <c r="DT358" s="7" t="s">
        <v>12</v>
      </c>
      <c r="DU358" s="7" t="s">
        <v>12</v>
      </c>
      <c r="DV358" s="7" t="s">
        <v>12</v>
      </c>
      <c r="DW358" s="7" t="s">
        <v>12</v>
      </c>
      <c r="DY358" s="9">
        <v>10033630</v>
      </c>
      <c r="EI358" s="423" t="s">
        <v>12</v>
      </c>
      <c r="EJ358" s="423" t="s">
        <v>12</v>
      </c>
      <c r="EK358" s="423" t="s">
        <v>12</v>
      </c>
      <c r="EL358" s="423" t="s">
        <v>12</v>
      </c>
      <c r="EM358" s="423" t="s">
        <v>12</v>
      </c>
      <c r="EN358" s="423" t="s">
        <v>12</v>
      </c>
      <c r="EO358" s="423" t="s">
        <v>12</v>
      </c>
      <c r="EP358" s="423" t="s">
        <v>12</v>
      </c>
      <c r="EQ358" s="423" t="s">
        <v>12</v>
      </c>
      <c r="ER358" s="423" t="s">
        <v>12</v>
      </c>
      <c r="ES358" s="438" t="s">
        <v>12</v>
      </c>
      <c r="ET358" s="438" t="s">
        <v>12</v>
      </c>
      <c r="EU358" s="438" t="s">
        <v>12</v>
      </c>
      <c r="EV358" s="438" t="s">
        <v>12</v>
      </c>
      <c r="EW358" s="438" t="s">
        <v>12</v>
      </c>
      <c r="EX358" s="438" t="s">
        <v>12</v>
      </c>
      <c r="EY358" s="438" t="s">
        <v>12</v>
      </c>
      <c r="EZ358" s="438" t="s">
        <v>12</v>
      </c>
      <c r="FA358" s="438" t="s">
        <v>12</v>
      </c>
      <c r="FB358" s="438" t="s">
        <v>12</v>
      </c>
      <c r="FC358" s="346">
        <v>0</v>
      </c>
      <c r="FD358" s="346">
        <v>0</v>
      </c>
      <c r="FE358" s="346">
        <v>0</v>
      </c>
      <c r="FF358" s="346">
        <v>0</v>
      </c>
      <c r="FG358" s="346">
        <v>0</v>
      </c>
      <c r="FH358" s="346">
        <v>0</v>
      </c>
      <c r="FI358" s="346">
        <v>0</v>
      </c>
      <c r="FJ358" s="346">
        <v>0</v>
      </c>
      <c r="FK358" s="346">
        <v>0</v>
      </c>
      <c r="FL358" s="346">
        <v>0</v>
      </c>
    </row>
    <row r="359" spans="1:168" ht="30" x14ac:dyDescent="0.25">
      <c r="A359" s="14" t="s">
        <v>784</v>
      </c>
      <c r="B359" s="14"/>
      <c r="C359" s="14" t="s">
        <v>594</v>
      </c>
      <c r="D359" s="14" t="s">
        <v>595</v>
      </c>
      <c r="E359" s="14" t="s">
        <v>596</v>
      </c>
      <c r="F359" s="14" t="s">
        <v>597</v>
      </c>
      <c r="G359" s="14" t="s">
        <v>598</v>
      </c>
      <c r="H359" s="14" t="s">
        <v>599</v>
      </c>
      <c r="I359" s="14" t="s">
        <v>600</v>
      </c>
      <c r="J359" s="14" t="s">
        <v>601</v>
      </c>
      <c r="K359" s="14" t="s">
        <v>602</v>
      </c>
      <c r="L359" s="14" t="s">
        <v>603</v>
      </c>
      <c r="N359">
        <v>144</v>
      </c>
      <c r="O359" t="s">
        <v>176</v>
      </c>
      <c r="P359" t="s">
        <v>177</v>
      </c>
      <c r="Q359" t="s">
        <v>14</v>
      </c>
      <c r="R359" s="2" t="s">
        <v>12</v>
      </c>
      <c r="S359" s="2" t="s">
        <v>12</v>
      </c>
      <c r="T359" s="2" t="s">
        <v>12</v>
      </c>
      <c r="U359" s="2" t="s">
        <v>12</v>
      </c>
      <c r="V359" s="2" t="s">
        <v>12</v>
      </c>
      <c r="W359" s="2" t="s">
        <v>12</v>
      </c>
      <c r="X359" s="2" t="s">
        <v>12</v>
      </c>
      <c r="Y359" s="2" t="s">
        <v>12</v>
      </c>
      <c r="Z359" s="2" t="s">
        <v>12</v>
      </c>
      <c r="AA359" s="2" t="s">
        <v>12</v>
      </c>
      <c r="AB359" s="2" t="s">
        <v>12</v>
      </c>
      <c r="AC359" s="2" t="s">
        <v>12</v>
      </c>
      <c r="AD359" t="s">
        <v>12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t="s">
        <v>12</v>
      </c>
      <c r="AR359" t="s">
        <v>12</v>
      </c>
      <c r="AS359" t="s">
        <v>12</v>
      </c>
      <c r="AT359" t="s">
        <v>12</v>
      </c>
      <c r="AU359" t="s">
        <v>12</v>
      </c>
      <c r="AV359" t="s">
        <v>12</v>
      </c>
      <c r="AW359" t="s">
        <v>12</v>
      </c>
      <c r="AX359" t="s">
        <v>12</v>
      </c>
      <c r="AY359" t="s">
        <v>12</v>
      </c>
      <c r="AZ359" t="s">
        <v>12</v>
      </c>
      <c r="BA359" t="s">
        <v>12</v>
      </c>
      <c r="BB359" t="s">
        <v>12</v>
      </c>
      <c r="BC359" t="s">
        <v>12</v>
      </c>
      <c r="BD359" t="s">
        <v>12</v>
      </c>
      <c r="BF359" s="313" t="s">
        <v>11</v>
      </c>
      <c r="BG359" s="313" t="s">
        <v>11</v>
      </c>
      <c r="BH359" t="s">
        <v>12</v>
      </c>
      <c r="BI359" t="s">
        <v>12</v>
      </c>
      <c r="BJ359" t="s">
        <v>12</v>
      </c>
      <c r="BK359" t="s">
        <v>12</v>
      </c>
      <c r="BL359" t="s">
        <v>12</v>
      </c>
      <c r="BM359" t="s">
        <v>12</v>
      </c>
      <c r="BN359" t="s">
        <v>12</v>
      </c>
      <c r="BO359" t="s">
        <v>12</v>
      </c>
      <c r="BP359" t="s">
        <v>12</v>
      </c>
      <c r="BQ359" t="s">
        <v>12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 s="9" t="s">
        <v>12</v>
      </c>
      <c r="CF359" s="28" t="s">
        <v>12</v>
      </c>
      <c r="CG359" s="28" t="s">
        <v>12</v>
      </c>
      <c r="CH359" s="28" t="s">
        <v>12</v>
      </c>
      <c r="CI359" s="28" t="s">
        <v>12</v>
      </c>
      <c r="CJ359" s="28" t="s">
        <v>12</v>
      </c>
      <c r="CK359" s="28" t="s">
        <v>12</v>
      </c>
      <c r="CL359" s="28" t="s">
        <v>12</v>
      </c>
      <c r="CM359" s="28" t="s">
        <v>12</v>
      </c>
      <c r="CN359" s="28" t="s">
        <v>12</v>
      </c>
      <c r="CO359" s="28" t="s">
        <v>12</v>
      </c>
      <c r="CP359" s="28" t="s">
        <v>12</v>
      </c>
      <c r="CQ359" s="28" t="s">
        <v>12</v>
      </c>
      <c r="CR359" s="28" t="s">
        <v>12</v>
      </c>
      <c r="CS359" s="28" t="s">
        <v>12</v>
      </c>
      <c r="CT359" s="28" t="s">
        <v>12</v>
      </c>
      <c r="CU359" s="28" t="s">
        <v>12</v>
      </c>
      <c r="CV359" s="28" t="s">
        <v>12</v>
      </c>
      <c r="CW359" s="28" t="s">
        <v>12</v>
      </c>
      <c r="CX359" s="28" t="s">
        <v>12</v>
      </c>
      <c r="CY359" s="28" t="s">
        <v>12</v>
      </c>
      <c r="CZ359" s="28" t="s">
        <v>12</v>
      </c>
      <c r="DA359" s="28" t="s">
        <v>12</v>
      </c>
      <c r="DB359" s="313">
        <v>144</v>
      </c>
      <c r="DC359" s="313" t="s">
        <v>176</v>
      </c>
      <c r="DD359" s="386" t="s">
        <v>12</v>
      </c>
      <c r="DE359" s="386" t="s">
        <v>12</v>
      </c>
      <c r="DF359" s="386" t="s">
        <v>12</v>
      </c>
      <c r="DG359" s="386" t="s">
        <v>12</v>
      </c>
      <c r="DH359" s="386" t="s">
        <v>12</v>
      </c>
      <c r="DI359" s="386" t="s">
        <v>12</v>
      </c>
      <c r="DJ359" s="386" t="s">
        <v>12</v>
      </c>
      <c r="DK359" s="386" t="s">
        <v>12</v>
      </c>
      <c r="DL359" s="386" t="s">
        <v>12</v>
      </c>
      <c r="DM359" s="386" t="s">
        <v>12</v>
      </c>
      <c r="DN359" s="7" t="s">
        <v>12</v>
      </c>
      <c r="DO359" s="7" t="s">
        <v>12</v>
      </c>
      <c r="DP359" s="7" t="s">
        <v>12</v>
      </c>
      <c r="DQ359" s="7" t="s">
        <v>12</v>
      </c>
      <c r="DR359" s="7" t="s">
        <v>12</v>
      </c>
      <c r="DS359" s="7" t="s">
        <v>12</v>
      </c>
      <c r="DT359" s="7" t="s">
        <v>12</v>
      </c>
      <c r="DU359" s="7" t="s">
        <v>12</v>
      </c>
      <c r="DV359" s="7" t="s">
        <v>12</v>
      </c>
      <c r="DW359" s="7" t="s">
        <v>12</v>
      </c>
      <c r="DY359" s="9">
        <v>52356381</v>
      </c>
      <c r="EI359" s="423" t="s">
        <v>12</v>
      </c>
      <c r="EJ359" s="423" t="s">
        <v>12</v>
      </c>
      <c r="EK359" s="423" t="s">
        <v>12</v>
      </c>
      <c r="EL359" s="423" t="s">
        <v>12</v>
      </c>
      <c r="EM359" s="423" t="s">
        <v>12</v>
      </c>
      <c r="EN359" s="423" t="s">
        <v>12</v>
      </c>
      <c r="EO359" s="423" t="s">
        <v>12</v>
      </c>
      <c r="EP359" s="423" t="s">
        <v>12</v>
      </c>
      <c r="EQ359" s="423" t="s">
        <v>12</v>
      </c>
      <c r="ER359" s="423" t="s">
        <v>12</v>
      </c>
      <c r="ES359" s="438" t="s">
        <v>12</v>
      </c>
      <c r="ET359" s="438" t="s">
        <v>12</v>
      </c>
      <c r="EU359" s="438" t="s">
        <v>12</v>
      </c>
      <c r="EV359" s="438" t="s">
        <v>12</v>
      </c>
      <c r="EW359" s="438" t="s">
        <v>12</v>
      </c>
      <c r="EX359" s="438" t="s">
        <v>12</v>
      </c>
      <c r="EY359" s="438" t="s">
        <v>12</v>
      </c>
      <c r="EZ359" s="438" t="s">
        <v>12</v>
      </c>
      <c r="FA359" s="438" t="s">
        <v>12</v>
      </c>
      <c r="FB359" s="438" t="s">
        <v>12</v>
      </c>
      <c r="FC359" s="346">
        <v>0</v>
      </c>
      <c r="FD359" s="346">
        <v>0</v>
      </c>
      <c r="FE359" s="346">
        <v>0</v>
      </c>
      <c r="FF359" s="346">
        <v>0</v>
      </c>
      <c r="FG359" s="346">
        <v>0</v>
      </c>
      <c r="FH359" s="346">
        <v>0</v>
      </c>
      <c r="FI359" s="346">
        <v>0</v>
      </c>
      <c r="FJ359" s="346">
        <v>0</v>
      </c>
      <c r="FK359" s="346">
        <v>0</v>
      </c>
      <c r="FL359" s="346">
        <v>0</v>
      </c>
    </row>
    <row r="360" spans="1:168" x14ac:dyDescent="0.25">
      <c r="A360" s="238">
        <v>1</v>
      </c>
      <c r="B360" s="238" t="s">
        <v>761</v>
      </c>
      <c r="C360" s="250">
        <v>27712500.940303732</v>
      </c>
      <c r="D360" s="250">
        <v>34676442.718041174</v>
      </c>
      <c r="E360" s="250">
        <v>17420094.916520249</v>
      </c>
      <c r="F360" s="250">
        <v>192274689.46289992</v>
      </c>
      <c r="G360" s="250">
        <v>83859373.725545689</v>
      </c>
      <c r="H360" s="250">
        <v>22146501.79352966</v>
      </c>
      <c r="I360" s="250" t="s">
        <v>11</v>
      </c>
      <c r="J360" s="250" t="s">
        <v>11</v>
      </c>
      <c r="K360" s="250" t="s">
        <v>11</v>
      </c>
      <c r="L360" s="250" t="s">
        <v>11</v>
      </c>
      <c r="N360">
        <v>145</v>
      </c>
      <c r="O360" t="s">
        <v>178</v>
      </c>
      <c r="P360" t="s">
        <v>179</v>
      </c>
      <c r="Q360" t="s">
        <v>25</v>
      </c>
      <c r="R360" s="2" t="s">
        <v>12</v>
      </c>
      <c r="S360" s="2">
        <v>705200</v>
      </c>
      <c r="T360" s="2" t="s">
        <v>12</v>
      </c>
      <c r="U360" s="2" t="s">
        <v>12</v>
      </c>
      <c r="V360" s="2" t="s">
        <v>12</v>
      </c>
      <c r="W360" s="2" t="s">
        <v>12</v>
      </c>
      <c r="X360" s="2" t="s">
        <v>12</v>
      </c>
      <c r="Y360" s="2" t="s">
        <v>12</v>
      </c>
      <c r="Z360" s="2" t="s">
        <v>12</v>
      </c>
      <c r="AA360" s="2" t="s">
        <v>12</v>
      </c>
      <c r="AB360" s="2" t="s">
        <v>12</v>
      </c>
      <c r="AC360" s="2" t="s">
        <v>12</v>
      </c>
      <c r="AD360">
        <v>2012</v>
      </c>
      <c r="AE360" s="2">
        <v>0</v>
      </c>
      <c r="AF360" s="2">
        <v>1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t="s">
        <v>12</v>
      </c>
      <c r="AR360" t="s">
        <v>12</v>
      </c>
      <c r="AS360" t="s">
        <v>12</v>
      </c>
      <c r="AT360" t="s">
        <v>12</v>
      </c>
      <c r="AU360">
        <v>2012</v>
      </c>
      <c r="AV360" t="s">
        <v>12</v>
      </c>
      <c r="AW360" t="s">
        <v>12</v>
      </c>
      <c r="AX360" t="s">
        <v>12</v>
      </c>
      <c r="AY360" t="s">
        <v>12</v>
      </c>
      <c r="AZ360" t="s">
        <v>12</v>
      </c>
      <c r="BA360">
        <v>2012</v>
      </c>
      <c r="BB360">
        <v>8</v>
      </c>
      <c r="BC360" t="s">
        <v>178</v>
      </c>
      <c r="BD360">
        <v>2012</v>
      </c>
      <c r="BF360" s="313" t="s">
        <v>11</v>
      </c>
      <c r="BG360" s="313" t="s">
        <v>11</v>
      </c>
      <c r="BH360" t="s">
        <v>12</v>
      </c>
      <c r="BI360" t="s">
        <v>12</v>
      </c>
      <c r="BJ360" t="s">
        <v>12</v>
      </c>
      <c r="BK360" t="s">
        <v>12</v>
      </c>
      <c r="BL360" t="s">
        <v>12</v>
      </c>
      <c r="BM360" t="s">
        <v>12</v>
      </c>
      <c r="BN360" t="s">
        <v>12</v>
      </c>
      <c r="BO360" t="s">
        <v>12</v>
      </c>
      <c r="BP360" t="s">
        <v>12</v>
      </c>
      <c r="BQ360" t="s">
        <v>12</v>
      </c>
      <c r="BS360">
        <v>0</v>
      </c>
      <c r="BT360">
        <v>9035600.841611946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 s="9" t="s">
        <v>12</v>
      </c>
      <c r="CF360" s="28" t="s">
        <v>12</v>
      </c>
      <c r="CG360" s="28" t="s">
        <v>12</v>
      </c>
      <c r="CH360" s="28" t="s">
        <v>12</v>
      </c>
      <c r="CI360" s="28" t="s">
        <v>12</v>
      </c>
      <c r="CJ360" s="28">
        <v>3.4349649047214692</v>
      </c>
      <c r="CK360" s="28" t="s">
        <v>12</v>
      </c>
      <c r="CL360" s="28" t="s">
        <v>12</v>
      </c>
      <c r="CM360" s="28" t="s">
        <v>12</v>
      </c>
      <c r="CN360" s="28" t="s">
        <v>12</v>
      </c>
      <c r="CO360" s="28" t="s">
        <v>12</v>
      </c>
      <c r="CP360" s="28">
        <v>3.4349649047214692</v>
      </c>
      <c r="CQ360" s="28" t="s">
        <v>12</v>
      </c>
      <c r="CR360" s="28" t="s">
        <v>12</v>
      </c>
      <c r="CS360" s="28" t="s">
        <v>12</v>
      </c>
      <c r="CT360" s="28" t="s">
        <v>12</v>
      </c>
      <c r="CU360" s="28">
        <v>2.5762236785411021</v>
      </c>
      <c r="CV360" s="28" t="s">
        <v>12</v>
      </c>
      <c r="CW360" s="28" t="s">
        <v>12</v>
      </c>
      <c r="CX360" s="28" t="s">
        <v>12</v>
      </c>
      <c r="CY360" s="28" t="s">
        <v>12</v>
      </c>
      <c r="CZ360" s="28" t="s">
        <v>12</v>
      </c>
      <c r="DA360" s="28">
        <v>2.5762236785411021</v>
      </c>
      <c r="DB360" s="313">
        <v>145</v>
      </c>
      <c r="DC360" s="313" t="s">
        <v>178</v>
      </c>
      <c r="DD360" s="386" t="s">
        <v>12</v>
      </c>
      <c r="DE360" s="386" t="s">
        <v>12</v>
      </c>
      <c r="DF360" s="386" t="s">
        <v>12</v>
      </c>
      <c r="DG360" s="386" t="s">
        <v>12</v>
      </c>
      <c r="DH360" s="386" t="s">
        <v>12</v>
      </c>
      <c r="DI360" s="386" t="s">
        <v>12</v>
      </c>
      <c r="DJ360" s="386" t="s">
        <v>12</v>
      </c>
      <c r="DK360" s="386" t="s">
        <v>12</v>
      </c>
      <c r="DL360" s="386" t="s">
        <v>12</v>
      </c>
      <c r="DM360" s="386" t="s">
        <v>12</v>
      </c>
      <c r="DN360" s="7" t="s">
        <v>12</v>
      </c>
      <c r="DO360" s="7" t="s">
        <v>12</v>
      </c>
      <c r="DP360" s="7" t="s">
        <v>12</v>
      </c>
      <c r="DQ360" s="7" t="s">
        <v>12</v>
      </c>
      <c r="DR360" s="7" t="s">
        <v>12</v>
      </c>
      <c r="DS360" s="7" t="s">
        <v>12</v>
      </c>
      <c r="DT360" s="7" t="s">
        <v>12</v>
      </c>
      <c r="DU360" s="7" t="s">
        <v>12</v>
      </c>
      <c r="DV360" s="7" t="s">
        <v>12</v>
      </c>
      <c r="DW360" s="7" t="s">
        <v>12</v>
      </c>
      <c r="DY360" s="9">
        <v>50004441</v>
      </c>
      <c r="EI360" s="423" t="s">
        <v>12</v>
      </c>
      <c r="EJ360" s="423" t="s">
        <v>12</v>
      </c>
      <c r="EK360" s="423" t="s">
        <v>12</v>
      </c>
      <c r="EL360" s="423" t="s">
        <v>12</v>
      </c>
      <c r="EM360" s="423">
        <v>1</v>
      </c>
      <c r="EN360" s="423" t="s">
        <v>12</v>
      </c>
      <c r="EO360" s="423" t="s">
        <v>12</v>
      </c>
      <c r="EP360" s="423" t="s">
        <v>12</v>
      </c>
      <c r="EQ360" s="423" t="s">
        <v>12</v>
      </c>
      <c r="ER360" s="423" t="s">
        <v>12</v>
      </c>
      <c r="ES360" s="438">
        <v>1</v>
      </c>
      <c r="ET360" s="438">
        <v>1</v>
      </c>
      <c r="EU360" s="438">
        <v>1</v>
      </c>
      <c r="EV360" s="438">
        <v>1</v>
      </c>
      <c r="EW360" s="438">
        <v>705200</v>
      </c>
      <c r="EX360" s="438">
        <v>1</v>
      </c>
      <c r="EY360" s="438">
        <v>1</v>
      </c>
      <c r="EZ360" s="438">
        <v>1</v>
      </c>
      <c r="FA360" s="438">
        <v>1</v>
      </c>
      <c r="FB360" s="438" t="s">
        <v>12</v>
      </c>
      <c r="FC360" s="346">
        <v>0</v>
      </c>
      <c r="FD360" s="346">
        <v>1258590.0356375212</v>
      </c>
      <c r="FE360" s="346">
        <v>0</v>
      </c>
      <c r="FF360" s="346">
        <v>0</v>
      </c>
      <c r="FG360" s="346">
        <v>0</v>
      </c>
      <c r="FH360" s="346">
        <v>0</v>
      </c>
      <c r="FI360" s="346">
        <v>0</v>
      </c>
      <c r="FJ360" s="346">
        <v>0</v>
      </c>
      <c r="FK360" s="346">
        <v>0</v>
      </c>
      <c r="FL360" s="346">
        <v>0</v>
      </c>
    </row>
    <row r="361" spans="1:168" x14ac:dyDescent="0.25">
      <c r="A361" s="238">
        <v>2</v>
      </c>
      <c r="B361" s="238" t="s">
        <v>763</v>
      </c>
      <c r="C361" s="250">
        <v>1859423.5306972978</v>
      </c>
      <c r="D361" s="250">
        <v>7730143.191369893</v>
      </c>
      <c r="E361" s="250">
        <v>53046231.355448335</v>
      </c>
      <c r="F361" s="250">
        <v>8561660.4694740791</v>
      </c>
      <c r="G361" s="250">
        <v>9035600.841611946</v>
      </c>
      <c r="H361" s="250">
        <v>13412235.182075288</v>
      </c>
      <c r="I361" s="250" t="s">
        <v>11</v>
      </c>
      <c r="J361" s="250" t="s">
        <v>11</v>
      </c>
      <c r="K361" s="250" t="s">
        <v>11</v>
      </c>
      <c r="L361" s="250" t="s">
        <v>11</v>
      </c>
      <c r="N361">
        <v>146</v>
      </c>
      <c r="O361" t="s">
        <v>180</v>
      </c>
      <c r="P361" t="s">
        <v>180</v>
      </c>
      <c r="Q361" t="s">
        <v>23</v>
      </c>
      <c r="R361" s="2" t="s">
        <v>12</v>
      </c>
      <c r="S361" s="2" t="s">
        <v>12</v>
      </c>
      <c r="T361" s="2" t="s">
        <v>12</v>
      </c>
      <c r="U361" s="2" t="s">
        <v>12</v>
      </c>
      <c r="V361" s="2" t="s">
        <v>12</v>
      </c>
      <c r="W361" s="2" t="s">
        <v>12</v>
      </c>
      <c r="X361" s="2" t="s">
        <v>12</v>
      </c>
      <c r="Y361" s="2" t="s">
        <v>12</v>
      </c>
      <c r="Z361" s="2" t="s">
        <v>12</v>
      </c>
      <c r="AA361" s="2" t="s">
        <v>12</v>
      </c>
      <c r="AB361" s="2" t="s">
        <v>12</v>
      </c>
      <c r="AC361" s="2" t="s">
        <v>12</v>
      </c>
      <c r="AD361" t="s">
        <v>12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t="s">
        <v>12</v>
      </c>
      <c r="AR361" t="s">
        <v>12</v>
      </c>
      <c r="AS361" t="s">
        <v>12</v>
      </c>
      <c r="AT361" t="s">
        <v>12</v>
      </c>
      <c r="AU361" t="s">
        <v>12</v>
      </c>
      <c r="AV361" t="s">
        <v>12</v>
      </c>
      <c r="AW361" t="s">
        <v>12</v>
      </c>
      <c r="AX361" t="s">
        <v>12</v>
      </c>
      <c r="AY361" t="s">
        <v>12</v>
      </c>
      <c r="AZ361" t="s">
        <v>12</v>
      </c>
      <c r="BA361" t="s">
        <v>12</v>
      </c>
      <c r="BB361" t="s">
        <v>12</v>
      </c>
      <c r="BC361" t="s">
        <v>12</v>
      </c>
      <c r="BD361" t="s">
        <v>12</v>
      </c>
      <c r="BF361" s="313" t="s">
        <v>11</v>
      </c>
      <c r="BG361" s="313" t="s">
        <v>11</v>
      </c>
      <c r="BH361" t="s">
        <v>12</v>
      </c>
      <c r="BI361" t="s">
        <v>12</v>
      </c>
      <c r="BJ361" t="s">
        <v>12</v>
      </c>
      <c r="BK361" t="s">
        <v>12</v>
      </c>
      <c r="BL361" t="s">
        <v>12</v>
      </c>
      <c r="BM361" t="s">
        <v>12</v>
      </c>
      <c r="BN361" t="s">
        <v>12</v>
      </c>
      <c r="BO361" t="s">
        <v>12</v>
      </c>
      <c r="BP361" t="s">
        <v>12</v>
      </c>
      <c r="BQ361" t="s">
        <v>12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s="9" t="s">
        <v>12</v>
      </c>
      <c r="CF361" s="28" t="s">
        <v>12</v>
      </c>
      <c r="CG361" s="28" t="s">
        <v>12</v>
      </c>
      <c r="CH361" s="28" t="s">
        <v>12</v>
      </c>
      <c r="CI361" s="28" t="s">
        <v>12</v>
      </c>
      <c r="CJ361" s="28" t="s">
        <v>12</v>
      </c>
      <c r="CK361" s="28" t="s">
        <v>12</v>
      </c>
      <c r="CL361" s="28" t="s">
        <v>12</v>
      </c>
      <c r="CM361" s="28" t="s">
        <v>12</v>
      </c>
      <c r="CN361" s="28" t="s">
        <v>12</v>
      </c>
      <c r="CO361" s="28" t="s">
        <v>12</v>
      </c>
      <c r="CP361" s="28" t="s">
        <v>12</v>
      </c>
      <c r="CQ361" s="28" t="s">
        <v>12</v>
      </c>
      <c r="CR361" s="28" t="s">
        <v>12</v>
      </c>
      <c r="CS361" s="28" t="s">
        <v>12</v>
      </c>
      <c r="CT361" s="28" t="s">
        <v>12</v>
      </c>
      <c r="CU361" s="28" t="s">
        <v>12</v>
      </c>
      <c r="CV361" s="28" t="s">
        <v>12</v>
      </c>
      <c r="CW361" s="28" t="s">
        <v>12</v>
      </c>
      <c r="CX361" s="28" t="s">
        <v>12</v>
      </c>
      <c r="CY361" s="28" t="s">
        <v>12</v>
      </c>
      <c r="CZ361" s="28" t="s">
        <v>12</v>
      </c>
      <c r="DA361" s="28" t="s">
        <v>12</v>
      </c>
      <c r="DB361" s="313">
        <v>146</v>
      </c>
      <c r="DC361" s="313" t="s">
        <v>180</v>
      </c>
      <c r="DD361" s="386" t="s">
        <v>12</v>
      </c>
      <c r="DE361" s="386" t="s">
        <v>12</v>
      </c>
      <c r="DF361" s="386" t="s">
        <v>12</v>
      </c>
      <c r="DG361" s="386" t="s">
        <v>12</v>
      </c>
      <c r="DH361" s="386" t="s">
        <v>12</v>
      </c>
      <c r="DI361" s="386" t="s">
        <v>12</v>
      </c>
      <c r="DJ361" s="386" t="s">
        <v>12</v>
      </c>
      <c r="DK361" s="386" t="s">
        <v>12</v>
      </c>
      <c r="DL361" s="386" t="s">
        <v>12</v>
      </c>
      <c r="DM361" s="386" t="s">
        <v>12</v>
      </c>
      <c r="DN361" s="7" t="s">
        <v>12</v>
      </c>
      <c r="DO361" s="7" t="s">
        <v>12</v>
      </c>
      <c r="DP361" s="7" t="s">
        <v>12</v>
      </c>
      <c r="DQ361" s="7" t="s">
        <v>12</v>
      </c>
      <c r="DR361" s="7" t="s">
        <v>12</v>
      </c>
      <c r="DS361" s="7" t="s">
        <v>12</v>
      </c>
      <c r="DT361" s="7" t="s">
        <v>12</v>
      </c>
      <c r="DU361" s="7" t="s">
        <v>12</v>
      </c>
      <c r="DV361" s="7" t="s">
        <v>12</v>
      </c>
      <c r="DW361" s="7" t="s">
        <v>12</v>
      </c>
      <c r="DY361" s="9">
        <v>46773055</v>
      </c>
      <c r="EI361" s="423" t="s">
        <v>12</v>
      </c>
      <c r="EJ361" s="423" t="s">
        <v>12</v>
      </c>
      <c r="EK361" s="423" t="s">
        <v>12</v>
      </c>
      <c r="EL361" s="423" t="s">
        <v>12</v>
      </c>
      <c r="EM361" s="423" t="s">
        <v>12</v>
      </c>
      <c r="EN361" s="423" t="s">
        <v>12</v>
      </c>
      <c r="EO361" s="423" t="s">
        <v>12</v>
      </c>
      <c r="EP361" s="423" t="s">
        <v>12</v>
      </c>
      <c r="EQ361" s="423" t="s">
        <v>12</v>
      </c>
      <c r="ER361" s="423" t="s">
        <v>12</v>
      </c>
      <c r="ES361" s="438" t="s">
        <v>12</v>
      </c>
      <c r="ET361" s="438" t="s">
        <v>12</v>
      </c>
      <c r="EU361" s="438" t="s">
        <v>12</v>
      </c>
      <c r="EV361" s="438" t="s">
        <v>12</v>
      </c>
      <c r="EW361" s="438" t="s">
        <v>12</v>
      </c>
      <c r="EX361" s="438" t="s">
        <v>12</v>
      </c>
      <c r="EY361" s="438" t="s">
        <v>12</v>
      </c>
      <c r="EZ361" s="438" t="s">
        <v>12</v>
      </c>
      <c r="FA361" s="438" t="s">
        <v>12</v>
      </c>
      <c r="FB361" s="438" t="s">
        <v>12</v>
      </c>
      <c r="FC361" s="346">
        <v>0</v>
      </c>
      <c r="FD361" s="346">
        <v>0</v>
      </c>
      <c r="FE361" s="346">
        <v>0</v>
      </c>
      <c r="FF361" s="346">
        <v>0</v>
      </c>
      <c r="FG361" s="346">
        <v>0</v>
      </c>
      <c r="FH361" s="346">
        <v>0</v>
      </c>
      <c r="FI361" s="346">
        <v>0</v>
      </c>
      <c r="FJ361" s="346">
        <v>0</v>
      </c>
      <c r="FK361" s="346">
        <v>0</v>
      </c>
      <c r="FL361" s="346">
        <v>0</v>
      </c>
    </row>
    <row r="362" spans="1:168" x14ac:dyDescent="0.25">
      <c r="A362" s="238">
        <v>3</v>
      </c>
      <c r="B362" s="238" t="s">
        <v>764</v>
      </c>
      <c r="C362" s="250" t="s">
        <v>11</v>
      </c>
      <c r="D362" s="250" t="s">
        <v>11</v>
      </c>
      <c r="E362" s="250" t="s">
        <v>11</v>
      </c>
      <c r="F362" s="250" t="s">
        <v>11</v>
      </c>
      <c r="G362" s="250" t="s">
        <v>11</v>
      </c>
      <c r="H362" s="250" t="s">
        <v>11</v>
      </c>
      <c r="I362" s="250" t="s">
        <v>11</v>
      </c>
      <c r="J362" s="250" t="s">
        <v>11</v>
      </c>
      <c r="K362" s="250" t="s">
        <v>11</v>
      </c>
      <c r="L362" s="250" t="s">
        <v>11</v>
      </c>
      <c r="N362">
        <v>147</v>
      </c>
      <c r="O362" t="s">
        <v>181</v>
      </c>
      <c r="P362" t="s">
        <v>182</v>
      </c>
      <c r="Q362" t="s">
        <v>25</v>
      </c>
      <c r="R362" s="2" t="s">
        <v>12</v>
      </c>
      <c r="S362" s="2" t="s">
        <v>12</v>
      </c>
      <c r="T362" s="2" t="s">
        <v>12</v>
      </c>
      <c r="U362" s="2" t="s">
        <v>12</v>
      </c>
      <c r="V362" s="2" t="s">
        <v>12</v>
      </c>
      <c r="W362" s="2" t="s">
        <v>12</v>
      </c>
      <c r="X362" s="2" t="s">
        <v>12</v>
      </c>
      <c r="Y362" s="2" t="s">
        <v>12</v>
      </c>
      <c r="Z362" s="2" t="s">
        <v>12</v>
      </c>
      <c r="AA362" s="2" t="s">
        <v>12</v>
      </c>
      <c r="AB362" s="2" t="s">
        <v>12</v>
      </c>
      <c r="AC362" s="2" t="s">
        <v>12</v>
      </c>
      <c r="AD362" t="s">
        <v>12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t="s">
        <v>12</v>
      </c>
      <c r="AR362" t="s">
        <v>12</v>
      </c>
      <c r="AS362" t="s">
        <v>12</v>
      </c>
      <c r="AT362" t="s">
        <v>12</v>
      </c>
      <c r="AU362" t="s">
        <v>12</v>
      </c>
      <c r="AV362" t="s">
        <v>12</v>
      </c>
      <c r="AW362" t="s">
        <v>12</v>
      </c>
      <c r="AX362" t="s">
        <v>12</v>
      </c>
      <c r="AY362" t="s">
        <v>12</v>
      </c>
      <c r="AZ362" t="s">
        <v>12</v>
      </c>
      <c r="BA362" t="s">
        <v>12</v>
      </c>
      <c r="BB362" t="s">
        <v>12</v>
      </c>
      <c r="BC362" t="s">
        <v>12</v>
      </c>
      <c r="BD362" t="s">
        <v>12</v>
      </c>
      <c r="BF362" s="313" t="s">
        <v>11</v>
      </c>
      <c r="BG362" s="313" t="s">
        <v>11</v>
      </c>
      <c r="BH362" t="s">
        <v>12</v>
      </c>
      <c r="BI362" t="s">
        <v>12</v>
      </c>
      <c r="BJ362" t="s">
        <v>12</v>
      </c>
      <c r="BK362" t="s">
        <v>12</v>
      </c>
      <c r="BL362" t="s">
        <v>12</v>
      </c>
      <c r="BM362" t="s">
        <v>12</v>
      </c>
      <c r="BN362" t="s">
        <v>12</v>
      </c>
      <c r="BO362" t="s">
        <v>12</v>
      </c>
      <c r="BP362" t="s">
        <v>12</v>
      </c>
      <c r="BQ362" t="s">
        <v>12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 s="9" t="s">
        <v>12</v>
      </c>
      <c r="CF362" s="28" t="s">
        <v>12</v>
      </c>
      <c r="CG362" s="28" t="s">
        <v>12</v>
      </c>
      <c r="CH362" s="28" t="s">
        <v>12</v>
      </c>
      <c r="CI362" s="28" t="s">
        <v>12</v>
      </c>
      <c r="CJ362" s="28" t="s">
        <v>12</v>
      </c>
      <c r="CK362" s="28" t="s">
        <v>12</v>
      </c>
      <c r="CL362" s="28" t="s">
        <v>12</v>
      </c>
      <c r="CM362" s="28" t="s">
        <v>12</v>
      </c>
      <c r="CN362" s="28" t="s">
        <v>12</v>
      </c>
      <c r="CO362" s="28" t="s">
        <v>12</v>
      </c>
      <c r="CP362" s="28" t="s">
        <v>12</v>
      </c>
      <c r="CQ362" s="28" t="s">
        <v>12</v>
      </c>
      <c r="CR362" s="28" t="s">
        <v>12</v>
      </c>
      <c r="CS362" s="28" t="s">
        <v>12</v>
      </c>
      <c r="CT362" s="28" t="s">
        <v>12</v>
      </c>
      <c r="CU362" s="28" t="s">
        <v>12</v>
      </c>
      <c r="CV362" s="28" t="s">
        <v>12</v>
      </c>
      <c r="CW362" s="28" t="s">
        <v>12</v>
      </c>
      <c r="CX362" s="28" t="s">
        <v>12</v>
      </c>
      <c r="CY362" s="28" t="s">
        <v>12</v>
      </c>
      <c r="CZ362" s="28" t="s">
        <v>12</v>
      </c>
      <c r="DA362" s="28" t="s">
        <v>12</v>
      </c>
      <c r="DB362" s="313">
        <v>147</v>
      </c>
      <c r="DC362" s="313" t="s">
        <v>181</v>
      </c>
      <c r="DD362" s="386" t="s">
        <v>12</v>
      </c>
      <c r="DE362" s="386" t="s">
        <v>12</v>
      </c>
      <c r="DF362" s="386" t="s">
        <v>12</v>
      </c>
      <c r="DG362" s="386" t="s">
        <v>12</v>
      </c>
      <c r="DH362" s="386" t="s">
        <v>12</v>
      </c>
      <c r="DI362" s="386" t="s">
        <v>12</v>
      </c>
      <c r="DJ362" s="386" t="s">
        <v>12</v>
      </c>
      <c r="DK362" s="386" t="s">
        <v>12</v>
      </c>
      <c r="DL362" s="386" t="s">
        <v>12</v>
      </c>
      <c r="DM362" s="386" t="s">
        <v>12</v>
      </c>
      <c r="DN362" s="7" t="s">
        <v>12</v>
      </c>
      <c r="DO362" s="7" t="s">
        <v>12</v>
      </c>
      <c r="DP362" s="7" t="s">
        <v>12</v>
      </c>
      <c r="DQ362" s="7" t="s">
        <v>12</v>
      </c>
      <c r="DR362" s="7" t="s">
        <v>12</v>
      </c>
      <c r="DS362" s="7" t="s">
        <v>12</v>
      </c>
      <c r="DT362" s="7" t="s">
        <v>12</v>
      </c>
      <c r="DU362" s="7" t="s">
        <v>12</v>
      </c>
      <c r="DV362" s="7" t="s">
        <v>12</v>
      </c>
      <c r="DW362" s="7" t="s">
        <v>12</v>
      </c>
      <c r="DY362" s="9">
        <v>20424000</v>
      </c>
      <c r="EI362" s="423" t="s">
        <v>12</v>
      </c>
      <c r="EJ362" s="423" t="s">
        <v>12</v>
      </c>
      <c r="EK362" s="423" t="s">
        <v>12</v>
      </c>
      <c r="EL362" s="423" t="s">
        <v>12</v>
      </c>
      <c r="EM362" s="423" t="s">
        <v>12</v>
      </c>
      <c r="EN362" s="423" t="s">
        <v>12</v>
      </c>
      <c r="EO362" s="423" t="s">
        <v>12</v>
      </c>
      <c r="EP362" s="423" t="s">
        <v>12</v>
      </c>
      <c r="EQ362" s="423" t="s">
        <v>12</v>
      </c>
      <c r="ER362" s="423" t="s">
        <v>12</v>
      </c>
      <c r="ES362" s="438" t="s">
        <v>12</v>
      </c>
      <c r="ET362" s="438" t="s">
        <v>12</v>
      </c>
      <c r="EU362" s="438" t="s">
        <v>12</v>
      </c>
      <c r="EV362" s="438" t="s">
        <v>12</v>
      </c>
      <c r="EW362" s="438" t="s">
        <v>12</v>
      </c>
      <c r="EX362" s="438" t="s">
        <v>12</v>
      </c>
      <c r="EY362" s="438" t="s">
        <v>12</v>
      </c>
      <c r="EZ362" s="438" t="s">
        <v>12</v>
      </c>
      <c r="FA362" s="438" t="s">
        <v>12</v>
      </c>
      <c r="FB362" s="438" t="s">
        <v>12</v>
      </c>
      <c r="FC362" s="346">
        <v>0</v>
      </c>
      <c r="FD362" s="346">
        <v>0</v>
      </c>
      <c r="FE362" s="346">
        <v>0</v>
      </c>
      <c r="FF362" s="346">
        <v>0</v>
      </c>
      <c r="FG362" s="346">
        <v>0</v>
      </c>
      <c r="FH362" s="346">
        <v>0</v>
      </c>
      <c r="FI362" s="346">
        <v>0</v>
      </c>
      <c r="FJ362" s="346">
        <v>0</v>
      </c>
      <c r="FK362" s="346">
        <v>0</v>
      </c>
      <c r="FL362" s="346">
        <v>0</v>
      </c>
    </row>
    <row r="363" spans="1:168" x14ac:dyDescent="0.25">
      <c r="A363" s="238">
        <v>4</v>
      </c>
      <c r="B363" s="238" t="s">
        <v>765</v>
      </c>
      <c r="C363" s="250" t="s">
        <v>11</v>
      </c>
      <c r="D363" s="250" t="s">
        <v>11</v>
      </c>
      <c r="E363" s="250" t="s">
        <v>11</v>
      </c>
      <c r="F363" s="250" t="s">
        <v>11</v>
      </c>
      <c r="G363" s="250" t="s">
        <v>11</v>
      </c>
      <c r="H363" s="250" t="s">
        <v>11</v>
      </c>
      <c r="I363" s="250" t="s">
        <v>11</v>
      </c>
      <c r="J363" s="250" t="s">
        <v>11</v>
      </c>
      <c r="K363" s="250" t="s">
        <v>11</v>
      </c>
      <c r="L363" s="250" t="s">
        <v>11</v>
      </c>
      <c r="N363">
        <v>148</v>
      </c>
      <c r="O363" t="s">
        <v>183</v>
      </c>
      <c r="P363" t="s">
        <v>183</v>
      </c>
      <c r="Q363" t="s">
        <v>18</v>
      </c>
      <c r="R363" s="2" t="s">
        <v>12</v>
      </c>
      <c r="S363" s="2" t="s">
        <v>12</v>
      </c>
      <c r="T363" s="2" t="s">
        <v>12</v>
      </c>
      <c r="U363" s="2" t="s">
        <v>12</v>
      </c>
      <c r="V363" s="2" t="s">
        <v>12</v>
      </c>
      <c r="W363" s="2" t="s">
        <v>12</v>
      </c>
      <c r="X363" s="2" t="s">
        <v>12</v>
      </c>
      <c r="Y363" s="2" t="s">
        <v>12</v>
      </c>
      <c r="Z363" s="2" t="s">
        <v>12</v>
      </c>
      <c r="AA363" s="2" t="s">
        <v>12</v>
      </c>
      <c r="AB363" s="2" t="s">
        <v>12</v>
      </c>
      <c r="AC363" s="2" t="s">
        <v>12</v>
      </c>
      <c r="AD363" t="s">
        <v>12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t="s">
        <v>12</v>
      </c>
      <c r="AR363" t="s">
        <v>12</v>
      </c>
      <c r="AS363" t="s">
        <v>12</v>
      </c>
      <c r="AT363" t="s">
        <v>12</v>
      </c>
      <c r="AU363" t="s">
        <v>12</v>
      </c>
      <c r="AV363" t="s">
        <v>12</v>
      </c>
      <c r="AW363" t="s">
        <v>12</v>
      </c>
      <c r="AX363" t="s">
        <v>12</v>
      </c>
      <c r="AY363" t="s">
        <v>12</v>
      </c>
      <c r="AZ363" t="s">
        <v>12</v>
      </c>
      <c r="BA363" t="s">
        <v>12</v>
      </c>
      <c r="BB363" t="s">
        <v>12</v>
      </c>
      <c r="BC363" t="s">
        <v>12</v>
      </c>
      <c r="BD363" t="s">
        <v>12</v>
      </c>
      <c r="BF363" s="313" t="s">
        <v>11</v>
      </c>
      <c r="BG363" s="313" t="s">
        <v>11</v>
      </c>
      <c r="BH363" t="s">
        <v>12</v>
      </c>
      <c r="BI363" t="s">
        <v>12</v>
      </c>
      <c r="BJ363" t="s">
        <v>12</v>
      </c>
      <c r="BK363" t="s">
        <v>12</v>
      </c>
      <c r="BL363" t="s">
        <v>12</v>
      </c>
      <c r="BM363" t="s">
        <v>12</v>
      </c>
      <c r="BN363" t="s">
        <v>12</v>
      </c>
      <c r="BO363" t="s">
        <v>12</v>
      </c>
      <c r="BP363" t="s">
        <v>12</v>
      </c>
      <c r="BQ363" t="s">
        <v>12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 s="9" t="s">
        <v>12</v>
      </c>
      <c r="CF363" s="28" t="s">
        <v>12</v>
      </c>
      <c r="CG363" s="28" t="s">
        <v>12</v>
      </c>
      <c r="CH363" s="28" t="s">
        <v>12</v>
      </c>
      <c r="CI363" s="28" t="s">
        <v>12</v>
      </c>
      <c r="CJ363" s="28" t="s">
        <v>12</v>
      </c>
      <c r="CK363" s="28" t="s">
        <v>12</v>
      </c>
      <c r="CL363" s="28" t="s">
        <v>12</v>
      </c>
      <c r="CM363" s="28" t="s">
        <v>12</v>
      </c>
      <c r="CN363" s="28" t="s">
        <v>12</v>
      </c>
      <c r="CO363" s="28" t="s">
        <v>12</v>
      </c>
      <c r="CP363" s="28" t="s">
        <v>12</v>
      </c>
      <c r="CQ363" s="28" t="s">
        <v>12</v>
      </c>
      <c r="CR363" s="28" t="s">
        <v>12</v>
      </c>
      <c r="CS363" s="28" t="s">
        <v>12</v>
      </c>
      <c r="CT363" s="28" t="s">
        <v>12</v>
      </c>
      <c r="CU363" s="28" t="s">
        <v>12</v>
      </c>
      <c r="CV363" s="28" t="s">
        <v>12</v>
      </c>
      <c r="CW363" s="28" t="s">
        <v>12</v>
      </c>
      <c r="CX363" s="28" t="s">
        <v>12</v>
      </c>
      <c r="CY363" s="28" t="s">
        <v>12</v>
      </c>
      <c r="CZ363" s="28" t="s">
        <v>12</v>
      </c>
      <c r="DA363" s="28" t="s">
        <v>12</v>
      </c>
      <c r="DB363" s="313">
        <v>148</v>
      </c>
      <c r="DC363" s="313" t="s">
        <v>183</v>
      </c>
      <c r="DD363" s="386" t="s">
        <v>12</v>
      </c>
      <c r="DE363" s="386" t="s">
        <v>12</v>
      </c>
      <c r="DF363" s="386" t="s">
        <v>12</v>
      </c>
      <c r="DG363" s="386" t="s">
        <v>12</v>
      </c>
      <c r="DH363" s="386" t="s">
        <v>12</v>
      </c>
      <c r="DI363" s="386" t="s">
        <v>12</v>
      </c>
      <c r="DJ363" s="386" t="s">
        <v>12</v>
      </c>
      <c r="DK363" s="386" t="s">
        <v>12</v>
      </c>
      <c r="DL363" s="386" t="s">
        <v>12</v>
      </c>
      <c r="DM363" s="386" t="s">
        <v>12</v>
      </c>
      <c r="DN363" s="7" t="s">
        <v>12</v>
      </c>
      <c r="DO363" s="7" t="s">
        <v>12</v>
      </c>
      <c r="DP363" s="7" t="s">
        <v>12</v>
      </c>
      <c r="DQ363" s="7" t="s">
        <v>12</v>
      </c>
      <c r="DR363" s="7" t="s">
        <v>12</v>
      </c>
      <c r="DS363" s="7" t="s">
        <v>12</v>
      </c>
      <c r="DT363" s="7" t="s">
        <v>12</v>
      </c>
      <c r="DU363" s="7" t="s">
        <v>12</v>
      </c>
      <c r="DV363" s="7" t="s">
        <v>12</v>
      </c>
      <c r="DW363" s="7" t="s">
        <v>12</v>
      </c>
      <c r="DY363" s="9">
        <v>528535</v>
      </c>
      <c r="EI363" s="423" t="s">
        <v>12</v>
      </c>
      <c r="EJ363" s="423" t="s">
        <v>12</v>
      </c>
      <c r="EK363" s="423" t="s">
        <v>12</v>
      </c>
      <c r="EL363" s="423" t="s">
        <v>12</v>
      </c>
      <c r="EM363" s="423" t="s">
        <v>12</v>
      </c>
      <c r="EN363" s="423" t="s">
        <v>12</v>
      </c>
      <c r="EO363" s="423" t="s">
        <v>12</v>
      </c>
      <c r="EP363" s="423" t="s">
        <v>12</v>
      </c>
      <c r="EQ363" s="423" t="s">
        <v>12</v>
      </c>
      <c r="ER363" s="423" t="s">
        <v>12</v>
      </c>
      <c r="ES363" s="438" t="s">
        <v>12</v>
      </c>
      <c r="ET363" s="438" t="s">
        <v>12</v>
      </c>
      <c r="EU363" s="438" t="s">
        <v>12</v>
      </c>
      <c r="EV363" s="438" t="s">
        <v>12</v>
      </c>
      <c r="EW363" s="438" t="s">
        <v>12</v>
      </c>
      <c r="EX363" s="438" t="s">
        <v>12</v>
      </c>
      <c r="EY363" s="438" t="s">
        <v>12</v>
      </c>
      <c r="EZ363" s="438" t="s">
        <v>12</v>
      </c>
      <c r="FA363" s="438" t="s">
        <v>12</v>
      </c>
      <c r="FB363" s="438" t="s">
        <v>12</v>
      </c>
      <c r="FC363" s="346">
        <v>0</v>
      </c>
      <c r="FD363" s="346">
        <v>0</v>
      </c>
      <c r="FE363" s="346">
        <v>0</v>
      </c>
      <c r="FF363" s="346">
        <v>0</v>
      </c>
      <c r="FG363" s="346">
        <v>0</v>
      </c>
      <c r="FH363" s="346">
        <v>0</v>
      </c>
      <c r="FI363" s="346">
        <v>0</v>
      </c>
      <c r="FJ363" s="346">
        <v>0</v>
      </c>
      <c r="FK363" s="346">
        <v>0</v>
      </c>
      <c r="FL363" s="346">
        <v>0</v>
      </c>
    </row>
    <row r="364" spans="1:168" x14ac:dyDescent="0.25">
      <c r="A364" s="238">
        <v>5</v>
      </c>
      <c r="B364" s="238" t="s">
        <v>767</v>
      </c>
      <c r="C364" s="250" t="s">
        <v>11</v>
      </c>
      <c r="D364" s="250" t="s">
        <v>11</v>
      </c>
      <c r="E364" s="250" t="s">
        <v>11</v>
      </c>
      <c r="F364" s="250" t="s">
        <v>11</v>
      </c>
      <c r="G364" s="250" t="s">
        <v>11</v>
      </c>
      <c r="H364" s="250" t="s">
        <v>11</v>
      </c>
      <c r="I364" s="250" t="s">
        <v>11</v>
      </c>
      <c r="J364" s="250" t="s">
        <v>11</v>
      </c>
      <c r="K364" s="250" t="s">
        <v>11</v>
      </c>
      <c r="L364" s="250" t="s">
        <v>11</v>
      </c>
      <c r="N364">
        <v>149</v>
      </c>
      <c r="O364" t="s">
        <v>184</v>
      </c>
      <c r="P364" t="s">
        <v>184</v>
      </c>
      <c r="Q364" t="s">
        <v>14</v>
      </c>
      <c r="R364" s="2" t="s">
        <v>12</v>
      </c>
      <c r="S364" s="2" t="s">
        <v>12</v>
      </c>
      <c r="T364" s="2" t="s">
        <v>12</v>
      </c>
      <c r="U364" s="2" t="s">
        <v>12</v>
      </c>
      <c r="V364" s="2" t="s">
        <v>12</v>
      </c>
      <c r="W364" s="2" t="s">
        <v>12</v>
      </c>
      <c r="X364" s="2" t="s">
        <v>12</v>
      </c>
      <c r="Y364" s="2" t="s">
        <v>12</v>
      </c>
      <c r="Z364" s="2" t="s">
        <v>12</v>
      </c>
      <c r="AA364" s="2" t="s">
        <v>12</v>
      </c>
      <c r="AB364" s="2" t="s">
        <v>12</v>
      </c>
      <c r="AC364" s="2" t="s">
        <v>12</v>
      </c>
      <c r="AD364" t="s">
        <v>12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t="s">
        <v>12</v>
      </c>
      <c r="AR364" t="s">
        <v>12</v>
      </c>
      <c r="AS364" t="s">
        <v>12</v>
      </c>
      <c r="AT364" t="s">
        <v>12</v>
      </c>
      <c r="AU364" t="s">
        <v>12</v>
      </c>
      <c r="AV364" t="s">
        <v>12</v>
      </c>
      <c r="AW364" t="s">
        <v>12</v>
      </c>
      <c r="AX364" t="s">
        <v>12</v>
      </c>
      <c r="AY364" t="s">
        <v>12</v>
      </c>
      <c r="AZ364" t="s">
        <v>12</v>
      </c>
      <c r="BA364" t="s">
        <v>12</v>
      </c>
      <c r="BB364" t="s">
        <v>12</v>
      </c>
      <c r="BC364" t="s">
        <v>12</v>
      </c>
      <c r="BD364" t="s">
        <v>12</v>
      </c>
      <c r="BF364" s="313" t="s">
        <v>11</v>
      </c>
      <c r="BG364" s="313" t="s">
        <v>11</v>
      </c>
      <c r="BH364" t="s">
        <v>12</v>
      </c>
      <c r="BI364" t="s">
        <v>12</v>
      </c>
      <c r="BJ364" t="s">
        <v>12</v>
      </c>
      <c r="BK364" t="s">
        <v>12</v>
      </c>
      <c r="BL364" t="s">
        <v>12</v>
      </c>
      <c r="BM364" t="s">
        <v>12</v>
      </c>
      <c r="BN364" t="s">
        <v>12</v>
      </c>
      <c r="BO364" t="s">
        <v>12</v>
      </c>
      <c r="BP364" t="s">
        <v>12</v>
      </c>
      <c r="BQ364" t="s">
        <v>12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 s="9" t="s">
        <v>12</v>
      </c>
      <c r="CF364" s="28" t="s">
        <v>12</v>
      </c>
      <c r="CG364" s="28" t="s">
        <v>12</v>
      </c>
      <c r="CH364" s="28" t="s">
        <v>12</v>
      </c>
      <c r="CI364" s="28" t="s">
        <v>12</v>
      </c>
      <c r="CJ364" s="28" t="s">
        <v>12</v>
      </c>
      <c r="CK364" s="28" t="s">
        <v>12</v>
      </c>
      <c r="CL364" s="28" t="s">
        <v>12</v>
      </c>
      <c r="CM364" s="28" t="s">
        <v>12</v>
      </c>
      <c r="CN364" s="28" t="s">
        <v>12</v>
      </c>
      <c r="CO364" s="28" t="s">
        <v>12</v>
      </c>
      <c r="CP364" s="28" t="s">
        <v>12</v>
      </c>
      <c r="CQ364" s="28" t="s">
        <v>12</v>
      </c>
      <c r="CR364" s="28" t="s">
        <v>12</v>
      </c>
      <c r="CS364" s="28" t="s">
        <v>12</v>
      </c>
      <c r="CT364" s="28" t="s">
        <v>12</v>
      </c>
      <c r="CU364" s="28" t="s">
        <v>12</v>
      </c>
      <c r="CV364" s="28" t="s">
        <v>12</v>
      </c>
      <c r="CW364" s="28" t="s">
        <v>12</v>
      </c>
      <c r="CX364" s="28" t="s">
        <v>12</v>
      </c>
      <c r="CY364" s="28" t="s">
        <v>12</v>
      </c>
      <c r="CZ364" s="28" t="s">
        <v>12</v>
      </c>
      <c r="DA364" s="28" t="s">
        <v>12</v>
      </c>
      <c r="DB364" s="313">
        <v>149</v>
      </c>
      <c r="DC364" s="313" t="s">
        <v>184</v>
      </c>
      <c r="DD364" s="386" t="s">
        <v>12</v>
      </c>
      <c r="DE364" s="386" t="s">
        <v>12</v>
      </c>
      <c r="DF364" s="386" t="s">
        <v>12</v>
      </c>
      <c r="DG364" s="386" t="s">
        <v>12</v>
      </c>
      <c r="DH364" s="386" t="s">
        <v>12</v>
      </c>
      <c r="DI364" s="386" t="s">
        <v>12</v>
      </c>
      <c r="DJ364" s="386" t="s">
        <v>12</v>
      </c>
      <c r="DK364" s="386" t="s">
        <v>12</v>
      </c>
      <c r="DL364" s="386" t="s">
        <v>12</v>
      </c>
      <c r="DM364" s="386" t="s">
        <v>12</v>
      </c>
      <c r="DN364" s="7" t="s">
        <v>12</v>
      </c>
      <c r="DO364" s="7" t="s">
        <v>12</v>
      </c>
      <c r="DP364" s="7" t="s">
        <v>12</v>
      </c>
      <c r="DQ364" s="7" t="s">
        <v>12</v>
      </c>
      <c r="DR364" s="7" t="s">
        <v>12</v>
      </c>
      <c r="DS364" s="7" t="s">
        <v>12</v>
      </c>
      <c r="DT364" s="7" t="s">
        <v>12</v>
      </c>
      <c r="DU364" s="7" t="s">
        <v>12</v>
      </c>
      <c r="DV364" s="7" t="s">
        <v>12</v>
      </c>
      <c r="DW364" s="7" t="s">
        <v>12</v>
      </c>
      <c r="DY364" s="9">
        <v>1231694</v>
      </c>
      <c r="EI364" s="423" t="s">
        <v>12</v>
      </c>
      <c r="EJ364" s="423" t="s">
        <v>12</v>
      </c>
      <c r="EK364" s="423" t="s">
        <v>12</v>
      </c>
      <c r="EL364" s="423" t="s">
        <v>12</v>
      </c>
      <c r="EM364" s="423" t="s">
        <v>12</v>
      </c>
      <c r="EN364" s="423" t="s">
        <v>12</v>
      </c>
      <c r="EO364" s="423" t="s">
        <v>12</v>
      </c>
      <c r="EP364" s="423" t="s">
        <v>12</v>
      </c>
      <c r="EQ364" s="423" t="s">
        <v>12</v>
      </c>
      <c r="ER364" s="423" t="s">
        <v>12</v>
      </c>
      <c r="ES364" s="438" t="s">
        <v>12</v>
      </c>
      <c r="ET364" s="438" t="s">
        <v>12</v>
      </c>
      <c r="EU364" s="438" t="s">
        <v>12</v>
      </c>
      <c r="EV364" s="438" t="s">
        <v>12</v>
      </c>
      <c r="EW364" s="438" t="s">
        <v>12</v>
      </c>
      <c r="EX364" s="438" t="s">
        <v>12</v>
      </c>
      <c r="EY364" s="438" t="s">
        <v>12</v>
      </c>
      <c r="EZ364" s="438" t="s">
        <v>12</v>
      </c>
      <c r="FA364" s="438" t="s">
        <v>12</v>
      </c>
      <c r="FB364" s="438" t="s">
        <v>12</v>
      </c>
      <c r="FC364" s="346">
        <v>0</v>
      </c>
      <c r="FD364" s="346">
        <v>0</v>
      </c>
      <c r="FE364" s="346">
        <v>0</v>
      </c>
      <c r="FF364" s="346">
        <v>0</v>
      </c>
      <c r="FG364" s="346">
        <v>0</v>
      </c>
      <c r="FH364" s="346">
        <v>0</v>
      </c>
      <c r="FI364" s="346">
        <v>0</v>
      </c>
      <c r="FJ364" s="346">
        <v>0</v>
      </c>
      <c r="FK364" s="346">
        <v>0</v>
      </c>
      <c r="FL364" s="346">
        <v>0</v>
      </c>
    </row>
    <row r="365" spans="1:168" x14ac:dyDescent="0.25">
      <c r="A365" s="238">
        <v>6</v>
      </c>
      <c r="B365" s="238" t="s">
        <v>768</v>
      </c>
      <c r="C365" s="250" t="s">
        <v>11</v>
      </c>
      <c r="D365" s="250" t="s">
        <v>11</v>
      </c>
      <c r="E365" s="250" t="s">
        <v>11</v>
      </c>
      <c r="F365" s="250" t="s">
        <v>11</v>
      </c>
      <c r="G365" s="250" t="s">
        <v>11</v>
      </c>
      <c r="H365" s="250" t="s">
        <v>11</v>
      </c>
      <c r="I365" s="250" t="s">
        <v>11</v>
      </c>
      <c r="J365" s="250" t="s">
        <v>11</v>
      </c>
      <c r="K365" s="250" t="s">
        <v>11</v>
      </c>
      <c r="L365" s="250" t="s">
        <v>11</v>
      </c>
      <c r="N365">
        <v>150</v>
      </c>
      <c r="O365" t="s">
        <v>185</v>
      </c>
      <c r="P365" t="s">
        <v>185</v>
      </c>
      <c r="Q365" t="s">
        <v>23</v>
      </c>
      <c r="R365" s="2" t="s">
        <v>12</v>
      </c>
      <c r="S365" s="2" t="s">
        <v>12</v>
      </c>
      <c r="T365" s="2" t="s">
        <v>12</v>
      </c>
      <c r="U365" s="2" t="s">
        <v>12</v>
      </c>
      <c r="V365" s="2" t="s">
        <v>12</v>
      </c>
      <c r="W365" s="2" t="s">
        <v>12</v>
      </c>
      <c r="X365" s="2" t="s">
        <v>12</v>
      </c>
      <c r="Y365" s="2" t="s">
        <v>12</v>
      </c>
      <c r="Z365" s="2" t="s">
        <v>12</v>
      </c>
      <c r="AA365" s="2" t="s">
        <v>12</v>
      </c>
      <c r="AB365" s="2" t="s">
        <v>12</v>
      </c>
      <c r="AC365" s="2" t="s">
        <v>12</v>
      </c>
      <c r="AD365" t="s">
        <v>12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t="s">
        <v>12</v>
      </c>
      <c r="AR365" t="s">
        <v>12</v>
      </c>
      <c r="AS365" t="s">
        <v>12</v>
      </c>
      <c r="AT365" t="s">
        <v>12</v>
      </c>
      <c r="AU365" t="s">
        <v>12</v>
      </c>
      <c r="AV365" t="s">
        <v>12</v>
      </c>
      <c r="AW365" t="s">
        <v>12</v>
      </c>
      <c r="AX365" t="s">
        <v>12</v>
      </c>
      <c r="AY365" t="s">
        <v>12</v>
      </c>
      <c r="AZ365" t="s">
        <v>12</v>
      </c>
      <c r="BA365" t="s">
        <v>12</v>
      </c>
      <c r="BB365" t="s">
        <v>12</v>
      </c>
      <c r="BC365" t="s">
        <v>12</v>
      </c>
      <c r="BD365" t="s">
        <v>12</v>
      </c>
      <c r="BF365" s="313" t="s">
        <v>11</v>
      </c>
      <c r="BG365" s="313" t="s">
        <v>11</v>
      </c>
      <c r="BH365" t="s">
        <v>12</v>
      </c>
      <c r="BI365" t="s">
        <v>12</v>
      </c>
      <c r="BJ365" t="s">
        <v>12</v>
      </c>
      <c r="BK365" t="s">
        <v>12</v>
      </c>
      <c r="BL365" t="s">
        <v>12</v>
      </c>
      <c r="BM365" t="s">
        <v>12</v>
      </c>
      <c r="BN365" t="s">
        <v>12</v>
      </c>
      <c r="BO365" t="s">
        <v>12</v>
      </c>
      <c r="BP365" t="s">
        <v>12</v>
      </c>
      <c r="BQ365" t="s">
        <v>12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 s="9" t="s">
        <v>12</v>
      </c>
      <c r="CF365" s="28" t="s">
        <v>12</v>
      </c>
      <c r="CG365" s="28" t="s">
        <v>12</v>
      </c>
      <c r="CH365" s="28" t="s">
        <v>12</v>
      </c>
      <c r="CI365" s="28" t="s">
        <v>12</v>
      </c>
      <c r="CJ365" s="28" t="s">
        <v>12</v>
      </c>
      <c r="CK365" s="28" t="s">
        <v>12</v>
      </c>
      <c r="CL365" s="28" t="s">
        <v>12</v>
      </c>
      <c r="CM365" s="28" t="s">
        <v>12</v>
      </c>
      <c r="CN365" s="28" t="s">
        <v>12</v>
      </c>
      <c r="CO365" s="28" t="s">
        <v>12</v>
      </c>
      <c r="CP365" s="28" t="s">
        <v>12</v>
      </c>
      <c r="CQ365" s="28" t="s">
        <v>12</v>
      </c>
      <c r="CR365" s="28" t="s">
        <v>12</v>
      </c>
      <c r="CS365" s="28" t="s">
        <v>12</v>
      </c>
      <c r="CT365" s="28" t="s">
        <v>12</v>
      </c>
      <c r="CU365" s="28" t="s">
        <v>12</v>
      </c>
      <c r="CV365" s="28" t="s">
        <v>12</v>
      </c>
      <c r="CW365" s="28" t="s">
        <v>12</v>
      </c>
      <c r="CX365" s="28" t="s">
        <v>12</v>
      </c>
      <c r="CY365" s="28" t="s">
        <v>12</v>
      </c>
      <c r="CZ365" s="28" t="s">
        <v>12</v>
      </c>
      <c r="DA365" s="28" t="s">
        <v>12</v>
      </c>
      <c r="DB365" s="313">
        <v>150</v>
      </c>
      <c r="DC365" s="313" t="s">
        <v>185</v>
      </c>
      <c r="DD365" s="386" t="s">
        <v>12</v>
      </c>
      <c r="DE365" s="386" t="s">
        <v>12</v>
      </c>
      <c r="DF365" s="386" t="s">
        <v>12</v>
      </c>
      <c r="DG365" s="386" t="s">
        <v>12</v>
      </c>
      <c r="DH365" s="386" t="s">
        <v>12</v>
      </c>
      <c r="DI365" s="386" t="s">
        <v>12</v>
      </c>
      <c r="DJ365" s="386" t="s">
        <v>12</v>
      </c>
      <c r="DK365" s="386" t="s">
        <v>12</v>
      </c>
      <c r="DL365" s="386" t="s">
        <v>12</v>
      </c>
      <c r="DM365" s="386" t="s">
        <v>12</v>
      </c>
      <c r="DN365" s="7" t="s">
        <v>12</v>
      </c>
      <c r="DO365" s="7" t="s">
        <v>12</v>
      </c>
      <c r="DP365" s="7" t="s">
        <v>12</v>
      </c>
      <c r="DQ365" s="7" t="s">
        <v>12</v>
      </c>
      <c r="DR365" s="7" t="s">
        <v>12</v>
      </c>
      <c r="DS365" s="7" t="s">
        <v>12</v>
      </c>
      <c r="DT365" s="7" t="s">
        <v>12</v>
      </c>
      <c r="DU365" s="7" t="s">
        <v>12</v>
      </c>
      <c r="DV365" s="7" t="s">
        <v>12</v>
      </c>
      <c r="DW365" s="7" t="s">
        <v>12</v>
      </c>
      <c r="DY365" s="9">
        <v>9519374</v>
      </c>
      <c r="EI365" s="423" t="s">
        <v>12</v>
      </c>
      <c r="EJ365" s="423" t="s">
        <v>12</v>
      </c>
      <c r="EK365" s="423" t="s">
        <v>12</v>
      </c>
      <c r="EL365" s="423" t="s">
        <v>12</v>
      </c>
      <c r="EM365" s="423" t="s">
        <v>12</v>
      </c>
      <c r="EN365" s="423" t="s">
        <v>12</v>
      </c>
      <c r="EO365" s="423" t="s">
        <v>12</v>
      </c>
      <c r="EP365" s="423" t="s">
        <v>12</v>
      </c>
      <c r="EQ365" s="423" t="s">
        <v>12</v>
      </c>
      <c r="ER365" s="423" t="s">
        <v>12</v>
      </c>
      <c r="ES365" s="438" t="s">
        <v>12</v>
      </c>
      <c r="ET365" s="438" t="s">
        <v>12</v>
      </c>
      <c r="EU365" s="438" t="s">
        <v>12</v>
      </c>
      <c r="EV365" s="438" t="s">
        <v>12</v>
      </c>
      <c r="EW365" s="438" t="s">
        <v>12</v>
      </c>
      <c r="EX365" s="438" t="s">
        <v>12</v>
      </c>
      <c r="EY365" s="438" t="s">
        <v>12</v>
      </c>
      <c r="EZ365" s="438" t="s">
        <v>12</v>
      </c>
      <c r="FA365" s="438" t="s">
        <v>12</v>
      </c>
      <c r="FB365" s="438" t="s">
        <v>12</v>
      </c>
      <c r="FC365" s="346">
        <v>0</v>
      </c>
      <c r="FD365" s="346">
        <v>0</v>
      </c>
      <c r="FE365" s="346">
        <v>0</v>
      </c>
      <c r="FF365" s="346">
        <v>0</v>
      </c>
      <c r="FG365" s="346">
        <v>0</v>
      </c>
      <c r="FH365" s="346">
        <v>0</v>
      </c>
      <c r="FI365" s="346">
        <v>0</v>
      </c>
      <c r="FJ365" s="346">
        <v>0</v>
      </c>
      <c r="FK365" s="346">
        <v>0</v>
      </c>
      <c r="FL365" s="346">
        <v>0</v>
      </c>
    </row>
    <row r="366" spans="1:168" x14ac:dyDescent="0.25">
      <c r="A366" s="238">
        <v>7</v>
      </c>
      <c r="B366" s="238" t="s">
        <v>770</v>
      </c>
      <c r="C366" s="250" t="s">
        <v>11</v>
      </c>
      <c r="D366" s="250" t="s">
        <v>11</v>
      </c>
      <c r="E366" s="250" t="s">
        <v>11</v>
      </c>
      <c r="F366" s="250" t="s">
        <v>11</v>
      </c>
      <c r="G366" s="250" t="s">
        <v>11</v>
      </c>
      <c r="H366" s="250" t="s">
        <v>11</v>
      </c>
      <c r="I366" s="250" t="s">
        <v>11</v>
      </c>
      <c r="J366" s="250" t="s">
        <v>11</v>
      </c>
      <c r="K366" s="250" t="s">
        <v>11</v>
      </c>
      <c r="L366" s="250" t="s">
        <v>11</v>
      </c>
      <c r="N366">
        <v>151</v>
      </c>
      <c r="O366" t="s">
        <v>186</v>
      </c>
      <c r="P366" t="s">
        <v>186</v>
      </c>
      <c r="Q366" t="s">
        <v>7</v>
      </c>
      <c r="R366" s="2" t="s">
        <v>12</v>
      </c>
      <c r="S366" s="2" t="s">
        <v>12</v>
      </c>
      <c r="T366" s="2" t="s">
        <v>12</v>
      </c>
      <c r="U366" s="2" t="s">
        <v>12</v>
      </c>
      <c r="V366" s="2" t="s">
        <v>12</v>
      </c>
      <c r="W366" s="2" t="s">
        <v>12</v>
      </c>
      <c r="X366" s="2" t="s">
        <v>12</v>
      </c>
      <c r="Y366" s="2" t="s">
        <v>12</v>
      </c>
      <c r="Z366" s="2" t="s">
        <v>12</v>
      </c>
      <c r="AA366" s="2" t="s">
        <v>12</v>
      </c>
      <c r="AB366" s="2" t="s">
        <v>12</v>
      </c>
      <c r="AC366" s="2" t="s">
        <v>12</v>
      </c>
      <c r="AD366" t="s">
        <v>12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t="s">
        <v>12</v>
      </c>
      <c r="AR366" t="s">
        <v>12</v>
      </c>
      <c r="AS366" t="s">
        <v>12</v>
      </c>
      <c r="AT366" t="s">
        <v>12</v>
      </c>
      <c r="AU366" t="s">
        <v>12</v>
      </c>
      <c r="AV366" t="s">
        <v>12</v>
      </c>
      <c r="AW366" t="s">
        <v>12</v>
      </c>
      <c r="AX366" t="s">
        <v>12</v>
      </c>
      <c r="AY366" t="s">
        <v>12</v>
      </c>
      <c r="AZ366" t="s">
        <v>12</v>
      </c>
      <c r="BA366" t="s">
        <v>12</v>
      </c>
      <c r="BB366" t="s">
        <v>12</v>
      </c>
      <c r="BC366" t="s">
        <v>12</v>
      </c>
      <c r="BD366" t="s">
        <v>12</v>
      </c>
      <c r="BF366" s="313" t="s">
        <v>11</v>
      </c>
      <c r="BG366" s="313" t="s">
        <v>11</v>
      </c>
      <c r="BH366" t="s">
        <v>12</v>
      </c>
      <c r="BI366" t="s">
        <v>12</v>
      </c>
      <c r="BJ366" t="s">
        <v>12</v>
      </c>
      <c r="BK366" t="s">
        <v>12</v>
      </c>
      <c r="BL366" t="s">
        <v>12</v>
      </c>
      <c r="BM366" t="s">
        <v>12</v>
      </c>
      <c r="BN366" t="s">
        <v>12</v>
      </c>
      <c r="BO366" t="s">
        <v>12</v>
      </c>
      <c r="BP366" t="s">
        <v>12</v>
      </c>
      <c r="BQ366" t="s">
        <v>12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s="9" t="s">
        <v>12</v>
      </c>
      <c r="CF366" s="28" t="s">
        <v>12</v>
      </c>
      <c r="CG366" s="28" t="s">
        <v>12</v>
      </c>
      <c r="CH366" s="28" t="s">
        <v>12</v>
      </c>
      <c r="CI366" s="28" t="s">
        <v>12</v>
      </c>
      <c r="CJ366" s="28" t="s">
        <v>12</v>
      </c>
      <c r="CK366" s="28" t="s">
        <v>12</v>
      </c>
      <c r="CL366" s="28" t="s">
        <v>12</v>
      </c>
      <c r="CM366" s="28" t="s">
        <v>12</v>
      </c>
      <c r="CN366" s="28" t="s">
        <v>12</v>
      </c>
      <c r="CO366" s="28" t="s">
        <v>12</v>
      </c>
      <c r="CP366" s="28" t="s">
        <v>12</v>
      </c>
      <c r="CQ366" s="28" t="s">
        <v>12</v>
      </c>
      <c r="CR366" s="28" t="s">
        <v>12</v>
      </c>
      <c r="CS366" s="28" t="s">
        <v>12</v>
      </c>
      <c r="CT366" s="28" t="s">
        <v>12</v>
      </c>
      <c r="CU366" s="28" t="s">
        <v>12</v>
      </c>
      <c r="CV366" s="28" t="s">
        <v>12</v>
      </c>
      <c r="CW366" s="28" t="s">
        <v>12</v>
      </c>
      <c r="CX366" s="28" t="s">
        <v>12</v>
      </c>
      <c r="CY366" s="28" t="s">
        <v>12</v>
      </c>
      <c r="CZ366" s="28" t="s">
        <v>12</v>
      </c>
      <c r="DA366" s="28" t="s">
        <v>12</v>
      </c>
      <c r="DB366" s="313">
        <v>151</v>
      </c>
      <c r="DC366" s="313" t="s">
        <v>186</v>
      </c>
      <c r="DD366" s="386" t="s">
        <v>12</v>
      </c>
      <c r="DE366" s="386" t="s">
        <v>12</v>
      </c>
      <c r="DF366" s="386" t="s">
        <v>12</v>
      </c>
      <c r="DG366" s="386" t="s">
        <v>12</v>
      </c>
      <c r="DH366" s="386" t="s">
        <v>12</v>
      </c>
      <c r="DI366" s="386" t="s">
        <v>12</v>
      </c>
      <c r="DJ366" s="386" t="s">
        <v>12</v>
      </c>
      <c r="DK366" s="386" t="s">
        <v>12</v>
      </c>
      <c r="DL366" s="386" t="s">
        <v>12</v>
      </c>
      <c r="DM366" s="386" t="s">
        <v>12</v>
      </c>
      <c r="DN366" s="7" t="s">
        <v>12</v>
      </c>
      <c r="DO366" s="7" t="s">
        <v>12</v>
      </c>
      <c r="DP366" s="7" t="s">
        <v>12</v>
      </c>
      <c r="DQ366" s="7" t="s">
        <v>12</v>
      </c>
      <c r="DR366" s="7" t="s">
        <v>12</v>
      </c>
      <c r="DS366" s="7" t="s">
        <v>12</v>
      </c>
      <c r="DT366" s="7" t="s">
        <v>12</v>
      </c>
      <c r="DU366" s="7" t="s">
        <v>12</v>
      </c>
      <c r="DV366" s="7" t="s">
        <v>12</v>
      </c>
      <c r="DW366" s="7" t="s">
        <v>12</v>
      </c>
      <c r="DY366" s="9">
        <v>7996861</v>
      </c>
      <c r="EI366" s="423" t="s">
        <v>12</v>
      </c>
      <c r="EJ366" s="423" t="s">
        <v>12</v>
      </c>
      <c r="EK366" s="423" t="s">
        <v>12</v>
      </c>
      <c r="EL366" s="423" t="s">
        <v>12</v>
      </c>
      <c r="EM366" s="423" t="s">
        <v>12</v>
      </c>
      <c r="EN366" s="423" t="s">
        <v>12</v>
      </c>
      <c r="EO366" s="423" t="s">
        <v>12</v>
      </c>
      <c r="EP366" s="423" t="s">
        <v>12</v>
      </c>
      <c r="EQ366" s="423" t="s">
        <v>12</v>
      </c>
      <c r="ER366" s="423" t="s">
        <v>12</v>
      </c>
      <c r="ES366" s="438" t="s">
        <v>12</v>
      </c>
      <c r="ET366" s="438" t="s">
        <v>12</v>
      </c>
      <c r="EU366" s="438" t="s">
        <v>12</v>
      </c>
      <c r="EV366" s="438" t="s">
        <v>12</v>
      </c>
      <c r="EW366" s="438" t="s">
        <v>12</v>
      </c>
      <c r="EX366" s="438" t="s">
        <v>12</v>
      </c>
      <c r="EY366" s="438" t="s">
        <v>12</v>
      </c>
      <c r="EZ366" s="438" t="s">
        <v>12</v>
      </c>
      <c r="FA366" s="438" t="s">
        <v>12</v>
      </c>
      <c r="FB366" s="438" t="s">
        <v>12</v>
      </c>
      <c r="FC366" s="346">
        <v>0</v>
      </c>
      <c r="FD366" s="346">
        <v>0</v>
      </c>
      <c r="FE366" s="346">
        <v>0</v>
      </c>
      <c r="FF366" s="346">
        <v>0</v>
      </c>
      <c r="FG366" s="346">
        <v>0</v>
      </c>
      <c r="FH366" s="346">
        <v>0</v>
      </c>
      <c r="FI366" s="346">
        <v>0</v>
      </c>
      <c r="FJ366" s="346">
        <v>0</v>
      </c>
      <c r="FK366" s="346">
        <v>0</v>
      </c>
      <c r="FL366" s="346">
        <v>0</v>
      </c>
    </row>
    <row r="367" spans="1:168" x14ac:dyDescent="0.25">
      <c r="A367" s="238">
        <v>8</v>
      </c>
      <c r="B367" s="238" t="s">
        <v>771</v>
      </c>
      <c r="C367" s="250" t="s">
        <v>11</v>
      </c>
      <c r="D367" s="250" t="s">
        <v>11</v>
      </c>
      <c r="E367" s="250" t="s">
        <v>11</v>
      </c>
      <c r="F367" s="250" t="s">
        <v>11</v>
      </c>
      <c r="G367" s="250" t="s">
        <v>11</v>
      </c>
      <c r="H367" s="250" t="s">
        <v>11</v>
      </c>
      <c r="I367" s="250" t="s">
        <v>11</v>
      </c>
      <c r="J367" s="250" t="s">
        <v>11</v>
      </c>
      <c r="K367" s="250" t="s">
        <v>11</v>
      </c>
      <c r="L367" s="250" t="s">
        <v>11</v>
      </c>
      <c r="N367">
        <v>152</v>
      </c>
      <c r="O367" t="s">
        <v>187</v>
      </c>
      <c r="P367" t="s">
        <v>187</v>
      </c>
      <c r="Q367" t="s">
        <v>9</v>
      </c>
      <c r="R367" s="2" t="s">
        <v>12</v>
      </c>
      <c r="S367" s="2" t="s">
        <v>12</v>
      </c>
      <c r="T367" s="2" t="s">
        <v>12</v>
      </c>
      <c r="U367" s="2" t="s">
        <v>12</v>
      </c>
      <c r="V367" s="2" t="s">
        <v>12</v>
      </c>
      <c r="W367" s="2" t="s">
        <v>12</v>
      </c>
      <c r="X367" s="2" t="s">
        <v>12</v>
      </c>
      <c r="Y367" s="2" t="s">
        <v>12</v>
      </c>
      <c r="Z367" s="2" t="s">
        <v>12</v>
      </c>
      <c r="AA367" s="2" t="s">
        <v>12</v>
      </c>
      <c r="AB367" s="2" t="s">
        <v>12</v>
      </c>
      <c r="AC367" s="2" t="s">
        <v>12</v>
      </c>
      <c r="AD367" t="s">
        <v>12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t="s">
        <v>12</v>
      </c>
      <c r="AR367" t="s">
        <v>12</v>
      </c>
      <c r="AS367" t="s">
        <v>12</v>
      </c>
      <c r="AT367" t="s">
        <v>12</v>
      </c>
      <c r="AU367" t="s">
        <v>12</v>
      </c>
      <c r="AV367" t="s">
        <v>12</v>
      </c>
      <c r="AW367" t="s">
        <v>12</v>
      </c>
      <c r="AX367" t="s">
        <v>12</v>
      </c>
      <c r="AY367" t="s">
        <v>12</v>
      </c>
      <c r="AZ367" t="s">
        <v>12</v>
      </c>
      <c r="BA367" t="s">
        <v>12</v>
      </c>
      <c r="BB367" t="s">
        <v>12</v>
      </c>
      <c r="BC367" t="s">
        <v>12</v>
      </c>
      <c r="BD367" t="s">
        <v>12</v>
      </c>
      <c r="BF367" s="313" t="s">
        <v>11</v>
      </c>
      <c r="BG367" s="313" t="s">
        <v>11</v>
      </c>
      <c r="BH367" t="s">
        <v>12</v>
      </c>
      <c r="BI367" t="s">
        <v>12</v>
      </c>
      <c r="BJ367" t="s">
        <v>12</v>
      </c>
      <c r="BK367" t="s">
        <v>12</v>
      </c>
      <c r="BL367" t="s">
        <v>12</v>
      </c>
      <c r="BM367" t="s">
        <v>12</v>
      </c>
      <c r="BN367" t="s">
        <v>12</v>
      </c>
      <c r="BO367" t="s">
        <v>12</v>
      </c>
      <c r="BP367" t="s">
        <v>12</v>
      </c>
      <c r="BQ367" t="s">
        <v>12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 s="9" t="s">
        <v>12</v>
      </c>
      <c r="CF367" s="28" t="s">
        <v>12</v>
      </c>
      <c r="CG367" s="28" t="s">
        <v>12</v>
      </c>
      <c r="CH367" s="28" t="s">
        <v>12</v>
      </c>
      <c r="CI367" s="28" t="s">
        <v>12</v>
      </c>
      <c r="CJ367" s="28" t="s">
        <v>12</v>
      </c>
      <c r="CK367" s="28" t="s">
        <v>12</v>
      </c>
      <c r="CL367" s="28" t="s">
        <v>12</v>
      </c>
      <c r="CM367" s="28" t="s">
        <v>12</v>
      </c>
      <c r="CN367" s="28" t="s">
        <v>12</v>
      </c>
      <c r="CO367" s="28" t="s">
        <v>12</v>
      </c>
      <c r="CP367" s="28" t="s">
        <v>12</v>
      </c>
      <c r="CQ367" s="28" t="s">
        <v>12</v>
      </c>
      <c r="CR367" s="28" t="s">
        <v>12</v>
      </c>
      <c r="CS367" s="28" t="s">
        <v>12</v>
      </c>
      <c r="CT367" s="28" t="s">
        <v>12</v>
      </c>
      <c r="CU367" s="28" t="s">
        <v>12</v>
      </c>
      <c r="CV367" s="28" t="s">
        <v>12</v>
      </c>
      <c r="CW367" s="28" t="s">
        <v>12</v>
      </c>
      <c r="CX367" s="28" t="s">
        <v>12</v>
      </c>
      <c r="CY367" s="28" t="s">
        <v>12</v>
      </c>
      <c r="CZ367" s="28" t="s">
        <v>12</v>
      </c>
      <c r="DA367" s="28" t="s">
        <v>12</v>
      </c>
      <c r="DB367" s="313">
        <v>152</v>
      </c>
      <c r="DC367" s="313" t="s">
        <v>187</v>
      </c>
      <c r="DD367" s="386" t="s">
        <v>12</v>
      </c>
      <c r="DE367" s="386" t="s">
        <v>12</v>
      </c>
      <c r="DF367" s="386" t="s">
        <v>12</v>
      </c>
      <c r="DG367" s="386" t="s">
        <v>12</v>
      </c>
      <c r="DH367" s="386" t="s">
        <v>12</v>
      </c>
      <c r="DI367" s="386" t="s">
        <v>12</v>
      </c>
      <c r="DJ367" s="386" t="s">
        <v>12</v>
      </c>
      <c r="DK367" s="386" t="s">
        <v>12</v>
      </c>
      <c r="DL367" s="386" t="s">
        <v>12</v>
      </c>
      <c r="DM367" s="386" t="s">
        <v>12</v>
      </c>
      <c r="DN367" s="7" t="s">
        <v>12</v>
      </c>
      <c r="DO367" s="7" t="s">
        <v>12</v>
      </c>
      <c r="DP367" s="7" t="s">
        <v>12</v>
      </c>
      <c r="DQ367" s="7" t="s">
        <v>12</v>
      </c>
      <c r="DR367" s="7" t="s">
        <v>12</v>
      </c>
      <c r="DS367" s="7" t="s">
        <v>12</v>
      </c>
      <c r="DT367" s="7" t="s">
        <v>12</v>
      </c>
      <c r="DU367" s="7" t="s">
        <v>12</v>
      </c>
      <c r="DV367" s="7" t="s">
        <v>12</v>
      </c>
      <c r="DW367" s="7" t="s">
        <v>12</v>
      </c>
      <c r="DY367" s="9">
        <v>19978756</v>
      </c>
      <c r="EI367" s="423" t="s">
        <v>12</v>
      </c>
      <c r="EJ367" s="423" t="s">
        <v>12</v>
      </c>
      <c r="EK367" s="423" t="s">
        <v>12</v>
      </c>
      <c r="EL367" s="423" t="s">
        <v>12</v>
      </c>
      <c r="EM367" s="423" t="s">
        <v>12</v>
      </c>
      <c r="EN367" s="423" t="s">
        <v>12</v>
      </c>
      <c r="EO367" s="423" t="s">
        <v>12</v>
      </c>
      <c r="EP367" s="423" t="s">
        <v>12</v>
      </c>
      <c r="EQ367" s="423" t="s">
        <v>12</v>
      </c>
      <c r="ER367" s="423" t="s">
        <v>12</v>
      </c>
      <c r="ES367" s="438" t="s">
        <v>12</v>
      </c>
      <c r="ET367" s="438" t="s">
        <v>12</v>
      </c>
      <c r="EU367" s="438" t="s">
        <v>12</v>
      </c>
      <c r="EV367" s="438" t="s">
        <v>12</v>
      </c>
      <c r="EW367" s="438" t="s">
        <v>12</v>
      </c>
      <c r="EX367" s="438" t="s">
        <v>12</v>
      </c>
      <c r="EY367" s="438" t="s">
        <v>12</v>
      </c>
      <c r="EZ367" s="438" t="s">
        <v>12</v>
      </c>
      <c r="FA367" s="438" t="s">
        <v>12</v>
      </c>
      <c r="FB367" s="438" t="s">
        <v>12</v>
      </c>
      <c r="FC367" s="346">
        <v>0</v>
      </c>
      <c r="FD367" s="346">
        <v>0</v>
      </c>
      <c r="FE367" s="346">
        <v>0</v>
      </c>
      <c r="FF367" s="346">
        <v>0</v>
      </c>
      <c r="FG367" s="346">
        <v>0</v>
      </c>
      <c r="FH367" s="346">
        <v>0</v>
      </c>
      <c r="FI367" s="346">
        <v>0</v>
      </c>
      <c r="FJ367" s="346">
        <v>0</v>
      </c>
      <c r="FK367" s="346">
        <v>0</v>
      </c>
      <c r="FL367" s="346">
        <v>0</v>
      </c>
    </row>
    <row r="368" spans="1:168" x14ac:dyDescent="0.25">
      <c r="A368" s="238">
        <v>9</v>
      </c>
      <c r="B368" s="238" t="s">
        <v>772</v>
      </c>
      <c r="C368" s="250" t="s">
        <v>11</v>
      </c>
      <c r="D368" s="250" t="s">
        <v>11</v>
      </c>
      <c r="E368" s="250" t="s">
        <v>11</v>
      </c>
      <c r="F368" s="250" t="s">
        <v>11</v>
      </c>
      <c r="G368" s="250" t="s">
        <v>11</v>
      </c>
      <c r="H368" s="250" t="s">
        <v>11</v>
      </c>
      <c r="I368" s="250" t="s">
        <v>11</v>
      </c>
      <c r="J368" s="250" t="s">
        <v>11</v>
      </c>
      <c r="K368" s="250" t="s">
        <v>11</v>
      </c>
      <c r="L368" s="250" t="s">
        <v>11</v>
      </c>
      <c r="N368">
        <v>153</v>
      </c>
      <c r="O368" t="s">
        <v>188</v>
      </c>
      <c r="P368" t="s">
        <v>188</v>
      </c>
      <c r="Q368" t="s">
        <v>25</v>
      </c>
      <c r="R368" s="2" t="s">
        <v>12</v>
      </c>
      <c r="S368" s="2" t="s">
        <v>12</v>
      </c>
      <c r="T368" s="2" t="s">
        <v>12</v>
      </c>
      <c r="U368" s="2" t="s">
        <v>12</v>
      </c>
      <c r="V368" s="2" t="s">
        <v>12</v>
      </c>
      <c r="W368" s="2" t="s">
        <v>12</v>
      </c>
      <c r="X368" s="2" t="s">
        <v>12</v>
      </c>
      <c r="Y368" s="2" t="s">
        <v>12</v>
      </c>
      <c r="Z368" s="2" t="s">
        <v>12</v>
      </c>
      <c r="AA368" s="2" t="s">
        <v>12</v>
      </c>
      <c r="AB368" s="2" t="s">
        <v>12</v>
      </c>
      <c r="AC368" s="2" t="s">
        <v>12</v>
      </c>
      <c r="AD368" t="s">
        <v>12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t="s">
        <v>12</v>
      </c>
      <c r="AR368" t="s">
        <v>12</v>
      </c>
      <c r="AS368" t="s">
        <v>12</v>
      </c>
      <c r="AT368" t="s">
        <v>12</v>
      </c>
      <c r="AU368" t="s">
        <v>12</v>
      </c>
      <c r="AV368" t="s">
        <v>12</v>
      </c>
      <c r="AW368" t="s">
        <v>12</v>
      </c>
      <c r="AX368" t="s">
        <v>12</v>
      </c>
      <c r="AY368" t="s">
        <v>12</v>
      </c>
      <c r="AZ368" t="s">
        <v>12</v>
      </c>
      <c r="BA368" t="s">
        <v>12</v>
      </c>
      <c r="BB368" t="s">
        <v>12</v>
      </c>
      <c r="BC368" t="s">
        <v>12</v>
      </c>
      <c r="BD368" t="s">
        <v>12</v>
      </c>
      <c r="BF368" s="313" t="s">
        <v>11</v>
      </c>
      <c r="BG368" s="313" t="s">
        <v>11</v>
      </c>
      <c r="BH368" t="s">
        <v>12</v>
      </c>
      <c r="BI368" t="s">
        <v>12</v>
      </c>
      <c r="BJ368" t="s">
        <v>12</v>
      </c>
      <c r="BK368" t="s">
        <v>12</v>
      </c>
      <c r="BL368" t="s">
        <v>12</v>
      </c>
      <c r="BM368" t="s">
        <v>12</v>
      </c>
      <c r="BN368" t="s">
        <v>12</v>
      </c>
      <c r="BO368" t="s">
        <v>12</v>
      </c>
      <c r="BP368" t="s">
        <v>12</v>
      </c>
      <c r="BQ368" t="s">
        <v>12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 s="9" t="s">
        <v>12</v>
      </c>
      <c r="CF368" s="28" t="s">
        <v>12</v>
      </c>
      <c r="CG368" s="28" t="s">
        <v>12</v>
      </c>
      <c r="CH368" s="28" t="s">
        <v>12</v>
      </c>
      <c r="CI368" s="28" t="s">
        <v>12</v>
      </c>
      <c r="CJ368" s="28" t="s">
        <v>12</v>
      </c>
      <c r="CK368" s="28" t="s">
        <v>12</v>
      </c>
      <c r="CL368" s="28" t="s">
        <v>12</v>
      </c>
      <c r="CM368" s="28" t="s">
        <v>12</v>
      </c>
      <c r="CN368" s="28" t="s">
        <v>12</v>
      </c>
      <c r="CO368" s="28" t="s">
        <v>12</v>
      </c>
      <c r="CP368" s="28" t="s">
        <v>12</v>
      </c>
      <c r="CQ368" s="28" t="s">
        <v>12</v>
      </c>
      <c r="CR368" s="28" t="s">
        <v>12</v>
      </c>
      <c r="CS368" s="28" t="s">
        <v>12</v>
      </c>
      <c r="CT368" s="28" t="s">
        <v>12</v>
      </c>
      <c r="CU368" s="28" t="s">
        <v>12</v>
      </c>
      <c r="CV368" s="28" t="s">
        <v>12</v>
      </c>
      <c r="CW368" s="28" t="s">
        <v>12</v>
      </c>
      <c r="CX368" s="28" t="s">
        <v>12</v>
      </c>
      <c r="CY368" s="28" t="s">
        <v>12</v>
      </c>
      <c r="CZ368" s="28" t="s">
        <v>12</v>
      </c>
      <c r="DA368" s="28" t="s">
        <v>12</v>
      </c>
      <c r="DB368" s="313">
        <v>153</v>
      </c>
      <c r="DC368" s="313" t="s">
        <v>188</v>
      </c>
      <c r="DD368" s="386" t="s">
        <v>12</v>
      </c>
      <c r="DE368" s="386" t="s">
        <v>12</v>
      </c>
      <c r="DF368" s="386" t="s">
        <v>12</v>
      </c>
      <c r="DG368" s="386" t="s">
        <v>12</v>
      </c>
      <c r="DH368" s="386" t="s">
        <v>12</v>
      </c>
      <c r="DI368" s="386" t="s">
        <v>12</v>
      </c>
      <c r="DJ368" s="386" t="s">
        <v>12</v>
      </c>
      <c r="DK368" s="386" t="s">
        <v>12</v>
      </c>
      <c r="DL368" s="386" t="s">
        <v>12</v>
      </c>
      <c r="DM368" s="386" t="s">
        <v>12</v>
      </c>
      <c r="DN368" s="7" t="s">
        <v>12</v>
      </c>
      <c r="DO368" s="7" t="s">
        <v>12</v>
      </c>
      <c r="DP368" s="7" t="s">
        <v>12</v>
      </c>
      <c r="DQ368" s="7" t="s">
        <v>12</v>
      </c>
      <c r="DR368" s="7" t="s">
        <v>12</v>
      </c>
      <c r="DS368" s="7" t="s">
        <v>12</v>
      </c>
      <c r="DT368" s="7" t="s">
        <v>12</v>
      </c>
      <c r="DU368" s="7" t="s">
        <v>12</v>
      </c>
      <c r="DV368" s="7" t="s">
        <v>12</v>
      </c>
      <c r="DW368" s="7" t="s">
        <v>12</v>
      </c>
      <c r="DY368" s="9">
        <v>7930929</v>
      </c>
      <c r="EI368" s="423" t="s">
        <v>12</v>
      </c>
      <c r="EJ368" s="423" t="s">
        <v>12</v>
      </c>
      <c r="EK368" s="423" t="s">
        <v>12</v>
      </c>
      <c r="EL368" s="423" t="s">
        <v>12</v>
      </c>
      <c r="EM368" s="423" t="s">
        <v>12</v>
      </c>
      <c r="EN368" s="423" t="s">
        <v>12</v>
      </c>
      <c r="EO368" s="423" t="s">
        <v>12</v>
      </c>
      <c r="EP368" s="423" t="s">
        <v>12</v>
      </c>
      <c r="EQ368" s="423" t="s">
        <v>12</v>
      </c>
      <c r="ER368" s="423" t="s">
        <v>12</v>
      </c>
      <c r="ES368" s="438" t="s">
        <v>12</v>
      </c>
      <c r="ET368" s="438" t="s">
        <v>12</v>
      </c>
      <c r="EU368" s="438" t="s">
        <v>12</v>
      </c>
      <c r="EV368" s="438" t="s">
        <v>12</v>
      </c>
      <c r="EW368" s="438" t="s">
        <v>12</v>
      </c>
      <c r="EX368" s="438" t="s">
        <v>12</v>
      </c>
      <c r="EY368" s="438" t="s">
        <v>12</v>
      </c>
      <c r="EZ368" s="438" t="s">
        <v>12</v>
      </c>
      <c r="FA368" s="438" t="s">
        <v>12</v>
      </c>
      <c r="FB368" s="438" t="s">
        <v>12</v>
      </c>
      <c r="FC368" s="346">
        <v>0</v>
      </c>
      <c r="FD368" s="346">
        <v>0</v>
      </c>
      <c r="FE368" s="346">
        <v>0</v>
      </c>
      <c r="FF368" s="346">
        <v>0</v>
      </c>
      <c r="FG368" s="346">
        <v>0</v>
      </c>
      <c r="FH368" s="346">
        <v>0</v>
      </c>
      <c r="FI368" s="346">
        <v>0</v>
      </c>
      <c r="FJ368" s="346">
        <v>0</v>
      </c>
      <c r="FK368" s="346">
        <v>0</v>
      </c>
      <c r="FL368" s="346">
        <v>0</v>
      </c>
    </row>
    <row r="369" spans="1:168" x14ac:dyDescent="0.25">
      <c r="A369" s="238">
        <v>10</v>
      </c>
      <c r="B369" s="238" t="s">
        <v>773</v>
      </c>
      <c r="C369" s="250" t="s">
        <v>11</v>
      </c>
      <c r="D369" s="250" t="s">
        <v>11</v>
      </c>
      <c r="E369" s="250" t="s">
        <v>11</v>
      </c>
      <c r="F369" s="250" t="s">
        <v>11</v>
      </c>
      <c r="G369" s="250" t="s">
        <v>11</v>
      </c>
      <c r="H369" s="250" t="s">
        <v>11</v>
      </c>
      <c r="I369" s="250" t="s">
        <v>11</v>
      </c>
      <c r="J369" s="250" t="s">
        <v>11</v>
      </c>
      <c r="K369" s="250" t="s">
        <v>11</v>
      </c>
      <c r="L369" s="250" t="s">
        <v>11</v>
      </c>
      <c r="N369">
        <v>154</v>
      </c>
      <c r="O369" t="s">
        <v>189</v>
      </c>
      <c r="P369" t="s">
        <v>189</v>
      </c>
      <c r="Q369" t="s">
        <v>14</v>
      </c>
      <c r="R369" s="2" t="s">
        <v>12</v>
      </c>
      <c r="S369" s="2" t="s">
        <v>12</v>
      </c>
      <c r="T369" s="2" t="s">
        <v>12</v>
      </c>
      <c r="U369" s="2" t="s">
        <v>12</v>
      </c>
      <c r="V369" s="2" t="s">
        <v>12</v>
      </c>
      <c r="W369" s="2" t="s">
        <v>12</v>
      </c>
      <c r="X369" s="2" t="s">
        <v>12</v>
      </c>
      <c r="Y369" s="2" t="s">
        <v>12</v>
      </c>
      <c r="Z369" s="2" t="s">
        <v>12</v>
      </c>
      <c r="AA369" s="2" t="s">
        <v>12</v>
      </c>
      <c r="AB369" s="2" t="s">
        <v>12</v>
      </c>
      <c r="AC369" s="2" t="s">
        <v>12</v>
      </c>
      <c r="AD369" t="s">
        <v>12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t="s">
        <v>12</v>
      </c>
      <c r="AR369" t="s">
        <v>12</v>
      </c>
      <c r="AS369" t="s">
        <v>12</v>
      </c>
      <c r="AT369" t="s">
        <v>12</v>
      </c>
      <c r="AU369" t="s">
        <v>12</v>
      </c>
      <c r="AV369" t="s">
        <v>12</v>
      </c>
      <c r="AW369" t="s">
        <v>12</v>
      </c>
      <c r="AX369" t="s">
        <v>12</v>
      </c>
      <c r="AY369" t="s">
        <v>12</v>
      </c>
      <c r="AZ369" t="s">
        <v>12</v>
      </c>
      <c r="BA369" t="s">
        <v>12</v>
      </c>
      <c r="BB369" t="s">
        <v>12</v>
      </c>
      <c r="BC369" t="s">
        <v>12</v>
      </c>
      <c r="BD369" t="s">
        <v>12</v>
      </c>
      <c r="BF369" s="313" t="s">
        <v>11</v>
      </c>
      <c r="BG369" s="313" t="s">
        <v>11</v>
      </c>
      <c r="BH369" t="s">
        <v>12</v>
      </c>
      <c r="BI369" t="s">
        <v>12</v>
      </c>
      <c r="BJ369" t="s">
        <v>12</v>
      </c>
      <c r="BK369" t="s">
        <v>12</v>
      </c>
      <c r="BL369" t="s">
        <v>12</v>
      </c>
      <c r="BM369" t="s">
        <v>12</v>
      </c>
      <c r="BN369" t="s">
        <v>12</v>
      </c>
      <c r="BO369" t="s">
        <v>12</v>
      </c>
      <c r="BP369" t="s">
        <v>12</v>
      </c>
      <c r="BQ369" t="s">
        <v>12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 s="9" t="s">
        <v>12</v>
      </c>
      <c r="CF369" s="28" t="s">
        <v>12</v>
      </c>
      <c r="CG369" s="28" t="s">
        <v>12</v>
      </c>
      <c r="CH369" s="28" t="s">
        <v>12</v>
      </c>
      <c r="CI369" s="28" t="s">
        <v>12</v>
      </c>
      <c r="CJ369" s="28" t="s">
        <v>12</v>
      </c>
      <c r="CK369" s="28" t="s">
        <v>12</v>
      </c>
      <c r="CL369" s="28" t="s">
        <v>12</v>
      </c>
      <c r="CM369" s="28" t="s">
        <v>12</v>
      </c>
      <c r="CN369" s="28" t="s">
        <v>12</v>
      </c>
      <c r="CO369" s="28" t="s">
        <v>12</v>
      </c>
      <c r="CP369" s="28" t="s">
        <v>12</v>
      </c>
      <c r="CQ369" s="28" t="s">
        <v>12</v>
      </c>
      <c r="CR369" s="28" t="s">
        <v>12</v>
      </c>
      <c r="CS369" s="28" t="s">
        <v>12</v>
      </c>
      <c r="CT369" s="28" t="s">
        <v>12</v>
      </c>
      <c r="CU369" s="28" t="s">
        <v>12</v>
      </c>
      <c r="CV369" s="28" t="s">
        <v>12</v>
      </c>
      <c r="CW369" s="28" t="s">
        <v>12</v>
      </c>
      <c r="CX369" s="28" t="s">
        <v>12</v>
      </c>
      <c r="CY369" s="28" t="s">
        <v>12</v>
      </c>
      <c r="CZ369" s="28" t="s">
        <v>12</v>
      </c>
      <c r="DA369" s="28" t="s">
        <v>12</v>
      </c>
      <c r="DB369" s="313">
        <v>154</v>
      </c>
      <c r="DC369" s="313" t="s">
        <v>189</v>
      </c>
      <c r="DD369" s="386" t="s">
        <v>12</v>
      </c>
      <c r="DE369" s="386" t="s">
        <v>12</v>
      </c>
      <c r="DF369" s="386" t="s">
        <v>12</v>
      </c>
      <c r="DG369" s="386" t="s">
        <v>12</v>
      </c>
      <c r="DH369" s="386" t="s">
        <v>12</v>
      </c>
      <c r="DI369" s="386" t="s">
        <v>12</v>
      </c>
      <c r="DJ369" s="386" t="s">
        <v>12</v>
      </c>
      <c r="DK369" s="386" t="s">
        <v>12</v>
      </c>
      <c r="DL369" s="386" t="s">
        <v>12</v>
      </c>
      <c r="DM369" s="386" t="s">
        <v>12</v>
      </c>
      <c r="DN369" s="7" t="s">
        <v>12</v>
      </c>
      <c r="DO369" s="7" t="s">
        <v>12</v>
      </c>
      <c r="DP369" s="7" t="s">
        <v>12</v>
      </c>
      <c r="DQ369" s="7" t="s">
        <v>12</v>
      </c>
      <c r="DR369" s="7" t="s">
        <v>12</v>
      </c>
      <c r="DS369" s="7" t="s">
        <v>12</v>
      </c>
      <c r="DT369" s="7" t="s">
        <v>12</v>
      </c>
      <c r="DU369" s="7" t="s">
        <v>12</v>
      </c>
      <c r="DV369" s="7" t="s">
        <v>12</v>
      </c>
      <c r="DW369" s="7" t="s">
        <v>12</v>
      </c>
      <c r="DY369" s="9">
        <v>48645709</v>
      </c>
      <c r="EI369" s="423" t="s">
        <v>12</v>
      </c>
      <c r="EJ369" s="423" t="s">
        <v>12</v>
      </c>
      <c r="EK369" s="423" t="s">
        <v>12</v>
      </c>
      <c r="EL369" s="423" t="s">
        <v>12</v>
      </c>
      <c r="EM369" s="423" t="s">
        <v>12</v>
      </c>
      <c r="EN369" s="423" t="s">
        <v>12</v>
      </c>
      <c r="EO369" s="423" t="s">
        <v>12</v>
      </c>
      <c r="EP369" s="423" t="s">
        <v>12</v>
      </c>
      <c r="EQ369" s="423" t="s">
        <v>12</v>
      </c>
      <c r="ER369" s="423" t="s">
        <v>12</v>
      </c>
      <c r="ES369" s="438" t="s">
        <v>12</v>
      </c>
      <c r="ET369" s="438" t="s">
        <v>12</v>
      </c>
      <c r="EU369" s="438" t="s">
        <v>12</v>
      </c>
      <c r="EV369" s="438" t="s">
        <v>12</v>
      </c>
      <c r="EW369" s="438" t="s">
        <v>12</v>
      </c>
      <c r="EX369" s="438" t="s">
        <v>12</v>
      </c>
      <c r="EY369" s="438" t="s">
        <v>12</v>
      </c>
      <c r="EZ369" s="438" t="s">
        <v>12</v>
      </c>
      <c r="FA369" s="438" t="s">
        <v>12</v>
      </c>
      <c r="FB369" s="438" t="s">
        <v>12</v>
      </c>
      <c r="FC369" s="346">
        <v>0</v>
      </c>
      <c r="FD369" s="346">
        <v>0</v>
      </c>
      <c r="FE369" s="346">
        <v>0</v>
      </c>
      <c r="FF369" s="346">
        <v>0</v>
      </c>
      <c r="FG369" s="346">
        <v>0</v>
      </c>
      <c r="FH369" s="346">
        <v>0</v>
      </c>
      <c r="FI369" s="346">
        <v>0</v>
      </c>
      <c r="FJ369" s="346">
        <v>0</v>
      </c>
      <c r="FK369" s="346">
        <v>0</v>
      </c>
      <c r="FL369" s="346">
        <v>0</v>
      </c>
    </row>
    <row r="370" spans="1:168" x14ac:dyDescent="0.25">
      <c r="N370">
        <v>155</v>
      </c>
      <c r="O370" t="s">
        <v>190</v>
      </c>
      <c r="P370" t="s">
        <v>190</v>
      </c>
      <c r="Q370" t="s">
        <v>25</v>
      </c>
      <c r="R370" s="2" t="s">
        <v>12</v>
      </c>
      <c r="S370" s="2" t="s">
        <v>12</v>
      </c>
      <c r="T370" s="2" t="s">
        <v>12</v>
      </c>
      <c r="U370" s="2" t="s">
        <v>12</v>
      </c>
      <c r="V370" s="2" t="s">
        <v>12</v>
      </c>
      <c r="W370" s="2" t="s">
        <v>12</v>
      </c>
      <c r="X370" s="2" t="s">
        <v>12</v>
      </c>
      <c r="Y370" s="2" t="s">
        <v>12</v>
      </c>
      <c r="Z370" s="2" t="s">
        <v>12</v>
      </c>
      <c r="AA370" s="2" t="s">
        <v>12</v>
      </c>
      <c r="AB370" s="2" t="s">
        <v>12</v>
      </c>
      <c r="AC370" s="2" t="s">
        <v>12</v>
      </c>
      <c r="AD370" t="s">
        <v>12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t="s">
        <v>12</v>
      </c>
      <c r="AR370" t="s">
        <v>12</v>
      </c>
      <c r="AS370" t="s">
        <v>12</v>
      </c>
      <c r="AT370" t="s">
        <v>12</v>
      </c>
      <c r="AU370" t="s">
        <v>12</v>
      </c>
      <c r="AV370" t="s">
        <v>12</v>
      </c>
      <c r="AW370" t="s">
        <v>12</v>
      </c>
      <c r="AX370" t="s">
        <v>12</v>
      </c>
      <c r="AY370" t="s">
        <v>12</v>
      </c>
      <c r="AZ370" t="s">
        <v>12</v>
      </c>
      <c r="BA370" t="s">
        <v>12</v>
      </c>
      <c r="BB370" t="s">
        <v>12</v>
      </c>
      <c r="BC370" t="s">
        <v>12</v>
      </c>
      <c r="BD370" t="s">
        <v>12</v>
      </c>
      <c r="BF370" s="313" t="s">
        <v>11</v>
      </c>
      <c r="BG370" s="313" t="s">
        <v>11</v>
      </c>
      <c r="BH370" t="s">
        <v>12</v>
      </c>
      <c r="BI370" t="s">
        <v>12</v>
      </c>
      <c r="BJ370" t="s">
        <v>12</v>
      </c>
      <c r="BK370" t="s">
        <v>12</v>
      </c>
      <c r="BL370" t="s">
        <v>12</v>
      </c>
      <c r="BM370" t="s">
        <v>12</v>
      </c>
      <c r="BN370" t="s">
        <v>12</v>
      </c>
      <c r="BO370" t="s">
        <v>12</v>
      </c>
      <c r="BP370" t="s">
        <v>12</v>
      </c>
      <c r="BQ370" t="s">
        <v>12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 s="9" t="s">
        <v>12</v>
      </c>
      <c r="CF370" s="28" t="s">
        <v>12</v>
      </c>
      <c r="CG370" s="28" t="s">
        <v>12</v>
      </c>
      <c r="CH370" s="28" t="s">
        <v>12</v>
      </c>
      <c r="CI370" s="28" t="s">
        <v>12</v>
      </c>
      <c r="CJ370" s="28" t="s">
        <v>12</v>
      </c>
      <c r="CK370" s="28" t="s">
        <v>12</v>
      </c>
      <c r="CL370" s="28" t="s">
        <v>12</v>
      </c>
      <c r="CM370" s="28" t="s">
        <v>12</v>
      </c>
      <c r="CN370" s="28" t="s">
        <v>12</v>
      </c>
      <c r="CO370" s="28" t="s">
        <v>12</v>
      </c>
      <c r="CP370" s="28" t="s">
        <v>12</v>
      </c>
      <c r="CQ370" s="28" t="s">
        <v>12</v>
      </c>
      <c r="CR370" s="28" t="s">
        <v>12</v>
      </c>
      <c r="CS370" s="28" t="s">
        <v>12</v>
      </c>
      <c r="CT370" s="28" t="s">
        <v>12</v>
      </c>
      <c r="CU370" s="28" t="s">
        <v>12</v>
      </c>
      <c r="CV370" s="28" t="s">
        <v>12</v>
      </c>
      <c r="CW370" s="28" t="s">
        <v>12</v>
      </c>
      <c r="CX370" s="28" t="s">
        <v>12</v>
      </c>
      <c r="CY370" s="28" t="s">
        <v>12</v>
      </c>
      <c r="CZ370" s="28" t="s">
        <v>12</v>
      </c>
      <c r="DA370" s="28" t="s">
        <v>12</v>
      </c>
      <c r="DB370" s="313">
        <v>155</v>
      </c>
      <c r="DC370" s="313" t="s">
        <v>190</v>
      </c>
      <c r="DD370" s="386" t="s">
        <v>12</v>
      </c>
      <c r="DE370" s="386" t="s">
        <v>12</v>
      </c>
      <c r="DF370" s="386" t="s">
        <v>12</v>
      </c>
      <c r="DG370" s="386" t="s">
        <v>12</v>
      </c>
      <c r="DH370" s="386" t="s">
        <v>12</v>
      </c>
      <c r="DI370" s="386" t="s">
        <v>12</v>
      </c>
      <c r="DJ370" s="386" t="s">
        <v>12</v>
      </c>
      <c r="DK370" s="386" t="s">
        <v>12</v>
      </c>
      <c r="DL370" s="386" t="s">
        <v>12</v>
      </c>
      <c r="DM370" s="386" t="s">
        <v>12</v>
      </c>
      <c r="DN370" s="7" t="s">
        <v>12</v>
      </c>
      <c r="DO370" s="7" t="s">
        <v>12</v>
      </c>
      <c r="DP370" s="7" t="s">
        <v>12</v>
      </c>
      <c r="DQ370" s="7" t="s">
        <v>12</v>
      </c>
      <c r="DR370" s="7" t="s">
        <v>12</v>
      </c>
      <c r="DS370" s="7" t="s">
        <v>12</v>
      </c>
      <c r="DT370" s="7" t="s">
        <v>12</v>
      </c>
      <c r="DU370" s="7" t="s">
        <v>12</v>
      </c>
      <c r="DV370" s="7" t="s">
        <v>12</v>
      </c>
      <c r="DW370" s="7" t="s">
        <v>12</v>
      </c>
      <c r="DY370" s="9">
        <v>67164130</v>
      </c>
      <c r="EI370" s="423" t="s">
        <v>12</v>
      </c>
      <c r="EJ370" s="423" t="s">
        <v>12</v>
      </c>
      <c r="EK370" s="423" t="s">
        <v>12</v>
      </c>
      <c r="EL370" s="423" t="s">
        <v>12</v>
      </c>
      <c r="EM370" s="423" t="s">
        <v>12</v>
      </c>
      <c r="EN370" s="423" t="s">
        <v>12</v>
      </c>
      <c r="EO370" s="423" t="s">
        <v>12</v>
      </c>
      <c r="EP370" s="423" t="s">
        <v>12</v>
      </c>
      <c r="EQ370" s="423" t="s">
        <v>12</v>
      </c>
      <c r="ER370" s="423" t="s">
        <v>12</v>
      </c>
      <c r="ES370" s="438" t="s">
        <v>12</v>
      </c>
      <c r="ET370" s="438" t="s">
        <v>12</v>
      </c>
      <c r="EU370" s="438" t="s">
        <v>12</v>
      </c>
      <c r="EV370" s="438" t="s">
        <v>12</v>
      </c>
      <c r="EW370" s="438" t="s">
        <v>12</v>
      </c>
      <c r="EX370" s="438" t="s">
        <v>12</v>
      </c>
      <c r="EY370" s="438" t="s">
        <v>12</v>
      </c>
      <c r="EZ370" s="438" t="s">
        <v>12</v>
      </c>
      <c r="FA370" s="438" t="s">
        <v>12</v>
      </c>
      <c r="FB370" s="438" t="s">
        <v>12</v>
      </c>
      <c r="FC370" s="346">
        <v>0</v>
      </c>
      <c r="FD370" s="346">
        <v>0</v>
      </c>
      <c r="FE370" s="346">
        <v>0</v>
      </c>
      <c r="FF370" s="346">
        <v>0</v>
      </c>
      <c r="FG370" s="346">
        <v>0</v>
      </c>
      <c r="FH370" s="346">
        <v>0</v>
      </c>
      <c r="FI370" s="346">
        <v>0</v>
      </c>
      <c r="FJ370" s="346">
        <v>0</v>
      </c>
      <c r="FK370" s="346">
        <v>0</v>
      </c>
      <c r="FL370" s="346">
        <v>0</v>
      </c>
    </row>
    <row r="371" spans="1:168" ht="30" x14ac:dyDescent="0.25">
      <c r="A371" s="251" t="s">
        <v>785</v>
      </c>
      <c r="B371" s="251"/>
      <c r="C371" s="251" t="s">
        <v>594</v>
      </c>
      <c r="D371" s="251" t="s">
        <v>595</v>
      </c>
      <c r="E371" s="251" t="s">
        <v>596</v>
      </c>
      <c r="F371" s="251" t="s">
        <v>597</v>
      </c>
      <c r="G371" s="251" t="s">
        <v>598</v>
      </c>
      <c r="H371" s="251" t="s">
        <v>599</v>
      </c>
      <c r="I371" s="251" t="s">
        <v>600</v>
      </c>
      <c r="J371" s="251" t="s">
        <v>601</v>
      </c>
      <c r="K371" s="251" t="s">
        <v>602</v>
      </c>
      <c r="L371" s="251" t="s">
        <v>603</v>
      </c>
      <c r="N371">
        <v>156</v>
      </c>
      <c r="O371" t="s">
        <v>191</v>
      </c>
      <c r="P371" t="s">
        <v>191</v>
      </c>
      <c r="Q371" t="s">
        <v>14</v>
      </c>
      <c r="R371" s="2" t="s">
        <v>12</v>
      </c>
      <c r="S371" s="2" t="s">
        <v>12</v>
      </c>
      <c r="T371" s="2" t="s">
        <v>12</v>
      </c>
      <c r="U371" s="2" t="s">
        <v>12</v>
      </c>
      <c r="V371" s="2" t="s">
        <v>12</v>
      </c>
      <c r="W371" s="2" t="s">
        <v>12</v>
      </c>
      <c r="X371" s="2" t="s">
        <v>12</v>
      </c>
      <c r="Y371" s="2" t="s">
        <v>12</v>
      </c>
      <c r="Z371" s="2" t="s">
        <v>12</v>
      </c>
      <c r="AA371" s="2" t="s">
        <v>12</v>
      </c>
      <c r="AB371" s="2" t="s">
        <v>12</v>
      </c>
      <c r="AC371" s="2" t="s">
        <v>12</v>
      </c>
      <c r="AD371" t="s">
        <v>12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t="s">
        <v>12</v>
      </c>
      <c r="AR371" t="s">
        <v>12</v>
      </c>
      <c r="AS371" t="s">
        <v>12</v>
      </c>
      <c r="AT371" t="s">
        <v>12</v>
      </c>
      <c r="AU371" t="s">
        <v>12</v>
      </c>
      <c r="AV371" t="s">
        <v>12</v>
      </c>
      <c r="AW371" t="s">
        <v>12</v>
      </c>
      <c r="AX371" t="s">
        <v>12</v>
      </c>
      <c r="AY371" t="s">
        <v>12</v>
      </c>
      <c r="AZ371" t="s">
        <v>12</v>
      </c>
      <c r="BA371" t="s">
        <v>12</v>
      </c>
      <c r="BB371" t="s">
        <v>12</v>
      </c>
      <c r="BC371" t="s">
        <v>12</v>
      </c>
      <c r="BD371" t="s">
        <v>12</v>
      </c>
      <c r="BF371" s="313" t="s">
        <v>11</v>
      </c>
      <c r="BG371" s="313" t="s">
        <v>11</v>
      </c>
      <c r="BH371" t="s">
        <v>12</v>
      </c>
      <c r="BI371" t="s">
        <v>12</v>
      </c>
      <c r="BJ371" t="s">
        <v>12</v>
      </c>
      <c r="BK371" t="s">
        <v>12</v>
      </c>
      <c r="BL371" t="s">
        <v>12</v>
      </c>
      <c r="BM371" t="s">
        <v>12</v>
      </c>
      <c r="BN371" t="s">
        <v>12</v>
      </c>
      <c r="BO371" t="s">
        <v>12</v>
      </c>
      <c r="BP371" t="s">
        <v>12</v>
      </c>
      <c r="BQ371" t="s">
        <v>12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 s="9" t="s">
        <v>12</v>
      </c>
      <c r="CF371" s="28" t="s">
        <v>12</v>
      </c>
      <c r="CG371" s="28" t="s">
        <v>12</v>
      </c>
      <c r="CH371" s="28" t="s">
        <v>12</v>
      </c>
      <c r="CI371" s="28" t="s">
        <v>12</v>
      </c>
      <c r="CJ371" s="28" t="s">
        <v>12</v>
      </c>
      <c r="CK371" s="28" t="s">
        <v>12</v>
      </c>
      <c r="CL371" s="28" t="s">
        <v>12</v>
      </c>
      <c r="CM371" s="28" t="s">
        <v>12</v>
      </c>
      <c r="CN371" s="28" t="s">
        <v>12</v>
      </c>
      <c r="CO371" s="28" t="s">
        <v>12</v>
      </c>
      <c r="CP371" s="28" t="s">
        <v>12</v>
      </c>
      <c r="CQ371" s="28" t="s">
        <v>12</v>
      </c>
      <c r="CR371" s="28" t="s">
        <v>12</v>
      </c>
      <c r="CS371" s="28" t="s">
        <v>12</v>
      </c>
      <c r="CT371" s="28" t="s">
        <v>12</v>
      </c>
      <c r="CU371" s="28" t="s">
        <v>12</v>
      </c>
      <c r="CV371" s="28" t="s">
        <v>12</v>
      </c>
      <c r="CW371" s="28" t="s">
        <v>12</v>
      </c>
      <c r="CX371" s="28" t="s">
        <v>12</v>
      </c>
      <c r="CY371" s="28" t="s">
        <v>12</v>
      </c>
      <c r="CZ371" s="28" t="s">
        <v>12</v>
      </c>
      <c r="DA371" s="28" t="s">
        <v>12</v>
      </c>
      <c r="DB371" s="313">
        <v>156</v>
      </c>
      <c r="DC371" s="313" t="s">
        <v>191</v>
      </c>
      <c r="DD371" s="386" t="s">
        <v>12</v>
      </c>
      <c r="DE371" s="386" t="s">
        <v>12</v>
      </c>
      <c r="DF371" s="386" t="s">
        <v>12</v>
      </c>
      <c r="DG371" s="386" t="s">
        <v>12</v>
      </c>
      <c r="DH371" s="386" t="s">
        <v>12</v>
      </c>
      <c r="DI371" s="386" t="s">
        <v>12</v>
      </c>
      <c r="DJ371" s="386" t="s">
        <v>12</v>
      </c>
      <c r="DK371" s="386" t="s">
        <v>12</v>
      </c>
      <c r="DL371" s="386" t="s">
        <v>12</v>
      </c>
      <c r="DM371" s="386" t="s">
        <v>12</v>
      </c>
      <c r="DN371" s="7" t="s">
        <v>12</v>
      </c>
      <c r="DO371" s="7" t="s">
        <v>12</v>
      </c>
      <c r="DP371" s="7" t="s">
        <v>12</v>
      </c>
      <c r="DQ371" s="7" t="s">
        <v>12</v>
      </c>
      <c r="DR371" s="7" t="s">
        <v>12</v>
      </c>
      <c r="DS371" s="7" t="s">
        <v>12</v>
      </c>
      <c r="DT371" s="7" t="s">
        <v>12</v>
      </c>
      <c r="DU371" s="7" t="s">
        <v>12</v>
      </c>
      <c r="DV371" s="7" t="s">
        <v>12</v>
      </c>
      <c r="DW371" s="7" t="s">
        <v>12</v>
      </c>
      <c r="DY371" s="9">
        <v>6745581</v>
      </c>
      <c r="EI371" s="423" t="s">
        <v>12</v>
      </c>
      <c r="EJ371" s="423" t="s">
        <v>12</v>
      </c>
      <c r="EK371" s="423" t="s">
        <v>12</v>
      </c>
      <c r="EL371" s="423" t="s">
        <v>12</v>
      </c>
      <c r="EM371" s="423" t="s">
        <v>12</v>
      </c>
      <c r="EN371" s="423" t="s">
        <v>12</v>
      </c>
      <c r="EO371" s="423" t="s">
        <v>12</v>
      </c>
      <c r="EP371" s="423" t="s">
        <v>12</v>
      </c>
      <c r="EQ371" s="423" t="s">
        <v>12</v>
      </c>
      <c r="ER371" s="423" t="s">
        <v>12</v>
      </c>
      <c r="ES371" s="438" t="s">
        <v>12</v>
      </c>
      <c r="ET371" s="438" t="s">
        <v>12</v>
      </c>
      <c r="EU371" s="438" t="s">
        <v>12</v>
      </c>
      <c r="EV371" s="438" t="s">
        <v>12</v>
      </c>
      <c r="EW371" s="438" t="s">
        <v>12</v>
      </c>
      <c r="EX371" s="438" t="s">
        <v>12</v>
      </c>
      <c r="EY371" s="438" t="s">
        <v>12</v>
      </c>
      <c r="EZ371" s="438" t="s">
        <v>12</v>
      </c>
      <c r="FA371" s="438" t="s">
        <v>12</v>
      </c>
      <c r="FB371" s="438" t="s">
        <v>12</v>
      </c>
      <c r="FC371" s="346">
        <v>0</v>
      </c>
      <c r="FD371" s="346">
        <v>0</v>
      </c>
      <c r="FE371" s="346">
        <v>0</v>
      </c>
      <c r="FF371" s="346">
        <v>0</v>
      </c>
      <c r="FG371" s="346">
        <v>0</v>
      </c>
      <c r="FH371" s="346">
        <v>0</v>
      </c>
      <c r="FI371" s="346">
        <v>0</v>
      </c>
      <c r="FJ371" s="346">
        <v>0</v>
      </c>
      <c r="FK371" s="346">
        <v>0</v>
      </c>
      <c r="FL371" s="346">
        <v>0</v>
      </c>
    </row>
    <row r="372" spans="1:168" x14ac:dyDescent="0.25">
      <c r="A372" s="252">
        <v>1</v>
      </c>
      <c r="B372" s="252" t="s">
        <v>761</v>
      </c>
      <c r="C372" s="253">
        <v>4330561.1443351824</v>
      </c>
      <c r="D372" s="253">
        <v>3785255.1859312356</v>
      </c>
      <c r="E372" s="253">
        <v>4152970.50601148</v>
      </c>
      <c r="F372" s="253">
        <v>9146785.184584219</v>
      </c>
      <c r="G372" s="253">
        <v>5699042.3407669989</v>
      </c>
      <c r="H372" s="253">
        <v>4056430.6605281867</v>
      </c>
      <c r="I372" s="253" t="s">
        <v>11</v>
      </c>
      <c r="J372" s="253" t="s">
        <v>11</v>
      </c>
      <c r="K372" s="253" t="s">
        <v>11</v>
      </c>
      <c r="L372" s="253" t="s">
        <v>11</v>
      </c>
      <c r="N372">
        <v>157</v>
      </c>
      <c r="O372" t="s">
        <v>192</v>
      </c>
      <c r="P372" t="s">
        <v>192</v>
      </c>
      <c r="Q372" t="s">
        <v>9</v>
      </c>
      <c r="R372" s="2" t="s">
        <v>12</v>
      </c>
      <c r="S372" s="2" t="s">
        <v>12</v>
      </c>
      <c r="T372" s="2" t="s">
        <v>12</v>
      </c>
      <c r="U372" s="2" t="s">
        <v>12</v>
      </c>
      <c r="V372" s="2" t="s">
        <v>12</v>
      </c>
      <c r="W372" s="2" t="s">
        <v>12</v>
      </c>
      <c r="X372" s="2" t="s">
        <v>12</v>
      </c>
      <c r="Y372" s="2" t="s">
        <v>12</v>
      </c>
      <c r="Z372" s="2" t="s">
        <v>12</v>
      </c>
      <c r="AA372" s="2" t="s">
        <v>12</v>
      </c>
      <c r="AB372" s="2" t="s">
        <v>12</v>
      </c>
      <c r="AC372" s="2" t="s">
        <v>12</v>
      </c>
      <c r="AD372" t="s">
        <v>12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t="s">
        <v>12</v>
      </c>
      <c r="AR372" t="s">
        <v>12</v>
      </c>
      <c r="AS372" t="s">
        <v>12</v>
      </c>
      <c r="AT372" t="s">
        <v>12</v>
      </c>
      <c r="AU372" t="s">
        <v>12</v>
      </c>
      <c r="AV372" t="s">
        <v>12</v>
      </c>
      <c r="AW372" t="s">
        <v>12</v>
      </c>
      <c r="AX372" t="s">
        <v>12</v>
      </c>
      <c r="AY372" t="s">
        <v>12</v>
      </c>
      <c r="AZ372" t="s">
        <v>12</v>
      </c>
      <c r="BA372" t="s">
        <v>12</v>
      </c>
      <c r="BB372" t="s">
        <v>12</v>
      </c>
      <c r="BC372" t="s">
        <v>12</v>
      </c>
      <c r="BD372" t="s">
        <v>12</v>
      </c>
      <c r="BF372" s="313" t="s">
        <v>11</v>
      </c>
      <c r="BG372" s="313" t="s">
        <v>11</v>
      </c>
      <c r="BH372" t="s">
        <v>12</v>
      </c>
      <c r="BI372" t="s">
        <v>12</v>
      </c>
      <c r="BJ372" t="s">
        <v>12</v>
      </c>
      <c r="BK372" t="s">
        <v>12</v>
      </c>
      <c r="BL372" t="s">
        <v>12</v>
      </c>
      <c r="BM372" t="s">
        <v>12</v>
      </c>
      <c r="BN372" t="s">
        <v>12</v>
      </c>
      <c r="BO372" t="s">
        <v>12</v>
      </c>
      <c r="BP372" t="s">
        <v>12</v>
      </c>
      <c r="BQ372" t="s">
        <v>12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 s="9" t="s">
        <v>12</v>
      </c>
      <c r="CF372" s="28" t="s">
        <v>12</v>
      </c>
      <c r="CG372" s="28" t="s">
        <v>12</v>
      </c>
      <c r="CH372" s="28" t="s">
        <v>12</v>
      </c>
      <c r="CI372" s="28" t="s">
        <v>12</v>
      </c>
      <c r="CJ372" s="28" t="s">
        <v>12</v>
      </c>
      <c r="CK372" s="28" t="s">
        <v>12</v>
      </c>
      <c r="CL372" s="28" t="s">
        <v>12</v>
      </c>
      <c r="CM372" s="28" t="s">
        <v>12</v>
      </c>
      <c r="CN372" s="28" t="s">
        <v>12</v>
      </c>
      <c r="CO372" s="28" t="s">
        <v>12</v>
      </c>
      <c r="CP372" s="28" t="s">
        <v>12</v>
      </c>
      <c r="CQ372" s="28" t="s">
        <v>12</v>
      </c>
      <c r="CR372" s="28" t="s">
        <v>12</v>
      </c>
      <c r="CS372" s="28" t="s">
        <v>12</v>
      </c>
      <c r="CT372" s="28" t="s">
        <v>12</v>
      </c>
      <c r="CU372" s="28" t="s">
        <v>12</v>
      </c>
      <c r="CV372" s="28" t="s">
        <v>12</v>
      </c>
      <c r="CW372" s="28" t="s">
        <v>12</v>
      </c>
      <c r="CX372" s="28" t="s">
        <v>12</v>
      </c>
      <c r="CY372" s="28" t="s">
        <v>12</v>
      </c>
      <c r="CZ372" s="28" t="s">
        <v>12</v>
      </c>
      <c r="DA372" s="28" t="s">
        <v>12</v>
      </c>
      <c r="DB372" s="313">
        <v>157</v>
      </c>
      <c r="DC372" s="313" t="s">
        <v>192</v>
      </c>
      <c r="DD372" s="386" t="s">
        <v>12</v>
      </c>
      <c r="DE372" s="386" t="s">
        <v>12</v>
      </c>
      <c r="DF372" s="386" t="s">
        <v>12</v>
      </c>
      <c r="DG372" s="386" t="s">
        <v>12</v>
      </c>
      <c r="DH372" s="386" t="s">
        <v>12</v>
      </c>
      <c r="DI372" s="386" t="s">
        <v>12</v>
      </c>
      <c r="DJ372" s="386" t="s">
        <v>12</v>
      </c>
      <c r="DK372" s="386" t="s">
        <v>12</v>
      </c>
      <c r="DL372" s="386" t="s">
        <v>12</v>
      </c>
      <c r="DM372" s="386" t="s">
        <v>12</v>
      </c>
      <c r="DN372" s="7" t="s">
        <v>12</v>
      </c>
      <c r="DO372" s="7" t="s">
        <v>12</v>
      </c>
      <c r="DP372" s="7" t="s">
        <v>12</v>
      </c>
      <c r="DQ372" s="7" t="s">
        <v>12</v>
      </c>
      <c r="DR372" s="7" t="s">
        <v>12</v>
      </c>
      <c r="DS372" s="7" t="s">
        <v>12</v>
      </c>
      <c r="DT372" s="7" t="s">
        <v>12</v>
      </c>
      <c r="DU372" s="7" t="s">
        <v>12</v>
      </c>
      <c r="DV372" s="7" t="s">
        <v>12</v>
      </c>
      <c r="DW372" s="7" t="s">
        <v>12</v>
      </c>
      <c r="DY372" s="9">
        <v>10777500</v>
      </c>
      <c r="EI372" s="423" t="s">
        <v>12</v>
      </c>
      <c r="EJ372" s="423" t="s">
        <v>12</v>
      </c>
      <c r="EK372" s="423" t="s">
        <v>12</v>
      </c>
      <c r="EL372" s="423" t="s">
        <v>12</v>
      </c>
      <c r="EM372" s="423" t="s">
        <v>12</v>
      </c>
      <c r="EN372" s="423" t="s">
        <v>12</v>
      </c>
      <c r="EO372" s="423" t="s">
        <v>12</v>
      </c>
      <c r="EP372" s="423" t="s">
        <v>12</v>
      </c>
      <c r="EQ372" s="423" t="s">
        <v>12</v>
      </c>
      <c r="ER372" s="423" t="s">
        <v>12</v>
      </c>
      <c r="ES372" s="438" t="s">
        <v>12</v>
      </c>
      <c r="ET372" s="438" t="s">
        <v>12</v>
      </c>
      <c r="EU372" s="438" t="s">
        <v>12</v>
      </c>
      <c r="EV372" s="438" t="s">
        <v>12</v>
      </c>
      <c r="EW372" s="438" t="s">
        <v>12</v>
      </c>
      <c r="EX372" s="438" t="s">
        <v>12</v>
      </c>
      <c r="EY372" s="438" t="s">
        <v>12</v>
      </c>
      <c r="EZ372" s="438" t="s">
        <v>12</v>
      </c>
      <c r="FA372" s="438" t="s">
        <v>12</v>
      </c>
      <c r="FB372" s="438" t="s">
        <v>12</v>
      </c>
      <c r="FC372" s="346">
        <v>0</v>
      </c>
      <c r="FD372" s="346">
        <v>0</v>
      </c>
      <c r="FE372" s="346">
        <v>0</v>
      </c>
      <c r="FF372" s="346">
        <v>0</v>
      </c>
      <c r="FG372" s="346">
        <v>0</v>
      </c>
      <c r="FH372" s="346">
        <v>0</v>
      </c>
      <c r="FI372" s="346">
        <v>0</v>
      </c>
      <c r="FJ372" s="346">
        <v>0</v>
      </c>
      <c r="FK372" s="346">
        <v>0</v>
      </c>
      <c r="FL372" s="346">
        <v>0</v>
      </c>
    </row>
    <row r="373" spans="1:168" x14ac:dyDescent="0.25">
      <c r="A373" s="252">
        <v>2</v>
      </c>
      <c r="B373" s="252" t="s">
        <v>763</v>
      </c>
      <c r="C373" s="253">
        <v>250003.39976453365</v>
      </c>
      <c r="D373" s="253">
        <v>871282.8424596776</v>
      </c>
      <c r="E373" s="253">
        <v>934616.83105164638</v>
      </c>
      <c r="F373" s="253">
        <v>250001.75865236542</v>
      </c>
      <c r="G373" s="253">
        <v>250000.8154417125</v>
      </c>
      <c r="H373" s="253">
        <v>250001.47826805958</v>
      </c>
      <c r="I373" s="253" t="s">
        <v>11</v>
      </c>
      <c r="J373" s="253" t="s">
        <v>11</v>
      </c>
      <c r="K373" s="253" t="s">
        <v>11</v>
      </c>
      <c r="L373" s="253" t="s">
        <v>11</v>
      </c>
      <c r="N373">
        <v>158</v>
      </c>
      <c r="O373" t="s">
        <v>193</v>
      </c>
      <c r="P373" t="s">
        <v>193</v>
      </c>
      <c r="Q373" t="s">
        <v>7</v>
      </c>
      <c r="R373" s="2" t="s">
        <v>12</v>
      </c>
      <c r="S373" s="2" t="s">
        <v>12</v>
      </c>
      <c r="T373" s="2" t="s">
        <v>12</v>
      </c>
      <c r="U373" s="2" t="s">
        <v>12</v>
      </c>
      <c r="V373" s="2" t="s">
        <v>12</v>
      </c>
      <c r="W373" s="2" t="s">
        <v>12</v>
      </c>
      <c r="X373" s="2" t="s">
        <v>12</v>
      </c>
      <c r="Y373" s="2" t="s">
        <v>12</v>
      </c>
      <c r="Z373" s="2" t="s">
        <v>12</v>
      </c>
      <c r="AA373" s="2" t="s">
        <v>12</v>
      </c>
      <c r="AB373" s="2" t="s">
        <v>12</v>
      </c>
      <c r="AC373" s="2" t="s">
        <v>12</v>
      </c>
      <c r="AD373" t="s">
        <v>12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t="s">
        <v>12</v>
      </c>
      <c r="AR373" t="s">
        <v>12</v>
      </c>
      <c r="AS373" t="s">
        <v>12</v>
      </c>
      <c r="AT373" t="s">
        <v>12</v>
      </c>
      <c r="AU373" t="s">
        <v>12</v>
      </c>
      <c r="AV373" t="s">
        <v>12</v>
      </c>
      <c r="AW373" t="s">
        <v>12</v>
      </c>
      <c r="AX373" t="s">
        <v>12</v>
      </c>
      <c r="AY373" t="s">
        <v>12</v>
      </c>
      <c r="AZ373" t="s">
        <v>12</v>
      </c>
      <c r="BA373" t="s">
        <v>12</v>
      </c>
      <c r="BB373" t="s">
        <v>12</v>
      </c>
      <c r="BC373" t="s">
        <v>12</v>
      </c>
      <c r="BD373" t="s">
        <v>12</v>
      </c>
      <c r="BF373" s="313" t="s">
        <v>11</v>
      </c>
      <c r="BG373" s="313" t="s">
        <v>11</v>
      </c>
      <c r="BH373" t="s">
        <v>12</v>
      </c>
      <c r="BI373" t="s">
        <v>12</v>
      </c>
      <c r="BJ373" t="s">
        <v>12</v>
      </c>
      <c r="BK373" t="s">
        <v>12</v>
      </c>
      <c r="BL373" t="s">
        <v>12</v>
      </c>
      <c r="BM373" t="s">
        <v>12</v>
      </c>
      <c r="BN373" t="s">
        <v>12</v>
      </c>
      <c r="BO373" t="s">
        <v>12</v>
      </c>
      <c r="BP373" t="s">
        <v>12</v>
      </c>
      <c r="BQ373" t="s">
        <v>12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 s="9" t="s">
        <v>12</v>
      </c>
      <c r="CF373" s="28" t="s">
        <v>12</v>
      </c>
      <c r="CG373" s="28" t="s">
        <v>12</v>
      </c>
      <c r="CH373" s="28" t="s">
        <v>12</v>
      </c>
      <c r="CI373" s="28" t="s">
        <v>12</v>
      </c>
      <c r="CJ373" s="28" t="s">
        <v>12</v>
      </c>
      <c r="CK373" s="28" t="s">
        <v>12</v>
      </c>
      <c r="CL373" s="28" t="s">
        <v>12</v>
      </c>
      <c r="CM373" s="28" t="s">
        <v>12</v>
      </c>
      <c r="CN373" s="28" t="s">
        <v>12</v>
      </c>
      <c r="CO373" s="28" t="s">
        <v>12</v>
      </c>
      <c r="CP373" s="28" t="s">
        <v>12</v>
      </c>
      <c r="CQ373" s="28" t="s">
        <v>12</v>
      </c>
      <c r="CR373" s="28" t="s">
        <v>12</v>
      </c>
      <c r="CS373" s="28" t="s">
        <v>12</v>
      </c>
      <c r="CT373" s="28" t="s">
        <v>12</v>
      </c>
      <c r="CU373" s="28" t="s">
        <v>12</v>
      </c>
      <c r="CV373" s="28" t="s">
        <v>12</v>
      </c>
      <c r="CW373" s="28" t="s">
        <v>12</v>
      </c>
      <c r="CX373" s="28" t="s">
        <v>12</v>
      </c>
      <c r="CY373" s="28" t="s">
        <v>12</v>
      </c>
      <c r="CZ373" s="28" t="s">
        <v>12</v>
      </c>
      <c r="DA373" s="28" t="s">
        <v>12</v>
      </c>
      <c r="DB373" s="313">
        <v>158</v>
      </c>
      <c r="DC373" s="313" t="s">
        <v>193</v>
      </c>
      <c r="DD373" s="386" t="s">
        <v>12</v>
      </c>
      <c r="DE373" s="386" t="s">
        <v>12</v>
      </c>
      <c r="DF373" s="386" t="s">
        <v>12</v>
      </c>
      <c r="DG373" s="386" t="s">
        <v>12</v>
      </c>
      <c r="DH373" s="386" t="s">
        <v>12</v>
      </c>
      <c r="DI373" s="386" t="s">
        <v>12</v>
      </c>
      <c r="DJ373" s="386" t="s">
        <v>12</v>
      </c>
      <c r="DK373" s="386" t="s">
        <v>12</v>
      </c>
      <c r="DL373" s="386" t="s">
        <v>12</v>
      </c>
      <c r="DM373" s="386" t="s">
        <v>12</v>
      </c>
      <c r="DN373" s="7" t="s">
        <v>12</v>
      </c>
      <c r="DO373" s="7" t="s">
        <v>12</v>
      </c>
      <c r="DP373" s="7" t="s">
        <v>12</v>
      </c>
      <c r="DQ373" s="7" t="s">
        <v>12</v>
      </c>
      <c r="DR373" s="7" t="s">
        <v>12</v>
      </c>
      <c r="DS373" s="7" t="s">
        <v>12</v>
      </c>
      <c r="DT373" s="7" t="s">
        <v>12</v>
      </c>
      <c r="DU373" s="7" t="s">
        <v>12</v>
      </c>
      <c r="DV373" s="7" t="s">
        <v>12</v>
      </c>
      <c r="DW373" s="7" t="s">
        <v>12</v>
      </c>
      <c r="DY373" s="9">
        <v>74849187</v>
      </c>
      <c r="EI373" s="423" t="s">
        <v>12</v>
      </c>
      <c r="EJ373" s="423" t="s">
        <v>12</v>
      </c>
      <c r="EK373" s="423" t="s">
        <v>12</v>
      </c>
      <c r="EL373" s="423" t="s">
        <v>12</v>
      </c>
      <c r="EM373" s="423" t="s">
        <v>12</v>
      </c>
      <c r="EN373" s="423" t="s">
        <v>12</v>
      </c>
      <c r="EO373" s="423" t="s">
        <v>12</v>
      </c>
      <c r="EP373" s="423" t="s">
        <v>12</v>
      </c>
      <c r="EQ373" s="423" t="s">
        <v>12</v>
      </c>
      <c r="ER373" s="423" t="s">
        <v>12</v>
      </c>
      <c r="ES373" s="438" t="s">
        <v>12</v>
      </c>
      <c r="ET373" s="438" t="s">
        <v>12</v>
      </c>
      <c r="EU373" s="438" t="s">
        <v>12</v>
      </c>
      <c r="EV373" s="438" t="s">
        <v>12</v>
      </c>
      <c r="EW373" s="438" t="s">
        <v>12</v>
      </c>
      <c r="EX373" s="438" t="s">
        <v>12</v>
      </c>
      <c r="EY373" s="438" t="s">
        <v>12</v>
      </c>
      <c r="EZ373" s="438" t="s">
        <v>12</v>
      </c>
      <c r="FA373" s="438" t="s">
        <v>12</v>
      </c>
      <c r="FB373" s="438" t="s">
        <v>12</v>
      </c>
      <c r="FC373" s="346">
        <v>0</v>
      </c>
      <c r="FD373" s="346">
        <v>0</v>
      </c>
      <c r="FE373" s="346">
        <v>0</v>
      </c>
      <c r="FF373" s="346">
        <v>0</v>
      </c>
      <c r="FG373" s="346">
        <v>0</v>
      </c>
      <c r="FH373" s="346">
        <v>0</v>
      </c>
      <c r="FI373" s="346">
        <v>0</v>
      </c>
      <c r="FJ373" s="346">
        <v>0</v>
      </c>
      <c r="FK373" s="346">
        <v>0</v>
      </c>
      <c r="FL373" s="346">
        <v>0</v>
      </c>
    </row>
    <row r="374" spans="1:168" x14ac:dyDescent="0.25">
      <c r="A374" s="252">
        <v>3</v>
      </c>
      <c r="B374" s="252" t="s">
        <v>764</v>
      </c>
      <c r="C374" s="253" t="s">
        <v>11</v>
      </c>
      <c r="D374" s="253" t="s">
        <v>11</v>
      </c>
      <c r="E374" s="253" t="s">
        <v>11</v>
      </c>
      <c r="F374" s="253" t="s">
        <v>11</v>
      </c>
      <c r="G374" s="253" t="s">
        <v>11</v>
      </c>
      <c r="H374" s="253" t="s">
        <v>11</v>
      </c>
      <c r="I374" s="253" t="s">
        <v>11</v>
      </c>
      <c r="J374" s="253" t="s">
        <v>11</v>
      </c>
      <c r="K374" s="253" t="s">
        <v>11</v>
      </c>
      <c r="L374" s="253" t="s">
        <v>11</v>
      </c>
      <c r="N374">
        <v>159</v>
      </c>
      <c r="O374" t="s">
        <v>194</v>
      </c>
      <c r="P374" t="s">
        <v>194</v>
      </c>
      <c r="Q374" t="s">
        <v>25</v>
      </c>
      <c r="R374" s="2" t="s">
        <v>12</v>
      </c>
      <c r="S374" s="2" t="s">
        <v>12</v>
      </c>
      <c r="T374" s="2" t="s">
        <v>12</v>
      </c>
      <c r="U374" s="2" t="s">
        <v>12</v>
      </c>
      <c r="V374" s="2" t="s">
        <v>12</v>
      </c>
      <c r="W374" s="2" t="s">
        <v>12</v>
      </c>
      <c r="X374" s="2" t="s">
        <v>12</v>
      </c>
      <c r="Y374" s="2" t="s">
        <v>12</v>
      </c>
      <c r="Z374" s="2" t="s">
        <v>12</v>
      </c>
      <c r="AA374" s="2" t="s">
        <v>12</v>
      </c>
      <c r="AB374" s="2" t="s">
        <v>12</v>
      </c>
      <c r="AC374" s="2" t="s">
        <v>12</v>
      </c>
      <c r="AD374" t="s">
        <v>12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t="s">
        <v>12</v>
      </c>
      <c r="AR374" t="s">
        <v>12</v>
      </c>
      <c r="AS374" t="s">
        <v>12</v>
      </c>
      <c r="AT374" t="s">
        <v>12</v>
      </c>
      <c r="AU374" t="s">
        <v>12</v>
      </c>
      <c r="AV374" t="s">
        <v>12</v>
      </c>
      <c r="AW374" t="s">
        <v>12</v>
      </c>
      <c r="AX374" t="s">
        <v>12</v>
      </c>
      <c r="AY374" t="s">
        <v>12</v>
      </c>
      <c r="AZ374" t="s">
        <v>12</v>
      </c>
      <c r="BA374" t="s">
        <v>12</v>
      </c>
      <c r="BB374" t="s">
        <v>12</v>
      </c>
      <c r="BC374" t="s">
        <v>12</v>
      </c>
      <c r="BD374" t="s">
        <v>12</v>
      </c>
      <c r="BF374" s="313" t="s">
        <v>11</v>
      </c>
      <c r="BG374" s="313" t="s">
        <v>11</v>
      </c>
      <c r="BH374" t="s">
        <v>12</v>
      </c>
      <c r="BI374" t="s">
        <v>12</v>
      </c>
      <c r="BJ374" t="s">
        <v>12</v>
      </c>
      <c r="BK374" t="s">
        <v>12</v>
      </c>
      <c r="BL374" t="s">
        <v>12</v>
      </c>
      <c r="BM374" t="s">
        <v>12</v>
      </c>
      <c r="BN374" t="s">
        <v>12</v>
      </c>
      <c r="BO374" t="s">
        <v>12</v>
      </c>
      <c r="BP374" t="s">
        <v>12</v>
      </c>
      <c r="BQ374" t="s">
        <v>12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 s="9" t="s">
        <v>12</v>
      </c>
      <c r="CF374" s="28" t="s">
        <v>12</v>
      </c>
      <c r="CG374" s="28" t="s">
        <v>12</v>
      </c>
      <c r="CH374" s="28" t="s">
        <v>12</v>
      </c>
      <c r="CI374" s="28" t="s">
        <v>12</v>
      </c>
      <c r="CJ374" s="28" t="s">
        <v>12</v>
      </c>
      <c r="CK374" s="28" t="s">
        <v>12</v>
      </c>
      <c r="CL374" s="28" t="s">
        <v>12</v>
      </c>
      <c r="CM374" s="28" t="s">
        <v>12</v>
      </c>
      <c r="CN374" s="28" t="s">
        <v>12</v>
      </c>
      <c r="CO374" s="28" t="s">
        <v>12</v>
      </c>
      <c r="CP374" s="28" t="s">
        <v>12</v>
      </c>
      <c r="CQ374" s="28" t="s">
        <v>12</v>
      </c>
      <c r="CR374" s="28" t="s">
        <v>12</v>
      </c>
      <c r="CS374" s="28" t="s">
        <v>12</v>
      </c>
      <c r="CT374" s="28" t="s">
        <v>12</v>
      </c>
      <c r="CU374" s="28" t="s">
        <v>12</v>
      </c>
      <c r="CV374" s="28" t="s">
        <v>12</v>
      </c>
      <c r="CW374" s="28" t="s">
        <v>12</v>
      </c>
      <c r="CX374" s="28" t="s">
        <v>12</v>
      </c>
      <c r="CY374" s="28" t="s">
        <v>12</v>
      </c>
      <c r="CZ374" s="28" t="s">
        <v>12</v>
      </c>
      <c r="DA374" s="28" t="s">
        <v>12</v>
      </c>
      <c r="DB374" s="313">
        <v>159</v>
      </c>
      <c r="DC374" s="313" t="s">
        <v>194</v>
      </c>
      <c r="DD374" s="386" t="s">
        <v>12</v>
      </c>
      <c r="DE374" s="386" t="s">
        <v>12</v>
      </c>
      <c r="DF374" s="386" t="s">
        <v>12</v>
      </c>
      <c r="DG374" s="386" t="s">
        <v>12</v>
      </c>
      <c r="DH374" s="386" t="s">
        <v>12</v>
      </c>
      <c r="DI374" s="386" t="s">
        <v>12</v>
      </c>
      <c r="DJ374" s="386" t="s">
        <v>12</v>
      </c>
      <c r="DK374" s="386" t="s">
        <v>12</v>
      </c>
      <c r="DL374" s="386" t="s">
        <v>12</v>
      </c>
      <c r="DM374" s="386" t="s">
        <v>12</v>
      </c>
      <c r="DN374" s="7" t="s">
        <v>12</v>
      </c>
      <c r="DO374" s="7" t="s">
        <v>12</v>
      </c>
      <c r="DP374" s="7" t="s">
        <v>12</v>
      </c>
      <c r="DQ374" s="7" t="s">
        <v>12</v>
      </c>
      <c r="DR374" s="7" t="s">
        <v>12</v>
      </c>
      <c r="DS374" s="7" t="s">
        <v>12</v>
      </c>
      <c r="DT374" s="7" t="s">
        <v>12</v>
      </c>
      <c r="DU374" s="7" t="s">
        <v>12</v>
      </c>
      <c r="DV374" s="7" t="s">
        <v>12</v>
      </c>
      <c r="DW374" s="7" t="s">
        <v>12</v>
      </c>
      <c r="DY374" s="9">
        <v>5172941</v>
      </c>
      <c r="EI374" s="423" t="s">
        <v>12</v>
      </c>
      <c r="EJ374" s="423" t="s">
        <v>12</v>
      </c>
      <c r="EK374" s="423" t="s">
        <v>12</v>
      </c>
      <c r="EL374" s="423" t="s">
        <v>12</v>
      </c>
      <c r="EM374" s="423" t="s">
        <v>12</v>
      </c>
      <c r="EN374" s="423" t="s">
        <v>12</v>
      </c>
      <c r="EO374" s="423" t="s">
        <v>12</v>
      </c>
      <c r="EP374" s="423" t="s">
        <v>12</v>
      </c>
      <c r="EQ374" s="423" t="s">
        <v>12</v>
      </c>
      <c r="ER374" s="423" t="s">
        <v>12</v>
      </c>
      <c r="ES374" s="438" t="s">
        <v>12</v>
      </c>
      <c r="ET374" s="438" t="s">
        <v>12</v>
      </c>
      <c r="EU374" s="438" t="s">
        <v>12</v>
      </c>
      <c r="EV374" s="438" t="s">
        <v>12</v>
      </c>
      <c r="EW374" s="438" t="s">
        <v>12</v>
      </c>
      <c r="EX374" s="438" t="s">
        <v>12</v>
      </c>
      <c r="EY374" s="438" t="s">
        <v>12</v>
      </c>
      <c r="EZ374" s="438" t="s">
        <v>12</v>
      </c>
      <c r="FA374" s="438" t="s">
        <v>12</v>
      </c>
      <c r="FB374" s="438" t="s">
        <v>12</v>
      </c>
      <c r="FC374" s="346">
        <v>0</v>
      </c>
      <c r="FD374" s="346">
        <v>0</v>
      </c>
      <c r="FE374" s="346">
        <v>0</v>
      </c>
      <c r="FF374" s="346">
        <v>0</v>
      </c>
      <c r="FG374" s="346">
        <v>0</v>
      </c>
      <c r="FH374" s="346">
        <v>0</v>
      </c>
      <c r="FI374" s="346">
        <v>0</v>
      </c>
      <c r="FJ374" s="346">
        <v>0</v>
      </c>
      <c r="FK374" s="346">
        <v>0</v>
      </c>
      <c r="FL374" s="346">
        <v>0</v>
      </c>
    </row>
    <row r="375" spans="1:168" x14ac:dyDescent="0.25">
      <c r="A375" s="252">
        <v>4</v>
      </c>
      <c r="B375" s="252" t="s">
        <v>765</v>
      </c>
      <c r="C375" s="253" t="s">
        <v>11</v>
      </c>
      <c r="D375" s="253" t="s">
        <v>11</v>
      </c>
      <c r="E375" s="253" t="s">
        <v>11</v>
      </c>
      <c r="F375" s="253" t="s">
        <v>11</v>
      </c>
      <c r="G375" s="253" t="s">
        <v>11</v>
      </c>
      <c r="H375" s="253" t="s">
        <v>11</v>
      </c>
      <c r="I375" s="253" t="s">
        <v>11</v>
      </c>
      <c r="J375" s="253" t="s">
        <v>11</v>
      </c>
      <c r="K375" s="253" t="s">
        <v>11</v>
      </c>
      <c r="L375" s="253" t="s">
        <v>11</v>
      </c>
      <c r="N375">
        <v>160</v>
      </c>
      <c r="O375" t="s">
        <v>195</v>
      </c>
      <c r="P375" t="s">
        <v>195</v>
      </c>
      <c r="Q375" t="s">
        <v>14</v>
      </c>
      <c r="R375" s="2" t="s">
        <v>12</v>
      </c>
      <c r="S375" s="2" t="s">
        <v>12</v>
      </c>
      <c r="T375" s="2" t="s">
        <v>12</v>
      </c>
      <c r="U375" s="2" t="s">
        <v>12</v>
      </c>
      <c r="V375" s="2" t="s">
        <v>12</v>
      </c>
      <c r="W375" s="2" t="s">
        <v>12</v>
      </c>
      <c r="X375" s="2" t="s">
        <v>12</v>
      </c>
      <c r="Y375" s="2" t="s">
        <v>12</v>
      </c>
      <c r="Z375" s="2" t="s">
        <v>12</v>
      </c>
      <c r="AA375" s="2" t="s">
        <v>12</v>
      </c>
      <c r="AB375" s="2" t="s">
        <v>12</v>
      </c>
      <c r="AC375" s="2" t="s">
        <v>12</v>
      </c>
      <c r="AD375" t="s">
        <v>12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t="s">
        <v>12</v>
      </c>
      <c r="AR375" t="s">
        <v>12</v>
      </c>
      <c r="AS375" t="s">
        <v>12</v>
      </c>
      <c r="AT375" t="s">
        <v>12</v>
      </c>
      <c r="AU375" t="s">
        <v>12</v>
      </c>
      <c r="AV375" t="s">
        <v>12</v>
      </c>
      <c r="AW375" t="s">
        <v>12</v>
      </c>
      <c r="AX375" t="s">
        <v>12</v>
      </c>
      <c r="AY375" t="s">
        <v>12</v>
      </c>
      <c r="AZ375" t="s">
        <v>12</v>
      </c>
      <c r="BA375" t="s">
        <v>12</v>
      </c>
      <c r="BB375" t="s">
        <v>12</v>
      </c>
      <c r="BC375" t="s">
        <v>12</v>
      </c>
      <c r="BD375" t="s">
        <v>12</v>
      </c>
      <c r="BF375" s="313" t="s">
        <v>11</v>
      </c>
      <c r="BG375" s="313" t="s">
        <v>11</v>
      </c>
      <c r="BH375" t="s">
        <v>12</v>
      </c>
      <c r="BI375" t="s">
        <v>12</v>
      </c>
      <c r="BJ375" t="s">
        <v>12</v>
      </c>
      <c r="BK375" t="s">
        <v>12</v>
      </c>
      <c r="BL375" t="s">
        <v>12</v>
      </c>
      <c r="BM375" t="s">
        <v>12</v>
      </c>
      <c r="BN375" t="s">
        <v>12</v>
      </c>
      <c r="BO375" t="s">
        <v>12</v>
      </c>
      <c r="BP375" t="s">
        <v>12</v>
      </c>
      <c r="BQ375" t="s">
        <v>12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 s="9" t="s">
        <v>12</v>
      </c>
      <c r="CF375" s="28" t="s">
        <v>12</v>
      </c>
      <c r="CG375" s="28" t="s">
        <v>12</v>
      </c>
      <c r="CH375" s="28" t="s">
        <v>12</v>
      </c>
      <c r="CI375" s="28" t="s">
        <v>12</v>
      </c>
      <c r="CJ375" s="28" t="s">
        <v>12</v>
      </c>
      <c r="CK375" s="28" t="s">
        <v>12</v>
      </c>
      <c r="CL375" s="28" t="s">
        <v>12</v>
      </c>
      <c r="CM375" s="28" t="s">
        <v>12</v>
      </c>
      <c r="CN375" s="28" t="s">
        <v>12</v>
      </c>
      <c r="CO375" s="28" t="s">
        <v>12</v>
      </c>
      <c r="CP375" s="28" t="s">
        <v>12</v>
      </c>
      <c r="CQ375" s="28" t="s">
        <v>12</v>
      </c>
      <c r="CR375" s="28" t="s">
        <v>12</v>
      </c>
      <c r="CS375" s="28" t="s">
        <v>12</v>
      </c>
      <c r="CT375" s="28" t="s">
        <v>12</v>
      </c>
      <c r="CU375" s="28" t="s">
        <v>12</v>
      </c>
      <c r="CV375" s="28" t="s">
        <v>12</v>
      </c>
      <c r="CW375" s="28" t="s">
        <v>12</v>
      </c>
      <c r="CX375" s="28" t="s">
        <v>12</v>
      </c>
      <c r="CY375" s="28" t="s">
        <v>12</v>
      </c>
      <c r="CZ375" s="28" t="s">
        <v>12</v>
      </c>
      <c r="DA375" s="28" t="s">
        <v>12</v>
      </c>
      <c r="DB375" s="313">
        <v>160</v>
      </c>
      <c r="DC375" s="313" t="s">
        <v>195</v>
      </c>
      <c r="DD375" s="386" t="s">
        <v>12</v>
      </c>
      <c r="DE375" s="386" t="s">
        <v>12</v>
      </c>
      <c r="DF375" s="386" t="s">
        <v>12</v>
      </c>
      <c r="DG375" s="386" t="s">
        <v>12</v>
      </c>
      <c r="DH375" s="386" t="s">
        <v>12</v>
      </c>
      <c r="DI375" s="386" t="s">
        <v>12</v>
      </c>
      <c r="DJ375" s="386" t="s">
        <v>12</v>
      </c>
      <c r="DK375" s="386" t="s">
        <v>12</v>
      </c>
      <c r="DL375" s="386" t="s">
        <v>12</v>
      </c>
      <c r="DM375" s="386" t="s">
        <v>12</v>
      </c>
      <c r="DN375" s="7" t="s">
        <v>12</v>
      </c>
      <c r="DO375" s="7" t="s">
        <v>12</v>
      </c>
      <c r="DP375" s="7" t="s">
        <v>12</v>
      </c>
      <c r="DQ375" s="7" t="s">
        <v>12</v>
      </c>
      <c r="DR375" s="7" t="s">
        <v>12</v>
      </c>
      <c r="DS375" s="7" t="s">
        <v>12</v>
      </c>
      <c r="DT375" s="7" t="s">
        <v>12</v>
      </c>
      <c r="DU375" s="7" t="s">
        <v>12</v>
      </c>
      <c r="DV375" s="7" t="s">
        <v>12</v>
      </c>
      <c r="DW375" s="7" t="s">
        <v>12</v>
      </c>
      <c r="DY375" s="9">
        <v>35400620</v>
      </c>
      <c r="EI375" s="423" t="s">
        <v>12</v>
      </c>
      <c r="EJ375" s="423" t="s">
        <v>12</v>
      </c>
      <c r="EK375" s="423" t="s">
        <v>12</v>
      </c>
      <c r="EL375" s="423" t="s">
        <v>12</v>
      </c>
      <c r="EM375" s="423" t="s">
        <v>12</v>
      </c>
      <c r="EN375" s="423" t="s">
        <v>12</v>
      </c>
      <c r="EO375" s="423" t="s">
        <v>12</v>
      </c>
      <c r="EP375" s="423" t="s">
        <v>12</v>
      </c>
      <c r="EQ375" s="423" t="s">
        <v>12</v>
      </c>
      <c r="ER375" s="423" t="s">
        <v>12</v>
      </c>
      <c r="ES375" s="438" t="s">
        <v>12</v>
      </c>
      <c r="ET375" s="438" t="s">
        <v>12</v>
      </c>
      <c r="EU375" s="438" t="s">
        <v>12</v>
      </c>
      <c r="EV375" s="438" t="s">
        <v>12</v>
      </c>
      <c r="EW375" s="438" t="s">
        <v>12</v>
      </c>
      <c r="EX375" s="438" t="s">
        <v>12</v>
      </c>
      <c r="EY375" s="438" t="s">
        <v>12</v>
      </c>
      <c r="EZ375" s="438" t="s">
        <v>12</v>
      </c>
      <c r="FA375" s="438" t="s">
        <v>12</v>
      </c>
      <c r="FB375" s="438" t="s">
        <v>12</v>
      </c>
      <c r="FC375" s="346">
        <v>0</v>
      </c>
      <c r="FD375" s="346">
        <v>0</v>
      </c>
      <c r="FE375" s="346">
        <v>0</v>
      </c>
      <c r="FF375" s="346">
        <v>0</v>
      </c>
      <c r="FG375" s="346">
        <v>0</v>
      </c>
      <c r="FH375" s="346">
        <v>0</v>
      </c>
      <c r="FI375" s="346">
        <v>0</v>
      </c>
      <c r="FJ375" s="346">
        <v>0</v>
      </c>
      <c r="FK375" s="346">
        <v>0</v>
      </c>
      <c r="FL375" s="346">
        <v>0</v>
      </c>
    </row>
    <row r="376" spans="1:168" x14ac:dyDescent="0.25">
      <c r="A376" s="252">
        <v>5</v>
      </c>
      <c r="B376" s="252" t="s">
        <v>767</v>
      </c>
      <c r="C376" s="253" t="s">
        <v>11</v>
      </c>
      <c r="D376" s="253" t="s">
        <v>11</v>
      </c>
      <c r="E376" s="253" t="s">
        <v>11</v>
      </c>
      <c r="F376" s="253" t="s">
        <v>11</v>
      </c>
      <c r="G376" s="253" t="s">
        <v>11</v>
      </c>
      <c r="H376" s="253" t="s">
        <v>11</v>
      </c>
      <c r="I376" s="253" t="s">
        <v>11</v>
      </c>
      <c r="J376" s="253" t="s">
        <v>11</v>
      </c>
      <c r="K376" s="253" t="s">
        <v>11</v>
      </c>
      <c r="L376" s="253" t="s">
        <v>11</v>
      </c>
      <c r="N376">
        <v>161</v>
      </c>
      <c r="O376" t="s">
        <v>196</v>
      </c>
      <c r="P376" t="s">
        <v>196</v>
      </c>
      <c r="Q376" t="s">
        <v>7</v>
      </c>
      <c r="R376" s="2" t="s">
        <v>12</v>
      </c>
      <c r="S376" s="2" t="s">
        <v>12</v>
      </c>
      <c r="T376" s="2" t="s">
        <v>12</v>
      </c>
      <c r="U376" s="2" t="s">
        <v>12</v>
      </c>
      <c r="V376" s="2" t="s">
        <v>12</v>
      </c>
      <c r="W376" s="2" t="s">
        <v>12</v>
      </c>
      <c r="X376" s="2" t="s">
        <v>12</v>
      </c>
      <c r="Y376" s="2" t="s">
        <v>12</v>
      </c>
      <c r="Z376" s="2" t="s">
        <v>12</v>
      </c>
      <c r="AA376" s="2" t="s">
        <v>12</v>
      </c>
      <c r="AB376" s="2" t="s">
        <v>12</v>
      </c>
      <c r="AC376" s="2" t="s">
        <v>12</v>
      </c>
      <c r="AD376" t="s">
        <v>12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t="s">
        <v>12</v>
      </c>
      <c r="AR376" t="s">
        <v>12</v>
      </c>
      <c r="AS376" t="s">
        <v>12</v>
      </c>
      <c r="AT376" t="s">
        <v>12</v>
      </c>
      <c r="AU376" t="s">
        <v>12</v>
      </c>
      <c r="AV376" t="s">
        <v>12</v>
      </c>
      <c r="AW376" t="s">
        <v>12</v>
      </c>
      <c r="AX376" t="s">
        <v>12</v>
      </c>
      <c r="AY376" t="s">
        <v>12</v>
      </c>
      <c r="AZ376" t="s">
        <v>12</v>
      </c>
      <c r="BA376" t="s">
        <v>12</v>
      </c>
      <c r="BB376" t="s">
        <v>12</v>
      </c>
      <c r="BC376" t="s">
        <v>12</v>
      </c>
      <c r="BD376" t="s">
        <v>12</v>
      </c>
      <c r="BF376" s="313" t="s">
        <v>11</v>
      </c>
      <c r="BG376" s="313" t="s">
        <v>11</v>
      </c>
      <c r="BH376" t="s">
        <v>12</v>
      </c>
      <c r="BI376" t="s">
        <v>12</v>
      </c>
      <c r="BJ376" t="s">
        <v>12</v>
      </c>
      <c r="BK376" t="s">
        <v>12</v>
      </c>
      <c r="BL376" t="s">
        <v>12</v>
      </c>
      <c r="BM376" t="s">
        <v>12</v>
      </c>
      <c r="BN376" t="s">
        <v>12</v>
      </c>
      <c r="BO376" t="s">
        <v>12</v>
      </c>
      <c r="BP376" t="s">
        <v>12</v>
      </c>
      <c r="BQ376" t="s">
        <v>12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 s="9" t="s">
        <v>12</v>
      </c>
      <c r="CF376" s="28" t="s">
        <v>12</v>
      </c>
      <c r="CG376" s="28" t="s">
        <v>12</v>
      </c>
      <c r="CH376" s="28" t="s">
        <v>12</v>
      </c>
      <c r="CI376" s="28" t="s">
        <v>12</v>
      </c>
      <c r="CJ376" s="28" t="s">
        <v>12</v>
      </c>
      <c r="CK376" s="28" t="s">
        <v>12</v>
      </c>
      <c r="CL376" s="28" t="s">
        <v>12</v>
      </c>
      <c r="CM376" s="28" t="s">
        <v>12</v>
      </c>
      <c r="CN376" s="28" t="s">
        <v>12</v>
      </c>
      <c r="CO376" s="28" t="s">
        <v>12</v>
      </c>
      <c r="CP376" s="28" t="s">
        <v>12</v>
      </c>
      <c r="CQ376" s="28" t="s">
        <v>12</v>
      </c>
      <c r="CR376" s="28" t="s">
        <v>12</v>
      </c>
      <c r="CS376" s="28" t="s">
        <v>12</v>
      </c>
      <c r="CT376" s="28" t="s">
        <v>12</v>
      </c>
      <c r="CU376" s="28" t="s">
        <v>12</v>
      </c>
      <c r="CV376" s="28" t="s">
        <v>12</v>
      </c>
      <c r="CW376" s="28" t="s">
        <v>12</v>
      </c>
      <c r="CX376" s="28" t="s">
        <v>12</v>
      </c>
      <c r="CY376" s="28" t="s">
        <v>12</v>
      </c>
      <c r="CZ376" s="28" t="s">
        <v>12</v>
      </c>
      <c r="DA376" s="28" t="s">
        <v>12</v>
      </c>
      <c r="DB376" s="313">
        <v>161</v>
      </c>
      <c r="DC376" s="313" t="s">
        <v>196</v>
      </c>
      <c r="DD376" s="386" t="s">
        <v>12</v>
      </c>
      <c r="DE376" s="386" t="s">
        <v>12</v>
      </c>
      <c r="DF376" s="386" t="s">
        <v>12</v>
      </c>
      <c r="DG376" s="386" t="s">
        <v>12</v>
      </c>
      <c r="DH376" s="386" t="s">
        <v>12</v>
      </c>
      <c r="DI376" s="386" t="s">
        <v>12</v>
      </c>
      <c r="DJ376" s="386" t="s">
        <v>12</v>
      </c>
      <c r="DK376" s="386" t="s">
        <v>12</v>
      </c>
      <c r="DL376" s="386" t="s">
        <v>12</v>
      </c>
      <c r="DM376" s="386" t="s">
        <v>12</v>
      </c>
      <c r="DN376" s="7" t="s">
        <v>12</v>
      </c>
      <c r="DO376" s="7" t="s">
        <v>12</v>
      </c>
      <c r="DP376" s="7" t="s">
        <v>12</v>
      </c>
      <c r="DQ376" s="7" t="s">
        <v>12</v>
      </c>
      <c r="DR376" s="7" t="s">
        <v>12</v>
      </c>
      <c r="DS376" s="7" t="s">
        <v>12</v>
      </c>
      <c r="DT376" s="7" t="s">
        <v>12</v>
      </c>
      <c r="DU376" s="7" t="s">
        <v>12</v>
      </c>
      <c r="DV376" s="7" t="s">
        <v>12</v>
      </c>
      <c r="DW376" s="7" t="s">
        <v>12</v>
      </c>
      <c r="DY376" s="9">
        <v>45593300</v>
      </c>
      <c r="EI376" s="423" t="s">
        <v>12</v>
      </c>
      <c r="EJ376" s="423" t="s">
        <v>12</v>
      </c>
      <c r="EK376" s="423" t="s">
        <v>12</v>
      </c>
      <c r="EL376" s="423" t="s">
        <v>12</v>
      </c>
      <c r="EM376" s="423" t="s">
        <v>12</v>
      </c>
      <c r="EN376" s="423" t="s">
        <v>12</v>
      </c>
      <c r="EO376" s="423" t="s">
        <v>12</v>
      </c>
      <c r="EP376" s="423" t="s">
        <v>12</v>
      </c>
      <c r="EQ376" s="423" t="s">
        <v>12</v>
      </c>
      <c r="ER376" s="423" t="s">
        <v>12</v>
      </c>
      <c r="ES376" s="438" t="s">
        <v>12</v>
      </c>
      <c r="ET376" s="438" t="s">
        <v>12</v>
      </c>
      <c r="EU376" s="438" t="s">
        <v>12</v>
      </c>
      <c r="EV376" s="438" t="s">
        <v>12</v>
      </c>
      <c r="EW376" s="438" t="s">
        <v>12</v>
      </c>
      <c r="EX376" s="438" t="s">
        <v>12</v>
      </c>
      <c r="EY376" s="438" t="s">
        <v>12</v>
      </c>
      <c r="EZ376" s="438" t="s">
        <v>12</v>
      </c>
      <c r="FA376" s="438" t="s">
        <v>12</v>
      </c>
      <c r="FB376" s="438" t="s">
        <v>12</v>
      </c>
      <c r="FC376" s="346">
        <v>0</v>
      </c>
      <c r="FD376" s="346">
        <v>0</v>
      </c>
      <c r="FE376" s="346">
        <v>0</v>
      </c>
      <c r="FF376" s="346">
        <v>0</v>
      </c>
      <c r="FG376" s="346">
        <v>0</v>
      </c>
      <c r="FH376" s="346">
        <v>0</v>
      </c>
      <c r="FI376" s="346">
        <v>0</v>
      </c>
      <c r="FJ376" s="346">
        <v>0</v>
      </c>
      <c r="FK376" s="346">
        <v>0</v>
      </c>
      <c r="FL376" s="346">
        <v>0</v>
      </c>
    </row>
    <row r="377" spans="1:168" x14ac:dyDescent="0.25">
      <c r="A377" s="252">
        <v>6</v>
      </c>
      <c r="B377" s="252" t="s">
        <v>768</v>
      </c>
      <c r="C377" s="253" t="s">
        <v>11</v>
      </c>
      <c r="D377" s="253" t="s">
        <v>11</v>
      </c>
      <c r="E377" s="253" t="s">
        <v>11</v>
      </c>
      <c r="F377" s="253" t="s">
        <v>11</v>
      </c>
      <c r="G377" s="253" t="s">
        <v>11</v>
      </c>
      <c r="H377" s="253" t="s">
        <v>11</v>
      </c>
      <c r="I377" s="253" t="s">
        <v>11</v>
      </c>
      <c r="J377" s="253" t="s">
        <v>11</v>
      </c>
      <c r="K377" s="253" t="s">
        <v>11</v>
      </c>
      <c r="L377" s="253" t="s">
        <v>11</v>
      </c>
      <c r="N377">
        <v>162</v>
      </c>
      <c r="O377" t="s">
        <v>197</v>
      </c>
      <c r="P377" t="s">
        <v>198</v>
      </c>
      <c r="Q377" t="s">
        <v>9</v>
      </c>
      <c r="R377" s="2" t="s">
        <v>12</v>
      </c>
      <c r="S377" s="2" t="s">
        <v>12</v>
      </c>
      <c r="T377" s="2" t="s">
        <v>12</v>
      </c>
      <c r="U377" s="2" t="s">
        <v>12</v>
      </c>
      <c r="V377" s="2" t="s">
        <v>12</v>
      </c>
      <c r="W377" s="2" t="s">
        <v>12</v>
      </c>
      <c r="X377" s="2" t="s">
        <v>12</v>
      </c>
      <c r="Y377" s="2" t="s">
        <v>12</v>
      </c>
      <c r="Z377" s="2" t="s">
        <v>12</v>
      </c>
      <c r="AA377" s="2" t="s">
        <v>12</v>
      </c>
      <c r="AB377" s="2" t="s">
        <v>12</v>
      </c>
      <c r="AC377" s="2" t="s">
        <v>12</v>
      </c>
      <c r="AD377" t="s">
        <v>12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t="s">
        <v>12</v>
      </c>
      <c r="AR377" t="s">
        <v>12</v>
      </c>
      <c r="AS377" t="s">
        <v>12</v>
      </c>
      <c r="AT377" t="s">
        <v>12</v>
      </c>
      <c r="AU377" t="s">
        <v>12</v>
      </c>
      <c r="AV377" t="s">
        <v>12</v>
      </c>
      <c r="AW377" t="s">
        <v>12</v>
      </c>
      <c r="AX377" t="s">
        <v>12</v>
      </c>
      <c r="AY377" t="s">
        <v>12</v>
      </c>
      <c r="AZ377" t="s">
        <v>12</v>
      </c>
      <c r="BA377" t="s">
        <v>12</v>
      </c>
      <c r="BB377" t="s">
        <v>12</v>
      </c>
      <c r="BC377" t="s">
        <v>12</v>
      </c>
      <c r="BD377" t="s">
        <v>12</v>
      </c>
      <c r="BF377" s="313" t="s">
        <v>11</v>
      </c>
      <c r="BG377" s="313" t="s">
        <v>11</v>
      </c>
      <c r="BH377" t="s">
        <v>12</v>
      </c>
      <c r="BI377" t="s">
        <v>12</v>
      </c>
      <c r="BJ377" t="s">
        <v>12</v>
      </c>
      <c r="BK377" t="s">
        <v>12</v>
      </c>
      <c r="BL377" t="s">
        <v>12</v>
      </c>
      <c r="BM377" t="s">
        <v>12</v>
      </c>
      <c r="BN377" t="s">
        <v>12</v>
      </c>
      <c r="BO377" t="s">
        <v>12</v>
      </c>
      <c r="BP377" t="s">
        <v>12</v>
      </c>
      <c r="BQ377" t="s">
        <v>12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 s="9" t="s">
        <v>12</v>
      </c>
      <c r="CF377" s="28" t="s">
        <v>12</v>
      </c>
      <c r="CG377" s="28" t="s">
        <v>12</v>
      </c>
      <c r="CH377" s="28" t="s">
        <v>12</v>
      </c>
      <c r="CI377" s="28" t="s">
        <v>12</v>
      </c>
      <c r="CJ377" s="28" t="s">
        <v>12</v>
      </c>
      <c r="CK377" s="28" t="s">
        <v>12</v>
      </c>
      <c r="CL377" s="28" t="s">
        <v>12</v>
      </c>
      <c r="CM377" s="28" t="s">
        <v>12</v>
      </c>
      <c r="CN377" s="28" t="s">
        <v>12</v>
      </c>
      <c r="CO377" s="28" t="s">
        <v>12</v>
      </c>
      <c r="CP377" s="28" t="s">
        <v>12</v>
      </c>
      <c r="CQ377" s="28" t="s">
        <v>12</v>
      </c>
      <c r="CR377" s="28" t="s">
        <v>12</v>
      </c>
      <c r="CS377" s="28" t="s">
        <v>12</v>
      </c>
      <c r="CT377" s="28" t="s">
        <v>12</v>
      </c>
      <c r="CU377" s="28" t="s">
        <v>12</v>
      </c>
      <c r="CV377" s="28" t="s">
        <v>12</v>
      </c>
      <c r="CW377" s="28" t="s">
        <v>12</v>
      </c>
      <c r="CX377" s="28" t="s">
        <v>12</v>
      </c>
      <c r="CY377" s="28" t="s">
        <v>12</v>
      </c>
      <c r="CZ377" s="28" t="s">
        <v>12</v>
      </c>
      <c r="DA377" s="28" t="s">
        <v>12</v>
      </c>
      <c r="DB377" s="313">
        <v>162</v>
      </c>
      <c r="DC377" s="313" t="s">
        <v>197</v>
      </c>
      <c r="DD377" s="386" t="s">
        <v>12</v>
      </c>
      <c r="DE377" s="386" t="s">
        <v>12</v>
      </c>
      <c r="DF377" s="386" t="s">
        <v>12</v>
      </c>
      <c r="DG377" s="386" t="s">
        <v>12</v>
      </c>
      <c r="DH377" s="386" t="s">
        <v>12</v>
      </c>
      <c r="DI377" s="386" t="s">
        <v>12</v>
      </c>
      <c r="DJ377" s="386" t="s">
        <v>12</v>
      </c>
      <c r="DK377" s="386" t="s">
        <v>12</v>
      </c>
      <c r="DL377" s="386" t="s">
        <v>12</v>
      </c>
      <c r="DM377" s="386" t="s">
        <v>12</v>
      </c>
      <c r="DN377" s="7" t="s">
        <v>12</v>
      </c>
      <c r="DO377" s="7" t="s">
        <v>12</v>
      </c>
      <c r="DP377" s="7" t="s">
        <v>12</v>
      </c>
      <c r="DQ377" s="7" t="s">
        <v>12</v>
      </c>
      <c r="DR377" s="7" t="s">
        <v>12</v>
      </c>
      <c r="DS377" s="7" t="s">
        <v>12</v>
      </c>
      <c r="DT377" s="7" t="s">
        <v>12</v>
      </c>
      <c r="DU377" s="7" t="s">
        <v>12</v>
      </c>
      <c r="DV377" s="7" t="s">
        <v>12</v>
      </c>
      <c r="DW377" s="7" t="s">
        <v>12</v>
      </c>
      <c r="DY377" s="9">
        <v>8952542</v>
      </c>
      <c r="EI377" s="423" t="s">
        <v>12</v>
      </c>
      <c r="EJ377" s="423" t="s">
        <v>12</v>
      </c>
      <c r="EK377" s="423" t="s">
        <v>12</v>
      </c>
      <c r="EL377" s="423" t="s">
        <v>12</v>
      </c>
      <c r="EM377" s="423" t="s">
        <v>12</v>
      </c>
      <c r="EN377" s="423" t="s">
        <v>12</v>
      </c>
      <c r="EO377" s="423" t="s">
        <v>12</v>
      </c>
      <c r="EP377" s="423" t="s">
        <v>12</v>
      </c>
      <c r="EQ377" s="423" t="s">
        <v>12</v>
      </c>
      <c r="ER377" s="423" t="s">
        <v>12</v>
      </c>
      <c r="ES377" s="438" t="s">
        <v>12</v>
      </c>
      <c r="ET377" s="438" t="s">
        <v>12</v>
      </c>
      <c r="EU377" s="438" t="s">
        <v>12</v>
      </c>
      <c r="EV377" s="438" t="s">
        <v>12</v>
      </c>
      <c r="EW377" s="438" t="s">
        <v>12</v>
      </c>
      <c r="EX377" s="438" t="s">
        <v>12</v>
      </c>
      <c r="EY377" s="438" t="s">
        <v>12</v>
      </c>
      <c r="EZ377" s="438" t="s">
        <v>12</v>
      </c>
      <c r="FA377" s="438" t="s">
        <v>12</v>
      </c>
      <c r="FB377" s="438" t="s">
        <v>12</v>
      </c>
      <c r="FC377" s="346">
        <v>0</v>
      </c>
      <c r="FD377" s="346">
        <v>0</v>
      </c>
      <c r="FE377" s="346">
        <v>0</v>
      </c>
      <c r="FF377" s="346">
        <v>0</v>
      </c>
      <c r="FG377" s="346">
        <v>0</v>
      </c>
      <c r="FH377" s="346">
        <v>0</v>
      </c>
      <c r="FI377" s="346">
        <v>0</v>
      </c>
      <c r="FJ377" s="346">
        <v>0</v>
      </c>
      <c r="FK377" s="346">
        <v>0</v>
      </c>
      <c r="FL377" s="346">
        <v>0</v>
      </c>
    </row>
    <row r="378" spans="1:168" x14ac:dyDescent="0.25">
      <c r="A378" s="252">
        <v>7</v>
      </c>
      <c r="B378" s="252" t="s">
        <v>770</v>
      </c>
      <c r="C378" s="253" t="s">
        <v>11</v>
      </c>
      <c r="D378" s="253" t="s">
        <v>11</v>
      </c>
      <c r="E378" s="253" t="s">
        <v>11</v>
      </c>
      <c r="F378" s="253" t="s">
        <v>11</v>
      </c>
      <c r="G378" s="253" t="s">
        <v>11</v>
      </c>
      <c r="H378" s="253" t="s">
        <v>11</v>
      </c>
      <c r="I378" s="253" t="s">
        <v>11</v>
      </c>
      <c r="J378" s="253" t="s">
        <v>11</v>
      </c>
      <c r="K378" s="253" t="s">
        <v>11</v>
      </c>
      <c r="L378" s="253" t="s">
        <v>11</v>
      </c>
      <c r="N378">
        <v>163</v>
      </c>
      <c r="O378" t="s">
        <v>199</v>
      </c>
      <c r="P378" t="s">
        <v>200</v>
      </c>
      <c r="Q378" t="s">
        <v>36</v>
      </c>
      <c r="R378" s="2">
        <v>3951022</v>
      </c>
      <c r="S378" s="2">
        <v>8692541</v>
      </c>
      <c r="T378" s="2" t="s">
        <v>12</v>
      </c>
      <c r="U378" s="2" t="s">
        <v>12</v>
      </c>
      <c r="V378" s="2" t="s">
        <v>12</v>
      </c>
      <c r="W378" s="2" t="s">
        <v>12</v>
      </c>
      <c r="X378" s="2" t="s">
        <v>12</v>
      </c>
      <c r="Y378" s="2" t="s">
        <v>12</v>
      </c>
      <c r="Z378" s="2" t="s">
        <v>12</v>
      </c>
      <c r="AA378" s="2" t="s">
        <v>12</v>
      </c>
      <c r="AB378" s="2" t="s">
        <v>12</v>
      </c>
      <c r="AC378" s="2" t="s">
        <v>12</v>
      </c>
      <c r="AD378">
        <v>2011</v>
      </c>
      <c r="AE378" s="2">
        <v>1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t="s">
        <v>12</v>
      </c>
      <c r="AR378" t="s">
        <v>12</v>
      </c>
      <c r="AS378" t="s">
        <v>12</v>
      </c>
      <c r="AT378">
        <v>2011</v>
      </c>
      <c r="AU378" t="s">
        <v>12</v>
      </c>
      <c r="AV378" t="s">
        <v>12</v>
      </c>
      <c r="AW378" t="s">
        <v>12</v>
      </c>
      <c r="AX378" t="s">
        <v>12</v>
      </c>
      <c r="AY378" t="s">
        <v>12</v>
      </c>
      <c r="AZ378" t="s">
        <v>12</v>
      </c>
      <c r="BA378">
        <v>2011</v>
      </c>
      <c r="BB378">
        <v>9</v>
      </c>
      <c r="BC378" t="s">
        <v>199</v>
      </c>
      <c r="BD378">
        <v>2011</v>
      </c>
      <c r="BF378" s="313" t="s">
        <v>11</v>
      </c>
      <c r="BG378" s="313" t="s">
        <v>11</v>
      </c>
      <c r="BH378" t="s">
        <v>12</v>
      </c>
      <c r="BI378" t="s">
        <v>12</v>
      </c>
      <c r="BJ378" t="s">
        <v>12</v>
      </c>
      <c r="BK378" t="s">
        <v>12</v>
      </c>
      <c r="BL378" t="s">
        <v>12</v>
      </c>
      <c r="BM378" t="s">
        <v>12</v>
      </c>
      <c r="BN378" t="s">
        <v>12</v>
      </c>
      <c r="BO378" t="s">
        <v>12</v>
      </c>
      <c r="BP378" t="s">
        <v>12</v>
      </c>
      <c r="BQ378" t="s">
        <v>12</v>
      </c>
      <c r="BS378">
        <v>87928377.951340854</v>
      </c>
      <c r="BT378">
        <v>192274689.46289992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 s="9">
        <v>19124233.941669017</v>
      </c>
      <c r="CF378" s="28" t="s">
        <v>12</v>
      </c>
      <c r="CG378" s="28" t="s">
        <v>12</v>
      </c>
      <c r="CH378" s="28" t="s">
        <v>12</v>
      </c>
      <c r="CI378" s="28">
        <v>2.6759523514567283</v>
      </c>
      <c r="CJ378" s="28" t="s">
        <v>12</v>
      </c>
      <c r="CK378" s="28" t="s">
        <v>12</v>
      </c>
      <c r="CL378" s="28" t="s">
        <v>12</v>
      </c>
      <c r="CM378" s="28" t="s">
        <v>12</v>
      </c>
      <c r="CN378" s="28" t="s">
        <v>12</v>
      </c>
      <c r="CO378" s="28" t="s">
        <v>12</v>
      </c>
      <c r="CP378" s="28">
        <v>2.6759523514567283</v>
      </c>
      <c r="CQ378" s="28" t="s">
        <v>12</v>
      </c>
      <c r="CR378" s="28" t="s">
        <v>12</v>
      </c>
      <c r="CS378" s="28" t="s">
        <v>12</v>
      </c>
      <c r="CT378" s="28">
        <v>1.6055714108740369</v>
      </c>
      <c r="CU378" s="28" t="s">
        <v>12</v>
      </c>
      <c r="CV378" s="28" t="s">
        <v>12</v>
      </c>
      <c r="CW378" s="28" t="s">
        <v>12</v>
      </c>
      <c r="CX378" s="28" t="s">
        <v>12</v>
      </c>
      <c r="CY378" s="28" t="s">
        <v>12</v>
      </c>
      <c r="CZ378" s="28" t="s">
        <v>12</v>
      </c>
      <c r="DA378" s="28">
        <v>1.6055714108740369</v>
      </c>
      <c r="DB378" s="313">
        <v>163</v>
      </c>
      <c r="DC378" s="313" t="s">
        <v>199</v>
      </c>
      <c r="DD378" s="386" t="s">
        <v>12</v>
      </c>
      <c r="DE378" s="386" t="s">
        <v>12</v>
      </c>
      <c r="DF378" s="386" t="s">
        <v>12</v>
      </c>
      <c r="DG378" s="386">
        <v>1.200074056788345</v>
      </c>
      <c r="DH378" s="386" t="s">
        <v>12</v>
      </c>
      <c r="DI378" s="386" t="s">
        <v>12</v>
      </c>
      <c r="DJ378" s="386" t="s">
        <v>12</v>
      </c>
      <c r="DK378" s="386" t="s">
        <v>12</v>
      </c>
      <c r="DL378" s="386" t="s">
        <v>12</v>
      </c>
      <c r="DM378" s="386" t="s">
        <v>12</v>
      </c>
      <c r="DN378" s="7" t="s">
        <v>12</v>
      </c>
      <c r="DO378" s="7" t="s">
        <v>12</v>
      </c>
      <c r="DP378" s="7" t="s">
        <v>12</v>
      </c>
      <c r="DQ378" s="7">
        <v>1.200074056788345</v>
      </c>
      <c r="DR378" s="7" t="s">
        <v>12</v>
      </c>
      <c r="DS378" s="7" t="s">
        <v>12</v>
      </c>
      <c r="DT378" s="7" t="s">
        <v>12</v>
      </c>
      <c r="DU378" s="7" t="s">
        <v>12</v>
      </c>
      <c r="DV378" s="7" t="s">
        <v>12</v>
      </c>
      <c r="DW378" s="7" t="s">
        <v>12</v>
      </c>
      <c r="DY378" s="9">
        <v>314102623</v>
      </c>
      <c r="EI378" s="423" t="s">
        <v>12</v>
      </c>
      <c r="EJ378" s="423" t="s">
        <v>12</v>
      </c>
      <c r="EK378" s="423" t="s">
        <v>12</v>
      </c>
      <c r="EL378" s="423">
        <v>0</v>
      </c>
      <c r="EM378" s="423" t="s">
        <v>12</v>
      </c>
      <c r="EN378" s="423" t="s">
        <v>12</v>
      </c>
      <c r="EO378" s="423" t="s">
        <v>12</v>
      </c>
      <c r="EP378" s="423" t="s">
        <v>12</v>
      </c>
      <c r="EQ378" s="423" t="s">
        <v>12</v>
      </c>
      <c r="ER378" s="423" t="s">
        <v>12</v>
      </c>
      <c r="ES378" s="438">
        <v>1</v>
      </c>
      <c r="ET378" s="438">
        <v>1</v>
      </c>
      <c r="EU378" s="438">
        <v>1</v>
      </c>
      <c r="EV378" s="438">
        <v>8692541</v>
      </c>
      <c r="EW378" s="438">
        <v>1</v>
      </c>
      <c r="EX378" s="438">
        <v>1</v>
      </c>
      <c r="EY378" s="438">
        <v>1</v>
      </c>
      <c r="EZ378" s="438">
        <v>1</v>
      </c>
      <c r="FA378" s="438">
        <v>1</v>
      </c>
      <c r="FB378" s="438" t="s">
        <v>12</v>
      </c>
      <c r="FC378" s="346">
        <v>16772802.281664485</v>
      </c>
      <c r="FD378" s="346">
        <v>36213877.214230753</v>
      </c>
      <c r="FE378" s="346">
        <v>0</v>
      </c>
      <c r="FF378" s="346">
        <v>0</v>
      </c>
      <c r="FG378" s="346">
        <v>0</v>
      </c>
      <c r="FH378" s="346">
        <v>0</v>
      </c>
      <c r="FI378" s="346">
        <v>0</v>
      </c>
      <c r="FJ378" s="346">
        <v>0</v>
      </c>
      <c r="FK378" s="346">
        <v>0</v>
      </c>
      <c r="FL378" s="346">
        <v>0</v>
      </c>
    </row>
    <row r="379" spans="1:168" x14ac:dyDescent="0.25">
      <c r="A379" s="252">
        <v>8</v>
      </c>
      <c r="B379" s="252" t="s">
        <v>771</v>
      </c>
      <c r="C379" s="253" t="s">
        <v>11</v>
      </c>
      <c r="D379" s="253" t="s">
        <v>11</v>
      </c>
      <c r="E379" s="253" t="s">
        <v>11</v>
      </c>
      <c r="F379" s="253" t="s">
        <v>11</v>
      </c>
      <c r="G379" s="253" t="s">
        <v>11</v>
      </c>
      <c r="H379" s="253" t="s">
        <v>11</v>
      </c>
      <c r="I379" s="253" t="s">
        <v>11</v>
      </c>
      <c r="J379" s="253" t="s">
        <v>11</v>
      </c>
      <c r="K379" s="253" t="s">
        <v>11</v>
      </c>
      <c r="L379" s="253" t="s">
        <v>11</v>
      </c>
      <c r="N379">
        <v>164</v>
      </c>
      <c r="O379" t="s">
        <v>201</v>
      </c>
      <c r="P379" t="s">
        <v>201</v>
      </c>
      <c r="Q379" t="s">
        <v>18</v>
      </c>
      <c r="R379" s="2" t="s">
        <v>12</v>
      </c>
      <c r="S379" s="2" t="s">
        <v>12</v>
      </c>
      <c r="T379" s="2" t="s">
        <v>12</v>
      </c>
      <c r="U379" s="2" t="s">
        <v>12</v>
      </c>
      <c r="V379" s="2" t="s">
        <v>12</v>
      </c>
      <c r="W379" s="2" t="s">
        <v>12</v>
      </c>
      <c r="X379" s="2" t="s">
        <v>12</v>
      </c>
      <c r="Y379" s="2" t="s">
        <v>12</v>
      </c>
      <c r="Z379" s="2" t="s">
        <v>12</v>
      </c>
      <c r="AA379" s="2" t="s">
        <v>12</v>
      </c>
      <c r="AB379" s="2" t="s">
        <v>12</v>
      </c>
      <c r="AC379" s="2" t="s">
        <v>12</v>
      </c>
      <c r="AD379" t="s">
        <v>12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t="s">
        <v>12</v>
      </c>
      <c r="AR379" t="s">
        <v>12</v>
      </c>
      <c r="AS379" t="s">
        <v>12</v>
      </c>
      <c r="AT379" t="s">
        <v>12</v>
      </c>
      <c r="AU379" t="s">
        <v>12</v>
      </c>
      <c r="AV379" t="s">
        <v>12</v>
      </c>
      <c r="AW379" t="s">
        <v>12</v>
      </c>
      <c r="AX379" t="s">
        <v>12</v>
      </c>
      <c r="AY379" t="s">
        <v>12</v>
      </c>
      <c r="AZ379" t="s">
        <v>12</v>
      </c>
      <c r="BA379" t="s">
        <v>12</v>
      </c>
      <c r="BB379" t="s">
        <v>12</v>
      </c>
      <c r="BC379" t="s">
        <v>12</v>
      </c>
      <c r="BD379" t="s">
        <v>12</v>
      </c>
      <c r="BF379" s="313" t="s">
        <v>11</v>
      </c>
      <c r="BG379" s="313" t="s">
        <v>11</v>
      </c>
      <c r="BH379" t="s">
        <v>12</v>
      </c>
      <c r="BI379" t="s">
        <v>12</v>
      </c>
      <c r="BJ379" t="s">
        <v>12</v>
      </c>
      <c r="BK379" t="s">
        <v>12</v>
      </c>
      <c r="BL379" t="s">
        <v>12</v>
      </c>
      <c r="BM379" t="s">
        <v>12</v>
      </c>
      <c r="BN379" t="s">
        <v>12</v>
      </c>
      <c r="BO379" t="s">
        <v>12</v>
      </c>
      <c r="BP379" t="s">
        <v>12</v>
      </c>
      <c r="BQ379" t="s">
        <v>12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 s="9" t="s">
        <v>12</v>
      </c>
      <c r="CF379" s="28" t="s">
        <v>12</v>
      </c>
      <c r="CG379" s="28" t="s">
        <v>12</v>
      </c>
      <c r="CH379" s="28" t="s">
        <v>12</v>
      </c>
      <c r="CI379" s="28" t="s">
        <v>12</v>
      </c>
      <c r="CJ379" s="28" t="s">
        <v>12</v>
      </c>
      <c r="CK379" s="28" t="s">
        <v>12</v>
      </c>
      <c r="CL379" s="28" t="s">
        <v>12</v>
      </c>
      <c r="CM379" s="28" t="s">
        <v>12</v>
      </c>
      <c r="CN379" s="28" t="s">
        <v>12</v>
      </c>
      <c r="CO379" s="28" t="s">
        <v>12</v>
      </c>
      <c r="CP379" s="28" t="s">
        <v>12</v>
      </c>
      <c r="CQ379" s="28" t="s">
        <v>12</v>
      </c>
      <c r="CR379" s="28" t="s">
        <v>12</v>
      </c>
      <c r="CS379" s="28" t="s">
        <v>12</v>
      </c>
      <c r="CT379" s="28" t="s">
        <v>12</v>
      </c>
      <c r="CU379" s="28" t="s">
        <v>12</v>
      </c>
      <c r="CV379" s="28" t="s">
        <v>12</v>
      </c>
      <c r="CW379" s="28" t="s">
        <v>12</v>
      </c>
      <c r="CX379" s="28" t="s">
        <v>12</v>
      </c>
      <c r="CY379" s="28" t="s">
        <v>12</v>
      </c>
      <c r="CZ379" s="28" t="s">
        <v>12</v>
      </c>
      <c r="DA379" s="28" t="s">
        <v>12</v>
      </c>
      <c r="DB379" s="313">
        <v>164</v>
      </c>
      <c r="DC379" s="313" t="s">
        <v>201</v>
      </c>
      <c r="DD379" s="386" t="s">
        <v>12</v>
      </c>
      <c r="DE379" s="386" t="s">
        <v>12</v>
      </c>
      <c r="DF379" s="386" t="s">
        <v>12</v>
      </c>
      <c r="DG379" s="386" t="s">
        <v>12</v>
      </c>
      <c r="DH379" s="386" t="s">
        <v>12</v>
      </c>
      <c r="DI379" s="386" t="s">
        <v>12</v>
      </c>
      <c r="DJ379" s="386" t="s">
        <v>12</v>
      </c>
      <c r="DK379" s="386" t="s">
        <v>12</v>
      </c>
      <c r="DL379" s="386" t="s">
        <v>12</v>
      </c>
      <c r="DM379" s="386" t="s">
        <v>12</v>
      </c>
      <c r="DN379" s="7" t="s">
        <v>12</v>
      </c>
      <c r="DO379" s="7" t="s">
        <v>12</v>
      </c>
      <c r="DP379" s="7" t="s">
        <v>12</v>
      </c>
      <c r="DQ379" s="7" t="s">
        <v>12</v>
      </c>
      <c r="DR379" s="7" t="s">
        <v>12</v>
      </c>
      <c r="DS379" s="7" t="s">
        <v>12</v>
      </c>
      <c r="DT379" s="7" t="s">
        <v>12</v>
      </c>
      <c r="DU379" s="7" t="s">
        <v>12</v>
      </c>
      <c r="DV379" s="7" t="s">
        <v>12</v>
      </c>
      <c r="DW379" s="7" t="s">
        <v>12</v>
      </c>
      <c r="DY379" s="9">
        <v>3396753</v>
      </c>
      <c r="EI379" s="423" t="s">
        <v>12</v>
      </c>
      <c r="EJ379" s="423" t="s">
        <v>12</v>
      </c>
      <c r="EK379" s="423" t="s">
        <v>12</v>
      </c>
      <c r="EL379" s="423" t="s">
        <v>12</v>
      </c>
      <c r="EM379" s="423" t="s">
        <v>12</v>
      </c>
      <c r="EN379" s="423" t="s">
        <v>12</v>
      </c>
      <c r="EO379" s="423" t="s">
        <v>12</v>
      </c>
      <c r="EP379" s="423" t="s">
        <v>12</v>
      </c>
      <c r="EQ379" s="423" t="s">
        <v>12</v>
      </c>
      <c r="ER379" s="423" t="s">
        <v>12</v>
      </c>
      <c r="ES379" s="438" t="s">
        <v>12</v>
      </c>
      <c r="ET379" s="438" t="s">
        <v>12</v>
      </c>
      <c r="EU379" s="438" t="s">
        <v>12</v>
      </c>
      <c r="EV379" s="438" t="s">
        <v>12</v>
      </c>
      <c r="EW379" s="438" t="s">
        <v>12</v>
      </c>
      <c r="EX379" s="438" t="s">
        <v>12</v>
      </c>
      <c r="EY379" s="438" t="s">
        <v>12</v>
      </c>
      <c r="EZ379" s="438" t="s">
        <v>12</v>
      </c>
      <c r="FA379" s="438" t="s">
        <v>12</v>
      </c>
      <c r="FB379" s="438" t="s">
        <v>12</v>
      </c>
      <c r="FC379" s="346">
        <v>0</v>
      </c>
      <c r="FD379" s="346">
        <v>0</v>
      </c>
      <c r="FE379" s="346">
        <v>0</v>
      </c>
      <c r="FF379" s="346">
        <v>0</v>
      </c>
      <c r="FG379" s="346">
        <v>0</v>
      </c>
      <c r="FH379" s="346">
        <v>0</v>
      </c>
      <c r="FI379" s="346">
        <v>0</v>
      </c>
      <c r="FJ379" s="346">
        <v>0</v>
      </c>
      <c r="FK379" s="346">
        <v>0</v>
      </c>
      <c r="FL379" s="346">
        <v>0</v>
      </c>
    </row>
    <row r="380" spans="1:168" x14ac:dyDescent="0.25">
      <c r="A380" s="252">
        <v>9</v>
      </c>
      <c r="B380" s="252" t="s">
        <v>772</v>
      </c>
      <c r="C380" s="253" t="s">
        <v>11</v>
      </c>
      <c r="D380" s="253" t="s">
        <v>11</v>
      </c>
      <c r="E380" s="253" t="s">
        <v>11</v>
      </c>
      <c r="F380" s="253" t="s">
        <v>11</v>
      </c>
      <c r="G380" s="253" t="s">
        <v>11</v>
      </c>
      <c r="H380" s="253" t="s">
        <v>11</v>
      </c>
      <c r="I380" s="253" t="s">
        <v>11</v>
      </c>
      <c r="J380" s="253" t="s">
        <v>11</v>
      </c>
      <c r="K380" s="253" t="s">
        <v>11</v>
      </c>
      <c r="L380" s="253" t="s">
        <v>11</v>
      </c>
      <c r="N380">
        <v>165</v>
      </c>
      <c r="O380" t="s">
        <v>202</v>
      </c>
      <c r="P380" t="s">
        <v>202</v>
      </c>
      <c r="Q380" t="s">
        <v>25</v>
      </c>
      <c r="R380" s="2" t="s">
        <v>12</v>
      </c>
      <c r="S380" s="2" t="s">
        <v>12</v>
      </c>
      <c r="T380" s="2" t="s">
        <v>12</v>
      </c>
      <c r="U380" s="2" t="s">
        <v>12</v>
      </c>
      <c r="V380" s="2" t="s">
        <v>12</v>
      </c>
      <c r="W380" s="2" t="s">
        <v>12</v>
      </c>
      <c r="X380" s="2" t="s">
        <v>12</v>
      </c>
      <c r="Y380" s="2" t="s">
        <v>12</v>
      </c>
      <c r="Z380" s="2" t="s">
        <v>12</v>
      </c>
      <c r="AA380" s="2" t="s">
        <v>12</v>
      </c>
      <c r="AB380" s="2" t="s">
        <v>12</v>
      </c>
      <c r="AC380" s="2" t="s">
        <v>12</v>
      </c>
      <c r="AD380" t="s">
        <v>12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t="s">
        <v>12</v>
      </c>
      <c r="AR380" t="s">
        <v>12</v>
      </c>
      <c r="AS380" t="s">
        <v>12</v>
      </c>
      <c r="AT380" t="s">
        <v>12</v>
      </c>
      <c r="AU380" t="s">
        <v>12</v>
      </c>
      <c r="AV380" t="s">
        <v>12</v>
      </c>
      <c r="AW380" t="s">
        <v>12</v>
      </c>
      <c r="AX380" t="s">
        <v>12</v>
      </c>
      <c r="AY380" t="s">
        <v>12</v>
      </c>
      <c r="AZ380" t="s">
        <v>12</v>
      </c>
      <c r="BA380" t="s">
        <v>12</v>
      </c>
      <c r="BB380" t="s">
        <v>12</v>
      </c>
      <c r="BC380" t="s">
        <v>12</v>
      </c>
      <c r="BD380" t="s">
        <v>12</v>
      </c>
      <c r="BF380" s="313" t="s">
        <v>11</v>
      </c>
      <c r="BG380" s="313" t="s">
        <v>11</v>
      </c>
      <c r="BH380" t="s">
        <v>12</v>
      </c>
      <c r="BI380" t="s">
        <v>12</v>
      </c>
      <c r="BJ380" t="s">
        <v>12</v>
      </c>
      <c r="BK380" t="s">
        <v>12</v>
      </c>
      <c r="BL380" t="s">
        <v>12</v>
      </c>
      <c r="BM380" t="s">
        <v>12</v>
      </c>
      <c r="BN380" t="s">
        <v>12</v>
      </c>
      <c r="BO380" t="s">
        <v>12</v>
      </c>
      <c r="BP380" t="s">
        <v>12</v>
      </c>
      <c r="BQ380" t="s">
        <v>12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 s="9" t="s">
        <v>12</v>
      </c>
      <c r="CF380" s="28" t="s">
        <v>12</v>
      </c>
      <c r="CG380" s="28" t="s">
        <v>12</v>
      </c>
      <c r="CH380" s="28" t="s">
        <v>12</v>
      </c>
      <c r="CI380" s="28" t="s">
        <v>12</v>
      </c>
      <c r="CJ380" s="28" t="s">
        <v>12</v>
      </c>
      <c r="CK380" s="28" t="s">
        <v>12</v>
      </c>
      <c r="CL380" s="28" t="s">
        <v>12</v>
      </c>
      <c r="CM380" s="28" t="s">
        <v>12</v>
      </c>
      <c r="CN380" s="28" t="s">
        <v>12</v>
      </c>
      <c r="CO380" s="28" t="s">
        <v>12</v>
      </c>
      <c r="CP380" s="28" t="s">
        <v>12</v>
      </c>
      <c r="CQ380" s="28" t="s">
        <v>12</v>
      </c>
      <c r="CR380" s="28" t="s">
        <v>12</v>
      </c>
      <c r="CS380" s="28" t="s">
        <v>12</v>
      </c>
      <c r="CT380" s="28" t="s">
        <v>12</v>
      </c>
      <c r="CU380" s="28" t="s">
        <v>12</v>
      </c>
      <c r="CV380" s="28" t="s">
        <v>12</v>
      </c>
      <c r="CW380" s="28" t="s">
        <v>12</v>
      </c>
      <c r="CX380" s="28" t="s">
        <v>12</v>
      </c>
      <c r="CY380" s="28" t="s">
        <v>12</v>
      </c>
      <c r="CZ380" s="28" t="s">
        <v>12</v>
      </c>
      <c r="DA380" s="28" t="s">
        <v>12</v>
      </c>
      <c r="DB380" s="313">
        <v>165</v>
      </c>
      <c r="DC380" s="313" t="s">
        <v>202</v>
      </c>
      <c r="DD380" s="386" t="s">
        <v>12</v>
      </c>
      <c r="DE380" s="386" t="s">
        <v>12</v>
      </c>
      <c r="DF380" s="386" t="s">
        <v>12</v>
      </c>
      <c r="DG380" s="386" t="s">
        <v>12</v>
      </c>
      <c r="DH380" s="386" t="s">
        <v>12</v>
      </c>
      <c r="DI380" s="386" t="s">
        <v>12</v>
      </c>
      <c r="DJ380" s="386" t="s">
        <v>12</v>
      </c>
      <c r="DK380" s="386" t="s">
        <v>12</v>
      </c>
      <c r="DL380" s="386" t="s">
        <v>12</v>
      </c>
      <c r="DM380" s="386" t="s">
        <v>12</v>
      </c>
      <c r="DN380" s="7" t="s">
        <v>12</v>
      </c>
      <c r="DO380" s="7" t="s">
        <v>12</v>
      </c>
      <c r="DP380" s="7" t="s">
        <v>12</v>
      </c>
      <c r="DQ380" s="7" t="s">
        <v>12</v>
      </c>
      <c r="DR380" s="7" t="s">
        <v>12</v>
      </c>
      <c r="DS380" s="7" t="s">
        <v>12</v>
      </c>
      <c r="DT380" s="7" t="s">
        <v>12</v>
      </c>
      <c r="DU380" s="7" t="s">
        <v>12</v>
      </c>
      <c r="DV380" s="7" t="s">
        <v>12</v>
      </c>
      <c r="DW380" s="7" t="s">
        <v>12</v>
      </c>
      <c r="DY380" s="9">
        <v>29774500</v>
      </c>
      <c r="EI380" s="423" t="s">
        <v>12</v>
      </c>
      <c r="EJ380" s="423" t="s">
        <v>12</v>
      </c>
      <c r="EK380" s="423" t="s">
        <v>12</v>
      </c>
      <c r="EL380" s="423" t="s">
        <v>12</v>
      </c>
      <c r="EM380" s="423" t="s">
        <v>12</v>
      </c>
      <c r="EN380" s="423" t="s">
        <v>12</v>
      </c>
      <c r="EO380" s="423" t="s">
        <v>12</v>
      </c>
      <c r="EP380" s="423" t="s">
        <v>12</v>
      </c>
      <c r="EQ380" s="423" t="s">
        <v>12</v>
      </c>
      <c r="ER380" s="423" t="s">
        <v>12</v>
      </c>
      <c r="ES380" s="438" t="s">
        <v>12</v>
      </c>
      <c r="ET380" s="438" t="s">
        <v>12</v>
      </c>
      <c r="EU380" s="438" t="s">
        <v>12</v>
      </c>
      <c r="EV380" s="438" t="s">
        <v>12</v>
      </c>
      <c r="EW380" s="438" t="s">
        <v>12</v>
      </c>
      <c r="EX380" s="438" t="s">
        <v>12</v>
      </c>
      <c r="EY380" s="438" t="s">
        <v>12</v>
      </c>
      <c r="EZ380" s="438" t="s">
        <v>12</v>
      </c>
      <c r="FA380" s="438" t="s">
        <v>12</v>
      </c>
      <c r="FB380" s="438" t="s">
        <v>12</v>
      </c>
      <c r="FC380" s="346">
        <v>0</v>
      </c>
      <c r="FD380" s="346">
        <v>0</v>
      </c>
      <c r="FE380" s="346">
        <v>0</v>
      </c>
      <c r="FF380" s="346">
        <v>0</v>
      </c>
      <c r="FG380" s="346">
        <v>0</v>
      </c>
      <c r="FH380" s="346">
        <v>0</v>
      </c>
      <c r="FI380" s="346">
        <v>0</v>
      </c>
      <c r="FJ380" s="346">
        <v>0</v>
      </c>
      <c r="FK380" s="346">
        <v>0</v>
      </c>
      <c r="FL380" s="346">
        <v>0</v>
      </c>
    </row>
    <row r="381" spans="1:168" x14ac:dyDescent="0.25">
      <c r="A381" s="252">
        <v>10</v>
      </c>
      <c r="B381" s="252" t="s">
        <v>773</v>
      </c>
      <c r="C381" s="253" t="s">
        <v>11</v>
      </c>
      <c r="D381" s="253" t="s">
        <v>11</v>
      </c>
      <c r="E381" s="253" t="s">
        <v>11</v>
      </c>
      <c r="F381" s="253" t="s">
        <v>11</v>
      </c>
      <c r="G381" s="253" t="s">
        <v>11</v>
      </c>
      <c r="H381" s="253" t="s">
        <v>11</v>
      </c>
      <c r="I381" s="253" t="s">
        <v>11</v>
      </c>
      <c r="J381" s="253" t="s">
        <v>11</v>
      </c>
      <c r="K381" s="253" t="s">
        <v>11</v>
      </c>
      <c r="L381" s="253" t="s">
        <v>11</v>
      </c>
      <c r="N381">
        <v>166</v>
      </c>
      <c r="O381" t="s">
        <v>203</v>
      </c>
      <c r="P381" t="s">
        <v>203</v>
      </c>
      <c r="Q381" t="s">
        <v>18</v>
      </c>
      <c r="R381" s="2" t="s">
        <v>12</v>
      </c>
      <c r="S381" s="2" t="s">
        <v>12</v>
      </c>
      <c r="T381" s="2" t="s">
        <v>12</v>
      </c>
      <c r="U381" s="2" t="s">
        <v>12</v>
      </c>
      <c r="V381" s="2" t="s">
        <v>12</v>
      </c>
      <c r="W381" s="2" t="s">
        <v>12</v>
      </c>
      <c r="X381" s="2" t="s">
        <v>12</v>
      </c>
      <c r="Y381" s="2" t="s">
        <v>12</v>
      </c>
      <c r="Z381" s="2" t="s">
        <v>12</v>
      </c>
      <c r="AA381" s="2" t="s">
        <v>12</v>
      </c>
      <c r="AB381" s="2" t="s">
        <v>12</v>
      </c>
      <c r="AC381" s="2" t="s">
        <v>12</v>
      </c>
      <c r="AD381" t="s">
        <v>12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t="s">
        <v>12</v>
      </c>
      <c r="AR381" t="s">
        <v>12</v>
      </c>
      <c r="AS381" t="s">
        <v>12</v>
      </c>
      <c r="AT381" t="s">
        <v>12</v>
      </c>
      <c r="AU381" t="s">
        <v>12</v>
      </c>
      <c r="AV381" t="s">
        <v>12</v>
      </c>
      <c r="AW381" t="s">
        <v>12</v>
      </c>
      <c r="AX381" t="s">
        <v>12</v>
      </c>
      <c r="AY381" t="s">
        <v>12</v>
      </c>
      <c r="AZ381" t="s">
        <v>12</v>
      </c>
      <c r="BA381" t="s">
        <v>12</v>
      </c>
      <c r="BB381" t="s">
        <v>12</v>
      </c>
      <c r="BC381" t="s">
        <v>12</v>
      </c>
      <c r="BD381" t="s">
        <v>12</v>
      </c>
      <c r="BF381" s="313" t="s">
        <v>11</v>
      </c>
      <c r="BG381" s="313" t="s">
        <v>11</v>
      </c>
      <c r="BH381" t="s">
        <v>12</v>
      </c>
      <c r="BI381" t="s">
        <v>12</v>
      </c>
      <c r="BJ381" t="s">
        <v>12</v>
      </c>
      <c r="BK381" t="s">
        <v>12</v>
      </c>
      <c r="BL381" t="s">
        <v>12</v>
      </c>
      <c r="BM381" t="s">
        <v>12</v>
      </c>
      <c r="BN381" t="s">
        <v>12</v>
      </c>
      <c r="BO381" t="s">
        <v>12</v>
      </c>
      <c r="BP381" t="s">
        <v>12</v>
      </c>
      <c r="BQ381" t="s">
        <v>12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 s="9" t="s">
        <v>12</v>
      </c>
      <c r="CF381" s="28" t="s">
        <v>12</v>
      </c>
      <c r="CG381" s="28" t="s">
        <v>12</v>
      </c>
      <c r="CH381" s="28" t="s">
        <v>12</v>
      </c>
      <c r="CI381" s="28" t="s">
        <v>12</v>
      </c>
      <c r="CJ381" s="28" t="s">
        <v>12</v>
      </c>
      <c r="CK381" s="28" t="s">
        <v>12</v>
      </c>
      <c r="CL381" s="28" t="s">
        <v>12</v>
      </c>
      <c r="CM381" s="28" t="s">
        <v>12</v>
      </c>
      <c r="CN381" s="28" t="s">
        <v>12</v>
      </c>
      <c r="CO381" s="28" t="s">
        <v>12</v>
      </c>
      <c r="CP381" s="28" t="s">
        <v>12</v>
      </c>
      <c r="CQ381" s="28" t="s">
        <v>12</v>
      </c>
      <c r="CR381" s="28" t="s">
        <v>12</v>
      </c>
      <c r="CS381" s="28" t="s">
        <v>12</v>
      </c>
      <c r="CT381" s="28" t="s">
        <v>12</v>
      </c>
      <c r="CU381" s="28" t="s">
        <v>12</v>
      </c>
      <c r="CV381" s="28" t="s">
        <v>12</v>
      </c>
      <c r="CW381" s="28" t="s">
        <v>12</v>
      </c>
      <c r="CX381" s="28" t="s">
        <v>12</v>
      </c>
      <c r="CY381" s="28" t="s">
        <v>12</v>
      </c>
      <c r="CZ381" s="28" t="s">
        <v>12</v>
      </c>
      <c r="DA381" s="28" t="s">
        <v>12</v>
      </c>
      <c r="DB381" s="313">
        <v>166</v>
      </c>
      <c r="DC381" s="313" t="s">
        <v>203</v>
      </c>
      <c r="DD381" s="386" t="s">
        <v>12</v>
      </c>
      <c r="DE381" s="386" t="s">
        <v>12</v>
      </c>
      <c r="DF381" s="386" t="s">
        <v>12</v>
      </c>
      <c r="DG381" s="386" t="s">
        <v>12</v>
      </c>
      <c r="DH381" s="386" t="s">
        <v>12</v>
      </c>
      <c r="DI381" s="386" t="s">
        <v>12</v>
      </c>
      <c r="DJ381" s="386" t="s">
        <v>12</v>
      </c>
      <c r="DK381" s="386" t="s">
        <v>12</v>
      </c>
      <c r="DL381" s="386" t="s">
        <v>12</v>
      </c>
      <c r="DM381" s="386" t="s">
        <v>12</v>
      </c>
      <c r="DN381" s="7" t="s">
        <v>12</v>
      </c>
      <c r="DO381" s="7" t="s">
        <v>12</v>
      </c>
      <c r="DP381" s="7" t="s">
        <v>12</v>
      </c>
      <c r="DQ381" s="7" t="s">
        <v>12</v>
      </c>
      <c r="DR381" s="7" t="s">
        <v>12</v>
      </c>
      <c r="DS381" s="7" t="s">
        <v>12</v>
      </c>
      <c r="DT381" s="7" t="s">
        <v>12</v>
      </c>
      <c r="DU381" s="7" t="s">
        <v>12</v>
      </c>
      <c r="DV381" s="7" t="s">
        <v>12</v>
      </c>
      <c r="DW381" s="7" t="s">
        <v>12</v>
      </c>
      <c r="DY381" s="9">
        <v>29854238</v>
      </c>
      <c r="EI381" s="423" t="s">
        <v>12</v>
      </c>
      <c r="EJ381" s="423" t="s">
        <v>12</v>
      </c>
      <c r="EK381" s="423" t="s">
        <v>12</v>
      </c>
      <c r="EL381" s="423" t="s">
        <v>12</v>
      </c>
      <c r="EM381" s="423" t="s">
        <v>12</v>
      </c>
      <c r="EN381" s="423" t="s">
        <v>12</v>
      </c>
      <c r="EO381" s="423" t="s">
        <v>12</v>
      </c>
      <c r="EP381" s="423" t="s">
        <v>12</v>
      </c>
      <c r="EQ381" s="423" t="s">
        <v>12</v>
      </c>
      <c r="ER381" s="423" t="s">
        <v>12</v>
      </c>
      <c r="ES381" s="438" t="s">
        <v>12</v>
      </c>
      <c r="ET381" s="438" t="s">
        <v>12</v>
      </c>
      <c r="EU381" s="438" t="s">
        <v>12</v>
      </c>
      <c r="EV381" s="438" t="s">
        <v>12</v>
      </c>
      <c r="EW381" s="438" t="s">
        <v>12</v>
      </c>
      <c r="EX381" s="438" t="s">
        <v>12</v>
      </c>
      <c r="EY381" s="438" t="s">
        <v>12</v>
      </c>
      <c r="EZ381" s="438" t="s">
        <v>12</v>
      </c>
      <c r="FA381" s="438" t="s">
        <v>12</v>
      </c>
      <c r="FB381" s="438" t="s">
        <v>12</v>
      </c>
      <c r="FC381" s="346">
        <v>0</v>
      </c>
      <c r="FD381" s="346">
        <v>0</v>
      </c>
      <c r="FE381" s="346">
        <v>0</v>
      </c>
      <c r="FF381" s="346">
        <v>0</v>
      </c>
      <c r="FG381" s="346">
        <v>0</v>
      </c>
      <c r="FH381" s="346">
        <v>0</v>
      </c>
      <c r="FI381" s="346">
        <v>0</v>
      </c>
      <c r="FJ381" s="346">
        <v>0</v>
      </c>
      <c r="FK381" s="346">
        <v>0</v>
      </c>
      <c r="FL381" s="346">
        <v>0</v>
      </c>
    </row>
    <row r="382" spans="1:168" x14ac:dyDescent="0.25">
      <c r="N382">
        <v>167</v>
      </c>
      <c r="O382" t="s">
        <v>204</v>
      </c>
      <c r="P382" t="s">
        <v>204</v>
      </c>
      <c r="Q382" t="s">
        <v>25</v>
      </c>
      <c r="R382" s="2" t="s">
        <v>12</v>
      </c>
      <c r="S382" s="2" t="s">
        <v>12</v>
      </c>
      <c r="T382" s="2" t="s">
        <v>12</v>
      </c>
      <c r="U382" s="2" t="s">
        <v>12</v>
      </c>
      <c r="V382" s="2" t="s">
        <v>12</v>
      </c>
      <c r="W382" s="2" t="s">
        <v>12</v>
      </c>
      <c r="X382" s="2" t="s">
        <v>12</v>
      </c>
      <c r="Y382" s="2" t="s">
        <v>12</v>
      </c>
      <c r="Z382" s="2" t="s">
        <v>12</v>
      </c>
      <c r="AA382" s="2" t="s">
        <v>12</v>
      </c>
      <c r="AB382" s="2" t="s">
        <v>12</v>
      </c>
      <c r="AC382" s="2" t="s">
        <v>12</v>
      </c>
      <c r="AD382" t="s">
        <v>12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t="s">
        <v>12</v>
      </c>
      <c r="AR382" t="s">
        <v>12</v>
      </c>
      <c r="AS382" t="s">
        <v>12</v>
      </c>
      <c r="AT382" t="s">
        <v>12</v>
      </c>
      <c r="AU382" t="s">
        <v>12</v>
      </c>
      <c r="AV382" t="s">
        <v>12</v>
      </c>
      <c r="AW382" t="s">
        <v>12</v>
      </c>
      <c r="AX382" t="s">
        <v>12</v>
      </c>
      <c r="AY382" t="s">
        <v>12</v>
      </c>
      <c r="AZ382" t="s">
        <v>12</v>
      </c>
      <c r="BA382" t="s">
        <v>12</v>
      </c>
      <c r="BB382" t="s">
        <v>12</v>
      </c>
      <c r="BC382" t="s">
        <v>12</v>
      </c>
      <c r="BD382" t="s">
        <v>12</v>
      </c>
      <c r="BF382" s="313" t="s">
        <v>11</v>
      </c>
      <c r="BG382" s="313" t="s">
        <v>11</v>
      </c>
      <c r="BH382" t="s">
        <v>12</v>
      </c>
      <c r="BI382" t="s">
        <v>12</v>
      </c>
      <c r="BJ382" t="s">
        <v>12</v>
      </c>
      <c r="BK382" t="s">
        <v>12</v>
      </c>
      <c r="BL382" t="s">
        <v>12</v>
      </c>
      <c r="BM382" t="s">
        <v>12</v>
      </c>
      <c r="BN382" t="s">
        <v>12</v>
      </c>
      <c r="BO382" t="s">
        <v>12</v>
      </c>
      <c r="BP382" t="s">
        <v>12</v>
      </c>
      <c r="BQ382" t="s">
        <v>12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 s="9" t="s">
        <v>12</v>
      </c>
      <c r="CF382" s="28" t="s">
        <v>12</v>
      </c>
      <c r="CG382" s="28" t="s">
        <v>12</v>
      </c>
      <c r="CH382" s="28" t="s">
        <v>12</v>
      </c>
      <c r="CI382" s="28" t="s">
        <v>12</v>
      </c>
      <c r="CJ382" s="28" t="s">
        <v>12</v>
      </c>
      <c r="CK382" s="28" t="s">
        <v>12</v>
      </c>
      <c r="CL382" s="28" t="s">
        <v>12</v>
      </c>
      <c r="CM382" s="28" t="s">
        <v>12</v>
      </c>
      <c r="CN382" s="28" t="s">
        <v>12</v>
      </c>
      <c r="CO382" s="28" t="s">
        <v>12</v>
      </c>
      <c r="CP382" s="28" t="s">
        <v>12</v>
      </c>
      <c r="CQ382" s="28" t="s">
        <v>12</v>
      </c>
      <c r="CR382" s="28" t="s">
        <v>12</v>
      </c>
      <c r="CS382" s="28" t="s">
        <v>12</v>
      </c>
      <c r="CT382" s="28" t="s">
        <v>12</v>
      </c>
      <c r="CU382" s="28" t="s">
        <v>12</v>
      </c>
      <c r="CV382" s="28" t="s">
        <v>12</v>
      </c>
      <c r="CW382" s="28" t="s">
        <v>12</v>
      </c>
      <c r="CX382" s="28" t="s">
        <v>12</v>
      </c>
      <c r="CY382" s="28" t="s">
        <v>12</v>
      </c>
      <c r="CZ382" s="28" t="s">
        <v>12</v>
      </c>
      <c r="DA382" s="28" t="s">
        <v>12</v>
      </c>
      <c r="DB382" s="313">
        <v>167</v>
      </c>
      <c r="DC382" s="313" t="s">
        <v>204</v>
      </c>
      <c r="DD382" s="386" t="s">
        <v>12</v>
      </c>
      <c r="DE382" s="386" t="s">
        <v>12</v>
      </c>
      <c r="DF382" s="386" t="s">
        <v>12</v>
      </c>
      <c r="DG382" s="386" t="s">
        <v>12</v>
      </c>
      <c r="DH382" s="386" t="s">
        <v>12</v>
      </c>
      <c r="DI382" s="386" t="s">
        <v>12</v>
      </c>
      <c r="DJ382" s="386" t="s">
        <v>12</v>
      </c>
      <c r="DK382" s="386" t="s">
        <v>12</v>
      </c>
      <c r="DL382" s="386" t="s">
        <v>12</v>
      </c>
      <c r="DM382" s="386" t="s">
        <v>12</v>
      </c>
      <c r="DN382" s="7" t="s">
        <v>12</v>
      </c>
      <c r="DO382" s="7" t="s">
        <v>12</v>
      </c>
      <c r="DP382" s="7" t="s">
        <v>12</v>
      </c>
      <c r="DQ382" s="7" t="s">
        <v>12</v>
      </c>
      <c r="DR382" s="7" t="s">
        <v>12</v>
      </c>
      <c r="DS382" s="7" t="s">
        <v>12</v>
      </c>
      <c r="DT382" s="7" t="s">
        <v>12</v>
      </c>
      <c r="DU382" s="7" t="s">
        <v>12</v>
      </c>
      <c r="DV382" s="7" t="s">
        <v>12</v>
      </c>
      <c r="DW382" s="7" t="s">
        <v>12</v>
      </c>
      <c r="DY382" s="9">
        <v>88809200</v>
      </c>
      <c r="EI382" s="423" t="s">
        <v>12</v>
      </c>
      <c r="EJ382" s="423" t="s">
        <v>12</v>
      </c>
      <c r="EK382" s="423" t="s">
        <v>12</v>
      </c>
      <c r="EL382" s="423" t="s">
        <v>12</v>
      </c>
      <c r="EM382" s="423" t="s">
        <v>12</v>
      </c>
      <c r="EN382" s="423" t="s">
        <v>12</v>
      </c>
      <c r="EO382" s="423" t="s">
        <v>12</v>
      </c>
      <c r="EP382" s="423" t="s">
        <v>12</v>
      </c>
      <c r="EQ382" s="423" t="s">
        <v>12</v>
      </c>
      <c r="ER382" s="423" t="s">
        <v>12</v>
      </c>
      <c r="ES382" s="438" t="s">
        <v>12</v>
      </c>
      <c r="ET382" s="438" t="s">
        <v>12</v>
      </c>
      <c r="EU382" s="438" t="s">
        <v>12</v>
      </c>
      <c r="EV382" s="438" t="s">
        <v>12</v>
      </c>
      <c r="EW382" s="438" t="s">
        <v>12</v>
      </c>
      <c r="EX382" s="438" t="s">
        <v>12</v>
      </c>
      <c r="EY382" s="438" t="s">
        <v>12</v>
      </c>
      <c r="EZ382" s="438" t="s">
        <v>12</v>
      </c>
      <c r="FA382" s="438" t="s">
        <v>12</v>
      </c>
      <c r="FB382" s="438" t="s">
        <v>12</v>
      </c>
      <c r="FC382" s="346">
        <v>0</v>
      </c>
      <c r="FD382" s="346">
        <v>0</v>
      </c>
      <c r="FE382" s="346">
        <v>0</v>
      </c>
      <c r="FF382" s="346">
        <v>0</v>
      </c>
      <c r="FG382" s="346">
        <v>0</v>
      </c>
      <c r="FH382" s="346">
        <v>0</v>
      </c>
      <c r="FI382" s="346">
        <v>0</v>
      </c>
      <c r="FJ382" s="346">
        <v>0</v>
      </c>
      <c r="FK382" s="346">
        <v>0</v>
      </c>
      <c r="FL382" s="346">
        <v>0</v>
      </c>
    </row>
    <row r="383" spans="1:168" ht="30" x14ac:dyDescent="0.25">
      <c r="A383" s="251" t="s">
        <v>786</v>
      </c>
      <c r="B383" s="251"/>
      <c r="C383" s="251" t="s">
        <v>594</v>
      </c>
      <c r="D383" s="251" t="s">
        <v>595</v>
      </c>
      <c r="E383" s="251" t="s">
        <v>596</v>
      </c>
      <c r="F383" s="251" t="s">
        <v>597</v>
      </c>
      <c r="G383" s="251" t="s">
        <v>598</v>
      </c>
      <c r="H383" s="251" t="s">
        <v>599</v>
      </c>
      <c r="I383" s="251" t="s">
        <v>600</v>
      </c>
      <c r="J383" s="251" t="s">
        <v>601</v>
      </c>
      <c r="K383" s="251" t="s">
        <v>602</v>
      </c>
      <c r="L383" s="251" t="s">
        <v>603</v>
      </c>
      <c r="N383">
        <v>168</v>
      </c>
      <c r="O383" t="s">
        <v>205</v>
      </c>
      <c r="P383" t="s">
        <v>205</v>
      </c>
      <c r="Q383" t="s">
        <v>9</v>
      </c>
      <c r="R383" s="2" t="s">
        <v>12</v>
      </c>
      <c r="S383" s="2" t="s">
        <v>12</v>
      </c>
      <c r="T383" s="2" t="s">
        <v>12</v>
      </c>
      <c r="U383" s="2" t="s">
        <v>12</v>
      </c>
      <c r="V383" s="2" t="s">
        <v>12</v>
      </c>
      <c r="W383" s="2" t="s">
        <v>12</v>
      </c>
      <c r="X383" s="2" t="s">
        <v>12</v>
      </c>
      <c r="Y383" s="2" t="s">
        <v>12</v>
      </c>
      <c r="Z383" s="2" t="s">
        <v>12</v>
      </c>
      <c r="AA383" s="2" t="s">
        <v>12</v>
      </c>
      <c r="AB383" s="2" t="s">
        <v>12</v>
      </c>
      <c r="AC383" s="2" t="s">
        <v>12</v>
      </c>
      <c r="AD383" t="s">
        <v>12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t="s">
        <v>12</v>
      </c>
      <c r="AR383" t="s">
        <v>12</v>
      </c>
      <c r="AS383" t="s">
        <v>12</v>
      </c>
      <c r="AT383" t="s">
        <v>12</v>
      </c>
      <c r="AU383" t="s">
        <v>12</v>
      </c>
      <c r="AV383" t="s">
        <v>12</v>
      </c>
      <c r="AW383" t="s">
        <v>12</v>
      </c>
      <c r="AX383" t="s">
        <v>12</v>
      </c>
      <c r="AY383" t="s">
        <v>12</v>
      </c>
      <c r="AZ383" t="s">
        <v>12</v>
      </c>
      <c r="BA383" t="s">
        <v>12</v>
      </c>
      <c r="BB383" t="s">
        <v>12</v>
      </c>
      <c r="BC383" t="s">
        <v>12</v>
      </c>
      <c r="BD383" t="s">
        <v>12</v>
      </c>
      <c r="BF383" s="313" t="s">
        <v>11</v>
      </c>
      <c r="BG383" s="313" t="s">
        <v>11</v>
      </c>
      <c r="BH383" t="s">
        <v>12</v>
      </c>
      <c r="BI383" t="s">
        <v>12</v>
      </c>
      <c r="BJ383" t="s">
        <v>12</v>
      </c>
      <c r="BK383" t="s">
        <v>12</v>
      </c>
      <c r="BL383" t="s">
        <v>12</v>
      </c>
      <c r="BM383" t="s">
        <v>12</v>
      </c>
      <c r="BN383" t="s">
        <v>12</v>
      </c>
      <c r="BO383" t="s">
        <v>12</v>
      </c>
      <c r="BP383" t="s">
        <v>12</v>
      </c>
      <c r="BQ383" t="s">
        <v>12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 s="9" t="s">
        <v>12</v>
      </c>
      <c r="CF383" s="28" t="s">
        <v>12</v>
      </c>
      <c r="CG383" s="28" t="s">
        <v>12</v>
      </c>
      <c r="CH383" s="28" t="s">
        <v>12</v>
      </c>
      <c r="CI383" s="28" t="s">
        <v>12</v>
      </c>
      <c r="CJ383" s="28" t="s">
        <v>12</v>
      </c>
      <c r="CK383" s="28" t="s">
        <v>12</v>
      </c>
      <c r="CL383" s="28" t="s">
        <v>12</v>
      </c>
      <c r="CM383" s="28" t="s">
        <v>12</v>
      </c>
      <c r="CN383" s="28" t="s">
        <v>12</v>
      </c>
      <c r="CO383" s="28" t="s">
        <v>12</v>
      </c>
      <c r="CP383" s="28" t="s">
        <v>12</v>
      </c>
      <c r="CQ383" s="28" t="s">
        <v>12</v>
      </c>
      <c r="CR383" s="28" t="s">
        <v>12</v>
      </c>
      <c r="CS383" s="28" t="s">
        <v>12</v>
      </c>
      <c r="CT383" s="28" t="s">
        <v>12</v>
      </c>
      <c r="CU383" s="28" t="s">
        <v>12</v>
      </c>
      <c r="CV383" s="28" t="s">
        <v>12</v>
      </c>
      <c r="CW383" s="28" t="s">
        <v>12</v>
      </c>
      <c r="CX383" s="28" t="s">
        <v>12</v>
      </c>
      <c r="CY383" s="28" t="s">
        <v>12</v>
      </c>
      <c r="CZ383" s="28" t="s">
        <v>12</v>
      </c>
      <c r="DA383" s="28" t="s">
        <v>12</v>
      </c>
      <c r="DB383" s="313">
        <v>168</v>
      </c>
      <c r="DC383" s="313" t="s">
        <v>205</v>
      </c>
      <c r="DD383" s="386" t="s">
        <v>12</v>
      </c>
      <c r="DE383" s="386" t="s">
        <v>12</v>
      </c>
      <c r="DF383" s="386" t="s">
        <v>12</v>
      </c>
      <c r="DG383" s="386" t="s">
        <v>12</v>
      </c>
      <c r="DH383" s="386" t="s">
        <v>12</v>
      </c>
      <c r="DI383" s="386" t="s">
        <v>12</v>
      </c>
      <c r="DJ383" s="386" t="s">
        <v>12</v>
      </c>
      <c r="DK383" s="386" t="s">
        <v>12</v>
      </c>
      <c r="DL383" s="386" t="s">
        <v>12</v>
      </c>
      <c r="DM383" s="386" t="s">
        <v>12</v>
      </c>
      <c r="DN383" s="7" t="s">
        <v>12</v>
      </c>
      <c r="DO383" s="7" t="s">
        <v>12</v>
      </c>
      <c r="DP383" s="7" t="s">
        <v>12</v>
      </c>
      <c r="DQ383" s="7" t="s">
        <v>12</v>
      </c>
      <c r="DR383" s="7" t="s">
        <v>12</v>
      </c>
      <c r="DS383" s="7" t="s">
        <v>12</v>
      </c>
      <c r="DT383" s="7" t="s">
        <v>12</v>
      </c>
      <c r="DU383" s="7" t="s">
        <v>12</v>
      </c>
      <c r="DV383" s="7" t="s">
        <v>12</v>
      </c>
      <c r="DW383" s="7" t="s">
        <v>12</v>
      </c>
      <c r="DY383" s="9">
        <v>24882792</v>
      </c>
      <c r="EI383" s="423" t="s">
        <v>12</v>
      </c>
      <c r="EJ383" s="423" t="s">
        <v>12</v>
      </c>
      <c r="EK383" s="423" t="s">
        <v>12</v>
      </c>
      <c r="EL383" s="423" t="s">
        <v>12</v>
      </c>
      <c r="EM383" s="423" t="s">
        <v>12</v>
      </c>
      <c r="EN383" s="423" t="s">
        <v>12</v>
      </c>
      <c r="EO383" s="423" t="s">
        <v>12</v>
      </c>
      <c r="EP383" s="423" t="s">
        <v>12</v>
      </c>
      <c r="EQ383" s="423" t="s">
        <v>12</v>
      </c>
      <c r="ER383" s="423" t="s">
        <v>12</v>
      </c>
      <c r="ES383" s="438" t="s">
        <v>12</v>
      </c>
      <c r="ET383" s="438" t="s">
        <v>12</v>
      </c>
      <c r="EU383" s="438" t="s">
        <v>12</v>
      </c>
      <c r="EV383" s="438" t="s">
        <v>12</v>
      </c>
      <c r="EW383" s="438" t="s">
        <v>12</v>
      </c>
      <c r="EX383" s="438" t="s">
        <v>12</v>
      </c>
      <c r="EY383" s="438" t="s">
        <v>12</v>
      </c>
      <c r="EZ383" s="438" t="s">
        <v>12</v>
      </c>
      <c r="FA383" s="438" t="s">
        <v>12</v>
      </c>
      <c r="FB383" s="438" t="s">
        <v>12</v>
      </c>
      <c r="FC383" s="346">
        <v>0</v>
      </c>
      <c r="FD383" s="346">
        <v>0</v>
      </c>
      <c r="FE383" s="346">
        <v>0</v>
      </c>
      <c r="FF383" s="346">
        <v>0</v>
      </c>
      <c r="FG383" s="346">
        <v>0</v>
      </c>
      <c r="FH383" s="346">
        <v>0</v>
      </c>
      <c r="FI383" s="346">
        <v>0</v>
      </c>
      <c r="FJ383" s="346">
        <v>0</v>
      </c>
      <c r="FK383" s="346">
        <v>0</v>
      </c>
      <c r="FL383" s="346">
        <v>0</v>
      </c>
    </row>
    <row r="384" spans="1:168" x14ac:dyDescent="0.25">
      <c r="A384" s="252">
        <v>1</v>
      </c>
      <c r="B384" s="252" t="s">
        <v>761</v>
      </c>
      <c r="C384" s="253">
        <v>0</v>
      </c>
      <c r="D384" s="253">
        <v>0</v>
      </c>
      <c r="E384" s="253">
        <v>0</v>
      </c>
      <c r="F384" s="253">
        <v>0</v>
      </c>
      <c r="G384" s="253">
        <v>0</v>
      </c>
      <c r="H384" s="253">
        <v>0</v>
      </c>
      <c r="I384" s="253" t="s">
        <v>11</v>
      </c>
      <c r="J384" s="253" t="s">
        <v>11</v>
      </c>
      <c r="K384" s="253" t="s">
        <v>11</v>
      </c>
      <c r="L384" s="253" t="s">
        <v>11</v>
      </c>
      <c r="N384">
        <v>169</v>
      </c>
      <c r="O384" t="s">
        <v>206</v>
      </c>
      <c r="P384" t="s">
        <v>206</v>
      </c>
      <c r="Q384" t="s">
        <v>14</v>
      </c>
      <c r="R384" s="2" t="s">
        <v>12</v>
      </c>
      <c r="S384" s="2" t="s">
        <v>12</v>
      </c>
      <c r="T384" s="2" t="s">
        <v>12</v>
      </c>
      <c r="U384" s="2" t="s">
        <v>12</v>
      </c>
      <c r="V384" s="2" t="s">
        <v>12</v>
      </c>
      <c r="W384" s="2" t="s">
        <v>12</v>
      </c>
      <c r="X384" s="2" t="s">
        <v>12</v>
      </c>
      <c r="Y384" s="2" t="s">
        <v>12</v>
      </c>
      <c r="Z384" s="2" t="s">
        <v>12</v>
      </c>
      <c r="AA384" s="2" t="s">
        <v>12</v>
      </c>
      <c r="AB384" s="2" t="s">
        <v>12</v>
      </c>
      <c r="AC384" s="2" t="s">
        <v>12</v>
      </c>
      <c r="AD384" t="s">
        <v>12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t="s">
        <v>12</v>
      </c>
      <c r="AR384" t="s">
        <v>12</v>
      </c>
      <c r="AS384" t="s">
        <v>12</v>
      </c>
      <c r="AT384" t="s">
        <v>12</v>
      </c>
      <c r="AU384" t="s">
        <v>12</v>
      </c>
      <c r="AV384" t="s">
        <v>12</v>
      </c>
      <c r="AW384" t="s">
        <v>12</v>
      </c>
      <c r="AX384" t="s">
        <v>12</v>
      </c>
      <c r="AY384" t="s">
        <v>12</v>
      </c>
      <c r="AZ384" t="s">
        <v>12</v>
      </c>
      <c r="BA384" t="s">
        <v>12</v>
      </c>
      <c r="BB384" t="s">
        <v>12</v>
      </c>
      <c r="BC384" t="s">
        <v>12</v>
      </c>
      <c r="BD384" t="s">
        <v>12</v>
      </c>
      <c r="BF384" s="313" t="s">
        <v>11</v>
      </c>
      <c r="BG384" s="313" t="s">
        <v>11</v>
      </c>
      <c r="BH384" t="s">
        <v>12</v>
      </c>
      <c r="BI384" t="s">
        <v>12</v>
      </c>
      <c r="BJ384" t="s">
        <v>12</v>
      </c>
      <c r="BK384" t="s">
        <v>12</v>
      </c>
      <c r="BL384" t="s">
        <v>12</v>
      </c>
      <c r="BM384" t="s">
        <v>12</v>
      </c>
      <c r="BN384" t="s">
        <v>12</v>
      </c>
      <c r="BO384" t="s">
        <v>12</v>
      </c>
      <c r="BP384" t="s">
        <v>12</v>
      </c>
      <c r="BQ384" t="s">
        <v>12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 s="9" t="s">
        <v>12</v>
      </c>
      <c r="CF384" s="28" t="s">
        <v>12</v>
      </c>
      <c r="CG384" s="28" t="s">
        <v>12</v>
      </c>
      <c r="CH384" s="28" t="s">
        <v>12</v>
      </c>
      <c r="CI384" s="28" t="s">
        <v>12</v>
      </c>
      <c r="CJ384" s="28" t="s">
        <v>12</v>
      </c>
      <c r="CK384" s="28" t="s">
        <v>12</v>
      </c>
      <c r="CL384" s="28" t="s">
        <v>12</v>
      </c>
      <c r="CM384" s="28" t="s">
        <v>12</v>
      </c>
      <c r="CN384" s="28" t="s">
        <v>12</v>
      </c>
      <c r="CO384" s="28" t="s">
        <v>12</v>
      </c>
      <c r="CP384" s="28" t="s">
        <v>12</v>
      </c>
      <c r="CQ384" s="28" t="s">
        <v>12</v>
      </c>
      <c r="CR384" s="28" t="s">
        <v>12</v>
      </c>
      <c r="CS384" s="28" t="s">
        <v>12</v>
      </c>
      <c r="CT384" s="28" t="s">
        <v>12</v>
      </c>
      <c r="CU384" s="28" t="s">
        <v>12</v>
      </c>
      <c r="CV384" s="28" t="s">
        <v>12</v>
      </c>
      <c r="CW384" s="28" t="s">
        <v>12</v>
      </c>
      <c r="CX384" s="28" t="s">
        <v>12</v>
      </c>
      <c r="CY384" s="28" t="s">
        <v>12</v>
      </c>
      <c r="CZ384" s="28" t="s">
        <v>12</v>
      </c>
      <c r="DA384" s="28" t="s">
        <v>12</v>
      </c>
      <c r="DB384" s="313">
        <v>169</v>
      </c>
      <c r="DC384" s="313" t="s">
        <v>206</v>
      </c>
      <c r="DD384" s="386" t="s">
        <v>12</v>
      </c>
      <c r="DE384" s="386" t="s">
        <v>12</v>
      </c>
      <c r="DF384" s="386" t="s">
        <v>12</v>
      </c>
      <c r="DG384" s="386" t="s">
        <v>12</v>
      </c>
      <c r="DH384" s="386" t="s">
        <v>12</v>
      </c>
      <c r="DI384" s="386" t="s">
        <v>12</v>
      </c>
      <c r="DJ384" s="386" t="s">
        <v>12</v>
      </c>
      <c r="DK384" s="386" t="s">
        <v>12</v>
      </c>
      <c r="DL384" s="386" t="s">
        <v>12</v>
      </c>
      <c r="DM384" s="386" t="s">
        <v>12</v>
      </c>
      <c r="DN384" s="7" t="s">
        <v>12</v>
      </c>
      <c r="DO384" s="7" t="s">
        <v>12</v>
      </c>
      <c r="DP384" s="7" t="s">
        <v>12</v>
      </c>
      <c r="DQ384" s="7" t="s">
        <v>12</v>
      </c>
      <c r="DR384" s="7" t="s">
        <v>12</v>
      </c>
      <c r="DS384" s="7" t="s">
        <v>12</v>
      </c>
      <c r="DT384" s="7" t="s">
        <v>12</v>
      </c>
      <c r="DU384" s="7" t="s">
        <v>12</v>
      </c>
      <c r="DV384" s="7" t="s">
        <v>12</v>
      </c>
      <c r="DW384" s="7" t="s">
        <v>12</v>
      </c>
      <c r="DY384" s="9">
        <v>14786581</v>
      </c>
      <c r="EI384" s="423" t="s">
        <v>12</v>
      </c>
      <c r="EJ384" s="423" t="s">
        <v>12</v>
      </c>
      <c r="EK384" s="423" t="s">
        <v>12</v>
      </c>
      <c r="EL384" s="423" t="s">
        <v>12</v>
      </c>
      <c r="EM384" s="423" t="s">
        <v>12</v>
      </c>
      <c r="EN384" s="423" t="s">
        <v>12</v>
      </c>
      <c r="EO384" s="423" t="s">
        <v>12</v>
      </c>
      <c r="EP384" s="423" t="s">
        <v>12</v>
      </c>
      <c r="EQ384" s="423" t="s">
        <v>12</v>
      </c>
      <c r="ER384" s="423" t="s">
        <v>12</v>
      </c>
      <c r="ES384" s="438" t="s">
        <v>12</v>
      </c>
      <c r="ET384" s="438" t="s">
        <v>12</v>
      </c>
      <c r="EU384" s="438" t="s">
        <v>12</v>
      </c>
      <c r="EV384" s="438" t="s">
        <v>12</v>
      </c>
      <c r="EW384" s="438" t="s">
        <v>12</v>
      </c>
      <c r="EX384" s="438" t="s">
        <v>12</v>
      </c>
      <c r="EY384" s="438" t="s">
        <v>12</v>
      </c>
      <c r="EZ384" s="438" t="s">
        <v>12</v>
      </c>
      <c r="FA384" s="438" t="s">
        <v>12</v>
      </c>
      <c r="FB384" s="438" t="s">
        <v>12</v>
      </c>
      <c r="FC384" s="346">
        <v>0</v>
      </c>
      <c r="FD384" s="346">
        <v>0</v>
      </c>
      <c r="FE384" s="346">
        <v>0</v>
      </c>
      <c r="FF384" s="346">
        <v>0</v>
      </c>
      <c r="FG384" s="346">
        <v>0</v>
      </c>
      <c r="FH384" s="346">
        <v>0</v>
      </c>
      <c r="FI384" s="346">
        <v>0</v>
      </c>
      <c r="FJ384" s="346">
        <v>0</v>
      </c>
      <c r="FK384" s="346">
        <v>0</v>
      </c>
      <c r="FL384" s="346">
        <v>0</v>
      </c>
    </row>
    <row r="385" spans="1:168" x14ac:dyDescent="0.25">
      <c r="A385" s="252">
        <v>2</v>
      </c>
      <c r="B385" s="252" t="s">
        <v>763</v>
      </c>
      <c r="C385" s="253">
        <v>2619350.1107734838</v>
      </c>
      <c r="D385" s="253">
        <v>4207411.3826379599</v>
      </c>
      <c r="E385" s="253">
        <v>2102465.7223087722</v>
      </c>
      <c r="F385" s="253">
        <v>2206083.98561572</v>
      </c>
      <c r="G385" s="253">
        <v>2045043.6334918221</v>
      </c>
      <c r="H385" s="253">
        <v>2154399.1958331605</v>
      </c>
      <c r="I385" s="253" t="s">
        <v>11</v>
      </c>
      <c r="J385" s="253" t="s">
        <v>11</v>
      </c>
      <c r="K385" s="253" t="s">
        <v>11</v>
      </c>
      <c r="L385" s="253" t="s">
        <v>11</v>
      </c>
      <c r="N385">
        <v>170</v>
      </c>
      <c r="O385" t="s">
        <v>207</v>
      </c>
      <c r="P385" t="s">
        <v>207</v>
      </c>
      <c r="Q385" t="s">
        <v>14</v>
      </c>
      <c r="R385" s="2" t="s">
        <v>12</v>
      </c>
      <c r="S385" s="2" t="s">
        <v>12</v>
      </c>
      <c r="T385" s="2" t="s">
        <v>12</v>
      </c>
      <c r="U385" s="2" t="s">
        <v>12</v>
      </c>
      <c r="V385" s="2" t="s">
        <v>12</v>
      </c>
      <c r="W385" s="2" t="s">
        <v>12</v>
      </c>
      <c r="X385" s="2" t="s">
        <v>12</v>
      </c>
      <c r="Y385" s="2" t="s">
        <v>12</v>
      </c>
      <c r="Z385" s="2" t="s">
        <v>12</v>
      </c>
      <c r="AA385" s="2" t="s">
        <v>12</v>
      </c>
      <c r="AB385" s="2" t="s">
        <v>12</v>
      </c>
      <c r="AC385" s="2" t="s">
        <v>12</v>
      </c>
      <c r="AD385" t="s">
        <v>12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t="s">
        <v>12</v>
      </c>
      <c r="AR385" t="s">
        <v>12</v>
      </c>
      <c r="AS385" t="s">
        <v>12</v>
      </c>
      <c r="AT385" t="s">
        <v>12</v>
      </c>
      <c r="AU385" t="s">
        <v>12</v>
      </c>
      <c r="AV385" t="s">
        <v>12</v>
      </c>
      <c r="AW385" t="s">
        <v>12</v>
      </c>
      <c r="AX385" t="s">
        <v>12</v>
      </c>
      <c r="AY385" t="s">
        <v>12</v>
      </c>
      <c r="AZ385" t="s">
        <v>12</v>
      </c>
      <c r="BA385" t="s">
        <v>12</v>
      </c>
      <c r="BB385" t="s">
        <v>12</v>
      </c>
      <c r="BC385" t="s">
        <v>12</v>
      </c>
      <c r="BD385" t="s">
        <v>12</v>
      </c>
      <c r="BF385" s="313" t="s">
        <v>11</v>
      </c>
      <c r="BG385" s="313" t="s">
        <v>11</v>
      </c>
      <c r="BH385" t="s">
        <v>12</v>
      </c>
      <c r="BI385" t="s">
        <v>12</v>
      </c>
      <c r="BJ385" t="s">
        <v>12</v>
      </c>
      <c r="BK385" t="s">
        <v>12</v>
      </c>
      <c r="BL385" t="s">
        <v>12</v>
      </c>
      <c r="BM385" t="s">
        <v>12</v>
      </c>
      <c r="BN385" t="s">
        <v>12</v>
      </c>
      <c r="BO385" t="s">
        <v>12</v>
      </c>
      <c r="BP385" t="s">
        <v>12</v>
      </c>
      <c r="BQ385" t="s">
        <v>12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 s="9" t="s">
        <v>12</v>
      </c>
      <c r="CF385" s="28" t="s">
        <v>12</v>
      </c>
      <c r="CG385" s="28" t="s">
        <v>12</v>
      </c>
      <c r="CH385" s="28" t="s">
        <v>12</v>
      </c>
      <c r="CI385" s="28" t="s">
        <v>12</v>
      </c>
      <c r="CJ385" s="28" t="s">
        <v>12</v>
      </c>
      <c r="CK385" s="28" t="s">
        <v>12</v>
      </c>
      <c r="CL385" s="28" t="s">
        <v>12</v>
      </c>
      <c r="CM385" s="28" t="s">
        <v>12</v>
      </c>
      <c r="CN385" s="28" t="s">
        <v>12</v>
      </c>
      <c r="CO385" s="28" t="s">
        <v>12</v>
      </c>
      <c r="CP385" s="28" t="s">
        <v>12</v>
      </c>
      <c r="CQ385" s="28" t="s">
        <v>12</v>
      </c>
      <c r="CR385" s="28" t="s">
        <v>12</v>
      </c>
      <c r="CS385" s="28" t="s">
        <v>12</v>
      </c>
      <c r="CT385" s="28" t="s">
        <v>12</v>
      </c>
      <c r="CU385" s="28" t="s">
        <v>12</v>
      </c>
      <c r="CV385" s="28" t="s">
        <v>12</v>
      </c>
      <c r="CW385" s="28" t="s">
        <v>12</v>
      </c>
      <c r="CX385" s="28" t="s">
        <v>12</v>
      </c>
      <c r="CY385" s="28" t="s">
        <v>12</v>
      </c>
      <c r="CZ385" s="28" t="s">
        <v>12</v>
      </c>
      <c r="DA385" s="28" t="s">
        <v>12</v>
      </c>
      <c r="DB385" s="313">
        <v>170</v>
      </c>
      <c r="DC385" s="313" t="s">
        <v>207</v>
      </c>
      <c r="DD385" s="386" t="s">
        <v>12</v>
      </c>
      <c r="DE385" s="386" t="s">
        <v>12</v>
      </c>
      <c r="DF385" s="386" t="s">
        <v>12</v>
      </c>
      <c r="DG385" s="386" t="s">
        <v>12</v>
      </c>
      <c r="DH385" s="386" t="s">
        <v>12</v>
      </c>
      <c r="DI385" s="386" t="s">
        <v>12</v>
      </c>
      <c r="DJ385" s="386" t="s">
        <v>12</v>
      </c>
      <c r="DK385" s="386" t="s">
        <v>12</v>
      </c>
      <c r="DL385" s="386" t="s">
        <v>12</v>
      </c>
      <c r="DM385" s="386" t="s">
        <v>12</v>
      </c>
      <c r="DN385" s="7" t="s">
        <v>12</v>
      </c>
      <c r="DO385" s="7" t="s">
        <v>12</v>
      </c>
      <c r="DP385" s="7" t="s">
        <v>12</v>
      </c>
      <c r="DQ385" s="7" t="s">
        <v>12</v>
      </c>
      <c r="DR385" s="7" t="s">
        <v>12</v>
      </c>
      <c r="DS385" s="7" t="s">
        <v>12</v>
      </c>
      <c r="DT385" s="7" t="s">
        <v>12</v>
      </c>
      <c r="DU385" s="7" t="s">
        <v>12</v>
      </c>
      <c r="DV385" s="7" t="s">
        <v>12</v>
      </c>
      <c r="DW385" s="7" t="s">
        <v>12</v>
      </c>
      <c r="DY385" s="9">
        <v>14565482</v>
      </c>
      <c r="EI385" s="423" t="s">
        <v>12</v>
      </c>
      <c r="EJ385" s="423" t="s">
        <v>12</v>
      </c>
      <c r="EK385" s="423" t="s">
        <v>12</v>
      </c>
      <c r="EL385" s="423" t="s">
        <v>12</v>
      </c>
      <c r="EM385" s="423" t="s">
        <v>12</v>
      </c>
      <c r="EN385" s="423" t="s">
        <v>12</v>
      </c>
      <c r="EO385" s="423" t="s">
        <v>12</v>
      </c>
      <c r="EP385" s="423" t="s">
        <v>12</v>
      </c>
      <c r="EQ385" s="423" t="s">
        <v>12</v>
      </c>
      <c r="ER385" s="423" t="s">
        <v>12</v>
      </c>
      <c r="ES385" s="438" t="s">
        <v>12</v>
      </c>
      <c r="ET385" s="438" t="s">
        <v>12</v>
      </c>
      <c r="EU385" s="438" t="s">
        <v>12</v>
      </c>
      <c r="EV385" s="438" t="s">
        <v>12</v>
      </c>
      <c r="EW385" s="438" t="s">
        <v>12</v>
      </c>
      <c r="EX385" s="438" t="s">
        <v>12</v>
      </c>
      <c r="EY385" s="438" t="s">
        <v>12</v>
      </c>
      <c r="EZ385" s="438" t="s">
        <v>12</v>
      </c>
      <c r="FA385" s="438" t="s">
        <v>12</v>
      </c>
      <c r="FB385" s="438" t="s">
        <v>12</v>
      </c>
      <c r="FC385" s="346">
        <v>0</v>
      </c>
      <c r="FD385" s="346">
        <v>0</v>
      </c>
      <c r="FE385" s="346">
        <v>0</v>
      </c>
      <c r="FF385" s="346">
        <v>0</v>
      </c>
      <c r="FG385" s="346">
        <v>0</v>
      </c>
      <c r="FH385" s="346">
        <v>0</v>
      </c>
      <c r="FI385" s="346">
        <v>0</v>
      </c>
      <c r="FJ385" s="346">
        <v>0</v>
      </c>
      <c r="FK385" s="346">
        <v>0</v>
      </c>
      <c r="FL385" s="346">
        <v>0</v>
      </c>
    </row>
    <row r="386" spans="1:168" x14ac:dyDescent="0.25">
      <c r="A386" s="252">
        <v>3</v>
      </c>
      <c r="B386" s="252" t="s">
        <v>764</v>
      </c>
      <c r="C386" s="253" t="s">
        <v>11</v>
      </c>
      <c r="D386" s="253" t="s">
        <v>11</v>
      </c>
      <c r="E386" s="253" t="s">
        <v>11</v>
      </c>
      <c r="F386" s="253" t="s">
        <v>11</v>
      </c>
      <c r="G386" s="253" t="s">
        <v>11</v>
      </c>
      <c r="H386" s="253" t="s">
        <v>11</v>
      </c>
      <c r="I386" s="253" t="s">
        <v>11</v>
      </c>
      <c r="J386" s="253" t="s">
        <v>11</v>
      </c>
      <c r="K386" s="253" t="s">
        <v>11</v>
      </c>
      <c r="L386" s="253" t="s">
        <v>11</v>
      </c>
      <c r="N386">
        <v>171</v>
      </c>
      <c r="O386" t="s">
        <v>208</v>
      </c>
      <c r="P386" t="s">
        <v>217</v>
      </c>
      <c r="Q386" t="s">
        <v>7</v>
      </c>
      <c r="R386" s="2" t="s">
        <v>12</v>
      </c>
      <c r="S386" s="2" t="s">
        <v>12</v>
      </c>
      <c r="T386" s="2" t="s">
        <v>12</v>
      </c>
      <c r="U386" s="2" t="s">
        <v>12</v>
      </c>
      <c r="V386" s="2" t="s">
        <v>12</v>
      </c>
      <c r="W386" s="2" t="s">
        <v>12</v>
      </c>
      <c r="X386" s="2" t="s">
        <v>12</v>
      </c>
      <c r="Y386" s="2" t="s">
        <v>12</v>
      </c>
      <c r="Z386" s="2" t="s">
        <v>12</v>
      </c>
      <c r="AA386" s="2" t="s">
        <v>12</v>
      </c>
      <c r="AB386" s="2" t="s">
        <v>12</v>
      </c>
      <c r="AC386" s="2" t="s">
        <v>12</v>
      </c>
      <c r="AD386" t="s">
        <v>12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t="s">
        <v>12</v>
      </c>
      <c r="AR386" t="s">
        <v>12</v>
      </c>
      <c r="AS386" t="s">
        <v>12</v>
      </c>
      <c r="AT386" t="s">
        <v>12</v>
      </c>
      <c r="AU386" t="s">
        <v>12</v>
      </c>
      <c r="AV386" t="s">
        <v>12</v>
      </c>
      <c r="AW386" t="s">
        <v>12</v>
      </c>
      <c r="AX386" t="s">
        <v>12</v>
      </c>
      <c r="AY386" t="s">
        <v>12</v>
      </c>
      <c r="AZ386" t="s">
        <v>12</v>
      </c>
      <c r="BA386" t="s">
        <v>12</v>
      </c>
      <c r="BB386" t="s">
        <v>12</v>
      </c>
      <c r="BC386" t="s">
        <v>12</v>
      </c>
      <c r="BD386" t="s">
        <v>12</v>
      </c>
      <c r="BF386" s="313" t="s">
        <v>11</v>
      </c>
      <c r="BG386" s="313" t="s">
        <v>11</v>
      </c>
      <c r="BH386" t="s">
        <v>12</v>
      </c>
      <c r="BI386" t="s">
        <v>12</v>
      </c>
      <c r="BJ386" t="s">
        <v>12</v>
      </c>
      <c r="BK386" t="s">
        <v>12</v>
      </c>
      <c r="BL386" t="s">
        <v>12</v>
      </c>
      <c r="BM386" t="s">
        <v>12</v>
      </c>
      <c r="BN386" t="s">
        <v>12</v>
      </c>
      <c r="BO386" t="s">
        <v>12</v>
      </c>
      <c r="BP386" t="s">
        <v>12</v>
      </c>
      <c r="BQ386" t="s">
        <v>12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 s="9" t="s">
        <v>12</v>
      </c>
      <c r="CF386" s="28" t="s">
        <v>12</v>
      </c>
      <c r="CG386" s="28" t="s">
        <v>12</v>
      </c>
      <c r="CH386" s="28" t="s">
        <v>12</v>
      </c>
      <c r="CI386" s="28" t="s">
        <v>12</v>
      </c>
      <c r="CJ386" s="28" t="s">
        <v>12</v>
      </c>
      <c r="CK386" s="28" t="s">
        <v>12</v>
      </c>
      <c r="CL386" s="28" t="s">
        <v>12</v>
      </c>
      <c r="CM386" s="28" t="s">
        <v>12</v>
      </c>
      <c r="CN386" s="28" t="s">
        <v>12</v>
      </c>
      <c r="CO386" s="28" t="s">
        <v>12</v>
      </c>
      <c r="CP386" s="28" t="s">
        <v>12</v>
      </c>
      <c r="CQ386" s="28" t="s">
        <v>12</v>
      </c>
      <c r="CR386" s="28" t="s">
        <v>12</v>
      </c>
      <c r="CS386" s="28" t="s">
        <v>12</v>
      </c>
      <c r="CT386" s="28" t="s">
        <v>12</v>
      </c>
      <c r="CU386" s="28" t="s">
        <v>12</v>
      </c>
      <c r="CV386" s="28" t="s">
        <v>12</v>
      </c>
      <c r="CW386" s="28" t="s">
        <v>12</v>
      </c>
      <c r="CX386" s="28" t="s">
        <v>12</v>
      </c>
      <c r="CY386" s="28" t="s">
        <v>12</v>
      </c>
      <c r="CZ386" s="28" t="s">
        <v>12</v>
      </c>
      <c r="DA386" s="28" t="s">
        <v>12</v>
      </c>
      <c r="DB386" s="313">
        <v>171</v>
      </c>
      <c r="DC386" s="313" t="s">
        <v>208</v>
      </c>
      <c r="DD386" s="386" t="s">
        <v>12</v>
      </c>
      <c r="DE386" s="386" t="s">
        <v>12</v>
      </c>
      <c r="DF386" s="386" t="s">
        <v>12</v>
      </c>
      <c r="DG386" s="386" t="s">
        <v>12</v>
      </c>
      <c r="DH386" s="386" t="s">
        <v>12</v>
      </c>
      <c r="DI386" s="386" t="s">
        <v>12</v>
      </c>
      <c r="DJ386" s="386" t="s">
        <v>12</v>
      </c>
      <c r="DK386" s="386" t="s">
        <v>12</v>
      </c>
      <c r="DL386" s="386" t="s">
        <v>12</v>
      </c>
      <c r="DM386" s="386" t="s">
        <v>12</v>
      </c>
      <c r="DN386" s="7" t="s">
        <v>12</v>
      </c>
      <c r="DO386" s="7" t="s">
        <v>12</v>
      </c>
      <c r="DP386" s="7" t="s">
        <v>12</v>
      </c>
      <c r="DQ386" s="7" t="s">
        <v>12</v>
      </c>
      <c r="DR386" s="7" t="s">
        <v>12</v>
      </c>
      <c r="DS386" s="7" t="s">
        <v>12</v>
      </c>
      <c r="DT386" s="7" t="s">
        <v>12</v>
      </c>
      <c r="DU386" s="7" t="s">
        <v>12</v>
      </c>
      <c r="DV386" s="7" t="s">
        <v>12</v>
      </c>
      <c r="DW386" s="7" t="s">
        <v>12</v>
      </c>
      <c r="DY386" s="9">
        <v>3828419</v>
      </c>
      <c r="EI386" s="423" t="s">
        <v>12</v>
      </c>
      <c r="EJ386" s="423" t="s">
        <v>12</v>
      </c>
      <c r="EK386" s="423" t="s">
        <v>12</v>
      </c>
      <c r="EL386" s="423" t="s">
        <v>12</v>
      </c>
      <c r="EM386" s="423" t="s">
        <v>12</v>
      </c>
      <c r="EN386" s="423" t="s">
        <v>12</v>
      </c>
      <c r="EO386" s="423" t="s">
        <v>12</v>
      </c>
      <c r="EP386" s="423" t="s">
        <v>12</v>
      </c>
      <c r="EQ386" s="423" t="s">
        <v>12</v>
      </c>
      <c r="ER386" s="423" t="s">
        <v>12</v>
      </c>
      <c r="ES386" s="438" t="s">
        <v>12</v>
      </c>
      <c r="ET386" s="438" t="s">
        <v>12</v>
      </c>
      <c r="EU386" s="438" t="s">
        <v>12</v>
      </c>
      <c r="EV386" s="438" t="s">
        <v>12</v>
      </c>
      <c r="EW386" s="438" t="s">
        <v>12</v>
      </c>
      <c r="EX386" s="438" t="s">
        <v>12</v>
      </c>
      <c r="EY386" s="438" t="s">
        <v>12</v>
      </c>
      <c r="EZ386" s="438" t="s">
        <v>12</v>
      </c>
      <c r="FA386" s="438" t="s">
        <v>12</v>
      </c>
      <c r="FB386" s="438" t="s">
        <v>12</v>
      </c>
      <c r="FC386" s="346">
        <v>0</v>
      </c>
      <c r="FD386" s="346">
        <v>0</v>
      </c>
      <c r="FE386" s="346">
        <v>0</v>
      </c>
      <c r="FF386" s="346">
        <v>0</v>
      </c>
      <c r="FG386" s="346">
        <v>0</v>
      </c>
      <c r="FH386" s="346">
        <v>0</v>
      </c>
      <c r="FI386" s="346">
        <v>0</v>
      </c>
      <c r="FJ386" s="346">
        <v>0</v>
      </c>
      <c r="FK386" s="346">
        <v>0</v>
      </c>
      <c r="FL386" s="346">
        <v>0</v>
      </c>
    </row>
    <row r="387" spans="1:168" x14ac:dyDescent="0.25">
      <c r="A387" s="252">
        <v>4</v>
      </c>
      <c r="B387" s="252" t="s">
        <v>765</v>
      </c>
      <c r="C387" s="253" t="s">
        <v>11</v>
      </c>
      <c r="D387" s="253" t="s">
        <v>11</v>
      </c>
      <c r="E387" s="253" t="s">
        <v>11</v>
      </c>
      <c r="F387" s="253" t="s">
        <v>11</v>
      </c>
      <c r="G387" s="253" t="s">
        <v>11</v>
      </c>
      <c r="H387" s="253" t="s">
        <v>11</v>
      </c>
      <c r="I387" s="253" t="s">
        <v>11</v>
      </c>
      <c r="J387" s="253" t="s">
        <v>11</v>
      </c>
      <c r="K387" s="253" t="s">
        <v>11</v>
      </c>
      <c r="L387" s="253" t="s">
        <v>11</v>
      </c>
      <c r="N387">
        <v>172</v>
      </c>
      <c r="O387" t="s">
        <v>209</v>
      </c>
      <c r="P387" t="s">
        <v>218</v>
      </c>
      <c r="Q387" t="s">
        <v>23</v>
      </c>
      <c r="R387" s="2" t="s">
        <v>12</v>
      </c>
      <c r="S387" s="2" t="s">
        <v>12</v>
      </c>
      <c r="T387" s="2" t="s">
        <v>12</v>
      </c>
      <c r="U387" s="2" t="s">
        <v>12</v>
      </c>
      <c r="V387" s="2" t="s">
        <v>12</v>
      </c>
      <c r="W387" s="2" t="s">
        <v>12</v>
      </c>
      <c r="X387" s="2" t="s">
        <v>12</v>
      </c>
      <c r="Y387" s="2" t="s">
        <v>12</v>
      </c>
      <c r="Z387" s="2" t="s">
        <v>12</v>
      </c>
      <c r="AA387" s="2" t="s">
        <v>12</v>
      </c>
      <c r="AB387" s="2" t="s">
        <v>12</v>
      </c>
      <c r="AC387" s="2" t="s">
        <v>12</v>
      </c>
      <c r="AD387" t="s">
        <v>12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t="s">
        <v>12</v>
      </c>
      <c r="AR387" t="s">
        <v>12</v>
      </c>
      <c r="AS387" t="s">
        <v>12</v>
      </c>
      <c r="AT387" t="s">
        <v>12</v>
      </c>
      <c r="AU387" t="s">
        <v>12</v>
      </c>
      <c r="AV387" t="s">
        <v>12</v>
      </c>
      <c r="AW387" t="s">
        <v>12</v>
      </c>
      <c r="AX387" t="s">
        <v>12</v>
      </c>
      <c r="AY387" t="s">
        <v>12</v>
      </c>
      <c r="AZ387" t="s">
        <v>12</v>
      </c>
      <c r="BA387" t="s">
        <v>12</v>
      </c>
      <c r="BB387" t="s">
        <v>12</v>
      </c>
      <c r="BC387" t="s">
        <v>12</v>
      </c>
      <c r="BD387" t="s">
        <v>12</v>
      </c>
      <c r="BF387" s="313" t="s">
        <v>11</v>
      </c>
      <c r="BG387" s="313" t="s">
        <v>11</v>
      </c>
      <c r="BH387" t="s">
        <v>12</v>
      </c>
      <c r="BI387" t="s">
        <v>12</v>
      </c>
      <c r="BJ387" t="s">
        <v>12</v>
      </c>
      <c r="BK387" t="s">
        <v>12</v>
      </c>
      <c r="BL387" t="s">
        <v>12</v>
      </c>
      <c r="BM387" t="s">
        <v>12</v>
      </c>
      <c r="BN387" t="s">
        <v>12</v>
      </c>
      <c r="BO387" t="s">
        <v>12</v>
      </c>
      <c r="BP387" t="s">
        <v>12</v>
      </c>
      <c r="BQ387" t="s">
        <v>12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 s="9" t="s">
        <v>12</v>
      </c>
      <c r="CF387" s="28" t="s">
        <v>12</v>
      </c>
      <c r="CG387" s="28" t="s">
        <v>12</v>
      </c>
      <c r="CH387" s="28" t="s">
        <v>12</v>
      </c>
      <c r="CI387" s="28" t="s">
        <v>12</v>
      </c>
      <c r="CJ387" s="28" t="s">
        <v>12</v>
      </c>
      <c r="CK387" s="28" t="s">
        <v>12</v>
      </c>
      <c r="CL387" s="28" t="s">
        <v>12</v>
      </c>
      <c r="CM387" s="28" t="s">
        <v>12</v>
      </c>
      <c r="CN387" s="28" t="s">
        <v>12</v>
      </c>
      <c r="CO387" s="28" t="s">
        <v>12</v>
      </c>
      <c r="CP387" s="28" t="s">
        <v>12</v>
      </c>
      <c r="CQ387" s="28" t="s">
        <v>12</v>
      </c>
      <c r="CR387" s="28" t="s">
        <v>12</v>
      </c>
      <c r="CS387" s="28" t="s">
        <v>12</v>
      </c>
      <c r="CT387" s="28" t="s">
        <v>12</v>
      </c>
      <c r="CU387" s="28" t="s">
        <v>12</v>
      </c>
      <c r="CV387" s="28" t="s">
        <v>12</v>
      </c>
      <c r="CW387" s="28" t="s">
        <v>12</v>
      </c>
      <c r="CX387" s="28" t="s">
        <v>12</v>
      </c>
      <c r="CY387" s="28" t="s">
        <v>12</v>
      </c>
      <c r="CZ387" s="28" t="s">
        <v>12</v>
      </c>
      <c r="DA387" s="28" t="s">
        <v>12</v>
      </c>
      <c r="DB387" s="313">
        <v>172</v>
      </c>
      <c r="DC387" s="313" t="s">
        <v>209</v>
      </c>
      <c r="DD387" s="386" t="s">
        <v>12</v>
      </c>
      <c r="DE387" s="386" t="s">
        <v>12</v>
      </c>
      <c r="DF387" s="386" t="s">
        <v>12</v>
      </c>
      <c r="DG387" s="386" t="s">
        <v>12</v>
      </c>
      <c r="DH387" s="386" t="s">
        <v>12</v>
      </c>
      <c r="DI387" s="386" t="s">
        <v>12</v>
      </c>
      <c r="DJ387" s="386" t="s">
        <v>12</v>
      </c>
      <c r="DK387" s="386" t="s">
        <v>12</v>
      </c>
      <c r="DL387" s="386" t="s">
        <v>12</v>
      </c>
      <c r="DM387" s="386" t="s">
        <v>12</v>
      </c>
      <c r="DN387" s="7" t="s">
        <v>12</v>
      </c>
      <c r="DO387" s="7" t="s">
        <v>12</v>
      </c>
      <c r="DP387" s="7" t="s">
        <v>12</v>
      </c>
      <c r="DQ387" s="7" t="s">
        <v>12</v>
      </c>
      <c r="DR387" s="7" t="s">
        <v>12</v>
      </c>
      <c r="DS387" s="7" t="s">
        <v>12</v>
      </c>
      <c r="DT387" s="7" t="s">
        <v>12</v>
      </c>
      <c r="DU387" s="7" t="s">
        <v>12</v>
      </c>
      <c r="DV387" s="7" t="s">
        <v>12</v>
      </c>
      <c r="DW387" s="7" t="s">
        <v>12</v>
      </c>
      <c r="DY387" s="9">
        <v>4586897</v>
      </c>
      <c r="EI387" s="423" t="s">
        <v>12</v>
      </c>
      <c r="EJ387" s="423" t="s">
        <v>12</v>
      </c>
      <c r="EK387" s="423" t="s">
        <v>12</v>
      </c>
      <c r="EL387" s="423" t="s">
        <v>12</v>
      </c>
      <c r="EM387" s="423" t="s">
        <v>12</v>
      </c>
      <c r="EN387" s="423" t="s">
        <v>12</v>
      </c>
      <c r="EO387" s="423" t="s">
        <v>12</v>
      </c>
      <c r="EP387" s="423" t="s">
        <v>12</v>
      </c>
      <c r="EQ387" s="423" t="s">
        <v>12</v>
      </c>
      <c r="ER387" s="423" t="s">
        <v>12</v>
      </c>
      <c r="ES387" s="438" t="s">
        <v>12</v>
      </c>
      <c r="ET387" s="438" t="s">
        <v>12</v>
      </c>
      <c r="EU387" s="438" t="s">
        <v>12</v>
      </c>
      <c r="EV387" s="438" t="s">
        <v>12</v>
      </c>
      <c r="EW387" s="438" t="s">
        <v>12</v>
      </c>
      <c r="EX387" s="438" t="s">
        <v>12</v>
      </c>
      <c r="EY387" s="438" t="s">
        <v>12</v>
      </c>
      <c r="EZ387" s="438" t="s">
        <v>12</v>
      </c>
      <c r="FA387" s="438" t="s">
        <v>12</v>
      </c>
      <c r="FB387" s="438" t="s">
        <v>12</v>
      </c>
      <c r="FC387" s="346">
        <v>0</v>
      </c>
      <c r="FD387" s="346">
        <v>0</v>
      </c>
      <c r="FE387" s="346">
        <v>0</v>
      </c>
      <c r="FF387" s="346">
        <v>0</v>
      </c>
      <c r="FG387" s="346">
        <v>0</v>
      </c>
      <c r="FH387" s="346">
        <v>0</v>
      </c>
      <c r="FI387" s="346">
        <v>0</v>
      </c>
      <c r="FJ387" s="346">
        <v>0</v>
      </c>
      <c r="FK387" s="346">
        <v>0</v>
      </c>
      <c r="FL387" s="346">
        <v>0</v>
      </c>
    </row>
    <row r="388" spans="1:168" x14ac:dyDescent="0.25">
      <c r="A388" s="252">
        <v>5</v>
      </c>
      <c r="B388" s="252" t="s">
        <v>767</v>
      </c>
      <c r="C388" s="253" t="s">
        <v>11</v>
      </c>
      <c r="D388" s="253" t="s">
        <v>11</v>
      </c>
      <c r="E388" s="253" t="s">
        <v>11</v>
      </c>
      <c r="F388" s="253" t="s">
        <v>11</v>
      </c>
      <c r="G388" s="253" t="s">
        <v>11</v>
      </c>
      <c r="H388" s="253" t="s">
        <v>11</v>
      </c>
      <c r="I388" s="253" t="s">
        <v>11</v>
      </c>
      <c r="J388" s="253" t="s">
        <v>11</v>
      </c>
      <c r="K388" s="253" t="s">
        <v>11</v>
      </c>
      <c r="L388" s="253" t="s">
        <v>11</v>
      </c>
      <c r="N388">
        <v>173</v>
      </c>
      <c r="O388" t="s">
        <v>210</v>
      </c>
      <c r="P388" t="s">
        <v>219</v>
      </c>
      <c r="Q388" t="s">
        <v>25</v>
      </c>
      <c r="R388" s="2" t="s">
        <v>12</v>
      </c>
      <c r="S388" s="2" t="s">
        <v>12</v>
      </c>
      <c r="T388" s="2" t="s">
        <v>12</v>
      </c>
      <c r="U388" s="2" t="s">
        <v>12</v>
      </c>
      <c r="V388" s="2" t="s">
        <v>12</v>
      </c>
      <c r="W388" s="2" t="s">
        <v>12</v>
      </c>
      <c r="X388" s="2" t="s">
        <v>12</v>
      </c>
      <c r="Y388" s="2" t="s">
        <v>12</v>
      </c>
      <c r="Z388" s="2" t="s">
        <v>12</v>
      </c>
      <c r="AA388" s="2" t="s">
        <v>12</v>
      </c>
      <c r="AB388" s="2" t="s">
        <v>12</v>
      </c>
      <c r="AC388" s="2" t="s">
        <v>12</v>
      </c>
      <c r="AD388" t="s">
        <v>12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t="s">
        <v>12</v>
      </c>
      <c r="AR388" t="s">
        <v>12</v>
      </c>
      <c r="AS388" t="s">
        <v>12</v>
      </c>
      <c r="AT388" t="s">
        <v>12</v>
      </c>
      <c r="AU388" t="s">
        <v>12</v>
      </c>
      <c r="AV388" t="s">
        <v>12</v>
      </c>
      <c r="AW388" t="s">
        <v>12</v>
      </c>
      <c r="AX388" t="s">
        <v>12</v>
      </c>
      <c r="AY388" t="s">
        <v>12</v>
      </c>
      <c r="AZ388" t="s">
        <v>12</v>
      </c>
      <c r="BA388" t="s">
        <v>12</v>
      </c>
      <c r="BB388" t="s">
        <v>12</v>
      </c>
      <c r="BC388" t="s">
        <v>12</v>
      </c>
      <c r="BD388" t="s">
        <v>12</v>
      </c>
      <c r="BF388" s="313" t="s">
        <v>11</v>
      </c>
      <c r="BG388" s="313" t="s">
        <v>11</v>
      </c>
      <c r="BH388" t="s">
        <v>12</v>
      </c>
      <c r="BI388" t="s">
        <v>12</v>
      </c>
      <c r="BJ388" t="s">
        <v>12</v>
      </c>
      <c r="BK388" t="s">
        <v>12</v>
      </c>
      <c r="BL388" t="s">
        <v>12</v>
      </c>
      <c r="BM388" t="s">
        <v>12</v>
      </c>
      <c r="BN388" t="s">
        <v>12</v>
      </c>
      <c r="BO388" t="s">
        <v>12</v>
      </c>
      <c r="BP388" t="s">
        <v>12</v>
      </c>
      <c r="BQ388" t="s">
        <v>12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 s="9" t="s">
        <v>12</v>
      </c>
      <c r="CF388" s="28" t="s">
        <v>12</v>
      </c>
      <c r="CG388" s="28" t="s">
        <v>12</v>
      </c>
      <c r="CH388" s="28" t="s">
        <v>12</v>
      </c>
      <c r="CI388" s="28" t="s">
        <v>12</v>
      </c>
      <c r="CJ388" s="28" t="s">
        <v>12</v>
      </c>
      <c r="CK388" s="28" t="s">
        <v>12</v>
      </c>
      <c r="CL388" s="28" t="s">
        <v>12</v>
      </c>
      <c r="CM388" s="28" t="s">
        <v>12</v>
      </c>
      <c r="CN388" s="28" t="s">
        <v>12</v>
      </c>
      <c r="CO388" s="28" t="s">
        <v>12</v>
      </c>
      <c r="CP388" s="28" t="s">
        <v>12</v>
      </c>
      <c r="CQ388" s="28" t="s">
        <v>12</v>
      </c>
      <c r="CR388" s="28" t="s">
        <v>12</v>
      </c>
      <c r="CS388" s="28" t="s">
        <v>12</v>
      </c>
      <c r="CT388" s="28" t="s">
        <v>12</v>
      </c>
      <c r="CU388" s="28" t="s">
        <v>12</v>
      </c>
      <c r="CV388" s="28" t="s">
        <v>12</v>
      </c>
      <c r="CW388" s="28" t="s">
        <v>12</v>
      </c>
      <c r="CX388" s="28" t="s">
        <v>12</v>
      </c>
      <c r="CY388" s="28" t="s">
        <v>12</v>
      </c>
      <c r="CZ388" s="28" t="s">
        <v>12</v>
      </c>
      <c r="DA388" s="28" t="s">
        <v>12</v>
      </c>
      <c r="DB388" s="313">
        <v>173</v>
      </c>
      <c r="DC388" s="313" t="s">
        <v>210</v>
      </c>
      <c r="DD388" s="386" t="s">
        <v>12</v>
      </c>
      <c r="DE388" s="386" t="s">
        <v>12</v>
      </c>
      <c r="DF388" s="386" t="s">
        <v>12</v>
      </c>
      <c r="DG388" s="386" t="s">
        <v>12</v>
      </c>
      <c r="DH388" s="386" t="s">
        <v>12</v>
      </c>
      <c r="DI388" s="386" t="s">
        <v>12</v>
      </c>
      <c r="DJ388" s="386" t="s">
        <v>12</v>
      </c>
      <c r="DK388" s="386" t="s">
        <v>12</v>
      </c>
      <c r="DL388" s="386" t="s">
        <v>12</v>
      </c>
      <c r="DM388" s="386" t="s">
        <v>12</v>
      </c>
      <c r="DN388" s="7" t="s">
        <v>12</v>
      </c>
      <c r="DO388" s="7" t="s">
        <v>12</v>
      </c>
      <c r="DP388" s="7" t="s">
        <v>12</v>
      </c>
      <c r="DQ388" s="7" t="s">
        <v>12</v>
      </c>
      <c r="DR388" s="7" t="s">
        <v>12</v>
      </c>
      <c r="DS388" s="7" t="s">
        <v>12</v>
      </c>
      <c r="DT388" s="7" t="s">
        <v>12</v>
      </c>
      <c r="DU388" s="7" t="s">
        <v>12</v>
      </c>
      <c r="DV388" s="7" t="s">
        <v>12</v>
      </c>
      <c r="DW388" s="7" t="s">
        <v>12</v>
      </c>
      <c r="DY388" s="9">
        <v>1148958</v>
      </c>
      <c r="EI388" s="423" t="s">
        <v>12</v>
      </c>
      <c r="EJ388" s="423" t="s">
        <v>12</v>
      </c>
      <c r="EK388" s="423" t="s">
        <v>12</v>
      </c>
      <c r="EL388" s="423" t="s">
        <v>12</v>
      </c>
      <c r="EM388" s="423" t="s">
        <v>12</v>
      </c>
      <c r="EN388" s="423" t="s">
        <v>12</v>
      </c>
      <c r="EO388" s="423" t="s">
        <v>12</v>
      </c>
      <c r="EP388" s="423" t="s">
        <v>12</v>
      </c>
      <c r="EQ388" s="423" t="s">
        <v>12</v>
      </c>
      <c r="ER388" s="423" t="s">
        <v>12</v>
      </c>
      <c r="ES388" s="438" t="s">
        <v>12</v>
      </c>
      <c r="ET388" s="438" t="s">
        <v>12</v>
      </c>
      <c r="EU388" s="438" t="s">
        <v>12</v>
      </c>
      <c r="EV388" s="438" t="s">
        <v>12</v>
      </c>
      <c r="EW388" s="438" t="s">
        <v>12</v>
      </c>
      <c r="EX388" s="438" t="s">
        <v>12</v>
      </c>
      <c r="EY388" s="438" t="s">
        <v>12</v>
      </c>
      <c r="EZ388" s="438" t="s">
        <v>12</v>
      </c>
      <c r="FA388" s="438" t="s">
        <v>12</v>
      </c>
      <c r="FB388" s="438" t="s">
        <v>12</v>
      </c>
      <c r="FC388" s="346">
        <v>0</v>
      </c>
      <c r="FD388" s="346">
        <v>0</v>
      </c>
      <c r="FE388" s="346">
        <v>0</v>
      </c>
      <c r="FF388" s="346">
        <v>0</v>
      </c>
      <c r="FG388" s="346">
        <v>0</v>
      </c>
      <c r="FH388" s="346">
        <v>0</v>
      </c>
      <c r="FI388" s="346">
        <v>0</v>
      </c>
      <c r="FJ388" s="346">
        <v>0</v>
      </c>
      <c r="FK388" s="346">
        <v>0</v>
      </c>
      <c r="FL388" s="346">
        <v>0</v>
      </c>
    </row>
    <row r="389" spans="1:168" x14ac:dyDescent="0.25">
      <c r="A389" s="252">
        <v>6</v>
      </c>
      <c r="B389" s="252" t="s">
        <v>768</v>
      </c>
      <c r="C389" s="253" t="s">
        <v>11</v>
      </c>
      <c r="D389" s="253" t="s">
        <v>11</v>
      </c>
      <c r="E389" s="253" t="s">
        <v>11</v>
      </c>
      <c r="F389" s="253" t="s">
        <v>11</v>
      </c>
      <c r="G389" s="253" t="s">
        <v>11</v>
      </c>
      <c r="H389" s="253" t="s">
        <v>11</v>
      </c>
      <c r="I389" s="253" t="s">
        <v>11</v>
      </c>
      <c r="J389" s="253" t="s">
        <v>11</v>
      </c>
      <c r="K389" s="253" t="s">
        <v>11</v>
      </c>
      <c r="L389" s="253" t="s">
        <v>11</v>
      </c>
      <c r="N389">
        <v>174</v>
      </c>
      <c r="O389" t="s">
        <v>211</v>
      </c>
      <c r="P389" t="s">
        <v>220</v>
      </c>
      <c r="Q389" t="s">
        <v>16</v>
      </c>
      <c r="R389" s="2" t="s">
        <v>12</v>
      </c>
      <c r="S389" s="2" t="s">
        <v>12</v>
      </c>
      <c r="T389" s="2" t="s">
        <v>12</v>
      </c>
      <c r="U389" s="2" t="s">
        <v>12</v>
      </c>
      <c r="V389" s="2" t="s">
        <v>12</v>
      </c>
      <c r="W389" s="2" t="s">
        <v>12</v>
      </c>
      <c r="X389" s="2" t="s">
        <v>12</v>
      </c>
      <c r="Y389" s="2" t="s">
        <v>12</v>
      </c>
      <c r="Z389" s="2" t="s">
        <v>12</v>
      </c>
      <c r="AA389" s="2" t="s">
        <v>12</v>
      </c>
      <c r="AB389" s="2" t="s">
        <v>12</v>
      </c>
      <c r="AC389" s="2" t="s">
        <v>12</v>
      </c>
      <c r="AD389" t="s">
        <v>12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t="s">
        <v>12</v>
      </c>
      <c r="AR389" t="s">
        <v>12</v>
      </c>
      <c r="AS389" t="s">
        <v>12</v>
      </c>
      <c r="AT389" t="s">
        <v>12</v>
      </c>
      <c r="AU389" t="s">
        <v>12</v>
      </c>
      <c r="AV389" t="s">
        <v>12</v>
      </c>
      <c r="AW389" t="s">
        <v>12</v>
      </c>
      <c r="AX389" t="s">
        <v>12</v>
      </c>
      <c r="AY389" t="s">
        <v>12</v>
      </c>
      <c r="AZ389" t="s">
        <v>12</v>
      </c>
      <c r="BA389" t="s">
        <v>12</v>
      </c>
      <c r="BB389" t="s">
        <v>12</v>
      </c>
      <c r="BC389" t="s">
        <v>12</v>
      </c>
      <c r="BD389" t="s">
        <v>12</v>
      </c>
      <c r="BF389" s="313" t="s">
        <v>11</v>
      </c>
      <c r="BG389" s="313" t="s">
        <v>11</v>
      </c>
      <c r="BH389" t="s">
        <v>12</v>
      </c>
      <c r="BI389" t="s">
        <v>12</v>
      </c>
      <c r="BJ389" t="s">
        <v>12</v>
      </c>
      <c r="BK389" t="s">
        <v>12</v>
      </c>
      <c r="BL389" t="s">
        <v>12</v>
      </c>
      <c r="BM389" t="s">
        <v>12</v>
      </c>
      <c r="BN389" t="s">
        <v>12</v>
      </c>
      <c r="BO389" t="s">
        <v>12</v>
      </c>
      <c r="BP389" t="s">
        <v>12</v>
      </c>
      <c r="BQ389" t="s">
        <v>12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 s="9" t="s">
        <v>12</v>
      </c>
      <c r="CF389" s="28" t="s">
        <v>12</v>
      </c>
      <c r="CG389" s="28" t="s">
        <v>12</v>
      </c>
      <c r="CH389" s="28" t="s">
        <v>12</v>
      </c>
      <c r="CI389" s="28" t="s">
        <v>12</v>
      </c>
      <c r="CJ389" s="28" t="s">
        <v>12</v>
      </c>
      <c r="CK389" s="28" t="s">
        <v>12</v>
      </c>
      <c r="CL389" s="28" t="s">
        <v>12</v>
      </c>
      <c r="CM389" s="28" t="s">
        <v>12</v>
      </c>
      <c r="CN389" s="28" t="s">
        <v>12</v>
      </c>
      <c r="CO389" s="28" t="s">
        <v>12</v>
      </c>
      <c r="CP389" s="28" t="s">
        <v>12</v>
      </c>
      <c r="CQ389" s="28" t="s">
        <v>12</v>
      </c>
      <c r="CR389" s="28" t="s">
        <v>12</v>
      </c>
      <c r="CS389" s="28" t="s">
        <v>12</v>
      </c>
      <c r="CT389" s="28" t="s">
        <v>12</v>
      </c>
      <c r="CU389" s="28" t="s">
        <v>12</v>
      </c>
      <c r="CV389" s="28" t="s">
        <v>12</v>
      </c>
      <c r="CW389" s="28" t="s">
        <v>12</v>
      </c>
      <c r="CX389" s="28" t="s">
        <v>12</v>
      </c>
      <c r="CY389" s="28" t="s">
        <v>12</v>
      </c>
      <c r="CZ389" s="28" t="s">
        <v>12</v>
      </c>
      <c r="DA389" s="28" t="s">
        <v>12</v>
      </c>
      <c r="DB389" s="313">
        <v>174</v>
      </c>
      <c r="DC389" s="313" t="s">
        <v>211</v>
      </c>
      <c r="DD389" s="386" t="s">
        <v>12</v>
      </c>
      <c r="DE389" s="386" t="s">
        <v>12</v>
      </c>
      <c r="DF389" s="386" t="s">
        <v>12</v>
      </c>
      <c r="DG389" s="386" t="s">
        <v>12</v>
      </c>
      <c r="DH389" s="386" t="s">
        <v>12</v>
      </c>
      <c r="DI389" s="386" t="s">
        <v>12</v>
      </c>
      <c r="DJ389" s="386" t="s">
        <v>12</v>
      </c>
      <c r="DK389" s="386" t="s">
        <v>12</v>
      </c>
      <c r="DL389" s="386" t="s">
        <v>12</v>
      </c>
      <c r="DM389" s="386" t="s">
        <v>12</v>
      </c>
      <c r="DN389" s="7" t="s">
        <v>12</v>
      </c>
      <c r="DO389" s="7" t="s">
        <v>12</v>
      </c>
      <c r="DP389" s="7" t="s">
        <v>12</v>
      </c>
      <c r="DQ389" s="7" t="s">
        <v>12</v>
      </c>
      <c r="DR389" s="7" t="s">
        <v>12</v>
      </c>
      <c r="DS389" s="7" t="s">
        <v>12</v>
      </c>
      <c r="DT389" s="7" t="s">
        <v>12</v>
      </c>
      <c r="DU389" s="7" t="s">
        <v>12</v>
      </c>
      <c r="DV389" s="7" t="s">
        <v>12</v>
      </c>
      <c r="DW389" s="7" t="s">
        <v>12</v>
      </c>
      <c r="DY389" s="9">
        <v>1341579</v>
      </c>
      <c r="EI389" s="423" t="s">
        <v>12</v>
      </c>
      <c r="EJ389" s="423" t="s">
        <v>12</v>
      </c>
      <c r="EK389" s="423" t="s">
        <v>12</v>
      </c>
      <c r="EL389" s="423" t="s">
        <v>12</v>
      </c>
      <c r="EM389" s="423" t="s">
        <v>12</v>
      </c>
      <c r="EN389" s="423" t="s">
        <v>12</v>
      </c>
      <c r="EO389" s="423" t="s">
        <v>12</v>
      </c>
      <c r="EP389" s="423" t="s">
        <v>12</v>
      </c>
      <c r="EQ389" s="423" t="s">
        <v>12</v>
      </c>
      <c r="ER389" s="423" t="s">
        <v>12</v>
      </c>
      <c r="ES389" s="438" t="s">
        <v>12</v>
      </c>
      <c r="ET389" s="438" t="s">
        <v>12</v>
      </c>
      <c r="EU389" s="438" t="s">
        <v>12</v>
      </c>
      <c r="EV389" s="438" t="s">
        <v>12</v>
      </c>
      <c r="EW389" s="438" t="s">
        <v>12</v>
      </c>
      <c r="EX389" s="438" t="s">
        <v>12</v>
      </c>
      <c r="EY389" s="438" t="s">
        <v>12</v>
      </c>
      <c r="EZ389" s="438" t="s">
        <v>12</v>
      </c>
      <c r="FA389" s="438" t="s">
        <v>12</v>
      </c>
      <c r="FB389" s="438" t="s">
        <v>12</v>
      </c>
      <c r="FC389" s="346">
        <v>0</v>
      </c>
      <c r="FD389" s="346">
        <v>0</v>
      </c>
      <c r="FE389" s="346">
        <v>0</v>
      </c>
      <c r="FF389" s="346">
        <v>0</v>
      </c>
      <c r="FG389" s="346">
        <v>0</v>
      </c>
      <c r="FH389" s="346">
        <v>0</v>
      </c>
      <c r="FI389" s="346">
        <v>0</v>
      </c>
      <c r="FJ389" s="346">
        <v>0</v>
      </c>
      <c r="FK389" s="346">
        <v>0</v>
      </c>
      <c r="FL389" s="346">
        <v>0</v>
      </c>
    </row>
    <row r="390" spans="1:168" x14ac:dyDescent="0.25">
      <c r="A390" s="252">
        <v>7</v>
      </c>
      <c r="B390" s="252" t="s">
        <v>770</v>
      </c>
      <c r="C390" s="253" t="s">
        <v>11</v>
      </c>
      <c r="D390" s="253" t="s">
        <v>11</v>
      </c>
      <c r="E390" s="253" t="s">
        <v>11</v>
      </c>
      <c r="F390" s="253" t="s">
        <v>11</v>
      </c>
      <c r="G390" s="253" t="s">
        <v>11</v>
      </c>
      <c r="H390" s="253" t="s">
        <v>11</v>
      </c>
      <c r="I390" s="253" t="s">
        <v>11</v>
      </c>
      <c r="J390" s="253" t="s">
        <v>11</v>
      </c>
      <c r="K390" s="253" t="s">
        <v>11</v>
      </c>
      <c r="L390" s="253" t="s">
        <v>11</v>
      </c>
      <c r="N390">
        <v>175</v>
      </c>
      <c r="O390" t="s">
        <v>212</v>
      </c>
      <c r="P390" t="s">
        <v>221</v>
      </c>
      <c r="Q390" t="s">
        <v>23</v>
      </c>
      <c r="R390" s="2">
        <v>1046665</v>
      </c>
      <c r="S390" s="2">
        <v>2435826</v>
      </c>
      <c r="T390" s="2" t="s">
        <v>12</v>
      </c>
      <c r="U390" s="2" t="s">
        <v>12</v>
      </c>
      <c r="V390" s="2" t="s">
        <v>12</v>
      </c>
      <c r="W390" s="2" t="s">
        <v>12</v>
      </c>
      <c r="X390" s="2" t="s">
        <v>12</v>
      </c>
      <c r="Y390" s="2" t="s">
        <v>12</v>
      </c>
      <c r="Z390" s="2" t="s">
        <v>12</v>
      </c>
      <c r="AA390" s="2" t="s">
        <v>12</v>
      </c>
      <c r="AB390" s="2" t="s">
        <v>12</v>
      </c>
      <c r="AC390" s="2" t="s">
        <v>12</v>
      </c>
      <c r="AD390">
        <v>2011</v>
      </c>
      <c r="AE390" s="2">
        <v>1</v>
      </c>
      <c r="AF390" s="2">
        <v>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t="s">
        <v>12</v>
      </c>
      <c r="AR390">
        <v>2011</v>
      </c>
      <c r="AS390" t="s">
        <v>12</v>
      </c>
      <c r="AT390" t="s">
        <v>12</v>
      </c>
      <c r="AU390" t="s">
        <v>12</v>
      </c>
      <c r="AV390" t="s">
        <v>12</v>
      </c>
      <c r="AW390" t="s">
        <v>12</v>
      </c>
      <c r="AX390" t="s">
        <v>12</v>
      </c>
      <c r="AY390" t="s">
        <v>12</v>
      </c>
      <c r="AZ390" t="s">
        <v>12</v>
      </c>
      <c r="BA390">
        <v>2011</v>
      </c>
      <c r="BB390">
        <v>10</v>
      </c>
      <c r="BC390" t="s">
        <v>212</v>
      </c>
      <c r="BD390">
        <v>2011</v>
      </c>
      <c r="BF390" s="313" t="s">
        <v>11</v>
      </c>
      <c r="BG390" s="313" t="s">
        <v>11</v>
      </c>
      <c r="BH390" t="s">
        <v>12</v>
      </c>
      <c r="BI390" t="s">
        <v>12</v>
      </c>
      <c r="BJ390" t="s">
        <v>12</v>
      </c>
      <c r="BK390" t="s">
        <v>12</v>
      </c>
      <c r="BL390" t="s">
        <v>12</v>
      </c>
      <c r="BM390" t="s">
        <v>12</v>
      </c>
      <c r="BN390" t="s">
        <v>12</v>
      </c>
      <c r="BO390" t="s">
        <v>12</v>
      </c>
      <c r="BP390" t="s">
        <v>12</v>
      </c>
      <c r="BQ390" t="s">
        <v>12</v>
      </c>
      <c r="BS390">
        <v>16429246.95789904</v>
      </c>
      <c r="BT390">
        <v>34676442.718041174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9">
        <v>5668717.5956738787</v>
      </c>
      <c r="CF390" s="28" t="s">
        <v>12</v>
      </c>
      <c r="CG390" s="28">
        <v>4.981799586923457</v>
      </c>
      <c r="CH390" s="28" t="s">
        <v>12</v>
      </c>
      <c r="CI390" s="28" t="s">
        <v>12</v>
      </c>
      <c r="CJ390" s="28" t="s">
        <v>12</v>
      </c>
      <c r="CK390" s="28" t="s">
        <v>12</v>
      </c>
      <c r="CL390" s="28" t="s">
        <v>12</v>
      </c>
      <c r="CM390" s="28" t="s">
        <v>12</v>
      </c>
      <c r="CN390" s="28" t="s">
        <v>12</v>
      </c>
      <c r="CO390" s="28" t="s">
        <v>12</v>
      </c>
      <c r="CP390" s="28">
        <v>4.981799586923457</v>
      </c>
      <c r="CQ390" s="28" t="s">
        <v>12</v>
      </c>
      <c r="CR390" s="28">
        <v>3.4872597108464198</v>
      </c>
      <c r="CS390" s="28" t="s">
        <v>12</v>
      </c>
      <c r="CT390" s="28" t="s">
        <v>12</v>
      </c>
      <c r="CU390" s="28" t="s">
        <v>12</v>
      </c>
      <c r="CV390" s="28" t="s">
        <v>12</v>
      </c>
      <c r="CW390" s="28" t="s">
        <v>12</v>
      </c>
      <c r="CX390" s="28" t="s">
        <v>12</v>
      </c>
      <c r="CY390" s="28" t="s">
        <v>12</v>
      </c>
      <c r="CZ390" s="28" t="s">
        <v>12</v>
      </c>
      <c r="DA390" s="28">
        <v>3.4872597108464198</v>
      </c>
      <c r="DB390" s="313">
        <v>175</v>
      </c>
      <c r="DC390" s="313" t="s">
        <v>212</v>
      </c>
      <c r="DD390" s="386" t="s">
        <v>12</v>
      </c>
      <c r="DE390" s="386">
        <v>1.3272259987675139</v>
      </c>
      <c r="DF390" s="386" t="s">
        <v>12</v>
      </c>
      <c r="DG390" s="386" t="s">
        <v>12</v>
      </c>
      <c r="DH390" s="386" t="s">
        <v>12</v>
      </c>
      <c r="DI390" s="386" t="s">
        <v>12</v>
      </c>
      <c r="DJ390" s="386" t="s">
        <v>12</v>
      </c>
      <c r="DK390" s="386" t="s">
        <v>12</v>
      </c>
      <c r="DL390" s="386" t="s">
        <v>12</v>
      </c>
      <c r="DM390" s="386" t="s">
        <v>12</v>
      </c>
      <c r="DN390" s="7" t="s">
        <v>12</v>
      </c>
      <c r="DO390" s="7">
        <v>1.3272259987675139</v>
      </c>
      <c r="DP390" s="7" t="s">
        <v>12</v>
      </c>
      <c r="DQ390" s="7" t="s">
        <v>12</v>
      </c>
      <c r="DR390" s="7" t="s">
        <v>12</v>
      </c>
      <c r="DS390" s="7" t="s">
        <v>12</v>
      </c>
      <c r="DT390" s="7" t="s">
        <v>12</v>
      </c>
      <c r="DU390" s="7" t="s">
        <v>12</v>
      </c>
      <c r="DV390" s="7" t="s">
        <v>12</v>
      </c>
      <c r="DW390" s="7" t="s">
        <v>12</v>
      </c>
      <c r="DY390" s="9">
        <v>63700300</v>
      </c>
      <c r="EI390" s="423" t="s">
        <v>12</v>
      </c>
      <c r="EJ390" s="423">
        <v>0</v>
      </c>
      <c r="EK390" s="423" t="s">
        <v>12</v>
      </c>
      <c r="EL390" s="423" t="s">
        <v>12</v>
      </c>
      <c r="EM390" s="423" t="s">
        <v>12</v>
      </c>
      <c r="EN390" s="423" t="s">
        <v>12</v>
      </c>
      <c r="EO390" s="423" t="s">
        <v>12</v>
      </c>
      <c r="EP390" s="423" t="s">
        <v>12</v>
      </c>
      <c r="EQ390" s="423" t="s">
        <v>12</v>
      </c>
      <c r="ER390" s="423" t="s">
        <v>12</v>
      </c>
      <c r="ES390" s="438">
        <v>1</v>
      </c>
      <c r="ET390" s="438">
        <v>2435826</v>
      </c>
      <c r="EU390" s="438">
        <v>1</v>
      </c>
      <c r="EV390" s="438">
        <v>1</v>
      </c>
      <c r="EW390" s="438">
        <v>1</v>
      </c>
      <c r="EX390" s="438">
        <v>1</v>
      </c>
      <c r="EY390" s="438">
        <v>1</v>
      </c>
      <c r="EZ390" s="438">
        <v>1</v>
      </c>
      <c r="FA390" s="438">
        <v>1</v>
      </c>
      <c r="FB390" s="438" t="s">
        <v>12</v>
      </c>
      <c r="FC390" s="346">
        <v>2063351.4594596326</v>
      </c>
      <c r="FD390" s="346">
        <v>3673400.781845022</v>
      </c>
      <c r="FE390" s="346">
        <v>0</v>
      </c>
      <c r="FF390" s="346">
        <v>0</v>
      </c>
      <c r="FG390" s="346">
        <v>0</v>
      </c>
      <c r="FH390" s="346">
        <v>0</v>
      </c>
      <c r="FI390" s="346">
        <v>0</v>
      </c>
      <c r="FJ390" s="346">
        <v>0</v>
      </c>
      <c r="FK390" s="346">
        <v>0</v>
      </c>
      <c r="FL390" s="346">
        <v>0</v>
      </c>
    </row>
    <row r="391" spans="1:168" x14ac:dyDescent="0.25">
      <c r="A391" s="252">
        <v>8</v>
      </c>
      <c r="B391" s="252" t="s">
        <v>771</v>
      </c>
      <c r="C391" s="253" t="s">
        <v>11</v>
      </c>
      <c r="D391" s="253" t="s">
        <v>11</v>
      </c>
      <c r="E391" s="253" t="s">
        <v>11</v>
      </c>
      <c r="F391" s="253" t="s">
        <v>11</v>
      </c>
      <c r="G391" s="253" t="s">
        <v>11</v>
      </c>
      <c r="H391" s="253" t="s">
        <v>11</v>
      </c>
      <c r="I391" s="253" t="s">
        <v>11</v>
      </c>
      <c r="J391" s="253" t="s">
        <v>11</v>
      </c>
      <c r="K391" s="253" t="s">
        <v>11</v>
      </c>
      <c r="L391" s="253" t="s">
        <v>11</v>
      </c>
      <c r="BD391" t="s">
        <v>12</v>
      </c>
      <c r="CE391" s="9" t="s">
        <v>12</v>
      </c>
      <c r="CP391" s="28" t="s">
        <v>12</v>
      </c>
      <c r="DA391" s="28" t="s">
        <v>12</v>
      </c>
    </row>
    <row r="392" spans="1:168" x14ac:dyDescent="0.25">
      <c r="A392" s="252">
        <v>9</v>
      </c>
      <c r="B392" s="252" t="s">
        <v>772</v>
      </c>
      <c r="C392" s="253" t="s">
        <v>11</v>
      </c>
      <c r="D392" s="253" t="s">
        <v>11</v>
      </c>
      <c r="E392" s="253" t="s">
        <v>11</v>
      </c>
      <c r="F392" s="253" t="s">
        <v>11</v>
      </c>
      <c r="G392" s="253" t="s">
        <v>11</v>
      </c>
      <c r="H392" s="253" t="s">
        <v>11</v>
      </c>
      <c r="I392" s="253" t="s">
        <v>11</v>
      </c>
      <c r="J392" s="253" t="s">
        <v>11</v>
      </c>
      <c r="K392" s="253" t="s">
        <v>11</v>
      </c>
      <c r="L392" s="253" t="s">
        <v>11</v>
      </c>
      <c r="BD392" t="s">
        <v>12</v>
      </c>
      <c r="CE392" s="9" t="s">
        <v>12</v>
      </c>
      <c r="CP392" s="28" t="s">
        <v>12</v>
      </c>
      <c r="DA392" s="28" t="s">
        <v>12</v>
      </c>
    </row>
    <row r="393" spans="1:168" x14ac:dyDescent="0.25">
      <c r="A393" s="252">
        <v>10</v>
      </c>
      <c r="B393" s="252" t="s">
        <v>773</v>
      </c>
      <c r="C393" s="253" t="s">
        <v>11</v>
      </c>
      <c r="D393" s="253" t="s">
        <v>11</v>
      </c>
      <c r="E393" s="253" t="s">
        <v>11</v>
      </c>
      <c r="F393" s="253" t="s">
        <v>11</v>
      </c>
      <c r="G393" s="253" t="s">
        <v>11</v>
      </c>
      <c r="H393" s="253" t="s">
        <v>11</v>
      </c>
      <c r="I393" s="253" t="s">
        <v>11</v>
      </c>
      <c r="J393" s="253" t="s">
        <v>11</v>
      </c>
      <c r="K393" s="253" t="s">
        <v>11</v>
      </c>
      <c r="L393" s="253" t="s">
        <v>11</v>
      </c>
      <c r="BD393" t="s">
        <v>12</v>
      </c>
      <c r="CE393" s="9" t="s">
        <v>12</v>
      </c>
      <c r="CP393" s="28" t="s">
        <v>12</v>
      </c>
      <c r="DA393" s="28" t="s">
        <v>12</v>
      </c>
    </row>
    <row r="395" spans="1:168" ht="30" x14ac:dyDescent="0.25">
      <c r="A395" s="251" t="s">
        <v>787</v>
      </c>
      <c r="B395" s="251"/>
      <c r="C395" s="251" t="s">
        <v>594</v>
      </c>
      <c r="D395" s="251" t="s">
        <v>595</v>
      </c>
      <c r="E395" s="251" t="s">
        <v>596</v>
      </c>
      <c r="F395" s="251" t="s">
        <v>597</v>
      </c>
      <c r="G395" s="251" t="s">
        <v>598</v>
      </c>
      <c r="H395" s="251" t="s">
        <v>599</v>
      </c>
      <c r="I395" s="251" t="s">
        <v>600</v>
      </c>
      <c r="J395" s="251" t="s">
        <v>601</v>
      </c>
      <c r="K395" s="251" t="s">
        <v>602</v>
      </c>
      <c r="L395" s="251" t="s">
        <v>603</v>
      </c>
    </row>
    <row r="396" spans="1:168" x14ac:dyDescent="0.25">
      <c r="A396" s="252">
        <v>1</v>
      </c>
      <c r="B396" s="252" t="s">
        <v>761</v>
      </c>
      <c r="C396" s="253">
        <v>2373374.16052642</v>
      </c>
      <c r="D396" s="253">
        <v>4099276.8317203159</v>
      </c>
      <c r="E396" s="253">
        <v>1673832.9133063704</v>
      </c>
      <c r="F396" s="253">
        <v>14027254.749800416</v>
      </c>
      <c r="G396" s="253">
        <v>5772184.3820854072</v>
      </c>
      <c r="H396" s="253">
        <v>1935018.5347716673</v>
      </c>
      <c r="I396" s="253" t="s">
        <v>11</v>
      </c>
      <c r="J396" s="253" t="s">
        <v>11</v>
      </c>
      <c r="K396" s="253" t="s">
        <v>11</v>
      </c>
      <c r="L396" s="253" t="s">
        <v>11</v>
      </c>
    </row>
    <row r="397" spans="1:168" x14ac:dyDescent="0.25">
      <c r="A397" s="252">
        <v>2</v>
      </c>
      <c r="B397" s="252" t="s">
        <v>763</v>
      </c>
      <c r="C397" s="253">
        <v>3050396.2510556644</v>
      </c>
      <c r="D397" s="253">
        <v>5084473.0769596817</v>
      </c>
      <c r="E397" s="253">
        <v>5140594.0873361239</v>
      </c>
      <c r="F397" s="253">
        <v>3318412.1432826151</v>
      </c>
      <c r="G397" s="253">
        <v>4830338.4399176817</v>
      </c>
      <c r="H397" s="253">
        <v>4311324.1717824042</v>
      </c>
      <c r="I397" s="253" t="s">
        <v>11</v>
      </c>
      <c r="J397" s="253" t="s">
        <v>11</v>
      </c>
      <c r="K397" s="253" t="s">
        <v>11</v>
      </c>
      <c r="L397" s="253" t="s">
        <v>11</v>
      </c>
    </row>
    <row r="398" spans="1:168" x14ac:dyDescent="0.25">
      <c r="A398" s="252">
        <v>3</v>
      </c>
      <c r="B398" s="252" t="s">
        <v>764</v>
      </c>
      <c r="C398" s="253" t="s">
        <v>11</v>
      </c>
      <c r="D398" s="253" t="s">
        <v>11</v>
      </c>
      <c r="E398" s="253" t="s">
        <v>11</v>
      </c>
      <c r="F398" s="253" t="s">
        <v>11</v>
      </c>
      <c r="G398" s="253" t="s">
        <v>11</v>
      </c>
      <c r="H398" s="253" t="s">
        <v>11</v>
      </c>
      <c r="I398" s="253" t="s">
        <v>11</v>
      </c>
      <c r="J398" s="253" t="s">
        <v>11</v>
      </c>
      <c r="K398" s="253" t="s">
        <v>11</v>
      </c>
      <c r="L398" s="253" t="s">
        <v>11</v>
      </c>
    </row>
    <row r="399" spans="1:168" x14ac:dyDescent="0.25">
      <c r="A399" s="252">
        <v>4</v>
      </c>
      <c r="B399" s="252" t="s">
        <v>765</v>
      </c>
      <c r="C399" s="253" t="s">
        <v>11</v>
      </c>
      <c r="D399" s="253" t="s">
        <v>11</v>
      </c>
      <c r="E399" s="253" t="s">
        <v>11</v>
      </c>
      <c r="F399" s="253" t="s">
        <v>11</v>
      </c>
      <c r="G399" s="253" t="s">
        <v>11</v>
      </c>
      <c r="H399" s="253" t="s">
        <v>11</v>
      </c>
      <c r="I399" s="253" t="s">
        <v>11</v>
      </c>
      <c r="J399" s="253" t="s">
        <v>11</v>
      </c>
      <c r="K399" s="253" t="s">
        <v>11</v>
      </c>
      <c r="L399" s="253" t="s">
        <v>11</v>
      </c>
    </row>
    <row r="400" spans="1:168" x14ac:dyDescent="0.25">
      <c r="A400" s="252">
        <v>5</v>
      </c>
      <c r="B400" s="252" t="s">
        <v>767</v>
      </c>
      <c r="C400" s="253" t="s">
        <v>11</v>
      </c>
      <c r="D400" s="253" t="s">
        <v>11</v>
      </c>
      <c r="E400" s="253" t="s">
        <v>11</v>
      </c>
      <c r="F400" s="253" t="s">
        <v>11</v>
      </c>
      <c r="G400" s="253" t="s">
        <v>11</v>
      </c>
      <c r="H400" s="253" t="s">
        <v>11</v>
      </c>
      <c r="I400" s="253" t="s">
        <v>11</v>
      </c>
      <c r="J400" s="253" t="s">
        <v>11</v>
      </c>
      <c r="K400" s="253" t="s">
        <v>11</v>
      </c>
      <c r="L400" s="253" t="s">
        <v>11</v>
      </c>
    </row>
    <row r="401" spans="1:12" x14ac:dyDescent="0.25">
      <c r="A401" s="252">
        <v>6</v>
      </c>
      <c r="B401" s="252" t="s">
        <v>768</v>
      </c>
      <c r="C401" s="253" t="s">
        <v>11</v>
      </c>
      <c r="D401" s="253" t="s">
        <v>11</v>
      </c>
      <c r="E401" s="253" t="s">
        <v>11</v>
      </c>
      <c r="F401" s="253" t="s">
        <v>11</v>
      </c>
      <c r="G401" s="253" t="s">
        <v>11</v>
      </c>
      <c r="H401" s="253" t="s">
        <v>11</v>
      </c>
      <c r="I401" s="253" t="s">
        <v>11</v>
      </c>
      <c r="J401" s="253" t="s">
        <v>11</v>
      </c>
      <c r="K401" s="253" t="s">
        <v>11</v>
      </c>
      <c r="L401" s="253" t="s">
        <v>11</v>
      </c>
    </row>
    <row r="402" spans="1:12" x14ac:dyDescent="0.25">
      <c r="A402" s="252">
        <v>7</v>
      </c>
      <c r="B402" s="252" t="s">
        <v>770</v>
      </c>
      <c r="C402" s="253" t="s">
        <v>11</v>
      </c>
      <c r="D402" s="253" t="s">
        <v>11</v>
      </c>
      <c r="E402" s="253" t="s">
        <v>11</v>
      </c>
      <c r="F402" s="253" t="s">
        <v>11</v>
      </c>
      <c r="G402" s="253" t="s">
        <v>11</v>
      </c>
      <c r="H402" s="253" t="s">
        <v>11</v>
      </c>
      <c r="I402" s="253" t="s">
        <v>11</v>
      </c>
      <c r="J402" s="253" t="s">
        <v>11</v>
      </c>
      <c r="K402" s="253" t="s">
        <v>11</v>
      </c>
      <c r="L402" s="253" t="s">
        <v>11</v>
      </c>
    </row>
    <row r="403" spans="1:12" x14ac:dyDescent="0.25">
      <c r="A403" s="252">
        <v>8</v>
      </c>
      <c r="B403" s="252" t="s">
        <v>771</v>
      </c>
      <c r="C403" s="253" t="s">
        <v>11</v>
      </c>
      <c r="D403" s="253" t="s">
        <v>11</v>
      </c>
      <c r="E403" s="253" t="s">
        <v>11</v>
      </c>
      <c r="F403" s="253" t="s">
        <v>11</v>
      </c>
      <c r="G403" s="253" t="s">
        <v>11</v>
      </c>
      <c r="H403" s="253" t="s">
        <v>11</v>
      </c>
      <c r="I403" s="253" t="s">
        <v>11</v>
      </c>
      <c r="J403" s="253" t="s">
        <v>11</v>
      </c>
      <c r="K403" s="253" t="s">
        <v>11</v>
      </c>
      <c r="L403" s="253" t="s">
        <v>11</v>
      </c>
    </row>
    <row r="404" spans="1:12" x14ac:dyDescent="0.25">
      <c r="A404" s="252">
        <v>9</v>
      </c>
      <c r="B404" s="252" t="s">
        <v>772</v>
      </c>
      <c r="C404" s="253" t="s">
        <v>11</v>
      </c>
      <c r="D404" s="253" t="s">
        <v>11</v>
      </c>
      <c r="E404" s="253" t="s">
        <v>11</v>
      </c>
      <c r="F404" s="253" t="s">
        <v>11</v>
      </c>
      <c r="G404" s="253" t="s">
        <v>11</v>
      </c>
      <c r="H404" s="253" t="s">
        <v>11</v>
      </c>
      <c r="I404" s="253" t="s">
        <v>11</v>
      </c>
      <c r="J404" s="253" t="s">
        <v>11</v>
      </c>
      <c r="K404" s="253" t="s">
        <v>11</v>
      </c>
      <c r="L404" s="253" t="s">
        <v>11</v>
      </c>
    </row>
    <row r="405" spans="1:12" x14ac:dyDescent="0.25">
      <c r="A405" s="252">
        <v>10</v>
      </c>
      <c r="B405" s="252" t="s">
        <v>773</v>
      </c>
      <c r="C405" s="253" t="s">
        <v>11</v>
      </c>
      <c r="D405" s="253" t="s">
        <v>11</v>
      </c>
      <c r="E405" s="253" t="s">
        <v>11</v>
      </c>
      <c r="F405" s="253" t="s">
        <v>11</v>
      </c>
      <c r="G405" s="253" t="s">
        <v>11</v>
      </c>
      <c r="H405" s="253" t="s">
        <v>11</v>
      </c>
      <c r="I405" s="253" t="s">
        <v>11</v>
      </c>
      <c r="J405" s="253" t="s">
        <v>11</v>
      </c>
      <c r="K405" s="253" t="s">
        <v>11</v>
      </c>
      <c r="L405" s="253" t="s">
        <v>11</v>
      </c>
    </row>
    <row r="407" spans="1:12" ht="30" x14ac:dyDescent="0.25">
      <c r="A407" s="251" t="s">
        <v>788</v>
      </c>
      <c r="B407" s="251"/>
      <c r="C407" s="251" t="s">
        <v>594</v>
      </c>
      <c r="D407" s="251" t="s">
        <v>595</v>
      </c>
      <c r="E407" s="251" t="s">
        <v>596</v>
      </c>
      <c r="F407" s="251" t="s">
        <v>597</v>
      </c>
      <c r="G407" s="251" t="s">
        <v>598</v>
      </c>
      <c r="H407" s="251" t="s">
        <v>599</v>
      </c>
      <c r="I407" s="251" t="s">
        <v>600</v>
      </c>
      <c r="J407" s="251" t="s">
        <v>601</v>
      </c>
      <c r="K407" s="251" t="s">
        <v>602</v>
      </c>
      <c r="L407" s="251" t="s">
        <v>603</v>
      </c>
    </row>
    <row r="408" spans="1:12" x14ac:dyDescent="0.25">
      <c r="A408" s="252">
        <v>1</v>
      </c>
      <c r="B408" s="252" t="s">
        <v>761</v>
      </c>
      <c r="C408" s="253">
        <v>22170000.752242986</v>
      </c>
      <c r="D408" s="253">
        <v>24273509.90262882</v>
      </c>
      <c r="E408" s="253">
        <v>13936075.933216199</v>
      </c>
      <c r="F408" s="253">
        <v>115364813.67773995</v>
      </c>
      <c r="G408" s="253">
        <v>62894530.294159263</v>
      </c>
      <c r="H408" s="253">
        <v>16609876.345147245</v>
      </c>
      <c r="I408" s="253" t="s">
        <v>11</v>
      </c>
      <c r="J408" s="253" t="s">
        <v>11</v>
      </c>
      <c r="K408" s="253" t="s">
        <v>11</v>
      </c>
      <c r="L408" s="253" t="s">
        <v>11</v>
      </c>
    </row>
    <row r="409" spans="1:12" x14ac:dyDescent="0.25">
      <c r="A409" s="252">
        <v>2</v>
      </c>
      <c r="B409" s="252" t="s">
        <v>763</v>
      </c>
      <c r="C409" s="253">
        <v>1394567.6480229734</v>
      </c>
      <c r="D409" s="253">
        <v>5797607.3935274202</v>
      </c>
      <c r="E409" s="253">
        <v>39784673.516586252</v>
      </c>
      <c r="F409" s="253">
        <v>6849328.375579264</v>
      </c>
      <c r="G409" s="253">
        <v>6776700.6312089609</v>
      </c>
      <c r="H409" s="253">
        <v>10059176.386556465</v>
      </c>
      <c r="I409" s="253" t="s">
        <v>11</v>
      </c>
      <c r="J409" s="253" t="s">
        <v>11</v>
      </c>
      <c r="K409" s="253" t="s">
        <v>11</v>
      </c>
      <c r="L409" s="253" t="s">
        <v>11</v>
      </c>
    </row>
    <row r="410" spans="1:12" x14ac:dyDescent="0.25">
      <c r="A410" s="252">
        <v>3</v>
      </c>
      <c r="B410" s="252" t="s">
        <v>764</v>
      </c>
      <c r="C410" s="253" t="s">
        <v>11</v>
      </c>
      <c r="D410" s="253" t="s">
        <v>11</v>
      </c>
      <c r="E410" s="253" t="s">
        <v>11</v>
      </c>
      <c r="F410" s="253" t="s">
        <v>11</v>
      </c>
      <c r="G410" s="253" t="s">
        <v>11</v>
      </c>
      <c r="H410" s="253" t="s">
        <v>11</v>
      </c>
      <c r="I410" s="253" t="s">
        <v>11</v>
      </c>
      <c r="J410" s="253" t="s">
        <v>11</v>
      </c>
      <c r="K410" s="253" t="s">
        <v>11</v>
      </c>
      <c r="L410" s="253" t="s">
        <v>11</v>
      </c>
    </row>
    <row r="411" spans="1:12" x14ac:dyDescent="0.25">
      <c r="A411" s="252">
        <v>4</v>
      </c>
      <c r="B411" s="252" t="s">
        <v>765</v>
      </c>
      <c r="C411" s="253" t="s">
        <v>11</v>
      </c>
      <c r="D411" s="253" t="s">
        <v>11</v>
      </c>
      <c r="E411" s="253" t="s">
        <v>11</v>
      </c>
      <c r="F411" s="253" t="s">
        <v>11</v>
      </c>
      <c r="G411" s="253" t="s">
        <v>11</v>
      </c>
      <c r="H411" s="253" t="s">
        <v>11</v>
      </c>
      <c r="I411" s="253" t="s">
        <v>11</v>
      </c>
      <c r="J411" s="253" t="s">
        <v>11</v>
      </c>
      <c r="K411" s="253" t="s">
        <v>11</v>
      </c>
      <c r="L411" s="253" t="s">
        <v>11</v>
      </c>
    </row>
    <row r="412" spans="1:12" x14ac:dyDescent="0.25">
      <c r="A412" s="252">
        <v>5</v>
      </c>
      <c r="B412" s="252" t="s">
        <v>767</v>
      </c>
      <c r="C412" s="253" t="s">
        <v>11</v>
      </c>
      <c r="D412" s="253" t="s">
        <v>11</v>
      </c>
      <c r="E412" s="253" t="s">
        <v>11</v>
      </c>
      <c r="F412" s="253" t="s">
        <v>11</v>
      </c>
      <c r="G412" s="253" t="s">
        <v>11</v>
      </c>
      <c r="H412" s="253" t="s">
        <v>11</v>
      </c>
      <c r="I412" s="253" t="s">
        <v>11</v>
      </c>
      <c r="J412" s="253" t="s">
        <v>11</v>
      </c>
      <c r="K412" s="253" t="s">
        <v>11</v>
      </c>
      <c r="L412" s="253" t="s">
        <v>11</v>
      </c>
    </row>
    <row r="413" spans="1:12" x14ac:dyDescent="0.25">
      <c r="A413" s="252">
        <v>6</v>
      </c>
      <c r="B413" s="252" t="s">
        <v>768</v>
      </c>
      <c r="C413" s="253" t="s">
        <v>11</v>
      </c>
      <c r="D413" s="253" t="s">
        <v>11</v>
      </c>
      <c r="E413" s="253" t="s">
        <v>11</v>
      </c>
      <c r="F413" s="253" t="s">
        <v>11</v>
      </c>
      <c r="G413" s="253" t="s">
        <v>11</v>
      </c>
      <c r="H413" s="253" t="s">
        <v>11</v>
      </c>
      <c r="I413" s="253" t="s">
        <v>11</v>
      </c>
      <c r="J413" s="253" t="s">
        <v>11</v>
      </c>
      <c r="K413" s="253" t="s">
        <v>11</v>
      </c>
      <c r="L413" s="253" t="s">
        <v>11</v>
      </c>
    </row>
    <row r="414" spans="1:12" x14ac:dyDescent="0.25">
      <c r="A414" s="252">
        <v>7</v>
      </c>
      <c r="B414" s="252" t="s">
        <v>770</v>
      </c>
      <c r="C414" s="253" t="s">
        <v>11</v>
      </c>
      <c r="D414" s="253" t="s">
        <v>11</v>
      </c>
      <c r="E414" s="253" t="s">
        <v>11</v>
      </c>
      <c r="F414" s="253" t="s">
        <v>11</v>
      </c>
      <c r="G414" s="253" t="s">
        <v>11</v>
      </c>
      <c r="H414" s="253" t="s">
        <v>11</v>
      </c>
      <c r="I414" s="253" t="s">
        <v>11</v>
      </c>
      <c r="J414" s="253" t="s">
        <v>11</v>
      </c>
      <c r="K414" s="253" t="s">
        <v>11</v>
      </c>
      <c r="L414" s="253" t="s">
        <v>11</v>
      </c>
    </row>
    <row r="415" spans="1:12" x14ac:dyDescent="0.25">
      <c r="A415" s="252">
        <v>8</v>
      </c>
      <c r="B415" s="252" t="s">
        <v>771</v>
      </c>
      <c r="C415" s="253" t="s">
        <v>11</v>
      </c>
      <c r="D415" s="253" t="s">
        <v>11</v>
      </c>
      <c r="E415" s="253" t="s">
        <v>11</v>
      </c>
      <c r="F415" s="253" t="s">
        <v>11</v>
      </c>
      <c r="G415" s="253" t="s">
        <v>11</v>
      </c>
      <c r="H415" s="253" t="s">
        <v>11</v>
      </c>
      <c r="I415" s="253" t="s">
        <v>11</v>
      </c>
      <c r="J415" s="253" t="s">
        <v>11</v>
      </c>
      <c r="K415" s="253" t="s">
        <v>11</v>
      </c>
      <c r="L415" s="253" t="s">
        <v>11</v>
      </c>
    </row>
    <row r="416" spans="1:12" x14ac:dyDescent="0.25">
      <c r="A416" s="252">
        <v>9</v>
      </c>
      <c r="B416" s="252" t="s">
        <v>772</v>
      </c>
      <c r="C416" s="253" t="s">
        <v>11</v>
      </c>
      <c r="D416" s="253" t="s">
        <v>11</v>
      </c>
      <c r="E416" s="253" t="s">
        <v>11</v>
      </c>
      <c r="F416" s="253" t="s">
        <v>11</v>
      </c>
      <c r="G416" s="253" t="s">
        <v>11</v>
      </c>
      <c r="H416" s="253" t="s">
        <v>11</v>
      </c>
      <c r="I416" s="253" t="s">
        <v>11</v>
      </c>
      <c r="J416" s="253" t="s">
        <v>11</v>
      </c>
      <c r="K416" s="253" t="s">
        <v>11</v>
      </c>
      <c r="L416" s="253" t="s">
        <v>11</v>
      </c>
    </row>
    <row r="417" spans="1:25" x14ac:dyDescent="0.25">
      <c r="A417" s="252">
        <v>10</v>
      </c>
      <c r="B417" s="252" t="s">
        <v>773</v>
      </c>
      <c r="C417" s="253" t="s">
        <v>11</v>
      </c>
      <c r="D417" s="253" t="s">
        <v>11</v>
      </c>
      <c r="E417" s="253" t="s">
        <v>11</v>
      </c>
      <c r="F417" s="253" t="s">
        <v>11</v>
      </c>
      <c r="G417" s="253" t="s">
        <v>11</v>
      </c>
      <c r="H417" s="253" t="s">
        <v>11</v>
      </c>
      <c r="I417" s="253" t="s">
        <v>11</v>
      </c>
      <c r="J417" s="253" t="s">
        <v>11</v>
      </c>
      <c r="K417" s="253" t="s">
        <v>11</v>
      </c>
      <c r="L417" s="253" t="s">
        <v>11</v>
      </c>
    </row>
    <row r="419" spans="1:25" ht="30" x14ac:dyDescent="0.25">
      <c r="A419" s="251" t="s">
        <v>789</v>
      </c>
      <c r="B419" s="251"/>
      <c r="C419" s="251" t="s">
        <v>594</v>
      </c>
      <c r="D419" s="251" t="s">
        <v>595</v>
      </c>
      <c r="E419" s="251" t="s">
        <v>596</v>
      </c>
      <c r="F419" s="251" t="s">
        <v>597</v>
      </c>
      <c r="G419" s="251" t="s">
        <v>598</v>
      </c>
      <c r="H419" s="251" t="s">
        <v>599</v>
      </c>
      <c r="I419" s="251" t="s">
        <v>600</v>
      </c>
      <c r="J419" s="251" t="s">
        <v>601</v>
      </c>
      <c r="K419" s="251" t="s">
        <v>602</v>
      </c>
      <c r="L419" s="251" t="s">
        <v>603</v>
      </c>
    </row>
    <row r="420" spans="1:25" x14ac:dyDescent="0.25">
      <c r="A420" s="252">
        <v>1</v>
      </c>
      <c r="B420" s="252" t="s">
        <v>761</v>
      </c>
      <c r="C420" s="253">
        <v>0</v>
      </c>
      <c r="D420" s="253">
        <v>137385.9144790119</v>
      </c>
      <c r="E420" s="253">
        <v>0</v>
      </c>
      <c r="F420" s="253">
        <v>8702812.7782168891</v>
      </c>
      <c r="G420" s="253">
        <v>1049723.9858154017</v>
      </c>
      <c r="H420" s="253">
        <v>0</v>
      </c>
      <c r="I420" s="253" t="s">
        <v>11</v>
      </c>
      <c r="J420" s="253" t="s">
        <v>11</v>
      </c>
      <c r="K420" s="253" t="s">
        <v>11</v>
      </c>
      <c r="L420" s="253" t="s">
        <v>11</v>
      </c>
    </row>
    <row r="421" spans="1:25" x14ac:dyDescent="0.25">
      <c r="A421" s="252">
        <v>2</v>
      </c>
      <c r="B421" s="252" t="s">
        <v>763</v>
      </c>
      <c r="C421" s="253">
        <v>0</v>
      </c>
      <c r="D421" s="253">
        <v>0</v>
      </c>
      <c r="E421" s="253">
        <v>229941.58120421498</v>
      </c>
      <c r="F421" s="253">
        <v>0</v>
      </c>
      <c r="G421" s="253">
        <v>0</v>
      </c>
      <c r="H421" s="253">
        <v>0</v>
      </c>
      <c r="I421" s="253" t="s">
        <v>11</v>
      </c>
      <c r="J421" s="253" t="s">
        <v>11</v>
      </c>
      <c r="K421" s="253" t="s">
        <v>11</v>
      </c>
      <c r="L421" s="253" t="s">
        <v>11</v>
      </c>
    </row>
    <row r="422" spans="1:25" x14ac:dyDescent="0.25">
      <c r="A422" s="252">
        <v>3</v>
      </c>
      <c r="B422" s="252" t="s">
        <v>764</v>
      </c>
      <c r="C422" s="253" t="s">
        <v>11</v>
      </c>
      <c r="D422" s="253" t="s">
        <v>11</v>
      </c>
      <c r="E422" s="253" t="s">
        <v>11</v>
      </c>
      <c r="F422" s="253" t="s">
        <v>11</v>
      </c>
      <c r="G422" s="253" t="s">
        <v>11</v>
      </c>
      <c r="H422" s="253" t="s">
        <v>11</v>
      </c>
      <c r="I422" s="253" t="s">
        <v>11</v>
      </c>
      <c r="J422" s="253" t="s">
        <v>11</v>
      </c>
      <c r="K422" s="253" t="s">
        <v>11</v>
      </c>
      <c r="L422" s="253" t="s">
        <v>11</v>
      </c>
    </row>
    <row r="423" spans="1:25" x14ac:dyDescent="0.25">
      <c r="A423" s="252">
        <v>4</v>
      </c>
      <c r="B423" s="252" t="s">
        <v>765</v>
      </c>
      <c r="C423" s="253" t="s">
        <v>11</v>
      </c>
      <c r="D423" s="253" t="s">
        <v>11</v>
      </c>
      <c r="E423" s="253" t="s">
        <v>11</v>
      </c>
      <c r="F423" s="253" t="s">
        <v>11</v>
      </c>
      <c r="G423" s="253" t="s">
        <v>11</v>
      </c>
      <c r="H423" s="253" t="s">
        <v>11</v>
      </c>
      <c r="I423" s="253" t="s">
        <v>11</v>
      </c>
      <c r="J423" s="253" t="s">
        <v>11</v>
      </c>
      <c r="K423" s="253" t="s">
        <v>11</v>
      </c>
      <c r="L423" s="253" t="s">
        <v>11</v>
      </c>
    </row>
    <row r="424" spans="1:25" x14ac:dyDescent="0.25">
      <c r="A424" s="252">
        <v>5</v>
      </c>
      <c r="B424" s="252" t="s">
        <v>767</v>
      </c>
      <c r="C424" s="253" t="s">
        <v>11</v>
      </c>
      <c r="D424" s="253" t="s">
        <v>11</v>
      </c>
      <c r="E424" s="253" t="s">
        <v>11</v>
      </c>
      <c r="F424" s="253" t="s">
        <v>11</v>
      </c>
      <c r="G424" s="253" t="s">
        <v>11</v>
      </c>
      <c r="H424" s="253" t="s">
        <v>11</v>
      </c>
      <c r="I424" s="253" t="s">
        <v>11</v>
      </c>
      <c r="J424" s="253" t="s">
        <v>11</v>
      </c>
      <c r="K424" s="253" t="s">
        <v>11</v>
      </c>
      <c r="L424" s="253" t="s">
        <v>11</v>
      </c>
    </row>
    <row r="425" spans="1:25" x14ac:dyDescent="0.25">
      <c r="A425" s="252">
        <v>6</v>
      </c>
      <c r="B425" s="252" t="s">
        <v>768</v>
      </c>
      <c r="C425" s="253" t="s">
        <v>11</v>
      </c>
      <c r="D425" s="253" t="s">
        <v>11</v>
      </c>
      <c r="E425" s="253" t="s">
        <v>11</v>
      </c>
      <c r="F425" s="253" t="s">
        <v>11</v>
      </c>
      <c r="G425" s="253" t="s">
        <v>11</v>
      </c>
      <c r="H425" s="253" t="s">
        <v>11</v>
      </c>
      <c r="I425" s="253" t="s">
        <v>11</v>
      </c>
      <c r="J425" s="253" t="s">
        <v>11</v>
      </c>
      <c r="K425" s="253" t="s">
        <v>11</v>
      </c>
      <c r="L425" s="253" t="s">
        <v>11</v>
      </c>
    </row>
    <row r="426" spans="1:25" x14ac:dyDescent="0.25">
      <c r="A426" s="252">
        <v>7</v>
      </c>
      <c r="B426" s="252" t="s">
        <v>770</v>
      </c>
      <c r="C426" s="253" t="s">
        <v>11</v>
      </c>
      <c r="D426" s="253" t="s">
        <v>11</v>
      </c>
      <c r="E426" s="253" t="s">
        <v>11</v>
      </c>
      <c r="F426" s="253" t="s">
        <v>11</v>
      </c>
      <c r="G426" s="253" t="s">
        <v>11</v>
      </c>
      <c r="H426" s="253" t="s">
        <v>11</v>
      </c>
      <c r="I426" s="253" t="s">
        <v>11</v>
      </c>
      <c r="J426" s="253" t="s">
        <v>11</v>
      </c>
      <c r="K426" s="253" t="s">
        <v>11</v>
      </c>
      <c r="L426" s="253" t="s">
        <v>11</v>
      </c>
    </row>
    <row r="427" spans="1:25" x14ac:dyDescent="0.25">
      <c r="A427" s="252">
        <v>8</v>
      </c>
      <c r="B427" s="252" t="s">
        <v>771</v>
      </c>
      <c r="C427" s="253" t="s">
        <v>11</v>
      </c>
      <c r="D427" s="253" t="s">
        <v>11</v>
      </c>
      <c r="E427" s="253" t="s">
        <v>11</v>
      </c>
      <c r="F427" s="253" t="s">
        <v>11</v>
      </c>
      <c r="G427" s="253" t="s">
        <v>11</v>
      </c>
      <c r="H427" s="253" t="s">
        <v>11</v>
      </c>
      <c r="I427" s="253" t="s">
        <v>11</v>
      </c>
      <c r="J427" s="253" t="s">
        <v>11</v>
      </c>
      <c r="K427" s="253" t="s">
        <v>11</v>
      </c>
      <c r="L427" s="253" t="s">
        <v>11</v>
      </c>
    </row>
    <row r="428" spans="1:25" x14ac:dyDescent="0.25">
      <c r="A428" s="252">
        <v>9</v>
      </c>
      <c r="B428" s="252" t="s">
        <v>772</v>
      </c>
      <c r="C428" s="253" t="s">
        <v>11</v>
      </c>
      <c r="D428" s="253" t="s">
        <v>11</v>
      </c>
      <c r="E428" s="253" t="s">
        <v>11</v>
      </c>
      <c r="F428" s="253" t="s">
        <v>11</v>
      </c>
      <c r="G428" s="253" t="s">
        <v>11</v>
      </c>
      <c r="H428" s="253" t="s">
        <v>11</v>
      </c>
      <c r="I428" s="253" t="s">
        <v>11</v>
      </c>
      <c r="J428" s="253" t="s">
        <v>11</v>
      </c>
      <c r="K428" s="253" t="s">
        <v>11</v>
      </c>
      <c r="L428" s="253" t="s">
        <v>11</v>
      </c>
    </row>
    <row r="429" spans="1:25" x14ac:dyDescent="0.25">
      <c r="A429" s="252">
        <v>10</v>
      </c>
      <c r="B429" s="252" t="s">
        <v>773</v>
      </c>
      <c r="C429" s="253" t="s">
        <v>11</v>
      </c>
      <c r="D429" s="253" t="s">
        <v>11</v>
      </c>
      <c r="E429" s="253" t="s">
        <v>11</v>
      </c>
      <c r="F429" s="253" t="s">
        <v>11</v>
      </c>
      <c r="G429" s="253" t="s">
        <v>11</v>
      </c>
      <c r="H429" s="253" t="s">
        <v>11</v>
      </c>
      <c r="I429" s="253" t="s">
        <v>11</v>
      </c>
      <c r="J429" s="253" t="s">
        <v>11</v>
      </c>
      <c r="K429" s="253" t="s">
        <v>11</v>
      </c>
      <c r="L429" s="253" t="s">
        <v>11</v>
      </c>
    </row>
    <row r="431" spans="1:25" ht="30" x14ac:dyDescent="0.25">
      <c r="A431" s="254" t="s">
        <v>790</v>
      </c>
      <c r="B431" s="254"/>
      <c r="C431" s="254" t="s">
        <v>594</v>
      </c>
      <c r="D431" s="254" t="s">
        <v>595</v>
      </c>
      <c r="E431" s="254" t="s">
        <v>596</v>
      </c>
      <c r="F431" s="254" t="s">
        <v>597</v>
      </c>
      <c r="G431" s="254" t="s">
        <v>598</v>
      </c>
      <c r="H431" s="254" t="s">
        <v>599</v>
      </c>
      <c r="I431" s="254" t="s">
        <v>600</v>
      </c>
      <c r="J431" s="254" t="s">
        <v>601</v>
      </c>
      <c r="K431" s="254" t="s">
        <v>602</v>
      </c>
      <c r="L431" s="254" t="s">
        <v>603</v>
      </c>
      <c r="N431" s="254" t="s">
        <v>791</v>
      </c>
      <c r="O431" s="254"/>
      <c r="P431" s="254" t="s">
        <v>594</v>
      </c>
      <c r="Q431" s="254" t="s">
        <v>595</v>
      </c>
      <c r="R431" s="254" t="s">
        <v>596</v>
      </c>
      <c r="S431" s="254" t="s">
        <v>597</v>
      </c>
      <c r="T431" s="254" t="s">
        <v>598</v>
      </c>
      <c r="U431" s="254" t="s">
        <v>599</v>
      </c>
      <c r="V431" s="254" t="s">
        <v>600</v>
      </c>
      <c r="W431" s="254" t="s">
        <v>601</v>
      </c>
      <c r="X431" s="254" t="s">
        <v>602</v>
      </c>
      <c r="Y431" s="254" t="s">
        <v>603</v>
      </c>
    </row>
    <row r="432" spans="1:25" x14ac:dyDescent="0.25">
      <c r="A432" s="255">
        <v>1</v>
      </c>
      <c r="B432" s="255" t="s">
        <v>761</v>
      </c>
      <c r="C432" s="256">
        <v>-1699308.4969571063</v>
      </c>
      <c r="D432" s="256">
        <v>2175504.3832599223</v>
      </c>
      <c r="E432" s="256">
        <v>-2356950.9573716032</v>
      </c>
      <c r="F432" s="256">
        <v>47538899.36637409</v>
      </c>
      <c r="G432" s="256">
        <v>7640203.4983781744</v>
      </c>
      <c r="H432" s="256">
        <v>-924250.40937594604</v>
      </c>
      <c r="I432" s="256" t="s">
        <v>11</v>
      </c>
      <c r="J432" s="256" t="s">
        <v>11</v>
      </c>
      <c r="K432" s="256" t="s">
        <v>11</v>
      </c>
      <c r="L432" s="256" t="s">
        <v>11</v>
      </c>
      <c r="N432" s="255">
        <v>1</v>
      </c>
      <c r="O432" s="255" t="s">
        <v>761</v>
      </c>
      <c r="P432" s="256">
        <v>0</v>
      </c>
      <c r="Q432" s="256">
        <v>0</v>
      </c>
      <c r="R432" s="256">
        <v>0</v>
      </c>
      <c r="S432" s="256">
        <v>0</v>
      </c>
      <c r="T432" s="256">
        <v>0</v>
      </c>
      <c r="U432" s="256">
        <v>0</v>
      </c>
      <c r="V432" s="256" t="s">
        <v>11</v>
      </c>
      <c r="W432" s="256" t="s">
        <v>11</v>
      </c>
      <c r="X432" s="256" t="s">
        <v>11</v>
      </c>
      <c r="Y432" s="256" t="s">
        <v>11</v>
      </c>
    </row>
    <row r="433" spans="1:25" x14ac:dyDescent="0.25">
      <c r="A433" s="255">
        <v>2</v>
      </c>
      <c r="B433" s="255" t="s">
        <v>763</v>
      </c>
      <c r="C433" s="256">
        <v>-5522020.4987631086</v>
      </c>
      <c r="D433" s="256">
        <v>-8887735.0897139665</v>
      </c>
      <c r="E433" s="256">
        <v>4608047.7195233461</v>
      </c>
      <c r="F433" s="256">
        <v>-4747778.3092546314</v>
      </c>
      <c r="G433" s="256">
        <v>-5593025.5578266475</v>
      </c>
      <c r="H433" s="256">
        <v>-3745906.8420372298</v>
      </c>
      <c r="I433" s="256" t="s">
        <v>11</v>
      </c>
      <c r="J433" s="256" t="s">
        <v>11</v>
      </c>
      <c r="K433" s="256" t="s">
        <v>11</v>
      </c>
      <c r="L433" s="256" t="s">
        <v>11</v>
      </c>
      <c r="N433" s="255">
        <v>2</v>
      </c>
      <c r="O433" s="255" t="s">
        <v>763</v>
      </c>
      <c r="P433" s="256">
        <v>-2761010.2493815543</v>
      </c>
      <c r="Q433" s="256">
        <v>0</v>
      </c>
      <c r="R433" s="256">
        <v>2189053.0691595655</v>
      </c>
      <c r="S433" s="256">
        <v>-2373889.1546273157</v>
      </c>
      <c r="T433" s="256">
        <v>-2796512.7789133238</v>
      </c>
      <c r="U433" s="256">
        <v>-1872953.4210186149</v>
      </c>
      <c r="V433" s="256" t="s">
        <v>11</v>
      </c>
      <c r="W433" s="256" t="s">
        <v>11</v>
      </c>
      <c r="X433" s="256" t="s">
        <v>11</v>
      </c>
      <c r="Y433" s="256" t="s">
        <v>11</v>
      </c>
    </row>
    <row r="434" spans="1:25" x14ac:dyDescent="0.25">
      <c r="A434" s="255">
        <v>3</v>
      </c>
      <c r="B434" s="255" t="s">
        <v>764</v>
      </c>
      <c r="C434" s="256" t="s">
        <v>11</v>
      </c>
      <c r="D434" s="256" t="s">
        <v>11</v>
      </c>
      <c r="E434" s="256" t="s">
        <v>11</v>
      </c>
      <c r="F434" s="256" t="s">
        <v>11</v>
      </c>
      <c r="G434" s="256" t="s">
        <v>11</v>
      </c>
      <c r="H434" s="256" t="s">
        <v>11</v>
      </c>
      <c r="I434" s="256" t="s">
        <v>11</v>
      </c>
      <c r="J434" s="256" t="s">
        <v>11</v>
      </c>
      <c r="K434" s="256" t="s">
        <v>11</v>
      </c>
      <c r="L434" s="256" t="s">
        <v>11</v>
      </c>
      <c r="N434" s="255">
        <v>3</v>
      </c>
      <c r="O434" s="255" t="s">
        <v>764</v>
      </c>
      <c r="P434" s="256" t="s">
        <v>11</v>
      </c>
      <c r="Q434" s="256" t="s">
        <v>11</v>
      </c>
      <c r="R434" s="256" t="s">
        <v>11</v>
      </c>
      <c r="S434" s="256" t="s">
        <v>11</v>
      </c>
      <c r="T434" s="256" t="s">
        <v>11</v>
      </c>
      <c r="U434" s="256" t="s">
        <v>11</v>
      </c>
      <c r="V434" s="256" t="s">
        <v>11</v>
      </c>
      <c r="W434" s="256" t="s">
        <v>11</v>
      </c>
      <c r="X434" s="256" t="s">
        <v>11</v>
      </c>
      <c r="Y434" s="256" t="s">
        <v>11</v>
      </c>
    </row>
    <row r="435" spans="1:25" x14ac:dyDescent="0.25">
      <c r="A435" s="255">
        <v>4</v>
      </c>
      <c r="B435" s="255" t="s">
        <v>765</v>
      </c>
      <c r="C435" s="256" t="s">
        <v>11</v>
      </c>
      <c r="D435" s="256" t="s">
        <v>11</v>
      </c>
      <c r="E435" s="256" t="s">
        <v>11</v>
      </c>
      <c r="F435" s="256" t="s">
        <v>11</v>
      </c>
      <c r="G435" s="256" t="s">
        <v>11</v>
      </c>
      <c r="H435" s="256" t="s">
        <v>11</v>
      </c>
      <c r="I435" s="256" t="s">
        <v>11</v>
      </c>
      <c r="J435" s="256" t="s">
        <v>11</v>
      </c>
      <c r="K435" s="256" t="s">
        <v>11</v>
      </c>
      <c r="L435" s="256" t="s">
        <v>11</v>
      </c>
      <c r="N435" s="255">
        <v>4</v>
      </c>
      <c r="O435" s="255" t="s">
        <v>765</v>
      </c>
      <c r="P435" s="256" t="s">
        <v>11</v>
      </c>
      <c r="Q435" s="256" t="s">
        <v>11</v>
      </c>
      <c r="R435" s="256" t="s">
        <v>11</v>
      </c>
      <c r="S435" s="256" t="s">
        <v>11</v>
      </c>
      <c r="T435" s="256" t="s">
        <v>11</v>
      </c>
      <c r="U435" s="256" t="s">
        <v>11</v>
      </c>
      <c r="V435" s="256" t="s">
        <v>11</v>
      </c>
      <c r="W435" s="256" t="s">
        <v>11</v>
      </c>
      <c r="X435" s="256" t="s">
        <v>11</v>
      </c>
      <c r="Y435" s="256" t="s">
        <v>11</v>
      </c>
    </row>
    <row r="436" spans="1:25" x14ac:dyDescent="0.25">
      <c r="A436" s="255">
        <v>5</v>
      </c>
      <c r="B436" s="255" t="s">
        <v>767</v>
      </c>
      <c r="C436" s="256" t="s">
        <v>11</v>
      </c>
      <c r="D436" s="256" t="s">
        <v>11</v>
      </c>
      <c r="E436" s="256" t="s">
        <v>11</v>
      </c>
      <c r="F436" s="256" t="s">
        <v>11</v>
      </c>
      <c r="G436" s="256" t="s">
        <v>11</v>
      </c>
      <c r="H436" s="256" t="s">
        <v>11</v>
      </c>
      <c r="I436" s="256" t="s">
        <v>11</v>
      </c>
      <c r="J436" s="256" t="s">
        <v>11</v>
      </c>
      <c r="K436" s="256" t="s">
        <v>11</v>
      </c>
      <c r="L436" s="256" t="s">
        <v>11</v>
      </c>
      <c r="N436" s="255">
        <v>5</v>
      </c>
      <c r="O436" s="255" t="s">
        <v>767</v>
      </c>
      <c r="P436" s="256" t="s">
        <v>11</v>
      </c>
      <c r="Q436" s="256" t="s">
        <v>11</v>
      </c>
      <c r="R436" s="256" t="s">
        <v>11</v>
      </c>
      <c r="S436" s="256" t="s">
        <v>11</v>
      </c>
      <c r="T436" s="256" t="s">
        <v>11</v>
      </c>
      <c r="U436" s="256" t="s">
        <v>11</v>
      </c>
      <c r="V436" s="256" t="s">
        <v>11</v>
      </c>
      <c r="W436" s="256" t="s">
        <v>11</v>
      </c>
      <c r="X436" s="256" t="s">
        <v>11</v>
      </c>
      <c r="Y436" s="256" t="s">
        <v>11</v>
      </c>
    </row>
    <row r="437" spans="1:25" x14ac:dyDescent="0.25">
      <c r="A437" s="255">
        <v>6</v>
      </c>
      <c r="B437" s="255" t="s">
        <v>768</v>
      </c>
      <c r="C437" s="256" t="s">
        <v>11</v>
      </c>
      <c r="D437" s="256" t="s">
        <v>11</v>
      </c>
      <c r="E437" s="256" t="s">
        <v>11</v>
      </c>
      <c r="F437" s="256" t="s">
        <v>11</v>
      </c>
      <c r="G437" s="256" t="s">
        <v>11</v>
      </c>
      <c r="H437" s="256" t="s">
        <v>11</v>
      </c>
      <c r="I437" s="256" t="s">
        <v>11</v>
      </c>
      <c r="J437" s="256" t="s">
        <v>11</v>
      </c>
      <c r="K437" s="256" t="s">
        <v>11</v>
      </c>
      <c r="L437" s="256" t="s">
        <v>11</v>
      </c>
      <c r="N437" s="255">
        <v>6</v>
      </c>
      <c r="O437" s="255" t="s">
        <v>768</v>
      </c>
      <c r="P437" s="256" t="s">
        <v>11</v>
      </c>
      <c r="Q437" s="256" t="s">
        <v>11</v>
      </c>
      <c r="R437" s="256" t="s">
        <v>11</v>
      </c>
      <c r="S437" s="256" t="s">
        <v>11</v>
      </c>
      <c r="T437" s="256" t="s">
        <v>11</v>
      </c>
      <c r="U437" s="256" t="s">
        <v>11</v>
      </c>
      <c r="V437" s="256" t="s">
        <v>11</v>
      </c>
      <c r="W437" s="256" t="s">
        <v>11</v>
      </c>
      <c r="X437" s="256" t="s">
        <v>11</v>
      </c>
      <c r="Y437" s="256" t="s">
        <v>11</v>
      </c>
    </row>
    <row r="438" spans="1:25" x14ac:dyDescent="0.25">
      <c r="A438" s="255">
        <v>7</v>
      </c>
      <c r="B438" s="255" t="s">
        <v>770</v>
      </c>
      <c r="C438" s="256" t="s">
        <v>11</v>
      </c>
      <c r="D438" s="256" t="s">
        <v>11</v>
      </c>
      <c r="E438" s="256" t="s">
        <v>11</v>
      </c>
      <c r="F438" s="256" t="s">
        <v>11</v>
      </c>
      <c r="G438" s="256" t="s">
        <v>11</v>
      </c>
      <c r="H438" s="256" t="s">
        <v>11</v>
      </c>
      <c r="I438" s="256" t="s">
        <v>11</v>
      </c>
      <c r="J438" s="256" t="s">
        <v>11</v>
      </c>
      <c r="K438" s="256" t="s">
        <v>11</v>
      </c>
      <c r="L438" s="256" t="s">
        <v>11</v>
      </c>
      <c r="N438" s="255">
        <v>7</v>
      </c>
      <c r="O438" s="255" t="s">
        <v>770</v>
      </c>
      <c r="P438" s="256" t="s">
        <v>11</v>
      </c>
      <c r="Q438" s="256" t="s">
        <v>11</v>
      </c>
      <c r="R438" s="256" t="s">
        <v>11</v>
      </c>
      <c r="S438" s="256" t="s">
        <v>11</v>
      </c>
      <c r="T438" s="256" t="s">
        <v>11</v>
      </c>
      <c r="U438" s="256" t="s">
        <v>11</v>
      </c>
      <c r="V438" s="256" t="s">
        <v>11</v>
      </c>
      <c r="W438" s="256" t="s">
        <v>11</v>
      </c>
      <c r="X438" s="256" t="s">
        <v>11</v>
      </c>
      <c r="Y438" s="256" t="s">
        <v>11</v>
      </c>
    </row>
    <row r="439" spans="1:25" x14ac:dyDescent="0.25">
      <c r="A439" s="255">
        <v>8</v>
      </c>
      <c r="B439" s="255" t="s">
        <v>771</v>
      </c>
      <c r="C439" s="256" t="s">
        <v>11</v>
      </c>
      <c r="D439" s="256" t="s">
        <v>11</v>
      </c>
      <c r="E439" s="256" t="s">
        <v>11</v>
      </c>
      <c r="F439" s="256" t="s">
        <v>11</v>
      </c>
      <c r="G439" s="256" t="s">
        <v>11</v>
      </c>
      <c r="H439" s="256" t="s">
        <v>11</v>
      </c>
      <c r="I439" s="256" t="s">
        <v>11</v>
      </c>
      <c r="J439" s="256" t="s">
        <v>11</v>
      </c>
      <c r="K439" s="256" t="s">
        <v>11</v>
      </c>
      <c r="L439" s="256" t="s">
        <v>11</v>
      </c>
      <c r="N439" s="255">
        <v>8</v>
      </c>
      <c r="O439" s="255" t="s">
        <v>771</v>
      </c>
      <c r="P439" s="256" t="s">
        <v>11</v>
      </c>
      <c r="Q439" s="256" t="s">
        <v>11</v>
      </c>
      <c r="R439" s="256" t="s">
        <v>11</v>
      </c>
      <c r="S439" s="256" t="s">
        <v>11</v>
      </c>
      <c r="T439" s="256" t="s">
        <v>11</v>
      </c>
      <c r="U439" s="256" t="s">
        <v>11</v>
      </c>
      <c r="V439" s="256" t="s">
        <v>11</v>
      </c>
      <c r="W439" s="256" t="s">
        <v>11</v>
      </c>
      <c r="X439" s="256" t="s">
        <v>11</v>
      </c>
      <c r="Y439" s="256" t="s">
        <v>11</v>
      </c>
    </row>
    <row r="440" spans="1:25" x14ac:dyDescent="0.25">
      <c r="A440" s="255">
        <v>9</v>
      </c>
      <c r="B440" s="255" t="s">
        <v>772</v>
      </c>
      <c r="C440" s="256" t="s">
        <v>11</v>
      </c>
      <c r="D440" s="256" t="s">
        <v>11</v>
      </c>
      <c r="E440" s="256" t="s">
        <v>11</v>
      </c>
      <c r="F440" s="256" t="s">
        <v>11</v>
      </c>
      <c r="G440" s="256" t="s">
        <v>11</v>
      </c>
      <c r="H440" s="256" t="s">
        <v>11</v>
      </c>
      <c r="I440" s="256" t="s">
        <v>11</v>
      </c>
      <c r="J440" s="256" t="s">
        <v>11</v>
      </c>
      <c r="K440" s="256" t="s">
        <v>11</v>
      </c>
      <c r="L440" s="256" t="s">
        <v>11</v>
      </c>
      <c r="N440" s="255">
        <v>9</v>
      </c>
      <c r="O440" s="255" t="s">
        <v>772</v>
      </c>
      <c r="P440" s="256" t="s">
        <v>11</v>
      </c>
      <c r="Q440" s="256" t="s">
        <v>11</v>
      </c>
      <c r="R440" s="256" t="s">
        <v>11</v>
      </c>
      <c r="S440" s="256" t="s">
        <v>11</v>
      </c>
      <c r="T440" s="256" t="s">
        <v>11</v>
      </c>
      <c r="U440" s="256" t="s">
        <v>11</v>
      </c>
      <c r="V440" s="256" t="s">
        <v>11</v>
      </c>
      <c r="W440" s="256" t="s">
        <v>11</v>
      </c>
      <c r="X440" s="256" t="s">
        <v>11</v>
      </c>
      <c r="Y440" s="256" t="s">
        <v>11</v>
      </c>
    </row>
    <row r="441" spans="1:25" x14ac:dyDescent="0.25">
      <c r="A441" s="255">
        <v>10</v>
      </c>
      <c r="B441" s="255" t="s">
        <v>773</v>
      </c>
      <c r="C441" s="256" t="s">
        <v>11</v>
      </c>
      <c r="D441" s="256" t="s">
        <v>11</v>
      </c>
      <c r="E441" s="256" t="s">
        <v>11</v>
      </c>
      <c r="F441" s="256" t="s">
        <v>11</v>
      </c>
      <c r="G441" s="256" t="s">
        <v>11</v>
      </c>
      <c r="H441" s="256" t="s">
        <v>11</v>
      </c>
      <c r="I441" s="256" t="s">
        <v>11</v>
      </c>
      <c r="J441" s="256" t="s">
        <v>11</v>
      </c>
      <c r="K441" s="256" t="s">
        <v>11</v>
      </c>
      <c r="L441" s="256" t="s">
        <v>11</v>
      </c>
      <c r="N441" s="255">
        <v>10</v>
      </c>
      <c r="O441" s="255" t="s">
        <v>773</v>
      </c>
      <c r="P441" s="256" t="s">
        <v>11</v>
      </c>
      <c r="Q441" s="256" t="s">
        <v>11</v>
      </c>
      <c r="R441" s="256" t="s">
        <v>11</v>
      </c>
      <c r="S441" s="256" t="s">
        <v>11</v>
      </c>
      <c r="T441" s="256" t="s">
        <v>11</v>
      </c>
      <c r="U441" s="256" t="s">
        <v>11</v>
      </c>
      <c r="V441" s="256" t="s">
        <v>11</v>
      </c>
      <c r="W441" s="256" t="s">
        <v>11</v>
      </c>
      <c r="X441" s="256" t="s">
        <v>11</v>
      </c>
      <c r="Y441" s="256" t="s">
        <v>11</v>
      </c>
    </row>
    <row r="443" spans="1:25" ht="45" x14ac:dyDescent="0.25">
      <c r="A443" s="254" t="s">
        <v>792</v>
      </c>
      <c r="B443" s="254"/>
      <c r="C443" s="254" t="s">
        <v>594</v>
      </c>
      <c r="D443" s="254" t="s">
        <v>595</v>
      </c>
      <c r="E443" s="254" t="s">
        <v>596</v>
      </c>
      <c r="F443" s="254" t="s">
        <v>597</v>
      </c>
      <c r="G443" s="254" t="s">
        <v>598</v>
      </c>
      <c r="H443" s="254" t="s">
        <v>599</v>
      </c>
      <c r="I443" s="254" t="s">
        <v>600</v>
      </c>
      <c r="J443" s="254" t="s">
        <v>601</v>
      </c>
      <c r="K443" s="254" t="s">
        <v>602</v>
      </c>
      <c r="L443" s="254" t="s">
        <v>603</v>
      </c>
      <c r="N443" s="254" t="s">
        <v>793</v>
      </c>
      <c r="O443" s="254"/>
      <c r="P443" s="254" t="s">
        <v>594</v>
      </c>
      <c r="Q443" s="254" t="s">
        <v>595</v>
      </c>
      <c r="R443" s="254" t="s">
        <v>596</v>
      </c>
      <c r="S443" s="254" t="s">
        <v>597</v>
      </c>
      <c r="T443" s="254" t="s">
        <v>598</v>
      </c>
      <c r="U443" s="254" t="s">
        <v>599</v>
      </c>
      <c r="V443" s="254" t="s">
        <v>600</v>
      </c>
      <c r="W443" s="254" t="s">
        <v>601</v>
      </c>
      <c r="X443" s="254" t="s">
        <v>602</v>
      </c>
      <c r="Y443" s="254" t="s">
        <v>603</v>
      </c>
    </row>
    <row r="444" spans="1:25" x14ac:dyDescent="0.25">
      <c r="A444" s="255">
        <v>1</v>
      </c>
      <c r="B444" s="255" t="s">
        <v>761</v>
      </c>
      <c r="C444" s="256">
        <v>-1699308.4969571063</v>
      </c>
      <c r="D444" s="256">
        <v>2038118.4687809104</v>
      </c>
      <c r="E444" s="256">
        <v>-2356950.9573716032</v>
      </c>
      <c r="F444" s="256">
        <v>38836086.588157199</v>
      </c>
      <c r="G444" s="256">
        <v>6590479.5125627723</v>
      </c>
      <c r="H444" s="256">
        <v>-924250.40937594604</v>
      </c>
      <c r="I444" s="256" t="s">
        <v>11</v>
      </c>
      <c r="J444" s="256" t="s">
        <v>11</v>
      </c>
      <c r="K444" s="256" t="s">
        <v>11</v>
      </c>
      <c r="L444" s="256" t="s">
        <v>11</v>
      </c>
      <c r="N444" s="255">
        <v>1</v>
      </c>
      <c r="O444" s="255" t="s">
        <v>761</v>
      </c>
      <c r="P444" s="256">
        <v>2944742.1560180499</v>
      </c>
      <c r="Q444" s="256">
        <v>2531239.9932874674</v>
      </c>
      <c r="R444" s="256">
        <v>2838187.7730238289</v>
      </c>
      <c r="S444" s="256">
        <v>5757574.5589327309</v>
      </c>
      <c r="T444" s="256">
        <v>3708481.7491414007</v>
      </c>
      <c r="U444" s="256">
        <v>2780263.8657338526</v>
      </c>
      <c r="V444" s="256" t="s">
        <v>11</v>
      </c>
      <c r="W444" s="256" t="s">
        <v>11</v>
      </c>
      <c r="X444" s="256" t="s">
        <v>11</v>
      </c>
      <c r="Y444" s="256" t="s">
        <v>11</v>
      </c>
    </row>
    <row r="445" spans="1:25" x14ac:dyDescent="0.25">
      <c r="A445" s="255">
        <v>2</v>
      </c>
      <c r="B445" s="255" t="s">
        <v>763</v>
      </c>
      <c r="C445" s="256">
        <v>-2761010.2493815543</v>
      </c>
      <c r="D445" s="256">
        <v>-8887735.0897139665</v>
      </c>
      <c r="E445" s="256">
        <v>2189053.0691595655</v>
      </c>
      <c r="F445" s="256">
        <v>-2373889.1546273157</v>
      </c>
      <c r="G445" s="256">
        <v>-2796512.7789133238</v>
      </c>
      <c r="H445" s="256">
        <v>-1872953.4210186149</v>
      </c>
      <c r="I445" s="256" t="s">
        <v>11</v>
      </c>
      <c r="J445" s="256" t="s">
        <v>11</v>
      </c>
      <c r="K445" s="256" t="s">
        <v>11</v>
      </c>
      <c r="L445" s="256" t="s">
        <v>11</v>
      </c>
      <c r="N445" s="255">
        <v>2</v>
      </c>
      <c r="O445" s="255" t="s">
        <v>763</v>
      </c>
      <c r="P445" s="256">
        <v>216730.97519184282</v>
      </c>
      <c r="Q445" s="256">
        <v>838011.64536111034</v>
      </c>
      <c r="R445" s="256">
        <v>901345.69052300625</v>
      </c>
      <c r="S445" s="256">
        <v>216729.99052454188</v>
      </c>
      <c r="T445" s="256">
        <v>216729.42459815013</v>
      </c>
      <c r="U445" s="256">
        <v>216729.82229395836</v>
      </c>
      <c r="V445" s="256" t="s">
        <v>11</v>
      </c>
      <c r="W445" s="256" t="s">
        <v>11</v>
      </c>
      <c r="X445" s="256" t="s">
        <v>11</v>
      </c>
      <c r="Y445" s="256" t="s">
        <v>11</v>
      </c>
    </row>
    <row r="446" spans="1:25" x14ac:dyDescent="0.25">
      <c r="A446" s="255">
        <v>3</v>
      </c>
      <c r="B446" s="255" t="s">
        <v>764</v>
      </c>
      <c r="C446" s="256" t="s">
        <v>11</v>
      </c>
      <c r="D446" s="256" t="s">
        <v>11</v>
      </c>
      <c r="E446" s="256" t="s">
        <v>11</v>
      </c>
      <c r="F446" s="256" t="s">
        <v>11</v>
      </c>
      <c r="G446" s="256" t="s">
        <v>11</v>
      </c>
      <c r="H446" s="256" t="s">
        <v>11</v>
      </c>
      <c r="I446" s="256" t="s">
        <v>11</v>
      </c>
      <c r="J446" s="256" t="s">
        <v>11</v>
      </c>
      <c r="K446" s="256" t="s">
        <v>11</v>
      </c>
      <c r="L446" s="256" t="s">
        <v>11</v>
      </c>
      <c r="N446" s="255">
        <v>3</v>
      </c>
      <c r="O446" s="255" t="s">
        <v>764</v>
      </c>
      <c r="P446" s="256" t="s">
        <v>11</v>
      </c>
      <c r="Q446" s="256" t="s">
        <v>11</v>
      </c>
      <c r="R446" s="256" t="s">
        <v>11</v>
      </c>
      <c r="S446" s="256" t="s">
        <v>11</v>
      </c>
      <c r="T446" s="256" t="s">
        <v>11</v>
      </c>
      <c r="U446" s="256" t="s">
        <v>11</v>
      </c>
      <c r="V446" s="256" t="s">
        <v>11</v>
      </c>
      <c r="W446" s="256" t="s">
        <v>11</v>
      </c>
      <c r="X446" s="256" t="s">
        <v>11</v>
      </c>
      <c r="Y446" s="256" t="s">
        <v>11</v>
      </c>
    </row>
    <row r="447" spans="1:25" x14ac:dyDescent="0.25">
      <c r="A447" s="255">
        <v>4</v>
      </c>
      <c r="B447" s="255" t="s">
        <v>765</v>
      </c>
      <c r="C447" s="256" t="s">
        <v>11</v>
      </c>
      <c r="D447" s="256" t="s">
        <v>11</v>
      </c>
      <c r="E447" s="256" t="s">
        <v>11</v>
      </c>
      <c r="F447" s="256" t="s">
        <v>11</v>
      </c>
      <c r="G447" s="256" t="s">
        <v>11</v>
      </c>
      <c r="H447" s="256" t="s">
        <v>11</v>
      </c>
      <c r="I447" s="256" t="s">
        <v>11</v>
      </c>
      <c r="J447" s="256" t="s">
        <v>11</v>
      </c>
      <c r="K447" s="256" t="s">
        <v>11</v>
      </c>
      <c r="L447" s="256" t="s">
        <v>11</v>
      </c>
      <c r="N447" s="255">
        <v>4</v>
      </c>
      <c r="O447" s="255" t="s">
        <v>765</v>
      </c>
      <c r="P447" s="256" t="s">
        <v>11</v>
      </c>
      <c r="Q447" s="256" t="s">
        <v>11</v>
      </c>
      <c r="R447" s="256" t="s">
        <v>11</v>
      </c>
      <c r="S447" s="256" t="s">
        <v>11</v>
      </c>
      <c r="T447" s="256" t="s">
        <v>11</v>
      </c>
      <c r="U447" s="256" t="s">
        <v>11</v>
      </c>
      <c r="V447" s="256" t="s">
        <v>11</v>
      </c>
      <c r="W447" s="256" t="s">
        <v>11</v>
      </c>
      <c r="X447" s="256" t="s">
        <v>11</v>
      </c>
      <c r="Y447" s="256" t="s">
        <v>11</v>
      </c>
    </row>
    <row r="448" spans="1:25" x14ac:dyDescent="0.25">
      <c r="A448" s="255">
        <v>5</v>
      </c>
      <c r="B448" s="255" t="s">
        <v>767</v>
      </c>
      <c r="C448" s="256" t="s">
        <v>11</v>
      </c>
      <c r="D448" s="256" t="s">
        <v>11</v>
      </c>
      <c r="E448" s="256" t="s">
        <v>11</v>
      </c>
      <c r="F448" s="256" t="s">
        <v>11</v>
      </c>
      <c r="G448" s="256" t="s">
        <v>11</v>
      </c>
      <c r="H448" s="256" t="s">
        <v>11</v>
      </c>
      <c r="I448" s="256" t="s">
        <v>11</v>
      </c>
      <c r="J448" s="256" t="s">
        <v>11</v>
      </c>
      <c r="K448" s="256" t="s">
        <v>11</v>
      </c>
      <c r="L448" s="256" t="s">
        <v>11</v>
      </c>
      <c r="N448" s="255">
        <v>5</v>
      </c>
      <c r="O448" s="255" t="s">
        <v>767</v>
      </c>
      <c r="P448" s="256" t="s">
        <v>11</v>
      </c>
      <c r="Q448" s="256" t="s">
        <v>11</v>
      </c>
      <c r="R448" s="256" t="s">
        <v>11</v>
      </c>
      <c r="S448" s="256" t="s">
        <v>11</v>
      </c>
      <c r="T448" s="256" t="s">
        <v>11</v>
      </c>
      <c r="U448" s="256" t="s">
        <v>11</v>
      </c>
      <c r="V448" s="256" t="s">
        <v>11</v>
      </c>
      <c r="W448" s="256" t="s">
        <v>11</v>
      </c>
      <c r="X448" s="256" t="s">
        <v>11</v>
      </c>
      <c r="Y448" s="256" t="s">
        <v>11</v>
      </c>
    </row>
    <row r="449" spans="1:25" x14ac:dyDescent="0.25">
      <c r="A449" s="255">
        <v>6</v>
      </c>
      <c r="B449" s="255" t="s">
        <v>768</v>
      </c>
      <c r="C449" s="256" t="s">
        <v>11</v>
      </c>
      <c r="D449" s="256" t="s">
        <v>11</v>
      </c>
      <c r="E449" s="256" t="s">
        <v>11</v>
      </c>
      <c r="F449" s="256" t="s">
        <v>11</v>
      </c>
      <c r="G449" s="256" t="s">
        <v>11</v>
      </c>
      <c r="H449" s="256" t="s">
        <v>11</v>
      </c>
      <c r="I449" s="256" t="s">
        <v>11</v>
      </c>
      <c r="J449" s="256" t="s">
        <v>11</v>
      </c>
      <c r="K449" s="256" t="s">
        <v>11</v>
      </c>
      <c r="L449" s="256" t="s">
        <v>11</v>
      </c>
      <c r="N449" s="255">
        <v>6</v>
      </c>
      <c r="O449" s="255" t="s">
        <v>768</v>
      </c>
      <c r="P449" s="256" t="s">
        <v>11</v>
      </c>
      <c r="Q449" s="256" t="s">
        <v>11</v>
      </c>
      <c r="R449" s="256" t="s">
        <v>11</v>
      </c>
      <c r="S449" s="256" t="s">
        <v>11</v>
      </c>
      <c r="T449" s="256" t="s">
        <v>11</v>
      </c>
      <c r="U449" s="256" t="s">
        <v>11</v>
      </c>
      <c r="V449" s="256" t="s">
        <v>11</v>
      </c>
      <c r="W449" s="256" t="s">
        <v>11</v>
      </c>
      <c r="X449" s="256" t="s">
        <v>11</v>
      </c>
      <c r="Y449" s="256" t="s">
        <v>11</v>
      </c>
    </row>
    <row r="450" spans="1:25" x14ac:dyDescent="0.25">
      <c r="A450" s="255">
        <v>7</v>
      </c>
      <c r="B450" s="255" t="s">
        <v>770</v>
      </c>
      <c r="C450" s="256" t="s">
        <v>11</v>
      </c>
      <c r="D450" s="256" t="s">
        <v>11</v>
      </c>
      <c r="E450" s="256" t="s">
        <v>11</v>
      </c>
      <c r="F450" s="256" t="s">
        <v>11</v>
      </c>
      <c r="G450" s="256" t="s">
        <v>11</v>
      </c>
      <c r="H450" s="256" t="s">
        <v>11</v>
      </c>
      <c r="I450" s="256" t="s">
        <v>11</v>
      </c>
      <c r="J450" s="256" t="s">
        <v>11</v>
      </c>
      <c r="K450" s="256" t="s">
        <v>11</v>
      </c>
      <c r="L450" s="256" t="s">
        <v>11</v>
      </c>
      <c r="N450" s="255">
        <v>7</v>
      </c>
      <c r="O450" s="255" t="s">
        <v>770</v>
      </c>
      <c r="P450" s="256" t="s">
        <v>11</v>
      </c>
      <c r="Q450" s="256" t="s">
        <v>11</v>
      </c>
      <c r="R450" s="256" t="s">
        <v>11</v>
      </c>
      <c r="S450" s="256" t="s">
        <v>11</v>
      </c>
      <c r="T450" s="256" t="s">
        <v>11</v>
      </c>
      <c r="U450" s="256" t="s">
        <v>11</v>
      </c>
      <c r="V450" s="256" t="s">
        <v>11</v>
      </c>
      <c r="W450" s="256" t="s">
        <v>11</v>
      </c>
      <c r="X450" s="256" t="s">
        <v>11</v>
      </c>
      <c r="Y450" s="256" t="s">
        <v>11</v>
      </c>
    </row>
    <row r="451" spans="1:25" x14ac:dyDescent="0.25">
      <c r="A451" s="255">
        <v>8</v>
      </c>
      <c r="B451" s="255" t="s">
        <v>771</v>
      </c>
      <c r="C451" s="256" t="s">
        <v>11</v>
      </c>
      <c r="D451" s="256" t="s">
        <v>11</v>
      </c>
      <c r="E451" s="256" t="s">
        <v>11</v>
      </c>
      <c r="F451" s="256" t="s">
        <v>11</v>
      </c>
      <c r="G451" s="256" t="s">
        <v>11</v>
      </c>
      <c r="H451" s="256" t="s">
        <v>11</v>
      </c>
      <c r="I451" s="256" t="s">
        <v>11</v>
      </c>
      <c r="J451" s="256" t="s">
        <v>11</v>
      </c>
      <c r="K451" s="256" t="s">
        <v>11</v>
      </c>
      <c r="L451" s="256" t="s">
        <v>11</v>
      </c>
      <c r="N451" s="255">
        <v>8</v>
      </c>
      <c r="O451" s="255" t="s">
        <v>771</v>
      </c>
      <c r="P451" s="256" t="s">
        <v>11</v>
      </c>
      <c r="Q451" s="256" t="s">
        <v>11</v>
      </c>
      <c r="R451" s="256" t="s">
        <v>11</v>
      </c>
      <c r="S451" s="256" t="s">
        <v>11</v>
      </c>
      <c r="T451" s="256" t="s">
        <v>11</v>
      </c>
      <c r="U451" s="256" t="s">
        <v>11</v>
      </c>
      <c r="V451" s="256" t="s">
        <v>11</v>
      </c>
      <c r="W451" s="256" t="s">
        <v>11</v>
      </c>
      <c r="X451" s="256" t="s">
        <v>11</v>
      </c>
      <c r="Y451" s="256" t="s">
        <v>11</v>
      </c>
    </row>
    <row r="452" spans="1:25" x14ac:dyDescent="0.25">
      <c r="A452" s="255">
        <v>9</v>
      </c>
      <c r="B452" s="255" t="s">
        <v>772</v>
      </c>
      <c r="C452" s="256" t="s">
        <v>11</v>
      </c>
      <c r="D452" s="256" t="s">
        <v>11</v>
      </c>
      <c r="E452" s="256" t="s">
        <v>11</v>
      </c>
      <c r="F452" s="256" t="s">
        <v>11</v>
      </c>
      <c r="G452" s="256" t="s">
        <v>11</v>
      </c>
      <c r="H452" s="256" t="s">
        <v>11</v>
      </c>
      <c r="I452" s="256" t="s">
        <v>11</v>
      </c>
      <c r="J452" s="256" t="s">
        <v>11</v>
      </c>
      <c r="K452" s="256" t="s">
        <v>11</v>
      </c>
      <c r="L452" s="256" t="s">
        <v>11</v>
      </c>
      <c r="N452" s="255">
        <v>9</v>
      </c>
      <c r="O452" s="255" t="s">
        <v>772</v>
      </c>
      <c r="P452" s="256" t="s">
        <v>11</v>
      </c>
      <c r="Q452" s="256" t="s">
        <v>11</v>
      </c>
      <c r="R452" s="256" t="s">
        <v>11</v>
      </c>
      <c r="S452" s="256" t="s">
        <v>11</v>
      </c>
      <c r="T452" s="256" t="s">
        <v>11</v>
      </c>
      <c r="U452" s="256" t="s">
        <v>11</v>
      </c>
      <c r="V452" s="256" t="s">
        <v>11</v>
      </c>
      <c r="W452" s="256" t="s">
        <v>11</v>
      </c>
      <c r="X452" s="256" t="s">
        <v>11</v>
      </c>
      <c r="Y452" s="256" t="s">
        <v>11</v>
      </c>
    </row>
    <row r="453" spans="1:25" x14ac:dyDescent="0.25">
      <c r="A453" s="255">
        <v>10</v>
      </c>
      <c r="B453" s="255" t="s">
        <v>773</v>
      </c>
      <c r="C453" s="256" t="s">
        <v>11</v>
      </c>
      <c r="D453" s="256" t="s">
        <v>11</v>
      </c>
      <c r="E453" s="256" t="s">
        <v>11</v>
      </c>
      <c r="F453" s="256" t="s">
        <v>11</v>
      </c>
      <c r="G453" s="256" t="s">
        <v>11</v>
      </c>
      <c r="H453" s="256" t="s">
        <v>11</v>
      </c>
      <c r="I453" s="256" t="s">
        <v>11</v>
      </c>
      <c r="J453" s="256" t="s">
        <v>11</v>
      </c>
      <c r="K453" s="256" t="s">
        <v>11</v>
      </c>
      <c r="L453" s="256" t="s">
        <v>11</v>
      </c>
      <c r="N453" s="255">
        <v>10</v>
      </c>
      <c r="O453" s="255" t="s">
        <v>773</v>
      </c>
      <c r="P453" s="256" t="s">
        <v>11</v>
      </c>
      <c r="Q453" s="256" t="s">
        <v>11</v>
      </c>
      <c r="R453" s="256" t="s">
        <v>11</v>
      </c>
      <c r="S453" s="256" t="s">
        <v>11</v>
      </c>
      <c r="T453" s="256" t="s">
        <v>11</v>
      </c>
      <c r="U453" s="256" t="s">
        <v>11</v>
      </c>
      <c r="V453" s="256" t="s">
        <v>11</v>
      </c>
      <c r="W453" s="256" t="s">
        <v>11</v>
      </c>
      <c r="X453" s="256" t="s">
        <v>11</v>
      </c>
      <c r="Y453" s="256" t="s">
        <v>11</v>
      </c>
    </row>
    <row r="455" spans="1:25" ht="30" x14ac:dyDescent="0.25">
      <c r="A455" s="257" t="s">
        <v>794</v>
      </c>
      <c r="B455" s="257"/>
      <c r="C455" s="257" t="s">
        <v>594</v>
      </c>
      <c r="D455" s="257" t="s">
        <v>595</v>
      </c>
      <c r="E455" s="257" t="s">
        <v>596</v>
      </c>
      <c r="F455" s="257" t="s">
        <v>597</v>
      </c>
      <c r="G455" s="257" t="s">
        <v>598</v>
      </c>
      <c r="H455" s="257" t="s">
        <v>599</v>
      </c>
      <c r="I455" s="257" t="s">
        <v>600</v>
      </c>
      <c r="J455" s="257" t="s">
        <v>601</v>
      </c>
      <c r="K455" s="257" t="s">
        <v>602</v>
      </c>
      <c r="L455" s="257" t="s">
        <v>603</v>
      </c>
    </row>
    <row r="456" spans="1:25" x14ac:dyDescent="0.25">
      <c r="A456" s="258">
        <v>1</v>
      </c>
      <c r="B456" s="258" t="s">
        <v>761</v>
      </c>
      <c r="C456" s="259">
        <v>215149.35206249976</v>
      </c>
      <c r="D456" s="259">
        <v>34289.641450087991</v>
      </c>
      <c r="E456" s="259">
        <v>5666.6085431206493</v>
      </c>
      <c r="F456" s="259">
        <v>1239387.2968802506</v>
      </c>
      <c r="G456" s="259">
        <v>370682.64203116792</v>
      </c>
      <c r="H456" s="259">
        <v>93885.332491701731</v>
      </c>
      <c r="I456" s="259" t="s">
        <v>11</v>
      </c>
      <c r="J456" s="259" t="s">
        <v>11</v>
      </c>
      <c r="K456" s="259" t="s">
        <v>11</v>
      </c>
      <c r="L456" s="259" t="s">
        <v>11</v>
      </c>
    </row>
    <row r="457" spans="1:25" x14ac:dyDescent="0.25">
      <c r="A457" s="258">
        <v>2</v>
      </c>
      <c r="B457" s="258" t="s">
        <v>763</v>
      </c>
      <c r="C457" s="259">
        <v>26850.64793750026</v>
      </c>
      <c r="D457" s="259">
        <v>65710.35854991198</v>
      </c>
      <c r="E457" s="259">
        <v>190333.39145687936</v>
      </c>
      <c r="F457" s="259">
        <v>137122.50311974916</v>
      </c>
      <c r="G457" s="259">
        <v>145308.5758756834</v>
      </c>
      <c r="H457" s="259">
        <v>76648.15833448559</v>
      </c>
      <c r="I457" s="259" t="s">
        <v>11</v>
      </c>
      <c r="J457" s="259" t="s">
        <v>11</v>
      </c>
      <c r="K457" s="259" t="s">
        <v>11</v>
      </c>
      <c r="L457" s="259" t="s">
        <v>11</v>
      </c>
    </row>
    <row r="458" spans="1:25" x14ac:dyDescent="0.25">
      <c r="A458" s="258">
        <v>3</v>
      </c>
      <c r="B458" s="258" t="s">
        <v>764</v>
      </c>
      <c r="C458" s="259" t="s">
        <v>11</v>
      </c>
      <c r="D458" s="259" t="s">
        <v>11</v>
      </c>
      <c r="E458" s="259" t="s">
        <v>11</v>
      </c>
      <c r="F458" s="259" t="s">
        <v>11</v>
      </c>
      <c r="G458" s="259" t="s">
        <v>11</v>
      </c>
      <c r="H458" s="259" t="s">
        <v>11</v>
      </c>
      <c r="I458" s="259" t="s">
        <v>11</v>
      </c>
      <c r="J458" s="259" t="s">
        <v>11</v>
      </c>
      <c r="K458" s="259" t="s">
        <v>11</v>
      </c>
      <c r="L458" s="259" t="s">
        <v>11</v>
      </c>
    </row>
    <row r="459" spans="1:25" x14ac:dyDescent="0.25">
      <c r="A459" s="258">
        <v>4</v>
      </c>
      <c r="B459" s="258" t="s">
        <v>765</v>
      </c>
      <c r="C459" s="259" t="s">
        <v>11</v>
      </c>
      <c r="D459" s="259" t="s">
        <v>11</v>
      </c>
      <c r="E459" s="259" t="s">
        <v>11</v>
      </c>
      <c r="F459" s="259" t="s">
        <v>11</v>
      </c>
      <c r="G459" s="259" t="s">
        <v>11</v>
      </c>
      <c r="H459" s="259" t="s">
        <v>11</v>
      </c>
      <c r="I459" s="259" t="s">
        <v>11</v>
      </c>
      <c r="J459" s="259" t="s">
        <v>11</v>
      </c>
      <c r="K459" s="259" t="s">
        <v>11</v>
      </c>
      <c r="L459" s="259" t="s">
        <v>11</v>
      </c>
    </row>
    <row r="460" spans="1:25" x14ac:dyDescent="0.25">
      <c r="A460" s="258">
        <v>5</v>
      </c>
      <c r="B460" s="258" t="s">
        <v>767</v>
      </c>
      <c r="C460" s="259" t="s">
        <v>11</v>
      </c>
      <c r="D460" s="259" t="s">
        <v>11</v>
      </c>
      <c r="E460" s="259" t="s">
        <v>11</v>
      </c>
      <c r="F460" s="259" t="s">
        <v>11</v>
      </c>
      <c r="G460" s="259" t="s">
        <v>11</v>
      </c>
      <c r="H460" s="259" t="s">
        <v>11</v>
      </c>
      <c r="I460" s="259" t="s">
        <v>11</v>
      </c>
      <c r="J460" s="259" t="s">
        <v>11</v>
      </c>
      <c r="K460" s="259" t="s">
        <v>11</v>
      </c>
      <c r="L460" s="259" t="s">
        <v>11</v>
      </c>
    </row>
    <row r="461" spans="1:25" x14ac:dyDescent="0.25">
      <c r="A461" s="258">
        <v>6</v>
      </c>
      <c r="B461" s="258" t="s">
        <v>768</v>
      </c>
      <c r="C461" s="259" t="s">
        <v>11</v>
      </c>
      <c r="D461" s="259" t="s">
        <v>11</v>
      </c>
      <c r="E461" s="259" t="s">
        <v>11</v>
      </c>
      <c r="F461" s="259" t="s">
        <v>11</v>
      </c>
      <c r="G461" s="259" t="s">
        <v>11</v>
      </c>
      <c r="H461" s="259" t="s">
        <v>11</v>
      </c>
      <c r="I461" s="259" t="s">
        <v>11</v>
      </c>
      <c r="J461" s="259" t="s">
        <v>11</v>
      </c>
      <c r="K461" s="259" t="s">
        <v>11</v>
      </c>
      <c r="L461" s="259" t="s">
        <v>11</v>
      </c>
    </row>
    <row r="462" spans="1:25" x14ac:dyDescent="0.25">
      <c r="A462" s="258">
        <v>7</v>
      </c>
      <c r="B462" s="258" t="s">
        <v>770</v>
      </c>
      <c r="C462" s="259" t="s">
        <v>11</v>
      </c>
      <c r="D462" s="259" t="s">
        <v>11</v>
      </c>
      <c r="E462" s="259" t="s">
        <v>11</v>
      </c>
      <c r="F462" s="259" t="s">
        <v>11</v>
      </c>
      <c r="G462" s="259" t="s">
        <v>11</v>
      </c>
      <c r="H462" s="259" t="s">
        <v>11</v>
      </c>
      <c r="I462" s="259" t="s">
        <v>11</v>
      </c>
      <c r="J462" s="259" t="s">
        <v>11</v>
      </c>
      <c r="K462" s="259" t="s">
        <v>11</v>
      </c>
      <c r="L462" s="259" t="s">
        <v>11</v>
      </c>
    </row>
    <row r="463" spans="1:25" x14ac:dyDescent="0.25">
      <c r="A463" s="258">
        <v>8</v>
      </c>
      <c r="B463" s="258" t="s">
        <v>771</v>
      </c>
      <c r="C463" s="259" t="s">
        <v>11</v>
      </c>
      <c r="D463" s="259" t="s">
        <v>11</v>
      </c>
      <c r="E463" s="259" t="s">
        <v>11</v>
      </c>
      <c r="F463" s="259" t="s">
        <v>11</v>
      </c>
      <c r="G463" s="259" t="s">
        <v>11</v>
      </c>
      <c r="H463" s="259" t="s">
        <v>11</v>
      </c>
      <c r="I463" s="259" t="s">
        <v>11</v>
      </c>
      <c r="J463" s="259" t="s">
        <v>11</v>
      </c>
      <c r="K463" s="259" t="s">
        <v>11</v>
      </c>
      <c r="L463" s="259" t="s">
        <v>11</v>
      </c>
    </row>
    <row r="464" spans="1:25" x14ac:dyDescent="0.25">
      <c r="A464" s="258">
        <v>9</v>
      </c>
      <c r="B464" s="258" t="s">
        <v>772</v>
      </c>
      <c r="C464" s="259" t="s">
        <v>11</v>
      </c>
      <c r="D464" s="259" t="s">
        <v>11</v>
      </c>
      <c r="E464" s="259" t="s">
        <v>11</v>
      </c>
      <c r="F464" s="259" t="s">
        <v>11</v>
      </c>
      <c r="G464" s="259" t="s">
        <v>11</v>
      </c>
      <c r="H464" s="259" t="s">
        <v>11</v>
      </c>
      <c r="I464" s="259" t="s">
        <v>11</v>
      </c>
      <c r="J464" s="259" t="s">
        <v>11</v>
      </c>
      <c r="K464" s="259" t="s">
        <v>11</v>
      </c>
      <c r="L464" s="259" t="s">
        <v>11</v>
      </c>
    </row>
    <row r="465" spans="1:121" x14ac:dyDescent="0.25">
      <c r="A465" s="258">
        <v>10</v>
      </c>
      <c r="B465" s="258" t="s">
        <v>773</v>
      </c>
      <c r="C465" s="259" t="s">
        <v>11</v>
      </c>
      <c r="D465" s="259" t="s">
        <v>11</v>
      </c>
      <c r="E465" s="259" t="s">
        <v>11</v>
      </c>
      <c r="F465" s="259" t="s">
        <v>11</v>
      </c>
      <c r="G465" s="259" t="s">
        <v>11</v>
      </c>
      <c r="H465" s="259" t="s">
        <v>11</v>
      </c>
      <c r="I465" s="259" t="s">
        <v>11</v>
      </c>
      <c r="J465" s="259" t="s">
        <v>11</v>
      </c>
      <c r="K465" s="259" t="s">
        <v>11</v>
      </c>
      <c r="L465" s="259" t="s">
        <v>11</v>
      </c>
    </row>
    <row r="467" spans="1:121" ht="30" x14ac:dyDescent="0.25">
      <c r="A467" s="257" t="s">
        <v>795</v>
      </c>
      <c r="B467" s="257"/>
      <c r="C467" s="257" t="s">
        <v>594</v>
      </c>
      <c r="D467" s="257" t="s">
        <v>595</v>
      </c>
      <c r="E467" s="257" t="s">
        <v>596</v>
      </c>
      <c r="F467" s="257" t="s">
        <v>597</v>
      </c>
      <c r="G467" s="257" t="s">
        <v>598</v>
      </c>
      <c r="H467" s="257" t="s">
        <v>599</v>
      </c>
      <c r="I467" s="257" t="s">
        <v>600</v>
      </c>
      <c r="J467" s="257" t="s">
        <v>601</v>
      </c>
      <c r="K467" s="257" t="s">
        <v>602</v>
      </c>
      <c r="L467" s="257" t="s">
        <v>603</v>
      </c>
    </row>
    <row r="468" spans="1:121" x14ac:dyDescent="0.25">
      <c r="A468" s="258">
        <v>1</v>
      </c>
      <c r="B468" s="258" t="s">
        <v>761</v>
      </c>
      <c r="C468" s="259">
        <v>322724.0280937496</v>
      </c>
      <c r="D468" s="259">
        <v>308606.77305079205</v>
      </c>
      <c r="E468" s="259">
        <v>8499.9128146809726</v>
      </c>
      <c r="F468" s="259">
        <v>4957549.1875210032</v>
      </c>
      <c r="G468" s="259">
        <v>1482730.5681246719</v>
      </c>
      <c r="H468" s="259">
        <v>375541.3299668071</v>
      </c>
      <c r="I468" s="259" t="s">
        <v>11</v>
      </c>
      <c r="J468" s="259" t="s">
        <v>11</v>
      </c>
      <c r="K468" s="259" t="s">
        <v>11</v>
      </c>
      <c r="L468" s="259" t="s">
        <v>11</v>
      </c>
    </row>
    <row r="469" spans="1:121" x14ac:dyDescent="0.25">
      <c r="A469" s="258">
        <v>2</v>
      </c>
      <c r="B469" s="258" t="s">
        <v>763</v>
      </c>
      <c r="C469" s="259">
        <v>40275.971906250394</v>
      </c>
      <c r="D469" s="259">
        <v>591393.22694920795</v>
      </c>
      <c r="E469" s="259">
        <v>285500.08718531905</v>
      </c>
      <c r="F469" s="259">
        <v>548490.01247899688</v>
      </c>
      <c r="G469" s="259">
        <v>581234.3035027337</v>
      </c>
      <c r="H469" s="259">
        <v>306592.63333794248</v>
      </c>
      <c r="I469" s="259" t="s">
        <v>11</v>
      </c>
      <c r="J469" s="259" t="s">
        <v>11</v>
      </c>
      <c r="K469" s="259" t="s">
        <v>11</v>
      </c>
      <c r="L469" s="259" t="s">
        <v>11</v>
      </c>
    </row>
    <row r="470" spans="1:121" x14ac:dyDescent="0.25">
      <c r="A470" s="258">
        <v>3</v>
      </c>
      <c r="B470" s="258" t="s">
        <v>764</v>
      </c>
      <c r="C470" s="259" t="s">
        <v>11</v>
      </c>
      <c r="D470" s="259" t="s">
        <v>11</v>
      </c>
      <c r="E470" s="259" t="s">
        <v>11</v>
      </c>
      <c r="F470" s="259" t="s">
        <v>11</v>
      </c>
      <c r="G470" s="259" t="s">
        <v>11</v>
      </c>
      <c r="H470" s="259" t="s">
        <v>11</v>
      </c>
      <c r="I470" s="259" t="s">
        <v>11</v>
      </c>
      <c r="J470" s="259" t="s">
        <v>11</v>
      </c>
      <c r="K470" s="259" t="s">
        <v>11</v>
      </c>
      <c r="L470" s="259" t="s">
        <v>11</v>
      </c>
    </row>
    <row r="471" spans="1:121" x14ac:dyDescent="0.25">
      <c r="A471" s="258">
        <v>4</v>
      </c>
      <c r="B471" s="258" t="s">
        <v>765</v>
      </c>
      <c r="C471" s="259" t="s">
        <v>11</v>
      </c>
      <c r="D471" s="259" t="s">
        <v>11</v>
      </c>
      <c r="E471" s="259" t="s">
        <v>11</v>
      </c>
      <c r="F471" s="259" t="s">
        <v>11</v>
      </c>
      <c r="G471" s="259" t="s">
        <v>11</v>
      </c>
      <c r="H471" s="259" t="s">
        <v>11</v>
      </c>
      <c r="I471" s="259" t="s">
        <v>11</v>
      </c>
      <c r="J471" s="259" t="s">
        <v>11</v>
      </c>
      <c r="K471" s="259" t="s">
        <v>11</v>
      </c>
      <c r="L471" s="259" t="s">
        <v>11</v>
      </c>
    </row>
    <row r="472" spans="1:121" x14ac:dyDescent="0.25">
      <c r="A472" s="258">
        <v>5</v>
      </c>
      <c r="B472" s="258" t="s">
        <v>767</v>
      </c>
      <c r="C472" s="259" t="s">
        <v>11</v>
      </c>
      <c r="D472" s="259" t="s">
        <v>11</v>
      </c>
      <c r="E472" s="259" t="s">
        <v>11</v>
      </c>
      <c r="F472" s="259" t="s">
        <v>11</v>
      </c>
      <c r="G472" s="259" t="s">
        <v>11</v>
      </c>
      <c r="H472" s="259" t="s">
        <v>11</v>
      </c>
      <c r="I472" s="259" t="s">
        <v>11</v>
      </c>
      <c r="J472" s="259" t="s">
        <v>11</v>
      </c>
      <c r="K472" s="259" t="s">
        <v>11</v>
      </c>
      <c r="L472" s="259" t="s">
        <v>11</v>
      </c>
    </row>
    <row r="473" spans="1:121" x14ac:dyDescent="0.25">
      <c r="A473" s="258">
        <v>6</v>
      </c>
      <c r="B473" s="258" t="s">
        <v>768</v>
      </c>
      <c r="C473" s="259" t="s">
        <v>11</v>
      </c>
      <c r="D473" s="259" t="s">
        <v>11</v>
      </c>
      <c r="E473" s="259" t="s">
        <v>11</v>
      </c>
      <c r="F473" s="259" t="s">
        <v>11</v>
      </c>
      <c r="G473" s="259" t="s">
        <v>11</v>
      </c>
      <c r="H473" s="259" t="s">
        <v>11</v>
      </c>
      <c r="I473" s="259" t="s">
        <v>11</v>
      </c>
      <c r="J473" s="259" t="s">
        <v>11</v>
      </c>
      <c r="K473" s="259" t="s">
        <v>11</v>
      </c>
      <c r="L473" s="259" t="s">
        <v>11</v>
      </c>
    </row>
    <row r="474" spans="1:121" x14ac:dyDescent="0.25">
      <c r="A474" s="258">
        <v>7</v>
      </c>
      <c r="B474" s="258" t="s">
        <v>770</v>
      </c>
      <c r="C474" s="259" t="s">
        <v>11</v>
      </c>
      <c r="D474" s="259" t="s">
        <v>11</v>
      </c>
      <c r="E474" s="259" t="s">
        <v>11</v>
      </c>
      <c r="F474" s="259" t="s">
        <v>11</v>
      </c>
      <c r="G474" s="259" t="s">
        <v>11</v>
      </c>
      <c r="H474" s="259" t="s">
        <v>11</v>
      </c>
      <c r="I474" s="259" t="s">
        <v>11</v>
      </c>
      <c r="J474" s="259" t="s">
        <v>11</v>
      </c>
      <c r="K474" s="259" t="s">
        <v>11</v>
      </c>
      <c r="L474" s="259" t="s">
        <v>11</v>
      </c>
    </row>
    <row r="475" spans="1:121" x14ac:dyDescent="0.25">
      <c r="A475" s="258">
        <v>8</v>
      </c>
      <c r="B475" s="258" t="s">
        <v>771</v>
      </c>
      <c r="C475" s="259" t="s">
        <v>11</v>
      </c>
      <c r="D475" s="259" t="s">
        <v>11</v>
      </c>
      <c r="E475" s="259" t="s">
        <v>11</v>
      </c>
      <c r="F475" s="259" t="s">
        <v>11</v>
      </c>
      <c r="G475" s="259" t="s">
        <v>11</v>
      </c>
      <c r="H475" s="259" t="s">
        <v>11</v>
      </c>
      <c r="I475" s="259" t="s">
        <v>11</v>
      </c>
      <c r="J475" s="259" t="s">
        <v>11</v>
      </c>
      <c r="K475" s="259" t="s">
        <v>11</v>
      </c>
      <c r="L475" s="259" t="s">
        <v>11</v>
      </c>
    </row>
    <row r="476" spans="1:121" x14ac:dyDescent="0.25">
      <c r="A476" s="258">
        <v>9</v>
      </c>
      <c r="B476" s="258" t="s">
        <v>772</v>
      </c>
      <c r="C476" s="259" t="s">
        <v>11</v>
      </c>
      <c r="D476" s="259" t="s">
        <v>11</v>
      </c>
      <c r="E476" s="259" t="s">
        <v>11</v>
      </c>
      <c r="F476" s="259" t="s">
        <v>11</v>
      </c>
      <c r="G476" s="259" t="s">
        <v>11</v>
      </c>
      <c r="H476" s="259" t="s">
        <v>11</v>
      </c>
      <c r="I476" s="259" t="s">
        <v>11</v>
      </c>
      <c r="J476" s="259" t="s">
        <v>11</v>
      </c>
      <c r="K476" s="259" t="s">
        <v>11</v>
      </c>
      <c r="L476" s="259" t="s">
        <v>11</v>
      </c>
    </row>
    <row r="477" spans="1:121" x14ac:dyDescent="0.25">
      <c r="A477" s="258">
        <v>10</v>
      </c>
      <c r="B477" s="258" t="s">
        <v>773</v>
      </c>
      <c r="C477" s="259" t="s">
        <v>11</v>
      </c>
      <c r="D477" s="259" t="s">
        <v>11</v>
      </c>
      <c r="E477" s="259" t="s">
        <v>11</v>
      </c>
      <c r="F477" s="259" t="s">
        <v>11</v>
      </c>
      <c r="G477" s="259" t="s">
        <v>11</v>
      </c>
      <c r="H477" s="259" t="s">
        <v>11</v>
      </c>
      <c r="I477" s="259" t="s">
        <v>11</v>
      </c>
      <c r="J477" s="259" t="s">
        <v>11</v>
      </c>
      <c r="K477" s="259" t="s">
        <v>11</v>
      </c>
      <c r="L477" s="259" t="s">
        <v>11</v>
      </c>
    </row>
    <row r="479" spans="1:121" x14ac:dyDescent="0.25">
      <c r="B479" s="217" t="s">
        <v>796</v>
      </c>
      <c r="C479" s="217"/>
      <c r="D479" s="217"/>
      <c r="E479" s="217"/>
      <c r="F479" s="217"/>
      <c r="G479" s="217"/>
      <c r="H479" s="217"/>
      <c r="I479" s="217"/>
      <c r="J479" s="217"/>
      <c r="K479" s="217"/>
      <c r="L479" s="217"/>
      <c r="M479" s="217"/>
      <c r="N479" s="217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7"/>
      <c r="Z479" s="217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7"/>
      <c r="AL479" s="217"/>
      <c r="AM479" s="217"/>
      <c r="AN479" s="217"/>
      <c r="AO479" s="217"/>
      <c r="AP479" s="217"/>
      <c r="AQ479" s="217"/>
      <c r="AR479" s="217"/>
      <c r="AS479" s="217"/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17"/>
      <c r="BY479" s="217"/>
      <c r="BZ479" s="217"/>
      <c r="CA479" s="217"/>
      <c r="CB479" s="217"/>
      <c r="CC479" s="217"/>
      <c r="CD479" s="217"/>
      <c r="CE479" s="217"/>
      <c r="CF479" s="217"/>
      <c r="CG479" s="217"/>
      <c r="CH479" s="217"/>
      <c r="CI479" s="217"/>
      <c r="CJ479" s="217"/>
      <c r="CK479" s="217"/>
      <c r="CL479" s="217"/>
      <c r="CM479" s="217"/>
      <c r="CN479" s="217"/>
      <c r="CO479" s="217"/>
      <c r="CP479" s="217"/>
      <c r="CQ479" s="217"/>
      <c r="CR479" s="217"/>
      <c r="CS479" s="217"/>
      <c r="CT479" s="217"/>
      <c r="CU479" s="217"/>
      <c r="CV479" s="217"/>
      <c r="CW479" s="217"/>
      <c r="CX479" s="217"/>
      <c r="CY479" s="217"/>
      <c r="CZ479" s="217"/>
      <c r="DA479" s="217"/>
      <c r="DB479" s="217"/>
      <c r="DC479" s="217"/>
      <c r="DD479" s="217"/>
      <c r="DE479" s="217"/>
      <c r="DF479" s="217"/>
      <c r="DG479" s="217"/>
      <c r="DH479" s="217"/>
      <c r="DI479" s="217"/>
      <c r="DJ479" s="217"/>
      <c r="DK479" s="217"/>
      <c r="DL479" s="217"/>
      <c r="DM479" s="217"/>
      <c r="DN479" s="217"/>
      <c r="DO479" s="217"/>
      <c r="DP479" s="217"/>
      <c r="DQ479" s="217"/>
    </row>
    <row r="480" spans="1:121" ht="30" x14ac:dyDescent="0.25">
      <c r="B480" s="199" t="s">
        <v>594</v>
      </c>
      <c r="C480" s="199" t="s">
        <v>594</v>
      </c>
      <c r="D480" s="199" t="s">
        <v>594</v>
      </c>
      <c r="E480" s="199" t="s">
        <v>594</v>
      </c>
      <c r="F480" s="199" t="s">
        <v>594</v>
      </c>
      <c r="G480" s="199" t="s">
        <v>594</v>
      </c>
      <c r="H480" s="199" t="s">
        <v>594</v>
      </c>
      <c r="I480" s="199" t="s">
        <v>594</v>
      </c>
      <c r="J480" s="199" t="s">
        <v>594</v>
      </c>
      <c r="K480" s="199" t="s">
        <v>594</v>
      </c>
      <c r="L480" s="200" t="s">
        <v>594</v>
      </c>
      <c r="M480" s="200" t="s">
        <v>594</v>
      </c>
      <c r="N480" s="201" t="s">
        <v>595</v>
      </c>
      <c r="O480" s="201" t="s">
        <v>595</v>
      </c>
      <c r="P480" s="201" t="s">
        <v>595</v>
      </c>
      <c r="Q480" s="201" t="s">
        <v>595</v>
      </c>
      <c r="R480" s="201" t="s">
        <v>595</v>
      </c>
      <c r="S480" s="201" t="s">
        <v>595</v>
      </c>
      <c r="T480" s="201" t="s">
        <v>595</v>
      </c>
      <c r="U480" s="201" t="s">
        <v>595</v>
      </c>
      <c r="V480" s="202" t="s">
        <v>595</v>
      </c>
      <c r="W480" s="202" t="s">
        <v>595</v>
      </c>
      <c r="X480" s="202" t="s">
        <v>595</v>
      </c>
      <c r="Y480" s="202" t="s">
        <v>595</v>
      </c>
      <c r="Z480" s="199" t="s">
        <v>596</v>
      </c>
      <c r="AA480" s="199" t="s">
        <v>596</v>
      </c>
      <c r="AB480" s="199" t="s">
        <v>596</v>
      </c>
      <c r="AC480" s="199" t="s">
        <v>596</v>
      </c>
      <c r="AD480" s="199" t="s">
        <v>596</v>
      </c>
      <c r="AE480" s="199" t="s">
        <v>596</v>
      </c>
      <c r="AF480" s="199" t="s">
        <v>596</v>
      </c>
      <c r="AG480" s="199" t="s">
        <v>596</v>
      </c>
      <c r="AH480" s="199" t="s">
        <v>596</v>
      </c>
      <c r="AI480" s="199" t="s">
        <v>596</v>
      </c>
      <c r="AJ480" s="200" t="s">
        <v>596</v>
      </c>
      <c r="AK480" s="200" t="s">
        <v>596</v>
      </c>
      <c r="AL480" s="201" t="s">
        <v>597</v>
      </c>
      <c r="AM480" s="201" t="s">
        <v>597</v>
      </c>
      <c r="AN480" s="201" t="s">
        <v>597</v>
      </c>
      <c r="AO480" s="201" t="s">
        <v>597</v>
      </c>
      <c r="AP480" s="201" t="s">
        <v>597</v>
      </c>
      <c r="AQ480" s="201" t="s">
        <v>597</v>
      </c>
      <c r="AR480" s="201" t="s">
        <v>597</v>
      </c>
      <c r="AS480" s="201" t="s">
        <v>597</v>
      </c>
      <c r="AT480" s="202" t="s">
        <v>597</v>
      </c>
      <c r="AU480" s="202" t="s">
        <v>597</v>
      </c>
      <c r="AV480" s="202" t="s">
        <v>597</v>
      </c>
      <c r="AW480" s="202" t="s">
        <v>597</v>
      </c>
      <c r="AX480" s="199" t="s">
        <v>598</v>
      </c>
      <c r="AY480" s="199" t="s">
        <v>598</v>
      </c>
      <c r="AZ480" s="199" t="s">
        <v>598</v>
      </c>
      <c r="BA480" s="199" t="s">
        <v>598</v>
      </c>
      <c r="BB480" s="199" t="s">
        <v>598</v>
      </c>
      <c r="BC480" s="199" t="s">
        <v>598</v>
      </c>
      <c r="BD480" s="199" t="s">
        <v>598</v>
      </c>
      <c r="BE480" s="199" t="s">
        <v>598</v>
      </c>
      <c r="BF480" s="199" t="s">
        <v>598</v>
      </c>
      <c r="BG480" s="199" t="s">
        <v>598</v>
      </c>
      <c r="BH480" s="200" t="s">
        <v>598</v>
      </c>
      <c r="BI480" s="200" t="s">
        <v>598</v>
      </c>
      <c r="BJ480" s="201" t="s">
        <v>599</v>
      </c>
      <c r="BK480" s="201" t="s">
        <v>599</v>
      </c>
      <c r="BL480" s="201" t="s">
        <v>599</v>
      </c>
      <c r="BM480" s="201" t="s">
        <v>599</v>
      </c>
      <c r="BN480" s="201" t="s">
        <v>599</v>
      </c>
      <c r="BO480" s="201" t="s">
        <v>599</v>
      </c>
      <c r="BP480" s="201" t="s">
        <v>599</v>
      </c>
      <c r="BQ480" s="201" t="s">
        <v>599</v>
      </c>
      <c r="BR480" s="202" t="s">
        <v>599</v>
      </c>
      <c r="BS480" s="202" t="s">
        <v>599</v>
      </c>
      <c r="BT480" s="202" t="s">
        <v>599</v>
      </c>
      <c r="BU480" s="202" t="s">
        <v>599</v>
      </c>
      <c r="BV480" s="199" t="s">
        <v>600</v>
      </c>
      <c r="BW480" s="199" t="s">
        <v>600</v>
      </c>
      <c r="BX480" s="199" t="s">
        <v>600</v>
      </c>
      <c r="BY480" s="199" t="s">
        <v>600</v>
      </c>
      <c r="BZ480" s="199" t="s">
        <v>600</v>
      </c>
      <c r="CA480" s="199" t="s">
        <v>600</v>
      </c>
      <c r="CB480" s="199" t="s">
        <v>600</v>
      </c>
      <c r="CC480" s="199" t="s">
        <v>600</v>
      </c>
      <c r="CD480" s="199" t="s">
        <v>600</v>
      </c>
      <c r="CE480" s="199" t="s">
        <v>600</v>
      </c>
      <c r="CF480" s="200" t="s">
        <v>600</v>
      </c>
      <c r="CG480" s="200" t="s">
        <v>600</v>
      </c>
      <c r="CH480" s="201" t="s">
        <v>601</v>
      </c>
      <c r="CI480" s="201" t="s">
        <v>601</v>
      </c>
      <c r="CJ480" s="201" t="s">
        <v>601</v>
      </c>
      <c r="CK480" s="201" t="s">
        <v>601</v>
      </c>
      <c r="CL480" s="201" t="s">
        <v>601</v>
      </c>
      <c r="CM480" s="201" t="s">
        <v>601</v>
      </c>
      <c r="CN480" s="201" t="s">
        <v>601</v>
      </c>
      <c r="CO480" s="201" t="s">
        <v>601</v>
      </c>
      <c r="CP480" s="202" t="s">
        <v>601</v>
      </c>
      <c r="CQ480" s="202" t="s">
        <v>601</v>
      </c>
      <c r="CR480" s="202" t="s">
        <v>601</v>
      </c>
      <c r="CS480" s="202" t="s">
        <v>601</v>
      </c>
      <c r="CT480" s="199" t="s">
        <v>602</v>
      </c>
      <c r="CU480" s="199" t="s">
        <v>602</v>
      </c>
      <c r="CV480" s="199" t="s">
        <v>602</v>
      </c>
      <c r="CW480" s="199" t="s">
        <v>602</v>
      </c>
      <c r="CX480" s="199" t="s">
        <v>602</v>
      </c>
      <c r="CY480" s="199" t="s">
        <v>602</v>
      </c>
      <c r="CZ480" s="199" t="s">
        <v>602</v>
      </c>
      <c r="DA480" s="199" t="s">
        <v>602</v>
      </c>
      <c r="DB480" s="199" t="s">
        <v>602</v>
      </c>
      <c r="DC480" s="199" t="s">
        <v>602</v>
      </c>
      <c r="DD480" s="200" t="s">
        <v>602</v>
      </c>
      <c r="DE480" s="200" t="s">
        <v>602</v>
      </c>
      <c r="DF480" s="201" t="s">
        <v>603</v>
      </c>
      <c r="DG480" s="201" t="s">
        <v>603</v>
      </c>
      <c r="DH480" s="201" t="s">
        <v>603</v>
      </c>
      <c r="DI480" s="201" t="s">
        <v>603</v>
      </c>
      <c r="DJ480" s="201" t="s">
        <v>603</v>
      </c>
      <c r="DK480" s="201" t="s">
        <v>603</v>
      </c>
      <c r="DL480" s="201" t="s">
        <v>603</v>
      </c>
      <c r="DM480" s="201" t="s">
        <v>603</v>
      </c>
      <c r="DN480" s="202" t="s">
        <v>603</v>
      </c>
      <c r="DO480" s="202" t="s">
        <v>603</v>
      </c>
      <c r="DP480" s="202" t="s">
        <v>603</v>
      </c>
      <c r="DQ480" s="202" t="s">
        <v>603</v>
      </c>
    </row>
    <row r="481" spans="1:121" x14ac:dyDescent="0.25">
      <c r="A481" s="491" t="s">
        <v>797</v>
      </c>
      <c r="B481" s="199">
        <v>2011</v>
      </c>
      <c r="C481" s="199">
        <v>2012</v>
      </c>
      <c r="D481" s="199">
        <v>2013</v>
      </c>
      <c r="E481" s="199">
        <v>2014</v>
      </c>
      <c r="F481" s="199">
        <v>2015</v>
      </c>
      <c r="G481" s="199">
        <v>2016</v>
      </c>
      <c r="H481" s="199">
        <v>2017</v>
      </c>
      <c r="I481" s="199">
        <v>2018</v>
      </c>
      <c r="J481" s="199">
        <v>2019</v>
      </c>
      <c r="K481" s="199">
        <v>2020</v>
      </c>
      <c r="L481" s="199">
        <v>2021</v>
      </c>
      <c r="M481" s="199">
        <v>2022</v>
      </c>
      <c r="N481" s="202">
        <v>2011</v>
      </c>
      <c r="O481" s="202">
        <v>2012</v>
      </c>
      <c r="P481" s="202">
        <v>2013</v>
      </c>
      <c r="Q481" s="202">
        <v>2014</v>
      </c>
      <c r="R481" s="202">
        <v>2015</v>
      </c>
      <c r="S481" s="202">
        <v>2016</v>
      </c>
      <c r="T481" s="202">
        <v>2017</v>
      </c>
      <c r="U481" s="202">
        <v>2018</v>
      </c>
      <c r="V481" s="202">
        <v>2019</v>
      </c>
      <c r="W481" s="202">
        <v>2020</v>
      </c>
      <c r="X481" s="202">
        <v>2021</v>
      </c>
      <c r="Y481" s="202">
        <v>2022</v>
      </c>
      <c r="Z481" s="199">
        <v>2011</v>
      </c>
      <c r="AA481" s="199">
        <v>2012</v>
      </c>
      <c r="AB481" s="199">
        <v>2013</v>
      </c>
      <c r="AC481" s="199">
        <v>2014</v>
      </c>
      <c r="AD481" s="199">
        <v>2015</v>
      </c>
      <c r="AE481" s="199">
        <v>2016</v>
      </c>
      <c r="AF481" s="199">
        <v>2017</v>
      </c>
      <c r="AG481" s="199">
        <v>2018</v>
      </c>
      <c r="AH481" s="199">
        <v>2019</v>
      </c>
      <c r="AI481" s="199">
        <v>2020</v>
      </c>
      <c r="AJ481" s="199">
        <v>2021</v>
      </c>
      <c r="AK481" s="199">
        <v>2022</v>
      </c>
      <c r="AL481" s="202">
        <v>2011</v>
      </c>
      <c r="AM481" s="202">
        <v>2012</v>
      </c>
      <c r="AN481" s="202">
        <v>2013</v>
      </c>
      <c r="AO481" s="202">
        <v>2014</v>
      </c>
      <c r="AP481" s="202">
        <v>2015</v>
      </c>
      <c r="AQ481" s="202">
        <v>2016</v>
      </c>
      <c r="AR481" s="202">
        <v>2017</v>
      </c>
      <c r="AS481" s="202">
        <v>2018</v>
      </c>
      <c r="AT481" s="202">
        <v>2019</v>
      </c>
      <c r="AU481" s="202">
        <v>2020</v>
      </c>
      <c r="AV481" s="202">
        <v>2021</v>
      </c>
      <c r="AW481" s="202">
        <v>2022</v>
      </c>
      <c r="AX481" s="199">
        <v>2011</v>
      </c>
      <c r="AY481" s="199">
        <v>2012</v>
      </c>
      <c r="AZ481" s="199">
        <v>2013</v>
      </c>
      <c r="BA481" s="199">
        <v>2014</v>
      </c>
      <c r="BB481" s="199">
        <v>2015</v>
      </c>
      <c r="BC481" s="199">
        <v>2016</v>
      </c>
      <c r="BD481" s="199">
        <v>2017</v>
      </c>
      <c r="BE481" s="199">
        <v>2018</v>
      </c>
      <c r="BF481" s="199">
        <v>2019</v>
      </c>
      <c r="BG481" s="199">
        <v>2020</v>
      </c>
      <c r="BH481" s="199">
        <v>2021</v>
      </c>
      <c r="BI481" s="199">
        <v>2022</v>
      </c>
      <c r="BJ481" s="202">
        <v>2011</v>
      </c>
      <c r="BK481" s="202">
        <v>2012</v>
      </c>
      <c r="BL481" s="202">
        <v>2013</v>
      </c>
      <c r="BM481" s="202">
        <v>2014</v>
      </c>
      <c r="BN481" s="202">
        <v>2015</v>
      </c>
      <c r="BO481" s="202">
        <v>2016</v>
      </c>
      <c r="BP481" s="202">
        <v>2017</v>
      </c>
      <c r="BQ481" s="202">
        <v>2018</v>
      </c>
      <c r="BR481" s="202">
        <v>2019</v>
      </c>
      <c r="BS481" s="202">
        <v>2020</v>
      </c>
      <c r="BT481" s="202">
        <v>2021</v>
      </c>
      <c r="BU481" s="202">
        <v>2022</v>
      </c>
      <c r="BV481" s="199">
        <v>2011</v>
      </c>
      <c r="BW481" s="199">
        <v>2012</v>
      </c>
      <c r="BX481" s="199">
        <v>2013</v>
      </c>
      <c r="BY481" s="199">
        <v>2014</v>
      </c>
      <c r="BZ481" s="199">
        <v>2015</v>
      </c>
      <c r="CA481" s="199">
        <v>2016</v>
      </c>
      <c r="CB481" s="199">
        <v>2017</v>
      </c>
      <c r="CC481" s="199">
        <v>2018</v>
      </c>
      <c r="CD481" s="199">
        <v>2019</v>
      </c>
      <c r="CE481" s="199">
        <v>2020</v>
      </c>
      <c r="CF481" s="199">
        <v>2021</v>
      </c>
      <c r="CG481" s="199">
        <v>2022</v>
      </c>
      <c r="CH481" s="202">
        <v>2011</v>
      </c>
      <c r="CI481" s="202">
        <v>2012</v>
      </c>
      <c r="CJ481" s="202">
        <v>2013</v>
      </c>
      <c r="CK481" s="202">
        <v>2014</v>
      </c>
      <c r="CL481" s="202">
        <v>2015</v>
      </c>
      <c r="CM481" s="202">
        <v>2016</v>
      </c>
      <c r="CN481" s="202">
        <v>2017</v>
      </c>
      <c r="CO481" s="202">
        <v>2018</v>
      </c>
      <c r="CP481" s="202">
        <v>2019</v>
      </c>
      <c r="CQ481" s="202">
        <v>2020</v>
      </c>
      <c r="CR481" s="202">
        <v>2021</v>
      </c>
      <c r="CS481" s="202">
        <v>2022</v>
      </c>
      <c r="CT481" s="199">
        <v>2011</v>
      </c>
      <c r="CU481" s="199">
        <v>2012</v>
      </c>
      <c r="CV481" s="199">
        <v>2013</v>
      </c>
      <c r="CW481" s="199">
        <v>2014</v>
      </c>
      <c r="CX481" s="199">
        <v>2015</v>
      </c>
      <c r="CY481" s="199">
        <v>2016</v>
      </c>
      <c r="CZ481" s="199">
        <v>2017</v>
      </c>
      <c r="DA481" s="199">
        <v>2018</v>
      </c>
      <c r="DB481" s="199">
        <v>2019</v>
      </c>
      <c r="DC481" s="199">
        <v>2020</v>
      </c>
      <c r="DD481" s="199">
        <v>2021</v>
      </c>
      <c r="DE481" s="199">
        <v>2022</v>
      </c>
      <c r="DF481" s="202">
        <v>2011</v>
      </c>
      <c r="DG481" s="202">
        <v>2012</v>
      </c>
      <c r="DH481" s="202">
        <v>2013</v>
      </c>
      <c r="DI481" s="202">
        <v>2014</v>
      </c>
      <c r="DJ481" s="202">
        <v>2015</v>
      </c>
      <c r="DK481" s="202">
        <v>2016</v>
      </c>
      <c r="DL481" s="202">
        <v>2017</v>
      </c>
      <c r="DM481" s="202">
        <v>2018</v>
      </c>
      <c r="DN481" s="202">
        <v>2019</v>
      </c>
      <c r="DO481" s="202">
        <v>2020</v>
      </c>
      <c r="DP481" s="202">
        <v>2021</v>
      </c>
      <c r="DQ481" s="202">
        <v>2022</v>
      </c>
    </row>
    <row r="482" spans="1:121" x14ac:dyDescent="0.25">
      <c r="A482">
        <v>1</v>
      </c>
      <c r="B482" s="494">
        <v>1153933.9863491917</v>
      </c>
      <c r="C482" s="494">
        <v>2546750.3831547895</v>
      </c>
      <c r="D482" s="494">
        <v>1</v>
      </c>
      <c r="E482" s="494">
        <v>1</v>
      </c>
      <c r="F482" s="494">
        <v>1</v>
      </c>
      <c r="G482" s="494">
        <v>1</v>
      </c>
      <c r="H482" s="494">
        <v>1</v>
      </c>
      <c r="I482" s="494">
        <v>1</v>
      </c>
      <c r="J482" s="494">
        <v>1</v>
      </c>
      <c r="K482" s="494">
        <v>1</v>
      </c>
      <c r="L482" s="494">
        <v>1</v>
      </c>
      <c r="M482" s="494">
        <v>1</v>
      </c>
      <c r="N482" s="494">
        <v>1046665</v>
      </c>
      <c r="O482" s="494">
        <v>2435826</v>
      </c>
      <c r="P482" s="494">
        <v>1</v>
      </c>
      <c r="Q482" s="494">
        <v>1</v>
      </c>
      <c r="R482" s="494">
        <v>1</v>
      </c>
      <c r="S482" s="494">
        <v>1</v>
      </c>
      <c r="T482" s="494">
        <v>1</v>
      </c>
      <c r="U482" s="494">
        <v>1</v>
      </c>
      <c r="V482" s="494">
        <v>1</v>
      </c>
      <c r="W482" s="494">
        <v>1</v>
      </c>
      <c r="X482" s="494">
        <v>1</v>
      </c>
      <c r="Y482" s="494">
        <v>1</v>
      </c>
      <c r="Z482" s="494">
        <v>1046946.4763377374</v>
      </c>
      <c r="AA482" s="494">
        <v>2053320.5943339372</v>
      </c>
      <c r="AB482" s="494">
        <v>1</v>
      </c>
      <c r="AC482" s="494">
        <v>1</v>
      </c>
      <c r="AD482" s="494">
        <v>1</v>
      </c>
      <c r="AE482" s="494">
        <v>1</v>
      </c>
      <c r="AF482" s="494">
        <v>1</v>
      </c>
      <c r="AG482" s="494">
        <v>1</v>
      </c>
      <c r="AH482" s="494">
        <v>1</v>
      </c>
      <c r="AI482" s="494">
        <v>1</v>
      </c>
      <c r="AJ482" s="494">
        <v>1</v>
      </c>
      <c r="AK482" s="494">
        <v>1</v>
      </c>
      <c r="AL482" s="494">
        <v>3951022</v>
      </c>
      <c r="AM482" s="494">
        <v>8692541</v>
      </c>
      <c r="AN482" s="494">
        <v>1</v>
      </c>
      <c r="AO482" s="494">
        <v>1</v>
      </c>
      <c r="AP482" s="494">
        <v>1</v>
      </c>
      <c r="AQ482" s="494">
        <v>1</v>
      </c>
      <c r="AR482" s="494">
        <v>1</v>
      </c>
      <c r="AS482" s="494">
        <v>1</v>
      </c>
      <c r="AT482" s="494">
        <v>1</v>
      </c>
      <c r="AU482" s="494">
        <v>1</v>
      </c>
      <c r="AV482" s="494">
        <v>1</v>
      </c>
      <c r="AW482" s="494">
        <v>1</v>
      </c>
      <c r="AX482" s="494">
        <v>1989857</v>
      </c>
      <c r="AY482" s="494">
        <v>4824346</v>
      </c>
      <c r="AZ482" s="494">
        <v>1</v>
      </c>
      <c r="BA482" s="494">
        <v>1</v>
      </c>
      <c r="BB482" s="494">
        <v>1</v>
      </c>
      <c r="BC482" s="494">
        <v>1</v>
      </c>
      <c r="BD482" s="494">
        <v>1</v>
      </c>
      <c r="BE482" s="494">
        <v>1</v>
      </c>
      <c r="BF482" s="494">
        <v>1</v>
      </c>
      <c r="BG482" s="494">
        <v>1</v>
      </c>
      <c r="BH482" s="494">
        <v>1</v>
      </c>
      <c r="BI482" s="494">
        <v>1</v>
      </c>
      <c r="BJ482" s="494">
        <v>989092.93176678615</v>
      </c>
      <c r="BK482" s="494">
        <v>2274442.6299564466</v>
      </c>
      <c r="BL482" s="494">
        <v>1</v>
      </c>
      <c r="BM482" s="494">
        <v>1</v>
      </c>
      <c r="BN482" s="494">
        <v>1</v>
      </c>
      <c r="BO482" s="494">
        <v>1</v>
      </c>
      <c r="BP482" s="494">
        <v>1</v>
      </c>
      <c r="BQ482" s="494">
        <v>1</v>
      </c>
      <c r="BR482" s="494">
        <v>1</v>
      </c>
      <c r="BS482" s="494">
        <v>1</v>
      </c>
      <c r="BT482" s="494">
        <v>1</v>
      </c>
      <c r="BU482" s="494">
        <v>1</v>
      </c>
      <c r="BV482" s="494" t="s">
        <v>12</v>
      </c>
      <c r="BW482" s="494" t="s">
        <v>12</v>
      </c>
      <c r="BX482" s="494" t="s">
        <v>12</v>
      </c>
      <c r="BY482" s="494" t="s">
        <v>12</v>
      </c>
      <c r="BZ482" s="494" t="s">
        <v>12</v>
      </c>
      <c r="CA482" s="494" t="s">
        <v>12</v>
      </c>
      <c r="CB482" s="494" t="s">
        <v>12</v>
      </c>
      <c r="CC482" s="494" t="s">
        <v>12</v>
      </c>
      <c r="CD482" s="494" t="s">
        <v>12</v>
      </c>
      <c r="CE482" s="494" t="s">
        <v>12</v>
      </c>
      <c r="CF482" s="494" t="s">
        <v>12</v>
      </c>
      <c r="CG482" s="494" t="s">
        <v>12</v>
      </c>
      <c r="CH482" s="494" t="s">
        <v>12</v>
      </c>
      <c r="CI482" s="494" t="s">
        <v>12</v>
      </c>
      <c r="CJ482" s="494" t="s">
        <v>12</v>
      </c>
      <c r="CK482" s="494" t="s">
        <v>12</v>
      </c>
      <c r="CL482" s="494" t="s">
        <v>12</v>
      </c>
      <c r="CM482" s="494" t="s">
        <v>12</v>
      </c>
      <c r="CN482" s="494" t="s">
        <v>12</v>
      </c>
      <c r="CO482" s="494" t="s">
        <v>12</v>
      </c>
      <c r="CP482" s="494" t="s">
        <v>12</v>
      </c>
      <c r="CQ482" s="494" t="s">
        <v>12</v>
      </c>
      <c r="CR482" s="494" t="s">
        <v>12</v>
      </c>
      <c r="CS482" s="494" t="s">
        <v>12</v>
      </c>
      <c r="CT482" s="494" t="s">
        <v>12</v>
      </c>
      <c r="CU482" s="494" t="s">
        <v>12</v>
      </c>
      <c r="CV482" s="494" t="s">
        <v>12</v>
      </c>
      <c r="CW482" s="494" t="s">
        <v>12</v>
      </c>
      <c r="CX482" s="494" t="s">
        <v>12</v>
      </c>
      <c r="CY482" s="494" t="s">
        <v>12</v>
      </c>
      <c r="CZ482" s="494" t="s">
        <v>12</v>
      </c>
      <c r="DA482" s="494" t="s">
        <v>12</v>
      </c>
      <c r="DB482" s="494" t="s">
        <v>12</v>
      </c>
      <c r="DC482" s="494" t="s">
        <v>12</v>
      </c>
      <c r="DD482" s="494" t="s">
        <v>12</v>
      </c>
      <c r="DE482" s="494" t="s">
        <v>12</v>
      </c>
      <c r="DF482" s="494" t="s">
        <v>12</v>
      </c>
      <c r="DG482" s="494" t="s">
        <v>12</v>
      </c>
      <c r="DH482" s="494" t="s">
        <v>12</v>
      </c>
      <c r="DI482" s="494" t="s">
        <v>12</v>
      </c>
      <c r="DJ482" s="494" t="s">
        <v>12</v>
      </c>
      <c r="DK482" s="494" t="s">
        <v>12</v>
      </c>
      <c r="DL482" s="494" t="s">
        <v>12</v>
      </c>
      <c r="DM482" s="494" t="s">
        <v>12</v>
      </c>
      <c r="DN482" s="494" t="s">
        <v>12</v>
      </c>
      <c r="DO482" s="494" t="s">
        <v>12</v>
      </c>
      <c r="DP482" s="494" t="s">
        <v>12</v>
      </c>
      <c r="DQ482" s="494" t="s">
        <v>12</v>
      </c>
    </row>
    <row r="483" spans="1:121" x14ac:dyDescent="0.25">
      <c r="A483">
        <v>2</v>
      </c>
      <c r="B483" s="494">
        <v>1</v>
      </c>
      <c r="C483" s="494">
        <v>82337</v>
      </c>
      <c r="D483" s="494">
        <v>1</v>
      </c>
      <c r="E483" s="494">
        <v>1</v>
      </c>
      <c r="F483" s="494">
        <v>1</v>
      </c>
      <c r="G483" s="494">
        <v>1</v>
      </c>
      <c r="H483" s="494">
        <v>1</v>
      </c>
      <c r="I483" s="494">
        <v>1</v>
      </c>
      <c r="J483" s="494">
        <v>1</v>
      </c>
      <c r="K483" s="494">
        <v>1</v>
      </c>
      <c r="L483" s="494">
        <v>1</v>
      </c>
      <c r="M483" s="494">
        <v>1</v>
      </c>
      <c r="N483" s="494">
        <v>1</v>
      </c>
      <c r="O483" s="494">
        <v>868708</v>
      </c>
      <c r="P483" s="494">
        <v>1</v>
      </c>
      <c r="Q483" s="494">
        <v>1</v>
      </c>
      <c r="R483" s="494">
        <v>1</v>
      </c>
      <c r="S483" s="494">
        <v>1</v>
      </c>
      <c r="T483" s="494">
        <v>1</v>
      </c>
      <c r="U483" s="494">
        <v>1</v>
      </c>
      <c r="V483" s="494">
        <v>1</v>
      </c>
      <c r="W483" s="494">
        <v>1</v>
      </c>
      <c r="X483" s="494">
        <v>1</v>
      </c>
      <c r="Y483" s="494">
        <v>1</v>
      </c>
      <c r="Z483" s="494">
        <v>1</v>
      </c>
      <c r="AA483" s="494">
        <v>6984322</v>
      </c>
      <c r="AB483" s="494">
        <v>1</v>
      </c>
      <c r="AC483" s="494">
        <v>1</v>
      </c>
      <c r="AD483" s="494">
        <v>1</v>
      </c>
      <c r="AE483" s="494">
        <v>1</v>
      </c>
      <c r="AF483" s="494">
        <v>1</v>
      </c>
      <c r="AG483" s="494">
        <v>1</v>
      </c>
      <c r="AH483" s="494">
        <v>1</v>
      </c>
      <c r="AI483" s="494">
        <v>1</v>
      </c>
      <c r="AJ483" s="494">
        <v>1</v>
      </c>
      <c r="AK483" s="494">
        <v>1</v>
      </c>
      <c r="AL483" s="494">
        <v>1</v>
      </c>
      <c r="AM483" s="494">
        <v>363010</v>
      </c>
      <c r="AN483" s="494">
        <v>1</v>
      </c>
      <c r="AO483" s="494">
        <v>1</v>
      </c>
      <c r="AP483" s="494">
        <v>1</v>
      </c>
      <c r="AQ483" s="494">
        <v>1</v>
      </c>
      <c r="AR483" s="494">
        <v>1</v>
      </c>
      <c r="AS483" s="494">
        <v>1</v>
      </c>
      <c r="AT483" s="494">
        <v>1</v>
      </c>
      <c r="AU483" s="494">
        <v>1</v>
      </c>
      <c r="AV483" s="494">
        <v>1</v>
      </c>
      <c r="AW483" s="494">
        <v>1</v>
      </c>
      <c r="AX483" s="494">
        <v>1</v>
      </c>
      <c r="AY483" s="494">
        <v>705200</v>
      </c>
      <c r="AZ483" s="494">
        <v>1</v>
      </c>
      <c r="BA483" s="494">
        <v>1</v>
      </c>
      <c r="BB483" s="494">
        <v>1</v>
      </c>
      <c r="BC483" s="494">
        <v>1</v>
      </c>
      <c r="BD483" s="494">
        <v>1</v>
      </c>
      <c r="BE483" s="494">
        <v>1</v>
      </c>
      <c r="BF483" s="494">
        <v>1</v>
      </c>
      <c r="BG483" s="494">
        <v>1</v>
      </c>
      <c r="BH483" s="494">
        <v>1</v>
      </c>
      <c r="BI483" s="494">
        <v>1</v>
      </c>
      <c r="BJ483" s="494">
        <v>1</v>
      </c>
      <c r="BK483" s="494">
        <v>884654</v>
      </c>
      <c r="BL483" s="494">
        <v>1</v>
      </c>
      <c r="BM483" s="494">
        <v>1</v>
      </c>
      <c r="BN483" s="494">
        <v>1</v>
      </c>
      <c r="BO483" s="494">
        <v>1</v>
      </c>
      <c r="BP483" s="494">
        <v>1</v>
      </c>
      <c r="BQ483" s="494">
        <v>1</v>
      </c>
      <c r="BR483" s="494">
        <v>1</v>
      </c>
      <c r="BS483" s="494">
        <v>1</v>
      </c>
      <c r="BT483" s="494">
        <v>1</v>
      </c>
      <c r="BU483" s="494">
        <v>1</v>
      </c>
      <c r="BV483" s="494" t="s">
        <v>12</v>
      </c>
      <c r="BW483" s="494" t="s">
        <v>12</v>
      </c>
      <c r="BX483" s="494" t="s">
        <v>12</v>
      </c>
      <c r="BY483" s="494" t="s">
        <v>12</v>
      </c>
      <c r="BZ483" s="494" t="s">
        <v>12</v>
      </c>
      <c r="CA483" s="494" t="s">
        <v>12</v>
      </c>
      <c r="CB483" s="494" t="s">
        <v>12</v>
      </c>
      <c r="CC483" s="494" t="s">
        <v>12</v>
      </c>
      <c r="CD483" s="494" t="s">
        <v>12</v>
      </c>
      <c r="CE483" s="494" t="s">
        <v>12</v>
      </c>
      <c r="CF483" s="494" t="s">
        <v>12</v>
      </c>
      <c r="CG483" s="494" t="s">
        <v>12</v>
      </c>
      <c r="CH483" s="494" t="s">
        <v>12</v>
      </c>
      <c r="CI483" s="494" t="s">
        <v>12</v>
      </c>
      <c r="CJ483" s="494" t="s">
        <v>12</v>
      </c>
      <c r="CK483" s="494" t="s">
        <v>12</v>
      </c>
      <c r="CL483" s="494" t="s">
        <v>12</v>
      </c>
      <c r="CM483" s="494" t="s">
        <v>12</v>
      </c>
      <c r="CN483" s="494" t="s">
        <v>12</v>
      </c>
      <c r="CO483" s="494" t="s">
        <v>12</v>
      </c>
      <c r="CP483" s="494" t="s">
        <v>12</v>
      </c>
      <c r="CQ483" s="494" t="s">
        <v>12</v>
      </c>
      <c r="CR483" s="494" t="s">
        <v>12</v>
      </c>
      <c r="CS483" s="494" t="s">
        <v>12</v>
      </c>
      <c r="CT483" s="494" t="s">
        <v>12</v>
      </c>
      <c r="CU483" s="494" t="s">
        <v>12</v>
      </c>
      <c r="CV483" s="494" t="s">
        <v>12</v>
      </c>
      <c r="CW483" s="494" t="s">
        <v>12</v>
      </c>
      <c r="CX483" s="494" t="s">
        <v>12</v>
      </c>
      <c r="CY483" s="494" t="s">
        <v>12</v>
      </c>
      <c r="CZ483" s="494" t="s">
        <v>12</v>
      </c>
      <c r="DA483" s="494" t="s">
        <v>12</v>
      </c>
      <c r="DB483" s="494" t="s">
        <v>12</v>
      </c>
      <c r="DC483" s="494" t="s">
        <v>12</v>
      </c>
      <c r="DD483" s="494" t="s">
        <v>12</v>
      </c>
      <c r="DE483" s="494" t="s">
        <v>12</v>
      </c>
      <c r="DF483" s="494" t="s">
        <v>12</v>
      </c>
      <c r="DG483" s="494" t="s">
        <v>12</v>
      </c>
      <c r="DH483" s="494" t="s">
        <v>12</v>
      </c>
      <c r="DI483" s="494" t="s">
        <v>12</v>
      </c>
      <c r="DJ483" s="494" t="s">
        <v>12</v>
      </c>
      <c r="DK483" s="494" t="s">
        <v>12</v>
      </c>
      <c r="DL483" s="494" t="s">
        <v>12</v>
      </c>
      <c r="DM483" s="494" t="s">
        <v>12</v>
      </c>
      <c r="DN483" s="494" t="s">
        <v>12</v>
      </c>
      <c r="DO483" s="494" t="s">
        <v>12</v>
      </c>
      <c r="DP483" s="494" t="s">
        <v>12</v>
      </c>
      <c r="DQ483" s="494" t="s">
        <v>12</v>
      </c>
    </row>
    <row r="484" spans="1:121" x14ac:dyDescent="0.25">
      <c r="A484">
        <v>3</v>
      </c>
      <c r="B484" s="494" t="s">
        <v>12</v>
      </c>
      <c r="C484" s="494" t="s">
        <v>12</v>
      </c>
      <c r="D484" s="494" t="s">
        <v>12</v>
      </c>
      <c r="E484" s="494" t="s">
        <v>12</v>
      </c>
      <c r="F484" s="494" t="s">
        <v>12</v>
      </c>
      <c r="G484" s="494" t="s">
        <v>12</v>
      </c>
      <c r="H484" s="494" t="s">
        <v>12</v>
      </c>
      <c r="I484" s="494" t="s">
        <v>12</v>
      </c>
      <c r="J484" s="494" t="s">
        <v>12</v>
      </c>
      <c r="K484" s="494" t="s">
        <v>12</v>
      </c>
      <c r="L484" s="494" t="s">
        <v>12</v>
      </c>
      <c r="M484" s="494" t="s">
        <v>12</v>
      </c>
      <c r="N484" s="494" t="s">
        <v>12</v>
      </c>
      <c r="O484" s="494" t="s">
        <v>12</v>
      </c>
      <c r="P484" s="494" t="s">
        <v>12</v>
      </c>
      <c r="Q484" s="494" t="s">
        <v>12</v>
      </c>
      <c r="R484" s="494" t="s">
        <v>12</v>
      </c>
      <c r="S484" s="494" t="s">
        <v>12</v>
      </c>
      <c r="T484" s="494" t="s">
        <v>12</v>
      </c>
      <c r="U484" s="494" t="s">
        <v>12</v>
      </c>
      <c r="V484" s="494" t="s">
        <v>12</v>
      </c>
      <c r="W484" s="494" t="s">
        <v>12</v>
      </c>
      <c r="X484" s="494" t="s">
        <v>12</v>
      </c>
      <c r="Y484" s="494" t="s">
        <v>12</v>
      </c>
      <c r="Z484" s="494" t="s">
        <v>12</v>
      </c>
      <c r="AA484" s="494" t="s">
        <v>12</v>
      </c>
      <c r="AB484" s="494" t="s">
        <v>12</v>
      </c>
      <c r="AC484" s="494" t="s">
        <v>12</v>
      </c>
      <c r="AD484" s="494" t="s">
        <v>12</v>
      </c>
      <c r="AE484" s="494" t="s">
        <v>12</v>
      </c>
      <c r="AF484" s="494" t="s">
        <v>12</v>
      </c>
      <c r="AG484" s="494" t="s">
        <v>12</v>
      </c>
      <c r="AH484" s="494" t="s">
        <v>12</v>
      </c>
      <c r="AI484" s="494" t="s">
        <v>12</v>
      </c>
      <c r="AJ484" s="494" t="s">
        <v>12</v>
      </c>
      <c r="AK484" s="494" t="s">
        <v>12</v>
      </c>
      <c r="AL484" s="494" t="s">
        <v>12</v>
      </c>
      <c r="AM484" s="494" t="s">
        <v>12</v>
      </c>
      <c r="AN484" s="494" t="s">
        <v>12</v>
      </c>
      <c r="AO484" s="494" t="s">
        <v>12</v>
      </c>
      <c r="AP484" s="494" t="s">
        <v>12</v>
      </c>
      <c r="AQ484" s="494" t="s">
        <v>12</v>
      </c>
      <c r="AR484" s="494" t="s">
        <v>12</v>
      </c>
      <c r="AS484" s="494" t="s">
        <v>12</v>
      </c>
      <c r="AT484" s="494" t="s">
        <v>12</v>
      </c>
      <c r="AU484" s="494" t="s">
        <v>12</v>
      </c>
      <c r="AV484" s="494" t="s">
        <v>12</v>
      </c>
      <c r="AW484" s="494" t="s">
        <v>12</v>
      </c>
      <c r="AX484" s="494" t="s">
        <v>12</v>
      </c>
      <c r="AY484" s="494" t="s">
        <v>12</v>
      </c>
      <c r="AZ484" s="494" t="s">
        <v>12</v>
      </c>
      <c r="BA484" s="494" t="s">
        <v>12</v>
      </c>
      <c r="BB484" s="494" t="s">
        <v>12</v>
      </c>
      <c r="BC484" s="494" t="s">
        <v>12</v>
      </c>
      <c r="BD484" s="494" t="s">
        <v>12</v>
      </c>
      <c r="BE484" s="494" t="s">
        <v>12</v>
      </c>
      <c r="BF484" s="494" t="s">
        <v>12</v>
      </c>
      <c r="BG484" s="494" t="s">
        <v>12</v>
      </c>
      <c r="BH484" s="494" t="s">
        <v>12</v>
      </c>
      <c r="BI484" s="494" t="s">
        <v>12</v>
      </c>
      <c r="BJ484" s="494" t="s">
        <v>12</v>
      </c>
      <c r="BK484" s="494" t="s">
        <v>12</v>
      </c>
      <c r="BL484" s="494" t="s">
        <v>12</v>
      </c>
      <c r="BM484" s="494" t="s">
        <v>12</v>
      </c>
      <c r="BN484" s="494" t="s">
        <v>12</v>
      </c>
      <c r="BO484" s="494" t="s">
        <v>12</v>
      </c>
      <c r="BP484" s="494" t="s">
        <v>12</v>
      </c>
      <c r="BQ484" s="494" t="s">
        <v>12</v>
      </c>
      <c r="BR484" s="494" t="s">
        <v>12</v>
      </c>
      <c r="BS484" s="494" t="s">
        <v>12</v>
      </c>
      <c r="BT484" s="494" t="s">
        <v>12</v>
      </c>
      <c r="BU484" s="494" t="s">
        <v>12</v>
      </c>
      <c r="BV484" s="494" t="s">
        <v>12</v>
      </c>
      <c r="BW484" s="494" t="s">
        <v>12</v>
      </c>
      <c r="BX484" s="494" t="s">
        <v>12</v>
      </c>
      <c r="BY484" s="494" t="s">
        <v>12</v>
      </c>
      <c r="BZ484" s="494" t="s">
        <v>12</v>
      </c>
      <c r="CA484" s="494" t="s">
        <v>12</v>
      </c>
      <c r="CB484" s="494" t="s">
        <v>12</v>
      </c>
      <c r="CC484" s="494" t="s">
        <v>12</v>
      </c>
      <c r="CD484" s="494" t="s">
        <v>12</v>
      </c>
      <c r="CE484" s="494" t="s">
        <v>12</v>
      </c>
      <c r="CF484" s="494" t="s">
        <v>12</v>
      </c>
      <c r="CG484" s="494" t="s">
        <v>12</v>
      </c>
      <c r="CH484" s="494" t="s">
        <v>12</v>
      </c>
      <c r="CI484" s="494" t="s">
        <v>12</v>
      </c>
      <c r="CJ484" s="494" t="s">
        <v>12</v>
      </c>
      <c r="CK484" s="494" t="s">
        <v>12</v>
      </c>
      <c r="CL484" s="494" t="s">
        <v>12</v>
      </c>
      <c r="CM484" s="494" t="s">
        <v>12</v>
      </c>
      <c r="CN484" s="494" t="s">
        <v>12</v>
      </c>
      <c r="CO484" s="494" t="s">
        <v>12</v>
      </c>
      <c r="CP484" s="494" t="s">
        <v>12</v>
      </c>
      <c r="CQ484" s="494" t="s">
        <v>12</v>
      </c>
      <c r="CR484" s="494" t="s">
        <v>12</v>
      </c>
      <c r="CS484" s="494" t="s">
        <v>12</v>
      </c>
      <c r="CT484" s="494" t="s">
        <v>12</v>
      </c>
      <c r="CU484" s="494" t="s">
        <v>12</v>
      </c>
      <c r="CV484" s="494" t="s">
        <v>12</v>
      </c>
      <c r="CW484" s="494" t="s">
        <v>12</v>
      </c>
      <c r="CX484" s="494" t="s">
        <v>12</v>
      </c>
      <c r="CY484" s="494" t="s">
        <v>12</v>
      </c>
      <c r="CZ484" s="494" t="s">
        <v>12</v>
      </c>
      <c r="DA484" s="494" t="s">
        <v>12</v>
      </c>
      <c r="DB484" s="494" t="s">
        <v>12</v>
      </c>
      <c r="DC484" s="494" t="s">
        <v>12</v>
      </c>
      <c r="DD484" s="494" t="s">
        <v>12</v>
      </c>
      <c r="DE484" s="494" t="s">
        <v>12</v>
      </c>
      <c r="DF484" s="494" t="s">
        <v>12</v>
      </c>
      <c r="DG484" s="494" t="s">
        <v>12</v>
      </c>
      <c r="DH484" s="494" t="s">
        <v>12</v>
      </c>
      <c r="DI484" s="494" t="s">
        <v>12</v>
      </c>
      <c r="DJ484" s="494" t="s">
        <v>12</v>
      </c>
      <c r="DK484" s="494" t="s">
        <v>12</v>
      </c>
      <c r="DL484" s="494" t="s">
        <v>12</v>
      </c>
      <c r="DM484" s="494" t="s">
        <v>12</v>
      </c>
      <c r="DN484" s="494" t="s">
        <v>12</v>
      </c>
      <c r="DO484" s="494" t="s">
        <v>12</v>
      </c>
      <c r="DP484" s="494" t="s">
        <v>12</v>
      </c>
      <c r="DQ484" s="494" t="s">
        <v>12</v>
      </c>
    </row>
    <row r="485" spans="1:121" x14ac:dyDescent="0.25">
      <c r="A485">
        <v>4</v>
      </c>
      <c r="B485" s="494" t="s">
        <v>12</v>
      </c>
      <c r="C485" s="494" t="s">
        <v>12</v>
      </c>
      <c r="D485" s="494" t="s">
        <v>12</v>
      </c>
      <c r="E485" s="494" t="s">
        <v>12</v>
      </c>
      <c r="F485" s="494" t="s">
        <v>12</v>
      </c>
      <c r="G485" s="494" t="s">
        <v>12</v>
      </c>
      <c r="H485" s="494" t="s">
        <v>12</v>
      </c>
      <c r="I485" s="494" t="s">
        <v>12</v>
      </c>
      <c r="J485" s="494" t="s">
        <v>12</v>
      </c>
      <c r="K485" s="494" t="s">
        <v>12</v>
      </c>
      <c r="L485" s="494" t="s">
        <v>12</v>
      </c>
      <c r="M485" s="494" t="s">
        <v>12</v>
      </c>
      <c r="N485" s="494" t="s">
        <v>12</v>
      </c>
      <c r="O485" s="494" t="s">
        <v>12</v>
      </c>
      <c r="P485" s="494" t="s">
        <v>12</v>
      </c>
      <c r="Q485" s="494" t="s">
        <v>12</v>
      </c>
      <c r="R485" s="494" t="s">
        <v>12</v>
      </c>
      <c r="S485" s="494" t="s">
        <v>12</v>
      </c>
      <c r="T485" s="494" t="s">
        <v>12</v>
      </c>
      <c r="U485" s="494" t="s">
        <v>12</v>
      </c>
      <c r="V485" s="494" t="s">
        <v>12</v>
      </c>
      <c r="W485" s="494" t="s">
        <v>12</v>
      </c>
      <c r="X485" s="494" t="s">
        <v>12</v>
      </c>
      <c r="Y485" s="494" t="s">
        <v>12</v>
      </c>
      <c r="Z485" s="494" t="s">
        <v>12</v>
      </c>
      <c r="AA485" s="494" t="s">
        <v>12</v>
      </c>
      <c r="AB485" s="494" t="s">
        <v>12</v>
      </c>
      <c r="AC485" s="494" t="s">
        <v>12</v>
      </c>
      <c r="AD485" s="494" t="s">
        <v>12</v>
      </c>
      <c r="AE485" s="494" t="s">
        <v>12</v>
      </c>
      <c r="AF485" s="494" t="s">
        <v>12</v>
      </c>
      <c r="AG485" s="494" t="s">
        <v>12</v>
      </c>
      <c r="AH485" s="494" t="s">
        <v>12</v>
      </c>
      <c r="AI485" s="494" t="s">
        <v>12</v>
      </c>
      <c r="AJ485" s="494" t="s">
        <v>12</v>
      </c>
      <c r="AK485" s="494" t="s">
        <v>12</v>
      </c>
      <c r="AL485" s="494" t="s">
        <v>12</v>
      </c>
      <c r="AM485" s="494" t="s">
        <v>12</v>
      </c>
      <c r="AN485" s="494" t="s">
        <v>12</v>
      </c>
      <c r="AO485" s="494" t="s">
        <v>12</v>
      </c>
      <c r="AP485" s="494" t="s">
        <v>12</v>
      </c>
      <c r="AQ485" s="494" t="s">
        <v>12</v>
      </c>
      <c r="AR485" s="494" t="s">
        <v>12</v>
      </c>
      <c r="AS485" s="494" t="s">
        <v>12</v>
      </c>
      <c r="AT485" s="494" t="s">
        <v>12</v>
      </c>
      <c r="AU485" s="494" t="s">
        <v>12</v>
      </c>
      <c r="AV485" s="494" t="s">
        <v>12</v>
      </c>
      <c r="AW485" s="494" t="s">
        <v>12</v>
      </c>
      <c r="AX485" s="494" t="s">
        <v>12</v>
      </c>
      <c r="AY485" s="494" t="s">
        <v>12</v>
      </c>
      <c r="AZ485" s="494" t="s">
        <v>12</v>
      </c>
      <c r="BA485" s="494" t="s">
        <v>12</v>
      </c>
      <c r="BB485" s="494" t="s">
        <v>12</v>
      </c>
      <c r="BC485" s="494" t="s">
        <v>12</v>
      </c>
      <c r="BD485" s="494" t="s">
        <v>12</v>
      </c>
      <c r="BE485" s="494" t="s">
        <v>12</v>
      </c>
      <c r="BF485" s="494" t="s">
        <v>12</v>
      </c>
      <c r="BG485" s="494" t="s">
        <v>12</v>
      </c>
      <c r="BH485" s="494" t="s">
        <v>12</v>
      </c>
      <c r="BI485" s="494" t="s">
        <v>12</v>
      </c>
      <c r="BJ485" s="494" t="s">
        <v>12</v>
      </c>
      <c r="BK485" s="494" t="s">
        <v>12</v>
      </c>
      <c r="BL485" s="494" t="s">
        <v>12</v>
      </c>
      <c r="BM485" s="494" t="s">
        <v>12</v>
      </c>
      <c r="BN485" s="494" t="s">
        <v>12</v>
      </c>
      <c r="BO485" s="494" t="s">
        <v>12</v>
      </c>
      <c r="BP485" s="494" t="s">
        <v>12</v>
      </c>
      <c r="BQ485" s="494" t="s">
        <v>12</v>
      </c>
      <c r="BR485" s="494" t="s">
        <v>12</v>
      </c>
      <c r="BS485" s="494" t="s">
        <v>12</v>
      </c>
      <c r="BT485" s="494" t="s">
        <v>12</v>
      </c>
      <c r="BU485" s="494" t="s">
        <v>12</v>
      </c>
      <c r="BV485" s="494" t="s">
        <v>12</v>
      </c>
      <c r="BW485" s="494" t="s">
        <v>12</v>
      </c>
      <c r="BX485" s="494" t="s">
        <v>12</v>
      </c>
      <c r="BY485" s="494" t="s">
        <v>12</v>
      </c>
      <c r="BZ485" s="494" t="s">
        <v>12</v>
      </c>
      <c r="CA485" s="494" t="s">
        <v>12</v>
      </c>
      <c r="CB485" s="494" t="s">
        <v>12</v>
      </c>
      <c r="CC485" s="494" t="s">
        <v>12</v>
      </c>
      <c r="CD485" s="494" t="s">
        <v>12</v>
      </c>
      <c r="CE485" s="494" t="s">
        <v>12</v>
      </c>
      <c r="CF485" s="494" t="s">
        <v>12</v>
      </c>
      <c r="CG485" s="494" t="s">
        <v>12</v>
      </c>
      <c r="CH485" s="494" t="s">
        <v>12</v>
      </c>
      <c r="CI485" s="494" t="s">
        <v>12</v>
      </c>
      <c r="CJ485" s="494" t="s">
        <v>12</v>
      </c>
      <c r="CK485" s="494" t="s">
        <v>12</v>
      </c>
      <c r="CL485" s="494" t="s">
        <v>12</v>
      </c>
      <c r="CM485" s="494" t="s">
        <v>12</v>
      </c>
      <c r="CN485" s="494" t="s">
        <v>12</v>
      </c>
      <c r="CO485" s="494" t="s">
        <v>12</v>
      </c>
      <c r="CP485" s="494" t="s">
        <v>12</v>
      </c>
      <c r="CQ485" s="494" t="s">
        <v>12</v>
      </c>
      <c r="CR485" s="494" t="s">
        <v>12</v>
      </c>
      <c r="CS485" s="494" t="s">
        <v>12</v>
      </c>
      <c r="CT485" s="494" t="s">
        <v>12</v>
      </c>
      <c r="CU485" s="494" t="s">
        <v>12</v>
      </c>
      <c r="CV485" s="494" t="s">
        <v>12</v>
      </c>
      <c r="CW485" s="494" t="s">
        <v>12</v>
      </c>
      <c r="CX485" s="494" t="s">
        <v>12</v>
      </c>
      <c r="CY485" s="494" t="s">
        <v>12</v>
      </c>
      <c r="CZ485" s="494" t="s">
        <v>12</v>
      </c>
      <c r="DA485" s="494" t="s">
        <v>12</v>
      </c>
      <c r="DB485" s="494" t="s">
        <v>12</v>
      </c>
      <c r="DC485" s="494" t="s">
        <v>12</v>
      </c>
      <c r="DD485" s="494" t="s">
        <v>12</v>
      </c>
      <c r="DE485" s="494" t="s">
        <v>12</v>
      </c>
      <c r="DF485" s="494" t="s">
        <v>12</v>
      </c>
      <c r="DG485" s="494" t="s">
        <v>12</v>
      </c>
      <c r="DH485" s="494" t="s">
        <v>12</v>
      </c>
      <c r="DI485" s="494" t="s">
        <v>12</v>
      </c>
      <c r="DJ485" s="494" t="s">
        <v>12</v>
      </c>
      <c r="DK485" s="494" t="s">
        <v>12</v>
      </c>
      <c r="DL485" s="494" t="s">
        <v>12</v>
      </c>
      <c r="DM485" s="494" t="s">
        <v>12</v>
      </c>
      <c r="DN485" s="494" t="s">
        <v>12</v>
      </c>
      <c r="DO485" s="494" t="s">
        <v>12</v>
      </c>
      <c r="DP485" s="494" t="s">
        <v>12</v>
      </c>
      <c r="DQ485" s="494" t="s">
        <v>12</v>
      </c>
    </row>
    <row r="486" spans="1:121" x14ac:dyDescent="0.25">
      <c r="A486">
        <v>5</v>
      </c>
      <c r="B486" s="494" t="s">
        <v>12</v>
      </c>
      <c r="C486" s="494" t="s">
        <v>12</v>
      </c>
      <c r="D486" s="494" t="s">
        <v>12</v>
      </c>
      <c r="E486" s="494" t="s">
        <v>12</v>
      </c>
      <c r="F486" s="494" t="s">
        <v>12</v>
      </c>
      <c r="G486" s="494" t="s">
        <v>12</v>
      </c>
      <c r="H486" s="494" t="s">
        <v>12</v>
      </c>
      <c r="I486" s="494" t="s">
        <v>12</v>
      </c>
      <c r="J486" s="494" t="s">
        <v>12</v>
      </c>
      <c r="K486" s="494" t="s">
        <v>12</v>
      </c>
      <c r="L486" s="494" t="s">
        <v>12</v>
      </c>
      <c r="M486" s="494" t="s">
        <v>12</v>
      </c>
      <c r="N486" s="494" t="s">
        <v>12</v>
      </c>
      <c r="O486" s="494" t="s">
        <v>12</v>
      </c>
      <c r="P486" s="494" t="s">
        <v>12</v>
      </c>
      <c r="Q486" s="494" t="s">
        <v>12</v>
      </c>
      <c r="R486" s="494" t="s">
        <v>12</v>
      </c>
      <c r="S486" s="494" t="s">
        <v>12</v>
      </c>
      <c r="T486" s="494" t="s">
        <v>12</v>
      </c>
      <c r="U486" s="494" t="s">
        <v>12</v>
      </c>
      <c r="V486" s="494" t="s">
        <v>12</v>
      </c>
      <c r="W486" s="494" t="s">
        <v>12</v>
      </c>
      <c r="X486" s="494" t="s">
        <v>12</v>
      </c>
      <c r="Y486" s="494" t="s">
        <v>12</v>
      </c>
      <c r="Z486" s="494" t="s">
        <v>12</v>
      </c>
      <c r="AA486" s="494" t="s">
        <v>12</v>
      </c>
      <c r="AB486" s="494" t="s">
        <v>12</v>
      </c>
      <c r="AC486" s="494" t="s">
        <v>12</v>
      </c>
      <c r="AD486" s="494" t="s">
        <v>12</v>
      </c>
      <c r="AE486" s="494" t="s">
        <v>12</v>
      </c>
      <c r="AF486" s="494" t="s">
        <v>12</v>
      </c>
      <c r="AG486" s="494" t="s">
        <v>12</v>
      </c>
      <c r="AH486" s="494" t="s">
        <v>12</v>
      </c>
      <c r="AI486" s="494" t="s">
        <v>12</v>
      </c>
      <c r="AJ486" s="494" t="s">
        <v>12</v>
      </c>
      <c r="AK486" s="494" t="s">
        <v>12</v>
      </c>
      <c r="AL486" s="494" t="s">
        <v>12</v>
      </c>
      <c r="AM486" s="494" t="s">
        <v>12</v>
      </c>
      <c r="AN486" s="494" t="s">
        <v>12</v>
      </c>
      <c r="AO486" s="494" t="s">
        <v>12</v>
      </c>
      <c r="AP486" s="494" t="s">
        <v>12</v>
      </c>
      <c r="AQ486" s="494" t="s">
        <v>12</v>
      </c>
      <c r="AR486" s="494" t="s">
        <v>12</v>
      </c>
      <c r="AS486" s="494" t="s">
        <v>12</v>
      </c>
      <c r="AT486" s="494" t="s">
        <v>12</v>
      </c>
      <c r="AU486" s="494" t="s">
        <v>12</v>
      </c>
      <c r="AV486" s="494" t="s">
        <v>12</v>
      </c>
      <c r="AW486" s="494" t="s">
        <v>12</v>
      </c>
      <c r="AX486" s="494" t="s">
        <v>12</v>
      </c>
      <c r="AY486" s="494" t="s">
        <v>12</v>
      </c>
      <c r="AZ486" s="494" t="s">
        <v>12</v>
      </c>
      <c r="BA486" s="494" t="s">
        <v>12</v>
      </c>
      <c r="BB486" s="494" t="s">
        <v>12</v>
      </c>
      <c r="BC486" s="494" t="s">
        <v>12</v>
      </c>
      <c r="BD486" s="494" t="s">
        <v>12</v>
      </c>
      <c r="BE486" s="494" t="s">
        <v>12</v>
      </c>
      <c r="BF486" s="494" t="s">
        <v>12</v>
      </c>
      <c r="BG486" s="494" t="s">
        <v>12</v>
      </c>
      <c r="BH486" s="494" t="s">
        <v>12</v>
      </c>
      <c r="BI486" s="494" t="s">
        <v>12</v>
      </c>
      <c r="BJ486" s="494" t="s">
        <v>12</v>
      </c>
      <c r="BK486" s="494" t="s">
        <v>12</v>
      </c>
      <c r="BL486" s="494" t="s">
        <v>12</v>
      </c>
      <c r="BM486" s="494" t="s">
        <v>12</v>
      </c>
      <c r="BN486" s="494" t="s">
        <v>12</v>
      </c>
      <c r="BO486" s="494" t="s">
        <v>12</v>
      </c>
      <c r="BP486" s="494" t="s">
        <v>12</v>
      </c>
      <c r="BQ486" s="494" t="s">
        <v>12</v>
      </c>
      <c r="BR486" s="494" t="s">
        <v>12</v>
      </c>
      <c r="BS486" s="494" t="s">
        <v>12</v>
      </c>
      <c r="BT486" s="494" t="s">
        <v>12</v>
      </c>
      <c r="BU486" s="494" t="s">
        <v>12</v>
      </c>
      <c r="BV486" s="494" t="s">
        <v>12</v>
      </c>
      <c r="BW486" s="494" t="s">
        <v>12</v>
      </c>
      <c r="BX486" s="494" t="s">
        <v>12</v>
      </c>
      <c r="BY486" s="494" t="s">
        <v>12</v>
      </c>
      <c r="BZ486" s="494" t="s">
        <v>12</v>
      </c>
      <c r="CA486" s="494" t="s">
        <v>12</v>
      </c>
      <c r="CB486" s="494" t="s">
        <v>12</v>
      </c>
      <c r="CC486" s="494" t="s">
        <v>12</v>
      </c>
      <c r="CD486" s="494" t="s">
        <v>12</v>
      </c>
      <c r="CE486" s="494" t="s">
        <v>12</v>
      </c>
      <c r="CF486" s="494" t="s">
        <v>12</v>
      </c>
      <c r="CG486" s="494" t="s">
        <v>12</v>
      </c>
      <c r="CH486" s="494" t="s">
        <v>12</v>
      </c>
      <c r="CI486" s="494" t="s">
        <v>12</v>
      </c>
      <c r="CJ486" s="494" t="s">
        <v>12</v>
      </c>
      <c r="CK486" s="494" t="s">
        <v>12</v>
      </c>
      <c r="CL486" s="494" t="s">
        <v>12</v>
      </c>
      <c r="CM486" s="494" t="s">
        <v>12</v>
      </c>
      <c r="CN486" s="494" t="s">
        <v>12</v>
      </c>
      <c r="CO486" s="494" t="s">
        <v>12</v>
      </c>
      <c r="CP486" s="494" t="s">
        <v>12</v>
      </c>
      <c r="CQ486" s="494" t="s">
        <v>12</v>
      </c>
      <c r="CR486" s="494" t="s">
        <v>12</v>
      </c>
      <c r="CS486" s="494" t="s">
        <v>12</v>
      </c>
      <c r="CT486" s="494" t="s">
        <v>12</v>
      </c>
      <c r="CU486" s="494" t="s">
        <v>12</v>
      </c>
      <c r="CV486" s="494" t="s">
        <v>12</v>
      </c>
      <c r="CW486" s="494" t="s">
        <v>12</v>
      </c>
      <c r="CX486" s="494" t="s">
        <v>12</v>
      </c>
      <c r="CY486" s="494" t="s">
        <v>12</v>
      </c>
      <c r="CZ486" s="494" t="s">
        <v>12</v>
      </c>
      <c r="DA486" s="494" t="s">
        <v>12</v>
      </c>
      <c r="DB486" s="494" t="s">
        <v>12</v>
      </c>
      <c r="DC486" s="494" t="s">
        <v>12</v>
      </c>
      <c r="DD486" s="494" t="s">
        <v>12</v>
      </c>
      <c r="DE486" s="494" t="s">
        <v>12</v>
      </c>
      <c r="DF486" s="494" t="s">
        <v>12</v>
      </c>
      <c r="DG486" s="494" t="s">
        <v>12</v>
      </c>
      <c r="DH486" s="494" t="s">
        <v>12</v>
      </c>
      <c r="DI486" s="494" t="s">
        <v>12</v>
      </c>
      <c r="DJ486" s="494" t="s">
        <v>12</v>
      </c>
      <c r="DK486" s="494" t="s">
        <v>12</v>
      </c>
      <c r="DL486" s="494" t="s">
        <v>12</v>
      </c>
      <c r="DM486" s="494" t="s">
        <v>12</v>
      </c>
      <c r="DN486" s="494" t="s">
        <v>12</v>
      </c>
      <c r="DO486" s="494" t="s">
        <v>12</v>
      </c>
      <c r="DP486" s="494" t="s">
        <v>12</v>
      </c>
      <c r="DQ486" s="494" t="s">
        <v>12</v>
      </c>
    </row>
    <row r="487" spans="1:121" x14ac:dyDescent="0.25">
      <c r="A487">
        <v>6</v>
      </c>
      <c r="B487" s="494" t="s">
        <v>12</v>
      </c>
      <c r="C487" s="494" t="s">
        <v>12</v>
      </c>
      <c r="D487" s="494" t="s">
        <v>12</v>
      </c>
      <c r="E487" s="494" t="s">
        <v>12</v>
      </c>
      <c r="F487" s="494" t="s">
        <v>12</v>
      </c>
      <c r="G487" s="494" t="s">
        <v>12</v>
      </c>
      <c r="H487" s="494" t="s">
        <v>12</v>
      </c>
      <c r="I487" s="494" t="s">
        <v>12</v>
      </c>
      <c r="J487" s="494" t="s">
        <v>12</v>
      </c>
      <c r="K487" s="494" t="s">
        <v>12</v>
      </c>
      <c r="L487" s="494" t="s">
        <v>12</v>
      </c>
      <c r="M487" s="494" t="s">
        <v>12</v>
      </c>
      <c r="N487" s="494" t="s">
        <v>12</v>
      </c>
      <c r="O487" s="494" t="s">
        <v>12</v>
      </c>
      <c r="P487" s="494" t="s">
        <v>12</v>
      </c>
      <c r="Q487" s="494" t="s">
        <v>12</v>
      </c>
      <c r="R487" s="494" t="s">
        <v>12</v>
      </c>
      <c r="S487" s="494" t="s">
        <v>12</v>
      </c>
      <c r="T487" s="494" t="s">
        <v>12</v>
      </c>
      <c r="U487" s="494" t="s">
        <v>12</v>
      </c>
      <c r="V487" s="494" t="s">
        <v>12</v>
      </c>
      <c r="W487" s="494" t="s">
        <v>12</v>
      </c>
      <c r="X487" s="494" t="s">
        <v>12</v>
      </c>
      <c r="Y487" s="494" t="s">
        <v>12</v>
      </c>
      <c r="Z487" s="494" t="s">
        <v>12</v>
      </c>
      <c r="AA487" s="494" t="s">
        <v>12</v>
      </c>
      <c r="AB487" s="494" t="s">
        <v>12</v>
      </c>
      <c r="AC487" s="494" t="s">
        <v>12</v>
      </c>
      <c r="AD487" s="494" t="s">
        <v>12</v>
      </c>
      <c r="AE487" s="494" t="s">
        <v>12</v>
      </c>
      <c r="AF487" s="494" t="s">
        <v>12</v>
      </c>
      <c r="AG487" s="494" t="s">
        <v>12</v>
      </c>
      <c r="AH487" s="494" t="s">
        <v>12</v>
      </c>
      <c r="AI487" s="494" t="s">
        <v>12</v>
      </c>
      <c r="AJ487" s="494" t="s">
        <v>12</v>
      </c>
      <c r="AK487" s="494" t="s">
        <v>12</v>
      </c>
      <c r="AL487" s="494" t="s">
        <v>12</v>
      </c>
      <c r="AM487" s="494" t="s">
        <v>12</v>
      </c>
      <c r="AN487" s="494" t="s">
        <v>12</v>
      </c>
      <c r="AO487" s="494" t="s">
        <v>12</v>
      </c>
      <c r="AP487" s="494" t="s">
        <v>12</v>
      </c>
      <c r="AQ487" s="494" t="s">
        <v>12</v>
      </c>
      <c r="AR487" s="494" t="s">
        <v>12</v>
      </c>
      <c r="AS487" s="494" t="s">
        <v>12</v>
      </c>
      <c r="AT487" s="494" t="s">
        <v>12</v>
      </c>
      <c r="AU487" s="494" t="s">
        <v>12</v>
      </c>
      <c r="AV487" s="494" t="s">
        <v>12</v>
      </c>
      <c r="AW487" s="494" t="s">
        <v>12</v>
      </c>
      <c r="AX487" s="494" t="s">
        <v>12</v>
      </c>
      <c r="AY487" s="494" t="s">
        <v>12</v>
      </c>
      <c r="AZ487" s="494" t="s">
        <v>12</v>
      </c>
      <c r="BA487" s="494" t="s">
        <v>12</v>
      </c>
      <c r="BB487" s="494" t="s">
        <v>12</v>
      </c>
      <c r="BC487" s="494" t="s">
        <v>12</v>
      </c>
      <c r="BD487" s="494" t="s">
        <v>12</v>
      </c>
      <c r="BE487" s="494" t="s">
        <v>12</v>
      </c>
      <c r="BF487" s="494" t="s">
        <v>12</v>
      </c>
      <c r="BG487" s="494" t="s">
        <v>12</v>
      </c>
      <c r="BH487" s="494" t="s">
        <v>12</v>
      </c>
      <c r="BI487" s="494" t="s">
        <v>12</v>
      </c>
      <c r="BJ487" s="494" t="s">
        <v>12</v>
      </c>
      <c r="BK487" s="494" t="s">
        <v>12</v>
      </c>
      <c r="BL487" s="494" t="s">
        <v>12</v>
      </c>
      <c r="BM487" s="494" t="s">
        <v>12</v>
      </c>
      <c r="BN487" s="494" t="s">
        <v>12</v>
      </c>
      <c r="BO487" s="494" t="s">
        <v>12</v>
      </c>
      <c r="BP487" s="494" t="s">
        <v>12</v>
      </c>
      <c r="BQ487" s="494" t="s">
        <v>12</v>
      </c>
      <c r="BR487" s="494" t="s">
        <v>12</v>
      </c>
      <c r="BS487" s="494" t="s">
        <v>12</v>
      </c>
      <c r="BT487" s="494" t="s">
        <v>12</v>
      </c>
      <c r="BU487" s="494" t="s">
        <v>12</v>
      </c>
      <c r="BV487" s="494" t="s">
        <v>12</v>
      </c>
      <c r="BW487" s="494" t="s">
        <v>12</v>
      </c>
      <c r="BX487" s="494" t="s">
        <v>12</v>
      </c>
      <c r="BY487" s="494" t="s">
        <v>12</v>
      </c>
      <c r="BZ487" s="494" t="s">
        <v>12</v>
      </c>
      <c r="CA487" s="494" t="s">
        <v>12</v>
      </c>
      <c r="CB487" s="494" t="s">
        <v>12</v>
      </c>
      <c r="CC487" s="494" t="s">
        <v>12</v>
      </c>
      <c r="CD487" s="494" t="s">
        <v>12</v>
      </c>
      <c r="CE487" s="494" t="s">
        <v>12</v>
      </c>
      <c r="CF487" s="494" t="s">
        <v>12</v>
      </c>
      <c r="CG487" s="494" t="s">
        <v>12</v>
      </c>
      <c r="CH487" s="494" t="s">
        <v>12</v>
      </c>
      <c r="CI487" s="494" t="s">
        <v>12</v>
      </c>
      <c r="CJ487" s="494" t="s">
        <v>12</v>
      </c>
      <c r="CK487" s="494" t="s">
        <v>12</v>
      </c>
      <c r="CL487" s="494" t="s">
        <v>12</v>
      </c>
      <c r="CM487" s="494" t="s">
        <v>12</v>
      </c>
      <c r="CN487" s="494" t="s">
        <v>12</v>
      </c>
      <c r="CO487" s="494" t="s">
        <v>12</v>
      </c>
      <c r="CP487" s="494" t="s">
        <v>12</v>
      </c>
      <c r="CQ487" s="494" t="s">
        <v>12</v>
      </c>
      <c r="CR487" s="494" t="s">
        <v>12</v>
      </c>
      <c r="CS487" s="494" t="s">
        <v>12</v>
      </c>
      <c r="CT487" s="494" t="s">
        <v>12</v>
      </c>
      <c r="CU487" s="494" t="s">
        <v>12</v>
      </c>
      <c r="CV487" s="494" t="s">
        <v>12</v>
      </c>
      <c r="CW487" s="494" t="s">
        <v>12</v>
      </c>
      <c r="CX487" s="494" t="s">
        <v>12</v>
      </c>
      <c r="CY487" s="494" t="s">
        <v>12</v>
      </c>
      <c r="CZ487" s="494" t="s">
        <v>12</v>
      </c>
      <c r="DA487" s="494" t="s">
        <v>12</v>
      </c>
      <c r="DB487" s="494" t="s">
        <v>12</v>
      </c>
      <c r="DC487" s="494" t="s">
        <v>12</v>
      </c>
      <c r="DD487" s="494" t="s">
        <v>12</v>
      </c>
      <c r="DE487" s="494" t="s">
        <v>12</v>
      </c>
      <c r="DF487" s="494" t="s">
        <v>12</v>
      </c>
      <c r="DG487" s="494" t="s">
        <v>12</v>
      </c>
      <c r="DH487" s="494" t="s">
        <v>12</v>
      </c>
      <c r="DI487" s="494" t="s">
        <v>12</v>
      </c>
      <c r="DJ487" s="494" t="s">
        <v>12</v>
      </c>
      <c r="DK487" s="494" t="s">
        <v>12</v>
      </c>
      <c r="DL487" s="494" t="s">
        <v>12</v>
      </c>
      <c r="DM487" s="494" t="s">
        <v>12</v>
      </c>
      <c r="DN487" s="494" t="s">
        <v>12</v>
      </c>
      <c r="DO487" s="494" t="s">
        <v>12</v>
      </c>
      <c r="DP487" s="494" t="s">
        <v>12</v>
      </c>
      <c r="DQ487" s="494" t="s">
        <v>12</v>
      </c>
    </row>
    <row r="488" spans="1:121" x14ac:dyDescent="0.25">
      <c r="A488">
        <v>7</v>
      </c>
      <c r="B488" s="494" t="s">
        <v>12</v>
      </c>
      <c r="C488" s="494" t="s">
        <v>12</v>
      </c>
      <c r="D488" s="494" t="s">
        <v>12</v>
      </c>
      <c r="E488" s="494" t="s">
        <v>12</v>
      </c>
      <c r="F488" s="494" t="s">
        <v>12</v>
      </c>
      <c r="G488" s="494" t="s">
        <v>12</v>
      </c>
      <c r="H488" s="494" t="s">
        <v>12</v>
      </c>
      <c r="I488" s="494" t="s">
        <v>12</v>
      </c>
      <c r="J488" s="494" t="s">
        <v>12</v>
      </c>
      <c r="K488" s="494" t="s">
        <v>12</v>
      </c>
      <c r="L488" s="494" t="s">
        <v>12</v>
      </c>
      <c r="M488" s="494" t="s">
        <v>12</v>
      </c>
      <c r="N488" s="494" t="s">
        <v>12</v>
      </c>
      <c r="O488" s="494" t="s">
        <v>12</v>
      </c>
      <c r="P488" s="494" t="s">
        <v>12</v>
      </c>
      <c r="Q488" s="494" t="s">
        <v>12</v>
      </c>
      <c r="R488" s="494" t="s">
        <v>12</v>
      </c>
      <c r="S488" s="494" t="s">
        <v>12</v>
      </c>
      <c r="T488" s="494" t="s">
        <v>12</v>
      </c>
      <c r="U488" s="494" t="s">
        <v>12</v>
      </c>
      <c r="V488" s="494" t="s">
        <v>12</v>
      </c>
      <c r="W488" s="494" t="s">
        <v>12</v>
      </c>
      <c r="X488" s="494" t="s">
        <v>12</v>
      </c>
      <c r="Y488" s="494" t="s">
        <v>12</v>
      </c>
      <c r="Z488" s="494" t="s">
        <v>12</v>
      </c>
      <c r="AA488" s="494" t="s">
        <v>12</v>
      </c>
      <c r="AB488" s="494" t="s">
        <v>12</v>
      </c>
      <c r="AC488" s="494" t="s">
        <v>12</v>
      </c>
      <c r="AD488" s="494" t="s">
        <v>12</v>
      </c>
      <c r="AE488" s="494" t="s">
        <v>12</v>
      </c>
      <c r="AF488" s="494" t="s">
        <v>12</v>
      </c>
      <c r="AG488" s="494" t="s">
        <v>12</v>
      </c>
      <c r="AH488" s="494" t="s">
        <v>12</v>
      </c>
      <c r="AI488" s="494" t="s">
        <v>12</v>
      </c>
      <c r="AJ488" s="494" t="s">
        <v>12</v>
      </c>
      <c r="AK488" s="494" t="s">
        <v>12</v>
      </c>
      <c r="AL488" s="494" t="s">
        <v>12</v>
      </c>
      <c r="AM488" s="494" t="s">
        <v>12</v>
      </c>
      <c r="AN488" s="494" t="s">
        <v>12</v>
      </c>
      <c r="AO488" s="494" t="s">
        <v>12</v>
      </c>
      <c r="AP488" s="494" t="s">
        <v>12</v>
      </c>
      <c r="AQ488" s="494" t="s">
        <v>12</v>
      </c>
      <c r="AR488" s="494" t="s">
        <v>12</v>
      </c>
      <c r="AS488" s="494" t="s">
        <v>12</v>
      </c>
      <c r="AT488" s="494" t="s">
        <v>12</v>
      </c>
      <c r="AU488" s="494" t="s">
        <v>12</v>
      </c>
      <c r="AV488" s="494" t="s">
        <v>12</v>
      </c>
      <c r="AW488" s="494" t="s">
        <v>12</v>
      </c>
      <c r="AX488" s="494" t="s">
        <v>12</v>
      </c>
      <c r="AY488" s="494" t="s">
        <v>12</v>
      </c>
      <c r="AZ488" s="494" t="s">
        <v>12</v>
      </c>
      <c r="BA488" s="494" t="s">
        <v>12</v>
      </c>
      <c r="BB488" s="494" t="s">
        <v>12</v>
      </c>
      <c r="BC488" s="494" t="s">
        <v>12</v>
      </c>
      <c r="BD488" s="494" t="s">
        <v>12</v>
      </c>
      <c r="BE488" s="494" t="s">
        <v>12</v>
      </c>
      <c r="BF488" s="494" t="s">
        <v>12</v>
      </c>
      <c r="BG488" s="494" t="s">
        <v>12</v>
      </c>
      <c r="BH488" s="494" t="s">
        <v>12</v>
      </c>
      <c r="BI488" s="494" t="s">
        <v>12</v>
      </c>
      <c r="BJ488" s="494" t="s">
        <v>12</v>
      </c>
      <c r="BK488" s="494" t="s">
        <v>12</v>
      </c>
      <c r="BL488" s="494" t="s">
        <v>12</v>
      </c>
      <c r="BM488" s="494" t="s">
        <v>12</v>
      </c>
      <c r="BN488" s="494" t="s">
        <v>12</v>
      </c>
      <c r="BO488" s="494" t="s">
        <v>12</v>
      </c>
      <c r="BP488" s="494" t="s">
        <v>12</v>
      </c>
      <c r="BQ488" s="494" t="s">
        <v>12</v>
      </c>
      <c r="BR488" s="494" t="s">
        <v>12</v>
      </c>
      <c r="BS488" s="494" t="s">
        <v>12</v>
      </c>
      <c r="BT488" s="494" t="s">
        <v>12</v>
      </c>
      <c r="BU488" s="494" t="s">
        <v>12</v>
      </c>
      <c r="BV488" s="494" t="s">
        <v>12</v>
      </c>
      <c r="BW488" s="494" t="s">
        <v>12</v>
      </c>
      <c r="BX488" s="494" t="s">
        <v>12</v>
      </c>
      <c r="BY488" s="494" t="s">
        <v>12</v>
      </c>
      <c r="BZ488" s="494" t="s">
        <v>12</v>
      </c>
      <c r="CA488" s="494" t="s">
        <v>12</v>
      </c>
      <c r="CB488" s="494" t="s">
        <v>12</v>
      </c>
      <c r="CC488" s="494" t="s">
        <v>12</v>
      </c>
      <c r="CD488" s="494" t="s">
        <v>12</v>
      </c>
      <c r="CE488" s="494" t="s">
        <v>12</v>
      </c>
      <c r="CF488" s="494" t="s">
        <v>12</v>
      </c>
      <c r="CG488" s="494" t="s">
        <v>12</v>
      </c>
      <c r="CH488" s="494" t="s">
        <v>12</v>
      </c>
      <c r="CI488" s="494" t="s">
        <v>12</v>
      </c>
      <c r="CJ488" s="494" t="s">
        <v>12</v>
      </c>
      <c r="CK488" s="494" t="s">
        <v>12</v>
      </c>
      <c r="CL488" s="494" t="s">
        <v>12</v>
      </c>
      <c r="CM488" s="494" t="s">
        <v>12</v>
      </c>
      <c r="CN488" s="494" t="s">
        <v>12</v>
      </c>
      <c r="CO488" s="494" t="s">
        <v>12</v>
      </c>
      <c r="CP488" s="494" t="s">
        <v>12</v>
      </c>
      <c r="CQ488" s="494" t="s">
        <v>12</v>
      </c>
      <c r="CR488" s="494" t="s">
        <v>12</v>
      </c>
      <c r="CS488" s="494" t="s">
        <v>12</v>
      </c>
      <c r="CT488" s="494" t="s">
        <v>12</v>
      </c>
      <c r="CU488" s="494" t="s">
        <v>12</v>
      </c>
      <c r="CV488" s="494" t="s">
        <v>12</v>
      </c>
      <c r="CW488" s="494" t="s">
        <v>12</v>
      </c>
      <c r="CX488" s="494" t="s">
        <v>12</v>
      </c>
      <c r="CY488" s="494" t="s">
        <v>12</v>
      </c>
      <c r="CZ488" s="494" t="s">
        <v>12</v>
      </c>
      <c r="DA488" s="494" t="s">
        <v>12</v>
      </c>
      <c r="DB488" s="494" t="s">
        <v>12</v>
      </c>
      <c r="DC488" s="494" t="s">
        <v>12</v>
      </c>
      <c r="DD488" s="494" t="s">
        <v>12</v>
      </c>
      <c r="DE488" s="494" t="s">
        <v>12</v>
      </c>
      <c r="DF488" s="494" t="s">
        <v>12</v>
      </c>
      <c r="DG488" s="494" t="s">
        <v>12</v>
      </c>
      <c r="DH488" s="494" t="s">
        <v>12</v>
      </c>
      <c r="DI488" s="494" t="s">
        <v>12</v>
      </c>
      <c r="DJ488" s="494" t="s">
        <v>12</v>
      </c>
      <c r="DK488" s="494" t="s">
        <v>12</v>
      </c>
      <c r="DL488" s="494" t="s">
        <v>12</v>
      </c>
      <c r="DM488" s="494" t="s">
        <v>12</v>
      </c>
      <c r="DN488" s="494" t="s">
        <v>12</v>
      </c>
      <c r="DO488" s="494" t="s">
        <v>12</v>
      </c>
      <c r="DP488" s="494" t="s">
        <v>12</v>
      </c>
      <c r="DQ488" s="494" t="s">
        <v>12</v>
      </c>
    </row>
    <row r="489" spans="1:121" x14ac:dyDescent="0.25">
      <c r="A489">
        <v>8</v>
      </c>
      <c r="B489" s="494" t="s">
        <v>12</v>
      </c>
      <c r="C489" s="494" t="s">
        <v>12</v>
      </c>
      <c r="D489" s="494" t="s">
        <v>12</v>
      </c>
      <c r="E489" s="494" t="s">
        <v>12</v>
      </c>
      <c r="F489" s="494" t="s">
        <v>12</v>
      </c>
      <c r="G489" s="494" t="s">
        <v>12</v>
      </c>
      <c r="H489" s="494" t="s">
        <v>12</v>
      </c>
      <c r="I489" s="494" t="s">
        <v>12</v>
      </c>
      <c r="J489" s="494" t="s">
        <v>12</v>
      </c>
      <c r="K489" s="494" t="s">
        <v>12</v>
      </c>
      <c r="L489" s="494" t="s">
        <v>12</v>
      </c>
      <c r="M489" s="494" t="s">
        <v>12</v>
      </c>
      <c r="N489" s="494" t="s">
        <v>12</v>
      </c>
      <c r="O489" s="494" t="s">
        <v>12</v>
      </c>
      <c r="P489" s="494" t="s">
        <v>12</v>
      </c>
      <c r="Q489" s="494" t="s">
        <v>12</v>
      </c>
      <c r="R489" s="494" t="s">
        <v>12</v>
      </c>
      <c r="S489" s="494" t="s">
        <v>12</v>
      </c>
      <c r="T489" s="494" t="s">
        <v>12</v>
      </c>
      <c r="U489" s="494" t="s">
        <v>12</v>
      </c>
      <c r="V489" s="494" t="s">
        <v>12</v>
      </c>
      <c r="W489" s="494" t="s">
        <v>12</v>
      </c>
      <c r="X489" s="494" t="s">
        <v>12</v>
      </c>
      <c r="Y489" s="494" t="s">
        <v>12</v>
      </c>
      <c r="Z489" s="494" t="s">
        <v>12</v>
      </c>
      <c r="AA489" s="494" t="s">
        <v>12</v>
      </c>
      <c r="AB489" s="494" t="s">
        <v>12</v>
      </c>
      <c r="AC489" s="494" t="s">
        <v>12</v>
      </c>
      <c r="AD489" s="494" t="s">
        <v>12</v>
      </c>
      <c r="AE489" s="494" t="s">
        <v>12</v>
      </c>
      <c r="AF489" s="494" t="s">
        <v>12</v>
      </c>
      <c r="AG489" s="494" t="s">
        <v>12</v>
      </c>
      <c r="AH489" s="494" t="s">
        <v>12</v>
      </c>
      <c r="AI489" s="494" t="s">
        <v>12</v>
      </c>
      <c r="AJ489" s="494" t="s">
        <v>12</v>
      </c>
      <c r="AK489" s="494" t="s">
        <v>12</v>
      </c>
      <c r="AL489" s="494" t="s">
        <v>12</v>
      </c>
      <c r="AM489" s="494" t="s">
        <v>12</v>
      </c>
      <c r="AN489" s="494" t="s">
        <v>12</v>
      </c>
      <c r="AO489" s="494" t="s">
        <v>12</v>
      </c>
      <c r="AP489" s="494" t="s">
        <v>12</v>
      </c>
      <c r="AQ489" s="494" t="s">
        <v>12</v>
      </c>
      <c r="AR489" s="494" t="s">
        <v>12</v>
      </c>
      <c r="AS489" s="494" t="s">
        <v>12</v>
      </c>
      <c r="AT489" s="494" t="s">
        <v>12</v>
      </c>
      <c r="AU489" s="494" t="s">
        <v>12</v>
      </c>
      <c r="AV489" s="494" t="s">
        <v>12</v>
      </c>
      <c r="AW489" s="494" t="s">
        <v>12</v>
      </c>
      <c r="AX489" s="494" t="s">
        <v>12</v>
      </c>
      <c r="AY489" s="494" t="s">
        <v>12</v>
      </c>
      <c r="AZ489" s="494" t="s">
        <v>12</v>
      </c>
      <c r="BA489" s="494" t="s">
        <v>12</v>
      </c>
      <c r="BB489" s="494" t="s">
        <v>12</v>
      </c>
      <c r="BC489" s="494" t="s">
        <v>12</v>
      </c>
      <c r="BD489" s="494" t="s">
        <v>12</v>
      </c>
      <c r="BE489" s="494" t="s">
        <v>12</v>
      </c>
      <c r="BF489" s="494" t="s">
        <v>12</v>
      </c>
      <c r="BG489" s="494" t="s">
        <v>12</v>
      </c>
      <c r="BH489" s="494" t="s">
        <v>12</v>
      </c>
      <c r="BI489" s="494" t="s">
        <v>12</v>
      </c>
      <c r="BJ489" s="494" t="s">
        <v>12</v>
      </c>
      <c r="BK489" s="494" t="s">
        <v>12</v>
      </c>
      <c r="BL489" s="494" t="s">
        <v>12</v>
      </c>
      <c r="BM489" s="494" t="s">
        <v>12</v>
      </c>
      <c r="BN489" s="494" t="s">
        <v>12</v>
      </c>
      <c r="BO489" s="494" t="s">
        <v>12</v>
      </c>
      <c r="BP489" s="494" t="s">
        <v>12</v>
      </c>
      <c r="BQ489" s="494" t="s">
        <v>12</v>
      </c>
      <c r="BR489" s="494" t="s">
        <v>12</v>
      </c>
      <c r="BS489" s="494" t="s">
        <v>12</v>
      </c>
      <c r="BT489" s="494" t="s">
        <v>12</v>
      </c>
      <c r="BU489" s="494" t="s">
        <v>12</v>
      </c>
      <c r="BV489" s="494" t="s">
        <v>12</v>
      </c>
      <c r="BW489" s="494" t="s">
        <v>12</v>
      </c>
      <c r="BX489" s="494" t="s">
        <v>12</v>
      </c>
      <c r="BY489" s="494" t="s">
        <v>12</v>
      </c>
      <c r="BZ489" s="494" t="s">
        <v>12</v>
      </c>
      <c r="CA489" s="494" t="s">
        <v>12</v>
      </c>
      <c r="CB489" s="494" t="s">
        <v>12</v>
      </c>
      <c r="CC489" s="494" t="s">
        <v>12</v>
      </c>
      <c r="CD489" s="494" t="s">
        <v>12</v>
      </c>
      <c r="CE489" s="494" t="s">
        <v>12</v>
      </c>
      <c r="CF489" s="494" t="s">
        <v>12</v>
      </c>
      <c r="CG489" s="494" t="s">
        <v>12</v>
      </c>
      <c r="CH489" s="494" t="s">
        <v>12</v>
      </c>
      <c r="CI489" s="494" t="s">
        <v>12</v>
      </c>
      <c r="CJ489" s="494" t="s">
        <v>12</v>
      </c>
      <c r="CK489" s="494" t="s">
        <v>12</v>
      </c>
      <c r="CL489" s="494" t="s">
        <v>12</v>
      </c>
      <c r="CM489" s="494" t="s">
        <v>12</v>
      </c>
      <c r="CN489" s="494" t="s">
        <v>12</v>
      </c>
      <c r="CO489" s="494" t="s">
        <v>12</v>
      </c>
      <c r="CP489" s="494" t="s">
        <v>12</v>
      </c>
      <c r="CQ489" s="494" t="s">
        <v>12</v>
      </c>
      <c r="CR489" s="494" t="s">
        <v>12</v>
      </c>
      <c r="CS489" s="494" t="s">
        <v>12</v>
      </c>
      <c r="CT489" s="494" t="s">
        <v>12</v>
      </c>
      <c r="CU489" s="494" t="s">
        <v>12</v>
      </c>
      <c r="CV489" s="494" t="s">
        <v>12</v>
      </c>
      <c r="CW489" s="494" t="s">
        <v>12</v>
      </c>
      <c r="CX489" s="494" t="s">
        <v>12</v>
      </c>
      <c r="CY489" s="494" t="s">
        <v>12</v>
      </c>
      <c r="CZ489" s="494" t="s">
        <v>12</v>
      </c>
      <c r="DA489" s="494" t="s">
        <v>12</v>
      </c>
      <c r="DB489" s="494" t="s">
        <v>12</v>
      </c>
      <c r="DC489" s="494" t="s">
        <v>12</v>
      </c>
      <c r="DD489" s="494" t="s">
        <v>12</v>
      </c>
      <c r="DE489" s="494" t="s">
        <v>12</v>
      </c>
      <c r="DF489" s="494" t="s">
        <v>12</v>
      </c>
      <c r="DG489" s="494" t="s">
        <v>12</v>
      </c>
      <c r="DH489" s="494" t="s">
        <v>12</v>
      </c>
      <c r="DI489" s="494" t="s">
        <v>12</v>
      </c>
      <c r="DJ489" s="494" t="s">
        <v>12</v>
      </c>
      <c r="DK489" s="494" t="s">
        <v>12</v>
      </c>
      <c r="DL489" s="494" t="s">
        <v>12</v>
      </c>
      <c r="DM489" s="494" t="s">
        <v>12</v>
      </c>
      <c r="DN489" s="494" t="s">
        <v>12</v>
      </c>
      <c r="DO489" s="494" t="s">
        <v>12</v>
      </c>
      <c r="DP489" s="494" t="s">
        <v>12</v>
      </c>
      <c r="DQ489" s="494" t="s">
        <v>12</v>
      </c>
    </row>
    <row r="490" spans="1:121" x14ac:dyDescent="0.25">
      <c r="A490">
        <v>9</v>
      </c>
      <c r="B490" s="494" t="s">
        <v>12</v>
      </c>
      <c r="C490" s="494" t="s">
        <v>12</v>
      </c>
      <c r="D490" s="494" t="s">
        <v>12</v>
      </c>
      <c r="E490" s="494" t="s">
        <v>12</v>
      </c>
      <c r="F490" s="494" t="s">
        <v>12</v>
      </c>
      <c r="G490" s="494" t="s">
        <v>12</v>
      </c>
      <c r="H490" s="494" t="s">
        <v>12</v>
      </c>
      <c r="I490" s="494" t="s">
        <v>12</v>
      </c>
      <c r="J490" s="494" t="s">
        <v>12</v>
      </c>
      <c r="K490" s="494" t="s">
        <v>12</v>
      </c>
      <c r="L490" s="494" t="s">
        <v>12</v>
      </c>
      <c r="M490" s="494" t="s">
        <v>12</v>
      </c>
      <c r="N490" s="494" t="s">
        <v>12</v>
      </c>
      <c r="O490" s="494" t="s">
        <v>12</v>
      </c>
      <c r="P490" s="494" t="s">
        <v>12</v>
      </c>
      <c r="Q490" s="494" t="s">
        <v>12</v>
      </c>
      <c r="R490" s="494" t="s">
        <v>12</v>
      </c>
      <c r="S490" s="494" t="s">
        <v>12</v>
      </c>
      <c r="T490" s="494" t="s">
        <v>12</v>
      </c>
      <c r="U490" s="494" t="s">
        <v>12</v>
      </c>
      <c r="V490" s="494" t="s">
        <v>12</v>
      </c>
      <c r="W490" s="494" t="s">
        <v>12</v>
      </c>
      <c r="X490" s="494" t="s">
        <v>12</v>
      </c>
      <c r="Y490" s="494" t="s">
        <v>12</v>
      </c>
      <c r="Z490" s="494" t="s">
        <v>12</v>
      </c>
      <c r="AA490" s="494" t="s">
        <v>12</v>
      </c>
      <c r="AB490" s="494" t="s">
        <v>12</v>
      </c>
      <c r="AC490" s="494" t="s">
        <v>12</v>
      </c>
      <c r="AD490" s="494" t="s">
        <v>12</v>
      </c>
      <c r="AE490" s="494" t="s">
        <v>12</v>
      </c>
      <c r="AF490" s="494" t="s">
        <v>12</v>
      </c>
      <c r="AG490" s="494" t="s">
        <v>12</v>
      </c>
      <c r="AH490" s="494" t="s">
        <v>12</v>
      </c>
      <c r="AI490" s="494" t="s">
        <v>12</v>
      </c>
      <c r="AJ490" s="494" t="s">
        <v>12</v>
      </c>
      <c r="AK490" s="494" t="s">
        <v>12</v>
      </c>
      <c r="AL490" s="494" t="s">
        <v>12</v>
      </c>
      <c r="AM490" s="494" t="s">
        <v>12</v>
      </c>
      <c r="AN490" s="494" t="s">
        <v>12</v>
      </c>
      <c r="AO490" s="494" t="s">
        <v>12</v>
      </c>
      <c r="AP490" s="494" t="s">
        <v>12</v>
      </c>
      <c r="AQ490" s="494" t="s">
        <v>12</v>
      </c>
      <c r="AR490" s="494" t="s">
        <v>12</v>
      </c>
      <c r="AS490" s="494" t="s">
        <v>12</v>
      </c>
      <c r="AT490" s="494" t="s">
        <v>12</v>
      </c>
      <c r="AU490" s="494" t="s">
        <v>12</v>
      </c>
      <c r="AV490" s="494" t="s">
        <v>12</v>
      </c>
      <c r="AW490" s="494" t="s">
        <v>12</v>
      </c>
      <c r="AX490" s="494" t="s">
        <v>12</v>
      </c>
      <c r="AY490" s="494" t="s">
        <v>12</v>
      </c>
      <c r="AZ490" s="494" t="s">
        <v>12</v>
      </c>
      <c r="BA490" s="494" t="s">
        <v>12</v>
      </c>
      <c r="BB490" s="494" t="s">
        <v>12</v>
      </c>
      <c r="BC490" s="494" t="s">
        <v>12</v>
      </c>
      <c r="BD490" s="494" t="s">
        <v>12</v>
      </c>
      <c r="BE490" s="494" t="s">
        <v>12</v>
      </c>
      <c r="BF490" s="494" t="s">
        <v>12</v>
      </c>
      <c r="BG490" s="494" t="s">
        <v>12</v>
      </c>
      <c r="BH490" s="494" t="s">
        <v>12</v>
      </c>
      <c r="BI490" s="494" t="s">
        <v>12</v>
      </c>
      <c r="BJ490" s="494" t="s">
        <v>12</v>
      </c>
      <c r="BK490" s="494" t="s">
        <v>12</v>
      </c>
      <c r="BL490" s="494" t="s">
        <v>12</v>
      </c>
      <c r="BM490" s="494" t="s">
        <v>12</v>
      </c>
      <c r="BN490" s="494" t="s">
        <v>12</v>
      </c>
      <c r="BO490" s="494" t="s">
        <v>12</v>
      </c>
      <c r="BP490" s="494" t="s">
        <v>12</v>
      </c>
      <c r="BQ490" s="494" t="s">
        <v>12</v>
      </c>
      <c r="BR490" s="494" t="s">
        <v>12</v>
      </c>
      <c r="BS490" s="494" t="s">
        <v>12</v>
      </c>
      <c r="BT490" s="494" t="s">
        <v>12</v>
      </c>
      <c r="BU490" s="494" t="s">
        <v>12</v>
      </c>
      <c r="BV490" s="494" t="s">
        <v>12</v>
      </c>
      <c r="BW490" s="494" t="s">
        <v>12</v>
      </c>
      <c r="BX490" s="494" t="s">
        <v>12</v>
      </c>
      <c r="BY490" s="494" t="s">
        <v>12</v>
      </c>
      <c r="BZ490" s="494" t="s">
        <v>12</v>
      </c>
      <c r="CA490" s="494" t="s">
        <v>12</v>
      </c>
      <c r="CB490" s="494" t="s">
        <v>12</v>
      </c>
      <c r="CC490" s="494" t="s">
        <v>12</v>
      </c>
      <c r="CD490" s="494" t="s">
        <v>12</v>
      </c>
      <c r="CE490" s="494" t="s">
        <v>12</v>
      </c>
      <c r="CF490" s="494" t="s">
        <v>12</v>
      </c>
      <c r="CG490" s="494" t="s">
        <v>12</v>
      </c>
      <c r="CH490" s="494" t="s">
        <v>12</v>
      </c>
      <c r="CI490" s="494" t="s">
        <v>12</v>
      </c>
      <c r="CJ490" s="494" t="s">
        <v>12</v>
      </c>
      <c r="CK490" s="494" t="s">
        <v>12</v>
      </c>
      <c r="CL490" s="494" t="s">
        <v>12</v>
      </c>
      <c r="CM490" s="494" t="s">
        <v>12</v>
      </c>
      <c r="CN490" s="494" t="s">
        <v>12</v>
      </c>
      <c r="CO490" s="494" t="s">
        <v>12</v>
      </c>
      <c r="CP490" s="494" t="s">
        <v>12</v>
      </c>
      <c r="CQ490" s="494" t="s">
        <v>12</v>
      </c>
      <c r="CR490" s="494" t="s">
        <v>12</v>
      </c>
      <c r="CS490" s="494" t="s">
        <v>12</v>
      </c>
      <c r="CT490" s="494" t="s">
        <v>12</v>
      </c>
      <c r="CU490" s="494" t="s">
        <v>12</v>
      </c>
      <c r="CV490" s="494" t="s">
        <v>12</v>
      </c>
      <c r="CW490" s="494" t="s">
        <v>12</v>
      </c>
      <c r="CX490" s="494" t="s">
        <v>12</v>
      </c>
      <c r="CY490" s="494" t="s">
        <v>12</v>
      </c>
      <c r="CZ490" s="494" t="s">
        <v>12</v>
      </c>
      <c r="DA490" s="494" t="s">
        <v>12</v>
      </c>
      <c r="DB490" s="494" t="s">
        <v>12</v>
      </c>
      <c r="DC490" s="494" t="s">
        <v>12</v>
      </c>
      <c r="DD490" s="494" t="s">
        <v>12</v>
      </c>
      <c r="DE490" s="494" t="s">
        <v>12</v>
      </c>
      <c r="DF490" s="494" t="s">
        <v>12</v>
      </c>
      <c r="DG490" s="494" t="s">
        <v>12</v>
      </c>
      <c r="DH490" s="494" t="s">
        <v>12</v>
      </c>
      <c r="DI490" s="494" t="s">
        <v>12</v>
      </c>
      <c r="DJ490" s="494" t="s">
        <v>12</v>
      </c>
      <c r="DK490" s="494" t="s">
        <v>12</v>
      </c>
      <c r="DL490" s="494" t="s">
        <v>12</v>
      </c>
      <c r="DM490" s="494" t="s">
        <v>12</v>
      </c>
      <c r="DN490" s="494" t="s">
        <v>12</v>
      </c>
      <c r="DO490" s="494" t="s">
        <v>12</v>
      </c>
      <c r="DP490" s="494" t="s">
        <v>12</v>
      </c>
      <c r="DQ490" s="494" t="s">
        <v>12</v>
      </c>
    </row>
    <row r="491" spans="1:121" x14ac:dyDescent="0.25">
      <c r="A491">
        <v>10</v>
      </c>
      <c r="B491" s="494" t="s">
        <v>12</v>
      </c>
      <c r="C491" s="494" t="s">
        <v>12</v>
      </c>
      <c r="D491" s="494" t="s">
        <v>12</v>
      </c>
      <c r="E491" s="494" t="s">
        <v>12</v>
      </c>
      <c r="F491" s="494" t="s">
        <v>12</v>
      </c>
      <c r="G491" s="494" t="s">
        <v>12</v>
      </c>
      <c r="H491" s="494" t="s">
        <v>12</v>
      </c>
      <c r="I491" s="494" t="s">
        <v>12</v>
      </c>
      <c r="J491" s="494" t="s">
        <v>12</v>
      </c>
      <c r="K491" s="494" t="s">
        <v>12</v>
      </c>
      <c r="L491" s="494" t="s">
        <v>12</v>
      </c>
      <c r="M491" s="494" t="s">
        <v>12</v>
      </c>
      <c r="N491" s="494" t="s">
        <v>12</v>
      </c>
      <c r="O491" s="494" t="s">
        <v>12</v>
      </c>
      <c r="P491" s="494" t="s">
        <v>12</v>
      </c>
      <c r="Q491" s="494" t="s">
        <v>12</v>
      </c>
      <c r="R491" s="494" t="s">
        <v>12</v>
      </c>
      <c r="S491" s="494" t="s">
        <v>12</v>
      </c>
      <c r="T491" s="494" t="s">
        <v>12</v>
      </c>
      <c r="U491" s="494" t="s">
        <v>12</v>
      </c>
      <c r="V491" s="494" t="s">
        <v>12</v>
      </c>
      <c r="W491" s="494" t="s">
        <v>12</v>
      </c>
      <c r="X491" s="494" t="s">
        <v>12</v>
      </c>
      <c r="Y491" s="494" t="s">
        <v>12</v>
      </c>
      <c r="Z491" s="494" t="s">
        <v>12</v>
      </c>
      <c r="AA491" s="494" t="s">
        <v>12</v>
      </c>
      <c r="AB491" s="494" t="s">
        <v>12</v>
      </c>
      <c r="AC491" s="494" t="s">
        <v>12</v>
      </c>
      <c r="AD491" s="494" t="s">
        <v>12</v>
      </c>
      <c r="AE491" s="494" t="s">
        <v>12</v>
      </c>
      <c r="AF491" s="494" t="s">
        <v>12</v>
      </c>
      <c r="AG491" s="494" t="s">
        <v>12</v>
      </c>
      <c r="AH491" s="494" t="s">
        <v>12</v>
      </c>
      <c r="AI491" s="494" t="s">
        <v>12</v>
      </c>
      <c r="AJ491" s="494" t="s">
        <v>12</v>
      </c>
      <c r="AK491" s="494" t="s">
        <v>12</v>
      </c>
      <c r="AL491" s="494" t="s">
        <v>12</v>
      </c>
      <c r="AM491" s="494" t="s">
        <v>12</v>
      </c>
      <c r="AN491" s="494" t="s">
        <v>12</v>
      </c>
      <c r="AO491" s="494" t="s">
        <v>12</v>
      </c>
      <c r="AP491" s="494" t="s">
        <v>12</v>
      </c>
      <c r="AQ491" s="494" t="s">
        <v>12</v>
      </c>
      <c r="AR491" s="494" t="s">
        <v>12</v>
      </c>
      <c r="AS491" s="494" t="s">
        <v>12</v>
      </c>
      <c r="AT491" s="494" t="s">
        <v>12</v>
      </c>
      <c r="AU491" s="494" t="s">
        <v>12</v>
      </c>
      <c r="AV491" s="494" t="s">
        <v>12</v>
      </c>
      <c r="AW491" s="494" t="s">
        <v>12</v>
      </c>
      <c r="AX491" s="494" t="s">
        <v>12</v>
      </c>
      <c r="AY491" s="494" t="s">
        <v>12</v>
      </c>
      <c r="AZ491" s="494" t="s">
        <v>12</v>
      </c>
      <c r="BA491" s="494" t="s">
        <v>12</v>
      </c>
      <c r="BB491" s="494" t="s">
        <v>12</v>
      </c>
      <c r="BC491" s="494" t="s">
        <v>12</v>
      </c>
      <c r="BD491" s="494" t="s">
        <v>12</v>
      </c>
      <c r="BE491" s="494" t="s">
        <v>12</v>
      </c>
      <c r="BF491" s="494" t="s">
        <v>12</v>
      </c>
      <c r="BG491" s="494" t="s">
        <v>12</v>
      </c>
      <c r="BH491" s="494" t="s">
        <v>12</v>
      </c>
      <c r="BI491" s="494" t="s">
        <v>12</v>
      </c>
      <c r="BJ491" s="494" t="s">
        <v>12</v>
      </c>
      <c r="BK491" s="494" t="s">
        <v>12</v>
      </c>
      <c r="BL491" s="494" t="s">
        <v>12</v>
      </c>
      <c r="BM491" s="494" t="s">
        <v>12</v>
      </c>
      <c r="BN491" s="494" t="s">
        <v>12</v>
      </c>
      <c r="BO491" s="494" t="s">
        <v>12</v>
      </c>
      <c r="BP491" s="494" t="s">
        <v>12</v>
      </c>
      <c r="BQ491" s="494" t="s">
        <v>12</v>
      </c>
      <c r="BR491" s="494" t="s">
        <v>12</v>
      </c>
      <c r="BS491" s="494" t="s">
        <v>12</v>
      </c>
      <c r="BT491" s="494" t="s">
        <v>12</v>
      </c>
      <c r="BU491" s="494" t="s">
        <v>12</v>
      </c>
      <c r="BV491" s="494" t="s">
        <v>12</v>
      </c>
      <c r="BW491" s="494" t="s">
        <v>12</v>
      </c>
      <c r="BX491" s="494" t="s">
        <v>12</v>
      </c>
      <c r="BY491" s="494" t="s">
        <v>12</v>
      </c>
      <c r="BZ491" s="494" t="s">
        <v>12</v>
      </c>
      <c r="CA491" s="494" t="s">
        <v>12</v>
      </c>
      <c r="CB491" s="494" t="s">
        <v>12</v>
      </c>
      <c r="CC491" s="494" t="s">
        <v>12</v>
      </c>
      <c r="CD491" s="494" t="s">
        <v>12</v>
      </c>
      <c r="CE491" s="494" t="s">
        <v>12</v>
      </c>
      <c r="CF491" s="494" t="s">
        <v>12</v>
      </c>
      <c r="CG491" s="494" t="s">
        <v>12</v>
      </c>
      <c r="CH491" s="494" t="s">
        <v>12</v>
      </c>
      <c r="CI491" s="494" t="s">
        <v>12</v>
      </c>
      <c r="CJ491" s="494" t="s">
        <v>12</v>
      </c>
      <c r="CK491" s="494" t="s">
        <v>12</v>
      </c>
      <c r="CL491" s="494" t="s">
        <v>12</v>
      </c>
      <c r="CM491" s="494" t="s">
        <v>12</v>
      </c>
      <c r="CN491" s="494" t="s">
        <v>12</v>
      </c>
      <c r="CO491" s="494" t="s">
        <v>12</v>
      </c>
      <c r="CP491" s="494" t="s">
        <v>12</v>
      </c>
      <c r="CQ491" s="494" t="s">
        <v>12</v>
      </c>
      <c r="CR491" s="494" t="s">
        <v>12</v>
      </c>
      <c r="CS491" s="494" t="s">
        <v>12</v>
      </c>
      <c r="CT491" s="494" t="s">
        <v>12</v>
      </c>
      <c r="CU491" s="494" t="s">
        <v>12</v>
      </c>
      <c r="CV491" s="494" t="s">
        <v>12</v>
      </c>
      <c r="CW491" s="494" t="s">
        <v>12</v>
      </c>
      <c r="CX491" s="494" t="s">
        <v>12</v>
      </c>
      <c r="CY491" s="494" t="s">
        <v>12</v>
      </c>
      <c r="CZ491" s="494" t="s">
        <v>12</v>
      </c>
      <c r="DA491" s="494" t="s">
        <v>12</v>
      </c>
      <c r="DB491" s="494" t="s">
        <v>12</v>
      </c>
      <c r="DC491" s="494" t="s">
        <v>12</v>
      </c>
      <c r="DD491" s="494" t="s">
        <v>12</v>
      </c>
      <c r="DE491" s="494" t="s">
        <v>12</v>
      </c>
      <c r="DF491" s="494" t="s">
        <v>12</v>
      </c>
      <c r="DG491" s="494" t="s">
        <v>12</v>
      </c>
      <c r="DH491" s="494" t="s">
        <v>12</v>
      </c>
      <c r="DI491" s="494" t="s">
        <v>12</v>
      </c>
      <c r="DJ491" s="494" t="s">
        <v>12</v>
      </c>
      <c r="DK491" s="494" t="s">
        <v>12</v>
      </c>
      <c r="DL491" s="494" t="s">
        <v>12</v>
      </c>
      <c r="DM491" s="494" t="s">
        <v>12</v>
      </c>
      <c r="DN491" s="494" t="s">
        <v>12</v>
      </c>
      <c r="DO491" s="494" t="s">
        <v>12</v>
      </c>
      <c r="DP491" s="494" t="s">
        <v>12</v>
      </c>
      <c r="DQ491" s="494" t="s">
        <v>12</v>
      </c>
    </row>
    <row r="492" spans="1:121" x14ac:dyDescent="0.25">
      <c r="A492" s="491" t="s">
        <v>741</v>
      </c>
      <c r="B492" s="199">
        <v>2011</v>
      </c>
      <c r="C492" s="199">
        <v>2012</v>
      </c>
      <c r="D492" s="199">
        <v>2013</v>
      </c>
      <c r="E492" s="199">
        <v>2014</v>
      </c>
      <c r="F492" s="199">
        <v>2015</v>
      </c>
      <c r="G492" s="199">
        <v>2016</v>
      </c>
      <c r="H492" s="199">
        <v>2017</v>
      </c>
      <c r="I492" s="199">
        <v>2018</v>
      </c>
      <c r="J492" s="199">
        <v>2019</v>
      </c>
      <c r="K492" s="199">
        <v>2020</v>
      </c>
      <c r="L492" s="199">
        <v>2021</v>
      </c>
      <c r="M492" s="199">
        <v>2022</v>
      </c>
      <c r="N492" s="202">
        <v>2011</v>
      </c>
      <c r="O492" s="202">
        <v>2012</v>
      </c>
      <c r="P492" s="202">
        <v>2013</v>
      </c>
      <c r="Q492" s="202">
        <v>2014</v>
      </c>
      <c r="R492" s="202">
        <v>2015</v>
      </c>
      <c r="S492" s="202">
        <v>2016</v>
      </c>
      <c r="T492" s="202">
        <v>2017</v>
      </c>
      <c r="U492" s="202">
        <v>2018</v>
      </c>
      <c r="V492" s="202">
        <v>2019</v>
      </c>
      <c r="W492" s="202">
        <v>2020</v>
      </c>
      <c r="X492" s="202">
        <v>2021</v>
      </c>
      <c r="Y492" s="202">
        <v>2022</v>
      </c>
      <c r="Z492" s="199">
        <v>2011</v>
      </c>
      <c r="AA492" s="199">
        <v>2012</v>
      </c>
      <c r="AB492" s="199">
        <v>2013</v>
      </c>
      <c r="AC492" s="199">
        <v>2014</v>
      </c>
      <c r="AD492" s="199">
        <v>2015</v>
      </c>
      <c r="AE492" s="199">
        <v>2016</v>
      </c>
      <c r="AF492" s="199">
        <v>2017</v>
      </c>
      <c r="AG492" s="199">
        <v>2018</v>
      </c>
      <c r="AH492" s="199">
        <v>2019</v>
      </c>
      <c r="AI492" s="199">
        <v>2020</v>
      </c>
      <c r="AJ492" s="199">
        <v>2021</v>
      </c>
      <c r="AK492" s="199">
        <v>2022</v>
      </c>
      <c r="AL492" s="202">
        <v>2011</v>
      </c>
      <c r="AM492" s="202">
        <v>2012</v>
      </c>
      <c r="AN492" s="202">
        <v>2013</v>
      </c>
      <c r="AO492" s="202">
        <v>2014</v>
      </c>
      <c r="AP492" s="202">
        <v>2015</v>
      </c>
      <c r="AQ492" s="202">
        <v>2016</v>
      </c>
      <c r="AR492" s="202">
        <v>2017</v>
      </c>
      <c r="AS492" s="202">
        <v>2018</v>
      </c>
      <c r="AT492" s="202">
        <v>2019</v>
      </c>
      <c r="AU492" s="202">
        <v>2020</v>
      </c>
      <c r="AV492" s="202">
        <v>2021</v>
      </c>
      <c r="AW492" s="202">
        <v>2022</v>
      </c>
      <c r="AX492" s="199">
        <v>2011</v>
      </c>
      <c r="AY492" s="199">
        <v>2012</v>
      </c>
      <c r="AZ492" s="199">
        <v>2013</v>
      </c>
      <c r="BA492" s="199">
        <v>2014</v>
      </c>
      <c r="BB492" s="199">
        <v>2015</v>
      </c>
      <c r="BC492" s="199">
        <v>2016</v>
      </c>
      <c r="BD492" s="199">
        <v>2017</v>
      </c>
      <c r="BE492" s="199">
        <v>2018</v>
      </c>
      <c r="BF492" s="199">
        <v>2019</v>
      </c>
      <c r="BG492" s="199">
        <v>2020</v>
      </c>
      <c r="BH492" s="199">
        <v>2021</v>
      </c>
      <c r="BI492" s="199">
        <v>2022</v>
      </c>
      <c r="BJ492" s="202">
        <v>2011</v>
      </c>
      <c r="BK492" s="202">
        <v>2012</v>
      </c>
      <c r="BL492" s="202">
        <v>2013</v>
      </c>
      <c r="BM492" s="202">
        <v>2014</v>
      </c>
      <c r="BN492" s="202">
        <v>2015</v>
      </c>
      <c r="BO492" s="202">
        <v>2016</v>
      </c>
      <c r="BP492" s="202">
        <v>2017</v>
      </c>
      <c r="BQ492" s="202">
        <v>2018</v>
      </c>
      <c r="BR492" s="202">
        <v>2019</v>
      </c>
      <c r="BS492" s="202">
        <v>2020</v>
      </c>
      <c r="BT492" s="202">
        <v>2021</v>
      </c>
      <c r="BU492" s="202">
        <v>2022</v>
      </c>
      <c r="BV492" s="199">
        <v>2011</v>
      </c>
      <c r="BW492" s="199">
        <v>2012</v>
      </c>
      <c r="BX492" s="199">
        <v>2013</v>
      </c>
      <c r="BY492" s="199">
        <v>2014</v>
      </c>
      <c r="BZ492" s="199">
        <v>2015</v>
      </c>
      <c r="CA492" s="199">
        <v>2016</v>
      </c>
      <c r="CB492" s="199">
        <v>2017</v>
      </c>
      <c r="CC492" s="199">
        <v>2018</v>
      </c>
      <c r="CD492" s="199">
        <v>2019</v>
      </c>
      <c r="CE492" s="199">
        <v>2020</v>
      </c>
      <c r="CF492" s="199">
        <v>2021</v>
      </c>
      <c r="CG492" s="199">
        <v>2022</v>
      </c>
      <c r="CH492" s="202">
        <v>2011</v>
      </c>
      <c r="CI492" s="202">
        <v>2012</v>
      </c>
      <c r="CJ492" s="202">
        <v>2013</v>
      </c>
      <c r="CK492" s="202">
        <v>2014</v>
      </c>
      <c r="CL492" s="202">
        <v>2015</v>
      </c>
      <c r="CM492" s="202">
        <v>2016</v>
      </c>
      <c r="CN492" s="202">
        <v>2017</v>
      </c>
      <c r="CO492" s="202">
        <v>2018</v>
      </c>
      <c r="CP492" s="202">
        <v>2019</v>
      </c>
      <c r="CQ492" s="202">
        <v>2020</v>
      </c>
      <c r="CR492" s="202">
        <v>2021</v>
      </c>
      <c r="CS492" s="202">
        <v>2022</v>
      </c>
      <c r="CT492" s="199">
        <v>2011</v>
      </c>
      <c r="CU492" s="199">
        <v>2012</v>
      </c>
      <c r="CV492" s="199">
        <v>2013</v>
      </c>
      <c r="CW492" s="199">
        <v>2014</v>
      </c>
      <c r="CX492" s="199">
        <v>2015</v>
      </c>
      <c r="CY492" s="199">
        <v>2016</v>
      </c>
      <c r="CZ492" s="199">
        <v>2017</v>
      </c>
      <c r="DA492" s="199">
        <v>2018</v>
      </c>
      <c r="DB492" s="199">
        <v>2019</v>
      </c>
      <c r="DC492" s="199">
        <v>2020</v>
      </c>
      <c r="DD492" s="199">
        <v>2021</v>
      </c>
      <c r="DE492" s="199">
        <v>2022</v>
      </c>
      <c r="DF492" s="202">
        <v>2011</v>
      </c>
      <c r="DG492" s="202">
        <v>2012</v>
      </c>
      <c r="DH492" s="202">
        <v>2013</v>
      </c>
      <c r="DI492" s="202">
        <v>2014</v>
      </c>
      <c r="DJ492" s="202">
        <v>2015</v>
      </c>
      <c r="DK492" s="202">
        <v>2016</v>
      </c>
      <c r="DL492" s="202">
        <v>2017</v>
      </c>
      <c r="DM492" s="202">
        <v>2018</v>
      </c>
      <c r="DN492" s="202">
        <v>2019</v>
      </c>
      <c r="DO492" s="202">
        <v>2020</v>
      </c>
      <c r="DP492" s="202">
        <v>2021</v>
      </c>
      <c r="DQ492" s="202">
        <v>2022</v>
      </c>
    </row>
    <row r="493" spans="1:121" x14ac:dyDescent="0.25">
      <c r="A493">
        <v>1</v>
      </c>
      <c r="B493" s="494">
        <v>1477634.814950041</v>
      </c>
      <c r="C493" s="494">
        <v>3499221.2366232765</v>
      </c>
      <c r="D493" s="494" t="s">
        <v>12</v>
      </c>
      <c r="E493" s="494" t="s">
        <v>12</v>
      </c>
      <c r="F493" s="494" t="s">
        <v>12</v>
      </c>
      <c r="G493" s="494" t="s">
        <v>12</v>
      </c>
      <c r="H493" s="494" t="s">
        <v>12</v>
      </c>
      <c r="I493" s="494" t="s">
        <v>12</v>
      </c>
      <c r="J493" s="494" t="s">
        <v>12</v>
      </c>
      <c r="K493" s="494" t="s">
        <v>12</v>
      </c>
      <c r="L493" s="494" t="s">
        <v>12</v>
      </c>
      <c r="M493" s="494" t="s">
        <v>12</v>
      </c>
      <c r="N493" s="494">
        <v>2063351.4594596326</v>
      </c>
      <c r="O493" s="494">
        <v>3673400.781845022</v>
      </c>
      <c r="P493" s="494" t="s">
        <v>12</v>
      </c>
      <c r="Q493" s="494" t="s">
        <v>12</v>
      </c>
      <c r="R493" s="494" t="s">
        <v>12</v>
      </c>
      <c r="S493" s="494" t="s">
        <v>12</v>
      </c>
      <c r="T493" s="494" t="s">
        <v>12</v>
      </c>
      <c r="U493" s="494" t="s">
        <v>12</v>
      </c>
      <c r="V493" s="494" t="s">
        <v>12</v>
      </c>
      <c r="W493" s="494" t="s">
        <v>12</v>
      </c>
      <c r="X493" s="494" t="s">
        <v>12</v>
      </c>
      <c r="Y493" s="494" t="s">
        <v>12</v>
      </c>
      <c r="Z493" s="494">
        <v>1206250.7970405554</v>
      </c>
      <c r="AA493" s="494">
        <v>2762310.2987866877</v>
      </c>
      <c r="AB493" s="494" t="s">
        <v>12</v>
      </c>
      <c r="AC493" s="494" t="s">
        <v>12</v>
      </c>
      <c r="AD493" s="494" t="s">
        <v>12</v>
      </c>
      <c r="AE493" s="494" t="s">
        <v>12</v>
      </c>
      <c r="AF493" s="494" t="s">
        <v>12</v>
      </c>
      <c r="AG493" s="494" t="s">
        <v>12</v>
      </c>
      <c r="AH493" s="494" t="s">
        <v>12</v>
      </c>
      <c r="AI493" s="494" t="s">
        <v>12</v>
      </c>
      <c r="AJ493" s="494" t="s">
        <v>12</v>
      </c>
      <c r="AK493" s="494" t="s">
        <v>12</v>
      </c>
      <c r="AL493" s="494">
        <v>16772802.281664485</v>
      </c>
      <c r="AM493" s="494">
        <v>36213877.214230753</v>
      </c>
      <c r="AN493" s="494" t="s">
        <v>12</v>
      </c>
      <c r="AO493" s="494" t="s">
        <v>12</v>
      </c>
      <c r="AP493" s="494" t="s">
        <v>12</v>
      </c>
      <c r="AQ493" s="494" t="s">
        <v>12</v>
      </c>
      <c r="AR493" s="494" t="s">
        <v>12</v>
      </c>
      <c r="AS493" s="494" t="s">
        <v>12</v>
      </c>
      <c r="AT493" s="494" t="s">
        <v>12</v>
      </c>
      <c r="AU493" s="494" t="s">
        <v>12</v>
      </c>
      <c r="AV493" s="494" t="s">
        <v>12</v>
      </c>
      <c r="AW493" s="494" t="s">
        <v>12</v>
      </c>
      <c r="AX493" s="494">
        <v>5895427.8529494749</v>
      </c>
      <c r="AY493" s="494">
        <v>10427354.666800028</v>
      </c>
      <c r="AZ493" s="494" t="s">
        <v>12</v>
      </c>
      <c r="BA493" s="494" t="s">
        <v>12</v>
      </c>
      <c r="BB493" s="494" t="s">
        <v>12</v>
      </c>
      <c r="BC493" s="494" t="s">
        <v>12</v>
      </c>
      <c r="BD493" s="494" t="s">
        <v>12</v>
      </c>
      <c r="BE493" s="494" t="s">
        <v>12</v>
      </c>
      <c r="BF493" s="494" t="s">
        <v>12</v>
      </c>
      <c r="BG493" s="494" t="s">
        <v>12</v>
      </c>
      <c r="BH493" s="494" t="s">
        <v>12</v>
      </c>
      <c r="BI493" s="494" t="s">
        <v>12</v>
      </c>
      <c r="BJ493" s="494">
        <v>1290613.5918746404</v>
      </c>
      <c r="BK493" s="494">
        <v>2802686.5044512311</v>
      </c>
      <c r="BL493" s="494" t="s">
        <v>12</v>
      </c>
      <c r="BM493" s="494" t="s">
        <v>12</v>
      </c>
      <c r="BN493" s="494" t="s">
        <v>12</v>
      </c>
      <c r="BO493" s="494" t="s">
        <v>12</v>
      </c>
      <c r="BP493" s="494" t="s">
        <v>12</v>
      </c>
      <c r="BQ493" s="494" t="s">
        <v>12</v>
      </c>
      <c r="BR493" s="494" t="s">
        <v>12</v>
      </c>
      <c r="BS493" s="494" t="s">
        <v>12</v>
      </c>
      <c r="BT493" s="494" t="s">
        <v>12</v>
      </c>
      <c r="BU493" s="494" t="s">
        <v>12</v>
      </c>
      <c r="BV493" s="494" t="s">
        <v>12</v>
      </c>
      <c r="BW493" s="494" t="s">
        <v>12</v>
      </c>
      <c r="BX493" s="494" t="s">
        <v>12</v>
      </c>
      <c r="BY493" s="494" t="s">
        <v>12</v>
      </c>
      <c r="BZ493" s="494" t="s">
        <v>12</v>
      </c>
      <c r="CA493" s="494" t="s">
        <v>12</v>
      </c>
      <c r="CB493" s="494" t="s">
        <v>12</v>
      </c>
      <c r="CC493" s="494" t="s">
        <v>12</v>
      </c>
      <c r="CD493" s="494" t="s">
        <v>12</v>
      </c>
      <c r="CE493" s="494" t="s">
        <v>12</v>
      </c>
      <c r="CF493" s="494" t="s">
        <v>12</v>
      </c>
      <c r="CG493" s="494" t="s">
        <v>12</v>
      </c>
      <c r="CH493" s="494" t="s">
        <v>12</v>
      </c>
      <c r="CI493" s="494" t="s">
        <v>12</v>
      </c>
      <c r="CJ493" s="494" t="s">
        <v>12</v>
      </c>
      <c r="CK493" s="494" t="s">
        <v>12</v>
      </c>
      <c r="CL493" s="494" t="s">
        <v>12</v>
      </c>
      <c r="CM493" s="494" t="s">
        <v>12</v>
      </c>
      <c r="CN493" s="494" t="s">
        <v>12</v>
      </c>
      <c r="CO493" s="494" t="s">
        <v>12</v>
      </c>
      <c r="CP493" s="494" t="s">
        <v>12</v>
      </c>
      <c r="CQ493" s="494" t="s">
        <v>12</v>
      </c>
      <c r="CR493" s="494" t="s">
        <v>12</v>
      </c>
      <c r="CS493" s="494" t="s">
        <v>12</v>
      </c>
      <c r="CT493" s="494" t="s">
        <v>12</v>
      </c>
      <c r="CU493" s="494" t="s">
        <v>12</v>
      </c>
      <c r="CV493" s="494" t="s">
        <v>12</v>
      </c>
      <c r="CW493" s="494" t="s">
        <v>12</v>
      </c>
      <c r="CX493" s="494" t="s">
        <v>12</v>
      </c>
      <c r="CY493" s="494" t="s">
        <v>12</v>
      </c>
      <c r="CZ493" s="494" t="s">
        <v>12</v>
      </c>
      <c r="DA493" s="494" t="s">
        <v>12</v>
      </c>
      <c r="DB493" s="494" t="s">
        <v>12</v>
      </c>
      <c r="DC493" s="494" t="s">
        <v>12</v>
      </c>
      <c r="DD493" s="494" t="s">
        <v>12</v>
      </c>
      <c r="DE493" s="494" t="s">
        <v>12</v>
      </c>
      <c r="DF493" s="494" t="s">
        <v>12</v>
      </c>
      <c r="DG493" s="494" t="s">
        <v>12</v>
      </c>
      <c r="DH493" s="494" t="s">
        <v>12</v>
      </c>
      <c r="DI493" s="494" t="s">
        <v>12</v>
      </c>
      <c r="DJ493" s="494" t="s">
        <v>12</v>
      </c>
      <c r="DK493" s="494" t="s">
        <v>12</v>
      </c>
      <c r="DL493" s="494" t="s">
        <v>12</v>
      </c>
      <c r="DM493" s="494" t="s">
        <v>12</v>
      </c>
      <c r="DN493" s="494" t="s">
        <v>12</v>
      </c>
      <c r="DO493" s="494" t="s">
        <v>12</v>
      </c>
      <c r="DP493" s="494" t="s">
        <v>12</v>
      </c>
      <c r="DQ493" s="494" t="s">
        <v>12</v>
      </c>
    </row>
    <row r="494" spans="1:121" x14ac:dyDescent="0.25">
      <c r="A494">
        <v>2</v>
      </c>
      <c r="B494" s="494" t="s">
        <v>12</v>
      </c>
      <c r="C494" s="494">
        <v>187154.11328411143</v>
      </c>
      <c r="D494" s="494" t="s">
        <v>12</v>
      </c>
      <c r="E494" s="494" t="s">
        <v>12</v>
      </c>
      <c r="F494" s="494" t="s">
        <v>12</v>
      </c>
      <c r="G494" s="494" t="s">
        <v>12</v>
      </c>
      <c r="H494" s="494" t="s">
        <v>12</v>
      </c>
      <c r="I494" s="494" t="s">
        <v>12</v>
      </c>
      <c r="J494" s="494" t="s">
        <v>12</v>
      </c>
      <c r="K494" s="494" t="s">
        <v>12</v>
      </c>
      <c r="L494" s="494" t="s">
        <v>12</v>
      </c>
      <c r="M494" s="494" t="s">
        <v>12</v>
      </c>
      <c r="N494" s="494" t="s">
        <v>12</v>
      </c>
      <c r="O494" s="494">
        <v>1172227.9533529226</v>
      </c>
      <c r="P494" s="494" t="s">
        <v>12</v>
      </c>
      <c r="Q494" s="494" t="s">
        <v>12</v>
      </c>
      <c r="R494" s="494" t="s">
        <v>12</v>
      </c>
      <c r="S494" s="494" t="s">
        <v>12</v>
      </c>
      <c r="T494" s="494" t="s">
        <v>12</v>
      </c>
      <c r="U494" s="494" t="s">
        <v>12</v>
      </c>
      <c r="V494" s="494" t="s">
        <v>12</v>
      </c>
      <c r="W494" s="494" t="s">
        <v>12</v>
      </c>
      <c r="X494" s="494" t="s">
        <v>12</v>
      </c>
      <c r="Y494" s="494" t="s">
        <v>12</v>
      </c>
      <c r="Z494" s="494" t="s">
        <v>12</v>
      </c>
      <c r="AA494" s="494">
        <v>8589671.5105732642</v>
      </c>
      <c r="AB494" s="494" t="s">
        <v>12</v>
      </c>
      <c r="AC494" s="494" t="s">
        <v>12</v>
      </c>
      <c r="AD494" s="494" t="s">
        <v>12</v>
      </c>
      <c r="AE494" s="494" t="s">
        <v>12</v>
      </c>
      <c r="AF494" s="494" t="s">
        <v>12</v>
      </c>
      <c r="AG494" s="494" t="s">
        <v>12</v>
      </c>
      <c r="AH494" s="494" t="s">
        <v>12</v>
      </c>
      <c r="AI494" s="494" t="s">
        <v>12</v>
      </c>
      <c r="AJ494" s="494" t="s">
        <v>12</v>
      </c>
      <c r="AK494" s="494" t="s">
        <v>12</v>
      </c>
      <c r="AL494" s="494" t="s">
        <v>12</v>
      </c>
      <c r="AM494" s="494">
        <v>1404225.6202000028</v>
      </c>
      <c r="AN494" s="494" t="s">
        <v>12</v>
      </c>
      <c r="AO494" s="494" t="s">
        <v>12</v>
      </c>
      <c r="AP494" s="494" t="s">
        <v>12</v>
      </c>
      <c r="AQ494" s="494" t="s">
        <v>12</v>
      </c>
      <c r="AR494" s="494" t="s">
        <v>12</v>
      </c>
      <c r="AS494" s="494" t="s">
        <v>12</v>
      </c>
      <c r="AT494" s="494" t="s">
        <v>12</v>
      </c>
      <c r="AU494" s="494" t="s">
        <v>12</v>
      </c>
      <c r="AV494" s="494" t="s">
        <v>12</v>
      </c>
      <c r="AW494" s="494" t="s">
        <v>12</v>
      </c>
      <c r="AX494" s="494" t="s">
        <v>12</v>
      </c>
      <c r="AY494" s="494">
        <v>1258590.0356375212</v>
      </c>
      <c r="AZ494" s="494" t="s">
        <v>12</v>
      </c>
      <c r="BA494" s="494" t="s">
        <v>12</v>
      </c>
      <c r="BB494" s="494" t="s">
        <v>12</v>
      </c>
      <c r="BC494" s="494" t="s">
        <v>12</v>
      </c>
      <c r="BD494" s="494" t="s">
        <v>12</v>
      </c>
      <c r="BE494" s="494" t="s">
        <v>12</v>
      </c>
      <c r="BF494" s="494" t="s">
        <v>12</v>
      </c>
      <c r="BG494" s="494" t="s">
        <v>12</v>
      </c>
      <c r="BH494" s="494" t="s">
        <v>12</v>
      </c>
      <c r="BI494" s="494" t="s">
        <v>12</v>
      </c>
      <c r="BJ494" s="494" t="s">
        <v>12</v>
      </c>
      <c r="BK494" s="494">
        <v>1700607.1852849356</v>
      </c>
      <c r="BL494" s="494" t="s">
        <v>12</v>
      </c>
      <c r="BM494" s="494" t="s">
        <v>12</v>
      </c>
      <c r="BN494" s="494" t="s">
        <v>12</v>
      </c>
      <c r="BO494" s="494" t="s">
        <v>12</v>
      </c>
      <c r="BP494" s="494" t="s">
        <v>12</v>
      </c>
      <c r="BQ494" s="494" t="s">
        <v>12</v>
      </c>
      <c r="BR494" s="494" t="s">
        <v>12</v>
      </c>
      <c r="BS494" s="494" t="s">
        <v>12</v>
      </c>
      <c r="BT494" s="494" t="s">
        <v>12</v>
      </c>
      <c r="BU494" s="494" t="s">
        <v>12</v>
      </c>
      <c r="BV494" s="494" t="s">
        <v>12</v>
      </c>
      <c r="BW494" s="494" t="s">
        <v>12</v>
      </c>
      <c r="BX494" s="494" t="s">
        <v>12</v>
      </c>
      <c r="BY494" s="494" t="s">
        <v>12</v>
      </c>
      <c r="BZ494" s="494" t="s">
        <v>12</v>
      </c>
      <c r="CA494" s="494" t="s">
        <v>12</v>
      </c>
      <c r="CB494" s="494" t="s">
        <v>12</v>
      </c>
      <c r="CC494" s="494" t="s">
        <v>12</v>
      </c>
      <c r="CD494" s="494" t="s">
        <v>12</v>
      </c>
      <c r="CE494" s="494" t="s">
        <v>12</v>
      </c>
      <c r="CF494" s="494" t="s">
        <v>12</v>
      </c>
      <c r="CG494" s="494" t="s">
        <v>12</v>
      </c>
      <c r="CH494" s="494" t="s">
        <v>12</v>
      </c>
      <c r="CI494" s="494" t="s">
        <v>12</v>
      </c>
      <c r="CJ494" s="494" t="s">
        <v>12</v>
      </c>
      <c r="CK494" s="494" t="s">
        <v>12</v>
      </c>
      <c r="CL494" s="494" t="s">
        <v>12</v>
      </c>
      <c r="CM494" s="494" t="s">
        <v>12</v>
      </c>
      <c r="CN494" s="494" t="s">
        <v>12</v>
      </c>
      <c r="CO494" s="494" t="s">
        <v>12</v>
      </c>
      <c r="CP494" s="494" t="s">
        <v>12</v>
      </c>
      <c r="CQ494" s="494" t="s">
        <v>12</v>
      </c>
      <c r="CR494" s="494" t="s">
        <v>12</v>
      </c>
      <c r="CS494" s="494" t="s">
        <v>12</v>
      </c>
      <c r="CT494" s="494" t="s">
        <v>12</v>
      </c>
      <c r="CU494" s="494" t="s">
        <v>12</v>
      </c>
      <c r="CV494" s="494" t="s">
        <v>12</v>
      </c>
      <c r="CW494" s="494" t="s">
        <v>12</v>
      </c>
      <c r="CX494" s="494" t="s">
        <v>12</v>
      </c>
      <c r="CY494" s="494" t="s">
        <v>12</v>
      </c>
      <c r="CZ494" s="494" t="s">
        <v>12</v>
      </c>
      <c r="DA494" s="494" t="s">
        <v>12</v>
      </c>
      <c r="DB494" s="494" t="s">
        <v>12</v>
      </c>
      <c r="DC494" s="494" t="s">
        <v>12</v>
      </c>
      <c r="DD494" s="494" t="s">
        <v>12</v>
      </c>
      <c r="DE494" s="494" t="s">
        <v>12</v>
      </c>
      <c r="DF494" s="494" t="s">
        <v>12</v>
      </c>
      <c r="DG494" s="494" t="s">
        <v>12</v>
      </c>
      <c r="DH494" s="494" t="s">
        <v>12</v>
      </c>
      <c r="DI494" s="494" t="s">
        <v>12</v>
      </c>
      <c r="DJ494" s="494" t="s">
        <v>12</v>
      </c>
      <c r="DK494" s="494" t="s">
        <v>12</v>
      </c>
      <c r="DL494" s="494" t="s">
        <v>12</v>
      </c>
      <c r="DM494" s="494" t="s">
        <v>12</v>
      </c>
      <c r="DN494" s="494" t="s">
        <v>12</v>
      </c>
      <c r="DO494" s="494" t="s">
        <v>12</v>
      </c>
      <c r="DP494" s="494" t="s">
        <v>12</v>
      </c>
      <c r="DQ494" s="494" t="s">
        <v>12</v>
      </c>
    </row>
    <row r="495" spans="1:121" x14ac:dyDescent="0.25">
      <c r="A495">
        <v>3</v>
      </c>
      <c r="B495" s="494" t="s">
        <v>12</v>
      </c>
      <c r="C495" s="494" t="s">
        <v>12</v>
      </c>
      <c r="D495" s="494" t="s">
        <v>12</v>
      </c>
      <c r="E495" s="494" t="s">
        <v>12</v>
      </c>
      <c r="F495" s="494" t="s">
        <v>12</v>
      </c>
      <c r="G495" s="494" t="s">
        <v>12</v>
      </c>
      <c r="H495" s="494" t="s">
        <v>12</v>
      </c>
      <c r="I495" s="494" t="s">
        <v>12</v>
      </c>
      <c r="J495" s="494" t="s">
        <v>12</v>
      </c>
      <c r="K495" s="494" t="s">
        <v>12</v>
      </c>
      <c r="L495" s="494" t="s">
        <v>12</v>
      </c>
      <c r="M495" s="494" t="s">
        <v>12</v>
      </c>
      <c r="N495" s="494" t="s">
        <v>12</v>
      </c>
      <c r="O495" s="494" t="s">
        <v>12</v>
      </c>
      <c r="P495" s="494" t="s">
        <v>12</v>
      </c>
      <c r="Q495" s="494" t="s">
        <v>12</v>
      </c>
      <c r="R495" s="494" t="s">
        <v>12</v>
      </c>
      <c r="S495" s="494" t="s">
        <v>12</v>
      </c>
      <c r="T495" s="494" t="s">
        <v>12</v>
      </c>
      <c r="U495" s="494" t="s">
        <v>12</v>
      </c>
      <c r="V495" s="494" t="s">
        <v>12</v>
      </c>
      <c r="W495" s="494" t="s">
        <v>12</v>
      </c>
      <c r="X495" s="494" t="s">
        <v>12</v>
      </c>
      <c r="Y495" s="494" t="s">
        <v>12</v>
      </c>
      <c r="Z495" s="494" t="s">
        <v>12</v>
      </c>
      <c r="AA495" s="494" t="s">
        <v>12</v>
      </c>
      <c r="AB495" s="494" t="s">
        <v>12</v>
      </c>
      <c r="AC495" s="494" t="s">
        <v>12</v>
      </c>
      <c r="AD495" s="494" t="s">
        <v>12</v>
      </c>
      <c r="AE495" s="494" t="s">
        <v>12</v>
      </c>
      <c r="AF495" s="494" t="s">
        <v>12</v>
      </c>
      <c r="AG495" s="494" t="s">
        <v>12</v>
      </c>
      <c r="AH495" s="494" t="s">
        <v>12</v>
      </c>
      <c r="AI495" s="494" t="s">
        <v>12</v>
      </c>
      <c r="AJ495" s="494" t="s">
        <v>12</v>
      </c>
      <c r="AK495" s="494" t="s">
        <v>12</v>
      </c>
      <c r="AL495" s="494" t="s">
        <v>12</v>
      </c>
      <c r="AM495" s="494" t="s">
        <v>12</v>
      </c>
      <c r="AN495" s="494" t="s">
        <v>12</v>
      </c>
      <c r="AO495" s="494" t="s">
        <v>12</v>
      </c>
      <c r="AP495" s="494" t="s">
        <v>12</v>
      </c>
      <c r="AQ495" s="494" t="s">
        <v>12</v>
      </c>
      <c r="AR495" s="494" t="s">
        <v>12</v>
      </c>
      <c r="AS495" s="494" t="s">
        <v>12</v>
      </c>
      <c r="AT495" s="494" t="s">
        <v>12</v>
      </c>
      <c r="AU495" s="494" t="s">
        <v>12</v>
      </c>
      <c r="AV495" s="494" t="s">
        <v>12</v>
      </c>
      <c r="AW495" s="494" t="s">
        <v>12</v>
      </c>
      <c r="AX495" s="494" t="s">
        <v>12</v>
      </c>
      <c r="AY495" s="494" t="s">
        <v>12</v>
      </c>
      <c r="AZ495" s="494" t="s">
        <v>12</v>
      </c>
      <c r="BA495" s="494" t="s">
        <v>12</v>
      </c>
      <c r="BB495" s="494" t="s">
        <v>12</v>
      </c>
      <c r="BC495" s="494" t="s">
        <v>12</v>
      </c>
      <c r="BD495" s="494" t="s">
        <v>12</v>
      </c>
      <c r="BE495" s="494" t="s">
        <v>12</v>
      </c>
      <c r="BF495" s="494" t="s">
        <v>12</v>
      </c>
      <c r="BG495" s="494" t="s">
        <v>12</v>
      </c>
      <c r="BH495" s="494" t="s">
        <v>12</v>
      </c>
      <c r="BI495" s="494" t="s">
        <v>12</v>
      </c>
      <c r="BJ495" s="494" t="s">
        <v>12</v>
      </c>
      <c r="BK495" s="494" t="s">
        <v>12</v>
      </c>
      <c r="BL495" s="494" t="s">
        <v>12</v>
      </c>
      <c r="BM495" s="494" t="s">
        <v>12</v>
      </c>
      <c r="BN495" s="494" t="s">
        <v>12</v>
      </c>
      <c r="BO495" s="494" t="s">
        <v>12</v>
      </c>
      <c r="BP495" s="494" t="s">
        <v>12</v>
      </c>
      <c r="BQ495" s="494" t="s">
        <v>12</v>
      </c>
      <c r="BR495" s="494" t="s">
        <v>12</v>
      </c>
      <c r="BS495" s="494" t="s">
        <v>12</v>
      </c>
      <c r="BT495" s="494" t="s">
        <v>12</v>
      </c>
      <c r="BU495" s="494" t="s">
        <v>12</v>
      </c>
      <c r="BV495" s="494" t="s">
        <v>12</v>
      </c>
      <c r="BW495" s="494" t="s">
        <v>12</v>
      </c>
      <c r="BX495" s="494" t="s">
        <v>12</v>
      </c>
      <c r="BY495" s="494" t="s">
        <v>12</v>
      </c>
      <c r="BZ495" s="494" t="s">
        <v>12</v>
      </c>
      <c r="CA495" s="494" t="s">
        <v>12</v>
      </c>
      <c r="CB495" s="494" t="s">
        <v>12</v>
      </c>
      <c r="CC495" s="494" t="s">
        <v>12</v>
      </c>
      <c r="CD495" s="494" t="s">
        <v>12</v>
      </c>
      <c r="CE495" s="494" t="s">
        <v>12</v>
      </c>
      <c r="CF495" s="494" t="s">
        <v>12</v>
      </c>
      <c r="CG495" s="494" t="s">
        <v>12</v>
      </c>
      <c r="CH495" s="494" t="s">
        <v>12</v>
      </c>
      <c r="CI495" s="494" t="s">
        <v>12</v>
      </c>
      <c r="CJ495" s="494" t="s">
        <v>12</v>
      </c>
      <c r="CK495" s="494" t="s">
        <v>12</v>
      </c>
      <c r="CL495" s="494" t="s">
        <v>12</v>
      </c>
      <c r="CM495" s="494" t="s">
        <v>12</v>
      </c>
      <c r="CN495" s="494" t="s">
        <v>12</v>
      </c>
      <c r="CO495" s="494" t="s">
        <v>12</v>
      </c>
      <c r="CP495" s="494" t="s">
        <v>12</v>
      </c>
      <c r="CQ495" s="494" t="s">
        <v>12</v>
      </c>
      <c r="CR495" s="494" t="s">
        <v>12</v>
      </c>
      <c r="CS495" s="494" t="s">
        <v>12</v>
      </c>
      <c r="CT495" s="494" t="s">
        <v>12</v>
      </c>
      <c r="CU495" s="494" t="s">
        <v>12</v>
      </c>
      <c r="CV495" s="494" t="s">
        <v>12</v>
      </c>
      <c r="CW495" s="494" t="s">
        <v>12</v>
      </c>
      <c r="CX495" s="494" t="s">
        <v>12</v>
      </c>
      <c r="CY495" s="494" t="s">
        <v>12</v>
      </c>
      <c r="CZ495" s="494" t="s">
        <v>12</v>
      </c>
      <c r="DA495" s="494" t="s">
        <v>12</v>
      </c>
      <c r="DB495" s="494" t="s">
        <v>12</v>
      </c>
      <c r="DC495" s="494" t="s">
        <v>12</v>
      </c>
      <c r="DD495" s="494" t="s">
        <v>12</v>
      </c>
      <c r="DE495" s="494" t="s">
        <v>12</v>
      </c>
      <c r="DF495" s="494" t="s">
        <v>12</v>
      </c>
      <c r="DG495" s="494" t="s">
        <v>12</v>
      </c>
      <c r="DH495" s="494" t="s">
        <v>12</v>
      </c>
      <c r="DI495" s="494" t="s">
        <v>12</v>
      </c>
      <c r="DJ495" s="494" t="s">
        <v>12</v>
      </c>
      <c r="DK495" s="494" t="s">
        <v>12</v>
      </c>
      <c r="DL495" s="494" t="s">
        <v>12</v>
      </c>
      <c r="DM495" s="494" t="s">
        <v>12</v>
      </c>
      <c r="DN495" s="494" t="s">
        <v>12</v>
      </c>
      <c r="DO495" s="494" t="s">
        <v>12</v>
      </c>
      <c r="DP495" s="494" t="s">
        <v>12</v>
      </c>
      <c r="DQ495" s="494" t="s">
        <v>12</v>
      </c>
    </row>
    <row r="496" spans="1:121" x14ac:dyDescent="0.25">
      <c r="A496">
        <v>4</v>
      </c>
      <c r="B496" s="494" t="s">
        <v>12</v>
      </c>
      <c r="C496" s="494" t="s">
        <v>12</v>
      </c>
      <c r="D496" s="494" t="s">
        <v>12</v>
      </c>
      <c r="E496" s="494" t="s">
        <v>12</v>
      </c>
      <c r="F496" s="494" t="s">
        <v>12</v>
      </c>
      <c r="G496" s="494" t="s">
        <v>12</v>
      </c>
      <c r="H496" s="494" t="s">
        <v>12</v>
      </c>
      <c r="I496" s="494" t="s">
        <v>12</v>
      </c>
      <c r="J496" s="494" t="s">
        <v>12</v>
      </c>
      <c r="K496" s="494" t="s">
        <v>12</v>
      </c>
      <c r="L496" s="494" t="s">
        <v>12</v>
      </c>
      <c r="M496" s="494" t="s">
        <v>12</v>
      </c>
      <c r="N496" s="494" t="s">
        <v>12</v>
      </c>
      <c r="O496" s="494" t="s">
        <v>12</v>
      </c>
      <c r="P496" s="494" t="s">
        <v>12</v>
      </c>
      <c r="Q496" s="494" t="s">
        <v>12</v>
      </c>
      <c r="R496" s="494" t="s">
        <v>12</v>
      </c>
      <c r="S496" s="494" t="s">
        <v>12</v>
      </c>
      <c r="T496" s="494" t="s">
        <v>12</v>
      </c>
      <c r="U496" s="494" t="s">
        <v>12</v>
      </c>
      <c r="V496" s="494" t="s">
        <v>12</v>
      </c>
      <c r="W496" s="494" t="s">
        <v>12</v>
      </c>
      <c r="X496" s="494" t="s">
        <v>12</v>
      </c>
      <c r="Y496" s="494" t="s">
        <v>12</v>
      </c>
      <c r="Z496" s="494" t="s">
        <v>12</v>
      </c>
      <c r="AA496" s="494" t="s">
        <v>12</v>
      </c>
      <c r="AB496" s="494" t="s">
        <v>12</v>
      </c>
      <c r="AC496" s="494" t="s">
        <v>12</v>
      </c>
      <c r="AD496" s="494" t="s">
        <v>12</v>
      </c>
      <c r="AE496" s="494" t="s">
        <v>12</v>
      </c>
      <c r="AF496" s="494" t="s">
        <v>12</v>
      </c>
      <c r="AG496" s="494" t="s">
        <v>12</v>
      </c>
      <c r="AH496" s="494" t="s">
        <v>12</v>
      </c>
      <c r="AI496" s="494" t="s">
        <v>12</v>
      </c>
      <c r="AJ496" s="494" t="s">
        <v>12</v>
      </c>
      <c r="AK496" s="494" t="s">
        <v>12</v>
      </c>
      <c r="AL496" s="494" t="s">
        <v>12</v>
      </c>
      <c r="AM496" s="494" t="s">
        <v>12</v>
      </c>
      <c r="AN496" s="494" t="s">
        <v>12</v>
      </c>
      <c r="AO496" s="494" t="s">
        <v>12</v>
      </c>
      <c r="AP496" s="494" t="s">
        <v>12</v>
      </c>
      <c r="AQ496" s="494" t="s">
        <v>12</v>
      </c>
      <c r="AR496" s="494" t="s">
        <v>12</v>
      </c>
      <c r="AS496" s="494" t="s">
        <v>12</v>
      </c>
      <c r="AT496" s="494" t="s">
        <v>12</v>
      </c>
      <c r="AU496" s="494" t="s">
        <v>12</v>
      </c>
      <c r="AV496" s="494" t="s">
        <v>12</v>
      </c>
      <c r="AW496" s="494" t="s">
        <v>12</v>
      </c>
      <c r="AX496" s="494" t="s">
        <v>12</v>
      </c>
      <c r="AY496" s="494" t="s">
        <v>12</v>
      </c>
      <c r="AZ496" s="494" t="s">
        <v>12</v>
      </c>
      <c r="BA496" s="494" t="s">
        <v>12</v>
      </c>
      <c r="BB496" s="494" t="s">
        <v>12</v>
      </c>
      <c r="BC496" s="494" t="s">
        <v>12</v>
      </c>
      <c r="BD496" s="494" t="s">
        <v>12</v>
      </c>
      <c r="BE496" s="494" t="s">
        <v>12</v>
      </c>
      <c r="BF496" s="494" t="s">
        <v>12</v>
      </c>
      <c r="BG496" s="494" t="s">
        <v>12</v>
      </c>
      <c r="BH496" s="494" t="s">
        <v>12</v>
      </c>
      <c r="BI496" s="494" t="s">
        <v>12</v>
      </c>
      <c r="BJ496" s="494" t="s">
        <v>12</v>
      </c>
      <c r="BK496" s="494" t="s">
        <v>12</v>
      </c>
      <c r="BL496" s="494" t="s">
        <v>12</v>
      </c>
      <c r="BM496" s="494" t="s">
        <v>12</v>
      </c>
      <c r="BN496" s="494" t="s">
        <v>12</v>
      </c>
      <c r="BO496" s="494" t="s">
        <v>12</v>
      </c>
      <c r="BP496" s="494" t="s">
        <v>12</v>
      </c>
      <c r="BQ496" s="494" t="s">
        <v>12</v>
      </c>
      <c r="BR496" s="494" t="s">
        <v>12</v>
      </c>
      <c r="BS496" s="494" t="s">
        <v>12</v>
      </c>
      <c r="BT496" s="494" t="s">
        <v>12</v>
      </c>
      <c r="BU496" s="494" t="s">
        <v>12</v>
      </c>
      <c r="BV496" s="494" t="s">
        <v>12</v>
      </c>
      <c r="BW496" s="494" t="s">
        <v>12</v>
      </c>
      <c r="BX496" s="494" t="s">
        <v>12</v>
      </c>
      <c r="BY496" s="494" t="s">
        <v>12</v>
      </c>
      <c r="BZ496" s="494" t="s">
        <v>12</v>
      </c>
      <c r="CA496" s="494" t="s">
        <v>12</v>
      </c>
      <c r="CB496" s="494" t="s">
        <v>12</v>
      </c>
      <c r="CC496" s="494" t="s">
        <v>12</v>
      </c>
      <c r="CD496" s="494" t="s">
        <v>12</v>
      </c>
      <c r="CE496" s="494" t="s">
        <v>12</v>
      </c>
      <c r="CF496" s="494" t="s">
        <v>12</v>
      </c>
      <c r="CG496" s="494" t="s">
        <v>12</v>
      </c>
      <c r="CH496" s="494" t="s">
        <v>12</v>
      </c>
      <c r="CI496" s="494" t="s">
        <v>12</v>
      </c>
      <c r="CJ496" s="494" t="s">
        <v>12</v>
      </c>
      <c r="CK496" s="494" t="s">
        <v>12</v>
      </c>
      <c r="CL496" s="494" t="s">
        <v>12</v>
      </c>
      <c r="CM496" s="494" t="s">
        <v>12</v>
      </c>
      <c r="CN496" s="494" t="s">
        <v>12</v>
      </c>
      <c r="CO496" s="494" t="s">
        <v>12</v>
      </c>
      <c r="CP496" s="494" t="s">
        <v>12</v>
      </c>
      <c r="CQ496" s="494" t="s">
        <v>12</v>
      </c>
      <c r="CR496" s="494" t="s">
        <v>12</v>
      </c>
      <c r="CS496" s="494" t="s">
        <v>12</v>
      </c>
      <c r="CT496" s="494" t="s">
        <v>12</v>
      </c>
      <c r="CU496" s="494" t="s">
        <v>12</v>
      </c>
      <c r="CV496" s="494" t="s">
        <v>12</v>
      </c>
      <c r="CW496" s="494" t="s">
        <v>12</v>
      </c>
      <c r="CX496" s="494" t="s">
        <v>12</v>
      </c>
      <c r="CY496" s="494" t="s">
        <v>12</v>
      </c>
      <c r="CZ496" s="494" t="s">
        <v>12</v>
      </c>
      <c r="DA496" s="494" t="s">
        <v>12</v>
      </c>
      <c r="DB496" s="494" t="s">
        <v>12</v>
      </c>
      <c r="DC496" s="494" t="s">
        <v>12</v>
      </c>
      <c r="DD496" s="494" t="s">
        <v>12</v>
      </c>
      <c r="DE496" s="494" t="s">
        <v>12</v>
      </c>
      <c r="DF496" s="494" t="s">
        <v>12</v>
      </c>
      <c r="DG496" s="494" t="s">
        <v>12</v>
      </c>
      <c r="DH496" s="494" t="s">
        <v>12</v>
      </c>
      <c r="DI496" s="494" t="s">
        <v>12</v>
      </c>
      <c r="DJ496" s="494" t="s">
        <v>12</v>
      </c>
      <c r="DK496" s="494" t="s">
        <v>12</v>
      </c>
      <c r="DL496" s="494" t="s">
        <v>12</v>
      </c>
      <c r="DM496" s="494" t="s">
        <v>12</v>
      </c>
      <c r="DN496" s="494" t="s">
        <v>12</v>
      </c>
      <c r="DO496" s="494" t="s">
        <v>12</v>
      </c>
      <c r="DP496" s="494" t="s">
        <v>12</v>
      </c>
      <c r="DQ496" s="494" t="s">
        <v>12</v>
      </c>
    </row>
    <row r="497" spans="1:121" x14ac:dyDescent="0.25">
      <c r="A497">
        <v>5</v>
      </c>
      <c r="B497" s="494" t="s">
        <v>12</v>
      </c>
      <c r="C497" s="494" t="s">
        <v>12</v>
      </c>
      <c r="D497" s="494" t="s">
        <v>12</v>
      </c>
      <c r="E497" s="494" t="s">
        <v>12</v>
      </c>
      <c r="F497" s="494" t="s">
        <v>12</v>
      </c>
      <c r="G497" s="494" t="s">
        <v>12</v>
      </c>
      <c r="H497" s="494" t="s">
        <v>12</v>
      </c>
      <c r="I497" s="494" t="s">
        <v>12</v>
      </c>
      <c r="J497" s="494" t="s">
        <v>12</v>
      </c>
      <c r="K497" s="494" t="s">
        <v>12</v>
      </c>
      <c r="L497" s="494" t="s">
        <v>12</v>
      </c>
      <c r="M497" s="494" t="s">
        <v>12</v>
      </c>
      <c r="N497" s="494" t="s">
        <v>12</v>
      </c>
      <c r="O497" s="494" t="s">
        <v>12</v>
      </c>
      <c r="P497" s="494" t="s">
        <v>12</v>
      </c>
      <c r="Q497" s="494" t="s">
        <v>12</v>
      </c>
      <c r="R497" s="494" t="s">
        <v>12</v>
      </c>
      <c r="S497" s="494" t="s">
        <v>12</v>
      </c>
      <c r="T497" s="494" t="s">
        <v>12</v>
      </c>
      <c r="U497" s="494" t="s">
        <v>12</v>
      </c>
      <c r="V497" s="494" t="s">
        <v>12</v>
      </c>
      <c r="W497" s="494" t="s">
        <v>12</v>
      </c>
      <c r="X497" s="494" t="s">
        <v>12</v>
      </c>
      <c r="Y497" s="494" t="s">
        <v>12</v>
      </c>
      <c r="Z497" s="494" t="s">
        <v>12</v>
      </c>
      <c r="AA497" s="494" t="s">
        <v>12</v>
      </c>
      <c r="AB497" s="494" t="s">
        <v>12</v>
      </c>
      <c r="AC497" s="494" t="s">
        <v>12</v>
      </c>
      <c r="AD497" s="494" t="s">
        <v>12</v>
      </c>
      <c r="AE497" s="494" t="s">
        <v>12</v>
      </c>
      <c r="AF497" s="494" t="s">
        <v>12</v>
      </c>
      <c r="AG497" s="494" t="s">
        <v>12</v>
      </c>
      <c r="AH497" s="494" t="s">
        <v>12</v>
      </c>
      <c r="AI497" s="494" t="s">
        <v>12</v>
      </c>
      <c r="AJ497" s="494" t="s">
        <v>12</v>
      </c>
      <c r="AK497" s="494" t="s">
        <v>12</v>
      </c>
      <c r="AL497" s="494" t="s">
        <v>12</v>
      </c>
      <c r="AM497" s="494" t="s">
        <v>12</v>
      </c>
      <c r="AN497" s="494" t="s">
        <v>12</v>
      </c>
      <c r="AO497" s="494" t="s">
        <v>12</v>
      </c>
      <c r="AP497" s="494" t="s">
        <v>12</v>
      </c>
      <c r="AQ497" s="494" t="s">
        <v>12</v>
      </c>
      <c r="AR497" s="494" t="s">
        <v>12</v>
      </c>
      <c r="AS497" s="494" t="s">
        <v>12</v>
      </c>
      <c r="AT497" s="494" t="s">
        <v>12</v>
      </c>
      <c r="AU497" s="494" t="s">
        <v>12</v>
      </c>
      <c r="AV497" s="494" t="s">
        <v>12</v>
      </c>
      <c r="AW497" s="494" t="s">
        <v>12</v>
      </c>
      <c r="AX497" s="494" t="s">
        <v>12</v>
      </c>
      <c r="AY497" s="494" t="s">
        <v>12</v>
      </c>
      <c r="AZ497" s="494" t="s">
        <v>12</v>
      </c>
      <c r="BA497" s="494" t="s">
        <v>12</v>
      </c>
      <c r="BB497" s="494" t="s">
        <v>12</v>
      </c>
      <c r="BC497" s="494" t="s">
        <v>12</v>
      </c>
      <c r="BD497" s="494" t="s">
        <v>12</v>
      </c>
      <c r="BE497" s="494" t="s">
        <v>12</v>
      </c>
      <c r="BF497" s="494" t="s">
        <v>12</v>
      </c>
      <c r="BG497" s="494" t="s">
        <v>12</v>
      </c>
      <c r="BH497" s="494" t="s">
        <v>12</v>
      </c>
      <c r="BI497" s="494" t="s">
        <v>12</v>
      </c>
      <c r="BJ497" s="494" t="s">
        <v>12</v>
      </c>
      <c r="BK497" s="494" t="s">
        <v>12</v>
      </c>
      <c r="BL497" s="494" t="s">
        <v>12</v>
      </c>
      <c r="BM497" s="494" t="s">
        <v>12</v>
      </c>
      <c r="BN497" s="494" t="s">
        <v>12</v>
      </c>
      <c r="BO497" s="494" t="s">
        <v>12</v>
      </c>
      <c r="BP497" s="494" t="s">
        <v>12</v>
      </c>
      <c r="BQ497" s="494" t="s">
        <v>12</v>
      </c>
      <c r="BR497" s="494" t="s">
        <v>12</v>
      </c>
      <c r="BS497" s="494" t="s">
        <v>12</v>
      </c>
      <c r="BT497" s="494" t="s">
        <v>12</v>
      </c>
      <c r="BU497" s="494" t="s">
        <v>12</v>
      </c>
      <c r="BV497" s="494" t="s">
        <v>12</v>
      </c>
      <c r="BW497" s="494" t="s">
        <v>12</v>
      </c>
      <c r="BX497" s="494" t="s">
        <v>12</v>
      </c>
      <c r="BY497" s="494" t="s">
        <v>12</v>
      </c>
      <c r="BZ497" s="494" t="s">
        <v>12</v>
      </c>
      <c r="CA497" s="494" t="s">
        <v>12</v>
      </c>
      <c r="CB497" s="494" t="s">
        <v>12</v>
      </c>
      <c r="CC497" s="494" t="s">
        <v>12</v>
      </c>
      <c r="CD497" s="494" t="s">
        <v>12</v>
      </c>
      <c r="CE497" s="494" t="s">
        <v>12</v>
      </c>
      <c r="CF497" s="494" t="s">
        <v>12</v>
      </c>
      <c r="CG497" s="494" t="s">
        <v>12</v>
      </c>
      <c r="CH497" s="494" t="s">
        <v>12</v>
      </c>
      <c r="CI497" s="494" t="s">
        <v>12</v>
      </c>
      <c r="CJ497" s="494" t="s">
        <v>12</v>
      </c>
      <c r="CK497" s="494" t="s">
        <v>12</v>
      </c>
      <c r="CL497" s="494" t="s">
        <v>12</v>
      </c>
      <c r="CM497" s="494" t="s">
        <v>12</v>
      </c>
      <c r="CN497" s="494" t="s">
        <v>12</v>
      </c>
      <c r="CO497" s="494" t="s">
        <v>12</v>
      </c>
      <c r="CP497" s="494" t="s">
        <v>12</v>
      </c>
      <c r="CQ497" s="494" t="s">
        <v>12</v>
      </c>
      <c r="CR497" s="494" t="s">
        <v>12</v>
      </c>
      <c r="CS497" s="494" t="s">
        <v>12</v>
      </c>
      <c r="CT497" s="494" t="s">
        <v>12</v>
      </c>
      <c r="CU497" s="494" t="s">
        <v>12</v>
      </c>
      <c r="CV497" s="494" t="s">
        <v>12</v>
      </c>
      <c r="CW497" s="494" t="s">
        <v>12</v>
      </c>
      <c r="CX497" s="494" t="s">
        <v>12</v>
      </c>
      <c r="CY497" s="494" t="s">
        <v>12</v>
      </c>
      <c r="CZ497" s="494" t="s">
        <v>12</v>
      </c>
      <c r="DA497" s="494" t="s">
        <v>12</v>
      </c>
      <c r="DB497" s="494" t="s">
        <v>12</v>
      </c>
      <c r="DC497" s="494" t="s">
        <v>12</v>
      </c>
      <c r="DD497" s="494" t="s">
        <v>12</v>
      </c>
      <c r="DE497" s="494" t="s">
        <v>12</v>
      </c>
      <c r="DF497" s="494" t="s">
        <v>12</v>
      </c>
      <c r="DG497" s="494" t="s">
        <v>12</v>
      </c>
      <c r="DH497" s="494" t="s">
        <v>12</v>
      </c>
      <c r="DI497" s="494" t="s">
        <v>12</v>
      </c>
      <c r="DJ497" s="494" t="s">
        <v>12</v>
      </c>
      <c r="DK497" s="494" t="s">
        <v>12</v>
      </c>
      <c r="DL497" s="494" t="s">
        <v>12</v>
      </c>
      <c r="DM497" s="494" t="s">
        <v>12</v>
      </c>
      <c r="DN497" s="494" t="s">
        <v>12</v>
      </c>
      <c r="DO497" s="494" t="s">
        <v>12</v>
      </c>
      <c r="DP497" s="494" t="s">
        <v>12</v>
      </c>
      <c r="DQ497" s="494" t="s">
        <v>12</v>
      </c>
    </row>
    <row r="498" spans="1:121" x14ac:dyDescent="0.25">
      <c r="A498">
        <v>6</v>
      </c>
      <c r="B498" s="494" t="s">
        <v>12</v>
      </c>
      <c r="C498" s="494" t="s">
        <v>12</v>
      </c>
      <c r="D498" s="494" t="s">
        <v>12</v>
      </c>
      <c r="E498" s="494" t="s">
        <v>12</v>
      </c>
      <c r="F498" s="494" t="s">
        <v>12</v>
      </c>
      <c r="G498" s="494" t="s">
        <v>12</v>
      </c>
      <c r="H498" s="494" t="s">
        <v>12</v>
      </c>
      <c r="I498" s="494" t="s">
        <v>12</v>
      </c>
      <c r="J498" s="494" t="s">
        <v>12</v>
      </c>
      <c r="K498" s="494" t="s">
        <v>12</v>
      </c>
      <c r="L498" s="494" t="s">
        <v>12</v>
      </c>
      <c r="M498" s="494" t="s">
        <v>12</v>
      </c>
      <c r="N498" s="494" t="s">
        <v>12</v>
      </c>
      <c r="O498" s="494" t="s">
        <v>12</v>
      </c>
      <c r="P498" s="494" t="s">
        <v>12</v>
      </c>
      <c r="Q498" s="494" t="s">
        <v>12</v>
      </c>
      <c r="R498" s="494" t="s">
        <v>12</v>
      </c>
      <c r="S498" s="494" t="s">
        <v>12</v>
      </c>
      <c r="T498" s="494" t="s">
        <v>12</v>
      </c>
      <c r="U498" s="494" t="s">
        <v>12</v>
      </c>
      <c r="V498" s="494" t="s">
        <v>12</v>
      </c>
      <c r="W498" s="494" t="s">
        <v>12</v>
      </c>
      <c r="X498" s="494" t="s">
        <v>12</v>
      </c>
      <c r="Y498" s="494" t="s">
        <v>12</v>
      </c>
      <c r="Z498" s="494" t="s">
        <v>12</v>
      </c>
      <c r="AA498" s="494" t="s">
        <v>12</v>
      </c>
      <c r="AB498" s="494" t="s">
        <v>12</v>
      </c>
      <c r="AC498" s="494" t="s">
        <v>12</v>
      </c>
      <c r="AD498" s="494" t="s">
        <v>12</v>
      </c>
      <c r="AE498" s="494" t="s">
        <v>12</v>
      </c>
      <c r="AF498" s="494" t="s">
        <v>12</v>
      </c>
      <c r="AG498" s="494" t="s">
        <v>12</v>
      </c>
      <c r="AH498" s="494" t="s">
        <v>12</v>
      </c>
      <c r="AI498" s="494" t="s">
        <v>12</v>
      </c>
      <c r="AJ498" s="494" t="s">
        <v>12</v>
      </c>
      <c r="AK498" s="494" t="s">
        <v>12</v>
      </c>
      <c r="AL498" s="494" t="s">
        <v>12</v>
      </c>
      <c r="AM498" s="494" t="s">
        <v>12</v>
      </c>
      <c r="AN498" s="494" t="s">
        <v>12</v>
      </c>
      <c r="AO498" s="494" t="s">
        <v>12</v>
      </c>
      <c r="AP498" s="494" t="s">
        <v>12</v>
      </c>
      <c r="AQ498" s="494" t="s">
        <v>12</v>
      </c>
      <c r="AR498" s="494" t="s">
        <v>12</v>
      </c>
      <c r="AS498" s="494" t="s">
        <v>12</v>
      </c>
      <c r="AT498" s="494" t="s">
        <v>12</v>
      </c>
      <c r="AU498" s="494" t="s">
        <v>12</v>
      </c>
      <c r="AV498" s="494" t="s">
        <v>12</v>
      </c>
      <c r="AW498" s="494" t="s">
        <v>12</v>
      </c>
      <c r="AX498" s="494" t="s">
        <v>12</v>
      </c>
      <c r="AY498" s="494" t="s">
        <v>12</v>
      </c>
      <c r="AZ498" s="494" t="s">
        <v>12</v>
      </c>
      <c r="BA498" s="494" t="s">
        <v>12</v>
      </c>
      <c r="BB498" s="494" t="s">
        <v>12</v>
      </c>
      <c r="BC498" s="494" t="s">
        <v>12</v>
      </c>
      <c r="BD498" s="494" t="s">
        <v>12</v>
      </c>
      <c r="BE498" s="494" t="s">
        <v>12</v>
      </c>
      <c r="BF498" s="494" t="s">
        <v>12</v>
      </c>
      <c r="BG498" s="494" t="s">
        <v>12</v>
      </c>
      <c r="BH498" s="494" t="s">
        <v>12</v>
      </c>
      <c r="BI498" s="494" t="s">
        <v>12</v>
      </c>
      <c r="BJ498" s="494" t="s">
        <v>12</v>
      </c>
      <c r="BK498" s="494" t="s">
        <v>12</v>
      </c>
      <c r="BL498" s="494" t="s">
        <v>12</v>
      </c>
      <c r="BM498" s="494" t="s">
        <v>12</v>
      </c>
      <c r="BN498" s="494" t="s">
        <v>12</v>
      </c>
      <c r="BO498" s="494" t="s">
        <v>12</v>
      </c>
      <c r="BP498" s="494" t="s">
        <v>12</v>
      </c>
      <c r="BQ498" s="494" t="s">
        <v>12</v>
      </c>
      <c r="BR498" s="494" t="s">
        <v>12</v>
      </c>
      <c r="BS498" s="494" t="s">
        <v>12</v>
      </c>
      <c r="BT498" s="494" t="s">
        <v>12</v>
      </c>
      <c r="BU498" s="494" t="s">
        <v>12</v>
      </c>
      <c r="BV498" s="494" t="s">
        <v>12</v>
      </c>
      <c r="BW498" s="494" t="s">
        <v>12</v>
      </c>
      <c r="BX498" s="494" t="s">
        <v>12</v>
      </c>
      <c r="BY498" s="494" t="s">
        <v>12</v>
      </c>
      <c r="BZ498" s="494" t="s">
        <v>12</v>
      </c>
      <c r="CA498" s="494" t="s">
        <v>12</v>
      </c>
      <c r="CB498" s="494" t="s">
        <v>12</v>
      </c>
      <c r="CC498" s="494" t="s">
        <v>12</v>
      </c>
      <c r="CD498" s="494" t="s">
        <v>12</v>
      </c>
      <c r="CE498" s="494" t="s">
        <v>12</v>
      </c>
      <c r="CF498" s="494" t="s">
        <v>12</v>
      </c>
      <c r="CG498" s="494" t="s">
        <v>12</v>
      </c>
      <c r="CH498" s="494" t="s">
        <v>12</v>
      </c>
      <c r="CI498" s="494" t="s">
        <v>12</v>
      </c>
      <c r="CJ498" s="494" t="s">
        <v>12</v>
      </c>
      <c r="CK498" s="494" t="s">
        <v>12</v>
      </c>
      <c r="CL498" s="494" t="s">
        <v>12</v>
      </c>
      <c r="CM498" s="494" t="s">
        <v>12</v>
      </c>
      <c r="CN498" s="494" t="s">
        <v>12</v>
      </c>
      <c r="CO498" s="494" t="s">
        <v>12</v>
      </c>
      <c r="CP498" s="494" t="s">
        <v>12</v>
      </c>
      <c r="CQ498" s="494" t="s">
        <v>12</v>
      </c>
      <c r="CR498" s="494" t="s">
        <v>12</v>
      </c>
      <c r="CS498" s="494" t="s">
        <v>12</v>
      </c>
      <c r="CT498" s="494" t="s">
        <v>12</v>
      </c>
      <c r="CU498" s="494" t="s">
        <v>12</v>
      </c>
      <c r="CV498" s="494" t="s">
        <v>12</v>
      </c>
      <c r="CW498" s="494" t="s">
        <v>12</v>
      </c>
      <c r="CX498" s="494" t="s">
        <v>12</v>
      </c>
      <c r="CY498" s="494" t="s">
        <v>12</v>
      </c>
      <c r="CZ498" s="494" t="s">
        <v>12</v>
      </c>
      <c r="DA498" s="494" t="s">
        <v>12</v>
      </c>
      <c r="DB498" s="494" t="s">
        <v>12</v>
      </c>
      <c r="DC498" s="494" t="s">
        <v>12</v>
      </c>
      <c r="DD498" s="494" t="s">
        <v>12</v>
      </c>
      <c r="DE498" s="494" t="s">
        <v>12</v>
      </c>
      <c r="DF498" s="494" t="s">
        <v>12</v>
      </c>
      <c r="DG498" s="494" t="s">
        <v>12</v>
      </c>
      <c r="DH498" s="494" t="s">
        <v>12</v>
      </c>
      <c r="DI498" s="494" t="s">
        <v>12</v>
      </c>
      <c r="DJ498" s="494" t="s">
        <v>12</v>
      </c>
      <c r="DK498" s="494" t="s">
        <v>12</v>
      </c>
      <c r="DL498" s="494" t="s">
        <v>12</v>
      </c>
      <c r="DM498" s="494" t="s">
        <v>12</v>
      </c>
      <c r="DN498" s="494" t="s">
        <v>12</v>
      </c>
      <c r="DO498" s="494" t="s">
        <v>12</v>
      </c>
      <c r="DP498" s="494" t="s">
        <v>12</v>
      </c>
      <c r="DQ498" s="494" t="s">
        <v>12</v>
      </c>
    </row>
    <row r="499" spans="1:121" x14ac:dyDescent="0.25">
      <c r="A499">
        <v>7</v>
      </c>
      <c r="B499" s="494" t="s">
        <v>12</v>
      </c>
      <c r="C499" s="494" t="s">
        <v>12</v>
      </c>
      <c r="D499" s="494" t="s">
        <v>12</v>
      </c>
      <c r="E499" s="494" t="s">
        <v>12</v>
      </c>
      <c r="F499" s="494" t="s">
        <v>12</v>
      </c>
      <c r="G499" s="494" t="s">
        <v>12</v>
      </c>
      <c r="H499" s="494" t="s">
        <v>12</v>
      </c>
      <c r="I499" s="494" t="s">
        <v>12</v>
      </c>
      <c r="J499" s="494" t="s">
        <v>12</v>
      </c>
      <c r="K499" s="494" t="s">
        <v>12</v>
      </c>
      <c r="L499" s="494" t="s">
        <v>12</v>
      </c>
      <c r="M499" s="494" t="s">
        <v>12</v>
      </c>
      <c r="N499" s="494" t="s">
        <v>12</v>
      </c>
      <c r="O499" s="494" t="s">
        <v>12</v>
      </c>
      <c r="P499" s="494" t="s">
        <v>12</v>
      </c>
      <c r="Q499" s="494" t="s">
        <v>12</v>
      </c>
      <c r="R499" s="494" t="s">
        <v>12</v>
      </c>
      <c r="S499" s="494" t="s">
        <v>12</v>
      </c>
      <c r="T499" s="494" t="s">
        <v>12</v>
      </c>
      <c r="U499" s="494" t="s">
        <v>12</v>
      </c>
      <c r="V499" s="494" t="s">
        <v>12</v>
      </c>
      <c r="W499" s="494" t="s">
        <v>12</v>
      </c>
      <c r="X499" s="494" t="s">
        <v>12</v>
      </c>
      <c r="Y499" s="494" t="s">
        <v>12</v>
      </c>
      <c r="Z499" s="494" t="s">
        <v>12</v>
      </c>
      <c r="AA499" s="494" t="s">
        <v>12</v>
      </c>
      <c r="AB499" s="494" t="s">
        <v>12</v>
      </c>
      <c r="AC499" s="494" t="s">
        <v>12</v>
      </c>
      <c r="AD499" s="494" t="s">
        <v>12</v>
      </c>
      <c r="AE499" s="494" t="s">
        <v>12</v>
      </c>
      <c r="AF499" s="494" t="s">
        <v>12</v>
      </c>
      <c r="AG499" s="494" t="s">
        <v>12</v>
      </c>
      <c r="AH499" s="494" t="s">
        <v>12</v>
      </c>
      <c r="AI499" s="494" t="s">
        <v>12</v>
      </c>
      <c r="AJ499" s="494" t="s">
        <v>12</v>
      </c>
      <c r="AK499" s="494" t="s">
        <v>12</v>
      </c>
      <c r="AL499" s="494" t="s">
        <v>12</v>
      </c>
      <c r="AM499" s="494" t="s">
        <v>12</v>
      </c>
      <c r="AN499" s="494" t="s">
        <v>12</v>
      </c>
      <c r="AO499" s="494" t="s">
        <v>12</v>
      </c>
      <c r="AP499" s="494" t="s">
        <v>12</v>
      </c>
      <c r="AQ499" s="494" t="s">
        <v>12</v>
      </c>
      <c r="AR499" s="494" t="s">
        <v>12</v>
      </c>
      <c r="AS499" s="494" t="s">
        <v>12</v>
      </c>
      <c r="AT499" s="494" t="s">
        <v>12</v>
      </c>
      <c r="AU499" s="494" t="s">
        <v>12</v>
      </c>
      <c r="AV499" s="494" t="s">
        <v>12</v>
      </c>
      <c r="AW499" s="494" t="s">
        <v>12</v>
      </c>
      <c r="AX499" s="494" t="s">
        <v>12</v>
      </c>
      <c r="AY499" s="494" t="s">
        <v>12</v>
      </c>
      <c r="AZ499" s="494" t="s">
        <v>12</v>
      </c>
      <c r="BA499" s="494" t="s">
        <v>12</v>
      </c>
      <c r="BB499" s="494" t="s">
        <v>12</v>
      </c>
      <c r="BC499" s="494" t="s">
        <v>12</v>
      </c>
      <c r="BD499" s="494" t="s">
        <v>12</v>
      </c>
      <c r="BE499" s="494" t="s">
        <v>12</v>
      </c>
      <c r="BF499" s="494" t="s">
        <v>12</v>
      </c>
      <c r="BG499" s="494" t="s">
        <v>12</v>
      </c>
      <c r="BH499" s="494" t="s">
        <v>12</v>
      </c>
      <c r="BI499" s="494" t="s">
        <v>12</v>
      </c>
      <c r="BJ499" s="494" t="s">
        <v>12</v>
      </c>
      <c r="BK499" s="494" t="s">
        <v>12</v>
      </c>
      <c r="BL499" s="494" t="s">
        <v>12</v>
      </c>
      <c r="BM499" s="494" t="s">
        <v>12</v>
      </c>
      <c r="BN499" s="494" t="s">
        <v>12</v>
      </c>
      <c r="BO499" s="494" t="s">
        <v>12</v>
      </c>
      <c r="BP499" s="494" t="s">
        <v>12</v>
      </c>
      <c r="BQ499" s="494" t="s">
        <v>12</v>
      </c>
      <c r="BR499" s="494" t="s">
        <v>12</v>
      </c>
      <c r="BS499" s="494" t="s">
        <v>12</v>
      </c>
      <c r="BT499" s="494" t="s">
        <v>12</v>
      </c>
      <c r="BU499" s="494" t="s">
        <v>12</v>
      </c>
      <c r="BV499" s="494" t="s">
        <v>12</v>
      </c>
      <c r="BW499" s="494" t="s">
        <v>12</v>
      </c>
      <c r="BX499" s="494" t="s">
        <v>12</v>
      </c>
      <c r="BY499" s="494" t="s">
        <v>12</v>
      </c>
      <c r="BZ499" s="494" t="s">
        <v>12</v>
      </c>
      <c r="CA499" s="494" t="s">
        <v>12</v>
      </c>
      <c r="CB499" s="494" t="s">
        <v>12</v>
      </c>
      <c r="CC499" s="494" t="s">
        <v>12</v>
      </c>
      <c r="CD499" s="494" t="s">
        <v>12</v>
      </c>
      <c r="CE499" s="494" t="s">
        <v>12</v>
      </c>
      <c r="CF499" s="494" t="s">
        <v>12</v>
      </c>
      <c r="CG499" s="494" t="s">
        <v>12</v>
      </c>
      <c r="CH499" s="494" t="s">
        <v>12</v>
      </c>
      <c r="CI499" s="494" t="s">
        <v>12</v>
      </c>
      <c r="CJ499" s="494" t="s">
        <v>12</v>
      </c>
      <c r="CK499" s="494" t="s">
        <v>12</v>
      </c>
      <c r="CL499" s="494" t="s">
        <v>12</v>
      </c>
      <c r="CM499" s="494" t="s">
        <v>12</v>
      </c>
      <c r="CN499" s="494" t="s">
        <v>12</v>
      </c>
      <c r="CO499" s="494" t="s">
        <v>12</v>
      </c>
      <c r="CP499" s="494" t="s">
        <v>12</v>
      </c>
      <c r="CQ499" s="494" t="s">
        <v>12</v>
      </c>
      <c r="CR499" s="494" t="s">
        <v>12</v>
      </c>
      <c r="CS499" s="494" t="s">
        <v>12</v>
      </c>
      <c r="CT499" s="494" t="s">
        <v>12</v>
      </c>
      <c r="CU499" s="494" t="s">
        <v>12</v>
      </c>
      <c r="CV499" s="494" t="s">
        <v>12</v>
      </c>
      <c r="CW499" s="494" t="s">
        <v>12</v>
      </c>
      <c r="CX499" s="494" t="s">
        <v>12</v>
      </c>
      <c r="CY499" s="494" t="s">
        <v>12</v>
      </c>
      <c r="CZ499" s="494" t="s">
        <v>12</v>
      </c>
      <c r="DA499" s="494" t="s">
        <v>12</v>
      </c>
      <c r="DB499" s="494" t="s">
        <v>12</v>
      </c>
      <c r="DC499" s="494" t="s">
        <v>12</v>
      </c>
      <c r="DD499" s="494" t="s">
        <v>12</v>
      </c>
      <c r="DE499" s="494" t="s">
        <v>12</v>
      </c>
      <c r="DF499" s="494" t="s">
        <v>12</v>
      </c>
      <c r="DG499" s="494" t="s">
        <v>12</v>
      </c>
      <c r="DH499" s="494" t="s">
        <v>12</v>
      </c>
      <c r="DI499" s="494" t="s">
        <v>12</v>
      </c>
      <c r="DJ499" s="494" t="s">
        <v>12</v>
      </c>
      <c r="DK499" s="494" t="s">
        <v>12</v>
      </c>
      <c r="DL499" s="494" t="s">
        <v>12</v>
      </c>
      <c r="DM499" s="494" t="s">
        <v>12</v>
      </c>
      <c r="DN499" s="494" t="s">
        <v>12</v>
      </c>
      <c r="DO499" s="494" t="s">
        <v>12</v>
      </c>
      <c r="DP499" s="494" t="s">
        <v>12</v>
      </c>
      <c r="DQ499" s="494" t="s">
        <v>12</v>
      </c>
    </row>
    <row r="500" spans="1:121" x14ac:dyDescent="0.25">
      <c r="A500">
        <v>8</v>
      </c>
      <c r="B500" s="494" t="s">
        <v>12</v>
      </c>
      <c r="C500" s="494" t="s">
        <v>12</v>
      </c>
      <c r="D500" s="494" t="s">
        <v>12</v>
      </c>
      <c r="E500" s="494" t="s">
        <v>12</v>
      </c>
      <c r="F500" s="494" t="s">
        <v>12</v>
      </c>
      <c r="G500" s="494" t="s">
        <v>12</v>
      </c>
      <c r="H500" s="494" t="s">
        <v>12</v>
      </c>
      <c r="I500" s="494" t="s">
        <v>12</v>
      </c>
      <c r="J500" s="494" t="s">
        <v>12</v>
      </c>
      <c r="K500" s="494" t="s">
        <v>12</v>
      </c>
      <c r="L500" s="494" t="s">
        <v>12</v>
      </c>
      <c r="M500" s="494" t="s">
        <v>12</v>
      </c>
      <c r="N500" s="494" t="s">
        <v>12</v>
      </c>
      <c r="O500" s="494" t="s">
        <v>12</v>
      </c>
      <c r="P500" s="494" t="s">
        <v>12</v>
      </c>
      <c r="Q500" s="494" t="s">
        <v>12</v>
      </c>
      <c r="R500" s="494" t="s">
        <v>12</v>
      </c>
      <c r="S500" s="494" t="s">
        <v>12</v>
      </c>
      <c r="T500" s="494" t="s">
        <v>12</v>
      </c>
      <c r="U500" s="494" t="s">
        <v>12</v>
      </c>
      <c r="V500" s="494" t="s">
        <v>12</v>
      </c>
      <c r="W500" s="494" t="s">
        <v>12</v>
      </c>
      <c r="X500" s="494" t="s">
        <v>12</v>
      </c>
      <c r="Y500" s="494" t="s">
        <v>12</v>
      </c>
      <c r="Z500" s="494" t="s">
        <v>12</v>
      </c>
      <c r="AA500" s="494" t="s">
        <v>12</v>
      </c>
      <c r="AB500" s="494" t="s">
        <v>12</v>
      </c>
      <c r="AC500" s="494" t="s">
        <v>12</v>
      </c>
      <c r="AD500" s="494" t="s">
        <v>12</v>
      </c>
      <c r="AE500" s="494" t="s">
        <v>12</v>
      </c>
      <c r="AF500" s="494" t="s">
        <v>12</v>
      </c>
      <c r="AG500" s="494" t="s">
        <v>12</v>
      </c>
      <c r="AH500" s="494" t="s">
        <v>12</v>
      </c>
      <c r="AI500" s="494" t="s">
        <v>12</v>
      </c>
      <c r="AJ500" s="494" t="s">
        <v>12</v>
      </c>
      <c r="AK500" s="494" t="s">
        <v>12</v>
      </c>
      <c r="AL500" s="494" t="s">
        <v>12</v>
      </c>
      <c r="AM500" s="494" t="s">
        <v>12</v>
      </c>
      <c r="AN500" s="494" t="s">
        <v>12</v>
      </c>
      <c r="AO500" s="494" t="s">
        <v>12</v>
      </c>
      <c r="AP500" s="494" t="s">
        <v>12</v>
      </c>
      <c r="AQ500" s="494" t="s">
        <v>12</v>
      </c>
      <c r="AR500" s="494" t="s">
        <v>12</v>
      </c>
      <c r="AS500" s="494" t="s">
        <v>12</v>
      </c>
      <c r="AT500" s="494" t="s">
        <v>12</v>
      </c>
      <c r="AU500" s="494" t="s">
        <v>12</v>
      </c>
      <c r="AV500" s="494" t="s">
        <v>12</v>
      </c>
      <c r="AW500" s="494" t="s">
        <v>12</v>
      </c>
      <c r="AX500" s="494" t="s">
        <v>12</v>
      </c>
      <c r="AY500" s="494" t="s">
        <v>12</v>
      </c>
      <c r="AZ500" s="494" t="s">
        <v>12</v>
      </c>
      <c r="BA500" s="494" t="s">
        <v>12</v>
      </c>
      <c r="BB500" s="494" t="s">
        <v>12</v>
      </c>
      <c r="BC500" s="494" t="s">
        <v>12</v>
      </c>
      <c r="BD500" s="494" t="s">
        <v>12</v>
      </c>
      <c r="BE500" s="494" t="s">
        <v>12</v>
      </c>
      <c r="BF500" s="494" t="s">
        <v>12</v>
      </c>
      <c r="BG500" s="494" t="s">
        <v>12</v>
      </c>
      <c r="BH500" s="494" t="s">
        <v>12</v>
      </c>
      <c r="BI500" s="494" t="s">
        <v>12</v>
      </c>
      <c r="BJ500" s="494" t="s">
        <v>12</v>
      </c>
      <c r="BK500" s="494" t="s">
        <v>12</v>
      </c>
      <c r="BL500" s="494" t="s">
        <v>12</v>
      </c>
      <c r="BM500" s="494" t="s">
        <v>12</v>
      </c>
      <c r="BN500" s="494" t="s">
        <v>12</v>
      </c>
      <c r="BO500" s="494" t="s">
        <v>12</v>
      </c>
      <c r="BP500" s="494" t="s">
        <v>12</v>
      </c>
      <c r="BQ500" s="494" t="s">
        <v>12</v>
      </c>
      <c r="BR500" s="494" t="s">
        <v>12</v>
      </c>
      <c r="BS500" s="494" t="s">
        <v>12</v>
      </c>
      <c r="BT500" s="494" t="s">
        <v>12</v>
      </c>
      <c r="BU500" s="494" t="s">
        <v>12</v>
      </c>
      <c r="BV500" s="494" t="s">
        <v>12</v>
      </c>
      <c r="BW500" s="494" t="s">
        <v>12</v>
      </c>
      <c r="BX500" s="494" t="s">
        <v>12</v>
      </c>
      <c r="BY500" s="494" t="s">
        <v>12</v>
      </c>
      <c r="BZ500" s="494" t="s">
        <v>12</v>
      </c>
      <c r="CA500" s="494" t="s">
        <v>12</v>
      </c>
      <c r="CB500" s="494" t="s">
        <v>12</v>
      </c>
      <c r="CC500" s="494" t="s">
        <v>12</v>
      </c>
      <c r="CD500" s="494" t="s">
        <v>12</v>
      </c>
      <c r="CE500" s="494" t="s">
        <v>12</v>
      </c>
      <c r="CF500" s="494" t="s">
        <v>12</v>
      </c>
      <c r="CG500" s="494" t="s">
        <v>12</v>
      </c>
      <c r="CH500" s="494" t="s">
        <v>12</v>
      </c>
      <c r="CI500" s="494" t="s">
        <v>12</v>
      </c>
      <c r="CJ500" s="494" t="s">
        <v>12</v>
      </c>
      <c r="CK500" s="494" t="s">
        <v>12</v>
      </c>
      <c r="CL500" s="494" t="s">
        <v>12</v>
      </c>
      <c r="CM500" s="494" t="s">
        <v>12</v>
      </c>
      <c r="CN500" s="494" t="s">
        <v>12</v>
      </c>
      <c r="CO500" s="494" t="s">
        <v>12</v>
      </c>
      <c r="CP500" s="494" t="s">
        <v>12</v>
      </c>
      <c r="CQ500" s="494" t="s">
        <v>12</v>
      </c>
      <c r="CR500" s="494" t="s">
        <v>12</v>
      </c>
      <c r="CS500" s="494" t="s">
        <v>12</v>
      </c>
      <c r="CT500" s="494" t="s">
        <v>12</v>
      </c>
      <c r="CU500" s="494" t="s">
        <v>12</v>
      </c>
      <c r="CV500" s="494" t="s">
        <v>12</v>
      </c>
      <c r="CW500" s="494" t="s">
        <v>12</v>
      </c>
      <c r="CX500" s="494" t="s">
        <v>12</v>
      </c>
      <c r="CY500" s="494" t="s">
        <v>12</v>
      </c>
      <c r="CZ500" s="494" t="s">
        <v>12</v>
      </c>
      <c r="DA500" s="494" t="s">
        <v>12</v>
      </c>
      <c r="DB500" s="494" t="s">
        <v>12</v>
      </c>
      <c r="DC500" s="494" t="s">
        <v>12</v>
      </c>
      <c r="DD500" s="494" t="s">
        <v>12</v>
      </c>
      <c r="DE500" s="494" t="s">
        <v>12</v>
      </c>
      <c r="DF500" s="494" t="s">
        <v>12</v>
      </c>
      <c r="DG500" s="494" t="s">
        <v>12</v>
      </c>
      <c r="DH500" s="494" t="s">
        <v>12</v>
      </c>
      <c r="DI500" s="494" t="s">
        <v>12</v>
      </c>
      <c r="DJ500" s="494" t="s">
        <v>12</v>
      </c>
      <c r="DK500" s="494" t="s">
        <v>12</v>
      </c>
      <c r="DL500" s="494" t="s">
        <v>12</v>
      </c>
      <c r="DM500" s="494" t="s">
        <v>12</v>
      </c>
      <c r="DN500" s="494" t="s">
        <v>12</v>
      </c>
      <c r="DO500" s="494" t="s">
        <v>12</v>
      </c>
      <c r="DP500" s="494" t="s">
        <v>12</v>
      </c>
      <c r="DQ500" s="494" t="s">
        <v>12</v>
      </c>
    </row>
    <row r="501" spans="1:121" x14ac:dyDescent="0.25">
      <c r="A501">
        <v>9</v>
      </c>
      <c r="B501" s="494" t="s">
        <v>12</v>
      </c>
      <c r="C501" s="494" t="s">
        <v>12</v>
      </c>
      <c r="D501" s="494" t="s">
        <v>12</v>
      </c>
      <c r="E501" s="494" t="s">
        <v>12</v>
      </c>
      <c r="F501" s="494" t="s">
        <v>12</v>
      </c>
      <c r="G501" s="494" t="s">
        <v>12</v>
      </c>
      <c r="H501" s="494" t="s">
        <v>12</v>
      </c>
      <c r="I501" s="494" t="s">
        <v>12</v>
      </c>
      <c r="J501" s="494" t="s">
        <v>12</v>
      </c>
      <c r="K501" s="494" t="s">
        <v>12</v>
      </c>
      <c r="L501" s="494" t="s">
        <v>12</v>
      </c>
      <c r="M501" s="494" t="s">
        <v>12</v>
      </c>
      <c r="N501" s="494" t="s">
        <v>12</v>
      </c>
      <c r="O501" s="494" t="s">
        <v>12</v>
      </c>
      <c r="P501" s="494" t="s">
        <v>12</v>
      </c>
      <c r="Q501" s="494" t="s">
        <v>12</v>
      </c>
      <c r="R501" s="494" t="s">
        <v>12</v>
      </c>
      <c r="S501" s="494" t="s">
        <v>12</v>
      </c>
      <c r="T501" s="494" t="s">
        <v>12</v>
      </c>
      <c r="U501" s="494" t="s">
        <v>12</v>
      </c>
      <c r="V501" s="494" t="s">
        <v>12</v>
      </c>
      <c r="W501" s="494" t="s">
        <v>12</v>
      </c>
      <c r="X501" s="494" t="s">
        <v>12</v>
      </c>
      <c r="Y501" s="494" t="s">
        <v>12</v>
      </c>
      <c r="Z501" s="494" t="s">
        <v>12</v>
      </c>
      <c r="AA501" s="494" t="s">
        <v>12</v>
      </c>
      <c r="AB501" s="494" t="s">
        <v>12</v>
      </c>
      <c r="AC501" s="494" t="s">
        <v>12</v>
      </c>
      <c r="AD501" s="494" t="s">
        <v>12</v>
      </c>
      <c r="AE501" s="494" t="s">
        <v>12</v>
      </c>
      <c r="AF501" s="494" t="s">
        <v>12</v>
      </c>
      <c r="AG501" s="494" t="s">
        <v>12</v>
      </c>
      <c r="AH501" s="494" t="s">
        <v>12</v>
      </c>
      <c r="AI501" s="494" t="s">
        <v>12</v>
      </c>
      <c r="AJ501" s="494" t="s">
        <v>12</v>
      </c>
      <c r="AK501" s="494" t="s">
        <v>12</v>
      </c>
      <c r="AL501" s="494" t="s">
        <v>12</v>
      </c>
      <c r="AM501" s="494" t="s">
        <v>12</v>
      </c>
      <c r="AN501" s="494" t="s">
        <v>12</v>
      </c>
      <c r="AO501" s="494" t="s">
        <v>12</v>
      </c>
      <c r="AP501" s="494" t="s">
        <v>12</v>
      </c>
      <c r="AQ501" s="494" t="s">
        <v>12</v>
      </c>
      <c r="AR501" s="494" t="s">
        <v>12</v>
      </c>
      <c r="AS501" s="494" t="s">
        <v>12</v>
      </c>
      <c r="AT501" s="494" t="s">
        <v>12</v>
      </c>
      <c r="AU501" s="494" t="s">
        <v>12</v>
      </c>
      <c r="AV501" s="494" t="s">
        <v>12</v>
      </c>
      <c r="AW501" s="494" t="s">
        <v>12</v>
      </c>
      <c r="AX501" s="494" t="s">
        <v>12</v>
      </c>
      <c r="AY501" s="494" t="s">
        <v>12</v>
      </c>
      <c r="AZ501" s="494" t="s">
        <v>12</v>
      </c>
      <c r="BA501" s="494" t="s">
        <v>12</v>
      </c>
      <c r="BB501" s="494" t="s">
        <v>12</v>
      </c>
      <c r="BC501" s="494" t="s">
        <v>12</v>
      </c>
      <c r="BD501" s="494" t="s">
        <v>12</v>
      </c>
      <c r="BE501" s="494" t="s">
        <v>12</v>
      </c>
      <c r="BF501" s="494" t="s">
        <v>12</v>
      </c>
      <c r="BG501" s="494" t="s">
        <v>12</v>
      </c>
      <c r="BH501" s="494" t="s">
        <v>12</v>
      </c>
      <c r="BI501" s="494" t="s">
        <v>12</v>
      </c>
      <c r="BJ501" s="494" t="s">
        <v>12</v>
      </c>
      <c r="BK501" s="494" t="s">
        <v>12</v>
      </c>
      <c r="BL501" s="494" t="s">
        <v>12</v>
      </c>
      <c r="BM501" s="494" t="s">
        <v>12</v>
      </c>
      <c r="BN501" s="494" t="s">
        <v>12</v>
      </c>
      <c r="BO501" s="494" t="s">
        <v>12</v>
      </c>
      <c r="BP501" s="494" t="s">
        <v>12</v>
      </c>
      <c r="BQ501" s="494" t="s">
        <v>12</v>
      </c>
      <c r="BR501" s="494" t="s">
        <v>12</v>
      </c>
      <c r="BS501" s="494" t="s">
        <v>12</v>
      </c>
      <c r="BT501" s="494" t="s">
        <v>12</v>
      </c>
      <c r="BU501" s="494" t="s">
        <v>12</v>
      </c>
      <c r="BV501" s="494" t="s">
        <v>12</v>
      </c>
      <c r="BW501" s="494" t="s">
        <v>12</v>
      </c>
      <c r="BX501" s="494" t="s">
        <v>12</v>
      </c>
      <c r="BY501" s="494" t="s">
        <v>12</v>
      </c>
      <c r="BZ501" s="494" t="s">
        <v>12</v>
      </c>
      <c r="CA501" s="494" t="s">
        <v>12</v>
      </c>
      <c r="CB501" s="494" t="s">
        <v>12</v>
      </c>
      <c r="CC501" s="494" t="s">
        <v>12</v>
      </c>
      <c r="CD501" s="494" t="s">
        <v>12</v>
      </c>
      <c r="CE501" s="494" t="s">
        <v>12</v>
      </c>
      <c r="CF501" s="494" t="s">
        <v>12</v>
      </c>
      <c r="CG501" s="494" t="s">
        <v>12</v>
      </c>
      <c r="CH501" s="494" t="s">
        <v>12</v>
      </c>
      <c r="CI501" s="494" t="s">
        <v>12</v>
      </c>
      <c r="CJ501" s="494" t="s">
        <v>12</v>
      </c>
      <c r="CK501" s="494" t="s">
        <v>12</v>
      </c>
      <c r="CL501" s="494" t="s">
        <v>12</v>
      </c>
      <c r="CM501" s="494" t="s">
        <v>12</v>
      </c>
      <c r="CN501" s="494" t="s">
        <v>12</v>
      </c>
      <c r="CO501" s="494" t="s">
        <v>12</v>
      </c>
      <c r="CP501" s="494" t="s">
        <v>12</v>
      </c>
      <c r="CQ501" s="494" t="s">
        <v>12</v>
      </c>
      <c r="CR501" s="494" t="s">
        <v>12</v>
      </c>
      <c r="CS501" s="494" t="s">
        <v>12</v>
      </c>
      <c r="CT501" s="494" t="s">
        <v>12</v>
      </c>
      <c r="CU501" s="494" t="s">
        <v>12</v>
      </c>
      <c r="CV501" s="494" t="s">
        <v>12</v>
      </c>
      <c r="CW501" s="494" t="s">
        <v>12</v>
      </c>
      <c r="CX501" s="494" t="s">
        <v>12</v>
      </c>
      <c r="CY501" s="494" t="s">
        <v>12</v>
      </c>
      <c r="CZ501" s="494" t="s">
        <v>12</v>
      </c>
      <c r="DA501" s="494" t="s">
        <v>12</v>
      </c>
      <c r="DB501" s="494" t="s">
        <v>12</v>
      </c>
      <c r="DC501" s="494" t="s">
        <v>12</v>
      </c>
      <c r="DD501" s="494" t="s">
        <v>12</v>
      </c>
      <c r="DE501" s="494" t="s">
        <v>12</v>
      </c>
      <c r="DF501" s="494" t="s">
        <v>12</v>
      </c>
      <c r="DG501" s="494" t="s">
        <v>12</v>
      </c>
      <c r="DH501" s="494" t="s">
        <v>12</v>
      </c>
      <c r="DI501" s="494" t="s">
        <v>12</v>
      </c>
      <c r="DJ501" s="494" t="s">
        <v>12</v>
      </c>
      <c r="DK501" s="494" t="s">
        <v>12</v>
      </c>
      <c r="DL501" s="494" t="s">
        <v>12</v>
      </c>
      <c r="DM501" s="494" t="s">
        <v>12</v>
      </c>
      <c r="DN501" s="494" t="s">
        <v>12</v>
      </c>
      <c r="DO501" s="494" t="s">
        <v>12</v>
      </c>
      <c r="DP501" s="494" t="s">
        <v>12</v>
      </c>
      <c r="DQ501" s="494" t="s">
        <v>12</v>
      </c>
    </row>
    <row r="502" spans="1:121" x14ac:dyDescent="0.25">
      <c r="A502">
        <v>10</v>
      </c>
      <c r="B502" s="494" t="s">
        <v>12</v>
      </c>
      <c r="C502" s="494" t="s">
        <v>12</v>
      </c>
      <c r="D502" s="494" t="s">
        <v>12</v>
      </c>
      <c r="E502" s="494" t="s">
        <v>12</v>
      </c>
      <c r="F502" s="494" t="s">
        <v>12</v>
      </c>
      <c r="G502" s="494" t="s">
        <v>12</v>
      </c>
      <c r="H502" s="494" t="s">
        <v>12</v>
      </c>
      <c r="I502" s="494" t="s">
        <v>12</v>
      </c>
      <c r="J502" s="494" t="s">
        <v>12</v>
      </c>
      <c r="K502" s="494" t="s">
        <v>12</v>
      </c>
      <c r="L502" s="494" t="s">
        <v>12</v>
      </c>
      <c r="M502" s="494" t="s">
        <v>12</v>
      </c>
      <c r="N502" s="494" t="s">
        <v>12</v>
      </c>
      <c r="O502" s="494" t="s">
        <v>12</v>
      </c>
      <c r="P502" s="494" t="s">
        <v>12</v>
      </c>
      <c r="Q502" s="494" t="s">
        <v>12</v>
      </c>
      <c r="R502" s="494" t="s">
        <v>12</v>
      </c>
      <c r="S502" s="494" t="s">
        <v>12</v>
      </c>
      <c r="T502" s="494" t="s">
        <v>12</v>
      </c>
      <c r="U502" s="494" t="s">
        <v>12</v>
      </c>
      <c r="V502" s="494" t="s">
        <v>12</v>
      </c>
      <c r="W502" s="494" t="s">
        <v>12</v>
      </c>
      <c r="X502" s="494" t="s">
        <v>12</v>
      </c>
      <c r="Y502" s="494" t="s">
        <v>12</v>
      </c>
      <c r="Z502" s="494" t="s">
        <v>12</v>
      </c>
      <c r="AA502" s="494" t="s">
        <v>12</v>
      </c>
      <c r="AB502" s="494" t="s">
        <v>12</v>
      </c>
      <c r="AC502" s="494" t="s">
        <v>12</v>
      </c>
      <c r="AD502" s="494" t="s">
        <v>12</v>
      </c>
      <c r="AE502" s="494" t="s">
        <v>12</v>
      </c>
      <c r="AF502" s="494" t="s">
        <v>12</v>
      </c>
      <c r="AG502" s="494" t="s">
        <v>12</v>
      </c>
      <c r="AH502" s="494" t="s">
        <v>12</v>
      </c>
      <c r="AI502" s="494" t="s">
        <v>12</v>
      </c>
      <c r="AJ502" s="494" t="s">
        <v>12</v>
      </c>
      <c r="AK502" s="494" t="s">
        <v>12</v>
      </c>
      <c r="AL502" s="494" t="s">
        <v>12</v>
      </c>
      <c r="AM502" s="494" t="s">
        <v>12</v>
      </c>
      <c r="AN502" s="494" t="s">
        <v>12</v>
      </c>
      <c r="AO502" s="494" t="s">
        <v>12</v>
      </c>
      <c r="AP502" s="494" t="s">
        <v>12</v>
      </c>
      <c r="AQ502" s="494" t="s">
        <v>12</v>
      </c>
      <c r="AR502" s="494" t="s">
        <v>12</v>
      </c>
      <c r="AS502" s="494" t="s">
        <v>12</v>
      </c>
      <c r="AT502" s="494" t="s">
        <v>12</v>
      </c>
      <c r="AU502" s="494" t="s">
        <v>12</v>
      </c>
      <c r="AV502" s="494" t="s">
        <v>12</v>
      </c>
      <c r="AW502" s="494" t="s">
        <v>12</v>
      </c>
      <c r="AX502" s="494" t="s">
        <v>12</v>
      </c>
      <c r="AY502" s="494" t="s">
        <v>12</v>
      </c>
      <c r="AZ502" s="494" t="s">
        <v>12</v>
      </c>
      <c r="BA502" s="494" t="s">
        <v>12</v>
      </c>
      <c r="BB502" s="494" t="s">
        <v>12</v>
      </c>
      <c r="BC502" s="494" t="s">
        <v>12</v>
      </c>
      <c r="BD502" s="494" t="s">
        <v>12</v>
      </c>
      <c r="BE502" s="494" t="s">
        <v>12</v>
      </c>
      <c r="BF502" s="494" t="s">
        <v>12</v>
      </c>
      <c r="BG502" s="494" t="s">
        <v>12</v>
      </c>
      <c r="BH502" s="494" t="s">
        <v>12</v>
      </c>
      <c r="BI502" s="494" t="s">
        <v>12</v>
      </c>
      <c r="BJ502" s="494" t="s">
        <v>12</v>
      </c>
      <c r="BK502" s="494" t="s">
        <v>12</v>
      </c>
      <c r="BL502" s="494" t="s">
        <v>12</v>
      </c>
      <c r="BM502" s="494" t="s">
        <v>12</v>
      </c>
      <c r="BN502" s="494" t="s">
        <v>12</v>
      </c>
      <c r="BO502" s="494" t="s">
        <v>12</v>
      </c>
      <c r="BP502" s="494" t="s">
        <v>12</v>
      </c>
      <c r="BQ502" s="494" t="s">
        <v>12</v>
      </c>
      <c r="BR502" s="494" t="s">
        <v>12</v>
      </c>
      <c r="BS502" s="494" t="s">
        <v>12</v>
      </c>
      <c r="BT502" s="494" t="s">
        <v>12</v>
      </c>
      <c r="BU502" s="494" t="s">
        <v>12</v>
      </c>
      <c r="BV502" s="494" t="s">
        <v>12</v>
      </c>
      <c r="BW502" s="494" t="s">
        <v>12</v>
      </c>
      <c r="BX502" s="494" t="s">
        <v>12</v>
      </c>
      <c r="BY502" s="494" t="s">
        <v>12</v>
      </c>
      <c r="BZ502" s="494" t="s">
        <v>12</v>
      </c>
      <c r="CA502" s="494" t="s">
        <v>12</v>
      </c>
      <c r="CB502" s="494" t="s">
        <v>12</v>
      </c>
      <c r="CC502" s="494" t="s">
        <v>12</v>
      </c>
      <c r="CD502" s="494" t="s">
        <v>12</v>
      </c>
      <c r="CE502" s="494" t="s">
        <v>12</v>
      </c>
      <c r="CF502" s="494" t="s">
        <v>12</v>
      </c>
      <c r="CG502" s="494" t="s">
        <v>12</v>
      </c>
      <c r="CH502" s="494" t="s">
        <v>12</v>
      </c>
      <c r="CI502" s="494" t="s">
        <v>12</v>
      </c>
      <c r="CJ502" s="494" t="s">
        <v>12</v>
      </c>
      <c r="CK502" s="494" t="s">
        <v>12</v>
      </c>
      <c r="CL502" s="494" t="s">
        <v>12</v>
      </c>
      <c r="CM502" s="494" t="s">
        <v>12</v>
      </c>
      <c r="CN502" s="494" t="s">
        <v>12</v>
      </c>
      <c r="CO502" s="494" t="s">
        <v>12</v>
      </c>
      <c r="CP502" s="494" t="s">
        <v>12</v>
      </c>
      <c r="CQ502" s="494" t="s">
        <v>12</v>
      </c>
      <c r="CR502" s="494" t="s">
        <v>12</v>
      </c>
      <c r="CS502" s="494" t="s">
        <v>12</v>
      </c>
      <c r="CT502" s="494" t="s">
        <v>12</v>
      </c>
      <c r="CU502" s="494" t="s">
        <v>12</v>
      </c>
      <c r="CV502" s="494" t="s">
        <v>12</v>
      </c>
      <c r="CW502" s="494" t="s">
        <v>12</v>
      </c>
      <c r="CX502" s="494" t="s">
        <v>12</v>
      </c>
      <c r="CY502" s="494" t="s">
        <v>12</v>
      </c>
      <c r="CZ502" s="494" t="s">
        <v>12</v>
      </c>
      <c r="DA502" s="494" t="s">
        <v>12</v>
      </c>
      <c r="DB502" s="494" t="s">
        <v>12</v>
      </c>
      <c r="DC502" s="494" t="s">
        <v>12</v>
      </c>
      <c r="DD502" s="494" t="s">
        <v>12</v>
      </c>
      <c r="DE502" s="494" t="s">
        <v>12</v>
      </c>
      <c r="DF502" s="494" t="s">
        <v>12</v>
      </c>
      <c r="DG502" s="494" t="s">
        <v>12</v>
      </c>
      <c r="DH502" s="494" t="s">
        <v>12</v>
      </c>
      <c r="DI502" s="494" t="s">
        <v>12</v>
      </c>
      <c r="DJ502" s="494" t="s">
        <v>12</v>
      </c>
      <c r="DK502" s="494" t="s">
        <v>12</v>
      </c>
      <c r="DL502" s="494" t="s">
        <v>12</v>
      </c>
      <c r="DM502" s="494" t="s">
        <v>12</v>
      </c>
      <c r="DN502" s="494" t="s">
        <v>12</v>
      </c>
      <c r="DO502" s="494" t="s">
        <v>12</v>
      </c>
      <c r="DP502" s="494" t="s">
        <v>12</v>
      </c>
      <c r="DQ502" s="494" t="s">
        <v>12</v>
      </c>
    </row>
    <row r="503" spans="1:121" x14ac:dyDescent="0.25">
      <c r="A503" s="491" t="s">
        <v>798</v>
      </c>
      <c r="B503" s="199">
        <v>2011</v>
      </c>
      <c r="C503" s="199">
        <v>2012</v>
      </c>
      <c r="D503" s="199">
        <v>2013</v>
      </c>
      <c r="E503" s="199">
        <v>2014</v>
      </c>
      <c r="F503" s="199">
        <v>2015</v>
      </c>
      <c r="G503" s="199">
        <v>2016</v>
      </c>
      <c r="H503" s="199">
        <v>2017</v>
      </c>
      <c r="I503" s="199">
        <v>2018</v>
      </c>
      <c r="J503" s="199">
        <v>2019</v>
      </c>
      <c r="K503" s="199">
        <v>2020</v>
      </c>
      <c r="L503" s="199">
        <v>2021</v>
      </c>
      <c r="M503" s="199">
        <v>2022</v>
      </c>
      <c r="N503" s="202">
        <v>2011</v>
      </c>
      <c r="O503" s="202">
        <v>2012</v>
      </c>
      <c r="P503" s="202">
        <v>2013</v>
      </c>
      <c r="Q503" s="202">
        <v>2014</v>
      </c>
      <c r="R503" s="202">
        <v>2015</v>
      </c>
      <c r="S503" s="202">
        <v>2016</v>
      </c>
      <c r="T503" s="202">
        <v>2017</v>
      </c>
      <c r="U503" s="202">
        <v>2018</v>
      </c>
      <c r="V503" s="202">
        <v>2019</v>
      </c>
      <c r="W503" s="202">
        <v>2020</v>
      </c>
      <c r="X503" s="202">
        <v>2021</v>
      </c>
      <c r="Y503" s="202">
        <v>2022</v>
      </c>
      <c r="Z503" s="199">
        <v>2011</v>
      </c>
      <c r="AA503" s="199">
        <v>2012</v>
      </c>
      <c r="AB503" s="199">
        <v>2013</v>
      </c>
      <c r="AC503" s="199">
        <v>2014</v>
      </c>
      <c r="AD503" s="199">
        <v>2015</v>
      </c>
      <c r="AE503" s="199">
        <v>2016</v>
      </c>
      <c r="AF503" s="199">
        <v>2017</v>
      </c>
      <c r="AG503" s="199">
        <v>2018</v>
      </c>
      <c r="AH503" s="199">
        <v>2019</v>
      </c>
      <c r="AI503" s="199">
        <v>2020</v>
      </c>
      <c r="AJ503" s="199">
        <v>2021</v>
      </c>
      <c r="AK503" s="199">
        <v>2022</v>
      </c>
      <c r="AL503" s="202">
        <v>2011</v>
      </c>
      <c r="AM503" s="202">
        <v>2012</v>
      </c>
      <c r="AN503" s="202">
        <v>2013</v>
      </c>
      <c r="AO503" s="202">
        <v>2014</v>
      </c>
      <c r="AP503" s="202">
        <v>2015</v>
      </c>
      <c r="AQ503" s="202">
        <v>2016</v>
      </c>
      <c r="AR503" s="202">
        <v>2017</v>
      </c>
      <c r="AS503" s="202">
        <v>2018</v>
      </c>
      <c r="AT503" s="202">
        <v>2019</v>
      </c>
      <c r="AU503" s="202">
        <v>2020</v>
      </c>
      <c r="AV503" s="202">
        <v>2021</v>
      </c>
      <c r="AW503" s="202">
        <v>2022</v>
      </c>
      <c r="AX503" s="199">
        <v>2011</v>
      </c>
      <c r="AY503" s="199">
        <v>2012</v>
      </c>
      <c r="AZ503" s="199">
        <v>2013</v>
      </c>
      <c r="BA503" s="199">
        <v>2014</v>
      </c>
      <c r="BB503" s="199">
        <v>2015</v>
      </c>
      <c r="BC503" s="199">
        <v>2016</v>
      </c>
      <c r="BD503" s="199">
        <v>2017</v>
      </c>
      <c r="BE503" s="199">
        <v>2018</v>
      </c>
      <c r="BF503" s="199">
        <v>2019</v>
      </c>
      <c r="BG503" s="199">
        <v>2020</v>
      </c>
      <c r="BH503" s="199">
        <v>2021</v>
      </c>
      <c r="BI503" s="199">
        <v>2022</v>
      </c>
      <c r="BJ503" s="202">
        <v>2011</v>
      </c>
      <c r="BK503" s="202">
        <v>2012</v>
      </c>
      <c r="BL503" s="202">
        <v>2013</v>
      </c>
      <c r="BM503" s="202">
        <v>2014</v>
      </c>
      <c r="BN503" s="202">
        <v>2015</v>
      </c>
      <c r="BO503" s="202">
        <v>2016</v>
      </c>
      <c r="BP503" s="202">
        <v>2017</v>
      </c>
      <c r="BQ503" s="202">
        <v>2018</v>
      </c>
      <c r="BR503" s="202">
        <v>2019</v>
      </c>
      <c r="BS503" s="202">
        <v>2020</v>
      </c>
      <c r="BT503" s="202">
        <v>2021</v>
      </c>
      <c r="BU503" s="202">
        <v>2022</v>
      </c>
      <c r="BV503" s="199">
        <v>2011</v>
      </c>
      <c r="BW503" s="199">
        <v>2012</v>
      </c>
      <c r="BX503" s="199">
        <v>2013</v>
      </c>
      <c r="BY503" s="199">
        <v>2014</v>
      </c>
      <c r="BZ503" s="199">
        <v>2015</v>
      </c>
      <c r="CA503" s="199">
        <v>2016</v>
      </c>
      <c r="CB503" s="199">
        <v>2017</v>
      </c>
      <c r="CC503" s="199">
        <v>2018</v>
      </c>
      <c r="CD503" s="199">
        <v>2019</v>
      </c>
      <c r="CE503" s="199">
        <v>2020</v>
      </c>
      <c r="CF503" s="199">
        <v>2021</v>
      </c>
      <c r="CG503" s="199">
        <v>2022</v>
      </c>
      <c r="CH503" s="202">
        <v>2011</v>
      </c>
      <c r="CI503" s="202">
        <v>2012</v>
      </c>
      <c r="CJ503" s="202">
        <v>2013</v>
      </c>
      <c r="CK503" s="202">
        <v>2014</v>
      </c>
      <c r="CL503" s="202">
        <v>2015</v>
      </c>
      <c r="CM503" s="202">
        <v>2016</v>
      </c>
      <c r="CN503" s="202">
        <v>2017</v>
      </c>
      <c r="CO503" s="202">
        <v>2018</v>
      </c>
      <c r="CP503" s="202">
        <v>2019</v>
      </c>
      <c r="CQ503" s="202">
        <v>2020</v>
      </c>
      <c r="CR503" s="202">
        <v>2021</v>
      </c>
      <c r="CS503" s="202">
        <v>2022</v>
      </c>
      <c r="CT503" s="199">
        <v>2011</v>
      </c>
      <c r="CU503" s="199">
        <v>2012</v>
      </c>
      <c r="CV503" s="199">
        <v>2013</v>
      </c>
      <c r="CW503" s="199">
        <v>2014</v>
      </c>
      <c r="CX503" s="199">
        <v>2015</v>
      </c>
      <c r="CY503" s="199">
        <v>2016</v>
      </c>
      <c r="CZ503" s="199">
        <v>2017</v>
      </c>
      <c r="DA503" s="199">
        <v>2018</v>
      </c>
      <c r="DB503" s="199">
        <v>2019</v>
      </c>
      <c r="DC503" s="199">
        <v>2020</v>
      </c>
      <c r="DD503" s="199">
        <v>2021</v>
      </c>
      <c r="DE503" s="199">
        <v>2022</v>
      </c>
      <c r="DF503" s="202">
        <v>2011</v>
      </c>
      <c r="DG503" s="202">
        <v>2012</v>
      </c>
      <c r="DH503" s="202">
        <v>2013</v>
      </c>
      <c r="DI503" s="202">
        <v>2014</v>
      </c>
      <c r="DJ503" s="202">
        <v>2015</v>
      </c>
      <c r="DK503" s="202">
        <v>2016</v>
      </c>
      <c r="DL503" s="202">
        <v>2017</v>
      </c>
      <c r="DM503" s="202">
        <v>2018</v>
      </c>
      <c r="DN503" s="202">
        <v>2019</v>
      </c>
      <c r="DO503" s="202">
        <v>2020</v>
      </c>
      <c r="DP503" s="202">
        <v>2021</v>
      </c>
      <c r="DQ503" s="202">
        <v>2022</v>
      </c>
    </row>
    <row r="504" spans="1:121" x14ac:dyDescent="0.25">
      <c r="A504">
        <v>1</v>
      </c>
      <c r="B504" s="495">
        <v>12115450.754896231</v>
      </c>
      <c r="C504" s="495">
        <v>27712500.940303732</v>
      </c>
      <c r="D504" s="495">
        <v>0</v>
      </c>
      <c r="E504" s="495">
        <v>0</v>
      </c>
      <c r="F504" s="495">
        <v>0</v>
      </c>
      <c r="G504" s="495">
        <v>0</v>
      </c>
      <c r="H504" s="495">
        <v>0</v>
      </c>
      <c r="I504" s="495">
        <v>0</v>
      </c>
      <c r="J504" s="495">
        <v>0</v>
      </c>
      <c r="K504" s="495">
        <v>0</v>
      </c>
      <c r="L504" s="495">
        <v>0</v>
      </c>
      <c r="M504" s="495">
        <v>0</v>
      </c>
      <c r="N504" s="495">
        <v>16429246.95789904</v>
      </c>
      <c r="O504" s="495">
        <v>34676442.718041174</v>
      </c>
      <c r="P504" s="495">
        <v>0</v>
      </c>
      <c r="Q504" s="495">
        <v>0</v>
      </c>
      <c r="R504" s="495">
        <v>0</v>
      </c>
      <c r="S504" s="495">
        <v>0</v>
      </c>
      <c r="T504" s="495">
        <v>0</v>
      </c>
      <c r="U504" s="495">
        <v>0</v>
      </c>
      <c r="V504" s="495">
        <v>0</v>
      </c>
      <c r="W504" s="495">
        <v>0</v>
      </c>
      <c r="X504" s="495">
        <v>0</v>
      </c>
      <c r="Y504" s="495">
        <v>0</v>
      </c>
      <c r="Z504" s="495">
        <v>9870061.935886424</v>
      </c>
      <c r="AA504" s="495">
        <v>17420094.916520249</v>
      </c>
      <c r="AB504" s="495">
        <v>0</v>
      </c>
      <c r="AC504" s="495">
        <v>0</v>
      </c>
      <c r="AD504" s="495">
        <v>0</v>
      </c>
      <c r="AE504" s="495">
        <v>0</v>
      </c>
      <c r="AF504" s="495">
        <v>0</v>
      </c>
      <c r="AG504" s="495">
        <v>0</v>
      </c>
      <c r="AH504" s="495">
        <v>0</v>
      </c>
      <c r="AI504" s="495">
        <v>0</v>
      </c>
      <c r="AJ504" s="495">
        <v>0</v>
      </c>
      <c r="AK504" s="495">
        <v>0</v>
      </c>
      <c r="AL504" s="495">
        <v>87928377.951340854</v>
      </c>
      <c r="AM504" s="495">
        <v>192274689.46289992</v>
      </c>
      <c r="AN504" s="495">
        <v>0</v>
      </c>
      <c r="AO504" s="495">
        <v>0</v>
      </c>
      <c r="AP504" s="495">
        <v>0</v>
      </c>
      <c r="AQ504" s="495">
        <v>0</v>
      </c>
      <c r="AR504" s="495">
        <v>0</v>
      </c>
      <c r="AS504" s="495">
        <v>0</v>
      </c>
      <c r="AT504" s="495">
        <v>0</v>
      </c>
      <c r="AU504" s="495">
        <v>0</v>
      </c>
      <c r="AV504" s="495">
        <v>0</v>
      </c>
      <c r="AW504" s="495">
        <v>0</v>
      </c>
      <c r="AX504" s="495">
        <v>38301631.486020893</v>
      </c>
      <c r="AY504" s="495">
        <v>83859373.725545689</v>
      </c>
      <c r="AZ504" s="495">
        <v>0</v>
      </c>
      <c r="BA504" s="495">
        <v>0</v>
      </c>
      <c r="BB504" s="495">
        <v>0</v>
      </c>
      <c r="BC504" s="495">
        <v>0</v>
      </c>
      <c r="BD504" s="495">
        <v>0</v>
      </c>
      <c r="BE504" s="495">
        <v>0</v>
      </c>
      <c r="BF504" s="495">
        <v>0</v>
      </c>
      <c r="BG504" s="495">
        <v>0</v>
      </c>
      <c r="BH504" s="495">
        <v>0</v>
      </c>
      <c r="BI504" s="495">
        <v>0</v>
      </c>
      <c r="BJ504" s="495">
        <v>8435020.6242503598</v>
      </c>
      <c r="BK504" s="495">
        <v>22146501.79352966</v>
      </c>
      <c r="BL504" s="495">
        <v>0</v>
      </c>
      <c r="BM504" s="495">
        <v>0</v>
      </c>
      <c r="BN504" s="495">
        <v>0</v>
      </c>
      <c r="BO504" s="495">
        <v>0</v>
      </c>
      <c r="BP504" s="495">
        <v>0</v>
      </c>
      <c r="BQ504" s="495">
        <v>0</v>
      </c>
      <c r="BR504" s="495">
        <v>0</v>
      </c>
      <c r="BS504" s="495">
        <v>0</v>
      </c>
      <c r="BT504" s="495">
        <v>0</v>
      </c>
      <c r="BU504" s="495">
        <v>0</v>
      </c>
      <c r="BV504" s="495" t="s">
        <v>12</v>
      </c>
      <c r="BW504" s="495" t="s">
        <v>12</v>
      </c>
      <c r="BX504" s="495" t="s">
        <v>12</v>
      </c>
      <c r="BY504" s="495" t="s">
        <v>12</v>
      </c>
      <c r="BZ504" s="495" t="s">
        <v>12</v>
      </c>
      <c r="CA504" s="495" t="s">
        <v>12</v>
      </c>
      <c r="CB504" s="495" t="s">
        <v>12</v>
      </c>
      <c r="CC504" s="495" t="s">
        <v>12</v>
      </c>
      <c r="CD504" s="495" t="s">
        <v>12</v>
      </c>
      <c r="CE504" s="495" t="s">
        <v>12</v>
      </c>
      <c r="CF504" s="495" t="s">
        <v>12</v>
      </c>
      <c r="CG504" s="495" t="s">
        <v>12</v>
      </c>
      <c r="CH504" s="495" t="s">
        <v>12</v>
      </c>
      <c r="CI504" s="495" t="s">
        <v>12</v>
      </c>
      <c r="CJ504" s="495" t="s">
        <v>12</v>
      </c>
      <c r="CK504" s="495" t="s">
        <v>12</v>
      </c>
      <c r="CL504" s="495" t="s">
        <v>12</v>
      </c>
      <c r="CM504" s="495" t="s">
        <v>12</v>
      </c>
      <c r="CN504" s="495" t="s">
        <v>12</v>
      </c>
      <c r="CO504" s="495" t="s">
        <v>12</v>
      </c>
      <c r="CP504" s="495" t="s">
        <v>12</v>
      </c>
      <c r="CQ504" s="495" t="s">
        <v>12</v>
      </c>
      <c r="CR504" s="495" t="s">
        <v>12</v>
      </c>
      <c r="CS504" s="495" t="s">
        <v>12</v>
      </c>
      <c r="CT504" s="495" t="s">
        <v>12</v>
      </c>
      <c r="CU504" s="495" t="s">
        <v>12</v>
      </c>
      <c r="CV504" s="495" t="s">
        <v>12</v>
      </c>
      <c r="CW504" s="495" t="s">
        <v>12</v>
      </c>
      <c r="CX504" s="495" t="s">
        <v>12</v>
      </c>
      <c r="CY504" s="495" t="s">
        <v>12</v>
      </c>
      <c r="CZ504" s="495" t="s">
        <v>12</v>
      </c>
      <c r="DA504" s="495" t="s">
        <v>12</v>
      </c>
      <c r="DB504" s="495" t="s">
        <v>12</v>
      </c>
      <c r="DC504" s="495" t="s">
        <v>12</v>
      </c>
      <c r="DD504" s="495" t="s">
        <v>12</v>
      </c>
      <c r="DE504" s="495" t="s">
        <v>12</v>
      </c>
      <c r="DF504" s="495" t="s">
        <v>12</v>
      </c>
      <c r="DG504" s="495" t="s">
        <v>12</v>
      </c>
      <c r="DH504" s="495" t="s">
        <v>12</v>
      </c>
      <c r="DI504" s="495" t="s">
        <v>12</v>
      </c>
      <c r="DJ504" s="495" t="s">
        <v>12</v>
      </c>
      <c r="DK504" s="495" t="s">
        <v>12</v>
      </c>
      <c r="DL504" s="495" t="s">
        <v>12</v>
      </c>
      <c r="DM504" s="495" t="s">
        <v>12</v>
      </c>
      <c r="DN504" s="495" t="s">
        <v>12</v>
      </c>
      <c r="DO504" s="495" t="s">
        <v>12</v>
      </c>
      <c r="DP504" s="495" t="s">
        <v>12</v>
      </c>
      <c r="DQ504" s="495" t="s">
        <v>12</v>
      </c>
    </row>
    <row r="505" spans="1:121" x14ac:dyDescent="0.25">
      <c r="A505">
        <v>2</v>
      </c>
      <c r="B505" s="495">
        <v>0</v>
      </c>
      <c r="C505" s="495">
        <v>1859423.5306972978</v>
      </c>
      <c r="D505" s="495">
        <v>0</v>
      </c>
      <c r="E505" s="495">
        <v>0</v>
      </c>
      <c r="F505" s="495">
        <v>0</v>
      </c>
      <c r="G505" s="495">
        <v>0</v>
      </c>
      <c r="H505" s="495">
        <v>0</v>
      </c>
      <c r="I505" s="495">
        <v>0</v>
      </c>
      <c r="J505" s="495">
        <v>0</v>
      </c>
      <c r="K505" s="495">
        <v>0</v>
      </c>
      <c r="L505" s="495">
        <v>0</v>
      </c>
      <c r="M505" s="495">
        <v>0</v>
      </c>
      <c r="N505" s="495">
        <v>0</v>
      </c>
      <c r="O505" s="495">
        <v>7730143.191369893</v>
      </c>
      <c r="P505" s="495">
        <v>0</v>
      </c>
      <c r="Q505" s="495">
        <v>0</v>
      </c>
      <c r="R505" s="495">
        <v>0</v>
      </c>
      <c r="S505" s="495">
        <v>0</v>
      </c>
      <c r="T505" s="495">
        <v>0</v>
      </c>
      <c r="U505" s="495">
        <v>0</v>
      </c>
      <c r="V505" s="495">
        <v>0</v>
      </c>
      <c r="W505" s="495">
        <v>0</v>
      </c>
      <c r="X505" s="495">
        <v>0</v>
      </c>
      <c r="Y505" s="495">
        <v>0</v>
      </c>
      <c r="Z505" s="495">
        <v>0</v>
      </c>
      <c r="AA505" s="495">
        <v>53046231.355448335</v>
      </c>
      <c r="AB505" s="495">
        <v>0</v>
      </c>
      <c r="AC505" s="495">
        <v>0</v>
      </c>
      <c r="AD505" s="495">
        <v>0</v>
      </c>
      <c r="AE505" s="495">
        <v>0</v>
      </c>
      <c r="AF505" s="495">
        <v>0</v>
      </c>
      <c r="AG505" s="495">
        <v>0</v>
      </c>
      <c r="AH505" s="495">
        <v>0</v>
      </c>
      <c r="AI505" s="495">
        <v>0</v>
      </c>
      <c r="AJ505" s="495">
        <v>0</v>
      </c>
      <c r="AK505" s="495">
        <v>0</v>
      </c>
      <c r="AL505" s="495">
        <v>0</v>
      </c>
      <c r="AM505" s="495">
        <v>8561660.4694740791</v>
      </c>
      <c r="AN505" s="495">
        <v>0</v>
      </c>
      <c r="AO505" s="495">
        <v>0</v>
      </c>
      <c r="AP505" s="495">
        <v>0</v>
      </c>
      <c r="AQ505" s="495">
        <v>0</v>
      </c>
      <c r="AR505" s="495">
        <v>0</v>
      </c>
      <c r="AS505" s="495">
        <v>0</v>
      </c>
      <c r="AT505" s="495">
        <v>0</v>
      </c>
      <c r="AU505" s="495">
        <v>0</v>
      </c>
      <c r="AV505" s="495">
        <v>0</v>
      </c>
      <c r="AW505" s="495">
        <v>0</v>
      </c>
      <c r="AX505" s="495">
        <v>0</v>
      </c>
      <c r="AY505" s="495">
        <v>9035600.841611946</v>
      </c>
      <c r="AZ505" s="495">
        <v>0</v>
      </c>
      <c r="BA505" s="495">
        <v>0</v>
      </c>
      <c r="BB505" s="495">
        <v>0</v>
      </c>
      <c r="BC505" s="495">
        <v>0</v>
      </c>
      <c r="BD505" s="495">
        <v>0</v>
      </c>
      <c r="BE505" s="495">
        <v>0</v>
      </c>
      <c r="BF505" s="495">
        <v>0</v>
      </c>
      <c r="BG505" s="495">
        <v>0</v>
      </c>
      <c r="BH505" s="495">
        <v>0</v>
      </c>
      <c r="BI505" s="495">
        <v>0</v>
      </c>
      <c r="BJ505" s="495">
        <v>0</v>
      </c>
      <c r="BK505" s="495">
        <v>13412235.182075288</v>
      </c>
      <c r="BL505" s="495">
        <v>0</v>
      </c>
      <c r="BM505" s="495">
        <v>0</v>
      </c>
      <c r="BN505" s="495">
        <v>0</v>
      </c>
      <c r="BO505" s="495">
        <v>0</v>
      </c>
      <c r="BP505" s="495">
        <v>0</v>
      </c>
      <c r="BQ505" s="495">
        <v>0</v>
      </c>
      <c r="BR505" s="495">
        <v>0</v>
      </c>
      <c r="BS505" s="495">
        <v>0</v>
      </c>
      <c r="BT505" s="495">
        <v>0</v>
      </c>
      <c r="BU505" s="495">
        <v>0</v>
      </c>
      <c r="BV505" s="495" t="s">
        <v>12</v>
      </c>
      <c r="BW505" s="495" t="s">
        <v>12</v>
      </c>
      <c r="BX505" s="495" t="s">
        <v>12</v>
      </c>
      <c r="BY505" s="495" t="s">
        <v>12</v>
      </c>
      <c r="BZ505" s="495" t="s">
        <v>12</v>
      </c>
      <c r="CA505" s="495" t="s">
        <v>12</v>
      </c>
      <c r="CB505" s="495" t="s">
        <v>12</v>
      </c>
      <c r="CC505" s="495" t="s">
        <v>12</v>
      </c>
      <c r="CD505" s="495" t="s">
        <v>12</v>
      </c>
      <c r="CE505" s="495" t="s">
        <v>12</v>
      </c>
      <c r="CF505" s="495" t="s">
        <v>12</v>
      </c>
      <c r="CG505" s="495" t="s">
        <v>12</v>
      </c>
      <c r="CH505" s="495" t="s">
        <v>12</v>
      </c>
      <c r="CI505" s="495" t="s">
        <v>12</v>
      </c>
      <c r="CJ505" s="495" t="s">
        <v>12</v>
      </c>
      <c r="CK505" s="495" t="s">
        <v>12</v>
      </c>
      <c r="CL505" s="495" t="s">
        <v>12</v>
      </c>
      <c r="CM505" s="495" t="s">
        <v>12</v>
      </c>
      <c r="CN505" s="495" t="s">
        <v>12</v>
      </c>
      <c r="CO505" s="495" t="s">
        <v>12</v>
      </c>
      <c r="CP505" s="495" t="s">
        <v>12</v>
      </c>
      <c r="CQ505" s="495" t="s">
        <v>12</v>
      </c>
      <c r="CR505" s="495" t="s">
        <v>12</v>
      </c>
      <c r="CS505" s="495" t="s">
        <v>12</v>
      </c>
      <c r="CT505" s="495" t="s">
        <v>12</v>
      </c>
      <c r="CU505" s="495" t="s">
        <v>12</v>
      </c>
      <c r="CV505" s="495" t="s">
        <v>12</v>
      </c>
      <c r="CW505" s="495" t="s">
        <v>12</v>
      </c>
      <c r="CX505" s="495" t="s">
        <v>12</v>
      </c>
      <c r="CY505" s="495" t="s">
        <v>12</v>
      </c>
      <c r="CZ505" s="495" t="s">
        <v>12</v>
      </c>
      <c r="DA505" s="495" t="s">
        <v>12</v>
      </c>
      <c r="DB505" s="495" t="s">
        <v>12</v>
      </c>
      <c r="DC505" s="495" t="s">
        <v>12</v>
      </c>
      <c r="DD505" s="495" t="s">
        <v>12</v>
      </c>
      <c r="DE505" s="495" t="s">
        <v>12</v>
      </c>
      <c r="DF505" s="495" t="s">
        <v>12</v>
      </c>
      <c r="DG505" s="495" t="s">
        <v>12</v>
      </c>
      <c r="DH505" s="495" t="s">
        <v>12</v>
      </c>
      <c r="DI505" s="495" t="s">
        <v>12</v>
      </c>
      <c r="DJ505" s="495" t="s">
        <v>12</v>
      </c>
      <c r="DK505" s="495" t="s">
        <v>12</v>
      </c>
      <c r="DL505" s="495" t="s">
        <v>12</v>
      </c>
      <c r="DM505" s="495" t="s">
        <v>12</v>
      </c>
      <c r="DN505" s="495" t="s">
        <v>12</v>
      </c>
      <c r="DO505" s="495" t="s">
        <v>12</v>
      </c>
      <c r="DP505" s="495" t="s">
        <v>12</v>
      </c>
      <c r="DQ505" s="495" t="s">
        <v>12</v>
      </c>
    </row>
    <row r="506" spans="1:121" x14ac:dyDescent="0.25">
      <c r="A506">
        <v>3</v>
      </c>
      <c r="B506" s="495" t="s">
        <v>12</v>
      </c>
      <c r="C506" s="495" t="s">
        <v>12</v>
      </c>
      <c r="D506" s="495" t="s">
        <v>12</v>
      </c>
      <c r="E506" s="495" t="s">
        <v>12</v>
      </c>
      <c r="F506" s="495" t="s">
        <v>12</v>
      </c>
      <c r="G506" s="495" t="s">
        <v>12</v>
      </c>
      <c r="H506" s="495" t="s">
        <v>12</v>
      </c>
      <c r="I506" s="495" t="s">
        <v>12</v>
      </c>
      <c r="J506" s="495" t="s">
        <v>12</v>
      </c>
      <c r="K506" s="495" t="s">
        <v>12</v>
      </c>
      <c r="L506" s="495" t="s">
        <v>12</v>
      </c>
      <c r="M506" s="495" t="s">
        <v>12</v>
      </c>
      <c r="N506" s="495" t="s">
        <v>12</v>
      </c>
      <c r="O506" s="495" t="s">
        <v>12</v>
      </c>
      <c r="P506" s="495" t="s">
        <v>12</v>
      </c>
      <c r="Q506" s="495" t="s">
        <v>12</v>
      </c>
      <c r="R506" s="495" t="s">
        <v>12</v>
      </c>
      <c r="S506" s="495" t="s">
        <v>12</v>
      </c>
      <c r="T506" s="495" t="s">
        <v>12</v>
      </c>
      <c r="U506" s="495" t="s">
        <v>12</v>
      </c>
      <c r="V506" s="495" t="s">
        <v>12</v>
      </c>
      <c r="W506" s="495" t="s">
        <v>12</v>
      </c>
      <c r="X506" s="495" t="s">
        <v>12</v>
      </c>
      <c r="Y506" s="495" t="s">
        <v>12</v>
      </c>
      <c r="Z506" s="495" t="s">
        <v>12</v>
      </c>
      <c r="AA506" s="495" t="s">
        <v>12</v>
      </c>
      <c r="AB506" s="495" t="s">
        <v>12</v>
      </c>
      <c r="AC506" s="495" t="s">
        <v>12</v>
      </c>
      <c r="AD506" s="495" t="s">
        <v>12</v>
      </c>
      <c r="AE506" s="495" t="s">
        <v>12</v>
      </c>
      <c r="AF506" s="495" t="s">
        <v>12</v>
      </c>
      <c r="AG506" s="495" t="s">
        <v>12</v>
      </c>
      <c r="AH506" s="495" t="s">
        <v>12</v>
      </c>
      <c r="AI506" s="495" t="s">
        <v>12</v>
      </c>
      <c r="AJ506" s="495" t="s">
        <v>12</v>
      </c>
      <c r="AK506" s="495" t="s">
        <v>12</v>
      </c>
      <c r="AL506" s="495" t="s">
        <v>12</v>
      </c>
      <c r="AM506" s="495" t="s">
        <v>12</v>
      </c>
      <c r="AN506" s="495" t="s">
        <v>12</v>
      </c>
      <c r="AO506" s="495" t="s">
        <v>12</v>
      </c>
      <c r="AP506" s="495" t="s">
        <v>12</v>
      </c>
      <c r="AQ506" s="495" t="s">
        <v>12</v>
      </c>
      <c r="AR506" s="495" t="s">
        <v>12</v>
      </c>
      <c r="AS506" s="495" t="s">
        <v>12</v>
      </c>
      <c r="AT506" s="495" t="s">
        <v>12</v>
      </c>
      <c r="AU506" s="495" t="s">
        <v>12</v>
      </c>
      <c r="AV506" s="495" t="s">
        <v>12</v>
      </c>
      <c r="AW506" s="495" t="s">
        <v>12</v>
      </c>
      <c r="AX506" s="495" t="s">
        <v>12</v>
      </c>
      <c r="AY506" s="495" t="s">
        <v>12</v>
      </c>
      <c r="AZ506" s="495" t="s">
        <v>12</v>
      </c>
      <c r="BA506" s="495" t="s">
        <v>12</v>
      </c>
      <c r="BB506" s="495" t="s">
        <v>12</v>
      </c>
      <c r="BC506" s="495" t="s">
        <v>12</v>
      </c>
      <c r="BD506" s="495" t="s">
        <v>12</v>
      </c>
      <c r="BE506" s="495" t="s">
        <v>12</v>
      </c>
      <c r="BF506" s="495" t="s">
        <v>12</v>
      </c>
      <c r="BG506" s="495" t="s">
        <v>12</v>
      </c>
      <c r="BH506" s="495" t="s">
        <v>12</v>
      </c>
      <c r="BI506" s="495" t="s">
        <v>12</v>
      </c>
      <c r="BJ506" s="495" t="s">
        <v>12</v>
      </c>
      <c r="BK506" s="495" t="s">
        <v>12</v>
      </c>
      <c r="BL506" s="495" t="s">
        <v>12</v>
      </c>
      <c r="BM506" s="495" t="s">
        <v>12</v>
      </c>
      <c r="BN506" s="495" t="s">
        <v>12</v>
      </c>
      <c r="BO506" s="495" t="s">
        <v>12</v>
      </c>
      <c r="BP506" s="495" t="s">
        <v>12</v>
      </c>
      <c r="BQ506" s="495" t="s">
        <v>12</v>
      </c>
      <c r="BR506" s="495" t="s">
        <v>12</v>
      </c>
      <c r="BS506" s="495" t="s">
        <v>12</v>
      </c>
      <c r="BT506" s="495" t="s">
        <v>12</v>
      </c>
      <c r="BU506" s="495" t="s">
        <v>12</v>
      </c>
      <c r="BV506" s="495" t="s">
        <v>12</v>
      </c>
      <c r="BW506" s="495" t="s">
        <v>12</v>
      </c>
      <c r="BX506" s="495" t="s">
        <v>12</v>
      </c>
      <c r="BY506" s="495" t="s">
        <v>12</v>
      </c>
      <c r="BZ506" s="495" t="s">
        <v>12</v>
      </c>
      <c r="CA506" s="495" t="s">
        <v>12</v>
      </c>
      <c r="CB506" s="495" t="s">
        <v>12</v>
      </c>
      <c r="CC506" s="495" t="s">
        <v>12</v>
      </c>
      <c r="CD506" s="495" t="s">
        <v>12</v>
      </c>
      <c r="CE506" s="495" t="s">
        <v>12</v>
      </c>
      <c r="CF506" s="495" t="s">
        <v>12</v>
      </c>
      <c r="CG506" s="495" t="s">
        <v>12</v>
      </c>
      <c r="CH506" s="495" t="s">
        <v>12</v>
      </c>
      <c r="CI506" s="495" t="s">
        <v>12</v>
      </c>
      <c r="CJ506" s="495" t="s">
        <v>12</v>
      </c>
      <c r="CK506" s="495" t="s">
        <v>12</v>
      </c>
      <c r="CL506" s="495" t="s">
        <v>12</v>
      </c>
      <c r="CM506" s="495" t="s">
        <v>12</v>
      </c>
      <c r="CN506" s="495" t="s">
        <v>12</v>
      </c>
      <c r="CO506" s="495" t="s">
        <v>12</v>
      </c>
      <c r="CP506" s="495" t="s">
        <v>12</v>
      </c>
      <c r="CQ506" s="495" t="s">
        <v>12</v>
      </c>
      <c r="CR506" s="495" t="s">
        <v>12</v>
      </c>
      <c r="CS506" s="495" t="s">
        <v>12</v>
      </c>
      <c r="CT506" s="495" t="s">
        <v>12</v>
      </c>
      <c r="CU506" s="495" t="s">
        <v>12</v>
      </c>
      <c r="CV506" s="495" t="s">
        <v>12</v>
      </c>
      <c r="CW506" s="495" t="s">
        <v>12</v>
      </c>
      <c r="CX506" s="495" t="s">
        <v>12</v>
      </c>
      <c r="CY506" s="495" t="s">
        <v>12</v>
      </c>
      <c r="CZ506" s="495" t="s">
        <v>12</v>
      </c>
      <c r="DA506" s="495" t="s">
        <v>12</v>
      </c>
      <c r="DB506" s="495" t="s">
        <v>12</v>
      </c>
      <c r="DC506" s="495" t="s">
        <v>12</v>
      </c>
      <c r="DD506" s="495" t="s">
        <v>12</v>
      </c>
      <c r="DE506" s="495" t="s">
        <v>12</v>
      </c>
      <c r="DF506" s="495" t="s">
        <v>12</v>
      </c>
      <c r="DG506" s="495" t="s">
        <v>12</v>
      </c>
      <c r="DH506" s="495" t="s">
        <v>12</v>
      </c>
      <c r="DI506" s="495" t="s">
        <v>12</v>
      </c>
      <c r="DJ506" s="495" t="s">
        <v>12</v>
      </c>
      <c r="DK506" s="495" t="s">
        <v>12</v>
      </c>
      <c r="DL506" s="495" t="s">
        <v>12</v>
      </c>
      <c r="DM506" s="495" t="s">
        <v>12</v>
      </c>
      <c r="DN506" s="495" t="s">
        <v>12</v>
      </c>
      <c r="DO506" s="495" t="s">
        <v>12</v>
      </c>
      <c r="DP506" s="495" t="s">
        <v>12</v>
      </c>
      <c r="DQ506" s="495" t="s">
        <v>12</v>
      </c>
    </row>
    <row r="507" spans="1:121" x14ac:dyDescent="0.25">
      <c r="A507">
        <v>4</v>
      </c>
      <c r="B507" s="495" t="s">
        <v>12</v>
      </c>
      <c r="C507" s="495" t="s">
        <v>12</v>
      </c>
      <c r="D507" s="495" t="s">
        <v>12</v>
      </c>
      <c r="E507" s="495" t="s">
        <v>12</v>
      </c>
      <c r="F507" s="495" t="s">
        <v>12</v>
      </c>
      <c r="G507" s="495" t="s">
        <v>12</v>
      </c>
      <c r="H507" s="495" t="s">
        <v>12</v>
      </c>
      <c r="I507" s="495" t="s">
        <v>12</v>
      </c>
      <c r="J507" s="495" t="s">
        <v>12</v>
      </c>
      <c r="K507" s="495" t="s">
        <v>12</v>
      </c>
      <c r="L507" s="495" t="s">
        <v>12</v>
      </c>
      <c r="M507" s="495" t="s">
        <v>12</v>
      </c>
      <c r="N507" s="495" t="s">
        <v>12</v>
      </c>
      <c r="O507" s="495" t="s">
        <v>12</v>
      </c>
      <c r="P507" s="495" t="s">
        <v>12</v>
      </c>
      <c r="Q507" s="495" t="s">
        <v>12</v>
      </c>
      <c r="R507" s="495" t="s">
        <v>12</v>
      </c>
      <c r="S507" s="495" t="s">
        <v>12</v>
      </c>
      <c r="T507" s="495" t="s">
        <v>12</v>
      </c>
      <c r="U507" s="495" t="s">
        <v>12</v>
      </c>
      <c r="V507" s="495" t="s">
        <v>12</v>
      </c>
      <c r="W507" s="495" t="s">
        <v>12</v>
      </c>
      <c r="X507" s="495" t="s">
        <v>12</v>
      </c>
      <c r="Y507" s="495" t="s">
        <v>12</v>
      </c>
      <c r="Z507" s="495" t="s">
        <v>12</v>
      </c>
      <c r="AA507" s="495" t="s">
        <v>12</v>
      </c>
      <c r="AB507" s="495" t="s">
        <v>12</v>
      </c>
      <c r="AC507" s="495" t="s">
        <v>12</v>
      </c>
      <c r="AD507" s="495" t="s">
        <v>12</v>
      </c>
      <c r="AE507" s="495" t="s">
        <v>12</v>
      </c>
      <c r="AF507" s="495" t="s">
        <v>12</v>
      </c>
      <c r="AG507" s="495" t="s">
        <v>12</v>
      </c>
      <c r="AH507" s="495" t="s">
        <v>12</v>
      </c>
      <c r="AI507" s="495" t="s">
        <v>12</v>
      </c>
      <c r="AJ507" s="495" t="s">
        <v>12</v>
      </c>
      <c r="AK507" s="495" t="s">
        <v>12</v>
      </c>
      <c r="AL507" s="495" t="s">
        <v>12</v>
      </c>
      <c r="AM507" s="495" t="s">
        <v>12</v>
      </c>
      <c r="AN507" s="495" t="s">
        <v>12</v>
      </c>
      <c r="AO507" s="495" t="s">
        <v>12</v>
      </c>
      <c r="AP507" s="495" t="s">
        <v>12</v>
      </c>
      <c r="AQ507" s="495" t="s">
        <v>12</v>
      </c>
      <c r="AR507" s="495" t="s">
        <v>12</v>
      </c>
      <c r="AS507" s="495" t="s">
        <v>12</v>
      </c>
      <c r="AT507" s="495" t="s">
        <v>12</v>
      </c>
      <c r="AU507" s="495" t="s">
        <v>12</v>
      </c>
      <c r="AV507" s="495" t="s">
        <v>12</v>
      </c>
      <c r="AW507" s="495" t="s">
        <v>12</v>
      </c>
      <c r="AX507" s="495" t="s">
        <v>12</v>
      </c>
      <c r="AY507" s="495" t="s">
        <v>12</v>
      </c>
      <c r="AZ507" s="495" t="s">
        <v>12</v>
      </c>
      <c r="BA507" s="495" t="s">
        <v>12</v>
      </c>
      <c r="BB507" s="495" t="s">
        <v>12</v>
      </c>
      <c r="BC507" s="495" t="s">
        <v>12</v>
      </c>
      <c r="BD507" s="495" t="s">
        <v>12</v>
      </c>
      <c r="BE507" s="495" t="s">
        <v>12</v>
      </c>
      <c r="BF507" s="495" t="s">
        <v>12</v>
      </c>
      <c r="BG507" s="495" t="s">
        <v>12</v>
      </c>
      <c r="BH507" s="495" t="s">
        <v>12</v>
      </c>
      <c r="BI507" s="495" t="s">
        <v>12</v>
      </c>
      <c r="BJ507" s="495" t="s">
        <v>12</v>
      </c>
      <c r="BK507" s="495" t="s">
        <v>12</v>
      </c>
      <c r="BL507" s="495" t="s">
        <v>12</v>
      </c>
      <c r="BM507" s="495" t="s">
        <v>12</v>
      </c>
      <c r="BN507" s="495" t="s">
        <v>12</v>
      </c>
      <c r="BO507" s="495" t="s">
        <v>12</v>
      </c>
      <c r="BP507" s="495" t="s">
        <v>12</v>
      </c>
      <c r="BQ507" s="495" t="s">
        <v>12</v>
      </c>
      <c r="BR507" s="495" t="s">
        <v>12</v>
      </c>
      <c r="BS507" s="495" t="s">
        <v>12</v>
      </c>
      <c r="BT507" s="495" t="s">
        <v>12</v>
      </c>
      <c r="BU507" s="495" t="s">
        <v>12</v>
      </c>
      <c r="BV507" s="495" t="s">
        <v>12</v>
      </c>
      <c r="BW507" s="495" t="s">
        <v>12</v>
      </c>
      <c r="BX507" s="495" t="s">
        <v>12</v>
      </c>
      <c r="BY507" s="495" t="s">
        <v>12</v>
      </c>
      <c r="BZ507" s="495" t="s">
        <v>12</v>
      </c>
      <c r="CA507" s="495" t="s">
        <v>12</v>
      </c>
      <c r="CB507" s="495" t="s">
        <v>12</v>
      </c>
      <c r="CC507" s="495" t="s">
        <v>12</v>
      </c>
      <c r="CD507" s="495" t="s">
        <v>12</v>
      </c>
      <c r="CE507" s="495" t="s">
        <v>12</v>
      </c>
      <c r="CF507" s="495" t="s">
        <v>12</v>
      </c>
      <c r="CG507" s="495" t="s">
        <v>12</v>
      </c>
      <c r="CH507" s="495" t="s">
        <v>12</v>
      </c>
      <c r="CI507" s="495" t="s">
        <v>12</v>
      </c>
      <c r="CJ507" s="495" t="s">
        <v>12</v>
      </c>
      <c r="CK507" s="495" t="s">
        <v>12</v>
      </c>
      <c r="CL507" s="495" t="s">
        <v>12</v>
      </c>
      <c r="CM507" s="495" t="s">
        <v>12</v>
      </c>
      <c r="CN507" s="495" t="s">
        <v>12</v>
      </c>
      <c r="CO507" s="495" t="s">
        <v>12</v>
      </c>
      <c r="CP507" s="495" t="s">
        <v>12</v>
      </c>
      <c r="CQ507" s="495" t="s">
        <v>12</v>
      </c>
      <c r="CR507" s="495" t="s">
        <v>12</v>
      </c>
      <c r="CS507" s="495" t="s">
        <v>12</v>
      </c>
      <c r="CT507" s="495" t="s">
        <v>12</v>
      </c>
      <c r="CU507" s="495" t="s">
        <v>12</v>
      </c>
      <c r="CV507" s="495" t="s">
        <v>12</v>
      </c>
      <c r="CW507" s="495" t="s">
        <v>12</v>
      </c>
      <c r="CX507" s="495" t="s">
        <v>12</v>
      </c>
      <c r="CY507" s="495" t="s">
        <v>12</v>
      </c>
      <c r="CZ507" s="495" t="s">
        <v>12</v>
      </c>
      <c r="DA507" s="495" t="s">
        <v>12</v>
      </c>
      <c r="DB507" s="495" t="s">
        <v>12</v>
      </c>
      <c r="DC507" s="495" t="s">
        <v>12</v>
      </c>
      <c r="DD507" s="495" t="s">
        <v>12</v>
      </c>
      <c r="DE507" s="495" t="s">
        <v>12</v>
      </c>
      <c r="DF507" s="495" t="s">
        <v>12</v>
      </c>
      <c r="DG507" s="495" t="s">
        <v>12</v>
      </c>
      <c r="DH507" s="495" t="s">
        <v>12</v>
      </c>
      <c r="DI507" s="495" t="s">
        <v>12</v>
      </c>
      <c r="DJ507" s="495" t="s">
        <v>12</v>
      </c>
      <c r="DK507" s="495" t="s">
        <v>12</v>
      </c>
      <c r="DL507" s="495" t="s">
        <v>12</v>
      </c>
      <c r="DM507" s="495" t="s">
        <v>12</v>
      </c>
      <c r="DN507" s="495" t="s">
        <v>12</v>
      </c>
      <c r="DO507" s="495" t="s">
        <v>12</v>
      </c>
      <c r="DP507" s="495" t="s">
        <v>12</v>
      </c>
      <c r="DQ507" s="495" t="s">
        <v>12</v>
      </c>
    </row>
    <row r="508" spans="1:121" x14ac:dyDescent="0.25">
      <c r="A508">
        <v>5</v>
      </c>
      <c r="B508" s="495" t="s">
        <v>12</v>
      </c>
      <c r="C508" s="495" t="s">
        <v>12</v>
      </c>
      <c r="D508" s="495" t="s">
        <v>12</v>
      </c>
      <c r="E508" s="495" t="s">
        <v>12</v>
      </c>
      <c r="F508" s="495" t="s">
        <v>12</v>
      </c>
      <c r="G508" s="495" t="s">
        <v>12</v>
      </c>
      <c r="H508" s="495" t="s">
        <v>12</v>
      </c>
      <c r="I508" s="495" t="s">
        <v>12</v>
      </c>
      <c r="J508" s="495" t="s">
        <v>12</v>
      </c>
      <c r="K508" s="495" t="s">
        <v>12</v>
      </c>
      <c r="L508" s="495" t="s">
        <v>12</v>
      </c>
      <c r="M508" s="495" t="s">
        <v>12</v>
      </c>
      <c r="N508" s="495" t="s">
        <v>12</v>
      </c>
      <c r="O508" s="495" t="s">
        <v>12</v>
      </c>
      <c r="P508" s="495" t="s">
        <v>12</v>
      </c>
      <c r="Q508" s="495" t="s">
        <v>12</v>
      </c>
      <c r="R508" s="495" t="s">
        <v>12</v>
      </c>
      <c r="S508" s="495" t="s">
        <v>12</v>
      </c>
      <c r="T508" s="495" t="s">
        <v>12</v>
      </c>
      <c r="U508" s="495" t="s">
        <v>12</v>
      </c>
      <c r="V508" s="495" t="s">
        <v>12</v>
      </c>
      <c r="W508" s="495" t="s">
        <v>12</v>
      </c>
      <c r="X508" s="495" t="s">
        <v>12</v>
      </c>
      <c r="Y508" s="495" t="s">
        <v>12</v>
      </c>
      <c r="Z508" s="495" t="s">
        <v>12</v>
      </c>
      <c r="AA508" s="495" t="s">
        <v>12</v>
      </c>
      <c r="AB508" s="495" t="s">
        <v>12</v>
      </c>
      <c r="AC508" s="495" t="s">
        <v>12</v>
      </c>
      <c r="AD508" s="495" t="s">
        <v>12</v>
      </c>
      <c r="AE508" s="495" t="s">
        <v>12</v>
      </c>
      <c r="AF508" s="495" t="s">
        <v>12</v>
      </c>
      <c r="AG508" s="495" t="s">
        <v>12</v>
      </c>
      <c r="AH508" s="495" t="s">
        <v>12</v>
      </c>
      <c r="AI508" s="495" t="s">
        <v>12</v>
      </c>
      <c r="AJ508" s="495" t="s">
        <v>12</v>
      </c>
      <c r="AK508" s="495" t="s">
        <v>12</v>
      </c>
      <c r="AL508" s="495" t="s">
        <v>12</v>
      </c>
      <c r="AM508" s="495" t="s">
        <v>12</v>
      </c>
      <c r="AN508" s="495" t="s">
        <v>12</v>
      </c>
      <c r="AO508" s="495" t="s">
        <v>12</v>
      </c>
      <c r="AP508" s="495" t="s">
        <v>12</v>
      </c>
      <c r="AQ508" s="495" t="s">
        <v>12</v>
      </c>
      <c r="AR508" s="495" t="s">
        <v>12</v>
      </c>
      <c r="AS508" s="495" t="s">
        <v>12</v>
      </c>
      <c r="AT508" s="495" t="s">
        <v>12</v>
      </c>
      <c r="AU508" s="495" t="s">
        <v>12</v>
      </c>
      <c r="AV508" s="495" t="s">
        <v>12</v>
      </c>
      <c r="AW508" s="495" t="s">
        <v>12</v>
      </c>
      <c r="AX508" s="495" t="s">
        <v>12</v>
      </c>
      <c r="AY508" s="495" t="s">
        <v>12</v>
      </c>
      <c r="AZ508" s="495" t="s">
        <v>12</v>
      </c>
      <c r="BA508" s="495" t="s">
        <v>12</v>
      </c>
      <c r="BB508" s="495" t="s">
        <v>12</v>
      </c>
      <c r="BC508" s="495" t="s">
        <v>12</v>
      </c>
      <c r="BD508" s="495" t="s">
        <v>12</v>
      </c>
      <c r="BE508" s="495" t="s">
        <v>12</v>
      </c>
      <c r="BF508" s="495" t="s">
        <v>12</v>
      </c>
      <c r="BG508" s="495" t="s">
        <v>12</v>
      </c>
      <c r="BH508" s="495" t="s">
        <v>12</v>
      </c>
      <c r="BI508" s="495" t="s">
        <v>12</v>
      </c>
      <c r="BJ508" s="495" t="s">
        <v>12</v>
      </c>
      <c r="BK508" s="495" t="s">
        <v>12</v>
      </c>
      <c r="BL508" s="495" t="s">
        <v>12</v>
      </c>
      <c r="BM508" s="495" t="s">
        <v>12</v>
      </c>
      <c r="BN508" s="495" t="s">
        <v>12</v>
      </c>
      <c r="BO508" s="495" t="s">
        <v>12</v>
      </c>
      <c r="BP508" s="495" t="s">
        <v>12</v>
      </c>
      <c r="BQ508" s="495" t="s">
        <v>12</v>
      </c>
      <c r="BR508" s="495" t="s">
        <v>12</v>
      </c>
      <c r="BS508" s="495" t="s">
        <v>12</v>
      </c>
      <c r="BT508" s="495" t="s">
        <v>12</v>
      </c>
      <c r="BU508" s="495" t="s">
        <v>12</v>
      </c>
      <c r="BV508" s="495" t="s">
        <v>12</v>
      </c>
      <c r="BW508" s="495" t="s">
        <v>12</v>
      </c>
      <c r="BX508" s="495" t="s">
        <v>12</v>
      </c>
      <c r="BY508" s="495" t="s">
        <v>12</v>
      </c>
      <c r="BZ508" s="495" t="s">
        <v>12</v>
      </c>
      <c r="CA508" s="495" t="s">
        <v>12</v>
      </c>
      <c r="CB508" s="495" t="s">
        <v>12</v>
      </c>
      <c r="CC508" s="495" t="s">
        <v>12</v>
      </c>
      <c r="CD508" s="495" t="s">
        <v>12</v>
      </c>
      <c r="CE508" s="495" t="s">
        <v>12</v>
      </c>
      <c r="CF508" s="495" t="s">
        <v>12</v>
      </c>
      <c r="CG508" s="495" t="s">
        <v>12</v>
      </c>
      <c r="CH508" s="495" t="s">
        <v>12</v>
      </c>
      <c r="CI508" s="495" t="s">
        <v>12</v>
      </c>
      <c r="CJ508" s="495" t="s">
        <v>12</v>
      </c>
      <c r="CK508" s="495" t="s">
        <v>12</v>
      </c>
      <c r="CL508" s="495" t="s">
        <v>12</v>
      </c>
      <c r="CM508" s="495" t="s">
        <v>12</v>
      </c>
      <c r="CN508" s="495" t="s">
        <v>12</v>
      </c>
      <c r="CO508" s="495" t="s">
        <v>12</v>
      </c>
      <c r="CP508" s="495" t="s">
        <v>12</v>
      </c>
      <c r="CQ508" s="495" t="s">
        <v>12</v>
      </c>
      <c r="CR508" s="495" t="s">
        <v>12</v>
      </c>
      <c r="CS508" s="495" t="s">
        <v>12</v>
      </c>
      <c r="CT508" s="495" t="s">
        <v>12</v>
      </c>
      <c r="CU508" s="495" t="s">
        <v>12</v>
      </c>
      <c r="CV508" s="495" t="s">
        <v>12</v>
      </c>
      <c r="CW508" s="495" t="s">
        <v>12</v>
      </c>
      <c r="CX508" s="495" t="s">
        <v>12</v>
      </c>
      <c r="CY508" s="495" t="s">
        <v>12</v>
      </c>
      <c r="CZ508" s="495" t="s">
        <v>12</v>
      </c>
      <c r="DA508" s="495" t="s">
        <v>12</v>
      </c>
      <c r="DB508" s="495" t="s">
        <v>12</v>
      </c>
      <c r="DC508" s="495" t="s">
        <v>12</v>
      </c>
      <c r="DD508" s="495" t="s">
        <v>12</v>
      </c>
      <c r="DE508" s="495" t="s">
        <v>12</v>
      </c>
      <c r="DF508" s="495" t="s">
        <v>12</v>
      </c>
      <c r="DG508" s="495" t="s">
        <v>12</v>
      </c>
      <c r="DH508" s="495" t="s">
        <v>12</v>
      </c>
      <c r="DI508" s="495" t="s">
        <v>12</v>
      </c>
      <c r="DJ508" s="495" t="s">
        <v>12</v>
      </c>
      <c r="DK508" s="495" t="s">
        <v>12</v>
      </c>
      <c r="DL508" s="495" t="s">
        <v>12</v>
      </c>
      <c r="DM508" s="495" t="s">
        <v>12</v>
      </c>
      <c r="DN508" s="495" t="s">
        <v>12</v>
      </c>
      <c r="DO508" s="495" t="s">
        <v>12</v>
      </c>
      <c r="DP508" s="495" t="s">
        <v>12</v>
      </c>
      <c r="DQ508" s="495" t="s">
        <v>12</v>
      </c>
    </row>
    <row r="509" spans="1:121" x14ac:dyDescent="0.25">
      <c r="A509">
        <v>6</v>
      </c>
      <c r="B509" s="495" t="s">
        <v>12</v>
      </c>
      <c r="C509" s="495" t="s">
        <v>12</v>
      </c>
      <c r="D509" s="495" t="s">
        <v>12</v>
      </c>
      <c r="E509" s="495" t="s">
        <v>12</v>
      </c>
      <c r="F509" s="495" t="s">
        <v>12</v>
      </c>
      <c r="G509" s="495" t="s">
        <v>12</v>
      </c>
      <c r="H509" s="495" t="s">
        <v>12</v>
      </c>
      <c r="I509" s="495" t="s">
        <v>12</v>
      </c>
      <c r="J509" s="495" t="s">
        <v>12</v>
      </c>
      <c r="K509" s="495" t="s">
        <v>12</v>
      </c>
      <c r="L509" s="495" t="s">
        <v>12</v>
      </c>
      <c r="M509" s="495" t="s">
        <v>12</v>
      </c>
      <c r="N509" s="495" t="s">
        <v>12</v>
      </c>
      <c r="O509" s="495" t="s">
        <v>12</v>
      </c>
      <c r="P509" s="495" t="s">
        <v>12</v>
      </c>
      <c r="Q509" s="495" t="s">
        <v>12</v>
      </c>
      <c r="R509" s="495" t="s">
        <v>12</v>
      </c>
      <c r="S509" s="495" t="s">
        <v>12</v>
      </c>
      <c r="T509" s="495" t="s">
        <v>12</v>
      </c>
      <c r="U509" s="495" t="s">
        <v>12</v>
      </c>
      <c r="V509" s="495" t="s">
        <v>12</v>
      </c>
      <c r="W509" s="495" t="s">
        <v>12</v>
      </c>
      <c r="X509" s="495" t="s">
        <v>12</v>
      </c>
      <c r="Y509" s="495" t="s">
        <v>12</v>
      </c>
      <c r="Z509" s="495" t="s">
        <v>12</v>
      </c>
      <c r="AA509" s="495" t="s">
        <v>12</v>
      </c>
      <c r="AB509" s="495" t="s">
        <v>12</v>
      </c>
      <c r="AC509" s="495" t="s">
        <v>12</v>
      </c>
      <c r="AD509" s="495" t="s">
        <v>12</v>
      </c>
      <c r="AE509" s="495" t="s">
        <v>12</v>
      </c>
      <c r="AF509" s="495" t="s">
        <v>12</v>
      </c>
      <c r="AG509" s="495" t="s">
        <v>12</v>
      </c>
      <c r="AH509" s="495" t="s">
        <v>12</v>
      </c>
      <c r="AI509" s="495" t="s">
        <v>12</v>
      </c>
      <c r="AJ509" s="495" t="s">
        <v>12</v>
      </c>
      <c r="AK509" s="495" t="s">
        <v>12</v>
      </c>
      <c r="AL509" s="495" t="s">
        <v>12</v>
      </c>
      <c r="AM509" s="495" t="s">
        <v>12</v>
      </c>
      <c r="AN509" s="495" t="s">
        <v>12</v>
      </c>
      <c r="AO509" s="495" t="s">
        <v>12</v>
      </c>
      <c r="AP509" s="495" t="s">
        <v>12</v>
      </c>
      <c r="AQ509" s="495" t="s">
        <v>12</v>
      </c>
      <c r="AR509" s="495" t="s">
        <v>12</v>
      </c>
      <c r="AS509" s="495" t="s">
        <v>12</v>
      </c>
      <c r="AT509" s="495" t="s">
        <v>12</v>
      </c>
      <c r="AU509" s="495" t="s">
        <v>12</v>
      </c>
      <c r="AV509" s="495" t="s">
        <v>12</v>
      </c>
      <c r="AW509" s="495" t="s">
        <v>12</v>
      </c>
      <c r="AX509" s="495" t="s">
        <v>12</v>
      </c>
      <c r="AY509" s="495" t="s">
        <v>12</v>
      </c>
      <c r="AZ509" s="495" t="s">
        <v>12</v>
      </c>
      <c r="BA509" s="495" t="s">
        <v>12</v>
      </c>
      <c r="BB509" s="495" t="s">
        <v>12</v>
      </c>
      <c r="BC509" s="495" t="s">
        <v>12</v>
      </c>
      <c r="BD509" s="495" t="s">
        <v>12</v>
      </c>
      <c r="BE509" s="495" t="s">
        <v>12</v>
      </c>
      <c r="BF509" s="495" t="s">
        <v>12</v>
      </c>
      <c r="BG509" s="495" t="s">
        <v>12</v>
      </c>
      <c r="BH509" s="495" t="s">
        <v>12</v>
      </c>
      <c r="BI509" s="495" t="s">
        <v>12</v>
      </c>
      <c r="BJ509" s="495" t="s">
        <v>12</v>
      </c>
      <c r="BK509" s="495" t="s">
        <v>12</v>
      </c>
      <c r="BL509" s="495" t="s">
        <v>12</v>
      </c>
      <c r="BM509" s="495" t="s">
        <v>12</v>
      </c>
      <c r="BN509" s="495" t="s">
        <v>12</v>
      </c>
      <c r="BO509" s="495" t="s">
        <v>12</v>
      </c>
      <c r="BP509" s="495" t="s">
        <v>12</v>
      </c>
      <c r="BQ509" s="495" t="s">
        <v>12</v>
      </c>
      <c r="BR509" s="495" t="s">
        <v>12</v>
      </c>
      <c r="BS509" s="495" t="s">
        <v>12</v>
      </c>
      <c r="BT509" s="495" t="s">
        <v>12</v>
      </c>
      <c r="BU509" s="495" t="s">
        <v>12</v>
      </c>
      <c r="BV509" s="495" t="s">
        <v>12</v>
      </c>
      <c r="BW509" s="495" t="s">
        <v>12</v>
      </c>
      <c r="BX509" s="495" t="s">
        <v>12</v>
      </c>
      <c r="BY509" s="495" t="s">
        <v>12</v>
      </c>
      <c r="BZ509" s="495" t="s">
        <v>12</v>
      </c>
      <c r="CA509" s="495" t="s">
        <v>12</v>
      </c>
      <c r="CB509" s="495" t="s">
        <v>12</v>
      </c>
      <c r="CC509" s="495" t="s">
        <v>12</v>
      </c>
      <c r="CD509" s="495" t="s">
        <v>12</v>
      </c>
      <c r="CE509" s="495" t="s">
        <v>12</v>
      </c>
      <c r="CF509" s="495" t="s">
        <v>12</v>
      </c>
      <c r="CG509" s="495" t="s">
        <v>12</v>
      </c>
      <c r="CH509" s="495" t="s">
        <v>12</v>
      </c>
      <c r="CI509" s="495" t="s">
        <v>12</v>
      </c>
      <c r="CJ509" s="495" t="s">
        <v>12</v>
      </c>
      <c r="CK509" s="495" t="s">
        <v>12</v>
      </c>
      <c r="CL509" s="495" t="s">
        <v>12</v>
      </c>
      <c r="CM509" s="495" t="s">
        <v>12</v>
      </c>
      <c r="CN509" s="495" t="s">
        <v>12</v>
      </c>
      <c r="CO509" s="495" t="s">
        <v>12</v>
      </c>
      <c r="CP509" s="495" t="s">
        <v>12</v>
      </c>
      <c r="CQ509" s="495" t="s">
        <v>12</v>
      </c>
      <c r="CR509" s="495" t="s">
        <v>12</v>
      </c>
      <c r="CS509" s="495" t="s">
        <v>12</v>
      </c>
      <c r="CT509" s="495" t="s">
        <v>12</v>
      </c>
      <c r="CU509" s="495" t="s">
        <v>12</v>
      </c>
      <c r="CV509" s="495" t="s">
        <v>12</v>
      </c>
      <c r="CW509" s="495" t="s">
        <v>12</v>
      </c>
      <c r="CX509" s="495" t="s">
        <v>12</v>
      </c>
      <c r="CY509" s="495" t="s">
        <v>12</v>
      </c>
      <c r="CZ509" s="495" t="s">
        <v>12</v>
      </c>
      <c r="DA509" s="495" t="s">
        <v>12</v>
      </c>
      <c r="DB509" s="495" t="s">
        <v>12</v>
      </c>
      <c r="DC509" s="495" t="s">
        <v>12</v>
      </c>
      <c r="DD509" s="495" t="s">
        <v>12</v>
      </c>
      <c r="DE509" s="495" t="s">
        <v>12</v>
      </c>
      <c r="DF509" s="495" t="s">
        <v>12</v>
      </c>
      <c r="DG509" s="495" t="s">
        <v>12</v>
      </c>
      <c r="DH509" s="495" t="s">
        <v>12</v>
      </c>
      <c r="DI509" s="495" t="s">
        <v>12</v>
      </c>
      <c r="DJ509" s="495" t="s">
        <v>12</v>
      </c>
      <c r="DK509" s="495" t="s">
        <v>12</v>
      </c>
      <c r="DL509" s="495" t="s">
        <v>12</v>
      </c>
      <c r="DM509" s="495" t="s">
        <v>12</v>
      </c>
      <c r="DN509" s="495" t="s">
        <v>12</v>
      </c>
      <c r="DO509" s="495" t="s">
        <v>12</v>
      </c>
      <c r="DP509" s="495" t="s">
        <v>12</v>
      </c>
      <c r="DQ509" s="495" t="s">
        <v>12</v>
      </c>
    </row>
    <row r="510" spans="1:121" x14ac:dyDescent="0.25">
      <c r="A510">
        <v>7</v>
      </c>
      <c r="B510" s="495" t="s">
        <v>12</v>
      </c>
      <c r="C510" s="495" t="s">
        <v>12</v>
      </c>
      <c r="D510" s="495" t="s">
        <v>12</v>
      </c>
      <c r="E510" s="495" t="s">
        <v>12</v>
      </c>
      <c r="F510" s="495" t="s">
        <v>12</v>
      </c>
      <c r="G510" s="495" t="s">
        <v>12</v>
      </c>
      <c r="H510" s="495" t="s">
        <v>12</v>
      </c>
      <c r="I510" s="495" t="s">
        <v>12</v>
      </c>
      <c r="J510" s="495" t="s">
        <v>12</v>
      </c>
      <c r="K510" s="495" t="s">
        <v>12</v>
      </c>
      <c r="L510" s="495" t="s">
        <v>12</v>
      </c>
      <c r="M510" s="495" t="s">
        <v>12</v>
      </c>
      <c r="N510" s="495" t="s">
        <v>12</v>
      </c>
      <c r="O510" s="495" t="s">
        <v>12</v>
      </c>
      <c r="P510" s="495" t="s">
        <v>12</v>
      </c>
      <c r="Q510" s="495" t="s">
        <v>12</v>
      </c>
      <c r="R510" s="495" t="s">
        <v>12</v>
      </c>
      <c r="S510" s="495" t="s">
        <v>12</v>
      </c>
      <c r="T510" s="495" t="s">
        <v>12</v>
      </c>
      <c r="U510" s="495" t="s">
        <v>12</v>
      </c>
      <c r="V510" s="495" t="s">
        <v>12</v>
      </c>
      <c r="W510" s="495" t="s">
        <v>12</v>
      </c>
      <c r="X510" s="495" t="s">
        <v>12</v>
      </c>
      <c r="Y510" s="495" t="s">
        <v>12</v>
      </c>
      <c r="Z510" s="495" t="s">
        <v>12</v>
      </c>
      <c r="AA510" s="495" t="s">
        <v>12</v>
      </c>
      <c r="AB510" s="495" t="s">
        <v>12</v>
      </c>
      <c r="AC510" s="495" t="s">
        <v>12</v>
      </c>
      <c r="AD510" s="495" t="s">
        <v>12</v>
      </c>
      <c r="AE510" s="495" t="s">
        <v>12</v>
      </c>
      <c r="AF510" s="495" t="s">
        <v>12</v>
      </c>
      <c r="AG510" s="495" t="s">
        <v>12</v>
      </c>
      <c r="AH510" s="495" t="s">
        <v>12</v>
      </c>
      <c r="AI510" s="495" t="s">
        <v>12</v>
      </c>
      <c r="AJ510" s="495" t="s">
        <v>12</v>
      </c>
      <c r="AK510" s="495" t="s">
        <v>12</v>
      </c>
      <c r="AL510" s="495" t="s">
        <v>12</v>
      </c>
      <c r="AM510" s="495" t="s">
        <v>12</v>
      </c>
      <c r="AN510" s="495" t="s">
        <v>12</v>
      </c>
      <c r="AO510" s="495" t="s">
        <v>12</v>
      </c>
      <c r="AP510" s="495" t="s">
        <v>12</v>
      </c>
      <c r="AQ510" s="495" t="s">
        <v>12</v>
      </c>
      <c r="AR510" s="495" t="s">
        <v>12</v>
      </c>
      <c r="AS510" s="495" t="s">
        <v>12</v>
      </c>
      <c r="AT510" s="495" t="s">
        <v>12</v>
      </c>
      <c r="AU510" s="495" t="s">
        <v>12</v>
      </c>
      <c r="AV510" s="495" t="s">
        <v>12</v>
      </c>
      <c r="AW510" s="495" t="s">
        <v>12</v>
      </c>
      <c r="AX510" s="495" t="s">
        <v>12</v>
      </c>
      <c r="AY510" s="495" t="s">
        <v>12</v>
      </c>
      <c r="AZ510" s="495" t="s">
        <v>12</v>
      </c>
      <c r="BA510" s="495" t="s">
        <v>12</v>
      </c>
      <c r="BB510" s="495" t="s">
        <v>12</v>
      </c>
      <c r="BC510" s="495" t="s">
        <v>12</v>
      </c>
      <c r="BD510" s="495" t="s">
        <v>12</v>
      </c>
      <c r="BE510" s="495" t="s">
        <v>12</v>
      </c>
      <c r="BF510" s="495" t="s">
        <v>12</v>
      </c>
      <c r="BG510" s="495" t="s">
        <v>12</v>
      </c>
      <c r="BH510" s="495" t="s">
        <v>12</v>
      </c>
      <c r="BI510" s="495" t="s">
        <v>12</v>
      </c>
      <c r="BJ510" s="495" t="s">
        <v>12</v>
      </c>
      <c r="BK510" s="495" t="s">
        <v>12</v>
      </c>
      <c r="BL510" s="495" t="s">
        <v>12</v>
      </c>
      <c r="BM510" s="495" t="s">
        <v>12</v>
      </c>
      <c r="BN510" s="495" t="s">
        <v>12</v>
      </c>
      <c r="BO510" s="495" t="s">
        <v>12</v>
      </c>
      <c r="BP510" s="495" t="s">
        <v>12</v>
      </c>
      <c r="BQ510" s="495" t="s">
        <v>12</v>
      </c>
      <c r="BR510" s="495" t="s">
        <v>12</v>
      </c>
      <c r="BS510" s="495" t="s">
        <v>12</v>
      </c>
      <c r="BT510" s="495" t="s">
        <v>12</v>
      </c>
      <c r="BU510" s="495" t="s">
        <v>12</v>
      </c>
      <c r="BV510" s="495" t="s">
        <v>12</v>
      </c>
      <c r="BW510" s="495" t="s">
        <v>12</v>
      </c>
      <c r="BX510" s="495" t="s">
        <v>12</v>
      </c>
      <c r="BY510" s="495" t="s">
        <v>12</v>
      </c>
      <c r="BZ510" s="495" t="s">
        <v>12</v>
      </c>
      <c r="CA510" s="495" t="s">
        <v>12</v>
      </c>
      <c r="CB510" s="495" t="s">
        <v>12</v>
      </c>
      <c r="CC510" s="495" t="s">
        <v>12</v>
      </c>
      <c r="CD510" s="495" t="s">
        <v>12</v>
      </c>
      <c r="CE510" s="495" t="s">
        <v>12</v>
      </c>
      <c r="CF510" s="495" t="s">
        <v>12</v>
      </c>
      <c r="CG510" s="495" t="s">
        <v>12</v>
      </c>
      <c r="CH510" s="495" t="s">
        <v>12</v>
      </c>
      <c r="CI510" s="495" t="s">
        <v>12</v>
      </c>
      <c r="CJ510" s="495" t="s">
        <v>12</v>
      </c>
      <c r="CK510" s="495" t="s">
        <v>12</v>
      </c>
      <c r="CL510" s="495" t="s">
        <v>12</v>
      </c>
      <c r="CM510" s="495" t="s">
        <v>12</v>
      </c>
      <c r="CN510" s="495" t="s">
        <v>12</v>
      </c>
      <c r="CO510" s="495" t="s">
        <v>12</v>
      </c>
      <c r="CP510" s="495" t="s">
        <v>12</v>
      </c>
      <c r="CQ510" s="495" t="s">
        <v>12</v>
      </c>
      <c r="CR510" s="495" t="s">
        <v>12</v>
      </c>
      <c r="CS510" s="495" t="s">
        <v>12</v>
      </c>
      <c r="CT510" s="495" t="s">
        <v>12</v>
      </c>
      <c r="CU510" s="495" t="s">
        <v>12</v>
      </c>
      <c r="CV510" s="495" t="s">
        <v>12</v>
      </c>
      <c r="CW510" s="495" t="s">
        <v>12</v>
      </c>
      <c r="CX510" s="495" t="s">
        <v>12</v>
      </c>
      <c r="CY510" s="495" t="s">
        <v>12</v>
      </c>
      <c r="CZ510" s="495" t="s">
        <v>12</v>
      </c>
      <c r="DA510" s="495" t="s">
        <v>12</v>
      </c>
      <c r="DB510" s="495" t="s">
        <v>12</v>
      </c>
      <c r="DC510" s="495" t="s">
        <v>12</v>
      </c>
      <c r="DD510" s="495" t="s">
        <v>12</v>
      </c>
      <c r="DE510" s="495" t="s">
        <v>12</v>
      </c>
      <c r="DF510" s="495" t="s">
        <v>12</v>
      </c>
      <c r="DG510" s="495" t="s">
        <v>12</v>
      </c>
      <c r="DH510" s="495" t="s">
        <v>12</v>
      </c>
      <c r="DI510" s="495" t="s">
        <v>12</v>
      </c>
      <c r="DJ510" s="495" t="s">
        <v>12</v>
      </c>
      <c r="DK510" s="495" t="s">
        <v>12</v>
      </c>
      <c r="DL510" s="495" t="s">
        <v>12</v>
      </c>
      <c r="DM510" s="495" t="s">
        <v>12</v>
      </c>
      <c r="DN510" s="495" t="s">
        <v>12</v>
      </c>
      <c r="DO510" s="495" t="s">
        <v>12</v>
      </c>
      <c r="DP510" s="495" t="s">
        <v>12</v>
      </c>
      <c r="DQ510" s="495" t="s">
        <v>12</v>
      </c>
    </row>
    <row r="511" spans="1:121" x14ac:dyDescent="0.25">
      <c r="A511">
        <v>8</v>
      </c>
      <c r="B511" s="495" t="s">
        <v>12</v>
      </c>
      <c r="C511" s="495" t="s">
        <v>12</v>
      </c>
      <c r="D511" s="495" t="s">
        <v>12</v>
      </c>
      <c r="E511" s="495" t="s">
        <v>12</v>
      </c>
      <c r="F511" s="495" t="s">
        <v>12</v>
      </c>
      <c r="G511" s="495" t="s">
        <v>12</v>
      </c>
      <c r="H511" s="495" t="s">
        <v>12</v>
      </c>
      <c r="I511" s="495" t="s">
        <v>12</v>
      </c>
      <c r="J511" s="495" t="s">
        <v>12</v>
      </c>
      <c r="K511" s="495" t="s">
        <v>12</v>
      </c>
      <c r="L511" s="495" t="s">
        <v>12</v>
      </c>
      <c r="M511" s="495" t="s">
        <v>12</v>
      </c>
      <c r="N511" s="495" t="s">
        <v>12</v>
      </c>
      <c r="O511" s="495" t="s">
        <v>12</v>
      </c>
      <c r="P511" s="495" t="s">
        <v>12</v>
      </c>
      <c r="Q511" s="495" t="s">
        <v>12</v>
      </c>
      <c r="R511" s="495" t="s">
        <v>12</v>
      </c>
      <c r="S511" s="495" t="s">
        <v>12</v>
      </c>
      <c r="T511" s="495" t="s">
        <v>12</v>
      </c>
      <c r="U511" s="495" t="s">
        <v>12</v>
      </c>
      <c r="V511" s="495" t="s">
        <v>12</v>
      </c>
      <c r="W511" s="495" t="s">
        <v>12</v>
      </c>
      <c r="X511" s="495" t="s">
        <v>12</v>
      </c>
      <c r="Y511" s="495" t="s">
        <v>12</v>
      </c>
      <c r="Z511" s="495" t="s">
        <v>12</v>
      </c>
      <c r="AA511" s="495" t="s">
        <v>12</v>
      </c>
      <c r="AB511" s="495" t="s">
        <v>12</v>
      </c>
      <c r="AC511" s="495" t="s">
        <v>12</v>
      </c>
      <c r="AD511" s="495" t="s">
        <v>12</v>
      </c>
      <c r="AE511" s="495" t="s">
        <v>12</v>
      </c>
      <c r="AF511" s="495" t="s">
        <v>12</v>
      </c>
      <c r="AG511" s="495" t="s">
        <v>12</v>
      </c>
      <c r="AH511" s="495" t="s">
        <v>12</v>
      </c>
      <c r="AI511" s="495" t="s">
        <v>12</v>
      </c>
      <c r="AJ511" s="495" t="s">
        <v>12</v>
      </c>
      <c r="AK511" s="495" t="s">
        <v>12</v>
      </c>
      <c r="AL511" s="495" t="s">
        <v>12</v>
      </c>
      <c r="AM511" s="495" t="s">
        <v>12</v>
      </c>
      <c r="AN511" s="495" t="s">
        <v>12</v>
      </c>
      <c r="AO511" s="495" t="s">
        <v>12</v>
      </c>
      <c r="AP511" s="495" t="s">
        <v>12</v>
      </c>
      <c r="AQ511" s="495" t="s">
        <v>12</v>
      </c>
      <c r="AR511" s="495" t="s">
        <v>12</v>
      </c>
      <c r="AS511" s="495" t="s">
        <v>12</v>
      </c>
      <c r="AT511" s="495" t="s">
        <v>12</v>
      </c>
      <c r="AU511" s="495" t="s">
        <v>12</v>
      </c>
      <c r="AV511" s="495" t="s">
        <v>12</v>
      </c>
      <c r="AW511" s="495" t="s">
        <v>12</v>
      </c>
      <c r="AX511" s="495" t="s">
        <v>12</v>
      </c>
      <c r="AY511" s="495" t="s">
        <v>12</v>
      </c>
      <c r="AZ511" s="495" t="s">
        <v>12</v>
      </c>
      <c r="BA511" s="495" t="s">
        <v>12</v>
      </c>
      <c r="BB511" s="495" t="s">
        <v>12</v>
      </c>
      <c r="BC511" s="495" t="s">
        <v>12</v>
      </c>
      <c r="BD511" s="495" t="s">
        <v>12</v>
      </c>
      <c r="BE511" s="495" t="s">
        <v>12</v>
      </c>
      <c r="BF511" s="495" t="s">
        <v>12</v>
      </c>
      <c r="BG511" s="495" t="s">
        <v>12</v>
      </c>
      <c r="BH511" s="495" t="s">
        <v>12</v>
      </c>
      <c r="BI511" s="495" t="s">
        <v>12</v>
      </c>
      <c r="BJ511" s="495" t="s">
        <v>12</v>
      </c>
      <c r="BK511" s="495" t="s">
        <v>12</v>
      </c>
      <c r="BL511" s="495" t="s">
        <v>12</v>
      </c>
      <c r="BM511" s="495" t="s">
        <v>12</v>
      </c>
      <c r="BN511" s="495" t="s">
        <v>12</v>
      </c>
      <c r="BO511" s="495" t="s">
        <v>12</v>
      </c>
      <c r="BP511" s="495" t="s">
        <v>12</v>
      </c>
      <c r="BQ511" s="495" t="s">
        <v>12</v>
      </c>
      <c r="BR511" s="495" t="s">
        <v>12</v>
      </c>
      <c r="BS511" s="495" t="s">
        <v>12</v>
      </c>
      <c r="BT511" s="495" t="s">
        <v>12</v>
      </c>
      <c r="BU511" s="495" t="s">
        <v>12</v>
      </c>
      <c r="BV511" s="495" t="s">
        <v>12</v>
      </c>
      <c r="BW511" s="495" t="s">
        <v>12</v>
      </c>
      <c r="BX511" s="495" t="s">
        <v>12</v>
      </c>
      <c r="BY511" s="495" t="s">
        <v>12</v>
      </c>
      <c r="BZ511" s="495" t="s">
        <v>12</v>
      </c>
      <c r="CA511" s="495" t="s">
        <v>12</v>
      </c>
      <c r="CB511" s="495" t="s">
        <v>12</v>
      </c>
      <c r="CC511" s="495" t="s">
        <v>12</v>
      </c>
      <c r="CD511" s="495" t="s">
        <v>12</v>
      </c>
      <c r="CE511" s="495" t="s">
        <v>12</v>
      </c>
      <c r="CF511" s="495" t="s">
        <v>12</v>
      </c>
      <c r="CG511" s="495" t="s">
        <v>12</v>
      </c>
      <c r="CH511" s="495" t="s">
        <v>12</v>
      </c>
      <c r="CI511" s="495" t="s">
        <v>12</v>
      </c>
      <c r="CJ511" s="495" t="s">
        <v>12</v>
      </c>
      <c r="CK511" s="495" t="s">
        <v>12</v>
      </c>
      <c r="CL511" s="495" t="s">
        <v>12</v>
      </c>
      <c r="CM511" s="495" t="s">
        <v>12</v>
      </c>
      <c r="CN511" s="495" t="s">
        <v>12</v>
      </c>
      <c r="CO511" s="495" t="s">
        <v>12</v>
      </c>
      <c r="CP511" s="495" t="s">
        <v>12</v>
      </c>
      <c r="CQ511" s="495" t="s">
        <v>12</v>
      </c>
      <c r="CR511" s="495" t="s">
        <v>12</v>
      </c>
      <c r="CS511" s="495" t="s">
        <v>12</v>
      </c>
      <c r="CT511" s="495" t="s">
        <v>12</v>
      </c>
      <c r="CU511" s="495" t="s">
        <v>12</v>
      </c>
      <c r="CV511" s="495" t="s">
        <v>12</v>
      </c>
      <c r="CW511" s="495" t="s">
        <v>12</v>
      </c>
      <c r="CX511" s="495" t="s">
        <v>12</v>
      </c>
      <c r="CY511" s="495" t="s">
        <v>12</v>
      </c>
      <c r="CZ511" s="495" t="s">
        <v>12</v>
      </c>
      <c r="DA511" s="495" t="s">
        <v>12</v>
      </c>
      <c r="DB511" s="495" t="s">
        <v>12</v>
      </c>
      <c r="DC511" s="495" t="s">
        <v>12</v>
      </c>
      <c r="DD511" s="495" t="s">
        <v>12</v>
      </c>
      <c r="DE511" s="495" t="s">
        <v>12</v>
      </c>
      <c r="DF511" s="495" t="s">
        <v>12</v>
      </c>
      <c r="DG511" s="495" t="s">
        <v>12</v>
      </c>
      <c r="DH511" s="495" t="s">
        <v>12</v>
      </c>
      <c r="DI511" s="495" t="s">
        <v>12</v>
      </c>
      <c r="DJ511" s="495" t="s">
        <v>12</v>
      </c>
      <c r="DK511" s="495" t="s">
        <v>12</v>
      </c>
      <c r="DL511" s="495" t="s">
        <v>12</v>
      </c>
      <c r="DM511" s="495" t="s">
        <v>12</v>
      </c>
      <c r="DN511" s="495" t="s">
        <v>12</v>
      </c>
      <c r="DO511" s="495" t="s">
        <v>12</v>
      </c>
      <c r="DP511" s="495" t="s">
        <v>12</v>
      </c>
      <c r="DQ511" s="495" t="s">
        <v>12</v>
      </c>
    </row>
    <row r="512" spans="1:121" x14ac:dyDescent="0.25">
      <c r="A512">
        <v>9</v>
      </c>
      <c r="B512" s="495" t="s">
        <v>12</v>
      </c>
      <c r="C512" s="495" t="s">
        <v>12</v>
      </c>
      <c r="D512" s="495" t="s">
        <v>12</v>
      </c>
      <c r="E512" s="495" t="s">
        <v>12</v>
      </c>
      <c r="F512" s="495" t="s">
        <v>12</v>
      </c>
      <c r="G512" s="495" t="s">
        <v>12</v>
      </c>
      <c r="H512" s="495" t="s">
        <v>12</v>
      </c>
      <c r="I512" s="495" t="s">
        <v>12</v>
      </c>
      <c r="J512" s="495" t="s">
        <v>12</v>
      </c>
      <c r="K512" s="495" t="s">
        <v>12</v>
      </c>
      <c r="L512" s="495" t="s">
        <v>12</v>
      </c>
      <c r="M512" s="495" t="s">
        <v>12</v>
      </c>
      <c r="N512" s="495" t="s">
        <v>12</v>
      </c>
      <c r="O512" s="495" t="s">
        <v>12</v>
      </c>
      <c r="P512" s="495" t="s">
        <v>12</v>
      </c>
      <c r="Q512" s="495" t="s">
        <v>12</v>
      </c>
      <c r="R512" s="495" t="s">
        <v>12</v>
      </c>
      <c r="S512" s="495" t="s">
        <v>12</v>
      </c>
      <c r="T512" s="495" t="s">
        <v>12</v>
      </c>
      <c r="U512" s="495" t="s">
        <v>12</v>
      </c>
      <c r="V512" s="495" t="s">
        <v>12</v>
      </c>
      <c r="W512" s="495" t="s">
        <v>12</v>
      </c>
      <c r="X512" s="495" t="s">
        <v>12</v>
      </c>
      <c r="Y512" s="495" t="s">
        <v>12</v>
      </c>
      <c r="Z512" s="495" t="s">
        <v>12</v>
      </c>
      <c r="AA512" s="495" t="s">
        <v>12</v>
      </c>
      <c r="AB512" s="495" t="s">
        <v>12</v>
      </c>
      <c r="AC512" s="495" t="s">
        <v>12</v>
      </c>
      <c r="AD512" s="495" t="s">
        <v>12</v>
      </c>
      <c r="AE512" s="495" t="s">
        <v>12</v>
      </c>
      <c r="AF512" s="495" t="s">
        <v>12</v>
      </c>
      <c r="AG512" s="495" t="s">
        <v>12</v>
      </c>
      <c r="AH512" s="495" t="s">
        <v>12</v>
      </c>
      <c r="AI512" s="495" t="s">
        <v>12</v>
      </c>
      <c r="AJ512" s="495" t="s">
        <v>12</v>
      </c>
      <c r="AK512" s="495" t="s">
        <v>12</v>
      </c>
      <c r="AL512" s="495" t="s">
        <v>12</v>
      </c>
      <c r="AM512" s="495" t="s">
        <v>12</v>
      </c>
      <c r="AN512" s="495" t="s">
        <v>12</v>
      </c>
      <c r="AO512" s="495" t="s">
        <v>12</v>
      </c>
      <c r="AP512" s="495" t="s">
        <v>12</v>
      </c>
      <c r="AQ512" s="495" t="s">
        <v>12</v>
      </c>
      <c r="AR512" s="495" t="s">
        <v>12</v>
      </c>
      <c r="AS512" s="495" t="s">
        <v>12</v>
      </c>
      <c r="AT512" s="495" t="s">
        <v>12</v>
      </c>
      <c r="AU512" s="495" t="s">
        <v>12</v>
      </c>
      <c r="AV512" s="495" t="s">
        <v>12</v>
      </c>
      <c r="AW512" s="495" t="s">
        <v>12</v>
      </c>
      <c r="AX512" s="495" t="s">
        <v>12</v>
      </c>
      <c r="AY512" s="495" t="s">
        <v>12</v>
      </c>
      <c r="AZ512" s="495" t="s">
        <v>12</v>
      </c>
      <c r="BA512" s="495" t="s">
        <v>12</v>
      </c>
      <c r="BB512" s="495" t="s">
        <v>12</v>
      </c>
      <c r="BC512" s="495" t="s">
        <v>12</v>
      </c>
      <c r="BD512" s="495" t="s">
        <v>12</v>
      </c>
      <c r="BE512" s="495" t="s">
        <v>12</v>
      </c>
      <c r="BF512" s="495" t="s">
        <v>12</v>
      </c>
      <c r="BG512" s="495" t="s">
        <v>12</v>
      </c>
      <c r="BH512" s="495" t="s">
        <v>12</v>
      </c>
      <c r="BI512" s="495" t="s">
        <v>12</v>
      </c>
      <c r="BJ512" s="495" t="s">
        <v>12</v>
      </c>
      <c r="BK512" s="495" t="s">
        <v>12</v>
      </c>
      <c r="BL512" s="495" t="s">
        <v>12</v>
      </c>
      <c r="BM512" s="495" t="s">
        <v>12</v>
      </c>
      <c r="BN512" s="495" t="s">
        <v>12</v>
      </c>
      <c r="BO512" s="495" t="s">
        <v>12</v>
      </c>
      <c r="BP512" s="495" t="s">
        <v>12</v>
      </c>
      <c r="BQ512" s="495" t="s">
        <v>12</v>
      </c>
      <c r="BR512" s="495" t="s">
        <v>12</v>
      </c>
      <c r="BS512" s="495" t="s">
        <v>12</v>
      </c>
      <c r="BT512" s="495" t="s">
        <v>12</v>
      </c>
      <c r="BU512" s="495" t="s">
        <v>12</v>
      </c>
      <c r="BV512" s="495" t="s">
        <v>12</v>
      </c>
      <c r="BW512" s="495" t="s">
        <v>12</v>
      </c>
      <c r="BX512" s="495" t="s">
        <v>12</v>
      </c>
      <c r="BY512" s="495" t="s">
        <v>12</v>
      </c>
      <c r="BZ512" s="495" t="s">
        <v>12</v>
      </c>
      <c r="CA512" s="495" t="s">
        <v>12</v>
      </c>
      <c r="CB512" s="495" t="s">
        <v>12</v>
      </c>
      <c r="CC512" s="495" t="s">
        <v>12</v>
      </c>
      <c r="CD512" s="495" t="s">
        <v>12</v>
      </c>
      <c r="CE512" s="495" t="s">
        <v>12</v>
      </c>
      <c r="CF512" s="495" t="s">
        <v>12</v>
      </c>
      <c r="CG512" s="495" t="s">
        <v>12</v>
      </c>
      <c r="CH512" s="495" t="s">
        <v>12</v>
      </c>
      <c r="CI512" s="495" t="s">
        <v>12</v>
      </c>
      <c r="CJ512" s="495" t="s">
        <v>12</v>
      </c>
      <c r="CK512" s="495" t="s">
        <v>12</v>
      </c>
      <c r="CL512" s="495" t="s">
        <v>12</v>
      </c>
      <c r="CM512" s="495" t="s">
        <v>12</v>
      </c>
      <c r="CN512" s="495" t="s">
        <v>12</v>
      </c>
      <c r="CO512" s="495" t="s">
        <v>12</v>
      </c>
      <c r="CP512" s="495" t="s">
        <v>12</v>
      </c>
      <c r="CQ512" s="495" t="s">
        <v>12</v>
      </c>
      <c r="CR512" s="495" t="s">
        <v>12</v>
      </c>
      <c r="CS512" s="495" t="s">
        <v>12</v>
      </c>
      <c r="CT512" s="495" t="s">
        <v>12</v>
      </c>
      <c r="CU512" s="495" t="s">
        <v>12</v>
      </c>
      <c r="CV512" s="495" t="s">
        <v>12</v>
      </c>
      <c r="CW512" s="495" t="s">
        <v>12</v>
      </c>
      <c r="CX512" s="495" t="s">
        <v>12</v>
      </c>
      <c r="CY512" s="495" t="s">
        <v>12</v>
      </c>
      <c r="CZ512" s="495" t="s">
        <v>12</v>
      </c>
      <c r="DA512" s="495" t="s">
        <v>12</v>
      </c>
      <c r="DB512" s="495" t="s">
        <v>12</v>
      </c>
      <c r="DC512" s="495" t="s">
        <v>12</v>
      </c>
      <c r="DD512" s="495" t="s">
        <v>12</v>
      </c>
      <c r="DE512" s="495" t="s">
        <v>12</v>
      </c>
      <c r="DF512" s="495" t="s">
        <v>12</v>
      </c>
      <c r="DG512" s="495" t="s">
        <v>12</v>
      </c>
      <c r="DH512" s="495" t="s">
        <v>12</v>
      </c>
      <c r="DI512" s="495" t="s">
        <v>12</v>
      </c>
      <c r="DJ512" s="495" t="s">
        <v>12</v>
      </c>
      <c r="DK512" s="495" t="s">
        <v>12</v>
      </c>
      <c r="DL512" s="495" t="s">
        <v>12</v>
      </c>
      <c r="DM512" s="495" t="s">
        <v>12</v>
      </c>
      <c r="DN512" s="495" t="s">
        <v>12</v>
      </c>
      <c r="DO512" s="495" t="s">
        <v>12</v>
      </c>
      <c r="DP512" s="495" t="s">
        <v>12</v>
      </c>
      <c r="DQ512" s="495" t="s">
        <v>12</v>
      </c>
    </row>
    <row r="513" spans="1:121" x14ac:dyDescent="0.25">
      <c r="A513">
        <v>10</v>
      </c>
      <c r="B513" s="495" t="s">
        <v>12</v>
      </c>
      <c r="C513" s="495" t="s">
        <v>12</v>
      </c>
      <c r="D513" s="495" t="s">
        <v>12</v>
      </c>
      <c r="E513" s="495" t="s">
        <v>12</v>
      </c>
      <c r="F513" s="495" t="s">
        <v>12</v>
      </c>
      <c r="G513" s="495" t="s">
        <v>12</v>
      </c>
      <c r="H513" s="495" t="s">
        <v>12</v>
      </c>
      <c r="I513" s="495" t="s">
        <v>12</v>
      </c>
      <c r="J513" s="495" t="s">
        <v>12</v>
      </c>
      <c r="K513" s="495" t="s">
        <v>12</v>
      </c>
      <c r="L513" s="495" t="s">
        <v>12</v>
      </c>
      <c r="M513" s="495" t="s">
        <v>12</v>
      </c>
      <c r="N513" s="495" t="s">
        <v>12</v>
      </c>
      <c r="O513" s="495" t="s">
        <v>12</v>
      </c>
      <c r="P513" s="495" t="s">
        <v>12</v>
      </c>
      <c r="Q513" s="495" t="s">
        <v>12</v>
      </c>
      <c r="R513" s="495" t="s">
        <v>12</v>
      </c>
      <c r="S513" s="495" t="s">
        <v>12</v>
      </c>
      <c r="T513" s="495" t="s">
        <v>12</v>
      </c>
      <c r="U513" s="495" t="s">
        <v>12</v>
      </c>
      <c r="V513" s="495" t="s">
        <v>12</v>
      </c>
      <c r="W513" s="495" t="s">
        <v>12</v>
      </c>
      <c r="X513" s="495" t="s">
        <v>12</v>
      </c>
      <c r="Y513" s="495" t="s">
        <v>12</v>
      </c>
      <c r="Z513" s="495" t="s">
        <v>12</v>
      </c>
      <c r="AA513" s="495" t="s">
        <v>12</v>
      </c>
      <c r="AB513" s="495" t="s">
        <v>12</v>
      </c>
      <c r="AC513" s="495" t="s">
        <v>12</v>
      </c>
      <c r="AD513" s="495" t="s">
        <v>12</v>
      </c>
      <c r="AE513" s="495" t="s">
        <v>12</v>
      </c>
      <c r="AF513" s="495" t="s">
        <v>12</v>
      </c>
      <c r="AG513" s="495" t="s">
        <v>12</v>
      </c>
      <c r="AH513" s="495" t="s">
        <v>12</v>
      </c>
      <c r="AI513" s="495" t="s">
        <v>12</v>
      </c>
      <c r="AJ513" s="495" t="s">
        <v>12</v>
      </c>
      <c r="AK513" s="495" t="s">
        <v>12</v>
      </c>
      <c r="AL513" s="495" t="s">
        <v>12</v>
      </c>
      <c r="AM513" s="495" t="s">
        <v>12</v>
      </c>
      <c r="AN513" s="495" t="s">
        <v>12</v>
      </c>
      <c r="AO513" s="495" t="s">
        <v>12</v>
      </c>
      <c r="AP513" s="495" t="s">
        <v>12</v>
      </c>
      <c r="AQ513" s="495" t="s">
        <v>12</v>
      </c>
      <c r="AR513" s="495" t="s">
        <v>12</v>
      </c>
      <c r="AS513" s="495" t="s">
        <v>12</v>
      </c>
      <c r="AT513" s="495" t="s">
        <v>12</v>
      </c>
      <c r="AU513" s="495" t="s">
        <v>12</v>
      </c>
      <c r="AV513" s="495" t="s">
        <v>12</v>
      </c>
      <c r="AW513" s="495" t="s">
        <v>12</v>
      </c>
      <c r="AX513" s="495" t="s">
        <v>12</v>
      </c>
      <c r="AY513" s="495" t="s">
        <v>12</v>
      </c>
      <c r="AZ513" s="495" t="s">
        <v>12</v>
      </c>
      <c r="BA513" s="495" t="s">
        <v>12</v>
      </c>
      <c r="BB513" s="495" t="s">
        <v>12</v>
      </c>
      <c r="BC513" s="495" t="s">
        <v>12</v>
      </c>
      <c r="BD513" s="495" t="s">
        <v>12</v>
      </c>
      <c r="BE513" s="495" t="s">
        <v>12</v>
      </c>
      <c r="BF513" s="495" t="s">
        <v>12</v>
      </c>
      <c r="BG513" s="495" t="s">
        <v>12</v>
      </c>
      <c r="BH513" s="495" t="s">
        <v>12</v>
      </c>
      <c r="BI513" s="495" t="s">
        <v>12</v>
      </c>
      <c r="BJ513" s="495" t="s">
        <v>12</v>
      </c>
      <c r="BK513" s="495" t="s">
        <v>12</v>
      </c>
      <c r="BL513" s="495" t="s">
        <v>12</v>
      </c>
      <c r="BM513" s="495" t="s">
        <v>12</v>
      </c>
      <c r="BN513" s="495" t="s">
        <v>12</v>
      </c>
      <c r="BO513" s="495" t="s">
        <v>12</v>
      </c>
      <c r="BP513" s="495" t="s">
        <v>12</v>
      </c>
      <c r="BQ513" s="495" t="s">
        <v>12</v>
      </c>
      <c r="BR513" s="495" t="s">
        <v>12</v>
      </c>
      <c r="BS513" s="495" t="s">
        <v>12</v>
      </c>
      <c r="BT513" s="495" t="s">
        <v>12</v>
      </c>
      <c r="BU513" s="495" t="s">
        <v>12</v>
      </c>
      <c r="BV513" s="495" t="s">
        <v>12</v>
      </c>
      <c r="BW513" s="495" t="s">
        <v>12</v>
      </c>
      <c r="BX513" s="495" t="s">
        <v>12</v>
      </c>
      <c r="BY513" s="495" t="s">
        <v>12</v>
      </c>
      <c r="BZ513" s="495" t="s">
        <v>12</v>
      </c>
      <c r="CA513" s="495" t="s">
        <v>12</v>
      </c>
      <c r="CB513" s="495" t="s">
        <v>12</v>
      </c>
      <c r="CC513" s="495" t="s">
        <v>12</v>
      </c>
      <c r="CD513" s="495" t="s">
        <v>12</v>
      </c>
      <c r="CE513" s="495" t="s">
        <v>12</v>
      </c>
      <c r="CF513" s="495" t="s">
        <v>12</v>
      </c>
      <c r="CG513" s="495" t="s">
        <v>12</v>
      </c>
      <c r="CH513" s="495" t="s">
        <v>12</v>
      </c>
      <c r="CI513" s="495" t="s">
        <v>12</v>
      </c>
      <c r="CJ513" s="495" t="s">
        <v>12</v>
      </c>
      <c r="CK513" s="495" t="s">
        <v>12</v>
      </c>
      <c r="CL513" s="495" t="s">
        <v>12</v>
      </c>
      <c r="CM513" s="495" t="s">
        <v>12</v>
      </c>
      <c r="CN513" s="495" t="s">
        <v>12</v>
      </c>
      <c r="CO513" s="495" t="s">
        <v>12</v>
      </c>
      <c r="CP513" s="495" t="s">
        <v>12</v>
      </c>
      <c r="CQ513" s="495" t="s">
        <v>12</v>
      </c>
      <c r="CR513" s="495" t="s">
        <v>12</v>
      </c>
      <c r="CS513" s="495" t="s">
        <v>12</v>
      </c>
      <c r="CT513" s="495" t="s">
        <v>12</v>
      </c>
      <c r="CU513" s="495" t="s">
        <v>12</v>
      </c>
      <c r="CV513" s="495" t="s">
        <v>12</v>
      </c>
      <c r="CW513" s="495" t="s">
        <v>12</v>
      </c>
      <c r="CX513" s="495" t="s">
        <v>12</v>
      </c>
      <c r="CY513" s="495" t="s">
        <v>12</v>
      </c>
      <c r="CZ513" s="495" t="s">
        <v>12</v>
      </c>
      <c r="DA513" s="495" t="s">
        <v>12</v>
      </c>
      <c r="DB513" s="495" t="s">
        <v>12</v>
      </c>
      <c r="DC513" s="495" t="s">
        <v>12</v>
      </c>
      <c r="DD513" s="495" t="s">
        <v>12</v>
      </c>
      <c r="DE513" s="495" t="s">
        <v>12</v>
      </c>
      <c r="DF513" s="495" t="s">
        <v>12</v>
      </c>
      <c r="DG513" s="495" t="s">
        <v>12</v>
      </c>
      <c r="DH513" s="495" t="s">
        <v>12</v>
      </c>
      <c r="DI513" s="495" t="s">
        <v>12</v>
      </c>
      <c r="DJ513" s="495" t="s">
        <v>12</v>
      </c>
      <c r="DK513" s="495" t="s">
        <v>12</v>
      </c>
      <c r="DL513" s="495" t="s">
        <v>12</v>
      </c>
      <c r="DM513" s="495" t="s">
        <v>12</v>
      </c>
      <c r="DN513" s="495" t="s">
        <v>12</v>
      </c>
      <c r="DO513" s="495" t="s">
        <v>12</v>
      </c>
      <c r="DP513" s="495" t="s">
        <v>12</v>
      </c>
      <c r="DQ513" s="495" t="s">
        <v>12</v>
      </c>
    </row>
    <row r="514" spans="1:121" x14ac:dyDescent="0.25">
      <c r="A514" s="203" t="s">
        <v>799</v>
      </c>
      <c r="B514" s="204" t="s">
        <v>605</v>
      </c>
      <c r="C514" s="204" t="s">
        <v>606</v>
      </c>
      <c r="D514" s="204" t="s">
        <v>607</v>
      </c>
      <c r="E514" s="204" t="s">
        <v>608</v>
      </c>
      <c r="F514" s="204" t="s">
        <v>609</v>
      </c>
      <c r="G514" s="204" t="s">
        <v>610</v>
      </c>
      <c r="H514" s="204" t="s">
        <v>611</v>
      </c>
      <c r="I514" s="204" t="s">
        <v>612</v>
      </c>
      <c r="J514" s="204" t="s">
        <v>613</v>
      </c>
      <c r="K514" s="204" t="s">
        <v>614</v>
      </c>
      <c r="L514" s="204" t="s">
        <v>615</v>
      </c>
      <c r="M514" s="204" t="s">
        <v>616</v>
      </c>
      <c r="N514" s="204" t="s">
        <v>617</v>
      </c>
      <c r="O514" s="204" t="s">
        <v>618</v>
      </c>
      <c r="P514" s="204" t="s">
        <v>619</v>
      </c>
      <c r="Q514" s="204" t="s">
        <v>620</v>
      </c>
      <c r="R514" s="204" t="s">
        <v>621</v>
      </c>
      <c r="S514" s="204" t="s">
        <v>622</v>
      </c>
      <c r="T514" s="204" t="s">
        <v>623</v>
      </c>
      <c r="U514" s="204" t="s">
        <v>624</v>
      </c>
      <c r="V514" s="204" t="s">
        <v>625</v>
      </c>
      <c r="W514" s="204" t="s">
        <v>626</v>
      </c>
      <c r="X514" s="204" t="s">
        <v>627</v>
      </c>
      <c r="Y514" s="204" t="s">
        <v>628</v>
      </c>
      <c r="Z514" s="204" t="s">
        <v>629</v>
      </c>
      <c r="AA514" s="204" t="s">
        <v>630</v>
      </c>
      <c r="AB514" s="204" t="s">
        <v>631</v>
      </c>
      <c r="AC514" s="204" t="s">
        <v>632</v>
      </c>
      <c r="AD514" s="204" t="s">
        <v>633</v>
      </c>
      <c r="AE514" s="204" t="s">
        <v>634</v>
      </c>
      <c r="AF514" s="204" t="s">
        <v>635</v>
      </c>
      <c r="AG514" s="204" t="s">
        <v>636</v>
      </c>
      <c r="AH514" s="204" t="s">
        <v>637</v>
      </c>
      <c r="AI514" s="204" t="s">
        <v>638</v>
      </c>
      <c r="AJ514" s="204" t="s">
        <v>639</v>
      </c>
      <c r="AK514" s="204" t="s">
        <v>640</v>
      </c>
      <c r="AL514" s="204" t="s">
        <v>641</v>
      </c>
      <c r="AM514" s="204" t="s">
        <v>642</v>
      </c>
      <c r="AN514" s="204" t="s">
        <v>643</v>
      </c>
      <c r="AO514" s="204" t="s">
        <v>644</v>
      </c>
      <c r="AP514" s="204" t="s">
        <v>645</v>
      </c>
      <c r="AQ514" s="204" t="s">
        <v>646</v>
      </c>
      <c r="AR514" s="204" t="s">
        <v>647</v>
      </c>
      <c r="AS514" s="204" t="s">
        <v>648</v>
      </c>
      <c r="AT514" s="204" t="s">
        <v>649</v>
      </c>
      <c r="AU514" s="204" t="s">
        <v>650</v>
      </c>
      <c r="AV514" s="204" t="s">
        <v>651</v>
      </c>
      <c r="AW514" s="204" t="s">
        <v>652</v>
      </c>
      <c r="AX514" s="204" t="s">
        <v>653</v>
      </c>
      <c r="AY514" s="204" t="s">
        <v>654</v>
      </c>
      <c r="AZ514" s="204" t="s">
        <v>655</v>
      </c>
      <c r="BA514" s="204" t="s">
        <v>656</v>
      </c>
      <c r="BB514" s="204" t="s">
        <v>657</v>
      </c>
      <c r="BC514" s="204" t="s">
        <v>658</v>
      </c>
      <c r="BD514" s="204" t="s">
        <v>659</v>
      </c>
      <c r="BE514" s="204" t="s">
        <v>660</v>
      </c>
      <c r="BF514" s="204" t="s">
        <v>661</v>
      </c>
      <c r="BG514" s="204" t="s">
        <v>662</v>
      </c>
      <c r="BH514" s="204" t="s">
        <v>663</v>
      </c>
      <c r="BI514" s="204" t="s">
        <v>664</v>
      </c>
      <c r="BJ514" s="204" t="s">
        <v>665</v>
      </c>
      <c r="BK514" s="204" t="s">
        <v>666</v>
      </c>
      <c r="BL514" s="204" t="s">
        <v>667</v>
      </c>
      <c r="BM514" s="204" t="s">
        <v>668</v>
      </c>
      <c r="BN514" s="204" t="s">
        <v>669</v>
      </c>
      <c r="BO514" s="204" t="s">
        <v>670</v>
      </c>
      <c r="BP514" s="204" t="s">
        <v>671</v>
      </c>
      <c r="BQ514" s="204" t="s">
        <v>672</v>
      </c>
      <c r="BR514" s="204" t="s">
        <v>673</v>
      </c>
      <c r="BS514" s="204" t="s">
        <v>674</v>
      </c>
      <c r="BT514" s="204" t="s">
        <v>675</v>
      </c>
      <c r="BU514" s="204" t="s">
        <v>676</v>
      </c>
      <c r="BV514" s="204" t="s">
        <v>677</v>
      </c>
      <c r="BW514" s="204" t="s">
        <v>678</v>
      </c>
      <c r="BX514" s="204" t="s">
        <v>679</v>
      </c>
      <c r="BY514" s="204" t="s">
        <v>680</v>
      </c>
      <c r="BZ514" s="204" t="s">
        <v>681</v>
      </c>
      <c r="CA514" s="204" t="s">
        <v>682</v>
      </c>
      <c r="CB514" s="204" t="s">
        <v>683</v>
      </c>
      <c r="CC514" s="204" t="s">
        <v>684</v>
      </c>
      <c r="CD514" s="204" t="s">
        <v>685</v>
      </c>
      <c r="CE514" s="204" t="s">
        <v>686</v>
      </c>
      <c r="CF514" s="204" t="s">
        <v>687</v>
      </c>
      <c r="CG514" s="204" t="s">
        <v>688</v>
      </c>
      <c r="CH514" s="204" t="s">
        <v>689</v>
      </c>
      <c r="CI514" s="204" t="s">
        <v>690</v>
      </c>
      <c r="CJ514" s="204" t="s">
        <v>691</v>
      </c>
      <c r="CK514" s="204" t="s">
        <v>692</v>
      </c>
      <c r="CL514" s="204" t="s">
        <v>693</v>
      </c>
      <c r="CM514" s="204" t="s">
        <v>694</v>
      </c>
      <c r="CN514" s="204" t="s">
        <v>695</v>
      </c>
      <c r="CO514" s="204" t="s">
        <v>696</v>
      </c>
      <c r="CP514" s="204" t="s">
        <v>697</v>
      </c>
      <c r="CQ514" s="204" t="s">
        <v>698</v>
      </c>
      <c r="CR514" s="204" t="s">
        <v>699</v>
      </c>
      <c r="CS514" s="204" t="s">
        <v>700</v>
      </c>
      <c r="CT514" s="204" t="s">
        <v>701</v>
      </c>
      <c r="CU514" s="204" t="s">
        <v>702</v>
      </c>
      <c r="CV514" s="204" t="s">
        <v>703</v>
      </c>
      <c r="CW514" s="204" t="s">
        <v>704</v>
      </c>
      <c r="CX514" s="204" t="s">
        <v>705</v>
      </c>
      <c r="CY514" s="204" t="s">
        <v>706</v>
      </c>
      <c r="CZ514" s="204" t="s">
        <v>707</v>
      </c>
      <c r="DA514" s="204" t="s">
        <v>708</v>
      </c>
      <c r="DB514" s="204" t="s">
        <v>709</v>
      </c>
      <c r="DC514" s="204" t="s">
        <v>710</v>
      </c>
      <c r="DD514" s="204" t="s">
        <v>711</v>
      </c>
      <c r="DE514" s="204" t="s">
        <v>712</v>
      </c>
      <c r="DF514" s="204" t="s">
        <v>713</v>
      </c>
      <c r="DG514" s="204" t="s">
        <v>714</v>
      </c>
      <c r="DH514" s="204" t="s">
        <v>715</v>
      </c>
      <c r="DI514" s="204" t="s">
        <v>716</v>
      </c>
      <c r="DJ514" s="204" t="s">
        <v>717</v>
      </c>
      <c r="DK514" s="204" t="s">
        <v>718</v>
      </c>
      <c r="DL514" s="204" t="s">
        <v>719</v>
      </c>
      <c r="DM514" s="204" t="s">
        <v>720</v>
      </c>
      <c r="DN514" s="204" t="s">
        <v>721</v>
      </c>
      <c r="DO514" s="204" t="s">
        <v>722</v>
      </c>
      <c r="DP514" s="204" t="s">
        <v>723</v>
      </c>
      <c r="DQ514" s="204" t="s">
        <v>724</v>
      </c>
    </row>
    <row r="515" spans="1:121" x14ac:dyDescent="0.25">
      <c r="A515" t="s">
        <v>800</v>
      </c>
      <c r="B515">
        <v>2</v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</v>
      </c>
      <c r="O515">
        <v>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</v>
      </c>
      <c r="AM515">
        <v>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2</v>
      </c>
      <c r="AY515">
        <v>4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3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</row>
    <row r="516" spans="1:121" x14ac:dyDescent="0.25">
      <c r="A516" t="s">
        <v>801</v>
      </c>
      <c r="B516">
        <v>3.5</v>
      </c>
      <c r="C516">
        <v>3.5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3.5</v>
      </c>
      <c r="O516">
        <v>3.5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3.5</v>
      </c>
      <c r="AA516">
        <v>4.5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5</v>
      </c>
      <c r="AM516">
        <v>5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4.5</v>
      </c>
      <c r="AY516">
        <v>4.5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3.5</v>
      </c>
      <c r="BK516">
        <v>3.5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</row>
    <row r="517" spans="1:121" x14ac:dyDescent="0.25">
      <c r="A517" t="s">
        <v>802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3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4</v>
      </c>
      <c r="AW517">
        <v>4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2</v>
      </c>
      <c r="DC517">
        <v>2</v>
      </c>
      <c r="DD517">
        <v>2</v>
      </c>
      <c r="DE517">
        <v>2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2</v>
      </c>
      <c r="DM517">
        <v>2</v>
      </c>
      <c r="DN517">
        <v>2</v>
      </c>
      <c r="DO517">
        <v>2</v>
      </c>
      <c r="DP517">
        <v>2</v>
      </c>
      <c r="DQ517">
        <v>2</v>
      </c>
    </row>
    <row r="518" spans="1:121" x14ac:dyDescent="0.25">
      <c r="A518" t="s">
        <v>487</v>
      </c>
      <c r="B518">
        <v>0.5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0.5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0.5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0.5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0.5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</row>
    <row r="519" spans="1:121" x14ac:dyDescent="0.25">
      <c r="A519" t="s">
        <v>743</v>
      </c>
      <c r="B519">
        <v>0.5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0.5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0.5</v>
      </c>
      <c r="AM519">
        <v>0.5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0.5</v>
      </c>
      <c r="AY519">
        <v>0.5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0.5</v>
      </c>
      <c r="BK519">
        <v>0.5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</row>
    <row r="520" spans="1:121" x14ac:dyDescent="0.25">
      <c r="A520" t="s">
        <v>803</v>
      </c>
      <c r="B520">
        <v>0</v>
      </c>
      <c r="C520">
        <v>0.5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2.5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3.5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</row>
    <row r="521" spans="1:121" x14ac:dyDescent="0.25">
      <c r="A521" s="342" t="s">
        <v>559</v>
      </c>
      <c r="B521" s="342">
        <v>6.5</v>
      </c>
      <c r="C521" s="342">
        <v>9</v>
      </c>
      <c r="D521" s="342">
        <v>0</v>
      </c>
      <c r="E521" s="342">
        <v>0</v>
      </c>
      <c r="F521" s="342">
        <v>0</v>
      </c>
      <c r="G521" s="342">
        <v>0</v>
      </c>
      <c r="H521" s="342">
        <v>0</v>
      </c>
      <c r="I521" s="342">
        <v>0</v>
      </c>
      <c r="J521" s="342">
        <v>0</v>
      </c>
      <c r="K521" s="342">
        <v>0</v>
      </c>
      <c r="L521" s="342">
        <v>0</v>
      </c>
      <c r="M521" s="342">
        <v>0</v>
      </c>
      <c r="N521" s="342">
        <v>6.5</v>
      </c>
      <c r="O521" s="342">
        <v>11</v>
      </c>
      <c r="P521" s="342">
        <v>0</v>
      </c>
      <c r="Q521" s="342">
        <v>0</v>
      </c>
      <c r="R521" s="342">
        <v>0</v>
      </c>
      <c r="S521" s="342">
        <v>0</v>
      </c>
      <c r="T521" s="342">
        <v>0</v>
      </c>
      <c r="U521" s="342">
        <v>0</v>
      </c>
      <c r="V521" s="342">
        <v>0</v>
      </c>
      <c r="W521" s="342">
        <v>0</v>
      </c>
      <c r="X521" s="342">
        <v>0</v>
      </c>
      <c r="Y521" s="342">
        <v>0</v>
      </c>
      <c r="Z521" s="342">
        <v>6.5</v>
      </c>
      <c r="AA521" s="342">
        <v>15</v>
      </c>
      <c r="AB521" s="342">
        <v>0</v>
      </c>
      <c r="AC521" s="342">
        <v>0</v>
      </c>
      <c r="AD521" s="342">
        <v>0</v>
      </c>
      <c r="AE521" s="342">
        <v>0</v>
      </c>
      <c r="AF521" s="342">
        <v>0</v>
      </c>
      <c r="AG521" s="342">
        <v>0</v>
      </c>
      <c r="AH521" s="342">
        <v>0</v>
      </c>
      <c r="AI521" s="342">
        <v>0</v>
      </c>
      <c r="AJ521" s="342">
        <v>0</v>
      </c>
      <c r="AK521" s="342">
        <v>0</v>
      </c>
      <c r="AL521" s="342">
        <v>10</v>
      </c>
      <c r="AM521" s="342">
        <v>14.5</v>
      </c>
      <c r="AN521" s="342">
        <v>4</v>
      </c>
      <c r="AO521" s="342">
        <v>4</v>
      </c>
      <c r="AP521" s="342">
        <v>4</v>
      </c>
      <c r="AQ521" s="342">
        <v>4</v>
      </c>
      <c r="AR521" s="342">
        <v>4</v>
      </c>
      <c r="AS521" s="342">
        <v>4</v>
      </c>
      <c r="AT521" s="342">
        <v>4</v>
      </c>
      <c r="AU521" s="342">
        <v>4</v>
      </c>
      <c r="AV521" s="342">
        <v>4</v>
      </c>
      <c r="AW521" s="342">
        <v>4</v>
      </c>
      <c r="AX521" s="342">
        <v>7.5</v>
      </c>
      <c r="AY521" s="342">
        <v>10</v>
      </c>
      <c r="AZ521" s="342">
        <v>0</v>
      </c>
      <c r="BA521" s="342">
        <v>0</v>
      </c>
      <c r="BB521" s="342">
        <v>0</v>
      </c>
      <c r="BC521" s="342">
        <v>1</v>
      </c>
      <c r="BD521" s="342">
        <v>1</v>
      </c>
      <c r="BE521" s="342">
        <v>1</v>
      </c>
      <c r="BF521" s="342">
        <v>1</v>
      </c>
      <c r="BG521" s="342">
        <v>1</v>
      </c>
      <c r="BH521" s="342">
        <v>1</v>
      </c>
      <c r="BI521" s="342">
        <v>1</v>
      </c>
      <c r="BJ521" s="342">
        <v>5.5</v>
      </c>
      <c r="BK521" s="342">
        <v>8</v>
      </c>
      <c r="BL521" s="342">
        <v>0</v>
      </c>
      <c r="BM521" s="342">
        <v>0</v>
      </c>
      <c r="BN521" s="342">
        <v>0</v>
      </c>
      <c r="BO521" s="342">
        <v>0</v>
      </c>
      <c r="BP521" s="342">
        <v>0</v>
      </c>
      <c r="BQ521" s="342">
        <v>0</v>
      </c>
      <c r="BR521" s="342">
        <v>0</v>
      </c>
      <c r="BS521" s="342">
        <v>0</v>
      </c>
      <c r="BT521" s="342">
        <v>0</v>
      </c>
      <c r="BU521" s="342">
        <v>0</v>
      </c>
      <c r="BV521" s="342">
        <v>1</v>
      </c>
      <c r="BW521" s="342">
        <v>1</v>
      </c>
      <c r="BX521" s="342">
        <v>1</v>
      </c>
      <c r="BY521" s="342">
        <v>1</v>
      </c>
      <c r="BZ521" s="342">
        <v>1</v>
      </c>
      <c r="CA521" s="342">
        <v>1</v>
      </c>
      <c r="CB521" s="342">
        <v>2</v>
      </c>
      <c r="CC521" s="342">
        <v>2</v>
      </c>
      <c r="CD521" s="342">
        <v>2</v>
      </c>
      <c r="CE521" s="342">
        <v>2</v>
      </c>
      <c r="CF521" s="342">
        <v>2</v>
      </c>
      <c r="CG521" s="342">
        <v>2</v>
      </c>
      <c r="CH521" s="342">
        <v>1</v>
      </c>
      <c r="CI521" s="342">
        <v>1</v>
      </c>
      <c r="CJ521" s="342">
        <v>1</v>
      </c>
      <c r="CK521" s="342">
        <v>1</v>
      </c>
      <c r="CL521" s="342">
        <v>1</v>
      </c>
      <c r="CM521" s="342">
        <v>1</v>
      </c>
      <c r="CN521" s="342">
        <v>2</v>
      </c>
      <c r="CO521" s="342">
        <v>2</v>
      </c>
      <c r="CP521" s="342">
        <v>2</v>
      </c>
      <c r="CQ521" s="342">
        <v>2</v>
      </c>
      <c r="CR521" s="342">
        <v>2</v>
      </c>
      <c r="CS521" s="342">
        <v>2</v>
      </c>
      <c r="CT521" s="342">
        <v>1</v>
      </c>
      <c r="CU521" s="342">
        <v>1</v>
      </c>
      <c r="CV521" s="342">
        <v>1</v>
      </c>
      <c r="CW521" s="342">
        <v>1</v>
      </c>
      <c r="CX521" s="342">
        <v>1</v>
      </c>
      <c r="CY521" s="342">
        <v>1</v>
      </c>
      <c r="CZ521" s="342">
        <v>2</v>
      </c>
      <c r="DA521" s="342">
        <v>2</v>
      </c>
      <c r="DB521" s="342">
        <v>2</v>
      </c>
      <c r="DC521" s="342">
        <v>2</v>
      </c>
      <c r="DD521" s="342">
        <v>2</v>
      </c>
      <c r="DE521" s="342">
        <v>2</v>
      </c>
      <c r="DF521" s="342">
        <v>1</v>
      </c>
      <c r="DG521" s="342">
        <v>1</v>
      </c>
      <c r="DH521" s="342">
        <v>1</v>
      </c>
      <c r="DI521" s="342">
        <v>1</v>
      </c>
      <c r="DJ521" s="342">
        <v>1</v>
      </c>
      <c r="DK521" s="342">
        <v>1</v>
      </c>
      <c r="DL521" s="342">
        <v>2</v>
      </c>
      <c r="DM521" s="342">
        <v>2</v>
      </c>
      <c r="DN521" s="342">
        <v>2</v>
      </c>
      <c r="DO521" s="342">
        <v>2</v>
      </c>
      <c r="DP521" s="342">
        <v>2</v>
      </c>
      <c r="DQ521" s="342">
        <v>2</v>
      </c>
    </row>
    <row r="522" spans="1:121" x14ac:dyDescent="0.25">
      <c r="A522" s="203" t="s">
        <v>804</v>
      </c>
      <c r="B522" s="204"/>
      <c r="C522" s="204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4"/>
      <c r="U522" s="204"/>
      <c r="V522" s="204"/>
      <c r="W522" s="204"/>
      <c r="X522" s="204"/>
      <c r="Y522" s="204"/>
      <c r="Z522" s="204"/>
      <c r="AA522" s="204"/>
      <c r="AB522" s="204"/>
      <c r="AC522" s="204"/>
      <c r="AD522" s="204"/>
      <c r="AE522" s="204"/>
      <c r="AF522" s="204"/>
      <c r="AG522" s="204"/>
      <c r="AH522" s="204"/>
      <c r="AI522" s="204"/>
      <c r="AJ522" s="204"/>
      <c r="AK522" s="204"/>
      <c r="AL522" s="204"/>
      <c r="AM522" s="204"/>
      <c r="AN522" s="204"/>
      <c r="AO522" s="204"/>
      <c r="AP522" s="204"/>
      <c r="AQ522" s="204"/>
      <c r="AR522" s="204"/>
      <c r="AS522" s="204"/>
      <c r="AT522" s="204"/>
      <c r="AU522" s="204"/>
      <c r="AV522" s="204"/>
      <c r="AW522" s="204"/>
      <c r="AX522" s="204"/>
      <c r="AY522" s="204"/>
      <c r="AZ522" s="204"/>
      <c r="BA522" s="204"/>
      <c r="BB522" s="204"/>
      <c r="BC522" s="204"/>
      <c r="BD522" s="204"/>
      <c r="BE522" s="204"/>
      <c r="BF522" s="204"/>
      <c r="BG522" s="204"/>
      <c r="BH522" s="204"/>
      <c r="BI522" s="204"/>
      <c r="BJ522" s="204"/>
      <c r="BK522" s="204"/>
      <c r="BL522" s="204"/>
      <c r="BM522" s="204"/>
      <c r="BN522" s="204"/>
      <c r="BO522" s="204"/>
      <c r="BP522" s="204"/>
      <c r="BQ522" s="204"/>
      <c r="BR522" s="204"/>
      <c r="BS522" s="204"/>
      <c r="BT522" s="204"/>
      <c r="BU522" s="204"/>
      <c r="BV522" s="204"/>
      <c r="BW522" s="204"/>
      <c r="BX522" s="204"/>
      <c r="BY522" s="204"/>
      <c r="BZ522" s="204"/>
      <c r="CA522" s="204"/>
      <c r="CB522" s="204"/>
      <c r="CC522" s="204"/>
      <c r="CD522" s="204"/>
      <c r="CE522" s="204"/>
      <c r="CF522" s="204"/>
      <c r="CG522" s="204"/>
      <c r="CH522" s="204"/>
      <c r="CI522" s="204"/>
      <c r="CJ522" s="204"/>
      <c r="CK522" s="204"/>
      <c r="CL522" s="204"/>
      <c r="CM522" s="204"/>
      <c r="CN522" s="204"/>
      <c r="CO522" s="204"/>
      <c r="CP522" s="204"/>
      <c r="CQ522" s="204"/>
      <c r="CR522" s="204"/>
      <c r="CS522" s="204"/>
      <c r="CT522" s="204"/>
      <c r="CU522" s="204"/>
      <c r="CV522" s="204"/>
      <c r="CW522" s="204"/>
      <c r="CX522" s="204"/>
      <c r="CY522" s="204"/>
      <c r="CZ522" s="204"/>
      <c r="DA522" s="204"/>
      <c r="DB522" s="204"/>
      <c r="DC522" s="204"/>
      <c r="DD522" s="204"/>
      <c r="DE522" s="204"/>
      <c r="DF522" s="204"/>
      <c r="DG522" s="204"/>
      <c r="DH522" s="204"/>
      <c r="DI522" s="204"/>
      <c r="DJ522" s="204"/>
      <c r="DK522" s="204"/>
      <c r="DL522" s="204"/>
      <c r="DM522" s="204"/>
      <c r="DN522" s="204"/>
      <c r="DO522" s="204"/>
      <c r="DP522" s="204"/>
      <c r="DQ522" s="204"/>
    </row>
    <row r="523" spans="1:121" x14ac:dyDescent="0.25">
      <c r="A523" t="s">
        <v>805</v>
      </c>
      <c r="B523" s="7">
        <v>0</v>
      </c>
      <c r="C523" s="7">
        <v>1.2783689658649173</v>
      </c>
      <c r="D523" s="7">
        <v>-1</v>
      </c>
      <c r="E523" s="7" t="s">
        <v>11</v>
      </c>
      <c r="F523" s="7" t="s">
        <v>11</v>
      </c>
      <c r="G523" s="7" t="s">
        <v>11</v>
      </c>
      <c r="H523" s="7" t="s">
        <v>11</v>
      </c>
      <c r="I523" s="7" t="s">
        <v>11</v>
      </c>
      <c r="J523" s="7" t="s">
        <v>11</v>
      </c>
      <c r="K523" s="7" t="s">
        <v>11</v>
      </c>
      <c r="L523" s="7" t="s">
        <v>11</v>
      </c>
      <c r="M523" s="7" t="s">
        <v>11</v>
      </c>
      <c r="N523" s="7">
        <v>0</v>
      </c>
      <c r="O523" s="7">
        <v>2.1572031165654724</v>
      </c>
      <c r="P523" s="7">
        <v>-1</v>
      </c>
      <c r="Q523" s="7" t="s">
        <v>11</v>
      </c>
      <c r="R523" s="7" t="s">
        <v>11</v>
      </c>
      <c r="S523" s="7" t="s">
        <v>11</v>
      </c>
      <c r="T523" s="7" t="s">
        <v>11</v>
      </c>
      <c r="U523" s="7" t="s">
        <v>11</v>
      </c>
      <c r="V523" s="7" t="s">
        <v>11</v>
      </c>
      <c r="W523" s="7" t="s">
        <v>11</v>
      </c>
      <c r="X523" s="7" t="s">
        <v>11</v>
      </c>
      <c r="Y523" s="7" t="s">
        <v>11</v>
      </c>
      <c r="Z523" s="7">
        <v>0</v>
      </c>
      <c r="AA523" s="7">
        <v>7.632382646673582</v>
      </c>
      <c r="AB523" s="7">
        <v>-1</v>
      </c>
      <c r="AC523" s="7" t="s">
        <v>11</v>
      </c>
      <c r="AD523" s="7" t="s">
        <v>11</v>
      </c>
      <c r="AE523" s="7" t="s">
        <v>11</v>
      </c>
      <c r="AF523" s="7" t="s">
        <v>11</v>
      </c>
      <c r="AG523" s="7" t="s">
        <v>11</v>
      </c>
      <c r="AH523" s="7" t="s">
        <v>11</v>
      </c>
      <c r="AI523" s="7" t="s">
        <v>11</v>
      </c>
      <c r="AJ523" s="7" t="s">
        <v>11</v>
      </c>
      <c r="AK523" s="7" t="s">
        <v>11</v>
      </c>
      <c r="AL523" s="7">
        <v>0</v>
      </c>
      <c r="AM523" s="7">
        <v>1.2919515507633217</v>
      </c>
      <c r="AN523" s="7">
        <v>-1</v>
      </c>
      <c r="AO523" s="7" t="s">
        <v>11</v>
      </c>
      <c r="AP523" s="7" t="s">
        <v>11</v>
      </c>
      <c r="AQ523" s="7" t="s">
        <v>11</v>
      </c>
      <c r="AR523" s="7" t="s">
        <v>11</v>
      </c>
      <c r="AS523" s="7" t="s">
        <v>11</v>
      </c>
      <c r="AT523" s="7" t="s">
        <v>11</v>
      </c>
      <c r="AU523" s="7" t="s">
        <v>11</v>
      </c>
      <c r="AV523" s="7" t="s">
        <v>11</v>
      </c>
      <c r="AW523" s="7" t="s">
        <v>11</v>
      </c>
      <c r="AX523" s="7">
        <v>0</v>
      </c>
      <c r="AY523" s="7">
        <v>1.7788660190154366</v>
      </c>
      <c r="AZ523" s="7">
        <v>-1</v>
      </c>
      <c r="BA523" s="7" t="s">
        <v>11</v>
      </c>
      <c r="BB523" s="7" t="s">
        <v>11</v>
      </c>
      <c r="BC523" s="7" t="s">
        <v>11</v>
      </c>
      <c r="BD523" s="7" t="s">
        <v>11</v>
      </c>
      <c r="BE523" s="7" t="s">
        <v>11</v>
      </c>
      <c r="BF523" s="7" t="s">
        <v>11</v>
      </c>
      <c r="BG523" s="7" t="s">
        <v>11</v>
      </c>
      <c r="BH523" s="7" t="s">
        <v>11</v>
      </c>
      <c r="BI523" s="7" t="s">
        <v>11</v>
      </c>
      <c r="BJ523" s="7">
        <v>0</v>
      </c>
      <c r="BK523" s="7">
        <v>2.1939330759481313</v>
      </c>
      <c r="BL523" s="7">
        <v>-1</v>
      </c>
      <c r="BM523" s="7" t="s">
        <v>11</v>
      </c>
      <c r="BN523" s="7" t="s">
        <v>11</v>
      </c>
      <c r="BO523" s="7" t="s">
        <v>11</v>
      </c>
      <c r="BP523" s="7" t="s">
        <v>11</v>
      </c>
      <c r="BQ523" s="7" t="s">
        <v>11</v>
      </c>
      <c r="BR523" s="7" t="s">
        <v>11</v>
      </c>
      <c r="BS523" s="7" t="s">
        <v>11</v>
      </c>
      <c r="BT523" s="7" t="s">
        <v>11</v>
      </c>
      <c r="BU523" s="7" t="s">
        <v>11</v>
      </c>
      <c r="BV523" s="7">
        <v>0</v>
      </c>
      <c r="BW523" s="7" t="s">
        <v>11</v>
      </c>
      <c r="BX523" s="7" t="s">
        <v>11</v>
      </c>
      <c r="BY523" s="7" t="s">
        <v>11</v>
      </c>
      <c r="BZ523" s="7" t="s">
        <v>11</v>
      </c>
      <c r="CA523" s="7" t="s">
        <v>11</v>
      </c>
      <c r="CB523" s="7" t="s">
        <v>11</v>
      </c>
      <c r="CC523" s="7" t="s">
        <v>11</v>
      </c>
      <c r="CD523" s="7" t="s">
        <v>11</v>
      </c>
      <c r="CE523" s="7" t="s">
        <v>11</v>
      </c>
      <c r="CF523" s="7" t="s">
        <v>11</v>
      </c>
      <c r="CG523" s="7" t="s">
        <v>11</v>
      </c>
      <c r="CH523" s="7">
        <v>0</v>
      </c>
      <c r="CI523" s="7" t="s">
        <v>11</v>
      </c>
      <c r="CJ523" s="7" t="s">
        <v>11</v>
      </c>
      <c r="CK523" s="7" t="s">
        <v>11</v>
      </c>
      <c r="CL523" s="7" t="s">
        <v>11</v>
      </c>
      <c r="CM523" s="7" t="s">
        <v>11</v>
      </c>
      <c r="CN523" s="7" t="s">
        <v>11</v>
      </c>
      <c r="CO523" s="7" t="s">
        <v>11</v>
      </c>
      <c r="CP523" s="7" t="s">
        <v>11</v>
      </c>
      <c r="CQ523" s="7" t="s">
        <v>11</v>
      </c>
      <c r="CR523" s="7" t="s">
        <v>11</v>
      </c>
      <c r="CS523" s="7" t="s">
        <v>11</v>
      </c>
      <c r="CT523" s="7">
        <v>0</v>
      </c>
      <c r="CU523" s="7" t="s">
        <v>11</v>
      </c>
      <c r="CV523" s="7" t="s">
        <v>11</v>
      </c>
      <c r="CW523" s="7" t="s">
        <v>11</v>
      </c>
      <c r="CX523" s="7" t="s">
        <v>11</v>
      </c>
      <c r="CY523" s="7" t="s">
        <v>11</v>
      </c>
      <c r="CZ523" s="7" t="s">
        <v>11</v>
      </c>
      <c r="DA523" s="7" t="s">
        <v>11</v>
      </c>
      <c r="DB523" s="7" t="s">
        <v>11</v>
      </c>
      <c r="DC523" s="7" t="s">
        <v>11</v>
      </c>
      <c r="DD523" s="7" t="s">
        <v>11</v>
      </c>
      <c r="DE523" s="7" t="s">
        <v>11</v>
      </c>
      <c r="DF523" s="7">
        <v>0</v>
      </c>
      <c r="DG523" s="7" t="s">
        <v>11</v>
      </c>
      <c r="DH523" s="7" t="s">
        <v>11</v>
      </c>
      <c r="DI523" s="7" t="s">
        <v>11</v>
      </c>
      <c r="DJ523" s="7" t="s">
        <v>11</v>
      </c>
      <c r="DK523" s="7" t="s">
        <v>11</v>
      </c>
      <c r="DL523" s="7" t="s">
        <v>11</v>
      </c>
      <c r="DM523" s="7" t="s">
        <v>11</v>
      </c>
      <c r="DN523" s="7" t="s">
        <v>11</v>
      </c>
      <c r="DO523" s="7" t="s">
        <v>11</v>
      </c>
      <c r="DP523" s="7" t="s">
        <v>11</v>
      </c>
      <c r="DQ523" s="7" t="s">
        <v>11</v>
      </c>
    </row>
    <row r="524" spans="1:121" x14ac:dyDescent="0.25">
      <c r="A524" t="s">
        <v>806</v>
      </c>
      <c r="B524" s="7">
        <v>0</v>
      </c>
      <c r="C524" s="7">
        <v>0.87244583700090117</v>
      </c>
      <c r="D524" s="7">
        <v>-1</v>
      </c>
      <c r="E524" s="7" t="s">
        <v>11</v>
      </c>
      <c r="F524" s="7" t="s">
        <v>11</v>
      </c>
      <c r="G524" s="7" t="s">
        <v>11</v>
      </c>
      <c r="H524" s="7" t="s">
        <v>11</v>
      </c>
      <c r="I524" s="7" t="s">
        <v>11</v>
      </c>
      <c r="J524" s="7" t="s">
        <v>11</v>
      </c>
      <c r="K524" s="7" t="s">
        <v>11</v>
      </c>
      <c r="L524" s="7" t="s">
        <v>11</v>
      </c>
      <c r="M524" s="7" t="s">
        <v>11</v>
      </c>
      <c r="N524" s="7">
        <v>0</v>
      </c>
      <c r="O524" s="7">
        <v>1.1270493190908759</v>
      </c>
      <c r="P524" s="7">
        <v>-1</v>
      </c>
      <c r="Q524" s="7" t="s">
        <v>11</v>
      </c>
      <c r="R524" s="7" t="s">
        <v>11</v>
      </c>
      <c r="S524" s="7" t="s">
        <v>11</v>
      </c>
      <c r="T524" s="7" t="s">
        <v>11</v>
      </c>
      <c r="U524" s="7" t="s">
        <v>11</v>
      </c>
      <c r="V524" s="7" t="s">
        <v>11</v>
      </c>
      <c r="W524" s="7" t="s">
        <v>11</v>
      </c>
      <c r="X524" s="7" t="s">
        <v>11</v>
      </c>
      <c r="Y524" s="7" t="s">
        <v>11</v>
      </c>
      <c r="Z524" s="7">
        <v>0</v>
      </c>
      <c r="AA524" s="7">
        <v>7.3142898395912237</v>
      </c>
      <c r="AB524" s="7">
        <v>-1</v>
      </c>
      <c r="AC524" s="7" t="s">
        <v>11</v>
      </c>
      <c r="AD524" s="7" t="s">
        <v>11</v>
      </c>
      <c r="AE524" s="7" t="s">
        <v>11</v>
      </c>
      <c r="AF524" s="7" t="s">
        <v>11</v>
      </c>
      <c r="AG524" s="7" t="s">
        <v>11</v>
      </c>
      <c r="AH524" s="7" t="s">
        <v>11</v>
      </c>
      <c r="AI524" s="7" t="s">
        <v>11</v>
      </c>
      <c r="AJ524" s="7" t="s">
        <v>11</v>
      </c>
      <c r="AK524" s="7" t="s">
        <v>11</v>
      </c>
      <c r="AL524" s="7">
        <v>0</v>
      </c>
      <c r="AM524" s="7">
        <v>1.8302286941515642</v>
      </c>
      <c r="AN524" s="7">
        <v>-1</v>
      </c>
      <c r="AO524" s="7" t="s">
        <v>11</v>
      </c>
      <c r="AP524" s="7" t="s">
        <v>11</v>
      </c>
      <c r="AQ524" s="7" t="s">
        <v>11</v>
      </c>
      <c r="AR524" s="7" t="s">
        <v>11</v>
      </c>
      <c r="AS524" s="7" t="s">
        <v>11</v>
      </c>
      <c r="AT524" s="7" t="s">
        <v>11</v>
      </c>
      <c r="AU524" s="7" t="s">
        <v>11</v>
      </c>
      <c r="AV524" s="7" t="s">
        <v>11</v>
      </c>
      <c r="AW524" s="7" t="s">
        <v>11</v>
      </c>
      <c r="AX524" s="7">
        <v>0</v>
      </c>
      <c r="AY524" s="7">
        <v>1.1918057287350439</v>
      </c>
      <c r="AZ524" s="7">
        <v>-1</v>
      </c>
      <c r="BA524" s="7" t="s">
        <v>11</v>
      </c>
      <c r="BB524" s="7" t="s">
        <v>11</v>
      </c>
      <c r="BC524" s="7" t="s">
        <v>11</v>
      </c>
      <c r="BD524" s="7" t="s">
        <v>11</v>
      </c>
      <c r="BE524" s="7" t="s">
        <v>11</v>
      </c>
      <c r="BF524" s="7" t="s">
        <v>11</v>
      </c>
      <c r="BG524" s="7" t="s">
        <v>11</v>
      </c>
      <c r="BH524" s="7" t="s">
        <v>11</v>
      </c>
      <c r="BI524" s="7" t="s">
        <v>11</v>
      </c>
      <c r="BJ524" s="7">
        <v>0</v>
      </c>
      <c r="BK524" s="7">
        <v>6.5182140480966169</v>
      </c>
      <c r="BL524" s="7">
        <v>-1</v>
      </c>
      <c r="BM524" s="7" t="s">
        <v>11</v>
      </c>
      <c r="BN524" s="7" t="s">
        <v>11</v>
      </c>
      <c r="BO524" s="7" t="s">
        <v>11</v>
      </c>
      <c r="BP524" s="7" t="s">
        <v>11</v>
      </c>
      <c r="BQ524" s="7" t="s">
        <v>11</v>
      </c>
      <c r="BR524" s="7" t="s">
        <v>11</v>
      </c>
      <c r="BS524" s="7" t="s">
        <v>11</v>
      </c>
      <c r="BT524" s="7" t="s">
        <v>11</v>
      </c>
      <c r="BU524" s="7" t="s">
        <v>11</v>
      </c>
      <c r="BV524" s="7">
        <v>0</v>
      </c>
      <c r="BW524" s="7" t="s">
        <v>11</v>
      </c>
      <c r="BX524" s="7" t="s">
        <v>11</v>
      </c>
      <c r="BY524" s="7" t="s">
        <v>11</v>
      </c>
      <c r="BZ524" s="7" t="s">
        <v>11</v>
      </c>
      <c r="CA524" s="7" t="s">
        <v>11</v>
      </c>
      <c r="CB524" s="7" t="s">
        <v>11</v>
      </c>
      <c r="CC524" s="7" t="s">
        <v>11</v>
      </c>
      <c r="CD524" s="7" t="s">
        <v>11</v>
      </c>
      <c r="CE524" s="7" t="s">
        <v>11</v>
      </c>
      <c r="CF524" s="7" t="s">
        <v>11</v>
      </c>
      <c r="CG524" s="7" t="s">
        <v>11</v>
      </c>
      <c r="CH524" s="7">
        <v>0</v>
      </c>
      <c r="CI524" s="7" t="s">
        <v>11</v>
      </c>
      <c r="CJ524" s="7" t="s">
        <v>11</v>
      </c>
      <c r="CK524" s="7" t="s">
        <v>11</v>
      </c>
      <c r="CL524" s="7" t="s">
        <v>11</v>
      </c>
      <c r="CM524" s="7" t="s">
        <v>11</v>
      </c>
      <c r="CN524" s="7" t="s">
        <v>11</v>
      </c>
      <c r="CO524" s="7" t="s">
        <v>11</v>
      </c>
      <c r="CP524" s="7" t="s">
        <v>11</v>
      </c>
      <c r="CQ524" s="7" t="s">
        <v>11</v>
      </c>
      <c r="CR524" s="7" t="s">
        <v>11</v>
      </c>
      <c r="CS524" s="7" t="s">
        <v>11</v>
      </c>
      <c r="CT524" s="7">
        <v>0</v>
      </c>
      <c r="CU524" s="7" t="s">
        <v>11</v>
      </c>
      <c r="CV524" s="7" t="s">
        <v>11</v>
      </c>
      <c r="CW524" s="7" t="s">
        <v>11</v>
      </c>
      <c r="CX524" s="7" t="s">
        <v>11</v>
      </c>
      <c r="CY524" s="7" t="s">
        <v>11</v>
      </c>
      <c r="CZ524" s="7" t="s">
        <v>11</v>
      </c>
      <c r="DA524" s="7" t="s">
        <v>11</v>
      </c>
      <c r="DB524" s="7" t="s">
        <v>11</v>
      </c>
      <c r="DC524" s="7" t="s">
        <v>11</v>
      </c>
      <c r="DD524" s="7" t="s">
        <v>11</v>
      </c>
      <c r="DE524" s="7" t="s">
        <v>11</v>
      </c>
      <c r="DF524" s="7">
        <v>0</v>
      </c>
      <c r="DG524" s="7" t="s">
        <v>11</v>
      </c>
      <c r="DH524" s="7" t="s">
        <v>11</v>
      </c>
      <c r="DI524" s="7" t="s">
        <v>11</v>
      </c>
      <c r="DJ524" s="7" t="s">
        <v>11</v>
      </c>
      <c r="DK524" s="7" t="s">
        <v>11</v>
      </c>
      <c r="DL524" s="7" t="s">
        <v>11</v>
      </c>
      <c r="DM524" s="7" t="s">
        <v>11</v>
      </c>
      <c r="DN524" s="7" t="s">
        <v>11</v>
      </c>
      <c r="DO524" s="7" t="s">
        <v>11</v>
      </c>
      <c r="DP524" s="7" t="s">
        <v>11</v>
      </c>
      <c r="DQ524" s="7" t="s">
        <v>11</v>
      </c>
    </row>
    <row r="526" spans="1:121" x14ac:dyDescent="0.25">
      <c r="A526" s="343" t="s">
        <v>805</v>
      </c>
      <c r="B526" s="343">
        <v>2011</v>
      </c>
      <c r="C526" s="343">
        <v>2012</v>
      </c>
      <c r="D526" s="343">
        <v>2013</v>
      </c>
      <c r="E526" s="343">
        <v>2014</v>
      </c>
      <c r="F526" s="343">
        <v>2015</v>
      </c>
      <c r="G526" s="343">
        <v>2016</v>
      </c>
      <c r="H526" s="343">
        <v>2017</v>
      </c>
      <c r="I526" s="343">
        <v>2018</v>
      </c>
      <c r="J526" s="343">
        <v>2019</v>
      </c>
      <c r="K526" s="343">
        <v>2020</v>
      </c>
      <c r="L526" s="343"/>
      <c r="M526" s="343" t="s">
        <v>807</v>
      </c>
      <c r="N526" s="343">
        <v>2011</v>
      </c>
      <c r="O526" s="343">
        <v>2012</v>
      </c>
      <c r="P526" s="343">
        <v>2013</v>
      </c>
      <c r="Q526" s="343">
        <v>2014</v>
      </c>
      <c r="R526" s="343">
        <v>2015</v>
      </c>
      <c r="S526" s="343">
        <v>2016</v>
      </c>
      <c r="T526" s="343">
        <v>2017</v>
      </c>
      <c r="U526" s="343">
        <v>2018</v>
      </c>
      <c r="V526" s="343">
        <v>2019</v>
      </c>
      <c r="W526" s="343">
        <v>2020</v>
      </c>
      <c r="X526" s="343"/>
      <c r="Y526" s="343" t="s">
        <v>808</v>
      </c>
      <c r="Z526" s="343">
        <v>2011</v>
      </c>
      <c r="AA526" s="343">
        <v>2012</v>
      </c>
      <c r="AB526" s="343">
        <v>2013</v>
      </c>
      <c r="AC526" s="343">
        <v>2014</v>
      </c>
      <c r="AD526" s="343">
        <v>2015</v>
      </c>
      <c r="AE526" s="343">
        <v>2016</v>
      </c>
      <c r="AF526" s="343">
        <v>2017</v>
      </c>
      <c r="AG526" s="343">
        <v>2018</v>
      </c>
      <c r="AH526" s="343">
        <v>2019</v>
      </c>
      <c r="AI526" s="343">
        <v>2020</v>
      </c>
      <c r="AJ526" s="343"/>
      <c r="AK526" s="343" t="s">
        <v>809</v>
      </c>
      <c r="AL526" s="343">
        <v>2011</v>
      </c>
      <c r="AM526" s="343">
        <v>2012</v>
      </c>
      <c r="AN526" s="343">
        <v>2013</v>
      </c>
      <c r="AO526" s="343">
        <v>2014</v>
      </c>
      <c r="AP526" s="343">
        <v>2015</v>
      </c>
      <c r="AQ526" s="343">
        <v>2016</v>
      </c>
      <c r="AR526" s="343">
        <v>2017</v>
      </c>
      <c r="AS526" s="343">
        <v>2018</v>
      </c>
      <c r="AT526" s="343">
        <v>2019</v>
      </c>
      <c r="AU526" s="343">
        <v>2020</v>
      </c>
      <c r="AV526" s="343"/>
      <c r="AW526" s="343" t="s">
        <v>810</v>
      </c>
      <c r="AX526" s="343">
        <v>2011</v>
      </c>
      <c r="AY526" s="343">
        <v>2012</v>
      </c>
      <c r="AZ526" s="343">
        <v>2013</v>
      </c>
      <c r="BA526" s="343">
        <v>2014</v>
      </c>
      <c r="BB526" s="343">
        <v>2015</v>
      </c>
      <c r="BC526" s="343">
        <v>2016</v>
      </c>
      <c r="BD526" s="343">
        <v>2017</v>
      </c>
      <c r="BE526" s="343">
        <v>2018</v>
      </c>
      <c r="BF526" s="343">
        <v>2019</v>
      </c>
      <c r="BG526" s="343">
        <v>2020</v>
      </c>
    </row>
    <row r="527" spans="1:121" x14ac:dyDescent="0.25">
      <c r="A527">
        <v>1</v>
      </c>
      <c r="B527" s="7">
        <v>0</v>
      </c>
      <c r="C527" s="7">
        <v>1.2783689658649173</v>
      </c>
      <c r="D527" s="7">
        <v>-1</v>
      </c>
      <c r="E527" s="7" t="s">
        <v>11</v>
      </c>
      <c r="F527" s="7" t="s">
        <v>11</v>
      </c>
      <c r="G527" s="7" t="s">
        <v>11</v>
      </c>
      <c r="H527" s="7" t="s">
        <v>11</v>
      </c>
      <c r="I527" s="7" t="s">
        <v>11</v>
      </c>
      <c r="J527" s="7" t="s">
        <v>11</v>
      </c>
      <c r="K527" s="7" t="s">
        <v>11</v>
      </c>
      <c r="M527" s="9">
        <v>1</v>
      </c>
      <c r="N527" t="s">
        <v>11</v>
      </c>
      <c r="O527">
        <v>6</v>
      </c>
      <c r="P527">
        <v>1</v>
      </c>
      <c r="Q527" t="s">
        <v>11</v>
      </c>
      <c r="R527" t="s">
        <v>11</v>
      </c>
      <c r="S527" t="s">
        <v>11</v>
      </c>
      <c r="T527" t="s">
        <v>11</v>
      </c>
      <c r="U527" t="s">
        <v>11</v>
      </c>
      <c r="V527" t="s">
        <v>11</v>
      </c>
      <c r="W527" t="s">
        <v>11</v>
      </c>
      <c r="Y527" s="9">
        <v>1</v>
      </c>
      <c r="Z527" t="s">
        <v>11</v>
      </c>
      <c r="AA527">
        <v>1</v>
      </c>
      <c r="AB527">
        <v>4</v>
      </c>
      <c r="AC527" t="s">
        <v>11</v>
      </c>
      <c r="AD527" t="s">
        <v>11</v>
      </c>
      <c r="AE527" t="s">
        <v>11</v>
      </c>
      <c r="AF527" t="s">
        <v>11</v>
      </c>
      <c r="AG527" t="s">
        <v>11</v>
      </c>
      <c r="AH527" t="s">
        <v>11</v>
      </c>
      <c r="AI527" t="s">
        <v>11</v>
      </c>
      <c r="AK527" s="9">
        <v>1</v>
      </c>
      <c r="AL527">
        <v>0</v>
      </c>
      <c r="AM527">
        <v>1</v>
      </c>
      <c r="AN527">
        <v>5</v>
      </c>
      <c r="AO527">
        <v>5</v>
      </c>
      <c r="AP527">
        <v>5</v>
      </c>
      <c r="AQ527">
        <v>5</v>
      </c>
      <c r="AR527">
        <v>5</v>
      </c>
      <c r="AS527">
        <v>5</v>
      </c>
      <c r="AT527">
        <v>5</v>
      </c>
      <c r="AU527">
        <v>5</v>
      </c>
      <c r="AW527" s="9">
        <v>1</v>
      </c>
      <c r="AX527">
        <v>0</v>
      </c>
      <c r="AY527">
        <v>2</v>
      </c>
      <c r="AZ527">
        <v>4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121" x14ac:dyDescent="0.25">
      <c r="A528">
        <v>2</v>
      </c>
      <c r="B528" s="7">
        <v>0</v>
      </c>
      <c r="C528" s="7">
        <v>2.1572031165654724</v>
      </c>
      <c r="D528" s="7">
        <v>-1</v>
      </c>
      <c r="E528" s="7" t="s">
        <v>11</v>
      </c>
      <c r="F528" s="7" t="s">
        <v>11</v>
      </c>
      <c r="G528" s="7" t="s">
        <v>11</v>
      </c>
      <c r="H528" s="7" t="s">
        <v>11</v>
      </c>
      <c r="I528" s="7" t="s">
        <v>11</v>
      </c>
      <c r="J528" s="7" t="s">
        <v>11</v>
      </c>
      <c r="K528" s="7" t="s">
        <v>11</v>
      </c>
      <c r="M528" s="9">
        <v>2</v>
      </c>
      <c r="N528" t="s">
        <v>11</v>
      </c>
      <c r="O528">
        <v>3</v>
      </c>
      <c r="P528">
        <v>1</v>
      </c>
      <c r="Q528" t="s">
        <v>11</v>
      </c>
      <c r="R528" t="s">
        <v>11</v>
      </c>
      <c r="S528" t="s">
        <v>11</v>
      </c>
      <c r="T528" t="s">
        <v>11</v>
      </c>
      <c r="U528" t="s">
        <v>11</v>
      </c>
      <c r="V528" t="s">
        <v>11</v>
      </c>
      <c r="W528" t="s">
        <v>11</v>
      </c>
      <c r="Y528" s="9">
        <v>2</v>
      </c>
      <c r="Z528" t="s">
        <v>11</v>
      </c>
      <c r="AA528">
        <v>2</v>
      </c>
      <c r="AB528">
        <v>4</v>
      </c>
      <c r="AC528" t="s">
        <v>11</v>
      </c>
      <c r="AD528" t="s">
        <v>11</v>
      </c>
      <c r="AE528" t="s">
        <v>11</v>
      </c>
      <c r="AF528" t="s">
        <v>11</v>
      </c>
      <c r="AG528" t="s">
        <v>11</v>
      </c>
      <c r="AH528" t="s">
        <v>11</v>
      </c>
      <c r="AI528" t="s">
        <v>11</v>
      </c>
      <c r="AK528" s="9">
        <v>2</v>
      </c>
      <c r="AL528">
        <v>0</v>
      </c>
      <c r="AM528">
        <v>2</v>
      </c>
      <c r="AN528">
        <v>6</v>
      </c>
      <c r="AO528">
        <v>6</v>
      </c>
      <c r="AP528">
        <v>6</v>
      </c>
      <c r="AQ528">
        <v>6</v>
      </c>
      <c r="AR528">
        <v>6</v>
      </c>
      <c r="AS528">
        <v>6</v>
      </c>
      <c r="AT528">
        <v>6</v>
      </c>
      <c r="AU528">
        <v>6</v>
      </c>
      <c r="AW528" s="9">
        <v>2</v>
      </c>
      <c r="AX528">
        <v>0</v>
      </c>
      <c r="AY528">
        <v>3</v>
      </c>
      <c r="AZ528">
        <v>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25">
      <c r="A529">
        <v>3</v>
      </c>
      <c r="B529" s="7">
        <v>0</v>
      </c>
      <c r="C529" s="7">
        <v>7.632382646673582</v>
      </c>
      <c r="D529" s="7">
        <v>-1</v>
      </c>
      <c r="E529" s="7" t="s">
        <v>11</v>
      </c>
      <c r="F529" s="7" t="s">
        <v>11</v>
      </c>
      <c r="G529" s="7" t="s">
        <v>11</v>
      </c>
      <c r="H529" s="7" t="s">
        <v>11</v>
      </c>
      <c r="I529" s="7" t="s">
        <v>11</v>
      </c>
      <c r="J529" s="7" t="s">
        <v>11</v>
      </c>
      <c r="K529" s="7" t="s">
        <v>11</v>
      </c>
      <c r="M529" s="9">
        <v>3</v>
      </c>
      <c r="N529" t="s">
        <v>11</v>
      </c>
      <c r="O529">
        <v>1</v>
      </c>
      <c r="P529">
        <v>1</v>
      </c>
      <c r="Q529" t="s">
        <v>11</v>
      </c>
      <c r="R529" t="s">
        <v>11</v>
      </c>
      <c r="S529" t="s">
        <v>11</v>
      </c>
      <c r="T529" t="s">
        <v>11</v>
      </c>
      <c r="U529" t="s">
        <v>11</v>
      </c>
      <c r="V529" t="s">
        <v>11</v>
      </c>
      <c r="W529" t="s">
        <v>11</v>
      </c>
      <c r="Y529" s="9">
        <v>3</v>
      </c>
      <c r="Z529" t="s">
        <v>11</v>
      </c>
      <c r="AA529">
        <v>4</v>
      </c>
      <c r="AB529">
        <v>4</v>
      </c>
      <c r="AC529" t="s">
        <v>11</v>
      </c>
      <c r="AD529" t="s">
        <v>11</v>
      </c>
      <c r="AE529" t="s">
        <v>11</v>
      </c>
      <c r="AF529" t="s">
        <v>11</v>
      </c>
      <c r="AG529" t="s">
        <v>11</v>
      </c>
      <c r="AH529" t="s">
        <v>11</v>
      </c>
      <c r="AI529" t="s">
        <v>11</v>
      </c>
      <c r="AK529" s="9">
        <v>3</v>
      </c>
      <c r="AL529">
        <v>0</v>
      </c>
      <c r="AM529">
        <v>4</v>
      </c>
      <c r="AN529">
        <v>8</v>
      </c>
      <c r="AO529">
        <v>8</v>
      </c>
      <c r="AP529">
        <v>8</v>
      </c>
      <c r="AQ529">
        <v>8</v>
      </c>
      <c r="AR529">
        <v>8</v>
      </c>
      <c r="AS529">
        <v>8</v>
      </c>
      <c r="AT529">
        <v>8</v>
      </c>
      <c r="AU529">
        <v>8</v>
      </c>
      <c r="AW529" s="9">
        <v>3</v>
      </c>
      <c r="AX529">
        <v>0</v>
      </c>
      <c r="AY529">
        <v>4</v>
      </c>
      <c r="AZ529">
        <v>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>
        <v>4</v>
      </c>
      <c r="B530" s="7">
        <v>0</v>
      </c>
      <c r="C530" s="7">
        <v>1.2919515507633217</v>
      </c>
      <c r="D530" s="7">
        <v>-1</v>
      </c>
      <c r="E530" s="7" t="s">
        <v>11</v>
      </c>
      <c r="F530" s="7" t="s">
        <v>11</v>
      </c>
      <c r="G530" s="7" t="s">
        <v>11</v>
      </c>
      <c r="H530" s="7" t="s">
        <v>11</v>
      </c>
      <c r="I530" s="7" t="s">
        <v>11</v>
      </c>
      <c r="J530" s="7" t="s">
        <v>11</v>
      </c>
      <c r="K530" s="7" t="s">
        <v>11</v>
      </c>
      <c r="M530" s="9">
        <v>4</v>
      </c>
      <c r="N530" t="s">
        <v>11</v>
      </c>
      <c r="O530">
        <v>5</v>
      </c>
      <c r="P530">
        <v>1</v>
      </c>
      <c r="Q530" t="s">
        <v>11</v>
      </c>
      <c r="R530" t="s">
        <v>11</v>
      </c>
      <c r="S530" t="s">
        <v>11</v>
      </c>
      <c r="T530" t="s">
        <v>11</v>
      </c>
      <c r="U530" t="s">
        <v>11</v>
      </c>
      <c r="V530" t="s">
        <v>11</v>
      </c>
      <c r="W530" t="s">
        <v>11</v>
      </c>
      <c r="Y530" s="9">
        <v>4</v>
      </c>
      <c r="Z530" t="s">
        <v>11</v>
      </c>
      <c r="AA530">
        <v>1</v>
      </c>
      <c r="AB530">
        <v>4</v>
      </c>
      <c r="AC530" t="s">
        <v>11</v>
      </c>
      <c r="AD530" t="s">
        <v>11</v>
      </c>
      <c r="AE530" t="s">
        <v>11</v>
      </c>
      <c r="AF530" t="s">
        <v>11</v>
      </c>
      <c r="AG530" t="s">
        <v>11</v>
      </c>
      <c r="AH530" t="s">
        <v>11</v>
      </c>
      <c r="AI530" t="s">
        <v>11</v>
      </c>
      <c r="AK530" s="9">
        <v>4</v>
      </c>
      <c r="AL530">
        <v>0</v>
      </c>
      <c r="AM530">
        <v>1</v>
      </c>
      <c r="AN530">
        <v>5</v>
      </c>
      <c r="AO530">
        <v>5</v>
      </c>
      <c r="AP530">
        <v>5</v>
      </c>
      <c r="AQ530">
        <v>5</v>
      </c>
      <c r="AR530">
        <v>5</v>
      </c>
      <c r="AS530">
        <v>5</v>
      </c>
      <c r="AT530">
        <v>5</v>
      </c>
      <c r="AU530">
        <v>5</v>
      </c>
      <c r="AW530" s="9">
        <v>4</v>
      </c>
      <c r="AX530">
        <v>0</v>
      </c>
      <c r="AY530">
        <v>3</v>
      </c>
      <c r="AZ530">
        <v>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 x14ac:dyDescent="0.25">
      <c r="A531">
        <v>5</v>
      </c>
      <c r="B531" s="7">
        <v>0</v>
      </c>
      <c r="C531" s="7">
        <v>1.7788660190154366</v>
      </c>
      <c r="D531" s="7">
        <v>-1</v>
      </c>
      <c r="E531" s="7" t="s">
        <v>11</v>
      </c>
      <c r="F531" s="7" t="s">
        <v>11</v>
      </c>
      <c r="G531" s="7" t="s">
        <v>11</v>
      </c>
      <c r="H531" s="7" t="s">
        <v>11</v>
      </c>
      <c r="I531" s="7" t="s">
        <v>11</v>
      </c>
      <c r="J531" s="7" t="s">
        <v>11</v>
      </c>
      <c r="K531" s="7" t="s">
        <v>11</v>
      </c>
      <c r="M531" s="9">
        <v>5</v>
      </c>
      <c r="N531" t="s">
        <v>11</v>
      </c>
      <c r="O531">
        <v>4</v>
      </c>
      <c r="P531">
        <v>1</v>
      </c>
      <c r="Q531" t="s">
        <v>11</v>
      </c>
      <c r="R531" t="s">
        <v>11</v>
      </c>
      <c r="S531" t="s">
        <v>11</v>
      </c>
      <c r="T531" t="s">
        <v>11</v>
      </c>
      <c r="U531" t="s">
        <v>11</v>
      </c>
      <c r="V531" t="s">
        <v>11</v>
      </c>
      <c r="W531" t="s">
        <v>11</v>
      </c>
      <c r="Y531" s="9">
        <v>5</v>
      </c>
      <c r="Z531" t="s">
        <v>11</v>
      </c>
      <c r="AA531">
        <v>1</v>
      </c>
      <c r="AB531">
        <v>4</v>
      </c>
      <c r="AC531" t="s">
        <v>11</v>
      </c>
      <c r="AD531" t="s">
        <v>11</v>
      </c>
      <c r="AE531" t="s">
        <v>11</v>
      </c>
      <c r="AF531" t="s">
        <v>11</v>
      </c>
      <c r="AG531" t="s">
        <v>11</v>
      </c>
      <c r="AH531" t="s">
        <v>11</v>
      </c>
      <c r="AI531" t="s">
        <v>11</v>
      </c>
      <c r="AK531" s="9">
        <v>5</v>
      </c>
      <c r="AL531">
        <v>0</v>
      </c>
      <c r="AM531">
        <v>1</v>
      </c>
      <c r="AN531">
        <v>5</v>
      </c>
      <c r="AO531">
        <v>5</v>
      </c>
      <c r="AP531">
        <v>5</v>
      </c>
      <c r="AQ531">
        <v>5</v>
      </c>
      <c r="AR531">
        <v>5</v>
      </c>
      <c r="AS531">
        <v>5</v>
      </c>
      <c r="AT531">
        <v>5</v>
      </c>
      <c r="AU531">
        <v>5</v>
      </c>
      <c r="AW531" s="9">
        <v>5</v>
      </c>
      <c r="AX531">
        <v>0</v>
      </c>
      <c r="AY531">
        <v>2</v>
      </c>
      <c r="AZ531">
        <v>4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25">
      <c r="A532">
        <v>6</v>
      </c>
      <c r="B532" s="7">
        <v>0</v>
      </c>
      <c r="C532" s="7">
        <v>2.1939330759481313</v>
      </c>
      <c r="D532" s="7">
        <v>-1</v>
      </c>
      <c r="E532" s="7" t="s">
        <v>11</v>
      </c>
      <c r="F532" s="7" t="s">
        <v>11</v>
      </c>
      <c r="G532" s="7" t="s">
        <v>11</v>
      </c>
      <c r="H532" s="7" t="s">
        <v>11</v>
      </c>
      <c r="I532" s="7" t="s">
        <v>11</v>
      </c>
      <c r="J532" s="7" t="s">
        <v>11</v>
      </c>
      <c r="K532" s="7" t="s">
        <v>11</v>
      </c>
      <c r="M532" s="9">
        <v>6</v>
      </c>
      <c r="N532" t="s">
        <v>11</v>
      </c>
      <c r="O532">
        <v>2</v>
      </c>
      <c r="P532">
        <v>1</v>
      </c>
      <c r="Q532" t="s">
        <v>11</v>
      </c>
      <c r="R532" t="s">
        <v>11</v>
      </c>
      <c r="S532" t="s">
        <v>11</v>
      </c>
      <c r="T532" t="s">
        <v>11</v>
      </c>
      <c r="U532" t="s">
        <v>11</v>
      </c>
      <c r="V532" t="s">
        <v>11</v>
      </c>
      <c r="W532" t="s">
        <v>11</v>
      </c>
      <c r="Y532" s="9">
        <v>6</v>
      </c>
      <c r="Z532" t="s">
        <v>11</v>
      </c>
      <c r="AA532">
        <v>3</v>
      </c>
      <c r="AB532">
        <v>4</v>
      </c>
      <c r="AC532" t="s">
        <v>11</v>
      </c>
      <c r="AD532" t="s">
        <v>11</v>
      </c>
      <c r="AE532" t="s">
        <v>11</v>
      </c>
      <c r="AF532" t="s">
        <v>11</v>
      </c>
      <c r="AG532" t="s">
        <v>11</v>
      </c>
      <c r="AH532" t="s">
        <v>11</v>
      </c>
      <c r="AI532" t="s">
        <v>11</v>
      </c>
      <c r="AK532" s="9">
        <v>6</v>
      </c>
      <c r="AL532">
        <v>0</v>
      </c>
      <c r="AM532">
        <v>3</v>
      </c>
      <c r="AN532">
        <v>7</v>
      </c>
      <c r="AO532">
        <v>7</v>
      </c>
      <c r="AP532">
        <v>7</v>
      </c>
      <c r="AQ532">
        <v>7</v>
      </c>
      <c r="AR532">
        <v>7</v>
      </c>
      <c r="AS532">
        <v>7</v>
      </c>
      <c r="AT532">
        <v>7</v>
      </c>
      <c r="AU532">
        <v>7</v>
      </c>
      <c r="AW532" s="9">
        <v>6</v>
      </c>
      <c r="AX532">
        <v>0</v>
      </c>
      <c r="AY532">
        <v>4</v>
      </c>
      <c r="AZ532">
        <v>4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 x14ac:dyDescent="0.25">
      <c r="A533">
        <v>7</v>
      </c>
      <c r="B533" s="7">
        <v>0</v>
      </c>
      <c r="C533" s="7" t="s">
        <v>11</v>
      </c>
      <c r="D533" s="7" t="s">
        <v>11</v>
      </c>
      <c r="E533" s="7" t="s">
        <v>11</v>
      </c>
      <c r="F533" s="7" t="s">
        <v>11</v>
      </c>
      <c r="G533" s="7" t="s">
        <v>11</v>
      </c>
      <c r="H533" s="7" t="s">
        <v>11</v>
      </c>
      <c r="I533" s="7" t="s">
        <v>11</v>
      </c>
      <c r="J533" s="7" t="s">
        <v>11</v>
      </c>
      <c r="K533" s="7" t="s">
        <v>11</v>
      </c>
      <c r="M533" s="9">
        <v>7</v>
      </c>
      <c r="N533" t="s">
        <v>11</v>
      </c>
      <c r="O533" t="s">
        <v>11</v>
      </c>
      <c r="P533" t="s">
        <v>11</v>
      </c>
      <c r="Q533" t="s">
        <v>11</v>
      </c>
      <c r="R533" t="s">
        <v>11</v>
      </c>
      <c r="S533" t="s">
        <v>11</v>
      </c>
      <c r="T533" t="s">
        <v>11</v>
      </c>
      <c r="U533" t="s">
        <v>11</v>
      </c>
      <c r="V533" t="s">
        <v>11</v>
      </c>
      <c r="W533" t="s">
        <v>11</v>
      </c>
      <c r="Y533" s="9">
        <v>7</v>
      </c>
      <c r="Z533" t="s">
        <v>11</v>
      </c>
      <c r="AA533" t="s">
        <v>11</v>
      </c>
      <c r="AB533" t="s">
        <v>11</v>
      </c>
      <c r="AC533" t="s">
        <v>11</v>
      </c>
      <c r="AD533" t="s">
        <v>11</v>
      </c>
      <c r="AE533" t="s">
        <v>11</v>
      </c>
      <c r="AF533" t="s">
        <v>11</v>
      </c>
      <c r="AG533" t="s">
        <v>11</v>
      </c>
      <c r="AH533" t="s">
        <v>11</v>
      </c>
      <c r="AI533" t="s">
        <v>11</v>
      </c>
      <c r="AK533" s="9">
        <v>7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W533" s="9">
        <v>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</row>
    <row r="534" spans="1:59" x14ac:dyDescent="0.25">
      <c r="A534">
        <v>8</v>
      </c>
      <c r="B534" s="7">
        <v>0</v>
      </c>
      <c r="C534" s="7" t="s">
        <v>11</v>
      </c>
      <c r="D534" s="7" t="s">
        <v>11</v>
      </c>
      <c r="E534" s="7" t="s">
        <v>11</v>
      </c>
      <c r="F534" s="7" t="s">
        <v>11</v>
      </c>
      <c r="G534" s="7" t="s">
        <v>11</v>
      </c>
      <c r="H534" s="7" t="s">
        <v>11</v>
      </c>
      <c r="I534" s="7" t="s">
        <v>11</v>
      </c>
      <c r="J534" s="7" t="s">
        <v>11</v>
      </c>
      <c r="K534" s="7" t="s">
        <v>11</v>
      </c>
      <c r="M534" s="9">
        <v>8</v>
      </c>
      <c r="N534" t="s">
        <v>11</v>
      </c>
      <c r="O534" t="s">
        <v>11</v>
      </c>
      <c r="P534" t="s">
        <v>11</v>
      </c>
      <c r="Q534" t="s">
        <v>11</v>
      </c>
      <c r="R534" t="s">
        <v>11</v>
      </c>
      <c r="S534" t="s">
        <v>11</v>
      </c>
      <c r="T534" t="s">
        <v>11</v>
      </c>
      <c r="U534" t="s">
        <v>11</v>
      </c>
      <c r="V534" t="s">
        <v>11</v>
      </c>
      <c r="W534" t="s">
        <v>11</v>
      </c>
      <c r="Y534" s="9">
        <v>8</v>
      </c>
      <c r="Z534" t="s">
        <v>11</v>
      </c>
      <c r="AA534" t="s">
        <v>11</v>
      </c>
      <c r="AB534" t="s">
        <v>11</v>
      </c>
      <c r="AC534" t="s">
        <v>11</v>
      </c>
      <c r="AD534" t="s">
        <v>11</v>
      </c>
      <c r="AE534" t="s">
        <v>11</v>
      </c>
      <c r="AF534" t="s">
        <v>11</v>
      </c>
      <c r="AG534" t="s">
        <v>11</v>
      </c>
      <c r="AH534" t="s">
        <v>11</v>
      </c>
      <c r="AI534" t="s">
        <v>11</v>
      </c>
      <c r="AK534" s="9">
        <v>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W534" s="9">
        <v>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>
        <v>9</v>
      </c>
      <c r="B535" s="7">
        <v>0</v>
      </c>
      <c r="C535" s="7" t="s">
        <v>11</v>
      </c>
      <c r="D535" s="7" t="s">
        <v>11</v>
      </c>
      <c r="E535" s="7" t="s">
        <v>11</v>
      </c>
      <c r="F535" s="7" t="s">
        <v>11</v>
      </c>
      <c r="G535" s="7" t="s">
        <v>11</v>
      </c>
      <c r="H535" s="7" t="s">
        <v>11</v>
      </c>
      <c r="I535" s="7" t="s">
        <v>11</v>
      </c>
      <c r="J535" s="7" t="s">
        <v>11</v>
      </c>
      <c r="K535" s="7" t="s">
        <v>11</v>
      </c>
      <c r="M535" s="9">
        <v>9</v>
      </c>
      <c r="N535" t="s">
        <v>11</v>
      </c>
      <c r="O535" t="s">
        <v>11</v>
      </c>
      <c r="P535" t="s">
        <v>11</v>
      </c>
      <c r="Q535" t="s">
        <v>11</v>
      </c>
      <c r="R535" t="s">
        <v>11</v>
      </c>
      <c r="S535" t="s">
        <v>11</v>
      </c>
      <c r="T535" t="s">
        <v>11</v>
      </c>
      <c r="U535" t="s">
        <v>11</v>
      </c>
      <c r="V535" t="s">
        <v>11</v>
      </c>
      <c r="W535" t="s">
        <v>11</v>
      </c>
      <c r="Y535" s="9">
        <v>9</v>
      </c>
      <c r="Z535" t="s">
        <v>11</v>
      </c>
      <c r="AA535" t="s">
        <v>11</v>
      </c>
      <c r="AB535" t="s">
        <v>11</v>
      </c>
      <c r="AC535" t="s">
        <v>11</v>
      </c>
      <c r="AD535" t="s">
        <v>11</v>
      </c>
      <c r="AE535" t="s">
        <v>11</v>
      </c>
      <c r="AF535" t="s">
        <v>11</v>
      </c>
      <c r="AG535" t="s">
        <v>11</v>
      </c>
      <c r="AH535" t="s">
        <v>11</v>
      </c>
      <c r="AI535" t="s">
        <v>11</v>
      </c>
      <c r="AK535" s="9">
        <v>9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W535" s="9">
        <v>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</row>
    <row r="536" spans="1:59" x14ac:dyDescent="0.25">
      <c r="A536">
        <v>10</v>
      </c>
      <c r="B536" s="7">
        <v>0</v>
      </c>
      <c r="C536" s="7" t="s">
        <v>11</v>
      </c>
      <c r="D536" s="7" t="s">
        <v>11</v>
      </c>
      <c r="E536" s="7" t="s">
        <v>11</v>
      </c>
      <c r="F536" s="7" t="s">
        <v>11</v>
      </c>
      <c r="G536" s="7" t="s">
        <v>11</v>
      </c>
      <c r="H536" s="7" t="s">
        <v>11</v>
      </c>
      <c r="I536" s="7" t="s">
        <v>11</v>
      </c>
      <c r="J536" s="7" t="s">
        <v>11</v>
      </c>
      <c r="K536" s="7" t="s">
        <v>11</v>
      </c>
      <c r="M536" s="9">
        <v>10</v>
      </c>
      <c r="N536" t="s">
        <v>11</v>
      </c>
      <c r="O536" t="s">
        <v>11</v>
      </c>
      <c r="P536" t="s">
        <v>11</v>
      </c>
      <c r="Q536" t="s">
        <v>11</v>
      </c>
      <c r="R536" t="s">
        <v>11</v>
      </c>
      <c r="S536" t="s">
        <v>11</v>
      </c>
      <c r="T536" t="s">
        <v>11</v>
      </c>
      <c r="U536" t="s">
        <v>11</v>
      </c>
      <c r="V536" t="s">
        <v>11</v>
      </c>
      <c r="W536" t="s">
        <v>11</v>
      </c>
      <c r="Y536" s="9">
        <v>10</v>
      </c>
      <c r="Z536" t="s">
        <v>11</v>
      </c>
      <c r="AA536" t="s">
        <v>11</v>
      </c>
      <c r="AB536" t="s">
        <v>11</v>
      </c>
      <c r="AC536" t="s">
        <v>11</v>
      </c>
      <c r="AD536" t="s">
        <v>11</v>
      </c>
      <c r="AE536" t="s">
        <v>11</v>
      </c>
      <c r="AF536" t="s">
        <v>11</v>
      </c>
      <c r="AG536" t="s">
        <v>11</v>
      </c>
      <c r="AH536" t="s">
        <v>11</v>
      </c>
      <c r="AI536" t="s">
        <v>11</v>
      </c>
      <c r="AK536" s="9">
        <v>10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 s="9">
        <v>10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</row>
    <row r="538" spans="1:59" x14ac:dyDescent="0.25">
      <c r="A538" s="343" t="s">
        <v>806</v>
      </c>
      <c r="B538" s="343">
        <v>2011</v>
      </c>
      <c r="C538" s="343">
        <v>2012</v>
      </c>
      <c r="D538" s="343">
        <v>2013</v>
      </c>
      <c r="E538" s="343">
        <v>2014</v>
      </c>
      <c r="F538" s="343">
        <v>2015</v>
      </c>
      <c r="G538" s="343">
        <v>2016</v>
      </c>
      <c r="H538" s="343">
        <v>2017</v>
      </c>
      <c r="I538" s="343">
        <v>2018</v>
      </c>
      <c r="J538" s="343">
        <v>2019</v>
      </c>
      <c r="K538" s="343">
        <v>2020</v>
      </c>
      <c r="L538" s="343"/>
      <c r="M538" s="343" t="s">
        <v>811</v>
      </c>
      <c r="N538" s="343">
        <v>2011</v>
      </c>
      <c r="O538" s="343">
        <v>2012</v>
      </c>
      <c r="P538" s="343">
        <v>2013</v>
      </c>
      <c r="Q538" s="343">
        <v>2014</v>
      </c>
      <c r="R538" s="343">
        <v>2015</v>
      </c>
      <c r="S538" s="343">
        <v>2016</v>
      </c>
      <c r="T538" s="343">
        <v>2017</v>
      </c>
      <c r="U538" s="343">
        <v>2018</v>
      </c>
      <c r="V538" s="343">
        <v>2019</v>
      </c>
      <c r="W538" s="343">
        <v>2020</v>
      </c>
      <c r="X538" s="343"/>
      <c r="Y538" s="343" t="s">
        <v>812</v>
      </c>
      <c r="Z538" s="343">
        <v>2011</v>
      </c>
      <c r="AA538" s="343">
        <v>2012</v>
      </c>
      <c r="AB538" s="343">
        <v>2013</v>
      </c>
      <c r="AC538" s="343">
        <v>2014</v>
      </c>
      <c r="AD538" s="343">
        <v>2015</v>
      </c>
      <c r="AE538" s="343">
        <v>2016</v>
      </c>
      <c r="AF538" s="343">
        <v>2017</v>
      </c>
      <c r="AG538" s="343">
        <v>2018</v>
      </c>
      <c r="AH538" s="343">
        <v>2019</v>
      </c>
      <c r="AI538" s="343">
        <v>2020</v>
      </c>
      <c r="AJ538" s="343"/>
      <c r="AK538" s="343" t="s">
        <v>813</v>
      </c>
      <c r="AL538" s="343">
        <v>2011</v>
      </c>
      <c r="AM538" s="343">
        <v>2012</v>
      </c>
      <c r="AN538" s="343">
        <v>2013</v>
      </c>
      <c r="AO538" s="343">
        <v>2014</v>
      </c>
      <c r="AP538" s="343">
        <v>2015</v>
      </c>
      <c r="AQ538" s="343">
        <v>2016</v>
      </c>
      <c r="AR538" s="343">
        <v>2017</v>
      </c>
      <c r="AS538" s="343">
        <v>2018</v>
      </c>
      <c r="AT538" s="343">
        <v>2019</v>
      </c>
      <c r="AU538" s="343">
        <v>2020</v>
      </c>
      <c r="AV538" s="343"/>
      <c r="AW538" s="343" t="s">
        <v>814</v>
      </c>
      <c r="AX538" s="343">
        <v>2011</v>
      </c>
      <c r="AY538" s="343">
        <v>2012</v>
      </c>
      <c r="AZ538" s="343">
        <v>2013</v>
      </c>
      <c r="BA538" s="343">
        <v>2014</v>
      </c>
      <c r="BB538" s="343">
        <v>2015</v>
      </c>
      <c r="BC538" s="343">
        <v>2016</v>
      </c>
      <c r="BD538" s="343">
        <v>2017</v>
      </c>
      <c r="BE538" s="343">
        <v>2018</v>
      </c>
      <c r="BF538" s="343">
        <v>2019</v>
      </c>
      <c r="BG538" s="343">
        <v>2020</v>
      </c>
    </row>
    <row r="539" spans="1:59" x14ac:dyDescent="0.25">
      <c r="A539">
        <v>1</v>
      </c>
      <c r="B539" s="7">
        <v>0</v>
      </c>
      <c r="C539" s="7">
        <v>0.87244583700090117</v>
      </c>
      <c r="D539" s="7">
        <v>-1</v>
      </c>
      <c r="E539" s="7" t="s">
        <v>11</v>
      </c>
      <c r="F539" s="7" t="s">
        <v>11</v>
      </c>
      <c r="G539" s="7" t="s">
        <v>11</v>
      </c>
      <c r="H539" s="7" t="s">
        <v>11</v>
      </c>
      <c r="I539" s="7" t="s">
        <v>11</v>
      </c>
      <c r="J539" s="7" t="s">
        <v>11</v>
      </c>
      <c r="K539" s="7" t="s">
        <v>11</v>
      </c>
      <c r="M539" s="9">
        <v>1</v>
      </c>
      <c r="N539" t="s">
        <v>11</v>
      </c>
      <c r="O539">
        <v>6</v>
      </c>
      <c r="P539">
        <v>1</v>
      </c>
      <c r="Q539" t="s">
        <v>11</v>
      </c>
      <c r="R539" t="s">
        <v>11</v>
      </c>
      <c r="S539" t="s">
        <v>11</v>
      </c>
      <c r="T539" t="s">
        <v>11</v>
      </c>
      <c r="U539" t="s">
        <v>11</v>
      </c>
      <c r="V539" t="s">
        <v>11</v>
      </c>
      <c r="W539" t="s">
        <v>11</v>
      </c>
      <c r="Y539" s="9">
        <v>1</v>
      </c>
      <c r="Z539" t="s">
        <v>11</v>
      </c>
      <c r="AA539">
        <v>1</v>
      </c>
      <c r="AB539">
        <v>4</v>
      </c>
      <c r="AC539" t="s">
        <v>11</v>
      </c>
      <c r="AD539" t="s">
        <v>11</v>
      </c>
      <c r="AE539" t="s">
        <v>11</v>
      </c>
      <c r="AF539" t="s">
        <v>11</v>
      </c>
      <c r="AG539" t="s">
        <v>11</v>
      </c>
      <c r="AH539" t="s">
        <v>11</v>
      </c>
      <c r="AI539" t="s">
        <v>11</v>
      </c>
      <c r="AK539" s="9">
        <v>1</v>
      </c>
      <c r="AL539">
        <v>0</v>
      </c>
      <c r="AM539">
        <v>1</v>
      </c>
      <c r="AN539">
        <v>5</v>
      </c>
      <c r="AO539">
        <v>5</v>
      </c>
      <c r="AP539">
        <v>5</v>
      </c>
      <c r="AQ539">
        <v>5</v>
      </c>
      <c r="AR539">
        <v>5</v>
      </c>
      <c r="AS539">
        <v>5</v>
      </c>
      <c r="AT539">
        <v>5</v>
      </c>
      <c r="AU539">
        <v>5</v>
      </c>
      <c r="AW539" s="9">
        <v>1</v>
      </c>
      <c r="AX539">
        <v>0</v>
      </c>
      <c r="AY539">
        <v>2</v>
      </c>
      <c r="AZ539">
        <v>6</v>
      </c>
      <c r="BA539">
        <v>6</v>
      </c>
      <c r="BB539">
        <v>6</v>
      </c>
      <c r="BC539">
        <v>6</v>
      </c>
      <c r="BD539">
        <v>6</v>
      </c>
      <c r="BE539">
        <v>6</v>
      </c>
      <c r="BF539">
        <v>6</v>
      </c>
      <c r="BG539">
        <v>6</v>
      </c>
    </row>
    <row r="540" spans="1:59" x14ac:dyDescent="0.25">
      <c r="A540">
        <v>2</v>
      </c>
      <c r="B540" s="7">
        <v>0</v>
      </c>
      <c r="C540" s="7">
        <v>1.1270493190908759</v>
      </c>
      <c r="D540" s="7">
        <v>-1</v>
      </c>
      <c r="E540" s="7" t="s">
        <v>11</v>
      </c>
      <c r="F540" s="7" t="s">
        <v>11</v>
      </c>
      <c r="G540" s="7" t="s">
        <v>11</v>
      </c>
      <c r="H540" s="7" t="s">
        <v>11</v>
      </c>
      <c r="I540" s="7" t="s">
        <v>11</v>
      </c>
      <c r="J540" s="7" t="s">
        <v>11</v>
      </c>
      <c r="K540" s="7" t="s">
        <v>11</v>
      </c>
      <c r="M540" s="9">
        <v>2</v>
      </c>
      <c r="N540" t="s">
        <v>11</v>
      </c>
      <c r="O540">
        <v>5</v>
      </c>
      <c r="P540">
        <v>1</v>
      </c>
      <c r="Q540" t="s">
        <v>11</v>
      </c>
      <c r="R540" t="s">
        <v>11</v>
      </c>
      <c r="S540" t="s">
        <v>11</v>
      </c>
      <c r="T540" t="s">
        <v>11</v>
      </c>
      <c r="U540" t="s">
        <v>11</v>
      </c>
      <c r="V540" t="s">
        <v>11</v>
      </c>
      <c r="W540" t="s">
        <v>11</v>
      </c>
      <c r="Y540" s="9">
        <v>2</v>
      </c>
      <c r="Z540" t="s">
        <v>11</v>
      </c>
      <c r="AA540">
        <v>1</v>
      </c>
      <c r="AB540">
        <v>4</v>
      </c>
      <c r="AC540" t="s">
        <v>11</v>
      </c>
      <c r="AD540" t="s">
        <v>11</v>
      </c>
      <c r="AE540" t="s">
        <v>11</v>
      </c>
      <c r="AF540" t="s">
        <v>11</v>
      </c>
      <c r="AG540" t="s">
        <v>11</v>
      </c>
      <c r="AH540" t="s">
        <v>11</v>
      </c>
      <c r="AI540" t="s">
        <v>11</v>
      </c>
      <c r="AK540" s="9">
        <v>2</v>
      </c>
      <c r="AL540">
        <v>0</v>
      </c>
      <c r="AM540">
        <v>1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W540" s="9">
        <v>2</v>
      </c>
      <c r="AX540">
        <v>0</v>
      </c>
      <c r="AY540">
        <v>3</v>
      </c>
      <c r="AZ540">
        <v>7</v>
      </c>
      <c r="BA540">
        <v>7</v>
      </c>
      <c r="BB540">
        <v>7</v>
      </c>
      <c r="BC540">
        <v>7</v>
      </c>
      <c r="BD540">
        <v>7</v>
      </c>
      <c r="BE540">
        <v>7</v>
      </c>
      <c r="BF540">
        <v>7</v>
      </c>
      <c r="BG540">
        <v>7</v>
      </c>
    </row>
    <row r="541" spans="1:59" x14ac:dyDescent="0.25">
      <c r="A541">
        <v>3</v>
      </c>
      <c r="B541" s="7">
        <v>0</v>
      </c>
      <c r="C541" s="7">
        <v>7.3142898395912237</v>
      </c>
      <c r="D541" s="7">
        <v>-1</v>
      </c>
      <c r="E541" s="7" t="s">
        <v>11</v>
      </c>
      <c r="F541" s="7" t="s">
        <v>11</v>
      </c>
      <c r="G541" s="7" t="s">
        <v>11</v>
      </c>
      <c r="H541" s="7" t="s">
        <v>11</v>
      </c>
      <c r="I541" s="7" t="s">
        <v>11</v>
      </c>
      <c r="J541" s="7" t="s">
        <v>11</v>
      </c>
      <c r="K541" s="7" t="s">
        <v>11</v>
      </c>
      <c r="M541" s="9">
        <v>3</v>
      </c>
      <c r="N541" t="s">
        <v>11</v>
      </c>
      <c r="O541">
        <v>1</v>
      </c>
      <c r="P541">
        <v>1</v>
      </c>
      <c r="Q541" t="s">
        <v>11</v>
      </c>
      <c r="R541" t="s">
        <v>11</v>
      </c>
      <c r="S541" t="s">
        <v>11</v>
      </c>
      <c r="T541" t="s">
        <v>11</v>
      </c>
      <c r="U541" t="s">
        <v>11</v>
      </c>
      <c r="V541" t="s">
        <v>11</v>
      </c>
      <c r="W541" t="s">
        <v>11</v>
      </c>
      <c r="Y541" s="9">
        <v>3</v>
      </c>
      <c r="Z541" t="s">
        <v>11</v>
      </c>
      <c r="AA541">
        <v>4</v>
      </c>
      <c r="AB541">
        <v>4</v>
      </c>
      <c r="AC541" t="s">
        <v>11</v>
      </c>
      <c r="AD541" t="s">
        <v>11</v>
      </c>
      <c r="AE541" t="s">
        <v>11</v>
      </c>
      <c r="AF541" t="s">
        <v>11</v>
      </c>
      <c r="AG541" t="s">
        <v>11</v>
      </c>
      <c r="AH541" t="s">
        <v>11</v>
      </c>
      <c r="AI541" t="s">
        <v>11</v>
      </c>
      <c r="AK541" s="9">
        <v>3</v>
      </c>
      <c r="AL541">
        <v>0</v>
      </c>
      <c r="AM541">
        <v>4</v>
      </c>
      <c r="AN541">
        <v>8</v>
      </c>
      <c r="AO541">
        <v>8</v>
      </c>
      <c r="AP541">
        <v>8</v>
      </c>
      <c r="AQ541">
        <v>8</v>
      </c>
      <c r="AR541">
        <v>8</v>
      </c>
      <c r="AS541">
        <v>8</v>
      </c>
      <c r="AT541">
        <v>8</v>
      </c>
      <c r="AU541">
        <v>8</v>
      </c>
      <c r="AW541" s="9">
        <v>3</v>
      </c>
      <c r="AX541">
        <v>0</v>
      </c>
      <c r="AY541">
        <v>4</v>
      </c>
      <c r="AZ541">
        <v>8</v>
      </c>
      <c r="BA541">
        <v>8</v>
      </c>
      <c r="BB541">
        <v>8</v>
      </c>
      <c r="BC541">
        <v>8</v>
      </c>
      <c r="BD541">
        <v>8</v>
      </c>
      <c r="BE541">
        <v>8</v>
      </c>
      <c r="BF541">
        <v>8</v>
      </c>
      <c r="BG541">
        <v>8</v>
      </c>
    </row>
    <row r="542" spans="1:59" x14ac:dyDescent="0.25">
      <c r="A542">
        <v>4</v>
      </c>
      <c r="B542" s="7">
        <v>0</v>
      </c>
      <c r="C542" s="7">
        <v>1.8302286941515642</v>
      </c>
      <c r="D542" s="7">
        <v>-1</v>
      </c>
      <c r="E542" s="7" t="s">
        <v>11</v>
      </c>
      <c r="F542" s="7" t="s">
        <v>11</v>
      </c>
      <c r="G542" s="7" t="s">
        <v>11</v>
      </c>
      <c r="H542" s="7" t="s">
        <v>11</v>
      </c>
      <c r="I542" s="7" t="s">
        <v>11</v>
      </c>
      <c r="J542" s="7" t="s">
        <v>11</v>
      </c>
      <c r="K542" s="7" t="s">
        <v>11</v>
      </c>
      <c r="M542" s="9">
        <v>4</v>
      </c>
      <c r="N542" t="s">
        <v>11</v>
      </c>
      <c r="O542">
        <v>3</v>
      </c>
      <c r="P542">
        <v>1</v>
      </c>
      <c r="Q542" t="s">
        <v>11</v>
      </c>
      <c r="R542" t="s">
        <v>11</v>
      </c>
      <c r="S542" t="s">
        <v>11</v>
      </c>
      <c r="T542" t="s">
        <v>11</v>
      </c>
      <c r="U542" t="s">
        <v>11</v>
      </c>
      <c r="V542" t="s">
        <v>11</v>
      </c>
      <c r="W542" t="s">
        <v>11</v>
      </c>
      <c r="Y542" s="9">
        <v>4</v>
      </c>
      <c r="Z542" t="s">
        <v>11</v>
      </c>
      <c r="AA542">
        <v>2</v>
      </c>
      <c r="AB542">
        <v>4</v>
      </c>
      <c r="AC542" t="s">
        <v>11</v>
      </c>
      <c r="AD542" t="s">
        <v>11</v>
      </c>
      <c r="AE542" t="s">
        <v>11</v>
      </c>
      <c r="AF542" t="s">
        <v>11</v>
      </c>
      <c r="AG542" t="s">
        <v>11</v>
      </c>
      <c r="AH542" t="s">
        <v>11</v>
      </c>
      <c r="AI542" t="s">
        <v>11</v>
      </c>
      <c r="AK542" s="9">
        <v>4</v>
      </c>
      <c r="AL542">
        <v>0</v>
      </c>
      <c r="AM542">
        <v>2</v>
      </c>
      <c r="AN542">
        <v>6</v>
      </c>
      <c r="AO542">
        <v>6</v>
      </c>
      <c r="AP542">
        <v>6</v>
      </c>
      <c r="AQ542">
        <v>6</v>
      </c>
      <c r="AR542">
        <v>6</v>
      </c>
      <c r="AS542">
        <v>6</v>
      </c>
      <c r="AT542">
        <v>6</v>
      </c>
      <c r="AU542">
        <v>6</v>
      </c>
      <c r="AW542" s="9">
        <v>4</v>
      </c>
      <c r="AX542">
        <v>0</v>
      </c>
      <c r="AY542">
        <v>3</v>
      </c>
      <c r="AZ542">
        <v>7</v>
      </c>
      <c r="BA542">
        <v>7</v>
      </c>
      <c r="BB542">
        <v>7</v>
      </c>
      <c r="BC542">
        <v>7</v>
      </c>
      <c r="BD542">
        <v>7</v>
      </c>
      <c r="BE542">
        <v>7</v>
      </c>
      <c r="BF542">
        <v>7</v>
      </c>
      <c r="BG542">
        <v>7</v>
      </c>
    </row>
    <row r="543" spans="1:59" x14ac:dyDescent="0.25">
      <c r="A543">
        <v>5</v>
      </c>
      <c r="B543" s="7">
        <v>0</v>
      </c>
      <c r="C543" s="7">
        <v>1.1918057287350439</v>
      </c>
      <c r="D543" s="7">
        <v>-1</v>
      </c>
      <c r="E543" s="7" t="s">
        <v>11</v>
      </c>
      <c r="F543" s="7" t="s">
        <v>11</v>
      </c>
      <c r="G543" s="7" t="s">
        <v>11</v>
      </c>
      <c r="H543" s="7" t="s">
        <v>11</v>
      </c>
      <c r="I543" s="7" t="s">
        <v>11</v>
      </c>
      <c r="J543" s="7" t="s">
        <v>11</v>
      </c>
      <c r="K543" s="7" t="s">
        <v>11</v>
      </c>
      <c r="M543" s="9">
        <v>5</v>
      </c>
      <c r="N543" t="s">
        <v>11</v>
      </c>
      <c r="O543">
        <v>4</v>
      </c>
      <c r="P543">
        <v>1</v>
      </c>
      <c r="Q543" t="s">
        <v>11</v>
      </c>
      <c r="R543" t="s">
        <v>11</v>
      </c>
      <c r="S543" t="s">
        <v>11</v>
      </c>
      <c r="T543" t="s">
        <v>11</v>
      </c>
      <c r="U543" t="s">
        <v>11</v>
      </c>
      <c r="V543" t="s">
        <v>11</v>
      </c>
      <c r="W543" t="s">
        <v>11</v>
      </c>
      <c r="Y543" s="9">
        <v>5</v>
      </c>
      <c r="Z543" t="s">
        <v>11</v>
      </c>
      <c r="AA543">
        <v>1</v>
      </c>
      <c r="AB543">
        <v>4</v>
      </c>
      <c r="AC543" t="s">
        <v>11</v>
      </c>
      <c r="AD543" t="s">
        <v>11</v>
      </c>
      <c r="AE543" t="s">
        <v>11</v>
      </c>
      <c r="AF543" t="s">
        <v>11</v>
      </c>
      <c r="AG543" t="s">
        <v>11</v>
      </c>
      <c r="AH543" t="s">
        <v>11</v>
      </c>
      <c r="AI543" t="s">
        <v>11</v>
      </c>
      <c r="AK543" s="9">
        <v>5</v>
      </c>
      <c r="AL543">
        <v>0</v>
      </c>
      <c r="AM543">
        <v>1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W543" s="9">
        <v>5</v>
      </c>
      <c r="AX543">
        <v>0</v>
      </c>
      <c r="AY543">
        <v>2</v>
      </c>
      <c r="AZ543">
        <v>6</v>
      </c>
      <c r="BA543">
        <v>6</v>
      </c>
      <c r="BB543">
        <v>6</v>
      </c>
      <c r="BC543">
        <v>6</v>
      </c>
      <c r="BD543">
        <v>6</v>
      </c>
      <c r="BE543">
        <v>6</v>
      </c>
      <c r="BF543">
        <v>6</v>
      </c>
      <c r="BG543">
        <v>6</v>
      </c>
    </row>
    <row r="544" spans="1:59" x14ac:dyDescent="0.25">
      <c r="A544">
        <v>6</v>
      </c>
      <c r="B544" s="7">
        <v>0</v>
      </c>
      <c r="C544" s="7">
        <v>6.5182140480966169</v>
      </c>
      <c r="D544" s="7">
        <v>-1</v>
      </c>
      <c r="E544" s="7" t="s">
        <v>11</v>
      </c>
      <c r="F544" s="7" t="s">
        <v>11</v>
      </c>
      <c r="G544" s="7" t="s">
        <v>11</v>
      </c>
      <c r="H544" s="7" t="s">
        <v>11</v>
      </c>
      <c r="I544" s="7" t="s">
        <v>11</v>
      </c>
      <c r="J544" s="7" t="s">
        <v>11</v>
      </c>
      <c r="K544" s="7" t="s">
        <v>11</v>
      </c>
      <c r="M544" s="9">
        <v>6</v>
      </c>
      <c r="N544" t="s">
        <v>11</v>
      </c>
      <c r="O544">
        <v>2</v>
      </c>
      <c r="P544">
        <v>1</v>
      </c>
      <c r="Q544" t="s">
        <v>11</v>
      </c>
      <c r="R544" t="s">
        <v>11</v>
      </c>
      <c r="S544" t="s">
        <v>11</v>
      </c>
      <c r="T544" t="s">
        <v>11</v>
      </c>
      <c r="U544" t="s">
        <v>11</v>
      </c>
      <c r="V544" t="s">
        <v>11</v>
      </c>
      <c r="W544" t="s">
        <v>11</v>
      </c>
      <c r="Y544" s="9">
        <v>6</v>
      </c>
      <c r="Z544" t="s">
        <v>11</v>
      </c>
      <c r="AA544">
        <v>3</v>
      </c>
      <c r="AB544">
        <v>4</v>
      </c>
      <c r="AC544" t="s">
        <v>11</v>
      </c>
      <c r="AD544" t="s">
        <v>11</v>
      </c>
      <c r="AE544" t="s">
        <v>11</v>
      </c>
      <c r="AF544" t="s">
        <v>11</v>
      </c>
      <c r="AG544" t="s">
        <v>11</v>
      </c>
      <c r="AH544" t="s">
        <v>11</v>
      </c>
      <c r="AI544" t="s">
        <v>11</v>
      </c>
      <c r="AK544" s="9">
        <v>6</v>
      </c>
      <c r="AL544">
        <v>0</v>
      </c>
      <c r="AM544">
        <v>3</v>
      </c>
      <c r="AN544">
        <v>7</v>
      </c>
      <c r="AO544">
        <v>7</v>
      </c>
      <c r="AP544">
        <v>7</v>
      </c>
      <c r="AQ544">
        <v>7</v>
      </c>
      <c r="AR544">
        <v>7</v>
      </c>
      <c r="AS544">
        <v>7</v>
      </c>
      <c r="AT544">
        <v>7</v>
      </c>
      <c r="AU544">
        <v>7</v>
      </c>
      <c r="AW544" s="9">
        <v>6</v>
      </c>
      <c r="AX544">
        <v>0</v>
      </c>
      <c r="AY544">
        <v>4</v>
      </c>
      <c r="AZ544">
        <v>8</v>
      </c>
      <c r="BA544">
        <v>8</v>
      </c>
      <c r="BB544">
        <v>8</v>
      </c>
      <c r="BC544">
        <v>8</v>
      </c>
      <c r="BD544">
        <v>8</v>
      </c>
      <c r="BE544">
        <v>8</v>
      </c>
      <c r="BF544">
        <v>8</v>
      </c>
      <c r="BG544">
        <v>8</v>
      </c>
    </row>
    <row r="545" spans="1:59" x14ac:dyDescent="0.25">
      <c r="A545">
        <v>7</v>
      </c>
      <c r="B545" s="7">
        <v>0</v>
      </c>
      <c r="C545" s="7" t="s">
        <v>11</v>
      </c>
      <c r="D545" s="7" t="s">
        <v>11</v>
      </c>
      <c r="E545" s="7" t="s">
        <v>11</v>
      </c>
      <c r="F545" s="7" t="s">
        <v>11</v>
      </c>
      <c r="G545" s="7" t="s">
        <v>11</v>
      </c>
      <c r="H545" s="7" t="s">
        <v>11</v>
      </c>
      <c r="I545" s="7" t="s">
        <v>11</v>
      </c>
      <c r="J545" s="7" t="s">
        <v>11</v>
      </c>
      <c r="K545" s="7" t="s">
        <v>11</v>
      </c>
      <c r="M545" s="9">
        <v>7</v>
      </c>
      <c r="N545" t="s">
        <v>11</v>
      </c>
      <c r="O545" t="s">
        <v>11</v>
      </c>
      <c r="P545" t="s">
        <v>11</v>
      </c>
      <c r="Q545" t="s">
        <v>11</v>
      </c>
      <c r="R545" t="s">
        <v>11</v>
      </c>
      <c r="S545" t="s">
        <v>11</v>
      </c>
      <c r="T545" t="s">
        <v>11</v>
      </c>
      <c r="U545" t="s">
        <v>11</v>
      </c>
      <c r="V545" t="s">
        <v>11</v>
      </c>
      <c r="W545" t="s">
        <v>11</v>
      </c>
      <c r="Y545" s="9">
        <v>7</v>
      </c>
      <c r="Z545" t="s">
        <v>11</v>
      </c>
      <c r="AA545" t="s">
        <v>11</v>
      </c>
      <c r="AB545" t="s">
        <v>11</v>
      </c>
      <c r="AC545" t="s">
        <v>11</v>
      </c>
      <c r="AD545" t="s">
        <v>11</v>
      </c>
      <c r="AE545" t="s">
        <v>11</v>
      </c>
      <c r="AF545" t="s">
        <v>11</v>
      </c>
      <c r="AG545" t="s">
        <v>11</v>
      </c>
      <c r="AH545" t="s">
        <v>11</v>
      </c>
      <c r="AI545" t="s">
        <v>11</v>
      </c>
      <c r="AK545" s="9">
        <v>7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W545" s="9">
        <v>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>
        <v>8</v>
      </c>
      <c r="B546" s="7">
        <v>0</v>
      </c>
      <c r="C546" s="7" t="s">
        <v>11</v>
      </c>
      <c r="D546" s="7" t="s">
        <v>11</v>
      </c>
      <c r="E546" s="7" t="s">
        <v>11</v>
      </c>
      <c r="F546" s="7" t="s">
        <v>11</v>
      </c>
      <c r="G546" s="7" t="s">
        <v>11</v>
      </c>
      <c r="H546" s="7" t="s">
        <v>11</v>
      </c>
      <c r="I546" s="7" t="s">
        <v>11</v>
      </c>
      <c r="J546" s="7" t="s">
        <v>11</v>
      </c>
      <c r="K546" s="7" t="s">
        <v>11</v>
      </c>
      <c r="M546" s="9">
        <v>8</v>
      </c>
      <c r="N546" t="s">
        <v>11</v>
      </c>
      <c r="O546" t="s">
        <v>11</v>
      </c>
      <c r="P546" t="s">
        <v>11</v>
      </c>
      <c r="Q546" t="s">
        <v>11</v>
      </c>
      <c r="R546" t="s">
        <v>11</v>
      </c>
      <c r="S546" t="s">
        <v>11</v>
      </c>
      <c r="T546" t="s">
        <v>11</v>
      </c>
      <c r="U546" t="s">
        <v>11</v>
      </c>
      <c r="V546" t="s">
        <v>11</v>
      </c>
      <c r="W546" t="s">
        <v>11</v>
      </c>
      <c r="Y546" s="9">
        <v>8</v>
      </c>
      <c r="Z546" t="s">
        <v>11</v>
      </c>
      <c r="AA546" t="s">
        <v>11</v>
      </c>
      <c r="AB546" t="s">
        <v>11</v>
      </c>
      <c r="AC546" t="s">
        <v>11</v>
      </c>
      <c r="AD546" t="s">
        <v>11</v>
      </c>
      <c r="AE546" t="s">
        <v>11</v>
      </c>
      <c r="AF546" t="s">
        <v>11</v>
      </c>
      <c r="AG546" t="s">
        <v>11</v>
      </c>
      <c r="AH546" t="s">
        <v>11</v>
      </c>
      <c r="AI546" t="s">
        <v>11</v>
      </c>
      <c r="AK546" s="9">
        <v>8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W546" s="9">
        <v>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</row>
    <row r="547" spans="1:59" x14ac:dyDescent="0.25">
      <c r="A547">
        <v>9</v>
      </c>
      <c r="B547" s="7">
        <v>0</v>
      </c>
      <c r="C547" s="7" t="s">
        <v>11</v>
      </c>
      <c r="D547" s="7" t="s">
        <v>11</v>
      </c>
      <c r="E547" s="7" t="s">
        <v>11</v>
      </c>
      <c r="F547" s="7" t="s">
        <v>11</v>
      </c>
      <c r="G547" s="7" t="s">
        <v>11</v>
      </c>
      <c r="H547" s="7" t="s">
        <v>11</v>
      </c>
      <c r="I547" s="7" t="s">
        <v>11</v>
      </c>
      <c r="J547" s="7" t="s">
        <v>11</v>
      </c>
      <c r="K547" s="7" t="s">
        <v>11</v>
      </c>
      <c r="M547" s="9">
        <v>9</v>
      </c>
      <c r="N547" t="s">
        <v>11</v>
      </c>
      <c r="O547" t="s">
        <v>11</v>
      </c>
      <c r="P547" t="s">
        <v>11</v>
      </c>
      <c r="Q547" t="s">
        <v>11</v>
      </c>
      <c r="R547" t="s">
        <v>11</v>
      </c>
      <c r="S547" t="s">
        <v>11</v>
      </c>
      <c r="T547" t="s">
        <v>11</v>
      </c>
      <c r="U547" t="s">
        <v>11</v>
      </c>
      <c r="V547" t="s">
        <v>11</v>
      </c>
      <c r="W547" t="s">
        <v>11</v>
      </c>
      <c r="Y547" s="9">
        <v>9</v>
      </c>
      <c r="Z547" t="s">
        <v>11</v>
      </c>
      <c r="AA547" t="s">
        <v>11</v>
      </c>
      <c r="AB547" t="s">
        <v>11</v>
      </c>
      <c r="AC547" t="s">
        <v>11</v>
      </c>
      <c r="AD547" t="s">
        <v>11</v>
      </c>
      <c r="AE547" t="s">
        <v>11</v>
      </c>
      <c r="AF547" t="s">
        <v>11</v>
      </c>
      <c r="AG547" t="s">
        <v>11</v>
      </c>
      <c r="AH547" t="s">
        <v>11</v>
      </c>
      <c r="AI547" t="s">
        <v>11</v>
      </c>
      <c r="AK547" s="9">
        <v>9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W547" s="9">
        <v>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 x14ac:dyDescent="0.25">
      <c r="A548">
        <v>10</v>
      </c>
      <c r="B548" s="7">
        <v>0</v>
      </c>
      <c r="C548" s="7" t="s">
        <v>11</v>
      </c>
      <c r="D548" s="7" t="s">
        <v>11</v>
      </c>
      <c r="E548" s="7" t="s">
        <v>11</v>
      </c>
      <c r="F548" s="7" t="s">
        <v>11</v>
      </c>
      <c r="G548" s="7" t="s">
        <v>11</v>
      </c>
      <c r="H548" s="7" t="s">
        <v>11</v>
      </c>
      <c r="I548" s="7" t="s">
        <v>11</v>
      </c>
      <c r="J548" s="7" t="s">
        <v>11</v>
      </c>
      <c r="K548" s="7" t="s">
        <v>11</v>
      </c>
      <c r="M548" s="9">
        <v>10</v>
      </c>
      <c r="N548" t="s">
        <v>11</v>
      </c>
      <c r="O548" t="s">
        <v>11</v>
      </c>
      <c r="P548" t="s">
        <v>11</v>
      </c>
      <c r="Q548" t="s">
        <v>11</v>
      </c>
      <c r="R548" t="s">
        <v>11</v>
      </c>
      <c r="S548" t="s">
        <v>11</v>
      </c>
      <c r="T548" t="s">
        <v>11</v>
      </c>
      <c r="U548" t="s">
        <v>11</v>
      </c>
      <c r="V548" t="s">
        <v>11</v>
      </c>
      <c r="W548" t="s">
        <v>11</v>
      </c>
      <c r="Y548" s="9">
        <v>10</v>
      </c>
      <c r="Z548" t="s">
        <v>11</v>
      </c>
      <c r="AA548" t="s">
        <v>11</v>
      </c>
      <c r="AB548" t="s">
        <v>11</v>
      </c>
      <c r="AC548" t="s">
        <v>11</v>
      </c>
      <c r="AD548" t="s">
        <v>11</v>
      </c>
      <c r="AE548" t="s">
        <v>11</v>
      </c>
      <c r="AF548" t="s">
        <v>11</v>
      </c>
      <c r="AG548" t="s">
        <v>11</v>
      </c>
      <c r="AH548" t="s">
        <v>11</v>
      </c>
      <c r="AI548" t="s">
        <v>11</v>
      </c>
      <c r="AK548" s="9">
        <v>10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W548" s="9">
        <v>10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25">
      <c r="B549" s="7" t="s">
        <v>815</v>
      </c>
      <c r="C549" t="s">
        <v>816</v>
      </c>
      <c r="D549" t="s">
        <v>817</v>
      </c>
      <c r="E549" t="s">
        <v>818</v>
      </c>
      <c r="F549" t="s">
        <v>819</v>
      </c>
      <c r="G549" t="s">
        <v>820</v>
      </c>
      <c r="H549" t="s">
        <v>11</v>
      </c>
      <c r="I549" t="s">
        <v>11</v>
      </c>
      <c r="J549" t="s">
        <v>11</v>
      </c>
      <c r="K549" t="s">
        <v>11</v>
      </c>
      <c r="N549" t="s">
        <v>11</v>
      </c>
    </row>
    <row r="550" spans="1:59" x14ac:dyDescent="0.25">
      <c r="A550" s="349" t="s">
        <v>821</v>
      </c>
      <c r="B550" s="347" t="s">
        <v>822</v>
      </c>
      <c r="C550" s="347"/>
      <c r="D550" s="347"/>
      <c r="E550" s="347"/>
      <c r="F550" s="347"/>
      <c r="G550" s="347"/>
      <c r="H550" s="347"/>
      <c r="I550" s="347"/>
      <c r="J550" s="347"/>
      <c r="K550" s="347"/>
      <c r="L550" s="349" t="s">
        <v>823</v>
      </c>
      <c r="M550" s="349"/>
      <c r="N550" s="349"/>
      <c r="O550" s="349"/>
      <c r="P550" s="349"/>
      <c r="Q550" s="349"/>
      <c r="R550" s="349"/>
      <c r="S550" s="349"/>
      <c r="T550" s="349"/>
      <c r="U550" s="349"/>
      <c r="V550" s="350" t="s">
        <v>824</v>
      </c>
      <c r="W550" s="350"/>
      <c r="X550" s="350"/>
      <c r="Y550" s="350"/>
      <c r="Z550" s="350"/>
      <c r="AA550" s="350"/>
      <c r="AB550" s="350"/>
      <c r="AC550" s="350"/>
      <c r="AD550" s="350"/>
      <c r="AE550" s="350"/>
      <c r="AG550" s="667" t="s">
        <v>825</v>
      </c>
      <c r="AH550" s="667" t="s">
        <v>815</v>
      </c>
      <c r="AI550" s="667" t="s">
        <v>816</v>
      </c>
      <c r="AJ550" s="667" t="s">
        <v>817</v>
      </c>
      <c r="AK550" s="667" t="s">
        <v>818</v>
      </c>
      <c r="AL550" s="667" t="s">
        <v>819</v>
      </c>
      <c r="AM550" s="667" t="s">
        <v>820</v>
      </c>
      <c r="AN550" s="667" t="s">
        <v>11</v>
      </c>
      <c r="AO550" s="667" t="s">
        <v>11</v>
      </c>
      <c r="AP550" s="667" t="s">
        <v>11</v>
      </c>
      <c r="AQ550" s="667" t="s">
        <v>11</v>
      </c>
    </row>
    <row r="551" spans="1:59" x14ac:dyDescent="0.25">
      <c r="A551" s="349"/>
      <c r="B551" s="344">
        <v>1</v>
      </c>
      <c r="C551" s="344">
        <v>2</v>
      </c>
      <c r="D551" s="344">
        <v>3</v>
      </c>
      <c r="E551" s="344">
        <v>4</v>
      </c>
      <c r="F551" s="344">
        <v>5</v>
      </c>
      <c r="G551" s="344">
        <v>6</v>
      </c>
      <c r="H551" s="344">
        <v>7</v>
      </c>
      <c r="I551" s="344">
        <v>8</v>
      </c>
      <c r="J551" s="344">
        <v>9</v>
      </c>
      <c r="K551" s="344">
        <v>10</v>
      </c>
      <c r="L551" s="345">
        <v>1</v>
      </c>
      <c r="M551" s="345">
        <v>2</v>
      </c>
      <c r="N551" s="345">
        <v>3</v>
      </c>
      <c r="O551" s="345">
        <v>4</v>
      </c>
      <c r="P551" s="345">
        <v>5</v>
      </c>
      <c r="Q551" s="345">
        <v>6</v>
      </c>
      <c r="R551" s="345">
        <v>7</v>
      </c>
      <c r="S551" s="345">
        <v>8</v>
      </c>
      <c r="T551" s="345">
        <v>9</v>
      </c>
      <c r="U551" s="345">
        <v>10</v>
      </c>
      <c r="V551" s="343">
        <v>1</v>
      </c>
      <c r="W551" s="343">
        <v>2</v>
      </c>
      <c r="X551" s="343">
        <v>3</v>
      </c>
      <c r="Y551" s="343">
        <v>4</v>
      </c>
      <c r="Z551" s="343">
        <v>5</v>
      </c>
      <c r="AA551" s="343">
        <v>6</v>
      </c>
      <c r="AB551" s="343">
        <v>7</v>
      </c>
      <c r="AC551" s="343">
        <v>8</v>
      </c>
      <c r="AD551" s="343">
        <v>9</v>
      </c>
      <c r="AE551" s="343">
        <v>10</v>
      </c>
      <c r="AG551" s="3" t="s">
        <v>826</v>
      </c>
      <c r="AH551" s="35" t="e">
        <v>#N/A</v>
      </c>
      <c r="AI551" s="35" t="e">
        <v>#N/A</v>
      </c>
      <c r="AJ551" s="35">
        <v>0.36347672352097227</v>
      </c>
      <c r="AK551" s="35" t="e">
        <v>#N/A</v>
      </c>
      <c r="AL551" s="35">
        <v>0.63652327647902762</v>
      </c>
      <c r="AM551" s="35" t="e">
        <v>#N/A</v>
      </c>
      <c r="AN551" s="35" t="e">
        <v>#N/A</v>
      </c>
      <c r="AO551" s="35" t="e">
        <v>#N/A</v>
      </c>
      <c r="AP551" s="35" t="e">
        <v>#N/A</v>
      </c>
      <c r="AQ551" s="35" t="e">
        <v>#N/A</v>
      </c>
    </row>
    <row r="552" spans="1:59" x14ac:dyDescent="0.25">
      <c r="A552" t="s">
        <v>827</v>
      </c>
      <c r="B552" s="346">
        <v>2629087.3831547895</v>
      </c>
      <c r="C552" s="346">
        <v>3304534</v>
      </c>
      <c r="D552" s="346">
        <v>9037642.5943339374</v>
      </c>
      <c r="E552" s="346">
        <v>9055551</v>
      </c>
      <c r="F552" s="346">
        <v>5529546</v>
      </c>
      <c r="G552" s="346">
        <v>3159096.6299564466</v>
      </c>
      <c r="H552" s="346" t="s">
        <v>11</v>
      </c>
      <c r="I552" s="346" t="s">
        <v>11</v>
      </c>
      <c r="J552" s="346" t="s">
        <v>11</v>
      </c>
      <c r="K552" s="346" t="s">
        <v>11</v>
      </c>
      <c r="L552">
        <v>6</v>
      </c>
      <c r="M552">
        <v>4</v>
      </c>
      <c r="N552">
        <v>2</v>
      </c>
      <c r="O552">
        <v>1</v>
      </c>
      <c r="P552">
        <v>3</v>
      </c>
      <c r="Q552">
        <v>5</v>
      </c>
      <c r="R552" t="s">
        <v>11</v>
      </c>
      <c r="S552" t="s">
        <v>11</v>
      </c>
      <c r="T552" t="s">
        <v>11</v>
      </c>
      <c r="U552" t="s">
        <v>11</v>
      </c>
      <c r="V552">
        <v>0</v>
      </c>
      <c r="W552">
        <v>0</v>
      </c>
      <c r="X552">
        <v>2</v>
      </c>
      <c r="Y552">
        <v>4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G552" s="668" t="s">
        <v>36</v>
      </c>
      <c r="AH552" s="669" t="e">
        <v>#N/A</v>
      </c>
      <c r="AI552" s="669" t="e">
        <v>#N/A</v>
      </c>
      <c r="AJ552" s="669" t="e">
        <v>#N/A</v>
      </c>
      <c r="AK552" s="669">
        <v>1</v>
      </c>
      <c r="AL552" s="669" t="e">
        <v>#N/A</v>
      </c>
      <c r="AM552" s="669" t="e">
        <v>#N/A</v>
      </c>
      <c r="AN552" s="669" t="e">
        <v>#N/A</v>
      </c>
      <c r="AO552" s="669" t="e">
        <v>#N/A</v>
      </c>
      <c r="AP552" s="669" t="e">
        <v>#N/A</v>
      </c>
      <c r="AQ552" s="669" t="e">
        <v>#N/A</v>
      </c>
    </row>
    <row r="553" spans="1:59" x14ac:dyDescent="0.25">
      <c r="A553" t="s">
        <v>482</v>
      </c>
      <c r="B553" s="346">
        <v>-4621834.5570100052</v>
      </c>
      <c r="C553" s="346">
        <v>-5276849.3570706062</v>
      </c>
      <c r="D553" s="346">
        <v>-564273.82531428069</v>
      </c>
      <c r="E553" s="346">
        <v>49422712.405018084</v>
      </c>
      <c r="F553" s="346">
        <v>8349306.7952964716</v>
      </c>
      <c r="G553" s="346">
        <v>-1534744.5670839241</v>
      </c>
      <c r="H553" s="346" t="s">
        <v>11</v>
      </c>
      <c r="I553" s="346" t="s">
        <v>11</v>
      </c>
      <c r="J553" s="346" t="s">
        <v>11</v>
      </c>
      <c r="K553" s="346" t="s">
        <v>11</v>
      </c>
      <c r="L553">
        <v>5</v>
      </c>
      <c r="M553">
        <v>6</v>
      </c>
      <c r="N553">
        <v>3</v>
      </c>
      <c r="O553">
        <v>1</v>
      </c>
      <c r="P553">
        <v>2</v>
      </c>
      <c r="Q553">
        <v>4</v>
      </c>
      <c r="R553" t="s">
        <v>11</v>
      </c>
      <c r="S553" t="s">
        <v>11</v>
      </c>
      <c r="T553" t="s">
        <v>11</v>
      </c>
      <c r="U553" t="s">
        <v>11</v>
      </c>
      <c r="V553">
        <v>0</v>
      </c>
      <c r="W553">
        <v>0</v>
      </c>
      <c r="X553">
        <v>1</v>
      </c>
      <c r="Y553">
        <v>4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0</v>
      </c>
      <c r="AG553" s="3" t="s">
        <v>828</v>
      </c>
      <c r="AH553" s="35" t="e">
        <v>#N/A</v>
      </c>
      <c r="AI553" s="35">
        <v>1</v>
      </c>
      <c r="AJ553" s="35" t="e">
        <v>#N/A</v>
      </c>
      <c r="AK553" s="35" t="e">
        <v>#N/A</v>
      </c>
      <c r="AL553" s="35" t="e">
        <v>#N/A</v>
      </c>
      <c r="AM553" s="35" t="e">
        <v>#N/A</v>
      </c>
      <c r="AN553" s="35" t="e">
        <v>#N/A</v>
      </c>
      <c r="AO553" s="35" t="e">
        <v>#N/A</v>
      </c>
      <c r="AP553" s="35" t="e">
        <v>#N/A</v>
      </c>
      <c r="AQ553" s="35" t="e">
        <v>#N/A</v>
      </c>
    </row>
    <row r="554" spans="1:59" x14ac:dyDescent="0.25">
      <c r="A554" t="s">
        <v>487</v>
      </c>
      <c r="B554">
        <v>2</v>
      </c>
      <c r="C554">
        <v>2</v>
      </c>
      <c r="D554">
        <v>2</v>
      </c>
      <c r="E554">
        <v>2</v>
      </c>
      <c r="F554">
        <v>2</v>
      </c>
      <c r="G554">
        <v>2</v>
      </c>
      <c r="H554" t="s">
        <v>11</v>
      </c>
      <c r="I554" t="s">
        <v>11</v>
      </c>
      <c r="J554" t="s">
        <v>11</v>
      </c>
      <c r="K554" t="s">
        <v>11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 t="s">
        <v>11</v>
      </c>
      <c r="S554" t="s">
        <v>11</v>
      </c>
      <c r="T554" t="s">
        <v>11</v>
      </c>
      <c r="U554" t="s">
        <v>11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0</v>
      </c>
      <c r="AC554">
        <v>0</v>
      </c>
      <c r="AD554">
        <v>0</v>
      </c>
      <c r="AE554">
        <v>0</v>
      </c>
      <c r="AG554" s="668" t="s">
        <v>7</v>
      </c>
      <c r="AH554" s="669">
        <v>0.25226163128341578</v>
      </c>
      <c r="AI554" s="669">
        <v>0.29580543585308572</v>
      </c>
      <c r="AJ554" s="669">
        <v>0.14860113568403763</v>
      </c>
      <c r="AK554" s="669" t="e">
        <v>#N/A</v>
      </c>
      <c r="AL554" s="669" t="e">
        <v>#N/A</v>
      </c>
      <c r="AM554" s="669">
        <v>0.30333179717946085</v>
      </c>
      <c r="AN554" s="669" t="e">
        <v>#N/A</v>
      </c>
      <c r="AO554" s="669" t="e">
        <v>#N/A</v>
      </c>
      <c r="AP554" s="669" t="e">
        <v>#N/A</v>
      </c>
      <c r="AQ554" s="669" t="e">
        <v>#N/A</v>
      </c>
    </row>
    <row r="555" spans="1:59" x14ac:dyDescent="0.25">
      <c r="A555" t="s">
        <v>829</v>
      </c>
      <c r="B555" s="7">
        <v>0.13094302000539082</v>
      </c>
      <c r="C555" s="7">
        <v>0.33124012895724886</v>
      </c>
      <c r="D555" s="7">
        <v>0.41355119262922013</v>
      </c>
      <c r="E555" s="7">
        <v>0</v>
      </c>
      <c r="F555" s="7">
        <v>0</v>
      </c>
      <c r="G555" s="7">
        <v>0</v>
      </c>
      <c r="H555" s="7" t="s">
        <v>11</v>
      </c>
      <c r="I555" s="7" t="s">
        <v>11</v>
      </c>
      <c r="J555" s="7" t="s">
        <v>11</v>
      </c>
      <c r="K555" s="7" t="s">
        <v>11</v>
      </c>
      <c r="L555">
        <v>3</v>
      </c>
      <c r="M555">
        <v>1</v>
      </c>
      <c r="N555">
        <v>2</v>
      </c>
      <c r="O555">
        <v>1</v>
      </c>
      <c r="P555">
        <v>1</v>
      </c>
      <c r="Q555">
        <v>1</v>
      </c>
      <c r="R555" t="s">
        <v>11</v>
      </c>
      <c r="S555" t="s">
        <v>11</v>
      </c>
      <c r="T555" t="s">
        <v>11</v>
      </c>
      <c r="U555" t="s">
        <v>11</v>
      </c>
      <c r="V555">
        <v>5</v>
      </c>
      <c r="W555">
        <v>20</v>
      </c>
      <c r="X555">
        <v>10</v>
      </c>
      <c r="Y555">
        <v>20</v>
      </c>
      <c r="Z555">
        <v>20</v>
      </c>
      <c r="AA555">
        <v>20</v>
      </c>
      <c r="AB555">
        <v>0</v>
      </c>
      <c r="AC555">
        <v>0</v>
      </c>
      <c r="AD555">
        <v>0</v>
      </c>
      <c r="AE555">
        <v>0</v>
      </c>
      <c r="AG555" s="3" t="s">
        <v>830</v>
      </c>
      <c r="AH555" s="35" t="e">
        <v>#N/A</v>
      </c>
      <c r="AI555" s="35" t="e">
        <v>#N/A</v>
      </c>
      <c r="AJ555" s="35" t="e">
        <v>#N/A</v>
      </c>
      <c r="AK555" s="35" t="e">
        <v>#N/A</v>
      </c>
      <c r="AL555" s="35" t="e">
        <v>#N/A</v>
      </c>
      <c r="AM555" s="35" t="e">
        <v>#N/A</v>
      </c>
      <c r="AN555" s="35" t="e">
        <v>#N/A</v>
      </c>
      <c r="AO555" s="35" t="e">
        <v>#N/A</v>
      </c>
      <c r="AP555" s="35" t="e">
        <v>#N/A</v>
      </c>
      <c r="AQ555" s="35" t="e">
        <v>#N/A</v>
      </c>
    </row>
    <row r="556" spans="1:59" x14ac:dyDescent="0.25">
      <c r="A556" t="s">
        <v>559</v>
      </c>
      <c r="V556">
        <v>7</v>
      </c>
      <c r="W556">
        <v>22</v>
      </c>
      <c r="X556">
        <v>15</v>
      </c>
      <c r="Y556">
        <v>30</v>
      </c>
      <c r="Z556">
        <v>25</v>
      </c>
      <c r="AA556">
        <v>22</v>
      </c>
      <c r="AB556">
        <v>0</v>
      </c>
      <c r="AC556">
        <v>0</v>
      </c>
      <c r="AD556">
        <v>0</v>
      </c>
      <c r="AE556">
        <v>0</v>
      </c>
      <c r="AG556" s="668" t="s">
        <v>831</v>
      </c>
      <c r="AH556" s="669">
        <v>6.2687591247504601E-2</v>
      </c>
      <c r="AI556" s="669">
        <v>8.989495175730651E-2</v>
      </c>
      <c r="AJ556" s="669">
        <v>0.14937696267898426</v>
      </c>
      <c r="AK556" s="669">
        <v>0.42573986094640132</v>
      </c>
      <c r="AL556" s="669">
        <v>0.19692198931198573</v>
      </c>
      <c r="AM556" s="669">
        <v>7.5378644057817551E-2</v>
      </c>
      <c r="AN556" s="669" t="e">
        <v>#N/A</v>
      </c>
      <c r="AO556" s="669" t="e">
        <v>#N/A</v>
      </c>
      <c r="AP556" s="669" t="e">
        <v>#N/A</v>
      </c>
      <c r="AQ556" s="669" t="e">
        <v>#N/A</v>
      </c>
    </row>
    <row r="557" spans="1:59" x14ac:dyDescent="0.25">
      <c r="B557">
        <v>1</v>
      </c>
      <c r="C557">
        <v>2</v>
      </c>
      <c r="D557">
        <v>3</v>
      </c>
      <c r="E557">
        <v>4</v>
      </c>
      <c r="F557">
        <v>5</v>
      </c>
      <c r="G557">
        <v>6</v>
      </c>
      <c r="AG557" s="3" t="s">
        <v>832</v>
      </c>
      <c r="AH557" s="35">
        <v>5.0024548259945539E-2</v>
      </c>
      <c r="AI557" s="35">
        <v>6.5755753417724605E-2</v>
      </c>
      <c r="AJ557" s="35">
        <v>0.15404773197678243</v>
      </c>
      <c r="AK557" s="35">
        <v>0.51048209204628392</v>
      </c>
      <c r="AL557" s="35">
        <v>0.15857964782257686</v>
      </c>
      <c r="AM557" s="35">
        <v>6.1110226476686555E-2</v>
      </c>
      <c r="AN557" s="35" t="e">
        <v>#N/A</v>
      </c>
      <c r="AO557" s="35" t="e">
        <v>#N/A</v>
      </c>
      <c r="AP557" s="35" t="e">
        <v>#N/A</v>
      </c>
      <c r="AQ557" s="35" t="e">
        <v>#N/A</v>
      </c>
    </row>
    <row r="558" spans="1:59" x14ac:dyDescent="0.25">
      <c r="A558" s="344"/>
      <c r="B558" s="347" t="s">
        <v>833</v>
      </c>
      <c r="C558" s="347"/>
      <c r="D558" s="347"/>
      <c r="E558" s="347"/>
      <c r="F558" s="347"/>
      <c r="G558" s="347"/>
      <c r="H558" s="347"/>
      <c r="I558" s="351" t="s">
        <v>804</v>
      </c>
      <c r="J558" s="351"/>
      <c r="K558" s="351"/>
      <c r="L558" s="347" t="s">
        <v>821</v>
      </c>
      <c r="M558" s="347"/>
      <c r="N558" s="347"/>
      <c r="O558" s="347"/>
      <c r="P558" s="347"/>
      <c r="Q558" s="347" t="s">
        <v>559</v>
      </c>
      <c r="R558" s="15" t="s">
        <v>834</v>
      </c>
      <c r="S558" s="15"/>
      <c r="T558" s="15" t="s">
        <v>835</v>
      </c>
      <c r="U558" s="15"/>
      <c r="AG558" s="668" t="s">
        <v>836</v>
      </c>
      <c r="AH558" s="670">
        <v>2629087.3831547895</v>
      </c>
      <c r="AI558" s="670">
        <v>3304534</v>
      </c>
      <c r="AJ558" s="670">
        <v>9037642.5943339374</v>
      </c>
      <c r="AK558" s="670">
        <v>9055551</v>
      </c>
      <c r="AL558" s="670">
        <v>5529546</v>
      </c>
      <c r="AM558" s="670">
        <v>3159096.6299564466</v>
      </c>
      <c r="AN558" s="670" t="e">
        <v>#N/A</v>
      </c>
      <c r="AO558" s="670" t="e">
        <v>#N/A</v>
      </c>
      <c r="AP558" s="670" t="e">
        <v>#N/A</v>
      </c>
      <c r="AQ558" s="670" t="e">
        <v>#N/A</v>
      </c>
    </row>
    <row r="559" spans="1:59" x14ac:dyDescent="0.25">
      <c r="A559" s="344"/>
      <c r="B559" s="347" t="s">
        <v>800</v>
      </c>
      <c r="C559" s="347" t="s">
        <v>801</v>
      </c>
      <c r="D559" s="347" t="s">
        <v>802</v>
      </c>
      <c r="E559" s="347" t="s">
        <v>487</v>
      </c>
      <c r="F559" s="347" t="s">
        <v>743</v>
      </c>
      <c r="G559" s="347" t="s">
        <v>803</v>
      </c>
      <c r="H559" s="347" t="s">
        <v>559</v>
      </c>
      <c r="I559" s="344" t="s">
        <v>805</v>
      </c>
      <c r="J559" s="344" t="s">
        <v>806</v>
      </c>
      <c r="K559" s="344" t="s">
        <v>559</v>
      </c>
      <c r="L559" s="344" t="s">
        <v>827</v>
      </c>
      <c r="M559" s="344" t="s">
        <v>482</v>
      </c>
      <c r="N559" s="344" t="s">
        <v>487</v>
      </c>
      <c r="O559" s="344" t="s">
        <v>829</v>
      </c>
      <c r="P559" s="344" t="s">
        <v>559</v>
      </c>
      <c r="Q559" s="347"/>
      <c r="R559" s="15" t="s">
        <v>837</v>
      </c>
      <c r="S559" s="15" t="s">
        <v>838</v>
      </c>
      <c r="T559" s="15" t="s">
        <v>837</v>
      </c>
      <c r="U559" s="15" t="s">
        <v>838</v>
      </c>
      <c r="AG559" s="3" t="s">
        <v>839</v>
      </c>
      <c r="AH559" s="2">
        <v>-4621834.5570100052</v>
      </c>
      <c r="AI559" s="2">
        <v>-5276849.3570706062</v>
      </c>
      <c r="AJ559" s="2">
        <v>-564273.82531428069</v>
      </c>
      <c r="AK559" s="2">
        <v>49422712.405018084</v>
      </c>
      <c r="AL559" s="2">
        <v>8349306.7952964716</v>
      </c>
      <c r="AM559" s="2">
        <v>-1534744.5670839241</v>
      </c>
      <c r="AN559" s="2" t="e">
        <v>#N/A</v>
      </c>
      <c r="AO559" s="2" t="e">
        <v>#N/A</v>
      </c>
      <c r="AP559" s="2" t="e">
        <v>#N/A</v>
      </c>
      <c r="AQ559" s="2" t="e">
        <v>#N/A</v>
      </c>
    </row>
    <row r="560" spans="1:59" x14ac:dyDescent="0.25">
      <c r="A560" t="s">
        <v>815</v>
      </c>
      <c r="B560" s="348">
        <v>3</v>
      </c>
      <c r="C560" s="348">
        <v>3.5</v>
      </c>
      <c r="D560" s="348">
        <v>0</v>
      </c>
      <c r="E560" s="348">
        <v>1</v>
      </c>
      <c r="F560" s="348">
        <v>1</v>
      </c>
      <c r="G560" s="348">
        <v>0.5</v>
      </c>
      <c r="H560" s="348">
        <v>9</v>
      </c>
      <c r="I560" s="348">
        <v>1</v>
      </c>
      <c r="J560" s="348">
        <v>1</v>
      </c>
      <c r="K560" s="348">
        <v>2</v>
      </c>
      <c r="L560" s="348">
        <v>0</v>
      </c>
      <c r="M560" s="348">
        <v>0</v>
      </c>
      <c r="N560" s="348">
        <v>2</v>
      </c>
      <c r="O560" s="348">
        <v>5</v>
      </c>
      <c r="P560" s="348">
        <v>7</v>
      </c>
      <c r="Q560" s="348">
        <v>18</v>
      </c>
      <c r="R560" s="23">
        <v>5.1428571428571432</v>
      </c>
      <c r="S560" s="23">
        <v>0</v>
      </c>
      <c r="T560">
        <v>20</v>
      </c>
      <c r="U560">
        <v>5</v>
      </c>
      <c r="AG560" s="668" t="s">
        <v>840</v>
      </c>
      <c r="AH560" s="671">
        <v>2</v>
      </c>
      <c r="AI560" s="671">
        <v>2</v>
      </c>
      <c r="AJ560" s="671">
        <v>2</v>
      </c>
      <c r="AK560" s="671">
        <v>1</v>
      </c>
      <c r="AL560" s="671">
        <v>1</v>
      </c>
      <c r="AM560" s="671">
        <v>1</v>
      </c>
      <c r="AN560" s="671" t="e">
        <v>#N/A</v>
      </c>
      <c r="AO560" s="671" t="e">
        <v>#N/A</v>
      </c>
      <c r="AP560" s="671" t="e">
        <v>#N/A</v>
      </c>
      <c r="AQ560" s="671" t="e">
        <v>#N/A</v>
      </c>
    </row>
    <row r="561" spans="1:168" x14ac:dyDescent="0.25">
      <c r="A561" t="s">
        <v>816</v>
      </c>
      <c r="B561" s="348">
        <v>3</v>
      </c>
      <c r="C561" s="348">
        <v>3.5</v>
      </c>
      <c r="D561" s="348">
        <v>0</v>
      </c>
      <c r="E561" s="348">
        <v>1</v>
      </c>
      <c r="F561" s="348">
        <v>1</v>
      </c>
      <c r="G561" s="348">
        <v>2.5</v>
      </c>
      <c r="H561" s="348">
        <v>11</v>
      </c>
      <c r="I561" s="348">
        <v>2</v>
      </c>
      <c r="J561" s="348">
        <v>1</v>
      </c>
      <c r="K561" s="348">
        <v>3</v>
      </c>
      <c r="L561" s="348">
        <v>0</v>
      </c>
      <c r="M561" s="348">
        <v>0</v>
      </c>
      <c r="N561" s="348">
        <v>2</v>
      </c>
      <c r="O561" s="348">
        <v>20</v>
      </c>
      <c r="P561" s="348">
        <v>22</v>
      </c>
      <c r="Q561" s="348">
        <v>36</v>
      </c>
      <c r="R561" s="23">
        <v>10.285714285714286</v>
      </c>
      <c r="S561" s="23">
        <v>0</v>
      </c>
    </row>
    <row r="562" spans="1:168" x14ac:dyDescent="0.25">
      <c r="A562" t="s">
        <v>817</v>
      </c>
      <c r="B562" s="348">
        <v>5</v>
      </c>
      <c r="C562" s="348">
        <v>4.5</v>
      </c>
      <c r="D562" s="348">
        <v>0</v>
      </c>
      <c r="E562" s="348">
        <v>1</v>
      </c>
      <c r="F562" s="348">
        <v>1</v>
      </c>
      <c r="G562" s="348">
        <v>3.5</v>
      </c>
      <c r="H562" s="348">
        <v>15</v>
      </c>
      <c r="I562" s="348">
        <v>4</v>
      </c>
      <c r="J562" s="348">
        <v>4</v>
      </c>
      <c r="K562" s="348">
        <v>8</v>
      </c>
      <c r="L562" s="348">
        <v>2</v>
      </c>
      <c r="M562" s="348">
        <v>1</v>
      </c>
      <c r="N562" s="348">
        <v>2</v>
      </c>
      <c r="O562" s="348">
        <v>10</v>
      </c>
      <c r="P562" s="348">
        <v>15</v>
      </c>
      <c r="Q562" s="348">
        <v>38</v>
      </c>
      <c r="R562" s="23">
        <v>10.857142857142858</v>
      </c>
      <c r="S562" s="23">
        <v>0</v>
      </c>
    </row>
    <row r="563" spans="1:168" x14ac:dyDescent="0.25">
      <c r="A563" t="s">
        <v>818</v>
      </c>
      <c r="B563" s="348">
        <v>5</v>
      </c>
      <c r="C563" s="348">
        <v>5</v>
      </c>
      <c r="D563" s="348">
        <v>3</v>
      </c>
      <c r="E563" s="348">
        <v>1</v>
      </c>
      <c r="F563" s="348">
        <v>0.5</v>
      </c>
      <c r="G563" s="348">
        <v>0</v>
      </c>
      <c r="H563" s="348">
        <v>14.5</v>
      </c>
      <c r="I563" s="348">
        <v>1</v>
      </c>
      <c r="J563" s="348">
        <v>2</v>
      </c>
      <c r="K563" s="348">
        <v>3</v>
      </c>
      <c r="L563" s="348">
        <v>4</v>
      </c>
      <c r="M563" s="348">
        <v>4</v>
      </c>
      <c r="N563" s="348">
        <v>2</v>
      </c>
      <c r="O563" s="348">
        <v>20</v>
      </c>
      <c r="P563" s="348">
        <v>30</v>
      </c>
      <c r="Q563" s="348">
        <v>47.5</v>
      </c>
      <c r="R563" s="23">
        <v>13.571428571428571</v>
      </c>
      <c r="S563" s="23">
        <v>0</v>
      </c>
    </row>
    <row r="564" spans="1:168" x14ac:dyDescent="0.25">
      <c r="A564" t="s">
        <v>819</v>
      </c>
      <c r="B564" s="348">
        <v>4</v>
      </c>
      <c r="C564" s="348">
        <v>4.5</v>
      </c>
      <c r="D564" s="348">
        <v>0</v>
      </c>
      <c r="E564" s="348">
        <v>1</v>
      </c>
      <c r="F564" s="348">
        <v>0.5</v>
      </c>
      <c r="G564" s="348">
        <v>0</v>
      </c>
      <c r="H564" s="348">
        <v>10</v>
      </c>
      <c r="I564" s="348">
        <v>1</v>
      </c>
      <c r="J564" s="348">
        <v>1</v>
      </c>
      <c r="K564" s="348">
        <v>2</v>
      </c>
      <c r="L564" s="348">
        <v>1</v>
      </c>
      <c r="M564" s="348">
        <v>2</v>
      </c>
      <c r="N564" s="348">
        <v>2</v>
      </c>
      <c r="O564" s="348">
        <v>20</v>
      </c>
      <c r="P564" s="348">
        <v>25</v>
      </c>
      <c r="Q564" s="348">
        <v>37</v>
      </c>
      <c r="R564" s="23">
        <v>10.571428571428571</v>
      </c>
      <c r="S564" s="23">
        <v>0</v>
      </c>
    </row>
    <row r="565" spans="1:168" x14ac:dyDescent="0.25">
      <c r="A565" t="s">
        <v>820</v>
      </c>
      <c r="B565" s="348">
        <v>3</v>
      </c>
      <c r="C565" s="348">
        <v>3.5</v>
      </c>
      <c r="D565" s="348">
        <v>0</v>
      </c>
      <c r="E565" s="348">
        <v>1</v>
      </c>
      <c r="F565" s="348">
        <v>0.5</v>
      </c>
      <c r="G565" s="348">
        <v>0</v>
      </c>
      <c r="H565" s="348">
        <v>8</v>
      </c>
      <c r="I565" s="348">
        <v>3</v>
      </c>
      <c r="J565" s="348">
        <v>3</v>
      </c>
      <c r="K565" s="348">
        <v>6</v>
      </c>
      <c r="L565" s="348">
        <v>0</v>
      </c>
      <c r="M565" s="348">
        <v>0</v>
      </c>
      <c r="N565" s="348">
        <v>2</v>
      </c>
      <c r="O565" s="348">
        <v>20</v>
      </c>
      <c r="P565" s="348">
        <v>22</v>
      </c>
      <c r="Q565" s="348">
        <v>36</v>
      </c>
      <c r="R565" s="23">
        <v>10.285714285714286</v>
      </c>
      <c r="S565" s="23">
        <v>0</v>
      </c>
    </row>
    <row r="566" spans="1:168" x14ac:dyDescent="0.25">
      <c r="A566" t="s">
        <v>11</v>
      </c>
      <c r="B566" s="348" t="s">
        <v>11</v>
      </c>
      <c r="C566" s="348" t="s">
        <v>11</v>
      </c>
      <c r="D566" s="348" t="s">
        <v>11</v>
      </c>
      <c r="E566" s="348" t="s">
        <v>11</v>
      </c>
      <c r="F566" s="348" t="s">
        <v>11</v>
      </c>
      <c r="G566" s="348" t="s">
        <v>11</v>
      </c>
      <c r="H566" s="348" t="s">
        <v>11</v>
      </c>
      <c r="I566" s="348" t="s">
        <v>11</v>
      </c>
      <c r="J566" s="348" t="s">
        <v>11</v>
      </c>
      <c r="K566" s="348" t="s">
        <v>11</v>
      </c>
      <c r="L566" s="348">
        <v>0</v>
      </c>
      <c r="M566" s="348">
        <v>0</v>
      </c>
      <c r="N566" s="348">
        <v>0</v>
      </c>
      <c r="O566" s="348">
        <v>0</v>
      </c>
      <c r="P566" s="348">
        <v>0</v>
      </c>
      <c r="Q566" s="348" t="s">
        <v>11</v>
      </c>
      <c r="R566" s="23" t="s">
        <v>11</v>
      </c>
      <c r="S566" s="23" t="s">
        <v>11</v>
      </c>
    </row>
    <row r="567" spans="1:168" x14ac:dyDescent="0.25">
      <c r="A567" t="s">
        <v>11</v>
      </c>
      <c r="B567" s="348" t="s">
        <v>11</v>
      </c>
      <c r="C567" s="348" t="s">
        <v>11</v>
      </c>
      <c r="D567" s="348" t="s">
        <v>11</v>
      </c>
      <c r="E567" s="348" t="s">
        <v>11</v>
      </c>
      <c r="F567" s="348" t="s">
        <v>11</v>
      </c>
      <c r="G567" s="348" t="s">
        <v>11</v>
      </c>
      <c r="H567" s="348" t="s">
        <v>11</v>
      </c>
      <c r="I567" s="348" t="s">
        <v>11</v>
      </c>
      <c r="J567" s="348" t="s">
        <v>11</v>
      </c>
      <c r="K567" s="348" t="s">
        <v>11</v>
      </c>
      <c r="L567" s="348">
        <v>0</v>
      </c>
      <c r="M567" s="348">
        <v>0</v>
      </c>
      <c r="N567" s="348">
        <v>0</v>
      </c>
      <c r="O567" s="348">
        <v>0</v>
      </c>
      <c r="P567" s="348">
        <v>0</v>
      </c>
      <c r="Q567" s="348" t="s">
        <v>11</v>
      </c>
      <c r="R567" s="23" t="s">
        <v>11</v>
      </c>
      <c r="S567" s="23" t="s">
        <v>11</v>
      </c>
    </row>
    <row r="568" spans="1:168" x14ac:dyDescent="0.25">
      <c r="A568" t="s">
        <v>11</v>
      </c>
      <c r="B568" s="348" t="s">
        <v>11</v>
      </c>
      <c r="C568" s="348" t="s">
        <v>11</v>
      </c>
      <c r="D568" s="348" t="s">
        <v>11</v>
      </c>
      <c r="E568" s="348" t="s">
        <v>11</v>
      </c>
      <c r="F568" s="348" t="s">
        <v>11</v>
      </c>
      <c r="G568" s="348" t="s">
        <v>11</v>
      </c>
      <c r="H568" s="348" t="s">
        <v>11</v>
      </c>
      <c r="I568" s="348" t="s">
        <v>11</v>
      </c>
      <c r="J568" s="348" t="s">
        <v>11</v>
      </c>
      <c r="K568" s="348" t="s">
        <v>11</v>
      </c>
      <c r="L568" s="348">
        <v>0</v>
      </c>
      <c r="M568" s="348">
        <v>0</v>
      </c>
      <c r="N568" s="348">
        <v>0</v>
      </c>
      <c r="O568" s="348">
        <v>0</v>
      </c>
      <c r="P568" s="348">
        <v>0</v>
      </c>
      <c r="Q568" s="348" t="s">
        <v>11</v>
      </c>
      <c r="R568" s="23" t="s">
        <v>11</v>
      </c>
      <c r="S568" s="23" t="s">
        <v>11</v>
      </c>
    </row>
    <row r="569" spans="1:168" x14ac:dyDescent="0.25">
      <c r="A569" t="s">
        <v>11</v>
      </c>
      <c r="B569" s="348" t="s">
        <v>11</v>
      </c>
      <c r="C569" s="348" t="s">
        <v>11</v>
      </c>
      <c r="D569" s="348" t="s">
        <v>11</v>
      </c>
      <c r="E569" s="348" t="s">
        <v>11</v>
      </c>
      <c r="F569" s="348" t="s">
        <v>11</v>
      </c>
      <c r="G569" s="348" t="s">
        <v>11</v>
      </c>
      <c r="H569" s="348" t="s">
        <v>11</v>
      </c>
      <c r="I569" s="348" t="s">
        <v>11</v>
      </c>
      <c r="J569" s="348" t="s">
        <v>11</v>
      </c>
      <c r="K569" s="348" t="s">
        <v>11</v>
      </c>
      <c r="L569" s="348">
        <v>0</v>
      </c>
      <c r="M569" s="348">
        <v>0</v>
      </c>
      <c r="N569" s="348">
        <v>0</v>
      </c>
      <c r="O569" s="348">
        <v>0</v>
      </c>
      <c r="P569" s="348">
        <v>0</v>
      </c>
      <c r="Q569" s="348" t="s">
        <v>11</v>
      </c>
      <c r="R569" s="23" t="s">
        <v>11</v>
      </c>
      <c r="S569" s="23" t="s">
        <v>11</v>
      </c>
      <c r="FL569" t="s">
        <v>841</v>
      </c>
    </row>
  </sheetData>
  <conditionalFormatting sqref="A1:A35 AF2:AF7 AK2:AK7 N2:AA12 AP2:DQ13 B2:M45 AF8:AK8 AF9:AF12 AK9:AK13 N13 AA13:AF13 O13:Z16 N24:Z36 A46:DQ56 B57:DQ57 A58:DQ81 B184:DQ185 A186:DQ186 B187:DQ208 A204:A207 B211:DQ212 A214 N214 C432:L441 C444:L453 C456:L465 C468:L477">
    <cfRule type="cellIs" dxfId="48" priority="19" operator="lessThan">
      <formula>0</formula>
    </cfRule>
  </conditionalFormatting>
  <conditionalFormatting sqref="A514:DQ514">
    <cfRule type="cellIs" dxfId="47" priority="13" operator="lessThan">
      <formula>0</formula>
    </cfRule>
  </conditionalFormatting>
  <conditionalFormatting sqref="A522:DQ522">
    <cfRule type="cellIs" dxfId="46" priority="12" operator="lessThan">
      <formula>0</formula>
    </cfRule>
  </conditionalFormatting>
  <conditionalFormatting sqref="B14:M23 B25:M34 O25:Z34 N36:Z36 B36:M45">
    <cfRule type="cellIs" dxfId="45" priority="17" operator="equal">
      <formula>0</formula>
    </cfRule>
  </conditionalFormatting>
  <conditionalFormatting sqref="B560:Q569">
    <cfRule type="cellIs" dxfId="44" priority="11" operator="equal">
      <formula>0</formula>
    </cfRule>
  </conditionalFormatting>
  <conditionalFormatting sqref="B71:DQ80">
    <cfRule type="cellIs" dxfId="43" priority="18" operator="equal">
      <formula>0</formula>
    </cfRule>
  </conditionalFormatting>
  <conditionalFormatting sqref="B480:DQ513">
    <cfRule type="cellIs" dxfId="42" priority="1" operator="lessThan">
      <formula>0</formula>
    </cfRule>
  </conditionalFormatting>
  <conditionalFormatting sqref="C215:L225 C227:L237 C239:L249 C251:L261 C287:L297">
    <cfRule type="cellIs" dxfId="41" priority="16" operator="equal">
      <formula>0</formula>
    </cfRule>
  </conditionalFormatting>
  <conditionalFormatting sqref="C263:L273 C275:L285 C299:L309 C311:L321 C323:L333 C335:L345 C347:L357 C359:L369 C371:L381 C383:L393 C395:L405 C407:L417 C419:L429 C431:L441 C443:L453 C455:L465 C467:L477">
    <cfRule type="cellIs" dxfId="40" priority="15" operator="equal">
      <formula>"."</formula>
    </cfRule>
  </conditionalFormatting>
  <conditionalFormatting sqref="C264:L273 C276:L285 C300:L309 C312:L321 C324:L333">
    <cfRule type="cellIs" dxfId="39" priority="14" operator="equal">
      <formula>1</formula>
    </cfRule>
  </conditionalFormatting>
  <conditionalFormatting sqref="P431:Y441">
    <cfRule type="cellIs" dxfId="38" priority="5" operator="equal">
      <formula>"."</formula>
    </cfRule>
  </conditionalFormatting>
  <conditionalFormatting sqref="P432:Y441">
    <cfRule type="cellIs" dxfId="37" priority="6" operator="lessThan">
      <formula>0</formula>
    </cfRule>
  </conditionalFormatting>
  <conditionalFormatting sqref="P443:Y453">
    <cfRule type="cellIs" dxfId="36" priority="3" operator="equal">
      <formula>"."</formula>
    </cfRule>
  </conditionalFormatting>
  <conditionalFormatting sqref="P444:Y453">
    <cfRule type="cellIs" dxfId="35" priority="4" operator="lessThan">
      <formula>0</formula>
    </cfRule>
  </conditionalFormatting>
  <conditionalFormatting sqref="Q560:Q569">
    <cfRule type="iconSet" priority="10">
      <iconSet iconSet="3Flags">
        <cfvo type="percent" val="0"/>
        <cfvo type="num" val="50"/>
        <cfvo type="percent" val="67"/>
      </iconSet>
    </cfRule>
  </conditionalFormatting>
  <conditionalFormatting sqref="R560:R569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{BC84DED4-EC80-4F65-8762-6ECD5C4E1B2F}</x14:id>
        </ext>
      </extLst>
    </cfRule>
  </conditionalFormatting>
  <conditionalFormatting sqref="S560:S56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{35D17593-AD1A-4E9D-B0D2-D1D921BCE2F5}</x14:id>
        </ext>
      </extLst>
    </cfRule>
  </conditionalFormatting>
  <conditionalFormatting sqref="AE5">
    <cfRule type="cellIs" dxfId="34" priority="7" operator="equal">
      <formula>0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84DED4-EC80-4F65-8762-6ECD5C4E1B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R560:R569</xm:sqref>
        </x14:conditionalFormatting>
        <x14:conditionalFormatting xmlns:xm="http://schemas.microsoft.com/office/excel/2006/main">
          <x14:cfRule type="dataBar" id="{35D17593-AD1A-4E9D-B0D2-D1D921BCE2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S560:S569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1E8E-ED6A-44AF-B13D-9818E167893B}">
  <sheetPr codeName="Planilha13">
    <tabColor rgb="FFFF0000"/>
  </sheetPr>
  <dimension ref="A1:N459"/>
  <sheetViews>
    <sheetView showGridLines="0" workbookViewId="0">
      <selection activeCell="B2" sqref="B2"/>
    </sheetView>
  </sheetViews>
  <sheetFormatPr defaultRowHeight="15" x14ac:dyDescent="0.25"/>
  <cols>
    <col min="1" max="1" width="38.5703125" customWidth="1"/>
    <col min="2" max="2" width="35.7109375" customWidth="1"/>
  </cols>
  <sheetData>
    <row r="1" spans="1:3" x14ac:dyDescent="0.25">
      <c r="A1" t="s">
        <v>842</v>
      </c>
      <c r="B1" t="s">
        <v>843</v>
      </c>
      <c r="C1" t="s">
        <v>844</v>
      </c>
    </row>
    <row r="2" spans="1:3" x14ac:dyDescent="0.25">
      <c r="A2" t="s">
        <v>845</v>
      </c>
      <c r="B2" t="s">
        <v>846</v>
      </c>
      <c r="C2" t="str">
        <f>B2</f>
        <v>English (Inglês)</v>
      </c>
    </row>
    <row r="3" spans="1:3" x14ac:dyDescent="0.25">
      <c r="A3" t="s">
        <v>847</v>
      </c>
      <c r="B3" t="s">
        <v>848</v>
      </c>
      <c r="C3" t="str">
        <f>B3</f>
        <v>Português (Portuguese)</v>
      </c>
    </row>
    <row r="4" spans="1:3" x14ac:dyDescent="0.25">
      <c r="A4" t="s">
        <v>849</v>
      </c>
      <c r="B4" t="s">
        <v>850</v>
      </c>
      <c r="C4" t="str">
        <f>IF('Market Analyzes'!$C$2=Language!$C$2,B4,A4)</f>
        <v>Select your language</v>
      </c>
    </row>
    <row r="5" spans="1:3" x14ac:dyDescent="0.25">
      <c r="A5" t="s">
        <v>851</v>
      </c>
      <c r="B5" t="s">
        <v>852</v>
      </c>
      <c r="C5" t="str">
        <f>IF('Market Analyzes'!$C$2=Language!$C$2,B5,A5)</f>
        <v>Selecione seu número de equipe</v>
      </c>
    </row>
    <row r="6" spans="1:3" x14ac:dyDescent="0.25">
      <c r="A6" t="s">
        <v>853</v>
      </c>
      <c r="B6" t="s">
        <v>854</v>
      </c>
      <c r="C6" t="str">
        <f>IF('Market Analyzes'!$C$2=Language!$C$2,B6,A6)</f>
        <v>Seu time</v>
      </c>
    </row>
    <row r="7" spans="1:3" x14ac:dyDescent="0.25">
      <c r="A7" t="s">
        <v>459</v>
      </c>
      <c r="B7" t="s">
        <v>855</v>
      </c>
      <c r="C7" t="str">
        <f>IF('Market Analyzes'!$C$2=Language!$C$2,B7,A7)</f>
        <v>Ano</v>
      </c>
    </row>
    <row r="8" spans="1:3" x14ac:dyDescent="0.25">
      <c r="A8" t="s">
        <v>856</v>
      </c>
      <c r="B8" t="s">
        <v>857</v>
      </c>
      <c r="C8" t="str">
        <f>IF('Market Analyzes'!$C$2=Language!$C$2,B8,A8)</f>
        <v>Selecione o país</v>
      </c>
    </row>
    <row r="9" spans="1:3" x14ac:dyDescent="0.25">
      <c r="A9" t="s">
        <v>858</v>
      </c>
      <c r="B9" t="s">
        <v>3</v>
      </c>
      <c r="C9" t="str">
        <f>IF('Market Analyzes'!$C$2=Language!$C$2,B9,A9)</f>
        <v>Região</v>
      </c>
    </row>
    <row r="10" spans="1:3" x14ac:dyDescent="0.25">
      <c r="A10" t="s">
        <v>859</v>
      </c>
      <c r="B10" t="s">
        <v>860</v>
      </c>
      <c r="C10" t="str">
        <f>IF('Market Analyzes'!$C$2=Language!$C$2,B10,A10)</f>
        <v>Análises e seleção de mercado</v>
      </c>
    </row>
    <row r="11" spans="1:3" x14ac:dyDescent="0.25">
      <c r="A11" t="s">
        <v>861</v>
      </c>
      <c r="B11" t="s">
        <v>862</v>
      </c>
      <c r="C11" t="str">
        <f>IF('Market Analyzes'!$C$2=Language!$C$2,B11,A11)</f>
        <v>Ambiente demográfico</v>
      </c>
    </row>
    <row r="12" spans="1:3" x14ac:dyDescent="0.25">
      <c r="A12" t="s">
        <v>863</v>
      </c>
      <c r="B12" t="s">
        <v>864</v>
      </c>
      <c r="C12" t="str">
        <f>IF('Market Analyzes'!$C$2=Language!$C$2,B12,A12)</f>
        <v>Variáveis</v>
      </c>
    </row>
    <row r="13" spans="1:3" x14ac:dyDescent="0.25">
      <c r="A13" t="s">
        <v>865</v>
      </c>
      <c r="B13" t="s">
        <v>0</v>
      </c>
      <c r="C13" t="str">
        <f>IF('Market Analyzes'!$C$2=Language!$C$2,B13,A13)</f>
        <v>País</v>
      </c>
    </row>
    <row r="14" spans="1:3" x14ac:dyDescent="0.25">
      <c r="A14" t="s">
        <v>858</v>
      </c>
      <c r="B14" t="s">
        <v>3</v>
      </c>
      <c r="C14" t="str">
        <f>IF('Market Analyzes'!$C$2=Language!$C$2,B14,A14)</f>
        <v>Região</v>
      </c>
    </row>
    <row r="15" spans="1:3" x14ac:dyDescent="0.25">
      <c r="A15" t="s">
        <v>866</v>
      </c>
      <c r="B15" t="s">
        <v>213</v>
      </c>
      <c r="C15" t="str">
        <f>IF('Market Analyzes'!$C$2=Language!$C$2,B15,A15)</f>
        <v>Mundo</v>
      </c>
    </row>
    <row r="16" spans="1:3" x14ac:dyDescent="0.25">
      <c r="A16" t="s">
        <v>867</v>
      </c>
      <c r="B16" t="s">
        <v>868</v>
      </c>
      <c r="C16" t="str">
        <f>IF('Market Analyzes'!$C$2=Language!$C$2,B16,A16)</f>
        <v>Tamanho da população</v>
      </c>
    </row>
    <row r="17" spans="1:5" x14ac:dyDescent="0.25">
      <c r="A17" t="s">
        <v>869</v>
      </c>
      <c r="B17" t="s">
        <v>870</v>
      </c>
      <c r="C17" t="str">
        <f>IF('Market Analyzes'!$C$2=Language!$C$2,B17,A17)</f>
        <v>Área do país (km quadrado)</v>
      </c>
    </row>
    <row r="18" spans="1:5" x14ac:dyDescent="0.25">
      <c r="A18" t="s">
        <v>871</v>
      </c>
      <c r="B18" t="s">
        <v>872</v>
      </c>
      <c r="C18" t="str">
        <f>IF('Market Analyzes'!$C$2=Language!$C$2,B18,A18)</f>
        <v>Densidade populacional (pop / km quadrado)</v>
      </c>
    </row>
    <row r="19" spans="1:5" x14ac:dyDescent="0.25">
      <c r="A19" t="s">
        <v>873</v>
      </c>
      <c r="B19" t="s">
        <v>874</v>
      </c>
      <c r="C19" t="str">
        <f>IF('Market Analyzes'!$C$2=Language!$C$2,B19,A19)</f>
        <v>População% (participação)</v>
      </c>
    </row>
    <row r="20" spans="1:5" x14ac:dyDescent="0.25">
      <c r="A20" t="s">
        <v>875</v>
      </c>
      <c r="B20" t="s">
        <v>876</v>
      </c>
      <c r="C20" t="str">
        <f>IF('Market Analyzes'!$C$2=Language!$C$2,B20,A20)</f>
        <v>Crescimento populacional (CAGR dos últimos 5 anos)</v>
      </c>
    </row>
    <row r="21" spans="1:5" x14ac:dyDescent="0.25">
      <c r="A21" t="s">
        <v>877</v>
      </c>
      <c r="B21" t="s">
        <v>371</v>
      </c>
      <c r="C21" t="str">
        <f>IF('Market Analyzes'!$C$2=Language!$C$2,B21,A21)</f>
        <v>Assinaturas de telefone celular / 100 Pop. *</v>
      </c>
    </row>
    <row r="22" spans="1:5" x14ac:dyDescent="0.25">
      <c r="A22" t="s">
        <v>878</v>
      </c>
      <c r="B22" t="s">
        <v>879</v>
      </c>
      <c r="C22" t="str">
        <f>IF('Market Analyzes'!$C$2=Language!$C$2,B22,A22)</f>
        <v>Ambiente econômico e político</v>
      </c>
    </row>
    <row r="23" spans="1:5" x14ac:dyDescent="0.25">
      <c r="A23" t="s">
        <v>880</v>
      </c>
      <c r="B23" t="s">
        <v>881</v>
      </c>
      <c r="C23" t="str">
        <f>IF('Market Analyzes'!$C$2=Language!$C$2,B23,A23)</f>
        <v>Produto Interno Bruto (PIB U$ bilhão)</v>
      </c>
    </row>
    <row r="24" spans="1:5" x14ac:dyDescent="0.25">
      <c r="A24" t="s">
        <v>882</v>
      </c>
      <c r="B24" t="s">
        <v>883</v>
      </c>
      <c r="C24" t="str">
        <f>IF('Market Analyzes'!$C$2=Language!$C$2,B24,A24)</f>
        <v>GDP%</v>
      </c>
    </row>
    <row r="25" spans="1:5" x14ac:dyDescent="0.25">
      <c r="A25" t="s">
        <v>884</v>
      </c>
      <c r="B25" t="s">
        <v>885</v>
      </c>
      <c r="C25" t="str">
        <f>IF('Market Analyzes'!$C$2=Language!$C$2,B25,A25)</f>
        <v>Crescimento do PIB (CAGR)</v>
      </c>
    </row>
    <row r="26" spans="1:5" x14ac:dyDescent="0.25">
      <c r="A26" t="s">
        <v>886</v>
      </c>
      <c r="B26" t="s">
        <v>887</v>
      </c>
      <c r="C26" t="str">
        <f>IF('Market Analyzes'!$C$2=Language!$C$2,B26,A26)</f>
        <v>PIB per capita (U$ dólar)</v>
      </c>
    </row>
    <row r="27" spans="1:5" x14ac:dyDescent="0.25">
      <c r="A27" t="s">
        <v>888</v>
      </c>
      <c r="B27" t="s">
        <v>889</v>
      </c>
      <c r="C27" t="str">
        <f>IF('Market Analyzes'!$C$2=Language!$C$2,B27,A27)</f>
        <v>Níveis de tributação</v>
      </c>
    </row>
    <row r="28" spans="1:5" x14ac:dyDescent="0.25">
      <c r="A28" t="s">
        <v>890</v>
      </c>
      <c r="B28" t="s">
        <v>891</v>
      </c>
      <c r="C28" t="str">
        <f>IF('Market Analyzes'!$C$2=Language!$C$2,B28,A28)</f>
        <v>Taxa de imposto de renda (%)</v>
      </c>
      <c r="D28" t="s">
        <v>11</v>
      </c>
      <c r="E28" t="s">
        <v>11</v>
      </c>
    </row>
    <row r="29" spans="1:5" x14ac:dyDescent="0.25">
      <c r="A29" t="s">
        <v>892</v>
      </c>
      <c r="B29" t="s">
        <v>893</v>
      </c>
      <c r="C29" t="str">
        <f>IF('Market Analyzes'!$C$2=Language!$C$2,B29,A29)</f>
        <v>Taxa tarifária (%)</v>
      </c>
      <c r="D29" t="s">
        <v>11</v>
      </c>
      <c r="E29" t="s">
        <v>11</v>
      </c>
    </row>
    <row r="30" spans="1:5" x14ac:dyDescent="0.25">
      <c r="A30" t="s">
        <v>894</v>
      </c>
      <c r="B30" t="s">
        <v>895</v>
      </c>
      <c r="C30" t="str">
        <f>IF('Market Analyzes'!$C$2=Language!$C$2,B30,A30)</f>
        <v>Taxa de imposto corporativo (%)</v>
      </c>
      <c r="D30" t="s">
        <v>11</v>
      </c>
      <c r="E30" t="s">
        <v>11</v>
      </c>
    </row>
    <row r="31" spans="1:5" x14ac:dyDescent="0.25">
      <c r="A31" t="s">
        <v>896</v>
      </c>
      <c r="B31" t="s">
        <v>897</v>
      </c>
      <c r="C31" t="str">
        <f>IF('Market Analyzes'!$C$2=Language!$C$2,B31,A31)</f>
        <v>Variáveis ​​legais e políticas</v>
      </c>
    </row>
    <row r="32" spans="1:5" x14ac:dyDescent="0.25">
      <c r="A32" t="s">
        <v>898</v>
      </c>
      <c r="B32" t="s">
        <v>899</v>
      </c>
      <c r="C32" t="str">
        <f>IF('Market Analyzes'!$C$2=Language!$C$2,B32,A32)</f>
        <v>Índice de facilidade de fazer negócios (Doing Business)</v>
      </c>
      <c r="D32" t="s">
        <v>11</v>
      </c>
      <c r="E32" t="s">
        <v>11</v>
      </c>
    </row>
    <row r="33" spans="1:5" x14ac:dyDescent="0.25">
      <c r="A33" t="s">
        <v>900</v>
      </c>
      <c r="B33" t="s">
        <v>901</v>
      </c>
      <c r="C33" t="str">
        <f>IF('Market Analyzes'!$C$2=Language!$C$2,B33,A33)</f>
        <v>Peso da regulamentação estatal (7 = melhor)</v>
      </c>
      <c r="D33" t="s">
        <v>11</v>
      </c>
      <c r="E33" t="s">
        <v>11</v>
      </c>
    </row>
    <row r="34" spans="1:5" x14ac:dyDescent="0.25">
      <c r="A34" t="s">
        <v>902</v>
      </c>
      <c r="B34" t="s">
        <v>903</v>
      </c>
      <c r="C34" t="str">
        <f>IF('Market Analyzes'!$C$2=Language!$C$2,B34,A34)</f>
        <v>Qualidade das estradas (7 = melhor)</v>
      </c>
      <c r="D34" t="s">
        <v>11</v>
      </c>
      <c r="E34" t="s">
        <v>11</v>
      </c>
    </row>
    <row r="35" spans="1:5" x14ac:dyDescent="0.25">
      <c r="A35" t="s">
        <v>904</v>
      </c>
      <c r="B35" t="s">
        <v>905</v>
      </c>
      <c r="C35" t="str">
        <f>IF('Market Analyzes'!$C$2=Language!$C$2,B35,A35)</f>
        <v>Ambiente sociocultural</v>
      </c>
    </row>
    <row r="36" spans="1:5" x14ac:dyDescent="0.25">
      <c r="A36" t="s">
        <v>906</v>
      </c>
      <c r="B36" t="s">
        <v>907</v>
      </c>
      <c r="C36" t="str">
        <f>IF('Market Analyzes'!$C$2=Language!$C$2,B36,A36)</f>
        <v>Sofisticação de negócios (7 = melhor)</v>
      </c>
      <c r="D36" t="s">
        <v>11</v>
      </c>
      <c r="E36" t="s">
        <v>11</v>
      </c>
    </row>
    <row r="37" spans="1:5" x14ac:dyDescent="0.25">
      <c r="A37" t="s">
        <v>908</v>
      </c>
      <c r="B37" t="s">
        <v>909</v>
      </c>
      <c r="C37" t="str">
        <f>IF('Market Analyzes'!$C$2=Language!$C$2,B37,A37)</f>
        <v>Adoção tecnológica (7 = melhor)</v>
      </c>
      <c r="D37" t="s">
        <v>11</v>
      </c>
      <c r="E37" t="s">
        <v>11</v>
      </c>
    </row>
    <row r="38" spans="1:5" x14ac:dyDescent="0.25">
      <c r="A38" t="s">
        <v>910</v>
      </c>
      <c r="B38" t="s">
        <v>911</v>
      </c>
      <c r="C38" t="str">
        <f>IF('Market Analyzes'!$C$2=Language!$C$2,B38,A38)</f>
        <v>Sofisticação do comprador (7 = melhor)</v>
      </c>
      <c r="D38" t="s">
        <v>11</v>
      </c>
      <c r="E38" t="s">
        <v>11</v>
      </c>
    </row>
    <row r="39" spans="1:5" x14ac:dyDescent="0.25">
      <c r="A39" t="s">
        <v>912</v>
      </c>
      <c r="B39" t="s">
        <v>913</v>
      </c>
      <c r="C39" t="str">
        <f>IF('Market Analyzes'!$C$2=Language!$C$2,B39,A39)</f>
        <v>Simule sua decisão</v>
      </c>
    </row>
    <row r="40" spans="1:5" x14ac:dyDescent="0.25">
      <c r="A40" t="s">
        <v>914</v>
      </c>
      <c r="B40" t="s">
        <v>915</v>
      </c>
      <c r="C40" t="str">
        <f>IF('Market Analyzes'!$C$2=Language!$C$2,B40,A40)</f>
        <v xml:space="preserve">MODO DE ENTRADA: </v>
      </c>
    </row>
    <row r="41" spans="1:5" x14ac:dyDescent="0.25">
      <c r="A41" t="s">
        <v>916</v>
      </c>
      <c r="B41" t="s">
        <v>917</v>
      </c>
      <c r="C41" t="str">
        <f>IF('Market Analyzes'!$C$2=Language!$C$2,B41,A41)</f>
        <v>Qual modo de entrada você usará?</v>
      </c>
    </row>
    <row r="42" spans="1:5" x14ac:dyDescent="0.25">
      <c r="A42" t="s">
        <v>918</v>
      </c>
      <c r="B42" t="s">
        <v>919</v>
      </c>
      <c r="C42" t="str">
        <f>IF('Market Analyzes'!$C$2=Language!$C$2,B42,A42)</f>
        <v>Decisão de precificação:</v>
      </c>
    </row>
    <row r="43" spans="1:5" x14ac:dyDescent="0.25">
      <c r="A43" t="s">
        <v>920</v>
      </c>
      <c r="B43" t="s">
        <v>921</v>
      </c>
      <c r="C43" t="str">
        <f>IF('Market Analyzes'!$C$2=Language!$C$2,B43,A43)</f>
        <v>Escolha o preço da sua empresa:</v>
      </c>
    </row>
    <row r="44" spans="1:5" x14ac:dyDescent="0.25">
      <c r="A44" t="s">
        <v>922</v>
      </c>
      <c r="B44" t="s">
        <v>923</v>
      </c>
      <c r="C44" t="str">
        <f>IF('Market Analyzes'!$C$2=Language!$C$2,B44,A44)</f>
        <v>Escolha a margem da sua empresa neste país:</v>
      </c>
    </row>
    <row r="45" spans="1:5" x14ac:dyDescent="0.25">
      <c r="A45" t="s">
        <v>924</v>
      </c>
      <c r="B45" t="s">
        <v>925</v>
      </c>
      <c r="C45" t="str">
        <f>IF('Market Analyzes'!$C$2=Language!$C$2,B45,A45)</f>
        <v>Análise de Preços</v>
      </c>
    </row>
    <row r="46" spans="1:5" x14ac:dyDescent="0.25">
      <c r="A46" t="s">
        <v>926</v>
      </c>
      <c r="B46" t="s">
        <v>927</v>
      </c>
      <c r="C46" t="str">
        <f>IF('Market Analyzes'!$C$2=Language!$C$2,B46,A46)</f>
        <v>Estimativas</v>
      </c>
    </row>
    <row r="47" spans="1:5" x14ac:dyDescent="0.25">
      <c r="A47" t="s">
        <v>928</v>
      </c>
      <c r="B47" t="s">
        <v>929</v>
      </c>
      <c r="C47" t="str">
        <f>IF('Market Analyzes'!$C$2=Language!$C$2,B47,A47)</f>
        <v>Preço padrão no país (por corrida de 5km)</v>
      </c>
      <c r="E47" t="s">
        <v>11</v>
      </c>
    </row>
    <row r="48" spans="1:5" x14ac:dyDescent="0.25">
      <c r="A48" t="s">
        <v>930</v>
      </c>
      <c r="B48" t="s">
        <v>931</v>
      </c>
      <c r="C48" t="str">
        <f>IF('Market Analyzes'!$C$2=Language!$C$2,B48,A48)</f>
        <v>Sua estratégia de preço</v>
      </c>
      <c r="E48" t="s">
        <v>11</v>
      </c>
    </row>
    <row r="49" spans="1:5" x14ac:dyDescent="0.25">
      <c r="A49" t="s">
        <v>932</v>
      </c>
      <c r="B49" t="s">
        <v>933</v>
      </c>
      <c r="C49" t="str">
        <f>IF('Market Analyzes'!$C$2=Language!$C$2,B49,A49)</f>
        <v>Sua diferença de preço (%)</v>
      </c>
      <c r="E49" t="s">
        <v>11</v>
      </c>
    </row>
    <row r="50" spans="1:5" x14ac:dyDescent="0.25">
      <c r="A50" t="s">
        <v>934</v>
      </c>
      <c r="B50" t="s">
        <v>775</v>
      </c>
      <c r="C50" t="str">
        <f>IF('Market Analyzes'!$C$2=Language!$C$2,B50,A50)</f>
        <v>Seu preço</v>
      </c>
      <c r="E50" t="s">
        <v>11</v>
      </c>
    </row>
    <row r="51" spans="1:5" x14ac:dyDescent="0.25">
      <c r="A51" t="s">
        <v>935</v>
      </c>
      <c r="B51" t="s">
        <v>936</v>
      </c>
      <c r="C51" t="str">
        <f>IF('Market Analyzes'!$C$2=Language!$C$2,B51,A51)</f>
        <v>Margem percentual</v>
      </c>
      <c r="E51" t="s">
        <v>11</v>
      </c>
    </row>
    <row r="52" spans="1:5" x14ac:dyDescent="0.25">
      <c r="A52" t="s">
        <v>385</v>
      </c>
      <c r="B52" t="s">
        <v>385</v>
      </c>
      <c r="C52" t="str">
        <f>IF('Market Analyzes'!$C$2=Language!$C$2,B52,A52)</f>
        <v>Markup</v>
      </c>
      <c r="E52" t="s">
        <v>11</v>
      </c>
    </row>
    <row r="53" spans="1:5" x14ac:dyDescent="0.25">
      <c r="A53" t="s">
        <v>937</v>
      </c>
      <c r="B53" t="s">
        <v>938</v>
      </c>
      <c r="C53" t="str">
        <f>IF('Market Analyzes'!$C$2=Language!$C$2,B53,A53)</f>
        <v>Pagamento unitário por corrida de 5km (motorista parceiro)</v>
      </c>
      <c r="E53" t="s">
        <v>11</v>
      </c>
    </row>
    <row r="54" spans="1:5" x14ac:dyDescent="0.25">
      <c r="A54" t="s">
        <v>939</v>
      </c>
      <c r="B54" t="s">
        <v>940</v>
      </c>
      <c r="C54" t="str">
        <f>IF('Market Analyzes'!$C$2=Language!$C$2,B54,A54)</f>
        <v>Sua unidade de margem (U $) por unidade de 5km</v>
      </c>
      <c r="E54" t="s">
        <v>11</v>
      </c>
    </row>
    <row r="55" spans="1:5" x14ac:dyDescent="0.25">
      <c r="A55" s="145" t="s">
        <v>941</v>
      </c>
      <c r="B55" t="s">
        <v>942</v>
      </c>
      <c r="C55" t="str">
        <f>IF('Market Analyzes'!$C$2=Language!$C$2,B55,A55)</f>
        <v>Empresa / Jogador / Equipe</v>
      </c>
    </row>
    <row r="56" spans="1:5" x14ac:dyDescent="0.25">
      <c r="A56" t="s">
        <v>943</v>
      </c>
      <c r="B56" t="s">
        <v>944</v>
      </c>
      <c r="C56" t="str">
        <f>IF('Market Analyzes'!$C$2=Language!$C$2,B56,A56)</f>
        <v>Preço por corrida de 5km</v>
      </c>
    </row>
    <row r="57" spans="1:5" x14ac:dyDescent="0.25">
      <c r="A57" t="s">
        <v>945</v>
      </c>
      <c r="B57" t="s">
        <v>946</v>
      </c>
      <c r="C57" t="str">
        <f>IF('Market Analyzes'!$C$2=Language!$C$2,B57,A57)</f>
        <v>Custo unitário por 5km</v>
      </c>
    </row>
    <row r="58" spans="1:5" x14ac:dyDescent="0.25">
      <c r="A58" t="s">
        <v>935</v>
      </c>
      <c r="B58" t="s">
        <v>947</v>
      </c>
      <c r="C58" t="str">
        <f>IF('Market Analyzes'!$C$2=Language!$C$2,B58,A58)</f>
        <v>Margem percentual</v>
      </c>
    </row>
    <row r="59" spans="1:5" x14ac:dyDescent="0.25">
      <c r="A59" t="s">
        <v>385</v>
      </c>
      <c r="B59" t="s">
        <v>385</v>
      </c>
      <c r="C59" t="str">
        <f>IF('Market Analyzes'!$C$2=Language!$C$2,B59,A59)</f>
        <v>Markup</v>
      </c>
    </row>
    <row r="60" spans="1:5" x14ac:dyDescent="0.25">
      <c r="A60" t="s">
        <v>948</v>
      </c>
      <c r="B60" t="s">
        <v>949</v>
      </c>
      <c r="C60" t="str">
        <f>IF('Market Analyzes'!$C$2=Language!$C$2,B60,A60)</f>
        <v>Média (Desvio padrão)</v>
      </c>
    </row>
    <row r="61" spans="1:5" x14ac:dyDescent="0.25">
      <c r="A61" t="s">
        <v>950</v>
      </c>
      <c r="B61" t="s">
        <v>951</v>
      </c>
      <c r="C61" t="str">
        <f>IF('Market Analyzes'!$C$2=Language!$C$2,B61,A61)</f>
        <v>Selecione sua estratégia de precificação por país</v>
      </c>
    </row>
    <row r="62" spans="1:5" x14ac:dyDescent="0.25">
      <c r="A62" t="s">
        <v>865</v>
      </c>
      <c r="B62" t="s">
        <v>0</v>
      </c>
      <c r="C62" t="str">
        <f>IF('Market Analyzes'!$C$2=Language!$C$2,B62,A62)</f>
        <v>País</v>
      </c>
    </row>
    <row r="63" spans="1:5" x14ac:dyDescent="0.25">
      <c r="A63" t="s">
        <v>952</v>
      </c>
      <c r="B63" t="s">
        <v>1</v>
      </c>
      <c r="C63" t="str">
        <f>IF('Market Analyzes'!$C$2=Language!$C$2,B63,A63)</f>
        <v>Nome</v>
      </c>
    </row>
    <row r="64" spans="1:5" x14ac:dyDescent="0.25">
      <c r="A64" t="s">
        <v>953</v>
      </c>
      <c r="B64" t="s">
        <v>474</v>
      </c>
      <c r="C64" t="str">
        <f>IF('Market Analyzes'!$C$2=Language!$C$2,B64,A64)</f>
        <v>Nível de preço</v>
      </c>
    </row>
    <row r="65" spans="1:6" x14ac:dyDescent="0.25">
      <c r="A65" t="s">
        <v>954</v>
      </c>
      <c r="B65" t="s">
        <v>955</v>
      </c>
      <c r="C65" t="str">
        <f>IF('Market Analyzes'!$C$2=Language!$C$2,B65,A65)</f>
        <v>Nível de margem</v>
      </c>
    </row>
    <row r="66" spans="1:6" x14ac:dyDescent="0.25">
      <c r="A66" t="s">
        <v>956</v>
      </c>
      <c r="B66" t="s">
        <v>957</v>
      </c>
      <c r="C66" t="str">
        <f>IF('Market Analyzes'!$C$2=Language!$C$2,B66,A66)</f>
        <v>Preço (margem)</v>
      </c>
    </row>
    <row r="67" spans="1:6" x14ac:dyDescent="0.25">
      <c r="A67" t="s">
        <v>958</v>
      </c>
      <c r="B67" t="s">
        <v>761</v>
      </c>
      <c r="C67" t="str">
        <f>IF('Market Analyzes'!$C$2=Language!$C$2,B67,A67)</f>
        <v>Matriz</v>
      </c>
      <c r="F67" t="s">
        <v>11</v>
      </c>
    </row>
    <row r="68" spans="1:6" x14ac:dyDescent="0.25">
      <c r="A68" t="s">
        <v>959</v>
      </c>
      <c r="B68" t="s">
        <v>763</v>
      </c>
      <c r="C68" t="str">
        <f>IF('Market Analyzes'!$C$2=Language!$C$2,B68,A68)</f>
        <v>Subsidiária 1</v>
      </c>
      <c r="F68" t="s">
        <v>11</v>
      </c>
    </row>
    <row r="69" spans="1:6" x14ac:dyDescent="0.25">
      <c r="A69" t="s">
        <v>960</v>
      </c>
      <c r="B69" t="s">
        <v>764</v>
      </c>
      <c r="C69" t="str">
        <f>IF('Market Analyzes'!$C$2=Language!$C$2,B69,A69)</f>
        <v>Subsidiária 2</v>
      </c>
      <c r="F69" t="s">
        <v>11</v>
      </c>
    </row>
    <row r="70" spans="1:6" x14ac:dyDescent="0.25">
      <c r="A70" t="s">
        <v>961</v>
      </c>
      <c r="B70" t="s">
        <v>765</v>
      </c>
      <c r="C70" t="str">
        <f>IF('Market Analyzes'!$C$2=Language!$C$2,B70,A70)</f>
        <v>Subsidiária 3</v>
      </c>
      <c r="F70" t="s">
        <v>11</v>
      </c>
    </row>
    <row r="71" spans="1:6" x14ac:dyDescent="0.25">
      <c r="A71" t="s">
        <v>962</v>
      </c>
      <c r="B71" t="s">
        <v>767</v>
      </c>
      <c r="C71" t="str">
        <f>IF('Market Analyzes'!$C$2=Language!$C$2,B71,A71)</f>
        <v>Subsidiária 4</v>
      </c>
      <c r="F71" t="s">
        <v>11</v>
      </c>
    </row>
    <row r="72" spans="1:6" x14ac:dyDescent="0.25">
      <c r="A72" t="s">
        <v>963</v>
      </c>
      <c r="B72" t="s">
        <v>768</v>
      </c>
      <c r="C72" t="str">
        <f>IF('Market Analyzes'!$C$2=Language!$C$2,B72,A72)</f>
        <v>Subsidiária 5</v>
      </c>
      <c r="F72" t="s">
        <v>11</v>
      </c>
    </row>
    <row r="73" spans="1:6" x14ac:dyDescent="0.25">
      <c r="A73" t="s">
        <v>964</v>
      </c>
      <c r="B73" t="s">
        <v>770</v>
      </c>
      <c r="C73" t="str">
        <f>IF('Market Analyzes'!$C$2=Language!$C$2,B73,A73)</f>
        <v>Subsidiária 6</v>
      </c>
      <c r="F73" t="s">
        <v>11</v>
      </c>
    </row>
    <row r="74" spans="1:6" x14ac:dyDescent="0.25">
      <c r="A74" t="s">
        <v>965</v>
      </c>
      <c r="B74" t="s">
        <v>771</v>
      </c>
      <c r="C74" t="str">
        <f>IF('Market Analyzes'!$C$2=Language!$C$2,B74,A74)</f>
        <v>Subsidiária 7</v>
      </c>
      <c r="F74" t="s">
        <v>11</v>
      </c>
    </row>
    <row r="75" spans="1:6" x14ac:dyDescent="0.25">
      <c r="A75" t="s">
        <v>966</v>
      </c>
      <c r="B75" t="s">
        <v>772</v>
      </c>
      <c r="C75" t="str">
        <f>IF('Market Analyzes'!$C$2=Language!$C$2,B75,A75)</f>
        <v>Subsidiária 8</v>
      </c>
      <c r="F75" t="s">
        <v>11</v>
      </c>
    </row>
    <row r="76" spans="1:6" x14ac:dyDescent="0.25">
      <c r="A76" t="s">
        <v>967</v>
      </c>
      <c r="B76" t="s">
        <v>773</v>
      </c>
      <c r="C76" t="str">
        <f>IF('Market Analyzes'!$C$2=Language!$C$2,B76,A76)</f>
        <v>Subsidiária 9</v>
      </c>
      <c r="F76" t="s">
        <v>11</v>
      </c>
    </row>
    <row r="77" spans="1:6" x14ac:dyDescent="0.25">
      <c r="A77" t="s">
        <v>968</v>
      </c>
      <c r="B77" t="s">
        <v>969</v>
      </c>
      <c r="C77" t="str">
        <f>IF('Market Analyzes'!$C$2=Language!$C$2,B77,A77)</f>
        <v>Decisão de marketing e vendas</v>
      </c>
    </row>
    <row r="78" spans="1:6" x14ac:dyDescent="0.25">
      <c r="A78" t="s">
        <v>970</v>
      </c>
      <c r="B78" t="s">
        <v>971</v>
      </c>
      <c r="C78" t="str">
        <f>IF('Market Analyzes'!$C$2=Language!$C$2,B78,A78)</f>
        <v>Selecione seu orçamento de despesas de marketing e vendas.</v>
      </c>
    </row>
    <row r="79" spans="1:6" x14ac:dyDescent="0.25">
      <c r="A79" t="s">
        <v>972</v>
      </c>
      <c r="B79" t="s">
        <v>973</v>
      </c>
      <c r="C79" t="str">
        <f>IF('Market Analyzes'!$C$2=Language!$C$2,B79,A79)</f>
        <v>Selecione o grau de equilíbrio entre os gastos locais e globais de marketing e vendas. Uma avaliação próxima 0 significa escolher uma estratégia global padronizada completa. Uma avaliação próxima 10 significa escolher uma estratégia local diferenciada total. Selecionando valores próximos a 5 indica a busca de uma estratégia glocal.</v>
      </c>
    </row>
    <row r="80" spans="1:6" x14ac:dyDescent="0.25">
      <c r="A80" t="s">
        <v>974</v>
      </c>
      <c r="B80" t="s">
        <v>975</v>
      </c>
      <c r="C80" t="str">
        <f>IF('Market Analyzes'!$C$2=Language!$C$2,B80,A80)</f>
        <v>Escolha sua resposta</v>
      </c>
    </row>
    <row r="81" spans="1:6" x14ac:dyDescent="0.25">
      <c r="A81" t="s">
        <v>976</v>
      </c>
      <c r="B81" t="s">
        <v>977</v>
      </c>
      <c r="C81" t="str">
        <f>IF('Market Analyzes'!$C$2=Language!$C$2,B81,A81)</f>
        <v>Despesas de marketing e vendas globais (padronizadas)</v>
      </c>
    </row>
    <row r="82" spans="1:6" x14ac:dyDescent="0.25">
      <c r="A82" t="s">
        <v>978</v>
      </c>
      <c r="B82" t="s">
        <v>979</v>
      </c>
      <c r="C82" t="str">
        <f>IF('Market Analyzes'!$C$2=Language!$C$2,B82,A82)</f>
        <v>Despesas de marketing e vendas locais (customizadas)</v>
      </c>
    </row>
    <row r="83" spans="1:6" x14ac:dyDescent="0.25">
      <c r="A83" t="s">
        <v>980</v>
      </c>
      <c r="B83" t="s">
        <v>981</v>
      </c>
      <c r="C83" t="str">
        <f>IF('Market Analyzes'!$C$2=Language!$C$2,B83,A83)</f>
        <v>Selecione as prioridades de marketing e vendas (MSE) para investimento: Se você operar em mais de um país, selecione as prioridades para cada subsidiária. Os valores serão ponderados pelo PIB per capita e pela população.</v>
      </c>
    </row>
    <row r="84" spans="1:6" x14ac:dyDescent="0.25">
      <c r="A84" t="s">
        <v>865</v>
      </c>
      <c r="B84" t="s">
        <v>0</v>
      </c>
      <c r="C84" t="str">
        <f>IF('Market Analyzes'!$C$2=Language!$C$2,B84,A84)</f>
        <v>País</v>
      </c>
      <c r="D84" t="s">
        <v>982</v>
      </c>
      <c r="E84" t="s">
        <v>983</v>
      </c>
      <c r="F84" t="s">
        <v>984</v>
      </c>
    </row>
    <row r="85" spans="1:6" x14ac:dyDescent="0.25">
      <c r="A85" t="s">
        <v>985</v>
      </c>
      <c r="B85" t="s">
        <v>982</v>
      </c>
      <c r="C85" t="str">
        <f>IF('Market Analyzes'!$C$2=Language!$C$2,B85,A85)</f>
        <v>Prioridade para MSE.</v>
      </c>
    </row>
    <row r="86" spans="1:6" x14ac:dyDescent="0.25">
      <c r="A86" t="s">
        <v>986</v>
      </c>
      <c r="B86" t="s">
        <v>983</v>
      </c>
      <c r="C86" t="str">
        <f>IF('Market Analyzes'!$C$2=Language!$C$2,B86,A86)</f>
        <v>Total de MSE em cada país</v>
      </c>
    </row>
    <row r="87" spans="1:6" x14ac:dyDescent="0.25">
      <c r="A87" t="s">
        <v>987</v>
      </c>
      <c r="B87" t="s">
        <v>984</v>
      </c>
      <c r="C87" t="str">
        <f>IF('Market Analyzes'!$C$2=Language!$C$2,B87,A87)</f>
        <v>Investimento pela população</v>
      </c>
    </row>
    <row r="88" spans="1:6" x14ac:dyDescent="0.25">
      <c r="A88" t="s">
        <v>958</v>
      </c>
      <c r="B88" t="s">
        <v>761</v>
      </c>
      <c r="C88" t="str">
        <f>IF('Market Analyzes'!$C$2=Language!$C$2,B88,A88)</f>
        <v>Matriz</v>
      </c>
      <c r="E88" t="s">
        <v>11</v>
      </c>
      <c r="F88" t="s">
        <v>11</v>
      </c>
    </row>
    <row r="89" spans="1:6" x14ac:dyDescent="0.25">
      <c r="A89" t="s">
        <v>959</v>
      </c>
      <c r="B89" t="s">
        <v>763</v>
      </c>
      <c r="C89" t="str">
        <f>IF('Market Analyzes'!$C$2=Language!$C$2,B89,A89)</f>
        <v>Subsidiária 1</v>
      </c>
      <c r="E89" t="s">
        <v>11</v>
      </c>
      <c r="F89" t="s">
        <v>11</v>
      </c>
    </row>
    <row r="90" spans="1:6" x14ac:dyDescent="0.25">
      <c r="A90" t="s">
        <v>960</v>
      </c>
      <c r="B90" t="s">
        <v>764</v>
      </c>
      <c r="C90" t="str">
        <f>IF('Market Analyzes'!$C$2=Language!$C$2,B90,A90)</f>
        <v>Subsidiária 2</v>
      </c>
      <c r="E90" t="s">
        <v>11</v>
      </c>
      <c r="F90" t="s">
        <v>11</v>
      </c>
    </row>
    <row r="91" spans="1:6" x14ac:dyDescent="0.25">
      <c r="A91" t="s">
        <v>961</v>
      </c>
      <c r="B91" t="s">
        <v>765</v>
      </c>
      <c r="C91" t="str">
        <f>IF('Market Analyzes'!$C$2=Language!$C$2,B91,A91)</f>
        <v>Subsidiária 3</v>
      </c>
      <c r="E91" t="s">
        <v>11</v>
      </c>
      <c r="F91" t="s">
        <v>11</v>
      </c>
    </row>
    <row r="92" spans="1:6" x14ac:dyDescent="0.25">
      <c r="A92" t="s">
        <v>962</v>
      </c>
      <c r="B92" t="s">
        <v>767</v>
      </c>
      <c r="C92" t="str">
        <f>IF('Market Analyzes'!$C$2=Language!$C$2,B92,A92)</f>
        <v>Subsidiária 4</v>
      </c>
      <c r="E92" t="s">
        <v>11</v>
      </c>
      <c r="F92" t="s">
        <v>11</v>
      </c>
    </row>
    <row r="93" spans="1:6" x14ac:dyDescent="0.25">
      <c r="A93" t="s">
        <v>963</v>
      </c>
      <c r="B93" t="s">
        <v>768</v>
      </c>
      <c r="C93" t="str">
        <f>IF('Market Analyzes'!$C$2=Language!$C$2,B93,A93)</f>
        <v>Subsidiária 5</v>
      </c>
      <c r="E93" t="s">
        <v>11</v>
      </c>
      <c r="F93" t="s">
        <v>11</v>
      </c>
    </row>
    <row r="94" spans="1:6" x14ac:dyDescent="0.25">
      <c r="A94" t="s">
        <v>964</v>
      </c>
      <c r="B94" t="s">
        <v>770</v>
      </c>
      <c r="C94" t="str">
        <f>IF('Market Analyzes'!$C$2=Language!$C$2,B94,A94)</f>
        <v>Subsidiária 6</v>
      </c>
      <c r="E94" t="s">
        <v>11</v>
      </c>
      <c r="F94" t="s">
        <v>11</v>
      </c>
    </row>
    <row r="95" spans="1:6" x14ac:dyDescent="0.25">
      <c r="A95" t="s">
        <v>965</v>
      </c>
      <c r="B95" t="s">
        <v>771</v>
      </c>
      <c r="C95" t="str">
        <f>IF('Market Analyzes'!$C$2=Language!$C$2,B95,A95)</f>
        <v>Subsidiária 7</v>
      </c>
      <c r="E95" t="s">
        <v>11</v>
      </c>
      <c r="F95" t="s">
        <v>11</v>
      </c>
    </row>
    <row r="96" spans="1:6" x14ac:dyDescent="0.25">
      <c r="A96" t="s">
        <v>966</v>
      </c>
      <c r="B96" t="s">
        <v>772</v>
      </c>
      <c r="C96" t="str">
        <f>IF('Market Analyzes'!$C$2=Language!$C$2,B96,A96)</f>
        <v>Subsidiária 8</v>
      </c>
      <c r="E96" t="s">
        <v>11</v>
      </c>
      <c r="F96" t="s">
        <v>11</v>
      </c>
    </row>
    <row r="97" spans="1:6" x14ac:dyDescent="0.25">
      <c r="A97" t="s">
        <v>967</v>
      </c>
      <c r="B97" t="s">
        <v>773</v>
      </c>
      <c r="C97" t="str">
        <f>IF('Market Analyzes'!$C$2=Language!$C$2,B97,A97)</f>
        <v>Subsidiária 9</v>
      </c>
      <c r="E97" t="s">
        <v>11</v>
      </c>
      <c r="F97" t="s">
        <v>11</v>
      </c>
    </row>
    <row r="98" spans="1:6" x14ac:dyDescent="0.25">
      <c r="A98" t="s">
        <v>988</v>
      </c>
      <c r="B98" t="s">
        <v>989</v>
      </c>
      <c r="C98" t="str">
        <f>IF('Market Analyzes'!$C$2=Language!$C$2,B98,A98)</f>
        <v>Análise de competição</v>
      </c>
    </row>
    <row r="99" spans="1:6" x14ac:dyDescent="0.25">
      <c r="A99" t="s">
        <v>990</v>
      </c>
      <c r="B99" t="s">
        <v>991</v>
      </c>
      <c r="C99" t="str">
        <f>IF('Market Analyzes'!$C$2=Language!$C$2,B99,A99)</f>
        <v>Data do primeiro concorrente a entrar no mercado</v>
      </c>
      <c r="E99" t="s">
        <v>11</v>
      </c>
    </row>
    <row r="100" spans="1:6" x14ac:dyDescent="0.25">
      <c r="A100" t="s">
        <v>992</v>
      </c>
      <c r="B100" t="s">
        <v>993</v>
      </c>
      <c r="C100" t="str">
        <f>IF('Market Analyzes'!$C$2=Language!$C$2,B100,A100)</f>
        <v>Número de concorrentes no mercado</v>
      </c>
    </row>
    <row r="101" spans="1:6" x14ac:dyDescent="0.25">
      <c r="A101" t="s">
        <v>994</v>
      </c>
      <c r="B101" t="s">
        <v>995</v>
      </c>
      <c r="C101" t="str">
        <f>IF('Market Analyzes'!$C$2=Language!$C$2,B101,A101)</f>
        <v>Desempenho do Novo País</v>
      </c>
    </row>
    <row r="102" spans="1:6" x14ac:dyDescent="0.25">
      <c r="A102" t="s">
        <v>996</v>
      </c>
      <c r="B102" t="s">
        <v>997</v>
      </c>
      <c r="C102" t="str">
        <f>IF('Market Analyzes'!$C$2=Language!$C$2,B102,A102)</f>
        <v>Cenários</v>
      </c>
    </row>
    <row r="103" spans="1:6" x14ac:dyDescent="0.25">
      <c r="A103" t="s">
        <v>998</v>
      </c>
      <c r="B103" t="s">
        <v>999</v>
      </c>
      <c r="C103" t="str">
        <f>IF('Market Analyzes'!$C$2=Language!$C$2,B103,A103)</f>
        <v>Pessimista</v>
      </c>
    </row>
    <row r="104" spans="1:6" x14ac:dyDescent="0.25">
      <c r="A104" t="s">
        <v>1000</v>
      </c>
      <c r="B104" t="s">
        <v>1001</v>
      </c>
      <c r="C104" t="str">
        <f>IF('Market Analyzes'!$C$2=Language!$C$2,B104,A104)</f>
        <v>Realista</v>
      </c>
    </row>
    <row r="105" spans="1:6" x14ac:dyDescent="0.25">
      <c r="A105" t="s">
        <v>1002</v>
      </c>
      <c r="B105" t="s">
        <v>1003</v>
      </c>
      <c r="C105" t="str">
        <f>IF('Market Analyzes'!$C$2=Language!$C$2,B105,A105)</f>
        <v>Otimista</v>
      </c>
    </row>
    <row r="106" spans="1:6" x14ac:dyDescent="0.25">
      <c r="A106" t="s">
        <v>1004</v>
      </c>
      <c r="B106" t="s">
        <v>1005</v>
      </c>
      <c r="C106" t="str">
        <f>IF('Market Analyzes'!$C$2=Language!$C$2,B106,A106)</f>
        <v>% De penetração de mercado (P)</v>
      </c>
    </row>
    <row r="107" spans="1:6" x14ac:dyDescent="0.25">
      <c r="A107" t="s">
        <v>1006</v>
      </c>
      <c r="B107" t="s">
        <v>1007</v>
      </c>
      <c r="C107" t="str">
        <f>IF('Market Analyzes'!$C$2=Language!$C$2,B107,A107)</f>
        <v>Receita média por usuário (ARPU = C)</v>
      </c>
    </row>
    <row r="108" spans="1:6" x14ac:dyDescent="0.25">
      <c r="A108" t="s">
        <v>1008</v>
      </c>
      <c r="B108" t="s">
        <v>1009</v>
      </c>
      <c r="C108" t="str">
        <f>IF('Market Analyzes'!$C$2=Language!$C$2,B108,A108)</f>
        <v>Demanda do mercado em milhares (Pop. X P x C)</v>
      </c>
    </row>
    <row r="109" spans="1:6" x14ac:dyDescent="0.25">
      <c r="A109" t="s">
        <v>1010</v>
      </c>
      <c r="B109" t="s">
        <v>1011</v>
      </c>
      <c r="C109" t="str">
        <f>IF('Market Analyzes'!$C$2=Language!$C$2,B109,A109)</f>
        <v>Participação de mercado da sua empresa</v>
      </c>
    </row>
    <row r="110" spans="1:6" x14ac:dyDescent="0.25">
      <c r="A110" t="s">
        <v>1012</v>
      </c>
      <c r="B110" t="s">
        <v>1013</v>
      </c>
      <c r="C110" t="str">
        <f>IF('Market Analyzes'!$C$2=Language!$C$2,B110,A110)</f>
        <v>Receita da sua empresa (milhares)</v>
      </c>
    </row>
    <row r="111" spans="1:6" x14ac:dyDescent="0.25">
      <c r="A111" t="s">
        <v>1014</v>
      </c>
      <c r="B111" t="s">
        <v>1015</v>
      </c>
      <c r="C111" t="str">
        <f>IF('Market Analyzes'!$C$2=Language!$C$2,B111,A111)</f>
        <v>Análise financeira (milhares): todos os países</v>
      </c>
    </row>
    <row r="112" spans="1:6" x14ac:dyDescent="0.25">
      <c r="A112" t="s">
        <v>1016</v>
      </c>
      <c r="B112" t="s">
        <v>1017</v>
      </c>
      <c r="C112" t="str">
        <f>IF('Market Analyzes'!$C$2=Language!$C$2,B112,A112)</f>
        <v>Caixa inicial (último período)</v>
      </c>
    </row>
    <row r="113" spans="1:3" x14ac:dyDescent="0.25">
      <c r="A113" t="s">
        <v>1018</v>
      </c>
      <c r="B113" t="s">
        <v>1019</v>
      </c>
      <c r="C113" t="str">
        <f>IF('Market Analyzes'!$C$2=Language!$C$2,B113,A113)</f>
        <v>Conta</v>
      </c>
    </row>
    <row r="114" spans="1:3" x14ac:dyDescent="0.25">
      <c r="A114" t="s">
        <v>1020</v>
      </c>
      <c r="B114" t="s">
        <v>725</v>
      </c>
      <c r="C114" t="str">
        <f>IF('Market Analyzes'!$C$2=Language!$C$2,B114,A114)</f>
        <v>Receitas de vendas [RV]</v>
      </c>
    </row>
    <row r="115" spans="1:3" x14ac:dyDescent="0.25">
      <c r="A115" t="s">
        <v>1021</v>
      </c>
      <c r="B115" t="s">
        <v>591</v>
      </c>
      <c r="C115" t="str">
        <f>IF('Market Analyzes'!$C$2=Language!$C$2,B115,A115)</f>
        <v>Custo das mercadorias vendidas [CMV]</v>
      </c>
    </row>
    <row r="116" spans="1:3" x14ac:dyDescent="0.25">
      <c r="A116" t="s">
        <v>1022</v>
      </c>
      <c r="B116" t="s">
        <v>726</v>
      </c>
      <c r="C116" t="str">
        <f>IF('Market Analyzes'!$C$2=Language!$C$2,B116,A116)</f>
        <v>Margem bruta [MB = RV-CMV]</v>
      </c>
    </row>
    <row r="117" spans="1:3" x14ac:dyDescent="0.25">
      <c r="A117" t="s">
        <v>1023</v>
      </c>
      <c r="B117" t="s">
        <v>581</v>
      </c>
      <c r="C117" t="str">
        <f>IF('Market Analyzes'!$C$2=Language!$C$2,B117,A117)</f>
        <v>Despesas de marketing e vendas</v>
      </c>
    </row>
    <row r="118" spans="1:3" x14ac:dyDescent="0.25">
      <c r="A118" t="s">
        <v>1024</v>
      </c>
      <c r="B118" t="s">
        <v>583</v>
      </c>
      <c r="C118" t="str">
        <f>IF('Market Analyzes'!$C$2=Language!$C$2,B118,A118)</f>
        <v>Campanhas globais</v>
      </c>
    </row>
    <row r="119" spans="1:3" x14ac:dyDescent="0.25">
      <c r="A119" t="s">
        <v>1025</v>
      </c>
      <c r="B119" t="s">
        <v>584</v>
      </c>
      <c r="C119" t="str">
        <f>IF('Market Analyzes'!$C$2=Language!$C$2,B119,A119)</f>
        <v>Campanhas locais</v>
      </c>
    </row>
    <row r="120" spans="1:3" x14ac:dyDescent="0.25">
      <c r="A120" t="s">
        <v>559</v>
      </c>
      <c r="B120" t="s">
        <v>559</v>
      </c>
      <c r="C120" t="str">
        <f>IF('Market Analyzes'!$C$2=Language!$C$2,B120,A120)</f>
        <v>Total</v>
      </c>
    </row>
    <row r="121" spans="1:3" x14ac:dyDescent="0.25">
      <c r="A121" t="s">
        <v>1026</v>
      </c>
      <c r="B121" t="s">
        <v>727</v>
      </c>
      <c r="C121" t="str">
        <f>IF('Market Analyzes'!$C$2=Language!$C$2,B121,A121)</f>
        <v>Custos administrativos, operacionais (custos fixos) e os investimentos de inauguração</v>
      </c>
    </row>
    <row r="122" spans="1:3" x14ac:dyDescent="0.25">
      <c r="A122" t="s">
        <v>1027</v>
      </c>
      <c r="B122" t="s">
        <v>1028</v>
      </c>
      <c r="C122" t="str">
        <f>IF('Market Analyzes'!$C$2=Language!$C$2,B122,A122)</f>
        <v>Custos Regulamentares e Políticos: Esses valores são muito incertos a prever. Eles podem variar entre centenas de milhares a dezenas de milhões de dólares por ano, dependendo da burocracia e da cultura empreendedora no páis. Este custo aumentará com o aumento das receitas.</v>
      </c>
    </row>
    <row r="123" spans="1:3" x14ac:dyDescent="0.25">
      <c r="A123" t="s">
        <v>1029</v>
      </c>
      <c r="B123" t="s">
        <v>1030</v>
      </c>
      <c r="C123" t="str">
        <f>IF('Market Analyzes'!$C$2=Language!$C$2,B123,A123)</f>
        <v>Lucro operacional</v>
      </c>
    </row>
    <row r="124" spans="1:3" x14ac:dyDescent="0.25">
      <c r="A124" t="s">
        <v>1031</v>
      </c>
      <c r="B124" t="s">
        <v>590</v>
      </c>
      <c r="C124" t="str">
        <f>IF('Market Analyzes'!$C$2=Language!$C$2,B124,A124)</f>
        <v>Impostos</v>
      </c>
    </row>
    <row r="125" spans="1:3" x14ac:dyDescent="0.25">
      <c r="A125" t="s">
        <v>1032</v>
      </c>
      <c r="B125" t="s">
        <v>729</v>
      </c>
      <c r="C125" t="str">
        <f>IF('Market Analyzes'!$C$2=Language!$C$2,B125,A125)</f>
        <v>Lucro (Lucro Líquido)</v>
      </c>
    </row>
    <row r="126" spans="1:3" x14ac:dyDescent="0.25">
      <c r="A126" t="s">
        <v>1033</v>
      </c>
      <c r="B126" t="s">
        <v>1034</v>
      </c>
      <c r="C126" t="str">
        <f>IF('Market Analyzes'!$C$2=Language!$C$2,B126,A126)</f>
        <v>Lucro (lucro líquido) para matriz (menos 50% dos parceiros em Joint Venture)</v>
      </c>
    </row>
    <row r="127" spans="1:3" x14ac:dyDescent="0.25">
      <c r="A127" t="s">
        <v>1035</v>
      </c>
      <c r="B127" t="s">
        <v>731</v>
      </c>
      <c r="C127" t="str">
        <f>IF('Market Analyzes'!$C$2=Language!$C$2,B127,A127)</f>
        <v>Pagamento de juros</v>
      </c>
    </row>
    <row r="128" spans="1:3" x14ac:dyDescent="0.25">
      <c r="A128" t="s">
        <v>1036</v>
      </c>
      <c r="B128" t="s">
        <v>732</v>
      </c>
      <c r="C128" t="str">
        <f>IF('Market Analyzes'!$C$2=Language!$C$2,B128,A128)</f>
        <v>Receitas financeiras [menos reservas de caixa]</v>
      </c>
    </row>
    <row r="129" spans="1:3" x14ac:dyDescent="0.25">
      <c r="A129" t="s">
        <v>1037</v>
      </c>
      <c r="B129" t="s">
        <v>1038</v>
      </c>
      <c r="C129" t="str">
        <f>IF('Market Analyzes'!$C$2=Language!$C$2,B129,A129)</f>
        <v>Disponibilidade de caixa</v>
      </c>
    </row>
    <row r="130" spans="1:3" x14ac:dyDescent="0.25">
      <c r="A130" t="s">
        <v>1039</v>
      </c>
      <c r="B130" t="s">
        <v>1040</v>
      </c>
      <c r="C130" t="str">
        <f>IF('Market Analyzes'!$C$2=Language!$C$2,B130,A130)</f>
        <v>Para lançar suas decisões, use este link</v>
      </c>
    </row>
    <row r="131" spans="1:3" x14ac:dyDescent="0.25">
      <c r="A131" t="s">
        <v>1041</v>
      </c>
      <c r="B131" t="s">
        <v>1042</v>
      </c>
      <c r="C131" t="str">
        <f>IF('Market Analyzes'!$C$2=Language!$C$2,B131,A131)</f>
        <v>Time</v>
      </c>
    </row>
    <row r="132" spans="1:3" x14ac:dyDescent="0.25">
      <c r="A132" t="s">
        <v>1043</v>
      </c>
      <c r="B132" t="s">
        <v>1044</v>
      </c>
      <c r="C132" t="str">
        <f>IF('Market Analyzes'!$C$2=Language!$C$2,B132,A132)</f>
        <v>Be Global: suporte a decisão</v>
      </c>
    </row>
    <row r="133" spans="1:3" x14ac:dyDescent="0.25">
      <c r="A133" t="s">
        <v>1045</v>
      </c>
      <c r="B133" t="s">
        <v>1046</v>
      </c>
      <c r="C133" t="str">
        <f>IF('Market Analyzes'!$C$2=Language!$C$2,B133,A133)</f>
        <v>Para lançar suas decisões use este link: bit.ly/be-global-game</v>
      </c>
    </row>
    <row r="134" spans="1:3" x14ac:dyDescent="0.25">
      <c r="A134" t="s">
        <v>1047</v>
      </c>
      <c r="B134" t="s">
        <v>1048</v>
      </c>
      <c r="C134" t="str">
        <f>IF('Market Analyzes'!$C$2=Language!$C$2,B134,A134)</f>
        <v xml:space="preserve">Selecione seu orçamento de despesas de marketing e vendas. Em geral, as despesas de MSE variam entre U$ </v>
      </c>
    </row>
    <row r="135" spans="1:3" x14ac:dyDescent="0.25">
      <c r="A135" t="s">
        <v>1049</v>
      </c>
      <c r="B135" t="s">
        <v>1050</v>
      </c>
      <c r="C135" t="str">
        <f>IF('Market Analyzes'!$C$2=Language!$C$2,B135,A135)</f>
        <v xml:space="preserve"> até U$ </v>
      </c>
    </row>
    <row r="136" spans="1:3" x14ac:dyDescent="0.25">
      <c r="A136" t="s">
        <v>1051</v>
      </c>
      <c r="B136" t="s">
        <v>1052</v>
      </c>
      <c r="C136" t="str">
        <f>IF('Market Analyzes'!$C$2=Language!$C$2,B136,A136)</f>
        <v xml:space="preserve"> per capita neste mercado. Orçamento sugerido para todas as subsidiárias: entre </v>
      </c>
    </row>
    <row r="137" spans="1:3" x14ac:dyDescent="0.25">
      <c r="A137" t="s">
        <v>1053</v>
      </c>
      <c r="B137" t="s">
        <v>1054</v>
      </c>
      <c r="C137" t="str">
        <f>IF('Market Analyzes'!$C$2=Language!$C$2,B137,A137)</f>
        <v xml:space="preserve"> e </v>
      </c>
    </row>
    <row r="138" spans="1:3" x14ac:dyDescent="0.25">
      <c r="A138" t="s">
        <v>1055</v>
      </c>
      <c r="B138" t="s">
        <v>1056</v>
      </c>
      <c r="C138" t="str">
        <f>IF('Market Analyzes'!$C$2=Language!$C$2,B138,A138)</f>
        <v>Selecione seu orçamento para as despesas de marketing e vendas</v>
      </c>
    </row>
    <row r="139" spans="1:3" x14ac:dyDescent="0.25">
      <c r="A139" t="s">
        <v>1057</v>
      </c>
      <c r="B139" t="s">
        <v>1058</v>
      </c>
      <c r="C139" t="str">
        <f>IF('Market Analyzes'!$C$2=Language!$C$2,B139,A139)</f>
        <v>Muito Baixo</v>
      </c>
    </row>
    <row r="140" spans="1:3" x14ac:dyDescent="0.25">
      <c r="A140" t="s">
        <v>1059</v>
      </c>
      <c r="B140" t="s">
        <v>1060</v>
      </c>
      <c r="C140" t="str">
        <f>IF('Market Analyzes'!$C$2=Language!$C$2,B140,A140)</f>
        <v>Baixo</v>
      </c>
    </row>
    <row r="141" spans="1:3" x14ac:dyDescent="0.25">
      <c r="A141" t="s">
        <v>1061</v>
      </c>
      <c r="B141" t="s">
        <v>1062</v>
      </c>
      <c r="C141" t="str">
        <f>IF('Market Analyzes'!$C$2=Language!$C$2,B141,A141)</f>
        <v>Médio</v>
      </c>
    </row>
    <row r="142" spans="1:3" x14ac:dyDescent="0.25">
      <c r="A142" t="s">
        <v>1063</v>
      </c>
      <c r="B142" t="s">
        <v>1064</v>
      </c>
      <c r="C142" t="str">
        <f>IF('Market Analyzes'!$C$2=Language!$C$2,B142,A142)</f>
        <v>Alto</v>
      </c>
    </row>
    <row r="143" spans="1:3" x14ac:dyDescent="0.25">
      <c r="A143" t="s">
        <v>1065</v>
      </c>
      <c r="B143" t="s">
        <v>1066</v>
      </c>
      <c r="C143" t="str">
        <f>IF('Market Analyzes'!$C$2=Language!$C$2,B143,A143)</f>
        <v>Muito Alto</v>
      </c>
    </row>
    <row r="144" spans="1:3" x14ac:dyDescent="0.25">
      <c r="A144" t="s">
        <v>1067</v>
      </c>
      <c r="B144" t="s">
        <v>1068</v>
      </c>
      <c r="C144" t="str">
        <f>IF('Market Analyzes'!$C$2=Language!$C$2,B144,A144)</f>
        <v>Preço Baixo todo dia</v>
      </c>
    </row>
    <row r="145" spans="1:14" x14ac:dyDescent="0.25">
      <c r="A145" t="s">
        <v>1069</v>
      </c>
      <c r="B145" t="s">
        <v>1070</v>
      </c>
      <c r="C145" t="str">
        <f>IF('Market Analyzes'!$C$2=Language!$C$2,B145,A145)</f>
        <v>Desconto (baixo-alto)</v>
      </c>
    </row>
    <row r="146" spans="1:14" x14ac:dyDescent="0.25">
      <c r="A146" t="s">
        <v>1071</v>
      </c>
      <c r="B146" t="s">
        <v>1072</v>
      </c>
      <c r="C146" t="str">
        <f>IF('Market Analyzes'!$C$2=Language!$C$2,B146,A146)</f>
        <v>Preço de nivealmento de mercado</v>
      </c>
    </row>
    <row r="147" spans="1:14" x14ac:dyDescent="0.25">
      <c r="A147" t="s">
        <v>1073</v>
      </c>
      <c r="B147" t="s">
        <v>1074</v>
      </c>
      <c r="C147" t="str">
        <f>IF('Market Analyzes'!$C$2=Language!$C$2,B147,A147)</f>
        <v>Preço Premium</v>
      </c>
    </row>
    <row r="148" spans="1:14" x14ac:dyDescent="0.25">
      <c r="A148" t="s">
        <v>1075</v>
      </c>
      <c r="B148" t="s">
        <v>1076</v>
      </c>
      <c r="C148" t="str">
        <f>IF('Market Analyzes'!$C$2=Language!$C$2,B148,A148)</f>
        <v>Preço de luxo</v>
      </c>
    </row>
    <row r="149" spans="1:14" x14ac:dyDescent="0.25">
      <c r="A149" t="s">
        <v>1077</v>
      </c>
      <c r="B149" t="s">
        <v>6</v>
      </c>
      <c r="C149" t="str">
        <f>IF('Market Analyzes'!$C$2=Language!$C$2,B149,A149)</f>
        <v>Albânia</v>
      </c>
      <c r="D149" t="str">
        <f>INDEX('Score-Starting a business'!$D$2:$D$176,MATCH(Language!B149,'Score-Starting a business'!$B$2:$B$176,0))</f>
        <v>Europe</v>
      </c>
      <c r="E149" t="s">
        <v>1078</v>
      </c>
      <c r="F149">
        <v>1</v>
      </c>
      <c r="G149" t="str">
        <f>IF('Market Analyzes'!$C$2=Language!$C$2,D149,E149)</f>
        <v>Europa</v>
      </c>
      <c r="K149" t="s">
        <v>25</v>
      </c>
      <c r="L149">
        <f>MATCH(K149,$D$149:$D$308,0)</f>
        <v>8</v>
      </c>
      <c r="M149" t="str" cm="1">
        <f t="array" ref="M149">INDEX($E$149:$E$308,L149)</f>
        <v>Ásia-Pacífico</v>
      </c>
      <c r="N149" t="str">
        <f>IF('Market Analyzes'!$C$2=Language!$C$2,K149,M149)</f>
        <v>Ásia-Pacífico</v>
      </c>
    </row>
    <row r="150" spans="1:14" x14ac:dyDescent="0.25">
      <c r="A150" t="s">
        <v>1079</v>
      </c>
      <c r="B150" t="s">
        <v>8</v>
      </c>
      <c r="C150" t="str">
        <f>IF('Market Analyzes'!$C$2=Language!$C$2,B150,A150)</f>
        <v>Argélia</v>
      </c>
      <c r="D150" t="str">
        <f>INDEX('Score-Starting a business'!$D$2:$D$176,MATCH(Language!B150,'Score-Starting a business'!$B$2:$B$176,0))</f>
        <v>Middle East</v>
      </c>
      <c r="E150" t="s">
        <v>1080</v>
      </c>
      <c r="F150">
        <v>2</v>
      </c>
      <c r="G150" t="str">
        <f>IF('Market Analyzes'!$C$2=Language!$C$2,D150,E150)</f>
        <v>Oriente médio</v>
      </c>
      <c r="K150" t="s">
        <v>33</v>
      </c>
      <c r="L150">
        <f t="shared" ref="L150:L158" si="0">MATCH(K150,$D$149:$D$308,0)</f>
        <v>15</v>
      </c>
      <c r="M150" t="str" cm="1">
        <f t="array" ref="M150">INDEX($E$149:$E$308,L150)</f>
        <v>América Central</v>
      </c>
      <c r="N150" t="str">
        <f>IF('Market Analyzes'!$C$2=Language!$C$2,K150,M150)</f>
        <v>América Central</v>
      </c>
    </row>
    <row r="151" spans="1:14" x14ac:dyDescent="0.25">
      <c r="A151" t="s">
        <v>13</v>
      </c>
      <c r="B151" t="s">
        <v>13</v>
      </c>
      <c r="C151" t="str">
        <f>IF('Market Analyzes'!$C$2=Language!$C$2,B151,A151)</f>
        <v>Angola</v>
      </c>
      <c r="D151" t="str">
        <f>INDEX('Score-Starting a business'!$D$2:$D$176,MATCH(Language!B151,'Score-Starting a business'!$B$2:$B$176,0))</f>
        <v>Sub-Saharan Africa</v>
      </c>
      <c r="E151" t="s">
        <v>1081</v>
      </c>
      <c r="F151">
        <v>4</v>
      </c>
      <c r="G151" t="str">
        <f>IF('Market Analyzes'!$C$2=Language!$C$2,D151,E151)</f>
        <v>África Subsaariana</v>
      </c>
      <c r="K151" t="s">
        <v>7</v>
      </c>
      <c r="L151">
        <f t="shared" si="0"/>
        <v>1</v>
      </c>
      <c r="M151" t="str" cm="1">
        <f t="array" ref="M151">INDEX($E$149:$E$308,L151)</f>
        <v>Europa</v>
      </c>
      <c r="N151" t="str">
        <f>IF('Market Analyzes'!$C$2=Language!$C$2,K151,M151)</f>
        <v>Europa</v>
      </c>
    </row>
    <row r="152" spans="1:14" x14ac:dyDescent="0.25">
      <c r="A152" t="s">
        <v>17</v>
      </c>
      <c r="B152" t="s">
        <v>17</v>
      </c>
      <c r="C152" t="str">
        <f>IF('Market Analyzes'!$C$2=Language!$C$2,B152,A152)</f>
        <v>Argentina</v>
      </c>
      <c r="D152" t="str">
        <f>INDEX('Score-Starting a business'!$D$2:$D$176,MATCH(Language!B152,'Score-Starting a business'!$B$2:$B$176,0))</f>
        <v>South America</v>
      </c>
      <c r="E152" t="s">
        <v>1082</v>
      </c>
      <c r="F152">
        <v>6</v>
      </c>
      <c r="G152" t="str">
        <f>IF('Market Analyzes'!$C$2=Language!$C$2,D152,E152)</f>
        <v>América do Sul</v>
      </c>
      <c r="K152" t="s">
        <v>23</v>
      </c>
      <c r="L152">
        <f t="shared" si="0"/>
        <v>7</v>
      </c>
      <c r="M152" t="str" cm="1">
        <f t="array" ref="M152">INDEX($E$149:$E$308,L152)</f>
        <v>União Européia</v>
      </c>
      <c r="N152" t="str">
        <f>IF('Market Analyzes'!$C$2=Language!$C$2,K152,M152)</f>
        <v>União Européia</v>
      </c>
    </row>
    <row r="153" spans="1:14" x14ac:dyDescent="0.25">
      <c r="A153" t="s">
        <v>1083</v>
      </c>
      <c r="B153" t="s">
        <v>19</v>
      </c>
      <c r="C153" t="str">
        <f>IF('Market Analyzes'!$C$2=Language!$C$2,B153,A153)</f>
        <v>Armênia</v>
      </c>
      <c r="D153" t="str">
        <f>INDEX('Score-Starting a business'!$D$2:$D$176,MATCH(Language!B153,'Score-Starting a business'!$B$2:$B$176,0))</f>
        <v>Europe</v>
      </c>
      <c r="E153" t="s">
        <v>1078</v>
      </c>
      <c r="F153">
        <v>7</v>
      </c>
      <c r="G153" t="str">
        <f>IF('Market Analyzes'!$C$2=Language!$C$2,D153,E153)</f>
        <v>Europa</v>
      </c>
      <c r="K153" t="s">
        <v>9</v>
      </c>
      <c r="L153">
        <f t="shared" si="0"/>
        <v>2</v>
      </c>
      <c r="M153" t="str" cm="1">
        <f t="array" ref="M153">INDEX($E$149:$E$308,L153)</f>
        <v>Oriente médio</v>
      </c>
      <c r="N153" t="str">
        <f>IF('Market Analyzes'!$C$2=Language!$C$2,K153,M153)</f>
        <v>Oriente médio</v>
      </c>
    </row>
    <row r="154" spans="1:14" x14ac:dyDescent="0.25">
      <c r="A154" t="s">
        <v>1084</v>
      </c>
      <c r="B154" t="s">
        <v>20</v>
      </c>
      <c r="C154" t="str">
        <f>IF('Market Analyzes'!$C$2=Language!$C$2,B154,A154)</f>
        <v>Austrália</v>
      </c>
      <c r="D154" t="str">
        <f>INDEX('Score-Starting a business'!$D$2:$D$176,MATCH(Language!B154,'Score-Starting a business'!$B$2:$B$176,0))</f>
        <v>Oceania</v>
      </c>
      <c r="E154" t="s">
        <v>1085</v>
      </c>
      <c r="F154">
        <v>8</v>
      </c>
      <c r="G154" t="str">
        <f>IF('Market Analyzes'!$C$2=Language!$C$2,D154,E154)</f>
        <v>Oceânia</v>
      </c>
      <c r="K154" t="s">
        <v>36</v>
      </c>
      <c r="L154">
        <f t="shared" si="0"/>
        <v>27</v>
      </c>
      <c r="M154" t="str" cm="1">
        <f t="array" ref="M154">INDEX($E$149:$E$308,L154)</f>
        <v>América do Norte</v>
      </c>
      <c r="N154" t="str">
        <f>IF('Market Analyzes'!$C$2=Language!$C$2,K154,M154)</f>
        <v>América do Norte</v>
      </c>
    </row>
    <row r="155" spans="1:14" x14ac:dyDescent="0.25">
      <c r="A155" t="s">
        <v>1086</v>
      </c>
      <c r="B155" t="s">
        <v>22</v>
      </c>
      <c r="C155" t="str">
        <f>IF('Market Analyzes'!$C$2=Language!$C$2,B155,A155)</f>
        <v>Áustria</v>
      </c>
      <c r="D155" t="str">
        <f>INDEX('Score-Starting a business'!$D$2:$D$176,MATCH(Language!B155,'Score-Starting a business'!$B$2:$B$176,0))</f>
        <v>European Union</v>
      </c>
      <c r="E155" t="s">
        <v>1087</v>
      </c>
      <c r="F155">
        <v>9</v>
      </c>
      <c r="G155" t="str">
        <f>IF('Market Analyzes'!$C$2=Language!$C$2,D155,E155)</f>
        <v>União Européia</v>
      </c>
      <c r="K155" t="s">
        <v>21</v>
      </c>
      <c r="L155">
        <f t="shared" si="0"/>
        <v>6</v>
      </c>
      <c r="M155" t="str" cm="1">
        <f t="array" ref="M155">INDEX($E$149:$E$308,L155)</f>
        <v>Oceânia</v>
      </c>
      <c r="N155" t="str">
        <f>IF('Market Analyzes'!$C$2=Language!$C$2,K155,M155)</f>
        <v>Oceânia</v>
      </c>
    </row>
    <row r="156" spans="1:14" x14ac:dyDescent="0.25">
      <c r="A156" t="s">
        <v>1088</v>
      </c>
      <c r="B156" t="s">
        <v>24</v>
      </c>
      <c r="C156" t="str">
        <f>IF('Market Analyzes'!$C$2=Language!$C$2,B156,A156)</f>
        <v>Azerbaijão</v>
      </c>
      <c r="D156" t="str">
        <f>INDEX('Score-Starting a business'!$D$2:$D$176,MATCH(Language!B156,'Score-Starting a business'!$B$2:$B$176,0))</f>
        <v>Asia &amp; Pacific</v>
      </c>
      <c r="E156" t="s">
        <v>1089</v>
      </c>
      <c r="F156">
        <v>10</v>
      </c>
      <c r="G156" t="str">
        <f>IF('Market Analyzes'!$C$2=Language!$C$2,D156,E156)</f>
        <v>Ásia-Pacífico</v>
      </c>
      <c r="K156" t="s">
        <v>18</v>
      </c>
      <c r="L156">
        <f t="shared" si="0"/>
        <v>4</v>
      </c>
      <c r="M156" t="str" cm="1">
        <f t="array" ref="M156">INDEX($E$149:$E$308,L156)</f>
        <v>América do Sul</v>
      </c>
      <c r="N156" t="str">
        <f>IF('Market Analyzes'!$C$2=Language!$C$2,K156,M156)</f>
        <v>América do Sul</v>
      </c>
    </row>
    <row r="157" spans="1:14" x14ac:dyDescent="0.25">
      <c r="A157" t="s">
        <v>1090</v>
      </c>
      <c r="B157" t="s">
        <v>26</v>
      </c>
      <c r="C157" t="str">
        <f>IF('Market Analyzes'!$C$2=Language!$C$2,B157,A157)</f>
        <v>Bahamas.</v>
      </c>
      <c r="D157" t="str">
        <f>INDEX('Score-Starting a business'!$D$2:$D$176,MATCH(Language!B157,'Score-Starting a business'!$B$2:$B$176,0))</f>
        <v>The Caribbean</v>
      </c>
      <c r="E157" t="s">
        <v>1091</v>
      </c>
      <c r="F157">
        <v>11</v>
      </c>
      <c r="G157" t="str">
        <f>IF('Market Analyzes'!$C$2=Language!$C$2,D157,E157)</f>
        <v>Caribe</v>
      </c>
      <c r="K157" t="s">
        <v>14</v>
      </c>
      <c r="L157">
        <f t="shared" si="0"/>
        <v>3</v>
      </c>
      <c r="M157" t="str" cm="1">
        <f t="array" ref="M157">INDEX($E$149:$E$308,L157)</f>
        <v>África Subsaariana</v>
      </c>
      <c r="N157" t="str">
        <f>IF('Market Analyzes'!$C$2=Language!$C$2,K157,M157)</f>
        <v>África Subsaariana</v>
      </c>
    </row>
    <row r="158" spans="1:14" x14ac:dyDescent="0.25">
      <c r="A158" t="s">
        <v>1092</v>
      </c>
      <c r="B158" t="s">
        <v>27</v>
      </c>
      <c r="C158" t="str">
        <f>IF('Market Analyzes'!$C$2=Language!$C$2,B158,A158)</f>
        <v>Bahrein</v>
      </c>
      <c r="D158" t="str">
        <f>INDEX('Score-Starting a business'!$D$2:$D$176,MATCH(Language!B158,'Score-Starting a business'!$B$2:$B$176,0))</f>
        <v>Middle East</v>
      </c>
      <c r="E158" t="s">
        <v>1080</v>
      </c>
      <c r="F158">
        <v>12</v>
      </c>
      <c r="G158" t="str">
        <f>IF('Market Analyzes'!$C$2=Language!$C$2,D158,E158)</f>
        <v>Oriente médio</v>
      </c>
      <c r="K158" t="s">
        <v>16</v>
      </c>
      <c r="L158">
        <f t="shared" si="0"/>
        <v>9</v>
      </c>
      <c r="M158" t="str" cm="1">
        <f t="array" ref="M158">INDEX($E$149:$E$308,L158)</f>
        <v>Caribe</v>
      </c>
      <c r="N158" t="str">
        <f>IF('Market Analyzes'!$C$2=Language!$C$2,K158,M158)</f>
        <v>Caribe</v>
      </c>
    </row>
    <row r="159" spans="1:14" x14ac:dyDescent="0.25">
      <c r="A159" t="s">
        <v>28</v>
      </c>
      <c r="B159" t="s">
        <v>28</v>
      </c>
      <c r="C159" t="str">
        <f>IF('Market Analyzes'!$C$2=Language!$C$2,B159,A159)</f>
        <v>Bangladesh</v>
      </c>
      <c r="D159" t="str">
        <f>INDEX('Score-Starting a business'!$D$2:$D$176,MATCH(Language!B159,'Score-Starting a business'!$B$2:$B$176,0))</f>
        <v>Asia &amp; Pacific</v>
      </c>
      <c r="E159" t="s">
        <v>1089</v>
      </c>
      <c r="F159">
        <v>13</v>
      </c>
      <c r="G159" t="str">
        <f>IF('Market Analyzes'!$C$2=Language!$C$2,D159,E159)</f>
        <v>Ásia-Pacífico</v>
      </c>
    </row>
    <row r="160" spans="1:14" x14ac:dyDescent="0.25">
      <c r="A160" t="s">
        <v>1093</v>
      </c>
      <c r="B160" t="s">
        <v>29</v>
      </c>
      <c r="C160" t="str">
        <f>IF('Market Analyzes'!$C$2=Language!$C$2,B160,A160)</f>
        <v>Barbados.</v>
      </c>
      <c r="D160" t="str">
        <f>INDEX('Score-Starting a business'!$D$2:$D$176,MATCH(Language!B160,'Score-Starting a business'!$B$2:$B$176,0))</f>
        <v>The Caribbean</v>
      </c>
      <c r="E160" t="s">
        <v>1091</v>
      </c>
      <c r="F160">
        <v>14</v>
      </c>
      <c r="G160" t="str">
        <f>IF('Market Analyzes'!$C$2=Language!$C$2,D160,E160)</f>
        <v>Caribe</v>
      </c>
    </row>
    <row r="161" spans="1:7" x14ac:dyDescent="0.25">
      <c r="A161" t="s">
        <v>1094</v>
      </c>
      <c r="B161" t="s">
        <v>30</v>
      </c>
      <c r="C161" t="str">
        <f>IF('Market Analyzes'!$C$2=Language!$C$2,B161,A161)</f>
        <v>Bielorrússia</v>
      </c>
      <c r="D161" t="str">
        <f>INDEX('Score-Starting a business'!$D$2:$D$176,MATCH(Language!B161,'Score-Starting a business'!$B$2:$B$176,0))</f>
        <v>Europe</v>
      </c>
      <c r="E161" t="s">
        <v>1078</v>
      </c>
      <c r="F161">
        <v>15</v>
      </c>
      <c r="G161" t="str">
        <f>IF('Market Analyzes'!$C$2=Language!$C$2,D161,E161)</f>
        <v>Europa</v>
      </c>
    </row>
    <row r="162" spans="1:7" x14ac:dyDescent="0.25">
      <c r="A162" t="s">
        <v>1095</v>
      </c>
      <c r="B162" t="s">
        <v>31</v>
      </c>
      <c r="C162" t="str">
        <f>IF('Market Analyzes'!$C$2=Language!$C$2,B162,A162)</f>
        <v>Bélgica</v>
      </c>
      <c r="D162" t="str">
        <f>INDEX('Score-Starting a business'!$D$2:$D$176,MATCH(Language!B162,'Score-Starting a business'!$B$2:$B$176,0))</f>
        <v>European Union</v>
      </c>
      <c r="E162" t="s">
        <v>1087</v>
      </c>
      <c r="F162">
        <v>16</v>
      </c>
      <c r="G162" t="str">
        <f>IF('Market Analyzes'!$C$2=Language!$C$2,D162,E162)</f>
        <v>União Européia</v>
      </c>
    </row>
    <row r="163" spans="1:7" x14ac:dyDescent="0.25">
      <c r="A163" t="s">
        <v>32</v>
      </c>
      <c r="B163" t="s">
        <v>32</v>
      </c>
      <c r="C163" t="str">
        <f>IF('Market Analyzes'!$C$2=Language!$C$2,B163,A163)</f>
        <v>Belize</v>
      </c>
      <c r="D163" t="str">
        <f>INDEX('Score-Starting a business'!$D$2:$D$176,MATCH(Language!B163,'Score-Starting a business'!$B$2:$B$176,0))</f>
        <v>Central America</v>
      </c>
      <c r="E163" t="s">
        <v>1096</v>
      </c>
      <c r="F163">
        <v>17</v>
      </c>
      <c r="G163" t="str">
        <f>IF('Market Analyzes'!$C$2=Language!$C$2,D163,E163)</f>
        <v>América Central</v>
      </c>
    </row>
    <row r="164" spans="1:7" x14ac:dyDescent="0.25">
      <c r="A164" t="s">
        <v>34</v>
      </c>
      <c r="B164" t="s">
        <v>34</v>
      </c>
      <c r="C164" t="str">
        <f>IF('Market Analyzes'!$C$2=Language!$C$2,B164,A164)</f>
        <v>Benin</v>
      </c>
      <c r="D164" t="str">
        <f>INDEX('Score-Starting a business'!$D$2:$D$176,MATCH(Language!B164,'Score-Starting a business'!$B$2:$B$176,0))</f>
        <v>Sub-Saharan Africa</v>
      </c>
      <c r="E164" t="s">
        <v>1081</v>
      </c>
      <c r="F164">
        <v>18</v>
      </c>
      <c r="G164" t="str">
        <f>IF('Market Analyzes'!$C$2=Language!$C$2,D164,E164)</f>
        <v>África Subsaariana</v>
      </c>
    </row>
    <row r="165" spans="1:7" x14ac:dyDescent="0.25">
      <c r="A165" t="s">
        <v>1097</v>
      </c>
      <c r="B165" t="s">
        <v>37</v>
      </c>
      <c r="C165" t="str">
        <f>IF('Market Analyzes'!$C$2=Language!$C$2,B165,A165)</f>
        <v>Butão</v>
      </c>
      <c r="D165" t="str">
        <f>INDEX('Score-Starting a business'!$D$2:$D$176,MATCH(Language!B165,'Score-Starting a business'!$B$2:$B$176,0))</f>
        <v>Asia &amp; Pacific</v>
      </c>
      <c r="E165" t="s">
        <v>1089</v>
      </c>
      <c r="F165">
        <v>20</v>
      </c>
      <c r="G165" t="str">
        <f>IF('Market Analyzes'!$C$2=Language!$C$2,D165,E165)</f>
        <v>Ásia-Pacífico</v>
      </c>
    </row>
    <row r="166" spans="1:7" x14ac:dyDescent="0.25">
      <c r="A166" t="s">
        <v>1098</v>
      </c>
      <c r="B166" t="s">
        <v>38</v>
      </c>
      <c r="C166" t="str">
        <f>IF('Market Analyzes'!$C$2=Language!$C$2,B166,A166)</f>
        <v>Bolívia</v>
      </c>
      <c r="D166" t="str">
        <f>INDEX('Score-Starting a business'!$D$2:$D$176,MATCH(Language!B166,'Score-Starting a business'!$B$2:$B$176,0))</f>
        <v>South America</v>
      </c>
      <c r="E166" t="s">
        <v>1082</v>
      </c>
      <c r="F166">
        <v>21</v>
      </c>
      <c r="G166" t="str">
        <f>IF('Market Analyzes'!$C$2=Language!$C$2,D166,E166)</f>
        <v>América do Sul</v>
      </c>
    </row>
    <row r="167" spans="1:7" x14ac:dyDescent="0.25">
      <c r="A167" t="s">
        <v>1099</v>
      </c>
      <c r="B167" t="s">
        <v>208</v>
      </c>
      <c r="C167" t="str">
        <f>IF('Market Analyzes'!$C$2=Language!$C$2,B167,A167)</f>
        <v>Bósnia e Herzegovina</v>
      </c>
      <c r="D167" t="str">
        <f>INDEX('Score-Starting a business'!$D$2:$D$176,MATCH(Language!B167,'Score-Starting a business'!$B$2:$B$176,0))</f>
        <v>Europe</v>
      </c>
      <c r="E167" t="s">
        <v>1078</v>
      </c>
      <c r="F167">
        <v>171</v>
      </c>
      <c r="G167" t="str">
        <f>IF('Market Analyzes'!$C$2=Language!$C$2,D167,E167)</f>
        <v>Europa</v>
      </c>
    </row>
    <row r="168" spans="1:7" x14ac:dyDescent="0.25">
      <c r="A168" t="s">
        <v>1100</v>
      </c>
      <c r="B168" t="s">
        <v>39</v>
      </c>
      <c r="C168" t="str">
        <f>IF('Market Analyzes'!$C$2=Language!$C$2,B168,A168)</f>
        <v>Botsuana</v>
      </c>
      <c r="D168" t="str">
        <f>INDEX('Score-Starting a business'!$D$2:$D$176,MATCH(Language!B168,'Score-Starting a business'!$B$2:$B$176,0))</f>
        <v>Sub-Saharan Africa</v>
      </c>
      <c r="E168" t="s">
        <v>1081</v>
      </c>
      <c r="F168">
        <v>22</v>
      </c>
      <c r="G168" t="str">
        <f>IF('Market Analyzes'!$C$2=Language!$C$2,D168,E168)</f>
        <v>África Subsaariana</v>
      </c>
    </row>
    <row r="169" spans="1:7" x14ac:dyDescent="0.25">
      <c r="A169" t="s">
        <v>1101</v>
      </c>
      <c r="B169" t="s">
        <v>40</v>
      </c>
      <c r="C169" t="str">
        <f>IF('Market Analyzes'!$C$2=Language!$C$2,B169,A169)</f>
        <v>Brasil</v>
      </c>
      <c r="D169" t="str">
        <f>INDEX('Score-Starting a business'!$D$2:$D$176,MATCH(Language!B169,'Score-Starting a business'!$B$2:$B$176,0))</f>
        <v>South America</v>
      </c>
      <c r="E169" t="s">
        <v>1082</v>
      </c>
      <c r="F169">
        <v>23</v>
      </c>
      <c r="G169" t="str">
        <f>IF('Market Analyzes'!$C$2=Language!$C$2,D169,E169)</f>
        <v>América do Sul</v>
      </c>
    </row>
    <row r="170" spans="1:7" x14ac:dyDescent="0.25">
      <c r="A170" t="s">
        <v>1102</v>
      </c>
      <c r="B170" t="s">
        <v>41</v>
      </c>
      <c r="C170" t="str">
        <f>IF('Market Analyzes'!$C$2=Language!$C$2,B170,A170)</f>
        <v>Bulgária</v>
      </c>
      <c r="D170" t="str">
        <f>INDEX('Score-Starting a business'!$D$2:$D$176,MATCH(Language!B170,'Score-Starting a business'!$B$2:$B$176,0))</f>
        <v>European Union</v>
      </c>
      <c r="E170" t="s">
        <v>1087</v>
      </c>
      <c r="F170">
        <v>24</v>
      </c>
      <c r="G170" t="str">
        <f>IF('Market Analyzes'!$C$2=Language!$C$2,D170,E170)</f>
        <v>União Européia</v>
      </c>
    </row>
    <row r="171" spans="1:7" x14ac:dyDescent="0.25">
      <c r="A171" t="s">
        <v>42</v>
      </c>
      <c r="B171" t="s">
        <v>42</v>
      </c>
      <c r="C171" t="str">
        <f>IF('Market Analyzes'!$C$2=Language!$C$2,B171,A171)</f>
        <v>Burkina Faso</v>
      </c>
      <c r="D171" t="str">
        <f>INDEX('Score-Starting a business'!$D$2:$D$176,MATCH(Language!B171,'Score-Starting a business'!$B$2:$B$176,0))</f>
        <v>Sub-Saharan Africa</v>
      </c>
      <c r="E171" t="s">
        <v>1081</v>
      </c>
      <c r="F171">
        <v>25</v>
      </c>
      <c r="G171" t="str">
        <f>IF('Market Analyzes'!$C$2=Language!$C$2,D171,E171)</f>
        <v>África Subsaariana</v>
      </c>
    </row>
    <row r="172" spans="1:7" x14ac:dyDescent="0.25">
      <c r="A172" t="s">
        <v>44</v>
      </c>
      <c r="B172" t="s">
        <v>44</v>
      </c>
      <c r="C172" t="str">
        <f>IF('Market Analyzes'!$C$2=Language!$C$2,B172,A172)</f>
        <v>Burundi</v>
      </c>
      <c r="D172" t="str">
        <f>INDEX('Score-Starting a business'!$D$2:$D$176,MATCH(Language!B172,'Score-Starting a business'!$B$2:$B$176,0))</f>
        <v>Sub-Saharan Africa</v>
      </c>
      <c r="E172" t="s">
        <v>1081</v>
      </c>
      <c r="F172">
        <v>26</v>
      </c>
      <c r="G172" t="str">
        <f>IF('Market Analyzes'!$C$2=Language!$C$2,D172,E172)</f>
        <v>África Subsaariana</v>
      </c>
    </row>
    <row r="173" spans="1:7" x14ac:dyDescent="0.25">
      <c r="A173" t="s">
        <v>1103</v>
      </c>
      <c r="B173" t="s">
        <v>45</v>
      </c>
      <c r="C173" t="str">
        <f>IF('Market Analyzes'!$C$2=Language!$C$2,B173,A173)</f>
        <v>Camboja</v>
      </c>
      <c r="D173" t="str">
        <f>INDEX('Score-Starting a business'!$D$2:$D$176,MATCH(Language!B173,'Score-Starting a business'!$B$2:$B$176,0))</f>
        <v>Asia &amp; Pacific</v>
      </c>
      <c r="E173" t="s">
        <v>1089</v>
      </c>
      <c r="F173">
        <v>27</v>
      </c>
      <c r="G173" t="str">
        <f>IF('Market Analyzes'!$C$2=Language!$C$2,D173,E173)</f>
        <v>Ásia-Pacífico</v>
      </c>
    </row>
    <row r="174" spans="1:7" x14ac:dyDescent="0.25">
      <c r="A174" t="s">
        <v>1104</v>
      </c>
      <c r="B174" t="s">
        <v>46</v>
      </c>
      <c r="C174" t="str">
        <f>IF('Market Analyzes'!$C$2=Language!$C$2,B174,A174)</f>
        <v>Camarões</v>
      </c>
      <c r="D174" t="str">
        <f>INDEX('Score-Starting a business'!$D$2:$D$176,MATCH(Language!B174,'Score-Starting a business'!$B$2:$B$176,0))</f>
        <v>Sub-Saharan Africa</v>
      </c>
      <c r="E174" t="s">
        <v>1081</v>
      </c>
      <c r="F174">
        <v>28</v>
      </c>
      <c r="G174" t="str">
        <f>IF('Market Analyzes'!$C$2=Language!$C$2,D174,E174)</f>
        <v>África Subsaariana</v>
      </c>
    </row>
    <row r="175" spans="1:7" x14ac:dyDescent="0.25">
      <c r="A175" t="s">
        <v>1105</v>
      </c>
      <c r="B175" t="s">
        <v>47</v>
      </c>
      <c r="C175" t="str">
        <f>IF('Market Analyzes'!$C$2=Language!$C$2,B175,A175)</f>
        <v>Canadá</v>
      </c>
      <c r="D175" t="str">
        <f>INDEX('Score-Starting a business'!$D$2:$D$176,MATCH(Language!B175,'Score-Starting a business'!$B$2:$B$176,0))</f>
        <v>North America</v>
      </c>
      <c r="E175" t="s">
        <v>1106</v>
      </c>
      <c r="F175">
        <v>29</v>
      </c>
      <c r="G175" t="str">
        <f>IF('Market Analyzes'!$C$2=Language!$C$2,D175,E175)</f>
        <v>América do Norte</v>
      </c>
    </row>
    <row r="176" spans="1:7" x14ac:dyDescent="0.25">
      <c r="A176" t="s">
        <v>1107</v>
      </c>
      <c r="B176" t="s">
        <v>49</v>
      </c>
      <c r="C176" t="str">
        <f>IF('Market Analyzes'!$C$2=Language!$C$2,B176,A176)</f>
        <v>República Centro-Africana.</v>
      </c>
      <c r="D176" t="str">
        <f>INDEX('Score-Starting a business'!$D$2:$D$176,MATCH(Language!B176,'Score-Starting a business'!$B$2:$B$176,0))</f>
        <v>Sub-Saharan Africa</v>
      </c>
      <c r="E176" t="s">
        <v>1081</v>
      </c>
      <c r="F176">
        <v>31</v>
      </c>
      <c r="G176" t="str">
        <f>IF('Market Analyzes'!$C$2=Language!$C$2,D176,E176)</f>
        <v>África Subsaariana</v>
      </c>
    </row>
    <row r="177" spans="1:7" x14ac:dyDescent="0.25">
      <c r="A177" t="s">
        <v>1108</v>
      </c>
      <c r="B177" t="s">
        <v>51</v>
      </c>
      <c r="C177" t="str">
        <f>IF('Market Analyzes'!$C$2=Language!$C$2,B177,A177)</f>
        <v>Chade</v>
      </c>
      <c r="D177" t="str">
        <f>INDEX('Score-Starting a business'!$D$2:$D$176,MATCH(Language!B177,'Score-Starting a business'!$B$2:$B$176,0))</f>
        <v>Sub-Saharan Africa</v>
      </c>
      <c r="E177" t="s">
        <v>1081</v>
      </c>
      <c r="F177">
        <v>32</v>
      </c>
      <c r="G177" t="str">
        <f>IF('Market Analyzes'!$C$2=Language!$C$2,D177,E177)</f>
        <v>África Subsaariana</v>
      </c>
    </row>
    <row r="178" spans="1:7" x14ac:dyDescent="0.25">
      <c r="A178" t="s">
        <v>52</v>
      </c>
      <c r="B178" t="s">
        <v>52</v>
      </c>
      <c r="C178" t="str">
        <f>IF('Market Analyzes'!$C$2=Language!$C$2,B178,A178)</f>
        <v>Chile</v>
      </c>
      <c r="D178" t="str">
        <f>INDEX('Score-Starting a business'!$D$2:$D$176,MATCH(Language!B178,'Score-Starting a business'!$B$2:$B$176,0))</f>
        <v>South America</v>
      </c>
      <c r="E178" t="s">
        <v>1082</v>
      </c>
      <c r="F178">
        <v>33</v>
      </c>
      <c r="G178" t="str">
        <f>IF('Market Analyzes'!$C$2=Language!$C$2,D178,E178)</f>
        <v>América do Sul</v>
      </c>
    </row>
    <row r="179" spans="1:7" x14ac:dyDescent="0.25">
      <c r="A179" t="s">
        <v>53</v>
      </c>
      <c r="B179" t="s">
        <v>53</v>
      </c>
      <c r="C179" t="str">
        <f>IF('Market Analyzes'!$C$2=Language!$C$2,B179,A179)</f>
        <v>China</v>
      </c>
      <c r="D179" t="str">
        <f>INDEX('Score-Starting a business'!$D$2:$D$176,MATCH(Language!B179,'Score-Starting a business'!$B$2:$B$176,0))</f>
        <v>Asia &amp; Pacific</v>
      </c>
      <c r="E179" t="s">
        <v>1089</v>
      </c>
      <c r="F179">
        <v>34</v>
      </c>
      <c r="G179" t="str">
        <f>IF('Market Analyzes'!$C$2=Language!$C$2,D179,E179)</f>
        <v>Ásia-Pacífico</v>
      </c>
    </row>
    <row r="180" spans="1:7" x14ac:dyDescent="0.25">
      <c r="A180" t="s">
        <v>1109</v>
      </c>
      <c r="B180" t="s">
        <v>54</v>
      </c>
      <c r="C180" t="str">
        <f>IF('Market Analyzes'!$C$2=Language!$C$2,B180,A180)</f>
        <v>Colômbia</v>
      </c>
      <c r="D180" t="str">
        <f>INDEX('Score-Starting a business'!$D$2:$D$176,MATCH(Language!B180,'Score-Starting a business'!$B$2:$B$176,0))</f>
        <v>South America</v>
      </c>
      <c r="E180" t="s">
        <v>1082</v>
      </c>
      <c r="F180">
        <v>35</v>
      </c>
      <c r="G180" t="str">
        <f>IF('Market Analyzes'!$C$2=Language!$C$2,D180,E180)</f>
        <v>América do Sul</v>
      </c>
    </row>
    <row r="181" spans="1:7" x14ac:dyDescent="0.25">
      <c r="A181" t="s">
        <v>1110</v>
      </c>
      <c r="B181" t="s">
        <v>55</v>
      </c>
      <c r="C181" t="str">
        <f>IF('Market Analyzes'!$C$2=Language!$C$2,B181,A181)</f>
        <v>Comores.</v>
      </c>
      <c r="D181" t="str">
        <f>INDEX('Score-Starting a business'!$D$2:$D$176,MATCH(Language!B181,'Score-Starting a business'!$B$2:$B$176,0))</f>
        <v>Sub-Saharan Africa</v>
      </c>
      <c r="E181" t="s">
        <v>1081</v>
      </c>
      <c r="F181">
        <v>36</v>
      </c>
      <c r="G181" t="str">
        <f>IF('Market Analyzes'!$C$2=Language!$C$2,D181,E181)</f>
        <v>África Subsaariana</v>
      </c>
    </row>
    <row r="182" spans="1:7" x14ac:dyDescent="0.25">
      <c r="A182" t="s">
        <v>56</v>
      </c>
      <c r="B182" t="s">
        <v>56</v>
      </c>
      <c r="C182" t="str">
        <f>IF('Market Analyzes'!$C$2=Language!$C$2,B182,A182)</f>
        <v>Costa Rica</v>
      </c>
      <c r="D182" t="str">
        <f>INDEX('Score-Starting a business'!$D$2:$D$176,MATCH(Language!B182,'Score-Starting a business'!$B$2:$B$176,0))</f>
        <v>Central America</v>
      </c>
      <c r="E182" t="s">
        <v>1096</v>
      </c>
      <c r="F182">
        <v>37</v>
      </c>
      <c r="G182" t="str">
        <f>IF('Market Analyzes'!$C$2=Language!$C$2,D182,E182)</f>
        <v>América Central</v>
      </c>
    </row>
    <row r="183" spans="1:7" x14ac:dyDescent="0.25">
      <c r="A183" t="s">
        <v>1111</v>
      </c>
      <c r="B183" t="s">
        <v>58</v>
      </c>
      <c r="C183" t="str">
        <f>IF('Market Analyzes'!$C$2=Language!$C$2,B183,A183)</f>
        <v>Croácia</v>
      </c>
      <c r="D183" t="str">
        <f>INDEX('Score-Starting a business'!$D$2:$D$176,MATCH(Language!B183,'Score-Starting a business'!$B$2:$B$176,0))</f>
        <v>Europe</v>
      </c>
      <c r="E183" t="s">
        <v>1078</v>
      </c>
      <c r="F183">
        <v>38</v>
      </c>
      <c r="G183" t="str">
        <f>IF('Market Analyzes'!$C$2=Language!$C$2,D183,E183)</f>
        <v>Europa</v>
      </c>
    </row>
    <row r="184" spans="1:7" x14ac:dyDescent="0.25">
      <c r="A184" t="s">
        <v>59</v>
      </c>
      <c r="B184" t="s">
        <v>59</v>
      </c>
      <c r="C184" t="str">
        <f>IF('Market Analyzes'!$C$2=Language!$C$2,B184,A184)</f>
        <v>Cuba</v>
      </c>
      <c r="D184" t="str">
        <f>INDEX('Score-Starting a business'!$D$2:$D$176,MATCH(Language!B184,'Score-Starting a business'!$B$2:$B$176,0))</f>
        <v>The Caribbean</v>
      </c>
      <c r="E184" t="s">
        <v>1091</v>
      </c>
      <c r="F184">
        <v>39</v>
      </c>
      <c r="G184" t="str">
        <f>IF('Market Analyzes'!$C$2=Language!$C$2,D184,E184)</f>
        <v>Caribe</v>
      </c>
    </row>
    <row r="185" spans="1:7" x14ac:dyDescent="0.25">
      <c r="A185" t="s">
        <v>1112</v>
      </c>
      <c r="B185" t="s">
        <v>60</v>
      </c>
      <c r="C185" t="str">
        <f>IF('Market Analyzes'!$C$2=Language!$C$2,B185,A185)</f>
        <v>Chipre</v>
      </c>
      <c r="D185" t="str">
        <f>INDEX('Score-Starting a business'!$D$2:$D$176,MATCH(Language!B185,'Score-Starting a business'!$B$2:$B$176,0))</f>
        <v>European Union</v>
      </c>
      <c r="E185" t="s">
        <v>1087</v>
      </c>
      <c r="F185">
        <v>40</v>
      </c>
      <c r="G185" t="str">
        <f>IF('Market Analyzes'!$C$2=Language!$C$2,D185,E185)</f>
        <v>União Européia</v>
      </c>
    </row>
    <row r="186" spans="1:7" x14ac:dyDescent="0.25">
      <c r="A186" t="s">
        <v>1113</v>
      </c>
      <c r="B186" t="s">
        <v>61</v>
      </c>
      <c r="C186" t="str">
        <f>IF('Market Analyzes'!$C$2=Language!$C$2,B186,A186)</f>
        <v>República Checa</v>
      </c>
      <c r="D186" t="str">
        <f>INDEX('Score-Starting a business'!$D$2:$D$176,MATCH(Language!B186,'Score-Starting a business'!$B$2:$B$176,0))</f>
        <v>European Union</v>
      </c>
      <c r="E186" t="s">
        <v>1087</v>
      </c>
      <c r="F186">
        <v>41</v>
      </c>
      <c r="G186" t="str">
        <f>IF('Market Analyzes'!$C$2=Language!$C$2,D186,E186)</f>
        <v>União Européia</v>
      </c>
    </row>
    <row r="187" spans="1:7" x14ac:dyDescent="0.25">
      <c r="A187" t="s">
        <v>1114</v>
      </c>
      <c r="B187" t="s">
        <v>65</v>
      </c>
      <c r="C187" t="str">
        <f>IF('Market Analyzes'!$C$2=Language!$C$2,B187,A187)</f>
        <v>Dinamarca</v>
      </c>
      <c r="D187" t="str">
        <f>INDEX('Score-Starting a business'!$D$2:$D$176,MATCH(Language!B187,'Score-Starting a business'!$B$2:$B$176,0))</f>
        <v>European Union</v>
      </c>
      <c r="E187" t="s">
        <v>1087</v>
      </c>
      <c r="F187">
        <v>43</v>
      </c>
      <c r="G187" t="str">
        <f>IF('Market Analyzes'!$C$2=Language!$C$2,D187,E187)</f>
        <v>União Européia</v>
      </c>
    </row>
    <row r="188" spans="1:7" x14ac:dyDescent="0.25">
      <c r="A188" t="s">
        <v>1115</v>
      </c>
      <c r="B188" t="s">
        <v>66</v>
      </c>
      <c r="C188" t="str">
        <f>IF('Market Analyzes'!$C$2=Language!$C$2,B188,A188)</f>
        <v>Djibuti</v>
      </c>
      <c r="D188" t="str">
        <f>INDEX('Score-Starting a business'!$D$2:$D$176,MATCH(Language!B188,'Score-Starting a business'!$B$2:$B$176,0))</f>
        <v>Sub-Saharan Africa</v>
      </c>
      <c r="E188" t="s">
        <v>1081</v>
      </c>
      <c r="F188">
        <v>44</v>
      </c>
      <c r="G188" t="str">
        <f>IF('Market Analyzes'!$C$2=Language!$C$2,D188,E188)</f>
        <v>África Subsaariana</v>
      </c>
    </row>
    <row r="189" spans="1:7" x14ac:dyDescent="0.25">
      <c r="A189" t="s">
        <v>1116</v>
      </c>
      <c r="B189" t="s">
        <v>67</v>
      </c>
      <c r="C189" t="str">
        <f>IF('Market Analyzes'!$C$2=Language!$C$2,B189,A189)</f>
        <v>Dominica.</v>
      </c>
      <c r="D189" t="str">
        <f>INDEX('Score-Starting a business'!$D$2:$D$176,MATCH(Language!B189,'Score-Starting a business'!$B$2:$B$176,0))</f>
        <v>The Caribbean</v>
      </c>
      <c r="E189" t="s">
        <v>1091</v>
      </c>
      <c r="F189">
        <v>45</v>
      </c>
      <c r="G189" t="str">
        <f>IF('Market Analyzes'!$C$2=Language!$C$2,D189,E189)</f>
        <v>Caribe</v>
      </c>
    </row>
    <row r="190" spans="1:7" x14ac:dyDescent="0.25">
      <c r="A190" t="s">
        <v>1117</v>
      </c>
      <c r="B190" t="s">
        <v>68</v>
      </c>
      <c r="C190" t="str">
        <f>IF('Market Analyzes'!$C$2=Language!$C$2,B190,A190)</f>
        <v>República Dominicana</v>
      </c>
      <c r="D190" t="str">
        <f>INDEX('Score-Starting a business'!$D$2:$D$176,MATCH(Language!B190,'Score-Starting a business'!$B$2:$B$176,0))</f>
        <v>The Caribbean</v>
      </c>
      <c r="E190" t="s">
        <v>1091</v>
      </c>
      <c r="F190">
        <v>46</v>
      </c>
      <c r="G190" t="str">
        <f>IF('Market Analyzes'!$C$2=Language!$C$2,D190,E190)</f>
        <v>Caribe</v>
      </c>
    </row>
    <row r="191" spans="1:7" x14ac:dyDescent="0.25">
      <c r="A191" t="s">
        <v>1118</v>
      </c>
      <c r="B191" t="s">
        <v>70</v>
      </c>
      <c r="C191" t="str">
        <f>IF('Market Analyzes'!$C$2=Language!$C$2,B191,A191)</f>
        <v>Equador</v>
      </c>
      <c r="D191" t="str">
        <f>INDEX('Score-Starting a business'!$D$2:$D$176,MATCH(Language!B191,'Score-Starting a business'!$B$2:$B$176,0))</f>
        <v>South America</v>
      </c>
      <c r="E191" t="s">
        <v>1082</v>
      </c>
      <c r="F191">
        <v>47</v>
      </c>
      <c r="G191" t="str">
        <f>IF('Market Analyzes'!$C$2=Language!$C$2,D191,E191)</f>
        <v>América do Sul</v>
      </c>
    </row>
    <row r="192" spans="1:7" x14ac:dyDescent="0.25">
      <c r="A192" t="s">
        <v>1119</v>
      </c>
      <c r="B192" t="s">
        <v>71</v>
      </c>
      <c r="C192" t="str">
        <f>IF('Market Analyzes'!$C$2=Language!$C$2,B192,A192)</f>
        <v>Egito</v>
      </c>
      <c r="D192" t="str">
        <f>INDEX('Score-Starting a business'!$D$2:$D$176,MATCH(Language!B192,'Score-Starting a business'!$B$2:$B$176,0))</f>
        <v>Middle East</v>
      </c>
      <c r="E192" t="s">
        <v>1080</v>
      </c>
      <c r="F192">
        <v>48</v>
      </c>
      <c r="G192" t="str">
        <f>IF('Market Analyzes'!$C$2=Language!$C$2,D192,E192)</f>
        <v>Oriente médio</v>
      </c>
    </row>
    <row r="193" spans="1:7" x14ac:dyDescent="0.25">
      <c r="A193" t="s">
        <v>72</v>
      </c>
      <c r="B193" t="s">
        <v>72</v>
      </c>
      <c r="C193" t="str">
        <f>IF('Market Analyzes'!$C$2=Language!$C$2,B193,A193)</f>
        <v>El Salvador</v>
      </c>
      <c r="D193" t="str">
        <f>INDEX('Score-Starting a business'!$D$2:$D$176,MATCH(Language!B193,'Score-Starting a business'!$B$2:$B$176,0))</f>
        <v>Central America</v>
      </c>
      <c r="E193" t="s">
        <v>1096</v>
      </c>
      <c r="F193">
        <v>49</v>
      </c>
      <c r="G193" t="str">
        <f>IF('Market Analyzes'!$C$2=Language!$C$2,D193,E193)</f>
        <v>América Central</v>
      </c>
    </row>
    <row r="194" spans="1:7" x14ac:dyDescent="0.25">
      <c r="A194" t="s">
        <v>1120</v>
      </c>
      <c r="B194" t="s">
        <v>74</v>
      </c>
      <c r="C194" t="str">
        <f>IF('Market Analyzes'!$C$2=Language!$C$2,B194,A194)</f>
        <v>Guiné Equatorial</v>
      </c>
      <c r="D194" t="str">
        <f>INDEX('Score-Starting a business'!$D$2:$D$176,MATCH(Language!B194,'Score-Starting a business'!$B$2:$B$176,0))</f>
        <v>Sub-Saharan Africa</v>
      </c>
      <c r="E194" t="s">
        <v>1081</v>
      </c>
      <c r="F194">
        <v>50</v>
      </c>
      <c r="G194" t="str">
        <f>IF('Market Analyzes'!$C$2=Language!$C$2,D194,E194)</f>
        <v>África Subsaariana</v>
      </c>
    </row>
    <row r="195" spans="1:7" x14ac:dyDescent="0.25">
      <c r="A195" t="s">
        <v>1121</v>
      </c>
      <c r="B195" t="s">
        <v>76</v>
      </c>
      <c r="C195" t="str">
        <f>IF('Market Analyzes'!$C$2=Language!$C$2,B195,A195)</f>
        <v>Eritreia</v>
      </c>
      <c r="D195" t="str">
        <f>INDEX('Score-Starting a business'!$D$2:$D$176,MATCH(Language!B195,'Score-Starting a business'!$B$2:$B$176,0))</f>
        <v>Sub-Saharan Africa</v>
      </c>
      <c r="E195" t="s">
        <v>1081</v>
      </c>
      <c r="F195">
        <v>51</v>
      </c>
      <c r="G195" t="str">
        <f>IF('Market Analyzes'!$C$2=Language!$C$2,D195,E195)</f>
        <v>África Subsaariana</v>
      </c>
    </row>
    <row r="196" spans="1:7" x14ac:dyDescent="0.25">
      <c r="A196" t="s">
        <v>1122</v>
      </c>
      <c r="B196" t="s">
        <v>77</v>
      </c>
      <c r="C196" t="str">
        <f>IF('Market Analyzes'!$C$2=Language!$C$2,B196,A196)</f>
        <v>Estônia</v>
      </c>
      <c r="D196" t="str">
        <f>INDEX('Score-Starting a business'!$D$2:$D$176,MATCH(Language!B196,'Score-Starting a business'!$B$2:$B$176,0))</f>
        <v>European Union</v>
      </c>
      <c r="E196" t="s">
        <v>1087</v>
      </c>
      <c r="F196">
        <v>52</v>
      </c>
      <c r="G196" t="str">
        <f>IF('Market Analyzes'!$C$2=Language!$C$2,D196,E196)</f>
        <v>União Européia</v>
      </c>
    </row>
    <row r="197" spans="1:7" x14ac:dyDescent="0.25">
      <c r="A197" t="s">
        <v>1123</v>
      </c>
      <c r="B197" t="s">
        <v>78</v>
      </c>
      <c r="C197" t="str">
        <f>IF('Market Analyzes'!$C$2=Language!$C$2,B197,A197)</f>
        <v>Etiópia</v>
      </c>
      <c r="D197" t="str">
        <f>INDEX('Score-Starting a business'!$D$2:$D$176,MATCH(Language!B197,'Score-Starting a business'!$B$2:$B$176,0))</f>
        <v>Sub-Saharan Africa</v>
      </c>
      <c r="E197" t="s">
        <v>1081</v>
      </c>
      <c r="F197">
        <v>53</v>
      </c>
      <c r="G197" t="str">
        <f>IF('Market Analyzes'!$C$2=Language!$C$2,D197,E197)</f>
        <v>África Subsaariana</v>
      </c>
    </row>
    <row r="198" spans="1:7" x14ac:dyDescent="0.25">
      <c r="A198" t="s">
        <v>79</v>
      </c>
      <c r="B198" t="s">
        <v>79</v>
      </c>
      <c r="C198" t="str">
        <f>IF('Market Analyzes'!$C$2=Language!$C$2,B198,A198)</f>
        <v>Fiji</v>
      </c>
      <c r="D198" t="str">
        <f>INDEX('Score-Starting a business'!$D$2:$D$176,MATCH(Language!B198,'Score-Starting a business'!$B$2:$B$176,0))</f>
        <v>Oceania</v>
      </c>
      <c r="E198" t="s">
        <v>1085</v>
      </c>
      <c r="F198">
        <v>54</v>
      </c>
      <c r="G198" t="str">
        <f>IF('Market Analyzes'!$C$2=Language!$C$2,D198,E198)</f>
        <v>Oceânia</v>
      </c>
    </row>
    <row r="199" spans="1:7" x14ac:dyDescent="0.25">
      <c r="A199" t="s">
        <v>1124</v>
      </c>
      <c r="B199" t="s">
        <v>80</v>
      </c>
      <c r="C199" t="str">
        <f>IF('Market Analyzes'!$C$2=Language!$C$2,B199,A199)</f>
        <v>Finlândia</v>
      </c>
      <c r="D199" t="str">
        <f>INDEX('Score-Starting a business'!$D$2:$D$176,MATCH(Language!B199,'Score-Starting a business'!$B$2:$B$176,0))</f>
        <v>European Union</v>
      </c>
      <c r="E199" t="s">
        <v>1087</v>
      </c>
      <c r="F199">
        <v>55</v>
      </c>
      <c r="G199" t="str">
        <f>IF('Market Analyzes'!$C$2=Language!$C$2,D199,E199)</f>
        <v>União Européia</v>
      </c>
    </row>
    <row r="200" spans="1:7" x14ac:dyDescent="0.25">
      <c r="A200" t="s">
        <v>1125</v>
      </c>
      <c r="B200" t="s">
        <v>81</v>
      </c>
      <c r="C200" t="str">
        <f>IF('Market Analyzes'!$C$2=Language!$C$2,B200,A200)</f>
        <v>França</v>
      </c>
      <c r="D200" t="str">
        <f>INDEX('Score-Starting a business'!$D$2:$D$176,MATCH(Language!B200,'Score-Starting a business'!$B$2:$B$176,0))</f>
        <v>European Union</v>
      </c>
      <c r="E200" t="s">
        <v>1087</v>
      </c>
      <c r="F200">
        <v>56</v>
      </c>
      <c r="G200" t="str">
        <f>IF('Market Analyzes'!$C$2=Language!$C$2,D200,E200)</f>
        <v>União Européia</v>
      </c>
    </row>
    <row r="201" spans="1:7" x14ac:dyDescent="0.25">
      <c r="A201" t="s">
        <v>1126</v>
      </c>
      <c r="B201" t="s">
        <v>82</v>
      </c>
      <c r="C201" t="str">
        <f>IF('Market Analyzes'!$C$2=Language!$C$2,B201,A201)</f>
        <v>Gabão</v>
      </c>
      <c r="D201" t="str">
        <f>INDEX('Score-Starting a business'!$D$2:$D$176,MATCH(Language!B201,'Score-Starting a business'!$B$2:$B$176,0))</f>
        <v>Sub-Saharan Africa</v>
      </c>
      <c r="E201" t="s">
        <v>1081</v>
      </c>
      <c r="F201">
        <v>57</v>
      </c>
      <c r="G201" t="str">
        <f>IF('Market Analyzes'!$C$2=Language!$C$2,D201,E201)</f>
        <v>África Subsaariana</v>
      </c>
    </row>
    <row r="202" spans="1:7" x14ac:dyDescent="0.25">
      <c r="A202" t="s">
        <v>1127</v>
      </c>
      <c r="B202" t="s">
        <v>84</v>
      </c>
      <c r="C202" t="str">
        <f>IF('Market Analyzes'!$C$2=Language!$C$2,B202,A202)</f>
        <v>Geórgia</v>
      </c>
      <c r="D202" t="str">
        <f>INDEX('Score-Starting a business'!$D$2:$D$176,MATCH(Language!B202,'Score-Starting a business'!$B$2:$B$176,0))</f>
        <v>Europe</v>
      </c>
      <c r="E202" t="s">
        <v>1078</v>
      </c>
      <c r="F202">
        <v>59</v>
      </c>
      <c r="G202" t="str">
        <f>IF('Market Analyzes'!$C$2=Language!$C$2,D202,E202)</f>
        <v>Europa</v>
      </c>
    </row>
    <row r="203" spans="1:7" x14ac:dyDescent="0.25">
      <c r="A203" t="s">
        <v>1128</v>
      </c>
      <c r="B203" t="s">
        <v>85</v>
      </c>
      <c r="C203" t="str">
        <f>IF('Market Analyzes'!$C$2=Language!$C$2,B203,A203)</f>
        <v>Alemanha</v>
      </c>
      <c r="D203" t="str">
        <f>INDEX('Score-Starting a business'!$D$2:$D$176,MATCH(Language!B203,'Score-Starting a business'!$B$2:$B$176,0))</f>
        <v>European Union</v>
      </c>
      <c r="E203" t="s">
        <v>1087</v>
      </c>
      <c r="F203">
        <v>60</v>
      </c>
      <c r="G203" t="str">
        <f>IF('Market Analyzes'!$C$2=Language!$C$2,D203,E203)</f>
        <v>União Européia</v>
      </c>
    </row>
    <row r="204" spans="1:7" x14ac:dyDescent="0.25">
      <c r="A204" t="s">
        <v>1129</v>
      </c>
      <c r="B204" t="s">
        <v>86</v>
      </c>
      <c r="C204" t="str">
        <f>IF('Market Analyzes'!$C$2=Language!$C$2,B204,A204)</f>
        <v>Gana</v>
      </c>
      <c r="D204" t="str">
        <f>INDEX('Score-Starting a business'!$D$2:$D$176,MATCH(Language!B204,'Score-Starting a business'!$B$2:$B$176,0))</f>
        <v>Sub-Saharan Africa</v>
      </c>
      <c r="E204" t="s">
        <v>1081</v>
      </c>
      <c r="F204">
        <v>61</v>
      </c>
      <c r="G204" t="str">
        <f>IF('Market Analyzes'!$C$2=Language!$C$2,D204,E204)</f>
        <v>África Subsaariana</v>
      </c>
    </row>
    <row r="205" spans="1:7" x14ac:dyDescent="0.25">
      <c r="A205" t="s">
        <v>1130</v>
      </c>
      <c r="B205" t="s">
        <v>87</v>
      </c>
      <c r="C205" t="str">
        <f>IF('Market Analyzes'!$C$2=Language!$C$2,B205,A205)</f>
        <v>Grécia</v>
      </c>
      <c r="D205" t="str">
        <f>INDEX('Score-Starting a business'!$D$2:$D$176,MATCH(Language!B205,'Score-Starting a business'!$B$2:$B$176,0))</f>
        <v>European Union</v>
      </c>
      <c r="E205" t="s">
        <v>1087</v>
      </c>
      <c r="F205">
        <v>62</v>
      </c>
      <c r="G205" t="str">
        <f>IF('Market Analyzes'!$C$2=Language!$C$2,D205,E205)</f>
        <v>União Européia</v>
      </c>
    </row>
    <row r="206" spans="1:7" x14ac:dyDescent="0.25">
      <c r="A206" t="s">
        <v>89</v>
      </c>
      <c r="B206" t="s">
        <v>89</v>
      </c>
      <c r="C206" t="str">
        <f>IF('Market Analyzes'!$C$2=Language!$C$2,B206,A206)</f>
        <v>Guatemala</v>
      </c>
      <c r="D206" t="str">
        <f>INDEX('Score-Starting a business'!$D$2:$D$176,MATCH(Language!B206,'Score-Starting a business'!$B$2:$B$176,0))</f>
        <v>Central America</v>
      </c>
      <c r="E206" t="s">
        <v>1096</v>
      </c>
      <c r="F206">
        <v>64</v>
      </c>
      <c r="G206" t="str">
        <f>IF('Market Analyzes'!$C$2=Language!$C$2,D206,E206)</f>
        <v>América Central</v>
      </c>
    </row>
    <row r="207" spans="1:7" x14ac:dyDescent="0.25">
      <c r="A207" t="s">
        <v>1131</v>
      </c>
      <c r="B207" t="s">
        <v>90</v>
      </c>
      <c r="C207" t="str">
        <f>IF('Market Analyzes'!$C$2=Language!$C$2,B207,A207)</f>
        <v>Guiné</v>
      </c>
      <c r="D207" t="str">
        <f>INDEX('Score-Starting a business'!$D$2:$D$176,MATCH(Language!B207,'Score-Starting a business'!$B$2:$B$176,0))</f>
        <v>Sub-Saharan Africa</v>
      </c>
      <c r="E207" t="s">
        <v>1081</v>
      </c>
      <c r="F207">
        <v>65</v>
      </c>
      <c r="G207" t="str">
        <f>IF('Market Analyzes'!$C$2=Language!$C$2,D207,E207)</f>
        <v>África Subsaariana</v>
      </c>
    </row>
    <row r="208" spans="1:7" x14ac:dyDescent="0.25">
      <c r="A208" t="s">
        <v>1132</v>
      </c>
      <c r="B208" t="s">
        <v>91</v>
      </c>
      <c r="C208" t="str">
        <f>IF('Market Analyzes'!$C$2=Language!$C$2,B208,A208)</f>
        <v>Guiana</v>
      </c>
      <c r="D208" t="str">
        <f>INDEX('Score-Starting a business'!$D$2:$D$176,MATCH(Language!B208,'Score-Starting a business'!$B$2:$B$176,0))</f>
        <v>South America</v>
      </c>
      <c r="E208" t="s">
        <v>1082</v>
      </c>
      <c r="F208">
        <v>66</v>
      </c>
      <c r="G208" t="str">
        <f>IF('Market Analyzes'!$C$2=Language!$C$2,D208,E208)</f>
        <v>América do Sul</v>
      </c>
    </row>
    <row r="209" spans="1:7" x14ac:dyDescent="0.25">
      <c r="A209" t="s">
        <v>92</v>
      </c>
      <c r="B209" t="s">
        <v>92</v>
      </c>
      <c r="C209" t="str">
        <f>IF('Market Analyzes'!$C$2=Language!$C$2,B209,A209)</f>
        <v>Haiti</v>
      </c>
      <c r="D209" t="str">
        <f>INDEX('Score-Starting a business'!$D$2:$D$176,MATCH(Language!B209,'Score-Starting a business'!$B$2:$B$176,0))</f>
        <v>The Caribbean</v>
      </c>
      <c r="E209" t="s">
        <v>1091</v>
      </c>
      <c r="F209">
        <v>67</v>
      </c>
      <c r="G209" t="str">
        <f>IF('Market Analyzes'!$C$2=Language!$C$2,D209,E209)</f>
        <v>Caribe</v>
      </c>
    </row>
    <row r="210" spans="1:7" x14ac:dyDescent="0.25">
      <c r="A210" t="s">
        <v>93</v>
      </c>
      <c r="B210" t="s">
        <v>93</v>
      </c>
      <c r="C210" t="str">
        <f>IF('Market Analyzes'!$C$2=Language!$C$2,B210,A210)</f>
        <v>Honduras</v>
      </c>
      <c r="D210" t="str">
        <f>INDEX('Score-Starting a business'!$D$2:$D$176,MATCH(Language!B210,'Score-Starting a business'!$B$2:$B$176,0))</f>
        <v>Central America</v>
      </c>
      <c r="E210" t="s">
        <v>1096</v>
      </c>
      <c r="F210">
        <v>68</v>
      </c>
      <c r="G210" t="str">
        <f>IF('Market Analyzes'!$C$2=Language!$C$2,D210,E210)</f>
        <v>América Central</v>
      </c>
    </row>
    <row r="211" spans="1:7" x14ac:dyDescent="0.25">
      <c r="A211" t="s">
        <v>1133</v>
      </c>
      <c r="B211" t="s">
        <v>94</v>
      </c>
      <c r="C211" t="str">
        <f>IF('Market Analyzes'!$C$2=Language!$C$2,B211,A211)</f>
        <v>Hungria</v>
      </c>
      <c r="D211" t="str">
        <f>INDEX('Score-Starting a business'!$D$2:$D$176,MATCH(Language!B211,'Score-Starting a business'!$B$2:$B$176,0))</f>
        <v>European Union</v>
      </c>
      <c r="E211" t="s">
        <v>1087</v>
      </c>
      <c r="F211">
        <v>69</v>
      </c>
      <c r="G211" t="str">
        <f>IF('Market Analyzes'!$C$2=Language!$C$2,D211,E211)</f>
        <v>União Européia</v>
      </c>
    </row>
    <row r="212" spans="1:7" x14ac:dyDescent="0.25">
      <c r="A212" t="s">
        <v>1134</v>
      </c>
      <c r="B212" t="s">
        <v>95</v>
      </c>
      <c r="C212" t="str">
        <f>IF('Market Analyzes'!$C$2=Language!$C$2,B212,A212)</f>
        <v>Islândia</v>
      </c>
      <c r="D212" t="str">
        <f>INDEX('Score-Starting a business'!$D$2:$D$176,MATCH(Language!B212,'Score-Starting a business'!$B$2:$B$176,0))</f>
        <v>Europe</v>
      </c>
      <c r="E212" t="s">
        <v>1078</v>
      </c>
      <c r="F212">
        <v>70</v>
      </c>
      <c r="G212" t="str">
        <f>IF('Market Analyzes'!$C$2=Language!$C$2,D212,E212)</f>
        <v>Europa</v>
      </c>
    </row>
    <row r="213" spans="1:7" x14ac:dyDescent="0.25">
      <c r="A213" t="s">
        <v>1135</v>
      </c>
      <c r="B213" t="s">
        <v>96</v>
      </c>
      <c r="C213" t="str">
        <f>IF('Market Analyzes'!$C$2=Language!$C$2,B213,A213)</f>
        <v>Índia</v>
      </c>
      <c r="D213" t="str">
        <f>INDEX('Score-Starting a business'!$D$2:$D$176,MATCH(Language!B213,'Score-Starting a business'!$B$2:$B$176,0))</f>
        <v>Asia &amp; Pacific</v>
      </c>
      <c r="E213" t="s">
        <v>1089</v>
      </c>
      <c r="F213">
        <v>71</v>
      </c>
      <c r="G213" t="str">
        <f>IF('Market Analyzes'!$C$2=Language!$C$2,D213,E213)</f>
        <v>Ásia-Pacífico</v>
      </c>
    </row>
    <row r="214" spans="1:7" x14ac:dyDescent="0.25">
      <c r="A214" t="s">
        <v>1136</v>
      </c>
      <c r="B214" t="s">
        <v>97</v>
      </c>
      <c r="C214" t="str">
        <f>IF('Market Analyzes'!$C$2=Language!$C$2,B214,A214)</f>
        <v>Indonésia</v>
      </c>
      <c r="D214" t="str">
        <f>INDEX('Score-Starting a business'!$D$2:$D$176,MATCH(Language!B214,'Score-Starting a business'!$B$2:$B$176,0))</f>
        <v>Asia &amp; Pacific</v>
      </c>
      <c r="E214" t="s">
        <v>1089</v>
      </c>
      <c r="F214">
        <v>72</v>
      </c>
      <c r="G214" t="str">
        <f>IF('Market Analyzes'!$C$2=Language!$C$2,D214,E214)</f>
        <v>Ásia-Pacífico</v>
      </c>
    </row>
    <row r="215" spans="1:7" x14ac:dyDescent="0.25">
      <c r="A215" t="s">
        <v>1137</v>
      </c>
      <c r="B215" t="s">
        <v>98</v>
      </c>
      <c r="C215" t="str">
        <f>IF('Market Analyzes'!$C$2=Language!$C$2,B215,A215)</f>
        <v>Irã</v>
      </c>
      <c r="D215" t="str">
        <f>INDEX('Score-Starting a business'!$D$2:$D$176,MATCH(Language!B215,'Score-Starting a business'!$B$2:$B$176,0))</f>
        <v>Middle East</v>
      </c>
      <c r="E215" t="s">
        <v>1080</v>
      </c>
      <c r="F215">
        <v>73</v>
      </c>
      <c r="G215" t="str">
        <f>IF('Market Analyzes'!$C$2=Language!$C$2,D215,E215)</f>
        <v>Oriente médio</v>
      </c>
    </row>
    <row r="216" spans="1:7" x14ac:dyDescent="0.25">
      <c r="A216" t="s">
        <v>1138</v>
      </c>
      <c r="B216" t="s">
        <v>99</v>
      </c>
      <c r="C216" t="str">
        <f>IF('Market Analyzes'!$C$2=Language!$C$2,B216,A216)</f>
        <v>Iraque</v>
      </c>
      <c r="D216" t="str">
        <f>INDEX('Score-Starting a business'!$D$2:$D$176,MATCH(Language!B216,'Score-Starting a business'!$B$2:$B$176,0))</f>
        <v>Middle East</v>
      </c>
      <c r="E216" t="s">
        <v>1080</v>
      </c>
      <c r="F216">
        <v>74</v>
      </c>
      <c r="G216" t="str">
        <f>IF('Market Analyzes'!$C$2=Language!$C$2,D216,E216)</f>
        <v>Oriente médio</v>
      </c>
    </row>
    <row r="217" spans="1:7" x14ac:dyDescent="0.25">
      <c r="A217" t="s">
        <v>1139</v>
      </c>
      <c r="B217" t="s">
        <v>209</v>
      </c>
      <c r="C217" t="str">
        <f>IF('Market Analyzes'!$C$2=Language!$C$2,B217,A217)</f>
        <v>Irlanda</v>
      </c>
      <c r="D217" t="str">
        <f>INDEX('Score-Starting a business'!$D$2:$D$176,MATCH(Language!B217,'Score-Starting a business'!$B$2:$B$176,0))</f>
        <v>European Union</v>
      </c>
      <c r="E217" t="s">
        <v>1087</v>
      </c>
      <c r="F217">
        <v>172</v>
      </c>
      <c r="G217" t="str">
        <f>IF('Market Analyzes'!$C$2=Language!$C$2,D217,E217)</f>
        <v>União Européia</v>
      </c>
    </row>
    <row r="218" spans="1:7" x14ac:dyDescent="0.25">
      <c r="A218" t="s">
        <v>100</v>
      </c>
      <c r="B218" t="s">
        <v>100</v>
      </c>
      <c r="C218" t="str">
        <f>IF('Market Analyzes'!$C$2=Language!$C$2,B218,A218)</f>
        <v>Israel</v>
      </c>
      <c r="D218" t="str">
        <f>INDEX('Score-Starting a business'!$D$2:$D$176,MATCH(Language!B218,'Score-Starting a business'!$B$2:$B$176,0))</f>
        <v>Middle East</v>
      </c>
      <c r="E218" t="s">
        <v>1080</v>
      </c>
      <c r="F218">
        <v>75</v>
      </c>
      <c r="G218" t="str">
        <f>IF('Market Analyzes'!$C$2=Language!$C$2,D218,E218)</f>
        <v>Oriente médio</v>
      </c>
    </row>
    <row r="219" spans="1:7" x14ac:dyDescent="0.25">
      <c r="A219" t="s">
        <v>1140</v>
      </c>
      <c r="B219" t="s">
        <v>101</v>
      </c>
      <c r="C219" t="str">
        <f>IF('Market Analyzes'!$C$2=Language!$C$2,B219,A219)</f>
        <v>Itália</v>
      </c>
      <c r="D219" t="str">
        <f>INDEX('Score-Starting a business'!$D$2:$D$176,MATCH(Language!B219,'Score-Starting a business'!$B$2:$B$176,0))</f>
        <v>European Union</v>
      </c>
      <c r="E219" t="s">
        <v>1087</v>
      </c>
      <c r="F219">
        <v>76</v>
      </c>
      <c r="G219" t="str">
        <f>IF('Market Analyzes'!$C$2=Language!$C$2,D219,E219)</f>
        <v>União Européia</v>
      </c>
    </row>
    <row r="220" spans="1:7" x14ac:dyDescent="0.25">
      <c r="A220" t="s">
        <v>103</v>
      </c>
      <c r="B220" t="s">
        <v>103</v>
      </c>
      <c r="C220" t="str">
        <f>IF('Market Analyzes'!$C$2=Language!$C$2,B220,A220)</f>
        <v>Jamaica</v>
      </c>
      <c r="D220" t="str">
        <f>INDEX('Score-Starting a business'!$D$2:$D$176,MATCH(Language!B220,'Score-Starting a business'!$B$2:$B$176,0))</f>
        <v>The Caribbean</v>
      </c>
      <c r="E220" t="s">
        <v>1091</v>
      </c>
      <c r="F220">
        <v>78</v>
      </c>
      <c r="G220" t="str">
        <f>IF('Market Analyzes'!$C$2=Language!$C$2,D220,E220)</f>
        <v>Caribe</v>
      </c>
    </row>
    <row r="221" spans="1:7" x14ac:dyDescent="0.25">
      <c r="A221" t="s">
        <v>1141</v>
      </c>
      <c r="B221" t="s">
        <v>104</v>
      </c>
      <c r="C221" t="str">
        <f>IF('Market Analyzes'!$C$2=Language!$C$2,B221,A221)</f>
        <v>Japão</v>
      </c>
      <c r="D221" t="str">
        <f>INDEX('Score-Starting a business'!$D$2:$D$176,MATCH(Language!B221,'Score-Starting a business'!$B$2:$B$176,0))</f>
        <v>Asia &amp; Pacific</v>
      </c>
      <c r="E221" t="s">
        <v>1089</v>
      </c>
      <c r="F221">
        <v>79</v>
      </c>
      <c r="G221" t="str">
        <f>IF('Market Analyzes'!$C$2=Language!$C$2,D221,E221)</f>
        <v>Ásia-Pacífico</v>
      </c>
    </row>
    <row r="222" spans="1:7" x14ac:dyDescent="0.25">
      <c r="A222" t="s">
        <v>1142</v>
      </c>
      <c r="B222" t="s">
        <v>105</v>
      </c>
      <c r="C222" t="str">
        <f>IF('Market Analyzes'!$C$2=Language!$C$2,B222,A222)</f>
        <v>Jordânia</v>
      </c>
      <c r="D222" t="str">
        <f>INDEX('Score-Starting a business'!$D$2:$D$176,MATCH(Language!B222,'Score-Starting a business'!$B$2:$B$176,0))</f>
        <v>Middle East</v>
      </c>
      <c r="E222" t="s">
        <v>1080</v>
      </c>
      <c r="F222">
        <v>80</v>
      </c>
      <c r="G222" t="str">
        <f>IF('Market Analyzes'!$C$2=Language!$C$2,D222,E222)</f>
        <v>Oriente médio</v>
      </c>
    </row>
    <row r="223" spans="1:7" x14ac:dyDescent="0.25">
      <c r="A223" t="s">
        <v>1143</v>
      </c>
      <c r="B223" t="s">
        <v>106</v>
      </c>
      <c r="C223" t="str">
        <f>IF('Market Analyzes'!$C$2=Language!$C$2,B223,A223)</f>
        <v>Cazaquistão</v>
      </c>
      <c r="D223" t="str">
        <f>INDEX('Score-Starting a business'!$D$2:$D$176,MATCH(Language!B223,'Score-Starting a business'!$B$2:$B$176,0))</f>
        <v>Asia &amp; Pacific</v>
      </c>
      <c r="E223" t="s">
        <v>1089</v>
      </c>
      <c r="F223">
        <v>81</v>
      </c>
      <c r="G223" t="str">
        <f>IF('Market Analyzes'!$C$2=Language!$C$2,D223,E223)</f>
        <v>Ásia-Pacífico</v>
      </c>
    </row>
    <row r="224" spans="1:7" x14ac:dyDescent="0.25">
      <c r="A224" t="s">
        <v>1144</v>
      </c>
      <c r="B224" t="s">
        <v>107</v>
      </c>
      <c r="C224" t="str">
        <f>IF('Market Analyzes'!$C$2=Language!$C$2,B224,A224)</f>
        <v>Quênia</v>
      </c>
      <c r="D224" t="str">
        <f>INDEX('Score-Starting a business'!$D$2:$D$176,MATCH(Language!B224,'Score-Starting a business'!$B$2:$B$176,0))</f>
        <v>Sub-Saharan Africa</v>
      </c>
      <c r="E224" t="s">
        <v>1081</v>
      </c>
      <c r="F224">
        <v>82</v>
      </c>
      <c r="G224" t="str">
        <f>IF('Market Analyzes'!$C$2=Language!$C$2,D224,E224)</f>
        <v>África Subsaariana</v>
      </c>
    </row>
    <row r="225" spans="1:7" x14ac:dyDescent="0.25">
      <c r="A225" t="s">
        <v>108</v>
      </c>
      <c r="B225" t="s">
        <v>108</v>
      </c>
      <c r="C225" t="str">
        <f>IF('Market Analyzes'!$C$2=Language!$C$2,B225,A225)</f>
        <v>Kosovo</v>
      </c>
      <c r="D225" t="str">
        <f>INDEX('Score-Starting a business'!$D$2:$D$176,MATCH(Language!B225,'Score-Starting a business'!$B$2:$B$176,0))</f>
        <v>Europe</v>
      </c>
      <c r="E225" t="s">
        <v>1078</v>
      </c>
      <c r="F225">
        <v>83</v>
      </c>
      <c r="G225" t="str">
        <f>IF('Market Analyzes'!$C$2=Language!$C$2,D225,E225)</f>
        <v>Europa</v>
      </c>
    </row>
    <row r="226" spans="1:7" x14ac:dyDescent="0.25">
      <c r="A226" t="s">
        <v>109</v>
      </c>
      <c r="B226" t="s">
        <v>109</v>
      </c>
      <c r="C226" t="str">
        <f>IF('Market Analyzes'!$C$2=Language!$C$2,B226,A226)</f>
        <v>Kuwait</v>
      </c>
      <c r="D226" t="str">
        <f>INDEX('Score-Starting a business'!$D$2:$D$176,MATCH(Language!B226,'Score-Starting a business'!$B$2:$B$176,0))</f>
        <v>Middle East</v>
      </c>
      <c r="E226" t="s">
        <v>1080</v>
      </c>
      <c r="F226">
        <v>84</v>
      </c>
      <c r="G226" t="str">
        <f>IF('Market Analyzes'!$C$2=Language!$C$2,D226,E226)</f>
        <v>Oriente médio</v>
      </c>
    </row>
    <row r="227" spans="1:7" x14ac:dyDescent="0.25">
      <c r="A227" t="s">
        <v>110</v>
      </c>
      <c r="B227" t="s">
        <v>110</v>
      </c>
      <c r="C227" t="str">
        <f>IF('Market Analyzes'!$C$2=Language!$C$2,B227,A227)</f>
        <v>Laos</v>
      </c>
      <c r="D227" t="str">
        <f>INDEX('Score-Starting a business'!$D$2:$D$176,MATCH(Language!B227,'Score-Starting a business'!$B$2:$B$176,0))</f>
        <v>Asia &amp; Pacific</v>
      </c>
      <c r="E227" t="s">
        <v>1089</v>
      </c>
      <c r="F227">
        <v>85</v>
      </c>
      <c r="G227" t="str">
        <f>IF('Market Analyzes'!$C$2=Language!$C$2,D227,E227)</f>
        <v>Ásia-Pacífico</v>
      </c>
    </row>
    <row r="228" spans="1:7" x14ac:dyDescent="0.25">
      <c r="A228" t="s">
        <v>1145</v>
      </c>
      <c r="B228" t="s">
        <v>111</v>
      </c>
      <c r="C228" t="str">
        <f>IF('Market Analyzes'!$C$2=Language!$C$2,B228,A228)</f>
        <v>Letônia</v>
      </c>
      <c r="D228" t="str">
        <f>INDEX('Score-Starting a business'!$D$2:$D$176,MATCH(Language!B228,'Score-Starting a business'!$B$2:$B$176,0))</f>
        <v>European Union</v>
      </c>
      <c r="E228" t="s">
        <v>1087</v>
      </c>
      <c r="F228">
        <v>86</v>
      </c>
      <c r="G228" t="str">
        <f>IF('Market Analyzes'!$C$2=Language!$C$2,D228,E228)</f>
        <v>União Européia</v>
      </c>
    </row>
    <row r="229" spans="1:7" x14ac:dyDescent="0.25">
      <c r="A229" t="s">
        <v>1146</v>
      </c>
      <c r="B229" t="s">
        <v>112</v>
      </c>
      <c r="C229" t="str">
        <f>IF('Market Analyzes'!$C$2=Language!$C$2,B229,A229)</f>
        <v>Líbano</v>
      </c>
      <c r="D229" t="str">
        <f>INDEX('Score-Starting a business'!$D$2:$D$176,MATCH(Language!B229,'Score-Starting a business'!$B$2:$B$176,0))</f>
        <v>Middle East</v>
      </c>
      <c r="E229" t="s">
        <v>1080</v>
      </c>
      <c r="F229">
        <v>87</v>
      </c>
      <c r="G229" t="str">
        <f>IF('Market Analyzes'!$C$2=Language!$C$2,D229,E229)</f>
        <v>Oriente médio</v>
      </c>
    </row>
    <row r="230" spans="1:7" x14ac:dyDescent="0.25">
      <c r="A230" t="s">
        <v>1147</v>
      </c>
      <c r="B230" t="s">
        <v>113</v>
      </c>
      <c r="C230" t="str">
        <f>IF('Market Analyzes'!$C$2=Language!$C$2,B230,A230)</f>
        <v>Lesoto</v>
      </c>
      <c r="D230" t="str">
        <f>INDEX('Score-Starting a business'!$D$2:$D$176,MATCH(Language!B230,'Score-Starting a business'!$B$2:$B$176,0))</f>
        <v>Sub-Saharan Africa</v>
      </c>
      <c r="E230" t="s">
        <v>1081</v>
      </c>
      <c r="F230">
        <v>88</v>
      </c>
      <c r="G230" t="str">
        <f>IF('Market Analyzes'!$C$2=Language!$C$2,D230,E230)</f>
        <v>África Subsaariana</v>
      </c>
    </row>
    <row r="231" spans="1:7" x14ac:dyDescent="0.25">
      <c r="A231" t="s">
        <v>1148</v>
      </c>
      <c r="B231" t="s">
        <v>114</v>
      </c>
      <c r="C231" t="str">
        <f>IF('Market Analyzes'!$C$2=Language!$C$2,B231,A231)</f>
        <v>Libéria</v>
      </c>
      <c r="D231" t="str">
        <f>INDEX('Score-Starting a business'!$D$2:$D$176,MATCH(Language!B231,'Score-Starting a business'!$B$2:$B$176,0))</f>
        <v>Sub-Saharan Africa</v>
      </c>
      <c r="E231" t="s">
        <v>1081</v>
      </c>
      <c r="F231">
        <v>89</v>
      </c>
      <c r="G231" t="str">
        <f>IF('Market Analyzes'!$C$2=Language!$C$2,D231,E231)</f>
        <v>África Subsaariana</v>
      </c>
    </row>
    <row r="232" spans="1:7" x14ac:dyDescent="0.25">
      <c r="A232" t="s">
        <v>1149</v>
      </c>
      <c r="B232" t="s">
        <v>115</v>
      </c>
      <c r="C232" t="str">
        <f>IF('Market Analyzes'!$C$2=Language!$C$2,B232,A232)</f>
        <v>Líbia</v>
      </c>
      <c r="D232" t="str">
        <f>INDEX('Score-Starting a business'!$D$2:$D$176,MATCH(Language!B232,'Score-Starting a business'!$B$2:$B$176,0))</f>
        <v>Middle East</v>
      </c>
      <c r="E232" t="s">
        <v>1080</v>
      </c>
      <c r="F232">
        <v>90</v>
      </c>
      <c r="G232" t="str">
        <f>IF('Market Analyzes'!$C$2=Language!$C$2,D232,E232)</f>
        <v>Oriente médio</v>
      </c>
    </row>
    <row r="233" spans="1:7" x14ac:dyDescent="0.25">
      <c r="A233" t="s">
        <v>1150</v>
      </c>
      <c r="B233" t="s">
        <v>117</v>
      </c>
      <c r="C233" t="str">
        <f>IF('Market Analyzes'!$C$2=Language!$C$2,B233,A233)</f>
        <v>Lituânia</v>
      </c>
      <c r="D233" t="str">
        <f>INDEX('Score-Starting a business'!$D$2:$D$176,MATCH(Language!B233,'Score-Starting a business'!$B$2:$B$176,0))</f>
        <v>European Union</v>
      </c>
      <c r="E233" t="s">
        <v>1087</v>
      </c>
      <c r="F233">
        <v>92</v>
      </c>
      <c r="G233" t="str">
        <f>IF('Market Analyzes'!$C$2=Language!$C$2,D233,E233)</f>
        <v>União Européia</v>
      </c>
    </row>
    <row r="234" spans="1:7" x14ac:dyDescent="0.25">
      <c r="A234" t="s">
        <v>1151</v>
      </c>
      <c r="B234" t="s">
        <v>118</v>
      </c>
      <c r="C234" t="str">
        <f>IF('Market Analyzes'!$C$2=Language!$C$2,B234,A234)</f>
        <v>Luxemburgo</v>
      </c>
      <c r="D234" t="str">
        <f>INDEX('Score-Starting a business'!$D$2:$D$176,MATCH(Language!B234,'Score-Starting a business'!$B$2:$B$176,0))</f>
        <v>European Union</v>
      </c>
      <c r="E234" t="s">
        <v>1087</v>
      </c>
      <c r="F234">
        <v>93</v>
      </c>
      <c r="G234" t="str">
        <f>IF('Market Analyzes'!$C$2=Language!$C$2,D234,E234)</f>
        <v>União Européia</v>
      </c>
    </row>
    <row r="235" spans="1:7" x14ac:dyDescent="0.25">
      <c r="A235" t="s">
        <v>1152</v>
      </c>
      <c r="B235" t="s">
        <v>119</v>
      </c>
      <c r="C235" t="str">
        <f>IF('Market Analyzes'!$C$2=Language!$C$2,B235,A235)</f>
        <v>Madagáscar</v>
      </c>
      <c r="D235" t="str">
        <f>INDEX('Score-Starting a business'!$D$2:$D$176,MATCH(Language!B235,'Score-Starting a business'!$B$2:$B$176,0))</f>
        <v>Sub-Saharan Africa</v>
      </c>
      <c r="E235" t="s">
        <v>1081</v>
      </c>
      <c r="F235">
        <v>94</v>
      </c>
      <c r="G235" t="str">
        <f>IF('Market Analyzes'!$C$2=Language!$C$2,D235,E235)</f>
        <v>África Subsaariana</v>
      </c>
    </row>
    <row r="236" spans="1:7" x14ac:dyDescent="0.25">
      <c r="A236" t="s">
        <v>120</v>
      </c>
      <c r="B236" t="s">
        <v>120</v>
      </c>
      <c r="C236" t="str">
        <f>IF('Market Analyzes'!$C$2=Language!$C$2,B236,A236)</f>
        <v>Malawi</v>
      </c>
      <c r="D236" t="str">
        <f>INDEX('Score-Starting a business'!$D$2:$D$176,MATCH(Language!B236,'Score-Starting a business'!$B$2:$B$176,0))</f>
        <v>Sub-Saharan Africa</v>
      </c>
      <c r="E236" t="s">
        <v>1081</v>
      </c>
      <c r="F236">
        <v>95</v>
      </c>
      <c r="G236" t="str">
        <f>IF('Market Analyzes'!$C$2=Language!$C$2,D236,E236)</f>
        <v>África Subsaariana</v>
      </c>
    </row>
    <row r="237" spans="1:7" x14ac:dyDescent="0.25">
      <c r="A237" t="s">
        <v>1153</v>
      </c>
      <c r="B237" t="s">
        <v>121</v>
      </c>
      <c r="C237" t="str">
        <f>IF('Market Analyzes'!$C$2=Language!$C$2,B237,A237)</f>
        <v>Malásia</v>
      </c>
      <c r="D237" t="str">
        <f>INDEX('Score-Starting a business'!$D$2:$D$176,MATCH(Language!B237,'Score-Starting a business'!$B$2:$B$176,0))</f>
        <v>Asia &amp; Pacific</v>
      </c>
      <c r="E237" t="s">
        <v>1089</v>
      </c>
      <c r="F237">
        <v>96</v>
      </c>
      <c r="G237" t="str">
        <f>IF('Market Analyzes'!$C$2=Language!$C$2,D237,E237)</f>
        <v>Ásia-Pacífico</v>
      </c>
    </row>
    <row r="238" spans="1:7" x14ac:dyDescent="0.25">
      <c r="A238" t="s">
        <v>1154</v>
      </c>
      <c r="B238" t="s">
        <v>122</v>
      </c>
      <c r="C238" t="str">
        <f>IF('Market Analyzes'!$C$2=Language!$C$2,B238,A238)</f>
        <v>Maldivas</v>
      </c>
      <c r="D238" t="str">
        <f>INDEX('Score-Starting a business'!$D$2:$D$176,MATCH(Language!B238,'Score-Starting a business'!$B$2:$B$176,0))</f>
        <v>Asia &amp; Pacific</v>
      </c>
      <c r="E238" t="s">
        <v>1089</v>
      </c>
      <c r="F238">
        <v>97</v>
      </c>
      <c r="G238" t="str">
        <f>IF('Market Analyzes'!$C$2=Language!$C$2,D238,E238)</f>
        <v>Ásia-Pacífico</v>
      </c>
    </row>
    <row r="239" spans="1:7" x14ac:dyDescent="0.25">
      <c r="A239" t="s">
        <v>123</v>
      </c>
      <c r="B239" t="s">
        <v>123</v>
      </c>
      <c r="C239" t="str">
        <f>IF('Market Analyzes'!$C$2=Language!$C$2,B239,A239)</f>
        <v>Mali</v>
      </c>
      <c r="D239" t="str">
        <f>INDEX('Score-Starting a business'!$D$2:$D$176,MATCH(Language!B239,'Score-Starting a business'!$B$2:$B$176,0))</f>
        <v>Sub-Saharan Africa</v>
      </c>
      <c r="E239" t="s">
        <v>1081</v>
      </c>
      <c r="F239">
        <v>98</v>
      </c>
      <c r="G239" t="str">
        <f>IF('Market Analyzes'!$C$2=Language!$C$2,D239,E239)</f>
        <v>África Subsaariana</v>
      </c>
    </row>
    <row r="240" spans="1:7" x14ac:dyDescent="0.25">
      <c r="A240" t="s">
        <v>124</v>
      </c>
      <c r="B240" t="s">
        <v>124</v>
      </c>
      <c r="C240" t="str">
        <f>IF('Market Analyzes'!$C$2=Language!$C$2,B240,A240)</f>
        <v>Malta</v>
      </c>
      <c r="D240" t="str">
        <f>INDEX('Score-Starting a business'!$D$2:$D$176,MATCH(Language!B240,'Score-Starting a business'!$B$2:$B$176,0))</f>
        <v>European Union</v>
      </c>
      <c r="E240" t="s">
        <v>1087</v>
      </c>
      <c r="F240">
        <v>99</v>
      </c>
      <c r="G240" t="str">
        <f>IF('Market Analyzes'!$C$2=Language!$C$2,D240,E240)</f>
        <v>União Européia</v>
      </c>
    </row>
    <row r="241" spans="1:7" x14ac:dyDescent="0.25">
      <c r="A241" t="s">
        <v>1155</v>
      </c>
      <c r="B241" t="s">
        <v>126</v>
      </c>
      <c r="C241" t="str">
        <f>IF('Market Analyzes'!$C$2=Language!$C$2,B241,A241)</f>
        <v>Mauritânia</v>
      </c>
      <c r="D241" t="str">
        <f>INDEX('Score-Starting a business'!$D$2:$D$176,MATCH(Language!B241,'Score-Starting a business'!$B$2:$B$176,0))</f>
        <v>Sub-Saharan Africa</v>
      </c>
      <c r="E241" t="s">
        <v>1081</v>
      </c>
      <c r="F241">
        <v>101</v>
      </c>
      <c r="G241" t="str">
        <f>IF('Market Analyzes'!$C$2=Language!$C$2,D241,E241)</f>
        <v>África Subsaariana</v>
      </c>
    </row>
    <row r="242" spans="1:7" x14ac:dyDescent="0.25">
      <c r="A242" t="s">
        <v>1156</v>
      </c>
      <c r="B242" t="s">
        <v>127</v>
      </c>
      <c r="C242" t="str">
        <f>IF('Market Analyzes'!$C$2=Language!$C$2,B242,A242)</f>
        <v>Maurício</v>
      </c>
      <c r="D242" t="str">
        <f>INDEX('Score-Starting a business'!$D$2:$D$176,MATCH(Language!B242,'Score-Starting a business'!$B$2:$B$176,0))</f>
        <v>Sub-Saharan Africa</v>
      </c>
      <c r="E242" t="s">
        <v>1081</v>
      </c>
      <c r="F242">
        <v>102</v>
      </c>
      <c r="G242" t="str">
        <f>IF('Market Analyzes'!$C$2=Language!$C$2,D242,E242)</f>
        <v>África Subsaariana</v>
      </c>
    </row>
    <row r="243" spans="1:7" x14ac:dyDescent="0.25">
      <c r="A243" t="s">
        <v>1157</v>
      </c>
      <c r="B243" t="s">
        <v>128</v>
      </c>
      <c r="C243" t="str">
        <f>IF('Market Analyzes'!$C$2=Language!$C$2,B243,A243)</f>
        <v>México</v>
      </c>
      <c r="D243" t="str">
        <f>INDEX('Score-Starting a business'!$D$2:$D$176,MATCH(Language!B243,'Score-Starting a business'!$B$2:$B$176,0))</f>
        <v>Central America</v>
      </c>
      <c r="E243" t="s">
        <v>1096</v>
      </c>
      <c r="F243">
        <v>103</v>
      </c>
      <c r="G243" t="str">
        <f>IF('Market Analyzes'!$C$2=Language!$C$2,D243,E243)</f>
        <v>América Central</v>
      </c>
    </row>
    <row r="244" spans="1:7" x14ac:dyDescent="0.25">
      <c r="A244" t="s">
        <v>129</v>
      </c>
      <c r="B244" t="s">
        <v>129</v>
      </c>
      <c r="C244" t="str">
        <f>IF('Market Analyzes'!$C$2=Language!$C$2,B244,A244)</f>
        <v>Moldova</v>
      </c>
      <c r="D244" t="str">
        <f>INDEX('Score-Starting a business'!$D$2:$D$176,MATCH(Language!B244,'Score-Starting a business'!$B$2:$B$176,0))</f>
        <v>Europe</v>
      </c>
      <c r="E244" t="s">
        <v>1078</v>
      </c>
      <c r="F244">
        <v>104</v>
      </c>
      <c r="G244" t="str">
        <f>IF('Market Analyzes'!$C$2=Language!$C$2,D244,E244)</f>
        <v>Europa</v>
      </c>
    </row>
    <row r="245" spans="1:7" x14ac:dyDescent="0.25">
      <c r="A245" t="s">
        <v>1158</v>
      </c>
      <c r="B245" t="s">
        <v>131</v>
      </c>
      <c r="C245" t="str">
        <f>IF('Market Analyzes'!$C$2=Language!$C$2,B245,A245)</f>
        <v>Mongólia</v>
      </c>
      <c r="D245" t="str">
        <f>INDEX('Score-Starting a business'!$D$2:$D$176,MATCH(Language!B245,'Score-Starting a business'!$B$2:$B$176,0))</f>
        <v>Asia &amp; Pacific</v>
      </c>
      <c r="E245" t="s">
        <v>1089</v>
      </c>
      <c r="F245" s="145">
        <v>106</v>
      </c>
      <c r="G245" t="str">
        <f>IF('Market Analyzes'!$C$2=Language!$C$2,D245,E245)</f>
        <v>Ásia-Pacífico</v>
      </c>
    </row>
    <row r="246" spans="1:7" x14ac:dyDescent="0.25">
      <c r="A246" t="s">
        <v>132</v>
      </c>
      <c r="B246" t="s">
        <v>132</v>
      </c>
      <c r="C246" t="str">
        <f>IF('Market Analyzes'!$C$2=Language!$C$2,B246,A246)</f>
        <v>Montenegro</v>
      </c>
      <c r="D246" t="str">
        <f>INDEX('Score-Starting a business'!$D$2:$D$176,MATCH(Language!B246,'Score-Starting a business'!$B$2:$B$176,0))</f>
        <v>Europe</v>
      </c>
      <c r="E246" t="s">
        <v>1078</v>
      </c>
      <c r="F246">
        <v>107</v>
      </c>
      <c r="G246" t="str">
        <f>IF('Market Analyzes'!$C$2=Language!$C$2,D246,E246)</f>
        <v>Europa</v>
      </c>
    </row>
    <row r="247" spans="1:7" x14ac:dyDescent="0.25">
      <c r="A247" t="s">
        <v>1159</v>
      </c>
      <c r="B247" t="s">
        <v>133</v>
      </c>
      <c r="C247" t="str">
        <f>IF('Market Analyzes'!$C$2=Language!$C$2,B247,A247)</f>
        <v>Marrocos</v>
      </c>
      <c r="D247" t="str">
        <f>INDEX('Score-Starting a business'!$D$2:$D$176,MATCH(Language!B247,'Score-Starting a business'!$B$2:$B$176,0))</f>
        <v>Middle East</v>
      </c>
      <c r="E247" t="s">
        <v>1080</v>
      </c>
      <c r="F247">
        <v>108</v>
      </c>
      <c r="G247" t="str">
        <f>IF('Market Analyzes'!$C$2=Language!$C$2,D247,E247)</f>
        <v>Oriente médio</v>
      </c>
    </row>
    <row r="248" spans="1:7" x14ac:dyDescent="0.25">
      <c r="A248" t="s">
        <v>1160</v>
      </c>
      <c r="B248" t="s">
        <v>134</v>
      </c>
      <c r="C248" t="str">
        <f>IF('Market Analyzes'!$C$2=Language!$C$2,B248,A248)</f>
        <v>Moçambique</v>
      </c>
      <c r="D248" t="str">
        <f>INDEX('Score-Starting a business'!$D$2:$D$176,MATCH(Language!B248,'Score-Starting a business'!$B$2:$B$176,0))</f>
        <v>Sub-Saharan Africa</v>
      </c>
      <c r="E248" t="s">
        <v>1081</v>
      </c>
      <c r="F248">
        <v>109</v>
      </c>
      <c r="G248" t="str">
        <f>IF('Market Analyzes'!$C$2=Language!$C$2,D248,E248)</f>
        <v>África Subsaariana</v>
      </c>
    </row>
    <row r="249" spans="1:7" x14ac:dyDescent="0.25">
      <c r="A249" t="s">
        <v>1161</v>
      </c>
      <c r="B249" t="s">
        <v>135</v>
      </c>
      <c r="C249" t="str">
        <f>IF('Market Analyzes'!$C$2=Language!$C$2,B249,A249)</f>
        <v>Namíbia</v>
      </c>
      <c r="D249" t="str">
        <f>INDEX('Score-Starting a business'!$D$2:$D$176,MATCH(Language!B249,'Score-Starting a business'!$B$2:$B$176,0))</f>
        <v>Sub-Saharan Africa</v>
      </c>
      <c r="E249" t="s">
        <v>1081</v>
      </c>
      <c r="F249">
        <v>110</v>
      </c>
      <c r="G249" t="str">
        <f>IF('Market Analyzes'!$C$2=Language!$C$2,D249,E249)</f>
        <v>África Subsaariana</v>
      </c>
    </row>
    <row r="250" spans="1:7" x14ac:dyDescent="0.25">
      <c r="A250" t="s">
        <v>136</v>
      </c>
      <c r="B250" t="s">
        <v>136</v>
      </c>
      <c r="C250" t="str">
        <f>IF('Market Analyzes'!$C$2=Language!$C$2,B250,A250)</f>
        <v>Nepal</v>
      </c>
      <c r="D250" t="str">
        <f>INDEX('Score-Starting a business'!$D$2:$D$176,MATCH(Language!B250,'Score-Starting a business'!$B$2:$B$176,0))</f>
        <v>Asia &amp; Pacific</v>
      </c>
      <c r="E250" t="s">
        <v>1089</v>
      </c>
      <c r="F250">
        <v>111</v>
      </c>
      <c r="G250" t="str">
        <f>IF('Market Analyzes'!$C$2=Language!$C$2,D250,E250)</f>
        <v>Ásia-Pacífico</v>
      </c>
    </row>
    <row r="251" spans="1:7" x14ac:dyDescent="0.25">
      <c r="A251" t="s">
        <v>1162</v>
      </c>
      <c r="B251" t="s">
        <v>137</v>
      </c>
      <c r="C251" t="str">
        <f>IF('Market Analyzes'!$C$2=Language!$C$2,B251,A251)</f>
        <v>Holanda</v>
      </c>
      <c r="D251" t="str">
        <f>INDEX('Score-Starting a business'!$D$2:$D$176,MATCH(Language!B251,'Score-Starting a business'!$B$2:$B$176,0))</f>
        <v>European Union</v>
      </c>
      <c r="E251" t="s">
        <v>1087</v>
      </c>
      <c r="F251">
        <v>112</v>
      </c>
      <c r="G251" t="str">
        <f>IF('Market Analyzes'!$C$2=Language!$C$2,D251,E251)</f>
        <v>União Européia</v>
      </c>
    </row>
    <row r="252" spans="1:7" x14ac:dyDescent="0.25">
      <c r="A252" t="s">
        <v>1163</v>
      </c>
      <c r="B252" t="s">
        <v>138</v>
      </c>
      <c r="C252" t="str">
        <f>IF('Market Analyzes'!$C$2=Language!$C$2,B252,A252)</f>
        <v>Nova Zelândia</v>
      </c>
      <c r="D252" t="str">
        <f>INDEX('Score-Starting a business'!$D$2:$D$176,MATCH(Language!B252,'Score-Starting a business'!$B$2:$B$176,0))</f>
        <v>Oceania</v>
      </c>
      <c r="E252" t="s">
        <v>1085</v>
      </c>
      <c r="F252">
        <v>113</v>
      </c>
      <c r="G252" t="str">
        <f>IF('Market Analyzes'!$C$2=Language!$C$2,D252,E252)</f>
        <v>Oceânia</v>
      </c>
    </row>
    <row r="253" spans="1:7" x14ac:dyDescent="0.25">
      <c r="A253" t="s">
        <v>1164</v>
      </c>
      <c r="B253" t="s">
        <v>140</v>
      </c>
      <c r="C253" t="str">
        <f>IF('Market Analyzes'!$C$2=Language!$C$2,B253,A253)</f>
        <v>Nicarágua</v>
      </c>
      <c r="D253" t="str">
        <f>INDEX('Score-Starting a business'!$D$2:$D$176,MATCH(Language!B253,'Score-Starting a business'!$B$2:$B$176,0))</f>
        <v>Central America</v>
      </c>
      <c r="E253" t="s">
        <v>1096</v>
      </c>
      <c r="F253">
        <v>114</v>
      </c>
      <c r="G253" t="str">
        <f>IF('Market Analyzes'!$C$2=Language!$C$2,D253,E253)</f>
        <v>América Central</v>
      </c>
    </row>
    <row r="254" spans="1:7" x14ac:dyDescent="0.25">
      <c r="A254" t="s">
        <v>1165</v>
      </c>
      <c r="B254" t="s">
        <v>141</v>
      </c>
      <c r="C254" t="str">
        <f>IF('Market Analyzes'!$C$2=Language!$C$2,B254,A254)</f>
        <v>Níger</v>
      </c>
      <c r="D254" t="str">
        <f>INDEX('Score-Starting a business'!$D$2:$D$176,MATCH(Language!B254,'Score-Starting a business'!$B$2:$B$176,0))</f>
        <v>Sub-Saharan Africa</v>
      </c>
      <c r="E254" t="s">
        <v>1081</v>
      </c>
      <c r="F254">
        <v>115</v>
      </c>
      <c r="G254" t="str">
        <f>IF('Market Analyzes'!$C$2=Language!$C$2,D254,E254)</f>
        <v>África Subsaariana</v>
      </c>
    </row>
    <row r="255" spans="1:7" x14ac:dyDescent="0.25">
      <c r="A255" t="s">
        <v>1166</v>
      </c>
      <c r="B255" t="s">
        <v>142</v>
      </c>
      <c r="C255" t="str">
        <f>IF('Market Analyzes'!$C$2=Language!$C$2,B255,A255)</f>
        <v>Nigéria</v>
      </c>
      <c r="D255" t="str">
        <f>INDEX('Score-Starting a business'!$D$2:$D$176,MATCH(Language!B255,'Score-Starting a business'!$B$2:$B$176,0))</f>
        <v>Sub-Saharan Africa</v>
      </c>
      <c r="E255" t="s">
        <v>1081</v>
      </c>
      <c r="F255">
        <v>116</v>
      </c>
      <c r="G255" t="str">
        <f>IF('Market Analyzes'!$C$2=Language!$C$2,D255,E255)</f>
        <v>África Subsaariana</v>
      </c>
    </row>
    <row r="256" spans="1:7" x14ac:dyDescent="0.25">
      <c r="A256" t="s">
        <v>1167</v>
      </c>
      <c r="B256" t="s">
        <v>143</v>
      </c>
      <c r="C256" t="str">
        <f>IF('Market Analyzes'!$C$2=Language!$C$2,B256,A256)</f>
        <v>Noruega</v>
      </c>
      <c r="D256" t="str">
        <f>INDEX('Score-Starting a business'!$D$2:$D$176,MATCH(Language!B256,'Score-Starting a business'!$B$2:$B$176,0))</f>
        <v>Europe</v>
      </c>
      <c r="E256" t="s">
        <v>1078</v>
      </c>
      <c r="F256">
        <v>117</v>
      </c>
      <c r="G256" t="str">
        <f>IF('Market Analyzes'!$C$2=Language!$C$2,D256,E256)</f>
        <v>Europa</v>
      </c>
    </row>
    <row r="257" spans="1:7" x14ac:dyDescent="0.25">
      <c r="A257" t="s">
        <v>1168</v>
      </c>
      <c r="B257" t="s">
        <v>144</v>
      </c>
      <c r="C257" t="str">
        <f>IF('Market Analyzes'!$C$2=Language!$C$2,B257,A257)</f>
        <v>Omã</v>
      </c>
      <c r="D257" t="str">
        <f>INDEX('Score-Starting a business'!$D$2:$D$176,MATCH(Language!B257,'Score-Starting a business'!$B$2:$B$176,0))</f>
        <v>Middle East</v>
      </c>
      <c r="E257" t="s">
        <v>1080</v>
      </c>
      <c r="F257">
        <v>118</v>
      </c>
      <c r="G257" t="str">
        <f>IF('Market Analyzes'!$C$2=Language!$C$2,D257,E257)</f>
        <v>Oriente médio</v>
      </c>
    </row>
    <row r="258" spans="1:7" x14ac:dyDescent="0.25">
      <c r="A258" t="s">
        <v>1169</v>
      </c>
      <c r="B258" t="s">
        <v>145</v>
      </c>
      <c r="C258" t="str">
        <f>IF('Market Analyzes'!$C$2=Language!$C$2,B258,A258)</f>
        <v>Paquistão</v>
      </c>
      <c r="D258" t="str">
        <f>INDEX('Score-Starting a business'!$D$2:$D$176,MATCH(Language!B258,'Score-Starting a business'!$B$2:$B$176,0))</f>
        <v>Asia &amp; Pacific</v>
      </c>
      <c r="E258" t="s">
        <v>1089</v>
      </c>
      <c r="F258">
        <v>119</v>
      </c>
      <c r="G258" t="str">
        <f>IF('Market Analyzes'!$C$2=Language!$C$2,D258,E258)</f>
        <v>Ásia-Pacífico</v>
      </c>
    </row>
    <row r="259" spans="1:7" x14ac:dyDescent="0.25">
      <c r="A259" t="s">
        <v>1170</v>
      </c>
      <c r="B259" t="s">
        <v>146</v>
      </c>
      <c r="C259" t="str">
        <f>IF('Market Analyzes'!$C$2=Language!$C$2,B259,A259)</f>
        <v>Panamá</v>
      </c>
      <c r="D259" t="str">
        <f>INDEX('Score-Starting a business'!$D$2:$D$176,MATCH(Language!B259,'Score-Starting a business'!$B$2:$B$176,0))</f>
        <v>Central America</v>
      </c>
      <c r="E259" t="s">
        <v>1096</v>
      </c>
      <c r="F259">
        <v>120</v>
      </c>
      <c r="G259" t="str">
        <f>IF('Market Analyzes'!$C$2=Language!$C$2,D259,E259)</f>
        <v>América Central</v>
      </c>
    </row>
    <row r="260" spans="1:7" x14ac:dyDescent="0.25">
      <c r="A260" t="s">
        <v>1171</v>
      </c>
      <c r="B260" t="s">
        <v>147</v>
      </c>
      <c r="C260" t="str">
        <f>IF('Market Analyzes'!$C$2=Language!$C$2,B260,A260)</f>
        <v>Papua Nova Guiné</v>
      </c>
      <c r="D260" t="str">
        <f>INDEX('Score-Starting a business'!$D$2:$D$176,MATCH(Language!B260,'Score-Starting a business'!$B$2:$B$176,0))</f>
        <v>Oceania</v>
      </c>
      <c r="E260" t="s">
        <v>1085</v>
      </c>
      <c r="F260">
        <v>121</v>
      </c>
      <c r="G260" t="str">
        <f>IF('Market Analyzes'!$C$2=Language!$C$2,D260,E260)</f>
        <v>Oceânia</v>
      </c>
    </row>
    <row r="261" spans="1:7" x14ac:dyDescent="0.25">
      <c r="A261" t="s">
        <v>1172</v>
      </c>
      <c r="B261" t="s">
        <v>149</v>
      </c>
      <c r="C261" t="str">
        <f>IF('Market Analyzes'!$C$2=Language!$C$2,B261,A261)</f>
        <v>Paraguai</v>
      </c>
      <c r="D261" t="str">
        <f>INDEX('Score-Starting a business'!$D$2:$D$176,MATCH(Language!B261,'Score-Starting a business'!$B$2:$B$176,0))</f>
        <v>South America</v>
      </c>
      <c r="E261" t="s">
        <v>1082</v>
      </c>
      <c r="F261">
        <v>122</v>
      </c>
      <c r="G261" t="str">
        <f>IF('Market Analyzes'!$C$2=Language!$C$2,D261,E261)</f>
        <v>América do Sul</v>
      </c>
    </row>
    <row r="262" spans="1:7" x14ac:dyDescent="0.25">
      <c r="A262" t="s">
        <v>150</v>
      </c>
      <c r="B262" t="s">
        <v>150</v>
      </c>
      <c r="C262" t="str">
        <f>IF('Market Analyzes'!$C$2=Language!$C$2,B262,A262)</f>
        <v>Peru</v>
      </c>
      <c r="D262" t="str">
        <f>INDEX('Score-Starting a business'!$D$2:$D$176,MATCH(Language!B262,'Score-Starting a business'!$B$2:$B$176,0))</f>
        <v>South America</v>
      </c>
      <c r="E262" t="s">
        <v>1082</v>
      </c>
      <c r="F262">
        <v>123</v>
      </c>
      <c r="G262" t="str">
        <f>IF('Market Analyzes'!$C$2=Language!$C$2,D262,E262)</f>
        <v>América do Sul</v>
      </c>
    </row>
    <row r="263" spans="1:7" x14ac:dyDescent="0.25">
      <c r="A263" t="s">
        <v>1173</v>
      </c>
      <c r="B263" t="s">
        <v>151</v>
      </c>
      <c r="C263" t="str">
        <f>IF('Market Analyzes'!$C$2=Language!$C$2,B263,A263)</f>
        <v>Filipinas</v>
      </c>
      <c r="D263" t="str">
        <f>INDEX('Score-Starting a business'!$D$2:$D$176,MATCH(Language!B263,'Score-Starting a business'!$B$2:$B$176,0))</f>
        <v>Asia &amp; Pacific</v>
      </c>
      <c r="E263" t="s">
        <v>1089</v>
      </c>
      <c r="F263">
        <v>124</v>
      </c>
      <c r="G263" t="str">
        <f>IF('Market Analyzes'!$C$2=Language!$C$2,D263,E263)</f>
        <v>Ásia-Pacífico</v>
      </c>
    </row>
    <row r="264" spans="1:7" x14ac:dyDescent="0.25">
      <c r="A264" t="s">
        <v>1174</v>
      </c>
      <c r="B264" t="s">
        <v>152</v>
      </c>
      <c r="C264" t="str">
        <f>IF('Market Analyzes'!$C$2=Language!$C$2,B264,A264)</f>
        <v>Polônia</v>
      </c>
      <c r="D264" t="str">
        <f>INDEX('Score-Starting a business'!$D$2:$D$176,MATCH(Language!B264,'Score-Starting a business'!$B$2:$B$176,0))</f>
        <v>European Union</v>
      </c>
      <c r="E264" t="s">
        <v>1087</v>
      </c>
      <c r="F264">
        <v>125</v>
      </c>
      <c r="G264" t="str">
        <f>IF('Market Analyzes'!$C$2=Language!$C$2,D264,E264)</f>
        <v>União Européia</v>
      </c>
    </row>
    <row r="265" spans="1:7" x14ac:dyDescent="0.25">
      <c r="A265" t="s">
        <v>153</v>
      </c>
      <c r="B265" t="s">
        <v>153</v>
      </c>
      <c r="C265" t="str">
        <f>IF('Market Analyzes'!$C$2=Language!$C$2,B265,A265)</f>
        <v>Portugal</v>
      </c>
      <c r="D265" t="str">
        <f>INDEX('Score-Starting a business'!$D$2:$D$176,MATCH(Language!B265,'Score-Starting a business'!$B$2:$B$176,0))</f>
        <v>European Union</v>
      </c>
      <c r="E265" t="s">
        <v>1087</v>
      </c>
      <c r="F265">
        <v>126</v>
      </c>
      <c r="G265" t="str">
        <f>IF('Market Analyzes'!$C$2=Language!$C$2,D265,E265)</f>
        <v>União Européia</v>
      </c>
    </row>
    <row r="266" spans="1:7" x14ac:dyDescent="0.25">
      <c r="A266" t="s">
        <v>1175</v>
      </c>
      <c r="B266" t="s">
        <v>155</v>
      </c>
      <c r="C266" t="str">
        <f>IF('Market Analyzes'!$C$2=Language!$C$2,B266,A266)</f>
        <v>Catar</v>
      </c>
      <c r="D266" t="str">
        <f>INDEX('Score-Starting a business'!$D$2:$D$176,MATCH(Language!B266,'Score-Starting a business'!$B$2:$B$176,0))</f>
        <v>Middle East</v>
      </c>
      <c r="E266" t="s">
        <v>1080</v>
      </c>
      <c r="F266">
        <v>128</v>
      </c>
      <c r="G266" t="str">
        <f>IF('Market Analyzes'!$C$2=Language!$C$2,D266,E266)</f>
        <v>Oriente médio</v>
      </c>
    </row>
    <row r="267" spans="1:7" x14ac:dyDescent="0.25">
      <c r="A267" t="s">
        <v>1176</v>
      </c>
      <c r="B267" t="s">
        <v>156</v>
      </c>
      <c r="C267" t="str">
        <f>IF('Market Analyzes'!$C$2=Language!$C$2,B267,A267)</f>
        <v>Romênia.</v>
      </c>
      <c r="D267" t="str">
        <f>INDEX('Score-Starting a business'!$D$2:$D$176,MATCH(Language!B267,'Score-Starting a business'!$B$2:$B$176,0))</f>
        <v>European Union</v>
      </c>
      <c r="E267" t="s">
        <v>1087</v>
      </c>
      <c r="F267">
        <v>129</v>
      </c>
      <c r="G267" t="str">
        <f>IF('Market Analyzes'!$C$2=Language!$C$2,D267,E267)</f>
        <v>União Européia</v>
      </c>
    </row>
    <row r="268" spans="1:7" x14ac:dyDescent="0.25">
      <c r="A268" t="s">
        <v>1177</v>
      </c>
      <c r="B268" t="s">
        <v>157</v>
      </c>
      <c r="C268" t="str">
        <f>IF('Market Analyzes'!$C$2=Language!$C$2,B268,A268)</f>
        <v>Federação Russa</v>
      </c>
      <c r="D268" t="str">
        <f>INDEX('Score-Starting a business'!$D$2:$D$176,MATCH(Language!B268,'Score-Starting a business'!$B$2:$B$176,0))</f>
        <v>Europe</v>
      </c>
      <c r="E268" t="s">
        <v>1078</v>
      </c>
      <c r="F268">
        <v>130</v>
      </c>
      <c r="G268" t="str">
        <f>IF('Market Analyzes'!$C$2=Language!$C$2,D268,E268)</f>
        <v>Europa</v>
      </c>
    </row>
    <row r="269" spans="1:7" x14ac:dyDescent="0.25">
      <c r="A269" t="s">
        <v>1178</v>
      </c>
      <c r="B269" t="s">
        <v>159</v>
      </c>
      <c r="C269" t="str">
        <f>IF('Market Analyzes'!$C$2=Language!$C$2,B269,A269)</f>
        <v>Ruanda</v>
      </c>
      <c r="D269" t="str">
        <f>INDEX('Score-Starting a business'!$D$2:$D$176,MATCH(Language!B269,'Score-Starting a business'!$B$2:$B$176,0))</f>
        <v>Sub-Saharan Africa</v>
      </c>
      <c r="E269" t="s">
        <v>1081</v>
      </c>
      <c r="F269">
        <v>131</v>
      </c>
      <c r="G269" t="str">
        <f>IF('Market Analyzes'!$C$2=Language!$C$2,D269,E269)</f>
        <v>África Subsaariana</v>
      </c>
    </row>
    <row r="270" spans="1:7" x14ac:dyDescent="0.25">
      <c r="A270" t="s">
        <v>1179</v>
      </c>
      <c r="B270" t="s">
        <v>162</v>
      </c>
      <c r="C270" t="str">
        <f>IF('Market Analyzes'!$C$2=Language!$C$2,B270,A270)</f>
        <v>Samoa.</v>
      </c>
      <c r="D270" t="str">
        <f>INDEX('Score-Starting a business'!$D$2:$D$176,MATCH(Language!B270,'Score-Starting a business'!$B$2:$B$176,0))</f>
        <v>Oceania</v>
      </c>
      <c r="E270" t="s">
        <v>1085</v>
      </c>
      <c r="F270">
        <v>133</v>
      </c>
      <c r="G270" t="str">
        <f>IF('Market Analyzes'!$C$2=Language!$C$2,D270,E270)</f>
        <v>Oceânia</v>
      </c>
    </row>
    <row r="271" spans="1:7" x14ac:dyDescent="0.25">
      <c r="A271" t="s">
        <v>1180</v>
      </c>
      <c r="B271" t="s">
        <v>163</v>
      </c>
      <c r="C271" t="str">
        <f>IF('Market Analyzes'!$C$2=Language!$C$2,B271,A271)</f>
        <v>Arábia Saudita</v>
      </c>
      <c r="D271" t="str">
        <f>INDEX('Score-Starting a business'!$D$2:$D$176,MATCH(Language!B271,'Score-Starting a business'!$B$2:$B$176,0))</f>
        <v>Middle East</v>
      </c>
      <c r="E271" t="s">
        <v>1080</v>
      </c>
      <c r="F271">
        <v>134</v>
      </c>
      <c r="G271" t="str">
        <f>IF('Market Analyzes'!$C$2=Language!$C$2,D271,E271)</f>
        <v>Oriente médio</v>
      </c>
    </row>
    <row r="272" spans="1:7" x14ac:dyDescent="0.25">
      <c r="A272" t="s">
        <v>165</v>
      </c>
      <c r="B272" t="s">
        <v>165</v>
      </c>
      <c r="C272" t="str">
        <f>IF('Market Analyzes'!$C$2=Language!$C$2,B272,A272)</f>
        <v>Senegal</v>
      </c>
      <c r="D272" t="str">
        <f>INDEX('Score-Starting a business'!$D$2:$D$176,MATCH(Language!B272,'Score-Starting a business'!$B$2:$B$176,0))</f>
        <v>Sub-Saharan Africa</v>
      </c>
      <c r="E272" t="s">
        <v>1081</v>
      </c>
      <c r="F272">
        <v>135</v>
      </c>
      <c r="G272" t="str">
        <f>IF('Market Analyzes'!$C$2=Language!$C$2,D272,E272)</f>
        <v>África Subsaariana</v>
      </c>
    </row>
    <row r="273" spans="1:7" x14ac:dyDescent="0.25">
      <c r="A273" t="s">
        <v>1181</v>
      </c>
      <c r="B273" t="s">
        <v>166</v>
      </c>
      <c r="C273" t="str">
        <f>IF('Market Analyzes'!$C$2=Language!$C$2,B273,A273)</f>
        <v>Sérvia</v>
      </c>
      <c r="D273" t="str">
        <f>INDEX('Score-Starting a business'!$D$2:$D$176,MATCH(Language!B273,'Score-Starting a business'!$B$2:$B$176,0))</f>
        <v>Europe</v>
      </c>
      <c r="E273" t="s">
        <v>1078</v>
      </c>
      <c r="F273">
        <v>136</v>
      </c>
      <c r="G273" t="str">
        <f>IF('Market Analyzes'!$C$2=Language!$C$2,D273,E273)</f>
        <v>Europa</v>
      </c>
    </row>
    <row r="274" spans="1:7" x14ac:dyDescent="0.25">
      <c r="A274" t="s">
        <v>1182</v>
      </c>
      <c r="B274" t="s">
        <v>167</v>
      </c>
      <c r="C274" t="str">
        <f>IF('Market Analyzes'!$C$2=Language!$C$2,B274,A274)</f>
        <v>Seychelles.</v>
      </c>
      <c r="D274" t="str">
        <f>INDEX('Score-Starting a business'!$D$2:$D$176,MATCH(Language!B274,'Score-Starting a business'!$B$2:$B$176,0))</f>
        <v>Sub-Saharan Africa</v>
      </c>
      <c r="E274" t="s">
        <v>1081</v>
      </c>
      <c r="F274">
        <v>137</v>
      </c>
      <c r="G274" t="str">
        <f>IF('Market Analyzes'!$C$2=Language!$C$2,D274,E274)</f>
        <v>África Subsaariana</v>
      </c>
    </row>
    <row r="275" spans="1:7" x14ac:dyDescent="0.25">
      <c r="A275" t="s">
        <v>1183</v>
      </c>
      <c r="B275" t="s">
        <v>168</v>
      </c>
      <c r="C275" t="str">
        <f>IF('Market Analyzes'!$C$2=Language!$C$2,B275,A275)</f>
        <v>Serra Leoa</v>
      </c>
      <c r="D275" t="str">
        <f>INDEX('Score-Starting a business'!$D$2:$D$176,MATCH(Language!B275,'Score-Starting a business'!$B$2:$B$176,0))</f>
        <v>Sub-Saharan Africa</v>
      </c>
      <c r="E275" t="s">
        <v>1081</v>
      </c>
      <c r="F275">
        <v>138</v>
      </c>
      <c r="G275" t="str">
        <f>IF('Market Analyzes'!$C$2=Language!$C$2,D275,E275)</f>
        <v>África Subsaariana</v>
      </c>
    </row>
    <row r="276" spans="1:7" x14ac:dyDescent="0.25">
      <c r="A276" t="s">
        <v>1184</v>
      </c>
      <c r="B276" t="s">
        <v>170</v>
      </c>
      <c r="C276" t="str">
        <f>IF('Market Analyzes'!$C$2=Language!$C$2,B276,A276)</f>
        <v>Cingapura</v>
      </c>
      <c r="D276" t="str">
        <f>INDEX('Score-Starting a business'!$D$2:$D$176,MATCH(Language!B276,'Score-Starting a business'!$B$2:$B$176,0))</f>
        <v>Asia &amp; Pacific</v>
      </c>
      <c r="E276" t="s">
        <v>1089</v>
      </c>
      <c r="F276">
        <v>139</v>
      </c>
      <c r="G276" t="str">
        <f>IF('Market Analyzes'!$C$2=Language!$C$2,D276,E276)</f>
        <v>Ásia-Pacífico</v>
      </c>
    </row>
    <row r="277" spans="1:7" x14ac:dyDescent="0.25">
      <c r="A277" t="s">
        <v>1185</v>
      </c>
      <c r="B277" t="s">
        <v>171</v>
      </c>
      <c r="C277" t="str">
        <f>IF('Market Analyzes'!$C$2=Language!$C$2,B277,A277)</f>
        <v>Eslováquia</v>
      </c>
      <c r="D277" t="str">
        <f>INDEX('Score-Starting a business'!$D$2:$D$176,MATCH(Language!B277,'Score-Starting a business'!$B$2:$B$176,0))</f>
        <v>European Union</v>
      </c>
      <c r="E277" t="s">
        <v>1087</v>
      </c>
      <c r="F277">
        <v>140</v>
      </c>
      <c r="G277" t="str">
        <f>IF('Market Analyzes'!$C$2=Language!$C$2,D277,E277)</f>
        <v>União Européia</v>
      </c>
    </row>
    <row r="278" spans="1:7" x14ac:dyDescent="0.25">
      <c r="A278" t="s">
        <v>1186</v>
      </c>
      <c r="B278" t="s">
        <v>172</v>
      </c>
      <c r="C278" t="str">
        <f>IF('Market Analyzes'!$C$2=Language!$C$2,B278,A278)</f>
        <v>Eslovênia</v>
      </c>
      <c r="D278" t="str">
        <f>INDEX('Score-Starting a business'!$D$2:$D$176,MATCH(Language!B278,'Score-Starting a business'!$B$2:$B$176,0))</f>
        <v>European Union</v>
      </c>
      <c r="E278" t="s">
        <v>1087</v>
      </c>
      <c r="F278">
        <v>141</v>
      </c>
      <c r="G278" t="str">
        <f>IF('Market Analyzes'!$C$2=Language!$C$2,D278,E278)</f>
        <v>União Européia</v>
      </c>
    </row>
    <row r="279" spans="1:7" x14ac:dyDescent="0.25">
      <c r="A279" t="s">
        <v>1187</v>
      </c>
      <c r="B279" t="s">
        <v>173</v>
      </c>
      <c r="C279" t="str">
        <f>IF('Market Analyzes'!$C$2=Language!$C$2,B279,A279)</f>
        <v>Ilhas Salomão</v>
      </c>
      <c r="D279" t="str">
        <f>INDEX('Score-Starting a business'!$D$2:$D$176,MATCH(Language!B279,'Score-Starting a business'!$B$2:$B$176,0))</f>
        <v>Asia &amp; Pacific</v>
      </c>
      <c r="E279" t="s">
        <v>1089</v>
      </c>
      <c r="F279">
        <v>142</v>
      </c>
      <c r="G279" t="str">
        <f>IF('Market Analyzes'!$C$2=Language!$C$2,D279,E279)</f>
        <v>Ásia-Pacífico</v>
      </c>
    </row>
    <row r="280" spans="1:7" x14ac:dyDescent="0.25">
      <c r="A280" t="s">
        <v>1188</v>
      </c>
      <c r="B280" t="s">
        <v>176</v>
      </c>
      <c r="C280" t="str">
        <f>IF('Market Analyzes'!$C$2=Language!$C$2,B280,A280)</f>
        <v>África do Sul</v>
      </c>
      <c r="D280" t="str">
        <f>INDEX('Score-Starting a business'!$D$2:$D$176,MATCH(Language!B280,'Score-Starting a business'!$B$2:$B$176,0))</f>
        <v>Sub-Saharan Africa</v>
      </c>
      <c r="E280" t="s">
        <v>1081</v>
      </c>
      <c r="F280">
        <v>144</v>
      </c>
      <c r="G280" t="str">
        <f>IF('Market Analyzes'!$C$2=Language!$C$2,D280,E280)</f>
        <v>África Subsaariana</v>
      </c>
    </row>
    <row r="281" spans="1:7" x14ac:dyDescent="0.25">
      <c r="A281" t="s">
        <v>1189</v>
      </c>
      <c r="B281" t="s">
        <v>178</v>
      </c>
      <c r="C281" t="str">
        <f>IF('Market Analyzes'!$C$2=Language!$C$2,B281,A281)</f>
        <v>Coreia do Sul</v>
      </c>
      <c r="D281" t="str">
        <f>INDEX('Score-Starting a business'!$D$2:$D$176,MATCH(Language!B281,'Score-Starting a business'!$B$2:$B$176,0))</f>
        <v>Asia &amp; Pacific</v>
      </c>
      <c r="E281" t="s">
        <v>1089</v>
      </c>
      <c r="F281">
        <v>145</v>
      </c>
      <c r="G281" t="str">
        <f>IF('Market Analyzes'!$C$2=Language!$C$2,D281,E281)</f>
        <v>Ásia-Pacífico</v>
      </c>
    </row>
    <row r="282" spans="1:7" x14ac:dyDescent="0.25">
      <c r="A282" t="s">
        <v>1190</v>
      </c>
      <c r="B282" t="s">
        <v>180</v>
      </c>
      <c r="C282" t="str">
        <f>IF('Market Analyzes'!$C$2=Language!$C$2,B282,A282)</f>
        <v>Espanha</v>
      </c>
      <c r="D282" t="str">
        <f>INDEX('Score-Starting a business'!$D$2:$D$176,MATCH(Language!B282,'Score-Starting a business'!$B$2:$B$176,0))</f>
        <v>European Union</v>
      </c>
      <c r="E282" t="s">
        <v>1087</v>
      </c>
      <c r="F282">
        <v>146</v>
      </c>
      <c r="G282" t="str">
        <f>IF('Market Analyzes'!$C$2=Language!$C$2,D282,E282)</f>
        <v>União Européia</v>
      </c>
    </row>
    <row r="283" spans="1:7" x14ac:dyDescent="0.25">
      <c r="A283" t="s">
        <v>181</v>
      </c>
      <c r="B283" t="s">
        <v>181</v>
      </c>
      <c r="C283" t="str">
        <f>IF('Market Analyzes'!$C$2=Language!$C$2,B283,A283)</f>
        <v>Sri Lanka</v>
      </c>
      <c r="D283" t="str">
        <f>INDEX('Score-Starting a business'!$D$2:$D$176,MATCH(Language!B283,'Score-Starting a business'!$B$2:$B$176,0))</f>
        <v>Asia &amp; Pacific</v>
      </c>
      <c r="E283" t="s">
        <v>1089</v>
      </c>
      <c r="F283">
        <v>147</v>
      </c>
      <c r="G283" t="str">
        <f>IF('Market Analyzes'!$C$2=Language!$C$2,D283,E283)</f>
        <v>Ásia-Pacífico</v>
      </c>
    </row>
    <row r="284" spans="1:7" x14ac:dyDescent="0.25">
      <c r="A284" t="s">
        <v>183</v>
      </c>
      <c r="B284" t="s">
        <v>183</v>
      </c>
      <c r="C284" t="str">
        <f>IF('Market Analyzes'!$C$2=Language!$C$2,B284,A284)</f>
        <v>Suriname</v>
      </c>
      <c r="D284" t="str">
        <f>INDEX('Score-Starting a business'!$D$2:$D$176,MATCH(Language!B284,'Score-Starting a business'!$B$2:$B$176,0))</f>
        <v>South America</v>
      </c>
      <c r="E284" t="s">
        <v>1082</v>
      </c>
      <c r="F284">
        <v>148</v>
      </c>
      <c r="G284" t="str">
        <f>IF('Market Analyzes'!$C$2=Language!$C$2,D284,E284)</f>
        <v>América do Sul</v>
      </c>
    </row>
    <row r="285" spans="1:7" x14ac:dyDescent="0.25">
      <c r="A285" t="s">
        <v>1191</v>
      </c>
      <c r="B285" t="s">
        <v>184</v>
      </c>
      <c r="C285" t="str">
        <f>IF('Market Analyzes'!$C$2=Language!$C$2,B285,A285)</f>
        <v>Suazilândia.</v>
      </c>
      <c r="D285" t="str">
        <f>INDEX('Score-Starting a business'!$D$2:$D$176,MATCH(Language!B285,'Score-Starting a business'!$B$2:$B$176,0))</f>
        <v>Sub-Saharan Africa</v>
      </c>
      <c r="E285" t="s">
        <v>1081</v>
      </c>
      <c r="F285">
        <v>149</v>
      </c>
      <c r="G285" t="str">
        <f>IF('Market Analyzes'!$C$2=Language!$C$2,D285,E285)</f>
        <v>África Subsaariana</v>
      </c>
    </row>
    <row r="286" spans="1:7" x14ac:dyDescent="0.25">
      <c r="A286" t="s">
        <v>1192</v>
      </c>
      <c r="B286" t="s">
        <v>185</v>
      </c>
      <c r="C286" t="str">
        <f>IF('Market Analyzes'!$C$2=Language!$C$2,B286,A286)</f>
        <v>Suécia</v>
      </c>
      <c r="D286" t="str">
        <f>INDEX('Score-Starting a business'!$D$2:$D$176,MATCH(Language!B286,'Score-Starting a business'!$B$2:$B$176,0))</f>
        <v>European Union</v>
      </c>
      <c r="E286" t="s">
        <v>1087</v>
      </c>
      <c r="F286">
        <v>150</v>
      </c>
      <c r="G286" t="str">
        <f>IF('Market Analyzes'!$C$2=Language!$C$2,D286,E286)</f>
        <v>União Européia</v>
      </c>
    </row>
    <row r="287" spans="1:7" x14ac:dyDescent="0.25">
      <c r="A287" t="s">
        <v>1193</v>
      </c>
      <c r="B287" t="s">
        <v>186</v>
      </c>
      <c r="C287" t="str">
        <f>IF('Market Analyzes'!$C$2=Language!$C$2,B287,A287)</f>
        <v>Suíça</v>
      </c>
      <c r="D287" t="str">
        <f>INDEX('Score-Starting a business'!$D$2:$D$176,MATCH(Language!B287,'Score-Starting a business'!$B$2:$B$176,0))</f>
        <v>Europe</v>
      </c>
      <c r="E287" t="s">
        <v>1078</v>
      </c>
      <c r="F287">
        <v>151</v>
      </c>
      <c r="G287" t="str">
        <f>IF('Market Analyzes'!$C$2=Language!$C$2,D287,E287)</f>
        <v>Europa</v>
      </c>
    </row>
    <row r="288" spans="1:7" x14ac:dyDescent="0.25">
      <c r="A288" t="s">
        <v>1194</v>
      </c>
      <c r="B288" t="s">
        <v>188</v>
      </c>
      <c r="C288" t="str">
        <f>IF('Market Analyzes'!$C$2=Language!$C$2,B288,A288)</f>
        <v>Tajiquistão</v>
      </c>
      <c r="D288" t="str">
        <f>INDEX('Score-Starting a business'!$D$2:$D$176,MATCH(Language!B288,'Score-Starting a business'!$B$2:$B$176,0))</f>
        <v>Asia &amp; Pacific</v>
      </c>
      <c r="E288" t="s">
        <v>1089</v>
      </c>
      <c r="F288">
        <v>153</v>
      </c>
      <c r="G288" t="str">
        <f>IF('Market Analyzes'!$C$2=Language!$C$2,D288,E288)</f>
        <v>Ásia-Pacífico</v>
      </c>
    </row>
    <row r="289" spans="1:7" x14ac:dyDescent="0.25">
      <c r="A289" t="s">
        <v>1195</v>
      </c>
      <c r="B289" t="s">
        <v>189</v>
      </c>
      <c r="C289" t="str">
        <f>IF('Market Analyzes'!$C$2=Language!$C$2,B289,A289)</f>
        <v>Tanzânia</v>
      </c>
      <c r="D289" t="str">
        <f>INDEX('Score-Starting a business'!$D$2:$D$176,MATCH(Language!B289,'Score-Starting a business'!$B$2:$B$176,0))</f>
        <v>Sub-Saharan Africa</v>
      </c>
      <c r="E289" t="s">
        <v>1081</v>
      </c>
      <c r="F289">
        <v>154</v>
      </c>
      <c r="G289" t="str">
        <f>IF('Market Analyzes'!$C$2=Language!$C$2,D289,E289)</f>
        <v>África Subsaariana</v>
      </c>
    </row>
    <row r="290" spans="1:7" x14ac:dyDescent="0.25">
      <c r="A290" t="s">
        <v>1196</v>
      </c>
      <c r="B290" t="s">
        <v>190</v>
      </c>
      <c r="C290" t="str">
        <f>IF('Market Analyzes'!$C$2=Language!$C$2,B290,A290)</f>
        <v>Tailândia</v>
      </c>
      <c r="D290" t="str">
        <f>INDEX('Score-Starting a business'!$D$2:$D$176,MATCH(Language!B290,'Score-Starting a business'!$B$2:$B$176,0))</f>
        <v>Asia &amp; Pacific</v>
      </c>
      <c r="E290" t="s">
        <v>1089</v>
      </c>
      <c r="F290">
        <v>155</v>
      </c>
      <c r="G290" t="str">
        <f>IF('Market Analyzes'!$C$2=Language!$C$2,D290,E290)</f>
        <v>Ásia-Pacífico</v>
      </c>
    </row>
    <row r="291" spans="1:7" x14ac:dyDescent="0.25">
      <c r="A291" t="s">
        <v>210</v>
      </c>
      <c r="B291" t="s">
        <v>210</v>
      </c>
      <c r="C291" t="str">
        <f>IF('Market Analyzes'!$C$2=Language!$C$2,B291,A291)</f>
        <v>Timor-Leste</v>
      </c>
      <c r="D291" t="str">
        <f>INDEX('Score-Starting a business'!$D$2:$D$176,MATCH(Language!B291,'Score-Starting a business'!$B$2:$B$176,0))</f>
        <v>Asia &amp; Pacific</v>
      </c>
      <c r="E291" t="s">
        <v>1089</v>
      </c>
      <c r="F291">
        <v>173</v>
      </c>
      <c r="G291" t="str">
        <f>IF('Market Analyzes'!$C$2=Language!$C$2,D291,E291)</f>
        <v>Ásia-Pacífico</v>
      </c>
    </row>
    <row r="292" spans="1:7" x14ac:dyDescent="0.25">
      <c r="A292" t="s">
        <v>191</v>
      </c>
      <c r="B292" t="s">
        <v>191</v>
      </c>
      <c r="C292" t="str">
        <f>IF('Market Analyzes'!$C$2=Language!$C$2,B292,A292)</f>
        <v>Togo</v>
      </c>
      <c r="D292" t="str">
        <f>INDEX('Score-Starting a business'!$D$2:$D$176,MATCH(Language!B292,'Score-Starting a business'!$B$2:$B$176,0))</f>
        <v>Sub-Saharan Africa</v>
      </c>
      <c r="E292" t="s">
        <v>1081</v>
      </c>
      <c r="F292">
        <v>156</v>
      </c>
      <c r="G292" t="str">
        <f>IF('Market Analyzes'!$C$2=Language!$C$2,D292,E292)</f>
        <v>África Subsaariana</v>
      </c>
    </row>
    <row r="293" spans="1:7" x14ac:dyDescent="0.25">
      <c r="A293" t="s">
        <v>1197</v>
      </c>
      <c r="B293" t="s">
        <v>211</v>
      </c>
      <c r="C293" t="str">
        <f>IF('Market Analyzes'!$C$2=Language!$C$2,B293,A293)</f>
        <v>Trinidad e Tobago</v>
      </c>
      <c r="D293" t="str">
        <f>INDEX('Score-Starting a business'!$D$2:$D$176,MATCH(Language!B293,'Score-Starting a business'!$B$2:$B$176,0))</f>
        <v>The Caribbean</v>
      </c>
      <c r="E293" t="s">
        <v>1091</v>
      </c>
      <c r="F293">
        <v>174</v>
      </c>
      <c r="G293" t="str">
        <f>IF('Market Analyzes'!$C$2=Language!$C$2,D293,E293)</f>
        <v>Caribe</v>
      </c>
    </row>
    <row r="294" spans="1:7" x14ac:dyDescent="0.25">
      <c r="A294" t="s">
        <v>1198</v>
      </c>
      <c r="B294" t="s">
        <v>192</v>
      </c>
      <c r="C294" t="str">
        <f>IF('Market Analyzes'!$C$2=Language!$C$2,B294,A294)</f>
        <v>Tunísia</v>
      </c>
      <c r="D294" t="str">
        <f>INDEX('Score-Starting a business'!$D$2:$D$176,MATCH(Language!B294,'Score-Starting a business'!$B$2:$B$176,0))</f>
        <v>Middle East</v>
      </c>
      <c r="E294" t="s">
        <v>1080</v>
      </c>
      <c r="F294">
        <v>157</v>
      </c>
      <c r="G294" t="str">
        <f>IF('Market Analyzes'!$C$2=Language!$C$2,D294,E294)</f>
        <v>Oriente médio</v>
      </c>
    </row>
    <row r="295" spans="1:7" x14ac:dyDescent="0.25">
      <c r="A295" t="s">
        <v>150</v>
      </c>
      <c r="B295" t="s">
        <v>193</v>
      </c>
      <c r="C295" t="str">
        <f>IF('Market Analyzes'!$C$2=Language!$C$2,B295,A295)</f>
        <v>Peru</v>
      </c>
      <c r="D295" t="str">
        <f>INDEX('Score-Starting a business'!$D$2:$D$176,MATCH(Language!B295,'Score-Starting a business'!$B$2:$B$176,0))</f>
        <v>Europe</v>
      </c>
      <c r="E295" t="s">
        <v>1078</v>
      </c>
      <c r="F295">
        <v>158</v>
      </c>
      <c r="G295" t="str">
        <f>IF('Market Analyzes'!$C$2=Language!$C$2,D295,E295)</f>
        <v>Europa</v>
      </c>
    </row>
    <row r="296" spans="1:7" x14ac:dyDescent="0.25">
      <c r="A296" t="s">
        <v>1199</v>
      </c>
      <c r="B296" t="s">
        <v>194</v>
      </c>
      <c r="C296" t="str">
        <f>IF('Market Analyzes'!$C$2=Language!$C$2,B296,A296)</f>
        <v>Turquemenistão</v>
      </c>
      <c r="D296" t="str">
        <f>INDEX('Score-Starting a business'!$D$2:$D$176,MATCH(Language!B296,'Score-Starting a business'!$B$2:$B$176,0))</f>
        <v>Asia &amp; Pacific</v>
      </c>
      <c r="E296" t="s">
        <v>1089</v>
      </c>
      <c r="F296">
        <v>159</v>
      </c>
      <c r="G296" t="str">
        <f>IF('Market Analyzes'!$C$2=Language!$C$2,D296,E296)</f>
        <v>Ásia-Pacífico</v>
      </c>
    </row>
    <row r="297" spans="1:7" x14ac:dyDescent="0.25">
      <c r="A297" t="s">
        <v>195</v>
      </c>
      <c r="B297" t="s">
        <v>195</v>
      </c>
      <c r="C297" t="str">
        <f>IF('Market Analyzes'!$C$2=Language!$C$2,B297,A297)</f>
        <v>Uganda</v>
      </c>
      <c r="D297" t="str">
        <f>INDEX('Score-Starting a business'!$D$2:$D$176,MATCH(Language!B297,'Score-Starting a business'!$B$2:$B$176,0))</f>
        <v>Sub-Saharan Africa</v>
      </c>
      <c r="E297" t="s">
        <v>1081</v>
      </c>
      <c r="F297">
        <v>160</v>
      </c>
      <c r="G297" t="str">
        <f>IF('Market Analyzes'!$C$2=Language!$C$2,D297,E297)</f>
        <v>África Subsaariana</v>
      </c>
    </row>
    <row r="298" spans="1:7" x14ac:dyDescent="0.25">
      <c r="A298" t="s">
        <v>1200</v>
      </c>
      <c r="B298" t="s">
        <v>196</v>
      </c>
      <c r="C298" t="str">
        <f>IF('Market Analyzes'!$C$2=Language!$C$2,B298,A298)</f>
        <v>Ucrânia</v>
      </c>
      <c r="D298" t="str">
        <f>INDEX('Score-Starting a business'!$D$2:$D$176,MATCH(Language!B298,'Score-Starting a business'!$B$2:$B$176,0))</f>
        <v>Europe</v>
      </c>
      <c r="E298" t="s">
        <v>1078</v>
      </c>
      <c r="F298">
        <v>161</v>
      </c>
      <c r="G298" t="str">
        <f>IF('Market Analyzes'!$C$2=Language!$C$2,D298,E298)</f>
        <v>Europa</v>
      </c>
    </row>
    <row r="299" spans="1:7" x14ac:dyDescent="0.25">
      <c r="A299" t="s">
        <v>1201</v>
      </c>
      <c r="B299" t="s">
        <v>197</v>
      </c>
      <c r="C299" t="str">
        <f>IF('Market Analyzes'!$C$2=Language!$C$2,B299,A299)</f>
        <v>Emirados Árabes Unidos</v>
      </c>
      <c r="D299" t="str">
        <f>INDEX('Score-Starting a business'!$D$2:$D$176,MATCH(Language!B299,'Score-Starting a business'!$B$2:$B$176,0))</f>
        <v>Middle East</v>
      </c>
      <c r="E299" t="s">
        <v>1080</v>
      </c>
      <c r="F299">
        <v>162</v>
      </c>
      <c r="G299" t="str">
        <f>IF('Market Analyzes'!$C$2=Language!$C$2,D299,E299)</f>
        <v>Oriente médio</v>
      </c>
    </row>
    <row r="300" spans="1:7" x14ac:dyDescent="0.25">
      <c r="A300" t="s">
        <v>1202</v>
      </c>
      <c r="B300" t="s">
        <v>212</v>
      </c>
      <c r="C300" t="str">
        <f>IF('Market Analyzes'!$C$2=Language!$C$2,B300,A300)</f>
        <v>Reino Unido</v>
      </c>
      <c r="D300" t="str">
        <f>INDEX('Score-Starting a business'!$D$2:$D$176,MATCH(Language!B300,'Score-Starting a business'!$B$2:$B$176,0))</f>
        <v>European Union</v>
      </c>
      <c r="E300" t="s">
        <v>1087</v>
      </c>
      <c r="F300">
        <v>175</v>
      </c>
      <c r="G300" t="str">
        <f>IF('Market Analyzes'!$C$2=Language!$C$2,D300,E300)</f>
        <v>União Européia</v>
      </c>
    </row>
    <row r="301" spans="1:7" x14ac:dyDescent="0.25">
      <c r="A301" t="s">
        <v>1203</v>
      </c>
      <c r="B301" t="s">
        <v>199</v>
      </c>
      <c r="C301" t="str">
        <f>IF('Market Analyzes'!$C$2=Language!$C$2,B301,A301)</f>
        <v>Estados Unidos</v>
      </c>
      <c r="D301" t="str">
        <f>INDEX('Score-Starting a business'!$D$2:$D$176,MATCH(Language!B301,'Score-Starting a business'!$B$2:$B$176,0))</f>
        <v>North America</v>
      </c>
      <c r="E301" t="s">
        <v>1106</v>
      </c>
      <c r="F301">
        <v>163</v>
      </c>
      <c r="G301" t="str">
        <f>IF('Market Analyzes'!$C$2=Language!$C$2,D301,E301)</f>
        <v>América do Norte</v>
      </c>
    </row>
    <row r="302" spans="1:7" x14ac:dyDescent="0.25">
      <c r="A302" t="s">
        <v>1204</v>
      </c>
      <c r="B302" t="s">
        <v>201</v>
      </c>
      <c r="C302" t="str">
        <f>IF('Market Analyzes'!$C$2=Language!$C$2,B302,A302)</f>
        <v>Uruguai</v>
      </c>
      <c r="D302" t="str">
        <f>INDEX('Score-Starting a business'!$D$2:$D$176,MATCH(Language!B302,'Score-Starting a business'!$B$2:$B$176,0))</f>
        <v>South America</v>
      </c>
      <c r="E302" t="s">
        <v>1082</v>
      </c>
      <c r="F302">
        <v>164</v>
      </c>
      <c r="G302" t="str">
        <f>IF('Market Analyzes'!$C$2=Language!$C$2,D302,E302)</f>
        <v>América do Sul</v>
      </c>
    </row>
    <row r="303" spans="1:7" x14ac:dyDescent="0.25">
      <c r="A303" t="s">
        <v>1205</v>
      </c>
      <c r="B303" t="s">
        <v>202</v>
      </c>
      <c r="C303" t="str">
        <f>IF('Market Analyzes'!$C$2=Language!$C$2,B303,A303)</f>
        <v>Uzbequistão</v>
      </c>
      <c r="D303" t="str">
        <f>INDEX('Score-Starting a business'!$D$2:$D$176,MATCH(Language!B303,'Score-Starting a business'!$B$2:$B$176,0))</f>
        <v>Asia &amp; Pacific</v>
      </c>
      <c r="E303" t="s">
        <v>1089</v>
      </c>
      <c r="F303">
        <v>165</v>
      </c>
      <c r="G303" t="str">
        <f>IF('Market Analyzes'!$C$2=Language!$C$2,D303,E303)</f>
        <v>Ásia-Pacífico</v>
      </c>
    </row>
    <row r="304" spans="1:7" x14ac:dyDescent="0.25">
      <c r="A304" t="s">
        <v>203</v>
      </c>
      <c r="B304" t="s">
        <v>203</v>
      </c>
      <c r="C304" t="str">
        <f>IF('Market Analyzes'!$C$2=Language!$C$2,B304,A304)</f>
        <v>Venezuela</v>
      </c>
      <c r="D304" t="str">
        <f>INDEX('Score-Starting a business'!$D$2:$D$176,MATCH(Language!B304,'Score-Starting a business'!$B$2:$B$176,0))</f>
        <v>South America</v>
      </c>
      <c r="E304" t="s">
        <v>1082</v>
      </c>
      <c r="F304">
        <v>166</v>
      </c>
      <c r="G304" t="str">
        <f>IF('Market Analyzes'!$C$2=Language!$C$2,D304,E304)</f>
        <v>América do Sul</v>
      </c>
    </row>
    <row r="305" spans="1:7" x14ac:dyDescent="0.25">
      <c r="A305" t="s">
        <v>1206</v>
      </c>
      <c r="B305" t="s">
        <v>204</v>
      </c>
      <c r="C305" t="str">
        <f>IF('Market Analyzes'!$C$2=Language!$C$2,B305,A305)</f>
        <v>Vietnã</v>
      </c>
      <c r="D305" t="str">
        <f>INDEX('Score-Starting a business'!$D$2:$D$176,MATCH(Language!B305,'Score-Starting a business'!$B$2:$B$176,0))</f>
        <v>Asia &amp; Pacific</v>
      </c>
      <c r="E305" t="s">
        <v>1089</v>
      </c>
      <c r="F305">
        <v>167</v>
      </c>
      <c r="G305" t="str">
        <f>IF('Market Analyzes'!$C$2=Language!$C$2,D305,E305)</f>
        <v>Ásia-Pacífico</v>
      </c>
    </row>
    <row r="306" spans="1:7" x14ac:dyDescent="0.25">
      <c r="A306" t="s">
        <v>1207</v>
      </c>
      <c r="B306" t="s">
        <v>205</v>
      </c>
      <c r="C306" t="str">
        <f>IF('Market Analyzes'!$C$2=Language!$C$2,B306,A306)</f>
        <v>Iémen</v>
      </c>
      <c r="D306" t="str">
        <f>INDEX('Score-Starting a business'!$D$2:$D$176,MATCH(Language!B306,'Score-Starting a business'!$B$2:$B$176,0))</f>
        <v>Middle East</v>
      </c>
      <c r="E306" t="s">
        <v>1080</v>
      </c>
      <c r="F306">
        <v>168</v>
      </c>
      <c r="G306" t="str">
        <f>IF('Market Analyzes'!$C$2=Language!$C$2,D306,E306)</f>
        <v>Oriente médio</v>
      </c>
    </row>
    <row r="307" spans="1:7" x14ac:dyDescent="0.25">
      <c r="A307" t="s">
        <v>1208</v>
      </c>
      <c r="B307" t="s">
        <v>206</v>
      </c>
      <c r="C307" t="str">
        <f>IF('Market Analyzes'!$C$2=Language!$C$2,B307,A307)</f>
        <v>Zâmbia</v>
      </c>
      <c r="D307" t="str">
        <f>INDEX('Score-Starting a business'!$D$2:$D$176,MATCH(Language!B307,'Score-Starting a business'!$B$2:$B$176,0))</f>
        <v>Sub-Saharan Africa</v>
      </c>
      <c r="E307" t="s">
        <v>1081</v>
      </c>
      <c r="F307">
        <v>169</v>
      </c>
      <c r="G307" t="str">
        <f>IF('Market Analyzes'!$C$2=Language!$C$2,D307,E307)</f>
        <v>África Subsaariana</v>
      </c>
    </row>
    <row r="308" spans="1:7" x14ac:dyDescent="0.25">
      <c r="A308" t="s">
        <v>1209</v>
      </c>
      <c r="B308" t="s">
        <v>207</v>
      </c>
      <c r="C308" t="str">
        <f>IF('Market Analyzes'!$C$2=Language!$C$2,B308,A308)</f>
        <v>Zimbábue</v>
      </c>
      <c r="D308" t="str">
        <f>INDEX('Score-Starting a business'!$D$2:$D$176,MATCH(Language!B308,'Score-Starting a business'!$B$2:$B$176,0))</f>
        <v>Sub-Saharan Africa</v>
      </c>
      <c r="E308" t="s">
        <v>1081</v>
      </c>
      <c r="F308">
        <v>170</v>
      </c>
      <c r="G308" t="str">
        <f>IF('Market Analyzes'!$C$2=Language!$C$2,D308,E308)</f>
        <v>África Subsaariana</v>
      </c>
    </row>
    <row r="309" spans="1:7" x14ac:dyDescent="0.25">
      <c r="A309" t="s">
        <v>1210</v>
      </c>
      <c r="B309" t="s">
        <v>1211</v>
      </c>
      <c r="C309" t="str">
        <f>IF('Market Analyzes'!$C$2=Language!$C$2,B309,A309)</f>
        <v>Descrição</v>
      </c>
    </row>
    <row r="310" spans="1:7" x14ac:dyDescent="0.25">
      <c r="A310" t="s">
        <v>1212</v>
      </c>
      <c r="B310" t="s">
        <v>1213</v>
      </c>
      <c r="C310" t="str">
        <f>IF('Market Analyzes'!$C$2=Language!$C$2,B310,A310)</f>
        <v>Variáveis ​​demograficas</v>
      </c>
    </row>
    <row r="311" spans="1:7" x14ac:dyDescent="0.25">
      <c r="A311" t="s">
        <v>1214</v>
      </c>
      <c r="B311" t="s">
        <v>1215</v>
      </c>
      <c r="C311" t="str">
        <f>IF('Market Analyzes'!$C$2=Language!$C$2,B311,A311)</f>
        <v>Variáveis ​​econômicas, políticas e legais</v>
      </c>
    </row>
    <row r="312" spans="1:7" x14ac:dyDescent="0.25">
      <c r="A312" t="s">
        <v>1216</v>
      </c>
      <c r="B312" t="s">
        <v>1217</v>
      </c>
      <c r="C312" t="str">
        <f>IF('Market Analyzes'!$C$2=Language!$C$2,B312,A312)</f>
        <v>Variáveis ​​socioculturais</v>
      </c>
    </row>
    <row r="313" spans="1:7" x14ac:dyDescent="0.25">
      <c r="A313" t="s">
        <v>1218</v>
      </c>
      <c r="B313" t="s">
        <v>1219</v>
      </c>
      <c r="C313" t="str">
        <f>IF('Market Analyzes'!$C$2=Language!$C$2,B313,A313)</f>
        <v>Dados da indústria e da concorrência</v>
      </c>
    </row>
    <row r="314" spans="1:7" x14ac:dyDescent="0.25">
      <c r="A314" t="s">
        <v>1220</v>
      </c>
      <c r="B314" t="s">
        <v>1221</v>
      </c>
      <c r="C314" t="str">
        <f>IF('Market Analyzes'!$C$2=Language!$C$2,B314,A314)</f>
        <v>Estatísticas Básicas</v>
      </c>
    </row>
    <row r="315" spans="1:7" x14ac:dyDescent="0.25">
      <c r="A315" t="s">
        <v>476</v>
      </c>
      <c r="B315" t="s">
        <v>569</v>
      </c>
      <c r="C315" t="str">
        <f>IF('Market Analyzes'!$C$2=Language!$C$2,B315,A315)</f>
        <v>Média</v>
      </c>
    </row>
    <row r="316" spans="1:7" x14ac:dyDescent="0.25">
      <c r="A316" t="s">
        <v>477</v>
      </c>
      <c r="B316" t="s">
        <v>1222</v>
      </c>
      <c r="C316" t="str">
        <f>IF('Market Analyzes'!$C$2=Language!$C$2,B316,A316)</f>
        <v>Desvio padrão</v>
      </c>
    </row>
    <row r="317" spans="1:7" x14ac:dyDescent="0.25">
      <c r="A317" t="s">
        <v>1223</v>
      </c>
      <c r="B317" t="s">
        <v>1224</v>
      </c>
      <c r="C317" t="str">
        <f>IF('Market Analyzes'!$C$2=Language!$C$2,B317,A317)</f>
        <v>Coef. de variação</v>
      </c>
    </row>
    <row r="318" spans="1:7" x14ac:dyDescent="0.25">
      <c r="A318" t="s">
        <v>416</v>
      </c>
      <c r="B318" t="s">
        <v>1225</v>
      </c>
      <c r="C318" t="str">
        <f>IF('Market Analyzes'!$C$2=Language!$C$2,B318,A318)</f>
        <v>Máximo</v>
      </c>
    </row>
    <row r="319" spans="1:7" x14ac:dyDescent="0.25">
      <c r="A319" t="s">
        <v>516</v>
      </c>
      <c r="B319" t="s">
        <v>1226</v>
      </c>
      <c r="C319" t="str">
        <f>IF('Market Analyzes'!$C$2=Language!$C$2,B319,A319)</f>
        <v>Mínimo</v>
      </c>
    </row>
    <row r="320" spans="1:7" x14ac:dyDescent="0.25">
      <c r="A320" t="s">
        <v>1227</v>
      </c>
      <c r="B320" t="s">
        <v>1228</v>
      </c>
      <c r="C320" t="str">
        <f>IF('Market Analyzes'!$C$2=Language!$C$2,B320,A320)</f>
        <v xml:space="preserve">Percentil 25.º </v>
      </c>
    </row>
    <row r="321" spans="1:3" x14ac:dyDescent="0.25">
      <c r="A321" t="s">
        <v>1229</v>
      </c>
      <c r="B321" t="s">
        <v>1230</v>
      </c>
      <c r="C321" t="str">
        <f>IF('Market Analyzes'!$C$2=Language!$C$2,B321,A321)</f>
        <v>Percentil 75.º</v>
      </c>
    </row>
    <row r="322" spans="1:3" x14ac:dyDescent="0.25">
      <c r="A322" t="s">
        <v>1231</v>
      </c>
      <c r="B322" t="s">
        <v>1232</v>
      </c>
      <c r="C322" t="str">
        <f>IF('Market Analyzes'!$C$2=Language!$C$2,B322,A322)</f>
        <v>Mediana</v>
      </c>
    </row>
    <row r="323" spans="1:3" x14ac:dyDescent="0.25">
      <c r="A323" t="s">
        <v>1233</v>
      </c>
      <c r="B323" t="s">
        <v>1234</v>
      </c>
      <c r="C323" t="str">
        <f>IF('Market Analyzes'!$C$2=Language!$C$2,B323,A323)</f>
        <v>Intervalo Interquartil</v>
      </c>
    </row>
    <row r="324" spans="1:3" x14ac:dyDescent="0.25">
      <c r="A324" t="s">
        <v>1235</v>
      </c>
      <c r="B324" t="s">
        <v>1236</v>
      </c>
      <c r="C324" t="str">
        <f>IF('Market Analyzes'!$C$2=Language!$C$2,B324,A324)</f>
        <v>Amostra válida</v>
      </c>
    </row>
    <row r="325" spans="1:3" x14ac:dyDescent="0.25">
      <c r="A325" t="s">
        <v>1237</v>
      </c>
      <c r="B325" t="s">
        <v>1238</v>
      </c>
      <c r="C325" t="str">
        <f>IF('Market Analyzes'!$C$2=Language!$C$2,B325,A325)</f>
        <v>Usuários ativos (milhares)</v>
      </c>
    </row>
    <row r="326" spans="1:3" x14ac:dyDescent="0.25">
      <c r="A326" t="s">
        <v>1239</v>
      </c>
      <c r="B326" t="s">
        <v>1240</v>
      </c>
      <c r="C326" t="str">
        <f>IF('Market Analyzes'!$C$2=Language!$C$2,B326,A326)</f>
        <v>Penetração de mercado (categoria)</v>
      </c>
    </row>
    <row r="327" spans="1:3" x14ac:dyDescent="0.25">
      <c r="A327" t="s">
        <v>1241</v>
      </c>
      <c r="B327" t="s">
        <v>1242</v>
      </c>
      <c r="C327" t="str">
        <f>IF('Market Analyzes'!$C$2=Language!$C$2,B327,A327)</f>
        <v>Demanda do Mercado (U $ Milhões)</v>
      </c>
    </row>
    <row r="328" spans="1:3" ht="30" x14ac:dyDescent="0.25">
      <c r="A328" s="145" t="s">
        <v>1243</v>
      </c>
      <c r="B328" t="s">
        <v>1244</v>
      </c>
      <c r="C328" t="str">
        <f>IF('Market Analyzes'!$C$2=Language!$C$2,B328,A328)</f>
        <v>Receita média por usuário
 (ARPU)</v>
      </c>
    </row>
    <row r="329" spans="1:3" x14ac:dyDescent="0.25">
      <c r="A329" t="s">
        <v>1245</v>
      </c>
      <c r="B329" t="s">
        <v>497</v>
      </c>
      <c r="C329" t="str">
        <f>IF('Market Analyzes'!$C$2=Language!$C$2,B329,A329)</f>
        <v>Número de concorrentes</v>
      </c>
    </row>
    <row r="330" spans="1:3" x14ac:dyDescent="0.25">
      <c r="A330" t="s">
        <v>943</v>
      </c>
      <c r="B330" t="s">
        <v>944</v>
      </c>
      <c r="C330" t="str">
        <f>IF('Market Analyzes'!$C$2=Language!$C$2,B330,A330)</f>
        <v>Preço por corrida de 5km</v>
      </c>
    </row>
    <row r="331" spans="1:3" x14ac:dyDescent="0.25">
      <c r="A331" t="s">
        <v>945</v>
      </c>
      <c r="B331" t="s">
        <v>946</v>
      </c>
      <c r="C331" t="str">
        <f>IF('Market Analyzes'!$C$2=Language!$C$2,B331,A331)</f>
        <v>Custo unitário por 5km</v>
      </c>
    </row>
    <row r="332" spans="1:3" x14ac:dyDescent="0.25">
      <c r="A332" t="s">
        <v>1246</v>
      </c>
      <c r="B332" t="s">
        <v>1247</v>
      </c>
      <c r="C332" t="str">
        <f>IF('Market Analyzes'!$C$2=Language!$C$2,B332,A332)</f>
        <v>Despesas de marketing e vendas globais (milhões)</v>
      </c>
    </row>
    <row r="333" spans="1:3" x14ac:dyDescent="0.25">
      <c r="A333" t="s">
        <v>1248</v>
      </c>
      <c r="B333" t="s">
        <v>1249</v>
      </c>
      <c r="C333" t="str">
        <f>IF('Market Analyzes'!$C$2=Language!$C$2,B333,A333)</f>
        <v>Despesas de marketing e vendas locais (milhões)</v>
      </c>
    </row>
    <row r="334" spans="1:3" x14ac:dyDescent="0.25">
      <c r="A334" t="s">
        <v>1250</v>
      </c>
      <c r="B334" t="s">
        <v>1251</v>
      </c>
      <c r="C334" t="str">
        <f>IF('Market Analyzes'!$C$2=Language!$C$2,B334,A334)</f>
        <v>Despesas de marketing e vendas totais (milhões)</v>
      </c>
    </row>
    <row r="335" spans="1:3" x14ac:dyDescent="0.25">
      <c r="A335" t="s">
        <v>1252</v>
      </c>
      <c r="B335" t="s">
        <v>1253</v>
      </c>
      <c r="C335" t="str">
        <f>IF('Market Analyzes'!$C$2=Language!$C$2,B335,A335)</f>
        <v>Custos administrativos, operacionais (custos fixos) e custos de abertura (milhões)</v>
      </c>
    </row>
    <row r="336" spans="1:3" x14ac:dyDescent="0.25">
      <c r="A336" t="s">
        <v>1254</v>
      </c>
      <c r="B336" t="s">
        <v>1255</v>
      </c>
      <c r="C336" t="str">
        <f>IF('Market Analyzes'!$C$2=Language!$C$2,B336,A336)</f>
        <v>Custos Regulamentares e Políticos (Milhões)</v>
      </c>
    </row>
    <row r="337" spans="1:3" x14ac:dyDescent="0.25">
      <c r="A337" t="s">
        <v>1256</v>
      </c>
      <c r="B337" t="s">
        <v>1257</v>
      </c>
      <c r="C337" t="str">
        <f>IF('Market Analyzes'!$C$2=Language!$C$2,B337,A337)</f>
        <v>Impostos (D) (Milhões)</v>
      </c>
    </row>
    <row r="338" spans="1:3" x14ac:dyDescent="0.25">
      <c r="A338" t="s">
        <v>1258</v>
      </c>
      <c r="B338" t="s">
        <v>1259</v>
      </c>
      <c r="C338" t="str">
        <f>IF('Market Analyzes'!$C$2=Language!$C$2,B338,A338)</f>
        <v xml:space="preserve"> - Estatísticas mundiais</v>
      </c>
    </row>
    <row r="339" spans="1:3" x14ac:dyDescent="0.25">
      <c r="A339" t="s">
        <v>1260</v>
      </c>
      <c r="B339" t="s">
        <v>1261</v>
      </c>
      <c r="C339" t="str">
        <f>IF('Market Analyzes'!$C$2=Language!$C$2,B339,A339)</f>
        <v xml:space="preserve"> - Estatísticas detalhadas por país</v>
      </c>
    </row>
    <row r="340" spans="1:3" x14ac:dyDescent="0.25">
      <c r="A340" s="1" t="s">
        <v>1262</v>
      </c>
      <c r="B340" t="s">
        <v>1263</v>
      </c>
      <c r="C340" t="str">
        <f>IF('Market Analyzes'!$C$2=Language!$C$2,B340,A340)</f>
        <v>População (milhões)</v>
      </c>
    </row>
    <row r="341" spans="1:3" x14ac:dyDescent="0.25">
      <c r="A341" t="s">
        <v>1264</v>
      </c>
      <c r="B341" t="s">
        <v>1265</v>
      </c>
      <c r="C341" t="str">
        <f>IF('Market Analyzes'!$C$2=Language!$C$2,B341,A341)</f>
        <v>Penetração de mercado da sua empresa) (% ususários)</v>
      </c>
    </row>
    <row r="342" spans="1:3" x14ac:dyDescent="0.25">
      <c r="A342" t="s">
        <v>1266</v>
      </c>
      <c r="B342" t="s">
        <v>1267</v>
      </c>
      <c r="C342" t="str">
        <f>IF('Market Analyzes'!$C$2=Language!$C$2,B342,A342)</f>
        <v>Selecione a variável</v>
      </c>
    </row>
    <row r="343" spans="1:3" x14ac:dyDescent="0.25">
      <c r="A343" t="s">
        <v>1268</v>
      </c>
      <c r="B343" t="s">
        <v>756</v>
      </c>
      <c r="C343" t="str">
        <f>IF('Market Analyzes'!$C$2=Language!$C$2,B343,A343)</f>
        <v>Número</v>
      </c>
    </row>
    <row r="344" spans="1:3" x14ac:dyDescent="0.25">
      <c r="A344" t="s">
        <v>1269</v>
      </c>
      <c r="B344" t="s">
        <v>1270</v>
      </c>
      <c r="C344" t="str">
        <f>IF('Market Analyzes'!$C$2=Language!$C$2,B344,A344)</f>
        <v>Selecione os países</v>
      </c>
    </row>
    <row r="345" spans="1:3" x14ac:dyDescent="0.25">
      <c r="A345" t="s">
        <v>865</v>
      </c>
      <c r="B345" t="s">
        <v>0</v>
      </c>
      <c r="C345" t="str">
        <f>IF('Market Analyzes'!$C$2=Language!$C$2,B345,A345)</f>
        <v>País</v>
      </c>
    </row>
    <row r="346" spans="1:3" x14ac:dyDescent="0.25">
      <c r="A346" t="s">
        <v>1271</v>
      </c>
      <c r="B346" t="s">
        <v>1272</v>
      </c>
      <c r="C346" t="str">
        <f>IF('Market Analyzes'!$C$2=Language!$C$2,B346,A346)</f>
        <v>PIB per capita (Y) VS População (X) VS LN GDP (tamanho do círculo)</v>
      </c>
    </row>
    <row r="347" spans="1:3" x14ac:dyDescent="0.25">
      <c r="A347" t="s">
        <v>1273</v>
      </c>
      <c r="B347" t="s">
        <v>1274</v>
      </c>
      <c r="C347" t="str">
        <f>IF('Market Analyzes'!$C$2=Language!$C$2,B347,A347)</f>
        <v>Visão geral global, regional e de concorrência:</v>
      </c>
    </row>
    <row r="348" spans="1:3" x14ac:dyDescent="0.25">
      <c r="A348" t="s">
        <v>1275</v>
      </c>
      <c r="B348" t="s">
        <v>1276</v>
      </c>
      <c r="C348" t="str">
        <f>IF('Market Analyzes'!$C$2=Language!$C$2,B348,A348)</f>
        <v>Ano-</v>
      </c>
    </row>
    <row r="349" spans="1:3" x14ac:dyDescent="0.25">
      <c r="A349" t="s">
        <v>1277</v>
      </c>
      <c r="B349" t="s">
        <v>1278</v>
      </c>
      <c r="C349" t="str">
        <f>IF('Market Analyzes'!$C$2=Language!$C$2,B349,A349)</f>
        <v>Informações demográficas e de mercado</v>
      </c>
    </row>
    <row r="350" spans="1:3" x14ac:dyDescent="0.25">
      <c r="A350" t="s">
        <v>858</v>
      </c>
      <c r="B350" t="s">
        <v>3</v>
      </c>
      <c r="C350" t="str">
        <f>IF('Market Analyzes'!$C$2=Language!$C$2,B350,A350)</f>
        <v>Região</v>
      </c>
    </row>
    <row r="351" spans="1:3" x14ac:dyDescent="0.25">
      <c r="A351" t="s">
        <v>1279</v>
      </c>
      <c r="B351" t="s">
        <v>1280</v>
      </c>
      <c r="C351" t="str">
        <f>IF('Market Analyzes'!$C$2=Language!$C$2,B351,A351)</f>
        <v>N. De países com concorrentes</v>
      </c>
    </row>
    <row r="352" spans="1:3" x14ac:dyDescent="0.25">
      <c r="A352" t="s">
        <v>1281</v>
      </c>
      <c r="B352" t="s">
        <v>1282</v>
      </c>
      <c r="C352" t="str">
        <f>IF('Market Analyzes'!$C$2=Language!$C$2,B352,A352)</f>
        <v>N. de subsidiárias</v>
      </c>
    </row>
    <row r="353" spans="1:3" x14ac:dyDescent="0.25">
      <c r="A353" t="s">
        <v>1283</v>
      </c>
      <c r="B353" t="s">
        <v>1284</v>
      </c>
      <c r="C353" t="str">
        <f>IF('Market Analyzes'!$C$2=Language!$C$2,B353,A353)</f>
        <v>Usuários ativos (milhões)</v>
      </c>
    </row>
    <row r="354" spans="1:3" x14ac:dyDescent="0.25">
      <c r="A354" t="s">
        <v>1285</v>
      </c>
      <c r="B354" t="s">
        <v>1286</v>
      </c>
      <c r="C354" t="str">
        <f>IF('Market Analyzes'!$C$2=Language!$C$2,B354,A354)</f>
        <v>Penetração de Mercado (Geral)</v>
      </c>
    </row>
    <row r="355" spans="1:3" x14ac:dyDescent="0.25">
      <c r="A355" t="s">
        <v>1287</v>
      </c>
      <c r="B355" t="s">
        <v>1288</v>
      </c>
      <c r="C355" t="str">
        <f>IF('Market Analyzes'!$C$2=Language!$C$2,B355,A355)</f>
        <v>Penetração de mercado (países ativos)</v>
      </c>
    </row>
    <row r="356" spans="1:3" x14ac:dyDescent="0.25">
      <c r="A356" t="s">
        <v>1289</v>
      </c>
      <c r="B356" t="s">
        <v>1290</v>
      </c>
      <c r="C356" t="str">
        <f>IF('Market Analyzes'!$C$2=Language!$C$2,B356,A356)</f>
        <v>Total do mundo</v>
      </c>
    </row>
    <row r="357" spans="1:3" x14ac:dyDescent="0.25">
      <c r="A357" t="s">
        <v>1291</v>
      </c>
      <c r="B357" t="s">
        <v>1292</v>
      </c>
      <c r="C357" t="str">
        <f>IF('Market Analyzes'!$C$2=Language!$C$2,B357,A357)</f>
        <v>Usuários ativos por região</v>
      </c>
    </row>
    <row r="358" spans="1:3" x14ac:dyDescent="0.25">
      <c r="A358" t="s">
        <v>1293</v>
      </c>
      <c r="B358" t="s">
        <v>1294</v>
      </c>
      <c r="C358" t="str">
        <f>IF('Market Analyzes'!$C$2=Language!$C$2,B358,A358)</f>
        <v>Informações financeiras (em milhões de U $)</v>
      </c>
    </row>
    <row r="359" spans="1:3" x14ac:dyDescent="0.25">
      <c r="A359" t="s">
        <v>858</v>
      </c>
      <c r="B359" t="s">
        <v>3</v>
      </c>
      <c r="C359" t="str">
        <f>IF('Market Analyzes'!$C$2=Language!$C$2,B359,A359)</f>
        <v>Região</v>
      </c>
    </row>
    <row r="360" spans="1:3" x14ac:dyDescent="0.25">
      <c r="A360" t="s">
        <v>1295</v>
      </c>
      <c r="B360" t="s">
        <v>375</v>
      </c>
      <c r="C360" t="str">
        <f>IF('Market Analyzes'!$C$2=Language!$C$2,B360,A360)</f>
        <v>Receita</v>
      </c>
    </row>
    <row r="361" spans="1:3" x14ac:dyDescent="0.25">
      <c r="A361" t="s">
        <v>1296</v>
      </c>
      <c r="B361" t="s">
        <v>1297</v>
      </c>
      <c r="C361" t="str">
        <f>IF('Market Analyzes'!$C$2=Language!$C$2,B361,A361)</f>
        <v>Custo das mercadorias vendidas</v>
      </c>
    </row>
    <row r="362" spans="1:3" x14ac:dyDescent="0.25">
      <c r="A362" t="s">
        <v>1298</v>
      </c>
      <c r="B362" t="s">
        <v>1299</v>
      </c>
      <c r="C362" t="str">
        <f>IF('Market Analyzes'!$C$2=Language!$C$2,B362,A362)</f>
        <v>Total de despesas de marketing e vendas</v>
      </c>
    </row>
    <row r="363" spans="1:3" ht="30" x14ac:dyDescent="0.25">
      <c r="A363" s="145" t="s">
        <v>1300</v>
      </c>
      <c r="B363" t="s">
        <v>1301</v>
      </c>
      <c r="C363" t="str">
        <f>IF('Market Analyzes'!$C$2=Language!$C$2,B363,A363)</f>
        <v>Custos fixos
 (ADM. &amp; OP.)</v>
      </c>
    </row>
    <row r="364" spans="1:3" x14ac:dyDescent="0.25">
      <c r="A364" t="s">
        <v>1302</v>
      </c>
      <c r="B364" t="s">
        <v>526</v>
      </c>
      <c r="C364" t="str">
        <f>IF('Market Analyzes'!$C$2=Language!$C$2,B364,A364)</f>
        <v>Custos de abertura</v>
      </c>
    </row>
    <row r="365" spans="1:3" x14ac:dyDescent="0.25">
      <c r="A365" t="s">
        <v>1303</v>
      </c>
      <c r="B365" t="s">
        <v>527</v>
      </c>
      <c r="C365" t="str">
        <f>IF('Market Analyzes'!$C$2=Language!$C$2,B365,A365)</f>
        <v>Custos regulatórios e políticos</v>
      </c>
    </row>
    <row r="366" spans="1:3" x14ac:dyDescent="0.25">
      <c r="A366" t="s">
        <v>1031</v>
      </c>
      <c r="B366" t="s">
        <v>590</v>
      </c>
      <c r="C366" t="str">
        <f>IF('Market Analyzes'!$C$2=Language!$C$2,B366,A366)</f>
        <v>Impostos</v>
      </c>
    </row>
    <row r="367" spans="1:3" x14ac:dyDescent="0.25">
      <c r="A367" t="s">
        <v>1304</v>
      </c>
      <c r="B367" t="s">
        <v>1305</v>
      </c>
      <c r="C367" t="str">
        <f>IF('Market Analyzes'!$C$2=Language!$C$2,B367,A367)</f>
        <v>Lucro Líquido</v>
      </c>
    </row>
    <row r="368" spans="1:3" x14ac:dyDescent="0.25">
      <c r="A368" t="s">
        <v>1306</v>
      </c>
      <c r="B368" t="s">
        <v>1307</v>
      </c>
      <c r="C368" t="str">
        <f>IF('Market Analyzes'!$C$2=Language!$C$2,B368,A368)</f>
        <v>Receita por região</v>
      </c>
    </row>
    <row r="369" spans="1:3" x14ac:dyDescent="0.25">
      <c r="A369" t="s">
        <v>1308</v>
      </c>
      <c r="B369" t="s">
        <v>1309</v>
      </c>
      <c r="C369" t="str">
        <f>IF('Market Analyzes'!$C$2=Language!$C$2,B369,A369)</f>
        <v>Despesas de marketing e vendas globais e locais</v>
      </c>
    </row>
    <row r="370" spans="1:3" x14ac:dyDescent="0.25">
      <c r="A370" t="s">
        <v>988</v>
      </c>
      <c r="B370" t="s">
        <v>1310</v>
      </c>
      <c r="C370" t="str">
        <f>IF('Market Analyzes'!$C$2=Language!$C$2,B370,A370)</f>
        <v>Análise de competição</v>
      </c>
    </row>
    <row r="371" spans="1:3" x14ac:dyDescent="0.25">
      <c r="A371" t="s">
        <v>1311</v>
      </c>
      <c r="B371" t="s">
        <v>1312</v>
      </c>
      <c r="C371" t="str">
        <f>IF('Market Analyzes'!$C$2=Language!$C$2,B371,A371)</f>
        <v>Empresa / jogador / equipe</v>
      </c>
    </row>
    <row r="372" spans="1:3" x14ac:dyDescent="0.25">
      <c r="A372" t="s">
        <v>1313</v>
      </c>
      <c r="B372" t="s">
        <v>1314</v>
      </c>
      <c r="C372" t="str">
        <f>IF('Market Analyzes'!$C$2=Language!$C$2,B372,A372)</f>
        <v>Receitas por jogador (milhares)</v>
      </c>
    </row>
    <row r="373" spans="1:3" x14ac:dyDescent="0.25">
      <c r="A373" t="s">
        <v>1315</v>
      </c>
      <c r="B373" t="s">
        <v>1316</v>
      </c>
      <c r="C373" t="str">
        <f>IF('Market Analyzes'!$C$2=Language!$C$2,B373,A373)</f>
        <v>Total de despesas de marketing e vendas (milhares)</v>
      </c>
    </row>
    <row r="374" spans="1:3" x14ac:dyDescent="0.25">
      <c r="A374" t="s">
        <v>1317</v>
      </c>
      <c r="B374" t="s">
        <v>1318</v>
      </c>
      <c r="C374" t="str">
        <f>IF('Market Analyzes'!$C$2=Language!$C$2,B374,A374)</f>
        <v>Lucro Líquido (após parceiros, impostos e juros) (milhares)</v>
      </c>
    </row>
    <row r="375" spans="1:3" x14ac:dyDescent="0.25">
      <c r="A375" t="s">
        <v>1319</v>
      </c>
      <c r="B375" t="s">
        <v>1320</v>
      </c>
      <c r="C375" t="str">
        <f>IF('Market Analyzes'!$C$2=Language!$C$2,B375,A375)</f>
        <v>Disponibilidade de caixa (milhares)</v>
      </c>
    </row>
    <row r="376" spans="1:3" x14ac:dyDescent="0.25">
      <c r="A376" t="s">
        <v>1321</v>
      </c>
      <c r="B376" t="s">
        <v>1322</v>
      </c>
      <c r="C376" t="str">
        <f>IF('Market Analyzes'!$C$2=Language!$C$2,B376,A376)</f>
        <v>Número de corridas por jogador (milhares)</v>
      </c>
    </row>
    <row r="377" spans="1:3" x14ac:dyDescent="0.25">
      <c r="A377" t="s">
        <v>1313</v>
      </c>
      <c r="B377" t="s">
        <v>1314</v>
      </c>
      <c r="C377" t="str">
        <f>IF('Market Analyzes'!$C$2=Language!$C$2,B377,A377)</f>
        <v>Receitas por jogador (milhares)</v>
      </c>
    </row>
    <row r="378" spans="1:3" x14ac:dyDescent="0.25">
      <c r="A378" t="s">
        <v>1311</v>
      </c>
      <c r="B378" t="s">
        <v>1312</v>
      </c>
      <c r="C378" t="str">
        <f>IF('Market Analyzes'!$C$2=Language!$C$2,B378,A378)</f>
        <v>Empresa / jogador / equipe</v>
      </c>
    </row>
    <row r="379" spans="1:3" x14ac:dyDescent="0.25">
      <c r="A379" t="s">
        <v>1237</v>
      </c>
      <c r="B379" t="s">
        <v>1323</v>
      </c>
      <c r="C379" t="str">
        <f>IF('Market Analyzes'!$C$2=Language!$C$2,B379,A379)</f>
        <v>Usuários ativos (milhares)</v>
      </c>
    </row>
    <row r="380" spans="1:3" x14ac:dyDescent="0.25">
      <c r="A380" t="s">
        <v>1324</v>
      </c>
      <c r="B380" t="s">
        <v>1325</v>
      </c>
      <c r="C380" t="str">
        <f>IF('Market Analyzes'!$C$2=Language!$C$2,B380,A380)</f>
        <v>Crescimento: usuários ativos</v>
      </c>
    </row>
    <row r="381" spans="1:3" x14ac:dyDescent="0.25">
      <c r="A381" t="s">
        <v>1326</v>
      </c>
      <c r="B381" t="s">
        <v>1322</v>
      </c>
      <c r="C381" t="str">
        <f>IF('Market Analyzes'!$C$2=Language!$C$2,B381,A381)</f>
        <v>Número de corridas por competidor (milhares)</v>
      </c>
    </row>
    <row r="382" spans="1:3" x14ac:dyDescent="0.25">
      <c r="A382" t="s">
        <v>1327</v>
      </c>
      <c r="B382" t="s">
        <v>1328</v>
      </c>
      <c r="C382" t="str">
        <f>IF('Market Analyzes'!$C$2=Language!$C$2,B382,A382)</f>
        <v>Participação de mercado global (número de corridas)</v>
      </c>
    </row>
    <row r="383" spans="1:3" x14ac:dyDescent="0.25">
      <c r="A383" t="s">
        <v>1329</v>
      </c>
      <c r="B383" t="s">
        <v>806</v>
      </c>
      <c r="C383" t="str">
        <f>IF('Market Analyzes'!$C$2=Language!$C$2,B383,A383)</f>
        <v>Crescimento: margem bruta</v>
      </c>
    </row>
    <row r="384" spans="1:3" x14ac:dyDescent="0.25">
      <c r="A384" t="s">
        <v>1330</v>
      </c>
      <c r="B384" t="s">
        <v>1331</v>
      </c>
      <c r="C384" t="str">
        <f>IF('Market Analyzes'!$C$2=Language!$C$2,B384,A384)</f>
        <v>Presença: Número de regiões</v>
      </c>
    </row>
    <row r="385" spans="1:3" x14ac:dyDescent="0.25">
      <c r="A385" t="s">
        <v>1332</v>
      </c>
      <c r="B385" t="s">
        <v>1333</v>
      </c>
      <c r="C385" t="str">
        <f>IF('Market Analyzes'!$C$2=Language!$C$2,B385,A385)</f>
        <v>Presença: Número de países</v>
      </c>
    </row>
    <row r="386" spans="1:3" x14ac:dyDescent="0.25">
      <c r="A386" t="s">
        <v>1334</v>
      </c>
      <c r="B386" t="s">
        <v>803</v>
      </c>
      <c r="C386" t="str">
        <f>IF('Market Analyzes'!$C$2=Language!$C$2,B386,A386)</f>
        <v>Diversificação de receita</v>
      </c>
    </row>
    <row r="387" spans="1:3" x14ac:dyDescent="0.25">
      <c r="A387" t="s">
        <v>1335</v>
      </c>
      <c r="B387" t="s">
        <v>1336</v>
      </c>
      <c r="C387" t="str">
        <f>IF('Market Analyzes'!$C$2=Language!$C$2,B387,A387)</f>
        <v>Milhões</v>
      </c>
    </row>
    <row r="388" spans="1:3" x14ac:dyDescent="0.25">
      <c r="A388" t="s">
        <v>1337</v>
      </c>
      <c r="B388" t="s">
        <v>1338</v>
      </c>
      <c r="C388" t="str">
        <f>IF('Market Analyzes'!$C$2=Language!$C$2,B388,A388)</f>
        <v>Pontuação na simulação e notas no curso</v>
      </c>
    </row>
    <row r="389" spans="1:3" x14ac:dyDescent="0.25">
      <c r="A389" t="s">
        <v>1339</v>
      </c>
      <c r="B389" t="s">
        <v>1340</v>
      </c>
      <c r="C389" t="str">
        <f>IF('Market Analyzes'!$C$2=Language!$C$2,B389,A389)</f>
        <v>Total de pontuação não competitiva</v>
      </c>
    </row>
    <row r="390" spans="1:3" x14ac:dyDescent="0.25">
      <c r="A390" t="s">
        <v>1341</v>
      </c>
      <c r="B390" t="s">
        <v>800</v>
      </c>
      <c r="C390" t="str">
        <f>IF('Market Analyzes'!$C$2=Language!$C$2,B390,A390)</f>
        <v>Número de usuários</v>
      </c>
    </row>
    <row r="391" spans="1:3" x14ac:dyDescent="0.25">
      <c r="A391" t="s">
        <v>1342</v>
      </c>
      <c r="B391" t="s">
        <v>801</v>
      </c>
      <c r="C391" t="str">
        <f>IF('Market Analyzes'!$C$2=Language!$C$2,B391,A391)</f>
        <v>Participação de mercado (corridas)</v>
      </c>
    </row>
    <row r="392" spans="1:3" x14ac:dyDescent="0.25">
      <c r="A392" t="s">
        <v>1343</v>
      </c>
      <c r="B392" t="s">
        <v>802</v>
      </c>
      <c r="C392" t="str">
        <f>IF('Market Analyzes'!$C$2=Language!$C$2,B392,A392)</f>
        <v>Disponibilidade de caixa:</v>
      </c>
    </row>
    <row r="393" spans="1:3" x14ac:dyDescent="0.25">
      <c r="A393" t="s">
        <v>1344</v>
      </c>
      <c r="B393" t="s">
        <v>487</v>
      </c>
      <c r="C393" t="str">
        <f>IF('Market Analyzes'!$C$2=Language!$C$2,B393,A393)</f>
        <v>Países</v>
      </c>
    </row>
    <row r="394" spans="1:3" x14ac:dyDescent="0.25">
      <c r="A394" t="s">
        <v>1345</v>
      </c>
      <c r="B394" t="s">
        <v>743</v>
      </c>
      <c r="C394" t="str">
        <f>IF('Market Analyzes'!$C$2=Language!$C$2,B394,A394)</f>
        <v>Regiões.</v>
      </c>
    </row>
    <row r="395" spans="1:3" x14ac:dyDescent="0.25">
      <c r="A395" t="s">
        <v>1334</v>
      </c>
      <c r="B395" t="s">
        <v>1346</v>
      </c>
      <c r="C395" t="str">
        <f>IF('Market Analyzes'!$C$2=Language!$C$2,B395,A395)</f>
        <v>Diversificação de receita</v>
      </c>
    </row>
    <row r="396" spans="1:3" x14ac:dyDescent="0.25">
      <c r="A396" t="s">
        <v>1347</v>
      </c>
      <c r="B396" t="s">
        <v>804</v>
      </c>
      <c r="C396" t="str">
        <f>IF('Market Analyzes'!$C$2=Language!$C$2,B396,A396)</f>
        <v>Evolução</v>
      </c>
    </row>
    <row r="397" spans="1:3" x14ac:dyDescent="0.25">
      <c r="A397" t="s">
        <v>1324</v>
      </c>
      <c r="B397" t="s">
        <v>805</v>
      </c>
      <c r="C397" t="str">
        <f>IF('Market Analyzes'!$C$2=Language!$C$2,B397,A397)</f>
        <v>Crescimento: usuários ativos</v>
      </c>
    </row>
    <row r="398" spans="1:3" x14ac:dyDescent="0.25">
      <c r="A398" t="s">
        <v>1348</v>
      </c>
      <c r="B398" t="s">
        <v>806</v>
      </c>
      <c r="C398" t="str">
        <f>IF('Market Analyzes'!$C$2=Language!$C$2,B398,A398)</f>
        <v>Crescimento: lucro bruto</v>
      </c>
    </row>
    <row r="399" spans="1:3" x14ac:dyDescent="0.25">
      <c r="A399" t="s">
        <v>1349</v>
      </c>
      <c r="B399" t="s">
        <v>821</v>
      </c>
      <c r="C399" t="str">
        <f>IF('Market Analyzes'!$C$2=Language!$C$2,B399,A399)</f>
        <v>Posição final</v>
      </c>
    </row>
    <row r="400" spans="1:3" x14ac:dyDescent="0.25">
      <c r="A400" t="s">
        <v>1350</v>
      </c>
      <c r="B400" t="s">
        <v>827</v>
      </c>
      <c r="C400" t="str">
        <f>IF('Market Analyzes'!$C$2=Language!$C$2,B400,A400)</f>
        <v>Usuários</v>
      </c>
    </row>
    <row r="401" spans="1:3" x14ac:dyDescent="0.25">
      <c r="A401" t="s">
        <v>1351</v>
      </c>
      <c r="B401" t="s">
        <v>482</v>
      </c>
      <c r="C401" t="str">
        <f>IF('Market Analyzes'!$C$2=Language!$C$2,B401,A401)</f>
        <v>Caixa</v>
      </c>
    </row>
    <row r="402" spans="1:3" x14ac:dyDescent="0.25">
      <c r="A402" t="s">
        <v>1352</v>
      </c>
      <c r="B402" t="s">
        <v>1353</v>
      </c>
      <c r="C402" t="str">
        <f>IF('Market Analyzes'!$C$2=Language!$C$2,B402,A402)</f>
        <v>Número de Países</v>
      </c>
    </row>
    <row r="403" spans="1:3" x14ac:dyDescent="0.25">
      <c r="A403" t="s">
        <v>1354</v>
      </c>
      <c r="B403" t="s">
        <v>829</v>
      </c>
      <c r="C403" t="str">
        <f>IF('Market Analyzes'!$C$2=Language!$C$2,B403,A403)</f>
        <v>Objetivo da empresa</v>
      </c>
    </row>
    <row r="404" spans="1:3" x14ac:dyDescent="0.25">
      <c r="A404" t="s">
        <v>1355</v>
      </c>
      <c r="B404" t="s">
        <v>1356</v>
      </c>
      <c r="C404" t="str">
        <f>IF('Market Analyzes'!$C$2=Language!$C$2,B404,A404)</f>
        <v>Notas no curso</v>
      </c>
    </row>
    <row r="405" spans="1:3" x14ac:dyDescent="0.25">
      <c r="A405" t="s">
        <v>1357</v>
      </c>
      <c r="B405" t="s">
        <v>837</v>
      </c>
      <c r="C405" t="str">
        <f>IF('Market Analyzes'!$C$2=Language!$C$2,B405,A405)</f>
        <v>Curso</v>
      </c>
    </row>
    <row r="406" spans="1:3" x14ac:dyDescent="0.25">
      <c r="A406" t="s">
        <v>1358</v>
      </c>
      <c r="B406" t="s">
        <v>838</v>
      </c>
      <c r="C406" t="str">
        <f>IF('Market Analyzes'!$C$2=Language!$C$2,B406,A406)</f>
        <v>Competição</v>
      </c>
    </row>
    <row r="407" spans="1:3" x14ac:dyDescent="0.25">
      <c r="A407" t="s">
        <v>1359</v>
      </c>
      <c r="B407" t="s">
        <v>1360</v>
      </c>
      <c r="C407" t="str">
        <f>IF('Market Analyzes'!$C$2=Language!$C$2,B407,A407)</f>
        <v>Presença no país desde</v>
      </c>
    </row>
    <row r="408" spans="1:3" x14ac:dyDescent="0.25">
      <c r="A408" t="s">
        <v>1361</v>
      </c>
      <c r="B408" t="s">
        <v>1362</v>
      </c>
      <c r="C408" t="str">
        <f>IF('Market Analyzes'!$C$2=Language!$C$2,B408,A408)</f>
        <v>Usuários Ativos por País</v>
      </c>
    </row>
    <row r="409" spans="1:3" x14ac:dyDescent="0.25">
      <c r="A409" t="s">
        <v>1363</v>
      </c>
      <c r="B409" t="s">
        <v>1364</v>
      </c>
      <c r="C409" t="str">
        <f>IF('Market Analyzes'!$C$2=Language!$C$2,B409,A409)</f>
        <v>Demanda total</v>
      </c>
    </row>
    <row r="410" spans="1:3" x14ac:dyDescent="0.25">
      <c r="A410" t="s">
        <v>1365</v>
      </c>
      <c r="B410" t="s">
        <v>1366</v>
      </c>
      <c r="C410" t="str">
        <f>IF('Market Analyzes'!$C$2=Language!$C$2,B410,A410)</f>
        <v>Visão geral de desempenho individual:</v>
      </c>
    </row>
    <row r="411" spans="1:3" x14ac:dyDescent="0.25">
      <c r="A411" t="s">
        <v>1367</v>
      </c>
      <c r="B411" t="s">
        <v>1368</v>
      </c>
      <c r="C411" t="str">
        <f>IF('Market Analyzes'!$C$2=Language!$C$2,B411,A411)</f>
        <v>Digite seu e-mail registrado</v>
      </c>
    </row>
    <row r="412" spans="1:3" x14ac:dyDescent="0.25">
      <c r="A412" t="s">
        <v>1369</v>
      </c>
      <c r="B412" t="s">
        <v>1370</v>
      </c>
      <c r="C412" t="str">
        <f>IF('Market Analyzes'!$C$2=Language!$C$2,B412,A412)</f>
        <v>Coloque sua senha</v>
      </c>
    </row>
    <row r="413" spans="1:3" x14ac:dyDescent="0.25">
      <c r="A413" t="s">
        <v>1371</v>
      </c>
      <c r="B413" t="s">
        <v>1372</v>
      </c>
      <c r="C413" t="str">
        <f>IF('Market Analyzes'!$C$2=Language!$C$2,B413,A413)</f>
        <v>Seu número de equipe</v>
      </c>
    </row>
    <row r="414" spans="1:3" x14ac:dyDescent="0.25">
      <c r="A414" t="s">
        <v>1373</v>
      </c>
      <c r="B414" t="s">
        <v>1374</v>
      </c>
      <c r="C414" t="str">
        <f>IF('Market Analyzes'!$C$2=Language!$C$2,B414,A414)</f>
        <v>Informações de uso e desempenho de marketing</v>
      </c>
    </row>
    <row r="415" spans="1:3" x14ac:dyDescent="0.25">
      <c r="A415" t="s">
        <v>1375</v>
      </c>
      <c r="B415" t="s">
        <v>1376</v>
      </c>
      <c r="C415" t="str">
        <f>IF('Market Analyzes'!$C$2=Language!$C$2,B415,A415)</f>
        <v>Unidade</v>
      </c>
    </row>
    <row r="416" spans="1:3" x14ac:dyDescent="0.25">
      <c r="A416" t="s">
        <v>865</v>
      </c>
      <c r="B416" t="s">
        <v>0</v>
      </c>
      <c r="C416" t="str">
        <f>IF('Market Analyzes'!$C$2=Language!$C$2,B416,A416)</f>
        <v>País</v>
      </c>
    </row>
    <row r="417" spans="1:3" x14ac:dyDescent="0.25">
      <c r="A417" t="s">
        <v>1377</v>
      </c>
      <c r="B417" t="s">
        <v>1378</v>
      </c>
      <c r="C417" t="str">
        <f>IF('Market Analyzes'!$C$2=Language!$C$2,B417,A417)</f>
        <v>No mercado desde</v>
      </c>
    </row>
    <row r="418" spans="1:3" x14ac:dyDescent="0.25">
      <c r="A418" t="s">
        <v>1237</v>
      </c>
      <c r="B418" t="s">
        <v>1238</v>
      </c>
      <c r="C418" t="str">
        <f>IF('Market Analyzes'!$C$2=Language!$C$2,B418,A418)</f>
        <v>Usuários ativos (milhares)</v>
      </c>
    </row>
    <row r="419" spans="1:3" x14ac:dyDescent="0.25">
      <c r="A419" t="s">
        <v>1379</v>
      </c>
      <c r="B419" t="s">
        <v>1380</v>
      </c>
      <c r="C419" t="str">
        <f>IF('Market Analyzes'!$C$2=Language!$C$2,B419,A419)</f>
        <v>Usuários: Crescimento e tendência</v>
      </c>
    </row>
    <row r="420" spans="1:3" x14ac:dyDescent="0.25">
      <c r="A420" t="s">
        <v>1381</v>
      </c>
      <c r="B420" t="s">
        <v>1382</v>
      </c>
      <c r="C420" t="str">
        <f>IF('Market Analyzes'!$C$2=Language!$C$2,B420,A420)</f>
        <v>Número de corridas (milhares)</v>
      </c>
    </row>
    <row r="421" spans="1:3" x14ac:dyDescent="0.25">
      <c r="A421" t="s">
        <v>1383</v>
      </c>
      <c r="B421" t="s">
        <v>1384</v>
      </c>
      <c r="C421" t="str">
        <f>IF('Market Analyzes'!$C$2=Language!$C$2,B421,A421)</f>
        <v>Número médio de corridas por usuário</v>
      </c>
    </row>
    <row r="422" spans="1:3" x14ac:dyDescent="0.25">
      <c r="A422" t="s">
        <v>1385</v>
      </c>
      <c r="B422" t="s">
        <v>1386</v>
      </c>
      <c r="C422" t="str">
        <f>IF('Market Analyzes'!$C$2=Language!$C$2,B422,A422)</f>
        <v>Ticket médio por corrida</v>
      </c>
    </row>
    <row r="423" spans="1:3" x14ac:dyDescent="0.25">
      <c r="A423" t="s">
        <v>1387</v>
      </c>
      <c r="B423" t="s">
        <v>1244</v>
      </c>
      <c r="C423" t="str">
        <f>IF('Market Analyzes'!$C$2=Language!$C$2,B423,A423)</f>
        <v>Receita média por usuário
(ARPU)</v>
      </c>
    </row>
    <row r="424" spans="1:3" x14ac:dyDescent="0.25">
      <c r="A424" t="s">
        <v>1245</v>
      </c>
      <c r="B424" t="s">
        <v>497</v>
      </c>
      <c r="C424" t="str">
        <f>IF('Market Analyzes'!$C$2=Language!$C$2,B424,A424)</f>
        <v>Número de concorrentes</v>
      </c>
    </row>
    <row r="425" spans="1:3" x14ac:dyDescent="0.25">
      <c r="A425" t="s">
        <v>1388</v>
      </c>
      <c r="B425" t="s">
        <v>1389</v>
      </c>
      <c r="C425" t="str">
        <f>IF('Market Analyzes'!$C$2=Language!$C$2,B425,A425)</f>
        <v>Penetração de mercado (sua empresa)</v>
      </c>
    </row>
    <row r="426" spans="1:3" x14ac:dyDescent="0.25">
      <c r="A426" t="s">
        <v>1239</v>
      </c>
      <c r="B426" t="s">
        <v>1240</v>
      </c>
      <c r="C426" t="str">
        <f>IF('Market Analyzes'!$C$2=Language!$C$2,B426,A426)</f>
        <v>Penetração de mercado (categoria)</v>
      </c>
    </row>
    <row r="427" spans="1:3" ht="30" x14ac:dyDescent="0.25">
      <c r="A427" s="145" t="s">
        <v>1390</v>
      </c>
      <c r="B427" t="s">
        <v>1391</v>
      </c>
      <c r="C427" t="str">
        <f>IF('Market Analyzes'!$C$2=Language!$C$2,B427,A427)</f>
        <v>Participação de mercado
(n. de corridas): valor e tendência</v>
      </c>
    </row>
    <row r="428" spans="1:3" ht="30" x14ac:dyDescent="0.25">
      <c r="A428" s="145" t="s">
        <v>1392</v>
      </c>
      <c r="B428" t="s">
        <v>1393</v>
      </c>
      <c r="C428" t="str">
        <f>IF('Market Analyzes'!$C$2=Language!$C$2,B428,A428)</f>
        <v>Participação de mercado
(Receitas): valor e tendência</v>
      </c>
    </row>
    <row r="429" spans="1:3" x14ac:dyDescent="0.25">
      <c r="A429" t="s">
        <v>1394</v>
      </c>
      <c r="B429" t="s">
        <v>1395</v>
      </c>
      <c r="C429" t="str">
        <f>IF('Market Analyzes'!$C$2=Language!$C$2,B429,A429)</f>
        <v>Verifique seus dados</v>
      </c>
    </row>
    <row r="430" spans="1:3" x14ac:dyDescent="0.25">
      <c r="A430" t="s">
        <v>1396</v>
      </c>
      <c r="B430" t="s">
        <v>1397</v>
      </c>
      <c r="C430" t="str">
        <f>IF('Market Analyzes'!$C$2=Language!$C$2,B430,A430)</f>
        <v>Sua empresa</v>
      </c>
    </row>
    <row r="431" spans="1:3" x14ac:dyDescent="0.25">
      <c r="A431" t="s">
        <v>1398</v>
      </c>
      <c r="B431" t="s">
        <v>1399</v>
      </c>
      <c r="C431" t="str">
        <f>IF('Market Analyzes'!$C$2=Language!$C$2,B431,A431)</f>
        <v>Concorrentes</v>
      </c>
    </row>
    <row r="432" spans="1:3" x14ac:dyDescent="0.25">
      <c r="A432" t="s">
        <v>1400</v>
      </c>
      <c r="B432" t="s">
        <v>1401</v>
      </c>
      <c r="C432" t="str">
        <f>IF('Market Analyzes'!$C$2=Language!$C$2,B432,A432)</f>
        <v>Análise de preços e custos da competição</v>
      </c>
    </row>
    <row r="433" spans="1:3" x14ac:dyDescent="0.25">
      <c r="A433" t="s">
        <v>1402</v>
      </c>
      <c r="B433" t="s">
        <v>1403</v>
      </c>
      <c r="C433" t="str">
        <f>IF('Market Analyzes'!$C$2=Language!$C$2,B433,A433)</f>
        <v>Receitas de mercado: valor e tendência</v>
      </c>
    </row>
    <row r="434" spans="1:3" x14ac:dyDescent="0.25">
      <c r="A434" t="s">
        <v>1404</v>
      </c>
      <c r="B434" t="s">
        <v>1405</v>
      </c>
      <c r="C434" t="str">
        <f>IF('Market Analyzes'!$C$2=Language!$C$2,B434,A434)</f>
        <v>Margem Bruta</v>
      </c>
    </row>
    <row r="435" spans="1:3" x14ac:dyDescent="0.25">
      <c r="A435" t="s">
        <v>1406</v>
      </c>
      <c r="B435" t="s">
        <v>1299</v>
      </c>
      <c r="C435" t="str">
        <f>IF('Market Analyzes'!$C$2=Language!$C$2,B435,A435)</f>
        <v>Despesas totais de marketing e vendas</v>
      </c>
    </row>
    <row r="436" spans="1:3" x14ac:dyDescent="0.25">
      <c r="A436" t="s">
        <v>1300</v>
      </c>
      <c r="B436" t="s">
        <v>1301</v>
      </c>
      <c r="C436" t="str">
        <f>IF('Market Analyzes'!$C$2=Language!$C$2,B436,A436)</f>
        <v>Custos fixos
 (ADM. &amp; OP.)</v>
      </c>
    </row>
    <row r="437" spans="1:3" x14ac:dyDescent="0.25">
      <c r="A437" t="s">
        <v>1302</v>
      </c>
      <c r="B437" t="s">
        <v>526</v>
      </c>
      <c r="C437" t="str">
        <f>IF('Market Analyzes'!$C$2=Language!$C$2,B437,A437)</f>
        <v>Custos de abertura</v>
      </c>
    </row>
    <row r="438" spans="1:3" x14ac:dyDescent="0.25">
      <c r="A438" t="s">
        <v>1303</v>
      </c>
      <c r="B438" t="s">
        <v>527</v>
      </c>
      <c r="C438" t="str">
        <f>IF('Market Analyzes'!$C$2=Language!$C$2,B438,A438)</f>
        <v>Custos regulatórios e políticos</v>
      </c>
    </row>
    <row r="439" spans="1:3" x14ac:dyDescent="0.25">
      <c r="A439" t="s">
        <v>1407</v>
      </c>
      <c r="B439" t="s">
        <v>1408</v>
      </c>
      <c r="C439" t="str">
        <f>IF('Market Analyzes'!$C$2=Language!$C$2,B439,A439)</f>
        <v>EBITDA.</v>
      </c>
    </row>
    <row r="440" spans="1:3" x14ac:dyDescent="0.25">
      <c r="A440" t="s">
        <v>1409</v>
      </c>
      <c r="B440" t="s">
        <v>1410</v>
      </c>
      <c r="C440" t="str">
        <f>IF('Market Analyzes'!$C$2=Language!$C$2,B440,A440)</f>
        <v>Impostos (D)</v>
      </c>
    </row>
    <row r="441" spans="1:3" x14ac:dyDescent="0.25">
      <c r="A441" t="s">
        <v>1411</v>
      </c>
      <c r="B441" t="s">
        <v>1412</v>
      </c>
      <c r="C441" t="str">
        <f>IF('Market Analyzes'!$C$2=Language!$C$2,B441,A441)</f>
        <v>Juros (despesas ou retornos) (c / d)</v>
      </c>
    </row>
    <row r="442" spans="1:3" x14ac:dyDescent="0.25">
      <c r="A442" t="s">
        <v>1413</v>
      </c>
      <c r="B442" t="s">
        <v>1414</v>
      </c>
      <c r="C442" t="str">
        <f>IF('Market Analyzes'!$C$2=Language!$C$2,B442,A442)</f>
        <v>Parcela dos parceiros (D)</v>
      </c>
    </row>
    <row r="443" spans="1:3" x14ac:dyDescent="0.25">
      <c r="A443" t="s">
        <v>1415</v>
      </c>
      <c r="B443" t="s">
        <v>1416</v>
      </c>
      <c r="C443" t="str">
        <f>IF('Market Analyzes'!$C$2=Language!$C$2,B443,A443)</f>
        <v>Lucro Líquido (EBITDA após parceiros, impostos e juros)</v>
      </c>
    </row>
    <row r="444" spans="1:3" x14ac:dyDescent="0.25">
      <c r="A444" t="s">
        <v>1417</v>
      </c>
      <c r="B444" t="s">
        <v>1418</v>
      </c>
      <c r="C444" t="str">
        <f>IF('Market Analyzes'!$C$2=Language!$C$2,B444,A444)</f>
        <v>Contribuição líquida de marketing</v>
      </c>
    </row>
    <row r="445" spans="1:3" x14ac:dyDescent="0.25">
      <c r="A445" t="s">
        <v>1419</v>
      </c>
      <c r="B445" t="s">
        <v>1420</v>
      </c>
      <c r="C445" t="str">
        <f>IF('Market Analyzes'!$C$2=Language!$C$2,B445,A445)</f>
        <v>Dados Financeiros (em milhares de U$)</v>
      </c>
    </row>
    <row r="446" spans="1:3" x14ac:dyDescent="0.25">
      <c r="A446" t="s">
        <v>1421</v>
      </c>
      <c r="B446" t="s">
        <v>1422</v>
      </c>
      <c r="C446" t="str">
        <f>IF('Market Analyzes'!$C$2=Language!$C$2,B446,A446)</f>
        <v>Performance Financeira e de Marketing</v>
      </c>
    </row>
    <row r="447" spans="1:3" x14ac:dyDescent="0.25">
      <c r="A447" t="s">
        <v>1423</v>
      </c>
      <c r="B447" t="s">
        <v>1424</v>
      </c>
      <c r="C447" t="str">
        <f>IF('Market Analyzes'!$C$2=Language!$C$2,B447,A447)</f>
        <v>Retorno sobre o investimento</v>
      </c>
    </row>
    <row r="448" spans="1:3" x14ac:dyDescent="0.25">
      <c r="A448" t="s">
        <v>1425</v>
      </c>
      <c r="B448" t="s">
        <v>736</v>
      </c>
      <c r="C448" t="str">
        <f>IF('Market Analyzes'!$C$2=Language!$C$2,B448,A448)</f>
        <v>Retorno sobre as vendas</v>
      </c>
    </row>
    <row r="449" spans="1:3" x14ac:dyDescent="0.25">
      <c r="A449" t="s">
        <v>1426</v>
      </c>
      <c r="B449" t="s">
        <v>1427</v>
      </c>
      <c r="C449" t="str">
        <f>IF('Market Analyzes'!$C$2=Language!$C$2,B449,A449)</f>
        <v>Evolução financeira (milhões)</v>
      </c>
    </row>
    <row r="450" spans="1:3" x14ac:dyDescent="0.25">
      <c r="A450" t="s">
        <v>1428</v>
      </c>
      <c r="B450" t="s">
        <v>1429</v>
      </c>
      <c r="C450" t="str">
        <f>IF('Market Analyzes'!$C$2=Language!$C$2,B450,A450)</f>
        <v>Estrutura de custos</v>
      </c>
    </row>
    <row r="451" spans="1:3" x14ac:dyDescent="0.25">
      <c r="A451" t="s">
        <v>1430</v>
      </c>
      <c r="B451" t="s">
        <v>1431</v>
      </c>
      <c r="C451" t="str">
        <f>IF('Market Analyzes'!$C$2=Language!$C$2,B451,A451)</f>
        <v>Custo</v>
      </c>
    </row>
    <row r="452" spans="1:3" x14ac:dyDescent="0.25">
      <c r="A452" t="s">
        <v>1432</v>
      </c>
      <c r="B452" t="s">
        <v>475</v>
      </c>
      <c r="C452" t="str">
        <f>IF('Market Analyzes'!$C$2=Language!$C$2,B452,A452)</f>
        <v>Margem</v>
      </c>
    </row>
    <row r="453" spans="1:3" x14ac:dyDescent="0.25">
      <c r="A453" t="s">
        <v>1433</v>
      </c>
      <c r="B453" t="s">
        <v>1434</v>
      </c>
      <c r="C453" t="str">
        <f>IF('Market Analyzes'!$C$2=Language!$C$2,B453,A453)</f>
        <v>Preço</v>
      </c>
    </row>
    <row r="454" spans="1:3" x14ac:dyDescent="0.25">
      <c r="A454" t="s">
        <v>1435</v>
      </c>
      <c r="B454" t="s">
        <v>726</v>
      </c>
      <c r="C454" t="str">
        <f>IF('Market Analyzes'!$C$2=Language!$C$2,B454,A454)</f>
        <v>Margem Bruta [MB = RV-CMV]</v>
      </c>
    </row>
    <row r="455" spans="1:3" x14ac:dyDescent="0.25">
      <c r="A455" t="s">
        <v>1436</v>
      </c>
      <c r="B455" t="s">
        <v>1437</v>
      </c>
      <c r="C455" t="str">
        <f>IF('Market Analyzes'!$C$2=Language!$C$2,B455,A455)</f>
        <v>Todos os custos</v>
      </c>
    </row>
    <row r="456" spans="1:3" x14ac:dyDescent="0.25">
      <c r="A456" t="s">
        <v>1438</v>
      </c>
      <c r="B456" t="s">
        <v>734</v>
      </c>
      <c r="C456" t="str">
        <f>IF('Market Analyzes'!$C$2=Language!$C$2,B456,A456)</f>
        <v>Fluxo de caixa</v>
      </c>
    </row>
    <row r="457" spans="1:3" x14ac:dyDescent="0.25">
      <c r="A457" t="s">
        <v>1439</v>
      </c>
      <c r="B457" t="s">
        <v>1440</v>
      </c>
      <c r="C457" t="str">
        <f>IF('Market Analyzes'!$C$2=Language!$C$2,B457,A457)</f>
        <v xml:space="preserve">. Seu investimento máximo em marketing e vendas nesta rodada é </v>
      </c>
    </row>
    <row r="458" spans="1:3" x14ac:dyDescent="0.25">
      <c r="A458" t="s">
        <v>1441</v>
      </c>
      <c r="B458" t="s">
        <v>1442</v>
      </c>
      <c r="C458" t="str">
        <f>IF('Market Analyzes'!$C$2=Language!$C$2,B458,A458)</f>
        <v>Participação de mercado (receitas)</v>
      </c>
    </row>
    <row r="459" spans="1:3" x14ac:dyDescent="0.25">
      <c r="A459" t="s">
        <v>1443</v>
      </c>
      <c r="B459" t="s">
        <v>1444</v>
      </c>
      <c r="C459" t="str">
        <f>IF('Market Analyzes'!$C$2=Language!$C$2,B459,A459)</f>
        <v>Soluções &amp; Inteligência em Data Analytics</v>
      </c>
    </row>
  </sheetData>
  <phoneticPr fontId="77" type="noConversion"/>
  <conditionalFormatting sqref="B1:B370 B372:B431 B433:B456 B458:B1048576">
    <cfRule type="duplicateValues" dxfId="33" priority="2"/>
  </conditionalFormatting>
  <conditionalFormatting sqref="B371">
    <cfRule type="duplicateValues" dxfId="32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4">
    <tabColor rgb="FF00B050"/>
  </sheetPr>
  <dimension ref="A1:BR128"/>
  <sheetViews>
    <sheetView showGridLines="0" zoomScale="115" zoomScaleNormal="115" workbookViewId="0">
      <selection activeCell="Q1" sqref="Q1:AH1"/>
    </sheetView>
  </sheetViews>
  <sheetFormatPr defaultColWidth="0" defaultRowHeight="79.900000000000006" customHeight="1" zeroHeight="1" x14ac:dyDescent="0.25"/>
  <cols>
    <col min="1" max="1" width="26.28515625" style="36" customWidth="1"/>
    <col min="2" max="2" width="23.140625" style="36" customWidth="1"/>
    <col min="3" max="5" width="22.5703125" style="37" customWidth="1"/>
    <col min="6" max="6" width="0.5703125" style="37" customWidth="1"/>
    <col min="7" max="7" width="9.7109375" style="43" hidden="1" customWidth="1"/>
    <col min="8" max="8" width="21.7109375" style="37" hidden="1" customWidth="1"/>
    <col min="9" max="9" width="24.28515625" style="37" hidden="1" customWidth="1"/>
    <col min="10" max="10" width="25" style="37" hidden="1" customWidth="1"/>
    <col min="11" max="13" width="22.28515625" style="37" hidden="1" customWidth="1"/>
    <col min="14" max="16" width="19.85546875" style="37" hidden="1" customWidth="1"/>
    <col min="17" max="19" width="23.28515625" style="37" hidden="1" customWidth="1"/>
    <col min="20" max="20" width="27.42578125" style="37" hidden="1" customWidth="1"/>
    <col min="21" max="21" width="22.85546875" style="37" hidden="1" customWidth="1"/>
    <col min="22" max="22" width="29.28515625" style="37" hidden="1" customWidth="1"/>
    <col min="23" max="25" width="24.140625" style="37" hidden="1" customWidth="1"/>
    <col min="26" max="26" width="20.28515625" style="37" hidden="1" customWidth="1"/>
    <col min="27" max="30" width="30.140625" style="37" hidden="1" customWidth="1"/>
    <col min="31" max="31" width="18.28515625" style="37" hidden="1" customWidth="1"/>
    <col min="32" max="32" width="27.28515625" style="37" hidden="1" customWidth="1"/>
    <col min="33" max="33" width="30.85546875" style="37" hidden="1" customWidth="1"/>
    <col min="34" max="34" width="21.5703125" style="37" hidden="1" customWidth="1"/>
    <col min="35" max="35" width="16.42578125" style="37" hidden="1" customWidth="1"/>
    <col min="36" max="36" width="12.5703125" style="37" hidden="1" customWidth="1"/>
    <col min="37" max="37" width="17" style="37" hidden="1" customWidth="1"/>
    <col min="38" max="38" width="22.28515625" style="37" hidden="1" customWidth="1"/>
    <col min="39" max="39" width="19.28515625" style="37" hidden="1" customWidth="1"/>
    <col min="40" max="40" width="16.42578125" style="37" hidden="1" customWidth="1"/>
    <col min="41" max="41" width="15.28515625" style="37" hidden="1" customWidth="1"/>
    <col min="42" max="42" width="23.42578125" style="37" hidden="1" customWidth="1"/>
    <col min="43" max="45" width="24" style="37" hidden="1" customWidth="1"/>
    <col min="46" max="46" width="19.5703125" style="37" hidden="1" customWidth="1"/>
    <col min="47" max="47" width="21.28515625" style="37" hidden="1" customWidth="1"/>
    <col min="48" max="49" width="19.28515625" style="37" hidden="1" customWidth="1"/>
    <col min="50" max="52" width="20.85546875" style="37" hidden="1" customWidth="1"/>
    <col min="53" max="55" width="15.7109375" style="37" hidden="1" customWidth="1"/>
    <col min="56" max="56" width="35.140625" style="37" hidden="1" customWidth="1"/>
    <col min="57" max="57" width="30.140625" style="37" hidden="1" customWidth="1"/>
    <col min="58" max="58" width="21.7109375" style="37" hidden="1" customWidth="1"/>
    <col min="59" max="59" width="30.7109375" style="37" hidden="1" customWidth="1"/>
    <col min="60" max="61" width="28.7109375" style="37" hidden="1" customWidth="1"/>
    <col min="62" max="64" width="19" style="37" hidden="1" customWidth="1"/>
    <col min="65" max="67" width="28.7109375" style="37" hidden="1" customWidth="1"/>
    <col min="68" max="70" width="28.42578125" style="37" hidden="1" customWidth="1"/>
    <col min="71" max="16384" width="8.85546875" style="37" hidden="1"/>
  </cols>
  <sheetData>
    <row r="1" spans="1:11" ht="117" customHeight="1" x14ac:dyDescent="0.25">
      <c r="A1" s="777"/>
      <c r="B1" s="778"/>
      <c r="C1" s="778"/>
      <c r="D1" s="778"/>
      <c r="E1" s="779"/>
    </row>
    <row r="2" spans="1:11" ht="26.45" customHeight="1" x14ac:dyDescent="0.25">
      <c r="A2" s="788" t="str">
        <f>Language!C4</f>
        <v>Select your language</v>
      </c>
      <c r="B2" s="789"/>
      <c r="C2" s="792" t="s">
        <v>848</v>
      </c>
      <c r="D2" s="792"/>
      <c r="E2" s="793"/>
    </row>
    <row r="3" spans="1:11" ht="26.45" customHeight="1" x14ac:dyDescent="0.25">
      <c r="A3" s="788" t="str">
        <f>Language!C5</f>
        <v>Selecione seu número de equipe</v>
      </c>
      <c r="B3" s="789"/>
      <c r="C3" s="792" t="s">
        <v>815</v>
      </c>
      <c r="D3" s="792"/>
      <c r="E3" s="793"/>
    </row>
    <row r="4" spans="1:11" ht="26.45" customHeight="1" x14ac:dyDescent="0.25">
      <c r="A4" s="788" t="str">
        <f>Language!C6</f>
        <v>Seu time</v>
      </c>
      <c r="B4" s="789"/>
      <c r="C4" s="790" t="str">
        <f>IFERROR(VLOOKUP(C3,'Config!'!$AY$3:$AZ$12,2,1),"")</f>
        <v>T1 - BlitzRide</v>
      </c>
      <c r="D4" s="790"/>
      <c r="E4" s="791"/>
    </row>
    <row r="5" spans="1:11" s="41" customFormat="1" ht="26.45" customHeight="1" x14ac:dyDescent="0.25">
      <c r="A5" s="788" t="str">
        <f>Language!C7</f>
        <v>Ano</v>
      </c>
      <c r="B5" s="789"/>
      <c r="C5" s="784">
        <v>2012</v>
      </c>
      <c r="D5" s="784"/>
      <c r="E5" s="785"/>
    </row>
    <row r="6" spans="1:11" s="41" customFormat="1" ht="26.45" customHeight="1" x14ac:dyDescent="0.25">
      <c r="A6" s="788" t="str">
        <f>Language!C8</f>
        <v>Selecione o país</v>
      </c>
      <c r="B6" s="789"/>
      <c r="C6" s="782" t="s">
        <v>1188</v>
      </c>
      <c r="D6" s="782"/>
      <c r="E6" s="783"/>
    </row>
    <row r="7" spans="1:11" s="43" customFormat="1" ht="28.15" customHeight="1" thickBot="1" x14ac:dyDescent="0.3">
      <c r="A7" s="780" t="str">
        <f>Language!C9</f>
        <v>Região</v>
      </c>
      <c r="B7" s="781"/>
      <c r="C7" s="786" t="str">
        <f>IFERROR(IF(C6="","",INDEX('Config!'!B2:B161,MATCH(C6,'Config!'!A2:A161,0))),"Error: Verify country name")</f>
        <v>África Subsaariana</v>
      </c>
      <c r="D7" s="786"/>
      <c r="E7" s="787"/>
      <c r="I7" s="786" t="str">
        <f>IF(C6="","",INDEX(Population!$D$3:$D$177,'Config!'!J19,1))</f>
        <v>Sub-Saharan Africa</v>
      </c>
      <c r="J7" s="786"/>
      <c r="K7" s="787"/>
    </row>
    <row r="8" spans="1:11" s="48" customFormat="1" ht="46.15" customHeight="1" x14ac:dyDescent="0.25">
      <c r="A8" s="796" t="str">
        <f>UPPER(Language!C10)</f>
        <v>ANÁLISES E SELEÇÃO DE MERCADO</v>
      </c>
      <c r="B8" s="797"/>
      <c r="C8" s="797"/>
      <c r="D8" s="797"/>
      <c r="E8" s="798"/>
    </row>
    <row r="9" spans="1:11" s="41" customFormat="1" ht="28.15" customHeight="1" x14ac:dyDescent="0.25">
      <c r="A9" s="735" t="str">
        <f>Language!C11</f>
        <v>Ambiente demográfico</v>
      </c>
      <c r="B9" s="736"/>
      <c r="C9" s="736"/>
      <c r="D9" s="736"/>
      <c r="E9" s="737"/>
    </row>
    <row r="10" spans="1:11" s="51" customFormat="1" ht="28.15" customHeight="1" x14ac:dyDescent="0.25">
      <c r="A10" s="67" t="str">
        <f>Language!C12</f>
        <v>Variáveis</v>
      </c>
      <c r="B10" s="68"/>
      <c r="C10" s="69" t="str" cm="1">
        <f t="array" ref="C10:E10">TRANSPOSE(Language!C13:C15)</f>
        <v>País</v>
      </c>
      <c r="D10" s="69" t="str">
        <v>Região</v>
      </c>
      <c r="E10" s="70" t="str">
        <v>Mundo</v>
      </c>
    </row>
    <row r="11" spans="1:11" ht="36.6" customHeight="1" x14ac:dyDescent="0.25">
      <c r="A11" s="724" t="str">
        <f>Language!C16</f>
        <v>Tamanho da população</v>
      </c>
      <c r="B11" s="725"/>
      <c r="C11" s="71">
        <f>IF(C6="","",INDEX(Population!$BD$3:$BP$177,'Config!'!$J$19,'Config!'!$AZ$17+1))</f>
        <v>52356381</v>
      </c>
      <c r="D11" s="71">
        <f>IF(C6="","",SUMIF(Population!D:D,'Market Analyzes'!$I$7,Population!BR:BR))</f>
        <v>842340099</v>
      </c>
      <c r="E11" s="72">
        <f>Population!BR1</f>
        <v>6855333104</v>
      </c>
    </row>
    <row r="12" spans="1:11" ht="36.6" customHeight="1" x14ac:dyDescent="0.25">
      <c r="A12" s="724" t="str">
        <f>Language!C17</f>
        <v>Área do país (km quadrado)</v>
      </c>
      <c r="B12" s="725"/>
      <c r="C12" s="71">
        <f>IF(C6="","",INDEX(Population!$CH$3:$CH$177,'Config!'!$J$19,1))</f>
        <v>1214470</v>
      </c>
      <c r="D12" s="71">
        <f>IF(C6="","",SUMIF(Population!D:D,'Market Analyzes'!$I$7,Population!CH:CH))</f>
        <v>18301236</v>
      </c>
      <c r="E12" s="72">
        <f>Population!CH178</f>
        <v>148940000</v>
      </c>
    </row>
    <row r="13" spans="1:11" ht="36.6" customHeight="1" x14ac:dyDescent="0.25">
      <c r="A13" s="724" t="str">
        <f>Language!C18</f>
        <v>Densidade populacional (pop / km quadrado)</v>
      </c>
      <c r="B13" s="725"/>
      <c r="C13" s="433">
        <f>IFERROR(C11/C12,"")</f>
        <v>43.110476998196745</v>
      </c>
      <c r="D13" s="433">
        <f>IFERROR(D11/D12,"")</f>
        <v>46.026404937895997</v>
      </c>
      <c r="E13" s="434">
        <f t="shared" ref="E13" si="0">E11/E12</f>
        <v>46.027481563045519</v>
      </c>
    </row>
    <row r="14" spans="1:11" ht="36.6" customHeight="1" x14ac:dyDescent="0.25">
      <c r="A14" s="724" t="str">
        <f>Language!C19</f>
        <v>População% (participação)</v>
      </c>
      <c r="B14" s="725"/>
      <c r="D14" s="73">
        <f>IF(C6="","",$C11/D11)</f>
        <v>6.2155869181766209E-2</v>
      </c>
      <c r="E14" s="74">
        <f>IF(C6="","",$C11/E11)</f>
        <v>7.6373212221373631E-3</v>
      </c>
    </row>
    <row r="15" spans="1:11" ht="36.6" customHeight="1" x14ac:dyDescent="0.25">
      <c r="A15" s="724" t="str">
        <f>Language!C20</f>
        <v>Crescimento populacional (CAGR dos últimos 5 anos)</v>
      </c>
      <c r="B15" s="725"/>
      <c r="C15" s="73">
        <f>IF(C6="","",INDEX(Population!$BT$3:$CF$177,'Config!'!$J$19,'Config!'!$AZ$17+1))</f>
        <v>1.5170510339357124E-2</v>
      </c>
      <c r="E15" s="75"/>
    </row>
    <row r="16" spans="1:11" ht="36.6" customHeight="1" x14ac:dyDescent="0.25">
      <c r="A16" s="724" t="str">
        <f>Language!C21</f>
        <v>Assinaturas de telefone celular / 100 Pop. *</v>
      </c>
      <c r="B16" s="725"/>
      <c r="C16" s="76">
        <f>IF(C6="","",INDEX('Country Competitivness'!$CL$4:$CX$178,'Config!'!$J$19,'Config!'!$AZ$17+1))</f>
        <v>100.477098663736</v>
      </c>
      <c r="D16" s="76">
        <f>IF(C6="","",AVERAGEIF('Country Competitivness'!$D:$D,'Market Analyzes'!$I$7,'Country Competitivness'!EY:EY))</f>
        <v>58.889268334808484</v>
      </c>
      <c r="E16" s="77">
        <f>AVERAGE('Country Competitivness'!EY4:EY178)</f>
        <v>93.076323186352994</v>
      </c>
    </row>
    <row r="17" spans="1:5" s="41" customFormat="1" ht="28.15" customHeight="1" x14ac:dyDescent="0.25">
      <c r="A17" s="732" t="str">
        <f>Language!C22</f>
        <v>Ambiente econômico e político</v>
      </c>
      <c r="B17" s="733"/>
      <c r="C17" s="733"/>
      <c r="D17" s="733"/>
      <c r="E17" s="734"/>
    </row>
    <row r="18" spans="1:5" s="51" customFormat="1" ht="28.15" customHeight="1" x14ac:dyDescent="0.25">
      <c r="A18" s="78" t="str">
        <f t="shared" ref="A18" si="1">A10</f>
        <v>Variáveis</v>
      </c>
      <c r="B18" s="79"/>
      <c r="C18" s="80" t="str">
        <f>C10</f>
        <v>País</v>
      </c>
      <c r="D18" s="80" t="str">
        <f t="shared" ref="D18:E18" si="2">D10</f>
        <v>Região</v>
      </c>
      <c r="E18" s="81" t="str">
        <f t="shared" si="2"/>
        <v>Mundo</v>
      </c>
    </row>
    <row r="19" spans="1:5" ht="36.6" customHeight="1" x14ac:dyDescent="0.25">
      <c r="A19" s="724" t="str">
        <f>Language!C23</f>
        <v>Produto Interno Bruto (PIB U$ bilhão)</v>
      </c>
      <c r="B19" s="725"/>
      <c r="C19" s="82">
        <f>IF(C6="","",INDEX(GDP!$G$3:$S$177,'Config!'!$J$19,'Config!'!$AZ$17+1))</f>
        <v>396.3293897202347</v>
      </c>
      <c r="D19" s="82">
        <f>IF(C6="","",SUMIF(GDP!D:D,'Market Analyzes'!$I$7,GDP!$AI:$AI))</f>
        <v>1500.2011736370096</v>
      </c>
      <c r="E19" s="83">
        <f>SUM(GDP!AI3:AI177)</f>
        <v>73872.584647727461</v>
      </c>
    </row>
    <row r="20" spans="1:5" ht="36.6" customHeight="1" x14ac:dyDescent="0.25">
      <c r="A20" s="724" t="str">
        <f>Language!C24</f>
        <v>GDP%</v>
      </c>
      <c r="B20" s="725"/>
      <c r="D20" s="73">
        <f>IF(C6="","",$C19/D19)</f>
        <v>0.26418416188769828</v>
      </c>
      <c r="E20" s="74">
        <f>IF(C6="","",$C19/E19)</f>
        <v>5.3650402461236611E-3</v>
      </c>
    </row>
    <row r="21" spans="1:5" ht="36.6" customHeight="1" x14ac:dyDescent="0.25">
      <c r="A21" s="724" t="str">
        <f>Language!C25</f>
        <v>Crescimento do PIB (CAGR)</v>
      </c>
      <c r="B21" s="725"/>
      <c r="C21" s="73">
        <f>IF(C6="","",INDEX(GDP!$U$3:$AG$177,'Config!'!$J$19,'Config!'!$AZ$17+1))</f>
        <v>-2.441773444213069E-2</v>
      </c>
      <c r="D21" s="73"/>
      <c r="E21" s="74"/>
    </row>
    <row r="22" spans="1:5" ht="36.6" customHeight="1" x14ac:dyDescent="0.25">
      <c r="A22" s="724" t="str">
        <f>Language!C26</f>
        <v>PIB per capita (U$ dólar)</v>
      </c>
      <c r="B22" s="725"/>
      <c r="C22" s="435">
        <f>IF(C6="","",C19*1000000000/C11)</f>
        <v>7569.8392851147346</v>
      </c>
      <c r="D22" s="435">
        <f>IF(C6="","",D19*1000000000/D11)</f>
        <v>1780.9922327311756</v>
      </c>
      <c r="E22" s="436">
        <f>E19*1000000000/E11</f>
        <v>10775.929269523567</v>
      </c>
    </row>
    <row r="23" spans="1:5" ht="28.15" customHeight="1" x14ac:dyDescent="0.25">
      <c r="A23" s="729" t="str">
        <f>Language!C27</f>
        <v>Níveis de tributação</v>
      </c>
      <c r="B23" s="730"/>
      <c r="C23" s="730"/>
      <c r="D23" s="730"/>
      <c r="E23" s="731"/>
    </row>
    <row r="24" spans="1:5" ht="28.15" customHeight="1" x14ac:dyDescent="0.25">
      <c r="A24" s="84" t="str">
        <f>A18</f>
        <v>Variáveis</v>
      </c>
      <c r="B24" s="85"/>
      <c r="C24" s="688" t="str">
        <f>C18</f>
        <v>País</v>
      </c>
      <c r="D24" s="688" t="str">
        <f t="shared" ref="D24:E24" si="3">D18</f>
        <v>Região</v>
      </c>
      <c r="E24" s="689" t="str">
        <f t="shared" si="3"/>
        <v>Mundo</v>
      </c>
    </row>
    <row r="25" spans="1:5" ht="32.450000000000003" customHeight="1" x14ac:dyDescent="0.25">
      <c r="A25" s="724" t="str">
        <f>Language!C28</f>
        <v>Taxa de imposto de renda (%)</v>
      </c>
      <c r="B25" s="725"/>
      <c r="C25" s="86">
        <f>IF(C6="","",INDEX('Income Tax Rate (%)'!$U$2:$U$176,'Config!'!$J$19,1)/100)</f>
        <v>0.4</v>
      </c>
      <c r="D25" s="86">
        <f>IF(C6="","",AVERAGEIF('Income Tax Rate (%)'!$D:$D,'Market Analyzes'!$I$7,'Income Tax Rate (%)'!$U:$U)/100)</f>
        <v>0.3377232558139534</v>
      </c>
      <c r="E25" s="87">
        <f>AVERAGE('Income Tax Rate (%)'!U2:U176)/100</f>
        <v>0.30343942857142864</v>
      </c>
    </row>
    <row r="26" spans="1:5" ht="32.450000000000003" customHeight="1" x14ac:dyDescent="0.25">
      <c r="A26" s="724" t="str">
        <f>Language!C29</f>
        <v>Taxa tarifária (%)</v>
      </c>
      <c r="B26" s="725"/>
      <c r="C26" s="86">
        <f>IF(C6="","",INDEX('Tariff Rate (%)'!$U$2:$U$176,'Config!'!$J$19,1)/100)</f>
        <v>4.4600000000000001E-2</v>
      </c>
      <c r="D26" s="86">
        <f>IF(C6="","",AVERAGEIF('Tariff Rate (%)'!$D:$D,'Market Analyzes'!$I$7,'Tariff Rate (%)'!$U:$U)/100)</f>
        <v>9.5000000000000015E-2</v>
      </c>
      <c r="E26" s="87">
        <f>AVERAGE('Tariff Rate (%)'!U3:U177)/100</f>
        <v>6.3352298850574737E-2</v>
      </c>
    </row>
    <row r="27" spans="1:5" ht="32.450000000000003" customHeight="1" x14ac:dyDescent="0.25">
      <c r="A27" s="724" t="str">
        <f>Language!C30</f>
        <v>Taxa de imposto corporativo (%)</v>
      </c>
      <c r="B27" s="725"/>
      <c r="C27" s="86">
        <f>IF(C6="","",INDEX('Corporate Tax Rate (%)'!$U$2:$U$176,'Config!'!$J$19,1)/100)</f>
        <v>0.28000000000000003</v>
      </c>
      <c r="D27" s="86">
        <f>IF(C6="","",AVERAGEIF('Corporate Tax Rate (%)'!$D:$D,'Market Analyzes'!$I$7,'Corporate Tax Rate (%)'!$U:$U)/100)</f>
        <v>0.30244418604651163</v>
      </c>
      <c r="E27" s="87">
        <f>AVERAGE('Corporate Tax Rate (%)'!U4:U178)/100</f>
        <v>0.25005144508670524</v>
      </c>
    </row>
    <row r="28" spans="1:5" ht="32.450000000000003" customHeight="1" x14ac:dyDescent="0.25">
      <c r="A28" s="729" t="str">
        <f>Language!C31</f>
        <v>Variáveis ​​legais e políticas</v>
      </c>
      <c r="B28" s="730"/>
      <c r="C28" s="730"/>
      <c r="D28" s="730"/>
      <c r="E28" s="731"/>
    </row>
    <row r="29" spans="1:5" ht="32.450000000000003" customHeight="1" x14ac:dyDescent="0.25">
      <c r="A29" s="724" t="str">
        <f>Language!C32</f>
        <v>Índice de facilidade de fazer negócios (Doing Business)</v>
      </c>
      <c r="B29" s="725"/>
      <c r="C29" s="88">
        <f>IF(C6="","",INDEX('Score-Starting a business'!$U$2:$U$176,'Config!'!$J$19,1))</f>
        <v>81.42</v>
      </c>
      <c r="D29" s="88">
        <f>IF(C6="","",AVERAGEIF('Score-Starting a business'!D:D,'Market Analyzes'!$I$7,'Score-Starting a business'!U:U))</f>
        <v>61.210365853658544</v>
      </c>
      <c r="E29" s="89">
        <f>AVERAGE('Score-Starting a business'!U2:U176)</f>
        <v>75.097929606625243</v>
      </c>
    </row>
    <row r="30" spans="1:5" ht="32.450000000000003" customHeight="1" x14ac:dyDescent="0.25">
      <c r="A30" s="724" t="str">
        <f>Language!C33</f>
        <v>Peso da regulamentação estatal (7 = melhor)</v>
      </c>
      <c r="B30" s="725"/>
      <c r="C30" s="88">
        <f>IF(C6="","",INDEX('Country Competitivness'!$EV$4:$EV$178,'Config!'!$J$19,1))</f>
        <v>2.7252034000000003</v>
      </c>
      <c r="D30" s="88">
        <f>IF(C6="","",AVERAGEIF('Country Competitivness'!$D:$D,'Market Analyzes'!$I$7,'Country Competitivness'!EV:EV))</f>
        <v>3.4504633500497586</v>
      </c>
      <c r="E30" s="89">
        <f>AVERAGE('Country Competitivness'!$EV$4:$EV$178)</f>
        <v>3.3121214610617677</v>
      </c>
    </row>
    <row r="31" spans="1:5" ht="32.450000000000003" customHeight="1" x14ac:dyDescent="0.25">
      <c r="A31" s="724" t="str">
        <f>Language!C34</f>
        <v>Qualidade das estradas (7 = melhor)</v>
      </c>
      <c r="B31" s="725"/>
      <c r="C31" s="88">
        <f>IF(C6="","",INDEX('Country Competitivness'!$FB$4:$FB$178,'Config!'!$J$19,1))</f>
        <v>4.7554586500000005</v>
      </c>
      <c r="D31" s="88">
        <f>IF(C6="","",AVERAGEIF('Country Competitivness'!$D:$D,'Market Analyzes'!$I$7,'Country Competitivness'!FB:FB))</f>
        <v>3.4300551715750838</v>
      </c>
      <c r="E31" s="89">
        <f>AVERAGE('Country Competitivness'!$FB$4:$FB$178)</f>
        <v>3.8735812329243333</v>
      </c>
    </row>
    <row r="32" spans="1:5" s="41" customFormat="1" ht="34.5" customHeight="1" x14ac:dyDescent="0.25">
      <c r="A32" s="738" t="str">
        <f>Language!C35</f>
        <v>Ambiente sociocultural</v>
      </c>
      <c r="B32" s="739"/>
      <c r="C32" s="739"/>
      <c r="D32" s="739"/>
      <c r="E32" s="740"/>
    </row>
    <row r="33" spans="1:5" s="51" customFormat="1" ht="34.5" customHeight="1" x14ac:dyDescent="0.25">
      <c r="A33" s="90" t="str">
        <f>A18</f>
        <v>Variáveis</v>
      </c>
      <c r="B33" s="91"/>
      <c r="C33" s="92" t="str">
        <f>C24</f>
        <v>País</v>
      </c>
      <c r="D33" s="92" t="str">
        <f t="shared" ref="D33:E33" si="4">D24</f>
        <v>Região</v>
      </c>
      <c r="E33" s="93" t="str">
        <f t="shared" si="4"/>
        <v>Mundo</v>
      </c>
    </row>
    <row r="34" spans="1:5" ht="39" customHeight="1" x14ac:dyDescent="0.25">
      <c r="A34" s="722" t="str">
        <f>Language!C36</f>
        <v>Sofisticação de negócios (7 = melhor)</v>
      </c>
      <c r="B34" s="723"/>
      <c r="C34" s="88">
        <f>IF(C6="","",INDEX('Country Competitivness'!$ES$4:$ES$178,'Config!'!$J$19,1))</f>
        <v>4.3235643500000007</v>
      </c>
      <c r="D34" s="88">
        <f>IF(C6="","",AVERAGEIF('Country Competitivness'!$D:$D,'Market Analyzes'!$I$7,'Country Competitivness'!ES:ES))</f>
        <v>3.435710380324688</v>
      </c>
      <c r="E34" s="89">
        <f>AVERAGE('Country Competitivness'!$ES$4:$ES$178)</f>
        <v>3.9367911484766358</v>
      </c>
    </row>
    <row r="35" spans="1:5" ht="39" customHeight="1" x14ac:dyDescent="0.25">
      <c r="A35" s="722" t="str">
        <f>Language!C37</f>
        <v>Adoção tecnológica (7 = melhor)</v>
      </c>
      <c r="B35" s="723"/>
      <c r="C35" s="88">
        <f>IF(C6="","",INDEX('Country Competitivness'!$EU$4:$EU$178,'Config!'!$J$19,1))</f>
        <v>5.3933704666666671</v>
      </c>
      <c r="D35" s="88">
        <f>IF(C6="","",IFERROR(AVERAGEIF('Country Competitivness'!$D:$D,'Market Analyzes'!$I$7,'Country Competitivness'!EU:EU),"Not apply"))</f>
        <v>4.2856761308860118</v>
      </c>
      <c r="E35" s="89">
        <f>IFERROR(AVERAGE('Country Competitivness'!$EU$4:$EU$178),"Not apply")</f>
        <v>4.7489876833256321</v>
      </c>
    </row>
    <row r="36" spans="1:5" ht="39" customHeight="1" x14ac:dyDescent="0.25">
      <c r="A36" s="722" t="str">
        <f>Language!C38</f>
        <v>Sofisticação do comprador (7 = melhor)</v>
      </c>
      <c r="B36" s="723"/>
      <c r="C36" s="88">
        <f>IF(C6="","",INDEX('Country Competitivness'!$EW$4:$EW$178,'Config!'!$J$19,1))</f>
        <v>4.1261715500000005</v>
      </c>
      <c r="D36" s="88">
        <f>IF(C6="","",AVERAGEIF('Country Competitivness'!$D:$D,'Market Analyzes'!$I$7,'Country Competitivness'!EW:EW))</f>
        <v>2.9269157076022418</v>
      </c>
      <c r="E36" s="89">
        <f>AVERAGE('Country Competitivness'!$EW$4:$EW$178)</f>
        <v>3.4315189498866849</v>
      </c>
    </row>
    <row r="37" spans="1:5" s="41" customFormat="1" ht="57.6" customHeight="1" x14ac:dyDescent="0.25">
      <c r="A37" s="749" t="str">
        <f>Language!C39</f>
        <v>Simule sua decisão</v>
      </c>
      <c r="B37" s="750"/>
      <c r="C37" s="750"/>
      <c r="D37" s="750"/>
      <c r="E37" s="751"/>
    </row>
    <row r="38" spans="1:5" s="48" customFormat="1" ht="44.45" customHeight="1" x14ac:dyDescent="0.25">
      <c r="A38" s="726" t="str">
        <f>Language!C40</f>
        <v>MODO DE ENTRADA:</v>
      </c>
      <c r="B38" s="727"/>
      <c r="C38" s="727"/>
      <c r="D38" s="727"/>
      <c r="E38" s="728"/>
    </row>
    <row r="39" spans="1:5" s="37" customFormat="1" ht="28.15" customHeight="1" x14ac:dyDescent="0.25">
      <c r="A39" s="724" t="str">
        <f>Language!C41</f>
        <v>Qual modo de entrada você usará?</v>
      </c>
      <c r="B39" s="725"/>
      <c r="C39" s="725"/>
      <c r="D39" s="741" t="s">
        <v>399</v>
      </c>
      <c r="E39" s="742"/>
    </row>
    <row r="40" spans="1:5" s="48" customFormat="1" ht="44.45" customHeight="1" x14ac:dyDescent="0.25">
      <c r="A40" s="816" t="str">
        <f>UPPER(Language!C42)&amp;" "&amp;C6</f>
        <v>DECISÃO DE PRECIFICAÇÃO: África do Sul</v>
      </c>
      <c r="B40" s="817"/>
      <c r="C40" s="817"/>
      <c r="D40" s="817"/>
      <c r="E40" s="818"/>
    </row>
    <row r="41" spans="1:5" s="37" customFormat="1" ht="28.15" customHeight="1" x14ac:dyDescent="0.25">
      <c r="A41" s="752" t="str">
        <f>Language!C43&amp;C6</f>
        <v>Escolha o preço da sua empresa:África do Sul</v>
      </c>
      <c r="B41" s="753"/>
      <c r="C41" s="753"/>
      <c r="D41" s="741" t="s">
        <v>1061</v>
      </c>
      <c r="E41" s="742"/>
    </row>
    <row r="42" spans="1:5" s="45" customFormat="1" ht="7.9" customHeight="1" x14ac:dyDescent="0.25">
      <c r="A42" s="94"/>
      <c r="B42" s="95"/>
      <c r="C42" s="95"/>
      <c r="D42" s="96"/>
      <c r="E42" s="97"/>
    </row>
    <row r="43" spans="1:5" s="37" customFormat="1" ht="28.15" customHeight="1" x14ac:dyDescent="0.25">
      <c r="A43" s="752" t="str">
        <f>Language!C44&amp;C6</f>
        <v>Escolha a margem da sua empresa neste país:África do Sul</v>
      </c>
      <c r="B43" s="753"/>
      <c r="C43" s="753"/>
      <c r="D43" s="741" t="s">
        <v>1061</v>
      </c>
      <c r="E43" s="742"/>
    </row>
    <row r="44" spans="1:5" s="47" customFormat="1" ht="29.45" customHeight="1" x14ac:dyDescent="0.25">
      <c r="A44" s="745" t="str">
        <f>Language!C45</f>
        <v>Análise de Preços</v>
      </c>
      <c r="B44" s="746"/>
      <c r="C44" s="746"/>
      <c r="D44" s="746" t="str">
        <f>Language!C46</f>
        <v>Estimativas</v>
      </c>
      <c r="E44" s="821"/>
    </row>
    <row r="45" spans="1:5" s="37" customFormat="1" ht="28.15" customHeight="1" x14ac:dyDescent="0.25">
      <c r="A45" s="822" t="str">
        <f>Language!C47</f>
        <v>Preço padrão no país (por corrida de 5km)</v>
      </c>
      <c r="B45" s="823"/>
      <c r="C45" s="823"/>
      <c r="D45" s="743">
        <f>IF(D41="","",0.1*C22^0.35)</f>
        <v>2.2786642077994692</v>
      </c>
      <c r="E45" s="744"/>
    </row>
    <row r="46" spans="1:5" s="37" customFormat="1" ht="28.15" customHeight="1" x14ac:dyDescent="0.25">
      <c r="A46" s="828" t="str">
        <f>Language!C48</f>
        <v>Sua estratégia de preço</v>
      </c>
      <c r="B46" s="829"/>
      <c r="C46" s="829"/>
      <c r="D46" s="747" t="str">
        <f>IF(D41="","",INDEX('Config!'!$P$2:$P$6,SUMIF('Config!'!$M$2:$M$6,'Market Analyzes'!D41,'Config!'!$L$2:$L$6),1))</f>
        <v>Preço de nivealmento de mercado</v>
      </c>
      <c r="E46" s="748"/>
    </row>
    <row r="47" spans="1:5" s="37" customFormat="1" ht="28.15" customHeight="1" x14ac:dyDescent="0.25">
      <c r="A47" s="822" t="str">
        <f>Language!C49</f>
        <v>Sua diferença de preço (%)</v>
      </c>
      <c r="B47" s="823"/>
      <c r="C47" s="823"/>
      <c r="D47" s="819">
        <f>IF(D41="","",SUMIF('Config!'!$M$2:$M$6,'Market Analyzes'!D41:E41,'Config!'!$N$2:$N$6)-1)</f>
        <v>0</v>
      </c>
      <c r="E47" s="820"/>
    </row>
    <row r="48" spans="1:5" s="37" customFormat="1" ht="28.15" customHeight="1" x14ac:dyDescent="0.25">
      <c r="A48" s="828" t="str">
        <f>Language!C50</f>
        <v>Seu preço</v>
      </c>
      <c r="B48" s="829"/>
      <c r="C48" s="829"/>
      <c r="D48" s="803">
        <f>IF(D41="","",D45*(D47+1))</f>
        <v>2.2786642077994692</v>
      </c>
      <c r="E48" s="804"/>
    </row>
    <row r="49" spans="1:5" s="37" customFormat="1" ht="28.15" customHeight="1" x14ac:dyDescent="0.25">
      <c r="A49" s="822" t="str">
        <f>Language!C51</f>
        <v>Margem percentual</v>
      </c>
      <c r="B49" s="823"/>
      <c r="C49" s="823"/>
      <c r="D49" s="799">
        <f>IF(D41="","",SUMIF('Config!'!$R$2:$R$6,'Market Analyzes'!D43,'Config!'!$S$2:$S$6))</f>
        <v>0.25</v>
      </c>
      <c r="E49" s="800"/>
    </row>
    <row r="50" spans="1:5" s="37" customFormat="1" ht="28.15" customHeight="1" x14ac:dyDescent="0.25">
      <c r="A50" s="828" t="str">
        <f>Language!C52</f>
        <v>Markup</v>
      </c>
      <c r="B50" s="829"/>
      <c r="C50" s="829"/>
      <c r="D50" s="801">
        <f>IF(D41="","",1/(1-D49))</f>
        <v>1.3333333333333333</v>
      </c>
      <c r="E50" s="802"/>
    </row>
    <row r="51" spans="1:5" s="37" customFormat="1" ht="28.15" customHeight="1" x14ac:dyDescent="0.25">
      <c r="A51" s="822" t="str">
        <f>Language!C53</f>
        <v>Pagamento unitário por corrida de 5km (motorista parceiro)</v>
      </c>
      <c r="B51" s="823"/>
      <c r="C51" s="823"/>
      <c r="D51" s="743">
        <f>IF(D41="","",D48*(1-D49))</f>
        <v>1.7089981558496019</v>
      </c>
      <c r="E51" s="744"/>
    </row>
    <row r="52" spans="1:5" s="37" customFormat="1" ht="28.15" customHeight="1" x14ac:dyDescent="0.25">
      <c r="A52" s="828" t="str">
        <f>Language!C54</f>
        <v>Sua unidade de margem (U $) por unidade de 5km</v>
      </c>
      <c r="B52" s="829"/>
      <c r="C52" s="829"/>
      <c r="D52" s="803">
        <f>IF(D41="","",D48-D51)</f>
        <v>0.5696660519498673</v>
      </c>
      <c r="E52" s="804"/>
    </row>
    <row r="53" spans="1:5" s="373" customFormat="1" ht="39" customHeight="1" x14ac:dyDescent="0.25">
      <c r="A53" s="395" t="str" cm="1">
        <f t="array" ref="A53:E53">TRANSPOSE(Language!C55:C59)</f>
        <v>Empresa / Jogador / Equipe</v>
      </c>
      <c r="B53" s="602" t="str">
        <v>Preço por corrida de 5km</v>
      </c>
      <c r="C53" s="395" t="str">
        <v>Custo unitário por 5km</v>
      </c>
      <c r="D53" s="395" t="str">
        <v>Margem percentual</v>
      </c>
      <c r="E53" s="395" t="str">
        <v>Markup</v>
      </c>
    </row>
    <row r="54" spans="1:5" s="37" customFormat="1" ht="28.15" customHeight="1" x14ac:dyDescent="0.25">
      <c r="A54" s="392" t="str">
        <f>'General Report'!A68</f>
        <v>T1 - BlitzRide</v>
      </c>
      <c r="B54" s="417" t="str">
        <f>IFERROR(INDEX('Result data'!$CF$216:$CO$390,'Config!'!$J$19,'Config!'!$K65),"")</f>
        <v>.</v>
      </c>
      <c r="C54" s="417" t="str">
        <f>IFERROR(INDEX('Result data'!$CQ$216:$CZ$390,'Config!'!$J$19,'Config!'!$K65),"")</f>
        <v>.</v>
      </c>
      <c r="D54" s="393" t="str">
        <f t="shared" ref="D54:D63" si="5">IFERROR((B54-C54)/B54,".")</f>
        <v>.</v>
      </c>
      <c r="E54" s="394" t="str">
        <f t="shared" ref="E54:E63" si="6">IFERROR((B54/C54)-1,".")</f>
        <v>.</v>
      </c>
    </row>
    <row r="55" spans="1:5" s="37" customFormat="1" ht="28.15" customHeight="1" x14ac:dyDescent="0.25">
      <c r="A55" s="378" t="str">
        <f>'General Report'!A69</f>
        <v>T2 - .</v>
      </c>
      <c r="B55" s="418" t="str">
        <f>IFERROR(INDEX('Result data'!$CF$216:$CO$390,'Config!'!$J$19,'Config!'!$K66),"")</f>
        <v>.</v>
      </c>
      <c r="C55" s="418" t="str">
        <f>IFERROR(INDEX('Result data'!$CQ$216:$CZ$390,'Config!'!$J$19,'Config!'!$K66),"")</f>
        <v>.</v>
      </c>
      <c r="D55" s="375" t="str">
        <f t="shared" si="5"/>
        <v>.</v>
      </c>
      <c r="E55" s="379" t="str">
        <f t="shared" si="6"/>
        <v>.</v>
      </c>
    </row>
    <row r="56" spans="1:5" s="37" customFormat="1" ht="28.15" customHeight="1" x14ac:dyDescent="0.25">
      <c r="A56" s="376" t="str">
        <f>'General Report'!A70</f>
        <v>T3 - .</v>
      </c>
      <c r="B56" s="419" t="str">
        <f>IFERROR(INDEX('Result data'!$CF$216:$CO$390,'Config!'!$J$19,'Config!'!$K67),"")</f>
        <v>.</v>
      </c>
      <c r="C56" s="419" t="str">
        <f>IFERROR(INDEX('Result data'!$CQ$216:$CZ$390,'Config!'!$J$19,'Config!'!$K67),"")</f>
        <v>.</v>
      </c>
      <c r="D56" s="374" t="str">
        <f t="shared" si="5"/>
        <v>.</v>
      </c>
      <c r="E56" s="377" t="str">
        <f t="shared" si="6"/>
        <v>.</v>
      </c>
    </row>
    <row r="57" spans="1:5" s="37" customFormat="1" ht="28.15" customHeight="1" x14ac:dyDescent="0.25">
      <c r="A57" s="378" t="str">
        <f>'General Report'!A71</f>
        <v>T4 - We Drive</v>
      </c>
      <c r="B57" s="418" t="str">
        <f>IFERROR(INDEX('Result data'!$CF$216:$CO$390,'Config!'!$J$19,'Config!'!$K68),"")</f>
        <v>.</v>
      </c>
      <c r="C57" s="418" t="str">
        <f>IFERROR(INDEX('Result data'!$CQ$216:$CZ$390,'Config!'!$J$19,'Config!'!$K68),"")</f>
        <v>.</v>
      </c>
      <c r="D57" s="375" t="str">
        <f t="shared" si="5"/>
        <v>.</v>
      </c>
      <c r="E57" s="379" t="str">
        <f t="shared" si="6"/>
        <v>.</v>
      </c>
    </row>
    <row r="58" spans="1:5" s="37" customFormat="1" ht="28.15" customHeight="1" x14ac:dyDescent="0.25">
      <c r="A58" s="376" t="str">
        <f>'General Report'!A72</f>
        <v>T5 - Norimono</v>
      </c>
      <c r="B58" s="419" t="str">
        <f>IFERROR(INDEX('Result data'!$CF$216:$CO$390,'Config!'!$J$19,'Config!'!$K69),"")</f>
        <v>.</v>
      </c>
      <c r="C58" s="419" t="str">
        <f>IFERROR(INDEX('Result data'!$CQ$216:$CZ$390,'Config!'!$J$19,'Config!'!$K69),"")</f>
        <v>.</v>
      </c>
      <c r="D58" s="374" t="str">
        <f t="shared" si="5"/>
        <v>.</v>
      </c>
      <c r="E58" s="377" t="str">
        <f t="shared" si="6"/>
        <v>.</v>
      </c>
    </row>
    <row r="59" spans="1:5" s="37" customFormat="1" ht="28.15" customHeight="1" x14ac:dyDescent="0.25">
      <c r="A59" s="378" t="str">
        <f>'General Report'!A73</f>
        <v>T6 - NextRide</v>
      </c>
      <c r="B59" s="418" t="str">
        <f>IFERROR(INDEX('Result data'!$CF$216:$CO$390,'Config!'!$J$19,'Config!'!$K70),"")</f>
        <v>.</v>
      </c>
      <c r="C59" s="418" t="str">
        <f>IFERROR(INDEX('Result data'!$CQ$216:$CZ$390,'Config!'!$J$19,'Config!'!$K70),"")</f>
        <v>.</v>
      </c>
      <c r="D59" s="375" t="str">
        <f t="shared" si="5"/>
        <v>.</v>
      </c>
      <c r="E59" s="379" t="str">
        <f t="shared" si="6"/>
        <v>.</v>
      </c>
    </row>
    <row r="60" spans="1:5" s="37" customFormat="1" ht="28.15" customHeight="1" x14ac:dyDescent="0.25">
      <c r="A60" s="376" t="str">
        <f>'General Report'!A74</f>
        <v/>
      </c>
      <c r="B60" s="419" t="str">
        <f>IFERROR(INDEX('Result data'!$CF$216:$CO$390,'Config!'!$J$19,'Config!'!$K71),"")</f>
        <v>.</v>
      </c>
      <c r="C60" s="419" t="str">
        <f>IFERROR(INDEX('Result data'!$CQ$216:$CZ$390,'Config!'!$J$19,'Config!'!$K71),"")</f>
        <v>.</v>
      </c>
      <c r="D60" s="374" t="str">
        <f t="shared" si="5"/>
        <v>.</v>
      </c>
      <c r="E60" s="377" t="str">
        <f t="shared" si="6"/>
        <v>.</v>
      </c>
    </row>
    <row r="61" spans="1:5" s="37" customFormat="1" ht="28.15" customHeight="1" x14ac:dyDescent="0.25">
      <c r="A61" s="378" t="str">
        <f>'General Report'!A75</f>
        <v/>
      </c>
      <c r="B61" s="418" t="str">
        <f>IFERROR(INDEX('Result data'!$CF$216:$CO$390,'Config!'!$J$19,'Config!'!$K72),"")</f>
        <v>.</v>
      </c>
      <c r="C61" s="418" t="str">
        <f>IFERROR(INDEX('Result data'!$CQ$216:$CZ$390,'Config!'!$J$19,'Config!'!$K72),"")</f>
        <v>.</v>
      </c>
      <c r="D61" s="375" t="str">
        <f t="shared" si="5"/>
        <v>.</v>
      </c>
      <c r="E61" s="379" t="str">
        <f t="shared" si="6"/>
        <v>.</v>
      </c>
    </row>
    <row r="62" spans="1:5" s="37" customFormat="1" ht="28.15" customHeight="1" x14ac:dyDescent="0.25">
      <c r="A62" s="376" t="str">
        <f>'General Report'!A76</f>
        <v/>
      </c>
      <c r="B62" s="419" t="str">
        <f>IFERROR(INDEX('Result data'!$CF$216:$CO$390,'Config!'!$J$19,'Config!'!$K73),"")</f>
        <v>.</v>
      </c>
      <c r="C62" s="419" t="str">
        <f>IFERROR(INDEX('Result data'!$CQ$216:$CZ$390,'Config!'!$J$19,'Config!'!$K73),"")</f>
        <v>.</v>
      </c>
      <c r="D62" s="374" t="str">
        <f t="shared" si="5"/>
        <v>.</v>
      </c>
      <c r="E62" s="377" t="str">
        <f t="shared" si="6"/>
        <v>.</v>
      </c>
    </row>
    <row r="63" spans="1:5" s="37" customFormat="1" ht="28.15" customHeight="1" x14ac:dyDescent="0.25">
      <c r="A63" s="380" t="str">
        <f>'General Report'!A77</f>
        <v/>
      </c>
      <c r="B63" s="420" t="str">
        <f>IFERROR(INDEX('Result data'!$CF$216:$CO$390,'Config!'!$J$19,'Config!'!$K74),"")</f>
        <v>.</v>
      </c>
      <c r="C63" s="420" t="str">
        <f>IFERROR(INDEX('Result data'!$CQ$216:$CZ$390,'Config!'!$J$19,'Config!'!$K74),"")</f>
        <v>.</v>
      </c>
      <c r="D63" s="381" t="str">
        <f t="shared" si="5"/>
        <v>.</v>
      </c>
      <c r="E63" s="382" t="str">
        <f t="shared" si="6"/>
        <v>.</v>
      </c>
    </row>
    <row r="64" spans="1:5" s="37" customFormat="1" ht="36" customHeight="1" x14ac:dyDescent="0.25">
      <c r="A64" s="603" t="str">
        <f>Language!C60</f>
        <v>Média (Desvio padrão)</v>
      </c>
      <c r="B64" s="383" t="str">
        <f>IFERROR(TEXT(AVERAGE(B54:B63),"$ ##,##")&amp;" ("&amp;TEXT(_xlfn.STDEV.P(B54:B63),"$ 0,##")&amp;")","")</f>
        <v/>
      </c>
      <c r="C64" s="383" t="str">
        <f>IFERROR(TEXT(AVERAGE(C54:C63),"$ ##,##")&amp;" ("&amp;TEXT(_xlfn.STDEV.P(C54:C63),"$ 0,##")&amp;")","")</f>
        <v/>
      </c>
      <c r="D64" s="383" t="str">
        <f>IFERROR(TEXT(AVERAGE(D54:D63),"##,#%")&amp;" ("&amp;TEXT(_xlfn.STDEV.P(D54:D63),"0,#%")&amp;")","")</f>
        <v/>
      </c>
      <c r="E64" s="383" t="str">
        <f>IFERROR(TEXT(AVERAGE(E54:E63),"##,#%")&amp;" ("&amp;TEXT(_xlfn.STDEV.P(E54:E63),"0,#%")&amp;")","")</f>
        <v/>
      </c>
    </row>
    <row r="65" spans="1:5" s="48" customFormat="1" ht="44.45" customHeight="1" x14ac:dyDescent="0.25">
      <c r="A65" s="813" t="str">
        <f>Language!C61</f>
        <v>Selecione sua estratégia de precificação por país</v>
      </c>
      <c r="B65" s="814"/>
      <c r="C65" s="814"/>
      <c r="D65" s="814"/>
      <c r="E65" s="815"/>
    </row>
    <row r="66" spans="1:5" s="37" customFormat="1" ht="45.6" customHeight="1" x14ac:dyDescent="0.25">
      <c r="A66" s="652" t="str" cm="1">
        <f t="array" ref="A66:E66">TRANSPOSE(Language!C62:C66)</f>
        <v>País</v>
      </c>
      <c r="B66" s="653" t="str">
        <v>Nome</v>
      </c>
      <c r="C66" s="653" t="str">
        <v>Nível de preço</v>
      </c>
      <c r="D66" s="653" t="str">
        <v>Nível de margem</v>
      </c>
      <c r="E66" s="654" t="str">
        <v>Preço (margem)</v>
      </c>
    </row>
    <row r="67" spans="1:5" s="37" customFormat="1" ht="27.6" customHeight="1" x14ac:dyDescent="0.25">
      <c r="A67" s="396" t="str">
        <f>Language!C67</f>
        <v>Matriz</v>
      </c>
      <c r="B67" s="265" t="str">
        <f>'Config!'!M78</f>
        <v>Alemanha</v>
      </c>
      <c r="C67" s="690" t="s">
        <v>1061</v>
      </c>
      <c r="D67" s="690" t="s">
        <v>1061</v>
      </c>
      <c r="E67" s="409" t="str">
        <f>IFERROR(TEXT('Config!'!S99,"U$ 0,00")&amp;" ("&amp;TEXT('Config!'!S99-'Config!'!T99,"U$ 0,00")&amp;")","")</f>
        <v>U$ 4,22 (U$ 1,06)</v>
      </c>
    </row>
    <row r="68" spans="1:5" s="37" customFormat="1" ht="27.6" customHeight="1" x14ac:dyDescent="0.25">
      <c r="A68" s="396" t="str">
        <f>Language!C68</f>
        <v>Subsidiária 1</v>
      </c>
      <c r="B68" s="265" t="str">
        <f>'Config!'!M79</f>
        <v>Noruega</v>
      </c>
      <c r="C68" s="690"/>
      <c r="D68" s="690"/>
      <c r="E68" s="409" t="str">
        <f>IFERROR(TEXT('Config!'!S100,"U$ 0,00")&amp;" ("&amp;TEXT('Config!'!S100-'Config!'!T100,"U$ 0,00")&amp;")","")</f>
        <v>U$ 0,00 (U$ 0,00)</v>
      </c>
    </row>
    <row r="69" spans="1:5" s="37" customFormat="1" ht="27.6" customHeight="1" x14ac:dyDescent="0.25">
      <c r="A69" s="396" t="str">
        <f>Language!C69</f>
        <v>Subsidiária 2</v>
      </c>
      <c r="B69" s="265" t="str">
        <f>'Config!'!M80</f>
        <v>África do Sul</v>
      </c>
      <c r="C69" s="690"/>
      <c r="D69" s="690"/>
      <c r="E69" s="409" t="str">
        <f>IFERROR(TEXT('Config!'!S101,"U$ 0,00")&amp;" ("&amp;TEXT('Config!'!S101-'Config!'!T101,"U$ 0,00")&amp;")","")</f>
        <v>U$ 0,00 (U$ 0,00)</v>
      </c>
    </row>
    <row r="70" spans="1:5" s="37" customFormat="1" ht="27.6" customHeight="1" x14ac:dyDescent="0.25">
      <c r="A70" s="396" t="str">
        <f>Language!C70</f>
        <v>Subsidiária 3</v>
      </c>
      <c r="B70" s="265" t="str">
        <f>'Config!'!M81</f>
        <v/>
      </c>
      <c r="C70" s="690"/>
      <c r="D70" s="690"/>
      <c r="E70" s="409" t="str">
        <f>IFERROR(TEXT('Config!'!S102,"U$ 0,00")&amp;" ("&amp;TEXT('Config!'!S102-'Config!'!T102,"U$ 0,00")&amp;")","")</f>
        <v/>
      </c>
    </row>
    <row r="71" spans="1:5" s="37" customFormat="1" ht="27.6" customHeight="1" x14ac:dyDescent="0.25">
      <c r="A71" s="396" t="str">
        <f>Language!C71</f>
        <v>Subsidiária 4</v>
      </c>
      <c r="B71" s="265" t="str">
        <f>'Config!'!M82</f>
        <v/>
      </c>
      <c r="C71" s="690"/>
      <c r="D71" s="690"/>
      <c r="E71" s="409" t="str">
        <f>IFERROR(TEXT('Config!'!S103,"U$ 0,00")&amp;" ("&amp;TEXT('Config!'!S103-'Config!'!T103,"U$ 0,00")&amp;")","")</f>
        <v/>
      </c>
    </row>
    <row r="72" spans="1:5" s="37" customFormat="1" ht="27.6" customHeight="1" x14ac:dyDescent="0.25">
      <c r="A72" s="396" t="str">
        <f>Language!C72</f>
        <v>Subsidiária 5</v>
      </c>
      <c r="B72" s="265" t="str">
        <f>'Config!'!M83</f>
        <v/>
      </c>
      <c r="C72" s="690"/>
      <c r="D72" s="690"/>
      <c r="E72" s="409" t="str">
        <f>IFERROR(TEXT('Config!'!S104,"U$ 0,00")&amp;" ("&amp;TEXT('Config!'!S104-'Config!'!T104,"U$ 0,00")&amp;")","")</f>
        <v/>
      </c>
    </row>
    <row r="73" spans="1:5" s="37" customFormat="1" ht="27.6" customHeight="1" x14ac:dyDescent="0.25">
      <c r="A73" s="396" t="str">
        <f>Language!C73</f>
        <v>Subsidiária 6</v>
      </c>
      <c r="B73" s="265" t="str">
        <f>'Config!'!M84</f>
        <v/>
      </c>
      <c r="C73" s="690"/>
      <c r="D73" s="690"/>
      <c r="E73" s="409" t="str">
        <f>IFERROR(TEXT('Config!'!S105,"U$ 0,00")&amp;" ("&amp;TEXT('Config!'!S105-'Config!'!T105,"U$ 0,00")&amp;")","")</f>
        <v/>
      </c>
    </row>
    <row r="74" spans="1:5" s="37" customFormat="1" ht="27.6" customHeight="1" x14ac:dyDescent="0.25">
      <c r="A74" s="396" t="str">
        <f>Language!C74</f>
        <v>Subsidiária 7</v>
      </c>
      <c r="B74" s="265" t="str">
        <f>'Config!'!M85</f>
        <v/>
      </c>
      <c r="C74" s="690"/>
      <c r="D74" s="690"/>
      <c r="E74" s="409" t="str">
        <f>IFERROR(TEXT('Config!'!S106,"U$ 0,00")&amp;" ("&amp;TEXT('Config!'!S106-'Config!'!T106,"U$ 0,00")&amp;")","")</f>
        <v/>
      </c>
    </row>
    <row r="75" spans="1:5" s="37" customFormat="1" ht="27.6" customHeight="1" x14ac:dyDescent="0.25">
      <c r="A75" s="396" t="str">
        <f>Language!C75</f>
        <v>Subsidiária 8</v>
      </c>
      <c r="B75" s="265" t="str">
        <f>'Config!'!M86</f>
        <v/>
      </c>
      <c r="C75" s="690"/>
      <c r="D75" s="690"/>
      <c r="E75" s="409" t="str">
        <f>IFERROR(TEXT('Config!'!S107,"U$ 0,00")&amp;" ("&amp;TEXT('Config!'!S107-'Config!'!T107,"U$ 0,00")&amp;")","")</f>
        <v/>
      </c>
    </row>
    <row r="76" spans="1:5" s="37" customFormat="1" ht="27.6" customHeight="1" x14ac:dyDescent="0.25">
      <c r="A76" s="396" t="str">
        <f>Language!C76</f>
        <v>Subsidiária 9</v>
      </c>
      <c r="B76" s="265" t="str">
        <f>'Config!'!M87</f>
        <v/>
      </c>
      <c r="C76" s="690"/>
      <c r="D76" s="690"/>
      <c r="E76" s="409" t="str">
        <f>IFERROR(TEXT('Config!'!S108,"U$ 0,00")&amp;" ("&amp;TEXT('Config!'!S108-'Config!'!T108,"U$ 0,00")&amp;")","")</f>
        <v/>
      </c>
    </row>
    <row r="77" spans="1:5" s="37" customFormat="1" ht="39" customHeight="1" x14ac:dyDescent="0.25">
      <c r="A77" s="805" t="str">
        <f>Language!C77</f>
        <v>Decisão de marketing e vendas</v>
      </c>
      <c r="B77" s="806"/>
      <c r="C77" s="806"/>
      <c r="D77" s="806"/>
      <c r="E77" s="807"/>
    </row>
    <row r="78" spans="1:5" s="37" customFormat="1" ht="104.45" customHeight="1" x14ac:dyDescent="0.25">
      <c r="A78" s="808" t="str">
        <f>IFERROR(Language!C134&amp;TEXT('Config!'!AE88,"0,000")&amp;Language!C135&amp;TEXT('Config!'!AE89,"0,000")&amp;Language!C136&amp;TEXT(FLOOR(SUM('Config!'!O99:O108)*'Config!'!AE88,10000),"U$ ##.###.###")&amp;Language!C137&amp;TEXT(FLOOR(SUM('Config!'!O99:O108)*'Config!'!AE89,10000),"U$ ##.###.###")&amp;'Config!'!X89&amp;".",Language!C138)</f>
        <v>Selecione seu orçamento de despesas de marketing e vendas. Em geral, as despesas de MSE variam entre U$ 0,008 até U$ 0,012 per capita neste mercado. Orçamento sugerido para todas as subsidiárias: entre U$ 1.100.000 e U$ 1.650.000. Seu investimento máximo em marketing e vendas nesta rodada é U$ 1.478.596.</v>
      </c>
      <c r="B78" s="809"/>
      <c r="C78" s="809"/>
      <c r="D78" s="810">
        <v>1000000</v>
      </c>
      <c r="E78" s="811"/>
    </row>
    <row r="79" spans="1:5" s="37" customFormat="1" ht="70.150000000000006" customHeight="1" x14ac:dyDescent="0.25">
      <c r="A79" s="724" t="str">
        <f>Language!C79</f>
        <v>Selecione o grau de equilíbrio entre os gastos locais e globais de marketing e vendas. Uma avaliação próxima 0 significa escolher uma estratégia global padronizada completa. Uma avaliação próxima 10 significa escolher uma estratégia local diferenciada total. Selecionando valores próximos a 5 indica a busca de uma estratégia glocal.</v>
      </c>
      <c r="B79" s="725"/>
      <c r="C79" s="725"/>
      <c r="D79" s="725"/>
      <c r="E79" s="759"/>
    </row>
    <row r="80" spans="1:5" s="37" customFormat="1" ht="34.9" customHeight="1" x14ac:dyDescent="0.25">
      <c r="A80" s="691"/>
      <c r="B80" s="117" t="str">
        <f>IF(C80="","","Global MSE")</f>
        <v>Global MSE</v>
      </c>
      <c r="C80" s="118">
        <f>IF(C83=0,"",C83)</f>
        <v>500000</v>
      </c>
      <c r="D80" s="119"/>
      <c r="E80" s="693"/>
    </row>
    <row r="81" spans="1:5" s="37" customFormat="1" ht="106.9" customHeight="1" x14ac:dyDescent="0.25">
      <c r="A81" s="691"/>
      <c r="B81" s="116" t="str">
        <f>IF(C81="","","Local MSE")</f>
        <v>Local MSE</v>
      </c>
      <c r="C81" s="118">
        <f>IF(C84=0,"",C84)</f>
        <v>500000</v>
      </c>
      <c r="D81" s="692"/>
      <c r="E81" s="693"/>
    </row>
    <row r="82" spans="1:5" s="37" customFormat="1" ht="52.15" customHeight="1" x14ac:dyDescent="0.25">
      <c r="A82" s="768" t="str">
        <f>Language!C80</f>
        <v>Escolha sua resposta</v>
      </c>
      <c r="B82" s="768"/>
      <c r="C82" s="120">
        <v>5</v>
      </c>
      <c r="D82" s="115"/>
      <c r="E82" s="693"/>
    </row>
    <row r="83" spans="1:5" s="37" customFormat="1" ht="52.15" customHeight="1" x14ac:dyDescent="0.25">
      <c r="A83" s="769" t="str">
        <f>Language!C81</f>
        <v>Despesas de marketing e vendas globais (padronizadas)</v>
      </c>
      <c r="B83" s="769"/>
      <c r="C83" s="387">
        <f>D78-C84</f>
        <v>500000</v>
      </c>
      <c r="D83" s="116"/>
      <c r="E83" s="693"/>
    </row>
    <row r="84" spans="1:5" s="37" customFormat="1" ht="52.15" customHeight="1" x14ac:dyDescent="0.25">
      <c r="A84" s="769" t="str">
        <f>Language!C82</f>
        <v>Despesas de marketing e vendas locais (customizadas)</v>
      </c>
      <c r="B84" s="769"/>
      <c r="C84" s="389">
        <f>C82/10*D78</f>
        <v>500000</v>
      </c>
      <c r="D84" s="116"/>
      <c r="E84" s="693"/>
    </row>
    <row r="85" spans="1:5" s="37" customFormat="1" ht="4.9000000000000004" customHeight="1" x14ac:dyDescent="0.25">
      <c r="A85" s="763"/>
      <c r="B85" s="764"/>
      <c r="C85" s="764"/>
      <c r="D85" s="764"/>
      <c r="E85" s="765"/>
    </row>
    <row r="86" spans="1:5" s="48" customFormat="1" ht="52.15" customHeight="1" x14ac:dyDescent="0.25">
      <c r="A86" s="760" t="str">
        <f>Language!C83</f>
        <v>Selecione as prioridades de marketing e vendas (MSE) para investimento: Se você operar em mais de um país, selecione as prioridades para cada subsidiária. Os valores serão ponderados pelo PIB per capita e pela população.</v>
      </c>
      <c r="B86" s="761"/>
      <c r="C86" s="761"/>
      <c r="D86" s="761"/>
      <c r="E86" s="762"/>
    </row>
    <row r="87" spans="1:5" ht="39" customHeight="1" x14ac:dyDescent="0.25">
      <c r="A87" s="99" t="str" cm="1">
        <f t="array" ref="A87:E87">TRANSPOSE(Language!C83:C87)</f>
        <v>Selecione as prioridades de marketing e vendas (MSE) para investimento: Se você operar em mais de um país, selecione as prioridades para cada subsidiária. Os valores serão ponderados pelo PIB per capita e pela população.</v>
      </c>
      <c r="B87" s="100" t="str">
        <v>País</v>
      </c>
      <c r="C87" s="100" t="str">
        <v>Prioridade para MSE.</v>
      </c>
      <c r="D87" s="100" t="str">
        <v>Total de MSE em cada país</v>
      </c>
      <c r="E87" s="101" t="str">
        <v>Investimento pela população</v>
      </c>
    </row>
    <row r="88" spans="1:5" ht="29.45" customHeight="1" x14ac:dyDescent="0.25">
      <c r="A88" s="396" t="str">
        <f t="shared" ref="A88:A97" si="7">A67</f>
        <v>Matriz</v>
      </c>
      <c r="B88" s="397" t="str">
        <f>'Config!'!M78</f>
        <v>Alemanha</v>
      </c>
      <c r="C88" s="690" t="s">
        <v>1061</v>
      </c>
      <c r="D88" s="98">
        <f>IFERROR(IF(B88="","",SUMIF('Config!'!$Y$2:$Y$11,'Config!'!Y2,'Config!'!$AD$2:$AD$11)*$D$78),"")</f>
        <v>1000000</v>
      </c>
      <c r="E88" s="102">
        <f>IFERROR(D88/'Config!'!O99,"")</f>
        <v>1.2433817431995691E-2</v>
      </c>
    </row>
    <row r="89" spans="1:5" ht="29.45" customHeight="1" x14ac:dyDescent="0.25">
      <c r="A89" s="396" t="str">
        <f t="shared" si="7"/>
        <v>Subsidiária 1</v>
      </c>
      <c r="B89" s="397" t="str">
        <f>'Config!'!M79</f>
        <v>Noruega</v>
      </c>
      <c r="C89" s="690"/>
      <c r="D89" s="98">
        <f>IFERROR(IF(B89="","",SUMIF('Config!'!$Y$2:$Y$11,'Market Analyzes'!$B89,'Config!'!$AD$2:$AD$11)*$D$78),"")</f>
        <v>0</v>
      </c>
      <c r="E89" s="102">
        <f>IFERROR(D89/'Config!'!O100,"")</f>
        <v>0</v>
      </c>
    </row>
    <row r="90" spans="1:5" ht="29.45" customHeight="1" x14ac:dyDescent="0.25">
      <c r="A90" s="396" t="str">
        <f t="shared" si="7"/>
        <v>Subsidiária 2</v>
      </c>
      <c r="B90" s="397" t="str">
        <f>'Config!'!M80</f>
        <v>África do Sul</v>
      </c>
      <c r="C90" s="690"/>
      <c r="D90" s="98">
        <f>IFERROR(IF(B90="","",SUMIF('Config!'!$Y$2:$Y$11,'Market Analyzes'!$B90,'Config!'!$AD$2:$AD$11)*$D$78),"")</f>
        <v>0</v>
      </c>
      <c r="E90" s="102">
        <f>IFERROR(D90/'Config!'!O101,"")</f>
        <v>0</v>
      </c>
    </row>
    <row r="91" spans="1:5" ht="29.45" customHeight="1" x14ac:dyDescent="0.25">
      <c r="A91" s="396" t="str">
        <f t="shared" si="7"/>
        <v>Subsidiária 3</v>
      </c>
      <c r="B91" s="397" t="str">
        <f>'Config!'!M81</f>
        <v/>
      </c>
      <c r="C91" s="690"/>
      <c r="D91" s="98" t="str">
        <f>IFERROR(IF(B91="","",SUMIF('Config!'!$Y$2:$Y$11,'Market Analyzes'!$B91,'Config!'!$AD$2:$AD$11)*$D$78),"")</f>
        <v/>
      </c>
      <c r="E91" s="102" t="str">
        <f>IFERROR(D91/'Config!'!O102,"")</f>
        <v/>
      </c>
    </row>
    <row r="92" spans="1:5" ht="29.45" customHeight="1" x14ac:dyDescent="0.25">
      <c r="A92" s="396" t="str">
        <f t="shared" si="7"/>
        <v>Subsidiária 4</v>
      </c>
      <c r="B92" s="397" t="str">
        <f>'Config!'!M82</f>
        <v/>
      </c>
      <c r="C92" s="690"/>
      <c r="D92" s="98" t="str">
        <f>IFERROR(IF(B92="","",SUMIF('Config!'!$Y$2:$Y$11,'Market Analyzes'!$B92,'Config!'!$AD$2:$AD$11)*$D$78),"")</f>
        <v/>
      </c>
      <c r="E92" s="102" t="str">
        <f>IFERROR(D92/'Config!'!O103,"")</f>
        <v/>
      </c>
    </row>
    <row r="93" spans="1:5" ht="29.45" customHeight="1" x14ac:dyDescent="0.25">
      <c r="A93" s="396" t="str">
        <f t="shared" si="7"/>
        <v>Subsidiária 5</v>
      </c>
      <c r="B93" s="397" t="str">
        <f>'Config!'!M83</f>
        <v/>
      </c>
      <c r="C93" s="690"/>
      <c r="D93" s="98" t="str">
        <f>IFERROR(IF(B93="","",SUMIF('Config!'!$Y$2:$Y$11,'Market Analyzes'!$B93,'Config!'!$AD$2:$AD$11)*$D$78),"")</f>
        <v/>
      </c>
      <c r="E93" s="102" t="str">
        <f>IFERROR(D93/'Config!'!O104,"")</f>
        <v/>
      </c>
    </row>
    <row r="94" spans="1:5" ht="29.45" customHeight="1" x14ac:dyDescent="0.25">
      <c r="A94" s="396" t="str">
        <f t="shared" si="7"/>
        <v>Subsidiária 6</v>
      </c>
      <c r="B94" s="397" t="str">
        <f>'Config!'!M84</f>
        <v/>
      </c>
      <c r="C94" s="690"/>
      <c r="D94" s="98" t="str">
        <f>IFERROR(IF(B94="","",SUMIF('Config!'!$Y$2:$Y$11,'Market Analyzes'!$B94,'Config!'!$AD$2:$AD$11)*$D$78),"")</f>
        <v/>
      </c>
      <c r="E94" s="102" t="str">
        <f>IFERROR(D94/'Config!'!O105,"")</f>
        <v/>
      </c>
    </row>
    <row r="95" spans="1:5" ht="29.45" customHeight="1" x14ac:dyDescent="0.25">
      <c r="A95" s="396" t="str">
        <f t="shared" si="7"/>
        <v>Subsidiária 7</v>
      </c>
      <c r="B95" s="397" t="str">
        <f>'Config!'!M85</f>
        <v/>
      </c>
      <c r="C95" s="690"/>
      <c r="D95" s="98" t="str">
        <f>IFERROR(IF(B95="","",SUMIF('Config!'!$Y$2:$Y$11,'Market Analyzes'!$B95,'Config!'!$AD$2:$AD$11)*$D$78),"")</f>
        <v/>
      </c>
      <c r="E95" s="102" t="str">
        <f>IFERROR(D95/'Config!'!O106,"")</f>
        <v/>
      </c>
    </row>
    <row r="96" spans="1:5" s="48" customFormat="1" ht="29.45" customHeight="1" x14ac:dyDescent="0.25">
      <c r="A96" s="396" t="str">
        <f t="shared" si="7"/>
        <v>Subsidiária 8</v>
      </c>
      <c r="B96" s="397" t="str">
        <f>'Config!'!M86</f>
        <v/>
      </c>
      <c r="C96" s="690"/>
      <c r="D96" s="98" t="str">
        <f>IFERROR(IF(B96="","",SUMIF('Config!'!$Y$2:$Y$11,'Market Analyzes'!$B96,'Config!'!$AD$2:$AD$11)*$D$78),"")</f>
        <v/>
      </c>
      <c r="E96" s="102" t="str">
        <f>IFERROR(D96/'Config!'!O107,"")</f>
        <v/>
      </c>
    </row>
    <row r="97" spans="1:5" s="37" customFormat="1" ht="29.45" customHeight="1" x14ac:dyDescent="0.25">
      <c r="A97" s="396" t="str">
        <f t="shared" si="7"/>
        <v>Subsidiária 9</v>
      </c>
      <c r="B97" s="397" t="str">
        <f>'Config!'!M87</f>
        <v/>
      </c>
      <c r="C97" s="690"/>
      <c r="D97" s="98" t="str">
        <f>IFERROR(IF(B97="","",SUMIF('Config!'!$Y$2:$Y$11,'Market Analyzes'!$B97,'Config!'!$AD$2:$AD$11)*$D$78),"")</f>
        <v/>
      </c>
      <c r="E97" s="102" t="str">
        <f>IFERROR(D97/'Config!'!O108,"")</f>
        <v/>
      </c>
    </row>
    <row r="98" spans="1:5" s="37" customFormat="1" ht="36" customHeight="1" x14ac:dyDescent="0.25">
      <c r="A98" s="774" t="str">
        <f>Language!C98</f>
        <v>Análise de competição</v>
      </c>
      <c r="B98" s="775"/>
      <c r="C98" s="775"/>
      <c r="D98" s="775"/>
      <c r="E98" s="776"/>
    </row>
    <row r="99" spans="1:5" s="37" customFormat="1" ht="34.9" customHeight="1" x14ac:dyDescent="0.25">
      <c r="A99" s="724" t="str">
        <f>Language!C99</f>
        <v>Data do primeiro concorrente a entrar no mercado</v>
      </c>
      <c r="B99" s="725"/>
      <c r="C99" s="725"/>
      <c r="D99" s="773" t="str">
        <f>IF(C5=2010,"",IF(COUNTBLANK(C5:C6)&gt;0,"",INDEX('Result data'!$AD$216:$AD$390,'Config!'!J19,1)))</f>
        <v>.</v>
      </c>
      <c r="E99" s="773"/>
    </row>
    <row r="100" spans="1:5" s="37" customFormat="1" ht="34.9" customHeight="1" x14ac:dyDescent="0.25">
      <c r="A100" s="724" t="str">
        <f>Language!C100</f>
        <v>Número de concorrentes no mercado</v>
      </c>
      <c r="B100" s="725"/>
      <c r="C100" s="725"/>
      <c r="D100" s="773">
        <f>IF(C5=2010,0,IF(COUNTBLANK(C5:C6)&gt;0,"",INDEX('Result data'!$AE$216:$AP$390,'Config!'!J19,C5-2010)))</f>
        <v>0</v>
      </c>
      <c r="E100" s="773"/>
    </row>
    <row r="101" spans="1:5" s="37" customFormat="1" ht="34.9" customHeight="1" x14ac:dyDescent="0.25">
      <c r="A101" s="766" t="str">
        <f>Language!C101</f>
        <v>Desempenho do Novo País</v>
      </c>
      <c r="B101" s="767"/>
      <c r="C101" s="767" t="str">
        <f>Language!C102</f>
        <v>Cenários</v>
      </c>
      <c r="D101" s="767"/>
      <c r="E101" s="812"/>
    </row>
    <row r="102" spans="1:5" s="37" customFormat="1" ht="34.9" customHeight="1" x14ac:dyDescent="0.25">
      <c r="A102" s="766"/>
      <c r="B102" s="767"/>
      <c r="C102" s="103" t="str" cm="1">
        <f t="array" ref="C102:E102">TRANSPOSE(Language!C103:C105)</f>
        <v>Pessimista</v>
      </c>
      <c r="D102" s="104" t="str">
        <v>Realista</v>
      </c>
      <c r="E102" s="105" t="str">
        <v>Otimista</v>
      </c>
    </row>
    <row r="103" spans="1:5" ht="34.9" customHeight="1" x14ac:dyDescent="0.25">
      <c r="A103" s="724" t="str">
        <f>Language!C106</f>
        <v>% De penetração de mercado (P)</v>
      </c>
      <c r="B103" s="725"/>
      <c r="C103" s="106" t="str">
        <f>IFERROR(SUMIF('Config!'!$M$99:$M$108,'Config!'!$J$19,'Config!'!$AW$99:$AW$108)/$C$11,".")</f>
        <v>.</v>
      </c>
      <c r="D103" s="107" t="str">
        <f>IFERROR(SUMIF('Config!'!$M$99:$M$108,'Config!'!$J$19,'Config!'!$AV$99:$AV$108)/$C$11,".")</f>
        <v>.</v>
      </c>
      <c r="E103" s="108" t="str">
        <f>IFERROR(SUMIF('Config!'!$M$99:$M$108,'Config!'!$J$19,'Config!'!$AX$99:$AX$108)/$C$11,".")</f>
        <v>.</v>
      </c>
    </row>
    <row r="104" spans="1:5" ht="34.9" customHeight="1" x14ac:dyDescent="0.25">
      <c r="A104" s="724" t="str">
        <f>Language!C107</f>
        <v>Receita média por usuário (ARPU = C)</v>
      </c>
      <c r="B104" s="725"/>
      <c r="C104" s="679" t="str">
        <f>IFERROR(SUMIF('Config!'!$M$99:$M$108,'Config!'!$J$19,'Config!'!AE99:AE108),".")</f>
        <v>.</v>
      </c>
      <c r="D104" s="680" t="str">
        <f>IFERROR(SUMIF('Config!'!$M$99:$M$108,'Config!'!$J$19,'Config!'!AD99:AD108),".")</f>
        <v>.</v>
      </c>
      <c r="E104" s="681" t="str">
        <f>IFERROR(SUMIF('Config!'!$M$99:$M$108,'Config!'!$J$19,'Config!'!AF99:AF108),".")</f>
        <v>.</v>
      </c>
    </row>
    <row r="105" spans="1:5" ht="34.9" customHeight="1" x14ac:dyDescent="0.25">
      <c r="A105" s="724" t="str">
        <f>Language!C108</f>
        <v>Demanda do mercado em milhares (Pop. X P x C)</v>
      </c>
      <c r="B105" s="725"/>
      <c r="C105" s="676" t="str">
        <f>IFERROR($C$11*C103*C104,".")</f>
        <v>.</v>
      </c>
      <c r="D105" s="677" t="str">
        <f>IFERROR($C$11*D103*D104,".")</f>
        <v>.</v>
      </c>
      <c r="E105" s="678" t="str">
        <f>IFERROR($C$11*E103*E104,".")</f>
        <v>.</v>
      </c>
    </row>
    <row r="106" spans="1:5" ht="47.45" customHeight="1" x14ac:dyDescent="0.25">
      <c r="A106" s="724" t="str">
        <f>Language!C109</f>
        <v>Participação de mercado da sua empresa</v>
      </c>
      <c r="B106" s="725"/>
      <c r="C106" s="109">
        <f>IFERROR(IF($D$100=0,1,SUMIF('Config!'!$M$99:$M$108,'Config!'!$J$19,'Config!'!AN99:AN108)),".")</f>
        <v>1</v>
      </c>
      <c r="D106" s="110">
        <f>IFERROR(AVERAGE(C106,E106),".")</f>
        <v>1</v>
      </c>
      <c r="E106" s="111">
        <f>IFERROR(IF($D$100=0,1,SUMIF('Config!'!$M$99:$M$108,'Config!'!$J$19,'Config!'!AO99:AO108)),".")</f>
        <v>1</v>
      </c>
    </row>
    <row r="107" spans="1:5" ht="46.15" customHeight="1" x14ac:dyDescent="0.25">
      <c r="A107" s="757" t="str">
        <f>Language!C110</f>
        <v>Receita da sua empresa (milhares)</v>
      </c>
      <c r="B107" s="758"/>
      <c r="C107" s="597" t="str">
        <f>IFERROR(C106*C105,".")</f>
        <v>.</v>
      </c>
      <c r="D107" s="598" t="str">
        <f>IFERROR(D106*D105,".")</f>
        <v>.</v>
      </c>
      <c r="E107" s="599" t="str">
        <f>IFERROR(E106*E105,".")</f>
        <v>.</v>
      </c>
    </row>
    <row r="108" spans="1:5" ht="63" customHeight="1" x14ac:dyDescent="0.25">
      <c r="A108" s="770" t="str">
        <f>Language!C111</f>
        <v>Análise financeira (milhares): todos os países</v>
      </c>
      <c r="B108" s="771"/>
      <c r="C108" s="771"/>
      <c r="D108" s="771"/>
      <c r="E108" s="772"/>
    </row>
    <row r="109" spans="1:5" ht="34.9" customHeight="1" x14ac:dyDescent="0.25">
      <c r="A109" s="757" t="str">
        <f>Language!C112</f>
        <v>Caixa inicial (último período)</v>
      </c>
      <c r="B109" s="758"/>
      <c r="C109" s="758"/>
      <c r="D109" s="794">
        <f>IFERROR(INDEX('Result data'!$B$187:$DQ$187,1,('Config!'!L17-1)*12+'Config!'!$BA$17+1),".")</f>
        <v>-4621834.5570100052</v>
      </c>
      <c r="E109" s="795"/>
    </row>
    <row r="110" spans="1:5" ht="34.9" customHeight="1" x14ac:dyDescent="0.25">
      <c r="A110" s="833" t="str">
        <f>Language!C113</f>
        <v>Conta</v>
      </c>
      <c r="B110" s="834"/>
      <c r="C110" s="112" t="str">
        <f>C102</f>
        <v>Pessimista</v>
      </c>
      <c r="D110" s="113" t="str">
        <f t="shared" ref="D110:E110" si="8">D102</f>
        <v>Realista</v>
      </c>
      <c r="E110" s="114" t="str">
        <f t="shared" si="8"/>
        <v>Otimista</v>
      </c>
    </row>
    <row r="111" spans="1:5" ht="34.9" customHeight="1" x14ac:dyDescent="0.25">
      <c r="A111" s="724" t="str" cm="1">
        <f t="array" ref="A111">TRANSPOSE(Language!C114)</f>
        <v>Receitas de vendas [RV]</v>
      </c>
      <c r="B111" s="725"/>
      <c r="C111" s="591" t="str">
        <f>IFERROR(IF($C$5=2010,C107,'Config!'!BC117),".")</f>
        <v>.</v>
      </c>
      <c r="D111" s="592" t="str">
        <f>IFERROR(IF($C$5=2010,D107,'Config!'!BB109),".")</f>
        <v>.</v>
      </c>
      <c r="E111" s="593" t="str">
        <f>IFERROR(IF($C$5=2010,E107,'Config!'!BD109),".")</f>
        <v>.</v>
      </c>
    </row>
    <row r="112" spans="1:5" ht="34.9" customHeight="1" x14ac:dyDescent="0.25">
      <c r="A112" s="724" t="str" cm="1">
        <f t="array" ref="A112">TRANSPOSE(Language!C115)</f>
        <v>Custo das mercadorias vendidas [CMV]</v>
      </c>
      <c r="B112" s="725"/>
      <c r="C112" s="591" t="str">
        <f>IFERROR(C111-C113,".")</f>
        <v>.</v>
      </c>
      <c r="D112" s="592" t="str">
        <f t="shared" ref="D112:E112" si="9">IFERROR(D111-D113,".")</f>
        <v>.</v>
      </c>
      <c r="E112" s="593" t="str">
        <f t="shared" si="9"/>
        <v>.</v>
      </c>
    </row>
    <row r="113" spans="1:5" ht="34.9" customHeight="1" x14ac:dyDescent="0.25">
      <c r="A113" s="757" t="str" cm="1">
        <f t="array" ref="A113">TRANSPOSE(Language!C116)</f>
        <v>Margem bruta [MB = RV-CMV]</v>
      </c>
      <c r="B113" s="758"/>
      <c r="C113" s="594" t="e">
        <f>IF($C$5=2010,C111*INDEX('Config!'!$BW$99:$BW$108,MATCH(IF('Market Analyzes'!$C$2="Português (Portuguese)",INDEX(Language!$B:$B,MATCH('Market Analyzes'!$C$6,Language!$A:$A,0)),'Market Analyzes'!$C$6),'Config!'!$N$99:$N$108,0)),'Config!'!BF109)</f>
        <v>#DIV/0!</v>
      </c>
      <c r="D113" s="595" t="e">
        <f>IF($C$5=2010,D111*INDEX('Config!'!$BW$99:$BW$108,MATCH(IF('Market Analyzes'!$C$2="Português (Portuguese)",INDEX(Language!$B:$B,MATCH('Market Analyzes'!$C$6,Language!$A:$A,0)),'Market Analyzes'!$C$6),'Config!'!$N$99:$N$108,0)),'Config!'!BG109)</f>
        <v>#DIV/0!</v>
      </c>
      <c r="E113" s="596" t="e">
        <f>IF($C$5=2010,E111*INDEX('Config!'!$BW$99:$BW$108,MATCH(IF('Market Analyzes'!$C$2="Português (Portuguese)",INDEX(Language!$B:$B,MATCH('Market Analyzes'!$C$6,Language!$A:$A,0)),'Market Analyzes'!$C$6),'Config!'!$N$99:$N$108,0)),'Config!'!BH109)</f>
        <v>#DIV/0!</v>
      </c>
    </row>
    <row r="114" spans="1:5" ht="43.15" customHeight="1" x14ac:dyDescent="0.25">
      <c r="A114" s="830" t="str">
        <f>Language!C117</f>
        <v>Despesas de marketing e vendas</v>
      </c>
      <c r="B114" s="831"/>
      <c r="C114" s="831"/>
      <c r="D114" s="831"/>
      <c r="E114" s="832"/>
    </row>
    <row r="115" spans="1:5" ht="43.15" customHeight="1" x14ac:dyDescent="0.25">
      <c r="A115" s="724" t="str">
        <f>Language!C118</f>
        <v>Campanhas globais</v>
      </c>
      <c r="B115" s="725"/>
      <c r="C115" s="836">
        <f>$C$83</f>
        <v>500000</v>
      </c>
      <c r="D115" s="836"/>
      <c r="E115" s="837"/>
    </row>
    <row r="116" spans="1:5" ht="43.15" customHeight="1" x14ac:dyDescent="0.25">
      <c r="A116" s="724" t="str">
        <f>Language!C119</f>
        <v>Campanhas locais</v>
      </c>
      <c r="B116" s="725"/>
      <c r="C116" s="836">
        <f>$C$84</f>
        <v>500000</v>
      </c>
      <c r="D116" s="836"/>
      <c r="E116" s="837"/>
    </row>
    <row r="117" spans="1:5" ht="43.15" customHeight="1" x14ac:dyDescent="0.25">
      <c r="A117" s="757" t="s">
        <v>559</v>
      </c>
      <c r="B117" s="758"/>
      <c r="C117" s="838">
        <f>SUM(C115:C116)</f>
        <v>1000000</v>
      </c>
      <c r="D117" s="838"/>
      <c r="E117" s="839"/>
    </row>
    <row r="118" spans="1:5" ht="43.15" customHeight="1" x14ac:dyDescent="0.25">
      <c r="A118" s="835" t="str">
        <f>Language!C121</f>
        <v>Custos administrativos, operacionais (custos fixos) e os investimentos de inauguração</v>
      </c>
      <c r="B118" s="835"/>
      <c r="C118" s="600" t="str">
        <f>IFERROR(IF(C6="","",D118*0.9),".")</f>
        <v>.</v>
      </c>
      <c r="D118" s="600" t="str">
        <f>IFERROR(SUM('Config!'!BH109:BI109),".")</f>
        <v>.</v>
      </c>
      <c r="E118" s="601" t="str">
        <f>IFERROR(IF(C6="","",D118*1.1),".")</f>
        <v>.</v>
      </c>
    </row>
    <row r="119" spans="1:5" ht="102" customHeight="1" x14ac:dyDescent="0.25">
      <c r="A119" s="756" t="str">
        <f>Language!C122</f>
        <v>Custos Regulamentares e Políticos: Esses valores são muito incertos a prever. Eles podem variar entre centenas de milhares a dezenas de milhões de dólares por ano, dependendo da burocracia e da cultura empreendedora no páis. Este custo aumentará com o aumento das receitas.</v>
      </c>
      <c r="B119" s="756"/>
      <c r="C119" s="756"/>
      <c r="D119" s="754">
        <v>0</v>
      </c>
      <c r="E119" s="755"/>
    </row>
    <row r="120" spans="1:5" ht="43.15" customHeight="1" x14ac:dyDescent="0.25">
      <c r="A120" s="724" t="str">
        <f>Language!C123</f>
        <v>Lucro operacional</v>
      </c>
      <c r="B120" s="725"/>
      <c r="C120" s="585" t="str">
        <f>IFERROR('Config!'!BL109,".")</f>
        <v>.</v>
      </c>
      <c r="D120" s="585" t="str">
        <f>IFERROR('Config!'!BK109,".")</f>
        <v>.</v>
      </c>
      <c r="E120" s="586" t="str">
        <f>IFERROR('Config!'!BM109,".")</f>
        <v>.</v>
      </c>
    </row>
    <row r="121" spans="1:5" ht="43.15" customHeight="1" x14ac:dyDescent="0.25">
      <c r="A121" s="724" t="str">
        <f>Language!C124</f>
        <v>Impostos</v>
      </c>
      <c r="B121" s="725"/>
      <c r="C121" s="587" t="str">
        <f>IFERROR('Config!'!BO109,".")</f>
        <v>.</v>
      </c>
      <c r="D121" s="587" t="str">
        <f>IFERROR('Config!'!BN109,".")</f>
        <v>.</v>
      </c>
      <c r="E121" s="588" t="str">
        <f>IFERROR('Config!'!BP109,".")</f>
        <v>.</v>
      </c>
    </row>
    <row r="122" spans="1:5" ht="43.15" customHeight="1" x14ac:dyDescent="0.25">
      <c r="A122" s="724" t="str">
        <f>Language!C125</f>
        <v>Lucro (Lucro Líquido)</v>
      </c>
      <c r="B122" s="725"/>
      <c r="C122" s="585" t="e">
        <f>IF(C113=".",".",C120-C121)</f>
        <v>#DIV/0!</v>
      </c>
      <c r="D122" s="585" t="e">
        <f>IF(C113=".",".",D120-D121)</f>
        <v>#DIV/0!</v>
      </c>
      <c r="E122" s="586" t="e">
        <f>IF(C113=".",".",E120-E121)</f>
        <v>#DIV/0!</v>
      </c>
    </row>
    <row r="123" spans="1:5" ht="43.15" customHeight="1" x14ac:dyDescent="0.25">
      <c r="A123" s="724" t="str">
        <f>Language!C126</f>
        <v>Lucro (lucro líquido) para matriz (menos 50% dos parceiros em Joint Venture)</v>
      </c>
      <c r="B123" s="725"/>
      <c r="C123" s="585" t="str">
        <f>IFERROR('Config!'!BU109,".")</f>
        <v>.</v>
      </c>
      <c r="D123" s="585" t="str">
        <f>IFERROR('Config!'!BT109,".")</f>
        <v>.</v>
      </c>
      <c r="E123" s="586" t="str">
        <f>IFERROR('Config!'!BV109,".")</f>
        <v>.</v>
      </c>
    </row>
    <row r="124" spans="1:5" ht="43.15" customHeight="1" x14ac:dyDescent="0.25">
      <c r="A124" s="724" t="str">
        <f>Language!C127</f>
        <v>Pagamento de juros</v>
      </c>
      <c r="B124" s="725"/>
      <c r="C124" s="585" t="e">
        <f>IF(C122&lt;0,C122*'Config!'!$AV$3,0)</f>
        <v>#DIV/0!</v>
      </c>
      <c r="D124" s="585" t="e">
        <f>IF(D122&lt;0,D122*'Config!'!$AV$3,0)</f>
        <v>#DIV/0!</v>
      </c>
      <c r="E124" s="586" t="e">
        <f>IF(E122&lt;0,E122*'Config!'!$AV$3,0)</f>
        <v>#DIV/0!</v>
      </c>
    </row>
    <row r="125" spans="1:5" ht="43.15" customHeight="1" x14ac:dyDescent="0.25">
      <c r="A125" s="724" t="str">
        <f>Language!C128</f>
        <v>Receitas financeiras [menos reservas de caixa]</v>
      </c>
      <c r="B125" s="725"/>
      <c r="C125" s="585" t="e">
        <f>IF(C113=".",".",MAX(0,$D$109-C112+$C$117+C118+$D$119)*'Config!'!$AV$4)</f>
        <v>#DIV/0!</v>
      </c>
      <c r="D125" s="585" t="e">
        <f>IF(D113=".",".",MAX(0,$D$109-D112+$C$117+D118+$D$119)*'Config!'!$AV$4)</f>
        <v>#DIV/0!</v>
      </c>
      <c r="E125" s="586" t="e">
        <f>IF(E113=".",".",MAX(0,$D$109-E112+$C$117+E118+$D$119)*'Config!'!$AV$4)</f>
        <v>#DIV/0!</v>
      </c>
    </row>
    <row r="126" spans="1:5" ht="43.15" customHeight="1" thickBot="1" x14ac:dyDescent="0.3">
      <c r="A126" s="826" t="str">
        <f>Language!C129</f>
        <v>Disponibilidade de caixa</v>
      </c>
      <c r="B126" s="827"/>
      <c r="C126" s="589" t="e">
        <f>IF(C113=".",".",$D$109+C122-C123+SUM(C124:C125))</f>
        <v>#DIV/0!</v>
      </c>
      <c r="D126" s="589" t="e">
        <f>IF(D113=".",".",$D$109+D122-D123+SUM(D124:D125))</f>
        <v>#DIV/0!</v>
      </c>
      <c r="E126" s="590" t="e">
        <f>IF(E113=".",".",$D$109+E122-E123+SUM(E124:E125))</f>
        <v>#DIV/0!</v>
      </c>
    </row>
    <row r="127" spans="1:5" ht="61.9" customHeight="1" x14ac:dyDescent="0.25">
      <c r="A127" s="824" t="str">
        <f>Language!C130</f>
        <v>Para lançar suas decisões, use este link</v>
      </c>
      <c r="B127" s="824"/>
      <c r="C127" s="825" t="s">
        <v>1445</v>
      </c>
      <c r="D127" s="825"/>
      <c r="E127" s="673"/>
    </row>
    <row r="128" spans="1:5" ht="7.5" customHeight="1" x14ac:dyDescent="0.25"/>
  </sheetData>
  <mergeCells count="114">
    <mergeCell ref="A127:B127"/>
    <mergeCell ref="C127:D127"/>
    <mergeCell ref="A124:B124"/>
    <mergeCell ref="A125:B125"/>
    <mergeCell ref="A126:B126"/>
    <mergeCell ref="A46:C46"/>
    <mergeCell ref="A47:C47"/>
    <mergeCell ref="A48:C48"/>
    <mergeCell ref="A49:C49"/>
    <mergeCell ref="A50:C50"/>
    <mergeCell ref="A51:C51"/>
    <mergeCell ref="A52:C52"/>
    <mergeCell ref="A114:E114"/>
    <mergeCell ref="A110:B110"/>
    <mergeCell ref="A120:B120"/>
    <mergeCell ref="A121:B121"/>
    <mergeCell ref="A122:B122"/>
    <mergeCell ref="A123:B123"/>
    <mergeCell ref="A118:B118"/>
    <mergeCell ref="C115:E115"/>
    <mergeCell ref="C116:E116"/>
    <mergeCell ref="C117:E117"/>
    <mergeCell ref="A112:B112"/>
    <mergeCell ref="A113:B113"/>
    <mergeCell ref="D109:E109"/>
    <mergeCell ref="A109:C109"/>
    <mergeCell ref="A6:B6"/>
    <mergeCell ref="A5:B5"/>
    <mergeCell ref="A11:B11"/>
    <mergeCell ref="A14:B14"/>
    <mergeCell ref="A15:B15"/>
    <mergeCell ref="A16:B16"/>
    <mergeCell ref="A8:E8"/>
    <mergeCell ref="D49:E49"/>
    <mergeCell ref="D50:E50"/>
    <mergeCell ref="D52:E52"/>
    <mergeCell ref="A77:E77"/>
    <mergeCell ref="A78:C78"/>
    <mergeCell ref="D78:E78"/>
    <mergeCell ref="C101:E101"/>
    <mergeCell ref="A65:E65"/>
    <mergeCell ref="A40:E40"/>
    <mergeCell ref="D51:E51"/>
    <mergeCell ref="D47:E47"/>
    <mergeCell ref="D48:E48"/>
    <mergeCell ref="D44:E44"/>
    <mergeCell ref="A45:C45"/>
    <mergeCell ref="A43:C43"/>
    <mergeCell ref="A1:E1"/>
    <mergeCell ref="A7:B7"/>
    <mergeCell ref="C6:E6"/>
    <mergeCell ref="C5:E5"/>
    <mergeCell ref="I7:K7"/>
    <mergeCell ref="A4:B4"/>
    <mergeCell ref="C4:E4"/>
    <mergeCell ref="A3:B3"/>
    <mergeCell ref="C3:E3"/>
    <mergeCell ref="A2:B2"/>
    <mergeCell ref="C2:E2"/>
    <mergeCell ref="C7:E7"/>
    <mergeCell ref="D119:E119"/>
    <mergeCell ref="A119:C119"/>
    <mergeCell ref="A115:B115"/>
    <mergeCell ref="A116:B116"/>
    <mergeCell ref="A117:B117"/>
    <mergeCell ref="A79:E79"/>
    <mergeCell ref="A86:E86"/>
    <mergeCell ref="A85:E85"/>
    <mergeCell ref="A107:B107"/>
    <mergeCell ref="A101:B102"/>
    <mergeCell ref="A111:B111"/>
    <mergeCell ref="A103:B103"/>
    <mergeCell ref="A104:B104"/>
    <mergeCell ref="A105:B105"/>
    <mergeCell ref="A106:B106"/>
    <mergeCell ref="A82:B82"/>
    <mergeCell ref="A83:B83"/>
    <mergeCell ref="A84:B84"/>
    <mergeCell ref="A108:E108"/>
    <mergeCell ref="D99:E99"/>
    <mergeCell ref="A99:C99"/>
    <mergeCell ref="A98:E98"/>
    <mergeCell ref="D100:E100"/>
    <mergeCell ref="A100:C100"/>
    <mergeCell ref="D43:E43"/>
    <mergeCell ref="D45:E45"/>
    <mergeCell ref="A44:C44"/>
    <mergeCell ref="D46:E46"/>
    <mergeCell ref="A37:E37"/>
    <mergeCell ref="A39:C39"/>
    <mergeCell ref="D39:E39"/>
    <mergeCell ref="A41:C41"/>
    <mergeCell ref="D41:E41"/>
    <mergeCell ref="A17:E17"/>
    <mergeCell ref="A9:E9"/>
    <mergeCell ref="A32:E32"/>
    <mergeCell ref="A23:E23"/>
    <mergeCell ref="A21:B21"/>
    <mergeCell ref="A22:B22"/>
    <mergeCell ref="A25:B25"/>
    <mergeCell ref="A26:B26"/>
    <mergeCell ref="A35:B35"/>
    <mergeCell ref="A12:B12"/>
    <mergeCell ref="A13:B13"/>
    <mergeCell ref="A36:B36"/>
    <mergeCell ref="A27:B27"/>
    <mergeCell ref="A29:B29"/>
    <mergeCell ref="A30:B30"/>
    <mergeCell ref="A31:B31"/>
    <mergeCell ref="A34:B34"/>
    <mergeCell ref="A19:B19"/>
    <mergeCell ref="A20:B20"/>
    <mergeCell ref="A38:E38"/>
    <mergeCell ref="A28:E28"/>
  </mergeCells>
  <conditionalFormatting sqref="C25">
    <cfRule type="iconSet" priority="17">
      <iconSet iconSet="3TrafficLights2" reverse="1">
        <cfvo type="percent" val="0"/>
        <cfvo type="num" val="0.25"/>
        <cfvo type="num" val="0.3"/>
      </iconSet>
    </cfRule>
  </conditionalFormatting>
  <conditionalFormatting sqref="C26">
    <cfRule type="iconSet" priority="16">
      <iconSet iconSet="3TrafficLights2" reverse="1">
        <cfvo type="percent" val="0"/>
        <cfvo type="num" val="0.06"/>
        <cfvo type="num" val="6.5000000000000002E-2"/>
      </iconSet>
    </cfRule>
  </conditionalFormatting>
  <conditionalFormatting sqref="C27">
    <cfRule type="iconSet" priority="15">
      <iconSet iconSet="3TrafficLights2" reverse="1">
        <cfvo type="percent" val="0"/>
        <cfvo type="num" val="0.25"/>
        <cfvo type="num" val="0.27"/>
      </iconSet>
    </cfRule>
  </conditionalFormatting>
  <conditionalFormatting sqref="C29">
    <cfRule type="iconSet" priority="19">
      <iconSet iconSet="3TrafficLights2">
        <cfvo type="percent" val="0"/>
        <cfvo type="num" val="$D$29"/>
        <cfvo type="num" val="$E$29"/>
      </iconSet>
    </cfRule>
  </conditionalFormatting>
  <conditionalFormatting sqref="C30">
    <cfRule type="iconSet" priority="34">
      <iconSet iconSet="3TrafficLights2">
        <cfvo type="percent" val="0"/>
        <cfvo type="num" val="$D$30"/>
        <cfvo type="num" val="$E$30"/>
      </iconSet>
    </cfRule>
  </conditionalFormatting>
  <conditionalFormatting sqref="C31">
    <cfRule type="iconSet" priority="33">
      <iconSet iconSet="3TrafficLights2">
        <cfvo type="percent" val="0"/>
        <cfvo type="num" val="$D$31"/>
        <cfvo type="num" val="$E$31"/>
      </iconSet>
    </cfRule>
  </conditionalFormatting>
  <conditionalFormatting sqref="C34">
    <cfRule type="iconSet" priority="28">
      <iconSet iconSet="3TrafficLights2">
        <cfvo type="percent" val="0"/>
        <cfvo type="num" val="$D$31"/>
        <cfvo type="num" val="$E$31"/>
      </iconSet>
    </cfRule>
    <cfRule type="iconSet" priority="32">
      <iconSet iconSet="3TrafficLights2">
        <cfvo type="percent" val="0"/>
        <cfvo type="num" val="$D$30"/>
        <cfvo type="num" val="$E$30"/>
      </iconSet>
    </cfRule>
  </conditionalFormatting>
  <conditionalFormatting sqref="C35">
    <cfRule type="iconSet" priority="31">
      <iconSet iconSet="3TrafficLights2">
        <cfvo type="percent" val="0"/>
        <cfvo type="num" val="$D$31"/>
        <cfvo type="num" val="$E$31"/>
      </iconSet>
    </cfRule>
  </conditionalFormatting>
  <conditionalFormatting sqref="C36">
    <cfRule type="iconSet" priority="26">
      <iconSet iconSet="3TrafficLights2">
        <cfvo type="percent" val="0"/>
        <cfvo type="num" val="$D$31"/>
        <cfvo type="num" val="$E$31"/>
      </iconSet>
    </cfRule>
    <cfRule type="iconSet" priority="30">
      <iconSet iconSet="3TrafficLights2">
        <cfvo type="percent" val="0"/>
        <cfvo type="num" val="$D$30"/>
        <cfvo type="num" val="$E$30"/>
      </iconSet>
    </cfRule>
  </conditionalFormatting>
  <conditionalFormatting sqref="C83">
    <cfRule type="cellIs" dxfId="31" priority="11" operator="greaterThan">
      <formula>$C$84</formula>
    </cfRule>
  </conditionalFormatting>
  <conditionalFormatting sqref="C84">
    <cfRule type="cellIs" dxfId="30" priority="10" operator="greaterThan">
      <formula>$C$83</formula>
    </cfRule>
  </conditionalFormatting>
  <conditionalFormatting sqref="C22:E22">
    <cfRule type="dataBar" priority="25">
      <dataBar>
        <cfvo type="num" val="4126"/>
        <cfvo type="num" val="12746"/>
        <color theme="3"/>
      </dataBar>
    </cfRule>
  </conditionalFormatting>
  <conditionalFormatting sqref="C118:E118">
    <cfRule type="cellIs" dxfId="29" priority="1" operator="lessThan">
      <formula>0</formula>
    </cfRule>
  </conditionalFormatting>
  <conditionalFormatting sqref="C120:E126">
    <cfRule type="cellIs" dxfId="28" priority="14" operator="lessThan">
      <formula>0</formula>
    </cfRule>
  </conditionalFormatting>
  <conditionalFormatting sqref="D54:D63">
    <cfRule type="iconSet" priority="6">
      <iconSet iconSet="5Quarters">
        <cfvo type="percent" val="0"/>
        <cfvo type="num" val="0.1"/>
        <cfvo type="num" val="0.15"/>
        <cfvo type="num" val="0.2"/>
        <cfvo type="num" val="0.25"/>
      </iconSet>
    </cfRule>
  </conditionalFormatting>
  <conditionalFormatting sqref="D47:E47">
    <cfRule type="cellIs" dxfId="27" priority="23" operator="greaterThan">
      <formula>0</formula>
    </cfRule>
    <cfRule type="cellIs" dxfId="26" priority="24" operator="lessThan">
      <formula>0</formula>
    </cfRule>
  </conditionalFormatting>
  <conditionalFormatting sqref="D48:E48">
    <cfRule type="iconSet" priority="13">
      <iconSet iconSet="3Flags">
        <cfvo type="percent" val="0"/>
        <cfvo type="num" val="$D$45"/>
        <cfvo type="num" val="$D$45"/>
      </iconSet>
    </cfRule>
  </conditionalFormatting>
  <conditionalFormatting sqref="E54:E63">
    <cfRule type="iconSet" priority="5">
      <iconSet iconSet="5Quarters">
        <cfvo type="percent" val="0"/>
        <cfvo type="num" val="0.1"/>
        <cfvo type="num" val="0.15"/>
        <cfvo type="num" val="0.25"/>
        <cfvo type="num" val="0.33"/>
      </iconSet>
    </cfRule>
  </conditionalFormatting>
  <conditionalFormatting sqref="E67:E76">
    <cfRule type="dataBar" priority="4">
      <dataBar>
        <cfvo type="num" val="0"/>
        <cfvo type="num" val="0.02"/>
        <color rgb="FF63C384"/>
      </dataBar>
    </cfRule>
  </conditionalFormatting>
  <conditionalFormatting sqref="E88:E97">
    <cfRule type="dataBar" priority="9">
      <dataBar>
        <cfvo type="num" val="0"/>
        <cfvo type="num" val="0.02"/>
        <color rgb="FF63C384"/>
      </dataBar>
    </cfRule>
  </conditionalFormatting>
  <dataValidations count="8">
    <dataValidation type="list" allowBlank="1" showInputMessage="1" showErrorMessage="1" sqref="C82" xr:uid="{00000000-0002-0000-0900-000000000000}">
      <formula1>"0,1,2,3,4,5,6,7,8,9,10"</formula1>
    </dataValidation>
    <dataValidation type="list" allowBlank="1" showInputMessage="1" showErrorMessage="1" sqref="C67:D76 D41 D43:E43 C88:C97" xr:uid="{00000000-0002-0000-0900-000001000000}">
      <formula1>level</formula1>
    </dataValidation>
    <dataValidation type="list" allowBlank="1" showInputMessage="1" showErrorMessage="1" sqref="C6:E6" xr:uid="{00000000-0002-0000-0900-000002000000}">
      <formula1>Countries</formula1>
    </dataValidation>
    <dataValidation type="list" allowBlank="1" showInputMessage="1" showErrorMessage="1" sqref="D39" xr:uid="{00000000-0002-0000-0900-000003000000}">
      <formula1>entry</formula1>
    </dataValidation>
    <dataValidation type="list" allowBlank="1" showInputMessage="1" showErrorMessage="1" sqref="C5:E5" xr:uid="{00000000-0002-0000-0900-000005000000}">
      <formula1>vyear</formula1>
    </dataValidation>
    <dataValidation allowBlank="1" showInputMessage="1" showErrorMessage="1" prompt="Only integer between 0 and 10. In the beggining of the game the number of competitors = 0." sqref="D100:E100" xr:uid="{00000000-0002-0000-0900-000007000000}"/>
    <dataValidation type="list" allowBlank="1" showInputMessage="1" showErrorMessage="1" sqref="C3" xr:uid="{8A510E9A-7027-41AE-9BFC-FC20FFD2C4B3}">
      <formula1>team</formula1>
    </dataValidation>
    <dataValidation type="list" allowBlank="1" showInputMessage="1" showErrorMessage="1" sqref="C2:E2" xr:uid="{67E60413-4C78-4A59-8C6B-6CDE22CC5A3D}">
      <formula1>lang</formula1>
    </dataValidation>
  </dataValidations>
  <hyperlinks>
    <hyperlink ref="C127" r:id="rId1" display="http://bit.ly/be-global-game" xr:uid="{4AB72C0F-4FC8-4E07-AFB2-B4DFD09D9097}"/>
  </hyperlinks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19A0434F-5EE1-4D78-A867-5A6A6684820A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B54:B63</xm:sqref>
        </x14:conditionalFormatting>
        <x14:conditionalFormatting xmlns:xm="http://schemas.microsoft.com/office/excel/2006/main">
          <x14:cfRule type="iconSet" priority="7" id="{7E05B1B9-C5A5-41E9-A43A-1B0609FA7EF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C54:C63</xm:sqref>
        </x14:conditionalFormatting>
        <x14:conditionalFormatting xmlns:xm="http://schemas.microsoft.com/office/excel/2006/main">
          <x14:cfRule type="iconSet" priority="3" id="{549DE67E-155F-485A-8DFB-BC534C624A4A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100000000</xm:f>
              </x14:cfvo>
            </x14:iconSet>
          </x14:cfRule>
          <xm:sqref>D109:E109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whole" allowBlank="1" showInputMessage="1" showErrorMessage="1" errorTitle="Maximum achieved" error="You can't invest more on MSE than 5% of past sales or 50% of your cash availability.  " prompt="Only integers and positive numbers." xr:uid="{00000000-0002-0000-0900-000004000000}">
          <x14:formula1>
            <xm:f>0</xm:f>
          </x14:formula1>
          <x14:formula2>
            <xm:f>'Config!'!O89</xm:f>
          </x14:formula2>
          <xm:sqref>D78:E78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5">
    <tabColor rgb="FF00B050"/>
  </sheetPr>
  <dimension ref="A1:H31"/>
  <sheetViews>
    <sheetView showGridLines="0" topLeftCell="B1" workbookViewId="0">
      <selection activeCell="Q1" sqref="Q1:AH1"/>
    </sheetView>
  </sheetViews>
  <sheetFormatPr defaultColWidth="0" defaultRowHeight="17.25" zeroHeight="1" x14ac:dyDescent="0.3"/>
  <cols>
    <col min="1" max="1" width="3.28515625" style="53" hidden="1" customWidth="1"/>
    <col min="2" max="2" width="13.85546875" style="53" bestFit="1" customWidth="1"/>
    <col min="3" max="3" width="17.28515625" style="57" customWidth="1"/>
    <col min="4" max="4" width="14.85546875" style="53" customWidth="1"/>
    <col min="5" max="5" width="15.85546875" style="53" customWidth="1"/>
    <col min="6" max="6" width="19.140625" style="53" customWidth="1"/>
    <col min="7" max="7" width="0.5703125" style="66" customWidth="1"/>
    <col min="8" max="16384" width="8.85546875" style="53" hidden="1"/>
  </cols>
  <sheetData>
    <row r="1" spans="1:8" s="58" customFormat="1" ht="46.9" customHeight="1" x14ac:dyDescent="0.3">
      <c r="A1" s="58" t="s">
        <v>378</v>
      </c>
      <c r="B1" s="60" t="str" cm="1">
        <f t="array" ref="B1:C1">TRANSPOSE(Language!C343:C344)</f>
        <v>Número</v>
      </c>
      <c r="C1" s="61" t="str">
        <v>Selecione os países</v>
      </c>
      <c r="D1" s="59" t="str">
        <f>'Market Analyzes'!A11</f>
        <v>Tamanho da população</v>
      </c>
      <c r="E1" s="63" t="str">
        <f>'Market Analyzes'!A22</f>
        <v>PIB per capita (U$ dólar)</v>
      </c>
      <c r="F1" s="59" t="str">
        <f>'Market Analyzes'!A19</f>
        <v>Produto Interno Bruto (PIB U$ bilhão)</v>
      </c>
      <c r="G1" s="64"/>
    </row>
    <row r="2" spans="1:8" x14ac:dyDescent="0.3">
      <c r="A2" s="53">
        <f>SUMIF('Config!'!A:A,C2,'Config!'!C:C)</f>
        <v>0</v>
      </c>
      <c r="B2" s="54" t="str">
        <f>Language!$C$345&amp;" "&amp;'GDP and Pop. Country Comparison'!H2</f>
        <v>País 1</v>
      </c>
      <c r="C2" s="55"/>
      <c r="D2" s="62" t="str">
        <f>IF(A2=0,"",INDEX(Population!$BD$3:$BP$177,A2,'Config!'!$AZ$17+1))</f>
        <v/>
      </c>
      <c r="E2" s="56" t="str">
        <f t="shared" ref="E2:E3" si="0">IFERROR(F2*1000000000/D2,"")</f>
        <v/>
      </c>
      <c r="F2" s="56" t="str">
        <f>IF(D2="","",INDEX(GDP!$G$3:$S$177,A2,'Config!'!$AZ$17+1))</f>
        <v/>
      </c>
      <c r="G2" s="65" t="str">
        <f>IF(D2="","",LN(F2))</f>
        <v/>
      </c>
      <c r="H2" s="53">
        <v>1</v>
      </c>
    </row>
    <row r="3" spans="1:8" x14ac:dyDescent="0.3">
      <c r="A3" s="53">
        <f>SUMIF('Config!'!A:A,C3,'Config!'!C:C)</f>
        <v>0</v>
      </c>
      <c r="B3" s="54" t="str">
        <f>Language!$C$345&amp;" "&amp;'GDP and Pop. Country Comparison'!H3</f>
        <v>País 2</v>
      </c>
      <c r="C3" s="55"/>
      <c r="D3" s="62" t="str">
        <f>IF(A3=0,"",INDEX(Population!$BD$3:$BP$177,A3,'Config!'!$AZ$17+1))</f>
        <v/>
      </c>
      <c r="E3" s="56" t="str">
        <f t="shared" si="0"/>
        <v/>
      </c>
      <c r="F3" s="56" t="str">
        <f>IF(D3="","",INDEX(GDP!$G$3:$S$177,A3,'Config!'!$AZ$17+1))</f>
        <v/>
      </c>
      <c r="G3" s="65" t="str">
        <f t="shared" ref="G3:G11" si="1">IF(D3="","",LN(F3))</f>
        <v/>
      </c>
      <c r="H3" s="53">
        <v>2</v>
      </c>
    </row>
    <row r="4" spans="1:8" x14ac:dyDescent="0.3">
      <c r="A4" s="53">
        <f>SUMIF('Config!'!A:A,C4,'Config!'!C:C)</f>
        <v>0</v>
      </c>
      <c r="B4" s="54" t="str">
        <f>Language!$C$345&amp;" "&amp;'GDP and Pop. Country Comparison'!H4</f>
        <v>País 3</v>
      </c>
      <c r="C4" s="55"/>
      <c r="D4" s="62" t="str">
        <f>IF(A4=0,"",INDEX(Population!$BD$3:$BP$177,A4,'Config!'!$AZ$17+1))</f>
        <v/>
      </c>
      <c r="E4" s="56" t="str">
        <f>IFERROR(F4*1000000000/D4,"")</f>
        <v/>
      </c>
      <c r="F4" s="56" t="str">
        <f>IF(D4="","",INDEX(GDP!$G$3:$S$177,A4,'Config!'!$AZ$17+1))</f>
        <v/>
      </c>
      <c r="G4" s="65" t="str">
        <f t="shared" si="1"/>
        <v/>
      </c>
      <c r="H4" s="53">
        <v>3</v>
      </c>
    </row>
    <row r="5" spans="1:8" x14ac:dyDescent="0.3">
      <c r="A5" s="53">
        <f>SUMIF('Config!'!A:A,C5,'Config!'!C:C)</f>
        <v>0</v>
      </c>
      <c r="B5" s="54" t="str">
        <f>Language!$C$345&amp;" "&amp;'GDP and Pop. Country Comparison'!H5</f>
        <v>País 4</v>
      </c>
      <c r="C5" s="55"/>
      <c r="D5" s="62" t="str">
        <f>IF(A5=0,"",INDEX(Population!$BD$3:$BP$177,A5,'Config!'!$AZ$17+1))</f>
        <v/>
      </c>
      <c r="E5" s="56" t="str">
        <f t="shared" ref="E5:E11" si="2">IFERROR(F5*1000000000/D5,"")</f>
        <v/>
      </c>
      <c r="F5" s="56" t="str">
        <f>IF(D5="","",INDEX(GDP!$G$3:$S$177,A5,'Config!'!$AZ$17+1))</f>
        <v/>
      </c>
      <c r="G5" s="65" t="str">
        <f t="shared" si="1"/>
        <v/>
      </c>
      <c r="H5" s="53">
        <v>4</v>
      </c>
    </row>
    <row r="6" spans="1:8" x14ac:dyDescent="0.3">
      <c r="A6" s="53">
        <f>SUMIF('Config!'!A:A,C6,'Config!'!C:C)</f>
        <v>0</v>
      </c>
      <c r="B6" s="54" t="str">
        <f>Language!$C$345&amp;" "&amp;'GDP and Pop. Country Comparison'!H6</f>
        <v>País 5</v>
      </c>
      <c r="C6" s="55"/>
      <c r="D6" s="62" t="str">
        <f>IF(A6=0,"",INDEX(Population!$BD$3:$BP$177,A6,'Config!'!$AZ$17+1))</f>
        <v/>
      </c>
      <c r="E6" s="56" t="str">
        <f t="shared" si="2"/>
        <v/>
      </c>
      <c r="F6" s="56" t="str">
        <f>IF(D6="","",INDEX(GDP!$G$3:$S$177,A6,'Config!'!$AZ$17+1))</f>
        <v/>
      </c>
      <c r="G6" s="65" t="str">
        <f t="shared" si="1"/>
        <v/>
      </c>
      <c r="H6" s="53">
        <v>5</v>
      </c>
    </row>
    <row r="7" spans="1:8" x14ac:dyDescent="0.3">
      <c r="A7" s="53">
        <f>SUMIF('Config!'!A:A,C7,'Config!'!C:C)</f>
        <v>0</v>
      </c>
      <c r="B7" s="54" t="str">
        <f>Language!$C$345&amp;" "&amp;'GDP and Pop. Country Comparison'!H7</f>
        <v>País 6</v>
      </c>
      <c r="C7" s="55"/>
      <c r="D7" s="62" t="str">
        <f>IF(A7=0,"",INDEX(Population!$BD$3:$BP$177,A7,'Config!'!$AZ$17+1))</f>
        <v/>
      </c>
      <c r="E7" s="56" t="str">
        <f t="shared" si="2"/>
        <v/>
      </c>
      <c r="F7" s="56" t="str">
        <f>IF(D7="","",INDEX(GDP!$G$3:$S$177,A7,'Config!'!$AZ$17+1))</f>
        <v/>
      </c>
      <c r="G7" s="65" t="str">
        <f t="shared" si="1"/>
        <v/>
      </c>
      <c r="H7" s="53">
        <v>6</v>
      </c>
    </row>
    <row r="8" spans="1:8" x14ac:dyDescent="0.3">
      <c r="A8" s="53">
        <f>SUMIF('Config!'!A:A,C8,'Config!'!C:C)</f>
        <v>0</v>
      </c>
      <c r="B8" s="54" t="str">
        <f>Language!$C$345&amp;" "&amp;'GDP and Pop. Country Comparison'!H8</f>
        <v>País 7</v>
      </c>
      <c r="C8" s="55"/>
      <c r="D8" s="62" t="str">
        <f>IF(A8=0,"",INDEX(Population!$BD$3:$BP$177,A8,'Config!'!$AZ$17+1))</f>
        <v/>
      </c>
      <c r="E8" s="56" t="str">
        <f t="shared" si="2"/>
        <v/>
      </c>
      <c r="F8" s="56" t="str">
        <f>IF(D8="","",INDEX(GDP!$G$3:$S$177,A8,'Config!'!$AZ$17+1))</f>
        <v/>
      </c>
      <c r="G8" s="65" t="str">
        <f t="shared" si="1"/>
        <v/>
      </c>
      <c r="H8" s="53">
        <v>7</v>
      </c>
    </row>
    <row r="9" spans="1:8" x14ac:dyDescent="0.3">
      <c r="A9" s="53">
        <f>SUMIF('Config!'!A:A,C9,'Config!'!C:C)</f>
        <v>0</v>
      </c>
      <c r="B9" s="54" t="str">
        <f>Language!$C$345&amp;" "&amp;'GDP and Pop. Country Comparison'!H9</f>
        <v>País 8</v>
      </c>
      <c r="C9" s="55"/>
      <c r="D9" s="62" t="str">
        <f>IF(A9=0,"",INDEX(Population!$BD$3:$BP$177,A9,'Config!'!$AZ$17+1))</f>
        <v/>
      </c>
      <c r="E9" s="56" t="str">
        <f t="shared" si="2"/>
        <v/>
      </c>
      <c r="F9" s="56" t="str">
        <f>IF(D9="","",INDEX(GDP!$G$3:$S$177,A9,'Config!'!$AZ$17+1))</f>
        <v/>
      </c>
      <c r="G9" s="65" t="str">
        <f t="shared" si="1"/>
        <v/>
      </c>
      <c r="H9" s="53">
        <v>8</v>
      </c>
    </row>
    <row r="10" spans="1:8" x14ac:dyDescent="0.3">
      <c r="A10" s="53">
        <f>SUMIF('Config!'!A:A,C10,'Config!'!C:C)</f>
        <v>0</v>
      </c>
      <c r="B10" s="54" t="str">
        <f>Language!$C$345&amp;" "&amp;'GDP and Pop. Country Comparison'!H10</f>
        <v>País 9</v>
      </c>
      <c r="C10" s="55"/>
      <c r="D10" s="62" t="str">
        <f>IF(A10=0,"",INDEX(Population!$BD$3:$BP$177,A10,'Config!'!$AZ$17+1))</f>
        <v/>
      </c>
      <c r="E10" s="56" t="str">
        <f t="shared" si="2"/>
        <v/>
      </c>
      <c r="F10" s="56" t="str">
        <f>IF(D10="","",INDEX(GDP!$G$3:$S$177,A10,'Config!'!$AZ$17+1))</f>
        <v/>
      </c>
      <c r="G10" s="65" t="str">
        <f t="shared" si="1"/>
        <v/>
      </c>
      <c r="H10" s="53">
        <v>9</v>
      </c>
    </row>
    <row r="11" spans="1:8" x14ac:dyDescent="0.3">
      <c r="A11" s="53">
        <f>SUMIF('Config!'!A:A,C11,'Config!'!C:C)</f>
        <v>0</v>
      </c>
      <c r="B11" s="54" t="str">
        <f>Language!$C$345&amp;" "&amp;'GDP and Pop. Country Comparison'!H11</f>
        <v>País 10</v>
      </c>
      <c r="C11" s="55"/>
      <c r="D11" s="62" t="str">
        <f>IF(A11=0,"",INDEX(Population!$BD$3:$BP$177,A11,'Config!'!$AZ$17+1))</f>
        <v/>
      </c>
      <c r="E11" s="56" t="str">
        <f t="shared" si="2"/>
        <v/>
      </c>
      <c r="F11" s="56" t="str">
        <f>IF(D11="","",INDEX(GDP!$G$3:$S$177,A11,'Config!'!$AZ$17+1))</f>
        <v/>
      </c>
      <c r="G11" s="65" t="str">
        <f t="shared" si="1"/>
        <v/>
      </c>
      <c r="H11" s="53">
        <v>10</v>
      </c>
    </row>
    <row r="12" spans="1:8" x14ac:dyDescent="0.3"/>
    <row r="13" spans="1:8" x14ac:dyDescent="0.3"/>
    <row r="14" spans="1:8" x14ac:dyDescent="0.3"/>
    <row r="15" spans="1:8" x14ac:dyDescent="0.3"/>
    <row r="16" spans="1:8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</sheetData>
  <conditionalFormatting sqref="D2:D11">
    <cfRule type="iconSet" priority="4">
      <iconSet iconSet="3Flags">
        <cfvo type="percent" val="0"/>
        <cfvo type="percent" val="33"/>
        <cfvo type="percent" val="67"/>
      </iconSet>
    </cfRule>
  </conditionalFormatting>
  <conditionalFormatting sqref="E2:E11">
    <cfRule type="iconSet" priority="3">
      <iconSet iconSet="3Flags">
        <cfvo type="percent" val="0"/>
        <cfvo type="percent" val="33"/>
        <cfvo type="percent" val="67"/>
      </iconSet>
    </cfRule>
  </conditionalFormatting>
  <conditionalFormatting sqref="F2:F11">
    <cfRule type="iconSet" priority="1">
      <iconSet iconSet="3Flags">
        <cfvo type="percent" val="0"/>
        <cfvo type="percent" val="33"/>
        <cfvo type="percent" val="67"/>
      </iconSet>
    </cfRule>
  </conditionalFormatting>
  <dataValidations count="1">
    <dataValidation type="list" allowBlank="1" showInputMessage="1" showErrorMessage="1" sqref="C2:C11" xr:uid="{00000000-0002-0000-0B00-000000000000}">
      <formula1>Countries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7268-BC5B-403D-81D0-660F03C89DB8}">
  <sheetPr codeName="Planilha16">
    <tabColor rgb="FF00B050"/>
  </sheetPr>
  <dimension ref="A1:AL40"/>
  <sheetViews>
    <sheetView showGridLines="0" zoomScale="70" zoomScaleNormal="70" workbookViewId="0">
      <selection activeCell="Q1" sqref="Q1:AH1"/>
    </sheetView>
  </sheetViews>
  <sheetFormatPr defaultColWidth="0" defaultRowHeight="16.5" zeroHeight="1" x14ac:dyDescent="0.3"/>
  <cols>
    <col min="1" max="34" width="9.140625" style="181" customWidth="1"/>
    <col min="35" max="38" width="0" style="181" hidden="1" customWidth="1"/>
    <col min="39" max="16384" width="9.140625" style="181" hidden="1"/>
  </cols>
  <sheetData>
    <row r="1" spans="1:34" s="440" customFormat="1" ht="54" customHeight="1" x14ac:dyDescent="0.25">
      <c r="A1" s="842" t="str">
        <f>Language!C342</f>
        <v>Selecione a variável</v>
      </c>
      <c r="B1" s="843"/>
      <c r="C1" s="843"/>
      <c r="D1" s="843"/>
      <c r="E1" s="843"/>
      <c r="F1" s="843"/>
      <c r="G1" s="843"/>
      <c r="H1" s="843"/>
      <c r="I1" s="843"/>
      <c r="J1" s="843"/>
      <c r="K1" s="843"/>
      <c r="L1" s="843"/>
      <c r="M1" s="843"/>
      <c r="N1" s="843"/>
      <c r="O1" s="843"/>
      <c r="P1" s="844"/>
      <c r="Q1" s="840" t="s">
        <v>1239</v>
      </c>
      <c r="R1" s="841"/>
      <c r="S1" s="841"/>
      <c r="T1" s="841"/>
      <c r="U1" s="841"/>
      <c r="V1" s="841"/>
      <c r="W1" s="841"/>
      <c r="X1" s="841"/>
      <c r="Y1" s="841"/>
      <c r="Z1" s="841"/>
      <c r="AA1" s="841"/>
      <c r="AB1" s="841"/>
      <c r="AC1" s="841"/>
      <c r="AD1" s="841"/>
      <c r="AE1" s="841"/>
      <c r="AF1" s="841"/>
      <c r="AG1" s="841"/>
      <c r="AH1" s="841"/>
    </row>
    <row r="2" spans="1:34" x14ac:dyDescent="0.3"/>
    <row r="3" spans="1:34" x14ac:dyDescent="0.3"/>
    <row r="4" spans="1:34" x14ac:dyDescent="0.3"/>
    <row r="5" spans="1:34" x14ac:dyDescent="0.3"/>
    <row r="6" spans="1:34" x14ac:dyDescent="0.3"/>
    <row r="7" spans="1:34" x14ac:dyDescent="0.3"/>
    <row r="8" spans="1:34" x14ac:dyDescent="0.3"/>
    <row r="9" spans="1:34" x14ac:dyDescent="0.3"/>
    <row r="10" spans="1:34" x14ac:dyDescent="0.3"/>
    <row r="11" spans="1:34" x14ac:dyDescent="0.3"/>
    <row r="12" spans="1:34" x14ac:dyDescent="0.3"/>
    <row r="13" spans="1:34" x14ac:dyDescent="0.3"/>
    <row r="14" spans="1:34" x14ac:dyDescent="0.3"/>
    <row r="15" spans="1:34" x14ac:dyDescent="0.3"/>
    <row r="16" spans="1:34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  <row r="37" x14ac:dyDescent="0.3"/>
    <row r="38" x14ac:dyDescent="0.3"/>
    <row r="39" x14ac:dyDescent="0.3"/>
    <row r="40" x14ac:dyDescent="0.3"/>
  </sheetData>
  <mergeCells count="2">
    <mergeCell ref="Q1:AH1"/>
    <mergeCell ref="A1:P1"/>
  </mergeCells>
  <dataValidations count="1">
    <dataValidation type="list" allowBlank="1" showInputMessage="1" showErrorMessage="1" sqref="Q1" xr:uid="{C3E3336E-BFFB-453F-BE83-F93ECDE04877}">
      <formula1>mapv</formula1>
    </dataValidation>
  </dataValidations>
  <pageMargins left="0.511811024" right="0.511811024" top="0.78740157499999996" bottom="0.78740157499999996" header="0.31496062000000002" footer="0.31496062000000002"/>
  <drawing r:id="rId1"/>
  <extLst>
    <ext xmlns:x15="http://schemas.microsoft.com/office/spreadsheetml/2010/11/main" uri="{3A4CF648-6AED-40f4-86FF-DC5316D8AED3}">
      <x14:slicerList xmlns:x14="http://schemas.microsoft.com/office/spreadsheetml/2009/9/main">
        <x14:slicer r:id="rId2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8"/>
  <dimension ref="A1:O12"/>
  <sheetViews>
    <sheetView showGridLines="0" workbookViewId="0"/>
  </sheetViews>
  <sheetFormatPr defaultRowHeight="15" x14ac:dyDescent="0.25"/>
  <cols>
    <col min="1" max="1" width="19" bestFit="1" customWidth="1"/>
    <col min="2" max="3" width="11.28515625" bestFit="1" customWidth="1"/>
    <col min="4" max="4" width="18" bestFit="1" customWidth="1"/>
    <col min="5" max="5" width="13.7109375" bestFit="1" customWidth="1"/>
    <col min="7" max="7" width="17.85546875" customWidth="1"/>
    <col min="8" max="8" width="21.42578125" customWidth="1"/>
    <col min="9" max="9" width="19.85546875" customWidth="1"/>
    <col min="10" max="10" width="20.140625" style="145" customWidth="1"/>
    <col min="11" max="14" width="14.42578125" style="145" customWidth="1"/>
    <col min="15" max="15" width="17.85546875" style="145" customWidth="1"/>
  </cols>
  <sheetData>
    <row r="1" spans="1:15" s="16" customFormat="1" ht="30.75" thickBot="1" x14ac:dyDescent="0.3">
      <c r="A1" s="178" t="s">
        <v>3</v>
      </c>
      <c r="B1" s="175" t="str" cm="1">
        <f t="array" ref="B1:C1">TRANSPOSE(Language!C118:C119)</f>
        <v>Campanhas globais</v>
      </c>
      <c r="C1" s="175" t="str">
        <v>Campanhas locais</v>
      </c>
      <c r="D1" s="176" t="s">
        <v>1446</v>
      </c>
      <c r="E1" s="176" t="s">
        <v>1447</v>
      </c>
      <c r="G1" s="179" t="s">
        <v>3</v>
      </c>
      <c r="H1" s="177" t="s">
        <v>375</v>
      </c>
      <c r="I1" s="177" t="s">
        <v>1448</v>
      </c>
      <c r="J1" s="177" t="s">
        <v>1299</v>
      </c>
      <c r="K1" s="177" t="s">
        <v>1301</v>
      </c>
      <c r="L1" s="177" t="s">
        <v>526</v>
      </c>
      <c r="M1" s="177" t="s">
        <v>527</v>
      </c>
      <c r="N1" s="180" t="s">
        <v>590</v>
      </c>
      <c r="O1" s="180" t="s">
        <v>1449</v>
      </c>
    </row>
    <row r="2" spans="1:15" ht="15.75" thickTop="1" x14ac:dyDescent="0.25">
      <c r="A2" s="146" t="str">
        <f>'Result data'!A84</f>
        <v>Asia &amp; Pacific</v>
      </c>
      <c r="B2" s="149">
        <f>IFERROR(INDEX('Result data'!$B84:$M84,1,'Config!'!$BA$15-2010),0)</f>
        <v>706324.60936373076</v>
      </c>
      <c r="C2" s="149">
        <f>IFERROR(INDEX('Result data'!$B95:$M95,1,'Config!'!$BA$15-2010),0)</f>
        <v>2349464.9588127248</v>
      </c>
      <c r="D2" s="150">
        <f t="shared" ref="D2:D11" si="0">SUM(B2:C2)</f>
        <v>3055789.5681764558</v>
      </c>
      <c r="E2" s="155">
        <f>IFERROR(D2/INDEX('Result data'!O3:Z3,1,'Config!'!$BA$15-2010),0)</f>
        <v>1.999520833249631E-3</v>
      </c>
      <c r="G2" s="163" t="str">
        <f t="shared" ref="G2:G11" si="1">A2</f>
        <v>Asia &amp; Pacific</v>
      </c>
      <c r="H2" s="164">
        <f>INDEX('Result data'!$B36:$M36,1,'Config!'!$BA$15-2010)</f>
        <v>145941205.92260596</v>
      </c>
      <c r="I2" s="164">
        <f>INDEX('Result data'!$B162:$M162,1,'Config!'!$BA$15-2010)</f>
        <v>109455904.44195446</v>
      </c>
      <c r="J2" s="165">
        <f>D2</f>
        <v>3055789.5681764558</v>
      </c>
      <c r="K2" s="165">
        <f>INDEX('Result data'!$B118:$M118,1,'Config!'!$BA$15-2010)</f>
        <v>6883659.9872603584</v>
      </c>
      <c r="L2" s="165">
        <f>INDEX('Result data'!$B129:$M129,1,'Config!'!$BA$15-2010)</f>
        <v>4147509.3558005942</v>
      </c>
      <c r="M2" s="165">
        <f>INDEX('Result data'!$B140:$M140,1,'Config!'!$BA$15-2010)</f>
        <v>15743116.909339214</v>
      </c>
      <c r="N2" s="166">
        <f>INDEX('Result data'!$B151:$M151,1,'Config!'!$BA$15-2010)</f>
        <v>1279665.5670196167</v>
      </c>
      <c r="O2" s="166">
        <f>H2-SUM(I2:N2)</f>
        <v>5375560.0930552781</v>
      </c>
    </row>
    <row r="3" spans="1:15" x14ac:dyDescent="0.25">
      <c r="A3" s="147" t="str">
        <f>'Result data'!A85</f>
        <v>Central America</v>
      </c>
      <c r="B3" s="151">
        <f>IFERROR(INDEX('Result data'!$B85:$M85,1,'Config!'!$BA$15-2010),0)</f>
        <v>65710.35854991198</v>
      </c>
      <c r="C3" s="151">
        <f>IFERROR(INDEX('Result data'!$B96:$M96,1,'Config!'!$BA$15-2010),0)</f>
        <v>591393.22694920795</v>
      </c>
      <c r="D3" s="152">
        <f t="shared" si="0"/>
        <v>657103.58549911994</v>
      </c>
      <c r="E3" s="156">
        <f>IFERROR(D3/INDEX('Result data'!O4:Z4,1,'Config!'!$BA$15-2010),0)</f>
        <v>5.3829638871540639E-3</v>
      </c>
      <c r="G3" s="167" t="str">
        <f t="shared" si="1"/>
        <v>Central America</v>
      </c>
      <c r="H3" s="168">
        <f>INDEX('Result data'!$B37:$M37,1,'Config!'!$BA$15-2010)</f>
        <v>7730143.191369893</v>
      </c>
      <c r="I3" s="168">
        <f>INDEX('Result data'!$B163:$M163,1,'Config!'!$BA$15-2010)</f>
        <v>5797607.3935274202</v>
      </c>
      <c r="J3" s="169">
        <f t="shared" ref="J3:J11" si="2">D3</f>
        <v>657103.58549911994</v>
      </c>
      <c r="K3" s="169">
        <f>INDEX('Result data'!$B119:$M119,1,'Config!'!$BA$15-2010)</f>
        <v>871282.8424596776</v>
      </c>
      <c r="L3" s="169">
        <f>INDEX('Result data'!$B130:$M130,1,'Config!'!$BA$15-2010)</f>
        <v>4207411.3826379599</v>
      </c>
      <c r="M3" s="169">
        <f>INDEX('Result data'!$B141:$M141,1,'Config!'!$BA$15-2010)</f>
        <v>5084473.0769596817</v>
      </c>
      <c r="N3" s="170">
        <f>INDEX('Result data'!$B152:$M152,1,'Config!'!$BA$15-2010)</f>
        <v>0</v>
      </c>
      <c r="O3" s="170">
        <f t="shared" ref="O3:O11" si="3">H3-SUM(I3:N3)</f>
        <v>-8887735.0897139665</v>
      </c>
    </row>
    <row r="4" spans="1:15" x14ac:dyDescent="0.25">
      <c r="A4" s="146" t="str">
        <f>'Result data'!A86</f>
        <v>Europe</v>
      </c>
      <c r="B4" s="149">
        <f>IFERROR(INDEX('Result data'!$B86:$M86,1,'Config!'!$BA$15-2010),0)</f>
        <v>26850.64793750026</v>
      </c>
      <c r="C4" s="149">
        <f>IFERROR(INDEX('Result data'!$B97:$M97,1,'Config!'!$BA$15-2010),0)</f>
        <v>40275.971906250394</v>
      </c>
      <c r="D4" s="150">
        <f t="shared" si="0"/>
        <v>67126.619843750654</v>
      </c>
      <c r="E4" s="155">
        <f>IFERROR(D4/INDEX('Result data'!O5:Z5,1,'Config!'!$BA$15-2010),0)</f>
        <v>1.3375638820786438E-2</v>
      </c>
      <c r="G4" s="163" t="str">
        <f t="shared" si="1"/>
        <v>Europe</v>
      </c>
      <c r="H4" s="164">
        <f>INDEX('Result data'!$B38:$M38,1,'Config!'!$BA$15-2010)</f>
        <v>1859423.5306972978</v>
      </c>
      <c r="I4" s="164">
        <f>INDEX('Result data'!$B164:$M164,1,'Config!'!$BA$15-2010)</f>
        <v>1394567.6480229734</v>
      </c>
      <c r="J4" s="165">
        <f t="shared" si="2"/>
        <v>67126.619843750654</v>
      </c>
      <c r="K4" s="165">
        <f>INDEX('Result data'!$B120:$M120,1,'Config!'!$BA$15-2010)</f>
        <v>250003.39976453365</v>
      </c>
      <c r="L4" s="165">
        <f>INDEX('Result data'!$B131:$M131,1,'Config!'!$BA$15-2010)</f>
        <v>2619350.1107734838</v>
      </c>
      <c r="M4" s="165">
        <f>INDEX('Result data'!$B142:$M142,1,'Config!'!$BA$15-2010)</f>
        <v>3050396.2510556644</v>
      </c>
      <c r="N4" s="166">
        <f>INDEX('Result data'!$B153:$M153,1,'Config!'!$BA$15-2010)</f>
        <v>0</v>
      </c>
      <c r="O4" s="166">
        <f t="shared" si="3"/>
        <v>-5522020.4987631086</v>
      </c>
    </row>
    <row r="5" spans="1:15" x14ac:dyDescent="0.25">
      <c r="A5" s="147" t="str">
        <f>'Result data'!A87</f>
        <v>European Union</v>
      </c>
      <c r="B5" s="151">
        <f>IFERROR(INDEX('Result data'!$B87:$M87,1,'Config!'!$BA$15-2010),0)</f>
        <v>425639.09288189572</v>
      </c>
      <c r="C5" s="151">
        <f>IFERROR(INDEX('Result data'!$B98:$M98,1,'Config!'!$BA$15-2010),0)</f>
        <v>1321964.6772639721</v>
      </c>
      <c r="D5" s="152">
        <f t="shared" si="0"/>
        <v>1747603.770145868</v>
      </c>
      <c r="E5" s="156">
        <f>IFERROR(D5/INDEX('Result data'!O6:Z6,1,'Config!'!$BA$15-2010),0)</f>
        <v>8.3304152559846474E-3</v>
      </c>
      <c r="G5" s="167" t="str">
        <f t="shared" si="1"/>
        <v>European Union</v>
      </c>
      <c r="H5" s="168">
        <f>INDEX('Result data'!$B39:$M39,1,'Config!'!$BA$15-2010)</f>
        <v>115367775.55047011</v>
      </c>
      <c r="I5" s="168">
        <f>INDEX('Result data'!$B165:$M165,1,'Config!'!$BA$15-2010)</f>
        <v>87048639.319791719</v>
      </c>
      <c r="J5" s="169">
        <f t="shared" si="2"/>
        <v>1747603.770145868</v>
      </c>
      <c r="K5" s="169">
        <f>INDEX('Result data'!$B121:$M121,1,'Config!'!$BA$15-2010)</f>
        <v>16575218.975074144</v>
      </c>
      <c r="L5" s="169">
        <f>INDEX('Result data'!$B132:$M132,1,'Config!'!$BA$15-2010)</f>
        <v>2154399.1958331605</v>
      </c>
      <c r="M5" s="169">
        <f>INDEX('Result data'!$B143:$M143,1,'Config!'!$BA$15-2010)</f>
        <v>14392826.612107176</v>
      </c>
      <c r="N5" s="170">
        <f>INDEX('Result data'!$B154:$M154,1,'Config!'!$BA$15-2010)</f>
        <v>137385.9144790119</v>
      </c>
      <c r="O5" s="170">
        <f t="shared" si="3"/>
        <v>-6688298.2369609624</v>
      </c>
    </row>
    <row r="6" spans="1:15" x14ac:dyDescent="0.25">
      <c r="A6" s="146" t="str">
        <f>'Result data'!A88</f>
        <v>Middle East</v>
      </c>
      <c r="B6" s="149">
        <f>IFERROR(INDEX('Result data'!$B88:$M88,1,'Config!'!$BA$15-2010),0)</f>
        <v>0</v>
      </c>
      <c r="C6" s="149">
        <f>IFERROR(INDEX('Result data'!$B99:$M99,1,'Config!'!$BA$15-2010),0)</f>
        <v>0</v>
      </c>
      <c r="D6" s="150">
        <f t="shared" si="0"/>
        <v>0</v>
      </c>
      <c r="E6" s="155">
        <f>IFERROR(D6/INDEX('Result data'!O7:Z7,1,'Config!'!$BA$15-2010),0)</f>
        <v>0</v>
      </c>
      <c r="G6" s="163" t="str">
        <f t="shared" si="1"/>
        <v>Middle East</v>
      </c>
      <c r="H6" s="164" t="str">
        <f>INDEX('Result data'!$B40:$M40,1,'Config!'!$BA$15-2010)</f>
        <v xml:space="preserve"> </v>
      </c>
      <c r="I6" s="164">
        <f>INDEX('Result data'!$B166:$M166,1,'Config!'!$BA$15-2010)</f>
        <v>0</v>
      </c>
      <c r="J6" s="165">
        <f t="shared" si="2"/>
        <v>0</v>
      </c>
      <c r="K6" s="165">
        <f>INDEX('Result data'!$B122:$M122,1,'Config!'!$BA$15-2010)</f>
        <v>0</v>
      </c>
      <c r="L6" s="165">
        <f>INDEX('Result data'!$B133:$M133,1,'Config!'!$BA$15-2010)</f>
        <v>0</v>
      </c>
      <c r="M6" s="165">
        <f>INDEX('Result data'!$B144:$M144,1,'Config!'!$BA$15-2010)</f>
        <v>0</v>
      </c>
      <c r="N6" s="166">
        <f>INDEX('Result data'!$B155:$M155,1,'Config!'!$BA$15-2010)</f>
        <v>0</v>
      </c>
      <c r="O6" s="166" t="e">
        <f t="shared" si="3"/>
        <v>#VALUE!</v>
      </c>
    </row>
    <row r="7" spans="1:15" x14ac:dyDescent="0.25">
      <c r="A7" s="147" t="str">
        <f>'Result data'!A89</f>
        <v>North America</v>
      </c>
      <c r="B7" s="151">
        <f>IFERROR(INDEX('Result data'!$B89:$M89,1,'Config!'!$BA$15-2010),0)</f>
        <v>1376509.7999999998</v>
      </c>
      <c r="C7" s="151">
        <f>IFERROR(INDEX('Result data'!$B100:$M100,1,'Config!'!$BA$15-2010),0)</f>
        <v>5506039.2000000002</v>
      </c>
      <c r="D7" s="152">
        <f t="shared" si="0"/>
        <v>6882549</v>
      </c>
      <c r="E7" s="156">
        <f>IFERROR(D7/INDEX('Result data'!O8:Z8,1,'Config!'!$BA$15-2010),0)</f>
        <v>1.9729018577476998E-2</v>
      </c>
      <c r="G7" s="167" t="str">
        <f t="shared" si="1"/>
        <v>North America</v>
      </c>
      <c r="H7" s="168">
        <f>INDEX('Result data'!$B41:$M41,1,'Config!'!$BA$15-2010)</f>
        <v>200836349.932374</v>
      </c>
      <c r="I7" s="168">
        <f>INDEX('Result data'!$B167:$M167,1,'Config!'!$BA$15-2010)</f>
        <v>122214142.05331922</v>
      </c>
      <c r="J7" s="169">
        <f t="shared" si="2"/>
        <v>6882549</v>
      </c>
      <c r="K7" s="169">
        <f>INDEX('Result data'!$B123:$M123,1,'Config!'!$BA$15-2010)</f>
        <v>9396786.9432365838</v>
      </c>
      <c r="L7" s="169">
        <f>INDEX('Result data'!$B134:$M134,1,'Config!'!$BA$15-2010)</f>
        <v>2206083.98561572</v>
      </c>
      <c r="M7" s="169">
        <f>INDEX('Result data'!$B145:$M145,1,'Config!'!$BA$15-2010)</f>
        <v>17345666.893083032</v>
      </c>
      <c r="N7" s="170">
        <f>INDEX('Result data'!$B156:$M156,1,'Config!'!$BA$15-2010)</f>
        <v>8702812.7782168891</v>
      </c>
      <c r="O7" s="170">
        <f t="shared" si="3"/>
        <v>34088308.278902531</v>
      </c>
    </row>
    <row r="8" spans="1:15" x14ac:dyDescent="0.25">
      <c r="A8" s="146" t="str">
        <f>'Result data'!A90</f>
        <v>Oceania</v>
      </c>
      <c r="B8" s="149">
        <f>IFERROR(INDEX('Result data'!$B90:$M90,1,'Config!'!$BA$15-2010),0)</f>
        <v>0</v>
      </c>
      <c r="C8" s="149">
        <f>IFERROR(INDEX('Result data'!$B101:$M101,1,'Config!'!$BA$15-2010),0)</f>
        <v>0</v>
      </c>
      <c r="D8" s="150">
        <f t="shared" si="0"/>
        <v>0</v>
      </c>
      <c r="E8" s="155">
        <f>IFERROR(D8/INDEX('Result data'!O9:Z9,1,'Config!'!$BA$15-2010),0)</f>
        <v>0</v>
      </c>
      <c r="G8" s="163" t="str">
        <f t="shared" si="1"/>
        <v>Oceania</v>
      </c>
      <c r="H8" s="164" t="str">
        <f>INDEX('Result data'!$B42:$M42,1,'Config!'!$BA$15-2010)</f>
        <v xml:space="preserve"> </v>
      </c>
      <c r="I8" s="164">
        <f>INDEX('Result data'!$B168:$M168,1,'Config!'!$BA$15-2010)</f>
        <v>0</v>
      </c>
      <c r="J8" s="165">
        <f t="shared" si="2"/>
        <v>0</v>
      </c>
      <c r="K8" s="165">
        <f>INDEX('Result data'!$B124:$M124,1,'Config!'!$BA$15-2010)</f>
        <v>0</v>
      </c>
      <c r="L8" s="165">
        <f>INDEX('Result data'!$B135:$M135,1,'Config!'!$BA$15-2010)</f>
        <v>0</v>
      </c>
      <c r="M8" s="165">
        <f>INDEX('Result data'!$B146:$M146,1,'Config!'!$BA$15-2010)</f>
        <v>0</v>
      </c>
      <c r="N8" s="166">
        <f>INDEX('Result data'!$B157:$M157,1,'Config!'!$BA$15-2010)</f>
        <v>0</v>
      </c>
      <c r="O8" s="166" t="e">
        <f t="shared" si="3"/>
        <v>#VALUE!</v>
      </c>
    </row>
    <row r="9" spans="1:15" x14ac:dyDescent="0.25">
      <c r="A9" s="147" t="str">
        <f>'Result data'!A91</f>
        <v>South America</v>
      </c>
      <c r="B9" s="151">
        <f>IFERROR(INDEX('Result data'!$B91:$M91,1,'Config!'!$BA$15-2010),0)</f>
        <v>0</v>
      </c>
      <c r="C9" s="151">
        <f>IFERROR(INDEX('Result data'!$B102:$M102,1,'Config!'!$BA$15-2010),0)</f>
        <v>0</v>
      </c>
      <c r="D9" s="152">
        <f t="shared" si="0"/>
        <v>0</v>
      </c>
      <c r="E9" s="156">
        <f>IFERROR(D9/INDEX('Result data'!O10:Z10,1,'Config!'!$BA$15-2010),0)</f>
        <v>0</v>
      </c>
      <c r="G9" s="167" t="str">
        <f t="shared" si="1"/>
        <v>South America</v>
      </c>
      <c r="H9" s="168" t="str">
        <f>INDEX('Result data'!$B43:$M43,1,'Config!'!$BA$15-2010)</f>
        <v xml:space="preserve"> </v>
      </c>
      <c r="I9" s="168">
        <f>INDEX('Result data'!$B169:$M169,1,'Config!'!$BA$15-2010)</f>
        <v>0</v>
      </c>
      <c r="J9" s="169">
        <f t="shared" si="2"/>
        <v>0</v>
      </c>
      <c r="K9" s="169">
        <f>INDEX('Result data'!$B125:$M125,1,'Config!'!$BA$15-2010)</f>
        <v>0</v>
      </c>
      <c r="L9" s="169">
        <f>INDEX('Result data'!$B136:$M136,1,'Config!'!$BA$15-2010)</f>
        <v>0</v>
      </c>
      <c r="M9" s="169">
        <f>INDEX('Result data'!$B147:$M147,1,'Config!'!$BA$15-2010)</f>
        <v>0</v>
      </c>
      <c r="N9" s="170">
        <f>INDEX('Result data'!$B158:$M158,1,'Config!'!$BA$15-2010)</f>
        <v>0</v>
      </c>
      <c r="O9" s="170" t="e">
        <f t="shared" si="3"/>
        <v>#VALUE!</v>
      </c>
    </row>
    <row r="10" spans="1:15" x14ac:dyDescent="0.25">
      <c r="A10" s="146" t="str">
        <f>'Result data'!A92</f>
        <v>Sub-Saharan Africa</v>
      </c>
      <c r="B10" s="149">
        <f>IFERROR(INDEX('Result data'!$B92:$M92,1,'Config!'!$BA$15-2010),0)</f>
        <v>0</v>
      </c>
      <c r="C10" s="149">
        <f>IFERROR(INDEX('Result data'!$B103:$M103,1,'Config!'!$BA$15-2010),0)</f>
        <v>0</v>
      </c>
      <c r="D10" s="150">
        <f t="shared" si="0"/>
        <v>0</v>
      </c>
      <c r="E10" s="155">
        <f>IFERROR(D10/INDEX('Result data'!O11:Z11,1,'Config!'!$BA$15-2010),0)</f>
        <v>0</v>
      </c>
      <c r="G10" s="163" t="str">
        <f t="shared" si="1"/>
        <v>Sub-Saharan Africa</v>
      </c>
      <c r="H10" s="164" t="str">
        <f>INDEX('Result data'!$B44:$M44,1,'Config!'!$BA$15-2010)</f>
        <v xml:space="preserve"> </v>
      </c>
      <c r="I10" s="164">
        <f>INDEX('Result data'!$B170:$M170,1,'Config!'!$BA$15-2010)</f>
        <v>0</v>
      </c>
      <c r="J10" s="165">
        <f t="shared" si="2"/>
        <v>0</v>
      </c>
      <c r="K10" s="165">
        <f>INDEX('Result data'!$B126:$M126,1,'Config!'!$BA$15-2010)</f>
        <v>0</v>
      </c>
      <c r="L10" s="165">
        <f>INDEX('Result data'!$B137:$M137,1,'Config!'!$BA$15-2010)</f>
        <v>0</v>
      </c>
      <c r="M10" s="165">
        <f>INDEX('Result data'!$B148:$M148,1,'Config!'!$BA$15-2010)</f>
        <v>0</v>
      </c>
      <c r="N10" s="166">
        <f>INDEX('Result data'!$B159:$M159,1,'Config!'!$BA$15-2010)</f>
        <v>0</v>
      </c>
      <c r="O10" s="166" t="e">
        <f t="shared" si="3"/>
        <v>#VALUE!</v>
      </c>
    </row>
    <row r="11" spans="1:15" x14ac:dyDescent="0.25">
      <c r="A11" s="148" t="str">
        <f>'Result data'!A93</f>
        <v>The Caribbean</v>
      </c>
      <c r="B11" s="153">
        <f>IFERROR(INDEX('Result data'!$B93:$M93,1,'Config!'!$BA$15-2010),0)</f>
        <v>0</v>
      </c>
      <c r="C11" s="153">
        <f>IFERROR(INDEX('Result data'!$B104:$M104,1,'Config!'!$BA$15-2010),0)</f>
        <v>0</v>
      </c>
      <c r="D11" s="154">
        <f t="shared" si="0"/>
        <v>0</v>
      </c>
      <c r="E11" s="157">
        <f>IFERROR(D11/INDEX('Result data'!O12:Z12,1,'Config!'!$BA$15-2010),0)</f>
        <v>0</v>
      </c>
      <c r="G11" s="171" t="str">
        <f t="shared" si="1"/>
        <v>The Caribbean</v>
      </c>
      <c r="H11" s="172" t="str">
        <f>INDEX('Result data'!$B45:$M45,1,'Config!'!$BA$15-2010)</f>
        <v xml:space="preserve"> </v>
      </c>
      <c r="I11" s="172">
        <f>INDEX('Result data'!$B171:$M171,1,'Config!'!$BA$15-2010)</f>
        <v>0</v>
      </c>
      <c r="J11" s="173">
        <f t="shared" si="2"/>
        <v>0</v>
      </c>
      <c r="K11" s="173">
        <f>INDEX('Result data'!$B127:$M127,1,'Config!'!$BA$15-2010)</f>
        <v>0</v>
      </c>
      <c r="L11" s="173">
        <f>INDEX('Result data'!$B138:$M138,1,'Config!'!$BA$15-2010)</f>
        <v>0</v>
      </c>
      <c r="M11" s="173">
        <f>INDEX('Result data'!$B149:$M149,1,'Config!'!$BA$15-2010)</f>
        <v>0</v>
      </c>
      <c r="N11" s="174">
        <f>INDEX('Result data'!$B160:$M160,1,'Config!'!$BA$15-2010)</f>
        <v>0</v>
      </c>
      <c r="O11" s="174" t="e">
        <f t="shared" si="3"/>
        <v>#VALUE!</v>
      </c>
    </row>
    <row r="12" spans="1:15" x14ac:dyDescent="0.25">
      <c r="A12" s="218" t="s">
        <v>559</v>
      </c>
      <c r="B12" s="218">
        <f>SUM(B1:B11)</f>
        <v>2601034.5087330388</v>
      </c>
      <c r="C12" s="218">
        <f>SUM(C1:C11)</f>
        <v>9809138.0349321552</v>
      </c>
      <c r="D12" s="218">
        <f>SUM(D1:D11)</f>
        <v>12410172.543665195</v>
      </c>
      <c r="E12" s="218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1E20-E37C-44B8-8EB0-7B6F2CF4E492}">
  <sheetPr codeName="Planilha19">
    <tabColor rgb="FF00B050"/>
  </sheetPr>
  <dimension ref="A1:AG176"/>
  <sheetViews>
    <sheetView showGridLines="0" topLeftCell="B1" workbookViewId="0">
      <selection activeCell="B1" sqref="B1:AH1"/>
    </sheetView>
  </sheetViews>
  <sheetFormatPr defaultColWidth="0" defaultRowHeight="17.25" zeroHeight="1" x14ac:dyDescent="0.3"/>
  <cols>
    <col min="1" max="1" width="9.140625" style="58" hidden="1" customWidth="1"/>
    <col min="2" max="3" width="18.42578125" style="53" customWidth="1"/>
    <col min="4" max="21" width="19.42578125" style="53" customWidth="1"/>
    <col min="22" max="23" width="19.42578125" style="58" customWidth="1"/>
    <col min="24" max="31" width="22.140625" style="53" customWidth="1"/>
    <col min="32" max="32" width="29.140625" style="53" customWidth="1"/>
    <col min="33" max="33" width="9.140625" style="53" customWidth="1"/>
    <col min="34" max="16384" width="9.140625" style="53" hidden="1"/>
  </cols>
  <sheetData>
    <row r="1" spans="1:32" ht="39" x14ac:dyDescent="0.45">
      <c r="B1" s="846" t="str">
        <f>'Config!'!BA15&amp;Language!C338</f>
        <v>2012 - Estatísticas mundiais</v>
      </c>
      <c r="C1" s="846"/>
      <c r="D1" s="846"/>
      <c r="E1" s="846"/>
      <c r="F1" s="846"/>
      <c r="G1" s="846"/>
      <c r="H1" s="846"/>
      <c r="I1" s="846"/>
      <c r="J1" s="846"/>
      <c r="K1" s="846"/>
      <c r="L1" s="846"/>
      <c r="M1" s="846"/>
      <c r="N1" s="846"/>
      <c r="O1" s="846"/>
      <c r="P1" s="846"/>
      <c r="Q1" s="846"/>
      <c r="R1" s="846"/>
      <c r="S1" s="846"/>
      <c r="T1" s="846"/>
      <c r="U1" s="846"/>
    </row>
    <row r="2" spans="1:32" ht="90" x14ac:dyDescent="0.3">
      <c r="B2" s="847" t="str">
        <f>Language!C314</f>
        <v>Estatísticas Básicas</v>
      </c>
      <c r="C2" s="847"/>
      <c r="D2" s="553" t="str">
        <f>Language!C16</f>
        <v>Tamanho da população</v>
      </c>
      <c r="E2" s="553" t="str">
        <f>Language!C17</f>
        <v>Área do país (km quadrado)</v>
      </c>
      <c r="F2" s="553" t="str">
        <f>Language!C18</f>
        <v>Densidade populacional (pop / km quadrado)</v>
      </c>
      <c r="G2" s="553" t="str">
        <f>Language!C21</f>
        <v>Assinaturas de telefone celular / 100 Pop. *</v>
      </c>
      <c r="H2" s="565" t="str">
        <f>Language!C23</f>
        <v>Produto Interno Bruto (PIB U$ bilhão)</v>
      </c>
      <c r="I2" s="565" t="str">
        <f>Language!C26</f>
        <v>PIB per capita (U$ dólar)</v>
      </c>
      <c r="J2" s="565" t="str">
        <f>Language!C28</f>
        <v>Taxa de imposto de renda (%)</v>
      </c>
      <c r="K2" s="565" t="str">
        <f>Language!C29</f>
        <v>Taxa tarifária (%)</v>
      </c>
      <c r="L2" s="565" t="str">
        <f>Language!C30</f>
        <v>Taxa de imposto corporativo (%)</v>
      </c>
      <c r="M2" s="565" t="str">
        <f>Language!C32</f>
        <v>Índice de facilidade de fazer negócios (Doing Business)</v>
      </c>
      <c r="N2" s="565" t="str">
        <f>Language!C33</f>
        <v>Peso da regulamentação estatal (7 = melhor)</v>
      </c>
      <c r="O2" s="565" t="str">
        <f>Language!C34</f>
        <v>Qualidade das estradas (7 = melhor)</v>
      </c>
      <c r="P2" s="566" t="str">
        <f>Language!C36</f>
        <v>Sofisticação de negócios (7 = melhor)</v>
      </c>
      <c r="Q2" s="566" t="str">
        <f>Language!C37</f>
        <v>Adoção tecnológica (7 = melhor)</v>
      </c>
      <c r="R2" s="566" t="str">
        <f>Language!C38</f>
        <v>Sofisticação do comprador (7 = melhor)</v>
      </c>
      <c r="S2" s="567" t="str">
        <f>Language!C99</f>
        <v>Data do primeiro concorrente a entrar no mercado</v>
      </c>
      <c r="T2" s="567" t="str" cm="1">
        <f t="array" ref="T2:AF2">TRANSPOSE(Language!C325:C337)</f>
        <v>Usuários ativos (milhares)</v>
      </c>
      <c r="U2" s="567" t="str">
        <v>Penetração de mercado (categoria)</v>
      </c>
      <c r="V2" s="567" t="str">
        <v>Demanda do Mercado (U $ Milhões)</v>
      </c>
      <c r="W2" s="567" t="str">
        <v>Receita média por usuário (ARPU)</v>
      </c>
      <c r="X2" s="567" t="str">
        <v>Número de concorrentes</v>
      </c>
      <c r="Y2" s="567" t="str">
        <v>Preço por corrida de 5km</v>
      </c>
      <c r="Z2" s="567" t="str">
        <v>Custo unitário por 5km</v>
      </c>
      <c r="AA2" s="567" t="str">
        <v>Despesas de marketing e vendas globais (milhões)</v>
      </c>
      <c r="AB2" s="567" t="str">
        <v>Despesas de marketing e vendas locais (milhões)</v>
      </c>
      <c r="AC2" s="567" t="str">
        <v>Despesas de marketing e vendas totais (milhões)</v>
      </c>
      <c r="AD2" s="567" t="str">
        <v>Custos administrativos, operacionais (custos fixos) e custos de abertura (milhões)</v>
      </c>
      <c r="AE2" s="567" t="str">
        <v>Custos Regulamentares e Políticos (Milhões)</v>
      </c>
      <c r="AF2" s="567" t="str">
        <v>Impostos (D) (Milhões)</v>
      </c>
    </row>
    <row r="3" spans="1:32" x14ac:dyDescent="0.3">
      <c r="B3" s="848" t="str">
        <f>Language!C315</f>
        <v>Média</v>
      </c>
      <c r="C3" s="848"/>
      <c r="D3" s="526">
        <f t="shared" ref="D3:S3" si="0">IFERROR(AVERAGE(D16:D175),".")</f>
        <v>41902095.918750003</v>
      </c>
      <c r="E3" s="526">
        <f t="shared" si="0"/>
        <v>760444.96875</v>
      </c>
      <c r="F3" s="554">
        <f t="shared" si="0"/>
        <v>191.10034466638677</v>
      </c>
      <c r="G3" s="557">
        <f t="shared" si="0"/>
        <v>95.015503095759385</v>
      </c>
      <c r="H3" s="541">
        <f t="shared" si="0"/>
        <v>456595672478.56897</v>
      </c>
      <c r="I3" s="570">
        <f t="shared" si="0"/>
        <v>14868.440772054424</v>
      </c>
      <c r="J3" s="559">
        <f t="shared" si="0"/>
        <v>0.30056125</v>
      </c>
      <c r="K3" s="559">
        <f t="shared" si="0"/>
        <v>6.1302500000000038E-2</v>
      </c>
      <c r="L3" s="559">
        <f t="shared" si="0"/>
        <v>0.24893812499999995</v>
      </c>
      <c r="M3" s="527">
        <f t="shared" si="0"/>
        <v>75.313779193205946</v>
      </c>
      <c r="N3" s="527">
        <f t="shared" si="0"/>
        <v>3.3049136716786487</v>
      </c>
      <c r="O3" s="527">
        <f t="shared" si="0"/>
        <v>3.871036150136522</v>
      </c>
      <c r="P3" s="527">
        <f t="shared" si="0"/>
        <v>3.9141136648925241</v>
      </c>
      <c r="Q3" s="527">
        <f t="shared" si="0"/>
        <v>4.7594982301577442</v>
      </c>
      <c r="R3" s="527">
        <f t="shared" si="0"/>
        <v>3.4080737679672524</v>
      </c>
      <c r="S3" s="527">
        <f t="shared" si="0"/>
        <v>2011.6</v>
      </c>
      <c r="T3" s="528">
        <f>IFERROR(AVERAGE(T16:T175),".")</f>
        <v>2930106.5</v>
      </c>
      <c r="U3" s="529">
        <f t="shared" ref="U3:AF3" si="1">IFERROR(AVERAGE(U16:U175),".")</f>
        <v>2.1347105329130412E-2</v>
      </c>
      <c r="V3" s="530">
        <f t="shared" si="1"/>
        <v>47173489.812751725</v>
      </c>
      <c r="W3" s="563">
        <f t="shared" ref="W3" si="2">IFERROR(AVERAGE(W16:W175),".")</f>
        <v>16.381776984493886</v>
      </c>
      <c r="X3" s="561">
        <f t="shared" si="1"/>
        <v>7.4999999999999997E-2</v>
      </c>
      <c r="Y3" s="563">
        <f t="shared" si="1"/>
        <v>3.6498539897851701</v>
      </c>
      <c r="Z3" s="563">
        <f t="shared" si="1"/>
        <v>2.6984685787785723</v>
      </c>
      <c r="AA3" s="530">
        <f t="shared" si="1"/>
        <v>260103.45087330387</v>
      </c>
      <c r="AB3" s="530">
        <f t="shared" si="1"/>
        <v>980913.80349321547</v>
      </c>
      <c r="AC3" s="530">
        <f t="shared" si="1"/>
        <v>1241017.2543665194</v>
      </c>
      <c r="AD3" s="530">
        <f t="shared" si="1"/>
        <v>4931170.617845621</v>
      </c>
      <c r="AE3" s="530">
        <f t="shared" si="1"/>
        <v>5561647.9742544759</v>
      </c>
      <c r="AF3" s="530">
        <f t="shared" si="1"/>
        <v>1011986.4259715518</v>
      </c>
    </row>
    <row r="4" spans="1:32" x14ac:dyDescent="0.3">
      <c r="B4" s="845" t="str">
        <f>Language!C316</f>
        <v>Desvio padrão</v>
      </c>
      <c r="C4" s="845"/>
      <c r="D4" s="531">
        <f t="shared" ref="D4:S4" si="3">IFERROR(_xlfn.STDEV.P(D16:D175),".")</f>
        <v>149605340.62609014</v>
      </c>
      <c r="E4" s="531">
        <f t="shared" si="3"/>
        <v>1992323.7263915075</v>
      </c>
      <c r="F4" s="555">
        <f t="shared" si="3"/>
        <v>643.72408865103148</v>
      </c>
      <c r="G4" s="558">
        <f t="shared" si="3"/>
        <v>38.920511010394485</v>
      </c>
      <c r="H4" s="542">
        <f t="shared" si="3"/>
        <v>1587155062436.343</v>
      </c>
      <c r="I4" s="571">
        <f t="shared" si="3"/>
        <v>20307.311088963776</v>
      </c>
      <c r="J4" s="560">
        <f t="shared" si="3"/>
        <v>0.11856406442694824</v>
      </c>
      <c r="K4" s="560">
        <f t="shared" si="3"/>
        <v>5.0497247387852696E-2</v>
      </c>
      <c r="L4" s="560">
        <f t="shared" si="3"/>
        <v>8.005191040184105E-2</v>
      </c>
      <c r="M4" s="532">
        <f t="shared" si="3"/>
        <v>16.64514929945253</v>
      </c>
      <c r="N4" s="532">
        <f t="shared" si="3"/>
        <v>0.66499384019512664</v>
      </c>
      <c r="O4" s="532">
        <f t="shared" si="3"/>
        <v>1.2425628903571329</v>
      </c>
      <c r="P4" s="532">
        <f t="shared" si="3"/>
        <v>0.72807639038690264</v>
      </c>
      <c r="Q4" s="532">
        <f t="shared" si="3"/>
        <v>0.69155416255312285</v>
      </c>
      <c r="R4" s="532">
        <f t="shared" si="3"/>
        <v>0.71550086768341414</v>
      </c>
      <c r="S4" s="532">
        <f t="shared" si="3"/>
        <v>0.48989794855663565</v>
      </c>
      <c r="T4" s="533">
        <f>IFERROR(_xlfn.STDEV.P(T16:T175),".")</f>
        <v>2860750.0897181584</v>
      </c>
      <c r="U4" s="534">
        <f t="shared" ref="U4:AF4" si="4">IFERROR(_xlfn.STDEV.P(U16:U175),".")</f>
        <v>1.3373260399386137E-2</v>
      </c>
      <c r="V4" s="535">
        <f t="shared" si="4"/>
        <v>55398059.004413664</v>
      </c>
      <c r="W4" s="564">
        <f t="shared" ref="W4" si="5">IFERROR(_xlfn.STDEV.P(W16:W175),".")</f>
        <v>5.3449572632209774</v>
      </c>
      <c r="X4" s="562">
        <f t="shared" si="4"/>
        <v>0.32691742076555053</v>
      </c>
      <c r="Y4" s="564">
        <f t="shared" si="4"/>
        <v>1.1016171335014704</v>
      </c>
      <c r="Z4" s="564">
        <f t="shared" si="4"/>
        <v>0.83778982894248777</v>
      </c>
      <c r="AA4" s="535">
        <f t="shared" si="4"/>
        <v>344124.80821310222</v>
      </c>
      <c r="AB4" s="535">
        <f t="shared" si="4"/>
        <v>1375288.0545088076</v>
      </c>
      <c r="AC4" s="535">
        <f t="shared" si="4"/>
        <v>1714771.3299856598</v>
      </c>
      <c r="AD4" s="535">
        <f t="shared" si="4"/>
        <v>3238642.6418536021</v>
      </c>
      <c r="AE4" s="535">
        <f t="shared" si="4"/>
        <v>2964250.9387227367</v>
      </c>
      <c r="AF4" s="535">
        <f t="shared" si="4"/>
        <v>2582081.5915816547</v>
      </c>
    </row>
    <row r="5" spans="1:32" x14ac:dyDescent="0.3">
      <c r="B5" s="848" t="str">
        <f>Language!C317</f>
        <v>Coef. de variação</v>
      </c>
      <c r="C5" s="848"/>
      <c r="D5" s="556">
        <f t="shared" ref="D5:S5" si="6">IFERROR(D4/D3,".")</f>
        <v>3.5703545931492648</v>
      </c>
      <c r="E5" s="556">
        <f t="shared" si="6"/>
        <v>2.6199446485475977</v>
      </c>
      <c r="F5" s="556">
        <f t="shared" si="6"/>
        <v>3.368513488423122</v>
      </c>
      <c r="G5" s="556">
        <f t="shared" si="6"/>
        <v>0.40962274305035529</v>
      </c>
      <c r="H5" s="561">
        <f t="shared" si="6"/>
        <v>3.4760624291962352</v>
      </c>
      <c r="I5" s="572">
        <f t="shared" si="6"/>
        <v>1.3657996423627576</v>
      </c>
      <c r="J5" s="572">
        <f t="shared" si="6"/>
        <v>0.39447555008154989</v>
      </c>
      <c r="K5" s="572">
        <f t="shared" si="6"/>
        <v>0.82373879348888979</v>
      </c>
      <c r="L5" s="572">
        <f t="shared" si="6"/>
        <v>0.32157352515546206</v>
      </c>
      <c r="M5" s="573">
        <f t="shared" si="6"/>
        <v>0.22101067663530671</v>
      </c>
      <c r="N5" s="573">
        <f t="shared" si="6"/>
        <v>0.20121367946575125</v>
      </c>
      <c r="O5" s="573">
        <f t="shared" si="6"/>
        <v>0.32098974077349052</v>
      </c>
      <c r="P5" s="573">
        <f t="shared" si="6"/>
        <v>0.18601309331339885</v>
      </c>
      <c r="Q5" s="573">
        <f t="shared" si="6"/>
        <v>0.1452998045405729</v>
      </c>
      <c r="R5" s="573">
        <f t="shared" si="6"/>
        <v>0.20994289337527311</v>
      </c>
      <c r="S5" s="573">
        <f t="shared" si="6"/>
        <v>2.4353646279411199E-4</v>
      </c>
      <c r="T5" s="574">
        <f>IFERROR(T4/T3,".")</f>
        <v>0.97632973058083672</v>
      </c>
      <c r="U5" s="561">
        <f t="shared" ref="U5:AF5" si="7">IFERROR(U4/U3,".")</f>
        <v>0.62646715764019256</v>
      </c>
      <c r="V5" s="561">
        <f t="shared" si="7"/>
        <v>1.1743472705603966</v>
      </c>
      <c r="W5" s="561">
        <f t="shared" si="7"/>
        <v>0.32627457132887527</v>
      </c>
      <c r="X5" s="561">
        <f t="shared" si="7"/>
        <v>4.358898943540674</v>
      </c>
      <c r="Y5" s="561">
        <f t="shared" si="7"/>
        <v>0.30182498713224182</v>
      </c>
      <c r="Z5" s="561">
        <f t="shared" si="7"/>
        <v>0.31046862488267429</v>
      </c>
      <c r="AA5" s="561">
        <f t="shared" si="7"/>
        <v>1.323030536725655</v>
      </c>
      <c r="AB5" s="561">
        <f t="shared" si="7"/>
        <v>1.402047814610369</v>
      </c>
      <c r="AC5" s="561">
        <f t="shared" si="7"/>
        <v>1.3817465663367987</v>
      </c>
      <c r="AD5" s="561">
        <f t="shared" si="7"/>
        <v>0.656769536655889</v>
      </c>
      <c r="AE5" s="561">
        <f t="shared" si="7"/>
        <v>0.53298068350327166</v>
      </c>
      <c r="AF5" s="561">
        <f t="shared" si="7"/>
        <v>2.5514982467306733</v>
      </c>
    </row>
    <row r="6" spans="1:32" x14ac:dyDescent="0.3">
      <c r="B6" s="845" t="str">
        <f>Language!C318</f>
        <v>Máximo</v>
      </c>
      <c r="C6" s="845"/>
      <c r="D6" s="531">
        <f t="shared" ref="D6:S6" si="8">IF(D$3=".",".",MAX(D16:D175))</f>
        <v>1350695000</v>
      </c>
      <c r="E6" s="531">
        <f t="shared" si="8"/>
        <v>16377742</v>
      </c>
      <c r="F6" s="555">
        <f t="shared" si="8"/>
        <v>7732.8049490538569</v>
      </c>
      <c r="G6" s="558">
        <f t="shared" si="8"/>
        <v>187.861459629644</v>
      </c>
      <c r="H6" s="542">
        <f t="shared" si="8"/>
        <v>16197007349000</v>
      </c>
      <c r="I6" s="571">
        <f t="shared" si="8"/>
        <v>106749.01362298925</v>
      </c>
      <c r="J6" s="560">
        <f t="shared" si="8"/>
        <v>0.6</v>
      </c>
      <c r="K6" s="560">
        <f t="shared" si="8"/>
        <v>0.28300000000000003</v>
      </c>
      <c r="L6" s="560">
        <f t="shared" si="8"/>
        <v>0.5</v>
      </c>
      <c r="M6" s="532">
        <f t="shared" si="8"/>
        <v>99.95</v>
      </c>
      <c r="N6" s="532">
        <f t="shared" si="8"/>
        <v>5.5589673846715328</v>
      </c>
      <c r="O6" s="532">
        <f t="shared" si="8"/>
        <v>6.561927985654008</v>
      </c>
      <c r="P6" s="532">
        <f t="shared" si="8"/>
        <v>5.9059696046685746</v>
      </c>
      <c r="Q6" s="532">
        <f t="shared" si="8"/>
        <v>6.1987132666666662</v>
      </c>
      <c r="R6" s="532">
        <f t="shared" si="8"/>
        <v>5.2907247414225935</v>
      </c>
      <c r="S6" s="532">
        <f t="shared" si="8"/>
        <v>2012</v>
      </c>
      <c r="T6" s="533">
        <f>IF(T$3=".",".",MAX(T16:T175))</f>
        <v>8692541</v>
      </c>
      <c r="U6" s="534">
        <f t="shared" ref="U6:AF6" si="9">IF(U$3=".",".",MAX(U16:U175))</f>
        <v>4.3022512806614364E-2</v>
      </c>
      <c r="V6" s="535">
        <f t="shared" si="9"/>
        <v>192274689.46289992</v>
      </c>
      <c r="W6" s="564">
        <f t="shared" ref="W6" si="10">IF(W$3=".",".",MAX(W16:W175))</f>
        <v>23.58519178390149</v>
      </c>
      <c r="X6" s="562">
        <f t="shared" si="9"/>
        <v>3</v>
      </c>
      <c r="Y6" s="564">
        <f t="shared" si="9"/>
        <v>5.6560697076500563</v>
      </c>
      <c r="Z6" s="564">
        <f t="shared" si="9"/>
        <v>4.2420522807375427</v>
      </c>
      <c r="AA6" s="535">
        <f t="shared" si="9"/>
        <v>1239387.2968802506</v>
      </c>
      <c r="AB6" s="535">
        <f t="shared" si="9"/>
        <v>4957549.1875210032</v>
      </c>
      <c r="AC6" s="535">
        <f t="shared" si="9"/>
        <v>6196936.484401254</v>
      </c>
      <c r="AD6" s="535">
        <f t="shared" si="9"/>
        <v>12539962.31087485</v>
      </c>
      <c r="AE6" s="535">
        <f t="shared" si="9"/>
        <v>14027254.749800416</v>
      </c>
      <c r="AF6" s="535">
        <f t="shared" si="9"/>
        <v>8702812.7782168891</v>
      </c>
    </row>
    <row r="7" spans="1:32" x14ac:dyDescent="0.3">
      <c r="B7" s="848" t="str">
        <f>Language!C319</f>
        <v>Mínimo</v>
      </c>
      <c r="C7" s="848"/>
      <c r="D7" s="526">
        <f t="shared" ref="D7:S7" si="11">IF(D$3=".",".",MIN(D16:D175))</f>
        <v>0</v>
      </c>
      <c r="E7" s="526">
        <f t="shared" si="11"/>
        <v>298</v>
      </c>
      <c r="F7" s="554">
        <f t="shared" si="11"/>
        <v>0</v>
      </c>
      <c r="G7" s="557">
        <f t="shared" si="11"/>
        <v>7.8569355796676401</v>
      </c>
      <c r="H7" s="541">
        <f t="shared" si="11"/>
        <v>485997988.148148</v>
      </c>
      <c r="I7" s="570">
        <f t="shared" si="11"/>
        <v>230.45992457384776</v>
      </c>
      <c r="J7" s="559">
        <f t="shared" si="11"/>
        <v>2.5000000000000001E-2</v>
      </c>
      <c r="K7" s="559">
        <f t="shared" si="11"/>
        <v>4.5000000000000005E-3</v>
      </c>
      <c r="L7" s="559">
        <f t="shared" si="11"/>
        <v>2.5000000000000001E-2</v>
      </c>
      <c r="M7" s="527">
        <f t="shared" si="11"/>
        <v>23.04</v>
      </c>
      <c r="N7" s="527">
        <f t="shared" si="11"/>
        <v>1.58</v>
      </c>
      <c r="O7" s="527">
        <f t="shared" si="11"/>
        <v>1.31</v>
      </c>
      <c r="P7" s="527">
        <f t="shared" si="11"/>
        <v>2.4155843899671052</v>
      </c>
      <c r="Q7" s="527">
        <f t="shared" si="11"/>
        <v>3.2199754927536226</v>
      </c>
      <c r="R7" s="527">
        <f t="shared" si="11"/>
        <v>1.7519281797468356</v>
      </c>
      <c r="S7" s="527">
        <f t="shared" si="11"/>
        <v>2011</v>
      </c>
      <c r="T7" s="528">
        <f>IF(T$3=".",".",MIN(T16:T175))</f>
        <v>82337</v>
      </c>
      <c r="U7" s="529">
        <f t="shared" ref="U7:AF7" si="12">IF(U$3=".",".",MIN(U16:U175))</f>
        <v>5.1709097908854331E-3</v>
      </c>
      <c r="V7" s="530">
        <f t="shared" si="12"/>
        <v>1859423.5306972978</v>
      </c>
      <c r="W7" s="563">
        <f t="shared" ref="W7" si="13">IF(W$3=".",".",MIN(W16:W175))</f>
        <v>7.5950437788304059</v>
      </c>
      <c r="X7" s="561">
        <f t="shared" si="12"/>
        <v>0</v>
      </c>
      <c r="Y7" s="563">
        <f t="shared" si="12"/>
        <v>2.1388328933682632</v>
      </c>
      <c r="Z7" s="563">
        <f t="shared" si="12"/>
        <v>1.6041246700261973</v>
      </c>
      <c r="AA7" s="530">
        <f t="shared" si="12"/>
        <v>26850.64793750026</v>
      </c>
      <c r="AB7" s="530">
        <f t="shared" si="12"/>
        <v>40275.971906250394</v>
      </c>
      <c r="AC7" s="530">
        <f t="shared" si="12"/>
        <v>67126.619843750654</v>
      </c>
      <c r="AD7" s="530">
        <f t="shared" si="12"/>
        <v>2295044.4489335343</v>
      </c>
      <c r="AE7" s="530">
        <f t="shared" si="12"/>
        <v>3050396.2510556644</v>
      </c>
      <c r="AF7" s="530">
        <f t="shared" si="12"/>
        <v>0</v>
      </c>
    </row>
    <row r="8" spans="1:32" x14ac:dyDescent="0.3">
      <c r="B8" s="845" t="str">
        <f>Language!C320</f>
        <v>Percentil 25.º</v>
      </c>
      <c r="C8" s="845"/>
      <c r="D8" s="531">
        <f t="shared" ref="D8:S8" si="14">IF(D$3=".",".",_xlfn.PERCENTILE.INC(D16:D175,0.25))</f>
        <v>3294508</v>
      </c>
      <c r="E8" s="531">
        <f t="shared" si="14"/>
        <v>39596.25</v>
      </c>
      <c r="F8" s="555">
        <f t="shared" si="14"/>
        <v>26.741229560467126</v>
      </c>
      <c r="G8" s="558">
        <f t="shared" si="14"/>
        <v>66.774134994749744</v>
      </c>
      <c r="H8" s="542">
        <f t="shared" si="14"/>
        <v>12136749354.429131</v>
      </c>
      <c r="I8" s="571">
        <f t="shared" si="14"/>
        <v>2157.8987754626801</v>
      </c>
      <c r="J8" s="560">
        <f t="shared" si="14"/>
        <v>0.23499999999999999</v>
      </c>
      <c r="K8" s="560">
        <f t="shared" si="14"/>
        <v>1.8075000000000001E-2</v>
      </c>
      <c r="L8" s="560">
        <f t="shared" si="14"/>
        <v>0.2</v>
      </c>
      <c r="M8" s="532">
        <f t="shared" si="14"/>
        <v>68.16</v>
      </c>
      <c r="N8" s="532">
        <f t="shared" si="14"/>
        <v>2.8689382100515459</v>
      </c>
      <c r="O8" s="532">
        <f t="shared" si="14"/>
        <v>2.9290308133928571</v>
      </c>
      <c r="P8" s="532">
        <f t="shared" si="14"/>
        <v>3.3907193965820852</v>
      </c>
      <c r="Q8" s="532">
        <f t="shared" si="14"/>
        <v>4.2398397214982264</v>
      </c>
      <c r="R8" s="532">
        <f t="shared" si="14"/>
        <v>2.8910015242323683</v>
      </c>
      <c r="S8" s="532">
        <f t="shared" si="14"/>
        <v>2011</v>
      </c>
      <c r="T8" s="533">
        <f>IF(T$3=".",".",_xlfn.PERCENTILE.INC(T16:T175,0.25))</f>
        <v>746077</v>
      </c>
      <c r="U8" s="534">
        <f t="shared" ref="U8:AF8" si="15">IF(U$3=".",".",_xlfn.PERCENTILE.INC(U16:U175,0.25))</f>
        <v>1.120274025098086E-2</v>
      </c>
      <c r="V8" s="535">
        <f t="shared" si="15"/>
        <v>8680145.5625085458</v>
      </c>
      <c r="W8" s="564">
        <f t="shared" ref="W8" si="16">IF(W$3=".",".",_xlfn.PERCENTILE.INC(W16:W175,0.25))</f>
        <v>13.16861762975531</v>
      </c>
      <c r="X8" s="562">
        <f t="shared" si="15"/>
        <v>0</v>
      </c>
      <c r="Y8" s="564">
        <f t="shared" si="15"/>
        <v>2.6801060259837306</v>
      </c>
      <c r="Z8" s="564">
        <f t="shared" si="15"/>
        <v>1.9434594297496135</v>
      </c>
      <c r="AA8" s="535">
        <f t="shared" si="15"/>
        <v>68444.808496055382</v>
      </c>
      <c r="AB8" s="535">
        <f t="shared" si="15"/>
        <v>307096.16826615488</v>
      </c>
      <c r="AC8" s="535">
        <f t="shared" si="15"/>
        <v>406388.96341487067</v>
      </c>
      <c r="AD8" s="535">
        <f t="shared" si="15"/>
        <v>2559402.6858355682</v>
      </c>
      <c r="AE8" s="535">
        <f t="shared" si="15"/>
        <v>4152288.6667358382</v>
      </c>
      <c r="AF8" s="535">
        <f t="shared" si="15"/>
        <v>0</v>
      </c>
    </row>
    <row r="9" spans="1:32" x14ac:dyDescent="0.3">
      <c r="B9" s="848" t="str">
        <f>Language!C321</f>
        <v>Percentil 75.º</v>
      </c>
      <c r="C9" s="848"/>
      <c r="D9" s="526">
        <f t="shared" ref="D9:S9" si="17">IF(D$3=".",".",_xlfn.PERCENTILE.INC(D16:D175,0.75))</f>
        <v>29140466.75</v>
      </c>
      <c r="E9" s="526">
        <f t="shared" si="17"/>
        <v>567332.5</v>
      </c>
      <c r="F9" s="554">
        <f t="shared" si="17"/>
        <v>143.77129411381617</v>
      </c>
      <c r="G9" s="557">
        <f t="shared" si="17"/>
        <v>123.26679554641899</v>
      </c>
      <c r="H9" s="541">
        <f t="shared" si="17"/>
        <v>246776023228.82104</v>
      </c>
      <c r="I9" s="570">
        <f t="shared" si="17"/>
        <v>18315.049470883514</v>
      </c>
      <c r="J9" s="559">
        <f t="shared" si="17"/>
        <v>0.37572500000000003</v>
      </c>
      <c r="K9" s="559">
        <f t="shared" si="17"/>
        <v>8.6300000000000002E-2</v>
      </c>
      <c r="L9" s="559">
        <f t="shared" si="17"/>
        <v>0.3</v>
      </c>
      <c r="M9" s="527">
        <f t="shared" si="17"/>
        <v>86.81</v>
      </c>
      <c r="N9" s="527">
        <f t="shared" si="17"/>
        <v>3.6457867423526933</v>
      </c>
      <c r="O9" s="527">
        <f t="shared" si="17"/>
        <v>4.7012706624999998</v>
      </c>
      <c r="P9" s="527">
        <f t="shared" si="17"/>
        <v>4.2687410759412545</v>
      </c>
      <c r="Q9" s="527">
        <f t="shared" si="17"/>
        <v>5.2849255658653398</v>
      </c>
      <c r="R9" s="527">
        <f t="shared" si="17"/>
        <v>3.8407942059210529</v>
      </c>
      <c r="S9" s="527">
        <f t="shared" si="17"/>
        <v>2012</v>
      </c>
      <c r="T9" s="528">
        <f>IF(T$3=".",".",_xlfn.PERCENTILE.INC(T16:T175,0.75))</f>
        <v>4483289.75</v>
      </c>
      <c r="U9" s="529">
        <f t="shared" ref="U9:AF9" si="18">IF(U$3=".",".",_xlfn.PERCENTILE.INC(U16:U175,0.75))</f>
        <v>3.5283378215556965E-2</v>
      </c>
      <c r="V9" s="530">
        <f t="shared" si="18"/>
        <v>63720881.076627314</v>
      </c>
      <c r="W9" s="563">
        <f t="shared" ref="W9" si="19">IF(W$3=".",".",_xlfn.PERCENTILE.INC(W16:W175,0.75))</f>
        <v>21.450663967887444</v>
      </c>
      <c r="X9" s="561">
        <f t="shared" si="18"/>
        <v>0</v>
      </c>
      <c r="Y9" s="563">
        <f t="shared" si="18"/>
        <v>4.3048870381534057</v>
      </c>
      <c r="Z9" s="563">
        <f t="shared" si="18"/>
        <v>3.2286652786150545</v>
      </c>
      <c r="AA9" s="530">
        <f t="shared" si="18"/>
        <v>283609.31768721144</v>
      </c>
      <c r="AB9" s="530">
        <f t="shared" si="18"/>
        <v>677922.25989373028</v>
      </c>
      <c r="AC9" s="530">
        <f t="shared" si="18"/>
        <v>947735.64282402408</v>
      </c>
      <c r="AD9" s="530">
        <f t="shared" si="18"/>
        <v>5543955.3118496584</v>
      </c>
      <c r="AE9" s="530">
        <f t="shared" si="18"/>
        <v>5614286.8083980866</v>
      </c>
      <c r="AF9" s="530">
        <f t="shared" si="18"/>
        <v>206802.66452291422</v>
      </c>
    </row>
    <row r="10" spans="1:32" x14ac:dyDescent="0.3">
      <c r="B10" s="845" t="str">
        <f>Language!C322</f>
        <v>Mediana</v>
      </c>
      <c r="C10" s="845"/>
      <c r="D10" s="531">
        <f t="shared" ref="D10:S10" si="20">IF(D$3=".",".",MEDIAN(D16:D175))</f>
        <v>9491687</v>
      </c>
      <c r="E10" s="531">
        <f t="shared" si="20"/>
        <v>155680</v>
      </c>
      <c r="F10" s="555">
        <f t="shared" si="20"/>
        <v>74.327727036474101</v>
      </c>
      <c r="G10" s="558">
        <f t="shared" si="20"/>
        <v>99.373028902296454</v>
      </c>
      <c r="H10" s="542">
        <f t="shared" si="20"/>
        <v>43770724554.470955</v>
      </c>
      <c r="I10" s="571">
        <f t="shared" si="20"/>
        <v>6387.8272179447749</v>
      </c>
      <c r="J10" s="560">
        <f t="shared" si="20"/>
        <v>0.3</v>
      </c>
      <c r="K10" s="560">
        <f t="shared" si="20"/>
        <v>5.1549999999999999E-2</v>
      </c>
      <c r="L10" s="560">
        <f t="shared" si="20"/>
        <v>0.25</v>
      </c>
      <c r="M10" s="532">
        <f t="shared" si="20"/>
        <v>79.34</v>
      </c>
      <c r="N10" s="532">
        <f t="shared" si="20"/>
        <v>3.2469163457386365</v>
      </c>
      <c r="O10" s="532">
        <f t="shared" si="20"/>
        <v>3.6865217362068967</v>
      </c>
      <c r="P10" s="532">
        <f t="shared" si="20"/>
        <v>3.7797211382254581</v>
      </c>
      <c r="Q10" s="532">
        <f t="shared" si="20"/>
        <v>4.6559127218074661</v>
      </c>
      <c r="R10" s="532">
        <f t="shared" si="20"/>
        <v>3.3968037372670805</v>
      </c>
      <c r="S10" s="532">
        <f t="shared" si="20"/>
        <v>2012</v>
      </c>
      <c r="T10" s="533">
        <f>IF(T$3=".",".",MEDIAN(T16:T175))</f>
        <v>1660240</v>
      </c>
      <c r="U10" s="534">
        <f t="shared" ref="U10:AF10" si="21">IF(U$3=".",".",MEDIAN(U16:U175))</f>
        <v>1.5254601985188881E-2</v>
      </c>
      <c r="V10" s="535">
        <f t="shared" si="21"/>
        <v>24044338.950058229</v>
      </c>
      <c r="W10" s="564">
        <f t="shared" ref="W10" si="22">IF(W$3=".",".",MEDIAN(W16:W175))</f>
        <v>16.271766267147598</v>
      </c>
      <c r="X10" s="562">
        <f t="shared" si="21"/>
        <v>0</v>
      </c>
      <c r="Y10" s="564">
        <f t="shared" si="21"/>
        <v>3.687365580991401</v>
      </c>
      <c r="Z10" s="564">
        <f t="shared" si="21"/>
        <v>2.828841857735251</v>
      </c>
      <c r="AA10" s="535">
        <f t="shared" si="21"/>
        <v>141215.53949771629</v>
      </c>
      <c r="AB10" s="535">
        <f t="shared" si="21"/>
        <v>564862.15799086529</v>
      </c>
      <c r="AC10" s="535">
        <f t="shared" si="21"/>
        <v>671358.05054893298</v>
      </c>
      <c r="AD10" s="535">
        <f t="shared" si="21"/>
        <v>3411168.869645827</v>
      </c>
      <c r="AE10" s="535">
        <f t="shared" si="21"/>
        <v>4957405.7584386822</v>
      </c>
      <c r="AF10" s="535">
        <f t="shared" si="21"/>
        <v>0</v>
      </c>
    </row>
    <row r="11" spans="1:32" x14ac:dyDescent="0.3">
      <c r="B11" s="848" t="str">
        <f>Language!C323</f>
        <v>Intervalo Interquartil</v>
      </c>
      <c r="C11" s="848"/>
      <c r="D11" s="526">
        <f t="shared" ref="D11:S11" si="23">IF(D$3=".",".",D9-D8)</f>
        <v>25845958.75</v>
      </c>
      <c r="E11" s="526">
        <f t="shared" si="23"/>
        <v>527736.25</v>
      </c>
      <c r="F11" s="554">
        <f t="shared" si="23"/>
        <v>117.03006455334904</v>
      </c>
      <c r="G11" s="557">
        <f t="shared" si="23"/>
        <v>56.492660551669246</v>
      </c>
      <c r="H11" s="541">
        <f t="shared" si="23"/>
        <v>234639273874.39191</v>
      </c>
      <c r="I11" s="570">
        <f t="shared" si="23"/>
        <v>16157.150695420834</v>
      </c>
      <c r="J11" s="559">
        <f t="shared" si="23"/>
        <v>0.14072500000000004</v>
      </c>
      <c r="K11" s="559">
        <f t="shared" si="23"/>
        <v>6.8225000000000008E-2</v>
      </c>
      <c r="L11" s="559">
        <f t="shared" si="23"/>
        <v>9.9999999999999978E-2</v>
      </c>
      <c r="M11" s="527">
        <f t="shared" si="23"/>
        <v>18.650000000000006</v>
      </c>
      <c r="N11" s="527">
        <f t="shared" si="23"/>
        <v>0.77684853230114737</v>
      </c>
      <c r="O11" s="527">
        <f t="shared" si="23"/>
        <v>1.7722398491071427</v>
      </c>
      <c r="P11" s="527">
        <f t="shared" si="23"/>
        <v>0.8780216793591693</v>
      </c>
      <c r="Q11" s="527">
        <f t="shared" si="23"/>
        <v>1.0450858443671134</v>
      </c>
      <c r="R11" s="527">
        <f t="shared" si="23"/>
        <v>0.94979268168868458</v>
      </c>
      <c r="S11" s="527">
        <f t="shared" si="23"/>
        <v>1</v>
      </c>
      <c r="T11" s="528">
        <f>IF(T$3=".",".",T9-T8)</f>
        <v>3737212.75</v>
      </c>
      <c r="U11" s="529">
        <f t="shared" ref="U11:AF11" si="24">IF(U$3=".",".",U9-U8)</f>
        <v>2.4080637964576105E-2</v>
      </c>
      <c r="V11" s="530">
        <f t="shared" si="24"/>
        <v>55040735.514118768</v>
      </c>
      <c r="W11" s="563">
        <f t="shared" ref="W11" si="25">IF(W$3=".",".",W9-W8)</f>
        <v>8.2820463381321332</v>
      </c>
      <c r="X11" s="561">
        <f t="shared" si="24"/>
        <v>0</v>
      </c>
      <c r="Y11" s="563">
        <f t="shared" si="24"/>
        <v>1.6247810121696751</v>
      </c>
      <c r="Z11" s="563">
        <f t="shared" si="24"/>
        <v>1.285205848865441</v>
      </c>
      <c r="AA11" s="530">
        <f t="shared" si="24"/>
        <v>215164.50919115607</v>
      </c>
      <c r="AB11" s="530">
        <f t="shared" si="24"/>
        <v>370826.0916275754</v>
      </c>
      <c r="AC11" s="530">
        <f t="shared" si="24"/>
        <v>541346.67940915341</v>
      </c>
      <c r="AD11" s="530">
        <f t="shared" si="24"/>
        <v>2984552.6260140901</v>
      </c>
      <c r="AE11" s="530">
        <f t="shared" si="24"/>
        <v>1461998.1416622484</v>
      </c>
      <c r="AF11" s="530">
        <f t="shared" si="24"/>
        <v>206802.66452291422</v>
      </c>
    </row>
    <row r="12" spans="1:32" x14ac:dyDescent="0.3">
      <c r="B12" s="845" t="str">
        <f>Language!C324</f>
        <v>Amostra válida</v>
      </c>
      <c r="C12" s="845"/>
      <c r="D12" s="558">
        <f>COUNT(D16:D175)</f>
        <v>160</v>
      </c>
      <c r="E12" s="558">
        <f t="shared" ref="E12:AF12" si="26">COUNT(E16:E175)</f>
        <v>160</v>
      </c>
      <c r="F12" s="558">
        <f t="shared" si="26"/>
        <v>160</v>
      </c>
      <c r="G12" s="558">
        <f t="shared" si="26"/>
        <v>160</v>
      </c>
      <c r="H12" s="581">
        <f t="shared" si="26"/>
        <v>160</v>
      </c>
      <c r="I12" s="582">
        <f t="shared" si="26"/>
        <v>159</v>
      </c>
      <c r="J12" s="582">
        <f t="shared" si="26"/>
        <v>160</v>
      </c>
      <c r="K12" s="582">
        <f t="shared" si="26"/>
        <v>160</v>
      </c>
      <c r="L12" s="582">
        <f t="shared" si="26"/>
        <v>160</v>
      </c>
      <c r="M12" s="583">
        <f t="shared" si="26"/>
        <v>157</v>
      </c>
      <c r="N12" s="583">
        <f t="shared" si="26"/>
        <v>160</v>
      </c>
      <c r="O12" s="583">
        <f t="shared" si="26"/>
        <v>160</v>
      </c>
      <c r="P12" s="583">
        <f t="shared" si="26"/>
        <v>160</v>
      </c>
      <c r="Q12" s="583">
        <f t="shared" si="26"/>
        <v>160</v>
      </c>
      <c r="R12" s="583">
        <f t="shared" si="26"/>
        <v>160</v>
      </c>
      <c r="S12" s="583">
        <f t="shared" si="26"/>
        <v>10</v>
      </c>
      <c r="T12" s="584">
        <f t="shared" si="26"/>
        <v>10</v>
      </c>
      <c r="U12" s="581">
        <f t="shared" si="26"/>
        <v>10</v>
      </c>
      <c r="V12" s="581">
        <f t="shared" si="26"/>
        <v>10</v>
      </c>
      <c r="W12" s="581">
        <f t="shared" si="26"/>
        <v>10</v>
      </c>
      <c r="X12" s="581">
        <f t="shared" si="26"/>
        <v>160</v>
      </c>
      <c r="Y12" s="581">
        <f t="shared" si="26"/>
        <v>10</v>
      </c>
      <c r="Z12" s="581">
        <f t="shared" si="26"/>
        <v>10</v>
      </c>
      <c r="AA12" s="581">
        <f t="shared" si="26"/>
        <v>10</v>
      </c>
      <c r="AB12" s="581">
        <f t="shared" si="26"/>
        <v>10</v>
      </c>
      <c r="AC12" s="581">
        <f t="shared" si="26"/>
        <v>10</v>
      </c>
      <c r="AD12" s="581">
        <f t="shared" si="26"/>
        <v>10</v>
      </c>
      <c r="AE12" s="581">
        <f t="shared" si="26"/>
        <v>10</v>
      </c>
      <c r="AF12" s="581">
        <f t="shared" si="26"/>
        <v>10</v>
      </c>
    </row>
    <row r="13" spans="1:32" ht="39" x14ac:dyDescent="0.45">
      <c r="B13" s="846" t="str">
        <f>'Config!'!BA15&amp;Language!C339</f>
        <v>2012 - Estatísticas detalhadas por país</v>
      </c>
      <c r="C13" s="846"/>
      <c r="D13" s="846"/>
      <c r="E13" s="846"/>
      <c r="F13" s="846"/>
      <c r="G13" s="846"/>
      <c r="H13" s="846"/>
      <c r="I13" s="846"/>
      <c r="J13" s="846"/>
      <c r="K13" s="846"/>
      <c r="L13" s="846"/>
      <c r="M13" s="846"/>
      <c r="N13" s="846"/>
      <c r="O13" s="846"/>
      <c r="P13" s="846"/>
      <c r="Q13" s="846"/>
      <c r="R13" s="846"/>
      <c r="S13" s="846"/>
      <c r="T13" s="846"/>
      <c r="U13" s="846"/>
      <c r="V13" s="846"/>
      <c r="W13" s="694"/>
    </row>
    <row r="14" spans="1:32" s="182" customFormat="1" ht="24" x14ac:dyDescent="0.35">
      <c r="A14" s="849" t="str">
        <f>Language!C309</f>
        <v>Descrição</v>
      </c>
      <c r="B14" s="849"/>
      <c r="C14" s="849"/>
      <c r="D14" s="849" t="str">
        <f>Language!C310</f>
        <v>Variáveis ​​demograficas</v>
      </c>
      <c r="E14" s="849"/>
      <c r="F14" s="849"/>
      <c r="G14" s="849"/>
      <c r="H14" s="850" t="str">
        <f>Language!C311</f>
        <v>Variáveis ​​econômicas, políticas e legais</v>
      </c>
      <c r="I14" s="850"/>
      <c r="J14" s="850"/>
      <c r="K14" s="850"/>
      <c r="L14" s="850"/>
      <c r="M14" s="850"/>
      <c r="N14" s="850"/>
      <c r="O14" s="850"/>
      <c r="P14" s="851" t="str">
        <f>Language!C312</f>
        <v>Variáveis ​​socioculturais</v>
      </c>
      <c r="Q14" s="851"/>
      <c r="R14" s="851"/>
      <c r="S14" s="852" t="str">
        <f>Language!C313</f>
        <v>Dados da indústria e da concorrência</v>
      </c>
      <c r="T14" s="852"/>
      <c r="U14" s="852"/>
      <c r="V14" s="852"/>
      <c r="W14" s="852"/>
      <c r="X14" s="852"/>
      <c r="Y14" s="852"/>
      <c r="Z14" s="852"/>
      <c r="AA14" s="852"/>
      <c r="AB14" s="852"/>
      <c r="AC14" s="852"/>
      <c r="AD14" s="852"/>
      <c r="AE14" s="852"/>
      <c r="AF14" s="852"/>
    </row>
    <row r="15" spans="1:32" s="525" customFormat="1" ht="75" x14ac:dyDescent="0.25">
      <c r="A15" s="553" t="s">
        <v>378</v>
      </c>
      <c r="B15" s="553" t="s">
        <v>1450</v>
      </c>
      <c r="C15" s="553" t="s">
        <v>1451</v>
      </c>
      <c r="D15" s="553" t="s">
        <v>1452</v>
      </c>
      <c r="E15" s="553" t="s">
        <v>1453</v>
      </c>
      <c r="F15" s="553" t="s">
        <v>872</v>
      </c>
      <c r="G15" s="553" t="s">
        <v>371</v>
      </c>
      <c r="H15" s="565" t="s">
        <v>881</v>
      </c>
      <c r="I15" s="565" t="s">
        <v>887</v>
      </c>
      <c r="J15" s="565" t="s">
        <v>891</v>
      </c>
      <c r="K15" s="565" t="s">
        <v>893</v>
      </c>
      <c r="L15" s="565" t="s">
        <v>895</v>
      </c>
      <c r="M15" s="565" t="s">
        <v>899</v>
      </c>
      <c r="N15" s="565" t="s">
        <v>901</v>
      </c>
      <c r="O15" s="565" t="s">
        <v>903</v>
      </c>
      <c r="P15" s="566" t="s">
        <v>907</v>
      </c>
      <c r="Q15" s="566" t="s">
        <v>909</v>
      </c>
      <c r="R15" s="566" t="s">
        <v>911</v>
      </c>
      <c r="S15" s="567" t="s">
        <v>991</v>
      </c>
      <c r="T15" s="567" t="s">
        <v>1238</v>
      </c>
      <c r="U15" s="567" t="s">
        <v>1240</v>
      </c>
      <c r="V15" s="567" t="s">
        <v>1242</v>
      </c>
      <c r="W15" s="567" t="s">
        <v>1244</v>
      </c>
      <c r="X15" s="567" t="s">
        <v>497</v>
      </c>
      <c r="Y15" s="567" t="s">
        <v>944</v>
      </c>
      <c r="Z15" s="567" t="s">
        <v>946</v>
      </c>
      <c r="AA15" s="567" t="s">
        <v>1247</v>
      </c>
      <c r="AB15" s="567" t="s">
        <v>1249</v>
      </c>
      <c r="AC15" s="567" t="s">
        <v>1251</v>
      </c>
      <c r="AD15" s="567" t="s">
        <v>1253</v>
      </c>
      <c r="AE15" s="567" t="s">
        <v>1255</v>
      </c>
      <c r="AF15" s="567" t="s">
        <v>1257</v>
      </c>
    </row>
    <row r="16" spans="1:32" x14ac:dyDescent="0.3">
      <c r="A16" s="568">
        <f>'Config!'!C2</f>
        <v>144</v>
      </c>
      <c r="B16" s="536" t="str">
        <f>'Config!'!A2</f>
        <v>África do Sul</v>
      </c>
      <c r="C16" s="536" t="str">
        <f>'Config!'!B2</f>
        <v>África Subsaariana</v>
      </c>
      <c r="D16" s="538" cm="1">
        <f t="array" ref="D16">IFERROR(INDEX(Population!$BD$3:$BN$177,'IMS Seg. Table'!$A16,'Config!'!$BA$15-2010+1),"")</f>
        <v>52356381</v>
      </c>
      <c r="E16" s="551" cm="1">
        <f t="array" ref="E16">IFERROR(INDEX(Population!$CH$3:$CH$178,'IMS Seg. Table'!$A16,1),"")</f>
        <v>1214470</v>
      </c>
      <c r="F16" s="552">
        <f>IFERROR('IMS Seg. Table'!$D16/'IMS Seg. Table'!$E16,"")</f>
        <v>43.110476998196745</v>
      </c>
      <c r="G16" s="575" cm="1">
        <f t="array" ref="G16">IFERROR(INDEX('Country Competitivness'!$CL$4:$CX$178,Tabela2[[#This Row],[ID]],'Config!'!$AZ$17+1),".")</f>
        <v>100.477098663736</v>
      </c>
      <c r="H16" s="540" cm="1">
        <f t="array" ref="H16">INDEX(GDP!$G$3:$S$177,'IMS Seg. Table'!$A16,'Config!'!$BA$15-2010+1)*1000000000</f>
        <v>396329389720.23468</v>
      </c>
      <c r="I16" s="539">
        <f t="shared" ref="I16:I47" si="27">IFERROR((H16)/D16,".")</f>
        <v>7569.8392851147346</v>
      </c>
      <c r="J16" s="576">
        <f>IFERROR(INDEX('Income Tax Rate (%)'!$F$2:$P$176,Tabela2[[#This Row],[ID]],'Config!'!$BA$15-2010+1)/100,"")</f>
        <v>0.4</v>
      </c>
      <c r="K16" s="577">
        <f>IFERROR(INDEX('Tariff Rate (%)'!$F$2:$P$176,Tabela2[[#This Row],[ID]],'Config!'!$BA$15-2010+1)/100,"")</f>
        <v>4.4600000000000001E-2</v>
      </c>
      <c r="L16" s="577">
        <f>IFERROR(INDEX('Corporate Tax Rate (%)'!$F$2:$P$176,Tabela2[[#This Row],[ID]],'Config!'!$BA$15-2010+1)/100,"")</f>
        <v>0.28000000000000003</v>
      </c>
      <c r="M16" s="527" cm="1">
        <f t="array" ref="M16">INDEX('Score-Starting a business'!$F$2:$P$176,'IMS Seg. Table'!$A16,'Config!'!$BA$15-2010+1)</f>
        <v>81.42</v>
      </c>
      <c r="N16" s="527" cm="1">
        <f t="array" ref="N16">IFERROR(INDEX('Country Competitivness'!$AX$4:$BH$178,Tabela2[[#This Row],[ID]],'Config!'!$BA$15-2010+1),"")</f>
        <v>2.7252034000000003</v>
      </c>
      <c r="O16" s="527" cm="1">
        <f t="array" ref="O16">IFERROR(INDEX('Country Competitivness'!$EE$4:$EO$178,Tabela2[[#This Row],[ID]],'Config!'!$BA$15-2010+1),"")</f>
        <v>4.7554586500000005</v>
      </c>
      <c r="P16" s="527" cm="1">
        <f t="array" ref="P16">IFERROR(INDEX('Country Competitivness'!$H$4:$R$178,Tabela2[[#This Row],[ID]],'Config!'!$BA$15-2010+1),"")</f>
        <v>4.3235643500000007</v>
      </c>
      <c r="Q16" s="527" cm="1">
        <f t="array" ref="Q16">IFERROR(INDEX('Country Competitivness'!$AJ$4:$AT$178,Tabela2[[#This Row],[ID]],MAX(1,'Config!'!$BA$15-2010)),"")</f>
        <v>5.3933704666666671</v>
      </c>
      <c r="R16" s="527" cm="1">
        <f t="array" ref="R16">IFERROR(INDEX('Country Competitivness'!$BM$4:$BW$178,Tabela2[[#This Row],[ID]],'Config!'!$BA$15-2010+1),"")</f>
        <v>4.1261715500000005</v>
      </c>
      <c r="S16" s="578" t="str" cm="1">
        <f t="array" ref="S1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" s="537" t="str" cm="1">
        <f t="array" ref="T16">IF('Config!'!$BA$15=2010,".",IF(INDEX('Result data'!$R$216:$AA$390,'IMS Seg. Table'!$A16,'Config!'!$BA$15-2010)=".",".",INDEX('Result data'!$R$216:$AA$390,'IMS Seg. Table'!$A16,'Config!'!$BA$15-2010)))</f>
        <v>.</v>
      </c>
      <c r="U16" s="579" t="str">
        <f t="shared" ref="U16:U47" si="28">IFERROR(T16/D16,".")</f>
        <v>.</v>
      </c>
      <c r="V16" s="530" t="str" cm="1">
        <f t="array" ref="V16">IF(Tabela2[[#This Row],[Market Penetration (Category)]]=".",".",INDEX('Result data'!$BS$216:$CB$390,'IMS Seg. Table'!$A16,'Config!'!$BA$15-2010))</f>
        <v>.</v>
      </c>
      <c r="W16" s="563" t="str">
        <f>IF(Tabela2[[#This Row],[Market Demand (U$ millions)]]=".",".",Tabela2[[#This Row],[Market Demand (U$ millions)]]/Tabela2[[#This Row],[Active users (thousands)]])</f>
        <v>.</v>
      </c>
      <c r="X16" s="580" cm="1">
        <f t="array" ref="X16">IF('Config!'!$BA$15=2010,".",IF(INDEX('Result data'!$AE$216:$AN$390,'IMS Seg. Table'!$A16,'Config!'!$BA$15-2010)=".",0,INDEX('Result data'!$AE$216:$AN$390,'IMS Seg. Table'!$A16,'Config!'!$BA$15-2010)))</f>
        <v>0</v>
      </c>
      <c r="Y16" s="563" t="str">
        <f>IF('Config!'!$BA$15=2010,".",IF(Tabela2[[#This Row],[Number of competitors]]=0,".",SUMIF('Result data'!$N$216:$N$390,Tabela2[[#This Row],[ID]],'Result data'!$CP$216:$CP$393)))</f>
        <v>.</v>
      </c>
      <c r="Z16" s="563" t="str">
        <f>IF('Config!'!$BA$15=2010,".",IF(Tabela2[[#This Row],[Number of competitors]]=0,".",SUMIF('Result data'!$N$216:$N$390,Tabela2[[#This Row],[ID]],'Result data'!$DA$216:$DA$393)))</f>
        <v>.</v>
      </c>
      <c r="AA16" s="530" t="str" cm="1">
        <f t="array" ref="AA1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" s="530" t="str" cm="1">
        <f t="array" ref="AB1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" s="530" t="str" cm="1">
        <f t="array" ref="AD1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" s="530" t="str" cm="1">
        <f t="array" ref="AE1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" s="530" t="str" cm="1">
        <f t="array" ref="AF1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" spans="1:32" x14ac:dyDescent="0.3">
      <c r="A17" s="569">
        <f>'Config!'!C3</f>
        <v>1</v>
      </c>
      <c r="B17" s="536" t="str">
        <f>'Config!'!A3</f>
        <v>Albânia</v>
      </c>
      <c r="C17" s="536" t="str">
        <f>'Config!'!B3</f>
        <v>Europa</v>
      </c>
      <c r="D17" s="538" cm="1">
        <f t="array" ref="D17">IFERROR(INDEX(Population!$BD$3:$BN$177,'IMS Seg. Table'!$A17,'Config!'!$BA$15-2010+1),"")</f>
        <v>2900247</v>
      </c>
      <c r="E17" s="551" cm="1">
        <f t="array" ref="E17">IFERROR(INDEX(Population!$CH$3:$CH$178,'IMS Seg. Table'!$A17,1),"")</f>
        <v>27398</v>
      </c>
      <c r="F17" s="552">
        <f>IFERROR('IMS Seg. Table'!$D17/'IMS Seg. Table'!$E17,"")</f>
        <v>105.85615738375064</v>
      </c>
      <c r="G17" s="575" cm="1">
        <f t="array" ref="G17">IFERROR(INDEX('Country Competitivness'!$CL$4:$CX$178,Tabela2[[#This Row],[ID]],'Config!'!$AZ$17+1),".")</f>
        <v>141.92896135298901</v>
      </c>
      <c r="H17" s="540" cm="1">
        <f t="array" ref="H17">INDEX(GDP!$G$3:$S$177,'IMS Seg. Table'!$A17,'Config!'!$BA$15-2010+1)*1000000000</f>
        <v>12319784886.203764</v>
      </c>
      <c r="I17" s="539">
        <f t="shared" si="27"/>
        <v>4247.8398861213418</v>
      </c>
      <c r="J17" s="576">
        <f>IFERROR(INDEX('Income Tax Rate (%)'!$F$2:$P$176,Tabela2[[#This Row],[ID]],'Config!'!$BA$15-2010+1)/100,"")</f>
        <v>0.1</v>
      </c>
      <c r="K17" s="577">
        <f>IFERROR(INDEX('Tariff Rate (%)'!$F$2:$P$176,Tabela2[[#This Row],[ID]],'Config!'!$BA$15-2010+1)/100,"")</f>
        <v>1.26E-2</v>
      </c>
      <c r="L17" s="577">
        <f>IFERROR(INDEX('Corporate Tax Rate (%)'!$F$2:$P$176,Tabela2[[#This Row],[ID]],'Config!'!$BA$15-2010+1)/100,"")</f>
        <v>0.1</v>
      </c>
      <c r="M17" s="527" cm="1">
        <f t="array" ref="M17">INDEX('Score-Starting a business'!$F$2:$P$176,'IMS Seg. Table'!$A17,'Config!'!$BA$15-2010+1)</f>
        <v>87.600000000000009</v>
      </c>
      <c r="N17" s="527" cm="1">
        <f t="array" ref="N17">IFERROR(INDEX('Country Competitivness'!$AX$4:$BH$178,Tabela2[[#This Row],[ID]],'Config!'!$BA$15-2010+1),"")</f>
        <v>4.4081844298780481</v>
      </c>
      <c r="O17" s="527" cm="1">
        <f t="array" ref="O17">IFERROR(INDEX('Country Competitivness'!$EE$4:$EO$178,Tabela2[[#This Row],[ID]],'Config!'!$BA$15-2010+1),"")</f>
        <v>4.2032235420731698</v>
      </c>
      <c r="P17" s="527" cm="1">
        <f t="array" ref="P17">IFERROR(INDEX('Country Competitivness'!$H$4:$R$178,Tabela2[[#This Row],[ID]],'Config!'!$BA$15-2010+1),"")</f>
        <v>3.7817171517971762</v>
      </c>
      <c r="Q17" s="527" cm="1">
        <f t="array" ref="Q17">IFERROR(INDEX('Country Competitivness'!$AJ$4:$AT$178,Tabela2[[#This Row],[ID]],MAX(1,'Config!'!$BA$15-2010)),"")</f>
        <v>4.8530024065040651</v>
      </c>
      <c r="R17" s="527" cm="1">
        <f t="array" ref="R17">IFERROR(INDEX('Country Competitivness'!$BM$4:$BW$178,Tabela2[[#This Row],[ID]],'Config!'!$BA$15-2010+1),"")</f>
        <v>3.5188906981707317</v>
      </c>
      <c r="S17" s="578" t="str" cm="1">
        <f t="array" ref="S1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" s="537" t="str" cm="1">
        <f t="array" ref="T17">IF('Config!'!$BA$15=2010,".",IF(INDEX('Result data'!$R$216:$AA$390,'IMS Seg. Table'!$A17,'Config!'!$BA$15-2010)=".",".",INDEX('Result data'!$R$216:$AA$390,'IMS Seg. Table'!$A17,'Config!'!$BA$15-2010)))</f>
        <v>.</v>
      </c>
      <c r="U17" s="579" t="str">
        <f t="shared" si="28"/>
        <v>.</v>
      </c>
      <c r="V17" s="530" t="str" cm="1">
        <f t="array" ref="V17">IF(Tabela2[[#This Row],[Market Penetration (Category)]]=".",".",INDEX('Result data'!$BS$216:$CB$390,'IMS Seg. Table'!$A17,'Config!'!$BA$15-2010))</f>
        <v>.</v>
      </c>
      <c r="W17" s="563" t="str">
        <f>IF(Tabela2[[#This Row],[Market Demand (U$ millions)]]=".",".",Tabela2[[#This Row],[Market Demand (U$ millions)]]/Tabela2[[#This Row],[Active users (thousands)]])</f>
        <v>.</v>
      </c>
      <c r="X17" s="580" cm="1">
        <f t="array" ref="X17">IF('Config!'!$BA$15=2010,".",IF(INDEX('Result data'!$AE$216:$AN$390,'IMS Seg. Table'!$A17,'Config!'!$BA$15-2010)=".",0,INDEX('Result data'!$AE$216:$AN$390,'IMS Seg. Table'!$A17,'Config!'!$BA$15-2010)))</f>
        <v>0</v>
      </c>
      <c r="Y17" s="563" t="str">
        <f>IF('Config!'!$BA$15=2010,".",IF(Tabela2[[#This Row],[Number of competitors]]=0,".",SUMIF('Result data'!$N$216:$N$390,Tabela2[[#This Row],[ID]],'Result data'!$CP$216:$CP$393)))</f>
        <v>.</v>
      </c>
      <c r="Z17" s="563" t="str">
        <f>IF('Config!'!$BA$15=2010,".",IF(Tabela2[[#This Row],[Number of competitors]]=0,".",SUMIF('Result data'!$N$216:$N$390,Tabela2[[#This Row],[ID]],'Result data'!$DA$216:$DA$393)))</f>
        <v>.</v>
      </c>
      <c r="AA17" s="530" t="str" cm="1">
        <f t="array" ref="AA1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" s="530" t="str" cm="1">
        <f t="array" ref="AB1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" s="530" t="str" cm="1">
        <f t="array" ref="AD1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" s="530" t="str" cm="1">
        <f t="array" ref="AE1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" s="530" t="str" cm="1">
        <f t="array" ref="AF1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8" spans="1:32" x14ac:dyDescent="0.3">
      <c r="A18" s="568">
        <f>'Config!'!C4</f>
        <v>60</v>
      </c>
      <c r="B18" s="536" t="str">
        <f>'Config!'!A4</f>
        <v>Alemanha</v>
      </c>
      <c r="C18" s="536" t="str">
        <f>'Config!'!B4</f>
        <v>União Européia</v>
      </c>
      <c r="D18" s="538" cm="1">
        <f t="array" ref="D18">IFERROR(INDEX(Population!$BD$3:$BN$177,'IMS Seg. Table'!$A18,'Config!'!$BA$15-2010+1),"")</f>
        <v>80425823</v>
      </c>
      <c r="E18" s="551" cm="1">
        <f t="array" ref="E18">IFERROR(INDEX(Population!$CH$3:$CH$178,'IMS Seg. Table'!$A18,1),"")</f>
        <v>348672</v>
      </c>
      <c r="F18" s="552">
        <f>IFERROR('IMS Seg. Table'!$D18/'IMS Seg. Table'!$E18,"")</f>
        <v>230.66326805708516</v>
      </c>
      <c r="G18" s="575" cm="1">
        <f t="array" ref="G18">IFERROR(INDEX('Country Competitivness'!$CL$4:$CX$178,Tabela2[[#This Row],[ID]],'Config!'!$AZ$17+1),".")</f>
        <v>127.043582473502</v>
      </c>
      <c r="H18" s="540" cm="1">
        <f t="array" ref="H18">INDEX(GDP!$G$3:$S$177,'IMS Seg. Table'!$A18,'Config!'!$BA$15-2010+1)*1000000000</f>
        <v>3543983909148.0068</v>
      </c>
      <c r="I18" s="539">
        <f t="shared" si="27"/>
        <v>44065.248908276721</v>
      </c>
      <c r="J18" s="576">
        <f>IFERROR(INDEX('Income Tax Rate (%)'!$F$2:$P$176,Tabela2[[#This Row],[ID]],'Config!'!$BA$15-2010+1)/100,"")</f>
        <v>0.47499999999999998</v>
      </c>
      <c r="K18" s="577">
        <f>IFERROR(INDEX('Tariff Rate (%)'!$F$2:$P$176,Tabela2[[#This Row],[ID]],'Config!'!$BA$15-2010+1)/100,"")</f>
        <v>1.09E-2</v>
      </c>
      <c r="L18" s="577">
        <f>IFERROR(INDEX('Corporate Tax Rate (%)'!$F$2:$P$176,Tabela2[[#This Row],[ID]],'Config!'!$BA$15-2010+1)/100,"")</f>
        <v>0.158</v>
      </c>
      <c r="M18" s="527" cm="1">
        <f t="array" ref="M18">INDEX('Score-Starting a business'!$F$2:$P$176,'IMS Seg. Table'!$A18,'Config!'!$BA$15-2010+1)</f>
        <v>81.600000000000009</v>
      </c>
      <c r="N18" s="527" cm="1">
        <f t="array" ref="N18">IFERROR(INDEX('Country Competitivness'!$AX$4:$BH$178,Tabela2[[#This Row],[ID]],'Config!'!$BA$15-2010+1),"")</f>
        <v>3.0497714429447851</v>
      </c>
      <c r="O18" s="527" cm="1">
        <f t="array" ref="O18">IFERROR(INDEX('Country Competitivness'!$EE$4:$EO$178,Tabela2[[#This Row],[ID]],'Config!'!$BA$15-2010+1),"")</f>
        <v>6.1531938184049064</v>
      </c>
      <c r="P18" s="527" cm="1">
        <f t="array" ref="P18">IFERROR(INDEX('Country Competitivness'!$H$4:$R$178,Tabela2[[#This Row],[ID]],'Config!'!$BA$15-2010+1),"")</f>
        <v>5.6644535687439443</v>
      </c>
      <c r="Q18" s="527" cm="1">
        <f t="array" ref="Q18">IFERROR(INDEX('Country Competitivness'!$AJ$4:$AT$178,Tabela2[[#This Row],[ID]],MAX(1,'Config!'!$BA$15-2010)),"")</f>
        <v>5.4761463918200404</v>
      </c>
      <c r="R18" s="527" cm="1">
        <f t="array" ref="R18">IFERROR(INDEX('Country Competitivness'!$BM$4:$BW$178,Tabela2[[#This Row],[ID]],'Config!'!$BA$15-2010+1),"")</f>
        <v>4.3222041779141103</v>
      </c>
      <c r="S18" s="578" cm="1">
        <f t="array" ref="S1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2011</v>
      </c>
      <c r="T18" s="537" cm="1">
        <f t="array" ref="T18">IF('Config!'!$BA$15=2010,".",IF(INDEX('Result data'!$R$216:$AA$390,'IMS Seg. Table'!$A18,'Config!'!$BA$15-2010)=".",".",INDEX('Result data'!$R$216:$AA$390,'IMS Seg. Table'!$A18,'Config!'!$BA$15-2010)))</f>
        <v>3460121</v>
      </c>
      <c r="U18" s="579">
        <f t="shared" si="28"/>
        <v>4.3022512806614364E-2</v>
      </c>
      <c r="V18" s="530" cm="1">
        <f t="array" ref="V18">IF(Tabela2[[#This Row],[Market Penetration (Category)]]=".",".",INDEX('Result data'!$BS$216:$CB$390,'IMS Seg. Table'!$A18,'Config!'!$BA$15-2010))</f>
        <v>67279097.65035364</v>
      </c>
      <c r="W18" s="563">
        <f>IF(Tabela2[[#This Row],[Market Demand (U$ millions)]]=".",".",Tabela2[[#This Row],[Market Demand (U$ millions)]]/Tabela2[[#This Row],[Active users (thousands)]])</f>
        <v>19.444145927368911</v>
      </c>
      <c r="X18" s="580" cm="1">
        <f t="array" ref="X18">IF('Config!'!$BA$15=2010,".",IF(INDEX('Result data'!$AE$216:$AN$390,'IMS Seg. Table'!$A18,'Config!'!$BA$15-2010)=".",0,INDEX('Result data'!$AE$216:$AN$390,'IMS Seg. Table'!$A18,'Config!'!$BA$15-2010)))</f>
        <v>3</v>
      </c>
      <c r="Y18" s="563">
        <f>IF('Config!'!$BA$15=2010,".",IF(Tabela2[[#This Row],[Number of competitors]]=0,".",SUMIF('Result data'!$N$216:$N$390,Tabela2[[#This Row],[ID]],'Result data'!$CP$216:$CP$393)))</f>
        <v>3.9397662572613328</v>
      </c>
      <c r="Z18" s="563">
        <f>IF('Config!'!$BA$15=2010,".",IF(Tabela2[[#This Row],[Number of competitors]]=0,".",SUMIF('Result data'!$N$216:$N$390,Tabela2[[#This Row],[ID]],'Result data'!$DA$216:$DA$393)))</f>
        <v>3.0814600369293998</v>
      </c>
      <c r="AA18" s="530" cm="1">
        <f t="array" ref="AA1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314701.29309732211</v>
      </c>
      <c r="AB18" s="530" cm="1">
        <f t="array" ref="AB1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706765.27087523765</v>
      </c>
      <c r="AC18" s="530">
        <f>IF('Config!'!$BA$15=2010,".",IF(Tabela2[[#This Row],[Local Marketing and Sales Expenses (millions)]]=".",".",SUM(Tabela2[[#This Row],[Global Marketing and Sales Expenses (millions)]:[Local Marketing and Sales Expenses (millions)]])))</f>
        <v>1021466.5639725598</v>
      </c>
      <c r="AD18" s="530" cm="1">
        <f t="array" ref="AD1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12539962.31087485</v>
      </c>
      <c r="AE18" s="530" cm="1">
        <f t="array" ref="AE1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5982225.6086044572</v>
      </c>
      <c r="AF18" s="530" cm="1">
        <f t="array" ref="AF1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19" spans="1:32" x14ac:dyDescent="0.3">
      <c r="A19" s="569">
        <f>'Config!'!C5</f>
        <v>4</v>
      </c>
      <c r="B19" s="536" t="str">
        <f>'Config!'!A5</f>
        <v>Angola</v>
      </c>
      <c r="C19" s="536" t="str">
        <f>'Config!'!B5</f>
        <v>África Subsaariana</v>
      </c>
      <c r="D19" s="538" cm="1">
        <f t="array" ref="D19">IFERROR(INDEX(Population!$BD$3:$BN$177,'IMS Seg. Table'!$A19,'Config!'!$BA$15-2010+1),"")</f>
        <v>22685632</v>
      </c>
      <c r="E19" s="551" cm="1">
        <f t="array" ref="E19">IFERROR(INDEX(Population!$CH$3:$CH$178,'IMS Seg. Table'!$A19,1),"")</f>
        <v>1246700</v>
      </c>
      <c r="F19" s="552">
        <f>IFERROR('IMS Seg. Table'!$D19/'IMS Seg. Table'!$E19,"")</f>
        <v>18.196544477420389</v>
      </c>
      <c r="G19" s="575" cm="1">
        <f t="array" ref="G19">IFERROR(INDEX('Country Competitivness'!$CL$4:$CX$178,Tabela2[[#This Row],[ID]],'Config!'!$AZ$17+1),".")</f>
        <v>46.689241623166502</v>
      </c>
      <c r="H19" s="540" cm="1">
        <f t="array" ref="H19">INDEX(GDP!$G$3:$S$177,'IMS Seg. Table'!$A19,'Config!'!$BA$15-2010+1)*1000000000</f>
        <v>128052853643.10555</v>
      </c>
      <c r="I19" s="539">
        <f t="shared" si="27"/>
        <v>5644.6676752539024</v>
      </c>
      <c r="J19" s="576">
        <f>IFERROR(INDEX('Income Tax Rate (%)'!$F$2:$P$176,Tabela2[[#This Row],[ID]],'Config!'!$BA$15-2010+1)/100,"")</f>
        <v>0.17</v>
      </c>
      <c r="K19" s="577">
        <f>IFERROR(INDEX('Tariff Rate (%)'!$F$2:$P$176,Tabela2[[#This Row],[ID]],'Config!'!$BA$15-2010+1)/100,"")</f>
        <v>7.4400000000000008E-2</v>
      </c>
      <c r="L19" s="577">
        <f>IFERROR(INDEX('Corporate Tax Rate (%)'!$F$2:$P$176,Tabela2[[#This Row],[ID]],'Config!'!$BA$15-2010+1)/100,"")</f>
        <v>0.3</v>
      </c>
      <c r="M19" s="527" cm="1">
        <f t="array" ref="M19">INDEX('Score-Starting a business'!$F$2:$P$176,'IMS Seg. Table'!$A19,'Config!'!$BA$15-2010+1)</f>
        <v>51.28</v>
      </c>
      <c r="N19" s="527" cm="1">
        <f t="array" ref="N19">IFERROR(INDEX('Country Competitivness'!$AX$4:$BH$178,Tabela2[[#This Row],[ID]],'Config!'!$BA$15-2010+1),"")</f>
        <v>2.0543677437500003</v>
      </c>
      <c r="O19" s="527" cm="1">
        <f t="array" ref="O19">IFERROR(INDEX('Country Competitivness'!$EE$4:$EO$178,Tabela2[[#This Row],[ID]],'Config!'!$BA$15-2010+1),"")</f>
        <v>2.4681746109375</v>
      </c>
      <c r="P19" s="527" cm="1">
        <f t="array" ref="P19">IFERROR(INDEX('Country Competitivness'!$H$4:$R$178,Tabela2[[#This Row],[ID]],'Config!'!$BA$15-2010+1),"")</f>
        <v>2.4155843899671052</v>
      </c>
      <c r="Q19" s="527" cm="1">
        <f t="array" ref="Q19">IFERROR(INDEX('Country Competitivness'!$AJ$4:$AT$178,Tabela2[[#This Row],[ID]],MAX(1,'Config!'!$BA$15-2010)),"")</f>
        <v>3.9204533036458336</v>
      </c>
      <c r="R19" s="527" cm="1">
        <f t="array" ref="R19">IFERROR(INDEX('Country Competitivness'!$BM$4:$BW$178,Tabela2[[#This Row],[ID]],'Config!'!$BA$15-2010+1),"")</f>
        <v>2.7935170390624999</v>
      </c>
      <c r="S19" s="578" t="str" cm="1">
        <f t="array" ref="S1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9" s="537" t="str" cm="1">
        <f t="array" ref="T19">IF('Config!'!$BA$15=2010,".",IF(INDEX('Result data'!$R$216:$AA$390,'IMS Seg. Table'!$A19,'Config!'!$BA$15-2010)=".",".",INDEX('Result data'!$R$216:$AA$390,'IMS Seg. Table'!$A19,'Config!'!$BA$15-2010)))</f>
        <v>.</v>
      </c>
      <c r="U19" s="579" t="str">
        <f t="shared" si="28"/>
        <v>.</v>
      </c>
      <c r="V19" s="530" t="str" cm="1">
        <f t="array" ref="V19">IF(Tabela2[[#This Row],[Market Penetration (Category)]]=".",".",INDEX('Result data'!$BS$216:$CB$390,'IMS Seg. Table'!$A19,'Config!'!$BA$15-2010))</f>
        <v>.</v>
      </c>
      <c r="W19" s="563" t="str">
        <f>IF(Tabela2[[#This Row],[Market Demand (U$ millions)]]=".",".",Tabela2[[#This Row],[Market Demand (U$ millions)]]/Tabela2[[#This Row],[Active users (thousands)]])</f>
        <v>.</v>
      </c>
      <c r="X19" s="580" cm="1">
        <f t="array" ref="X19">IF('Config!'!$BA$15=2010,".",IF(INDEX('Result data'!$AE$216:$AN$390,'IMS Seg. Table'!$A19,'Config!'!$BA$15-2010)=".",0,INDEX('Result data'!$AE$216:$AN$390,'IMS Seg. Table'!$A19,'Config!'!$BA$15-2010)))</f>
        <v>0</v>
      </c>
      <c r="Y19" s="563" t="str">
        <f>IF('Config!'!$BA$15=2010,".",IF(Tabela2[[#This Row],[Number of competitors]]=0,".",SUMIF('Result data'!$N$216:$N$390,Tabela2[[#This Row],[ID]],'Result data'!$CP$216:$CP$393)))</f>
        <v>.</v>
      </c>
      <c r="Z19" s="563" t="str">
        <f>IF('Config!'!$BA$15=2010,".",IF(Tabela2[[#This Row],[Number of competitors]]=0,".",SUMIF('Result data'!$N$216:$N$390,Tabela2[[#This Row],[ID]],'Result data'!$DA$216:$DA$393)))</f>
        <v>.</v>
      </c>
      <c r="AA19" s="530" t="str" cm="1">
        <f t="array" ref="AA1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9" s="530" t="str" cm="1">
        <f t="array" ref="AB1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9" s="530" t="str" cm="1">
        <f t="array" ref="AD1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9" s="530" t="str" cm="1">
        <f t="array" ref="AE1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9" s="530" t="str" cm="1">
        <f t="array" ref="AF1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0" spans="1:32" x14ac:dyDescent="0.3">
      <c r="A20" s="568">
        <f>'Config!'!C6</f>
        <v>134</v>
      </c>
      <c r="B20" s="536" t="str">
        <f>'Config!'!A6</f>
        <v>Arábia Saudita</v>
      </c>
      <c r="C20" s="536" t="str">
        <f>'Config!'!B6</f>
        <v>Oriente médio</v>
      </c>
      <c r="D20" s="538" cm="1">
        <f t="array" ref="D20">IFERROR(INDEX(Population!$BD$3:$BN$177,'IMS Seg. Table'!$A20,'Config!'!$BA$15-2010+1),"")</f>
        <v>29496047</v>
      </c>
      <c r="E20" s="551" cm="1">
        <f t="array" ref="E20">IFERROR(INDEX(Population!$CH$3:$CH$178,'IMS Seg. Table'!$A20,1),"")</f>
        <v>2149690</v>
      </c>
      <c r="F20" s="552">
        <f>IFERROR('IMS Seg. Table'!$D20/'IMS Seg. Table'!$E20,"")</f>
        <v>13.721070014746312</v>
      </c>
      <c r="G20" s="575" cm="1">
        <f t="array" ref="G20">IFERROR(INDEX('Country Competitivness'!$CL$4:$CX$178,Tabela2[[#This Row],[ID]],'Config!'!$AZ$17+1),".")</f>
        <v>187.861459629644</v>
      </c>
      <c r="H20" s="540" cm="1">
        <f t="array" ref="H20">INDEX(GDP!$G$3:$S$177,'IMS Seg. Table'!$A20,'Config!'!$BA$15-2010+1)*1000000000</f>
        <v>735974843360</v>
      </c>
      <c r="I20" s="539">
        <f t="shared" si="27"/>
        <v>24951.643295116799</v>
      </c>
      <c r="J20" s="576">
        <f>IFERROR(INDEX('Income Tax Rate (%)'!$F$2:$P$176,Tabela2[[#This Row],[ID]],'Config!'!$BA$15-2010+1)/100,"")</f>
        <v>2.5000000000000001E-2</v>
      </c>
      <c r="K20" s="577">
        <f>IFERROR(INDEX('Tariff Rate (%)'!$F$2:$P$176,Tabela2[[#This Row],[ID]],'Config!'!$BA$15-2010+1)/100,"")</f>
        <v>5.5E-2</v>
      </c>
      <c r="L20" s="577">
        <f>IFERROR(INDEX('Corporate Tax Rate (%)'!$F$2:$P$176,Tabela2[[#This Row],[ID]],'Config!'!$BA$15-2010+1)/100,"")</f>
        <v>2.5000000000000001E-2</v>
      </c>
      <c r="M20" s="527" cm="1">
        <f t="array" ref="M20">INDEX('Score-Starting a business'!$F$2:$P$176,'IMS Seg. Table'!$A20,'Config!'!$BA$15-2010+1)</f>
        <v>73</v>
      </c>
      <c r="N20" s="527" cm="1">
        <f t="array" ref="N20">IFERROR(INDEX('Country Competitivness'!$AX$4:$BH$178,Tabela2[[#This Row],[ID]],'Config!'!$BA$15-2010+1),"")</f>
        <v>4.3861860000000004</v>
      </c>
      <c r="O20" s="527" cm="1">
        <f t="array" ref="O20">IFERROR(INDEX('Country Competitivness'!$EE$4:$EO$178,Tabela2[[#This Row],[ID]],'Config!'!$BA$15-2010+1),"")</f>
        <v>5.8412730000000002</v>
      </c>
      <c r="P20" s="527" cm="1">
        <f t="array" ref="P20">IFERROR(INDEX('Country Competitivness'!$H$4:$R$178,Tabela2[[#This Row],[ID]],'Config!'!$BA$15-2010+1),"")</f>
        <v>5.1086397368421048</v>
      </c>
      <c r="Q20" s="527" cm="1">
        <f t="array" ref="Q20">IFERROR(INDEX('Country Competitivness'!$AJ$4:$AT$178,Tabela2[[#This Row],[ID]],MAX(1,'Config!'!$BA$15-2010)),"")</f>
        <v>5.6652553333333335</v>
      </c>
      <c r="R20" s="527" cm="1">
        <f t="array" ref="R20">IFERROR(INDEX('Country Competitivness'!$BM$4:$BW$178,Tabela2[[#This Row],[ID]],'Config!'!$BA$15-2010+1),"")</f>
        <v>4.5111400000000001</v>
      </c>
      <c r="S20" s="578" t="str" cm="1">
        <f t="array" ref="S2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0" s="537" t="str" cm="1">
        <f t="array" ref="T20">IF('Config!'!$BA$15=2010,".",IF(INDEX('Result data'!$R$216:$AA$390,'IMS Seg. Table'!$A20,'Config!'!$BA$15-2010)=".",".",INDEX('Result data'!$R$216:$AA$390,'IMS Seg. Table'!$A20,'Config!'!$BA$15-2010)))</f>
        <v>.</v>
      </c>
      <c r="U20" s="579" t="str">
        <f t="shared" si="28"/>
        <v>.</v>
      </c>
      <c r="V20" s="530" t="str" cm="1">
        <f t="array" ref="V20">IF(Tabela2[[#This Row],[Market Penetration (Category)]]=".",".",INDEX('Result data'!$BS$216:$CB$390,'IMS Seg. Table'!$A20,'Config!'!$BA$15-2010))</f>
        <v>.</v>
      </c>
      <c r="W20" s="563" t="str">
        <f>IF(Tabela2[[#This Row],[Market Demand (U$ millions)]]=".",".",Tabela2[[#This Row],[Market Demand (U$ millions)]]/Tabela2[[#This Row],[Active users (thousands)]])</f>
        <v>.</v>
      </c>
      <c r="X20" s="580" cm="1">
        <f t="array" ref="X20">IF('Config!'!$BA$15=2010,".",IF(INDEX('Result data'!$AE$216:$AN$390,'IMS Seg. Table'!$A20,'Config!'!$BA$15-2010)=".",0,INDEX('Result data'!$AE$216:$AN$390,'IMS Seg. Table'!$A20,'Config!'!$BA$15-2010)))</f>
        <v>0</v>
      </c>
      <c r="Y20" s="563" t="str">
        <f>IF('Config!'!$BA$15=2010,".",IF(Tabela2[[#This Row],[Number of competitors]]=0,".",SUMIF('Result data'!$N$216:$N$390,Tabela2[[#This Row],[ID]],'Result data'!$CP$216:$CP$393)))</f>
        <v>.</v>
      </c>
      <c r="Z20" s="563" t="str">
        <f>IF('Config!'!$BA$15=2010,".",IF(Tabela2[[#This Row],[Number of competitors]]=0,".",SUMIF('Result data'!$N$216:$N$390,Tabela2[[#This Row],[ID]],'Result data'!$DA$216:$DA$393)))</f>
        <v>.</v>
      </c>
      <c r="AA20" s="530" t="str" cm="1">
        <f t="array" ref="AA2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0" s="530" t="str" cm="1">
        <f t="array" ref="AB2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0" s="530" t="str" cm="1">
        <f t="array" ref="AD2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0" s="530" t="str" cm="1">
        <f t="array" ref="AE2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0" s="530" t="str" cm="1">
        <f t="array" ref="AF2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1" spans="1:32" x14ac:dyDescent="0.3">
      <c r="A21" s="569">
        <f>'Config!'!C7</f>
        <v>2</v>
      </c>
      <c r="B21" s="536" t="str">
        <f>'Config!'!A7</f>
        <v>Argélia</v>
      </c>
      <c r="C21" s="536" t="str">
        <f>'Config!'!B7</f>
        <v>Oriente médio</v>
      </c>
      <c r="D21" s="538" cm="1">
        <f t="array" ref="D21">IFERROR(INDEX(Population!$BD$3:$BN$177,'IMS Seg. Table'!$A21,'Config!'!$BA$15-2010+1),"")</f>
        <v>37439427</v>
      </c>
      <c r="E21" s="551" cm="1">
        <f t="array" ref="E21">IFERROR(INDEX(Population!$CH$3:$CH$178,'IMS Seg. Table'!$A21,1),"")</f>
        <v>2381741</v>
      </c>
      <c r="F21" s="552">
        <f>IFERROR('IMS Seg. Table'!$D21/'IMS Seg. Table'!$E21,"")</f>
        <v>15.719352775973542</v>
      </c>
      <c r="G21" s="575" cm="1">
        <f t="array" ref="G21">IFERROR(INDEX('Country Competitivness'!$CL$4:$CX$178,Tabela2[[#This Row],[ID]],'Config!'!$AZ$17+1),".")</f>
        <v>92.421260752728202</v>
      </c>
      <c r="H21" s="540" cm="1">
        <f t="array" ref="H21">INDEX(GDP!$G$3:$S$177,'IMS Seg. Table'!$A21,'Config!'!$BA$15-2010+1)*1000000000</f>
        <v>209058991952.12546</v>
      </c>
      <c r="I21" s="539">
        <f t="shared" si="27"/>
        <v>5583.9260561366355</v>
      </c>
      <c r="J21" s="576">
        <f>IFERROR(INDEX('Income Tax Rate (%)'!$F$2:$P$176,Tabela2[[#This Row],[ID]],'Config!'!$BA$15-2010+1)/100,"")</f>
        <v>0.35</v>
      </c>
      <c r="K21" s="577">
        <f>IFERROR(INDEX('Tariff Rate (%)'!$F$2:$P$176,Tabela2[[#This Row],[ID]],'Config!'!$BA$15-2010+1)/100,"")</f>
        <v>0.121</v>
      </c>
      <c r="L21" s="577">
        <f>IFERROR(INDEX('Corporate Tax Rate (%)'!$F$2:$P$176,Tabela2[[#This Row],[ID]],'Config!'!$BA$15-2010+1)/100,"")</f>
        <v>0.25</v>
      </c>
      <c r="M21" s="527" cm="1">
        <f t="array" ref="M21">INDEX('Score-Starting a business'!$F$2:$P$176,'IMS Seg. Table'!$A21,'Config!'!$BA$15-2010+1)</f>
        <v>73.53</v>
      </c>
      <c r="N21" s="527" cm="1">
        <f t="array" ref="N21">IFERROR(INDEX('Country Competitivness'!$AX$4:$BH$178,Tabela2[[#This Row],[ID]],'Config!'!$BA$15-2010+1),"")</f>
        <v>2.2619648260869565</v>
      </c>
      <c r="O21" s="527" cm="1">
        <f t="array" ref="O21">IFERROR(INDEX('Country Competitivness'!$EE$4:$EO$178,Tabela2[[#This Row],[ID]],'Config!'!$BA$15-2010+1),"")</f>
        <v>3.7631398869565222</v>
      </c>
      <c r="P21" s="527" cm="1">
        <f t="array" ref="P21">IFERROR(INDEX('Country Competitivness'!$H$4:$R$178,Tabela2[[#This Row],[ID]],'Config!'!$BA$15-2010+1),"")</f>
        <v>2.9344473954233412</v>
      </c>
      <c r="Q21" s="527" cm="1">
        <f t="array" ref="Q21">IFERROR(INDEX('Country Competitivness'!$AJ$4:$AT$178,Tabela2[[#This Row],[ID]],MAX(1,'Config!'!$BA$15-2010)),"")</f>
        <v>3.8434596347826093</v>
      </c>
      <c r="R21" s="527" cm="1">
        <f t="array" ref="R21">IFERROR(INDEX('Country Competitivness'!$BM$4:$BW$178,Tabela2[[#This Row],[ID]],'Config!'!$BA$15-2010+1),"")</f>
        <v>2.6894840608695652</v>
      </c>
      <c r="S21" s="578" t="str" cm="1">
        <f t="array" ref="S2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1" s="537" t="str" cm="1">
        <f t="array" ref="T21">IF('Config!'!$BA$15=2010,".",IF(INDEX('Result data'!$R$216:$AA$390,'IMS Seg. Table'!$A21,'Config!'!$BA$15-2010)=".",".",INDEX('Result data'!$R$216:$AA$390,'IMS Seg. Table'!$A21,'Config!'!$BA$15-2010)))</f>
        <v>.</v>
      </c>
      <c r="U21" s="579" t="str">
        <f t="shared" si="28"/>
        <v>.</v>
      </c>
      <c r="V21" s="530" t="str" cm="1">
        <f t="array" ref="V21">IF(Tabela2[[#This Row],[Market Penetration (Category)]]=".",".",INDEX('Result data'!$BS$216:$CB$390,'IMS Seg. Table'!$A21,'Config!'!$BA$15-2010))</f>
        <v>.</v>
      </c>
      <c r="W21" s="563" t="str">
        <f>IF(Tabela2[[#This Row],[Market Demand (U$ millions)]]=".",".",Tabela2[[#This Row],[Market Demand (U$ millions)]]/Tabela2[[#This Row],[Active users (thousands)]])</f>
        <v>.</v>
      </c>
      <c r="X21" s="580" cm="1">
        <f t="array" ref="X21">IF('Config!'!$BA$15=2010,".",IF(INDEX('Result data'!$AE$216:$AN$390,'IMS Seg. Table'!$A21,'Config!'!$BA$15-2010)=".",0,INDEX('Result data'!$AE$216:$AN$390,'IMS Seg. Table'!$A21,'Config!'!$BA$15-2010)))</f>
        <v>0</v>
      </c>
      <c r="Y21" s="563" t="str">
        <f>IF('Config!'!$BA$15=2010,".",IF(Tabela2[[#This Row],[Number of competitors]]=0,".",SUMIF('Result data'!$N$216:$N$390,Tabela2[[#This Row],[ID]],'Result data'!$CP$216:$CP$393)))</f>
        <v>.</v>
      </c>
      <c r="Z21" s="563" t="str">
        <f>IF('Config!'!$BA$15=2010,".",IF(Tabela2[[#This Row],[Number of competitors]]=0,".",SUMIF('Result data'!$N$216:$N$390,Tabela2[[#This Row],[ID]],'Result data'!$DA$216:$DA$393)))</f>
        <v>.</v>
      </c>
      <c r="AA21" s="530" t="str" cm="1">
        <f t="array" ref="AA2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1" s="530" t="str" cm="1">
        <f t="array" ref="AB2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1" s="530" t="str" cm="1">
        <f t="array" ref="AD2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1" s="530" t="str" cm="1">
        <f t="array" ref="AE2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1" s="530" t="str" cm="1">
        <f t="array" ref="AF2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2" spans="1:32" x14ac:dyDescent="0.3">
      <c r="A22" s="568">
        <f>'Config!'!C8</f>
        <v>6</v>
      </c>
      <c r="B22" s="536" t="str">
        <f>'Config!'!A8</f>
        <v>Argentina</v>
      </c>
      <c r="C22" s="536" t="str">
        <f>'Config!'!B8</f>
        <v>América do Sul</v>
      </c>
      <c r="D22" s="538" cm="1">
        <f t="array" ref="D22">IFERROR(INDEX(Population!$BD$3:$BN$177,'IMS Seg. Table'!$A22,'Config!'!$BA$15-2010+1),"")</f>
        <v>42095224</v>
      </c>
      <c r="E22" s="551" cm="1">
        <f t="array" ref="E22">IFERROR(INDEX(Population!$CH$3:$CH$178,'IMS Seg. Table'!$A22,1),"")</f>
        <v>2736690</v>
      </c>
      <c r="F22" s="552">
        <f>IFERROR('IMS Seg. Table'!$D22/'IMS Seg. Table'!$E22,"")</f>
        <v>15.381802104001549</v>
      </c>
      <c r="G22" s="575" cm="1">
        <f t="array" ref="G22">IFERROR(INDEX('Country Competitivness'!$CL$4:$CX$178,Tabela2[[#This Row],[ID]],'Config!'!$AZ$17+1),".")</f>
        <v>141.78824823366</v>
      </c>
      <c r="H22" s="540" cm="1">
        <f t="array" ref="H22">INDEX(GDP!$G$3:$S$177,'IMS Seg. Table'!$A22,'Config!'!$BA$15-2010+1)*1000000000</f>
        <v>545982375701.12805</v>
      </c>
      <c r="I22" s="539">
        <f t="shared" si="27"/>
        <v>12970.173901465118</v>
      </c>
      <c r="J22" s="576">
        <f>IFERROR(INDEX('Income Tax Rate (%)'!$F$2:$P$176,Tabela2[[#This Row],[ID]],'Config!'!$BA$15-2010+1)/100,"")</f>
        <v>0.35</v>
      </c>
      <c r="K22" s="577">
        <f>IFERROR(INDEX('Tariff Rate (%)'!$F$2:$P$176,Tabela2[[#This Row],[ID]],'Config!'!$BA$15-2010+1)/100,"")</f>
        <v>5.57E-2</v>
      </c>
      <c r="L22" s="577">
        <f>IFERROR(INDEX('Corporate Tax Rate (%)'!$F$2:$P$176,Tabela2[[#This Row],[ID]],'Config!'!$BA$15-2010+1)/100,"")</f>
        <v>0.35</v>
      </c>
      <c r="M22" s="527" cm="1">
        <f t="array" ref="M22">INDEX('Score-Starting a business'!$F$2:$P$176,'IMS Seg. Table'!$A22,'Config!'!$BA$15-2010+1)</f>
        <v>72.180000000000007</v>
      </c>
      <c r="N22" s="527" cm="1">
        <f t="array" ref="N22">IFERROR(INDEX('Country Competitivness'!$AX$4:$BH$178,Tabela2[[#This Row],[ID]],'Config!'!$BA$15-2010+1),"")</f>
        <v>2.4576076315789472</v>
      </c>
      <c r="O22" s="527" cm="1">
        <f t="array" ref="O22">IFERROR(INDEX('Country Competitivness'!$EE$4:$EO$178,Tabela2[[#This Row],[ID]],'Config!'!$BA$15-2010+1),"")</f>
        <v>3.1837715263157893</v>
      </c>
      <c r="P22" s="527" cm="1">
        <f t="array" ref="P22">IFERROR(INDEX('Country Competitivness'!$H$4:$R$178,Tabela2[[#This Row],[ID]],'Config!'!$BA$15-2010+1),"")</f>
        <v>3.7777251246537404</v>
      </c>
      <c r="Q22" s="527" cm="1">
        <f t="array" ref="Q22">IFERROR(INDEX('Country Competitivness'!$AJ$4:$AT$178,Tabela2[[#This Row],[ID]],MAX(1,'Config!'!$BA$15-2010)),"")</f>
        <v>4.3936838421052631</v>
      </c>
      <c r="R22" s="527" cm="1">
        <f t="array" ref="R22">IFERROR(INDEX('Country Competitivness'!$BM$4:$BW$178,Tabela2[[#This Row],[ID]],'Config!'!$BA$15-2010+1),"")</f>
        <v>3.4662411052631579</v>
      </c>
      <c r="S22" s="578" t="str" cm="1">
        <f t="array" ref="S2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2" s="537" t="str" cm="1">
        <f t="array" ref="T22">IF('Config!'!$BA$15=2010,".",IF(INDEX('Result data'!$R$216:$AA$390,'IMS Seg. Table'!$A22,'Config!'!$BA$15-2010)=".",".",INDEX('Result data'!$R$216:$AA$390,'IMS Seg. Table'!$A22,'Config!'!$BA$15-2010)))</f>
        <v>.</v>
      </c>
      <c r="U22" s="579" t="str">
        <f t="shared" si="28"/>
        <v>.</v>
      </c>
      <c r="V22" s="530" t="str" cm="1">
        <f t="array" ref="V22">IF(Tabela2[[#This Row],[Market Penetration (Category)]]=".",".",INDEX('Result data'!$BS$216:$CB$390,'IMS Seg. Table'!$A22,'Config!'!$BA$15-2010))</f>
        <v>.</v>
      </c>
      <c r="W22" s="563" t="str">
        <f>IF(Tabela2[[#This Row],[Market Demand (U$ millions)]]=".",".",Tabela2[[#This Row],[Market Demand (U$ millions)]]/Tabela2[[#This Row],[Active users (thousands)]])</f>
        <v>.</v>
      </c>
      <c r="X22" s="580" cm="1">
        <f t="array" ref="X22">IF('Config!'!$BA$15=2010,".",IF(INDEX('Result data'!$AE$216:$AN$390,'IMS Seg. Table'!$A22,'Config!'!$BA$15-2010)=".",0,INDEX('Result data'!$AE$216:$AN$390,'IMS Seg. Table'!$A22,'Config!'!$BA$15-2010)))</f>
        <v>0</v>
      </c>
      <c r="Y22" s="563" t="str">
        <f>IF('Config!'!$BA$15=2010,".",IF(Tabela2[[#This Row],[Number of competitors]]=0,".",SUMIF('Result data'!$N$216:$N$390,Tabela2[[#This Row],[ID]],'Result data'!$CP$216:$CP$393)))</f>
        <v>.</v>
      </c>
      <c r="Z22" s="563" t="str">
        <f>IF('Config!'!$BA$15=2010,".",IF(Tabela2[[#This Row],[Number of competitors]]=0,".",SUMIF('Result data'!$N$216:$N$390,Tabela2[[#This Row],[ID]],'Result data'!$DA$216:$DA$393)))</f>
        <v>.</v>
      </c>
      <c r="AA22" s="530" t="str" cm="1">
        <f t="array" ref="AA2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2" s="530" t="str" cm="1">
        <f t="array" ref="AB2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2" s="530" t="str" cm="1">
        <f t="array" ref="AD2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2" s="530" t="str" cm="1">
        <f t="array" ref="AE2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2" s="530" t="str" cm="1">
        <f t="array" ref="AF2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3" spans="1:32" x14ac:dyDescent="0.3">
      <c r="A23" s="569">
        <f>'Config!'!C9</f>
        <v>7</v>
      </c>
      <c r="B23" s="536" t="str">
        <f>'Config!'!A9</f>
        <v>Armênia</v>
      </c>
      <c r="C23" s="536" t="str">
        <f>'Config!'!B9</f>
        <v>Europa</v>
      </c>
      <c r="D23" s="538" cm="1">
        <f t="array" ref="D23">IFERROR(INDEX(Population!$BD$3:$BN$177,'IMS Seg. Table'!$A23,'Config!'!$BA$15-2010+1),"")</f>
        <v>2978339</v>
      </c>
      <c r="E23" s="551" cm="1">
        <f t="array" ref="E23">IFERROR(INDEX(Population!$CH$3:$CH$178,'IMS Seg. Table'!$A23,1),"")</f>
        <v>28203</v>
      </c>
      <c r="F23" s="552">
        <f>IFERROR('IMS Seg. Table'!$D23/'IMS Seg. Table'!$E23,"")</f>
        <v>105.60362372797221</v>
      </c>
      <c r="G23" s="575" cm="1">
        <f t="array" ref="G23">IFERROR(INDEX('Country Competitivness'!$CL$4:$CX$178,Tabela2[[#This Row],[ID]],'Config!'!$AZ$17+1),".")</f>
        <v>125.008570304961</v>
      </c>
      <c r="H23" s="540" cm="1">
        <f t="array" ref="H23">INDEX(GDP!$G$3:$S$177,'IMS Seg. Table'!$A23,'Config!'!$BA$15-2010+1)*1000000000</f>
        <v>10619320048.585737</v>
      </c>
      <c r="I23" s="539">
        <f t="shared" si="27"/>
        <v>3565.5175749253985</v>
      </c>
      <c r="J23" s="576">
        <f>IFERROR(INDEX('Income Tax Rate (%)'!$F$2:$P$176,Tabela2[[#This Row],[ID]],'Config!'!$BA$15-2010+1)/100,"")</f>
        <v>0.26</v>
      </c>
      <c r="K23" s="577">
        <f>IFERROR(INDEX('Tariff Rate (%)'!$F$2:$P$176,Tabela2[[#This Row],[ID]],'Config!'!$BA$15-2010+1)/100,"")</f>
        <v>2.2700000000000001E-2</v>
      </c>
      <c r="L23" s="577">
        <f>IFERROR(INDEX('Corporate Tax Rate (%)'!$F$2:$P$176,Tabela2[[#This Row],[ID]],'Config!'!$BA$15-2010+1)/100,"")</f>
        <v>0.2</v>
      </c>
      <c r="M23" s="527" cm="1">
        <f t="array" ref="M23">INDEX('Score-Starting a business'!$F$2:$P$176,'IMS Seg. Table'!$A23,'Config!'!$BA$15-2010+1)</f>
        <v>93.350000000000009</v>
      </c>
      <c r="N23" s="527" cm="1">
        <f t="array" ref="N23">IFERROR(INDEX('Country Competitivness'!$AX$4:$BH$178,Tabela2[[#This Row],[ID]],'Config!'!$BA$15-2010+1),"")</f>
        <v>3.4715783826086954</v>
      </c>
      <c r="O23" s="527" cm="1">
        <f t="array" ref="O23">IFERROR(INDEX('Country Competitivness'!$EE$4:$EO$178,Tabela2[[#This Row],[ID]],'Config!'!$BA$15-2010+1),"")</f>
        <v>3.3434140509316768</v>
      </c>
      <c r="P23" s="527" cm="1">
        <f t="array" ref="P23">IFERROR(INDEX('Country Competitivness'!$H$4:$R$178,Tabela2[[#This Row],[ID]],'Config!'!$BA$15-2010+1),"")</f>
        <v>3.4325125520758415</v>
      </c>
      <c r="Q23" s="527" cm="1">
        <f t="array" ref="Q23">IFERROR(INDEX('Country Competitivness'!$AJ$4:$AT$178,Tabela2[[#This Row],[ID]],MAX(1,'Config!'!$BA$15-2010)),"")</f>
        <v>4.3144226273291926</v>
      </c>
      <c r="R23" s="527" cm="1">
        <f t="array" ref="R23">IFERROR(INDEX('Country Competitivness'!$BM$4:$BW$178,Tabela2[[#This Row],[ID]],'Config!'!$BA$15-2010+1),"")</f>
        <v>3.4036074745341613</v>
      </c>
      <c r="S23" s="578" t="str" cm="1">
        <f t="array" ref="S2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3" s="537" t="str" cm="1">
        <f t="array" ref="T23">IF('Config!'!$BA$15=2010,".",IF(INDEX('Result data'!$R$216:$AA$390,'IMS Seg. Table'!$A23,'Config!'!$BA$15-2010)=".",".",INDEX('Result data'!$R$216:$AA$390,'IMS Seg. Table'!$A23,'Config!'!$BA$15-2010)))</f>
        <v>.</v>
      </c>
      <c r="U23" s="579" t="str">
        <f t="shared" si="28"/>
        <v>.</v>
      </c>
      <c r="V23" s="530" t="str" cm="1">
        <f t="array" ref="V23">IF(Tabela2[[#This Row],[Market Penetration (Category)]]=".",".",INDEX('Result data'!$BS$216:$CB$390,'IMS Seg. Table'!$A23,'Config!'!$BA$15-2010))</f>
        <v>.</v>
      </c>
      <c r="W23" s="563" t="str">
        <f>IF(Tabela2[[#This Row],[Market Demand (U$ millions)]]=".",".",Tabela2[[#This Row],[Market Demand (U$ millions)]]/Tabela2[[#This Row],[Active users (thousands)]])</f>
        <v>.</v>
      </c>
      <c r="X23" s="580" cm="1">
        <f t="array" ref="X23">IF('Config!'!$BA$15=2010,".",IF(INDEX('Result data'!$AE$216:$AN$390,'IMS Seg. Table'!$A23,'Config!'!$BA$15-2010)=".",0,INDEX('Result data'!$AE$216:$AN$390,'IMS Seg. Table'!$A23,'Config!'!$BA$15-2010)))</f>
        <v>0</v>
      </c>
      <c r="Y23" s="563" t="str">
        <f>IF('Config!'!$BA$15=2010,".",IF(Tabela2[[#This Row],[Number of competitors]]=0,".",SUMIF('Result data'!$N$216:$N$390,Tabela2[[#This Row],[ID]],'Result data'!$CP$216:$CP$393)))</f>
        <v>.</v>
      </c>
      <c r="Z23" s="563" t="str">
        <f>IF('Config!'!$BA$15=2010,".",IF(Tabela2[[#This Row],[Number of competitors]]=0,".",SUMIF('Result data'!$N$216:$N$390,Tabela2[[#This Row],[ID]],'Result data'!$DA$216:$DA$393)))</f>
        <v>.</v>
      </c>
      <c r="AA23" s="530" t="str" cm="1">
        <f t="array" ref="AA2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3" s="530" t="str" cm="1">
        <f t="array" ref="AB2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3" s="530" t="str" cm="1">
        <f t="array" ref="AD2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3" s="530" t="str" cm="1">
        <f t="array" ref="AE2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3" s="530" t="str" cm="1">
        <f t="array" ref="AF2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4" spans="1:32" x14ac:dyDescent="0.3">
      <c r="A24" s="568">
        <f>'Config!'!C10</f>
        <v>8</v>
      </c>
      <c r="B24" s="536" t="str">
        <f>'Config!'!A10</f>
        <v>Austrália</v>
      </c>
      <c r="C24" s="536" t="str">
        <f>'Config!'!B10</f>
        <v>Oceânia</v>
      </c>
      <c r="D24" s="538" cm="1">
        <f t="array" ref="D24">IFERROR(INDEX(Population!$BD$3:$BN$177,'IMS Seg. Table'!$A24,'Config!'!$BA$15-2010+1),"")</f>
        <v>22728254</v>
      </c>
      <c r="E24" s="551" cm="1">
        <f t="array" ref="E24">IFERROR(INDEX(Population!$CH$3:$CH$178,'IMS Seg. Table'!$A24,1),"")</f>
        <v>7682300</v>
      </c>
      <c r="F24" s="552">
        <f>IFERROR('IMS Seg. Table'!$D24/'IMS Seg. Table'!$E24,"")</f>
        <v>2.9585220571964124</v>
      </c>
      <c r="G24" s="575" cm="1">
        <f t="array" ref="G24">IFERROR(INDEX('Country Competitivness'!$CL$4:$CX$178,Tabela2[[#This Row],[ID]],'Config!'!$AZ$17+1),".")</f>
        <v>101.040111397396</v>
      </c>
      <c r="H24" s="540" cm="1">
        <f t="array" ref="H24">INDEX(GDP!$G$3:$S$177,'IMS Seg. Table'!$A24,'Config!'!$BA$15-2010+1)*1000000000</f>
        <v>1546151783872.9639</v>
      </c>
      <c r="I24" s="539">
        <f t="shared" si="27"/>
        <v>68027.741324650982</v>
      </c>
      <c r="J24" s="576">
        <f>IFERROR(INDEX('Income Tax Rate (%)'!$F$2:$P$176,Tabela2[[#This Row],[ID]],'Config!'!$BA$15-2010+1)/100,"")</f>
        <v>0.45</v>
      </c>
      <c r="K24" s="577">
        <f>IFERROR(INDEX('Tariff Rate (%)'!$F$2:$P$176,Tabela2[[#This Row],[ID]],'Config!'!$BA$15-2010+1)/100,"")</f>
        <v>1.8100000000000002E-2</v>
      </c>
      <c r="L24" s="577">
        <f>IFERROR(INDEX('Corporate Tax Rate (%)'!$F$2:$P$176,Tabela2[[#This Row],[ID]],'Config!'!$BA$15-2010+1)/100,"")</f>
        <v>0.3</v>
      </c>
      <c r="M24" s="527" cm="1">
        <f t="array" ref="M24">INDEX('Score-Starting a business'!$F$2:$P$176,'IMS Seg. Table'!$A24,'Config!'!$BA$15-2010+1)</f>
        <v>96.47</v>
      </c>
      <c r="N24" s="527" cm="1">
        <f t="array" ref="N24">IFERROR(INDEX('Country Competitivness'!$AX$4:$BH$178,Tabela2[[#This Row],[ID]],'Config!'!$BA$15-2010+1),"")</f>
        <v>3.1819717230769236</v>
      </c>
      <c r="O24" s="527" cm="1">
        <f t="array" ref="O24">IFERROR(INDEX('Country Competitivness'!$EE$4:$EO$178,Tabela2[[#This Row],[ID]],'Config!'!$BA$15-2010+1),"")</f>
        <v>5.1039058384615394</v>
      </c>
      <c r="P24" s="527" cm="1">
        <f t="array" ref="P24">IFERROR(INDEX('Country Competitivness'!$H$4:$R$178,Tabela2[[#This Row],[ID]],'Config!'!$BA$15-2010+1),"")</f>
        <v>4.6726778174089079</v>
      </c>
      <c r="Q24" s="527" cm="1">
        <f t="array" ref="Q24">IFERROR(INDEX('Country Competitivness'!$AJ$4:$AT$178,Tabela2[[#This Row],[ID]],MAX(1,'Config!'!$BA$15-2010)),"")</f>
        <v>5.67541618974359</v>
      </c>
      <c r="R24" s="527" cm="1">
        <f t="array" ref="R24">IFERROR(INDEX('Country Competitivness'!$BM$4:$BW$178,Tabela2[[#This Row],[ID]],'Config!'!$BA$15-2010+1),"")</f>
        <v>4.1864306461538465</v>
      </c>
      <c r="S24" s="578" t="str" cm="1">
        <f t="array" ref="S2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4" s="537" t="str" cm="1">
        <f t="array" ref="T24">IF('Config!'!$BA$15=2010,".",IF(INDEX('Result data'!$R$216:$AA$390,'IMS Seg. Table'!$A24,'Config!'!$BA$15-2010)=".",".",INDEX('Result data'!$R$216:$AA$390,'IMS Seg. Table'!$A24,'Config!'!$BA$15-2010)))</f>
        <v>.</v>
      </c>
      <c r="U24" s="579" t="str">
        <f t="shared" si="28"/>
        <v>.</v>
      </c>
      <c r="V24" s="530" t="str" cm="1">
        <f t="array" ref="V24">IF(Tabela2[[#This Row],[Market Penetration (Category)]]=".",".",INDEX('Result data'!$BS$216:$CB$390,'IMS Seg. Table'!$A24,'Config!'!$BA$15-2010))</f>
        <v>.</v>
      </c>
      <c r="W24" s="563" t="str">
        <f>IF(Tabela2[[#This Row],[Market Demand (U$ millions)]]=".",".",Tabela2[[#This Row],[Market Demand (U$ millions)]]/Tabela2[[#This Row],[Active users (thousands)]])</f>
        <v>.</v>
      </c>
      <c r="X24" s="580" cm="1">
        <f t="array" ref="X24">IF('Config!'!$BA$15=2010,".",IF(INDEX('Result data'!$AE$216:$AN$390,'IMS Seg. Table'!$A24,'Config!'!$BA$15-2010)=".",0,INDEX('Result data'!$AE$216:$AN$390,'IMS Seg. Table'!$A24,'Config!'!$BA$15-2010)))</f>
        <v>0</v>
      </c>
      <c r="Y24" s="563" t="str">
        <f>IF('Config!'!$BA$15=2010,".",IF(Tabela2[[#This Row],[Number of competitors]]=0,".",SUMIF('Result data'!$N$216:$N$390,Tabela2[[#This Row],[ID]],'Result data'!$CP$216:$CP$393)))</f>
        <v>.</v>
      </c>
      <c r="Z24" s="563" t="str">
        <f>IF('Config!'!$BA$15=2010,".",IF(Tabela2[[#This Row],[Number of competitors]]=0,".",SUMIF('Result data'!$N$216:$N$390,Tabela2[[#This Row],[ID]],'Result data'!$DA$216:$DA$393)))</f>
        <v>.</v>
      </c>
      <c r="AA24" s="530" t="str" cm="1">
        <f t="array" ref="AA2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4" s="530" t="str" cm="1">
        <f t="array" ref="AB2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4" s="530" t="str" cm="1">
        <f t="array" ref="AD2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4" s="530" t="str" cm="1">
        <f t="array" ref="AE2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4" s="530" t="str" cm="1">
        <f t="array" ref="AF2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5" spans="1:32" x14ac:dyDescent="0.3">
      <c r="A25" s="569">
        <f>'Config!'!C11</f>
        <v>9</v>
      </c>
      <c r="B25" s="536" t="str">
        <f>'Config!'!A11</f>
        <v>Áustria</v>
      </c>
      <c r="C25" s="536" t="str">
        <f>'Config!'!B11</f>
        <v>União Européia</v>
      </c>
      <c r="D25" s="538" cm="1">
        <f t="array" ref="D25">IFERROR(INDEX(Population!$BD$3:$BN$177,'IMS Seg. Table'!$A25,'Config!'!$BA$15-2010+1),"")</f>
        <v>8429991</v>
      </c>
      <c r="E25" s="551" cm="1">
        <f t="array" ref="E25">IFERROR(INDEX(Population!$CH$3:$CH$178,'IMS Seg. Table'!$A25,1),"")</f>
        <v>82445</v>
      </c>
      <c r="F25" s="552">
        <f>IFERROR('IMS Seg. Table'!$D25/'IMS Seg. Table'!$E25,"")</f>
        <v>102.24987567469222</v>
      </c>
      <c r="G25" s="575" cm="1">
        <f t="array" ref="G25">IFERROR(INDEX('Country Competitivness'!$CL$4:$CX$178,Tabela2[[#This Row],[ID]],'Config!'!$AZ$17+1),".")</f>
        <v>145.836540124885</v>
      </c>
      <c r="H25" s="540" cm="1">
        <f t="array" ref="H25">INDEX(GDP!$G$3:$S$177,'IMS Seg. Table'!$A25,'Config!'!$BA$15-2010+1)*1000000000</f>
        <v>409425234155.26318</v>
      </c>
      <c r="I25" s="539">
        <f t="shared" si="27"/>
        <v>48567.695286420021</v>
      </c>
      <c r="J25" s="576">
        <f>IFERROR(INDEX('Income Tax Rate (%)'!$F$2:$P$176,Tabela2[[#This Row],[ID]],'Config!'!$BA$15-2010+1)/100,"")</f>
        <v>0.5</v>
      </c>
      <c r="K25" s="577">
        <f>IFERROR(INDEX('Tariff Rate (%)'!$F$2:$P$176,Tabela2[[#This Row],[ID]],'Config!'!$BA$15-2010+1)/100,"")</f>
        <v>1.09E-2</v>
      </c>
      <c r="L25" s="577">
        <f>IFERROR(INDEX('Corporate Tax Rate (%)'!$F$2:$P$176,Tabela2[[#This Row],[ID]],'Config!'!$BA$15-2010+1)/100,"")</f>
        <v>0.25</v>
      </c>
      <c r="M25" s="527" cm="1">
        <f t="array" ref="M25">INDEX('Score-Starting a business'!$F$2:$P$176,'IMS Seg. Table'!$A25,'Config!'!$BA$15-2010+1)</f>
        <v>79.650000000000006</v>
      </c>
      <c r="N25" s="527" cm="1">
        <f t="array" ref="N25">IFERROR(INDEX('Country Competitivness'!$AX$4:$BH$178,Tabela2[[#This Row],[ID]],'Config!'!$BA$15-2010+1),"")</f>
        <v>3.5280673904761901</v>
      </c>
      <c r="O25" s="527" cm="1">
        <f t="array" ref="O25">IFERROR(INDEX('Country Competitivness'!$EE$4:$EO$178,Tabela2[[#This Row],[ID]],'Config!'!$BA$15-2010+1),"")</f>
        <v>6.2445974476190464</v>
      </c>
      <c r="P25" s="527" cm="1">
        <f t="array" ref="P25">IFERROR(INDEX('Country Competitivness'!$H$4:$R$178,Tabela2[[#This Row],[ID]],'Config!'!$BA$15-2010+1),"")</f>
        <v>5.4590849869674187</v>
      </c>
      <c r="Q25" s="527" cm="1">
        <f t="array" ref="Q25">IFERROR(INDEX('Country Competitivness'!$AJ$4:$AT$178,Tabela2[[#This Row],[ID]],MAX(1,'Config!'!$BA$15-2010)),"")</f>
        <v>5.7652038285714289</v>
      </c>
      <c r="R25" s="527" cm="1">
        <f t="array" ref="R25">IFERROR(INDEX('Country Competitivness'!$BM$4:$BW$178,Tabela2[[#This Row],[ID]],'Config!'!$BA$15-2010+1),"")</f>
        <v>4.2204083619047612</v>
      </c>
      <c r="S25" s="578" t="str" cm="1">
        <f t="array" ref="S2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5" s="537" t="str" cm="1">
        <f t="array" ref="T25">IF('Config!'!$BA$15=2010,".",IF(INDEX('Result data'!$R$216:$AA$390,'IMS Seg. Table'!$A25,'Config!'!$BA$15-2010)=".",".",INDEX('Result data'!$R$216:$AA$390,'IMS Seg. Table'!$A25,'Config!'!$BA$15-2010)))</f>
        <v>.</v>
      </c>
      <c r="U25" s="579" t="str">
        <f t="shared" si="28"/>
        <v>.</v>
      </c>
      <c r="V25" s="530" t="str" cm="1">
        <f t="array" ref="V25">IF(Tabela2[[#This Row],[Market Penetration (Category)]]=".",".",INDEX('Result data'!$BS$216:$CB$390,'IMS Seg. Table'!$A25,'Config!'!$BA$15-2010))</f>
        <v>.</v>
      </c>
      <c r="W25" s="563" t="str">
        <f>IF(Tabela2[[#This Row],[Market Demand (U$ millions)]]=".",".",Tabela2[[#This Row],[Market Demand (U$ millions)]]/Tabela2[[#This Row],[Active users (thousands)]])</f>
        <v>.</v>
      </c>
      <c r="X25" s="580" cm="1">
        <f t="array" ref="X25">IF('Config!'!$BA$15=2010,".",IF(INDEX('Result data'!$AE$216:$AN$390,'IMS Seg. Table'!$A25,'Config!'!$BA$15-2010)=".",0,INDEX('Result data'!$AE$216:$AN$390,'IMS Seg. Table'!$A25,'Config!'!$BA$15-2010)))</f>
        <v>0</v>
      </c>
      <c r="Y25" s="563" t="str">
        <f>IF('Config!'!$BA$15=2010,".",IF(Tabela2[[#This Row],[Number of competitors]]=0,".",SUMIF('Result data'!$N$216:$N$390,Tabela2[[#This Row],[ID]],'Result data'!$CP$216:$CP$393)))</f>
        <v>.</v>
      </c>
      <c r="Z25" s="563" t="str">
        <f>IF('Config!'!$BA$15=2010,".",IF(Tabela2[[#This Row],[Number of competitors]]=0,".",SUMIF('Result data'!$N$216:$N$390,Tabela2[[#This Row],[ID]],'Result data'!$DA$216:$DA$393)))</f>
        <v>.</v>
      </c>
      <c r="AA25" s="530" t="str" cm="1">
        <f t="array" ref="AA2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5" s="530" t="str" cm="1">
        <f t="array" ref="AB2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5" s="530" t="str" cm="1">
        <f t="array" ref="AD2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5" s="530" t="str" cm="1">
        <f t="array" ref="AE2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5" s="530" t="str" cm="1">
        <f t="array" ref="AF2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6" spans="1:32" x14ac:dyDescent="0.3">
      <c r="A26" s="568">
        <f>'Config!'!C12</f>
        <v>10</v>
      </c>
      <c r="B26" s="536" t="str">
        <f>'Config!'!A12</f>
        <v>Azerbaijão</v>
      </c>
      <c r="C26" s="536" t="str">
        <f>'Config!'!B12</f>
        <v>Ásia-Pacífico</v>
      </c>
      <c r="D26" s="538" cm="1">
        <f t="array" ref="D26">IFERROR(INDEX(Population!$BD$3:$BN$177,'IMS Seg. Table'!$A26,'Config!'!$BA$15-2010+1),"")</f>
        <v>9295784</v>
      </c>
      <c r="E26" s="551" cm="1">
        <f t="array" ref="E26">IFERROR(INDEX(Population!$CH$3:$CH$178,'IMS Seg. Table'!$A26,1),"")</f>
        <v>82629</v>
      </c>
      <c r="F26" s="552">
        <f>IFERROR('IMS Seg. Table'!$D26/'IMS Seg. Table'!$E26,"")</f>
        <v>112.50026019920367</v>
      </c>
      <c r="G26" s="575" cm="1">
        <f t="array" ref="G26">IFERROR(INDEX('Country Competitivness'!$CL$4:$CX$178,Tabela2[[#This Row],[ID]],'Config!'!$AZ$17+1),".")</f>
        <v>99.044568205409306</v>
      </c>
      <c r="H26" s="540" cm="1">
        <f t="array" ref="H26">INDEX(GDP!$G$3:$S$177,'IMS Seg. Table'!$A26,'Config!'!$BA$15-2010+1)*1000000000</f>
        <v>69683935845.213837</v>
      </c>
      <c r="I26" s="539">
        <f t="shared" si="27"/>
        <v>7496.294647682631</v>
      </c>
      <c r="J26" s="576">
        <f>IFERROR(INDEX('Income Tax Rate (%)'!$F$2:$P$176,Tabela2[[#This Row],[ID]],'Config!'!$BA$15-2010+1)/100,"")</f>
        <v>0.25</v>
      </c>
      <c r="K26" s="577">
        <f>IFERROR(INDEX('Tariff Rate (%)'!$F$2:$P$176,Tabela2[[#This Row],[ID]],'Config!'!$BA$15-2010+1)/100,"")</f>
        <v>3.8900000000000004E-2</v>
      </c>
      <c r="L26" s="577">
        <f>IFERROR(INDEX('Corporate Tax Rate (%)'!$F$2:$P$176,Tabela2[[#This Row],[ID]],'Config!'!$BA$15-2010+1)/100,"")</f>
        <v>0.2</v>
      </c>
      <c r="M26" s="527" cm="1">
        <f t="array" ref="M26">INDEX('Score-Starting a business'!$F$2:$P$176,'IMS Seg. Table'!$A26,'Config!'!$BA$15-2010+1)</f>
        <v>90.43</v>
      </c>
      <c r="N26" s="527" cm="1">
        <f t="array" ref="N26">IFERROR(INDEX('Country Competitivness'!$AX$4:$BH$178,Tabela2[[#This Row],[ID]],'Config!'!$BA$15-2010+1),"")</f>
        <v>3.687900969879518</v>
      </c>
      <c r="O26" s="527" cm="1">
        <f t="array" ref="O26">IFERROR(INDEX('Country Competitivness'!$EE$4:$EO$178,Tabela2[[#This Row],[ID]],'Config!'!$BA$15-2010+1),"")</f>
        <v>3.7571305493975902</v>
      </c>
      <c r="P26" s="527" cm="1">
        <f t="array" ref="P26">IFERROR(INDEX('Country Competitivness'!$H$4:$R$178,Tabela2[[#This Row],[ID]],'Config!'!$BA$15-2010+1),"")</f>
        <v>3.8122538786937228</v>
      </c>
      <c r="Q26" s="527" cm="1">
        <f t="array" ref="Q26">IFERROR(INDEX('Country Competitivness'!$AJ$4:$AT$178,Tabela2[[#This Row],[ID]],MAX(1,'Config!'!$BA$15-2010)),"")</f>
        <v>4.7126531514056218</v>
      </c>
      <c r="R26" s="527" cm="1">
        <f t="array" ref="R26">IFERROR(INDEX('Country Competitivness'!$BM$4:$BW$178,Tabela2[[#This Row],[ID]],'Config!'!$BA$15-2010+1),"")</f>
        <v>4.1086589048192774</v>
      </c>
      <c r="S26" s="578" t="str" cm="1">
        <f t="array" ref="S2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6" s="537" t="str" cm="1">
        <f t="array" ref="T26">IF('Config!'!$BA$15=2010,".",IF(INDEX('Result data'!$R$216:$AA$390,'IMS Seg. Table'!$A26,'Config!'!$BA$15-2010)=".",".",INDEX('Result data'!$R$216:$AA$390,'IMS Seg. Table'!$A26,'Config!'!$BA$15-2010)))</f>
        <v>.</v>
      </c>
      <c r="U26" s="579" t="str">
        <f t="shared" si="28"/>
        <v>.</v>
      </c>
      <c r="V26" s="530" t="str" cm="1">
        <f t="array" ref="V26">IF(Tabela2[[#This Row],[Market Penetration (Category)]]=".",".",INDEX('Result data'!$BS$216:$CB$390,'IMS Seg. Table'!$A26,'Config!'!$BA$15-2010))</f>
        <v>.</v>
      </c>
      <c r="W26" s="563" t="str">
        <f>IF(Tabela2[[#This Row],[Market Demand (U$ millions)]]=".",".",Tabela2[[#This Row],[Market Demand (U$ millions)]]/Tabela2[[#This Row],[Active users (thousands)]])</f>
        <v>.</v>
      </c>
      <c r="X26" s="580" cm="1">
        <f t="array" ref="X26">IF('Config!'!$BA$15=2010,".",IF(INDEX('Result data'!$AE$216:$AN$390,'IMS Seg. Table'!$A26,'Config!'!$BA$15-2010)=".",0,INDEX('Result data'!$AE$216:$AN$390,'IMS Seg. Table'!$A26,'Config!'!$BA$15-2010)))</f>
        <v>0</v>
      </c>
      <c r="Y26" s="563" t="str">
        <f>IF('Config!'!$BA$15=2010,".",IF(Tabela2[[#This Row],[Number of competitors]]=0,".",SUMIF('Result data'!$N$216:$N$390,Tabela2[[#This Row],[ID]],'Result data'!$CP$216:$CP$393)))</f>
        <v>.</v>
      </c>
      <c r="Z26" s="563" t="str">
        <f>IF('Config!'!$BA$15=2010,".",IF(Tabela2[[#This Row],[Number of competitors]]=0,".",SUMIF('Result data'!$N$216:$N$390,Tabela2[[#This Row],[ID]],'Result data'!$DA$216:$DA$393)))</f>
        <v>.</v>
      </c>
      <c r="AA26" s="530" t="str" cm="1">
        <f t="array" ref="AA2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6" s="530" t="str" cm="1">
        <f t="array" ref="AB2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6" s="530" t="str" cm="1">
        <f t="array" ref="AD2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6" s="530" t="str" cm="1">
        <f t="array" ref="AE2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6" s="530" t="str" cm="1">
        <f t="array" ref="AF2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7" spans="1:32" x14ac:dyDescent="0.3">
      <c r="A27" s="569">
        <f>'Config!'!C13</f>
        <v>11</v>
      </c>
      <c r="B27" s="536" t="str">
        <f>'Config!'!A13</f>
        <v>Bahamas.</v>
      </c>
      <c r="C27" s="536" t="str">
        <f>'Config!'!B13</f>
        <v>Caribe</v>
      </c>
      <c r="D27" s="538" cm="1">
        <f t="array" ref="D27">IFERROR(INDEX(Population!$BD$3:$BN$177,'IMS Seg. Table'!$A27,'Config!'!$BA$15-2010+1),"")</f>
        <v>372388</v>
      </c>
      <c r="E27" s="551" cm="1">
        <f t="array" ref="E27">IFERROR(INDEX(Population!$CH$3:$CH$178,'IMS Seg. Table'!$A27,1),"")</f>
        <v>10010</v>
      </c>
      <c r="F27" s="552">
        <f>IFERROR('IMS Seg. Table'!$D27/'IMS Seg. Table'!$E27,"")</f>
        <v>37.201598401598403</v>
      </c>
      <c r="G27" s="575" cm="1">
        <f t="array" ref="G27">IFERROR(INDEX('Country Competitivness'!$CL$4:$CX$178,Tabela2[[#This Row],[ID]],'Config!'!$AZ$17+1),".")</f>
        <v>84.31</v>
      </c>
      <c r="H27" s="540" cm="1">
        <f t="array" ref="H27">INDEX(GDP!$G$3:$S$177,'IMS Seg. Table'!$A27,'Config!'!$BA$15-2010+1)*1000000000</f>
        <v>10720500000</v>
      </c>
      <c r="I27" s="539">
        <f t="shared" si="27"/>
        <v>28788.521649462389</v>
      </c>
      <c r="J27" s="576">
        <f>IFERROR(INDEX('Income Tax Rate (%)'!$F$2:$P$176,Tabela2[[#This Row],[ID]],'Config!'!$BA$15-2010+1)/100,"")</f>
        <v>0.24559999999999998</v>
      </c>
      <c r="K27" s="577">
        <f>IFERROR(INDEX('Tariff Rate (%)'!$F$2:$P$176,Tabela2[[#This Row],[ID]],'Config!'!$BA$15-2010+1)/100,"")</f>
        <v>0.18899999999999997</v>
      </c>
      <c r="L27" s="577">
        <f>IFERROR(INDEX('Corporate Tax Rate (%)'!$F$2:$P$176,Tabela2[[#This Row],[ID]],'Config!'!$BA$15-2010+1)/100,"")</f>
        <v>0.28639999999999999</v>
      </c>
      <c r="M27" s="527" cm="1">
        <f t="array" ref="M27">INDEX('Score-Starting a business'!$F$2:$P$176,'IMS Seg. Table'!$A27,'Config!'!$BA$15-2010+1)</f>
        <v>84.070000000000007</v>
      </c>
      <c r="N27" s="527" cm="1">
        <f t="array" ref="N27">IFERROR(INDEX('Country Competitivness'!$AX$4:$BH$178,Tabela2[[#This Row],[ID]],'Config!'!$BA$15-2010+1),"")</f>
        <v>3.25</v>
      </c>
      <c r="O27" s="527" cm="1">
        <f t="array" ref="O27">IFERROR(INDEX('Country Competitivness'!$EE$4:$EO$178,Tabela2[[#This Row],[ID]],'Config!'!$BA$15-2010+1),"")</f>
        <v>3.19</v>
      </c>
      <c r="P27" s="527" cm="1">
        <f t="array" ref="P27">IFERROR(INDEX('Country Competitivness'!$H$4:$R$178,Tabela2[[#This Row],[ID]],'Config!'!$BA$15-2010+1),"")</f>
        <v>4.1900000000000004</v>
      </c>
      <c r="Q27" s="527" cm="1">
        <f t="array" ref="Q27">IFERROR(INDEX('Country Competitivness'!$AJ$4:$AT$178,Tabela2[[#This Row],[ID]],MAX(1,'Config!'!$BA$15-2010)),"")</f>
        <v>4.1399999999999997</v>
      </c>
      <c r="R27" s="527" cm="1">
        <f t="array" ref="R27">IFERROR(INDEX('Country Competitivness'!$BM$4:$BW$178,Tabela2[[#This Row],[ID]],'Config!'!$BA$15-2010+1),"")</f>
        <v>3.53</v>
      </c>
      <c r="S27" s="578" t="str" cm="1">
        <f t="array" ref="S2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7" s="537" t="str" cm="1">
        <f t="array" ref="T27">IF('Config!'!$BA$15=2010,".",IF(INDEX('Result data'!$R$216:$AA$390,'IMS Seg. Table'!$A27,'Config!'!$BA$15-2010)=".",".",INDEX('Result data'!$R$216:$AA$390,'IMS Seg. Table'!$A27,'Config!'!$BA$15-2010)))</f>
        <v>.</v>
      </c>
      <c r="U27" s="579" t="str">
        <f t="shared" si="28"/>
        <v>.</v>
      </c>
      <c r="V27" s="530" t="str" cm="1">
        <f t="array" ref="V27">IF(Tabela2[[#This Row],[Market Penetration (Category)]]=".",".",INDEX('Result data'!$BS$216:$CB$390,'IMS Seg. Table'!$A27,'Config!'!$BA$15-2010))</f>
        <v>.</v>
      </c>
      <c r="W27" s="563" t="str">
        <f>IF(Tabela2[[#This Row],[Market Demand (U$ millions)]]=".",".",Tabela2[[#This Row],[Market Demand (U$ millions)]]/Tabela2[[#This Row],[Active users (thousands)]])</f>
        <v>.</v>
      </c>
      <c r="X27" s="580" cm="1">
        <f t="array" ref="X27">IF('Config!'!$BA$15=2010,".",IF(INDEX('Result data'!$AE$216:$AN$390,'IMS Seg. Table'!$A27,'Config!'!$BA$15-2010)=".",0,INDEX('Result data'!$AE$216:$AN$390,'IMS Seg. Table'!$A27,'Config!'!$BA$15-2010)))</f>
        <v>0</v>
      </c>
      <c r="Y27" s="563" t="str">
        <f>IF('Config!'!$BA$15=2010,".",IF(Tabela2[[#This Row],[Number of competitors]]=0,".",SUMIF('Result data'!$N$216:$N$390,Tabela2[[#This Row],[ID]],'Result data'!$CP$216:$CP$393)))</f>
        <v>.</v>
      </c>
      <c r="Z27" s="563" t="str">
        <f>IF('Config!'!$BA$15=2010,".",IF(Tabela2[[#This Row],[Number of competitors]]=0,".",SUMIF('Result data'!$N$216:$N$390,Tabela2[[#This Row],[ID]],'Result data'!$DA$216:$DA$393)))</f>
        <v>.</v>
      </c>
      <c r="AA27" s="530" t="str" cm="1">
        <f t="array" ref="AA2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7" s="530" t="str" cm="1">
        <f t="array" ref="AB2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7" s="530" t="str" cm="1">
        <f t="array" ref="AD2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7" s="530" t="str" cm="1">
        <f t="array" ref="AE2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7" s="530" t="str" cm="1">
        <f t="array" ref="AF2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8" spans="1:32" x14ac:dyDescent="0.3">
      <c r="A28" s="568">
        <f>'Config!'!C14</f>
        <v>12</v>
      </c>
      <c r="B28" s="536" t="str">
        <f>'Config!'!A14</f>
        <v>Bahrein</v>
      </c>
      <c r="C28" s="536" t="str">
        <f>'Config!'!B14</f>
        <v>Oriente médio</v>
      </c>
      <c r="D28" s="538" cm="1">
        <f t="array" ref="D28">IFERROR(INDEX(Population!$BD$3:$BN$177,'IMS Seg. Table'!$A28,'Config!'!$BA$15-2010+1),"")</f>
        <v>1333577</v>
      </c>
      <c r="E28" s="551" cm="1">
        <f t="array" ref="E28">IFERROR(INDEX(Population!$CH$3:$CH$178,'IMS Seg. Table'!$A28,1),"")</f>
        <v>760</v>
      </c>
      <c r="F28" s="552">
        <f>IFERROR('IMS Seg. Table'!$D28/'IMS Seg. Table'!$E28,"")</f>
        <v>1754.7065789473684</v>
      </c>
      <c r="G28" s="575" cm="1">
        <f t="array" ref="G28">IFERROR(INDEX('Country Competitivness'!$CL$4:$CX$178,Tabela2[[#This Row],[ID]],'Config!'!$AZ$17+1),".")</f>
        <v>124.184223769352</v>
      </c>
      <c r="H28" s="540" cm="1">
        <f t="array" ref="H28">INDEX(GDP!$G$3:$S$177,'IMS Seg. Table'!$A28,'Config!'!$BA$15-2010+1)*1000000000</f>
        <v>30749308510.638298</v>
      </c>
      <c r="I28" s="539">
        <f t="shared" si="27"/>
        <v>23057.767575954218</v>
      </c>
      <c r="J28" s="576">
        <f>IFERROR(INDEX('Income Tax Rate (%)'!$F$2:$P$176,Tabela2[[#This Row],[ID]],'Config!'!$BA$15-2010+1)/100,"")</f>
        <v>0.13570000000000002</v>
      </c>
      <c r="K28" s="577">
        <f>IFERROR(INDEX('Tariff Rate (%)'!$F$2:$P$176,Tabela2[[#This Row],[ID]],'Config!'!$BA$15-2010+1)/100,"")</f>
        <v>5.6900000000000006E-2</v>
      </c>
      <c r="L28" s="577">
        <f>IFERROR(INDEX('Corporate Tax Rate (%)'!$F$2:$P$176,Tabela2[[#This Row],[ID]],'Config!'!$BA$15-2010+1)/100,"")</f>
        <v>0.29020000000000001</v>
      </c>
      <c r="M28" s="527" cm="1">
        <f t="array" ref="M28">INDEX('Score-Starting a business'!$F$2:$P$176,'IMS Seg. Table'!$A28,'Config!'!$BA$15-2010+1)</f>
        <v>71.83</v>
      </c>
      <c r="N28" s="527" cm="1">
        <f t="array" ref="N28">IFERROR(INDEX('Country Competitivness'!$AX$4:$BH$178,Tabela2[[#This Row],[ID]],'Config!'!$BA$15-2010+1),"")</f>
        <v>4.8706739912280703</v>
      </c>
      <c r="O28" s="527" cm="1">
        <f t="array" ref="O28">IFERROR(INDEX('Country Competitivness'!$EE$4:$EO$178,Tabela2[[#This Row],[ID]],'Config!'!$BA$15-2010+1),"")</f>
        <v>5.6861004567251463</v>
      </c>
      <c r="P28" s="527" cm="1">
        <f t="array" ref="P28">IFERROR(INDEX('Country Competitivness'!$H$4:$R$178,Tabela2[[#This Row],[ID]],'Config!'!$BA$15-2010+1),"")</f>
        <v>4.5126146970452448</v>
      </c>
      <c r="Q28" s="527" cm="1">
        <f t="array" ref="Q28">IFERROR(INDEX('Country Competitivness'!$AJ$4:$AT$178,Tabela2[[#This Row],[ID]],MAX(1,'Config!'!$BA$15-2010)),"")</f>
        <v>5.7158355953216367</v>
      </c>
      <c r="R28" s="527" cm="1">
        <f t="array" ref="R28">IFERROR(INDEX('Country Competitivness'!$BM$4:$BW$178,Tabela2[[#This Row],[ID]],'Config!'!$BA$15-2010+1),"")</f>
        <v>4.3176969777777776</v>
      </c>
      <c r="S28" s="578" t="str" cm="1">
        <f t="array" ref="S2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8" s="537" t="str" cm="1">
        <f t="array" ref="T28">IF('Config!'!$BA$15=2010,".",IF(INDEX('Result data'!$R$216:$AA$390,'IMS Seg. Table'!$A28,'Config!'!$BA$15-2010)=".",".",INDEX('Result data'!$R$216:$AA$390,'IMS Seg. Table'!$A28,'Config!'!$BA$15-2010)))</f>
        <v>.</v>
      </c>
      <c r="U28" s="579" t="str">
        <f t="shared" si="28"/>
        <v>.</v>
      </c>
      <c r="V28" s="530" t="str" cm="1">
        <f t="array" ref="V28">IF(Tabela2[[#This Row],[Market Penetration (Category)]]=".",".",INDEX('Result data'!$BS$216:$CB$390,'IMS Seg. Table'!$A28,'Config!'!$BA$15-2010))</f>
        <v>.</v>
      </c>
      <c r="W28" s="563" t="str">
        <f>IF(Tabela2[[#This Row],[Market Demand (U$ millions)]]=".",".",Tabela2[[#This Row],[Market Demand (U$ millions)]]/Tabela2[[#This Row],[Active users (thousands)]])</f>
        <v>.</v>
      </c>
      <c r="X28" s="580" cm="1">
        <f t="array" ref="X28">IF('Config!'!$BA$15=2010,".",IF(INDEX('Result data'!$AE$216:$AN$390,'IMS Seg. Table'!$A28,'Config!'!$BA$15-2010)=".",0,INDEX('Result data'!$AE$216:$AN$390,'IMS Seg. Table'!$A28,'Config!'!$BA$15-2010)))</f>
        <v>0</v>
      </c>
      <c r="Y28" s="563" t="str">
        <f>IF('Config!'!$BA$15=2010,".",IF(Tabela2[[#This Row],[Number of competitors]]=0,".",SUMIF('Result data'!$N$216:$N$390,Tabela2[[#This Row],[ID]],'Result data'!$CP$216:$CP$393)))</f>
        <v>.</v>
      </c>
      <c r="Z28" s="563" t="str">
        <f>IF('Config!'!$BA$15=2010,".",IF(Tabela2[[#This Row],[Number of competitors]]=0,".",SUMIF('Result data'!$N$216:$N$390,Tabela2[[#This Row],[ID]],'Result data'!$DA$216:$DA$393)))</f>
        <v>.</v>
      </c>
      <c r="AA28" s="530" t="str" cm="1">
        <f t="array" ref="AA2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8" s="530" t="str" cm="1">
        <f t="array" ref="AB2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8" s="530" t="str" cm="1">
        <f t="array" ref="AD2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8" s="530" t="str" cm="1">
        <f t="array" ref="AE2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8" s="530" t="str" cm="1">
        <f t="array" ref="AF2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29" spans="1:32" x14ac:dyDescent="0.3">
      <c r="A29" s="569">
        <f>'Config!'!C15</f>
        <v>13</v>
      </c>
      <c r="B29" s="536" t="str">
        <f>'Config!'!A15</f>
        <v>Bangladesh</v>
      </c>
      <c r="C29" s="536" t="str">
        <f>'Config!'!B15</f>
        <v>Ásia-Pacífico</v>
      </c>
      <c r="D29" s="538" cm="1">
        <f t="array" ref="D29">IFERROR(INDEX(Population!$BD$3:$BN$177,'IMS Seg. Table'!$A29,'Config!'!$BA$15-2010+1),"")</f>
        <v>155257387</v>
      </c>
      <c r="E29" s="551" cm="1">
        <f t="array" ref="E29">IFERROR(INDEX(Population!$CH$3:$CH$178,'IMS Seg. Table'!$A29,1),"")</f>
        <v>130170</v>
      </c>
      <c r="F29" s="552">
        <f>IFERROR('IMS Seg. Table'!$D29/'IMS Seg. Table'!$E29,"")</f>
        <v>1192.7278712452946</v>
      </c>
      <c r="G29" s="575" cm="1">
        <f t="array" ref="G29">IFERROR(INDEX('Country Competitivness'!$CL$4:$CX$178,Tabela2[[#This Row],[ID]],'Config!'!$AZ$17+1),".")</f>
        <v>46.169221961046503</v>
      </c>
      <c r="H29" s="540" cm="1">
        <f t="array" ref="H29">INDEX(GDP!$G$3:$S$177,'IMS Seg. Table'!$A29,'Config!'!$BA$15-2010+1)*1000000000</f>
        <v>133355749482.47754</v>
      </c>
      <c r="I29" s="539">
        <f t="shared" si="27"/>
        <v>858.93336258762065</v>
      </c>
      <c r="J29" s="576">
        <f>IFERROR(INDEX('Income Tax Rate (%)'!$F$2:$P$176,Tabela2[[#This Row],[ID]],'Config!'!$BA$15-2010+1)/100,"")</f>
        <v>0.25</v>
      </c>
      <c r="K29" s="577">
        <f>IFERROR(INDEX('Tariff Rate (%)'!$F$2:$P$176,Tabela2[[#This Row],[ID]],'Config!'!$BA$15-2010+1)/100,"")</f>
        <v>0.13</v>
      </c>
      <c r="L29" s="577">
        <f>IFERROR(INDEX('Corporate Tax Rate (%)'!$F$2:$P$176,Tabela2[[#This Row],[ID]],'Config!'!$BA$15-2010+1)/100,"")</f>
        <v>0.45</v>
      </c>
      <c r="M29" s="527" cm="1">
        <f t="array" ref="M29">INDEX('Score-Starting a business'!$F$2:$P$176,'IMS Seg. Table'!$A29,'Config!'!$BA$15-2010+1)</f>
        <v>79.393333333333302</v>
      </c>
      <c r="N29" s="527" cm="1">
        <f t="array" ref="N29">IFERROR(INDEX('Country Competitivness'!$AX$4:$BH$178,Tabela2[[#This Row],[ID]],'Config!'!$BA$15-2010+1),"")</f>
        <v>3.0404111082278478</v>
      </c>
      <c r="O29" s="527" cm="1">
        <f t="array" ref="O29">IFERROR(INDEX('Country Competitivness'!$EE$4:$EO$178,Tabela2[[#This Row],[ID]],'Config!'!$BA$15-2010+1),"")</f>
        <v>2.9223925911392401</v>
      </c>
      <c r="P29" s="527" cm="1">
        <f t="array" ref="P29">IFERROR(INDEX('Country Competitivness'!$H$4:$R$178,Tabela2[[#This Row],[ID]],'Config!'!$BA$15-2010+1),"")</f>
        <v>3.5142489756495663</v>
      </c>
      <c r="Q29" s="527" cm="1">
        <f t="array" ref="Q29">IFERROR(INDEX('Country Competitivness'!$AJ$4:$AT$178,Tabela2[[#This Row],[ID]],MAX(1,'Config!'!$BA$15-2010)),"")</f>
        <v>4.3661517616033754</v>
      </c>
      <c r="R29" s="527" cm="1">
        <f t="array" ref="R29">IFERROR(INDEX('Country Competitivness'!$BM$4:$BW$178,Tabela2[[#This Row],[ID]],'Config!'!$BA$15-2010+1),"")</f>
        <v>3.0899689765822784</v>
      </c>
      <c r="S29" s="578" t="str" cm="1">
        <f t="array" ref="S2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29" s="537" t="str" cm="1">
        <f t="array" ref="T29">IF('Config!'!$BA$15=2010,".",IF(INDEX('Result data'!$R$216:$AA$390,'IMS Seg. Table'!$A29,'Config!'!$BA$15-2010)=".",".",INDEX('Result data'!$R$216:$AA$390,'IMS Seg. Table'!$A29,'Config!'!$BA$15-2010)))</f>
        <v>.</v>
      </c>
      <c r="U29" s="579" t="str">
        <f t="shared" si="28"/>
        <v>.</v>
      </c>
      <c r="V29" s="530" t="str" cm="1">
        <f t="array" ref="V29">IF(Tabela2[[#This Row],[Market Penetration (Category)]]=".",".",INDEX('Result data'!$BS$216:$CB$390,'IMS Seg. Table'!$A29,'Config!'!$BA$15-2010))</f>
        <v>.</v>
      </c>
      <c r="W29" s="563" t="str">
        <f>IF(Tabela2[[#This Row],[Market Demand (U$ millions)]]=".",".",Tabela2[[#This Row],[Market Demand (U$ millions)]]/Tabela2[[#This Row],[Active users (thousands)]])</f>
        <v>.</v>
      </c>
      <c r="X29" s="580" cm="1">
        <f t="array" ref="X29">IF('Config!'!$BA$15=2010,".",IF(INDEX('Result data'!$AE$216:$AN$390,'IMS Seg. Table'!$A29,'Config!'!$BA$15-2010)=".",0,INDEX('Result data'!$AE$216:$AN$390,'IMS Seg. Table'!$A29,'Config!'!$BA$15-2010)))</f>
        <v>0</v>
      </c>
      <c r="Y29" s="563" t="str">
        <f>IF('Config!'!$BA$15=2010,".",IF(Tabela2[[#This Row],[Number of competitors]]=0,".",SUMIF('Result data'!$N$216:$N$390,Tabela2[[#This Row],[ID]],'Result data'!$CP$216:$CP$393)))</f>
        <v>.</v>
      </c>
      <c r="Z29" s="563" t="str">
        <f>IF('Config!'!$BA$15=2010,".",IF(Tabela2[[#This Row],[Number of competitors]]=0,".",SUMIF('Result data'!$N$216:$N$390,Tabela2[[#This Row],[ID]],'Result data'!$DA$216:$DA$393)))</f>
        <v>.</v>
      </c>
      <c r="AA29" s="530" t="str" cm="1">
        <f t="array" ref="AA2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29" s="530" t="str" cm="1">
        <f t="array" ref="AB2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2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29" s="530" t="str" cm="1">
        <f t="array" ref="AD2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29" s="530" t="str" cm="1">
        <f t="array" ref="AE2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29" s="530" t="str" cm="1">
        <f t="array" ref="AF2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0" spans="1:32" x14ac:dyDescent="0.3">
      <c r="A30" s="568">
        <f>'Config!'!C16</f>
        <v>14</v>
      </c>
      <c r="B30" s="536" t="str">
        <f>'Config!'!A16</f>
        <v>Barbados.</v>
      </c>
      <c r="C30" s="536" t="str">
        <f>'Config!'!B16</f>
        <v>Caribe</v>
      </c>
      <c r="D30" s="538" cm="1">
        <f t="array" ref="D30">IFERROR(INDEX(Population!$BD$3:$BN$177,'IMS Seg. Table'!$A30,'Config!'!$BA$15-2010+1),"")</f>
        <v>281580</v>
      </c>
      <c r="E30" s="551" cm="1">
        <f t="array" ref="E30">IFERROR(INDEX(Population!$CH$3:$CH$178,'IMS Seg. Table'!$A30,1),"")</f>
        <v>430</v>
      </c>
      <c r="F30" s="552">
        <f>IFERROR('IMS Seg. Table'!$D30/'IMS Seg. Table'!$E30,"")</f>
        <v>654.83720930232562</v>
      </c>
      <c r="G30" s="575" cm="1">
        <f t="array" ref="G30">IFERROR(INDEX('Country Competitivness'!$CL$4:$CX$178,Tabela2[[#This Row],[ID]],'Config!'!$AZ$17+1),".")</f>
        <v>128.07219086016599</v>
      </c>
      <c r="H30" s="540" cm="1">
        <f t="array" ref="H30">INDEX(GDP!$G$3:$S$177,'IMS Seg. Table'!$A30,'Config!'!$BA$15-2010+1)*1000000000</f>
        <v>4656350000</v>
      </c>
      <c r="I30" s="539">
        <f t="shared" si="27"/>
        <v>16536.508274735421</v>
      </c>
      <c r="J30" s="576">
        <f>IFERROR(INDEX('Income Tax Rate (%)'!$F$2:$P$176,Tabela2[[#This Row],[ID]],'Config!'!$BA$15-2010+1)/100,"")</f>
        <v>0.35</v>
      </c>
      <c r="K30" s="577">
        <f>IFERROR(INDEX('Tariff Rate (%)'!$F$2:$P$176,Tabela2[[#This Row],[ID]],'Config!'!$BA$15-2010+1)/100,"")</f>
        <v>0.14699999999999999</v>
      </c>
      <c r="L30" s="577">
        <f>IFERROR(INDEX('Corporate Tax Rate (%)'!$F$2:$P$176,Tabela2[[#This Row],[ID]],'Config!'!$BA$15-2010+1)/100,"")</f>
        <v>0.25</v>
      </c>
      <c r="M30" s="527" cm="1">
        <f t="array" ref="M30">INDEX('Score-Starting a business'!$F$2:$P$176,'IMS Seg. Table'!$A30,'Config!'!$BA$15-2010+1)</f>
        <v>84.15</v>
      </c>
      <c r="N30" s="527" cm="1">
        <f t="array" ref="N30">IFERROR(INDEX('Country Competitivness'!$AX$4:$BH$178,Tabela2[[#This Row],[ID]],'Config!'!$BA$15-2010+1),"")</f>
        <v>4.6797273486842101</v>
      </c>
      <c r="O30" s="527" cm="1">
        <f t="array" ref="O30">IFERROR(INDEX('Country Competitivness'!$EE$4:$EO$178,Tabela2[[#This Row],[ID]],'Config!'!$BA$15-2010+1),"")</f>
        <v>5.3867685565789465</v>
      </c>
      <c r="P30" s="527" cm="1">
        <f t="array" ref="P30">IFERROR(INDEX('Country Competitivness'!$H$4:$R$178,Tabela2[[#This Row],[ID]],'Config!'!$BA$15-2010+1),"")</f>
        <v>4.2876564997922442</v>
      </c>
      <c r="Q30" s="527" cm="1">
        <f t="array" ref="Q30">IFERROR(INDEX('Country Competitivness'!$AJ$4:$AT$178,Tabela2[[#This Row],[ID]],MAX(1,'Config!'!$BA$15-2010)),"")</f>
        <v>5.4969735342105261</v>
      </c>
      <c r="R30" s="527" cm="1">
        <f t="array" ref="R30">IFERROR(INDEX('Country Competitivness'!$BM$4:$BW$178,Tabela2[[#This Row],[ID]],'Config!'!$BA$15-2010+1),"")</f>
        <v>3.9377971789473687</v>
      </c>
      <c r="S30" s="578" t="str" cm="1">
        <f t="array" ref="S3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0" s="537" t="str" cm="1">
        <f t="array" ref="T30">IF('Config!'!$BA$15=2010,".",IF(INDEX('Result data'!$R$216:$AA$390,'IMS Seg. Table'!$A30,'Config!'!$BA$15-2010)=".",".",INDEX('Result data'!$R$216:$AA$390,'IMS Seg. Table'!$A30,'Config!'!$BA$15-2010)))</f>
        <v>.</v>
      </c>
      <c r="U30" s="579" t="str">
        <f t="shared" si="28"/>
        <v>.</v>
      </c>
      <c r="V30" s="530" t="str" cm="1">
        <f t="array" ref="V30">IF(Tabela2[[#This Row],[Market Penetration (Category)]]=".",".",INDEX('Result data'!$BS$216:$CB$390,'IMS Seg. Table'!$A30,'Config!'!$BA$15-2010))</f>
        <v>.</v>
      </c>
      <c r="W30" s="563" t="str">
        <f>IF(Tabela2[[#This Row],[Market Demand (U$ millions)]]=".",".",Tabela2[[#This Row],[Market Demand (U$ millions)]]/Tabela2[[#This Row],[Active users (thousands)]])</f>
        <v>.</v>
      </c>
      <c r="X30" s="580" cm="1">
        <f t="array" ref="X30">IF('Config!'!$BA$15=2010,".",IF(INDEX('Result data'!$AE$216:$AN$390,'IMS Seg. Table'!$A30,'Config!'!$BA$15-2010)=".",0,INDEX('Result data'!$AE$216:$AN$390,'IMS Seg. Table'!$A30,'Config!'!$BA$15-2010)))</f>
        <v>0</v>
      </c>
      <c r="Y30" s="563" t="str">
        <f>IF('Config!'!$BA$15=2010,".",IF(Tabela2[[#This Row],[Number of competitors]]=0,".",SUMIF('Result data'!$N$216:$N$390,Tabela2[[#This Row],[ID]],'Result data'!$CP$216:$CP$393)))</f>
        <v>.</v>
      </c>
      <c r="Z30" s="563" t="str">
        <f>IF('Config!'!$BA$15=2010,".",IF(Tabela2[[#This Row],[Number of competitors]]=0,".",SUMIF('Result data'!$N$216:$N$390,Tabela2[[#This Row],[ID]],'Result data'!$DA$216:$DA$393)))</f>
        <v>.</v>
      </c>
      <c r="AA30" s="530" t="str" cm="1">
        <f t="array" ref="AA3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0" s="530" t="str" cm="1">
        <f t="array" ref="AB3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0" s="530" t="str" cm="1">
        <f t="array" ref="AD3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0" s="530" t="str" cm="1">
        <f t="array" ref="AE3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0" s="530" t="str" cm="1">
        <f t="array" ref="AF3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1" spans="1:32" x14ac:dyDescent="0.3">
      <c r="A31" s="569">
        <f>'Config!'!C17</f>
        <v>16</v>
      </c>
      <c r="B31" s="536" t="str">
        <f>'Config!'!A17</f>
        <v>Bélgica</v>
      </c>
      <c r="C31" s="536" t="str">
        <f>'Config!'!B17</f>
        <v>União Européia</v>
      </c>
      <c r="D31" s="538" cm="1">
        <f t="array" ref="D31">IFERROR(INDEX(Population!$BD$3:$BN$177,'IMS Seg. Table'!$A31,'Config!'!$BA$15-2010+1),"")</f>
        <v>11128246</v>
      </c>
      <c r="E31" s="551" cm="1">
        <f t="array" ref="E31">IFERROR(INDEX(Population!$CH$3:$CH$178,'IMS Seg. Table'!$A31,1),"")</f>
        <v>30278</v>
      </c>
      <c r="F31" s="552">
        <f>IFERROR('IMS Seg. Table'!$D31/'IMS Seg. Table'!$E31,"")</f>
        <v>367.53570249025694</v>
      </c>
      <c r="G31" s="575" cm="1">
        <f t="array" ref="G31">IFERROR(INDEX('Country Competitivness'!$CL$4:$CX$178,Tabela2[[#This Row],[ID]],'Config!'!$AZ$17+1),".")</f>
        <v>113.46122213959499</v>
      </c>
      <c r="H31" s="540" cm="1">
        <f t="array" ref="H31">INDEX(GDP!$G$3:$S$177,'IMS Seg. Table'!$A31,'Config!'!$BA$15-2010+1)*1000000000</f>
        <v>497884216568.86719</v>
      </c>
      <c r="I31" s="539">
        <f t="shared" si="27"/>
        <v>44740.583248147748</v>
      </c>
      <c r="J31" s="576">
        <f>IFERROR(INDEX('Income Tax Rate (%)'!$F$2:$P$176,Tabela2[[#This Row],[ID]],'Config!'!$BA$15-2010+1)/100,"")</f>
        <v>0.5</v>
      </c>
      <c r="K31" s="577">
        <f>IFERROR(INDEX('Tariff Rate (%)'!$F$2:$P$176,Tabela2[[#This Row],[ID]],'Config!'!$BA$15-2010+1)/100,"")</f>
        <v>1.09E-2</v>
      </c>
      <c r="L31" s="577">
        <f>IFERROR(INDEX('Corporate Tax Rate (%)'!$F$2:$P$176,Tabela2[[#This Row],[ID]],'Config!'!$BA$15-2010+1)/100,"")</f>
        <v>0.33</v>
      </c>
      <c r="M31" s="527" cm="1">
        <f t="array" ref="M31">INDEX('Score-Starting a business'!$F$2:$P$176,'IMS Seg. Table'!$A31,'Config!'!$BA$15-2010+1)</f>
        <v>92.84</v>
      </c>
      <c r="N31" s="527" cm="1">
        <f t="array" ref="N31">IFERROR(INDEX('Country Competitivness'!$AX$4:$BH$178,Tabela2[[#This Row],[ID]],'Config!'!$BA$15-2010+1),"")</f>
        <v>2.4925194944444446</v>
      </c>
      <c r="O31" s="527" cm="1">
        <f t="array" ref="O31">IFERROR(INDEX('Country Competitivness'!$EE$4:$EO$178,Tabela2[[#This Row],[ID]],'Config!'!$BA$15-2010+1),"")</f>
        <v>5.3576636999999998</v>
      </c>
      <c r="P31" s="527" cm="1">
        <f t="array" ref="P31">IFERROR(INDEX('Country Competitivness'!$H$4:$R$178,Tabela2[[#This Row],[ID]],'Config!'!$BA$15-2010+1),"")</f>
        <v>5.2966506592105267</v>
      </c>
      <c r="Q31" s="527" cm="1">
        <f t="array" ref="Q31">IFERROR(INDEX('Country Competitivness'!$AJ$4:$AT$178,Tabela2[[#This Row],[ID]],MAX(1,'Config!'!$BA$15-2010)),"")</f>
        <v>5.7826186324074085</v>
      </c>
      <c r="R31" s="527" cm="1">
        <f t="array" ref="R31">IFERROR(INDEX('Country Competitivness'!$BM$4:$BW$178,Tabela2[[#This Row],[ID]],'Config!'!$BA$15-2010+1),"")</f>
        <v>4.4224614861111107</v>
      </c>
      <c r="S31" s="578" t="str" cm="1">
        <f t="array" ref="S3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1" s="537" t="str" cm="1">
        <f t="array" ref="T31">IF('Config!'!$BA$15=2010,".",IF(INDEX('Result data'!$R$216:$AA$390,'IMS Seg. Table'!$A31,'Config!'!$BA$15-2010)=".",".",INDEX('Result data'!$R$216:$AA$390,'IMS Seg. Table'!$A31,'Config!'!$BA$15-2010)))</f>
        <v>.</v>
      </c>
      <c r="U31" s="579" t="str">
        <f t="shared" si="28"/>
        <v>.</v>
      </c>
      <c r="V31" s="530" t="str" cm="1">
        <f t="array" ref="V31">IF(Tabela2[[#This Row],[Market Penetration (Category)]]=".",".",INDEX('Result data'!$BS$216:$CB$390,'IMS Seg. Table'!$A31,'Config!'!$BA$15-2010))</f>
        <v>.</v>
      </c>
      <c r="W31" s="563" t="str">
        <f>IF(Tabela2[[#This Row],[Market Demand (U$ millions)]]=".",".",Tabela2[[#This Row],[Market Demand (U$ millions)]]/Tabela2[[#This Row],[Active users (thousands)]])</f>
        <v>.</v>
      </c>
      <c r="X31" s="580" cm="1">
        <f t="array" ref="X31">IF('Config!'!$BA$15=2010,".",IF(INDEX('Result data'!$AE$216:$AN$390,'IMS Seg. Table'!$A31,'Config!'!$BA$15-2010)=".",0,INDEX('Result data'!$AE$216:$AN$390,'IMS Seg. Table'!$A31,'Config!'!$BA$15-2010)))</f>
        <v>0</v>
      </c>
      <c r="Y31" s="563" t="str">
        <f>IF('Config!'!$BA$15=2010,".",IF(Tabela2[[#This Row],[Number of competitors]]=0,".",SUMIF('Result data'!$N$216:$N$390,Tabela2[[#This Row],[ID]],'Result data'!$CP$216:$CP$393)))</f>
        <v>.</v>
      </c>
      <c r="Z31" s="563" t="str">
        <f>IF('Config!'!$BA$15=2010,".",IF(Tabela2[[#This Row],[Number of competitors]]=0,".",SUMIF('Result data'!$N$216:$N$390,Tabela2[[#This Row],[ID]],'Result data'!$DA$216:$DA$393)))</f>
        <v>.</v>
      </c>
      <c r="AA31" s="530" t="str" cm="1">
        <f t="array" ref="AA3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1" s="530" t="str" cm="1">
        <f t="array" ref="AB3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1" s="530" t="str" cm="1">
        <f t="array" ref="AD3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1" s="530" t="str" cm="1">
        <f t="array" ref="AE3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1" s="530" t="str" cm="1">
        <f t="array" ref="AF3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2" spans="1:32" x14ac:dyDescent="0.3">
      <c r="A32" s="568">
        <f>'Config!'!C18</f>
        <v>17</v>
      </c>
      <c r="B32" s="536" t="str">
        <f>'Config!'!A18</f>
        <v>Belize</v>
      </c>
      <c r="C32" s="536" t="str">
        <f>'Config!'!B18</f>
        <v>América Central</v>
      </c>
      <c r="D32" s="538" cm="1">
        <f t="array" ref="D32">IFERROR(INDEX(Population!$BD$3:$BN$177,'IMS Seg. Table'!$A32,'Config!'!$BA$15-2010+1),"")</f>
        <v>336707</v>
      </c>
      <c r="E32" s="551" cm="1">
        <f t="array" ref="E32">IFERROR(INDEX(Population!$CH$3:$CH$178,'IMS Seg. Table'!$A32,1),"")</f>
        <v>22806</v>
      </c>
      <c r="F32" s="552">
        <f>IFERROR('IMS Seg. Table'!$D32/'IMS Seg. Table'!$E32,"")</f>
        <v>14.763965623081646</v>
      </c>
      <c r="G32" s="575" cm="1">
        <f t="array" ref="G32">IFERROR(INDEX('Country Competitivness'!$CL$4:$CX$178,Tabela2[[#This Row],[ID]],'Config!'!$AZ$17+1),".")</f>
        <v>62.318412717768403</v>
      </c>
      <c r="H32" s="540" cm="1">
        <f t="array" ref="H32">INDEX(GDP!$G$3:$S$177,'IMS Seg. Table'!$A32,'Config!'!$BA$15-2010+1)*1000000000</f>
        <v>1563827850</v>
      </c>
      <c r="I32" s="539">
        <f t="shared" si="27"/>
        <v>4644.4768003041218</v>
      </c>
      <c r="J32" s="576">
        <f>IFERROR(INDEX('Income Tax Rate (%)'!$F$2:$P$176,Tabela2[[#This Row],[ID]],'Config!'!$BA$15-2010+1)/100,"")</f>
        <v>0.25</v>
      </c>
      <c r="K32" s="577">
        <f>IFERROR(INDEX('Tariff Rate (%)'!$F$2:$P$176,Tabela2[[#This Row],[ID]],'Config!'!$BA$15-2010+1)/100,"")</f>
        <v>0.111</v>
      </c>
      <c r="L32" s="577">
        <f>IFERROR(INDEX('Corporate Tax Rate (%)'!$F$2:$P$176,Tabela2[[#This Row],[ID]],'Config!'!$BA$15-2010+1)/100,"")</f>
        <v>0.25</v>
      </c>
      <c r="M32" s="527" cm="1">
        <f t="array" ref="M32">INDEX('Score-Starting a business'!$F$2:$P$176,'IMS Seg. Table'!$A32,'Config!'!$BA$15-2010+1)</f>
        <v>72.989999999999995</v>
      </c>
      <c r="N32" s="527" cm="1">
        <f t="array" ref="N32">IFERROR(INDEX('Country Competitivness'!$AX$4:$BH$178,Tabela2[[#This Row],[ID]],'Config!'!$BA$15-2010+1),"")</f>
        <v>2.8982250000000001</v>
      </c>
      <c r="O32" s="527" cm="1">
        <f t="array" ref="O32">IFERROR(INDEX('Country Competitivness'!$EE$4:$EO$178,Tabela2[[#This Row],[ID]],'Config!'!$BA$15-2010+1),"")</f>
        <v>3.035498</v>
      </c>
      <c r="P32" s="527" cm="1">
        <f t="array" ref="P32">IFERROR(INDEX('Country Competitivness'!$H$4:$R$178,Tabela2[[#This Row],[ID]],'Config!'!$BA$15-2010+1),"")</f>
        <v>3.3025214736842101</v>
      </c>
      <c r="Q32" s="527" cm="1">
        <f t="array" ref="Q32">IFERROR(INDEX('Country Competitivness'!$AJ$4:$AT$178,Tabela2[[#This Row],[ID]],MAX(1,'Config!'!$BA$15-2010)),"")</f>
        <v>3.9414449999999999</v>
      </c>
      <c r="R32" s="527" cm="1">
        <f t="array" ref="R32">IFERROR(INDEX('Country Competitivness'!$BM$4:$BW$178,Tabela2[[#This Row],[ID]],'Config!'!$BA$15-2010+1),"")</f>
        <v>2.641632</v>
      </c>
      <c r="S32" s="578" t="str" cm="1">
        <f t="array" ref="S3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2" s="537" t="str" cm="1">
        <f t="array" ref="T32">IF('Config!'!$BA$15=2010,".",IF(INDEX('Result data'!$R$216:$AA$390,'IMS Seg. Table'!$A32,'Config!'!$BA$15-2010)=".",".",INDEX('Result data'!$R$216:$AA$390,'IMS Seg. Table'!$A32,'Config!'!$BA$15-2010)))</f>
        <v>.</v>
      </c>
      <c r="U32" s="579" t="str">
        <f t="shared" si="28"/>
        <v>.</v>
      </c>
      <c r="V32" s="530" t="str" cm="1">
        <f t="array" ref="V32">IF(Tabela2[[#This Row],[Market Penetration (Category)]]=".",".",INDEX('Result data'!$BS$216:$CB$390,'IMS Seg. Table'!$A32,'Config!'!$BA$15-2010))</f>
        <v>.</v>
      </c>
      <c r="W32" s="563" t="str">
        <f>IF(Tabela2[[#This Row],[Market Demand (U$ millions)]]=".",".",Tabela2[[#This Row],[Market Demand (U$ millions)]]/Tabela2[[#This Row],[Active users (thousands)]])</f>
        <v>.</v>
      </c>
      <c r="X32" s="580" cm="1">
        <f t="array" ref="X32">IF('Config!'!$BA$15=2010,".",IF(INDEX('Result data'!$AE$216:$AN$390,'IMS Seg. Table'!$A32,'Config!'!$BA$15-2010)=".",0,INDEX('Result data'!$AE$216:$AN$390,'IMS Seg. Table'!$A32,'Config!'!$BA$15-2010)))</f>
        <v>0</v>
      </c>
      <c r="Y32" s="563" t="str">
        <f>IF('Config!'!$BA$15=2010,".",IF(Tabela2[[#This Row],[Number of competitors]]=0,".",SUMIF('Result data'!$N$216:$N$390,Tabela2[[#This Row],[ID]],'Result data'!$CP$216:$CP$393)))</f>
        <v>.</v>
      </c>
      <c r="Z32" s="563" t="str">
        <f>IF('Config!'!$BA$15=2010,".",IF(Tabela2[[#This Row],[Number of competitors]]=0,".",SUMIF('Result data'!$N$216:$N$390,Tabela2[[#This Row],[ID]],'Result data'!$DA$216:$DA$393)))</f>
        <v>.</v>
      </c>
      <c r="AA32" s="530" t="str" cm="1">
        <f t="array" ref="AA3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2" s="530" t="str" cm="1">
        <f t="array" ref="AB3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2" s="530" t="str" cm="1">
        <f t="array" ref="AD3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2" s="530" t="str" cm="1">
        <f t="array" ref="AE3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2" s="530" t="str" cm="1">
        <f t="array" ref="AF3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3" spans="1:32" x14ac:dyDescent="0.3">
      <c r="A33" s="569">
        <f>'Config!'!C19</f>
        <v>18</v>
      </c>
      <c r="B33" s="536" t="str">
        <f>'Config!'!A19</f>
        <v>Benin</v>
      </c>
      <c r="C33" s="536" t="str">
        <f>'Config!'!B19</f>
        <v>África Subsaariana</v>
      </c>
      <c r="D33" s="538" cm="1">
        <f t="array" ref="D33">IFERROR(INDEX(Population!$BD$3:$BN$177,'IMS Seg. Table'!$A33,'Config!'!$BA$15-2010+1),"")</f>
        <v>10049792</v>
      </c>
      <c r="E33" s="551" cm="1">
        <f t="array" ref="E33">IFERROR(INDEX(Population!$CH$3:$CH$178,'IMS Seg. Table'!$A33,1),"")</f>
        <v>110622</v>
      </c>
      <c r="F33" s="552">
        <f>IFERROR('IMS Seg. Table'!$D33/'IMS Seg. Table'!$E33,"")</f>
        <v>90.848041076820166</v>
      </c>
      <c r="G33" s="575" cm="1">
        <f t="array" ref="G33">IFERROR(INDEX('Country Competitivness'!$CL$4:$CX$178,Tabela2[[#This Row],[ID]],'Config!'!$AZ$17+1),".")</f>
        <v>79.943506655222507</v>
      </c>
      <c r="H33" s="540" cm="1">
        <f t="array" ref="H33">INDEX(GDP!$G$3:$S$177,'IMS Seg. Table'!$A33,'Config!'!$BA$15-2010+1)*1000000000</f>
        <v>8152554487.3132086</v>
      </c>
      <c r="I33" s="539">
        <f t="shared" si="27"/>
        <v>811.216240825005</v>
      </c>
      <c r="J33" s="576">
        <f>IFERROR(INDEX('Income Tax Rate (%)'!$F$2:$P$176,Tabela2[[#This Row],[ID]],'Config!'!$BA$15-2010+1)/100,"")</f>
        <v>0.45</v>
      </c>
      <c r="K33" s="577">
        <f>IFERROR(INDEX('Tariff Rate (%)'!$F$2:$P$176,Tabela2[[#This Row],[ID]],'Config!'!$BA$15-2010+1)/100,"")</f>
        <v>0.15</v>
      </c>
      <c r="L33" s="577">
        <f>IFERROR(INDEX('Corporate Tax Rate (%)'!$F$2:$P$176,Tabela2[[#This Row],[ID]],'Config!'!$BA$15-2010+1)/100,"")</f>
        <v>0.3</v>
      </c>
      <c r="M33" s="527" cm="1">
        <f t="array" ref="M33">INDEX('Score-Starting a business'!$F$2:$P$176,'IMS Seg. Table'!$A33,'Config!'!$BA$15-2010+1)</f>
        <v>43.2</v>
      </c>
      <c r="N33" s="527" cm="1">
        <f t="array" ref="N33">IFERROR(INDEX('Country Competitivness'!$AX$4:$BH$178,Tabela2[[#This Row],[ID]],'Config!'!$BA$15-2010+1),"")</f>
        <v>3.4715475857142852</v>
      </c>
      <c r="O33" s="527" cm="1">
        <f t="array" ref="O33">IFERROR(INDEX('Country Competitivness'!$EE$4:$EO$178,Tabela2[[#This Row],[ID]],'Config!'!$BA$15-2010+1),"")</f>
        <v>2.9311399178571431</v>
      </c>
      <c r="P33" s="527" cm="1">
        <f t="array" ref="P33">IFERROR(INDEX('Country Competitivness'!$H$4:$R$178,Tabela2[[#This Row],[ID]],'Config!'!$BA$15-2010+1),"")</f>
        <v>3.4916466281954883</v>
      </c>
      <c r="Q33" s="527" cm="1">
        <f t="array" ref="Q33">IFERROR(INDEX('Country Competitivness'!$AJ$4:$AT$178,Tabela2[[#This Row],[ID]],MAX(1,'Config!'!$BA$15-2010)),"")</f>
        <v>4.2726675666666667</v>
      </c>
      <c r="R33" s="527" cm="1">
        <f t="array" ref="R33">IFERROR(INDEX('Country Competitivness'!$BM$4:$BW$178,Tabela2[[#This Row],[ID]],'Config!'!$BA$15-2010+1),"")</f>
        <v>2.8172730964285715</v>
      </c>
      <c r="S33" s="578" t="str" cm="1">
        <f t="array" ref="S3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3" s="537" t="str" cm="1">
        <f t="array" ref="T33">IF('Config!'!$BA$15=2010,".",IF(INDEX('Result data'!$R$216:$AA$390,'IMS Seg. Table'!$A33,'Config!'!$BA$15-2010)=".",".",INDEX('Result data'!$R$216:$AA$390,'IMS Seg. Table'!$A33,'Config!'!$BA$15-2010)))</f>
        <v>.</v>
      </c>
      <c r="U33" s="579" t="str">
        <f t="shared" si="28"/>
        <v>.</v>
      </c>
      <c r="V33" s="530" t="str" cm="1">
        <f t="array" ref="V33">IF(Tabela2[[#This Row],[Market Penetration (Category)]]=".",".",INDEX('Result data'!$BS$216:$CB$390,'IMS Seg. Table'!$A33,'Config!'!$BA$15-2010))</f>
        <v>.</v>
      </c>
      <c r="W33" s="563" t="str">
        <f>IF(Tabela2[[#This Row],[Market Demand (U$ millions)]]=".",".",Tabela2[[#This Row],[Market Demand (U$ millions)]]/Tabela2[[#This Row],[Active users (thousands)]])</f>
        <v>.</v>
      </c>
      <c r="X33" s="580" cm="1">
        <f t="array" ref="X33">IF('Config!'!$BA$15=2010,".",IF(INDEX('Result data'!$AE$216:$AN$390,'IMS Seg. Table'!$A33,'Config!'!$BA$15-2010)=".",0,INDEX('Result data'!$AE$216:$AN$390,'IMS Seg. Table'!$A33,'Config!'!$BA$15-2010)))</f>
        <v>0</v>
      </c>
      <c r="Y33" s="563" t="str">
        <f>IF('Config!'!$BA$15=2010,".",IF(Tabela2[[#This Row],[Number of competitors]]=0,".",SUMIF('Result data'!$N$216:$N$390,Tabela2[[#This Row],[ID]],'Result data'!$CP$216:$CP$393)))</f>
        <v>.</v>
      </c>
      <c r="Z33" s="563" t="str">
        <f>IF('Config!'!$BA$15=2010,".",IF(Tabela2[[#This Row],[Number of competitors]]=0,".",SUMIF('Result data'!$N$216:$N$390,Tabela2[[#This Row],[ID]],'Result data'!$DA$216:$DA$393)))</f>
        <v>.</v>
      </c>
      <c r="AA33" s="530" t="str" cm="1">
        <f t="array" ref="AA3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3" s="530" t="str" cm="1">
        <f t="array" ref="AB3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3" s="530" t="str" cm="1">
        <f t="array" ref="AD3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3" s="530" t="str" cm="1">
        <f t="array" ref="AE3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3" s="530" t="str" cm="1">
        <f t="array" ref="AF3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4" spans="1:32" x14ac:dyDescent="0.3">
      <c r="A34" s="568">
        <f>'Config!'!C20</f>
        <v>15</v>
      </c>
      <c r="B34" s="536" t="str">
        <f>'Config!'!A20</f>
        <v>Bielorrússia</v>
      </c>
      <c r="C34" s="536" t="str">
        <f>'Config!'!B20</f>
        <v>Europa</v>
      </c>
      <c r="D34" s="538" cm="1">
        <f t="array" ref="D34">IFERROR(INDEX(Population!$BD$3:$BN$177,'IMS Seg. Table'!$A34,'Config!'!$BA$15-2010+1),"")</f>
        <v>9464000</v>
      </c>
      <c r="E34" s="551" cm="1">
        <f t="array" ref="E34">IFERROR(INDEX(Population!$CH$3:$CH$178,'IMS Seg. Table'!$A34,1),"")</f>
        <v>202900</v>
      </c>
      <c r="F34" s="552">
        <f>IFERROR('IMS Seg. Table'!$D34/'IMS Seg. Table'!$E34,"")</f>
        <v>46.643666830951204</v>
      </c>
      <c r="G34" s="575" cm="1">
        <f t="array" ref="G34">IFERROR(INDEX('Country Competitivness'!$CL$4:$CX$178,Tabela2[[#This Row],[ID]],'Config!'!$AZ$17+1),".")</f>
        <v>69.06</v>
      </c>
      <c r="H34" s="540" cm="1">
        <f t="array" ref="H34">INDEX(GDP!$G$3:$S$177,'IMS Seg. Table'!$A34,'Config!'!$BA$15-2010+1)*1000000000</f>
        <v>65685102554.875854</v>
      </c>
      <c r="I34" s="539">
        <f t="shared" si="27"/>
        <v>6940.5222479792747</v>
      </c>
      <c r="J34" s="576">
        <f>IFERROR(INDEX('Income Tax Rate (%)'!$F$2:$P$176,Tabela2[[#This Row],[ID]],'Config!'!$BA$15-2010+1)/100,"")</f>
        <v>0.12</v>
      </c>
      <c r="K34" s="577">
        <f>IFERROR(INDEX('Tariff Rate (%)'!$F$2:$P$176,Tabela2[[#This Row],[ID]],'Config!'!$BA$15-2010+1)/100,"")</f>
        <v>1.8000000000000002E-2</v>
      </c>
      <c r="L34" s="577">
        <f>IFERROR(INDEX('Corporate Tax Rate (%)'!$F$2:$P$176,Tabela2[[#This Row],[ID]],'Config!'!$BA$15-2010+1)/100,"")</f>
        <v>0.18</v>
      </c>
      <c r="M34" s="527" cm="1">
        <f t="array" ref="M34">INDEX('Score-Starting a business'!$F$2:$P$176,'IMS Seg. Table'!$A34,'Config!'!$BA$15-2010+1)</f>
        <v>87.83</v>
      </c>
      <c r="N34" s="527" cm="1">
        <f t="array" ref="N34">IFERROR(INDEX('Country Competitivness'!$AX$4:$BH$178,Tabela2[[#This Row],[ID]],'Config!'!$BA$15-2010+1),"")</f>
        <v>3.18</v>
      </c>
      <c r="O34" s="527" cm="1">
        <f t="array" ref="O34">IFERROR(INDEX('Country Competitivness'!$EE$4:$EO$178,Tabela2[[#This Row],[ID]],'Config!'!$BA$15-2010+1),"")</f>
        <v>3.63</v>
      </c>
      <c r="P34" s="527" cm="1">
        <f t="array" ref="P34">IFERROR(INDEX('Country Competitivness'!$H$4:$R$178,Tabela2[[#This Row],[ID]],'Config!'!$BA$15-2010+1),"")</f>
        <v>3.38</v>
      </c>
      <c r="Q34" s="527" cm="1">
        <f t="array" ref="Q34">IFERROR(INDEX('Country Competitivness'!$AJ$4:$AT$178,Tabela2[[#This Row],[ID]],MAX(1,'Config!'!$BA$15-2010)),"")</f>
        <v>5.64</v>
      </c>
      <c r="R34" s="527" cm="1">
        <f t="array" ref="R34">IFERROR(INDEX('Country Competitivness'!$BM$4:$BW$178,Tabela2[[#This Row],[ID]],'Config!'!$BA$15-2010+1),"")</f>
        <v>2.71</v>
      </c>
      <c r="S34" s="578" t="str" cm="1">
        <f t="array" ref="S3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4" s="537" t="str" cm="1">
        <f t="array" ref="T34">IF('Config!'!$BA$15=2010,".",IF(INDEX('Result data'!$R$216:$AA$390,'IMS Seg. Table'!$A34,'Config!'!$BA$15-2010)=".",".",INDEX('Result data'!$R$216:$AA$390,'IMS Seg. Table'!$A34,'Config!'!$BA$15-2010)))</f>
        <v>.</v>
      </c>
      <c r="U34" s="579" t="str">
        <f t="shared" si="28"/>
        <v>.</v>
      </c>
      <c r="V34" s="530" t="str" cm="1">
        <f t="array" ref="V34">IF(Tabela2[[#This Row],[Market Penetration (Category)]]=".",".",INDEX('Result data'!$BS$216:$CB$390,'IMS Seg. Table'!$A34,'Config!'!$BA$15-2010))</f>
        <v>.</v>
      </c>
      <c r="W34" s="563" t="str">
        <f>IF(Tabela2[[#This Row],[Market Demand (U$ millions)]]=".",".",Tabela2[[#This Row],[Market Demand (U$ millions)]]/Tabela2[[#This Row],[Active users (thousands)]])</f>
        <v>.</v>
      </c>
      <c r="X34" s="580" cm="1">
        <f t="array" ref="X34">IF('Config!'!$BA$15=2010,".",IF(INDEX('Result data'!$AE$216:$AN$390,'IMS Seg. Table'!$A34,'Config!'!$BA$15-2010)=".",0,INDEX('Result data'!$AE$216:$AN$390,'IMS Seg. Table'!$A34,'Config!'!$BA$15-2010)))</f>
        <v>0</v>
      </c>
      <c r="Y34" s="563" t="str">
        <f>IF('Config!'!$BA$15=2010,".",IF(Tabela2[[#This Row],[Number of competitors]]=0,".",SUMIF('Result data'!$N$216:$N$390,Tabela2[[#This Row],[ID]],'Result data'!$CP$216:$CP$393)))</f>
        <v>.</v>
      </c>
      <c r="Z34" s="563" t="str">
        <f>IF('Config!'!$BA$15=2010,".",IF(Tabela2[[#This Row],[Number of competitors]]=0,".",SUMIF('Result data'!$N$216:$N$390,Tabela2[[#This Row],[ID]],'Result data'!$DA$216:$DA$393)))</f>
        <v>.</v>
      </c>
      <c r="AA34" s="530" t="str" cm="1">
        <f t="array" ref="AA3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4" s="530" t="str" cm="1">
        <f t="array" ref="AB3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4" s="530" t="str" cm="1">
        <f t="array" ref="AD3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4" s="530" t="str" cm="1">
        <f t="array" ref="AE3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4" s="530" t="str" cm="1">
        <f t="array" ref="AF3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5" spans="1:32" x14ac:dyDescent="0.3">
      <c r="A35" s="569">
        <f>'Config!'!C21</f>
        <v>21</v>
      </c>
      <c r="B35" s="536" t="str">
        <f>'Config!'!A21</f>
        <v>Bolívia</v>
      </c>
      <c r="C35" s="536" t="str">
        <f>'Config!'!B21</f>
        <v>América do Sul</v>
      </c>
      <c r="D35" s="538" cm="1">
        <f t="array" ref="D35">IFERROR(INDEX(Population!$BD$3:$BN$177,'IMS Seg. Table'!$A35,'Config!'!$BA$15-2010+1),"")</f>
        <v>10238762</v>
      </c>
      <c r="E35" s="551" cm="1">
        <f t="array" ref="E35">IFERROR(INDEX(Population!$CH$3:$CH$178,'IMS Seg. Table'!$A35,1),"")</f>
        <v>1083301</v>
      </c>
      <c r="F35" s="552">
        <f>IFERROR('IMS Seg. Table'!$D35/'IMS Seg. Table'!$E35,"")</f>
        <v>9.4514470124185248</v>
      </c>
      <c r="G35" s="575" cm="1">
        <f t="array" ref="G35">IFERROR(INDEX('Country Competitivness'!$CL$4:$CX$178,Tabela2[[#This Row],[ID]],'Config!'!$AZ$17+1),".")</f>
        <v>72.300122589981001</v>
      </c>
      <c r="H35" s="540" cm="1">
        <f t="array" ref="H35">INDEX(GDP!$G$3:$S$177,'IMS Seg. Table'!$A35,'Config!'!$BA$15-2010+1)*1000000000</f>
        <v>27084497539.797394</v>
      </c>
      <c r="I35" s="539">
        <f t="shared" si="27"/>
        <v>2645.29027433174</v>
      </c>
      <c r="J35" s="576">
        <f>IFERROR(INDEX('Income Tax Rate (%)'!$F$2:$P$176,Tabela2[[#This Row],[ID]],'Config!'!$BA$15-2010+1)/100,"")</f>
        <v>0.13</v>
      </c>
      <c r="K35" s="577">
        <f>IFERROR(INDEX('Tariff Rate (%)'!$F$2:$P$176,Tabela2[[#This Row],[ID]],'Config!'!$BA$15-2010+1)/100,"")</f>
        <v>3.6799999999999999E-2</v>
      </c>
      <c r="L35" s="577">
        <f>IFERROR(INDEX('Corporate Tax Rate (%)'!$F$2:$P$176,Tabela2[[#This Row],[ID]],'Config!'!$BA$15-2010+1)/100,"")</f>
        <v>0.25</v>
      </c>
      <c r="M35" s="527" cm="1">
        <f t="array" ref="M35">INDEX('Score-Starting a business'!$F$2:$P$176,'IMS Seg. Table'!$A35,'Config!'!$BA$15-2010+1)</f>
        <v>58.02</v>
      </c>
      <c r="N35" s="527" cm="1">
        <f t="array" ref="N35">IFERROR(INDEX('Country Competitivness'!$AX$4:$BH$178,Tabela2[[#This Row],[ID]],'Config!'!$BA$15-2010+1),"")</f>
        <v>3.190607130597015</v>
      </c>
      <c r="O35" s="527" cm="1">
        <f t="array" ref="O35">IFERROR(INDEX('Country Competitivness'!$EE$4:$EO$178,Tabela2[[#This Row],[ID]],'Config!'!$BA$15-2010+1),"")</f>
        <v>2.9860561246268658</v>
      </c>
      <c r="P35" s="527" cm="1">
        <f t="array" ref="P35">IFERROR(INDEX('Country Competitivness'!$H$4:$R$178,Tabela2[[#This Row],[ID]],'Config!'!$BA$15-2010+1),"")</f>
        <v>3.4476878306755698</v>
      </c>
      <c r="Q35" s="527" cm="1">
        <f t="array" ref="Q35">IFERROR(INDEX('Country Competitivness'!$AJ$4:$AT$178,Tabela2[[#This Row],[ID]],MAX(1,'Config!'!$BA$15-2010)),"")</f>
        <v>3.6111636154228854</v>
      </c>
      <c r="R35" s="527" cm="1">
        <f t="array" ref="R35">IFERROR(INDEX('Country Competitivness'!$BM$4:$BW$178,Tabela2[[#This Row],[ID]],'Config!'!$BA$15-2010+1),"")</f>
        <v>2.8808417007462683</v>
      </c>
      <c r="S35" s="578" t="str" cm="1">
        <f t="array" ref="S3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5" s="537" t="str" cm="1">
        <f t="array" ref="T35">IF('Config!'!$BA$15=2010,".",IF(INDEX('Result data'!$R$216:$AA$390,'IMS Seg. Table'!$A35,'Config!'!$BA$15-2010)=".",".",INDEX('Result data'!$R$216:$AA$390,'IMS Seg. Table'!$A35,'Config!'!$BA$15-2010)))</f>
        <v>.</v>
      </c>
      <c r="U35" s="579" t="str">
        <f t="shared" si="28"/>
        <v>.</v>
      </c>
      <c r="V35" s="530" t="str" cm="1">
        <f t="array" ref="V35">IF(Tabela2[[#This Row],[Market Penetration (Category)]]=".",".",INDEX('Result data'!$BS$216:$CB$390,'IMS Seg. Table'!$A35,'Config!'!$BA$15-2010))</f>
        <v>.</v>
      </c>
      <c r="W35" s="563" t="str">
        <f>IF(Tabela2[[#This Row],[Market Demand (U$ millions)]]=".",".",Tabela2[[#This Row],[Market Demand (U$ millions)]]/Tabela2[[#This Row],[Active users (thousands)]])</f>
        <v>.</v>
      </c>
      <c r="X35" s="580" cm="1">
        <f t="array" ref="X35">IF('Config!'!$BA$15=2010,".",IF(INDEX('Result data'!$AE$216:$AN$390,'IMS Seg. Table'!$A35,'Config!'!$BA$15-2010)=".",0,INDEX('Result data'!$AE$216:$AN$390,'IMS Seg. Table'!$A35,'Config!'!$BA$15-2010)))</f>
        <v>0</v>
      </c>
      <c r="Y35" s="563" t="str">
        <f>IF('Config!'!$BA$15=2010,".",IF(Tabela2[[#This Row],[Number of competitors]]=0,".",SUMIF('Result data'!$N$216:$N$390,Tabela2[[#This Row],[ID]],'Result data'!$CP$216:$CP$393)))</f>
        <v>.</v>
      </c>
      <c r="Z35" s="563" t="str">
        <f>IF('Config!'!$BA$15=2010,".",IF(Tabela2[[#This Row],[Number of competitors]]=0,".",SUMIF('Result data'!$N$216:$N$390,Tabela2[[#This Row],[ID]],'Result data'!$DA$216:$DA$393)))</f>
        <v>.</v>
      </c>
      <c r="AA35" s="530" t="str" cm="1">
        <f t="array" ref="AA3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5" s="530" t="str" cm="1">
        <f t="array" ref="AB3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5" s="530" t="str" cm="1">
        <f t="array" ref="AD3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5" s="530" t="str" cm="1">
        <f t="array" ref="AE3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5" s="530" t="str" cm="1">
        <f t="array" ref="AF3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6" spans="1:32" x14ac:dyDescent="0.3">
      <c r="A36" s="568">
        <f>'Config!'!C22</f>
        <v>171</v>
      </c>
      <c r="B36" s="536" t="str">
        <f>'Config!'!A22</f>
        <v>Bósnia e Herzegovina</v>
      </c>
      <c r="C36" s="536" t="str">
        <f>'Config!'!B22</f>
        <v>Europa</v>
      </c>
      <c r="D36" s="538" cm="1">
        <f t="array" ref="D36">IFERROR(INDEX(Population!$BD$3:$BN$177,'IMS Seg. Table'!$A36,'Config!'!$BA$15-2010+1),"")</f>
        <v>3828419</v>
      </c>
      <c r="E36" s="551" cm="1">
        <f t="array" ref="E36">IFERROR(INDEX(Population!$CH$3:$CH$178,'IMS Seg. Table'!$A36,1),"")</f>
        <v>51187</v>
      </c>
      <c r="F36" s="552">
        <f>IFERROR('IMS Seg. Table'!$D36/'IMS Seg. Table'!$E36,"")</f>
        <v>74.79279895285913</v>
      </c>
      <c r="G36" s="575" cm="1">
        <f t="array" ref="G36">IFERROR(INDEX('Country Competitivness'!$CL$4:$CX$178,Tabela2[[#This Row],[ID]],'Config!'!$AZ$17+1),".")</f>
        <v>80.148419650391503</v>
      </c>
      <c r="H36" s="540" cm="1">
        <f t="array" ref="H36">INDEX(GDP!$G$3:$S$177,'IMS Seg. Table'!$A36,'Config!'!$BA$15-2010+1)*1000000000</f>
        <v>17226849297.07003</v>
      </c>
      <c r="I36" s="539">
        <f t="shared" si="27"/>
        <v>4499.7293392050424</v>
      </c>
      <c r="J36" s="576">
        <f>IFERROR(INDEX('Income Tax Rate (%)'!$F$2:$P$176,Tabela2[[#This Row],[ID]],'Config!'!$BA$15-2010+1)/100,"")</f>
        <v>0.1</v>
      </c>
      <c r="K36" s="577">
        <f>IFERROR(INDEX('Tariff Rate (%)'!$F$2:$P$176,Tabela2[[#This Row],[ID]],'Config!'!$BA$15-2010+1)/100,"")</f>
        <v>2.07E-2</v>
      </c>
      <c r="L36" s="577">
        <f>IFERROR(INDEX('Corporate Tax Rate (%)'!$F$2:$P$176,Tabela2[[#This Row],[ID]],'Config!'!$BA$15-2010+1)/100,"")</f>
        <v>0.1</v>
      </c>
      <c r="M36" s="527" cm="1">
        <f t="array" ref="M36">INDEX('Score-Starting a business'!$F$2:$P$176,'IMS Seg. Table'!$A36,'Config!'!$BA$15-2010+1)</f>
        <v>54.33</v>
      </c>
      <c r="N36" s="527" cm="1">
        <f t="array" ref="N36">IFERROR(INDEX('Country Competitivness'!$AX$4:$BH$178,Tabela2[[#This Row],[ID]],'Config!'!$BA$15-2010+1),"")</f>
        <v>2.7822300000000002</v>
      </c>
      <c r="O36" s="527" cm="1">
        <f t="array" ref="O36">IFERROR(INDEX('Country Competitivness'!$EE$4:$EO$178,Tabela2[[#This Row],[ID]],'Config!'!$BA$15-2010+1),"")</f>
        <v>1.729276</v>
      </c>
      <c r="P36" s="527" cm="1">
        <f t="array" ref="P36">IFERROR(INDEX('Country Competitivness'!$H$4:$R$178,Tabela2[[#This Row],[ID]],'Config!'!$BA$15-2010+1),"")</f>
        <v>3.4219971052631579</v>
      </c>
      <c r="Q36" s="527" cm="1">
        <f t="array" ref="Q36">IFERROR(INDEX('Country Competitivness'!$AJ$4:$AT$178,Tabela2[[#This Row],[ID]],MAX(1,'Config!'!$BA$15-2010)),"")</f>
        <v>4.1752416666666674</v>
      </c>
      <c r="R36" s="527" cm="1">
        <f t="array" ref="R36">IFERROR(INDEX('Country Competitivness'!$BM$4:$BW$178,Tabela2[[#This Row],[ID]],'Config!'!$BA$15-2010+1),"")</f>
        <v>3.0049790000000001</v>
      </c>
      <c r="S36" s="578" t="str" cm="1">
        <f t="array" ref="S3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6" s="537" t="str" cm="1">
        <f t="array" ref="T36">IF('Config!'!$BA$15=2010,".",IF(INDEX('Result data'!$R$216:$AA$390,'IMS Seg. Table'!$A36,'Config!'!$BA$15-2010)=".",".",INDEX('Result data'!$R$216:$AA$390,'IMS Seg. Table'!$A36,'Config!'!$BA$15-2010)))</f>
        <v>.</v>
      </c>
      <c r="U36" s="579" t="str">
        <f t="shared" si="28"/>
        <v>.</v>
      </c>
      <c r="V36" s="530" t="str" cm="1">
        <f t="array" ref="V36">IF(Tabela2[[#This Row],[Market Penetration (Category)]]=".",".",INDEX('Result data'!$BS$216:$CB$390,'IMS Seg. Table'!$A36,'Config!'!$BA$15-2010))</f>
        <v>.</v>
      </c>
      <c r="W36" s="563" t="str">
        <f>IF(Tabela2[[#This Row],[Market Demand (U$ millions)]]=".",".",Tabela2[[#This Row],[Market Demand (U$ millions)]]/Tabela2[[#This Row],[Active users (thousands)]])</f>
        <v>.</v>
      </c>
      <c r="X36" s="580" cm="1">
        <f t="array" ref="X36">IF('Config!'!$BA$15=2010,".",IF(INDEX('Result data'!$AE$216:$AN$390,'IMS Seg. Table'!$A36,'Config!'!$BA$15-2010)=".",0,INDEX('Result data'!$AE$216:$AN$390,'IMS Seg. Table'!$A36,'Config!'!$BA$15-2010)))</f>
        <v>0</v>
      </c>
      <c r="Y36" s="563" t="str">
        <f>IF('Config!'!$BA$15=2010,".",IF(Tabela2[[#This Row],[Number of competitors]]=0,".",SUMIF('Result data'!$N$216:$N$390,Tabela2[[#This Row],[ID]],'Result data'!$CP$216:$CP$393)))</f>
        <v>.</v>
      </c>
      <c r="Z36" s="563" t="str">
        <f>IF('Config!'!$BA$15=2010,".",IF(Tabela2[[#This Row],[Number of competitors]]=0,".",SUMIF('Result data'!$N$216:$N$390,Tabela2[[#This Row],[ID]],'Result data'!$DA$216:$DA$393)))</f>
        <v>.</v>
      </c>
      <c r="AA36" s="530" t="str" cm="1">
        <f t="array" ref="AA3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6" s="530" t="str" cm="1">
        <f t="array" ref="AB3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6" s="530" t="str" cm="1">
        <f t="array" ref="AD3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6" s="530" t="str" cm="1">
        <f t="array" ref="AE3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6" s="530" t="str" cm="1">
        <f t="array" ref="AF3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7" spans="1:32" x14ac:dyDescent="0.3">
      <c r="A37" s="569">
        <f>'Config!'!C23</f>
        <v>22</v>
      </c>
      <c r="B37" s="536" t="str">
        <f>'Config!'!A23</f>
        <v>Botsuana</v>
      </c>
      <c r="C37" s="536" t="str">
        <f>'Config!'!B23</f>
        <v>África Subsaariana</v>
      </c>
      <c r="D37" s="538" cm="1">
        <f t="array" ref="D37">IFERROR(INDEX(Population!$BD$3:$BN$177,'IMS Seg. Table'!$A37,'Config!'!$BA$15-2010+1),"")</f>
        <v>2132822</v>
      </c>
      <c r="E37" s="551" cm="1">
        <f t="array" ref="E37">IFERROR(INDEX(Population!$CH$3:$CH$178,'IMS Seg. Table'!$A37,1),"")</f>
        <v>566730</v>
      </c>
      <c r="F37" s="552">
        <f>IFERROR('IMS Seg. Table'!$D37/'IMS Seg. Table'!$E37,"")</f>
        <v>3.7633829160270325</v>
      </c>
      <c r="G37" s="575" cm="1">
        <f t="array" ref="G37">IFERROR(INDEX('Country Competitivness'!$CL$4:$CX$178,Tabela2[[#This Row],[ID]],'Config!'!$AZ$17+1),".")</f>
        <v>117.761622764949</v>
      </c>
      <c r="H37" s="540" cm="1">
        <f t="array" ref="H37">INDEX(GDP!$G$3:$S$177,'IMS Seg. Table'!$A37,'Config!'!$BA$15-2010+1)*1000000000</f>
        <v>16067155187.037525</v>
      </c>
      <c r="I37" s="539">
        <f t="shared" si="27"/>
        <v>7533.2846280831336</v>
      </c>
      <c r="J37" s="576">
        <f>IFERROR(INDEX('Income Tax Rate (%)'!$F$2:$P$176,Tabela2[[#This Row],[ID]],'Config!'!$BA$15-2010+1)/100,"")</f>
        <v>0.25</v>
      </c>
      <c r="K37" s="577">
        <f>IFERROR(INDEX('Tariff Rate (%)'!$F$2:$P$176,Tabela2[[#This Row],[ID]],'Config!'!$BA$15-2010+1)/100,"")</f>
        <v>3.6400000000000002E-2</v>
      </c>
      <c r="L37" s="577">
        <f>IFERROR(INDEX('Corporate Tax Rate (%)'!$F$2:$P$176,Tabela2[[#This Row],[ID]],'Config!'!$BA$15-2010+1)/100,"")</f>
        <v>0.22</v>
      </c>
      <c r="M37" s="527" cm="1">
        <f t="array" ref="M37">INDEX('Score-Starting a business'!$F$2:$P$176,'IMS Seg. Table'!$A37,'Config!'!$BA$15-2010+1)</f>
        <v>78.17</v>
      </c>
      <c r="N37" s="527" cm="1">
        <f t="array" ref="N37">IFERROR(INDEX('Country Competitivness'!$AX$4:$BH$178,Tabela2[[#This Row],[ID]],'Config!'!$BA$15-2010+1),"")</f>
        <v>3.8258451779816509</v>
      </c>
      <c r="O37" s="527" cm="1">
        <f t="array" ref="O37">IFERROR(INDEX('Country Competitivness'!$EE$4:$EO$178,Tabela2[[#This Row],[ID]],'Config!'!$BA$15-2010+1),"")</f>
        <v>4.425486196330275</v>
      </c>
      <c r="P37" s="527" cm="1">
        <f t="array" ref="P37">IFERROR(INDEX('Country Competitivness'!$H$4:$R$178,Tabela2[[#This Row],[ID]],'Config!'!$BA$15-2010+1),"")</f>
        <v>3.4863353815548042</v>
      </c>
      <c r="Q37" s="527" cm="1">
        <f t="array" ref="Q37">IFERROR(INDEX('Country Competitivness'!$AJ$4:$AT$178,Tabela2[[#This Row],[ID]],MAX(1,'Config!'!$BA$15-2010)),"")</f>
        <v>4.520201666055045</v>
      </c>
      <c r="R37" s="527" cm="1">
        <f t="array" ref="R37">IFERROR(INDEX('Country Competitivness'!$BM$4:$BW$178,Tabela2[[#This Row],[ID]],'Config!'!$BA$15-2010+1),"")</f>
        <v>3.0484719908256879</v>
      </c>
      <c r="S37" s="578" t="str" cm="1">
        <f t="array" ref="S3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7" s="537" t="str" cm="1">
        <f t="array" ref="T37">IF('Config!'!$BA$15=2010,".",IF(INDEX('Result data'!$R$216:$AA$390,'IMS Seg. Table'!$A37,'Config!'!$BA$15-2010)=".",".",INDEX('Result data'!$R$216:$AA$390,'IMS Seg. Table'!$A37,'Config!'!$BA$15-2010)))</f>
        <v>.</v>
      </c>
      <c r="U37" s="579" t="str">
        <f t="shared" si="28"/>
        <v>.</v>
      </c>
      <c r="V37" s="530" t="str" cm="1">
        <f t="array" ref="V37">IF(Tabela2[[#This Row],[Market Penetration (Category)]]=".",".",INDEX('Result data'!$BS$216:$CB$390,'IMS Seg. Table'!$A37,'Config!'!$BA$15-2010))</f>
        <v>.</v>
      </c>
      <c r="W37" s="563" t="str">
        <f>IF(Tabela2[[#This Row],[Market Demand (U$ millions)]]=".",".",Tabela2[[#This Row],[Market Demand (U$ millions)]]/Tabela2[[#This Row],[Active users (thousands)]])</f>
        <v>.</v>
      </c>
      <c r="X37" s="580" cm="1">
        <f t="array" ref="X37">IF('Config!'!$BA$15=2010,".",IF(INDEX('Result data'!$AE$216:$AN$390,'IMS Seg. Table'!$A37,'Config!'!$BA$15-2010)=".",0,INDEX('Result data'!$AE$216:$AN$390,'IMS Seg. Table'!$A37,'Config!'!$BA$15-2010)))</f>
        <v>0</v>
      </c>
      <c r="Y37" s="563" t="str">
        <f>IF('Config!'!$BA$15=2010,".",IF(Tabela2[[#This Row],[Number of competitors]]=0,".",SUMIF('Result data'!$N$216:$N$390,Tabela2[[#This Row],[ID]],'Result data'!$CP$216:$CP$393)))</f>
        <v>.</v>
      </c>
      <c r="Z37" s="563" t="str">
        <f>IF('Config!'!$BA$15=2010,".",IF(Tabela2[[#This Row],[Number of competitors]]=0,".",SUMIF('Result data'!$N$216:$N$390,Tabela2[[#This Row],[ID]],'Result data'!$DA$216:$DA$393)))</f>
        <v>.</v>
      </c>
      <c r="AA37" s="530" t="str" cm="1">
        <f t="array" ref="AA3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7" s="530" t="str" cm="1">
        <f t="array" ref="AB3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7" s="530" t="str" cm="1">
        <f t="array" ref="AD3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7" s="530" t="str" cm="1">
        <f t="array" ref="AE3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7" s="530" t="str" cm="1">
        <f t="array" ref="AF3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8" spans="1:32" x14ac:dyDescent="0.3">
      <c r="A38" s="568">
        <f>'Config!'!C24</f>
        <v>23</v>
      </c>
      <c r="B38" s="536" t="str">
        <f>'Config!'!A24</f>
        <v>Brasil</v>
      </c>
      <c r="C38" s="536" t="str">
        <f>'Config!'!B24</f>
        <v>América do Sul</v>
      </c>
      <c r="D38" s="538" cm="1">
        <f t="array" ref="D38">IFERROR(INDEX(Population!$BD$3:$BN$177,'IMS Seg. Table'!$A38,'Config!'!$BA$15-2010+1),"")</f>
        <v>202401584</v>
      </c>
      <c r="E38" s="551" cm="1">
        <f t="array" ref="E38">IFERROR(INDEX(Population!$CH$3:$CH$178,'IMS Seg. Table'!$A38,1),"")</f>
        <v>8358140</v>
      </c>
      <c r="F38" s="552">
        <f>IFERROR('IMS Seg. Table'!$D38/'IMS Seg. Table'!$E38,"")</f>
        <v>24.216103582854558</v>
      </c>
      <c r="G38" s="575" cm="1">
        <f t="array" ref="G38">IFERROR(INDEX('Country Competitivness'!$CL$4:$CX$178,Tabela2[[#This Row],[ID]],'Config!'!$AZ$17+1),".")</f>
        <v>104.102440531496</v>
      </c>
      <c r="H38" s="540" cm="1">
        <f t="array" ref="H38">INDEX(GDP!$G$3:$S$177,'IMS Seg. Table'!$A38,'Config!'!$BA$15-2010+1)*1000000000</f>
        <v>2465188674415.0322</v>
      </c>
      <c r="I38" s="539">
        <f t="shared" si="27"/>
        <v>12179.690621467826</v>
      </c>
      <c r="J38" s="576">
        <f>IFERROR(INDEX('Income Tax Rate (%)'!$F$2:$P$176,Tabela2[[#This Row],[ID]],'Config!'!$BA$15-2010+1)/100,"")</f>
        <v>0.27500000000000002</v>
      </c>
      <c r="K38" s="577">
        <f>IFERROR(INDEX('Tariff Rate (%)'!$F$2:$P$176,Tabela2[[#This Row],[ID]],'Config!'!$BA$15-2010+1)/100,"")</f>
        <v>7.8600000000000003E-2</v>
      </c>
      <c r="L38" s="577">
        <f>IFERROR(INDEX('Corporate Tax Rate (%)'!$F$2:$P$176,Tabela2[[#This Row],[ID]],'Config!'!$BA$15-2010+1)/100,"")</f>
        <v>0.34</v>
      </c>
      <c r="M38" s="527" cm="1">
        <f t="array" ref="M38">INDEX('Score-Starting a business'!$F$2:$P$176,'IMS Seg. Table'!$A38,'Config!'!$BA$15-2010+1)</f>
        <v>63.87</v>
      </c>
      <c r="N38" s="527" cm="1">
        <f t="array" ref="N38">IFERROR(INDEX('Country Competitivness'!$AX$4:$BH$178,Tabela2[[#This Row],[ID]],'Config!'!$BA$15-2010+1),"")</f>
        <v>2.0453038362606235</v>
      </c>
      <c r="O38" s="527" cm="1">
        <f t="array" ref="O38">IFERROR(INDEX('Country Competitivness'!$EE$4:$EO$178,Tabela2[[#This Row],[ID]],'Config!'!$BA$15-2010+1),"")</f>
        <v>2.786869604532578</v>
      </c>
      <c r="P38" s="527" cm="1">
        <f t="array" ref="P38">IFERROR(INDEX('Country Competitivness'!$H$4:$R$178,Tabela2[[#This Row],[ID]],'Config!'!$BA$15-2010+1),"")</f>
        <v>4.5432681964514687</v>
      </c>
      <c r="Q38" s="527" cm="1">
        <f t="array" ref="Q38">IFERROR(INDEX('Country Competitivness'!$AJ$4:$AT$178,Tabela2[[#This Row],[ID]],MAX(1,'Config!'!$BA$15-2010)),"")</f>
        <v>5.2098328341831923</v>
      </c>
      <c r="R38" s="527" cm="1">
        <f t="array" ref="R38">IFERROR(INDEX('Country Competitivness'!$BM$4:$BW$178,Tabela2[[#This Row],[ID]],'Config!'!$BA$15-2010+1),"")</f>
        <v>3.7452113915014174</v>
      </c>
      <c r="S38" s="578" t="str" cm="1">
        <f t="array" ref="S3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8" s="537" t="str" cm="1">
        <f t="array" ref="T38">IF('Config!'!$BA$15=2010,".",IF(INDEX('Result data'!$R$216:$AA$390,'IMS Seg. Table'!$A38,'Config!'!$BA$15-2010)=".",".",INDEX('Result data'!$R$216:$AA$390,'IMS Seg. Table'!$A38,'Config!'!$BA$15-2010)))</f>
        <v>.</v>
      </c>
      <c r="U38" s="579" t="str">
        <f t="shared" si="28"/>
        <v>.</v>
      </c>
      <c r="V38" s="530" t="str" cm="1">
        <f t="array" ref="V38">IF(Tabela2[[#This Row],[Market Penetration (Category)]]=".",".",INDEX('Result data'!$BS$216:$CB$390,'IMS Seg. Table'!$A38,'Config!'!$BA$15-2010))</f>
        <v>.</v>
      </c>
      <c r="W38" s="563" t="str">
        <f>IF(Tabela2[[#This Row],[Market Demand (U$ millions)]]=".",".",Tabela2[[#This Row],[Market Demand (U$ millions)]]/Tabela2[[#This Row],[Active users (thousands)]])</f>
        <v>.</v>
      </c>
      <c r="X38" s="580" cm="1">
        <f t="array" ref="X38">IF('Config!'!$BA$15=2010,".",IF(INDEX('Result data'!$AE$216:$AN$390,'IMS Seg. Table'!$A38,'Config!'!$BA$15-2010)=".",0,INDEX('Result data'!$AE$216:$AN$390,'IMS Seg. Table'!$A38,'Config!'!$BA$15-2010)))</f>
        <v>0</v>
      </c>
      <c r="Y38" s="563" t="str">
        <f>IF('Config!'!$BA$15=2010,".",IF(Tabela2[[#This Row],[Number of competitors]]=0,".",SUMIF('Result data'!$N$216:$N$390,Tabela2[[#This Row],[ID]],'Result data'!$CP$216:$CP$393)))</f>
        <v>.</v>
      </c>
      <c r="Z38" s="563" t="str">
        <f>IF('Config!'!$BA$15=2010,".",IF(Tabela2[[#This Row],[Number of competitors]]=0,".",SUMIF('Result data'!$N$216:$N$390,Tabela2[[#This Row],[ID]],'Result data'!$DA$216:$DA$393)))</f>
        <v>.</v>
      </c>
      <c r="AA38" s="530" t="str" cm="1">
        <f t="array" ref="AA3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8" s="530" t="str" cm="1">
        <f t="array" ref="AB3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8" s="530" t="str" cm="1">
        <f t="array" ref="AD3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8" s="530" t="str" cm="1">
        <f t="array" ref="AE3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8" s="530" t="str" cm="1">
        <f t="array" ref="AF3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39" spans="1:32" x14ac:dyDescent="0.3">
      <c r="A39" s="569">
        <f>'Config!'!C25</f>
        <v>24</v>
      </c>
      <c r="B39" s="536" t="str">
        <f>'Config!'!A25</f>
        <v>Bulgária</v>
      </c>
      <c r="C39" s="536" t="str">
        <f>'Config!'!B25</f>
        <v>União Européia</v>
      </c>
      <c r="D39" s="538" cm="1">
        <f t="array" ref="D39">IFERROR(INDEX(Population!$BD$3:$BN$177,'IMS Seg. Table'!$A39,'Config!'!$BA$15-2010+1),"")</f>
        <v>7305888</v>
      </c>
      <c r="E39" s="551" cm="1">
        <f t="array" ref="E39">IFERROR(INDEX(Population!$CH$3:$CH$178,'IMS Seg. Table'!$A39,1),"")</f>
        <v>108489</v>
      </c>
      <c r="F39" s="552">
        <f>IFERROR('IMS Seg. Table'!$D39/'IMS Seg. Table'!$E39,"")</f>
        <v>67.342200591765064</v>
      </c>
      <c r="G39" s="575" cm="1">
        <f t="array" ref="G39">IFERROR(INDEX('Country Competitivness'!$CL$4:$CX$178,Tabela2[[#This Row],[ID]],'Config!'!$AZ$17+1),".")</f>
        <v>141.23360160718801</v>
      </c>
      <c r="H39" s="540" cm="1">
        <f t="array" ref="H39">INDEX(GDP!$G$3:$S$177,'IMS Seg. Table'!$A39,'Config!'!$BA$15-2010+1)*1000000000</f>
        <v>53903022339.027596</v>
      </c>
      <c r="I39" s="539">
        <f t="shared" si="27"/>
        <v>7378.0247300571264</v>
      </c>
      <c r="J39" s="576">
        <f>IFERROR(INDEX('Income Tax Rate (%)'!$F$2:$P$176,Tabela2[[#This Row],[ID]],'Config!'!$BA$15-2010+1)/100,"")</f>
        <v>0.1</v>
      </c>
      <c r="K39" s="577">
        <f>IFERROR(INDEX('Tariff Rate (%)'!$F$2:$P$176,Tabela2[[#This Row],[ID]],'Config!'!$BA$15-2010+1)/100,"")</f>
        <v>1.09E-2</v>
      </c>
      <c r="L39" s="577">
        <f>IFERROR(INDEX('Corporate Tax Rate (%)'!$F$2:$P$176,Tabela2[[#This Row],[ID]],'Config!'!$BA$15-2010+1)/100,"")</f>
        <v>0.1</v>
      </c>
      <c r="M39" s="527" cm="1">
        <f t="array" ref="M39">INDEX('Score-Starting a business'!$F$2:$P$176,'IMS Seg. Table'!$A39,'Config!'!$BA$15-2010+1)</f>
        <v>84.73</v>
      </c>
      <c r="N39" s="527" cm="1">
        <f t="array" ref="N39">IFERROR(INDEX('Country Competitivness'!$AX$4:$BH$178,Tabela2[[#This Row],[ID]],'Config!'!$BA$15-2010+1),"")</f>
        <v>3.051603604979253</v>
      </c>
      <c r="O39" s="527" cm="1">
        <f t="array" ref="O39">IFERROR(INDEX('Country Competitivness'!$EE$4:$EO$178,Tabela2[[#This Row],[ID]],'Config!'!$BA$15-2010+1),"")</f>
        <v>2.1134795124481327</v>
      </c>
      <c r="P39" s="527" cm="1">
        <f t="array" ref="P39">IFERROR(INDEX('Country Competitivness'!$H$4:$R$178,Tabela2[[#This Row],[ID]],'Config!'!$BA$15-2010+1),"")</f>
        <v>3.5528948163791219</v>
      </c>
      <c r="Q39" s="527" cm="1">
        <f t="array" ref="Q39">IFERROR(INDEX('Country Competitivness'!$AJ$4:$AT$178,Tabela2[[#This Row],[ID]],MAX(1,'Config!'!$BA$15-2010)),"")</f>
        <v>4.1114185969571233</v>
      </c>
      <c r="R39" s="527" cm="1">
        <f t="array" ref="R39">IFERROR(INDEX('Country Competitivness'!$BM$4:$BW$178,Tabela2[[#This Row],[ID]],'Config!'!$BA$15-2010+1),"")</f>
        <v>3.1602671278008301</v>
      </c>
      <c r="S39" s="578" t="str" cm="1">
        <f t="array" ref="S3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39" s="537" t="str" cm="1">
        <f t="array" ref="T39">IF('Config!'!$BA$15=2010,".",IF(INDEX('Result data'!$R$216:$AA$390,'IMS Seg. Table'!$A39,'Config!'!$BA$15-2010)=".",".",INDEX('Result data'!$R$216:$AA$390,'IMS Seg. Table'!$A39,'Config!'!$BA$15-2010)))</f>
        <v>.</v>
      </c>
      <c r="U39" s="579" t="str">
        <f t="shared" si="28"/>
        <v>.</v>
      </c>
      <c r="V39" s="530" t="str" cm="1">
        <f t="array" ref="V39">IF(Tabela2[[#This Row],[Market Penetration (Category)]]=".",".",INDEX('Result data'!$BS$216:$CB$390,'IMS Seg. Table'!$A39,'Config!'!$BA$15-2010))</f>
        <v>.</v>
      </c>
      <c r="W39" s="563" t="str">
        <f>IF(Tabela2[[#This Row],[Market Demand (U$ millions)]]=".",".",Tabela2[[#This Row],[Market Demand (U$ millions)]]/Tabela2[[#This Row],[Active users (thousands)]])</f>
        <v>.</v>
      </c>
      <c r="X39" s="580" cm="1">
        <f t="array" ref="X39">IF('Config!'!$BA$15=2010,".",IF(INDEX('Result data'!$AE$216:$AN$390,'IMS Seg. Table'!$A39,'Config!'!$BA$15-2010)=".",0,INDEX('Result data'!$AE$216:$AN$390,'IMS Seg. Table'!$A39,'Config!'!$BA$15-2010)))</f>
        <v>0</v>
      </c>
      <c r="Y39" s="563" t="str">
        <f>IF('Config!'!$BA$15=2010,".",IF(Tabela2[[#This Row],[Number of competitors]]=0,".",SUMIF('Result data'!$N$216:$N$390,Tabela2[[#This Row],[ID]],'Result data'!$CP$216:$CP$393)))</f>
        <v>.</v>
      </c>
      <c r="Z39" s="563" t="str">
        <f>IF('Config!'!$BA$15=2010,".",IF(Tabela2[[#This Row],[Number of competitors]]=0,".",SUMIF('Result data'!$N$216:$N$390,Tabela2[[#This Row],[ID]],'Result data'!$DA$216:$DA$393)))</f>
        <v>.</v>
      </c>
      <c r="AA39" s="530" t="str" cm="1">
        <f t="array" ref="AA3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39" s="530" t="str" cm="1">
        <f t="array" ref="AB3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3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39" s="530" t="str" cm="1">
        <f t="array" ref="AD3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39" s="530" t="str" cm="1">
        <f t="array" ref="AE3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39" s="530" t="str" cm="1">
        <f t="array" ref="AF3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0" spans="1:32" x14ac:dyDescent="0.3">
      <c r="A40" s="568">
        <f>'Config!'!C26</f>
        <v>25</v>
      </c>
      <c r="B40" s="536" t="str">
        <f>'Config!'!A26</f>
        <v>Burkina Faso</v>
      </c>
      <c r="C40" s="536" t="str">
        <f>'Config!'!B26</f>
        <v>África Subsaariana</v>
      </c>
      <c r="D40" s="538" cm="1">
        <f t="array" ref="D40">IFERROR(INDEX(Population!$BD$3:$BN$177,'IMS Seg. Table'!$A40,'Config!'!$BA$15-2010+1),"")</f>
        <v>16590813</v>
      </c>
      <c r="E40" s="551" cm="1">
        <f t="array" ref="E40">IFERROR(INDEX(Population!$CH$3:$CH$178,'IMS Seg. Table'!$A40,1),"")</f>
        <v>273800</v>
      </c>
      <c r="F40" s="552">
        <f>IFERROR('IMS Seg. Table'!$D40/'IMS Seg. Table'!$E40,"")</f>
        <v>60.594642074506936</v>
      </c>
      <c r="G40" s="575" cm="1">
        <f t="array" ref="G40">IFERROR(INDEX('Country Competitivness'!$CL$4:$CX$178,Tabela2[[#This Row],[ID]],'Config!'!$AZ$17+1),".")</f>
        <v>34.658747489330402</v>
      </c>
      <c r="H40" s="540" cm="1">
        <f t="array" ref="H40">INDEX(GDP!$G$3:$S$177,'IMS Seg. Table'!$A40,'Config!'!$BA$15-2010+1)*1000000000</f>
        <v>11166063466.562302</v>
      </c>
      <c r="I40" s="539">
        <f t="shared" si="27"/>
        <v>673.02690148832983</v>
      </c>
      <c r="J40" s="576">
        <f>IFERROR(INDEX('Income Tax Rate (%)'!$F$2:$P$176,Tabela2[[#This Row],[ID]],'Config!'!$BA$15-2010+1)/100,"")</f>
        <v>0.27500000000000002</v>
      </c>
      <c r="K40" s="577">
        <f>IFERROR(INDEX('Tariff Rate (%)'!$F$2:$P$176,Tabela2[[#This Row],[ID]],'Config!'!$BA$15-2010+1)/100,"")</f>
        <v>8.5999999999999993E-2</v>
      </c>
      <c r="L40" s="577">
        <f>IFERROR(INDEX('Corporate Tax Rate (%)'!$F$2:$P$176,Tabela2[[#This Row],[ID]],'Config!'!$BA$15-2010+1)/100,"")</f>
        <v>0.27500000000000002</v>
      </c>
      <c r="M40" s="527" cm="1">
        <f t="array" ref="M40">INDEX('Score-Starting a business'!$F$2:$P$176,'IMS Seg. Table'!$A40,'Config!'!$BA$15-2010+1)</f>
        <v>64.62</v>
      </c>
      <c r="N40" s="527" cm="1">
        <f t="array" ref="N40">IFERROR(INDEX('Country Competitivness'!$AX$4:$BH$178,Tabela2[[#This Row],[ID]],'Config!'!$BA$15-2010+1),"")</f>
        <v>3.5400826139240511</v>
      </c>
      <c r="O40" s="527" cm="1">
        <f t="array" ref="O40">IFERROR(INDEX('Country Competitivness'!$EE$4:$EO$178,Tabela2[[#This Row],[ID]],'Config!'!$BA$15-2010+1),"")</f>
        <v>2.5018099746835443</v>
      </c>
      <c r="P40" s="527" cm="1">
        <f t="array" ref="P40">IFERROR(INDEX('Country Competitivness'!$H$4:$R$178,Tabela2[[#This Row],[ID]],'Config!'!$BA$15-2010+1),"")</f>
        <v>2.858979516922052</v>
      </c>
      <c r="Q40" s="527" cm="1">
        <f t="array" ref="Q40">IFERROR(INDEX('Country Competitivness'!$AJ$4:$AT$178,Tabela2[[#This Row],[ID]],MAX(1,'Config!'!$BA$15-2010)),"")</f>
        <v>3.9844933983122366</v>
      </c>
      <c r="R40" s="527" cm="1">
        <f t="array" ref="R40">IFERROR(INDEX('Country Competitivness'!$BM$4:$BW$178,Tabela2[[#This Row],[ID]],'Config!'!$BA$15-2010+1),"")</f>
        <v>1.7519281797468356</v>
      </c>
      <c r="S40" s="578" t="str" cm="1">
        <f t="array" ref="S4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0" s="537" t="str" cm="1">
        <f t="array" ref="T40">IF('Config!'!$BA$15=2010,".",IF(INDEX('Result data'!$R$216:$AA$390,'IMS Seg. Table'!$A40,'Config!'!$BA$15-2010)=".",".",INDEX('Result data'!$R$216:$AA$390,'IMS Seg. Table'!$A40,'Config!'!$BA$15-2010)))</f>
        <v>.</v>
      </c>
      <c r="U40" s="579" t="str">
        <f t="shared" si="28"/>
        <v>.</v>
      </c>
      <c r="V40" s="530" t="str" cm="1">
        <f t="array" ref="V40">IF(Tabela2[[#This Row],[Market Penetration (Category)]]=".",".",INDEX('Result data'!$BS$216:$CB$390,'IMS Seg. Table'!$A40,'Config!'!$BA$15-2010))</f>
        <v>.</v>
      </c>
      <c r="W40" s="563" t="str">
        <f>IF(Tabela2[[#This Row],[Market Demand (U$ millions)]]=".",".",Tabela2[[#This Row],[Market Demand (U$ millions)]]/Tabela2[[#This Row],[Active users (thousands)]])</f>
        <v>.</v>
      </c>
      <c r="X40" s="580" cm="1">
        <f t="array" ref="X40">IF('Config!'!$BA$15=2010,".",IF(INDEX('Result data'!$AE$216:$AN$390,'IMS Seg. Table'!$A40,'Config!'!$BA$15-2010)=".",0,INDEX('Result data'!$AE$216:$AN$390,'IMS Seg. Table'!$A40,'Config!'!$BA$15-2010)))</f>
        <v>0</v>
      </c>
      <c r="Y40" s="563" t="str">
        <f>IF('Config!'!$BA$15=2010,".",IF(Tabela2[[#This Row],[Number of competitors]]=0,".",SUMIF('Result data'!$N$216:$N$390,Tabela2[[#This Row],[ID]],'Result data'!$CP$216:$CP$393)))</f>
        <v>.</v>
      </c>
      <c r="Z40" s="563" t="str">
        <f>IF('Config!'!$BA$15=2010,".",IF(Tabela2[[#This Row],[Number of competitors]]=0,".",SUMIF('Result data'!$N$216:$N$390,Tabela2[[#This Row],[ID]],'Result data'!$DA$216:$DA$393)))</f>
        <v>.</v>
      </c>
      <c r="AA40" s="530" t="str" cm="1">
        <f t="array" ref="AA4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0" s="530" t="str" cm="1">
        <f t="array" ref="AB4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0" s="530" t="str" cm="1">
        <f t="array" ref="AD4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0" s="530" t="str" cm="1">
        <f t="array" ref="AE4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0" s="530" t="str" cm="1">
        <f t="array" ref="AF4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1" spans="1:32" x14ac:dyDescent="0.3">
      <c r="A41" s="569">
        <f>'Config!'!C27</f>
        <v>26</v>
      </c>
      <c r="B41" s="536" t="str">
        <f>'Config!'!A27</f>
        <v>Burundi</v>
      </c>
      <c r="C41" s="536" t="str">
        <f>'Config!'!B27</f>
        <v>África Subsaariana</v>
      </c>
      <c r="D41" s="538" cm="1">
        <f t="array" ref="D41">IFERROR(INDEX(Population!$BD$3:$BN$177,'IMS Seg. Table'!$A41,'Config!'!$BA$15-2010+1),"")</f>
        <v>10124572</v>
      </c>
      <c r="E41" s="551" cm="1">
        <f t="array" ref="E41">IFERROR(INDEX(Population!$CH$3:$CH$178,'IMS Seg. Table'!$A41,1),"")</f>
        <v>25680</v>
      </c>
      <c r="F41" s="552">
        <f>IFERROR('IMS Seg. Table'!$D41/'IMS Seg. Table'!$E41,"")</f>
        <v>394.2590342679128</v>
      </c>
      <c r="G41" s="575" cm="1">
        <f t="array" ref="G41">IFERROR(INDEX('Country Competitivness'!$CL$4:$CX$178,Tabela2[[#This Row],[ID]],'Config!'!$AZ$17+1),".")</f>
        <v>13.724450959333801</v>
      </c>
      <c r="H41" s="540" cm="1">
        <f t="array" ref="H41">INDEX(GDP!$G$3:$S$177,'IMS Seg. Table'!$A41,'Config!'!$BA$15-2010+1)*1000000000</f>
        <v>2333308099.462491</v>
      </c>
      <c r="I41" s="539">
        <f t="shared" si="27"/>
        <v>230.45992457384776</v>
      </c>
      <c r="J41" s="576">
        <f>IFERROR(INDEX('Income Tax Rate (%)'!$F$2:$P$176,Tabela2[[#This Row],[ID]],'Config!'!$BA$15-2010+1)/100,"")</f>
        <v>0.35</v>
      </c>
      <c r="K41" s="577">
        <f>IFERROR(INDEX('Tariff Rate (%)'!$F$2:$P$176,Tabela2[[#This Row],[ID]],'Config!'!$BA$15-2010+1)/100,"")</f>
        <v>6.59E-2</v>
      </c>
      <c r="L41" s="577">
        <f>IFERROR(INDEX('Corporate Tax Rate (%)'!$F$2:$P$176,Tabela2[[#This Row],[ID]],'Config!'!$BA$15-2010+1)/100,"")</f>
        <v>0.35</v>
      </c>
      <c r="M41" s="527" cm="1">
        <f t="array" ref="M41">INDEX('Score-Starting a business'!$F$2:$P$176,'IMS Seg. Table'!$A41,'Config!'!$BA$15-2010+1)</f>
        <v>71.97</v>
      </c>
      <c r="N41" s="527" cm="1">
        <f t="array" ref="N41">IFERROR(INDEX('Country Competitivness'!$AX$4:$BH$178,Tabela2[[#This Row],[ID]],'Config!'!$BA$15-2010+1),"")</f>
        <v>3.2893070869565215</v>
      </c>
      <c r="O41" s="527" cm="1">
        <f t="array" ref="O41">IFERROR(INDEX('Country Competitivness'!$EE$4:$EO$178,Tabela2[[#This Row],[ID]],'Config!'!$BA$15-2010+1),"")</f>
        <v>2.8262843304347824</v>
      </c>
      <c r="P41" s="527" cm="1">
        <f t="array" ref="P41">IFERROR(INDEX('Country Competitivness'!$H$4:$R$178,Tabela2[[#This Row],[ID]],'Config!'!$BA$15-2010+1),"")</f>
        <v>2.6844554237986271</v>
      </c>
      <c r="Q41" s="527" cm="1">
        <f t="array" ref="Q41">IFERROR(INDEX('Country Competitivness'!$AJ$4:$AT$178,Tabela2[[#This Row],[ID]],MAX(1,'Config!'!$BA$15-2010)),"")</f>
        <v>3.2199754927536226</v>
      </c>
      <c r="R41" s="527" cm="1">
        <f t="array" ref="R41">IFERROR(INDEX('Country Competitivness'!$BM$4:$BW$178,Tabela2[[#This Row],[ID]],'Config!'!$BA$15-2010+1),"")</f>
        <v>1.7692711913043477</v>
      </c>
      <c r="S41" s="578" t="str" cm="1">
        <f t="array" ref="S4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1" s="537" t="str" cm="1">
        <f t="array" ref="T41">IF('Config!'!$BA$15=2010,".",IF(INDEX('Result data'!$R$216:$AA$390,'IMS Seg. Table'!$A41,'Config!'!$BA$15-2010)=".",".",INDEX('Result data'!$R$216:$AA$390,'IMS Seg. Table'!$A41,'Config!'!$BA$15-2010)))</f>
        <v>.</v>
      </c>
      <c r="U41" s="579" t="str">
        <f t="shared" si="28"/>
        <v>.</v>
      </c>
      <c r="V41" s="530" t="str" cm="1">
        <f t="array" ref="V41">IF(Tabela2[[#This Row],[Market Penetration (Category)]]=".",".",INDEX('Result data'!$BS$216:$CB$390,'IMS Seg. Table'!$A41,'Config!'!$BA$15-2010))</f>
        <v>.</v>
      </c>
      <c r="W41" s="563" t="str">
        <f>IF(Tabela2[[#This Row],[Market Demand (U$ millions)]]=".",".",Tabela2[[#This Row],[Market Demand (U$ millions)]]/Tabela2[[#This Row],[Active users (thousands)]])</f>
        <v>.</v>
      </c>
      <c r="X41" s="580" cm="1">
        <f t="array" ref="X41">IF('Config!'!$BA$15=2010,".",IF(INDEX('Result data'!$AE$216:$AN$390,'IMS Seg. Table'!$A41,'Config!'!$BA$15-2010)=".",0,INDEX('Result data'!$AE$216:$AN$390,'IMS Seg. Table'!$A41,'Config!'!$BA$15-2010)))</f>
        <v>0</v>
      </c>
      <c r="Y41" s="563" t="str">
        <f>IF('Config!'!$BA$15=2010,".",IF(Tabela2[[#This Row],[Number of competitors]]=0,".",SUMIF('Result data'!$N$216:$N$390,Tabela2[[#This Row],[ID]],'Result data'!$CP$216:$CP$393)))</f>
        <v>.</v>
      </c>
      <c r="Z41" s="563" t="str">
        <f>IF('Config!'!$BA$15=2010,".",IF(Tabela2[[#This Row],[Number of competitors]]=0,".",SUMIF('Result data'!$N$216:$N$390,Tabela2[[#This Row],[ID]],'Result data'!$DA$216:$DA$393)))</f>
        <v>.</v>
      </c>
      <c r="AA41" s="530" t="str" cm="1">
        <f t="array" ref="AA4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1" s="530" t="str" cm="1">
        <f t="array" ref="AB4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1" s="530" t="str" cm="1">
        <f t="array" ref="AD4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1" s="530" t="str" cm="1">
        <f t="array" ref="AE4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1" s="530" t="str" cm="1">
        <f t="array" ref="AF4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2" spans="1:32" x14ac:dyDescent="0.3">
      <c r="A42" s="568">
        <f>'Config!'!C28</f>
        <v>20</v>
      </c>
      <c r="B42" s="536" t="str">
        <f>'Config!'!A28</f>
        <v>Butão</v>
      </c>
      <c r="C42" s="536" t="str">
        <f>'Config!'!B28</f>
        <v>Ásia-Pacífico</v>
      </c>
      <c r="D42" s="538" cm="1">
        <f t="array" ref="D42">IFERROR(INDEX(Population!$BD$3:$BN$177,'IMS Seg. Table'!$A42,'Config!'!$BA$15-2010+1),"")</f>
        <v>743711</v>
      </c>
      <c r="E42" s="551" cm="1">
        <f t="array" ref="E42">IFERROR(INDEX(Population!$CH$3:$CH$178,'IMS Seg. Table'!$A42,1),"")</f>
        <v>38394</v>
      </c>
      <c r="F42" s="552">
        <f>IFERROR('IMS Seg. Table'!$D42/'IMS Seg. Table'!$E42,"")</f>
        <v>19.370500599051937</v>
      </c>
      <c r="G42" s="575" cm="1">
        <f t="array" ref="G42">IFERROR(INDEX('Country Competitivness'!$CL$4:$CX$178,Tabela2[[#This Row],[ID]],'Config!'!$AZ$17+1),".")</f>
        <v>105.03</v>
      </c>
      <c r="H42" s="540" cm="1">
        <f t="array" ref="H42">INDEX(GDP!$G$3:$S$177,'IMS Seg. Table'!$A42,'Config!'!$BA$15-2010+1)*1000000000</f>
        <v>1823692109.6165216</v>
      </c>
      <c r="I42" s="539">
        <f t="shared" si="27"/>
        <v>2452.1515879374133</v>
      </c>
      <c r="J42" s="576">
        <f>IFERROR(INDEX('Income Tax Rate (%)'!$F$2:$P$176,Tabela2[[#This Row],[ID]],'Config!'!$BA$15-2010+1)/100,"")</f>
        <v>0.25</v>
      </c>
      <c r="K42" s="577">
        <f>IFERROR(INDEX('Tariff Rate (%)'!$F$2:$P$176,Tabela2[[#This Row],[ID]],'Config!'!$BA$15-2010+1)/100,"")</f>
        <v>0.17800000000000002</v>
      </c>
      <c r="L42" s="577">
        <f>IFERROR(INDEX('Corporate Tax Rate (%)'!$F$2:$P$176,Tabela2[[#This Row],[ID]],'Config!'!$BA$15-2010+1)/100,"")</f>
        <v>0.3</v>
      </c>
      <c r="M42" s="527" cm="1">
        <f t="array" ref="M42">INDEX('Score-Starting a business'!$F$2:$P$176,'IMS Seg. Table'!$A42,'Config!'!$BA$15-2010+1)</f>
        <v>80.28</v>
      </c>
      <c r="N42" s="527" cm="1">
        <f t="array" ref="N42">IFERROR(INDEX('Country Competitivness'!$AX$4:$BH$178,Tabela2[[#This Row],[ID]],'Config!'!$BA$15-2010+1),"")</f>
        <v>3.4369373636685285</v>
      </c>
      <c r="O42" s="527" cm="1">
        <f t="array" ref="O42">IFERROR(INDEX('Country Competitivness'!$EE$4:$EO$178,Tabela2[[#This Row],[ID]],'Config!'!$BA$15-2010+1),"")</f>
        <v>4.1697019820360346</v>
      </c>
      <c r="P42" s="527" cm="1">
        <f t="array" ref="P42">IFERROR(INDEX('Country Competitivness'!$H$4:$R$178,Tabela2[[#This Row],[ID]],'Config!'!$BA$15-2010+1),"")</f>
        <v>3.195774986775183</v>
      </c>
      <c r="Q42" s="527" cm="1">
        <f t="array" ref="Q42">IFERROR(INDEX('Country Competitivness'!$AJ$4:$AT$178,Tabela2[[#This Row],[ID]],MAX(1,'Config!'!$BA$15-2010)),"")</f>
        <v>4.4774832709339156</v>
      </c>
      <c r="R42" s="527" cm="1">
        <f t="array" ref="R42">IFERROR(INDEX('Country Competitivness'!$BM$4:$BW$178,Tabela2[[#This Row],[ID]],'Config!'!$BA$15-2010+1),"")</f>
        <v>3.1023463138985186</v>
      </c>
      <c r="S42" s="578" t="str" cm="1">
        <f t="array" ref="S4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2" s="537" t="str" cm="1">
        <f t="array" ref="T42">IF('Config!'!$BA$15=2010,".",IF(INDEX('Result data'!$R$216:$AA$390,'IMS Seg. Table'!$A42,'Config!'!$BA$15-2010)=".",".",INDEX('Result data'!$R$216:$AA$390,'IMS Seg. Table'!$A42,'Config!'!$BA$15-2010)))</f>
        <v>.</v>
      </c>
      <c r="U42" s="579" t="str">
        <f t="shared" si="28"/>
        <v>.</v>
      </c>
      <c r="V42" s="530" t="str" cm="1">
        <f t="array" ref="V42">IF(Tabela2[[#This Row],[Market Penetration (Category)]]=".",".",INDEX('Result data'!$BS$216:$CB$390,'IMS Seg. Table'!$A42,'Config!'!$BA$15-2010))</f>
        <v>.</v>
      </c>
      <c r="W42" s="563" t="str">
        <f>IF(Tabela2[[#This Row],[Market Demand (U$ millions)]]=".",".",Tabela2[[#This Row],[Market Demand (U$ millions)]]/Tabela2[[#This Row],[Active users (thousands)]])</f>
        <v>.</v>
      </c>
      <c r="X42" s="580" cm="1">
        <f t="array" ref="X42">IF('Config!'!$BA$15=2010,".",IF(INDEX('Result data'!$AE$216:$AN$390,'IMS Seg. Table'!$A42,'Config!'!$BA$15-2010)=".",0,INDEX('Result data'!$AE$216:$AN$390,'IMS Seg. Table'!$A42,'Config!'!$BA$15-2010)))</f>
        <v>0</v>
      </c>
      <c r="Y42" s="563" t="str">
        <f>IF('Config!'!$BA$15=2010,".",IF(Tabela2[[#This Row],[Number of competitors]]=0,".",SUMIF('Result data'!$N$216:$N$390,Tabela2[[#This Row],[ID]],'Result data'!$CP$216:$CP$393)))</f>
        <v>.</v>
      </c>
      <c r="Z42" s="563" t="str">
        <f>IF('Config!'!$BA$15=2010,".",IF(Tabela2[[#This Row],[Number of competitors]]=0,".",SUMIF('Result data'!$N$216:$N$390,Tabela2[[#This Row],[ID]],'Result data'!$DA$216:$DA$393)))</f>
        <v>.</v>
      </c>
      <c r="AA42" s="530" t="str" cm="1">
        <f t="array" ref="AA4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2" s="530" t="str" cm="1">
        <f t="array" ref="AB4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2" s="530" t="str" cm="1">
        <f t="array" ref="AD4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2" s="530" t="str" cm="1">
        <f t="array" ref="AE4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2" s="530" t="str" cm="1">
        <f t="array" ref="AF4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3" spans="1:32" x14ac:dyDescent="0.3">
      <c r="A43" s="569">
        <f>'Config!'!C29</f>
        <v>28</v>
      </c>
      <c r="B43" s="536" t="str">
        <f>'Config!'!A29</f>
        <v>Camarões</v>
      </c>
      <c r="C43" s="536" t="str">
        <f>'Config!'!B29</f>
        <v>África Subsaariana</v>
      </c>
      <c r="D43" s="538" cm="1">
        <f t="array" ref="D43">IFERROR(INDEX(Population!$BD$3:$BN$177,'IMS Seg. Table'!$A43,'Config!'!$BA$15-2010+1),"")</f>
        <v>21659488</v>
      </c>
      <c r="E43" s="551" cm="1">
        <f t="array" ref="E43">IFERROR(INDEX(Population!$CH$3:$CH$178,'IMS Seg. Table'!$A43,1),"")</f>
        <v>472710</v>
      </c>
      <c r="F43" s="552">
        <f>IFERROR('IMS Seg. Table'!$D43/'IMS Seg. Table'!$E43,"")</f>
        <v>45.819821878107085</v>
      </c>
      <c r="G43" s="575" cm="1">
        <f t="array" ref="G43">IFERROR(INDEX('Country Competitivness'!$CL$4:$CX$178,Tabela2[[#This Row],[ID]],'Config!'!$AZ$17+1),".")</f>
        <v>41.612828155718397</v>
      </c>
      <c r="H43" s="540" cm="1">
        <f t="array" ref="H43">INDEX(GDP!$G$3:$S$177,'IMS Seg. Table'!$A43,'Config!'!$BA$15-2010+1)*1000000000</f>
        <v>29104437355.039524</v>
      </c>
      <c r="I43" s="539">
        <f t="shared" si="27"/>
        <v>1343.7269318203423</v>
      </c>
      <c r="J43" s="576">
        <f>IFERROR(INDEX('Income Tax Rate (%)'!$F$2:$P$176,Tabela2[[#This Row],[ID]],'Config!'!$BA$15-2010+1)/100,"")</f>
        <v>0.35</v>
      </c>
      <c r="K43" s="577">
        <f>IFERROR(INDEX('Tariff Rate (%)'!$F$2:$P$176,Tabela2[[#This Row],[ID]],'Config!'!$BA$15-2010+1)/100,"")</f>
        <v>0.11900000000000001</v>
      </c>
      <c r="L43" s="577">
        <f>IFERROR(INDEX('Corporate Tax Rate (%)'!$F$2:$P$176,Tabela2[[#This Row],[ID]],'Config!'!$BA$15-2010+1)/100,"")</f>
        <v>0.38500000000000001</v>
      </c>
      <c r="M43" s="527" cm="1">
        <f t="array" ref="M43">INDEX('Score-Starting a business'!$F$2:$P$176,'IMS Seg. Table'!$A43,'Config!'!$BA$15-2010+1)</f>
        <v>71.41</v>
      </c>
      <c r="N43" s="527" cm="1">
        <f t="array" ref="N43">IFERROR(INDEX('Country Competitivness'!$AX$4:$BH$178,Tabela2[[#This Row],[ID]],'Config!'!$BA$15-2010+1),"")</f>
        <v>3.0332551922077924</v>
      </c>
      <c r="O43" s="527" cm="1">
        <f t="array" ref="O43">IFERROR(INDEX('Country Competitivness'!$EE$4:$EO$178,Tabela2[[#This Row],[ID]],'Config!'!$BA$15-2010+1),"")</f>
        <v>2.7572603733766234</v>
      </c>
      <c r="P43" s="527" cm="1">
        <f t="array" ref="P43">IFERROR(INDEX('Country Competitivness'!$H$4:$R$178,Tabela2[[#This Row],[ID]],'Config!'!$BA$15-2010+1),"")</f>
        <v>3.3705701468557758</v>
      </c>
      <c r="Q43" s="527" cm="1">
        <f t="array" ref="Q43">IFERROR(INDEX('Country Competitivness'!$AJ$4:$AT$178,Tabela2[[#This Row],[ID]],MAX(1,'Config!'!$BA$15-2010)),"")</f>
        <v>4.1919146008658013</v>
      </c>
      <c r="R43" s="527" cm="1">
        <f t="array" ref="R43">IFERROR(INDEX('Country Competitivness'!$BM$4:$BW$178,Tabela2[[#This Row],[ID]],'Config!'!$BA$15-2010+1),"")</f>
        <v>2.5931240383116885</v>
      </c>
      <c r="S43" s="578" t="str" cm="1">
        <f t="array" ref="S4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3" s="537" t="str" cm="1">
        <f t="array" ref="T43">IF('Config!'!$BA$15=2010,".",IF(INDEX('Result data'!$R$216:$AA$390,'IMS Seg. Table'!$A43,'Config!'!$BA$15-2010)=".",".",INDEX('Result data'!$R$216:$AA$390,'IMS Seg. Table'!$A43,'Config!'!$BA$15-2010)))</f>
        <v>.</v>
      </c>
      <c r="U43" s="579" t="str">
        <f t="shared" si="28"/>
        <v>.</v>
      </c>
      <c r="V43" s="530" t="str" cm="1">
        <f t="array" ref="V43">IF(Tabela2[[#This Row],[Market Penetration (Category)]]=".",".",INDEX('Result data'!$BS$216:$CB$390,'IMS Seg. Table'!$A43,'Config!'!$BA$15-2010))</f>
        <v>.</v>
      </c>
      <c r="W43" s="563" t="str">
        <f>IF(Tabela2[[#This Row],[Market Demand (U$ millions)]]=".",".",Tabela2[[#This Row],[Market Demand (U$ millions)]]/Tabela2[[#This Row],[Active users (thousands)]])</f>
        <v>.</v>
      </c>
      <c r="X43" s="580" cm="1">
        <f t="array" ref="X43">IF('Config!'!$BA$15=2010,".",IF(INDEX('Result data'!$AE$216:$AN$390,'IMS Seg. Table'!$A43,'Config!'!$BA$15-2010)=".",0,INDEX('Result data'!$AE$216:$AN$390,'IMS Seg. Table'!$A43,'Config!'!$BA$15-2010)))</f>
        <v>0</v>
      </c>
      <c r="Y43" s="563" t="str">
        <f>IF('Config!'!$BA$15=2010,".",IF(Tabela2[[#This Row],[Number of competitors]]=0,".",SUMIF('Result data'!$N$216:$N$390,Tabela2[[#This Row],[ID]],'Result data'!$CP$216:$CP$393)))</f>
        <v>.</v>
      </c>
      <c r="Z43" s="563" t="str">
        <f>IF('Config!'!$BA$15=2010,".",IF(Tabela2[[#This Row],[Number of competitors]]=0,".",SUMIF('Result data'!$N$216:$N$390,Tabela2[[#This Row],[ID]],'Result data'!$DA$216:$DA$393)))</f>
        <v>.</v>
      </c>
      <c r="AA43" s="530" t="str" cm="1">
        <f t="array" ref="AA4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3" s="530" t="str" cm="1">
        <f t="array" ref="AB4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3" s="530" t="str" cm="1">
        <f t="array" ref="AD4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3" s="530" t="str" cm="1">
        <f t="array" ref="AE4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3" s="530" t="str" cm="1">
        <f t="array" ref="AF4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4" spans="1:32" x14ac:dyDescent="0.3">
      <c r="A44" s="568">
        <f>'Config!'!C30</f>
        <v>27</v>
      </c>
      <c r="B44" s="536" t="str">
        <f>'Config!'!A30</f>
        <v>Camboja</v>
      </c>
      <c r="C44" s="536" t="str">
        <f>'Config!'!B30</f>
        <v>Ásia-Pacífico</v>
      </c>
      <c r="D44" s="538" cm="1">
        <f t="array" ref="D44">IFERROR(INDEX(Population!$BD$3:$BN$177,'IMS Seg. Table'!$A44,'Config!'!$BA$15-2010+1),"")</f>
        <v>14832255</v>
      </c>
      <c r="E44" s="551" cm="1">
        <f t="array" ref="E44">IFERROR(INDEX(Population!$CH$3:$CH$178,'IMS Seg. Table'!$A44,1),"")</f>
        <v>176515</v>
      </c>
      <c r="F44" s="552">
        <f>IFERROR('IMS Seg. Table'!$D44/'IMS Seg. Table'!$E44,"")</f>
        <v>84.028297878367283</v>
      </c>
      <c r="G44" s="575" cm="1">
        <f t="array" ref="G44">IFERROR(INDEX('Country Competitivness'!$CL$4:$CX$178,Tabela2[[#This Row],[ID]],'Config!'!$AZ$17+1),".")</f>
        <v>57.650424327471796</v>
      </c>
      <c r="H44" s="540" cm="1">
        <f t="array" ref="H44">INDEX(GDP!$G$3:$S$177,'IMS Seg. Table'!$A44,'Config!'!$BA$15-2010+1)*1000000000</f>
        <v>14054443213.463924</v>
      </c>
      <c r="I44" s="539">
        <f t="shared" si="27"/>
        <v>947.55943809379789</v>
      </c>
      <c r="J44" s="576">
        <f>IFERROR(INDEX('Income Tax Rate (%)'!$F$2:$P$176,Tabela2[[#This Row],[ID]],'Config!'!$BA$15-2010+1)/100,"")</f>
        <v>0.2</v>
      </c>
      <c r="K44" s="577">
        <f>IFERROR(INDEX('Tariff Rate (%)'!$F$2:$P$176,Tabela2[[#This Row],[ID]],'Config!'!$BA$15-2010+1)/100,"")</f>
        <v>9.5000000000000001E-2</v>
      </c>
      <c r="L44" s="577">
        <f>IFERROR(INDEX('Corporate Tax Rate (%)'!$F$2:$P$176,Tabela2[[#This Row],[ID]],'Config!'!$BA$15-2010+1)/100,"")</f>
        <v>0.2</v>
      </c>
      <c r="M44" s="527" cm="1">
        <f t="array" ref="M44">INDEX('Score-Starting a business'!$F$2:$P$176,'IMS Seg. Table'!$A44,'Config!'!$BA$15-2010+1)</f>
        <v>38.83</v>
      </c>
      <c r="N44" s="527" cm="1">
        <f t="array" ref="N44">IFERROR(INDEX('Country Competitivness'!$AX$4:$BH$178,Tabela2[[#This Row],[ID]],'Config!'!$BA$15-2010+1),"")</f>
        <v>3.6526273731843579</v>
      </c>
      <c r="O44" s="527" cm="1">
        <f t="array" ref="O44">IFERROR(INDEX('Country Competitivness'!$EE$4:$EO$178,Tabela2[[#This Row],[ID]],'Config!'!$BA$15-2010+1),"")</f>
        <v>3.9927662932960892</v>
      </c>
      <c r="P44" s="527" cm="1">
        <f t="array" ref="P44">IFERROR(INDEX('Country Competitivness'!$H$4:$R$178,Tabela2[[#This Row],[ID]],'Config!'!$BA$15-2010+1),"")</f>
        <v>3.6269910655395465</v>
      </c>
      <c r="Q44" s="527" cm="1">
        <f t="array" ref="Q44">IFERROR(INDEX('Country Competitivness'!$AJ$4:$AT$178,Tabela2[[#This Row],[ID]],MAX(1,'Config!'!$BA$15-2010)),"")</f>
        <v>4.7507665167597759</v>
      </c>
      <c r="R44" s="527" cm="1">
        <f t="array" ref="R44">IFERROR(INDEX('Country Competitivness'!$BM$4:$BW$178,Tabela2[[#This Row],[ID]],'Config!'!$BA$15-2010+1),"")</f>
        <v>3.9180033156424581</v>
      </c>
      <c r="S44" s="578" t="str" cm="1">
        <f t="array" ref="S4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4" s="537" t="str" cm="1">
        <f t="array" ref="T44">IF('Config!'!$BA$15=2010,".",IF(INDEX('Result data'!$R$216:$AA$390,'IMS Seg. Table'!$A44,'Config!'!$BA$15-2010)=".",".",INDEX('Result data'!$R$216:$AA$390,'IMS Seg. Table'!$A44,'Config!'!$BA$15-2010)))</f>
        <v>.</v>
      </c>
      <c r="U44" s="579" t="str">
        <f t="shared" si="28"/>
        <v>.</v>
      </c>
      <c r="V44" s="530" t="str" cm="1">
        <f t="array" ref="V44">IF(Tabela2[[#This Row],[Market Penetration (Category)]]=".",".",INDEX('Result data'!$BS$216:$CB$390,'IMS Seg. Table'!$A44,'Config!'!$BA$15-2010))</f>
        <v>.</v>
      </c>
      <c r="W44" s="563" t="str">
        <f>IF(Tabela2[[#This Row],[Market Demand (U$ millions)]]=".",".",Tabela2[[#This Row],[Market Demand (U$ millions)]]/Tabela2[[#This Row],[Active users (thousands)]])</f>
        <v>.</v>
      </c>
      <c r="X44" s="580" cm="1">
        <f t="array" ref="X44">IF('Config!'!$BA$15=2010,".",IF(INDEX('Result data'!$AE$216:$AN$390,'IMS Seg. Table'!$A44,'Config!'!$BA$15-2010)=".",0,INDEX('Result data'!$AE$216:$AN$390,'IMS Seg. Table'!$A44,'Config!'!$BA$15-2010)))</f>
        <v>0</v>
      </c>
      <c r="Y44" s="563" t="str">
        <f>IF('Config!'!$BA$15=2010,".",IF(Tabela2[[#This Row],[Number of competitors]]=0,".",SUMIF('Result data'!$N$216:$N$390,Tabela2[[#This Row],[ID]],'Result data'!$CP$216:$CP$393)))</f>
        <v>.</v>
      </c>
      <c r="Z44" s="563" t="str">
        <f>IF('Config!'!$BA$15=2010,".",IF(Tabela2[[#This Row],[Number of competitors]]=0,".",SUMIF('Result data'!$N$216:$N$390,Tabela2[[#This Row],[ID]],'Result data'!$DA$216:$DA$393)))</f>
        <v>.</v>
      </c>
      <c r="AA44" s="530" t="str" cm="1">
        <f t="array" ref="AA4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4" s="530" t="str" cm="1">
        <f t="array" ref="AB4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4" s="530" t="str" cm="1">
        <f t="array" ref="AD4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4" s="530" t="str" cm="1">
        <f t="array" ref="AE4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4" s="530" t="str" cm="1">
        <f t="array" ref="AF4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5" spans="1:32" x14ac:dyDescent="0.3">
      <c r="A45" s="569">
        <f>'Config!'!C31</f>
        <v>29</v>
      </c>
      <c r="B45" s="536" t="str">
        <f>'Config!'!A31</f>
        <v>Canadá</v>
      </c>
      <c r="C45" s="536" t="str">
        <f>'Config!'!B31</f>
        <v>América do Norte</v>
      </c>
      <c r="D45" s="538" cm="1">
        <f t="array" ref="D45">IFERROR(INDEX(Population!$BD$3:$BN$177,'IMS Seg. Table'!$A45,'Config!'!$BA$15-2010+1),"")</f>
        <v>34751476</v>
      </c>
      <c r="E45" s="551" cm="1">
        <f t="array" ref="E45">IFERROR(INDEX(Population!$CH$3:$CH$178,'IMS Seg. Table'!$A45,1),"")</f>
        <v>9093507</v>
      </c>
      <c r="F45" s="552">
        <f>IFERROR('IMS Seg. Table'!$D45/'IMS Seg. Table'!$E45,"")</f>
        <v>3.8215702698639809</v>
      </c>
      <c r="G45" s="575" cm="1">
        <f t="array" ref="G45">IFERROR(INDEX('Country Competitivness'!$CL$4:$CX$178,Tabela2[[#This Row],[ID]],'Config!'!$AZ$17+1),".")</f>
        <v>70.663666993340598</v>
      </c>
      <c r="H45" s="540" cm="1">
        <f t="array" ref="H45">INDEX(GDP!$G$3:$S$177,'IMS Seg. Table'!$A45,'Config!'!$BA$15-2010+1)*1000000000</f>
        <v>1823966686523.6335</v>
      </c>
      <c r="I45" s="539">
        <f t="shared" si="27"/>
        <v>52486.020637616472</v>
      </c>
      <c r="J45" s="576">
        <f>IFERROR(INDEX('Income Tax Rate (%)'!$F$2:$P$176,Tabela2[[#This Row],[ID]],'Config!'!$BA$15-2010+1)/100,"")</f>
        <v>0.28999999999999998</v>
      </c>
      <c r="K45" s="577">
        <f>IFERROR(INDEX('Tariff Rate (%)'!$F$2:$P$176,Tabela2[[#This Row],[ID]],'Config!'!$BA$15-2010+1)/100,"")</f>
        <v>8.6E-3</v>
      </c>
      <c r="L45" s="577">
        <f>IFERROR(INDEX('Corporate Tax Rate (%)'!$F$2:$P$176,Tabela2[[#This Row],[ID]],'Config!'!$BA$15-2010+1)/100,"")</f>
        <v>0.15</v>
      </c>
      <c r="M45" s="527" cm="1">
        <f t="array" ref="M45">INDEX('Score-Starting a business'!$F$2:$P$176,'IMS Seg. Table'!$A45,'Config!'!$BA$15-2010+1)</f>
        <v>97.22</v>
      </c>
      <c r="N45" s="527" cm="1">
        <f t="array" ref="N45">IFERROR(INDEX('Country Competitivness'!$AX$4:$BH$178,Tabela2[[#This Row],[ID]],'Config!'!$BA$15-2010+1),"")</f>
        <v>3.5290789563829787</v>
      </c>
      <c r="O45" s="527" cm="1">
        <f t="array" ref="O45">IFERROR(INDEX('Country Competitivness'!$EE$4:$EO$178,Tabela2[[#This Row],[ID]],'Config!'!$BA$15-2010+1),"")</f>
        <v>5.835252263829787</v>
      </c>
      <c r="P45" s="527" cm="1">
        <f t="array" ref="P45">IFERROR(INDEX('Country Competitivness'!$H$4:$R$178,Tabela2[[#This Row],[ID]],'Config!'!$BA$15-2010+1),"")</f>
        <v>4.9092071760358342</v>
      </c>
      <c r="Q45" s="527" cm="1">
        <f t="array" ref="Q45">IFERROR(INDEX('Country Competitivness'!$AJ$4:$AT$178,Tabela2[[#This Row],[ID]],MAX(1,'Config!'!$BA$15-2010)),"")</f>
        <v>5.6970559042553193</v>
      </c>
      <c r="R45" s="527" cm="1">
        <f t="array" ref="R45">IFERROR(INDEX('Country Competitivness'!$BM$4:$BW$178,Tabela2[[#This Row],[ID]],'Config!'!$BA$15-2010+1),"")</f>
        <v>4.5712980872340427</v>
      </c>
      <c r="S45" s="578" cm="1">
        <f t="array" ref="S4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45" s="537" cm="1">
        <f t="array" ref="T45">IF('Config!'!$BA$15=2010,".",IF(INDEX('Result data'!$R$216:$AA$390,'IMS Seg. Table'!$A45,'Config!'!$BA$15-2010)=".",".",INDEX('Result data'!$R$216:$AA$390,'IMS Seg. Table'!$A45,'Config!'!$BA$15-2010)))</f>
        <v>363010</v>
      </c>
      <c r="U45" s="579">
        <f t="shared" si="28"/>
        <v>1.0445887248069694E-2</v>
      </c>
      <c r="V45" s="530" cm="1">
        <f t="array" ref="V45">IF(Tabela2[[#This Row],[Market Penetration (Category)]]=".",".",INDEX('Result data'!$BS$216:$CB$390,'IMS Seg. Table'!$A45,'Config!'!$BA$15-2010))</f>
        <v>8561660.4694740791</v>
      </c>
      <c r="W45" s="563">
        <f>IF(Tabela2[[#This Row],[Market Demand (U$ millions)]]=".",".",Tabela2[[#This Row],[Market Demand (U$ millions)]]/Tabela2[[#This Row],[Active users (thousands)]])</f>
        <v>23.58519178390149</v>
      </c>
      <c r="X45" s="580" cm="1">
        <f t="array" ref="X45">IF('Config!'!$BA$15=2010,".",IF(INDEX('Result data'!$AE$216:$AN$390,'IMS Seg. Table'!$A45,'Config!'!$BA$15-2010)=".",0,INDEX('Result data'!$AE$216:$AN$390,'IMS Seg. Table'!$A45,'Config!'!$BA$15-2010)))</f>
        <v>1</v>
      </c>
      <c r="Y45" s="563">
        <f>IF('Config!'!$BA$15=2010,".",IF(Tabela2[[#This Row],[Number of competitors]]=0,".",SUMIF('Result data'!$N$216:$N$390,Tabela2[[#This Row],[ID]],'Result data'!$CP$216:$CP$393)))</f>
        <v>2.6925670495647371</v>
      </c>
      <c r="Z45" s="563">
        <f>IF('Config!'!$BA$15=2010,".",IF(Tabela2[[#This Row],[Number of competitors]]=0,".",SUMIF('Result data'!$N$216:$N$390,Tabela2[[#This Row],[ID]],'Result data'!$DA$216:$DA$393)))</f>
        <v>2.15405363965179</v>
      </c>
      <c r="AA45" s="530" cm="1">
        <f t="array" ref="AA4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137122.50311974916</v>
      </c>
      <c r="AB45" s="530" cm="1">
        <f t="array" ref="AB4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548490.01247899688</v>
      </c>
      <c r="AC45" s="530">
        <f>IF('Config!'!$BA$15=2010,".",IF(Tabela2[[#This Row],[Local Marketing and Sales Expenses (millions)]]=".",".",SUM(Tabela2[[#This Row],[Global Marketing and Sales Expenses (millions)]:[Local Marketing and Sales Expenses (millions)]])))</f>
        <v>685612.51559874602</v>
      </c>
      <c r="AD45" s="530" cm="1">
        <f t="array" ref="AD4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2456085.7442680853</v>
      </c>
      <c r="AE45" s="530" cm="1">
        <f t="array" ref="AE4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3318412.1432826151</v>
      </c>
      <c r="AF45" s="530" cm="1">
        <f t="array" ref="AF4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46" spans="1:32" x14ac:dyDescent="0.3">
      <c r="A46" s="568">
        <f>'Config!'!C32</f>
        <v>128</v>
      </c>
      <c r="B46" s="536" t="str">
        <f>'Config!'!A32</f>
        <v>Catar</v>
      </c>
      <c r="C46" s="536" t="str">
        <f>'Config!'!B32</f>
        <v>Oriente médio</v>
      </c>
      <c r="D46" s="538" cm="1">
        <f t="array" ref="D46">IFERROR(INDEX(Population!$BD$3:$BN$177,'IMS Seg. Table'!$A46,'Config!'!$BA$15-2010+1),"")</f>
        <v>2015624</v>
      </c>
      <c r="E46" s="551" cm="1">
        <f t="array" ref="E46">IFERROR(INDEX(Population!$CH$3:$CH$178,'IMS Seg. Table'!$A46,1),"")</f>
        <v>11586</v>
      </c>
      <c r="F46" s="552">
        <f>IFERROR('IMS Seg. Table'!$D46/'IMS Seg. Table'!$E46,"")</f>
        <v>173.9706542378733</v>
      </c>
      <c r="G46" s="575" cm="1">
        <f t="array" ref="G46">IFERROR(INDEX('Country Competitivness'!$CL$4:$CX$178,Tabela2[[#This Row],[ID]],'Config!'!$AZ$17+1),".")</f>
        <v>132.43485731407799</v>
      </c>
      <c r="H46" s="540" cm="1">
        <f t="array" ref="H46">INDEX(GDP!$G$3:$S$177,'IMS Seg. Table'!$A46,'Config!'!$BA$15-2010+1)*1000000000</f>
        <v>186833516483.51648</v>
      </c>
      <c r="I46" s="539">
        <f t="shared" si="27"/>
        <v>92692.643312203305</v>
      </c>
      <c r="J46" s="576">
        <f>IFERROR(INDEX('Income Tax Rate (%)'!$F$2:$P$176,Tabela2[[#This Row],[ID]],'Config!'!$BA$15-2010+1)/100,"")</f>
        <v>0.37430000000000002</v>
      </c>
      <c r="K46" s="577">
        <f>IFERROR(INDEX('Tariff Rate (%)'!$F$2:$P$176,Tabela2[[#This Row],[ID]],'Config!'!$BA$15-2010+1)/100,"")</f>
        <v>5.0999999999999997E-2</v>
      </c>
      <c r="L46" s="577">
        <f>IFERROR(INDEX('Corporate Tax Rate (%)'!$F$2:$P$176,Tabela2[[#This Row],[ID]],'Config!'!$BA$15-2010+1)/100,"")</f>
        <v>0.28899999999999998</v>
      </c>
      <c r="M46" s="527" cm="1">
        <f t="array" ref="M46">INDEX('Score-Starting a business'!$F$2:$P$176,'IMS Seg. Table'!$A46,'Config!'!$BA$15-2010+1)</f>
        <v>81.27</v>
      </c>
      <c r="N46" s="527" cm="1">
        <f t="array" ref="N46">IFERROR(INDEX('Country Competitivness'!$AX$4:$BH$178,Tabela2[[#This Row],[ID]],'Config!'!$BA$15-2010+1),"")</f>
        <v>4.8902510000000001</v>
      </c>
      <c r="O46" s="527" cm="1">
        <f t="array" ref="O46">IFERROR(INDEX('Country Competitivness'!$EE$4:$EO$178,Tabela2[[#This Row],[ID]],'Config!'!$BA$15-2010+1),"")</f>
        <v>4.9733340000000004</v>
      </c>
      <c r="P46" s="527" cm="1">
        <f t="array" ref="P46">IFERROR(INDEX('Country Competitivness'!$H$4:$R$178,Tabela2[[#This Row],[ID]],'Config!'!$BA$15-2010+1),"")</f>
        <v>5.2711801052631584</v>
      </c>
      <c r="Q46" s="527" cm="1">
        <f t="array" ref="Q46">IFERROR(INDEX('Country Competitivness'!$AJ$4:$AT$178,Tabela2[[#This Row],[ID]],MAX(1,'Config!'!$BA$15-2010)),"")</f>
        <v>6.0234176666666661</v>
      </c>
      <c r="R46" s="527" cm="1">
        <f t="array" ref="R46">IFERROR(INDEX('Country Competitivness'!$BM$4:$BW$178,Tabela2[[#This Row],[ID]],'Config!'!$BA$15-2010+1),"")</f>
        <v>4.3948600000000004</v>
      </c>
      <c r="S46" s="578" t="str" cm="1">
        <f t="array" ref="S4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6" s="537" t="str" cm="1">
        <f t="array" ref="T46">IF('Config!'!$BA$15=2010,".",IF(INDEX('Result data'!$R$216:$AA$390,'IMS Seg. Table'!$A46,'Config!'!$BA$15-2010)=".",".",INDEX('Result data'!$R$216:$AA$390,'IMS Seg. Table'!$A46,'Config!'!$BA$15-2010)))</f>
        <v>.</v>
      </c>
      <c r="U46" s="579" t="str">
        <f t="shared" si="28"/>
        <v>.</v>
      </c>
      <c r="V46" s="530" t="str" cm="1">
        <f t="array" ref="V46">IF(Tabela2[[#This Row],[Market Penetration (Category)]]=".",".",INDEX('Result data'!$BS$216:$CB$390,'IMS Seg. Table'!$A46,'Config!'!$BA$15-2010))</f>
        <v>.</v>
      </c>
      <c r="W46" s="563" t="str">
        <f>IF(Tabela2[[#This Row],[Market Demand (U$ millions)]]=".",".",Tabela2[[#This Row],[Market Demand (U$ millions)]]/Tabela2[[#This Row],[Active users (thousands)]])</f>
        <v>.</v>
      </c>
      <c r="X46" s="580" cm="1">
        <f t="array" ref="X46">IF('Config!'!$BA$15=2010,".",IF(INDEX('Result data'!$AE$216:$AN$390,'IMS Seg. Table'!$A46,'Config!'!$BA$15-2010)=".",0,INDEX('Result data'!$AE$216:$AN$390,'IMS Seg. Table'!$A46,'Config!'!$BA$15-2010)))</f>
        <v>0</v>
      </c>
      <c r="Y46" s="563" t="str">
        <f>IF('Config!'!$BA$15=2010,".",IF(Tabela2[[#This Row],[Number of competitors]]=0,".",SUMIF('Result data'!$N$216:$N$390,Tabela2[[#This Row],[ID]],'Result data'!$CP$216:$CP$393)))</f>
        <v>.</v>
      </c>
      <c r="Z46" s="563" t="str">
        <f>IF('Config!'!$BA$15=2010,".",IF(Tabela2[[#This Row],[Number of competitors]]=0,".",SUMIF('Result data'!$N$216:$N$390,Tabela2[[#This Row],[ID]],'Result data'!$DA$216:$DA$393)))</f>
        <v>.</v>
      </c>
      <c r="AA46" s="530" t="str" cm="1">
        <f t="array" ref="AA4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6" s="530" t="str" cm="1">
        <f t="array" ref="AB4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6" s="530" t="str" cm="1">
        <f t="array" ref="AD4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6" s="530" t="str" cm="1">
        <f t="array" ref="AE4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6" s="530" t="str" cm="1">
        <f t="array" ref="AF4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7" spans="1:32" x14ac:dyDescent="0.3">
      <c r="A47" s="569">
        <f>'Config!'!C33</f>
        <v>81</v>
      </c>
      <c r="B47" s="536" t="str">
        <f>'Config!'!A33</f>
        <v>Cazaquistão</v>
      </c>
      <c r="C47" s="536" t="str">
        <f>'Config!'!B33</f>
        <v>Ásia-Pacífico</v>
      </c>
      <c r="D47" s="538" cm="1">
        <f t="array" ref="D47">IFERROR(INDEX(Population!$BD$3:$BN$177,'IMS Seg. Table'!$A47,'Config!'!$BA$15-2010+1),"")</f>
        <v>16791425</v>
      </c>
      <c r="E47" s="551" cm="1">
        <f t="array" ref="E47">IFERROR(INDEX(Population!$CH$3:$CH$178,'IMS Seg. Table'!$A47,1),"")</f>
        <v>2699700</v>
      </c>
      <c r="F47" s="552">
        <f>IFERROR('IMS Seg. Table'!$D47/'IMS Seg. Table'!$E47,"")</f>
        <v>6.2197373782272107</v>
      </c>
      <c r="G47" s="575" cm="1">
        <f t="array" ref="G47">IFERROR(INDEX('Country Competitivness'!$CL$4:$CX$178,Tabela2[[#This Row],[ID]],'Config!'!$AZ$17+1),".")</f>
        <v>123.34985215301801</v>
      </c>
      <c r="H47" s="540" cm="1">
        <f t="array" ref="H47">INDEX(GDP!$G$3:$S$177,'IMS Seg. Table'!$A47,'Config!'!$BA$15-2010+1)*1000000000</f>
        <v>207998568865.78928</v>
      </c>
      <c r="I47" s="539">
        <f t="shared" si="27"/>
        <v>12387.189822530801</v>
      </c>
      <c r="J47" s="576">
        <f>IFERROR(INDEX('Income Tax Rate (%)'!$F$2:$P$176,Tabela2[[#This Row],[ID]],'Config!'!$BA$15-2010+1)/100,"")</f>
        <v>0.1</v>
      </c>
      <c r="K47" s="577">
        <f>IFERROR(INDEX('Tariff Rate (%)'!$F$2:$P$176,Tabela2[[#This Row],[ID]],'Config!'!$BA$15-2010+1)/100,"")</f>
        <v>3.4000000000000002E-2</v>
      </c>
      <c r="L47" s="577">
        <f>IFERROR(INDEX('Corporate Tax Rate (%)'!$F$2:$P$176,Tabela2[[#This Row],[ID]],'Config!'!$BA$15-2010+1)/100,"")</f>
        <v>0.2</v>
      </c>
      <c r="M47" s="527" cm="1">
        <f t="array" ref="M47">INDEX('Score-Starting a business'!$F$2:$P$176,'IMS Seg. Table'!$A47,'Config!'!$BA$15-2010+1)</f>
        <v>84.09</v>
      </c>
      <c r="N47" s="527" cm="1">
        <f t="array" ref="N47">IFERROR(INDEX('Country Competitivness'!$AX$4:$BH$178,Tabela2[[#This Row],[ID]],'Config!'!$BA$15-2010+1),"")</f>
        <v>3.3087059999999999</v>
      </c>
      <c r="O47" s="527" cm="1">
        <f t="array" ref="O47">IFERROR(INDEX('Country Competitivness'!$EE$4:$EO$178,Tabela2[[#This Row],[ID]],'Config!'!$BA$15-2010+1),"")</f>
        <v>2.5046759999999999</v>
      </c>
      <c r="P47" s="527" cm="1">
        <f t="array" ref="P47">IFERROR(INDEX('Country Competitivness'!$H$4:$R$178,Tabela2[[#This Row],[ID]],'Config!'!$BA$15-2010+1),"")</f>
        <v>3.4151773157894736</v>
      </c>
      <c r="Q47" s="527" cm="1">
        <f t="array" ref="Q47">IFERROR(INDEX('Country Competitivness'!$AJ$4:$AT$178,Tabela2[[#This Row],[ID]],MAX(1,'Config!'!$BA$15-2010)),"")</f>
        <v>4.2248743333333332</v>
      </c>
      <c r="R47" s="527" cm="1">
        <f t="array" ref="R47">IFERROR(INDEX('Country Competitivness'!$BM$4:$BW$178,Tabela2[[#This Row],[ID]],'Config!'!$BA$15-2010+1),"")</f>
        <v>3.8874300000000002</v>
      </c>
      <c r="S47" s="578" t="str" cm="1">
        <f t="array" ref="S4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7" s="537" t="str" cm="1">
        <f t="array" ref="T47">IF('Config!'!$BA$15=2010,".",IF(INDEX('Result data'!$R$216:$AA$390,'IMS Seg. Table'!$A47,'Config!'!$BA$15-2010)=".",".",INDEX('Result data'!$R$216:$AA$390,'IMS Seg. Table'!$A47,'Config!'!$BA$15-2010)))</f>
        <v>.</v>
      </c>
      <c r="U47" s="579" t="str">
        <f t="shared" si="28"/>
        <v>.</v>
      </c>
      <c r="V47" s="530" t="str" cm="1">
        <f t="array" ref="V47">IF(Tabela2[[#This Row],[Market Penetration (Category)]]=".",".",INDEX('Result data'!$BS$216:$CB$390,'IMS Seg. Table'!$A47,'Config!'!$BA$15-2010))</f>
        <v>.</v>
      </c>
      <c r="W47" s="563" t="str">
        <f>IF(Tabela2[[#This Row],[Market Demand (U$ millions)]]=".",".",Tabela2[[#This Row],[Market Demand (U$ millions)]]/Tabela2[[#This Row],[Active users (thousands)]])</f>
        <v>.</v>
      </c>
      <c r="X47" s="580" cm="1">
        <f t="array" ref="X47">IF('Config!'!$BA$15=2010,".",IF(INDEX('Result data'!$AE$216:$AN$390,'IMS Seg. Table'!$A47,'Config!'!$BA$15-2010)=".",0,INDEX('Result data'!$AE$216:$AN$390,'IMS Seg. Table'!$A47,'Config!'!$BA$15-2010)))</f>
        <v>0</v>
      </c>
      <c r="Y47" s="563" t="str">
        <f>IF('Config!'!$BA$15=2010,".",IF(Tabela2[[#This Row],[Number of competitors]]=0,".",SUMIF('Result data'!$N$216:$N$390,Tabela2[[#This Row],[ID]],'Result data'!$CP$216:$CP$393)))</f>
        <v>.</v>
      </c>
      <c r="Z47" s="563" t="str">
        <f>IF('Config!'!$BA$15=2010,".",IF(Tabela2[[#This Row],[Number of competitors]]=0,".",SUMIF('Result data'!$N$216:$N$390,Tabela2[[#This Row],[ID]],'Result data'!$DA$216:$DA$393)))</f>
        <v>.</v>
      </c>
      <c r="AA47" s="530" t="str" cm="1">
        <f t="array" ref="AA4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7" s="530" t="str" cm="1">
        <f t="array" ref="AB4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7" s="530" t="str" cm="1">
        <f t="array" ref="AD4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7" s="530" t="str" cm="1">
        <f t="array" ref="AE4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7" s="530" t="str" cm="1">
        <f t="array" ref="AF4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8" spans="1:32" x14ac:dyDescent="0.3">
      <c r="A48" s="568">
        <f>'Config!'!C34</f>
        <v>32</v>
      </c>
      <c r="B48" s="536" t="str">
        <f>'Config!'!A34</f>
        <v>Chade</v>
      </c>
      <c r="C48" s="536" t="str">
        <f>'Config!'!B34</f>
        <v>África Subsaariana</v>
      </c>
      <c r="D48" s="538" cm="1">
        <f t="array" ref="D48">IFERROR(INDEX(Population!$BD$3:$BN$177,'IMS Seg. Table'!$A48,'Config!'!$BA$15-2010+1),"")</f>
        <v>12715465</v>
      </c>
      <c r="E48" s="551" cm="1">
        <f t="array" ref="E48">IFERROR(INDEX(Population!$CH$3:$CH$178,'IMS Seg. Table'!$A48,1),"")</f>
        <v>1259200</v>
      </c>
      <c r="F48" s="552">
        <f>IFERROR('IMS Seg. Table'!$D48/'IMS Seg. Table'!$E48,"")</f>
        <v>10.098050349428208</v>
      </c>
      <c r="G48" s="575" cm="1">
        <f t="array" ref="G48">IFERROR(INDEX('Country Competitivness'!$CL$4:$CX$178,Tabela2[[#This Row],[ID]],'Config!'!$AZ$17+1),".")</f>
        <v>23.285664610471301</v>
      </c>
      <c r="H48" s="540" cm="1">
        <f t="array" ref="H48">INDEX(GDP!$G$3:$S$177,'IMS Seg. Table'!$A48,'Config!'!$BA$15-2010+1)*1000000000</f>
        <v>12368071038.736238</v>
      </c>
      <c r="I48" s="539">
        <f t="shared" ref="I48:I79" si="29">IFERROR((H48)/D48,".")</f>
        <v>972.67941351230479</v>
      </c>
      <c r="J48" s="576">
        <f>IFERROR(INDEX('Income Tax Rate (%)'!$F$2:$P$176,Tabela2[[#This Row],[ID]],'Config!'!$BA$15-2010+1)/100,"")</f>
        <v>0.6</v>
      </c>
      <c r="K48" s="577">
        <f>IFERROR(INDEX('Tariff Rate (%)'!$F$2:$P$176,Tabela2[[#This Row],[ID]],'Config!'!$BA$15-2010+1)/100,"")</f>
        <v>0.14899999999999999</v>
      </c>
      <c r="L48" s="577">
        <f>IFERROR(INDEX('Corporate Tax Rate (%)'!$F$2:$P$176,Tabela2[[#This Row],[ID]],'Config!'!$BA$15-2010+1)/100,"")</f>
        <v>0.45</v>
      </c>
      <c r="M48" s="527" cm="1">
        <f t="array" ref="M48">INDEX('Score-Starting a business'!$F$2:$P$176,'IMS Seg. Table'!$A48,'Config!'!$BA$15-2010+1)</f>
        <v>25.54</v>
      </c>
      <c r="N48" s="527" cm="1">
        <f t="array" ref="N48">IFERROR(INDEX('Country Competitivness'!$AX$4:$BH$178,Tabela2[[#This Row],[ID]],'Config!'!$BA$15-2010+1),"")</f>
        <v>2.61860530781893</v>
      </c>
      <c r="O48" s="527" cm="1">
        <f t="array" ref="O48">IFERROR(INDEX('Country Competitivness'!$EE$4:$EO$178,Tabela2[[#This Row],[ID]],'Config!'!$BA$15-2010+1),"")</f>
        <v>2.997285935802469</v>
      </c>
      <c r="P48" s="527" cm="1">
        <f t="array" ref="P48">IFERROR(INDEX('Country Competitivness'!$H$4:$R$178,Tabela2[[#This Row],[ID]],'Config!'!$BA$15-2010+1),"")</f>
        <v>2.9265575391379688</v>
      </c>
      <c r="Q48" s="527" cm="1">
        <f t="array" ref="Q48">IFERROR(INDEX('Country Competitivness'!$AJ$4:$AT$178,Tabela2[[#This Row],[ID]],MAX(1,'Config!'!$BA$15-2010)),"")</f>
        <v>3.4206985237311387</v>
      </c>
      <c r="R48" s="527" cm="1">
        <f t="array" ref="R48">IFERROR(INDEX('Country Competitivness'!$BM$4:$BW$178,Tabela2[[#This Row],[ID]],'Config!'!$BA$15-2010+1),"")</f>
        <v>2.1055065176954733</v>
      </c>
      <c r="S48" s="578" t="str" cm="1">
        <f t="array" ref="S4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8" s="537" t="str" cm="1">
        <f t="array" ref="T48">IF('Config!'!$BA$15=2010,".",IF(INDEX('Result data'!$R$216:$AA$390,'IMS Seg. Table'!$A48,'Config!'!$BA$15-2010)=".",".",INDEX('Result data'!$R$216:$AA$390,'IMS Seg. Table'!$A48,'Config!'!$BA$15-2010)))</f>
        <v>.</v>
      </c>
      <c r="U48" s="579" t="str">
        <f t="shared" ref="U48:U79" si="30">IFERROR(T48/D48,".")</f>
        <v>.</v>
      </c>
      <c r="V48" s="530" t="str" cm="1">
        <f t="array" ref="V48">IF(Tabela2[[#This Row],[Market Penetration (Category)]]=".",".",INDEX('Result data'!$BS$216:$CB$390,'IMS Seg. Table'!$A48,'Config!'!$BA$15-2010))</f>
        <v>.</v>
      </c>
      <c r="W48" s="563" t="str">
        <f>IF(Tabela2[[#This Row],[Market Demand (U$ millions)]]=".",".",Tabela2[[#This Row],[Market Demand (U$ millions)]]/Tabela2[[#This Row],[Active users (thousands)]])</f>
        <v>.</v>
      </c>
      <c r="X48" s="580" cm="1">
        <f t="array" ref="X48">IF('Config!'!$BA$15=2010,".",IF(INDEX('Result data'!$AE$216:$AN$390,'IMS Seg. Table'!$A48,'Config!'!$BA$15-2010)=".",0,INDEX('Result data'!$AE$216:$AN$390,'IMS Seg. Table'!$A48,'Config!'!$BA$15-2010)))</f>
        <v>0</v>
      </c>
      <c r="Y48" s="563" t="str">
        <f>IF('Config!'!$BA$15=2010,".",IF(Tabela2[[#This Row],[Number of competitors]]=0,".",SUMIF('Result data'!$N$216:$N$390,Tabela2[[#This Row],[ID]],'Result data'!$CP$216:$CP$393)))</f>
        <v>.</v>
      </c>
      <c r="Z48" s="563" t="str">
        <f>IF('Config!'!$BA$15=2010,".",IF(Tabela2[[#This Row],[Number of competitors]]=0,".",SUMIF('Result data'!$N$216:$N$390,Tabela2[[#This Row],[ID]],'Result data'!$DA$216:$DA$393)))</f>
        <v>.</v>
      </c>
      <c r="AA48" s="530" t="str" cm="1">
        <f t="array" ref="AA4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8" s="530" t="str" cm="1">
        <f t="array" ref="AB4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8" s="530" t="str" cm="1">
        <f t="array" ref="AD4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8" s="530" t="str" cm="1">
        <f t="array" ref="AE4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8" s="530" t="str" cm="1">
        <f t="array" ref="AF4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49" spans="1:32" x14ac:dyDescent="0.3">
      <c r="A49" s="569">
        <f>'Config!'!C35</f>
        <v>33</v>
      </c>
      <c r="B49" s="536" t="str">
        <f>'Config!'!A35</f>
        <v>Chile</v>
      </c>
      <c r="C49" s="536" t="str">
        <f>'Config!'!B35</f>
        <v>América do Sul</v>
      </c>
      <c r="D49" s="538" cm="1">
        <f t="array" ref="D49">IFERROR(INDEX(Population!$BD$3:$BN$177,'IMS Seg. Table'!$A49,'Config!'!$BA$15-2010+1),"")</f>
        <v>17388437</v>
      </c>
      <c r="E49" s="551" cm="1">
        <f t="array" ref="E49">IFERROR(INDEX(Population!$CH$3:$CH$178,'IMS Seg. Table'!$A49,1),"")</f>
        <v>743812</v>
      </c>
      <c r="F49" s="552">
        <f>IFERROR('IMS Seg. Table'!$D49/'IMS Seg. Table'!$E49,"")</f>
        <v>23.377462315746453</v>
      </c>
      <c r="G49" s="575" cm="1">
        <f t="array" ref="G49">IFERROR(INDEX('Country Competitivness'!$CL$4:$CX$178,Tabela2[[#This Row],[ID]],'Config!'!$AZ$17+1),".")</f>
        <v>116.002126484952</v>
      </c>
      <c r="H49" s="540" cm="1">
        <f t="array" ref="H49">INDEX(GDP!$G$3:$S$177,'IMS Seg. Table'!$A49,'Config!'!$BA$15-2010+1)*1000000000</f>
        <v>267122320056.70221</v>
      </c>
      <c r="I49" s="539">
        <f t="shared" si="29"/>
        <v>15362.066185517549</v>
      </c>
      <c r="J49" s="576">
        <f>IFERROR(INDEX('Income Tax Rate (%)'!$F$2:$P$176,Tabela2[[#This Row],[ID]],'Config!'!$BA$15-2010+1)/100,"")</f>
        <v>0.4</v>
      </c>
      <c r="K49" s="577">
        <f>IFERROR(INDEX('Tariff Rate (%)'!$F$2:$P$176,Tabela2[[#This Row],[ID]],'Config!'!$BA$15-2010+1)/100,"")</f>
        <v>4.0199999999999993E-2</v>
      </c>
      <c r="L49" s="577">
        <f>IFERROR(INDEX('Corporate Tax Rate (%)'!$F$2:$P$176,Tabela2[[#This Row],[ID]],'Config!'!$BA$15-2010+1)/100,"")</f>
        <v>0.2</v>
      </c>
      <c r="M49" s="527" cm="1">
        <f t="array" ref="M49">INDEX('Score-Starting a business'!$F$2:$P$176,'IMS Seg. Table'!$A49,'Config!'!$BA$15-2010+1)</f>
        <v>86.49</v>
      </c>
      <c r="N49" s="527" cm="1">
        <f t="array" ref="N49">IFERROR(INDEX('Country Competitivness'!$AX$4:$BH$178,Tabela2[[#This Row],[ID]],'Config!'!$BA$15-2010+1),"")</f>
        <v>3.6435065320754716</v>
      </c>
      <c r="O49" s="527" cm="1">
        <f t="array" ref="O49">IFERROR(INDEX('Country Competitivness'!$EE$4:$EO$178,Tabela2[[#This Row],[ID]],'Config!'!$BA$15-2010+1),"")</f>
        <v>5.6692204226415095</v>
      </c>
      <c r="P49" s="527" cm="1">
        <f t="array" ref="P49">IFERROR(INDEX('Country Competitivness'!$H$4:$R$178,Tabela2[[#This Row],[ID]],'Config!'!$BA$15-2010+1),"")</f>
        <v>4.3225915217477651</v>
      </c>
      <c r="Q49" s="527" cm="1">
        <f t="array" ref="Q49">IFERROR(INDEX('Country Competitivness'!$AJ$4:$AT$178,Tabela2[[#This Row],[ID]],MAX(1,'Config!'!$BA$15-2010)),"")</f>
        <v>5.5034282213836478</v>
      </c>
      <c r="R49" s="527" cm="1">
        <f t="array" ref="R49">IFERROR(INDEX('Country Competitivness'!$BM$4:$BW$178,Tabela2[[#This Row],[ID]],'Config!'!$BA$15-2010+1),"")</f>
        <v>4.1763295283018866</v>
      </c>
      <c r="S49" s="578" t="str" cm="1">
        <f t="array" ref="S4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49" s="537" t="str" cm="1">
        <f t="array" ref="T49">IF('Config!'!$BA$15=2010,".",IF(INDEX('Result data'!$R$216:$AA$390,'IMS Seg. Table'!$A49,'Config!'!$BA$15-2010)=".",".",INDEX('Result data'!$R$216:$AA$390,'IMS Seg. Table'!$A49,'Config!'!$BA$15-2010)))</f>
        <v>.</v>
      </c>
      <c r="U49" s="579" t="str">
        <f t="shared" si="30"/>
        <v>.</v>
      </c>
      <c r="V49" s="530" t="str" cm="1">
        <f t="array" ref="V49">IF(Tabela2[[#This Row],[Market Penetration (Category)]]=".",".",INDEX('Result data'!$BS$216:$CB$390,'IMS Seg. Table'!$A49,'Config!'!$BA$15-2010))</f>
        <v>.</v>
      </c>
      <c r="W49" s="563" t="str">
        <f>IF(Tabela2[[#This Row],[Market Demand (U$ millions)]]=".",".",Tabela2[[#This Row],[Market Demand (U$ millions)]]/Tabela2[[#This Row],[Active users (thousands)]])</f>
        <v>.</v>
      </c>
      <c r="X49" s="580" cm="1">
        <f t="array" ref="X49">IF('Config!'!$BA$15=2010,".",IF(INDEX('Result data'!$AE$216:$AN$390,'IMS Seg. Table'!$A49,'Config!'!$BA$15-2010)=".",0,INDEX('Result data'!$AE$216:$AN$390,'IMS Seg. Table'!$A49,'Config!'!$BA$15-2010)))</f>
        <v>0</v>
      </c>
      <c r="Y49" s="563" t="str">
        <f>IF('Config!'!$BA$15=2010,".",IF(Tabela2[[#This Row],[Number of competitors]]=0,".",SUMIF('Result data'!$N$216:$N$390,Tabela2[[#This Row],[ID]],'Result data'!$CP$216:$CP$393)))</f>
        <v>.</v>
      </c>
      <c r="Z49" s="563" t="str">
        <f>IF('Config!'!$BA$15=2010,".",IF(Tabela2[[#This Row],[Number of competitors]]=0,".",SUMIF('Result data'!$N$216:$N$390,Tabela2[[#This Row],[ID]],'Result data'!$DA$216:$DA$393)))</f>
        <v>.</v>
      </c>
      <c r="AA49" s="530" t="str" cm="1">
        <f t="array" ref="AA4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49" s="530" t="str" cm="1">
        <f t="array" ref="AB4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4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49" s="530" t="str" cm="1">
        <f t="array" ref="AD4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49" s="530" t="str" cm="1">
        <f t="array" ref="AE4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49" s="530" t="str" cm="1">
        <f t="array" ref="AF4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0" spans="1:32" x14ac:dyDescent="0.3">
      <c r="A50" s="568">
        <f>'Config!'!C36</f>
        <v>34</v>
      </c>
      <c r="B50" s="536" t="str">
        <f>'Config!'!A36</f>
        <v>China</v>
      </c>
      <c r="C50" s="536" t="str">
        <f>'Config!'!B36</f>
        <v>Ásia-Pacífico</v>
      </c>
      <c r="D50" s="538" cm="1">
        <f t="array" ref="D50">IFERROR(INDEX(Population!$BD$3:$BN$177,'IMS Seg. Table'!$A50,'Config!'!$BA$15-2010+1),"")</f>
        <v>1350695000</v>
      </c>
      <c r="E50" s="551" cm="1">
        <f t="array" ref="E50">IFERROR(INDEX(Population!$CH$3:$CH$178,'IMS Seg. Table'!$A50,1),"")</f>
        <v>9326410</v>
      </c>
      <c r="F50" s="552">
        <f>IFERROR('IMS Seg. Table'!$D50/'IMS Seg. Table'!$E50,"")</f>
        <v>144.82475035946308</v>
      </c>
      <c r="G50" s="575" cm="1">
        <f t="array" ref="G50">IFERROR(INDEX('Country Competitivness'!$CL$4:$CX$178,Tabela2[[#This Row],[ID]],'Config!'!$AZ$17+1),".")</f>
        <v>64.040892294456199</v>
      </c>
      <c r="H50" s="540" cm="1">
        <f t="array" ref="H50">INDEX(GDP!$G$3:$S$177,'IMS Seg. Table'!$A50,'Config!'!$BA$15-2010+1)*1000000000</f>
        <v>8532230724141.7568</v>
      </c>
      <c r="I50" s="539">
        <f t="shared" si="29"/>
        <v>6316.9188633568328</v>
      </c>
      <c r="J50" s="576">
        <f>IFERROR(INDEX('Income Tax Rate (%)'!$F$2:$P$176,Tabela2[[#This Row],[ID]],'Config!'!$BA$15-2010+1)/100,"")</f>
        <v>0.45</v>
      </c>
      <c r="K50" s="577">
        <f>IFERROR(INDEX('Tariff Rate (%)'!$F$2:$P$176,Tabela2[[#This Row],[ID]],'Config!'!$BA$15-2010+1)/100,"")</f>
        <v>4.0999999999999995E-2</v>
      </c>
      <c r="L50" s="577">
        <f>IFERROR(INDEX('Corporate Tax Rate (%)'!$F$2:$P$176,Tabela2[[#This Row],[ID]],'Config!'!$BA$15-2010+1)/100,"")</f>
        <v>0.25</v>
      </c>
      <c r="M50" s="527" cm="1">
        <f t="array" ref="M50">INDEX('Score-Starting a business'!$F$2:$P$176,'IMS Seg. Table'!$A50,'Config!'!$BA$15-2010+1)</f>
        <v>64.866666666666703</v>
      </c>
      <c r="N50" s="527" cm="1">
        <f t="array" ref="N50">IFERROR(INDEX('Country Competitivness'!$AX$4:$BH$178,Tabela2[[#This Row],[ID]],'Config!'!$BA$15-2010+1),"")</f>
        <v>3.9341559418032785</v>
      </c>
      <c r="O50" s="527" cm="1">
        <f t="array" ref="O50">IFERROR(INDEX('Country Competitivness'!$EE$4:$EO$178,Tabela2[[#This Row],[ID]],'Config!'!$BA$15-2010+1),"")</f>
        <v>4.4099030631147542</v>
      </c>
      <c r="P50" s="527" cm="1">
        <f t="array" ref="P50">IFERROR(INDEX('Country Competitivness'!$H$4:$R$178,Tabela2[[#This Row],[ID]],'Config!'!$BA$15-2010+1),"")</f>
        <v>4.3728555781852165</v>
      </c>
      <c r="Q50" s="527" cm="1">
        <f t="array" ref="Q50">IFERROR(INDEX('Country Competitivness'!$AJ$4:$AT$178,Tabela2[[#This Row],[ID]],MAX(1,'Config!'!$BA$15-2010)),"")</f>
        <v>4.6439494243169399</v>
      </c>
      <c r="R50" s="527" cm="1">
        <f t="array" ref="R50">IFERROR(INDEX('Country Competitivness'!$BM$4:$BW$178,Tabela2[[#This Row],[ID]],'Config!'!$BA$15-2010+1),"")</f>
        <v>4.705408509289617</v>
      </c>
      <c r="S50" s="578" cm="1">
        <f t="array" ref="S5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50" s="537" cm="1">
        <f t="array" ref="T50">IF('Config!'!$BA$15=2010,".",IF(INDEX('Result data'!$R$216:$AA$390,'IMS Seg. Table'!$A50,'Config!'!$BA$15-2010)=".",".",INDEX('Result data'!$R$216:$AA$390,'IMS Seg. Table'!$A50,'Config!'!$BA$15-2010)))</f>
        <v>6984322</v>
      </c>
      <c r="U50" s="579">
        <f t="shared" si="30"/>
        <v>5.1709097908854331E-3</v>
      </c>
      <c r="V50" s="530" cm="1">
        <f t="array" ref="V50">IF(Tabela2[[#This Row],[Market Penetration (Category)]]=".",".",INDEX('Result data'!$BS$216:$CB$390,'IMS Seg. Table'!$A50,'Config!'!$BA$15-2010))</f>
        <v>53046231.355448335</v>
      </c>
      <c r="W50" s="563">
        <f>IF(Tabela2[[#This Row],[Market Demand (U$ millions)]]=".",".",Tabela2[[#This Row],[Market Demand (U$ millions)]]/Tabela2[[#This Row],[Active users (thousands)]])</f>
        <v>7.5950437788304059</v>
      </c>
      <c r="X50" s="580" cm="1">
        <f t="array" ref="X50">IF('Config!'!$BA$15=2010,".",IF(INDEX('Result data'!$AE$216:$AN$390,'IMS Seg. Table'!$A50,'Config!'!$BA$15-2010)=".",0,INDEX('Result data'!$AE$216:$AN$390,'IMS Seg. Table'!$A50,'Config!'!$BA$15-2010)))</f>
        <v>1</v>
      </c>
      <c r="Y50" s="563">
        <f>IF('Config!'!$BA$15=2010,".",IF(Tabela2[[#This Row],[Number of competitors]]=0,".",SUMIF('Result data'!$N$216:$N$390,Tabela2[[#This Row],[ID]],'Result data'!$CP$216:$CP$393)))</f>
        <v>2.1388328933682632</v>
      </c>
      <c r="Z50" s="563">
        <f>IF('Config!'!$BA$15=2010,".",IF(Tabela2[[#This Row],[Number of competitors]]=0,".",SUMIF('Result data'!$N$216:$N$390,Tabela2[[#This Row],[ID]],'Result data'!$DA$216:$DA$393)))</f>
        <v>1.6041246700261973</v>
      </c>
      <c r="AA50" s="530" cm="1">
        <f t="array" ref="AA5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190333.39145687936</v>
      </c>
      <c r="AB50" s="530" cm="1">
        <f t="array" ref="AB5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285500.08718531905</v>
      </c>
      <c r="AC50" s="530">
        <f>IF('Config!'!$BA$15=2010,".",IF(Tabela2[[#This Row],[Local Marketing and Sales Expenses (millions)]]=".",".",SUM(Tabela2[[#This Row],[Global Marketing and Sales Expenses (millions)]:[Local Marketing and Sales Expenses (millions)]])))</f>
        <v>475833.47864219837</v>
      </c>
      <c r="AD50" s="530" cm="1">
        <f t="array" ref="AD5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3037082.5533604184</v>
      </c>
      <c r="AE50" s="530" cm="1">
        <f t="array" ref="AE5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5140594.0873361239</v>
      </c>
      <c r="AF50" s="530" cm="1">
        <f t="array" ref="AF5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229941.58120421498</v>
      </c>
    </row>
    <row r="51" spans="1:32" x14ac:dyDescent="0.3">
      <c r="A51" s="569">
        <f>'Config!'!C37</f>
        <v>40</v>
      </c>
      <c r="B51" s="536" t="str">
        <f>'Config!'!A37</f>
        <v>Chipre</v>
      </c>
      <c r="C51" s="536" t="str">
        <f>'Config!'!B37</f>
        <v>União Européia</v>
      </c>
      <c r="D51" s="538" cm="1">
        <f t="array" ref="D51">IFERROR(INDEX(Population!$BD$3:$BN$177,'IMS Seg. Table'!$A51,'Config!'!$BA$15-2010+1),"")</f>
        <v>1129303</v>
      </c>
      <c r="E51" s="551" cm="1">
        <f t="array" ref="E51">IFERROR(INDEX(Population!$CH$3:$CH$178,'IMS Seg. Table'!$A51,1),"")</f>
        <v>9241</v>
      </c>
      <c r="F51" s="552">
        <f>IFERROR('IMS Seg. Table'!$D51/'IMS Seg. Table'!$E51,"")</f>
        <v>122.20571366735201</v>
      </c>
      <c r="G51" s="575" cm="1">
        <f t="array" ref="G51">IFERROR(INDEX('Country Competitivness'!$CL$4:$CX$178,Tabela2[[#This Row],[ID]],'Config!'!$AZ$17+1),".")</f>
        <v>93.695810345155707</v>
      </c>
      <c r="H51" s="540" cm="1">
        <f t="array" ref="H51">INDEX(GDP!$G$3:$S$177,'IMS Seg. Table'!$A51,'Config!'!$BA$15-2010+1)*1000000000</f>
        <v>25041397918.540409</v>
      </c>
      <c r="I51" s="539">
        <f t="shared" si="29"/>
        <v>22174.206495989481</v>
      </c>
      <c r="J51" s="576">
        <f>IFERROR(INDEX('Income Tax Rate (%)'!$F$2:$P$176,Tabela2[[#This Row],[ID]],'Config!'!$BA$15-2010+1)/100,"")</f>
        <v>0.35</v>
      </c>
      <c r="K51" s="577">
        <f>IFERROR(INDEX('Tariff Rate (%)'!$F$2:$P$176,Tabela2[[#This Row],[ID]],'Config!'!$BA$15-2010+1)/100,"")</f>
        <v>1.09E-2</v>
      </c>
      <c r="L51" s="577">
        <f>IFERROR(INDEX('Corporate Tax Rate (%)'!$F$2:$P$176,Tabela2[[#This Row],[ID]],'Config!'!$BA$15-2010+1)/100,"")</f>
        <v>0.1</v>
      </c>
      <c r="M51" s="527" cm="1">
        <f t="array" ref="M51">INDEX('Score-Starting a business'!$F$2:$P$176,'IMS Seg. Table'!$A51,'Config!'!$BA$15-2010+1)</f>
        <v>89.13</v>
      </c>
      <c r="N51" s="527" cm="1">
        <f t="array" ref="N51">IFERROR(INDEX('Country Competitivness'!$AX$4:$BH$178,Tabela2[[#This Row],[ID]],'Config!'!$BA$15-2010+1),"")</f>
        <v>3.9296607706185567</v>
      </c>
      <c r="O51" s="527" cm="1">
        <f t="array" ref="O51">IFERROR(INDEX('Country Competitivness'!$EE$4:$EO$178,Tabela2[[#This Row],[ID]],'Config!'!$BA$15-2010+1),"")</f>
        <v>5.7099318881443306</v>
      </c>
      <c r="P51" s="527" cm="1">
        <f t="array" ref="P51">IFERROR(INDEX('Country Competitivness'!$H$4:$R$178,Tabela2[[#This Row],[ID]],'Config!'!$BA$15-2010+1),"")</f>
        <v>4.1891484444655456</v>
      </c>
      <c r="Q51" s="527" cm="1">
        <f t="array" ref="Q51">IFERROR(INDEX('Country Competitivness'!$AJ$4:$AT$178,Tabela2[[#This Row],[ID]],MAX(1,'Config!'!$BA$15-2010)),"")</f>
        <v>5.150835908762887</v>
      </c>
      <c r="R51" s="527" cm="1">
        <f t="array" ref="R51">IFERROR(INDEX('Country Competitivness'!$BM$4:$BW$178,Tabela2[[#This Row],[ID]],'Config!'!$BA$15-2010+1),"")</f>
        <v>4.0880580231958765</v>
      </c>
      <c r="S51" s="578" t="str" cm="1">
        <f t="array" ref="S5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1" s="537" t="str" cm="1">
        <f t="array" ref="T51">IF('Config!'!$BA$15=2010,".",IF(INDEX('Result data'!$R$216:$AA$390,'IMS Seg. Table'!$A51,'Config!'!$BA$15-2010)=".",".",INDEX('Result data'!$R$216:$AA$390,'IMS Seg. Table'!$A51,'Config!'!$BA$15-2010)))</f>
        <v>.</v>
      </c>
      <c r="U51" s="579" t="str">
        <f t="shared" si="30"/>
        <v>.</v>
      </c>
      <c r="V51" s="530" t="str" cm="1">
        <f t="array" ref="V51">IF(Tabela2[[#This Row],[Market Penetration (Category)]]=".",".",INDEX('Result data'!$BS$216:$CB$390,'IMS Seg. Table'!$A51,'Config!'!$BA$15-2010))</f>
        <v>.</v>
      </c>
      <c r="W51" s="563" t="str">
        <f>IF(Tabela2[[#This Row],[Market Demand (U$ millions)]]=".",".",Tabela2[[#This Row],[Market Demand (U$ millions)]]/Tabela2[[#This Row],[Active users (thousands)]])</f>
        <v>.</v>
      </c>
      <c r="X51" s="580" cm="1">
        <f t="array" ref="X51">IF('Config!'!$BA$15=2010,".",IF(INDEX('Result data'!$AE$216:$AN$390,'IMS Seg. Table'!$A51,'Config!'!$BA$15-2010)=".",0,INDEX('Result data'!$AE$216:$AN$390,'IMS Seg. Table'!$A51,'Config!'!$BA$15-2010)))</f>
        <v>0</v>
      </c>
      <c r="Y51" s="563" t="str">
        <f>IF('Config!'!$BA$15=2010,".",IF(Tabela2[[#This Row],[Number of competitors]]=0,".",SUMIF('Result data'!$N$216:$N$390,Tabela2[[#This Row],[ID]],'Result data'!$CP$216:$CP$393)))</f>
        <v>.</v>
      </c>
      <c r="Z51" s="563" t="str">
        <f>IF('Config!'!$BA$15=2010,".",IF(Tabela2[[#This Row],[Number of competitors]]=0,".",SUMIF('Result data'!$N$216:$N$390,Tabela2[[#This Row],[ID]],'Result data'!$DA$216:$DA$393)))</f>
        <v>.</v>
      </c>
      <c r="AA51" s="530" t="str" cm="1">
        <f t="array" ref="AA5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1" s="530" t="str" cm="1">
        <f t="array" ref="AB5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1" s="530" t="str" cm="1">
        <f t="array" ref="AD5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1" s="530" t="str" cm="1">
        <f t="array" ref="AE5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1" s="530" t="str" cm="1">
        <f t="array" ref="AF5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2" spans="1:32" x14ac:dyDescent="0.3">
      <c r="A52" s="568">
        <f>'Config!'!C38</f>
        <v>139</v>
      </c>
      <c r="B52" s="536" t="str">
        <f>'Config!'!A38</f>
        <v>Cingapura</v>
      </c>
      <c r="C52" s="536" t="str">
        <f>'Config!'!B38</f>
        <v>Ásia-Pacífico</v>
      </c>
      <c r="D52" s="538" cm="1">
        <f t="array" ref="D52">IFERROR(INDEX(Population!$BD$3:$BN$177,'IMS Seg. Table'!$A52,'Config!'!$BA$15-2010+1),"")</f>
        <v>5312437</v>
      </c>
      <c r="E52" s="551" cm="1">
        <f t="array" ref="E52">IFERROR(INDEX(Population!$CH$3:$CH$178,'IMS Seg. Table'!$A52,1),"")</f>
        <v>687</v>
      </c>
      <c r="F52" s="552">
        <f>IFERROR('IMS Seg. Table'!$D52/'IMS Seg. Table'!$E52,"")</f>
        <v>7732.8049490538569</v>
      </c>
      <c r="G52" s="575" cm="1">
        <f t="array" ref="G52">IFERROR(INDEX('Country Competitivness'!$CL$4:$CX$178,Tabela2[[#This Row],[ID]],'Config!'!$AZ$17+1),".")</f>
        <v>143.66298640811701</v>
      </c>
      <c r="H52" s="540" cm="1">
        <f t="array" ref="H52">INDEX(GDP!$G$3:$S$177,'IMS Seg. Table'!$A52,'Config!'!$BA$15-2010+1)*1000000000</f>
        <v>295087220933.02399</v>
      </c>
      <c r="I52" s="539">
        <f t="shared" si="29"/>
        <v>55546.488538692131</v>
      </c>
      <c r="J52" s="576">
        <f>IFERROR(INDEX('Income Tax Rate (%)'!$F$2:$P$176,Tabela2[[#This Row],[ID]],'Config!'!$BA$15-2010+1)/100,"")</f>
        <v>0.2</v>
      </c>
      <c r="K52" s="577">
        <f>IFERROR(INDEX('Tariff Rate (%)'!$F$2:$P$176,Tabela2[[#This Row],[ID]],'Config!'!$BA$15-2010+1)/100,"")</f>
        <v>9.1000000000000004E-3</v>
      </c>
      <c r="L52" s="577">
        <f>IFERROR(INDEX('Corporate Tax Rate (%)'!$F$2:$P$176,Tabela2[[#This Row],[ID]],'Config!'!$BA$15-2010+1)/100,"")</f>
        <v>0.17</v>
      </c>
      <c r="M52" s="527" cm="1">
        <f t="array" ref="M52">INDEX('Score-Starting a business'!$F$2:$P$176,'IMS Seg. Table'!$A52,'Config!'!$BA$15-2010+1)</f>
        <v>96.47</v>
      </c>
      <c r="N52" s="527" cm="1">
        <f t="array" ref="N52">IFERROR(INDEX('Country Competitivness'!$AX$4:$BH$178,Tabela2[[#This Row],[ID]],'Config!'!$BA$15-2010+1),"")</f>
        <v>5.5589673846715328</v>
      </c>
      <c r="O52" s="527" cm="1">
        <f t="array" ref="O52">IFERROR(INDEX('Country Competitivness'!$EE$4:$EO$178,Tabela2[[#This Row],[ID]],'Config!'!$BA$15-2010+1),"")</f>
        <v>6.527247835036496</v>
      </c>
      <c r="P52" s="527" cm="1">
        <f t="array" ref="P52">IFERROR(INDEX('Country Competitivness'!$H$4:$R$178,Tabela2[[#This Row],[ID]],'Config!'!$BA$15-2010+1),"")</f>
        <v>5.1272817054168263</v>
      </c>
      <c r="Q52" s="527" cm="1">
        <f t="array" ref="Q52">IFERROR(INDEX('Country Competitivness'!$AJ$4:$AT$178,Tabela2[[#This Row],[ID]],MAX(1,'Config!'!$BA$15-2010)),"")</f>
        <v>6.0854163834549873</v>
      </c>
      <c r="R52" s="527" cm="1">
        <f t="array" ref="R52">IFERROR(INDEX('Country Competitivness'!$BM$4:$BW$178,Tabela2[[#This Row],[ID]],'Config!'!$BA$15-2010+1),"")</f>
        <v>4.5924406664233572</v>
      </c>
      <c r="S52" s="578" t="str" cm="1">
        <f t="array" ref="S5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2" s="537" t="str" cm="1">
        <f t="array" ref="T52">IF('Config!'!$BA$15=2010,".",IF(INDEX('Result data'!$R$216:$AA$390,'IMS Seg. Table'!$A52,'Config!'!$BA$15-2010)=".",".",INDEX('Result data'!$R$216:$AA$390,'IMS Seg. Table'!$A52,'Config!'!$BA$15-2010)))</f>
        <v>.</v>
      </c>
      <c r="U52" s="579" t="str">
        <f t="shared" si="30"/>
        <v>.</v>
      </c>
      <c r="V52" s="530" t="str" cm="1">
        <f t="array" ref="V52">IF(Tabela2[[#This Row],[Market Penetration (Category)]]=".",".",INDEX('Result data'!$BS$216:$CB$390,'IMS Seg. Table'!$A52,'Config!'!$BA$15-2010))</f>
        <v>.</v>
      </c>
      <c r="W52" s="563" t="str">
        <f>IF(Tabela2[[#This Row],[Market Demand (U$ millions)]]=".",".",Tabela2[[#This Row],[Market Demand (U$ millions)]]/Tabela2[[#This Row],[Active users (thousands)]])</f>
        <v>.</v>
      </c>
      <c r="X52" s="580" cm="1">
        <f t="array" ref="X52">IF('Config!'!$BA$15=2010,".",IF(INDEX('Result data'!$AE$216:$AN$390,'IMS Seg. Table'!$A52,'Config!'!$BA$15-2010)=".",0,INDEX('Result data'!$AE$216:$AN$390,'IMS Seg. Table'!$A52,'Config!'!$BA$15-2010)))</f>
        <v>0</v>
      </c>
      <c r="Y52" s="563" t="str">
        <f>IF('Config!'!$BA$15=2010,".",IF(Tabela2[[#This Row],[Number of competitors]]=0,".",SUMIF('Result data'!$N$216:$N$390,Tabela2[[#This Row],[ID]],'Result data'!$CP$216:$CP$393)))</f>
        <v>.</v>
      </c>
      <c r="Z52" s="563" t="str">
        <f>IF('Config!'!$BA$15=2010,".",IF(Tabela2[[#This Row],[Number of competitors]]=0,".",SUMIF('Result data'!$N$216:$N$390,Tabela2[[#This Row],[ID]],'Result data'!$DA$216:$DA$393)))</f>
        <v>.</v>
      </c>
      <c r="AA52" s="530" t="str" cm="1">
        <f t="array" ref="AA5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2" s="530" t="str" cm="1">
        <f t="array" ref="AB5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2" s="530" t="str" cm="1">
        <f t="array" ref="AD5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2" s="530" t="str" cm="1">
        <f t="array" ref="AE5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2" s="530" t="str" cm="1">
        <f t="array" ref="AF5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3" spans="1:32" x14ac:dyDescent="0.3">
      <c r="A53" s="569">
        <f>'Config!'!C39</f>
        <v>35</v>
      </c>
      <c r="B53" s="536" t="str">
        <f>'Config!'!A39</f>
        <v>Colômbia</v>
      </c>
      <c r="C53" s="536" t="str">
        <f>'Config!'!B39</f>
        <v>América do Sul</v>
      </c>
      <c r="D53" s="538" cm="1">
        <f t="array" ref="D53">IFERROR(INDEX(Population!$BD$3:$BN$177,'IMS Seg. Table'!$A53,'Config!'!$BA$15-2010+1),"")</f>
        <v>46881018</v>
      </c>
      <c r="E53" s="551" cm="1">
        <f t="array" ref="E53">IFERROR(INDEX(Population!$CH$3:$CH$178,'IMS Seg. Table'!$A53,1),"")</f>
        <v>1038700</v>
      </c>
      <c r="F53" s="552">
        <f>IFERROR('IMS Seg. Table'!$D53/'IMS Seg. Table'!$E53,"")</f>
        <v>45.134319822855495</v>
      </c>
      <c r="G53" s="575" cm="1">
        <f t="array" ref="G53">IFERROR(INDEX('Country Competitivness'!$CL$4:$CX$178,Tabela2[[#This Row],[ID]],'Config!'!$AZ$17+1),".")</f>
        <v>93.758460040936299</v>
      </c>
      <c r="H53" s="540" cm="1">
        <f t="array" ref="H53">INDEX(GDP!$G$3:$S$177,'IMS Seg. Table'!$A53,'Config!'!$BA$15-2010+1)*1000000000</f>
        <v>370574421703.06024</v>
      </c>
      <c r="I53" s="539">
        <f t="shared" si="29"/>
        <v>7904.5728423188302</v>
      </c>
      <c r="J53" s="576">
        <f>IFERROR(INDEX('Income Tax Rate (%)'!$F$2:$P$176,Tabela2[[#This Row],[ID]],'Config!'!$BA$15-2010+1)/100,"")</f>
        <v>0.33</v>
      </c>
      <c r="K53" s="577">
        <f>IFERROR(INDEX('Tariff Rate (%)'!$F$2:$P$176,Tabela2[[#This Row],[ID]],'Config!'!$BA$15-2010+1)/100,"")</f>
        <v>5.5999999999999994E-2</v>
      </c>
      <c r="L53" s="577">
        <f>IFERROR(INDEX('Corporate Tax Rate (%)'!$F$2:$P$176,Tabela2[[#This Row],[ID]],'Config!'!$BA$15-2010+1)/100,"")</f>
        <v>0.25</v>
      </c>
      <c r="M53" s="527" cm="1">
        <f t="array" ref="M53">INDEX('Score-Starting a business'!$F$2:$P$176,'IMS Seg. Table'!$A53,'Config!'!$BA$15-2010+1)</f>
        <v>84.59</v>
      </c>
      <c r="N53" s="527" cm="1">
        <f t="array" ref="N53">IFERROR(INDEX('Country Competitivness'!$AX$4:$BH$178,Tabela2[[#This Row],[ID]],'Config!'!$BA$15-2010+1),"")</f>
        <v>2.8997238990963856</v>
      </c>
      <c r="O53" s="527" cm="1">
        <f t="array" ref="O53">IFERROR(INDEX('Country Competitivness'!$EE$4:$EO$178,Tabela2[[#This Row],[ID]],'Config!'!$BA$15-2010+1),"")</f>
        <v>2.9366021984939756</v>
      </c>
      <c r="P53" s="527" cm="1">
        <f t="array" ref="P53">IFERROR(INDEX('Country Competitivness'!$H$4:$R$178,Tabela2[[#This Row],[ID]],'Config!'!$BA$15-2010+1),"")</f>
        <v>4.0396465873018386</v>
      </c>
      <c r="Q53" s="527" cm="1">
        <f t="array" ref="Q53">IFERROR(INDEX('Country Competitivness'!$AJ$4:$AT$178,Tabela2[[#This Row],[ID]],MAX(1,'Config!'!$BA$15-2010)),"")</f>
        <v>4.7481380627510035</v>
      </c>
      <c r="R53" s="527" cm="1">
        <f t="array" ref="R53">IFERROR(INDEX('Country Competitivness'!$BM$4:$BW$178,Tabela2[[#This Row],[ID]],'Config!'!$BA$15-2010+1),"")</f>
        <v>3.679782893674699</v>
      </c>
      <c r="S53" s="578" t="str" cm="1">
        <f t="array" ref="S5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3" s="537" t="str" cm="1">
        <f t="array" ref="T53">IF('Config!'!$BA$15=2010,".",IF(INDEX('Result data'!$R$216:$AA$390,'IMS Seg. Table'!$A53,'Config!'!$BA$15-2010)=".",".",INDEX('Result data'!$R$216:$AA$390,'IMS Seg. Table'!$A53,'Config!'!$BA$15-2010)))</f>
        <v>.</v>
      </c>
      <c r="U53" s="579" t="str">
        <f t="shared" si="30"/>
        <v>.</v>
      </c>
      <c r="V53" s="530" t="str" cm="1">
        <f t="array" ref="V53">IF(Tabela2[[#This Row],[Market Penetration (Category)]]=".",".",INDEX('Result data'!$BS$216:$CB$390,'IMS Seg. Table'!$A53,'Config!'!$BA$15-2010))</f>
        <v>.</v>
      </c>
      <c r="W53" s="563" t="str">
        <f>IF(Tabela2[[#This Row],[Market Demand (U$ millions)]]=".",".",Tabela2[[#This Row],[Market Demand (U$ millions)]]/Tabela2[[#This Row],[Active users (thousands)]])</f>
        <v>.</v>
      </c>
      <c r="X53" s="580" cm="1">
        <f t="array" ref="X53">IF('Config!'!$BA$15=2010,".",IF(INDEX('Result data'!$AE$216:$AN$390,'IMS Seg. Table'!$A53,'Config!'!$BA$15-2010)=".",0,INDEX('Result data'!$AE$216:$AN$390,'IMS Seg. Table'!$A53,'Config!'!$BA$15-2010)))</f>
        <v>0</v>
      </c>
      <c r="Y53" s="563" t="str">
        <f>IF('Config!'!$BA$15=2010,".",IF(Tabela2[[#This Row],[Number of competitors]]=0,".",SUMIF('Result data'!$N$216:$N$390,Tabela2[[#This Row],[ID]],'Result data'!$CP$216:$CP$393)))</f>
        <v>.</v>
      </c>
      <c r="Z53" s="563" t="str">
        <f>IF('Config!'!$BA$15=2010,".",IF(Tabela2[[#This Row],[Number of competitors]]=0,".",SUMIF('Result data'!$N$216:$N$390,Tabela2[[#This Row],[ID]],'Result data'!$DA$216:$DA$393)))</f>
        <v>.</v>
      </c>
      <c r="AA53" s="530" t="str" cm="1">
        <f t="array" ref="AA5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3" s="530" t="str" cm="1">
        <f t="array" ref="AB5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3" s="530" t="str" cm="1">
        <f t="array" ref="AD5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3" s="530" t="str" cm="1">
        <f t="array" ref="AE5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3" s="530" t="str" cm="1">
        <f t="array" ref="AF5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4" spans="1:32" x14ac:dyDescent="0.3">
      <c r="A54" s="568">
        <f>'Config!'!C40</f>
        <v>36</v>
      </c>
      <c r="B54" s="536" t="str">
        <f>'Config!'!A40</f>
        <v>Comores.</v>
      </c>
      <c r="C54" s="536" t="str">
        <f>'Config!'!B40</f>
        <v>África Subsaariana</v>
      </c>
      <c r="D54" s="538" cm="1">
        <f t="array" ref="D54">IFERROR(INDEX(Population!$BD$3:$BN$177,'IMS Seg. Table'!$A54,'Config!'!$BA$15-2010+1),"")</f>
        <v>733661</v>
      </c>
      <c r="E54" s="551" cm="1">
        <f t="array" ref="E54">IFERROR(INDEX(Population!$CH$3:$CH$178,'IMS Seg. Table'!$A54,1),"")</f>
        <v>2235</v>
      </c>
      <c r="F54" s="552">
        <f>IFERROR('IMS Seg. Table'!$D54/'IMS Seg. Table'!$E54,"")</f>
        <v>328.25995525727069</v>
      </c>
      <c r="G54" s="575" cm="1">
        <f t="array" ref="G54">IFERROR(INDEX('Country Competitivness'!$CL$4:$CX$178,Tabela2[[#This Row],[ID]],'Config!'!$AZ$17+1),".")</f>
        <v>63.12</v>
      </c>
      <c r="H54" s="540" cm="1">
        <f t="array" ref="H54">INDEX(GDP!$G$3:$S$177,'IMS Seg. Table'!$A54,'Config!'!$BA$15-2010+1)*1000000000</f>
        <v>1015901205.4202778</v>
      </c>
      <c r="I54" s="539">
        <f t="shared" si="29"/>
        <v>1384.7011159381211</v>
      </c>
      <c r="J54" s="576">
        <f>IFERROR(INDEX('Income Tax Rate (%)'!$F$2:$P$176,Tabela2[[#This Row],[ID]],'Config!'!$BA$15-2010+1)/100,"")</f>
        <v>0.3</v>
      </c>
      <c r="K54" s="577">
        <f>IFERROR(INDEX('Tariff Rate (%)'!$F$2:$P$176,Tabela2[[#This Row],[ID]],'Config!'!$BA$15-2010+1)/100,"")</f>
        <v>6.1699999999999998E-2</v>
      </c>
      <c r="L54" s="577">
        <f>IFERROR(INDEX('Corporate Tax Rate (%)'!$F$2:$P$176,Tabela2[[#This Row],[ID]],'Config!'!$BA$15-2010+1)/100,"")</f>
        <v>0.5</v>
      </c>
      <c r="M54" s="527" cm="1">
        <f t="array" ref="M54">INDEX('Score-Starting a business'!$F$2:$P$176,'IMS Seg. Table'!$A54,'Config!'!$BA$15-2010+1)</f>
        <v>48.31</v>
      </c>
      <c r="N54" s="527" cm="1">
        <f t="array" ref="N54">IFERROR(INDEX('Country Competitivness'!$AX$4:$BH$178,Tabela2[[#This Row],[ID]],'Config!'!$BA$15-2010+1),"")</f>
        <v>3.03</v>
      </c>
      <c r="O54" s="527" cm="1">
        <f t="array" ref="O54">IFERROR(INDEX('Country Competitivness'!$EE$4:$EO$178,Tabela2[[#This Row],[ID]],'Config!'!$BA$15-2010+1),"")</f>
        <v>2.74</v>
      </c>
      <c r="P54" s="527" cm="1">
        <f t="array" ref="P54">IFERROR(INDEX('Country Competitivness'!$H$4:$R$178,Tabela2[[#This Row],[ID]],'Config!'!$BA$15-2010+1),"")</f>
        <v>3.62</v>
      </c>
      <c r="Q54" s="527" cm="1">
        <f t="array" ref="Q54">IFERROR(INDEX('Country Competitivness'!$AJ$4:$AT$178,Tabela2[[#This Row],[ID]],MAX(1,'Config!'!$BA$15-2010)),"")</f>
        <v>4.32</v>
      </c>
      <c r="R54" s="527" cm="1">
        <f t="array" ref="R54">IFERROR(INDEX('Country Competitivness'!$BM$4:$BW$178,Tabela2[[#This Row],[ID]],'Config!'!$BA$15-2010+1),"")</f>
        <v>3.1</v>
      </c>
      <c r="S54" s="578" t="str" cm="1">
        <f t="array" ref="S5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4" s="537" t="str" cm="1">
        <f t="array" ref="T54">IF('Config!'!$BA$15=2010,".",IF(INDEX('Result data'!$R$216:$AA$390,'IMS Seg. Table'!$A54,'Config!'!$BA$15-2010)=".",".",INDEX('Result data'!$R$216:$AA$390,'IMS Seg. Table'!$A54,'Config!'!$BA$15-2010)))</f>
        <v>.</v>
      </c>
      <c r="U54" s="579" t="str">
        <f t="shared" si="30"/>
        <v>.</v>
      </c>
      <c r="V54" s="530" t="str" cm="1">
        <f t="array" ref="V54">IF(Tabela2[[#This Row],[Market Penetration (Category)]]=".",".",INDEX('Result data'!$BS$216:$CB$390,'IMS Seg. Table'!$A54,'Config!'!$BA$15-2010))</f>
        <v>.</v>
      </c>
      <c r="W54" s="563" t="str">
        <f>IF(Tabela2[[#This Row],[Market Demand (U$ millions)]]=".",".",Tabela2[[#This Row],[Market Demand (U$ millions)]]/Tabela2[[#This Row],[Active users (thousands)]])</f>
        <v>.</v>
      </c>
      <c r="X54" s="580" cm="1">
        <f t="array" ref="X54">IF('Config!'!$BA$15=2010,".",IF(INDEX('Result data'!$AE$216:$AN$390,'IMS Seg. Table'!$A54,'Config!'!$BA$15-2010)=".",0,INDEX('Result data'!$AE$216:$AN$390,'IMS Seg. Table'!$A54,'Config!'!$BA$15-2010)))</f>
        <v>0</v>
      </c>
      <c r="Y54" s="563" t="str">
        <f>IF('Config!'!$BA$15=2010,".",IF(Tabela2[[#This Row],[Number of competitors]]=0,".",SUMIF('Result data'!$N$216:$N$390,Tabela2[[#This Row],[ID]],'Result data'!$CP$216:$CP$393)))</f>
        <v>.</v>
      </c>
      <c r="Z54" s="563" t="str">
        <f>IF('Config!'!$BA$15=2010,".",IF(Tabela2[[#This Row],[Number of competitors]]=0,".",SUMIF('Result data'!$N$216:$N$390,Tabela2[[#This Row],[ID]],'Result data'!$DA$216:$DA$393)))</f>
        <v>.</v>
      </c>
      <c r="AA54" s="530" t="str" cm="1">
        <f t="array" ref="AA5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4" s="530" t="str" cm="1">
        <f t="array" ref="AB5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4" s="530" t="str" cm="1">
        <f t="array" ref="AD5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4" s="530" t="str" cm="1">
        <f t="array" ref="AE5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4" s="530" t="str" cm="1">
        <f t="array" ref="AF5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5" spans="1:32" x14ac:dyDescent="0.3">
      <c r="A55" s="569">
        <f>'Config!'!C41</f>
        <v>145</v>
      </c>
      <c r="B55" s="536" t="str">
        <f>'Config!'!A41</f>
        <v>Coreia do Sul</v>
      </c>
      <c r="C55" s="536" t="str">
        <f>'Config!'!B41</f>
        <v>Ásia-Pacífico</v>
      </c>
      <c r="D55" s="538" cm="1">
        <f t="array" ref="D55">IFERROR(INDEX(Population!$BD$3:$BN$177,'IMS Seg. Table'!$A55,'Config!'!$BA$15-2010+1),"")</f>
        <v>50004441</v>
      </c>
      <c r="E55" s="551" cm="1">
        <f t="array" ref="E55">IFERROR(INDEX(Population!$CH$3:$CH$178,'IMS Seg. Table'!$A55,1),"")</f>
        <v>96920</v>
      </c>
      <c r="F55" s="552">
        <f>IFERROR('IMS Seg. Table'!$D55/'IMS Seg. Table'!$E55,"")</f>
        <v>515.93521460998761</v>
      </c>
      <c r="G55" s="575" cm="1">
        <f t="array" ref="G55">IFERROR(INDEX('Country Competitivness'!$CL$4:$CX$178,Tabela2[[#This Row],[ID]],'Config!'!$AZ$17+1),".")</f>
        <v>105.362110464842</v>
      </c>
      <c r="H55" s="540" cm="1">
        <f t="array" ref="H55">INDEX(GDP!$G$3:$S$177,'IMS Seg. Table'!$A55,'Config!'!$BA$15-2010+1)*1000000000</f>
        <v>1222807284485.3149</v>
      </c>
      <c r="I55" s="539">
        <f t="shared" si="29"/>
        <v>24453.973687763351</v>
      </c>
      <c r="J55" s="576">
        <f>IFERROR(INDEX('Income Tax Rate (%)'!$F$2:$P$176,Tabela2[[#This Row],[ID]],'Config!'!$BA$15-2010+1)/100,"")</f>
        <v>0.38500000000000001</v>
      </c>
      <c r="K55" s="577">
        <f>IFERROR(INDEX('Tariff Rate (%)'!$F$2:$P$176,Tabela2[[#This Row],[ID]],'Config!'!$BA$15-2010+1)/100,"")</f>
        <v>8.7100000000000011E-2</v>
      </c>
      <c r="L55" s="577">
        <f>IFERROR(INDEX('Corporate Tax Rate (%)'!$F$2:$P$176,Tabela2[[#This Row],[ID]],'Config!'!$BA$15-2010+1)/100,"")</f>
        <v>0.24199999999999999</v>
      </c>
      <c r="M55" s="527" cm="1">
        <f t="array" ref="M55">INDEX('Score-Starting a business'!$F$2:$P$176,'IMS Seg. Table'!$A55,'Config!'!$BA$15-2010+1)</f>
        <v>90.66</v>
      </c>
      <c r="N55" s="527" cm="1">
        <f t="array" ref="N55">IFERROR(INDEX('Country Competitivness'!$AX$4:$BH$178,Tabela2[[#This Row],[ID]],'Config!'!$BA$15-2010+1),"")</f>
        <v>2.6356095722222221</v>
      </c>
      <c r="O55" s="527" cm="1">
        <f t="array" ref="O55">IFERROR(INDEX('Country Competitivness'!$EE$4:$EO$178,Tabela2[[#This Row],[ID]],'Config!'!$BA$15-2010+1),"")</f>
        <v>5.7729504555555557</v>
      </c>
      <c r="P55" s="527" cm="1">
        <f t="array" ref="P55">IFERROR(INDEX('Country Competitivness'!$H$4:$R$178,Tabela2[[#This Row],[ID]],'Config!'!$BA$15-2010+1),"")</f>
        <v>4.8566836026315796</v>
      </c>
      <c r="Q55" s="527" cm="1">
        <f t="array" ref="Q55">IFERROR(INDEX('Country Competitivness'!$AJ$4:$AT$178,Tabela2[[#This Row],[ID]],MAX(1,'Config!'!$BA$15-2010)),"")</f>
        <v>5.5403913314814828</v>
      </c>
      <c r="R55" s="527" cm="1">
        <f t="array" ref="R55">IFERROR(INDEX('Country Competitivness'!$BM$4:$BW$178,Tabela2[[#This Row],[ID]],'Config!'!$BA$15-2010+1),"")</f>
        <v>4.4089432666666664</v>
      </c>
      <c r="S55" s="578" cm="1">
        <f t="array" ref="S5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55" s="537" cm="1">
        <f t="array" ref="T55">IF('Config!'!$BA$15=2010,".",IF(INDEX('Result data'!$R$216:$AA$390,'IMS Seg. Table'!$A55,'Config!'!$BA$15-2010)=".",".",INDEX('Result data'!$R$216:$AA$390,'IMS Seg. Table'!$A55,'Config!'!$BA$15-2010)))</f>
        <v>705200</v>
      </c>
      <c r="U55" s="579">
        <f t="shared" si="30"/>
        <v>1.4102747393976467E-2</v>
      </c>
      <c r="V55" s="530" cm="1">
        <f t="array" ref="V55">IF(Tabela2[[#This Row],[Market Penetration (Category)]]=".",".",INDEX('Result data'!$BS$216:$CB$390,'IMS Seg. Table'!$A55,'Config!'!$BA$15-2010))</f>
        <v>9035600.841611946</v>
      </c>
      <c r="W55" s="563">
        <f>IF(Tabela2[[#This Row],[Market Demand (U$ millions)]]=".",".",Tabela2[[#This Row],[Market Demand (U$ millions)]]/Tabela2[[#This Row],[Active users (thousands)]])</f>
        <v>12.812820251860389</v>
      </c>
      <c r="X55" s="580" cm="1">
        <f t="array" ref="X55">IF('Config!'!$BA$15=2010,".",IF(INDEX('Result data'!$AE$216:$AN$390,'IMS Seg. Table'!$A55,'Config!'!$BA$15-2010)=".",0,INDEX('Result data'!$AE$216:$AN$390,'IMS Seg. Table'!$A55,'Config!'!$BA$15-2010)))</f>
        <v>1</v>
      </c>
      <c r="Y55" s="563">
        <f>IF('Config!'!$BA$15=2010,".",IF(Tabela2[[#This Row],[Number of competitors]]=0,".",SUMIF('Result data'!$N$216:$N$390,Tabela2[[#This Row],[ID]],'Result data'!$CP$216:$CP$393)))</f>
        <v>3.4349649047214692</v>
      </c>
      <c r="Z55" s="563">
        <f>IF('Config!'!$BA$15=2010,".",IF(Tabela2[[#This Row],[Number of competitors]]=0,".",SUMIF('Result data'!$N$216:$N$390,Tabela2[[#This Row],[ID]],'Result data'!$DA$216:$DA$393)))</f>
        <v>2.5762236785411021</v>
      </c>
      <c r="AA55" s="530" cm="1">
        <f t="array" ref="AA5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145308.5758756834</v>
      </c>
      <c r="AB55" s="530" cm="1">
        <f t="array" ref="AB5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581234.3035027337</v>
      </c>
      <c r="AC55" s="530">
        <f>IF('Config!'!$BA$15=2010,".",IF(Tabela2[[#This Row],[Local Marketing and Sales Expenses (millions)]]=".",".",SUM(Tabela2[[#This Row],[Global Marketing and Sales Expenses (millions)]:[Local Marketing and Sales Expenses (millions)]])))</f>
        <v>726542.87937841704</v>
      </c>
      <c r="AD55" s="530" cm="1">
        <f t="array" ref="AD5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2295044.4489335343</v>
      </c>
      <c r="AE55" s="530" cm="1">
        <f t="array" ref="AE5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4830338.4399176817</v>
      </c>
      <c r="AF55" s="530" cm="1">
        <f t="array" ref="AF5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56" spans="1:32" x14ac:dyDescent="0.3">
      <c r="A56" s="568">
        <f>'Config!'!C42</f>
        <v>37</v>
      </c>
      <c r="B56" s="536" t="str">
        <f>'Config!'!A42</f>
        <v>Costa Rica</v>
      </c>
      <c r="C56" s="536" t="str">
        <f>'Config!'!B42</f>
        <v>América Central</v>
      </c>
      <c r="D56" s="538" cm="1">
        <f t="array" ref="D56">IFERROR(INDEX(Population!$BD$3:$BN$177,'IMS Seg. Table'!$A56,'Config!'!$BA$15-2010+1),"")</f>
        <v>4654148</v>
      </c>
      <c r="E56" s="551" cm="1">
        <f t="array" ref="E56">IFERROR(INDEX(Population!$CH$3:$CH$178,'IMS Seg. Table'!$A56,1),"")</f>
        <v>51060</v>
      </c>
      <c r="F56" s="552">
        <f>IFERROR('IMS Seg. Table'!$D56/'IMS Seg. Table'!$E56,"")</f>
        <v>91.150567959263611</v>
      </c>
      <c r="G56" s="575" cm="1">
        <f t="array" ref="G56">IFERROR(INDEX('Country Competitivness'!$CL$4:$CX$178,Tabela2[[#This Row],[ID]],'Config!'!$AZ$17+1),".")</f>
        <v>65.144464761647995</v>
      </c>
      <c r="H56" s="540" cm="1">
        <f t="array" ref="H56">INDEX(GDP!$G$3:$S$177,'IMS Seg. Table'!$A56,'Config!'!$BA$15-2010+1)*1000000000</f>
        <v>46473131798.891571</v>
      </c>
      <c r="I56" s="539">
        <f t="shared" si="29"/>
        <v>9985.3145621693966</v>
      </c>
      <c r="J56" s="576">
        <f>IFERROR(INDEX('Income Tax Rate (%)'!$F$2:$P$176,Tabela2[[#This Row],[ID]],'Config!'!$BA$15-2010+1)/100,"")</f>
        <v>0.25</v>
      </c>
      <c r="K56" s="577">
        <f>IFERROR(INDEX('Tariff Rate (%)'!$F$2:$P$176,Tabela2[[#This Row],[ID]],'Config!'!$BA$15-2010+1)/100,"")</f>
        <v>3.0899999999999997E-2</v>
      </c>
      <c r="L56" s="577">
        <f>IFERROR(INDEX('Corporate Tax Rate (%)'!$F$2:$P$176,Tabela2[[#This Row],[ID]],'Config!'!$BA$15-2010+1)/100,"")</f>
        <v>0.3</v>
      </c>
      <c r="M56" s="527" cm="1">
        <f t="array" ref="M56">INDEX('Score-Starting a business'!$F$2:$P$176,'IMS Seg. Table'!$A56,'Config!'!$BA$15-2010+1)</f>
        <v>64.260000000000005</v>
      </c>
      <c r="N56" s="527" cm="1">
        <f t="array" ref="N56">IFERROR(INDEX('Country Competitivness'!$AX$4:$BH$178,Tabela2[[#This Row],[ID]],'Config!'!$BA$15-2010+1),"")</f>
        <v>3.0687443021276595</v>
      </c>
      <c r="O56" s="527" cm="1">
        <f t="array" ref="O56">IFERROR(INDEX('Country Competitivness'!$EE$4:$EO$178,Tabela2[[#This Row],[ID]],'Config!'!$BA$15-2010+1),"")</f>
        <v>2.507367634042553</v>
      </c>
      <c r="P56" s="527" cm="1">
        <f t="array" ref="P56">IFERROR(INDEX('Country Competitivness'!$H$4:$R$178,Tabela2[[#This Row],[ID]],'Config!'!$BA$15-2010+1),"")</f>
        <v>4.4238158441209405</v>
      </c>
      <c r="Q56" s="527" cm="1">
        <f t="array" ref="Q56">IFERROR(INDEX('Country Competitivness'!$AJ$4:$AT$178,Tabela2[[#This Row],[ID]],MAX(1,'Config!'!$BA$15-2010)),"")</f>
        <v>5.2766587503546099</v>
      </c>
      <c r="R56" s="527" cm="1">
        <f t="array" ref="R56">IFERROR(INDEX('Country Competitivness'!$BM$4:$BW$178,Tabela2[[#This Row],[ID]],'Config!'!$BA$15-2010+1),"")</f>
        <v>3.79080465106383</v>
      </c>
      <c r="S56" s="578" t="str" cm="1">
        <f t="array" ref="S5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6" s="537" t="str" cm="1">
        <f t="array" ref="T56">IF('Config!'!$BA$15=2010,".",IF(INDEX('Result data'!$R$216:$AA$390,'IMS Seg. Table'!$A56,'Config!'!$BA$15-2010)=".",".",INDEX('Result data'!$R$216:$AA$390,'IMS Seg. Table'!$A56,'Config!'!$BA$15-2010)))</f>
        <v>.</v>
      </c>
      <c r="U56" s="579" t="str">
        <f t="shared" si="30"/>
        <v>.</v>
      </c>
      <c r="V56" s="530" t="str" cm="1">
        <f t="array" ref="V56">IF(Tabela2[[#This Row],[Market Penetration (Category)]]=".",".",INDEX('Result data'!$BS$216:$CB$390,'IMS Seg. Table'!$A56,'Config!'!$BA$15-2010))</f>
        <v>.</v>
      </c>
      <c r="W56" s="563" t="str">
        <f>IF(Tabela2[[#This Row],[Market Demand (U$ millions)]]=".",".",Tabela2[[#This Row],[Market Demand (U$ millions)]]/Tabela2[[#This Row],[Active users (thousands)]])</f>
        <v>.</v>
      </c>
      <c r="X56" s="580" cm="1">
        <f t="array" ref="X56">IF('Config!'!$BA$15=2010,".",IF(INDEX('Result data'!$AE$216:$AN$390,'IMS Seg. Table'!$A56,'Config!'!$BA$15-2010)=".",0,INDEX('Result data'!$AE$216:$AN$390,'IMS Seg. Table'!$A56,'Config!'!$BA$15-2010)))</f>
        <v>0</v>
      </c>
      <c r="Y56" s="563" t="str">
        <f>IF('Config!'!$BA$15=2010,".",IF(Tabela2[[#This Row],[Number of competitors]]=0,".",SUMIF('Result data'!$N$216:$N$390,Tabela2[[#This Row],[ID]],'Result data'!$CP$216:$CP$393)))</f>
        <v>.</v>
      </c>
      <c r="Z56" s="563" t="str">
        <f>IF('Config!'!$BA$15=2010,".",IF(Tabela2[[#This Row],[Number of competitors]]=0,".",SUMIF('Result data'!$N$216:$N$390,Tabela2[[#This Row],[ID]],'Result data'!$DA$216:$DA$393)))</f>
        <v>.</v>
      </c>
      <c r="AA56" s="530" t="str" cm="1">
        <f t="array" ref="AA5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6" s="530" t="str" cm="1">
        <f t="array" ref="AB5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6" s="530" t="str" cm="1">
        <f t="array" ref="AD5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6" s="530" t="str" cm="1">
        <f t="array" ref="AE5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6" s="530" t="str" cm="1">
        <f t="array" ref="AF5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7" spans="1:32" x14ac:dyDescent="0.3">
      <c r="A57" s="569">
        <f>'Config!'!C43</f>
        <v>38</v>
      </c>
      <c r="B57" s="536" t="str">
        <f>'Config!'!A43</f>
        <v>Croácia</v>
      </c>
      <c r="C57" s="536" t="str">
        <f>'Config!'!B43</f>
        <v>Europa</v>
      </c>
      <c r="D57" s="538" cm="1">
        <f t="array" ref="D57">IFERROR(INDEX(Population!$BD$3:$BN$177,'IMS Seg. Table'!$A57,'Config!'!$BA$15-2010+1),"")</f>
        <v>4267558</v>
      </c>
      <c r="E57" s="551" cm="1">
        <f t="array" ref="E57">IFERROR(INDEX(Population!$CH$3:$CH$178,'IMS Seg. Table'!$A57,1),"")</f>
        <v>55974</v>
      </c>
      <c r="F57" s="552">
        <f>IFERROR('IMS Seg. Table'!$D57/'IMS Seg. Table'!$E57,"")</f>
        <v>76.241790831457465</v>
      </c>
      <c r="G57" s="575" cm="1">
        <f t="array" ref="G57">IFERROR(INDEX('Country Competitivness'!$CL$4:$CX$178,Tabela2[[#This Row],[ID]],'Config!'!$AZ$17+1),".")</f>
        <v>144.483970086276</v>
      </c>
      <c r="H57" s="540" cm="1">
        <f t="array" ref="H57">INDEX(GDP!$G$3:$S$177,'IMS Seg. Table'!$A57,'Config!'!$BA$15-2010+1)*1000000000</f>
        <v>56548374544.895126</v>
      </c>
      <c r="I57" s="539">
        <f t="shared" si="29"/>
        <v>13250.757117980616</v>
      </c>
      <c r="J57" s="576">
        <f>IFERROR(INDEX('Income Tax Rate (%)'!$F$2:$P$176,Tabela2[[#This Row],[ID]],'Config!'!$BA$15-2010+1)/100,"")</f>
        <v>0.4</v>
      </c>
      <c r="K57" s="577">
        <f>IFERROR(INDEX('Tariff Rate (%)'!$F$2:$P$176,Tabela2[[#This Row],[ID]],'Config!'!$BA$15-2010+1)/100,"")</f>
        <v>1.29E-2</v>
      </c>
      <c r="L57" s="577">
        <f>IFERROR(INDEX('Corporate Tax Rate (%)'!$F$2:$P$176,Tabela2[[#This Row],[ID]],'Config!'!$BA$15-2010+1)/100,"")</f>
        <v>0.2</v>
      </c>
      <c r="M57" s="527" cm="1">
        <f t="array" ref="M57">INDEX('Score-Starting a business'!$F$2:$P$176,'IMS Seg. Table'!$A57,'Config!'!$BA$15-2010+1)</f>
        <v>82.89</v>
      </c>
      <c r="N57" s="527" cm="1">
        <f t="array" ref="N57">IFERROR(INDEX('Country Competitivness'!$AX$4:$BH$178,Tabela2[[#This Row],[ID]],'Config!'!$BA$15-2010+1),"")</f>
        <v>2.2317261999999998</v>
      </c>
      <c r="O57" s="527" cm="1">
        <f t="array" ref="O57">IFERROR(INDEX('Country Competitivness'!$EE$4:$EO$178,Tabela2[[#This Row],[ID]],'Config!'!$BA$15-2010+1),"")</f>
        <v>5.433094650000001</v>
      </c>
      <c r="P57" s="527" cm="1">
        <f t="array" ref="P57">IFERROR(INDEX('Country Competitivness'!$H$4:$R$178,Tabela2[[#This Row],[ID]],'Config!'!$BA$15-2010+1),"")</f>
        <v>3.657670147368421</v>
      </c>
      <c r="Q57" s="527" cm="1">
        <f t="array" ref="Q57">IFERROR(INDEX('Country Competitivness'!$AJ$4:$AT$178,Tabela2[[#This Row],[ID]],MAX(1,'Config!'!$BA$15-2010)),"")</f>
        <v>4.7540185999999993</v>
      </c>
      <c r="R57" s="527" cm="1">
        <f t="array" ref="R57">IFERROR(INDEX('Country Competitivness'!$BM$4:$BW$178,Tabela2[[#This Row],[ID]],'Config!'!$BA$15-2010+1),"")</f>
        <v>2.8128205500000001</v>
      </c>
      <c r="S57" s="578" t="str" cm="1">
        <f t="array" ref="S5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7" s="537" t="str" cm="1">
        <f t="array" ref="T57">IF('Config!'!$BA$15=2010,".",IF(INDEX('Result data'!$R$216:$AA$390,'IMS Seg. Table'!$A57,'Config!'!$BA$15-2010)=".",".",INDEX('Result data'!$R$216:$AA$390,'IMS Seg. Table'!$A57,'Config!'!$BA$15-2010)))</f>
        <v>.</v>
      </c>
      <c r="U57" s="579" t="str">
        <f t="shared" si="30"/>
        <v>.</v>
      </c>
      <c r="V57" s="530" t="str" cm="1">
        <f t="array" ref="V57">IF(Tabela2[[#This Row],[Market Penetration (Category)]]=".",".",INDEX('Result data'!$BS$216:$CB$390,'IMS Seg. Table'!$A57,'Config!'!$BA$15-2010))</f>
        <v>.</v>
      </c>
      <c r="W57" s="563" t="str">
        <f>IF(Tabela2[[#This Row],[Market Demand (U$ millions)]]=".",".",Tabela2[[#This Row],[Market Demand (U$ millions)]]/Tabela2[[#This Row],[Active users (thousands)]])</f>
        <v>.</v>
      </c>
      <c r="X57" s="580" cm="1">
        <f t="array" ref="X57">IF('Config!'!$BA$15=2010,".",IF(INDEX('Result data'!$AE$216:$AN$390,'IMS Seg. Table'!$A57,'Config!'!$BA$15-2010)=".",0,INDEX('Result data'!$AE$216:$AN$390,'IMS Seg. Table'!$A57,'Config!'!$BA$15-2010)))</f>
        <v>0</v>
      </c>
      <c r="Y57" s="563" t="str">
        <f>IF('Config!'!$BA$15=2010,".",IF(Tabela2[[#This Row],[Number of competitors]]=0,".",SUMIF('Result data'!$N$216:$N$390,Tabela2[[#This Row],[ID]],'Result data'!$CP$216:$CP$393)))</f>
        <v>.</v>
      </c>
      <c r="Z57" s="563" t="str">
        <f>IF('Config!'!$BA$15=2010,".",IF(Tabela2[[#This Row],[Number of competitors]]=0,".",SUMIF('Result data'!$N$216:$N$390,Tabela2[[#This Row],[ID]],'Result data'!$DA$216:$DA$393)))</f>
        <v>.</v>
      </c>
      <c r="AA57" s="530" t="str" cm="1">
        <f t="array" ref="AA5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7" s="530" t="str" cm="1">
        <f t="array" ref="AB5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7" s="530" t="str" cm="1">
        <f t="array" ref="AD5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7" s="530" t="str" cm="1">
        <f t="array" ref="AE5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7" s="530" t="str" cm="1">
        <f t="array" ref="AF5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8" spans="1:32" x14ac:dyDescent="0.3">
      <c r="A58" s="568">
        <f>'Config!'!C44</f>
        <v>39</v>
      </c>
      <c r="B58" s="536" t="str">
        <f>'Config!'!A44</f>
        <v>Cuba</v>
      </c>
      <c r="C58" s="536" t="str">
        <f>'Config!'!B44</f>
        <v>Caribe</v>
      </c>
      <c r="D58" s="538" cm="1">
        <f t="array" ref="D58">IFERROR(INDEX(Population!$BD$3:$BN$177,'IMS Seg. Table'!$A58,'Config!'!$BA$15-2010+1),"")</f>
        <v>11342631</v>
      </c>
      <c r="E58" s="551" cm="1">
        <f t="array" ref="E58">IFERROR(INDEX(Population!$CH$3:$CH$178,'IMS Seg. Table'!$A58,1),"")</f>
        <v>109820</v>
      </c>
      <c r="F58" s="552">
        <f>IFERROR('IMS Seg. Table'!$D58/'IMS Seg. Table'!$E58,"")</f>
        <v>103.28383718812603</v>
      </c>
      <c r="G58" s="575" cm="1">
        <f t="array" ref="G58">IFERROR(INDEX('Country Competitivness'!$CL$4:$CX$178,Tabela2[[#This Row],[ID]],'Config!'!$AZ$17+1),".")</f>
        <v>88.61</v>
      </c>
      <c r="H58" s="540" cm="1">
        <f t="array" ref="H58">INDEX(GDP!$G$3:$S$177,'IMS Seg. Table'!$A58,'Config!'!$BA$15-2010+1)*1000000000</f>
        <v>73141000000</v>
      </c>
      <c r="I58" s="539">
        <f t="shared" si="29"/>
        <v>6448.3275529284165</v>
      </c>
      <c r="J58" s="576">
        <f>IFERROR(INDEX('Income Tax Rate (%)'!$F$2:$P$176,Tabela2[[#This Row],[ID]],'Config!'!$BA$15-2010+1)/100,"")</f>
        <v>0.5</v>
      </c>
      <c r="K58" s="577">
        <f>IFERROR(INDEX('Tariff Rate (%)'!$F$2:$P$176,Tabela2[[#This Row],[ID]],'Config!'!$BA$15-2010+1)/100,"")</f>
        <v>9.98E-2</v>
      </c>
      <c r="L58" s="577">
        <f>IFERROR(INDEX('Corporate Tax Rate (%)'!$F$2:$P$176,Tabela2[[#This Row],[ID]],'Config!'!$BA$15-2010+1)/100,"")</f>
        <v>0.3</v>
      </c>
      <c r="M58" s="527" t="str" cm="1">
        <f t="array" ref="M58">INDEX('Score-Starting a business'!$F$2:$P$176,'IMS Seg. Table'!$A58,'Config!'!$BA$15-2010+1)</f>
        <v>.</v>
      </c>
      <c r="N58" s="527" cm="1">
        <f t="array" ref="N58">IFERROR(INDEX('Country Competitivness'!$AX$4:$BH$178,Tabela2[[#This Row],[ID]],'Config!'!$BA$15-2010+1),"")</f>
        <v>3.95</v>
      </c>
      <c r="O58" s="527" cm="1">
        <f t="array" ref="O58">IFERROR(INDEX('Country Competitivness'!$EE$4:$EO$178,Tabela2[[#This Row],[ID]],'Config!'!$BA$15-2010+1),"")</f>
        <v>3.81</v>
      </c>
      <c r="P58" s="527" cm="1">
        <f t="array" ref="P58">IFERROR(INDEX('Country Competitivness'!$H$4:$R$178,Tabela2[[#This Row],[ID]],'Config!'!$BA$15-2010+1),"")</f>
        <v>3.59</v>
      </c>
      <c r="Q58" s="527" cm="1">
        <f t="array" ref="Q58">IFERROR(INDEX('Country Competitivness'!$AJ$4:$AT$178,Tabela2[[#This Row],[ID]],MAX(1,'Config!'!$BA$15-2010)),"")</f>
        <v>5.23</v>
      </c>
      <c r="R58" s="527" cm="1">
        <f t="array" ref="R58">IFERROR(INDEX('Country Competitivness'!$BM$4:$BW$178,Tabela2[[#This Row],[ID]],'Config!'!$BA$15-2010+1),"")</f>
        <v>3.28</v>
      </c>
      <c r="S58" s="578" t="str" cm="1">
        <f t="array" ref="S5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8" s="537" t="str" cm="1">
        <f t="array" ref="T58">IF('Config!'!$BA$15=2010,".",IF(INDEX('Result data'!$R$216:$AA$390,'IMS Seg. Table'!$A58,'Config!'!$BA$15-2010)=".",".",INDEX('Result data'!$R$216:$AA$390,'IMS Seg. Table'!$A58,'Config!'!$BA$15-2010)))</f>
        <v>.</v>
      </c>
      <c r="U58" s="579" t="str">
        <f t="shared" si="30"/>
        <v>.</v>
      </c>
      <c r="V58" s="530" t="str" cm="1">
        <f t="array" ref="V58">IF(Tabela2[[#This Row],[Market Penetration (Category)]]=".",".",INDEX('Result data'!$BS$216:$CB$390,'IMS Seg. Table'!$A58,'Config!'!$BA$15-2010))</f>
        <v>.</v>
      </c>
      <c r="W58" s="563" t="str">
        <f>IF(Tabela2[[#This Row],[Market Demand (U$ millions)]]=".",".",Tabela2[[#This Row],[Market Demand (U$ millions)]]/Tabela2[[#This Row],[Active users (thousands)]])</f>
        <v>.</v>
      </c>
      <c r="X58" s="580" cm="1">
        <f t="array" ref="X58">IF('Config!'!$BA$15=2010,".",IF(INDEX('Result data'!$AE$216:$AN$390,'IMS Seg. Table'!$A58,'Config!'!$BA$15-2010)=".",0,INDEX('Result data'!$AE$216:$AN$390,'IMS Seg. Table'!$A58,'Config!'!$BA$15-2010)))</f>
        <v>0</v>
      </c>
      <c r="Y58" s="563" t="str">
        <f>IF('Config!'!$BA$15=2010,".",IF(Tabela2[[#This Row],[Number of competitors]]=0,".",SUMIF('Result data'!$N$216:$N$390,Tabela2[[#This Row],[ID]],'Result data'!$CP$216:$CP$393)))</f>
        <v>.</v>
      </c>
      <c r="Z58" s="563" t="str">
        <f>IF('Config!'!$BA$15=2010,".",IF(Tabela2[[#This Row],[Number of competitors]]=0,".",SUMIF('Result data'!$N$216:$N$390,Tabela2[[#This Row],[ID]],'Result data'!$DA$216:$DA$393)))</f>
        <v>.</v>
      </c>
      <c r="AA58" s="530" t="str" cm="1">
        <f t="array" ref="AA5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8" s="530" t="str" cm="1">
        <f t="array" ref="AB5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8" s="530" t="str" cm="1">
        <f t="array" ref="AD5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8" s="530" t="str" cm="1">
        <f t="array" ref="AE5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8" s="530" t="str" cm="1">
        <f t="array" ref="AF5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59" spans="1:32" x14ac:dyDescent="0.3">
      <c r="A59" s="569">
        <f>'Config!'!C45</f>
        <v>43</v>
      </c>
      <c r="B59" s="536" t="str">
        <f>'Config!'!A45</f>
        <v>Dinamarca</v>
      </c>
      <c r="C59" s="536" t="str">
        <f>'Config!'!B45</f>
        <v>União Européia</v>
      </c>
      <c r="D59" s="538" cm="1">
        <f t="array" ref="D59">IFERROR(INDEX(Population!$BD$3:$BN$177,'IMS Seg. Table'!$A59,'Config!'!$BA$15-2010+1),"")</f>
        <v>5591572</v>
      </c>
      <c r="E59" s="551" cm="1">
        <f t="array" ref="E59">IFERROR(INDEX(Population!$CH$3:$CH$178,'IMS Seg. Table'!$A59,1),"")</f>
        <v>42434</v>
      </c>
      <c r="F59" s="552">
        <f>IFERROR('IMS Seg. Table'!$D59/'IMS Seg. Table'!$E59,"")</f>
        <v>131.77103266248764</v>
      </c>
      <c r="G59" s="575" cm="1">
        <f t="array" ref="G59">IFERROR(INDEX('Country Competitivness'!$CL$4:$CX$178,Tabela2[[#This Row],[ID]],'Config!'!$AZ$17+1),".")</f>
        <v>124.410222297015</v>
      </c>
      <c r="H59" s="540" cm="1">
        <f t="array" ref="H59">INDEX(GDP!$G$3:$S$177,'IMS Seg. Table'!$A59,'Config!'!$BA$15-2010+1)*1000000000</f>
        <v>327148943812.1366</v>
      </c>
      <c r="I59" s="539">
        <f t="shared" si="29"/>
        <v>58507.508051785189</v>
      </c>
      <c r="J59" s="576">
        <f>IFERROR(INDEX('Income Tax Rate (%)'!$F$2:$P$176,Tabela2[[#This Row],[ID]],'Config!'!$BA$15-2010+1)/100,"")</f>
        <v>0.56000000000000005</v>
      </c>
      <c r="K59" s="577">
        <f>IFERROR(INDEX('Tariff Rate (%)'!$F$2:$P$176,Tabela2[[#This Row],[ID]],'Config!'!$BA$15-2010+1)/100,"")</f>
        <v>1.09E-2</v>
      </c>
      <c r="L59" s="577">
        <f>IFERROR(INDEX('Corporate Tax Rate (%)'!$F$2:$P$176,Tabela2[[#This Row],[ID]],'Config!'!$BA$15-2010+1)/100,"")</f>
        <v>0.25</v>
      </c>
      <c r="M59" s="527" cm="1">
        <f t="array" ref="M59">INDEX('Score-Starting a business'!$F$2:$P$176,'IMS Seg. Table'!$A59,'Config!'!$BA$15-2010+1)</f>
        <v>91.17</v>
      </c>
      <c r="N59" s="527" cm="1">
        <f t="array" ref="N59">IFERROR(INDEX('Country Competitivness'!$AX$4:$BH$178,Tabela2[[#This Row],[ID]],'Config!'!$BA$15-2010+1),"")</f>
        <v>4.0195328235294117</v>
      </c>
      <c r="O59" s="527" cm="1">
        <f t="array" ref="O59">IFERROR(INDEX('Country Competitivness'!$EE$4:$EO$178,Tabela2[[#This Row],[ID]],'Config!'!$BA$15-2010+1),"")</f>
        <v>6.2880402073529407</v>
      </c>
      <c r="P59" s="527" cm="1">
        <f t="array" ref="P59">IFERROR(INDEX('Country Competitivness'!$H$4:$R$178,Tabela2[[#This Row],[ID]],'Config!'!$BA$15-2010+1),"")</f>
        <v>5.5277940581269345</v>
      </c>
      <c r="Q59" s="527" cm="1">
        <f t="array" ref="Q59">IFERROR(INDEX('Country Competitivness'!$AJ$4:$AT$178,Tabela2[[#This Row],[ID]],MAX(1,'Config!'!$BA$15-2010)),"")</f>
        <v>5.8453889710784308</v>
      </c>
      <c r="R59" s="527" cm="1">
        <f t="array" ref="R59">IFERROR(INDEX('Country Competitivness'!$BM$4:$BW$178,Tabela2[[#This Row],[ID]],'Config!'!$BA$15-2010+1),"")</f>
        <v>4.6709210029411761</v>
      </c>
      <c r="S59" s="578" t="str" cm="1">
        <f t="array" ref="S5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59" s="537" t="str" cm="1">
        <f t="array" ref="T59">IF('Config!'!$BA$15=2010,".",IF(INDEX('Result data'!$R$216:$AA$390,'IMS Seg. Table'!$A59,'Config!'!$BA$15-2010)=".",".",INDEX('Result data'!$R$216:$AA$390,'IMS Seg. Table'!$A59,'Config!'!$BA$15-2010)))</f>
        <v>.</v>
      </c>
      <c r="U59" s="579" t="str">
        <f t="shared" si="30"/>
        <v>.</v>
      </c>
      <c r="V59" s="530" t="str" cm="1">
        <f t="array" ref="V59">IF(Tabela2[[#This Row],[Market Penetration (Category)]]=".",".",INDEX('Result data'!$BS$216:$CB$390,'IMS Seg. Table'!$A59,'Config!'!$BA$15-2010))</f>
        <v>.</v>
      </c>
      <c r="W59" s="563" t="str">
        <f>IF(Tabela2[[#This Row],[Market Demand (U$ millions)]]=".",".",Tabela2[[#This Row],[Market Demand (U$ millions)]]/Tabela2[[#This Row],[Active users (thousands)]])</f>
        <v>.</v>
      </c>
      <c r="X59" s="580" cm="1">
        <f t="array" ref="X59">IF('Config!'!$BA$15=2010,".",IF(INDEX('Result data'!$AE$216:$AN$390,'IMS Seg. Table'!$A59,'Config!'!$BA$15-2010)=".",0,INDEX('Result data'!$AE$216:$AN$390,'IMS Seg. Table'!$A59,'Config!'!$BA$15-2010)))</f>
        <v>0</v>
      </c>
      <c r="Y59" s="563" t="str">
        <f>IF('Config!'!$BA$15=2010,".",IF(Tabela2[[#This Row],[Number of competitors]]=0,".",SUMIF('Result data'!$N$216:$N$390,Tabela2[[#This Row],[ID]],'Result data'!$CP$216:$CP$393)))</f>
        <v>.</v>
      </c>
      <c r="Z59" s="563" t="str">
        <f>IF('Config!'!$BA$15=2010,".",IF(Tabela2[[#This Row],[Number of competitors]]=0,".",SUMIF('Result data'!$N$216:$N$390,Tabela2[[#This Row],[ID]],'Result data'!$DA$216:$DA$393)))</f>
        <v>.</v>
      </c>
      <c r="AA59" s="530" t="str" cm="1">
        <f t="array" ref="AA5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59" s="530" t="str" cm="1">
        <f t="array" ref="AB5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5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59" s="530" t="str" cm="1">
        <f t="array" ref="AD5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59" s="530" t="str" cm="1">
        <f t="array" ref="AE5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59" s="530" t="str" cm="1">
        <f t="array" ref="AF5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0" spans="1:32" x14ac:dyDescent="0.3">
      <c r="A60" s="568">
        <f>'Config!'!C46</f>
        <v>44</v>
      </c>
      <c r="B60" s="536" t="str">
        <f>'Config!'!A46</f>
        <v>Djibuti</v>
      </c>
      <c r="C60" s="536" t="str">
        <f>'Config!'!B46</f>
        <v>África Subsaariana</v>
      </c>
      <c r="D60" s="538" cm="1">
        <f t="array" ref="D60">IFERROR(INDEX(Population!$BD$3:$BN$177,'IMS Seg. Table'!$A60,'Config!'!$BA$15-2010+1),"")</f>
        <v>853069</v>
      </c>
      <c r="E60" s="551" cm="1">
        <f t="array" ref="E60">IFERROR(INDEX(Population!$CH$3:$CH$178,'IMS Seg. Table'!$A60,1),"")</f>
        <v>23180</v>
      </c>
      <c r="F60" s="552">
        <f>IFERROR('IMS Seg. Table'!$D60/'IMS Seg. Table'!$E60,"")</f>
        <v>36.801941328731665</v>
      </c>
      <c r="G60" s="575" cm="1">
        <f t="array" ref="G60">IFERROR(INDEX('Country Competitivness'!$CL$4:$CX$178,Tabela2[[#This Row],[ID]],'Config!'!$AZ$17+1),".")</f>
        <v>13.63</v>
      </c>
      <c r="H60" s="540" cm="1">
        <f t="array" ref="H60">INDEX(GDP!$G$3:$S$177,'IMS Seg. Table'!$A60,'Config!'!$BA$15-2010+1)*1000000000</f>
        <v>1353632941.5206981</v>
      </c>
      <c r="I60" s="539">
        <f t="shared" si="29"/>
        <v>1586.7801332842923</v>
      </c>
      <c r="J60" s="576">
        <f>IFERROR(INDEX('Income Tax Rate (%)'!$F$2:$P$176,Tabela2[[#This Row],[ID]],'Config!'!$BA$15-2010+1)/100,"")</f>
        <v>0.3</v>
      </c>
      <c r="K60" s="577">
        <f>IFERROR(INDEX('Tariff Rate (%)'!$F$2:$P$176,Tabela2[[#This Row],[ID]],'Config!'!$BA$15-2010+1)/100,"")</f>
        <v>0.17600000000000002</v>
      </c>
      <c r="L60" s="577">
        <f>IFERROR(INDEX('Corporate Tax Rate (%)'!$F$2:$P$176,Tabela2[[#This Row],[ID]],'Config!'!$BA$15-2010+1)/100,"")</f>
        <v>0.25</v>
      </c>
      <c r="M60" s="527" cm="1">
        <f t="array" ref="M60">INDEX('Score-Starting a business'!$F$2:$P$176,'IMS Seg. Table'!$A60,'Config!'!$BA$15-2010+1)</f>
        <v>26.12</v>
      </c>
      <c r="N60" s="527" cm="1">
        <f t="array" ref="N60">IFERROR(INDEX('Country Competitivness'!$AX$4:$BH$178,Tabela2[[#This Row],[ID]],'Config!'!$BA$15-2010+1),"")</f>
        <v>3.9</v>
      </c>
      <c r="O60" s="527" cm="1">
        <f t="array" ref="O60">IFERROR(INDEX('Country Competitivness'!$EE$4:$EO$178,Tabela2[[#This Row],[ID]],'Config!'!$BA$15-2010+1),"")</f>
        <v>3.96</v>
      </c>
      <c r="P60" s="527" cm="1">
        <f t="array" ref="P60">IFERROR(INDEX('Country Competitivness'!$H$4:$R$178,Tabela2[[#This Row],[ID]],'Config!'!$BA$15-2010+1),"")</f>
        <v>3.57</v>
      </c>
      <c r="Q60" s="527" cm="1">
        <f t="array" ref="Q60">IFERROR(INDEX('Country Competitivness'!$AJ$4:$AT$178,Tabela2[[#This Row],[ID]],MAX(1,'Config!'!$BA$15-2010)),"")</f>
        <v>4.37</v>
      </c>
      <c r="R60" s="527" cm="1">
        <f t="array" ref="R60">IFERROR(INDEX('Country Competitivness'!$BM$4:$BW$178,Tabela2[[#This Row],[ID]],'Config!'!$BA$15-2010+1),"")</f>
        <v>3.94</v>
      </c>
      <c r="S60" s="578" t="str" cm="1">
        <f t="array" ref="S6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0" s="537" t="str" cm="1">
        <f t="array" ref="T60">IF('Config!'!$BA$15=2010,".",IF(INDEX('Result data'!$R$216:$AA$390,'IMS Seg. Table'!$A60,'Config!'!$BA$15-2010)=".",".",INDEX('Result data'!$R$216:$AA$390,'IMS Seg. Table'!$A60,'Config!'!$BA$15-2010)))</f>
        <v>.</v>
      </c>
      <c r="U60" s="579" t="str">
        <f t="shared" si="30"/>
        <v>.</v>
      </c>
      <c r="V60" s="530" t="str" cm="1">
        <f t="array" ref="V60">IF(Tabela2[[#This Row],[Market Penetration (Category)]]=".",".",INDEX('Result data'!$BS$216:$CB$390,'IMS Seg. Table'!$A60,'Config!'!$BA$15-2010))</f>
        <v>.</v>
      </c>
      <c r="W60" s="563" t="str">
        <f>IF(Tabela2[[#This Row],[Market Demand (U$ millions)]]=".",".",Tabela2[[#This Row],[Market Demand (U$ millions)]]/Tabela2[[#This Row],[Active users (thousands)]])</f>
        <v>.</v>
      </c>
      <c r="X60" s="580" cm="1">
        <f t="array" ref="X60">IF('Config!'!$BA$15=2010,".",IF(INDEX('Result data'!$AE$216:$AN$390,'IMS Seg. Table'!$A60,'Config!'!$BA$15-2010)=".",0,INDEX('Result data'!$AE$216:$AN$390,'IMS Seg. Table'!$A60,'Config!'!$BA$15-2010)))</f>
        <v>0</v>
      </c>
      <c r="Y60" s="563" t="str">
        <f>IF('Config!'!$BA$15=2010,".",IF(Tabela2[[#This Row],[Number of competitors]]=0,".",SUMIF('Result data'!$N$216:$N$390,Tabela2[[#This Row],[ID]],'Result data'!$CP$216:$CP$393)))</f>
        <v>.</v>
      </c>
      <c r="Z60" s="563" t="str">
        <f>IF('Config!'!$BA$15=2010,".",IF(Tabela2[[#This Row],[Number of competitors]]=0,".",SUMIF('Result data'!$N$216:$N$390,Tabela2[[#This Row],[ID]],'Result data'!$DA$216:$DA$393)))</f>
        <v>.</v>
      </c>
      <c r="AA60" s="530" t="str" cm="1">
        <f t="array" ref="AA6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0" s="530" t="str" cm="1">
        <f t="array" ref="AB6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0" s="530" t="str" cm="1">
        <f t="array" ref="AD6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0" s="530" t="str" cm="1">
        <f t="array" ref="AE6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0" s="530" t="str" cm="1">
        <f t="array" ref="AF6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1" spans="1:32" x14ac:dyDescent="0.3">
      <c r="A61" s="569">
        <f>'Config!'!C47</f>
        <v>45</v>
      </c>
      <c r="B61" s="536" t="str">
        <f>'Config!'!A47</f>
        <v>Dominica.</v>
      </c>
      <c r="C61" s="536" t="str">
        <f>'Config!'!B47</f>
        <v>Caribe</v>
      </c>
      <c r="D61" s="538" cm="1">
        <f t="array" ref="D61">IFERROR(INDEX(Population!$BD$3:$BN$177,'IMS Seg. Table'!$A61,'Config!'!$BA$15-2010+1),"")</f>
        <v>71685</v>
      </c>
      <c r="E61" s="551" cm="1">
        <f t="array" ref="E61">IFERROR(INDEX(Population!$CH$3:$CH$178,'IMS Seg. Table'!$A61,1),"")</f>
        <v>751</v>
      </c>
      <c r="F61" s="552">
        <f>IFERROR('IMS Seg. Table'!$D61/'IMS Seg. Table'!$E61,"")</f>
        <v>95.452729693741674</v>
      </c>
      <c r="G61" s="575" cm="1">
        <f t="array" ref="G61">IFERROR(INDEX('Country Competitivness'!$CL$4:$CX$178,Tabela2[[#This Row],[ID]],'Config!'!$AZ$17+1),".")</f>
        <v>99.96</v>
      </c>
      <c r="H61" s="540" cm="1">
        <f t="array" ref="H61">INDEX(GDP!$G$3:$S$177,'IMS Seg. Table'!$A61,'Config!'!$BA$15-2010+1)*1000000000</f>
        <v>485997988.148148</v>
      </c>
      <c r="I61" s="539">
        <f t="shared" si="29"/>
        <v>6779.6329517771919</v>
      </c>
      <c r="J61" s="576">
        <f>IFERROR(INDEX('Income Tax Rate (%)'!$F$2:$P$176,Tabela2[[#This Row],[ID]],'Config!'!$BA$15-2010+1)/100,"")</f>
        <v>0.35</v>
      </c>
      <c r="K61" s="577">
        <f>IFERROR(INDEX('Tariff Rate (%)'!$F$2:$P$176,Tabela2[[#This Row],[ID]],'Config!'!$BA$15-2010+1)/100,"")</f>
        <v>8.6300000000000002E-2</v>
      </c>
      <c r="L61" s="577">
        <f>IFERROR(INDEX('Corporate Tax Rate (%)'!$F$2:$P$176,Tabela2[[#This Row],[ID]],'Config!'!$BA$15-2010+1)/100,"")</f>
        <v>0.3</v>
      </c>
      <c r="M61" s="527" cm="1">
        <f t="array" ref="M61">INDEX('Score-Starting a business'!$F$2:$P$176,'IMS Seg. Table'!$A61,'Config!'!$BA$15-2010+1)</f>
        <v>88.5</v>
      </c>
      <c r="N61" s="527" cm="1">
        <f t="array" ref="N61">IFERROR(INDEX('Country Competitivness'!$AX$4:$BH$178,Tabela2[[#This Row],[ID]],'Config!'!$BA$15-2010+1),"")</f>
        <v>3.04</v>
      </c>
      <c r="O61" s="527" cm="1">
        <f t="array" ref="O61">IFERROR(INDEX('Country Competitivness'!$EE$4:$EO$178,Tabela2[[#This Row],[ID]],'Config!'!$BA$15-2010+1),"")</f>
        <v>3.82</v>
      </c>
      <c r="P61" s="527" cm="1">
        <f t="array" ref="P61">IFERROR(INDEX('Country Competitivness'!$H$4:$R$178,Tabela2[[#This Row],[ID]],'Config!'!$BA$15-2010+1),"")</f>
        <v>3.71</v>
      </c>
      <c r="Q61" s="527" cm="1">
        <f t="array" ref="Q61">IFERROR(INDEX('Country Competitivness'!$AJ$4:$AT$178,Tabela2[[#This Row],[ID]],MAX(1,'Config!'!$BA$15-2010)),"")</f>
        <v>5.08</v>
      </c>
      <c r="R61" s="527" cm="1">
        <f t="array" ref="R61">IFERROR(INDEX('Country Competitivness'!$BM$4:$BW$178,Tabela2[[#This Row],[ID]],'Config!'!$BA$15-2010+1),"")</f>
        <v>3.41</v>
      </c>
      <c r="S61" s="578" t="str" cm="1">
        <f t="array" ref="S6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1" s="537" t="str" cm="1">
        <f t="array" ref="T61">IF('Config!'!$BA$15=2010,".",IF(INDEX('Result data'!$R$216:$AA$390,'IMS Seg. Table'!$A61,'Config!'!$BA$15-2010)=".",".",INDEX('Result data'!$R$216:$AA$390,'IMS Seg. Table'!$A61,'Config!'!$BA$15-2010)))</f>
        <v>.</v>
      </c>
      <c r="U61" s="579" t="str">
        <f t="shared" si="30"/>
        <v>.</v>
      </c>
      <c r="V61" s="530" t="str" cm="1">
        <f t="array" ref="V61">IF(Tabela2[[#This Row],[Market Penetration (Category)]]=".",".",INDEX('Result data'!$BS$216:$CB$390,'IMS Seg. Table'!$A61,'Config!'!$BA$15-2010))</f>
        <v>.</v>
      </c>
      <c r="W61" s="563" t="str">
        <f>IF(Tabela2[[#This Row],[Market Demand (U$ millions)]]=".",".",Tabela2[[#This Row],[Market Demand (U$ millions)]]/Tabela2[[#This Row],[Active users (thousands)]])</f>
        <v>.</v>
      </c>
      <c r="X61" s="580" cm="1">
        <f t="array" ref="X61">IF('Config!'!$BA$15=2010,".",IF(INDEX('Result data'!$AE$216:$AN$390,'IMS Seg. Table'!$A61,'Config!'!$BA$15-2010)=".",0,INDEX('Result data'!$AE$216:$AN$390,'IMS Seg. Table'!$A61,'Config!'!$BA$15-2010)))</f>
        <v>0</v>
      </c>
      <c r="Y61" s="563" t="str">
        <f>IF('Config!'!$BA$15=2010,".",IF(Tabela2[[#This Row],[Number of competitors]]=0,".",SUMIF('Result data'!$N$216:$N$390,Tabela2[[#This Row],[ID]],'Result data'!$CP$216:$CP$393)))</f>
        <v>.</v>
      </c>
      <c r="Z61" s="563" t="str">
        <f>IF('Config!'!$BA$15=2010,".",IF(Tabela2[[#This Row],[Number of competitors]]=0,".",SUMIF('Result data'!$N$216:$N$390,Tabela2[[#This Row],[ID]],'Result data'!$DA$216:$DA$393)))</f>
        <v>.</v>
      </c>
      <c r="AA61" s="530" t="str" cm="1">
        <f t="array" ref="AA6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1" s="530" t="str" cm="1">
        <f t="array" ref="AB6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1" s="530" t="str" cm="1">
        <f t="array" ref="AD6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1" s="530" t="str" cm="1">
        <f t="array" ref="AE6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1" s="530" t="str" cm="1">
        <f t="array" ref="AF6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2" spans="1:32" x14ac:dyDescent="0.3">
      <c r="A62" s="568">
        <f>'Config!'!C48</f>
        <v>48</v>
      </c>
      <c r="B62" s="536" t="str">
        <f>'Config!'!A48</f>
        <v>Egito</v>
      </c>
      <c r="C62" s="536" t="str">
        <f>'Config!'!B48</f>
        <v>Oriente médio</v>
      </c>
      <c r="D62" s="538" cm="1">
        <f t="array" ref="D62">IFERROR(INDEX(Population!$BD$3:$BN$177,'IMS Seg. Table'!$A62,'Config!'!$BA$15-2010+1),"")</f>
        <v>85660902</v>
      </c>
      <c r="E62" s="551" cm="1">
        <f t="array" ref="E62">IFERROR(INDEX(Population!$CH$3:$CH$178,'IMS Seg. Table'!$A62,1),"")</f>
        <v>995450</v>
      </c>
      <c r="F62" s="552">
        <f>IFERROR('IMS Seg. Table'!$D62/'IMS Seg. Table'!$E62,"")</f>
        <v>86.052440604751624</v>
      </c>
      <c r="G62" s="575" cm="1">
        <f t="array" ref="G62">IFERROR(INDEX('Country Competitivness'!$CL$4:$CX$178,Tabela2[[#This Row],[ID]],'Config!'!$AZ$17+1),".")</f>
        <v>87.105605119123396</v>
      </c>
      <c r="H62" s="540" cm="1">
        <f t="array" ref="H62">INDEX(GDP!$G$3:$S$177,'IMS Seg. Table'!$A62,'Config!'!$BA$15-2010+1)*1000000000</f>
        <v>279372758361.83167</v>
      </c>
      <c r="I62" s="539">
        <f t="shared" si="29"/>
        <v>3261.3800676746514</v>
      </c>
      <c r="J62" s="576">
        <f>IFERROR(INDEX('Income Tax Rate (%)'!$F$2:$P$176,Tabela2[[#This Row],[ID]],'Config!'!$BA$15-2010+1)/100,"")</f>
        <v>0.25</v>
      </c>
      <c r="K62" s="577">
        <f>IFERROR(INDEX('Tariff Rate (%)'!$F$2:$P$176,Tabela2[[#This Row],[ID]],'Config!'!$BA$15-2010+1)/100,"")</f>
        <v>9.3000000000000013E-2</v>
      </c>
      <c r="L62" s="577">
        <f>IFERROR(INDEX('Corporate Tax Rate (%)'!$F$2:$P$176,Tabela2[[#This Row],[ID]],'Config!'!$BA$15-2010+1)/100,"")</f>
        <v>0.25</v>
      </c>
      <c r="M62" s="527" cm="1">
        <f t="array" ref="M62">INDEX('Score-Starting a business'!$F$2:$P$176,'IMS Seg. Table'!$A62,'Config!'!$BA$15-2010+1)</f>
        <v>81.510000000000005</v>
      </c>
      <c r="N62" s="527" cm="1">
        <f t="array" ref="N62">IFERROR(INDEX('Country Competitivness'!$AX$4:$BH$178,Tabela2[[#This Row],[ID]],'Config!'!$BA$15-2010+1),"")</f>
        <v>2.9939277975490199</v>
      </c>
      <c r="O62" s="527" cm="1">
        <f t="array" ref="O62">IFERROR(INDEX('Country Competitivness'!$EE$4:$EO$178,Tabela2[[#This Row],[ID]],'Config!'!$BA$15-2010+1),"")</f>
        <v>3.3742690372549022</v>
      </c>
      <c r="P62" s="527" cm="1">
        <f t="array" ref="P62">IFERROR(INDEX('Country Competitivness'!$H$4:$R$178,Tabela2[[#This Row],[ID]],'Config!'!$BA$15-2010+1),"")</f>
        <v>3.8244296393962856</v>
      </c>
      <c r="Q62" s="527" cm="1">
        <f t="array" ref="Q62">IFERROR(INDEX('Country Competitivness'!$AJ$4:$AT$178,Tabela2[[#This Row],[ID]],MAX(1,'Config!'!$BA$15-2010)),"")</f>
        <v>4.5642318620915034</v>
      </c>
      <c r="R62" s="527" cm="1">
        <f t="array" ref="R62">IFERROR(INDEX('Country Competitivness'!$BM$4:$BW$178,Tabela2[[#This Row],[ID]],'Config!'!$BA$15-2010+1),"")</f>
        <v>2.3278637877450983</v>
      </c>
      <c r="S62" s="578" t="str" cm="1">
        <f t="array" ref="S6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2" s="537" t="str" cm="1">
        <f t="array" ref="T62">IF('Config!'!$BA$15=2010,".",IF(INDEX('Result data'!$R$216:$AA$390,'IMS Seg. Table'!$A62,'Config!'!$BA$15-2010)=".",".",INDEX('Result data'!$R$216:$AA$390,'IMS Seg. Table'!$A62,'Config!'!$BA$15-2010)))</f>
        <v>.</v>
      </c>
      <c r="U62" s="579" t="str">
        <f t="shared" si="30"/>
        <v>.</v>
      </c>
      <c r="V62" s="530" t="str" cm="1">
        <f t="array" ref="V62">IF(Tabela2[[#This Row],[Market Penetration (Category)]]=".",".",INDEX('Result data'!$BS$216:$CB$390,'IMS Seg. Table'!$A62,'Config!'!$BA$15-2010))</f>
        <v>.</v>
      </c>
      <c r="W62" s="563" t="str">
        <f>IF(Tabela2[[#This Row],[Market Demand (U$ millions)]]=".",".",Tabela2[[#This Row],[Market Demand (U$ millions)]]/Tabela2[[#This Row],[Active users (thousands)]])</f>
        <v>.</v>
      </c>
      <c r="X62" s="580" cm="1">
        <f t="array" ref="X62">IF('Config!'!$BA$15=2010,".",IF(INDEX('Result data'!$AE$216:$AN$390,'IMS Seg. Table'!$A62,'Config!'!$BA$15-2010)=".",0,INDEX('Result data'!$AE$216:$AN$390,'IMS Seg. Table'!$A62,'Config!'!$BA$15-2010)))</f>
        <v>0</v>
      </c>
      <c r="Y62" s="563" t="str">
        <f>IF('Config!'!$BA$15=2010,".",IF(Tabela2[[#This Row],[Number of competitors]]=0,".",SUMIF('Result data'!$N$216:$N$390,Tabela2[[#This Row],[ID]],'Result data'!$CP$216:$CP$393)))</f>
        <v>.</v>
      </c>
      <c r="Z62" s="563" t="str">
        <f>IF('Config!'!$BA$15=2010,".",IF(Tabela2[[#This Row],[Number of competitors]]=0,".",SUMIF('Result data'!$N$216:$N$390,Tabela2[[#This Row],[ID]],'Result data'!$DA$216:$DA$393)))</f>
        <v>.</v>
      </c>
      <c r="AA62" s="530" t="str" cm="1">
        <f t="array" ref="AA6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2" s="530" t="str" cm="1">
        <f t="array" ref="AB6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2" s="530" t="str" cm="1">
        <f t="array" ref="AD6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2" s="530" t="str" cm="1">
        <f t="array" ref="AE6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2" s="530" t="str" cm="1">
        <f t="array" ref="AF6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3" spans="1:32" x14ac:dyDescent="0.3">
      <c r="A63" s="569">
        <f>'Config!'!C49</f>
        <v>49</v>
      </c>
      <c r="B63" s="536" t="str">
        <f>'Config!'!A49</f>
        <v>El Salvador</v>
      </c>
      <c r="C63" s="536" t="str">
        <f>'Config!'!B49</f>
        <v>América Central</v>
      </c>
      <c r="D63" s="538" cm="1">
        <f t="array" ref="D63">IFERROR(INDEX(Population!$BD$3:$BN$177,'IMS Seg. Table'!$A63,'Config!'!$BA$15-2010+1),"")</f>
        <v>6072233</v>
      </c>
      <c r="E63" s="551" cm="1">
        <f t="array" ref="E63">IFERROR(INDEX(Population!$CH$3:$CH$178,'IMS Seg. Table'!$A63,1),"")</f>
        <v>20721</v>
      </c>
      <c r="F63" s="552">
        <f>IFERROR('IMS Seg. Table'!$D63/'IMS Seg. Table'!$E63,"")</f>
        <v>293.04729501471934</v>
      </c>
      <c r="G63" s="575" cm="1">
        <f t="array" ref="G63">IFERROR(INDEX('Country Competitivness'!$CL$4:$CX$178,Tabela2[[#This Row],[ID]],'Config!'!$AZ$17+1),".")</f>
        <v>124.339491421999</v>
      </c>
      <c r="H63" s="540" cm="1">
        <f t="array" ref="H63">INDEX(GDP!$G$3:$S$177,'IMS Seg. Table'!$A63,'Config!'!$BA$15-2010+1)*1000000000</f>
        <v>21386160000</v>
      </c>
      <c r="I63" s="539">
        <f t="shared" si="29"/>
        <v>3521.9597139964822</v>
      </c>
      <c r="J63" s="576">
        <f>IFERROR(INDEX('Income Tax Rate (%)'!$F$2:$P$176,Tabela2[[#This Row],[ID]],'Config!'!$BA$15-2010+1)/100,"")</f>
        <v>0.3</v>
      </c>
      <c r="K63" s="577">
        <f>IFERROR(INDEX('Tariff Rate (%)'!$F$2:$P$176,Tabela2[[#This Row],[ID]],'Config!'!$BA$15-2010+1)/100,"")</f>
        <v>5.4900000000000004E-2</v>
      </c>
      <c r="L63" s="577">
        <f>IFERROR(INDEX('Corporate Tax Rate (%)'!$F$2:$P$176,Tabela2[[#This Row],[ID]],'Config!'!$BA$15-2010+1)/100,"")</f>
        <v>0.3</v>
      </c>
      <c r="M63" s="527" cm="1">
        <f t="array" ref="M63">INDEX('Score-Starting a business'!$F$2:$P$176,'IMS Seg. Table'!$A63,'Config!'!$BA$15-2010+1)</f>
        <v>78.33</v>
      </c>
      <c r="N63" s="527" cm="1">
        <f t="array" ref="N63">IFERROR(INDEX('Country Competitivness'!$AX$4:$BH$178,Tabela2[[#This Row],[ID]],'Config!'!$BA$15-2010+1),"")</f>
        <v>3.3593631785714289</v>
      </c>
      <c r="O63" s="527" cm="1">
        <f t="array" ref="O63">IFERROR(INDEX('Country Competitivness'!$EE$4:$EO$178,Tabela2[[#This Row],[ID]],'Config!'!$BA$15-2010+1),"")</f>
        <v>4.761658971428572</v>
      </c>
      <c r="P63" s="527" cm="1">
        <f t="array" ref="P63">IFERROR(INDEX('Country Competitivness'!$H$4:$R$178,Tabela2[[#This Row],[ID]],'Config!'!$BA$15-2010+1),"")</f>
        <v>3.8109003774436094</v>
      </c>
      <c r="Q63" s="527" cm="1">
        <f t="array" ref="Q63">IFERROR(INDEX('Country Competitivness'!$AJ$4:$AT$178,Tabela2[[#This Row],[ID]],MAX(1,'Config!'!$BA$15-2010)),"")</f>
        <v>4.6352326642857138</v>
      </c>
      <c r="R63" s="527" cm="1">
        <f t="array" ref="R63">IFERROR(INDEX('Country Competitivness'!$BM$4:$BW$178,Tabela2[[#This Row],[ID]],'Config!'!$BA$15-2010+1),"")</f>
        <v>3.2687732357142858</v>
      </c>
      <c r="S63" s="578" t="str" cm="1">
        <f t="array" ref="S6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3" s="537" t="str" cm="1">
        <f t="array" ref="T63">IF('Config!'!$BA$15=2010,".",IF(INDEX('Result data'!$R$216:$AA$390,'IMS Seg. Table'!$A63,'Config!'!$BA$15-2010)=".",".",INDEX('Result data'!$R$216:$AA$390,'IMS Seg. Table'!$A63,'Config!'!$BA$15-2010)))</f>
        <v>.</v>
      </c>
      <c r="U63" s="579" t="str">
        <f t="shared" si="30"/>
        <v>.</v>
      </c>
      <c r="V63" s="530" t="str" cm="1">
        <f t="array" ref="V63">IF(Tabela2[[#This Row],[Market Penetration (Category)]]=".",".",INDEX('Result data'!$BS$216:$CB$390,'IMS Seg. Table'!$A63,'Config!'!$BA$15-2010))</f>
        <v>.</v>
      </c>
      <c r="W63" s="563" t="str">
        <f>IF(Tabela2[[#This Row],[Market Demand (U$ millions)]]=".",".",Tabela2[[#This Row],[Market Demand (U$ millions)]]/Tabela2[[#This Row],[Active users (thousands)]])</f>
        <v>.</v>
      </c>
      <c r="X63" s="580" cm="1">
        <f t="array" ref="X63">IF('Config!'!$BA$15=2010,".",IF(INDEX('Result data'!$AE$216:$AN$390,'IMS Seg. Table'!$A63,'Config!'!$BA$15-2010)=".",0,INDEX('Result data'!$AE$216:$AN$390,'IMS Seg. Table'!$A63,'Config!'!$BA$15-2010)))</f>
        <v>0</v>
      </c>
      <c r="Y63" s="563" t="str">
        <f>IF('Config!'!$BA$15=2010,".",IF(Tabela2[[#This Row],[Number of competitors]]=0,".",SUMIF('Result data'!$N$216:$N$390,Tabela2[[#This Row],[ID]],'Result data'!$CP$216:$CP$393)))</f>
        <v>.</v>
      </c>
      <c r="Z63" s="563" t="str">
        <f>IF('Config!'!$BA$15=2010,".",IF(Tabela2[[#This Row],[Number of competitors]]=0,".",SUMIF('Result data'!$N$216:$N$390,Tabela2[[#This Row],[ID]],'Result data'!$DA$216:$DA$393)))</f>
        <v>.</v>
      </c>
      <c r="AA63" s="530" t="str" cm="1">
        <f t="array" ref="AA6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3" s="530" t="str" cm="1">
        <f t="array" ref="AB6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3" s="530" t="str" cm="1">
        <f t="array" ref="AD6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3" s="530" t="str" cm="1">
        <f t="array" ref="AE6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3" s="530" t="str" cm="1">
        <f t="array" ref="AF6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4" spans="1:32" x14ac:dyDescent="0.3">
      <c r="A64" s="568">
        <f>'Config!'!C50</f>
        <v>162</v>
      </c>
      <c r="B64" s="536" t="str">
        <f>'Config!'!A50</f>
        <v>Emirados Árabes Unidos</v>
      </c>
      <c r="C64" s="536" t="str">
        <f>'Config!'!B50</f>
        <v>Oriente médio</v>
      </c>
      <c r="D64" s="538" cm="1">
        <f t="array" ref="D64">IFERROR(INDEX(Population!$BD$3:$BN$177,'IMS Seg. Table'!$A64,'Config!'!$BA$15-2010+1),"")</f>
        <v>8952542</v>
      </c>
      <c r="E64" s="551" cm="1">
        <f t="array" ref="E64">IFERROR(INDEX(Population!$CH$3:$CH$178,'IMS Seg. Table'!$A64,1),"")</f>
        <v>83600</v>
      </c>
      <c r="F64" s="552">
        <f>IFERROR('IMS Seg. Table'!$D64/'IMS Seg. Table'!$E64,"")</f>
        <v>107.08782296650718</v>
      </c>
      <c r="G64" s="575" cm="1">
        <f t="array" ref="G64">IFERROR(INDEX('Country Competitivness'!$CL$4:$CX$178,Tabela2[[#This Row],[ID]],'Config!'!$AZ$17+1),".")</f>
        <v>145.453539749377</v>
      </c>
      <c r="H64" s="540" cm="1">
        <f t="array" ref="H64">INDEX(GDP!$G$3:$S$177,'IMS Seg. Table'!$A64,'Config!'!$BA$15-2010+1)*1000000000</f>
        <v>374590605854.32269</v>
      </c>
      <c r="I64" s="539">
        <f t="shared" si="29"/>
        <v>41841.81496767317</v>
      </c>
      <c r="J64" s="576">
        <f>IFERROR(INDEX('Income Tax Rate (%)'!$F$2:$P$176,Tabela2[[#This Row],[ID]],'Config!'!$BA$15-2010+1)/100,"")</f>
        <v>0.1348</v>
      </c>
      <c r="K64" s="577">
        <f>IFERROR(INDEX('Tariff Rate (%)'!$F$2:$P$176,Tabela2[[#This Row],[ID]],'Config!'!$BA$15-2010+1)/100,"")</f>
        <v>3.73E-2</v>
      </c>
      <c r="L64" s="577">
        <f>IFERROR(INDEX('Corporate Tax Rate (%)'!$F$2:$P$176,Tabela2[[#This Row],[ID]],'Config!'!$BA$15-2010+1)/100,"")</f>
        <v>0.1177</v>
      </c>
      <c r="M64" s="527" cm="1">
        <f t="array" ref="M64">INDEX('Score-Starting a business'!$F$2:$P$176,'IMS Seg. Table'!$A64,'Config!'!$BA$15-2010+1)</f>
        <v>85.5</v>
      </c>
      <c r="N64" s="527" cm="1">
        <f t="array" ref="N64">IFERROR(INDEX('Country Competitivness'!$AX$4:$BH$178,Tabela2[[#This Row],[ID]],'Config!'!$BA$15-2010+1),"")</f>
        <v>4.3574714747663545</v>
      </c>
      <c r="O64" s="527" cm="1">
        <f t="array" ref="O64">IFERROR(INDEX('Country Competitivness'!$EE$4:$EO$178,Tabela2[[#This Row],[ID]],'Config!'!$BA$15-2010+1),"")</f>
        <v>6.2759138439252338</v>
      </c>
      <c r="P64" s="527" cm="1">
        <f t="array" ref="P64">IFERROR(INDEX('Country Competitivness'!$H$4:$R$178,Tabela2[[#This Row],[ID]],'Config!'!$BA$15-2010+1),"")</f>
        <v>4.9096713930152482</v>
      </c>
      <c r="Q64" s="527" cm="1">
        <f t="array" ref="Q64">IFERROR(INDEX('Country Competitivness'!$AJ$4:$AT$178,Tabela2[[#This Row],[ID]],MAX(1,'Config!'!$BA$15-2010)),"")</f>
        <v>5.8237563205607472</v>
      </c>
      <c r="R64" s="527" cm="1">
        <f t="array" ref="R64">IFERROR(INDEX('Country Competitivness'!$BM$4:$BW$178,Tabela2[[#This Row],[ID]],'Config!'!$BA$15-2010+1),"")</f>
        <v>4.5713320186915887</v>
      </c>
      <c r="S64" s="578" t="str" cm="1">
        <f t="array" ref="S6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4" s="537" t="str" cm="1">
        <f t="array" ref="T64">IF('Config!'!$BA$15=2010,".",IF(INDEX('Result data'!$R$216:$AA$390,'IMS Seg. Table'!$A64,'Config!'!$BA$15-2010)=".",".",INDEX('Result data'!$R$216:$AA$390,'IMS Seg. Table'!$A64,'Config!'!$BA$15-2010)))</f>
        <v>.</v>
      </c>
      <c r="U64" s="579" t="str">
        <f t="shared" si="30"/>
        <v>.</v>
      </c>
      <c r="V64" s="530" t="str" cm="1">
        <f t="array" ref="V64">IF(Tabela2[[#This Row],[Market Penetration (Category)]]=".",".",INDEX('Result data'!$BS$216:$CB$390,'IMS Seg. Table'!$A64,'Config!'!$BA$15-2010))</f>
        <v>.</v>
      </c>
      <c r="W64" s="563" t="str">
        <f>IF(Tabela2[[#This Row],[Market Demand (U$ millions)]]=".",".",Tabela2[[#This Row],[Market Demand (U$ millions)]]/Tabela2[[#This Row],[Active users (thousands)]])</f>
        <v>.</v>
      </c>
      <c r="X64" s="580" cm="1">
        <f t="array" ref="X64">IF('Config!'!$BA$15=2010,".",IF(INDEX('Result data'!$AE$216:$AN$390,'IMS Seg. Table'!$A64,'Config!'!$BA$15-2010)=".",0,INDEX('Result data'!$AE$216:$AN$390,'IMS Seg. Table'!$A64,'Config!'!$BA$15-2010)))</f>
        <v>0</v>
      </c>
      <c r="Y64" s="563" t="str">
        <f>IF('Config!'!$BA$15=2010,".",IF(Tabela2[[#This Row],[Number of competitors]]=0,".",SUMIF('Result data'!$N$216:$N$390,Tabela2[[#This Row],[ID]],'Result data'!$CP$216:$CP$393)))</f>
        <v>.</v>
      </c>
      <c r="Z64" s="563" t="str">
        <f>IF('Config!'!$BA$15=2010,".",IF(Tabela2[[#This Row],[Number of competitors]]=0,".",SUMIF('Result data'!$N$216:$N$390,Tabela2[[#This Row],[ID]],'Result data'!$DA$216:$DA$393)))</f>
        <v>.</v>
      </c>
      <c r="AA64" s="530" t="str" cm="1">
        <f t="array" ref="AA6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4" s="530" t="str" cm="1">
        <f t="array" ref="AB6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4" s="530" t="str" cm="1">
        <f t="array" ref="AD6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4" s="530" t="str" cm="1">
        <f t="array" ref="AE6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4" s="530" t="str" cm="1">
        <f t="array" ref="AF6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5" spans="1:32" x14ac:dyDescent="0.3">
      <c r="A65" s="569">
        <f>'Config!'!C51</f>
        <v>47</v>
      </c>
      <c r="B65" s="536" t="str">
        <f>'Config!'!A51</f>
        <v>Equador</v>
      </c>
      <c r="C65" s="536" t="str">
        <f>'Config!'!B51</f>
        <v>América do Sul</v>
      </c>
      <c r="D65" s="538" cm="1">
        <f t="array" ref="D65">IFERROR(INDEX(Population!$BD$3:$BN$177,'IMS Seg. Table'!$A65,'Config!'!$BA$15-2010+1),"")</f>
        <v>15419493</v>
      </c>
      <c r="E65" s="551" cm="1">
        <f t="array" ref="E65">IFERROR(INDEX(Population!$CH$3:$CH$178,'IMS Seg. Table'!$A65,1),"")</f>
        <v>276841</v>
      </c>
      <c r="F65" s="552">
        <f>IFERROR('IMS Seg. Table'!$D65/'IMS Seg. Table'!$E65,"")</f>
        <v>55.698010771525894</v>
      </c>
      <c r="G65" s="575" cm="1">
        <f t="array" ref="G65">IFERROR(INDEX('Country Competitivness'!$CL$4:$CX$178,Tabela2[[#This Row],[ID]],'Config!'!$AZ$17+1),".")</f>
        <v>102.184560675447</v>
      </c>
      <c r="H65" s="540" cm="1">
        <f t="array" ref="H65">INDEX(GDP!$G$3:$S$177,'IMS Seg. Table'!$A65,'Config!'!$BA$15-2010+1)*1000000000</f>
        <v>87924544000</v>
      </c>
      <c r="I65" s="539">
        <f t="shared" si="29"/>
        <v>5702.1682878937718</v>
      </c>
      <c r="J65" s="576">
        <f>IFERROR(INDEX('Income Tax Rate (%)'!$F$2:$P$176,Tabela2[[#This Row],[ID]],'Config!'!$BA$15-2010+1)/100,"")</f>
        <v>0.35</v>
      </c>
      <c r="K65" s="577">
        <f>IFERROR(INDEX('Tariff Rate (%)'!$F$2:$P$176,Tabela2[[#This Row],[ID]],'Config!'!$BA$15-2010+1)/100,"")</f>
        <v>4.0999999999999995E-2</v>
      </c>
      <c r="L65" s="577">
        <f>IFERROR(INDEX('Corporate Tax Rate (%)'!$F$2:$P$176,Tabela2[[#This Row],[ID]],'Config!'!$BA$15-2010+1)/100,"")</f>
        <v>0.22</v>
      </c>
      <c r="M65" s="527" cm="1">
        <f t="array" ref="M65">INDEX('Score-Starting a business'!$F$2:$P$176,'IMS Seg. Table'!$A65,'Config!'!$BA$15-2010+1)</f>
        <v>64.650000000000006</v>
      </c>
      <c r="N65" s="527" cm="1">
        <f t="array" ref="N65">IFERROR(INDEX('Country Competitivness'!$AX$4:$BH$178,Tabela2[[#This Row],[ID]],'Config!'!$BA$15-2010+1),"")</f>
        <v>2.9401468530612247</v>
      </c>
      <c r="O65" s="527" cm="1">
        <f t="array" ref="O65">IFERROR(INDEX('Country Competitivness'!$EE$4:$EO$178,Tabela2[[#This Row],[ID]],'Config!'!$BA$15-2010+1),"")</f>
        <v>4.1573922969387755</v>
      </c>
      <c r="P65" s="527" cm="1">
        <f t="array" ref="P65">IFERROR(INDEX('Country Competitivness'!$H$4:$R$178,Tabela2[[#This Row],[ID]],'Config!'!$BA$15-2010+1),"")</f>
        <v>3.571166619602578</v>
      </c>
      <c r="Q65" s="527" cm="1">
        <f t="array" ref="Q65">IFERROR(INDEX('Country Competitivness'!$AJ$4:$AT$178,Tabela2[[#This Row],[ID]],MAX(1,'Config!'!$BA$15-2010)),"")</f>
        <v>4.1044738897959183</v>
      </c>
      <c r="R65" s="527" cm="1">
        <f t="array" ref="R65">IFERROR(INDEX('Country Competitivness'!$BM$4:$BW$178,Tabela2[[#This Row],[ID]],'Config!'!$BA$15-2010+1),"")</f>
        <v>3.1666704826530614</v>
      </c>
      <c r="S65" s="578" t="str" cm="1">
        <f t="array" ref="S6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5" s="537" t="str" cm="1">
        <f t="array" ref="T65">IF('Config!'!$BA$15=2010,".",IF(INDEX('Result data'!$R$216:$AA$390,'IMS Seg. Table'!$A65,'Config!'!$BA$15-2010)=".",".",INDEX('Result data'!$R$216:$AA$390,'IMS Seg. Table'!$A65,'Config!'!$BA$15-2010)))</f>
        <v>.</v>
      </c>
      <c r="U65" s="579" t="str">
        <f t="shared" si="30"/>
        <v>.</v>
      </c>
      <c r="V65" s="530" t="str" cm="1">
        <f t="array" ref="V65">IF(Tabela2[[#This Row],[Market Penetration (Category)]]=".",".",INDEX('Result data'!$BS$216:$CB$390,'IMS Seg. Table'!$A65,'Config!'!$BA$15-2010))</f>
        <v>.</v>
      </c>
      <c r="W65" s="563" t="str">
        <f>IF(Tabela2[[#This Row],[Market Demand (U$ millions)]]=".",".",Tabela2[[#This Row],[Market Demand (U$ millions)]]/Tabela2[[#This Row],[Active users (thousands)]])</f>
        <v>.</v>
      </c>
      <c r="X65" s="580" cm="1">
        <f t="array" ref="X65">IF('Config!'!$BA$15=2010,".",IF(INDEX('Result data'!$AE$216:$AN$390,'IMS Seg. Table'!$A65,'Config!'!$BA$15-2010)=".",0,INDEX('Result data'!$AE$216:$AN$390,'IMS Seg. Table'!$A65,'Config!'!$BA$15-2010)))</f>
        <v>0</v>
      </c>
      <c r="Y65" s="563" t="str">
        <f>IF('Config!'!$BA$15=2010,".",IF(Tabela2[[#This Row],[Number of competitors]]=0,".",SUMIF('Result data'!$N$216:$N$390,Tabela2[[#This Row],[ID]],'Result data'!$CP$216:$CP$393)))</f>
        <v>.</v>
      </c>
      <c r="Z65" s="563" t="str">
        <f>IF('Config!'!$BA$15=2010,".",IF(Tabela2[[#This Row],[Number of competitors]]=0,".",SUMIF('Result data'!$N$216:$N$390,Tabela2[[#This Row],[ID]],'Result data'!$DA$216:$DA$393)))</f>
        <v>.</v>
      </c>
      <c r="AA65" s="530" t="str" cm="1">
        <f t="array" ref="AA6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5" s="530" t="str" cm="1">
        <f t="array" ref="AB6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5" s="530" t="str" cm="1">
        <f t="array" ref="AD6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5" s="530" t="str" cm="1">
        <f t="array" ref="AE6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5" s="530" t="str" cm="1">
        <f t="array" ref="AF6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6" spans="1:32" x14ac:dyDescent="0.3">
      <c r="A66" s="568">
        <f>'Config!'!C52</f>
        <v>51</v>
      </c>
      <c r="B66" s="536" t="str">
        <f>'Config!'!A52</f>
        <v>Eritreia</v>
      </c>
      <c r="C66" s="536" t="str">
        <f>'Config!'!B52</f>
        <v>África Subsaariana</v>
      </c>
      <c r="D66" s="538" cm="1">
        <f t="array" ref="D66">IFERROR(INDEX(Population!$BD$3:$BN$177,'IMS Seg. Table'!$A66,'Config!'!$BA$15-2010+1),"")</f>
        <v>0</v>
      </c>
      <c r="E66" s="551" cm="1">
        <f t="array" ref="E66">IFERROR(INDEX(Population!$CH$3:$CH$178,'IMS Seg. Table'!$A66,1),"")</f>
        <v>101000</v>
      </c>
      <c r="F66" s="552">
        <f>IFERROR('IMS Seg. Table'!$D66/'IMS Seg. Table'!$E66,"")</f>
        <v>0</v>
      </c>
      <c r="G66" s="575" cm="1">
        <f t="array" ref="G66">IFERROR(INDEX('Country Competitivness'!$CL$4:$CX$178,Tabela2[[#This Row],[ID]],'Config!'!$AZ$17+1),".")</f>
        <v>9.57</v>
      </c>
      <c r="H66" s="540" cm="1">
        <f t="array" ref="H66">INDEX(GDP!$G$3:$S$177,'IMS Seg. Table'!$A66,'Config!'!$BA$15-2010+1)*1000000000</f>
        <v>4396000000</v>
      </c>
      <c r="I66" s="539" t="str">
        <f t="shared" si="29"/>
        <v>.</v>
      </c>
      <c r="J66" s="576">
        <f>IFERROR(INDEX('Income Tax Rate (%)'!$F$2:$P$176,Tabela2[[#This Row],[ID]],'Config!'!$BA$15-2010+1)/100,"")</f>
        <v>0.3</v>
      </c>
      <c r="K66" s="577">
        <f>IFERROR(INDEX('Tariff Rate (%)'!$F$2:$P$176,Tabela2[[#This Row],[ID]],'Config!'!$BA$15-2010+1)/100,"")</f>
        <v>5.4299999999999994E-2</v>
      </c>
      <c r="L66" s="577">
        <f>IFERROR(INDEX('Corporate Tax Rate (%)'!$F$2:$P$176,Tabela2[[#This Row],[ID]],'Config!'!$BA$15-2010+1)/100,"")</f>
        <v>0.3</v>
      </c>
      <c r="M66" s="527" cm="1">
        <f t="array" ref="M66">INDEX('Score-Starting a business'!$F$2:$P$176,'IMS Seg. Table'!$A66,'Config!'!$BA$15-2010+1)</f>
        <v>38.36</v>
      </c>
      <c r="N66" s="527" cm="1">
        <f t="array" ref="N66">IFERROR(INDEX('Country Competitivness'!$AX$4:$BH$178,Tabela2[[#This Row],[ID]],'Config!'!$BA$15-2010+1),"")</f>
        <v>3.07</v>
      </c>
      <c r="O66" s="527" cm="1">
        <f t="array" ref="O66">IFERROR(INDEX('Country Competitivness'!$EE$4:$EO$178,Tabela2[[#This Row],[ID]],'Config!'!$BA$15-2010+1),"")</f>
        <v>2.19</v>
      </c>
      <c r="P66" s="527" cm="1">
        <f t="array" ref="P66">IFERROR(INDEX('Country Competitivness'!$H$4:$R$178,Tabela2[[#This Row],[ID]],'Config!'!$BA$15-2010+1),"")</f>
        <v>3.22</v>
      </c>
      <c r="Q66" s="527" cm="1">
        <f t="array" ref="Q66">IFERROR(INDEX('Country Competitivness'!$AJ$4:$AT$178,Tabela2[[#This Row],[ID]],MAX(1,'Config!'!$BA$15-2010)),"")</f>
        <v>3.31</v>
      </c>
      <c r="R66" s="527" cm="1">
        <f t="array" ref="R66">IFERROR(INDEX('Country Competitivness'!$BM$4:$BW$178,Tabela2[[#This Row],[ID]],'Config!'!$BA$15-2010+1),"")</f>
        <v>2.37</v>
      </c>
      <c r="S66" s="578" t="str" cm="1">
        <f t="array" ref="S6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6" s="537" t="str" cm="1">
        <f t="array" ref="T66">IF('Config!'!$BA$15=2010,".",IF(INDEX('Result data'!$R$216:$AA$390,'IMS Seg. Table'!$A66,'Config!'!$BA$15-2010)=".",".",INDEX('Result data'!$R$216:$AA$390,'IMS Seg. Table'!$A66,'Config!'!$BA$15-2010)))</f>
        <v>.</v>
      </c>
      <c r="U66" s="579" t="str">
        <f t="shared" si="30"/>
        <v>.</v>
      </c>
      <c r="V66" s="530" t="str" cm="1">
        <f t="array" ref="V66">IF(Tabela2[[#This Row],[Market Penetration (Category)]]=".",".",INDEX('Result data'!$BS$216:$CB$390,'IMS Seg. Table'!$A66,'Config!'!$BA$15-2010))</f>
        <v>.</v>
      </c>
      <c r="W66" s="563" t="str">
        <f>IF(Tabela2[[#This Row],[Market Demand (U$ millions)]]=".",".",Tabela2[[#This Row],[Market Demand (U$ millions)]]/Tabela2[[#This Row],[Active users (thousands)]])</f>
        <v>.</v>
      </c>
      <c r="X66" s="580" cm="1">
        <f t="array" ref="X66">IF('Config!'!$BA$15=2010,".",IF(INDEX('Result data'!$AE$216:$AN$390,'IMS Seg. Table'!$A66,'Config!'!$BA$15-2010)=".",0,INDEX('Result data'!$AE$216:$AN$390,'IMS Seg. Table'!$A66,'Config!'!$BA$15-2010)))</f>
        <v>0</v>
      </c>
      <c r="Y66" s="563" t="str">
        <f>IF('Config!'!$BA$15=2010,".",IF(Tabela2[[#This Row],[Number of competitors]]=0,".",SUMIF('Result data'!$N$216:$N$390,Tabela2[[#This Row],[ID]],'Result data'!$CP$216:$CP$393)))</f>
        <v>.</v>
      </c>
      <c r="Z66" s="563" t="str">
        <f>IF('Config!'!$BA$15=2010,".",IF(Tabela2[[#This Row],[Number of competitors]]=0,".",SUMIF('Result data'!$N$216:$N$390,Tabela2[[#This Row],[ID]],'Result data'!$DA$216:$DA$393)))</f>
        <v>.</v>
      </c>
      <c r="AA66" s="530" t="str" cm="1">
        <f t="array" ref="AA6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6" s="530" t="str" cm="1">
        <f t="array" ref="AB6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6" s="530" t="str" cm="1">
        <f t="array" ref="AD6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6" s="530" t="str" cm="1">
        <f t="array" ref="AE6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6" s="530" t="str" cm="1">
        <f t="array" ref="AF6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7" spans="1:32" x14ac:dyDescent="0.3">
      <c r="A67" s="569">
        <f>'Config!'!C53</f>
        <v>140</v>
      </c>
      <c r="B67" s="536" t="str">
        <f>'Config!'!A53</f>
        <v>Eslováquia</v>
      </c>
      <c r="C67" s="536" t="str">
        <f>'Config!'!B53</f>
        <v>União Européia</v>
      </c>
      <c r="D67" s="538" cm="1">
        <f t="array" ref="D67">IFERROR(INDEX(Population!$BD$3:$BN$177,'IMS Seg. Table'!$A67,'Config!'!$BA$15-2010+1),"")</f>
        <v>5407579</v>
      </c>
      <c r="E67" s="551" cm="1">
        <f t="array" ref="E67">IFERROR(INDEX(Population!$CH$3:$CH$178,'IMS Seg. Table'!$A67,1),"")</f>
        <v>48105</v>
      </c>
      <c r="F67" s="552">
        <f>IFERROR('IMS Seg. Table'!$D67/'IMS Seg. Table'!$E67,"")</f>
        <v>112.41199459515643</v>
      </c>
      <c r="G67" s="575" cm="1">
        <f t="array" ref="G67">IFERROR(INDEX('Country Competitivness'!$CL$4:$CX$178,Tabela2[[#This Row],[ID]],'Config!'!$AZ$17+1),".")</f>
        <v>108.47460481911899</v>
      </c>
      <c r="H67" s="540" cm="1">
        <f t="array" ref="H67">INDEX(GDP!$G$3:$S$177,'IMS Seg. Table'!$A67,'Config!'!$BA$15-2010+1)*1000000000</f>
        <v>131893000000</v>
      </c>
      <c r="I67" s="539">
        <f t="shared" si="29"/>
        <v>24390.397255407643</v>
      </c>
      <c r="J67" s="576">
        <f>IFERROR(INDEX('Income Tax Rate (%)'!$F$2:$P$176,Tabela2[[#This Row],[ID]],'Config!'!$BA$15-2010+1)/100,"")</f>
        <v>0.25</v>
      </c>
      <c r="K67" s="577">
        <f>IFERROR(INDEX('Tariff Rate (%)'!$F$2:$P$176,Tabela2[[#This Row],[ID]],'Config!'!$BA$15-2010+1)/100,"")</f>
        <v>1.09E-2</v>
      </c>
      <c r="L67" s="577">
        <f>IFERROR(INDEX('Corporate Tax Rate (%)'!$F$2:$P$176,Tabela2[[#This Row],[ID]],'Config!'!$BA$15-2010+1)/100,"")</f>
        <v>0.23</v>
      </c>
      <c r="M67" s="527" cm="1">
        <f t="array" ref="M67">INDEX('Score-Starting a business'!$F$2:$P$176,'IMS Seg. Table'!$A67,'Config!'!$BA$15-2010+1)</f>
        <v>81.14</v>
      </c>
      <c r="N67" s="527" cm="1">
        <f t="array" ref="N67">IFERROR(INDEX('Country Competitivness'!$AX$4:$BH$178,Tabela2[[#This Row],[ID]],'Config!'!$BA$15-2010+1),"")</f>
        <v>2.6578584928571427</v>
      </c>
      <c r="O67" s="527" cm="1">
        <f t="array" ref="O67">IFERROR(INDEX('Country Competitivness'!$EE$4:$EO$178,Tabela2[[#This Row],[ID]],'Config!'!$BA$15-2010+1),"")</f>
        <v>3.5923571000000001</v>
      </c>
      <c r="P67" s="527" cm="1">
        <f t="array" ref="P67">IFERROR(INDEX('Country Competitivness'!$H$4:$R$178,Tabela2[[#This Row],[ID]],'Config!'!$BA$15-2010+1),"")</f>
        <v>3.9994524639097739</v>
      </c>
      <c r="Q67" s="527" cm="1">
        <f t="array" ref="Q67">IFERROR(INDEX('Country Competitivness'!$AJ$4:$AT$178,Tabela2[[#This Row],[ID]],MAX(1,'Config!'!$BA$15-2010)),"")</f>
        <v>5.3198361476190472</v>
      </c>
      <c r="R67" s="527" cm="1">
        <f t="array" ref="R67">IFERROR(INDEX('Country Competitivness'!$BM$4:$BW$178,Tabela2[[#This Row],[ID]],'Config!'!$BA$15-2010+1),"")</f>
        <v>2.7158646571428569</v>
      </c>
      <c r="S67" s="578" t="str" cm="1">
        <f t="array" ref="S6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7" s="537" t="str" cm="1">
        <f t="array" ref="T67">IF('Config!'!$BA$15=2010,".",IF(INDEX('Result data'!$R$216:$AA$390,'IMS Seg. Table'!$A67,'Config!'!$BA$15-2010)=".",".",INDEX('Result data'!$R$216:$AA$390,'IMS Seg. Table'!$A67,'Config!'!$BA$15-2010)))</f>
        <v>.</v>
      </c>
      <c r="U67" s="579" t="str">
        <f t="shared" si="30"/>
        <v>.</v>
      </c>
      <c r="V67" s="530" t="str" cm="1">
        <f t="array" ref="V67">IF(Tabela2[[#This Row],[Market Penetration (Category)]]=".",".",INDEX('Result data'!$BS$216:$CB$390,'IMS Seg. Table'!$A67,'Config!'!$BA$15-2010))</f>
        <v>.</v>
      </c>
      <c r="W67" s="563" t="str">
        <f>IF(Tabela2[[#This Row],[Market Demand (U$ millions)]]=".",".",Tabela2[[#This Row],[Market Demand (U$ millions)]]/Tabela2[[#This Row],[Active users (thousands)]])</f>
        <v>.</v>
      </c>
      <c r="X67" s="580" cm="1">
        <f t="array" ref="X67">IF('Config!'!$BA$15=2010,".",IF(INDEX('Result data'!$AE$216:$AN$390,'IMS Seg. Table'!$A67,'Config!'!$BA$15-2010)=".",0,INDEX('Result data'!$AE$216:$AN$390,'IMS Seg. Table'!$A67,'Config!'!$BA$15-2010)))</f>
        <v>0</v>
      </c>
      <c r="Y67" s="563" t="str">
        <f>IF('Config!'!$BA$15=2010,".",IF(Tabela2[[#This Row],[Number of competitors]]=0,".",SUMIF('Result data'!$N$216:$N$390,Tabela2[[#This Row],[ID]],'Result data'!$CP$216:$CP$393)))</f>
        <v>.</v>
      </c>
      <c r="Z67" s="563" t="str">
        <f>IF('Config!'!$BA$15=2010,".",IF(Tabela2[[#This Row],[Number of competitors]]=0,".",SUMIF('Result data'!$N$216:$N$390,Tabela2[[#This Row],[ID]],'Result data'!$DA$216:$DA$393)))</f>
        <v>.</v>
      </c>
      <c r="AA67" s="530" t="str" cm="1">
        <f t="array" ref="AA6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7" s="530" t="str" cm="1">
        <f t="array" ref="AB6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7" s="530" t="str" cm="1">
        <f t="array" ref="AD6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7" s="530" t="str" cm="1">
        <f t="array" ref="AE6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7" s="530" t="str" cm="1">
        <f t="array" ref="AF6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8" spans="1:32" x14ac:dyDescent="0.3">
      <c r="A68" s="568">
        <f>'Config!'!C54</f>
        <v>141</v>
      </c>
      <c r="B68" s="536" t="str">
        <f>'Config!'!A54</f>
        <v>Eslovênia</v>
      </c>
      <c r="C68" s="536" t="str">
        <f>'Config!'!B54</f>
        <v>União Européia</v>
      </c>
      <c r="D68" s="538" cm="1">
        <f t="array" ref="D68">IFERROR(INDEX(Population!$BD$3:$BN$177,'IMS Seg. Table'!$A68,'Config!'!$BA$15-2010+1),"")</f>
        <v>2057159</v>
      </c>
      <c r="E68" s="551" cm="1">
        <f t="array" ref="E68">IFERROR(INDEX(Population!$CH$3:$CH$178,'IMS Seg. Table'!$A68,1),"")</f>
        <v>20151</v>
      </c>
      <c r="F68" s="552">
        <f>IFERROR('IMS Seg. Table'!$D68/'IMS Seg. Table'!$E68,"")</f>
        <v>102.08719170264503</v>
      </c>
      <c r="G68" s="575" cm="1">
        <f t="array" ref="G68">IFERROR(INDEX('Country Competitivness'!$CL$4:$CX$178,Tabela2[[#This Row],[ID]],'Config!'!$AZ$17+1),".")</f>
        <v>104.54603681368501</v>
      </c>
      <c r="H68" s="540" cm="1">
        <f t="array" ref="H68">INDEX(GDP!$G$3:$S$177,'IMS Seg. Table'!$A68,'Config!'!$BA$15-2010+1)*1000000000</f>
        <v>46352802765.576324</v>
      </c>
      <c r="I68" s="539">
        <f t="shared" si="29"/>
        <v>22532.435638458828</v>
      </c>
      <c r="J68" s="576">
        <f>IFERROR(INDEX('Income Tax Rate (%)'!$F$2:$P$176,Tabela2[[#This Row],[ID]],'Config!'!$BA$15-2010+1)/100,"")</f>
        <v>0.5</v>
      </c>
      <c r="K68" s="577">
        <f>IFERROR(INDEX('Tariff Rate (%)'!$F$2:$P$176,Tabela2[[#This Row],[ID]],'Config!'!$BA$15-2010+1)/100,"")</f>
        <v>1.09E-2</v>
      </c>
      <c r="L68" s="577">
        <f>IFERROR(INDEX('Corporate Tax Rate (%)'!$F$2:$P$176,Tabela2[[#This Row],[ID]],'Config!'!$BA$15-2010+1)/100,"")</f>
        <v>0.16</v>
      </c>
      <c r="M68" s="527" cm="1">
        <f t="array" ref="M68">INDEX('Score-Starting a business'!$F$2:$P$176,'IMS Seg. Table'!$A68,'Config!'!$BA$15-2010+1)</f>
        <v>94.42</v>
      </c>
      <c r="N68" s="527" cm="1">
        <f t="array" ref="N68">IFERROR(INDEX('Country Competitivness'!$AX$4:$BH$178,Tabela2[[#This Row],[ID]],'Config!'!$BA$15-2010+1),"")</f>
        <v>2.995126</v>
      </c>
      <c r="O68" s="527" cm="1">
        <f t="array" ref="O68">IFERROR(INDEX('Country Competitivness'!$EE$4:$EO$178,Tabela2[[#This Row],[ID]],'Config!'!$BA$15-2010+1),"")</f>
        <v>4.6832079999999996</v>
      </c>
      <c r="P68" s="527" cm="1">
        <f t="array" ref="P68">IFERROR(INDEX('Country Competitivness'!$H$4:$R$178,Tabela2[[#This Row],[ID]],'Config!'!$BA$15-2010+1),"")</f>
        <v>4.18875147368421</v>
      </c>
      <c r="Q68" s="527" cm="1">
        <f t="array" ref="Q68">IFERROR(INDEX('Country Competitivness'!$AJ$4:$AT$178,Tabela2[[#This Row],[ID]],MAX(1,'Config!'!$BA$15-2010)),"")</f>
        <v>4.665618666666667</v>
      </c>
      <c r="R68" s="527" cm="1">
        <f t="array" ref="R68">IFERROR(INDEX('Country Competitivness'!$BM$4:$BW$178,Tabela2[[#This Row],[ID]],'Config!'!$BA$15-2010+1),"")</f>
        <v>3.0386989999999998</v>
      </c>
      <c r="S68" s="578" t="str" cm="1">
        <f t="array" ref="S6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8" s="537" t="str" cm="1">
        <f t="array" ref="T68">IF('Config!'!$BA$15=2010,".",IF(INDEX('Result data'!$R$216:$AA$390,'IMS Seg. Table'!$A68,'Config!'!$BA$15-2010)=".",".",INDEX('Result data'!$R$216:$AA$390,'IMS Seg. Table'!$A68,'Config!'!$BA$15-2010)))</f>
        <v>.</v>
      </c>
      <c r="U68" s="579" t="str">
        <f t="shared" si="30"/>
        <v>.</v>
      </c>
      <c r="V68" s="530" t="str" cm="1">
        <f t="array" ref="V68">IF(Tabela2[[#This Row],[Market Penetration (Category)]]=".",".",INDEX('Result data'!$BS$216:$CB$390,'IMS Seg. Table'!$A68,'Config!'!$BA$15-2010))</f>
        <v>.</v>
      </c>
      <c r="W68" s="563" t="str">
        <f>IF(Tabela2[[#This Row],[Market Demand (U$ millions)]]=".",".",Tabela2[[#This Row],[Market Demand (U$ millions)]]/Tabela2[[#This Row],[Active users (thousands)]])</f>
        <v>.</v>
      </c>
      <c r="X68" s="580" cm="1">
        <f t="array" ref="X68">IF('Config!'!$BA$15=2010,".",IF(INDEX('Result data'!$AE$216:$AN$390,'IMS Seg. Table'!$A68,'Config!'!$BA$15-2010)=".",0,INDEX('Result data'!$AE$216:$AN$390,'IMS Seg. Table'!$A68,'Config!'!$BA$15-2010)))</f>
        <v>0</v>
      </c>
      <c r="Y68" s="563" t="str">
        <f>IF('Config!'!$BA$15=2010,".",IF(Tabela2[[#This Row],[Number of competitors]]=0,".",SUMIF('Result data'!$N$216:$N$390,Tabela2[[#This Row],[ID]],'Result data'!$CP$216:$CP$393)))</f>
        <v>.</v>
      </c>
      <c r="Z68" s="563" t="str">
        <f>IF('Config!'!$BA$15=2010,".",IF(Tabela2[[#This Row],[Number of competitors]]=0,".",SUMIF('Result data'!$N$216:$N$390,Tabela2[[#This Row],[ID]],'Result data'!$DA$216:$DA$393)))</f>
        <v>.</v>
      </c>
      <c r="AA68" s="530" t="str" cm="1">
        <f t="array" ref="AA6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8" s="530" t="str" cm="1">
        <f t="array" ref="AB6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8" s="530" t="str" cm="1">
        <f t="array" ref="AD6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8" s="530" t="str" cm="1">
        <f t="array" ref="AE6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8" s="530" t="str" cm="1">
        <f t="array" ref="AF6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69" spans="1:32" x14ac:dyDescent="0.3">
      <c r="A69" s="569">
        <f>'Config!'!C55</f>
        <v>146</v>
      </c>
      <c r="B69" s="536" t="str">
        <f>'Config!'!A55</f>
        <v>Espanha</v>
      </c>
      <c r="C69" s="536" t="str">
        <f>'Config!'!B55</f>
        <v>União Européia</v>
      </c>
      <c r="D69" s="538" cm="1">
        <f t="array" ref="D69">IFERROR(INDEX(Population!$BD$3:$BN$177,'IMS Seg. Table'!$A69,'Config!'!$BA$15-2010+1),"")</f>
        <v>46773055</v>
      </c>
      <c r="E69" s="551" cm="1">
        <f t="array" ref="E69">IFERROR(INDEX(Population!$CH$3:$CH$178,'IMS Seg. Table'!$A69,1),"")</f>
        <v>498980</v>
      </c>
      <c r="F69" s="552">
        <f>IFERROR('IMS Seg. Table'!$D69/'IMS Seg. Table'!$E69,"")</f>
        <v>93.737334161689844</v>
      </c>
      <c r="G69" s="575" cm="1">
        <f t="array" ref="G69">IFERROR(INDEX('Country Competitivness'!$CL$4:$CX$178,Tabela2[[#This Row],[ID]],'Config!'!$AZ$17+1),".")</f>
        <v>111.75353059636799</v>
      </c>
      <c r="H69" s="540" cm="1">
        <f t="array" ref="H69">INDEX(GDP!$G$3:$S$177,'IMS Seg. Table'!$A69,'Config!'!$BA$15-2010+1)*1000000000</f>
        <v>1336018949805.5786</v>
      </c>
      <c r="I69" s="539">
        <f t="shared" si="29"/>
        <v>28563.859038191509</v>
      </c>
      <c r="J69" s="576">
        <f>IFERROR(INDEX('Income Tax Rate (%)'!$F$2:$P$176,Tabela2[[#This Row],[ID]],'Config!'!$BA$15-2010+1)/100,"")</f>
        <v>0.52</v>
      </c>
      <c r="K69" s="577">
        <f>IFERROR(INDEX('Tariff Rate (%)'!$F$2:$P$176,Tabela2[[#This Row],[ID]],'Config!'!$BA$15-2010+1)/100,"")</f>
        <v>1.09E-2</v>
      </c>
      <c r="L69" s="577">
        <f>IFERROR(INDEX('Corporate Tax Rate (%)'!$F$2:$P$176,Tabela2[[#This Row],[ID]],'Config!'!$BA$15-2010+1)/100,"")</f>
        <v>0.3</v>
      </c>
      <c r="M69" s="527" cm="1">
        <f t="array" ref="M69">INDEX('Score-Starting a business'!$F$2:$P$176,'IMS Seg. Table'!$A69,'Config!'!$BA$15-2010+1)</f>
        <v>78.19</v>
      </c>
      <c r="N69" s="527" cm="1">
        <f t="array" ref="N69">IFERROR(INDEX('Country Competitivness'!$AX$4:$BH$178,Tabela2[[#This Row],[ID]],'Config!'!$BA$15-2010+1),"")</f>
        <v>2.7676972589285711</v>
      </c>
      <c r="O69" s="527" cm="1">
        <f t="array" ref="O69">IFERROR(INDEX('Country Competitivness'!$EE$4:$EO$178,Tabela2[[#This Row],[ID]],'Config!'!$BA$15-2010+1),"")</f>
        <v>5.9091676500000005</v>
      </c>
      <c r="P69" s="527" cm="1">
        <f t="array" ref="P69">IFERROR(INDEX('Country Competitivness'!$H$4:$R$178,Tabela2[[#This Row],[ID]],'Config!'!$BA$15-2010+1),"")</f>
        <v>4.5086080969924813</v>
      </c>
      <c r="Q69" s="527" cm="1">
        <f t="array" ref="Q69">IFERROR(INDEX('Country Competitivness'!$AJ$4:$AT$178,Tabela2[[#This Row],[ID]],MAX(1,'Config!'!$BA$15-2010)),"")</f>
        <v>5.3251263976190479</v>
      </c>
      <c r="R69" s="527" cm="1">
        <f t="array" ref="R69">IFERROR(INDEX('Country Competitivness'!$BM$4:$BW$178,Tabela2[[#This Row],[ID]],'Config!'!$BA$15-2010+1),"")</f>
        <v>3.789929057142857</v>
      </c>
      <c r="S69" s="578" t="str" cm="1">
        <f t="array" ref="S6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69" s="537" t="str" cm="1">
        <f t="array" ref="T69">IF('Config!'!$BA$15=2010,".",IF(INDEX('Result data'!$R$216:$AA$390,'IMS Seg. Table'!$A69,'Config!'!$BA$15-2010)=".",".",INDEX('Result data'!$R$216:$AA$390,'IMS Seg. Table'!$A69,'Config!'!$BA$15-2010)))</f>
        <v>.</v>
      </c>
      <c r="U69" s="579" t="str">
        <f t="shared" si="30"/>
        <v>.</v>
      </c>
      <c r="V69" s="530" t="str" cm="1">
        <f t="array" ref="V69">IF(Tabela2[[#This Row],[Market Penetration (Category)]]=".",".",INDEX('Result data'!$BS$216:$CB$390,'IMS Seg. Table'!$A69,'Config!'!$BA$15-2010))</f>
        <v>.</v>
      </c>
      <c r="W69" s="563" t="str">
        <f>IF(Tabela2[[#This Row],[Market Demand (U$ millions)]]=".",".",Tabela2[[#This Row],[Market Demand (U$ millions)]]/Tabela2[[#This Row],[Active users (thousands)]])</f>
        <v>.</v>
      </c>
      <c r="X69" s="580" cm="1">
        <f t="array" ref="X69">IF('Config!'!$BA$15=2010,".",IF(INDEX('Result data'!$AE$216:$AN$390,'IMS Seg. Table'!$A69,'Config!'!$BA$15-2010)=".",0,INDEX('Result data'!$AE$216:$AN$390,'IMS Seg. Table'!$A69,'Config!'!$BA$15-2010)))</f>
        <v>0</v>
      </c>
      <c r="Y69" s="563" t="str">
        <f>IF('Config!'!$BA$15=2010,".",IF(Tabela2[[#This Row],[Number of competitors]]=0,".",SUMIF('Result data'!$N$216:$N$390,Tabela2[[#This Row],[ID]],'Result data'!$CP$216:$CP$393)))</f>
        <v>.</v>
      </c>
      <c r="Z69" s="563" t="str">
        <f>IF('Config!'!$BA$15=2010,".",IF(Tabela2[[#This Row],[Number of competitors]]=0,".",SUMIF('Result data'!$N$216:$N$390,Tabela2[[#This Row],[ID]],'Result data'!$DA$216:$DA$393)))</f>
        <v>.</v>
      </c>
      <c r="AA69" s="530" t="str" cm="1">
        <f t="array" ref="AA6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69" s="530" t="str" cm="1">
        <f t="array" ref="AB6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6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69" s="530" t="str" cm="1">
        <f t="array" ref="AD6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69" s="530" t="str" cm="1">
        <f t="array" ref="AE6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69" s="530" t="str" cm="1">
        <f t="array" ref="AF6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0" spans="1:32" x14ac:dyDescent="0.3">
      <c r="A70" s="568">
        <f>'Config!'!C56</f>
        <v>163</v>
      </c>
      <c r="B70" s="536" t="str">
        <f>'Config!'!A56</f>
        <v>Estados Unidos</v>
      </c>
      <c r="C70" s="536" t="str">
        <f>'Config!'!B56</f>
        <v>América do Norte</v>
      </c>
      <c r="D70" s="538" cm="1">
        <f t="array" ref="D70">IFERROR(INDEX(Population!$BD$3:$BN$177,'IMS Seg. Table'!$A70,'Config!'!$BA$15-2010+1),"")</f>
        <v>314102623</v>
      </c>
      <c r="E70" s="551" cm="1">
        <f t="array" ref="E70">IFERROR(INDEX(Population!$CH$3:$CH$178,'IMS Seg. Table'!$A70,1),"")</f>
        <v>9147593</v>
      </c>
      <c r="F70" s="552">
        <f>IFERROR('IMS Seg. Table'!$D70/'IMS Seg. Table'!$E70,"")</f>
        <v>34.337188263623013</v>
      </c>
      <c r="G70" s="575" cm="1">
        <f t="array" ref="G70">IFERROR(INDEX('Country Competitivness'!$CL$4:$CX$178,Tabela2[[#This Row],[ID]],'Config!'!$AZ$17+1),".")</f>
        <v>89.856450952805105</v>
      </c>
      <c r="H70" s="540" cm="1">
        <f t="array" ref="H70">INDEX(GDP!$G$3:$S$177,'IMS Seg. Table'!$A70,'Config!'!$BA$15-2010+1)*1000000000</f>
        <v>16197007349000</v>
      </c>
      <c r="I70" s="539">
        <f t="shared" si="29"/>
        <v>51565.972911343692</v>
      </c>
      <c r="J70" s="576">
        <f>IFERROR(INDEX('Income Tax Rate (%)'!$F$2:$P$176,Tabela2[[#This Row],[ID]],'Config!'!$BA$15-2010+1)/100,"")</f>
        <v>0.39600000000000002</v>
      </c>
      <c r="K70" s="577">
        <f>IFERROR(INDEX('Tariff Rate (%)'!$F$2:$P$176,Tabela2[[#This Row],[ID]],'Config!'!$BA$15-2010+1)/100,"")</f>
        <v>1.5800000000000002E-2</v>
      </c>
      <c r="L70" s="577">
        <f>IFERROR(INDEX('Corporate Tax Rate (%)'!$F$2:$P$176,Tabela2[[#This Row],[ID]],'Config!'!$BA$15-2010+1)/100,"")</f>
        <v>0.35</v>
      </c>
      <c r="M70" s="527" cm="1">
        <f t="array" ref="M70">INDEX('Score-Starting a business'!$F$2:$P$176,'IMS Seg. Table'!$A70,'Config!'!$BA$15-2010+1)</f>
        <v>90.926666666666705</v>
      </c>
      <c r="N70" s="527" cm="1">
        <f t="array" ref="N70">IFERROR(INDEX('Country Competitivness'!$AX$4:$BH$178,Tabela2[[#This Row],[ID]],'Config!'!$BA$15-2010+1),"")</f>
        <v>3.4181904033760189</v>
      </c>
      <c r="O70" s="527" cm="1">
        <f t="array" ref="O70">IFERROR(INDEX('Country Competitivness'!$EE$4:$EO$178,Tabela2[[#This Row],[ID]],'Config!'!$BA$15-2010+1),"")</f>
        <v>5.6948229661233993</v>
      </c>
      <c r="P70" s="527" cm="1">
        <f t="array" ref="P70">IFERROR(INDEX('Country Competitivness'!$H$4:$R$178,Tabela2[[#This Row],[ID]],'Config!'!$BA$15-2010+1),"")</f>
        <v>5.3516952756326202</v>
      </c>
      <c r="Q70" s="527" cm="1">
        <f t="array" ref="Q70">IFERROR(INDEX('Country Competitivness'!$AJ$4:$AT$178,Tabela2[[#This Row],[ID]],MAX(1,'Config!'!$BA$15-2010)),"")</f>
        <v>5.7005586090415212</v>
      </c>
      <c r="R70" s="527" cm="1">
        <f t="array" ref="R70">IFERROR(INDEX('Country Competitivness'!$BM$4:$BW$178,Tabela2[[#This Row],[ID]],'Config!'!$BA$15-2010+1),"")</f>
        <v>4.555232578230501</v>
      </c>
      <c r="S70" s="578" cm="1">
        <f t="array" ref="S7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2011</v>
      </c>
      <c r="T70" s="537" cm="1">
        <f t="array" ref="T70">IF('Config!'!$BA$15=2010,".",IF(INDEX('Result data'!$R$216:$AA$390,'IMS Seg. Table'!$A70,'Config!'!$BA$15-2010)=".",".",INDEX('Result data'!$R$216:$AA$390,'IMS Seg. Table'!$A70,'Config!'!$BA$15-2010)))</f>
        <v>8692541</v>
      </c>
      <c r="U70" s="579">
        <f t="shared" si="30"/>
        <v>2.767420697406911E-2</v>
      </c>
      <c r="V70" s="530" cm="1">
        <f t="array" ref="V70">IF(Tabela2[[#This Row],[Market Penetration (Category)]]=".",".",INDEX('Result data'!$BS$216:$CB$390,'IMS Seg. Table'!$A70,'Config!'!$BA$15-2010))</f>
        <v>192274689.46289992</v>
      </c>
      <c r="W70" s="563">
        <f>IF(Tabela2[[#This Row],[Market Demand (U$ millions)]]=".",".",Tabela2[[#This Row],[Market Demand (U$ millions)]]/Tabela2[[#This Row],[Active users (thousands)]])</f>
        <v>22.119503314726952</v>
      </c>
      <c r="X70" s="580" cm="1">
        <f t="array" ref="X70">IF('Config!'!$BA$15=2010,".",IF(INDEX('Result data'!$AE$216:$AN$390,'IMS Seg. Table'!$A70,'Config!'!$BA$15-2010)=".",0,INDEX('Result data'!$AE$216:$AN$390,'IMS Seg. Table'!$A70,'Config!'!$BA$15-2010)))</f>
        <v>1</v>
      </c>
      <c r="Y70" s="563">
        <f>IF('Config!'!$BA$15=2010,".",IF(Tabela2[[#This Row],[Number of competitors]]=0,".",SUMIF('Result data'!$N$216:$N$390,Tabela2[[#This Row],[ID]],'Result data'!$CP$216:$CP$393)))</f>
        <v>2.6759523514567283</v>
      </c>
      <c r="Z70" s="563">
        <f>IF('Config!'!$BA$15=2010,".",IF(Tabela2[[#This Row],[Number of competitors]]=0,".",SUMIF('Result data'!$N$216:$N$390,Tabela2[[#This Row],[ID]],'Result data'!$DA$216:$DA$393)))</f>
        <v>1.6055714108740369</v>
      </c>
      <c r="AA70" s="530" cm="1">
        <f t="array" ref="AA7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1239387.2968802506</v>
      </c>
      <c r="AB70" s="530" cm="1">
        <f t="array" ref="AB7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4957549.1875210032</v>
      </c>
      <c r="AC70" s="530">
        <f>IF('Config!'!$BA$15=2010,".",IF(Tabela2[[#This Row],[Local Marketing and Sales Expenses (millions)]]=".",".",SUM(Tabela2[[#This Row],[Global Marketing and Sales Expenses (millions)]:[Local Marketing and Sales Expenses (millions)]])))</f>
        <v>6196936.484401254</v>
      </c>
      <c r="AD70" s="530" cm="1">
        <f t="array" ref="AD7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9146785.184584219</v>
      </c>
      <c r="AE70" s="530" cm="1">
        <f t="array" ref="AE7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14027254.749800416</v>
      </c>
      <c r="AF70" s="530" cm="1">
        <f t="array" ref="AF7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8702812.7782168891</v>
      </c>
    </row>
    <row r="71" spans="1:32" x14ac:dyDescent="0.3">
      <c r="A71" s="569">
        <f>'Config!'!C57</f>
        <v>52</v>
      </c>
      <c r="B71" s="536" t="str">
        <f>'Config!'!A57</f>
        <v>Estônia</v>
      </c>
      <c r="C71" s="536" t="str">
        <f>'Config!'!B57</f>
        <v>União Européia</v>
      </c>
      <c r="D71" s="538" cm="1">
        <f t="array" ref="D71">IFERROR(INDEX(Population!$BD$3:$BN$177,'IMS Seg. Table'!$A71,'Config!'!$BA$15-2010+1),"")</f>
        <v>1322696</v>
      </c>
      <c r="E71" s="551" cm="1">
        <f t="array" ref="E71">IFERROR(INDEX(Population!$CH$3:$CH$178,'IMS Seg. Table'!$A71,1),"")</f>
        <v>42388</v>
      </c>
      <c r="F71" s="552">
        <f>IFERROR('IMS Seg. Table'!$D71/'IMS Seg. Table'!$E71,"")</f>
        <v>31.204491837312446</v>
      </c>
      <c r="G71" s="575" cm="1">
        <f t="array" ref="G71">IFERROR(INDEX('Country Competitivness'!$CL$4:$CX$178,Tabela2[[#This Row],[ID]],'Config!'!$AZ$17+1),".")</f>
        <v>123.23911001088599</v>
      </c>
      <c r="H71" s="540" cm="1">
        <f t="array" ref="H71">INDEX(GDP!$G$3:$S$177,'IMS Seg. Table'!$A71,'Config!'!$BA$15-2010+1)*1000000000</f>
        <v>23043864510.054344</v>
      </c>
      <c r="I71" s="539">
        <f t="shared" si="29"/>
        <v>17421.890222737758</v>
      </c>
      <c r="J71" s="576">
        <f>IFERROR(INDEX('Income Tax Rate (%)'!$F$2:$P$176,Tabela2[[#This Row],[ID]],'Config!'!$BA$15-2010+1)/100,"")</f>
        <v>0.21</v>
      </c>
      <c r="K71" s="577">
        <f>IFERROR(INDEX('Tariff Rate (%)'!$F$2:$P$176,Tabela2[[#This Row],[ID]],'Config!'!$BA$15-2010+1)/100,"")</f>
        <v>1.09E-2</v>
      </c>
      <c r="L71" s="577">
        <f>IFERROR(INDEX('Corporate Tax Rate (%)'!$F$2:$P$176,Tabela2[[#This Row],[ID]],'Config!'!$BA$15-2010+1)/100,"")</f>
        <v>0.21</v>
      </c>
      <c r="M71" s="527" cm="1">
        <f t="array" ref="M71">INDEX('Score-Starting a business'!$F$2:$P$176,'IMS Seg. Table'!$A71,'Config!'!$BA$15-2010+1)</f>
        <v>90.86</v>
      </c>
      <c r="N71" s="527" cm="1">
        <f t="array" ref="N71">IFERROR(INDEX('Country Competitivness'!$AX$4:$BH$178,Tabela2[[#This Row],[ID]],'Config!'!$BA$15-2010+1),"")</f>
        <v>4.330316933333334</v>
      </c>
      <c r="O71" s="527" cm="1">
        <f t="array" ref="O71">IFERROR(INDEX('Country Competitivness'!$EE$4:$EO$178,Tabela2[[#This Row],[ID]],'Config!'!$BA$15-2010+1),"")</f>
        <v>4.49001305</v>
      </c>
      <c r="P71" s="527" cm="1">
        <f t="array" ref="P71">IFERROR(INDEX('Country Competitivness'!$H$4:$R$178,Tabela2[[#This Row],[ID]],'Config!'!$BA$15-2010+1),"")</f>
        <v>4.1588604872807018</v>
      </c>
      <c r="Q71" s="527" cm="1">
        <f t="array" ref="Q71">IFERROR(INDEX('Country Competitivness'!$AJ$4:$AT$178,Tabela2[[#This Row],[ID]],MAX(1,'Config!'!$BA$15-2010)),"")</f>
        <v>5.4972686000000008</v>
      </c>
      <c r="R71" s="527" cm="1">
        <f t="array" ref="R71">IFERROR(INDEX('Country Competitivness'!$BM$4:$BW$178,Tabela2[[#This Row],[ID]],'Config!'!$BA$15-2010+1),"")</f>
        <v>3.1922071249999999</v>
      </c>
      <c r="S71" s="578" t="str" cm="1">
        <f t="array" ref="S7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1" s="537" t="str" cm="1">
        <f t="array" ref="T71">IF('Config!'!$BA$15=2010,".",IF(INDEX('Result data'!$R$216:$AA$390,'IMS Seg. Table'!$A71,'Config!'!$BA$15-2010)=".",".",INDEX('Result data'!$R$216:$AA$390,'IMS Seg. Table'!$A71,'Config!'!$BA$15-2010)))</f>
        <v>.</v>
      </c>
      <c r="U71" s="579" t="str">
        <f t="shared" si="30"/>
        <v>.</v>
      </c>
      <c r="V71" s="530" t="str" cm="1">
        <f t="array" ref="V71">IF(Tabela2[[#This Row],[Market Penetration (Category)]]=".",".",INDEX('Result data'!$BS$216:$CB$390,'IMS Seg. Table'!$A71,'Config!'!$BA$15-2010))</f>
        <v>.</v>
      </c>
      <c r="W71" s="563" t="str">
        <f>IF(Tabela2[[#This Row],[Market Demand (U$ millions)]]=".",".",Tabela2[[#This Row],[Market Demand (U$ millions)]]/Tabela2[[#This Row],[Active users (thousands)]])</f>
        <v>.</v>
      </c>
      <c r="X71" s="580" cm="1">
        <f t="array" ref="X71">IF('Config!'!$BA$15=2010,".",IF(INDEX('Result data'!$AE$216:$AN$390,'IMS Seg. Table'!$A71,'Config!'!$BA$15-2010)=".",0,INDEX('Result data'!$AE$216:$AN$390,'IMS Seg. Table'!$A71,'Config!'!$BA$15-2010)))</f>
        <v>0</v>
      </c>
      <c r="Y71" s="563" t="str">
        <f>IF('Config!'!$BA$15=2010,".",IF(Tabela2[[#This Row],[Number of competitors]]=0,".",SUMIF('Result data'!$N$216:$N$390,Tabela2[[#This Row],[ID]],'Result data'!$CP$216:$CP$393)))</f>
        <v>.</v>
      </c>
      <c r="Z71" s="563" t="str">
        <f>IF('Config!'!$BA$15=2010,".",IF(Tabela2[[#This Row],[Number of competitors]]=0,".",SUMIF('Result data'!$N$216:$N$390,Tabela2[[#This Row],[ID]],'Result data'!$DA$216:$DA$393)))</f>
        <v>.</v>
      </c>
      <c r="AA71" s="530" t="str" cm="1">
        <f t="array" ref="AA7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1" s="530" t="str" cm="1">
        <f t="array" ref="AB7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1" s="530" t="str" cm="1">
        <f t="array" ref="AD7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1" s="530" t="str" cm="1">
        <f t="array" ref="AE7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1" s="530" t="str" cm="1">
        <f t="array" ref="AF7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2" spans="1:32" x14ac:dyDescent="0.3">
      <c r="A72" s="568">
        <f>'Config!'!C58</f>
        <v>53</v>
      </c>
      <c r="B72" s="536" t="str">
        <f>'Config!'!A58</f>
        <v>Etiópia</v>
      </c>
      <c r="C72" s="536" t="str">
        <f>'Config!'!B58</f>
        <v>África Subsaariana</v>
      </c>
      <c r="D72" s="538" cm="1">
        <f t="array" ref="D72">IFERROR(INDEX(Population!$BD$3:$BN$177,'IMS Seg. Table'!$A72,'Config!'!$BA$15-2010+1),"")</f>
        <v>92191211</v>
      </c>
      <c r="E72" s="551" cm="1">
        <f t="array" ref="E72">IFERROR(INDEX(Population!$CH$3:$CH$178,'IMS Seg. Table'!$A72,1),"")</f>
        <v>1000000</v>
      </c>
      <c r="F72" s="552">
        <f>IFERROR('IMS Seg. Table'!$D72/'IMS Seg. Table'!$E72,"")</f>
        <v>92.191210999999996</v>
      </c>
      <c r="G72" s="575" cm="1">
        <f t="array" ref="G72">IFERROR(INDEX('Country Competitivness'!$CL$4:$CX$178,Tabela2[[#This Row],[ID]],'Config!'!$AZ$17+1),".")</f>
        <v>7.8569355796676401</v>
      </c>
      <c r="H72" s="540" cm="1">
        <f t="array" ref="H72">INDEX(GDP!$G$3:$S$177,'IMS Seg. Table'!$A72,'Config!'!$BA$15-2010+1)*1000000000</f>
        <v>43310721414.082886</v>
      </c>
      <c r="I72" s="539">
        <f t="shared" si="29"/>
        <v>469.79230388982398</v>
      </c>
      <c r="J72" s="576">
        <f>IFERROR(INDEX('Income Tax Rate (%)'!$F$2:$P$176,Tabela2[[#This Row],[ID]],'Config!'!$BA$15-2010+1)/100,"")</f>
        <v>0.35</v>
      </c>
      <c r="K72" s="577">
        <f>IFERROR(INDEX('Tariff Rate (%)'!$F$2:$P$176,Tabela2[[#This Row],[ID]],'Config!'!$BA$15-2010+1)/100,"")</f>
        <v>0.10400000000000001</v>
      </c>
      <c r="L72" s="577">
        <f>IFERROR(INDEX('Corporate Tax Rate (%)'!$F$2:$P$176,Tabela2[[#This Row],[ID]],'Config!'!$BA$15-2010+1)/100,"")</f>
        <v>0.3</v>
      </c>
      <c r="M72" s="527" cm="1">
        <f t="array" ref="M72">INDEX('Score-Starting a business'!$F$2:$P$176,'IMS Seg. Table'!$A72,'Config!'!$BA$15-2010+1)</f>
        <v>27.95</v>
      </c>
      <c r="N72" s="527" cm="1">
        <f t="array" ref="N72">IFERROR(INDEX('Country Competitivness'!$AX$4:$BH$178,Tabela2[[#This Row],[ID]],'Config!'!$BA$15-2010+1),"")</f>
        <v>3.5721995125000001</v>
      </c>
      <c r="O72" s="527" cm="1">
        <f t="array" ref="O72">IFERROR(INDEX('Country Competitivness'!$EE$4:$EO$178,Tabela2[[#This Row],[ID]],'Config!'!$BA$15-2010+1),"")</f>
        <v>4.0538096499999998</v>
      </c>
      <c r="P72" s="527" cm="1">
        <f t="array" ref="P72">IFERROR(INDEX('Country Competitivness'!$H$4:$R$178,Tabela2[[#This Row],[ID]],'Config!'!$BA$15-2010+1),"")</f>
        <v>3.0908764037280703</v>
      </c>
      <c r="Q72" s="527" cm="1">
        <f t="array" ref="Q72">IFERROR(INDEX('Country Competitivness'!$AJ$4:$AT$178,Tabela2[[#This Row],[ID]],MAX(1,'Config!'!$BA$15-2010)),"")</f>
        <v>3.8063162854166666</v>
      </c>
      <c r="R72" s="527" cm="1">
        <f t="array" ref="R72">IFERROR(INDEX('Country Competitivness'!$BM$4:$BW$178,Tabela2[[#This Row],[ID]],'Config!'!$BA$15-2010+1),"")</f>
        <v>2.8315056270833332</v>
      </c>
      <c r="S72" s="578" t="str" cm="1">
        <f t="array" ref="S7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2" s="537" t="str" cm="1">
        <f t="array" ref="T72">IF('Config!'!$BA$15=2010,".",IF(INDEX('Result data'!$R$216:$AA$390,'IMS Seg. Table'!$A72,'Config!'!$BA$15-2010)=".",".",INDEX('Result data'!$R$216:$AA$390,'IMS Seg. Table'!$A72,'Config!'!$BA$15-2010)))</f>
        <v>.</v>
      </c>
      <c r="U72" s="579" t="str">
        <f t="shared" si="30"/>
        <v>.</v>
      </c>
      <c r="V72" s="530" t="str" cm="1">
        <f t="array" ref="V72">IF(Tabela2[[#This Row],[Market Penetration (Category)]]=".",".",INDEX('Result data'!$BS$216:$CB$390,'IMS Seg. Table'!$A72,'Config!'!$BA$15-2010))</f>
        <v>.</v>
      </c>
      <c r="W72" s="563" t="str">
        <f>IF(Tabela2[[#This Row],[Market Demand (U$ millions)]]=".",".",Tabela2[[#This Row],[Market Demand (U$ millions)]]/Tabela2[[#This Row],[Active users (thousands)]])</f>
        <v>.</v>
      </c>
      <c r="X72" s="580" cm="1">
        <f t="array" ref="X72">IF('Config!'!$BA$15=2010,".",IF(INDEX('Result data'!$AE$216:$AN$390,'IMS Seg. Table'!$A72,'Config!'!$BA$15-2010)=".",0,INDEX('Result data'!$AE$216:$AN$390,'IMS Seg. Table'!$A72,'Config!'!$BA$15-2010)))</f>
        <v>0</v>
      </c>
      <c r="Y72" s="563" t="str">
        <f>IF('Config!'!$BA$15=2010,".",IF(Tabela2[[#This Row],[Number of competitors]]=0,".",SUMIF('Result data'!$N$216:$N$390,Tabela2[[#This Row],[ID]],'Result data'!$CP$216:$CP$393)))</f>
        <v>.</v>
      </c>
      <c r="Z72" s="563" t="str">
        <f>IF('Config!'!$BA$15=2010,".",IF(Tabela2[[#This Row],[Number of competitors]]=0,".",SUMIF('Result data'!$N$216:$N$390,Tabela2[[#This Row],[ID]],'Result data'!$DA$216:$DA$393)))</f>
        <v>.</v>
      </c>
      <c r="AA72" s="530" t="str" cm="1">
        <f t="array" ref="AA7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2" s="530" t="str" cm="1">
        <f t="array" ref="AB7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2" s="530" t="str" cm="1">
        <f t="array" ref="AD7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2" s="530" t="str" cm="1">
        <f t="array" ref="AE7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2" s="530" t="str" cm="1">
        <f t="array" ref="AF7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3" spans="1:32" x14ac:dyDescent="0.3">
      <c r="A73" s="569">
        <f>'Config!'!C59</f>
        <v>130</v>
      </c>
      <c r="B73" s="536" t="str">
        <f>'Config!'!A59</f>
        <v>Federação Russa</v>
      </c>
      <c r="C73" s="536" t="str">
        <f>'Config!'!B59</f>
        <v>Europa</v>
      </c>
      <c r="D73" s="538" cm="1">
        <f t="array" ref="D73">IFERROR(INDEX(Population!$BD$3:$BN$177,'IMS Seg. Table'!$A73,'Config!'!$BA$15-2010+1),"")</f>
        <v>143201676</v>
      </c>
      <c r="E73" s="551" cm="1">
        <f t="array" ref="E73">IFERROR(INDEX(Population!$CH$3:$CH$178,'IMS Seg. Table'!$A73,1),"")</f>
        <v>16377742</v>
      </c>
      <c r="F73" s="552">
        <f>IFERROR('IMS Seg. Table'!$D73/'IMS Seg. Table'!$E73,"")</f>
        <v>8.7436763871356629</v>
      </c>
      <c r="G73" s="575" cm="1">
        <f t="array" ref="G73">IFERROR(INDEX('Country Competitivness'!$CL$4:$CX$178,Tabela2[[#This Row],[ID]],'Config!'!$AZ$17+1),".")</f>
        <v>166.26488292057201</v>
      </c>
      <c r="H73" s="540" cm="1">
        <f t="array" ref="H73">INDEX(GDP!$G$3:$S$177,'IMS Seg. Table'!$A73,'Config!'!$BA$15-2010+1)*1000000000</f>
        <v>2210256976944.7437</v>
      </c>
      <c r="I73" s="539">
        <f t="shared" si="29"/>
        <v>15434.574780708179</v>
      </c>
      <c r="J73" s="576">
        <f>IFERROR(INDEX('Income Tax Rate (%)'!$F$2:$P$176,Tabela2[[#This Row],[ID]],'Config!'!$BA$15-2010+1)/100,"")</f>
        <v>0.13</v>
      </c>
      <c r="K73" s="577">
        <f>IFERROR(INDEX('Tariff Rate (%)'!$F$2:$P$176,Tabela2[[#This Row],[ID]],'Config!'!$BA$15-2010+1)/100,"")</f>
        <v>5.2000000000000005E-2</v>
      </c>
      <c r="L73" s="577">
        <f>IFERROR(INDEX('Corporate Tax Rate (%)'!$F$2:$P$176,Tabela2[[#This Row],[ID]],'Config!'!$BA$15-2010+1)/100,"")</f>
        <v>0.2</v>
      </c>
      <c r="M73" s="527" cm="1">
        <f t="array" ref="M73">INDEX('Score-Starting a business'!$F$2:$P$176,'IMS Seg. Table'!$A73,'Config!'!$BA$15-2010+1)</f>
        <v>85.873333333333406</v>
      </c>
      <c r="N73" s="527" cm="1">
        <f t="array" ref="N73">IFERROR(INDEX('Country Competitivness'!$AX$4:$BH$178,Tabela2[[#This Row],[ID]],'Config!'!$BA$15-2010+1),"")</f>
        <v>2.41619592780083</v>
      </c>
      <c r="O73" s="527" cm="1">
        <f t="array" ref="O73">IFERROR(INDEX('Country Competitivness'!$EE$4:$EO$178,Tabela2[[#This Row],[ID]],'Config!'!$BA$15-2010+1),"")</f>
        <v>2.4070303053941906</v>
      </c>
      <c r="P73" s="527" cm="1">
        <f t="array" ref="P73">IFERROR(INDEX('Country Competitivness'!$H$4:$R$178,Tabela2[[#This Row],[ID]],'Config!'!$BA$15-2010+1),"")</f>
        <v>3.3371332705248604</v>
      </c>
      <c r="Q73" s="527" cm="1">
        <f t="array" ref="Q73">IFERROR(INDEX('Country Competitivness'!$AJ$4:$AT$178,Tabela2[[#This Row],[ID]],MAX(1,'Config!'!$BA$15-2010)),"")</f>
        <v>3.8616962013831255</v>
      </c>
      <c r="R73" s="527" cm="1">
        <f t="array" ref="R73">IFERROR(INDEX('Country Competitivness'!$BM$4:$BW$178,Tabela2[[#This Row],[ID]],'Config!'!$BA$15-2010+1),"")</f>
        <v>3.5915561289073308</v>
      </c>
      <c r="S73" s="578" t="str" cm="1">
        <f t="array" ref="S7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3" s="537" t="str" cm="1">
        <f t="array" ref="T73">IF('Config!'!$BA$15=2010,".",IF(INDEX('Result data'!$R$216:$AA$390,'IMS Seg. Table'!$A73,'Config!'!$BA$15-2010)=".",".",INDEX('Result data'!$R$216:$AA$390,'IMS Seg. Table'!$A73,'Config!'!$BA$15-2010)))</f>
        <v>.</v>
      </c>
      <c r="U73" s="579" t="str">
        <f t="shared" si="30"/>
        <v>.</v>
      </c>
      <c r="V73" s="530" t="str" cm="1">
        <f t="array" ref="V73">IF(Tabela2[[#This Row],[Market Penetration (Category)]]=".",".",INDEX('Result data'!$BS$216:$CB$390,'IMS Seg. Table'!$A73,'Config!'!$BA$15-2010))</f>
        <v>.</v>
      </c>
      <c r="W73" s="563" t="str">
        <f>IF(Tabela2[[#This Row],[Market Demand (U$ millions)]]=".",".",Tabela2[[#This Row],[Market Demand (U$ millions)]]/Tabela2[[#This Row],[Active users (thousands)]])</f>
        <v>.</v>
      </c>
      <c r="X73" s="580" cm="1">
        <f t="array" ref="X73">IF('Config!'!$BA$15=2010,".",IF(INDEX('Result data'!$AE$216:$AN$390,'IMS Seg. Table'!$A73,'Config!'!$BA$15-2010)=".",0,INDEX('Result data'!$AE$216:$AN$390,'IMS Seg. Table'!$A73,'Config!'!$BA$15-2010)))</f>
        <v>0</v>
      </c>
      <c r="Y73" s="563" t="str">
        <f>IF('Config!'!$BA$15=2010,".",IF(Tabela2[[#This Row],[Number of competitors]]=0,".",SUMIF('Result data'!$N$216:$N$390,Tabela2[[#This Row],[ID]],'Result data'!$CP$216:$CP$393)))</f>
        <v>.</v>
      </c>
      <c r="Z73" s="563" t="str">
        <f>IF('Config!'!$BA$15=2010,".",IF(Tabela2[[#This Row],[Number of competitors]]=0,".",SUMIF('Result data'!$N$216:$N$390,Tabela2[[#This Row],[ID]],'Result data'!$DA$216:$DA$393)))</f>
        <v>.</v>
      </c>
      <c r="AA73" s="530" t="str" cm="1">
        <f t="array" ref="AA7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3" s="530" t="str" cm="1">
        <f t="array" ref="AB7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3" s="530" t="str" cm="1">
        <f t="array" ref="AD7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3" s="530" t="str" cm="1">
        <f t="array" ref="AE7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3" s="530" t="str" cm="1">
        <f t="array" ref="AF7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4" spans="1:32" x14ac:dyDescent="0.3">
      <c r="A74" s="568">
        <f>'Config!'!C60</f>
        <v>54</v>
      </c>
      <c r="B74" s="536" t="str">
        <f>'Config!'!A60</f>
        <v>Fiji</v>
      </c>
      <c r="C74" s="536" t="str">
        <f>'Config!'!B60</f>
        <v>Oceânia</v>
      </c>
      <c r="D74" s="538" cm="1">
        <f t="array" ref="D74">IFERROR(INDEX(Population!$BD$3:$BN$177,'IMS Seg. Table'!$A74,'Config!'!$BA$15-2010+1),"")</f>
        <v>874158</v>
      </c>
      <c r="E74" s="551" cm="1">
        <f t="array" ref="E74">IFERROR(INDEX(Population!$CH$3:$CH$178,'IMS Seg. Table'!$A74,1),"")</f>
        <v>18274</v>
      </c>
      <c r="F74" s="552">
        <f>IFERROR('IMS Seg. Table'!$D74/'IMS Seg. Table'!$E74,"")</f>
        <v>47.836160665426291</v>
      </c>
      <c r="G74" s="575" cm="1">
        <f t="array" ref="G74">IFERROR(INDEX('Country Competitivness'!$CL$4:$CX$178,Tabela2[[#This Row],[ID]],'Config!'!$AZ$17+1),".")</f>
        <v>72.040000000000006</v>
      </c>
      <c r="H74" s="540" cm="1">
        <f t="array" ref="H74">INDEX(GDP!$G$3:$S$177,'IMS Seg. Table'!$A74,'Config!'!$BA$15-2010+1)*1000000000</f>
        <v>3972012570.5346665</v>
      </c>
      <c r="I74" s="539">
        <f t="shared" si="29"/>
        <v>4543.8153863885782</v>
      </c>
      <c r="J74" s="576">
        <f>IFERROR(INDEX('Income Tax Rate (%)'!$F$2:$P$176,Tabela2[[#This Row],[ID]],'Config!'!$BA$15-2010+1)/100,"")</f>
        <v>0.28999999999999998</v>
      </c>
      <c r="K74" s="577">
        <f>IFERROR(INDEX('Tariff Rate (%)'!$F$2:$P$176,Tabela2[[#This Row],[ID]],'Config!'!$BA$15-2010+1)/100,"")</f>
        <v>9.8900000000000002E-2</v>
      </c>
      <c r="L74" s="577">
        <f>IFERROR(INDEX('Corporate Tax Rate (%)'!$F$2:$P$176,Tabela2[[#This Row],[ID]],'Config!'!$BA$15-2010+1)/100,"")</f>
        <v>0.2</v>
      </c>
      <c r="M74" s="527" cm="1">
        <f t="array" ref="M74">INDEX('Score-Starting a business'!$F$2:$P$176,'IMS Seg. Table'!$A74,'Config!'!$BA$15-2010+1)</f>
        <v>74.17</v>
      </c>
      <c r="N74" s="527" cm="1">
        <f t="array" ref="N74">IFERROR(INDEX('Country Competitivness'!$AX$4:$BH$178,Tabela2[[#This Row],[ID]],'Config!'!$BA$15-2010+1),"")</f>
        <v>3.43</v>
      </c>
      <c r="O74" s="527" cm="1">
        <f t="array" ref="O74">IFERROR(INDEX('Country Competitivness'!$EE$4:$EO$178,Tabela2[[#This Row],[ID]],'Config!'!$BA$15-2010+1),"")</f>
        <v>4.8600000000000003</v>
      </c>
      <c r="P74" s="527" cm="1">
        <f t="array" ref="P74">IFERROR(INDEX('Country Competitivness'!$H$4:$R$178,Tabela2[[#This Row],[ID]],'Config!'!$BA$15-2010+1),"")</f>
        <v>3.68</v>
      </c>
      <c r="Q74" s="527" cm="1">
        <f t="array" ref="Q74">IFERROR(INDEX('Country Competitivness'!$AJ$4:$AT$178,Tabela2[[#This Row],[ID]],MAX(1,'Config!'!$BA$15-2010)),"")</f>
        <v>4.45</v>
      </c>
      <c r="R74" s="527" cm="1">
        <f t="array" ref="R74">IFERROR(INDEX('Country Competitivness'!$BM$4:$BW$178,Tabela2[[#This Row],[ID]],'Config!'!$BA$15-2010+1),"")</f>
        <v>3.39</v>
      </c>
      <c r="S74" s="578" t="str" cm="1">
        <f t="array" ref="S7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4" s="537" t="str" cm="1">
        <f t="array" ref="T74">IF('Config!'!$BA$15=2010,".",IF(INDEX('Result data'!$R$216:$AA$390,'IMS Seg. Table'!$A74,'Config!'!$BA$15-2010)=".",".",INDEX('Result data'!$R$216:$AA$390,'IMS Seg. Table'!$A74,'Config!'!$BA$15-2010)))</f>
        <v>.</v>
      </c>
      <c r="U74" s="579" t="str">
        <f t="shared" si="30"/>
        <v>.</v>
      </c>
      <c r="V74" s="530" t="str" cm="1">
        <f t="array" ref="V74">IF(Tabela2[[#This Row],[Market Penetration (Category)]]=".",".",INDEX('Result data'!$BS$216:$CB$390,'IMS Seg. Table'!$A74,'Config!'!$BA$15-2010))</f>
        <v>.</v>
      </c>
      <c r="W74" s="563" t="str">
        <f>IF(Tabela2[[#This Row],[Market Demand (U$ millions)]]=".",".",Tabela2[[#This Row],[Market Demand (U$ millions)]]/Tabela2[[#This Row],[Active users (thousands)]])</f>
        <v>.</v>
      </c>
      <c r="X74" s="580" cm="1">
        <f t="array" ref="X74">IF('Config!'!$BA$15=2010,".",IF(INDEX('Result data'!$AE$216:$AN$390,'IMS Seg. Table'!$A74,'Config!'!$BA$15-2010)=".",0,INDEX('Result data'!$AE$216:$AN$390,'IMS Seg. Table'!$A74,'Config!'!$BA$15-2010)))</f>
        <v>0</v>
      </c>
      <c r="Y74" s="563" t="str">
        <f>IF('Config!'!$BA$15=2010,".",IF(Tabela2[[#This Row],[Number of competitors]]=0,".",SUMIF('Result data'!$N$216:$N$390,Tabela2[[#This Row],[ID]],'Result data'!$CP$216:$CP$393)))</f>
        <v>.</v>
      </c>
      <c r="Z74" s="563" t="str">
        <f>IF('Config!'!$BA$15=2010,".",IF(Tabela2[[#This Row],[Number of competitors]]=0,".",SUMIF('Result data'!$N$216:$N$390,Tabela2[[#This Row],[ID]],'Result data'!$DA$216:$DA$393)))</f>
        <v>.</v>
      </c>
      <c r="AA74" s="530" t="str" cm="1">
        <f t="array" ref="AA7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4" s="530" t="str" cm="1">
        <f t="array" ref="AB7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4" s="530" t="str" cm="1">
        <f t="array" ref="AD7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4" s="530" t="str" cm="1">
        <f t="array" ref="AE7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4" s="530" t="str" cm="1">
        <f t="array" ref="AF7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5" spans="1:32" x14ac:dyDescent="0.3">
      <c r="A75" s="569">
        <f>'Config!'!C61</f>
        <v>124</v>
      </c>
      <c r="B75" s="536" t="str">
        <f>'Config!'!A61</f>
        <v>Filipinas</v>
      </c>
      <c r="C75" s="536" t="str">
        <f>'Config!'!B61</f>
        <v>Ásia-Pacífico</v>
      </c>
      <c r="D75" s="538" cm="1">
        <f t="array" ref="D75">IFERROR(INDEX(Population!$BD$3:$BN$177,'IMS Seg. Table'!$A75,'Config!'!$BA$15-2010+1),"")</f>
        <v>96017322</v>
      </c>
      <c r="E75" s="551" cm="1">
        <f t="array" ref="E75">IFERROR(INDEX(Population!$CH$3:$CH$178,'IMS Seg. Table'!$A75,1),"")</f>
        <v>298170</v>
      </c>
      <c r="F75" s="552">
        <f>IFERROR('IMS Seg. Table'!$D75/'IMS Seg. Table'!$E75,"")</f>
        <v>322.02207465539794</v>
      </c>
      <c r="G75" s="575" cm="1">
        <f t="array" ref="G75">IFERROR(INDEX('Country Competitivness'!$CL$4:$CX$178,Tabela2[[#This Row],[ID]],'Config!'!$AZ$17+1),".")</f>
        <v>85.669056788469703</v>
      </c>
      <c r="H75" s="540" cm="1">
        <f t="array" ref="H75">INDEX(GDP!$G$3:$S$177,'IMS Seg. Table'!$A75,'Config!'!$BA$15-2010+1)*1000000000</f>
        <v>250092092998.14346</v>
      </c>
      <c r="I75" s="539">
        <f t="shared" si="29"/>
        <v>2604.655991115264</v>
      </c>
      <c r="J75" s="576">
        <f>IFERROR(INDEX('Income Tax Rate (%)'!$F$2:$P$176,Tabela2[[#This Row],[ID]],'Config!'!$BA$15-2010+1)/100,"")</f>
        <v>0.32</v>
      </c>
      <c r="K75" s="577">
        <f>IFERROR(INDEX('Tariff Rate (%)'!$F$2:$P$176,Tabela2[[#This Row],[ID]],'Config!'!$BA$15-2010+1)/100,"")</f>
        <v>4.7699999999999992E-2</v>
      </c>
      <c r="L75" s="577">
        <f>IFERROR(INDEX('Corporate Tax Rate (%)'!$F$2:$P$176,Tabela2[[#This Row],[ID]],'Config!'!$BA$15-2010+1)/100,"")</f>
        <v>0.3</v>
      </c>
      <c r="M75" s="527" cm="1">
        <f t="array" ref="M75">INDEX('Score-Starting a business'!$F$2:$P$176,'IMS Seg. Table'!$A75,'Config!'!$BA$15-2010+1)</f>
        <v>66.31</v>
      </c>
      <c r="N75" s="527" cm="1">
        <f t="array" ref="N75">IFERROR(INDEX('Country Competitivness'!$AX$4:$BH$178,Tabela2[[#This Row],[ID]],'Config!'!$BA$15-2010+1),"")</f>
        <v>2.5719269942857141</v>
      </c>
      <c r="O75" s="527" cm="1">
        <f t="array" ref="O75">IFERROR(INDEX('Country Competitivness'!$EE$4:$EO$178,Tabela2[[#This Row],[ID]],'Config!'!$BA$15-2010+1),"")</f>
        <v>3.1129835428571431</v>
      </c>
      <c r="P75" s="527" cm="1">
        <f t="array" ref="P75">IFERROR(INDEX('Country Competitivness'!$H$4:$R$178,Tabela2[[#This Row],[ID]],'Config!'!$BA$15-2010+1),"")</f>
        <v>4.1100004448120302</v>
      </c>
      <c r="Q75" s="527" cm="1">
        <f t="array" ref="Q75">IFERROR(INDEX('Country Competitivness'!$AJ$4:$AT$178,Tabela2[[#This Row],[ID]],MAX(1,'Config!'!$BA$15-2010)),"")</f>
        <v>4.9719862876190479</v>
      </c>
      <c r="R75" s="527" cm="1">
        <f t="array" ref="R75">IFERROR(INDEX('Country Competitivness'!$BM$4:$BW$178,Tabela2[[#This Row],[ID]],'Config!'!$BA$15-2010+1),"")</f>
        <v>3.5813396914285711</v>
      </c>
      <c r="S75" s="578" t="str" cm="1">
        <f t="array" ref="S7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5" s="537" t="str" cm="1">
        <f t="array" ref="T75">IF('Config!'!$BA$15=2010,".",IF(INDEX('Result data'!$R$216:$AA$390,'IMS Seg. Table'!$A75,'Config!'!$BA$15-2010)=".",".",INDEX('Result data'!$R$216:$AA$390,'IMS Seg. Table'!$A75,'Config!'!$BA$15-2010)))</f>
        <v>.</v>
      </c>
      <c r="U75" s="579" t="str">
        <f t="shared" si="30"/>
        <v>.</v>
      </c>
      <c r="V75" s="530" t="str" cm="1">
        <f t="array" ref="V75">IF(Tabela2[[#This Row],[Market Penetration (Category)]]=".",".",INDEX('Result data'!$BS$216:$CB$390,'IMS Seg. Table'!$A75,'Config!'!$BA$15-2010))</f>
        <v>.</v>
      </c>
      <c r="W75" s="563" t="str">
        <f>IF(Tabela2[[#This Row],[Market Demand (U$ millions)]]=".",".",Tabela2[[#This Row],[Market Demand (U$ millions)]]/Tabela2[[#This Row],[Active users (thousands)]])</f>
        <v>.</v>
      </c>
      <c r="X75" s="580" cm="1">
        <f t="array" ref="X75">IF('Config!'!$BA$15=2010,".",IF(INDEX('Result data'!$AE$216:$AN$390,'IMS Seg. Table'!$A75,'Config!'!$BA$15-2010)=".",0,INDEX('Result data'!$AE$216:$AN$390,'IMS Seg. Table'!$A75,'Config!'!$BA$15-2010)))</f>
        <v>0</v>
      </c>
      <c r="Y75" s="563" t="str">
        <f>IF('Config!'!$BA$15=2010,".",IF(Tabela2[[#This Row],[Number of competitors]]=0,".",SUMIF('Result data'!$N$216:$N$390,Tabela2[[#This Row],[ID]],'Result data'!$CP$216:$CP$393)))</f>
        <v>.</v>
      </c>
      <c r="Z75" s="563" t="str">
        <f>IF('Config!'!$BA$15=2010,".",IF(Tabela2[[#This Row],[Number of competitors]]=0,".",SUMIF('Result data'!$N$216:$N$390,Tabela2[[#This Row],[ID]],'Result data'!$DA$216:$DA$393)))</f>
        <v>.</v>
      </c>
      <c r="AA75" s="530" t="str" cm="1">
        <f t="array" ref="AA7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5" s="530" t="str" cm="1">
        <f t="array" ref="AB7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5" s="530" t="str" cm="1">
        <f t="array" ref="AD7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5" s="530" t="str" cm="1">
        <f t="array" ref="AE7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5" s="530" t="str" cm="1">
        <f t="array" ref="AF7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6" spans="1:32" x14ac:dyDescent="0.3">
      <c r="A76" s="568">
        <f>'Config!'!C62</f>
        <v>55</v>
      </c>
      <c r="B76" s="536" t="str">
        <f>'Config!'!A62</f>
        <v>Finlândia</v>
      </c>
      <c r="C76" s="536" t="str">
        <f>'Config!'!B62</f>
        <v>União Européia</v>
      </c>
      <c r="D76" s="538" cm="1">
        <f t="array" ref="D76">IFERROR(INDEX(Population!$BD$3:$BN$177,'IMS Seg. Table'!$A76,'Config!'!$BA$15-2010+1),"")</f>
        <v>5413971</v>
      </c>
      <c r="E76" s="551" cm="1">
        <f t="array" ref="E76">IFERROR(INDEX(Population!$CH$3:$CH$178,'IMS Seg. Table'!$A76,1),"")</f>
        <v>303815</v>
      </c>
      <c r="F76" s="552">
        <f>IFERROR('IMS Seg. Table'!$D76/'IMS Seg. Table'!$E76,"")</f>
        <v>17.819959514836331</v>
      </c>
      <c r="G76" s="575" cm="1">
        <f t="array" ref="G76">IFERROR(INDEX('Country Competitivness'!$CL$4:$CX$178,Tabela2[[#This Row],[ID]],'Config!'!$AZ$17+1),".")</f>
        <v>156.39720490792701</v>
      </c>
      <c r="H76" s="540" cm="1">
        <f t="array" ref="H76">INDEX(GDP!$G$3:$S$177,'IMS Seg. Table'!$A76,'Config!'!$BA$15-2010+1)*1000000000</f>
        <v>256706466091.08923</v>
      </c>
      <c r="I76" s="539">
        <f t="shared" si="29"/>
        <v>47415.559871135112</v>
      </c>
      <c r="J76" s="576">
        <f>IFERROR(INDEX('Income Tax Rate (%)'!$F$2:$P$176,Tabela2[[#This Row],[ID]],'Config!'!$BA$15-2010+1)/100,"")</f>
        <v>0.3175</v>
      </c>
      <c r="K76" s="577">
        <f>IFERROR(INDEX('Tariff Rate (%)'!$F$2:$P$176,Tabela2[[#This Row],[ID]],'Config!'!$BA$15-2010+1)/100,"")</f>
        <v>1.09E-2</v>
      </c>
      <c r="L76" s="577">
        <f>IFERROR(INDEX('Corporate Tax Rate (%)'!$F$2:$P$176,Tabela2[[#This Row],[ID]],'Config!'!$BA$15-2010+1)/100,"")</f>
        <v>0.245</v>
      </c>
      <c r="M76" s="527" cm="1">
        <f t="array" ref="M76">INDEX('Score-Starting a business'!$F$2:$P$176,'IMS Seg. Table'!$A76,'Config!'!$BA$15-2010+1)</f>
        <v>92.33</v>
      </c>
      <c r="N76" s="527" cm="1">
        <f t="array" ref="N76">IFERROR(INDEX('Country Competitivness'!$AX$4:$BH$178,Tabela2[[#This Row],[ID]],'Config!'!$BA$15-2010+1),"")</f>
        <v>4.3721929397058812</v>
      </c>
      <c r="O76" s="527" cm="1">
        <f t="array" ref="O76">IFERROR(INDEX('Country Competitivness'!$EE$4:$EO$178,Tabela2[[#This Row],[ID]],'Config!'!$BA$15-2010+1),"")</f>
        <v>5.8291009279411758</v>
      </c>
      <c r="P76" s="527" cm="1">
        <f t="array" ref="P76">IFERROR(INDEX('Country Competitivness'!$H$4:$R$178,Tabela2[[#This Row],[ID]],'Config!'!$BA$15-2010+1),"")</f>
        <v>5.3996779371517025</v>
      </c>
      <c r="Q76" s="527" cm="1">
        <f t="array" ref="Q76">IFERROR(INDEX('Country Competitivness'!$AJ$4:$AT$178,Tabela2[[#This Row],[ID]],MAX(1,'Config!'!$BA$15-2010)),"")</f>
        <v>5.5949043985294118</v>
      </c>
      <c r="R76" s="527" cm="1">
        <f t="array" ref="R76">IFERROR(INDEX('Country Competitivness'!$BM$4:$BW$178,Tabela2[[#This Row],[ID]],'Config!'!$BA$15-2010+1),"")</f>
        <v>4.5887562117647054</v>
      </c>
      <c r="S76" s="578" t="str" cm="1">
        <f t="array" ref="S7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6" s="537" t="str" cm="1">
        <f t="array" ref="T76">IF('Config!'!$BA$15=2010,".",IF(INDEX('Result data'!$R$216:$AA$390,'IMS Seg. Table'!$A76,'Config!'!$BA$15-2010)=".",".",INDEX('Result data'!$R$216:$AA$390,'IMS Seg. Table'!$A76,'Config!'!$BA$15-2010)))</f>
        <v>.</v>
      </c>
      <c r="U76" s="579" t="str">
        <f t="shared" si="30"/>
        <v>.</v>
      </c>
      <c r="V76" s="530" t="str" cm="1">
        <f t="array" ref="V76">IF(Tabela2[[#This Row],[Market Penetration (Category)]]=".",".",INDEX('Result data'!$BS$216:$CB$390,'IMS Seg. Table'!$A76,'Config!'!$BA$15-2010))</f>
        <v>.</v>
      </c>
      <c r="W76" s="563" t="str">
        <f>IF(Tabela2[[#This Row],[Market Demand (U$ millions)]]=".",".",Tabela2[[#This Row],[Market Demand (U$ millions)]]/Tabela2[[#This Row],[Active users (thousands)]])</f>
        <v>.</v>
      </c>
      <c r="X76" s="580" cm="1">
        <f t="array" ref="X76">IF('Config!'!$BA$15=2010,".",IF(INDEX('Result data'!$AE$216:$AN$390,'IMS Seg. Table'!$A76,'Config!'!$BA$15-2010)=".",0,INDEX('Result data'!$AE$216:$AN$390,'IMS Seg. Table'!$A76,'Config!'!$BA$15-2010)))</f>
        <v>0</v>
      </c>
      <c r="Y76" s="563" t="str">
        <f>IF('Config!'!$BA$15=2010,".",IF(Tabela2[[#This Row],[Number of competitors]]=0,".",SUMIF('Result data'!$N$216:$N$390,Tabela2[[#This Row],[ID]],'Result data'!$CP$216:$CP$393)))</f>
        <v>.</v>
      </c>
      <c r="Z76" s="563" t="str">
        <f>IF('Config!'!$BA$15=2010,".",IF(Tabela2[[#This Row],[Number of competitors]]=0,".",SUMIF('Result data'!$N$216:$N$390,Tabela2[[#This Row],[ID]],'Result data'!$DA$216:$DA$393)))</f>
        <v>.</v>
      </c>
      <c r="AA76" s="530" t="str" cm="1">
        <f t="array" ref="AA7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6" s="530" t="str" cm="1">
        <f t="array" ref="AB7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6" s="530" t="str" cm="1">
        <f t="array" ref="AD7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6" s="530" t="str" cm="1">
        <f t="array" ref="AE7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6" s="530" t="str" cm="1">
        <f t="array" ref="AF7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7" spans="1:32" x14ac:dyDescent="0.3">
      <c r="A77" s="569">
        <f>'Config!'!C63</f>
        <v>56</v>
      </c>
      <c r="B77" s="536" t="str">
        <f>'Config!'!A63</f>
        <v>França</v>
      </c>
      <c r="C77" s="536" t="str">
        <f>'Config!'!B63</f>
        <v>União Européia</v>
      </c>
      <c r="D77" s="538" cm="1">
        <f t="array" ref="D77">IFERROR(INDEX(Population!$BD$3:$BN$177,'IMS Seg. Table'!$A77,'Config!'!$BA$15-2010+1),"")</f>
        <v>65659790</v>
      </c>
      <c r="E77" s="551" cm="1">
        <f t="array" ref="E77">IFERROR(INDEX(Population!$CH$3:$CH$178,'IMS Seg. Table'!$A77,1),"")</f>
        <v>549970</v>
      </c>
      <c r="F77" s="552">
        <f>IFERROR('IMS Seg. Table'!$D77/'IMS Seg. Table'!$E77,"")</f>
        <v>119.38794843355092</v>
      </c>
      <c r="G77" s="575" cm="1">
        <f t="array" ref="G77">IFERROR(INDEX('Country Competitivness'!$CL$4:$CX$178,Tabela2[[#This Row],[ID]],'Config!'!$AZ$17+1),".")</f>
        <v>99.701489599183603</v>
      </c>
      <c r="H77" s="540" cm="1">
        <f t="array" ref="H77">INDEX(GDP!$G$3:$S$177,'IMS Seg. Table'!$A77,'Config!'!$BA$15-2010+1)*1000000000</f>
        <v>2683825225092.6284</v>
      </c>
      <c r="I77" s="539">
        <f t="shared" si="29"/>
        <v>40874.715333275184</v>
      </c>
      <c r="J77" s="576">
        <f>IFERROR(INDEX('Income Tax Rate (%)'!$F$2:$P$176,Tabela2[[#This Row],[ID]],'Config!'!$BA$15-2010+1)/100,"")</f>
        <v>0.45</v>
      </c>
      <c r="K77" s="577">
        <f>IFERROR(INDEX('Tariff Rate (%)'!$F$2:$P$176,Tabela2[[#This Row],[ID]],'Config!'!$BA$15-2010+1)/100,"")</f>
        <v>1.09E-2</v>
      </c>
      <c r="L77" s="577">
        <f>IFERROR(INDEX('Corporate Tax Rate (%)'!$F$2:$P$176,Tabela2[[#This Row],[ID]],'Config!'!$BA$15-2010+1)/100,"")</f>
        <v>0.34299999999999997</v>
      </c>
      <c r="M77" s="527" cm="1">
        <f t="array" ref="M77">INDEX('Score-Starting a business'!$F$2:$P$176,'IMS Seg. Table'!$A77,'Config!'!$BA$15-2010+1)</f>
        <v>92.5</v>
      </c>
      <c r="N77" s="527" cm="1">
        <f t="array" ref="N77">IFERROR(INDEX('Country Competitivness'!$AX$4:$BH$178,Tabela2[[#This Row],[ID]],'Config!'!$BA$15-2010+1),"")</f>
        <v>2.6431875434599155</v>
      </c>
      <c r="O77" s="527" cm="1">
        <f t="array" ref="O77">IFERROR(INDEX('Country Competitivness'!$EE$4:$EO$178,Tabela2[[#This Row],[ID]],'Config!'!$BA$15-2010+1),"")</f>
        <v>6.561927985654008</v>
      </c>
      <c r="P77" s="527" cm="1">
        <f t="array" ref="P77">IFERROR(INDEX('Country Competitivness'!$H$4:$R$178,Tabela2[[#This Row],[ID]],'Config!'!$BA$15-2010+1),"")</f>
        <v>5.1438823310237609</v>
      </c>
      <c r="Q77" s="527" cm="1">
        <f t="array" ref="Q77">IFERROR(INDEX('Country Competitivness'!$AJ$4:$AT$178,Tabela2[[#This Row],[ID]],MAX(1,'Config!'!$BA$15-2010)),"")</f>
        <v>5.6567690402250337</v>
      </c>
      <c r="R77" s="527" cm="1">
        <f t="array" ref="R77">IFERROR(INDEX('Country Competitivness'!$BM$4:$BW$178,Tabela2[[#This Row],[ID]],'Config!'!$BA$15-2010+1),"")</f>
        <v>3.9361155611814347</v>
      </c>
      <c r="S77" s="578" cm="1">
        <f t="array" ref="S7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77" s="537" cm="1">
        <f t="array" ref="T77">IF('Config!'!$BA$15=2010,".",IF(INDEX('Result data'!$R$216:$AA$390,'IMS Seg. Table'!$A77,'Config!'!$BA$15-2010)=".",".",INDEX('Result data'!$R$216:$AA$390,'IMS Seg. Table'!$A77,'Config!'!$BA$15-2010)))</f>
        <v>884654</v>
      </c>
      <c r="U77" s="579">
        <f t="shared" si="30"/>
        <v>1.3473299259714355E-2</v>
      </c>
      <c r="V77" s="530" cm="1">
        <f t="array" ref="V77">IF(Tabela2[[#This Row],[Market Penetration (Category)]]=".",".",INDEX('Result data'!$BS$216:$CB$390,'IMS Seg. Table'!$A77,'Config!'!$BA$15-2010))</f>
        <v>13412235.182075288</v>
      </c>
      <c r="W77" s="563">
        <f>IF(Tabela2[[#This Row],[Market Demand (U$ millions)]]=".",".",Tabela2[[#This Row],[Market Demand (U$ millions)]]/Tabela2[[#This Row],[Active users (thousands)]])</f>
        <v>15.16099535194018</v>
      </c>
      <c r="X77" s="580" cm="1">
        <f t="array" ref="X77">IF('Config!'!$BA$15=2010,".",IF(INDEX('Result data'!$AE$216:$AN$390,'IMS Seg. Table'!$A77,'Config!'!$BA$15-2010)=".",0,INDEX('Result data'!$AE$216:$AN$390,'IMS Seg. Table'!$A77,'Config!'!$BA$15-2010)))</f>
        <v>1</v>
      </c>
      <c r="Y77" s="563">
        <f>IF('Config!'!$BA$15=2010,".",IF(Tabela2[[#This Row],[Number of competitors]]=0,".",SUMIF('Result data'!$N$216:$N$390,Tabela2[[#This Row],[ID]],'Result data'!$CP$216:$CP$393)))</f>
        <v>4.1115839244872197</v>
      </c>
      <c r="Z77" s="563">
        <f>IF('Config!'!$BA$15=2010,".",IF(Tabela2[[#This Row],[Number of competitors]]=0,".",SUMIF('Result data'!$N$216:$N$390,Tabela2[[#This Row],[ID]],'Result data'!$DA$216:$DA$393)))</f>
        <v>3.0836879433654145</v>
      </c>
      <c r="AA77" s="530" cm="1">
        <f t="array" ref="AA7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76648.15833448559</v>
      </c>
      <c r="AB77" s="530" cm="1">
        <f t="array" ref="AB7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306592.63333794248</v>
      </c>
      <c r="AC77" s="530">
        <f>IF('Config!'!$BA$15=2010,".",IF(Tabela2[[#This Row],[Local Marketing and Sales Expenses (millions)]]=".",".",SUM(Tabela2[[#This Row],[Global Marketing and Sales Expenses (millions)]:[Local Marketing and Sales Expenses (millions)]])))</f>
        <v>383240.79167242808</v>
      </c>
      <c r="AD77" s="530" cm="1">
        <f t="array" ref="AD7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2404400.67410122</v>
      </c>
      <c r="AE77" s="530" cm="1">
        <f t="array" ref="AE7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4311324.1717824042</v>
      </c>
      <c r="AF77" s="530" cm="1">
        <f t="array" ref="AF7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78" spans="1:32" x14ac:dyDescent="0.3">
      <c r="A78" s="568">
        <f>'Config!'!C64</f>
        <v>57</v>
      </c>
      <c r="B78" s="536" t="str">
        <f>'Config!'!A64</f>
        <v>Gabão</v>
      </c>
      <c r="C78" s="536" t="str">
        <f>'Config!'!B64</f>
        <v>África Subsaariana</v>
      </c>
      <c r="D78" s="538" cm="1">
        <f t="array" ref="D78">IFERROR(INDEX(Population!$BD$3:$BN$177,'IMS Seg. Table'!$A78,'Config!'!$BA$15-2010+1),"")</f>
        <v>1613489</v>
      </c>
      <c r="E78" s="551" cm="1">
        <f t="array" ref="E78">IFERROR(INDEX(Population!$CH$3:$CH$178,'IMS Seg. Table'!$A78,1),"")</f>
        <v>257667</v>
      </c>
      <c r="F78" s="552">
        <f>IFERROR('IMS Seg. Table'!$D78/'IMS Seg. Table'!$E78,"")</f>
        <v>6.2619155732010698</v>
      </c>
      <c r="G78" s="575" cm="1">
        <f t="array" ref="G78">IFERROR(INDEX('Country Competitivness'!$CL$4:$CX$178,Tabela2[[#This Row],[ID]],'Config!'!$AZ$17+1),".")</f>
        <v>114.03</v>
      </c>
      <c r="H78" s="540" cm="1">
        <f t="array" ref="H78">INDEX(GDP!$G$3:$S$177,'IMS Seg. Table'!$A78,'Config!'!$BA$15-2010+1)*1000000000</f>
        <v>17171447372.333422</v>
      </c>
      <c r="I78" s="539">
        <f t="shared" si="29"/>
        <v>10642.432252301331</v>
      </c>
      <c r="J78" s="576">
        <f>IFERROR(INDEX('Income Tax Rate (%)'!$F$2:$P$176,Tabela2[[#This Row],[ID]],'Config!'!$BA$15-2010+1)/100,"")</f>
        <v>0.35</v>
      </c>
      <c r="K78" s="577">
        <f>IFERROR(INDEX('Tariff Rate (%)'!$F$2:$P$176,Tabela2[[#This Row],[ID]],'Config!'!$BA$15-2010+1)/100,"")</f>
        <v>0.14499999999999999</v>
      </c>
      <c r="L78" s="577">
        <f>IFERROR(INDEX('Corporate Tax Rate (%)'!$F$2:$P$176,Tabela2[[#This Row],[ID]],'Config!'!$BA$15-2010+1)/100,"")</f>
        <v>0.35</v>
      </c>
      <c r="M78" s="527" cm="1">
        <f t="array" ref="M78">INDEX('Score-Starting a business'!$F$2:$P$176,'IMS Seg. Table'!$A78,'Config!'!$BA$15-2010+1)</f>
        <v>69.510000000000005</v>
      </c>
      <c r="N78" s="527" cm="1">
        <f t="array" ref="N78">IFERROR(INDEX('Country Competitivness'!$AX$4:$BH$178,Tabela2[[#This Row],[ID]],'Config!'!$BA$15-2010+1),"")</f>
        <v>4.1633113240516293</v>
      </c>
      <c r="O78" s="527" cm="1">
        <f t="array" ref="O78">IFERROR(INDEX('Country Competitivness'!$EE$4:$EO$178,Tabela2[[#This Row],[ID]],'Config!'!$BA$15-2010+1),"")</f>
        <v>2.4513528369200079</v>
      </c>
      <c r="P78" s="527" cm="1">
        <f t="array" ref="P78">IFERROR(INDEX('Country Competitivness'!$H$4:$R$178,Tabela2[[#This Row],[ID]],'Config!'!$BA$15-2010+1),"")</f>
        <v>2.7537549728997157</v>
      </c>
      <c r="Q78" s="527" cm="1">
        <f t="array" ref="Q78">IFERROR(INDEX('Country Competitivness'!$AJ$4:$AT$178,Tabela2[[#This Row],[ID]],MAX(1,'Config!'!$BA$15-2010)),"")</f>
        <v>4.5180902754318977</v>
      </c>
      <c r="R78" s="527" cm="1">
        <f t="array" ref="R78">IFERROR(INDEX('Country Competitivness'!$BM$4:$BW$178,Tabela2[[#This Row],[ID]],'Config!'!$BA$15-2010+1),"")</f>
        <v>2.9874592661131243</v>
      </c>
      <c r="S78" s="578" t="str" cm="1">
        <f t="array" ref="S7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8" s="537" t="str" cm="1">
        <f t="array" ref="T78">IF('Config!'!$BA$15=2010,".",IF(INDEX('Result data'!$R$216:$AA$390,'IMS Seg. Table'!$A78,'Config!'!$BA$15-2010)=".",".",INDEX('Result data'!$R$216:$AA$390,'IMS Seg. Table'!$A78,'Config!'!$BA$15-2010)))</f>
        <v>.</v>
      </c>
      <c r="U78" s="579" t="str">
        <f t="shared" si="30"/>
        <v>.</v>
      </c>
      <c r="V78" s="530" t="str" cm="1">
        <f t="array" ref="V78">IF(Tabela2[[#This Row],[Market Penetration (Category)]]=".",".",INDEX('Result data'!$BS$216:$CB$390,'IMS Seg. Table'!$A78,'Config!'!$BA$15-2010))</f>
        <v>.</v>
      </c>
      <c r="W78" s="563" t="str">
        <f>IF(Tabela2[[#This Row],[Market Demand (U$ millions)]]=".",".",Tabela2[[#This Row],[Market Demand (U$ millions)]]/Tabela2[[#This Row],[Active users (thousands)]])</f>
        <v>.</v>
      </c>
      <c r="X78" s="580" cm="1">
        <f t="array" ref="X78">IF('Config!'!$BA$15=2010,".",IF(INDEX('Result data'!$AE$216:$AN$390,'IMS Seg. Table'!$A78,'Config!'!$BA$15-2010)=".",0,INDEX('Result data'!$AE$216:$AN$390,'IMS Seg. Table'!$A78,'Config!'!$BA$15-2010)))</f>
        <v>0</v>
      </c>
      <c r="Y78" s="563" t="str">
        <f>IF('Config!'!$BA$15=2010,".",IF(Tabela2[[#This Row],[Number of competitors]]=0,".",SUMIF('Result data'!$N$216:$N$390,Tabela2[[#This Row],[ID]],'Result data'!$CP$216:$CP$393)))</f>
        <v>.</v>
      </c>
      <c r="Z78" s="563" t="str">
        <f>IF('Config!'!$BA$15=2010,".",IF(Tabela2[[#This Row],[Number of competitors]]=0,".",SUMIF('Result data'!$N$216:$N$390,Tabela2[[#This Row],[ID]],'Result data'!$DA$216:$DA$393)))</f>
        <v>.</v>
      </c>
      <c r="AA78" s="530" t="str" cm="1">
        <f t="array" ref="AA7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8" s="530" t="str" cm="1">
        <f t="array" ref="AB7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8" s="530" t="str" cm="1">
        <f t="array" ref="AD7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8" s="530" t="str" cm="1">
        <f t="array" ref="AE7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8" s="530" t="str" cm="1">
        <f t="array" ref="AF7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79" spans="1:32" x14ac:dyDescent="0.3">
      <c r="A79" s="569">
        <f>'Config!'!C65</f>
        <v>61</v>
      </c>
      <c r="B79" s="536" t="str">
        <f>'Config!'!A65</f>
        <v>Gana</v>
      </c>
      <c r="C79" s="536" t="str">
        <f>'Config!'!B65</f>
        <v>África Subsaariana</v>
      </c>
      <c r="D79" s="538" cm="1">
        <f t="array" ref="D79">IFERROR(INDEX(Population!$BD$3:$BN$177,'IMS Seg. Table'!$A79,'Config!'!$BA$15-2010+1),"")</f>
        <v>25544565</v>
      </c>
      <c r="E79" s="551" cm="1">
        <f t="array" ref="E79">IFERROR(INDEX(Population!$CH$3:$CH$178,'IMS Seg. Table'!$A79,1),"")</f>
        <v>227533</v>
      </c>
      <c r="F79" s="552">
        <f>IFERROR('IMS Seg. Table'!$D79/'IMS Seg. Table'!$E79,"")</f>
        <v>112.2675172392576</v>
      </c>
      <c r="G79" s="575" cm="1">
        <f t="array" ref="G79">IFERROR(INDEX('Country Competitivness'!$CL$4:$CX$178,Tabela2[[#This Row],[ID]],'Config!'!$AZ$17+1),".")</f>
        <v>71.486862626052996</v>
      </c>
      <c r="H79" s="540" cm="1">
        <f t="array" ref="H79">INDEX(GDP!$G$3:$S$177,'IMS Seg. Table'!$A79,'Config!'!$BA$15-2010+1)*1000000000</f>
        <v>41939728978.728149</v>
      </c>
      <c r="I79" s="539">
        <f t="shared" si="29"/>
        <v>1641.8259218243938</v>
      </c>
      <c r="J79" s="576">
        <f>IFERROR(INDEX('Income Tax Rate (%)'!$F$2:$P$176,Tabela2[[#This Row],[ID]],'Config!'!$BA$15-2010+1)/100,"")</f>
        <v>0.25</v>
      </c>
      <c r="K79" s="577">
        <f>IFERROR(INDEX('Tariff Rate (%)'!$F$2:$P$176,Tabela2[[#This Row],[ID]],'Config!'!$BA$15-2010+1)/100,"")</f>
        <v>0.10099999999999999</v>
      </c>
      <c r="L79" s="577">
        <f>IFERROR(INDEX('Corporate Tax Rate (%)'!$F$2:$P$176,Tabela2[[#This Row],[ID]],'Config!'!$BA$15-2010+1)/100,"")</f>
        <v>0.25</v>
      </c>
      <c r="M79" s="527" cm="1">
        <f t="array" ref="M79">INDEX('Score-Starting a business'!$F$2:$P$176,'IMS Seg. Table'!$A79,'Config!'!$BA$15-2010+1)</f>
        <v>84.9</v>
      </c>
      <c r="N79" s="527" cm="1">
        <f t="array" ref="N79">IFERROR(INDEX('Country Competitivness'!$AX$4:$BH$178,Tabela2[[#This Row],[ID]],'Config!'!$BA$15-2010+1),"")</f>
        <v>3.5912196585798819</v>
      </c>
      <c r="O79" s="527" cm="1">
        <f t="array" ref="O79">IFERROR(INDEX('Country Competitivness'!$EE$4:$EO$178,Tabela2[[#This Row],[ID]],'Config!'!$BA$15-2010+1),"")</f>
        <v>3.359813692307692</v>
      </c>
      <c r="P79" s="527" cm="1">
        <f t="array" ref="P79">IFERROR(INDEX('Country Competitivness'!$H$4:$R$178,Tabela2[[#This Row],[ID]],'Config!'!$BA$15-2010+1),"")</f>
        <v>3.5068945727810652</v>
      </c>
      <c r="Q79" s="527" cm="1">
        <f t="array" ref="Q79">IFERROR(INDEX('Country Competitivness'!$AJ$4:$AT$178,Tabela2[[#This Row],[ID]],MAX(1,'Config!'!$BA$15-2010)),"")</f>
        <v>4.4637750368836295</v>
      </c>
      <c r="R79" s="527" cm="1">
        <f t="array" ref="R79">IFERROR(INDEX('Country Competitivness'!$BM$4:$BW$178,Tabela2[[#This Row],[ID]],'Config!'!$BA$15-2010+1),"")</f>
        <v>3.1479982112426037</v>
      </c>
      <c r="S79" s="578" t="str" cm="1">
        <f t="array" ref="S7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79" s="537" t="str" cm="1">
        <f t="array" ref="T79">IF('Config!'!$BA$15=2010,".",IF(INDEX('Result data'!$R$216:$AA$390,'IMS Seg. Table'!$A79,'Config!'!$BA$15-2010)=".",".",INDEX('Result data'!$R$216:$AA$390,'IMS Seg. Table'!$A79,'Config!'!$BA$15-2010)))</f>
        <v>.</v>
      </c>
      <c r="U79" s="579" t="str">
        <f t="shared" si="30"/>
        <v>.</v>
      </c>
      <c r="V79" s="530" t="str" cm="1">
        <f t="array" ref="V79">IF(Tabela2[[#This Row],[Market Penetration (Category)]]=".",".",INDEX('Result data'!$BS$216:$CB$390,'IMS Seg. Table'!$A79,'Config!'!$BA$15-2010))</f>
        <v>.</v>
      </c>
      <c r="W79" s="563" t="str">
        <f>IF(Tabela2[[#This Row],[Market Demand (U$ millions)]]=".",".",Tabela2[[#This Row],[Market Demand (U$ millions)]]/Tabela2[[#This Row],[Active users (thousands)]])</f>
        <v>.</v>
      </c>
      <c r="X79" s="580" cm="1">
        <f t="array" ref="X79">IF('Config!'!$BA$15=2010,".",IF(INDEX('Result data'!$AE$216:$AN$390,'IMS Seg. Table'!$A79,'Config!'!$BA$15-2010)=".",0,INDEX('Result data'!$AE$216:$AN$390,'IMS Seg. Table'!$A79,'Config!'!$BA$15-2010)))</f>
        <v>0</v>
      </c>
      <c r="Y79" s="563" t="str">
        <f>IF('Config!'!$BA$15=2010,".",IF(Tabela2[[#This Row],[Number of competitors]]=0,".",SUMIF('Result data'!$N$216:$N$390,Tabela2[[#This Row],[ID]],'Result data'!$CP$216:$CP$393)))</f>
        <v>.</v>
      </c>
      <c r="Z79" s="563" t="str">
        <f>IF('Config!'!$BA$15=2010,".",IF(Tabela2[[#This Row],[Number of competitors]]=0,".",SUMIF('Result data'!$N$216:$N$390,Tabela2[[#This Row],[ID]],'Result data'!$DA$216:$DA$393)))</f>
        <v>.</v>
      </c>
      <c r="AA79" s="530" t="str" cm="1">
        <f t="array" ref="AA7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79" s="530" t="str" cm="1">
        <f t="array" ref="AB7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7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79" s="530" t="str" cm="1">
        <f t="array" ref="AD7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79" s="530" t="str" cm="1">
        <f t="array" ref="AE7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79" s="530" t="str" cm="1">
        <f t="array" ref="AF7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0" spans="1:32" x14ac:dyDescent="0.3">
      <c r="A80" s="568">
        <f>'Config!'!C66</f>
        <v>59</v>
      </c>
      <c r="B80" s="536" t="str">
        <f>'Config!'!A66</f>
        <v>Geórgia</v>
      </c>
      <c r="C80" s="536" t="str">
        <f>'Config!'!B66</f>
        <v>Europa</v>
      </c>
      <c r="D80" s="538" cm="1">
        <f t="array" ref="D80">IFERROR(INDEX(Population!$BD$3:$BN$177,'IMS Seg. Table'!$A80,'Config!'!$BA$15-2010+1),"")</f>
        <v>3825000</v>
      </c>
      <c r="E80" s="551" cm="1">
        <f t="array" ref="E80">IFERROR(INDEX(Population!$CH$3:$CH$178,'IMS Seg. Table'!$A80,1),"")</f>
        <v>69700</v>
      </c>
      <c r="F80" s="552">
        <f>IFERROR('IMS Seg. Table'!$D80/'IMS Seg. Table'!$E80,"")</f>
        <v>54.878048780487802</v>
      </c>
      <c r="G80" s="575" cm="1">
        <f t="array" ref="G80">IFERROR(INDEX('Country Competitivness'!$CL$4:$CX$178,Tabela2[[#This Row],[ID]],'Config!'!$AZ$17+1),".")</f>
        <v>73.364728631942498</v>
      </c>
      <c r="H80" s="540" cm="1">
        <f t="array" ref="H80">INDEX(GDP!$G$3:$S$177,'IMS Seg. Table'!$A80,'Config!'!$BA$15-2010+1)*1000000000</f>
        <v>15846484587.900442</v>
      </c>
      <c r="I80" s="539">
        <f t="shared" ref="I80:I111" si="31">IFERROR((H80)/D80,".")</f>
        <v>4142.8717876863902</v>
      </c>
      <c r="J80" s="576">
        <f>IFERROR(INDEX('Income Tax Rate (%)'!$F$2:$P$176,Tabela2[[#This Row],[ID]],'Config!'!$BA$15-2010+1)/100,"")</f>
        <v>0.2</v>
      </c>
      <c r="K80" s="577">
        <f>IFERROR(INDEX('Tariff Rate (%)'!$F$2:$P$176,Tabela2[[#This Row],[ID]],'Config!'!$BA$15-2010+1)/100,"")</f>
        <v>7.1999999999999998E-3</v>
      </c>
      <c r="L80" s="577">
        <f>IFERROR(INDEX('Corporate Tax Rate (%)'!$F$2:$P$176,Tabela2[[#This Row],[ID]],'Config!'!$BA$15-2010+1)/100,"")</f>
        <v>0.15</v>
      </c>
      <c r="M80" s="527" cm="1">
        <f t="array" ref="M80">INDEX('Score-Starting a business'!$F$2:$P$176,'IMS Seg. Table'!$A80,'Config!'!$BA$15-2010+1)</f>
        <v>97.570000000000007</v>
      </c>
      <c r="N80" s="527" cm="1">
        <f t="array" ref="N80">IFERROR(INDEX('Country Competitivness'!$AX$4:$BH$178,Tabela2[[#This Row],[ID]],'Config!'!$BA$15-2010+1),"")</f>
        <v>4.5346646127659564</v>
      </c>
      <c r="O80" s="527" cm="1">
        <f t="array" ref="O80">IFERROR(INDEX('Country Competitivness'!$EE$4:$EO$178,Tabela2[[#This Row],[ID]],'Config!'!$BA$15-2010+1),"")</f>
        <v>4.2376557122340426</v>
      </c>
      <c r="P80" s="527" cm="1">
        <f t="array" ref="P80">IFERROR(INDEX('Country Competitivness'!$H$4:$R$178,Tabela2[[#This Row],[ID]],'Config!'!$BA$15-2010+1),"")</f>
        <v>3.391366370408734</v>
      </c>
      <c r="Q80" s="527" cm="1">
        <f t="array" ref="Q80">IFERROR(INDEX('Country Competitivness'!$AJ$4:$AT$178,Tabela2[[#This Row],[ID]],MAX(1,'Config!'!$BA$15-2010)),"")</f>
        <v>4.2448281842198581</v>
      </c>
      <c r="R80" s="527" cm="1">
        <f t="array" ref="R80">IFERROR(INDEX('Country Competitivness'!$BM$4:$BW$178,Tabela2[[#This Row],[ID]],'Config!'!$BA$15-2010+1),"")</f>
        <v>3.1281116106382978</v>
      </c>
      <c r="S80" s="578" t="str" cm="1">
        <f t="array" ref="S8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0" s="537" t="str" cm="1">
        <f t="array" ref="T80">IF('Config!'!$BA$15=2010,".",IF(INDEX('Result data'!$R$216:$AA$390,'IMS Seg. Table'!$A80,'Config!'!$BA$15-2010)=".",".",INDEX('Result data'!$R$216:$AA$390,'IMS Seg. Table'!$A80,'Config!'!$BA$15-2010)))</f>
        <v>.</v>
      </c>
      <c r="U80" s="579" t="str">
        <f t="shared" ref="U80:U111" si="32">IFERROR(T80/D80,".")</f>
        <v>.</v>
      </c>
      <c r="V80" s="530" t="str" cm="1">
        <f t="array" ref="V80">IF(Tabela2[[#This Row],[Market Penetration (Category)]]=".",".",INDEX('Result data'!$BS$216:$CB$390,'IMS Seg. Table'!$A80,'Config!'!$BA$15-2010))</f>
        <v>.</v>
      </c>
      <c r="W80" s="563" t="str">
        <f>IF(Tabela2[[#This Row],[Market Demand (U$ millions)]]=".",".",Tabela2[[#This Row],[Market Demand (U$ millions)]]/Tabela2[[#This Row],[Active users (thousands)]])</f>
        <v>.</v>
      </c>
      <c r="X80" s="580" cm="1">
        <f t="array" ref="X80">IF('Config!'!$BA$15=2010,".",IF(INDEX('Result data'!$AE$216:$AN$390,'IMS Seg. Table'!$A80,'Config!'!$BA$15-2010)=".",0,INDEX('Result data'!$AE$216:$AN$390,'IMS Seg. Table'!$A80,'Config!'!$BA$15-2010)))</f>
        <v>0</v>
      </c>
      <c r="Y80" s="563" t="str">
        <f>IF('Config!'!$BA$15=2010,".",IF(Tabela2[[#This Row],[Number of competitors]]=0,".",SUMIF('Result data'!$N$216:$N$390,Tabela2[[#This Row],[ID]],'Result data'!$CP$216:$CP$393)))</f>
        <v>.</v>
      </c>
      <c r="Z80" s="563" t="str">
        <f>IF('Config!'!$BA$15=2010,".",IF(Tabela2[[#This Row],[Number of competitors]]=0,".",SUMIF('Result data'!$N$216:$N$390,Tabela2[[#This Row],[ID]],'Result data'!$DA$216:$DA$393)))</f>
        <v>.</v>
      </c>
      <c r="AA80" s="530" t="str" cm="1">
        <f t="array" ref="AA8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0" s="530" t="str" cm="1">
        <f t="array" ref="AB8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0" s="530" t="str" cm="1">
        <f t="array" ref="AD8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0" s="530" t="str" cm="1">
        <f t="array" ref="AE8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0" s="530" t="str" cm="1">
        <f t="array" ref="AF8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1" spans="1:32" x14ac:dyDescent="0.3">
      <c r="A81" s="569">
        <f>'Config!'!C67</f>
        <v>62</v>
      </c>
      <c r="B81" s="536" t="str">
        <f>'Config!'!A67</f>
        <v>Grécia</v>
      </c>
      <c r="C81" s="536" t="str">
        <f>'Config!'!B67</f>
        <v>União Européia</v>
      </c>
      <c r="D81" s="538" cm="1">
        <f t="array" ref="D81">IFERROR(INDEX(Population!$BD$3:$BN$177,'IMS Seg. Table'!$A81,'Config!'!$BA$15-2010+1),"")</f>
        <v>11045011</v>
      </c>
      <c r="E81" s="551" cm="1">
        <f t="array" ref="E81">IFERROR(INDEX(Population!$CH$3:$CH$178,'IMS Seg. Table'!$A81,1),"")</f>
        <v>130647</v>
      </c>
      <c r="F81" s="552">
        <f>IFERROR('IMS Seg. Table'!$D81/'IMS Seg. Table'!$E81,"")</f>
        <v>84.540869671710794</v>
      </c>
      <c r="G81" s="575" cm="1">
        <f t="array" ref="G81">IFERROR(INDEX('Country Competitivness'!$CL$4:$CX$178,Tabela2[[#This Row],[ID]],'Config!'!$AZ$17+1),".")</f>
        <v>108.216758253512</v>
      </c>
      <c r="H81" s="540" cm="1">
        <f t="array" ref="H81">INDEX(GDP!$G$3:$S$177,'IMS Seg. Table'!$A81,'Config!'!$BA$15-2010+1)*1000000000</f>
        <v>245670666639.04691</v>
      </c>
      <c r="I81" s="539">
        <f t="shared" si="31"/>
        <v>22242.681934770993</v>
      </c>
      <c r="J81" s="576">
        <f>IFERROR(INDEX('Income Tax Rate (%)'!$F$2:$P$176,Tabela2[[#This Row],[ID]],'Config!'!$BA$15-2010+1)/100,"")</f>
        <v>0.42</v>
      </c>
      <c r="K81" s="577">
        <f>IFERROR(INDEX('Tariff Rate (%)'!$F$2:$P$176,Tabela2[[#This Row],[ID]],'Config!'!$BA$15-2010+1)/100,"")</f>
        <v>1.09E-2</v>
      </c>
      <c r="L81" s="577">
        <f>IFERROR(INDEX('Corporate Tax Rate (%)'!$F$2:$P$176,Tabela2[[#This Row],[ID]],'Config!'!$BA$15-2010+1)/100,"")</f>
        <v>0.26</v>
      </c>
      <c r="M81" s="527" cm="1">
        <f t="array" ref="M81">INDEX('Score-Starting a business'!$F$2:$P$176,'IMS Seg. Table'!$A81,'Config!'!$BA$15-2010+1)</f>
        <v>78.72</v>
      </c>
      <c r="N81" s="527" cm="1">
        <f t="array" ref="N81">IFERROR(INDEX('Country Competitivness'!$AX$4:$BH$178,Tabela2[[#This Row],[ID]],'Config!'!$BA$15-2010+1),"")</f>
        <v>2.3465585017045454</v>
      </c>
      <c r="O81" s="527" cm="1">
        <f t="array" ref="O81">IFERROR(INDEX('Country Competitivness'!$EE$4:$EO$178,Tabela2[[#This Row],[ID]],'Config!'!$BA$15-2010+1),"")</f>
        <v>3.9836045056818183</v>
      </c>
      <c r="P81" s="527" cm="1">
        <f t="array" ref="P81">IFERROR(INDEX('Country Competitivness'!$H$4:$R$178,Tabela2[[#This Row],[ID]],'Config!'!$BA$15-2010+1),"")</f>
        <v>3.7915553604665071</v>
      </c>
      <c r="Q81" s="527" cm="1">
        <f t="array" ref="Q81">IFERROR(INDEX('Country Competitivness'!$AJ$4:$AT$178,Tabela2[[#This Row],[ID]],MAX(1,'Config!'!$BA$15-2010)),"")</f>
        <v>4.6468458617424249</v>
      </c>
      <c r="R81" s="527" cm="1">
        <f t="array" ref="R81">IFERROR(INDEX('Country Competitivness'!$BM$4:$BW$178,Tabela2[[#This Row],[ID]],'Config!'!$BA$15-2010+1),"")</f>
        <v>3.5093106829545455</v>
      </c>
      <c r="S81" s="578" t="str" cm="1">
        <f t="array" ref="S8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1" s="537" t="str" cm="1">
        <f t="array" ref="T81">IF('Config!'!$BA$15=2010,".",IF(INDEX('Result data'!$R$216:$AA$390,'IMS Seg. Table'!$A81,'Config!'!$BA$15-2010)=".",".",INDEX('Result data'!$R$216:$AA$390,'IMS Seg. Table'!$A81,'Config!'!$BA$15-2010)))</f>
        <v>.</v>
      </c>
      <c r="U81" s="579" t="str">
        <f t="shared" si="32"/>
        <v>.</v>
      </c>
      <c r="V81" s="530" t="str" cm="1">
        <f t="array" ref="V81">IF(Tabela2[[#This Row],[Market Penetration (Category)]]=".",".",INDEX('Result data'!$BS$216:$CB$390,'IMS Seg. Table'!$A81,'Config!'!$BA$15-2010))</f>
        <v>.</v>
      </c>
      <c r="W81" s="563" t="str">
        <f>IF(Tabela2[[#This Row],[Market Demand (U$ millions)]]=".",".",Tabela2[[#This Row],[Market Demand (U$ millions)]]/Tabela2[[#This Row],[Active users (thousands)]])</f>
        <v>.</v>
      </c>
      <c r="X81" s="580" cm="1">
        <f t="array" ref="X81">IF('Config!'!$BA$15=2010,".",IF(INDEX('Result data'!$AE$216:$AN$390,'IMS Seg. Table'!$A81,'Config!'!$BA$15-2010)=".",0,INDEX('Result data'!$AE$216:$AN$390,'IMS Seg. Table'!$A81,'Config!'!$BA$15-2010)))</f>
        <v>0</v>
      </c>
      <c r="Y81" s="563" t="str">
        <f>IF('Config!'!$BA$15=2010,".",IF(Tabela2[[#This Row],[Number of competitors]]=0,".",SUMIF('Result data'!$N$216:$N$390,Tabela2[[#This Row],[ID]],'Result data'!$CP$216:$CP$393)))</f>
        <v>.</v>
      </c>
      <c r="Z81" s="563" t="str">
        <f>IF('Config!'!$BA$15=2010,".",IF(Tabela2[[#This Row],[Number of competitors]]=0,".",SUMIF('Result data'!$N$216:$N$390,Tabela2[[#This Row],[ID]],'Result data'!$DA$216:$DA$393)))</f>
        <v>.</v>
      </c>
      <c r="AA81" s="530" t="str" cm="1">
        <f t="array" ref="AA8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1" s="530" t="str" cm="1">
        <f t="array" ref="AB8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1" s="530" t="str" cm="1">
        <f t="array" ref="AD8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1" s="530" t="str" cm="1">
        <f t="array" ref="AE8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1" s="530" t="str" cm="1">
        <f t="array" ref="AF8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2" spans="1:32" x14ac:dyDescent="0.3">
      <c r="A82" s="568">
        <f>'Config!'!C68</f>
        <v>64</v>
      </c>
      <c r="B82" s="536" t="str">
        <f>'Config!'!A68</f>
        <v>Guatemala</v>
      </c>
      <c r="C82" s="536" t="str">
        <f>'Config!'!B68</f>
        <v>América Central</v>
      </c>
      <c r="D82" s="538" cm="1">
        <f t="array" ref="D82">IFERROR(INDEX(Population!$BD$3:$BN$177,'IMS Seg. Table'!$A82,'Config!'!$BA$15-2010+1),"")</f>
        <v>15368759</v>
      </c>
      <c r="E82" s="551" cm="1">
        <f t="array" ref="E82">IFERROR(INDEX(Population!$CH$3:$CH$178,'IMS Seg. Table'!$A82,1),"")</f>
        <v>107159</v>
      </c>
      <c r="F82" s="552">
        <f>IFERROR('IMS Seg. Table'!$D82/'IMS Seg. Table'!$E82,"")</f>
        <v>143.42014203193386</v>
      </c>
      <c r="G82" s="575" cm="1">
        <f t="array" ref="G82">IFERROR(INDEX('Country Competitivness'!$CL$4:$CX$178,Tabela2[[#This Row],[ID]],'Config!'!$AZ$17+1),".")</f>
        <v>125.56855343437999</v>
      </c>
      <c r="H82" s="540" cm="1">
        <f t="array" ref="H82">INDEX(GDP!$G$3:$S$177,'IMS Seg. Table'!$A82,'Config!'!$BA$15-2010+1)*1000000000</f>
        <v>50388460924.734474</v>
      </c>
      <c r="I82" s="539">
        <f t="shared" si="31"/>
        <v>3278.6291283983614</v>
      </c>
      <c r="J82" s="576">
        <f>IFERROR(INDEX('Income Tax Rate (%)'!$F$2:$P$176,Tabela2[[#This Row],[ID]],'Config!'!$BA$15-2010+1)/100,"")</f>
        <v>0.31</v>
      </c>
      <c r="K82" s="577">
        <f>IFERROR(INDEX('Tariff Rate (%)'!$F$2:$P$176,Tabela2[[#This Row],[ID]],'Config!'!$BA$15-2010+1)/100,"")</f>
        <v>2.2799999999999997E-2</v>
      </c>
      <c r="L82" s="577">
        <f>IFERROR(INDEX('Corporate Tax Rate (%)'!$F$2:$P$176,Tabela2[[#This Row],[ID]],'Config!'!$BA$15-2010+1)/100,"")</f>
        <v>0.31</v>
      </c>
      <c r="M82" s="527" cm="1">
        <f t="array" ref="M82">INDEX('Score-Starting a business'!$F$2:$P$176,'IMS Seg. Table'!$A82,'Config!'!$BA$15-2010+1)</f>
        <v>64.010000000000005</v>
      </c>
      <c r="N82" s="527" cm="1">
        <f t="array" ref="N82">IFERROR(INDEX('Country Competitivness'!$AX$4:$BH$178,Tabela2[[#This Row],[ID]],'Config!'!$BA$15-2010+1),"")</f>
        <v>3.6008416749999999</v>
      </c>
      <c r="O82" s="527" cm="1">
        <f t="array" ref="O82">IFERROR(INDEX('Country Competitivness'!$EE$4:$EO$178,Tabela2[[#This Row],[ID]],'Config!'!$BA$15-2010+1),"")</f>
        <v>3.8806323874999999</v>
      </c>
      <c r="P82" s="527" cm="1">
        <f t="array" ref="P82">IFERROR(INDEX('Country Competitivness'!$H$4:$R$178,Tabela2[[#This Row],[ID]],'Config!'!$BA$15-2010+1),"")</f>
        <v>4.1178332858552622</v>
      </c>
      <c r="Q82" s="527" cm="1">
        <f t="array" ref="Q82">IFERROR(INDEX('Country Competitivness'!$AJ$4:$AT$178,Tabela2[[#This Row],[ID]],MAX(1,'Config!'!$BA$15-2010)),"")</f>
        <v>5.0857559208333329</v>
      </c>
      <c r="R82" s="527" cm="1">
        <f t="array" ref="R82">IFERROR(INDEX('Country Competitivness'!$BM$4:$BW$178,Tabela2[[#This Row],[ID]],'Config!'!$BA$15-2010+1),"")</f>
        <v>3.5325747500000002</v>
      </c>
      <c r="S82" s="578" t="str" cm="1">
        <f t="array" ref="S8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2" s="537" t="str" cm="1">
        <f t="array" ref="T82">IF('Config!'!$BA$15=2010,".",IF(INDEX('Result data'!$R$216:$AA$390,'IMS Seg. Table'!$A82,'Config!'!$BA$15-2010)=".",".",INDEX('Result data'!$R$216:$AA$390,'IMS Seg. Table'!$A82,'Config!'!$BA$15-2010)))</f>
        <v>.</v>
      </c>
      <c r="U82" s="579" t="str">
        <f t="shared" si="32"/>
        <v>.</v>
      </c>
      <c r="V82" s="530" t="str" cm="1">
        <f t="array" ref="V82">IF(Tabela2[[#This Row],[Market Penetration (Category)]]=".",".",INDEX('Result data'!$BS$216:$CB$390,'IMS Seg. Table'!$A82,'Config!'!$BA$15-2010))</f>
        <v>.</v>
      </c>
      <c r="W82" s="563" t="str">
        <f>IF(Tabela2[[#This Row],[Market Demand (U$ millions)]]=".",".",Tabela2[[#This Row],[Market Demand (U$ millions)]]/Tabela2[[#This Row],[Active users (thousands)]])</f>
        <v>.</v>
      </c>
      <c r="X82" s="580" cm="1">
        <f t="array" ref="X82">IF('Config!'!$BA$15=2010,".",IF(INDEX('Result data'!$AE$216:$AN$390,'IMS Seg. Table'!$A82,'Config!'!$BA$15-2010)=".",0,INDEX('Result data'!$AE$216:$AN$390,'IMS Seg. Table'!$A82,'Config!'!$BA$15-2010)))</f>
        <v>0</v>
      </c>
      <c r="Y82" s="563" t="str">
        <f>IF('Config!'!$BA$15=2010,".",IF(Tabela2[[#This Row],[Number of competitors]]=0,".",SUMIF('Result data'!$N$216:$N$390,Tabela2[[#This Row],[ID]],'Result data'!$CP$216:$CP$393)))</f>
        <v>.</v>
      </c>
      <c r="Z82" s="563" t="str">
        <f>IF('Config!'!$BA$15=2010,".",IF(Tabela2[[#This Row],[Number of competitors]]=0,".",SUMIF('Result data'!$N$216:$N$390,Tabela2[[#This Row],[ID]],'Result data'!$DA$216:$DA$393)))</f>
        <v>.</v>
      </c>
      <c r="AA82" s="530" t="str" cm="1">
        <f t="array" ref="AA8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2" s="530" t="str" cm="1">
        <f t="array" ref="AB8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2" s="530" t="str" cm="1">
        <f t="array" ref="AD8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2" s="530" t="str" cm="1">
        <f t="array" ref="AE8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2" s="530" t="str" cm="1">
        <f t="array" ref="AF8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3" spans="1:32" x14ac:dyDescent="0.3">
      <c r="A83" s="569">
        <f>'Config!'!C69</f>
        <v>66</v>
      </c>
      <c r="B83" s="536" t="str">
        <f>'Config!'!A69</f>
        <v>Guiana</v>
      </c>
      <c r="C83" s="536" t="str">
        <f>'Config!'!B69</f>
        <v>América do Sul</v>
      </c>
      <c r="D83" s="538" cm="1">
        <f t="array" ref="D83">IFERROR(INDEX(Population!$BD$3:$BN$177,'IMS Seg. Table'!$A83,'Config!'!$BA$15-2010+1),"")</f>
        <v>758410</v>
      </c>
      <c r="E83" s="551" cm="1">
        <f t="array" ref="E83">IFERROR(INDEX(Population!$CH$3:$CH$178,'IMS Seg. Table'!$A83,1),"")</f>
        <v>196849</v>
      </c>
      <c r="F83" s="552">
        <f>IFERROR('IMS Seg. Table'!$D83/'IMS Seg. Table'!$E83,"")</f>
        <v>3.8527500774705485</v>
      </c>
      <c r="G83" s="575" cm="1">
        <f t="array" ref="G83">IFERROR(INDEX('Country Competitivness'!$CL$4:$CX$178,Tabela2[[#This Row],[ID]],'Config!'!$AZ$17+1),".")</f>
        <v>73.611948686071301</v>
      </c>
      <c r="H83" s="540" cm="1">
        <f t="array" ref="H83">INDEX(GDP!$G$3:$S$177,'IMS Seg. Table'!$A83,'Config!'!$BA$15-2010+1)*1000000000</f>
        <v>2861562265.8830104</v>
      </c>
      <c r="I83" s="539">
        <f t="shared" si="31"/>
        <v>3773.1072452670855</v>
      </c>
      <c r="J83" s="576">
        <f>IFERROR(INDEX('Income Tax Rate (%)'!$F$2:$P$176,Tabela2[[#This Row],[ID]],'Config!'!$BA$15-2010+1)/100,"")</f>
        <v>0.33329999999999999</v>
      </c>
      <c r="K83" s="577">
        <f>IFERROR(INDEX('Tariff Rate (%)'!$F$2:$P$176,Tabela2[[#This Row],[ID]],'Config!'!$BA$15-2010+1)/100,"")</f>
        <v>6.5000000000000002E-2</v>
      </c>
      <c r="L83" s="577">
        <f>IFERROR(INDEX('Corporate Tax Rate (%)'!$F$2:$P$176,Tabela2[[#This Row],[ID]],'Config!'!$BA$15-2010+1)/100,"")</f>
        <v>0.4</v>
      </c>
      <c r="M83" s="527" cm="1">
        <f t="array" ref="M83">INDEX('Score-Starting a business'!$F$2:$P$176,'IMS Seg. Table'!$A83,'Config!'!$BA$15-2010+1)</f>
        <v>83.4</v>
      </c>
      <c r="N83" s="527" cm="1">
        <f t="array" ref="N83">IFERROR(INDEX('Country Competitivness'!$AX$4:$BH$178,Tabela2[[#This Row],[ID]],'Config!'!$BA$15-2010+1),"")</f>
        <v>3.5755323294117649</v>
      </c>
      <c r="O83" s="527" cm="1">
        <f t="array" ref="O83">IFERROR(INDEX('Country Competitivness'!$EE$4:$EO$178,Tabela2[[#This Row],[ID]],'Config!'!$BA$15-2010+1),"")</f>
        <v>3.7711279176470596</v>
      </c>
      <c r="P83" s="527" cm="1">
        <f t="array" ref="P83">IFERROR(INDEX('Country Competitivness'!$H$4:$R$178,Tabela2[[#This Row],[ID]],'Config!'!$BA$15-2010+1),"")</f>
        <v>3.766471245820433</v>
      </c>
      <c r="Q83" s="527" cm="1">
        <f t="array" ref="Q83">IFERROR(INDEX('Country Competitivness'!$AJ$4:$AT$178,Tabela2[[#This Row],[ID]],MAX(1,'Config!'!$BA$15-2010)),"")</f>
        <v>4.3628080058823526</v>
      </c>
      <c r="R83" s="527" cm="1">
        <f t="array" ref="R83">IFERROR(INDEX('Country Competitivness'!$BM$4:$BW$178,Tabela2[[#This Row],[ID]],'Config!'!$BA$15-2010+1),"")</f>
        <v>2.642965429411765</v>
      </c>
      <c r="S83" s="578" t="str" cm="1">
        <f t="array" ref="S8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3" s="537" t="str" cm="1">
        <f t="array" ref="T83">IF('Config!'!$BA$15=2010,".",IF(INDEX('Result data'!$R$216:$AA$390,'IMS Seg. Table'!$A83,'Config!'!$BA$15-2010)=".",".",INDEX('Result data'!$R$216:$AA$390,'IMS Seg. Table'!$A83,'Config!'!$BA$15-2010)))</f>
        <v>.</v>
      </c>
      <c r="U83" s="579" t="str">
        <f t="shared" si="32"/>
        <v>.</v>
      </c>
      <c r="V83" s="530" t="str" cm="1">
        <f t="array" ref="V83">IF(Tabela2[[#This Row],[Market Penetration (Category)]]=".",".",INDEX('Result data'!$BS$216:$CB$390,'IMS Seg. Table'!$A83,'Config!'!$BA$15-2010))</f>
        <v>.</v>
      </c>
      <c r="W83" s="563" t="str">
        <f>IF(Tabela2[[#This Row],[Market Demand (U$ millions)]]=".",".",Tabela2[[#This Row],[Market Demand (U$ millions)]]/Tabela2[[#This Row],[Active users (thousands)]])</f>
        <v>.</v>
      </c>
      <c r="X83" s="580" cm="1">
        <f t="array" ref="X83">IF('Config!'!$BA$15=2010,".",IF(INDEX('Result data'!$AE$216:$AN$390,'IMS Seg. Table'!$A83,'Config!'!$BA$15-2010)=".",0,INDEX('Result data'!$AE$216:$AN$390,'IMS Seg. Table'!$A83,'Config!'!$BA$15-2010)))</f>
        <v>0</v>
      </c>
      <c r="Y83" s="563" t="str">
        <f>IF('Config!'!$BA$15=2010,".",IF(Tabela2[[#This Row],[Number of competitors]]=0,".",SUMIF('Result data'!$N$216:$N$390,Tabela2[[#This Row],[ID]],'Result data'!$CP$216:$CP$393)))</f>
        <v>.</v>
      </c>
      <c r="Z83" s="563" t="str">
        <f>IF('Config!'!$BA$15=2010,".",IF(Tabela2[[#This Row],[Number of competitors]]=0,".",SUMIF('Result data'!$N$216:$N$390,Tabela2[[#This Row],[ID]],'Result data'!$DA$216:$DA$393)))</f>
        <v>.</v>
      </c>
      <c r="AA83" s="530" t="str" cm="1">
        <f t="array" ref="AA8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3" s="530" t="str" cm="1">
        <f t="array" ref="AB8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3" s="530" t="str" cm="1">
        <f t="array" ref="AD8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3" s="530" t="str" cm="1">
        <f t="array" ref="AE8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3" s="530" t="str" cm="1">
        <f t="array" ref="AF8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4" spans="1:32" x14ac:dyDescent="0.3">
      <c r="A84" s="568">
        <f>'Config!'!C70</f>
        <v>65</v>
      </c>
      <c r="B84" s="536" t="str">
        <f>'Config!'!A70</f>
        <v>Guiné</v>
      </c>
      <c r="C84" s="536" t="str">
        <f>'Config!'!B70</f>
        <v>África Subsaariana</v>
      </c>
      <c r="D84" s="538" cm="1">
        <f t="array" ref="D84">IFERROR(INDEX(Population!$BD$3:$BN$177,'IMS Seg. Table'!$A84,'Config!'!$BA$15-2010+1),"")</f>
        <v>11628767</v>
      </c>
      <c r="E84" s="551" cm="1">
        <f t="array" ref="E84">IFERROR(INDEX(Population!$CH$3:$CH$178,'IMS Seg. Table'!$A84,1),"")</f>
        <v>245717</v>
      </c>
      <c r="F84" s="552">
        <f>IFERROR('IMS Seg. Table'!$D84/'IMS Seg. Table'!$E84,"")</f>
        <v>47.32585453997892</v>
      </c>
      <c r="G84" s="575" cm="1">
        <f t="array" ref="G84">IFERROR(INDEX('Country Competitivness'!$CL$4:$CX$178,Tabela2[[#This Row],[ID]],'Config!'!$AZ$17+1),".")</f>
        <v>65.78</v>
      </c>
      <c r="H84" s="540" cm="1">
        <f t="array" ref="H84">INDEX(GDP!$G$3:$S$177,'IMS Seg. Table'!$A84,'Config!'!$BA$15-2010+1)*1000000000</f>
        <v>7638045254.4307203</v>
      </c>
      <c r="I84" s="539">
        <f t="shared" si="31"/>
        <v>656.82331191524611</v>
      </c>
      <c r="J84" s="576">
        <f>IFERROR(INDEX('Income Tax Rate (%)'!$F$2:$P$176,Tabela2[[#This Row],[ID]],'Config!'!$BA$15-2010+1)/100,"")</f>
        <v>0.4</v>
      </c>
      <c r="K84" s="577">
        <f>IFERROR(INDEX('Tariff Rate (%)'!$F$2:$P$176,Tabela2[[#This Row],[ID]],'Config!'!$BA$15-2010+1)/100,"")</f>
        <v>0.11900000000000001</v>
      </c>
      <c r="L84" s="577">
        <f>IFERROR(INDEX('Corporate Tax Rate (%)'!$F$2:$P$176,Tabela2[[#This Row],[ID]],'Config!'!$BA$15-2010+1)/100,"")</f>
        <v>0.35</v>
      </c>
      <c r="M84" s="527" cm="1">
        <f t="array" ref="M84">INDEX('Score-Starting a business'!$F$2:$P$176,'IMS Seg. Table'!$A84,'Config!'!$BA$15-2010+1)</f>
        <v>34.15</v>
      </c>
      <c r="N84" s="527" cm="1">
        <f t="array" ref="N84">IFERROR(INDEX('Country Competitivness'!$AX$4:$BH$178,Tabela2[[#This Row],[ID]],'Config!'!$BA$15-2010+1),"")</f>
        <v>4.1215305662911508</v>
      </c>
      <c r="O84" s="527" cm="1">
        <f t="array" ref="O84">IFERROR(INDEX('Country Competitivness'!$EE$4:$EO$178,Tabela2[[#This Row],[ID]],'Config!'!$BA$15-2010+1),"")</f>
        <v>2.1754826953276996</v>
      </c>
      <c r="P84" s="527" cm="1">
        <f t="array" ref="P84">IFERROR(INDEX('Country Competitivness'!$H$4:$R$178,Tabela2[[#This Row],[ID]],'Config!'!$BA$15-2010+1),"")</f>
        <v>3.2308174577186008</v>
      </c>
      <c r="Q84" s="527" cm="1">
        <f t="array" ref="Q84">IFERROR(INDEX('Country Competitivness'!$AJ$4:$AT$178,Tabela2[[#This Row],[ID]],MAX(1,'Config!'!$BA$15-2010)),"")</f>
        <v>3.6805841002118269</v>
      </c>
      <c r="R84" s="527" cm="1">
        <f t="array" ref="R84">IFERROR(INDEX('Country Competitivness'!$BM$4:$BW$178,Tabela2[[#This Row],[ID]],'Config!'!$BA$15-2010+1),"")</f>
        <v>2.2317733321888209</v>
      </c>
      <c r="S84" s="578" t="str" cm="1">
        <f t="array" ref="S8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4" s="537" t="str" cm="1">
        <f t="array" ref="T84">IF('Config!'!$BA$15=2010,".",IF(INDEX('Result data'!$R$216:$AA$390,'IMS Seg. Table'!$A84,'Config!'!$BA$15-2010)=".",".",INDEX('Result data'!$R$216:$AA$390,'IMS Seg. Table'!$A84,'Config!'!$BA$15-2010)))</f>
        <v>.</v>
      </c>
      <c r="U84" s="579" t="str">
        <f t="shared" si="32"/>
        <v>.</v>
      </c>
      <c r="V84" s="530" t="str" cm="1">
        <f t="array" ref="V84">IF(Tabela2[[#This Row],[Market Penetration (Category)]]=".",".",INDEX('Result data'!$BS$216:$CB$390,'IMS Seg. Table'!$A84,'Config!'!$BA$15-2010))</f>
        <v>.</v>
      </c>
      <c r="W84" s="563" t="str">
        <f>IF(Tabela2[[#This Row],[Market Demand (U$ millions)]]=".",".",Tabela2[[#This Row],[Market Demand (U$ millions)]]/Tabela2[[#This Row],[Active users (thousands)]])</f>
        <v>.</v>
      </c>
      <c r="X84" s="580" cm="1">
        <f t="array" ref="X84">IF('Config!'!$BA$15=2010,".",IF(INDEX('Result data'!$AE$216:$AN$390,'IMS Seg. Table'!$A84,'Config!'!$BA$15-2010)=".",0,INDEX('Result data'!$AE$216:$AN$390,'IMS Seg. Table'!$A84,'Config!'!$BA$15-2010)))</f>
        <v>0</v>
      </c>
      <c r="Y84" s="563" t="str">
        <f>IF('Config!'!$BA$15=2010,".",IF(Tabela2[[#This Row],[Number of competitors]]=0,".",SUMIF('Result data'!$N$216:$N$390,Tabela2[[#This Row],[ID]],'Result data'!$CP$216:$CP$393)))</f>
        <v>.</v>
      </c>
      <c r="Z84" s="563" t="str">
        <f>IF('Config!'!$BA$15=2010,".",IF(Tabela2[[#This Row],[Number of competitors]]=0,".",SUMIF('Result data'!$N$216:$N$390,Tabela2[[#This Row],[ID]],'Result data'!$DA$216:$DA$393)))</f>
        <v>.</v>
      </c>
      <c r="AA84" s="530" t="str" cm="1">
        <f t="array" ref="AA8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4" s="530" t="str" cm="1">
        <f t="array" ref="AB8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4" s="530" t="str" cm="1">
        <f t="array" ref="AD8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4" s="530" t="str" cm="1">
        <f t="array" ref="AE8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4" s="530" t="str" cm="1">
        <f t="array" ref="AF8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5" spans="1:32" x14ac:dyDescent="0.3">
      <c r="A85" s="569">
        <f>'Config!'!C71</f>
        <v>50</v>
      </c>
      <c r="B85" s="536" t="str">
        <f>'Config!'!A71</f>
        <v>Guiné Equatorial</v>
      </c>
      <c r="C85" s="536" t="str">
        <f>'Config!'!B71</f>
        <v>África Subsaariana</v>
      </c>
      <c r="D85" s="538" cm="1">
        <f t="array" ref="D85">IFERROR(INDEX(Population!$BD$3:$BN$177,'IMS Seg. Table'!$A85,'Config!'!$BA$15-2010+1),"")</f>
        <v>773729</v>
      </c>
      <c r="E85" s="551" cm="1">
        <f t="array" ref="E85">IFERROR(INDEX(Population!$CH$3:$CH$178,'IMS Seg. Table'!$A85,1),"")</f>
        <v>28051</v>
      </c>
      <c r="F85" s="552">
        <f>IFERROR('IMS Seg. Table'!$D85/'IMS Seg. Table'!$E85,"")</f>
        <v>27.582938219671313</v>
      </c>
      <c r="G85" s="575" cm="1">
        <f t="array" ref="G85">IFERROR(INDEX('Country Competitivness'!$CL$4:$CX$178,Tabela2[[#This Row],[ID]],'Config!'!$AZ$17+1),".")</f>
        <v>97.09</v>
      </c>
      <c r="H85" s="540" cm="1">
        <f t="array" ref="H85">INDEX(GDP!$G$3:$S$177,'IMS Seg. Table'!$A85,'Config!'!$BA$15-2010+1)*1000000000</f>
        <v>22389626329.336876</v>
      </c>
      <c r="I85" s="539">
        <f t="shared" si="31"/>
        <v>28937.297593003332</v>
      </c>
      <c r="J85" s="576">
        <f>IFERROR(INDEX('Income Tax Rate (%)'!$F$2:$P$176,Tabela2[[#This Row],[ID]],'Config!'!$BA$15-2010+1)/100,"")</f>
        <v>0.35</v>
      </c>
      <c r="K85" s="577">
        <f>IFERROR(INDEX('Tariff Rate (%)'!$F$2:$P$176,Tabela2[[#This Row],[ID]],'Config!'!$BA$15-2010+1)/100,"")</f>
        <v>0.156</v>
      </c>
      <c r="L85" s="577">
        <f>IFERROR(INDEX('Corporate Tax Rate (%)'!$F$2:$P$176,Tabela2[[#This Row],[ID]],'Config!'!$BA$15-2010+1)/100,"")</f>
        <v>0.35</v>
      </c>
      <c r="M85" s="527" cm="1">
        <f t="array" ref="M85">INDEX('Score-Starting a business'!$F$2:$P$176,'IMS Seg. Table'!$A85,'Config!'!$BA$15-2010+1)</f>
        <v>36.700000000000003</v>
      </c>
      <c r="N85" s="527" cm="1">
        <f t="array" ref="N85">IFERROR(INDEX('Country Competitivness'!$AX$4:$BH$178,Tabela2[[#This Row],[ID]],'Config!'!$BA$15-2010+1),"")</f>
        <v>1.58</v>
      </c>
      <c r="O85" s="527" cm="1">
        <f t="array" ref="O85">IFERROR(INDEX('Country Competitivness'!$EE$4:$EO$178,Tabela2[[#This Row],[ID]],'Config!'!$BA$15-2010+1),"")</f>
        <v>3.43</v>
      </c>
      <c r="P85" s="527" cm="1">
        <f t="array" ref="P85">IFERROR(INDEX('Country Competitivness'!$H$4:$R$178,Tabela2[[#This Row],[ID]],'Config!'!$BA$15-2010+1),"")</f>
        <v>3.8</v>
      </c>
      <c r="Q85" s="527" cm="1">
        <f t="array" ref="Q85">IFERROR(INDEX('Country Competitivness'!$AJ$4:$AT$178,Tabela2[[#This Row],[ID]],MAX(1,'Config!'!$BA$15-2010)),"")</f>
        <v>4.57</v>
      </c>
      <c r="R85" s="527" cm="1">
        <f t="array" ref="R85">IFERROR(INDEX('Country Competitivness'!$BM$4:$BW$178,Tabela2[[#This Row],[ID]],'Config!'!$BA$15-2010+1),"")</f>
        <v>3.26</v>
      </c>
      <c r="S85" s="578" t="str" cm="1">
        <f t="array" ref="S8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5" s="537" t="str" cm="1">
        <f t="array" ref="T85">IF('Config!'!$BA$15=2010,".",IF(INDEX('Result data'!$R$216:$AA$390,'IMS Seg. Table'!$A85,'Config!'!$BA$15-2010)=".",".",INDEX('Result data'!$R$216:$AA$390,'IMS Seg. Table'!$A85,'Config!'!$BA$15-2010)))</f>
        <v>.</v>
      </c>
      <c r="U85" s="579" t="str">
        <f t="shared" si="32"/>
        <v>.</v>
      </c>
      <c r="V85" s="530" t="str" cm="1">
        <f t="array" ref="V85">IF(Tabela2[[#This Row],[Market Penetration (Category)]]=".",".",INDEX('Result data'!$BS$216:$CB$390,'IMS Seg. Table'!$A85,'Config!'!$BA$15-2010))</f>
        <v>.</v>
      </c>
      <c r="W85" s="563" t="str">
        <f>IF(Tabela2[[#This Row],[Market Demand (U$ millions)]]=".",".",Tabela2[[#This Row],[Market Demand (U$ millions)]]/Tabela2[[#This Row],[Active users (thousands)]])</f>
        <v>.</v>
      </c>
      <c r="X85" s="580" cm="1">
        <f t="array" ref="X85">IF('Config!'!$BA$15=2010,".",IF(INDEX('Result data'!$AE$216:$AN$390,'IMS Seg. Table'!$A85,'Config!'!$BA$15-2010)=".",0,INDEX('Result data'!$AE$216:$AN$390,'IMS Seg. Table'!$A85,'Config!'!$BA$15-2010)))</f>
        <v>0</v>
      </c>
      <c r="Y85" s="563" t="str">
        <f>IF('Config!'!$BA$15=2010,".",IF(Tabela2[[#This Row],[Number of competitors]]=0,".",SUMIF('Result data'!$N$216:$N$390,Tabela2[[#This Row],[ID]],'Result data'!$CP$216:$CP$393)))</f>
        <v>.</v>
      </c>
      <c r="Z85" s="563" t="str">
        <f>IF('Config!'!$BA$15=2010,".",IF(Tabela2[[#This Row],[Number of competitors]]=0,".",SUMIF('Result data'!$N$216:$N$390,Tabela2[[#This Row],[ID]],'Result data'!$DA$216:$DA$393)))</f>
        <v>.</v>
      </c>
      <c r="AA85" s="530" t="str" cm="1">
        <f t="array" ref="AA8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5" s="530" t="str" cm="1">
        <f t="array" ref="AB8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5" s="530" t="str" cm="1">
        <f t="array" ref="AD8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5" s="530" t="str" cm="1">
        <f t="array" ref="AE8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5" s="530" t="str" cm="1">
        <f t="array" ref="AF8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6" spans="1:32" x14ac:dyDescent="0.3">
      <c r="A86" s="568">
        <f>'Config!'!C72</f>
        <v>67</v>
      </c>
      <c r="B86" s="536" t="str">
        <f>'Config!'!A72</f>
        <v>Haiti</v>
      </c>
      <c r="C86" s="536" t="str">
        <f>'Config!'!B72</f>
        <v>Caribe</v>
      </c>
      <c r="D86" s="538" cm="1">
        <f t="array" ref="D86">IFERROR(INDEX(Population!$BD$3:$BN$177,'IMS Seg. Table'!$A86,'Config!'!$BA$15-2010+1),"")</f>
        <v>10288828</v>
      </c>
      <c r="E86" s="551" cm="1">
        <f t="array" ref="E86">IFERROR(INDEX(Population!$CH$3:$CH$178,'IMS Seg. Table'!$A86,1),"")</f>
        <v>27560</v>
      </c>
      <c r="F86" s="552">
        <f>IFERROR('IMS Seg. Table'!$D86/'IMS Seg. Table'!$E86,"")</f>
        <v>373.32467343976776</v>
      </c>
      <c r="G86" s="575" cm="1">
        <f t="array" ref="G86">IFERROR(INDEX('Country Competitivness'!$CL$4:$CX$178,Tabela2[[#This Row],[ID]],'Config!'!$AZ$17+1),".")</f>
        <v>40.027030253530199</v>
      </c>
      <c r="H86" s="540" cm="1">
        <f t="array" ref="H86">INDEX(GDP!$G$3:$S$177,'IMS Seg. Table'!$A86,'Config!'!$BA$15-2010+1)*1000000000</f>
        <v>7890216507.6891251</v>
      </c>
      <c r="I86" s="539">
        <f t="shared" si="31"/>
        <v>766.87223342533525</v>
      </c>
      <c r="J86" s="576">
        <f>IFERROR(INDEX('Income Tax Rate (%)'!$F$2:$P$176,Tabela2[[#This Row],[ID]],'Config!'!$BA$15-2010+1)/100,"")</f>
        <v>0.3</v>
      </c>
      <c r="K86" s="577">
        <f>IFERROR(INDEX('Tariff Rate (%)'!$F$2:$P$176,Tabela2[[#This Row],[ID]],'Config!'!$BA$15-2010+1)/100,"")</f>
        <v>7.2900000000000006E-2</v>
      </c>
      <c r="L86" s="577">
        <f>IFERROR(INDEX('Corporate Tax Rate (%)'!$F$2:$P$176,Tabela2[[#This Row],[ID]],'Config!'!$BA$15-2010+1)/100,"")</f>
        <v>0.3</v>
      </c>
      <c r="M86" s="527" cm="1">
        <f t="array" ref="M86">INDEX('Score-Starting a business'!$F$2:$P$176,'IMS Seg. Table'!$A86,'Config!'!$BA$15-2010+1)</f>
        <v>32.369999999999997</v>
      </c>
      <c r="N86" s="527" cm="1">
        <f t="array" ref="N86">IFERROR(INDEX('Country Competitivness'!$AX$4:$BH$178,Tabela2[[#This Row],[ID]],'Config!'!$BA$15-2010+1),"")</f>
        <v>2.6173410000000001</v>
      </c>
      <c r="O86" s="527" cm="1">
        <f t="array" ref="O86">IFERROR(INDEX('Country Competitivness'!$EE$4:$EO$178,Tabela2[[#This Row],[ID]],'Config!'!$BA$15-2010+1),"")</f>
        <v>1.7425839999999999</v>
      </c>
      <c r="P86" s="527" cm="1">
        <f t="array" ref="P86">IFERROR(INDEX('Country Competitivness'!$H$4:$R$178,Tabela2[[#This Row],[ID]],'Config!'!$BA$15-2010+1),"")</f>
        <v>2.781560368421053</v>
      </c>
      <c r="Q86" s="527" cm="1">
        <f t="array" ref="Q86">IFERROR(INDEX('Country Competitivness'!$AJ$4:$AT$178,Tabela2[[#This Row],[ID]],MAX(1,'Config!'!$BA$15-2010)),"")</f>
        <v>3.803857666666667</v>
      </c>
      <c r="R86" s="527" cm="1">
        <f t="array" ref="R86">IFERROR(INDEX('Country Competitivness'!$BM$4:$BW$178,Tabela2[[#This Row],[ID]],'Config!'!$BA$15-2010+1),"")</f>
        <v>2.0165790000000001</v>
      </c>
      <c r="S86" s="578" t="str" cm="1">
        <f t="array" ref="S8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6" s="537" t="str" cm="1">
        <f t="array" ref="T86">IF('Config!'!$BA$15=2010,".",IF(INDEX('Result data'!$R$216:$AA$390,'IMS Seg. Table'!$A86,'Config!'!$BA$15-2010)=".",".",INDEX('Result data'!$R$216:$AA$390,'IMS Seg. Table'!$A86,'Config!'!$BA$15-2010)))</f>
        <v>.</v>
      </c>
      <c r="U86" s="579" t="str">
        <f t="shared" si="32"/>
        <v>.</v>
      </c>
      <c r="V86" s="530" t="str" cm="1">
        <f t="array" ref="V86">IF(Tabela2[[#This Row],[Market Penetration (Category)]]=".",".",INDEX('Result data'!$BS$216:$CB$390,'IMS Seg. Table'!$A86,'Config!'!$BA$15-2010))</f>
        <v>.</v>
      </c>
      <c r="W86" s="563" t="str">
        <f>IF(Tabela2[[#This Row],[Market Demand (U$ millions)]]=".",".",Tabela2[[#This Row],[Market Demand (U$ millions)]]/Tabela2[[#This Row],[Active users (thousands)]])</f>
        <v>.</v>
      </c>
      <c r="X86" s="580" cm="1">
        <f t="array" ref="X86">IF('Config!'!$BA$15=2010,".",IF(INDEX('Result data'!$AE$216:$AN$390,'IMS Seg. Table'!$A86,'Config!'!$BA$15-2010)=".",0,INDEX('Result data'!$AE$216:$AN$390,'IMS Seg. Table'!$A86,'Config!'!$BA$15-2010)))</f>
        <v>0</v>
      </c>
      <c r="Y86" s="563" t="str">
        <f>IF('Config!'!$BA$15=2010,".",IF(Tabela2[[#This Row],[Number of competitors]]=0,".",SUMIF('Result data'!$N$216:$N$390,Tabela2[[#This Row],[ID]],'Result data'!$CP$216:$CP$393)))</f>
        <v>.</v>
      </c>
      <c r="Z86" s="563" t="str">
        <f>IF('Config!'!$BA$15=2010,".",IF(Tabela2[[#This Row],[Number of competitors]]=0,".",SUMIF('Result data'!$N$216:$N$390,Tabela2[[#This Row],[ID]],'Result data'!$DA$216:$DA$393)))</f>
        <v>.</v>
      </c>
      <c r="AA86" s="530" t="str" cm="1">
        <f t="array" ref="AA8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6" s="530" t="str" cm="1">
        <f t="array" ref="AB8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6" s="530" t="str" cm="1">
        <f t="array" ref="AD8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6" s="530" t="str" cm="1">
        <f t="array" ref="AE8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6" s="530" t="str" cm="1">
        <f t="array" ref="AF8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7" spans="1:32" x14ac:dyDescent="0.3">
      <c r="A87" s="569">
        <f>'Config!'!C73</f>
        <v>112</v>
      </c>
      <c r="B87" s="536" t="str">
        <f>'Config!'!A73</f>
        <v>Holanda</v>
      </c>
      <c r="C87" s="536" t="str">
        <f>'Config!'!B73</f>
        <v>União Européia</v>
      </c>
      <c r="D87" s="538" cm="1">
        <f t="array" ref="D87">IFERROR(INDEX(Population!$BD$3:$BN$177,'IMS Seg. Table'!$A87,'Config!'!$BA$15-2010+1),"")</f>
        <v>16754962</v>
      </c>
      <c r="E87" s="551" cm="1">
        <f t="array" ref="E87">IFERROR(INDEX(Population!$CH$3:$CH$178,'IMS Seg. Table'!$A87,1),"")</f>
        <v>33893</v>
      </c>
      <c r="F87" s="552">
        <f>IFERROR('IMS Seg. Table'!$D87/'IMS Seg. Table'!$E87,"")</f>
        <v>494.34874457852652</v>
      </c>
      <c r="G87" s="575" cm="1">
        <f t="array" ref="G87">IFERROR(INDEX('Country Competitivness'!$CL$4:$CX$178,Tabela2[[#This Row],[ID]],'Config!'!$AZ$17+1),".")</f>
        <v>116.23435832253701</v>
      </c>
      <c r="H87" s="540" cm="1">
        <f t="array" ref="H87">INDEX(GDP!$G$3:$S$177,'IMS Seg. Table'!$A87,'Config!'!$BA$15-2010+1)*1000000000</f>
        <v>838971306990.90637</v>
      </c>
      <c r="I87" s="539">
        <f t="shared" si="31"/>
        <v>50073.005655930843</v>
      </c>
      <c r="J87" s="576">
        <f>IFERROR(INDEX('Income Tax Rate (%)'!$F$2:$P$176,Tabela2[[#This Row],[ID]],'Config!'!$BA$15-2010+1)/100,"")</f>
        <v>0.52</v>
      </c>
      <c r="K87" s="577">
        <f>IFERROR(INDEX('Tariff Rate (%)'!$F$2:$P$176,Tabela2[[#This Row],[ID]],'Config!'!$BA$15-2010+1)/100,"")</f>
        <v>1.09E-2</v>
      </c>
      <c r="L87" s="577">
        <f>IFERROR(INDEX('Corporate Tax Rate (%)'!$F$2:$P$176,Tabela2[[#This Row],[ID]],'Config!'!$BA$15-2010+1)/100,"")</f>
        <v>0.25</v>
      </c>
      <c r="M87" s="527" cm="1">
        <f t="array" ref="M87">INDEX('Score-Starting a business'!$F$2:$P$176,'IMS Seg. Table'!$A87,'Config!'!$BA$15-2010+1)</f>
        <v>86.92</v>
      </c>
      <c r="N87" s="527" cm="1">
        <f t="array" ref="N87">IFERROR(INDEX('Country Competitivness'!$AX$4:$BH$178,Tabela2[[#This Row],[ID]],'Config!'!$BA$15-2010+1),"")</f>
        <v>3.4900151580645158</v>
      </c>
      <c r="O87" s="527" cm="1">
        <f t="array" ref="O87">IFERROR(INDEX('Country Competitivness'!$EE$4:$EO$178,Tabela2[[#This Row],[ID]],'Config!'!$BA$15-2010+1),"")</f>
        <v>5.6468130112903223</v>
      </c>
      <c r="P87" s="527" cm="1">
        <f t="array" ref="P87">IFERROR(INDEX('Country Competitivness'!$H$4:$R$178,Tabela2[[#This Row],[ID]],'Config!'!$BA$15-2010+1),"")</f>
        <v>5.5775980903225806</v>
      </c>
      <c r="Q87" s="527" cm="1">
        <f t="array" ref="Q87">IFERROR(INDEX('Country Competitivness'!$AJ$4:$AT$178,Tabela2[[#This Row],[ID]],MAX(1,'Config!'!$BA$15-2010)),"")</f>
        <v>5.749637510752688</v>
      </c>
      <c r="R87" s="527" cm="1">
        <f t="array" ref="R87">IFERROR(INDEX('Country Competitivness'!$BM$4:$BW$178,Tabela2[[#This Row],[ID]],'Config!'!$BA$15-2010+1),"")</f>
        <v>4.4708396564516129</v>
      </c>
      <c r="S87" s="578" t="str" cm="1">
        <f t="array" ref="S8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7" s="537" t="str" cm="1">
        <f t="array" ref="T87">IF('Config!'!$BA$15=2010,".",IF(INDEX('Result data'!$R$216:$AA$390,'IMS Seg. Table'!$A87,'Config!'!$BA$15-2010)=".",".",INDEX('Result data'!$R$216:$AA$390,'IMS Seg. Table'!$A87,'Config!'!$BA$15-2010)))</f>
        <v>.</v>
      </c>
      <c r="U87" s="579" t="str">
        <f t="shared" si="32"/>
        <v>.</v>
      </c>
      <c r="V87" s="530" t="str" cm="1">
        <f t="array" ref="V87">IF(Tabela2[[#This Row],[Market Penetration (Category)]]=".",".",INDEX('Result data'!$BS$216:$CB$390,'IMS Seg. Table'!$A87,'Config!'!$BA$15-2010))</f>
        <v>.</v>
      </c>
      <c r="W87" s="563" t="str">
        <f>IF(Tabela2[[#This Row],[Market Demand (U$ millions)]]=".",".",Tabela2[[#This Row],[Market Demand (U$ millions)]]/Tabela2[[#This Row],[Active users (thousands)]])</f>
        <v>.</v>
      </c>
      <c r="X87" s="580" cm="1">
        <f t="array" ref="X87">IF('Config!'!$BA$15=2010,".",IF(INDEX('Result data'!$AE$216:$AN$390,'IMS Seg. Table'!$A87,'Config!'!$BA$15-2010)=".",0,INDEX('Result data'!$AE$216:$AN$390,'IMS Seg. Table'!$A87,'Config!'!$BA$15-2010)))</f>
        <v>0</v>
      </c>
      <c r="Y87" s="563" t="str">
        <f>IF('Config!'!$BA$15=2010,".",IF(Tabela2[[#This Row],[Number of competitors]]=0,".",SUMIF('Result data'!$N$216:$N$390,Tabela2[[#This Row],[ID]],'Result data'!$CP$216:$CP$393)))</f>
        <v>.</v>
      </c>
      <c r="Z87" s="563" t="str">
        <f>IF('Config!'!$BA$15=2010,".",IF(Tabela2[[#This Row],[Number of competitors]]=0,".",SUMIF('Result data'!$N$216:$N$390,Tabela2[[#This Row],[ID]],'Result data'!$DA$216:$DA$393)))</f>
        <v>.</v>
      </c>
      <c r="AA87" s="530" t="str" cm="1">
        <f t="array" ref="AA8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7" s="530" t="str" cm="1">
        <f t="array" ref="AB8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7" s="530" t="str" cm="1">
        <f t="array" ref="AD8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7" s="530" t="str" cm="1">
        <f t="array" ref="AE8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7" s="530" t="str" cm="1">
        <f t="array" ref="AF8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8" spans="1:32" x14ac:dyDescent="0.3">
      <c r="A88" s="568">
        <f>'Config!'!C74</f>
        <v>68</v>
      </c>
      <c r="B88" s="536" t="str">
        <f>'Config!'!A74</f>
        <v>Honduras</v>
      </c>
      <c r="C88" s="536" t="str">
        <f>'Config!'!B74</f>
        <v>América Central</v>
      </c>
      <c r="D88" s="538" cm="1">
        <f t="array" ref="D88">IFERROR(INDEX(Population!$BD$3:$BN$177,'IMS Seg. Table'!$A88,'Config!'!$BA$15-2010+1),"")</f>
        <v>7736131</v>
      </c>
      <c r="E88" s="551" cm="1">
        <f t="array" ref="E88">IFERROR(INDEX(Population!$CH$3:$CH$178,'IMS Seg. Table'!$A88,1),"")</f>
        <v>111890</v>
      </c>
      <c r="F88" s="552">
        <f>IFERROR('IMS Seg. Table'!$D88/'IMS Seg. Table'!$E88,"")</f>
        <v>69.140504066493875</v>
      </c>
      <c r="G88" s="575" cm="1">
        <f t="array" ref="G88">IFERROR(INDEX('Country Competitivness'!$CL$4:$CX$178,Tabela2[[#This Row],[ID]],'Config!'!$AZ$17+1),".")</f>
        <v>125.058101257229</v>
      </c>
      <c r="H88" s="540" cm="1">
        <f t="array" ref="H88">INDEX(GDP!$G$3:$S$177,'IMS Seg. Table'!$A88,'Config!'!$BA$15-2010+1)*1000000000</f>
        <v>18400538970.111938</v>
      </c>
      <c r="I88" s="539">
        <f t="shared" si="31"/>
        <v>2378.51956877565</v>
      </c>
      <c r="J88" s="576">
        <f>IFERROR(INDEX('Income Tax Rate (%)'!$F$2:$P$176,Tabela2[[#This Row],[ID]],'Config!'!$BA$15-2010+1)/100,"")</f>
        <v>0.25</v>
      </c>
      <c r="K88" s="577">
        <f>IFERROR(INDEX('Tariff Rate (%)'!$F$2:$P$176,Tabela2[[#This Row],[ID]],'Config!'!$BA$15-2010+1)/100,"")</f>
        <v>7.2999999999999995E-2</v>
      </c>
      <c r="L88" s="577">
        <f>IFERROR(INDEX('Corporate Tax Rate (%)'!$F$2:$P$176,Tabela2[[#This Row],[ID]],'Config!'!$BA$15-2010+1)/100,"")</f>
        <v>0.25</v>
      </c>
      <c r="M88" s="527" cm="1">
        <f t="array" ref="M88">INDEX('Score-Starting a business'!$F$2:$P$176,'IMS Seg. Table'!$A88,'Config!'!$BA$15-2010+1)</f>
        <v>73.92</v>
      </c>
      <c r="N88" s="527" cm="1">
        <f t="array" ref="N88">IFERROR(INDEX('Country Competitivness'!$AX$4:$BH$178,Tabela2[[#This Row],[ID]],'Config!'!$BA$15-2010+1),"")</f>
        <v>3.4578014110497239</v>
      </c>
      <c r="O88" s="527" cm="1">
        <f t="array" ref="O88">IFERROR(INDEX('Country Competitivness'!$EE$4:$EO$178,Tabela2[[#This Row],[ID]],'Config!'!$BA$15-2010+1),"")</f>
        <v>3.4294653403314919</v>
      </c>
      <c r="P88" s="527" cm="1">
        <f t="array" ref="P88">IFERROR(INDEX('Country Competitivness'!$H$4:$R$178,Tabela2[[#This Row],[ID]],'Config!'!$BA$15-2010+1),"")</f>
        <v>3.7733569949403893</v>
      </c>
      <c r="Q88" s="527" cm="1">
        <f t="array" ref="Q88">IFERROR(INDEX('Country Competitivness'!$AJ$4:$AT$178,Tabela2[[#This Row],[ID]],MAX(1,'Config!'!$BA$15-2010)),"")</f>
        <v>4.8589450696132603</v>
      </c>
      <c r="R88" s="527" cm="1">
        <f t="array" ref="R88">IFERROR(INDEX('Country Competitivness'!$BM$4:$BW$178,Tabela2[[#This Row],[ID]],'Config!'!$BA$15-2010+1),"")</f>
        <v>3.5067279480662985</v>
      </c>
      <c r="S88" s="578" t="str" cm="1">
        <f t="array" ref="S8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8" s="537" t="str" cm="1">
        <f t="array" ref="T88">IF('Config!'!$BA$15=2010,".",IF(INDEX('Result data'!$R$216:$AA$390,'IMS Seg. Table'!$A88,'Config!'!$BA$15-2010)=".",".",INDEX('Result data'!$R$216:$AA$390,'IMS Seg. Table'!$A88,'Config!'!$BA$15-2010)))</f>
        <v>.</v>
      </c>
      <c r="U88" s="579" t="str">
        <f t="shared" si="32"/>
        <v>.</v>
      </c>
      <c r="V88" s="530" t="str" cm="1">
        <f t="array" ref="V88">IF(Tabela2[[#This Row],[Market Penetration (Category)]]=".",".",INDEX('Result data'!$BS$216:$CB$390,'IMS Seg. Table'!$A88,'Config!'!$BA$15-2010))</f>
        <v>.</v>
      </c>
      <c r="W88" s="563" t="str">
        <f>IF(Tabela2[[#This Row],[Market Demand (U$ millions)]]=".",".",Tabela2[[#This Row],[Market Demand (U$ millions)]]/Tabela2[[#This Row],[Active users (thousands)]])</f>
        <v>.</v>
      </c>
      <c r="X88" s="580" cm="1">
        <f t="array" ref="X88">IF('Config!'!$BA$15=2010,".",IF(INDEX('Result data'!$AE$216:$AN$390,'IMS Seg. Table'!$A88,'Config!'!$BA$15-2010)=".",0,INDEX('Result data'!$AE$216:$AN$390,'IMS Seg. Table'!$A88,'Config!'!$BA$15-2010)))</f>
        <v>0</v>
      </c>
      <c r="Y88" s="563" t="str">
        <f>IF('Config!'!$BA$15=2010,".",IF(Tabela2[[#This Row],[Number of competitors]]=0,".",SUMIF('Result data'!$N$216:$N$390,Tabela2[[#This Row],[ID]],'Result data'!$CP$216:$CP$393)))</f>
        <v>.</v>
      </c>
      <c r="Z88" s="563" t="str">
        <f>IF('Config!'!$BA$15=2010,".",IF(Tabela2[[#This Row],[Number of competitors]]=0,".",SUMIF('Result data'!$N$216:$N$390,Tabela2[[#This Row],[ID]],'Result data'!$DA$216:$DA$393)))</f>
        <v>.</v>
      </c>
      <c r="AA88" s="530" t="str" cm="1">
        <f t="array" ref="AA8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8" s="530" t="str" cm="1">
        <f t="array" ref="AB8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8" s="530" t="str" cm="1">
        <f t="array" ref="AD8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8" s="530" t="str" cm="1">
        <f t="array" ref="AE8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8" s="530" t="str" cm="1">
        <f t="array" ref="AF8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89" spans="1:32" x14ac:dyDescent="0.3">
      <c r="A89" s="569">
        <f>'Config!'!C75</f>
        <v>69</v>
      </c>
      <c r="B89" s="536" t="str">
        <f>'Config!'!A75</f>
        <v>Hungria</v>
      </c>
      <c r="C89" s="536" t="str">
        <f>'Config!'!B75</f>
        <v>União Européia</v>
      </c>
      <c r="D89" s="538" cm="1">
        <f t="array" ref="D89">IFERROR(INDEX(Population!$BD$3:$BN$177,'IMS Seg. Table'!$A89,'Config!'!$BA$15-2010+1),"")</f>
        <v>9920362</v>
      </c>
      <c r="E89" s="551" cm="1">
        <f t="array" ref="E89">IFERROR(INDEX(Population!$CH$3:$CH$178,'IMS Seg. Table'!$A89,1),"")</f>
        <v>89608</v>
      </c>
      <c r="F89" s="552">
        <f>IFERROR('IMS Seg. Table'!$D89/'IMS Seg. Table'!$E89,"")</f>
        <v>110.7084412106062</v>
      </c>
      <c r="G89" s="575" cm="1">
        <f t="array" ref="G89">IFERROR(INDEX('Country Competitivness'!$CL$4:$CX$178,Tabela2[[#This Row],[ID]],'Config!'!$AZ$17+1),".")</f>
        <v>120.31500519098999</v>
      </c>
      <c r="H89" s="540" cm="1">
        <f t="array" ref="H89">INDEX(GDP!$G$3:$S$177,'IMS Seg. Table'!$A89,'Config!'!$BA$15-2010+1)*1000000000</f>
        <v>127856647107.82027</v>
      </c>
      <c r="I89" s="539">
        <f t="shared" si="31"/>
        <v>12888.304590882901</v>
      </c>
      <c r="J89" s="576">
        <f>IFERROR(INDEX('Income Tax Rate (%)'!$F$2:$P$176,Tabela2[[#This Row],[ID]],'Config!'!$BA$15-2010+1)/100,"")</f>
        <v>0.16</v>
      </c>
      <c r="K89" s="577">
        <f>IFERROR(INDEX('Tariff Rate (%)'!$F$2:$P$176,Tabela2[[#This Row],[ID]],'Config!'!$BA$15-2010+1)/100,"")</f>
        <v>1.09E-2</v>
      </c>
      <c r="L89" s="577">
        <f>IFERROR(INDEX('Corporate Tax Rate (%)'!$F$2:$P$176,Tabela2[[#This Row],[ID]],'Config!'!$BA$15-2010+1)/100,"")</f>
        <v>0.19</v>
      </c>
      <c r="M89" s="527" cm="1">
        <f t="array" ref="M89">INDEX('Score-Starting a business'!$F$2:$P$176,'IMS Seg. Table'!$A89,'Config!'!$BA$15-2010+1)</f>
        <v>91.43</v>
      </c>
      <c r="N89" s="527" cm="1">
        <f t="array" ref="N89">IFERROR(INDEX('Country Competitivness'!$AX$4:$BH$178,Tabela2[[#This Row],[ID]],'Config!'!$BA$15-2010+1),"")</f>
        <v>2.3383575824427485</v>
      </c>
      <c r="O89" s="527" cm="1">
        <f t="array" ref="O89">IFERROR(INDEX('Country Competitivness'!$EE$4:$EO$178,Tabela2[[#This Row],[ID]],'Config!'!$BA$15-2010+1),"")</f>
        <v>4.031787252671756</v>
      </c>
      <c r="P89" s="527" cm="1">
        <f t="array" ref="P89">IFERROR(INDEX('Country Competitivness'!$H$4:$R$178,Tabela2[[#This Row],[ID]],'Config!'!$BA$15-2010+1),"")</f>
        <v>3.8762662979911608</v>
      </c>
      <c r="Q89" s="527" cm="1">
        <f t="array" ref="Q89">IFERROR(INDEX('Country Competitivness'!$AJ$4:$AT$178,Tabela2[[#This Row],[ID]],MAX(1,'Config!'!$BA$15-2010)),"")</f>
        <v>5.2881131597964375</v>
      </c>
      <c r="R89" s="527" cm="1">
        <f t="array" ref="R89">IFERROR(INDEX('Country Competitivness'!$BM$4:$BW$178,Tabela2[[#This Row],[ID]],'Config!'!$BA$15-2010+1),"")</f>
        <v>2.8943881320610685</v>
      </c>
      <c r="S89" s="578" t="str" cm="1">
        <f t="array" ref="S8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89" s="537" t="str" cm="1">
        <f t="array" ref="T89">IF('Config!'!$BA$15=2010,".",IF(INDEX('Result data'!$R$216:$AA$390,'IMS Seg. Table'!$A89,'Config!'!$BA$15-2010)=".",".",INDEX('Result data'!$R$216:$AA$390,'IMS Seg. Table'!$A89,'Config!'!$BA$15-2010)))</f>
        <v>.</v>
      </c>
      <c r="U89" s="579" t="str">
        <f t="shared" si="32"/>
        <v>.</v>
      </c>
      <c r="V89" s="530" t="str" cm="1">
        <f t="array" ref="V89">IF(Tabela2[[#This Row],[Market Penetration (Category)]]=".",".",INDEX('Result data'!$BS$216:$CB$390,'IMS Seg. Table'!$A89,'Config!'!$BA$15-2010))</f>
        <v>.</v>
      </c>
      <c r="W89" s="563" t="str">
        <f>IF(Tabela2[[#This Row],[Market Demand (U$ millions)]]=".",".",Tabela2[[#This Row],[Market Demand (U$ millions)]]/Tabela2[[#This Row],[Active users (thousands)]])</f>
        <v>.</v>
      </c>
      <c r="X89" s="580" cm="1">
        <f t="array" ref="X89">IF('Config!'!$BA$15=2010,".",IF(INDEX('Result data'!$AE$216:$AN$390,'IMS Seg. Table'!$A89,'Config!'!$BA$15-2010)=".",0,INDEX('Result data'!$AE$216:$AN$390,'IMS Seg. Table'!$A89,'Config!'!$BA$15-2010)))</f>
        <v>0</v>
      </c>
      <c r="Y89" s="563" t="str">
        <f>IF('Config!'!$BA$15=2010,".",IF(Tabela2[[#This Row],[Number of competitors]]=0,".",SUMIF('Result data'!$N$216:$N$390,Tabela2[[#This Row],[ID]],'Result data'!$CP$216:$CP$393)))</f>
        <v>.</v>
      </c>
      <c r="Z89" s="563" t="str">
        <f>IF('Config!'!$BA$15=2010,".",IF(Tabela2[[#This Row],[Number of competitors]]=0,".",SUMIF('Result data'!$N$216:$N$390,Tabela2[[#This Row],[ID]],'Result data'!$DA$216:$DA$393)))</f>
        <v>.</v>
      </c>
      <c r="AA89" s="530" t="str" cm="1">
        <f t="array" ref="AA8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89" s="530" t="str" cm="1">
        <f t="array" ref="AB8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8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89" s="530" t="str" cm="1">
        <f t="array" ref="AD8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89" s="530" t="str" cm="1">
        <f t="array" ref="AE8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89" s="530" t="str" cm="1">
        <f t="array" ref="AF8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0" spans="1:32" x14ac:dyDescent="0.3">
      <c r="A90" s="568">
        <f>'Config!'!C76</f>
        <v>168</v>
      </c>
      <c r="B90" s="536" t="str">
        <f>'Config!'!A76</f>
        <v>Iémen</v>
      </c>
      <c r="C90" s="536" t="str">
        <f>'Config!'!B76</f>
        <v>Oriente médio</v>
      </c>
      <c r="D90" s="538" cm="1">
        <f t="array" ref="D90">IFERROR(INDEX(Population!$BD$3:$BN$177,'IMS Seg. Table'!$A90,'Config!'!$BA$15-2010+1),"")</f>
        <v>24882792</v>
      </c>
      <c r="E90" s="551" cm="1">
        <f t="array" ref="E90">IFERROR(INDEX(Population!$CH$3:$CH$178,'IMS Seg. Table'!$A90,1),"")</f>
        <v>527968</v>
      </c>
      <c r="F90" s="552">
        <f>IFERROR('IMS Seg. Table'!$D90/'IMS Seg. Table'!$E90,"")</f>
        <v>47.129356324625732</v>
      </c>
      <c r="G90" s="575" cm="1">
        <f t="array" ref="G90">IFERROR(INDEX('Country Competitivness'!$CL$4:$CX$178,Tabela2[[#This Row],[ID]],'Config!'!$AZ$17+1),".")</f>
        <v>46.086658550536498</v>
      </c>
      <c r="H90" s="540" cm="1">
        <f t="array" ref="H90">INDEX(GDP!$G$3:$S$177,'IMS Seg. Table'!$A90,'Config!'!$BA$15-2010+1)*1000000000</f>
        <v>35401339869.30545</v>
      </c>
      <c r="I90" s="539">
        <f t="shared" si="31"/>
        <v>1422.7237791203436</v>
      </c>
      <c r="J90" s="576">
        <f>IFERROR(INDEX('Income Tax Rate (%)'!$F$2:$P$176,Tabela2[[#This Row],[ID]],'Config!'!$BA$15-2010+1)/100,"")</f>
        <v>0.2</v>
      </c>
      <c r="K90" s="577">
        <f>IFERROR(INDEX('Tariff Rate (%)'!$F$2:$P$176,Tabela2[[#This Row],[ID]],'Config!'!$BA$15-2010+1)/100,"")</f>
        <v>3.8199999999999998E-2</v>
      </c>
      <c r="L90" s="577">
        <f>IFERROR(INDEX('Corporate Tax Rate (%)'!$F$2:$P$176,Tabela2[[#This Row],[ID]],'Config!'!$BA$15-2010+1)/100,"")</f>
        <v>0.2</v>
      </c>
      <c r="M90" s="527" cm="1">
        <f t="array" ref="M90">INDEX('Score-Starting a business'!$F$2:$P$176,'IMS Seg. Table'!$A90,'Config!'!$BA$15-2010+1)</f>
        <v>78.42</v>
      </c>
      <c r="N90" s="527" cm="1">
        <f t="array" ref="N90">IFERROR(INDEX('Country Competitivness'!$AX$4:$BH$178,Tabela2[[#This Row],[ID]],'Config!'!$BA$15-2010+1),"")</f>
        <v>2.5721340000000001</v>
      </c>
      <c r="O90" s="527" cm="1">
        <f t="array" ref="O90">IFERROR(INDEX('Country Competitivness'!$EE$4:$EO$178,Tabela2[[#This Row],[ID]],'Config!'!$BA$15-2010+1),"")</f>
        <v>2.8529450000000001</v>
      </c>
      <c r="P90" s="527" cm="1">
        <f t="array" ref="P90">IFERROR(INDEX('Country Competitivness'!$H$4:$R$178,Tabela2[[#This Row],[ID]],'Config!'!$BA$15-2010+1),"")</f>
        <v>2.9765362105263162</v>
      </c>
      <c r="Q90" s="527" cm="1">
        <f t="array" ref="Q90">IFERROR(INDEX('Country Competitivness'!$AJ$4:$AT$178,Tabela2[[#This Row],[ID]],MAX(1,'Config!'!$BA$15-2010)),"")</f>
        <v>3.379956</v>
      </c>
      <c r="R90" s="527" cm="1">
        <f t="array" ref="R90">IFERROR(INDEX('Country Competitivness'!$BM$4:$BW$178,Tabela2[[#This Row],[ID]],'Config!'!$BA$15-2010+1),"")</f>
        <v>2.4606089999999998</v>
      </c>
      <c r="S90" s="578" t="str" cm="1">
        <f t="array" ref="S9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0" s="537" t="str" cm="1">
        <f t="array" ref="T90">IF('Config!'!$BA$15=2010,".",IF(INDEX('Result data'!$R$216:$AA$390,'IMS Seg. Table'!$A90,'Config!'!$BA$15-2010)=".",".",INDEX('Result data'!$R$216:$AA$390,'IMS Seg. Table'!$A90,'Config!'!$BA$15-2010)))</f>
        <v>.</v>
      </c>
      <c r="U90" s="579" t="str">
        <f t="shared" si="32"/>
        <v>.</v>
      </c>
      <c r="V90" s="530" t="str" cm="1">
        <f t="array" ref="V90">IF(Tabela2[[#This Row],[Market Penetration (Category)]]=".",".",INDEX('Result data'!$BS$216:$CB$390,'IMS Seg. Table'!$A90,'Config!'!$BA$15-2010))</f>
        <v>.</v>
      </c>
      <c r="W90" s="563" t="str">
        <f>IF(Tabela2[[#This Row],[Market Demand (U$ millions)]]=".",".",Tabela2[[#This Row],[Market Demand (U$ millions)]]/Tabela2[[#This Row],[Active users (thousands)]])</f>
        <v>.</v>
      </c>
      <c r="X90" s="580" cm="1">
        <f t="array" ref="X90">IF('Config!'!$BA$15=2010,".",IF(INDEX('Result data'!$AE$216:$AN$390,'IMS Seg. Table'!$A90,'Config!'!$BA$15-2010)=".",0,INDEX('Result data'!$AE$216:$AN$390,'IMS Seg. Table'!$A90,'Config!'!$BA$15-2010)))</f>
        <v>0</v>
      </c>
      <c r="Y90" s="563" t="str">
        <f>IF('Config!'!$BA$15=2010,".",IF(Tabela2[[#This Row],[Number of competitors]]=0,".",SUMIF('Result data'!$N$216:$N$390,Tabela2[[#This Row],[ID]],'Result data'!$CP$216:$CP$393)))</f>
        <v>.</v>
      </c>
      <c r="Z90" s="563" t="str">
        <f>IF('Config!'!$BA$15=2010,".",IF(Tabela2[[#This Row],[Number of competitors]]=0,".",SUMIF('Result data'!$N$216:$N$390,Tabela2[[#This Row],[ID]],'Result data'!$DA$216:$DA$393)))</f>
        <v>.</v>
      </c>
      <c r="AA90" s="530" t="str" cm="1">
        <f t="array" ref="AA9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0" s="530" t="str" cm="1">
        <f t="array" ref="AB9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0" s="530" t="str" cm="1">
        <f t="array" ref="AD9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0" s="530" t="str" cm="1">
        <f t="array" ref="AE9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0" s="530" t="str" cm="1">
        <f t="array" ref="AF9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1" spans="1:32" x14ac:dyDescent="0.3">
      <c r="A91" s="569">
        <f>'Config!'!C77</f>
        <v>142</v>
      </c>
      <c r="B91" s="536" t="str">
        <f>'Config!'!A77</f>
        <v>Ilhas Salomão</v>
      </c>
      <c r="C91" s="536" t="str">
        <f>'Config!'!B77</f>
        <v>Ásia-Pacífico</v>
      </c>
      <c r="D91" s="538" cm="1">
        <f t="array" ref="D91">IFERROR(INDEX(Population!$BD$3:$BN$177,'IMS Seg. Table'!$A91,'Config!'!$BA$15-2010+1),"")</f>
        <v>549162</v>
      </c>
      <c r="E91" s="551" cm="1">
        <f t="array" ref="E91">IFERROR(INDEX(Population!$CH$3:$CH$178,'IMS Seg. Table'!$A91,1),"")</f>
        <v>27986</v>
      </c>
      <c r="F91" s="552">
        <f>IFERROR('IMS Seg. Table'!$D91/'IMS Seg. Table'!$E91,"")</f>
        <v>19.622739941399271</v>
      </c>
      <c r="G91" s="575" cm="1">
        <f t="array" ref="G91">IFERROR(INDEX('Country Competitivness'!$CL$4:$CX$178,Tabela2[[#This Row],[ID]],'Config!'!$AZ$17+1),".")</f>
        <v>48.79</v>
      </c>
      <c r="H91" s="540" cm="1">
        <f t="array" ref="H91">INDEX(GDP!$G$3:$S$177,'IMS Seg. Table'!$A91,'Config!'!$BA$15-2010+1)*1000000000</f>
        <v>1063879451.233299</v>
      </c>
      <c r="I91" s="539">
        <f t="shared" si="31"/>
        <v>1937.2779821497099</v>
      </c>
      <c r="J91" s="576">
        <f>IFERROR(INDEX('Income Tax Rate (%)'!$F$2:$P$176,Tabela2[[#This Row],[ID]],'Config!'!$BA$15-2010+1)/100,"")</f>
        <v>0.4</v>
      </c>
      <c r="K91" s="577">
        <f>IFERROR(INDEX('Tariff Rate (%)'!$F$2:$P$176,Tabela2[[#This Row],[ID]],'Config!'!$BA$15-2010+1)/100,"")</f>
        <v>8.5000000000000006E-2</v>
      </c>
      <c r="L91" s="577">
        <f>IFERROR(INDEX('Corporate Tax Rate (%)'!$F$2:$P$176,Tabela2[[#This Row],[ID]],'Config!'!$BA$15-2010+1)/100,"")</f>
        <v>0.3</v>
      </c>
      <c r="M91" s="527" cm="1">
        <f t="array" ref="M91">INDEX('Score-Starting a business'!$F$2:$P$176,'IMS Seg. Table'!$A91,'Config!'!$BA$15-2010+1)</f>
        <v>74.19</v>
      </c>
      <c r="N91" s="527" cm="1">
        <f t="array" ref="N91">IFERROR(INDEX('Country Competitivness'!$AX$4:$BH$178,Tabela2[[#This Row],[ID]],'Config!'!$BA$15-2010+1),"")</f>
        <v>2.95</v>
      </c>
      <c r="O91" s="527" cm="1">
        <f t="array" ref="O91">IFERROR(INDEX('Country Competitivness'!$EE$4:$EO$178,Tabela2[[#This Row],[ID]],'Config!'!$BA$15-2010+1),"")</f>
        <v>1.31</v>
      </c>
      <c r="P91" s="527" cm="1">
        <f t="array" ref="P91">IFERROR(INDEX('Country Competitivness'!$H$4:$R$178,Tabela2[[#This Row],[ID]],'Config!'!$BA$15-2010+1),"")</f>
        <v>2.88</v>
      </c>
      <c r="Q91" s="527" cm="1">
        <f t="array" ref="Q91">IFERROR(INDEX('Country Competitivness'!$AJ$4:$AT$178,Tabela2[[#This Row],[ID]],MAX(1,'Config!'!$BA$15-2010)),"")</f>
        <v>4.38</v>
      </c>
      <c r="R91" s="527" cm="1">
        <f t="array" ref="R91">IFERROR(INDEX('Country Competitivness'!$BM$4:$BW$178,Tabela2[[#This Row],[ID]],'Config!'!$BA$15-2010+1),"")</f>
        <v>2.93</v>
      </c>
      <c r="S91" s="578" t="str" cm="1">
        <f t="array" ref="S9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1" s="537" t="str" cm="1">
        <f t="array" ref="T91">IF('Config!'!$BA$15=2010,".",IF(INDEX('Result data'!$R$216:$AA$390,'IMS Seg. Table'!$A91,'Config!'!$BA$15-2010)=".",".",INDEX('Result data'!$R$216:$AA$390,'IMS Seg. Table'!$A91,'Config!'!$BA$15-2010)))</f>
        <v>.</v>
      </c>
      <c r="U91" s="579" t="str">
        <f t="shared" si="32"/>
        <v>.</v>
      </c>
      <c r="V91" s="530" t="str" cm="1">
        <f t="array" ref="V91">IF(Tabela2[[#This Row],[Market Penetration (Category)]]=".",".",INDEX('Result data'!$BS$216:$CB$390,'IMS Seg. Table'!$A91,'Config!'!$BA$15-2010))</f>
        <v>.</v>
      </c>
      <c r="W91" s="563" t="str">
        <f>IF(Tabela2[[#This Row],[Market Demand (U$ millions)]]=".",".",Tabela2[[#This Row],[Market Demand (U$ millions)]]/Tabela2[[#This Row],[Active users (thousands)]])</f>
        <v>.</v>
      </c>
      <c r="X91" s="580" cm="1">
        <f t="array" ref="X91">IF('Config!'!$BA$15=2010,".",IF(INDEX('Result data'!$AE$216:$AN$390,'IMS Seg. Table'!$A91,'Config!'!$BA$15-2010)=".",0,INDEX('Result data'!$AE$216:$AN$390,'IMS Seg. Table'!$A91,'Config!'!$BA$15-2010)))</f>
        <v>0</v>
      </c>
      <c r="Y91" s="563" t="str">
        <f>IF('Config!'!$BA$15=2010,".",IF(Tabela2[[#This Row],[Number of competitors]]=0,".",SUMIF('Result data'!$N$216:$N$390,Tabela2[[#This Row],[ID]],'Result data'!$CP$216:$CP$393)))</f>
        <v>.</v>
      </c>
      <c r="Z91" s="563" t="str">
        <f>IF('Config!'!$BA$15=2010,".",IF(Tabela2[[#This Row],[Number of competitors]]=0,".",SUMIF('Result data'!$N$216:$N$390,Tabela2[[#This Row],[ID]],'Result data'!$DA$216:$DA$393)))</f>
        <v>.</v>
      </c>
      <c r="AA91" s="530" t="str" cm="1">
        <f t="array" ref="AA9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1" s="530" t="str" cm="1">
        <f t="array" ref="AB9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1" s="530" t="str" cm="1">
        <f t="array" ref="AD9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1" s="530" t="str" cm="1">
        <f t="array" ref="AE9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1" s="530" t="str" cm="1">
        <f t="array" ref="AF9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2" spans="1:32" x14ac:dyDescent="0.3">
      <c r="A92" s="568">
        <f>'Config!'!C78</f>
        <v>71</v>
      </c>
      <c r="B92" s="536" t="str">
        <f>'Config!'!A78</f>
        <v>Índia</v>
      </c>
      <c r="C92" s="536" t="str">
        <f>'Config!'!B78</f>
        <v>Ásia-Pacífico</v>
      </c>
      <c r="D92" s="538" cm="1">
        <f t="array" ref="D92">IFERROR(INDEX(Population!$BD$3:$BN$177,'IMS Seg. Table'!$A92,'Config!'!$BA$15-2010+1),"")</f>
        <v>1263589639</v>
      </c>
      <c r="E92" s="551" cm="1">
        <f t="array" ref="E92">IFERROR(INDEX(Population!$CH$3:$CH$178,'IMS Seg. Table'!$A92,1),"")</f>
        <v>2973193</v>
      </c>
      <c r="F92" s="552">
        <f>IFERROR('IMS Seg. Table'!$D92/'IMS Seg. Table'!$E92,"")</f>
        <v>424.99415241459263</v>
      </c>
      <c r="G92" s="575" cm="1">
        <f t="array" ref="G92">IFERROR(INDEX('Country Competitivness'!$CL$4:$CX$178,Tabela2[[#This Row],[ID]],'Config!'!$AZ$17+1),".")</f>
        <v>61.422603297699297</v>
      </c>
      <c r="H92" s="540" cm="1">
        <f t="array" ref="H92">INDEX(GDP!$G$3:$S$177,'IMS Seg. Table'!$A92,'Config!'!$BA$15-2010+1)*1000000000</f>
        <v>1827637859135.6963</v>
      </c>
      <c r="I92" s="539">
        <f t="shared" si="31"/>
        <v>1446.3856007731133</v>
      </c>
      <c r="J92" s="576">
        <f>IFERROR(INDEX('Income Tax Rate (%)'!$F$2:$P$176,Tabela2[[#This Row],[ID]],'Config!'!$BA$15-2010+1)/100,"")</f>
        <v>0.309</v>
      </c>
      <c r="K92" s="577">
        <f>IFERROR(INDEX('Tariff Rate (%)'!$F$2:$P$176,Tabela2[[#This Row],[ID]],'Config!'!$BA$15-2010+1)/100,"")</f>
        <v>7.2000000000000008E-2</v>
      </c>
      <c r="L92" s="577">
        <f>IFERROR(INDEX('Corporate Tax Rate (%)'!$F$2:$P$176,Tabela2[[#This Row],[ID]],'Config!'!$BA$15-2010+1)/100,"")</f>
        <v>0.32439999999999997</v>
      </c>
      <c r="M92" s="527" cm="1">
        <f t="array" ref="M92">INDEX('Score-Starting a business'!$F$2:$P$176,'IMS Seg. Table'!$A92,'Config!'!$BA$15-2010+1)</f>
        <v>45.336666666666702</v>
      </c>
      <c r="N92" s="527" cm="1">
        <f t="array" ref="N92">IFERROR(INDEX('Country Competitivness'!$AX$4:$BH$178,Tabela2[[#This Row],[ID]],'Config!'!$BA$15-2010+1),"")</f>
        <v>2.9734827230769234</v>
      </c>
      <c r="O92" s="527" cm="1">
        <f t="array" ref="O92">IFERROR(INDEX('Country Competitivness'!$EE$4:$EO$178,Tabela2[[#This Row],[ID]],'Config!'!$BA$15-2010+1),"")</f>
        <v>3.4313569441595444</v>
      </c>
      <c r="P92" s="527" cm="1">
        <f t="array" ref="P92">IFERROR(INDEX('Country Competitivness'!$H$4:$R$178,Tabela2[[#This Row],[ID]],'Config!'!$BA$15-2010+1),"")</f>
        <v>4.2693836230319393</v>
      </c>
      <c r="Q92" s="527" cm="1">
        <f t="array" ref="Q92">IFERROR(INDEX('Country Competitivness'!$AJ$4:$AT$178,Tabela2[[#This Row],[ID]],MAX(1,'Config!'!$BA$15-2010)),"")</f>
        <v>5.2492205235517568</v>
      </c>
      <c r="R92" s="527" cm="1">
        <f t="array" ref="R92">IFERROR(INDEX('Country Competitivness'!$BM$4:$BW$178,Tabela2[[#This Row],[ID]],'Config!'!$BA$15-2010+1),"")</f>
        <v>3.7946102951566951</v>
      </c>
      <c r="S92" s="578" t="str" cm="1">
        <f t="array" ref="S9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2" s="537" t="str" cm="1">
        <f t="array" ref="T92">IF('Config!'!$BA$15=2010,".",IF(INDEX('Result data'!$R$216:$AA$390,'IMS Seg. Table'!$A92,'Config!'!$BA$15-2010)=".",".",INDEX('Result data'!$R$216:$AA$390,'IMS Seg. Table'!$A92,'Config!'!$BA$15-2010)))</f>
        <v>.</v>
      </c>
      <c r="U92" s="579" t="str">
        <f t="shared" si="32"/>
        <v>.</v>
      </c>
      <c r="V92" s="530" t="str" cm="1">
        <f t="array" ref="V92">IF(Tabela2[[#This Row],[Market Penetration (Category)]]=".",".",INDEX('Result data'!$BS$216:$CB$390,'IMS Seg. Table'!$A92,'Config!'!$BA$15-2010))</f>
        <v>.</v>
      </c>
      <c r="W92" s="563" t="str">
        <f>IF(Tabela2[[#This Row],[Market Demand (U$ millions)]]=".",".",Tabela2[[#This Row],[Market Demand (U$ millions)]]/Tabela2[[#This Row],[Active users (thousands)]])</f>
        <v>.</v>
      </c>
      <c r="X92" s="580" cm="1">
        <f t="array" ref="X92">IF('Config!'!$BA$15=2010,".",IF(INDEX('Result data'!$AE$216:$AN$390,'IMS Seg. Table'!$A92,'Config!'!$BA$15-2010)=".",0,INDEX('Result data'!$AE$216:$AN$390,'IMS Seg. Table'!$A92,'Config!'!$BA$15-2010)))</f>
        <v>0</v>
      </c>
      <c r="Y92" s="563" t="str">
        <f>IF('Config!'!$BA$15=2010,".",IF(Tabela2[[#This Row],[Number of competitors]]=0,".",SUMIF('Result data'!$N$216:$N$390,Tabela2[[#This Row],[ID]],'Result data'!$CP$216:$CP$393)))</f>
        <v>.</v>
      </c>
      <c r="Z92" s="563" t="str">
        <f>IF('Config!'!$BA$15=2010,".",IF(Tabela2[[#This Row],[Number of competitors]]=0,".",SUMIF('Result data'!$N$216:$N$390,Tabela2[[#This Row],[ID]],'Result data'!$DA$216:$DA$393)))</f>
        <v>.</v>
      </c>
      <c r="AA92" s="530" t="str" cm="1">
        <f t="array" ref="AA9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2" s="530" t="str" cm="1">
        <f t="array" ref="AB9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2" s="530" t="str" cm="1">
        <f t="array" ref="AD9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2" s="530" t="str" cm="1">
        <f t="array" ref="AE9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2" s="530" t="str" cm="1">
        <f t="array" ref="AF9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3" spans="1:32" x14ac:dyDescent="0.3">
      <c r="A93" s="569">
        <f>'Config!'!C79</f>
        <v>72</v>
      </c>
      <c r="B93" s="536" t="str">
        <f>'Config!'!A79</f>
        <v>Indonésia</v>
      </c>
      <c r="C93" s="536" t="str">
        <f>'Config!'!B79</f>
        <v>Ásia-Pacífico</v>
      </c>
      <c r="D93" s="538" cm="1">
        <f t="array" ref="D93">IFERROR(INDEX(Population!$BD$3:$BN$177,'IMS Seg. Table'!$A93,'Config!'!$BA$15-2010+1),"")</f>
        <v>248037853</v>
      </c>
      <c r="E93" s="551" cm="1">
        <f t="array" ref="E93">IFERROR(INDEX(Population!$CH$3:$CH$178,'IMS Seg. Table'!$A93,1),"")</f>
        <v>1811569</v>
      </c>
      <c r="F93" s="552">
        <f>IFERROR('IMS Seg. Table'!$D93/'IMS Seg. Table'!$E93,"")</f>
        <v>136.918799670341</v>
      </c>
      <c r="G93" s="575" cm="1">
        <f t="array" ref="G93">IFERROR(INDEX('Country Competitivness'!$CL$4:$CX$178,Tabela2[[#This Row],[ID]],'Config!'!$AZ$17+1),".")</f>
        <v>91.715988085709597</v>
      </c>
      <c r="H93" s="540" cm="1">
        <f t="array" ref="H93">INDEX(GDP!$G$3:$S$177,'IMS Seg. Table'!$A93,'Config!'!$BA$15-2010+1)*1000000000</f>
        <v>917869910105.74817</v>
      </c>
      <c r="I93" s="539">
        <f t="shared" si="31"/>
        <v>3700.5235249546695</v>
      </c>
      <c r="J93" s="576">
        <f>IFERROR(INDEX('Income Tax Rate (%)'!$F$2:$P$176,Tabela2[[#This Row],[ID]],'Config!'!$BA$15-2010+1)/100,"")</f>
        <v>0.3</v>
      </c>
      <c r="K93" s="577">
        <f>IFERROR(INDEX('Tariff Rate (%)'!$F$2:$P$176,Tabela2[[#This Row],[ID]],'Config!'!$BA$15-2010+1)/100,"")</f>
        <v>2.5899999999999999E-2</v>
      </c>
      <c r="L93" s="577">
        <f>IFERROR(INDEX('Corporate Tax Rate (%)'!$F$2:$P$176,Tabela2[[#This Row],[ID]],'Config!'!$BA$15-2010+1)/100,"")</f>
        <v>0.25</v>
      </c>
      <c r="M93" s="527" cm="1">
        <f t="array" ref="M93">INDEX('Score-Starting a business'!$F$2:$P$176,'IMS Seg. Table'!$A93,'Config!'!$BA$15-2010+1)</f>
        <v>54.983333333333299</v>
      </c>
      <c r="N93" s="527" cm="1">
        <f t="array" ref="N93">IFERROR(INDEX('Country Competitivness'!$AX$4:$BH$178,Tabela2[[#This Row],[ID]],'Config!'!$BA$15-2010+1),"")</f>
        <v>3.5678761999999997</v>
      </c>
      <c r="O93" s="527" cm="1">
        <f t="array" ref="O93">IFERROR(INDEX('Country Competitivness'!$EE$4:$EO$178,Tabela2[[#This Row],[ID]],'Config!'!$BA$15-2010+1),"")</f>
        <v>3.5268465500000001</v>
      </c>
      <c r="P93" s="527" cm="1">
        <f t="array" ref="P93">IFERROR(INDEX('Country Competitivness'!$H$4:$R$178,Tabela2[[#This Row],[ID]],'Config!'!$BA$15-2010+1),"")</f>
        <v>4.2178469342105265</v>
      </c>
      <c r="Q93" s="527" cm="1">
        <f t="array" ref="Q93">IFERROR(INDEX('Country Competitivness'!$AJ$4:$AT$178,Tabela2[[#This Row],[ID]],MAX(1,'Config!'!$BA$15-2010)),"")</f>
        <v>4.8679542666666675</v>
      </c>
      <c r="R93" s="527" cm="1">
        <f t="array" ref="R93">IFERROR(INDEX('Country Competitivness'!$BM$4:$BW$178,Tabela2[[#This Row],[ID]],'Config!'!$BA$15-2010+1),"")</f>
        <v>3.6728157000000001</v>
      </c>
      <c r="S93" s="578" t="str" cm="1">
        <f t="array" ref="S9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3" s="537" t="str" cm="1">
        <f t="array" ref="T93">IF('Config!'!$BA$15=2010,".",IF(INDEX('Result data'!$R$216:$AA$390,'IMS Seg. Table'!$A93,'Config!'!$BA$15-2010)=".",".",INDEX('Result data'!$R$216:$AA$390,'IMS Seg. Table'!$A93,'Config!'!$BA$15-2010)))</f>
        <v>.</v>
      </c>
      <c r="U93" s="579" t="str">
        <f t="shared" si="32"/>
        <v>.</v>
      </c>
      <c r="V93" s="530" t="str" cm="1">
        <f t="array" ref="V93">IF(Tabela2[[#This Row],[Market Penetration (Category)]]=".",".",INDEX('Result data'!$BS$216:$CB$390,'IMS Seg. Table'!$A93,'Config!'!$BA$15-2010))</f>
        <v>.</v>
      </c>
      <c r="W93" s="563" t="str">
        <f>IF(Tabela2[[#This Row],[Market Demand (U$ millions)]]=".",".",Tabela2[[#This Row],[Market Demand (U$ millions)]]/Tabela2[[#This Row],[Active users (thousands)]])</f>
        <v>.</v>
      </c>
      <c r="X93" s="580" cm="1">
        <f t="array" ref="X93">IF('Config!'!$BA$15=2010,".",IF(INDEX('Result data'!$AE$216:$AN$390,'IMS Seg. Table'!$A93,'Config!'!$BA$15-2010)=".",0,INDEX('Result data'!$AE$216:$AN$390,'IMS Seg. Table'!$A93,'Config!'!$BA$15-2010)))</f>
        <v>0</v>
      </c>
      <c r="Y93" s="563" t="str">
        <f>IF('Config!'!$BA$15=2010,".",IF(Tabela2[[#This Row],[Number of competitors]]=0,".",SUMIF('Result data'!$N$216:$N$390,Tabela2[[#This Row],[ID]],'Result data'!$CP$216:$CP$393)))</f>
        <v>.</v>
      </c>
      <c r="Z93" s="563" t="str">
        <f>IF('Config!'!$BA$15=2010,".",IF(Tabela2[[#This Row],[Number of competitors]]=0,".",SUMIF('Result data'!$N$216:$N$390,Tabela2[[#This Row],[ID]],'Result data'!$DA$216:$DA$393)))</f>
        <v>.</v>
      </c>
      <c r="AA93" s="530" t="str" cm="1">
        <f t="array" ref="AA9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3" s="530" t="str" cm="1">
        <f t="array" ref="AB9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3" s="530" t="str" cm="1">
        <f t="array" ref="AD9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3" s="530" t="str" cm="1">
        <f t="array" ref="AE9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3" s="530" t="str" cm="1">
        <f t="array" ref="AF9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4" spans="1:32" x14ac:dyDescent="0.3">
      <c r="A94" s="568">
        <f>'Config!'!C80</f>
        <v>73</v>
      </c>
      <c r="B94" s="536" t="str">
        <f>'Config!'!A80</f>
        <v>Irã</v>
      </c>
      <c r="C94" s="536" t="str">
        <f>'Config!'!B80</f>
        <v>Oriente médio</v>
      </c>
      <c r="D94" s="538" cm="1">
        <f t="array" ref="D94">IFERROR(INDEX(Population!$BD$3:$BN$177,'IMS Seg. Table'!$A94,'Config!'!$BA$15-2010+1),"")</f>
        <v>76156975</v>
      </c>
      <c r="E94" s="551" cm="1">
        <f t="array" ref="E94">IFERROR(INDEX(Population!$CH$3:$CH$178,'IMS Seg. Table'!$A94,1),"")</f>
        <v>1531595</v>
      </c>
      <c r="F94" s="552">
        <f>IFERROR('IMS Seg. Table'!$D94/'IMS Seg. Table'!$E94,"")</f>
        <v>49.723964233364562</v>
      </c>
      <c r="G94" s="575" cm="1">
        <f t="array" ref="G94">IFERROR(INDEX('Country Competitivness'!$CL$4:$CX$178,Tabela2[[#This Row],[ID]],'Config!'!$AZ$17+1),".")</f>
        <v>91.248732825467698</v>
      </c>
      <c r="H94" s="540" cm="1">
        <f t="array" ref="H94">INDEX(GDP!$G$3:$S$177,'IMS Seg. Table'!$A94,'Config!'!$BA$15-2010+1)*1000000000</f>
        <v>598853401276.1012</v>
      </c>
      <c r="I94" s="539">
        <f t="shared" si="31"/>
        <v>7863.4084570205314</v>
      </c>
      <c r="J94" s="576">
        <f>IFERROR(INDEX('Income Tax Rate (%)'!$F$2:$P$176,Tabela2[[#This Row],[ID]],'Config!'!$BA$15-2010+1)/100,"")</f>
        <v>0.35</v>
      </c>
      <c r="K94" s="577">
        <f>IFERROR(INDEX('Tariff Rate (%)'!$F$2:$P$176,Tabela2[[#This Row],[ID]],'Config!'!$BA$15-2010+1)/100,"")</f>
        <v>0.218</v>
      </c>
      <c r="L94" s="577">
        <f>IFERROR(INDEX('Corporate Tax Rate (%)'!$F$2:$P$176,Tabela2[[#This Row],[ID]],'Config!'!$BA$15-2010+1)/100,"")</f>
        <v>0.25</v>
      </c>
      <c r="M94" s="527" cm="1">
        <f t="array" ref="M94">INDEX('Score-Starting a business'!$F$2:$P$176,'IMS Seg. Table'!$A94,'Config!'!$BA$15-2010+1)</f>
        <v>70.930000000000007</v>
      </c>
      <c r="N94" s="527" cm="1">
        <f t="array" ref="N94">IFERROR(INDEX('Country Competitivness'!$AX$4:$BH$178,Tabela2[[#This Row],[ID]],'Config!'!$BA$15-2010+1),"")</f>
        <v>2.8251841589743591</v>
      </c>
      <c r="O94" s="527" cm="1">
        <f t="array" ref="O94">IFERROR(INDEX('Country Competitivness'!$EE$4:$EO$178,Tabela2[[#This Row],[ID]],'Config!'!$BA$15-2010+1),"")</f>
        <v>3.8040797692307691</v>
      </c>
      <c r="P94" s="527" cm="1">
        <f t="array" ref="P94">IFERROR(INDEX('Country Competitivness'!$H$4:$R$178,Tabela2[[#This Row],[ID]],'Config!'!$BA$15-2010+1),"")</f>
        <v>3.5912861871917547</v>
      </c>
      <c r="Q94" s="527" cm="1">
        <f t="array" ref="Q94">IFERROR(INDEX('Country Competitivness'!$AJ$4:$AT$178,Tabela2[[#This Row],[ID]],MAX(1,'Config!'!$BA$15-2010)),"")</f>
        <v>4.0634246590520595</v>
      </c>
      <c r="R94" s="527" cm="1">
        <f t="array" ref="R94">IFERROR(INDEX('Country Competitivness'!$BM$4:$BW$178,Tabela2[[#This Row],[ID]],'Config!'!$BA$15-2010+1),"")</f>
        <v>3.553327588111888</v>
      </c>
      <c r="S94" s="578" t="str" cm="1">
        <f t="array" ref="S9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4" s="537" t="str" cm="1">
        <f t="array" ref="T94">IF('Config!'!$BA$15=2010,".",IF(INDEX('Result data'!$R$216:$AA$390,'IMS Seg. Table'!$A94,'Config!'!$BA$15-2010)=".",".",INDEX('Result data'!$R$216:$AA$390,'IMS Seg. Table'!$A94,'Config!'!$BA$15-2010)))</f>
        <v>.</v>
      </c>
      <c r="U94" s="579" t="str">
        <f t="shared" si="32"/>
        <v>.</v>
      </c>
      <c r="V94" s="530" t="str" cm="1">
        <f t="array" ref="V94">IF(Tabela2[[#This Row],[Market Penetration (Category)]]=".",".",INDEX('Result data'!$BS$216:$CB$390,'IMS Seg. Table'!$A94,'Config!'!$BA$15-2010))</f>
        <v>.</v>
      </c>
      <c r="W94" s="563" t="str">
        <f>IF(Tabela2[[#This Row],[Market Demand (U$ millions)]]=".",".",Tabela2[[#This Row],[Market Demand (U$ millions)]]/Tabela2[[#This Row],[Active users (thousands)]])</f>
        <v>.</v>
      </c>
      <c r="X94" s="580" cm="1">
        <f t="array" ref="X94">IF('Config!'!$BA$15=2010,".",IF(INDEX('Result data'!$AE$216:$AN$390,'IMS Seg. Table'!$A94,'Config!'!$BA$15-2010)=".",0,INDEX('Result data'!$AE$216:$AN$390,'IMS Seg. Table'!$A94,'Config!'!$BA$15-2010)))</f>
        <v>0</v>
      </c>
      <c r="Y94" s="563" t="str">
        <f>IF('Config!'!$BA$15=2010,".",IF(Tabela2[[#This Row],[Number of competitors]]=0,".",SUMIF('Result data'!$N$216:$N$390,Tabela2[[#This Row],[ID]],'Result data'!$CP$216:$CP$393)))</f>
        <v>.</v>
      </c>
      <c r="Z94" s="563" t="str">
        <f>IF('Config!'!$BA$15=2010,".",IF(Tabela2[[#This Row],[Number of competitors]]=0,".",SUMIF('Result data'!$N$216:$N$390,Tabela2[[#This Row],[ID]],'Result data'!$DA$216:$DA$393)))</f>
        <v>.</v>
      </c>
      <c r="AA94" s="530" t="str" cm="1">
        <f t="array" ref="AA9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4" s="530" t="str" cm="1">
        <f t="array" ref="AB9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4" s="530" t="str" cm="1">
        <f t="array" ref="AD9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4" s="530" t="str" cm="1">
        <f t="array" ref="AE9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4" s="530" t="str" cm="1">
        <f t="array" ref="AF9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5" spans="1:32" x14ac:dyDescent="0.3">
      <c r="A95" s="569">
        <f>'Config!'!C81</f>
        <v>74</v>
      </c>
      <c r="B95" s="536" t="str">
        <f>'Config!'!A81</f>
        <v>Iraque</v>
      </c>
      <c r="C95" s="536" t="str">
        <f>'Config!'!B81</f>
        <v>Oriente médio</v>
      </c>
      <c r="D95" s="538" cm="1">
        <f t="array" ref="D95">IFERROR(INDEX(Population!$BD$3:$BN$177,'IMS Seg. Table'!$A95,'Config!'!$BA$15-2010+1),"")</f>
        <v>32957622</v>
      </c>
      <c r="E95" s="551" cm="1">
        <f t="array" ref="E95">IFERROR(INDEX(Population!$CH$3:$CH$178,'IMS Seg. Table'!$A95,1),"")</f>
        <v>437367</v>
      </c>
      <c r="F95" s="552">
        <f>IFERROR('IMS Seg. Table'!$D95/'IMS Seg. Table'!$E95,"")</f>
        <v>75.354615231601841</v>
      </c>
      <c r="G95" s="575" cm="1">
        <f t="array" ref="G95">IFERROR(INDEX('Country Competitivness'!$CL$4:$CX$178,Tabela2[[#This Row],[ID]],'Config!'!$AZ$17+1),".")</f>
        <v>119.15</v>
      </c>
      <c r="H95" s="540" cm="1">
        <f t="array" ref="H95">INDEX(GDP!$G$3:$S$177,'IMS Seg. Table'!$A95,'Config!'!$BA$15-2010+1)*1000000000</f>
        <v>218000986222.63867</v>
      </c>
      <c r="I95" s="539">
        <f t="shared" si="31"/>
        <v>6614.5848211572629</v>
      </c>
      <c r="J95" s="576">
        <f>IFERROR(INDEX('Income Tax Rate (%)'!$F$2:$P$176,Tabela2[[#This Row],[ID]],'Config!'!$BA$15-2010+1)/100,"")</f>
        <v>0.15</v>
      </c>
      <c r="K95" s="577">
        <f>IFERROR(INDEX('Tariff Rate (%)'!$F$2:$P$176,Tabela2[[#This Row],[ID]],'Config!'!$BA$15-2010+1)/100,"")</f>
        <v>0.1174</v>
      </c>
      <c r="L95" s="577">
        <f>IFERROR(INDEX('Corporate Tax Rate (%)'!$F$2:$P$176,Tabela2[[#This Row],[ID]],'Config!'!$BA$15-2010+1)/100,"")</f>
        <v>0.15</v>
      </c>
      <c r="M95" s="527" cm="1">
        <f t="array" ref="M95">INDEX('Score-Starting a business'!$F$2:$P$176,'IMS Seg. Table'!$A95,'Config!'!$BA$15-2010+1)</f>
        <v>62.02</v>
      </c>
      <c r="N95" s="527" cm="1">
        <f t="array" ref="N95">IFERROR(INDEX('Country Competitivness'!$AX$4:$BH$178,Tabela2[[#This Row],[ID]],'Config!'!$BA$15-2010+1),"")</f>
        <v>2.95</v>
      </c>
      <c r="O95" s="527" cm="1">
        <f t="array" ref="O95">IFERROR(INDEX('Country Competitivness'!$EE$4:$EO$178,Tabela2[[#This Row],[ID]],'Config!'!$BA$15-2010+1),"")</f>
        <v>4.59</v>
      </c>
      <c r="P95" s="527" cm="1">
        <f t="array" ref="P95">IFERROR(INDEX('Country Competitivness'!$H$4:$R$178,Tabela2[[#This Row],[ID]],'Config!'!$BA$15-2010+1),"")</f>
        <v>3.54</v>
      </c>
      <c r="Q95" s="527" cm="1">
        <f t="array" ref="Q95">IFERROR(INDEX('Country Competitivness'!$AJ$4:$AT$178,Tabela2[[#This Row],[ID]],MAX(1,'Config!'!$BA$15-2010)),"")</f>
        <v>5.23</v>
      </c>
      <c r="R95" s="527" cm="1">
        <f t="array" ref="R95">IFERROR(INDEX('Country Competitivness'!$BM$4:$BW$178,Tabela2[[#This Row],[ID]],'Config!'!$BA$15-2010+1),"")</f>
        <v>2.36</v>
      </c>
      <c r="S95" s="578" t="str" cm="1">
        <f t="array" ref="S9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5" s="537" t="str" cm="1">
        <f t="array" ref="T95">IF('Config!'!$BA$15=2010,".",IF(INDEX('Result data'!$R$216:$AA$390,'IMS Seg. Table'!$A95,'Config!'!$BA$15-2010)=".",".",INDEX('Result data'!$R$216:$AA$390,'IMS Seg. Table'!$A95,'Config!'!$BA$15-2010)))</f>
        <v>.</v>
      </c>
      <c r="U95" s="579" t="str">
        <f t="shared" si="32"/>
        <v>.</v>
      </c>
      <c r="V95" s="530" t="str" cm="1">
        <f t="array" ref="V95">IF(Tabela2[[#This Row],[Market Penetration (Category)]]=".",".",INDEX('Result data'!$BS$216:$CB$390,'IMS Seg. Table'!$A95,'Config!'!$BA$15-2010))</f>
        <v>.</v>
      </c>
      <c r="W95" s="563" t="str">
        <f>IF(Tabela2[[#This Row],[Market Demand (U$ millions)]]=".",".",Tabela2[[#This Row],[Market Demand (U$ millions)]]/Tabela2[[#This Row],[Active users (thousands)]])</f>
        <v>.</v>
      </c>
      <c r="X95" s="580" cm="1">
        <f t="array" ref="X95">IF('Config!'!$BA$15=2010,".",IF(INDEX('Result data'!$AE$216:$AN$390,'IMS Seg. Table'!$A95,'Config!'!$BA$15-2010)=".",0,INDEX('Result data'!$AE$216:$AN$390,'IMS Seg. Table'!$A95,'Config!'!$BA$15-2010)))</f>
        <v>0</v>
      </c>
      <c r="Y95" s="563" t="str">
        <f>IF('Config!'!$BA$15=2010,".",IF(Tabela2[[#This Row],[Number of competitors]]=0,".",SUMIF('Result data'!$N$216:$N$390,Tabela2[[#This Row],[ID]],'Result data'!$CP$216:$CP$393)))</f>
        <v>.</v>
      </c>
      <c r="Z95" s="563" t="str">
        <f>IF('Config!'!$BA$15=2010,".",IF(Tabela2[[#This Row],[Number of competitors]]=0,".",SUMIF('Result data'!$N$216:$N$390,Tabela2[[#This Row],[ID]],'Result data'!$DA$216:$DA$393)))</f>
        <v>.</v>
      </c>
      <c r="AA95" s="530" t="str" cm="1">
        <f t="array" ref="AA9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5" s="530" t="str" cm="1">
        <f t="array" ref="AB9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5" s="530" t="str" cm="1">
        <f t="array" ref="AD9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5" s="530" t="str" cm="1">
        <f t="array" ref="AE9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5" s="530" t="str" cm="1">
        <f t="array" ref="AF9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6" spans="1:32" x14ac:dyDescent="0.3">
      <c r="A96" s="568">
        <f>'Config!'!C82</f>
        <v>172</v>
      </c>
      <c r="B96" s="536" t="str">
        <f>'Config!'!A82</f>
        <v>Irlanda</v>
      </c>
      <c r="C96" s="536" t="str">
        <f>'Config!'!B82</f>
        <v>União Européia</v>
      </c>
      <c r="D96" s="538" cm="1">
        <f t="array" ref="D96">IFERROR(INDEX(Population!$BD$3:$BN$177,'IMS Seg. Table'!$A96,'Config!'!$BA$15-2010+1),"")</f>
        <v>4586897</v>
      </c>
      <c r="E96" s="551" cm="1">
        <f t="array" ref="E96">IFERROR(INDEX(Population!$CH$3:$CH$178,'IMS Seg. Table'!$A96,1),"")</f>
        <v>68883</v>
      </c>
      <c r="F96" s="552">
        <f>IFERROR('IMS Seg. Table'!$D96/'IMS Seg. Table'!$E96,"")</f>
        <v>66.589681053380374</v>
      </c>
      <c r="G96" s="575" cm="1">
        <f t="array" ref="G96">IFERROR(INDEX('Country Competitivness'!$CL$4:$CX$178,Tabela2[[#This Row],[ID]],'Config!'!$AZ$17+1),".")</f>
        <v>105.180742298485</v>
      </c>
      <c r="H96" s="540" cm="1">
        <f t="array" ref="H96">INDEX(GDP!$G$3:$S$177,'IMS Seg. Table'!$A96,'Config!'!$BA$15-2010+1)*1000000000</f>
        <v>224999484104.85327</v>
      </c>
      <c r="I96" s="539">
        <f t="shared" si="31"/>
        <v>49052.656753542375</v>
      </c>
      <c r="J96" s="576">
        <f>IFERROR(INDEX('Income Tax Rate (%)'!$F$2:$P$176,Tabela2[[#This Row],[ID]],'Config!'!$BA$15-2010+1)/100,"")</f>
        <v>0.43</v>
      </c>
      <c r="K96" s="577">
        <f>IFERROR(INDEX('Tariff Rate (%)'!$F$2:$P$176,Tabela2[[#This Row],[ID]],'Config!'!$BA$15-2010+1)/100,"")</f>
        <v>2.1099999999999997E-2</v>
      </c>
      <c r="L96" s="577">
        <f>IFERROR(INDEX('Corporate Tax Rate (%)'!$F$2:$P$176,Tabela2[[#This Row],[ID]],'Config!'!$BA$15-2010+1)/100,"")</f>
        <v>0.27500000000000002</v>
      </c>
      <c r="M96" s="527" cm="1">
        <f t="array" ref="M96">INDEX('Score-Starting a business'!$F$2:$P$176,'IMS Seg. Table'!$A96,'Config!'!$BA$15-2010+1)</f>
        <v>92.4</v>
      </c>
      <c r="N96" s="527" cm="1">
        <f t="array" ref="N96">IFERROR(INDEX('Country Competitivness'!$AX$4:$BH$178,Tabela2[[#This Row],[ID]],'Config!'!$BA$15-2010+1),"")</f>
        <v>3.4062379896907218</v>
      </c>
      <c r="O96" s="527" cm="1">
        <f t="array" ref="O96">IFERROR(INDEX('Country Competitivness'!$EE$4:$EO$178,Tabela2[[#This Row],[ID]],'Config!'!$BA$15-2010+1),"")</f>
        <v>4.8116691175257733</v>
      </c>
      <c r="P96" s="527" cm="1">
        <f t="array" ref="P96">IFERROR(INDEX('Country Competitivness'!$H$4:$R$178,Tabela2[[#This Row],[ID]],'Config!'!$BA$15-2010+1),"")</f>
        <v>4.9288703906673916</v>
      </c>
      <c r="Q96" s="527" cm="1">
        <f t="array" ref="Q96">IFERROR(INDEX('Country Competitivness'!$AJ$4:$AT$178,Tabela2[[#This Row],[ID]],MAX(1,'Config!'!$BA$15-2010)),"")</f>
        <v>5.9312486054982827</v>
      </c>
      <c r="R96" s="527" cm="1">
        <f t="array" ref="R96">IFERROR(INDEX('Country Competitivness'!$BM$4:$BW$178,Tabela2[[#This Row],[ID]],'Config!'!$BA$15-2010+1),"")</f>
        <v>4.2179535237113406</v>
      </c>
      <c r="S96" s="578" t="str" cm="1">
        <f t="array" ref="S9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6" s="537" t="str" cm="1">
        <f t="array" ref="T96">IF('Config!'!$BA$15=2010,".",IF(INDEX('Result data'!$R$216:$AA$390,'IMS Seg. Table'!$A96,'Config!'!$BA$15-2010)=".",".",INDEX('Result data'!$R$216:$AA$390,'IMS Seg. Table'!$A96,'Config!'!$BA$15-2010)))</f>
        <v>.</v>
      </c>
      <c r="U96" s="579" t="str">
        <f t="shared" si="32"/>
        <v>.</v>
      </c>
      <c r="V96" s="530" t="str" cm="1">
        <f t="array" ref="V96">IF(Tabela2[[#This Row],[Market Penetration (Category)]]=".",".",INDEX('Result data'!$BS$216:$CB$390,'IMS Seg. Table'!$A96,'Config!'!$BA$15-2010))</f>
        <v>.</v>
      </c>
      <c r="W96" s="563" t="str">
        <f>IF(Tabela2[[#This Row],[Market Demand (U$ millions)]]=".",".",Tabela2[[#This Row],[Market Demand (U$ millions)]]/Tabela2[[#This Row],[Active users (thousands)]])</f>
        <v>.</v>
      </c>
      <c r="X96" s="580" cm="1">
        <f t="array" ref="X96">IF('Config!'!$BA$15=2010,".",IF(INDEX('Result data'!$AE$216:$AN$390,'IMS Seg. Table'!$A96,'Config!'!$BA$15-2010)=".",0,INDEX('Result data'!$AE$216:$AN$390,'IMS Seg. Table'!$A96,'Config!'!$BA$15-2010)))</f>
        <v>0</v>
      </c>
      <c r="Y96" s="563" t="str">
        <f>IF('Config!'!$BA$15=2010,".",IF(Tabela2[[#This Row],[Number of competitors]]=0,".",SUMIF('Result data'!$N$216:$N$390,Tabela2[[#This Row],[ID]],'Result data'!$CP$216:$CP$393)))</f>
        <v>.</v>
      </c>
      <c r="Z96" s="563" t="str">
        <f>IF('Config!'!$BA$15=2010,".",IF(Tabela2[[#This Row],[Number of competitors]]=0,".",SUMIF('Result data'!$N$216:$N$390,Tabela2[[#This Row],[ID]],'Result data'!$DA$216:$DA$393)))</f>
        <v>.</v>
      </c>
      <c r="AA96" s="530" t="str" cm="1">
        <f t="array" ref="AA9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6" s="530" t="str" cm="1">
        <f t="array" ref="AB9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6" s="530" t="str" cm="1">
        <f t="array" ref="AD9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6" s="530" t="str" cm="1">
        <f t="array" ref="AE9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6" s="530" t="str" cm="1">
        <f t="array" ref="AF9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7" spans="1:32" x14ac:dyDescent="0.3">
      <c r="A97" s="569">
        <f>'Config!'!C83</f>
        <v>70</v>
      </c>
      <c r="B97" s="536" t="str">
        <f>'Config!'!A83</f>
        <v>Islândia</v>
      </c>
      <c r="C97" s="536" t="str">
        <f>'Config!'!B83</f>
        <v>Europa</v>
      </c>
      <c r="D97" s="538" cm="1">
        <f t="array" ref="D97">IFERROR(INDEX(Population!$BD$3:$BN$177,'IMS Seg. Table'!$A97,'Config!'!$BA$15-2010+1),"")</f>
        <v>320716</v>
      </c>
      <c r="E97" s="551" cm="1">
        <f t="array" ref="E97">IFERROR(INDEX(Population!$CH$3:$CH$178,'IMS Seg. Table'!$A97,1),"")</f>
        <v>100250</v>
      </c>
      <c r="F97" s="552">
        <f>IFERROR('IMS Seg. Table'!$D97/'IMS Seg. Table'!$E97,"")</f>
        <v>3.1991620947630923</v>
      </c>
      <c r="G97" s="575" cm="1">
        <f t="array" ref="G97">IFERROR(INDEX('Country Competitivness'!$CL$4:$CX$178,Tabela2[[#This Row],[ID]],'Config!'!$AZ$17+1),".")</f>
        <v>108.724104755479</v>
      </c>
      <c r="H97" s="540" cm="1">
        <f t="array" ref="H97">INDEX(GDP!$G$3:$S$177,'IMS Seg. Table'!$A97,'Config!'!$BA$15-2010+1)*1000000000</f>
        <v>14724078264.240019</v>
      </c>
      <c r="I97" s="539">
        <f t="shared" si="31"/>
        <v>45910.020903977413</v>
      </c>
      <c r="J97" s="576">
        <f>IFERROR(INDEX('Income Tax Rate (%)'!$F$2:$P$176,Tabela2[[#This Row],[ID]],'Config!'!$BA$15-2010+1)/100,"")</f>
        <v>0.318</v>
      </c>
      <c r="K97" s="577">
        <f>IFERROR(INDEX('Tariff Rate (%)'!$F$2:$P$176,Tabela2[[#This Row],[ID]],'Config!'!$BA$15-2010+1)/100,"")</f>
        <v>1.04E-2</v>
      </c>
      <c r="L97" s="577">
        <f>IFERROR(INDEX('Corporate Tax Rate (%)'!$F$2:$P$176,Tabela2[[#This Row],[ID]],'Config!'!$BA$15-2010+1)/100,"")</f>
        <v>0.2</v>
      </c>
      <c r="M97" s="527" cm="1">
        <f t="array" ref="M97">INDEX('Score-Starting a business'!$F$2:$P$176,'IMS Seg. Table'!$A97,'Config!'!$BA$15-2010+1)</f>
        <v>91.92</v>
      </c>
      <c r="N97" s="527" cm="1">
        <f t="array" ref="N97">IFERROR(INDEX('Country Competitivness'!$AX$4:$BH$178,Tabela2[[#This Row],[ID]],'Config!'!$BA$15-2010+1),"")</f>
        <v>4.1467390627737233</v>
      </c>
      <c r="O97" s="527" cm="1">
        <f t="array" ref="O97">IFERROR(INDEX('Country Competitivness'!$EE$4:$EO$178,Tabela2[[#This Row],[ID]],'Config!'!$BA$15-2010+1),"")</f>
        <v>5.356909487591242</v>
      </c>
      <c r="P97" s="527" cm="1">
        <f t="array" ref="P97">IFERROR(INDEX('Country Competitivness'!$H$4:$R$178,Tabela2[[#This Row],[ID]],'Config!'!$BA$15-2010+1),"")</f>
        <v>4.6850085108720707</v>
      </c>
      <c r="Q97" s="527" cm="1">
        <f t="array" ref="Q97">IFERROR(INDEX('Country Competitivness'!$AJ$4:$AT$178,Tabela2[[#This Row],[ID]],MAX(1,'Config!'!$BA$15-2010)),"")</f>
        <v>5.8394887430656937</v>
      </c>
      <c r="R97" s="527" cm="1">
        <f t="array" ref="R97">IFERROR(INDEX('Country Competitivness'!$BM$4:$BW$178,Tabela2[[#This Row],[ID]],'Config!'!$BA$15-2010+1),"")</f>
        <v>3.7557726248175189</v>
      </c>
      <c r="S97" s="578" t="str" cm="1">
        <f t="array" ref="S9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7" s="537" t="str" cm="1">
        <f t="array" ref="T97">IF('Config!'!$BA$15=2010,".",IF(INDEX('Result data'!$R$216:$AA$390,'IMS Seg. Table'!$A97,'Config!'!$BA$15-2010)=".",".",INDEX('Result data'!$R$216:$AA$390,'IMS Seg. Table'!$A97,'Config!'!$BA$15-2010)))</f>
        <v>.</v>
      </c>
      <c r="U97" s="579" t="str">
        <f t="shared" si="32"/>
        <v>.</v>
      </c>
      <c r="V97" s="530" t="str" cm="1">
        <f t="array" ref="V97">IF(Tabela2[[#This Row],[Market Penetration (Category)]]=".",".",INDEX('Result data'!$BS$216:$CB$390,'IMS Seg. Table'!$A97,'Config!'!$BA$15-2010))</f>
        <v>.</v>
      </c>
      <c r="W97" s="563" t="str">
        <f>IF(Tabela2[[#This Row],[Market Demand (U$ millions)]]=".",".",Tabela2[[#This Row],[Market Demand (U$ millions)]]/Tabela2[[#This Row],[Active users (thousands)]])</f>
        <v>.</v>
      </c>
      <c r="X97" s="580" cm="1">
        <f t="array" ref="X97">IF('Config!'!$BA$15=2010,".",IF(INDEX('Result data'!$AE$216:$AN$390,'IMS Seg. Table'!$A97,'Config!'!$BA$15-2010)=".",0,INDEX('Result data'!$AE$216:$AN$390,'IMS Seg. Table'!$A97,'Config!'!$BA$15-2010)))</f>
        <v>0</v>
      </c>
      <c r="Y97" s="563" t="str">
        <f>IF('Config!'!$BA$15=2010,".",IF(Tabela2[[#This Row],[Number of competitors]]=0,".",SUMIF('Result data'!$N$216:$N$390,Tabela2[[#This Row],[ID]],'Result data'!$CP$216:$CP$393)))</f>
        <v>.</v>
      </c>
      <c r="Z97" s="563" t="str">
        <f>IF('Config!'!$BA$15=2010,".",IF(Tabela2[[#This Row],[Number of competitors]]=0,".",SUMIF('Result data'!$N$216:$N$390,Tabela2[[#This Row],[ID]],'Result data'!$DA$216:$DA$393)))</f>
        <v>.</v>
      </c>
      <c r="AA97" s="530" t="str" cm="1">
        <f t="array" ref="AA9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7" s="530" t="str" cm="1">
        <f t="array" ref="AB9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7" s="530" t="str" cm="1">
        <f t="array" ref="AD9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7" s="530" t="str" cm="1">
        <f t="array" ref="AE9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7" s="530" t="str" cm="1">
        <f t="array" ref="AF9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8" spans="1:32" x14ac:dyDescent="0.3">
      <c r="A98" s="568">
        <f>'Config!'!C84</f>
        <v>75</v>
      </c>
      <c r="B98" s="536" t="str">
        <f>'Config!'!A84</f>
        <v>Israel</v>
      </c>
      <c r="C98" s="536" t="str">
        <f>'Config!'!B84</f>
        <v>Oriente médio</v>
      </c>
      <c r="D98" s="538" cm="1">
        <f t="array" ref="D98">IFERROR(INDEX(Population!$BD$3:$BN$177,'IMS Seg. Table'!$A98,'Config!'!$BA$15-2010+1),"")</f>
        <v>7910500</v>
      </c>
      <c r="E98" s="551" cm="1">
        <f t="array" ref="E98">IFERROR(INDEX(Population!$CH$3:$CH$178,'IMS Seg. Table'!$A98,1),"")</f>
        <v>20330</v>
      </c>
      <c r="F98" s="552">
        <f>IFERROR('IMS Seg. Table'!$D98/'IMS Seg. Table'!$E98,"")</f>
        <v>389.10477127397934</v>
      </c>
      <c r="G98" s="575" cm="1">
        <f t="array" ref="G98">IFERROR(INDEX('Country Competitivness'!$CL$4:$CX$178,Tabela2[[#This Row],[ID]],'Config!'!$AZ$17+1),".")</f>
        <v>133.11495740321399</v>
      </c>
      <c r="H98" s="540" cm="1">
        <f t="array" ref="H98">INDEX(GDP!$G$3:$S$177,'IMS Seg. Table'!$A98,'Config!'!$BA$15-2010+1)*1000000000</f>
        <v>257435001991.4744</v>
      </c>
      <c r="I98" s="539">
        <f t="shared" si="31"/>
        <v>32543.455153463674</v>
      </c>
      <c r="J98" s="576">
        <f>IFERROR(INDEX('Income Tax Rate (%)'!$F$2:$P$176,Tabela2[[#This Row],[ID]],'Config!'!$BA$15-2010+1)/100,"")</f>
        <v>0.48</v>
      </c>
      <c r="K98" s="577">
        <f>IFERROR(INDEX('Tariff Rate (%)'!$F$2:$P$176,Tabela2[[#This Row],[ID]],'Config!'!$BA$15-2010+1)/100,"")</f>
        <v>3.5400000000000001E-2</v>
      </c>
      <c r="L98" s="577">
        <f>IFERROR(INDEX('Corporate Tax Rate (%)'!$F$2:$P$176,Tabela2[[#This Row],[ID]],'Config!'!$BA$15-2010+1)/100,"")</f>
        <v>0.25</v>
      </c>
      <c r="M98" s="527" cm="1">
        <f t="array" ref="M98">INDEX('Score-Starting a business'!$F$2:$P$176,'IMS Seg. Table'!$A98,'Config!'!$BA$15-2010+1)</f>
        <v>88.92</v>
      </c>
      <c r="N98" s="527" cm="1">
        <f t="array" ref="N98">IFERROR(INDEX('Country Competitivness'!$AX$4:$BH$178,Tabela2[[#This Row],[ID]],'Config!'!$BA$15-2010+1),"")</f>
        <v>3.2839517289855076</v>
      </c>
      <c r="O98" s="527" cm="1">
        <f t="array" ref="O98">IFERROR(INDEX('Country Competitivness'!$EE$4:$EO$178,Tabela2[[#This Row],[ID]],'Config!'!$BA$15-2010+1),"")</f>
        <v>4.5050846985507249</v>
      </c>
      <c r="P98" s="527" cm="1">
        <f t="array" ref="P98">IFERROR(INDEX('Country Competitivness'!$H$4:$R$178,Tabela2[[#This Row],[ID]],'Config!'!$BA$15-2010+1),"")</f>
        <v>5.1135730709382159</v>
      </c>
      <c r="Q98" s="527" cm="1">
        <f t="array" ref="Q98">IFERROR(INDEX('Country Competitivness'!$AJ$4:$AT$178,Tabela2[[#This Row],[ID]],MAX(1,'Config!'!$BA$15-2010)),"")</f>
        <v>5.9356735751207736</v>
      </c>
      <c r="R98" s="527" cm="1">
        <f t="array" ref="R98">IFERROR(INDEX('Country Competitivness'!$BM$4:$BW$178,Tabela2[[#This Row],[ID]],'Config!'!$BA$15-2010+1),"")</f>
        <v>4.0641153731884057</v>
      </c>
      <c r="S98" s="578" t="str" cm="1">
        <f t="array" ref="S9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8" s="537" t="str" cm="1">
        <f t="array" ref="T98">IF('Config!'!$BA$15=2010,".",IF(INDEX('Result data'!$R$216:$AA$390,'IMS Seg. Table'!$A98,'Config!'!$BA$15-2010)=".",".",INDEX('Result data'!$R$216:$AA$390,'IMS Seg. Table'!$A98,'Config!'!$BA$15-2010)))</f>
        <v>.</v>
      </c>
      <c r="U98" s="579" t="str">
        <f t="shared" si="32"/>
        <v>.</v>
      </c>
      <c r="V98" s="530" t="str" cm="1">
        <f t="array" ref="V98">IF(Tabela2[[#This Row],[Market Penetration (Category)]]=".",".",INDEX('Result data'!$BS$216:$CB$390,'IMS Seg. Table'!$A98,'Config!'!$BA$15-2010))</f>
        <v>.</v>
      </c>
      <c r="W98" s="563" t="str">
        <f>IF(Tabela2[[#This Row],[Market Demand (U$ millions)]]=".",".",Tabela2[[#This Row],[Market Demand (U$ millions)]]/Tabela2[[#This Row],[Active users (thousands)]])</f>
        <v>.</v>
      </c>
      <c r="X98" s="580" cm="1">
        <f t="array" ref="X98">IF('Config!'!$BA$15=2010,".",IF(INDEX('Result data'!$AE$216:$AN$390,'IMS Seg. Table'!$A98,'Config!'!$BA$15-2010)=".",0,INDEX('Result data'!$AE$216:$AN$390,'IMS Seg. Table'!$A98,'Config!'!$BA$15-2010)))</f>
        <v>0</v>
      </c>
      <c r="Y98" s="563" t="str">
        <f>IF('Config!'!$BA$15=2010,".",IF(Tabela2[[#This Row],[Number of competitors]]=0,".",SUMIF('Result data'!$N$216:$N$390,Tabela2[[#This Row],[ID]],'Result data'!$CP$216:$CP$393)))</f>
        <v>.</v>
      </c>
      <c r="Z98" s="563" t="str">
        <f>IF('Config!'!$BA$15=2010,".",IF(Tabela2[[#This Row],[Number of competitors]]=0,".",SUMIF('Result data'!$N$216:$N$390,Tabela2[[#This Row],[ID]],'Result data'!$DA$216:$DA$393)))</f>
        <v>.</v>
      </c>
      <c r="AA98" s="530" t="str" cm="1">
        <f t="array" ref="AA9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8" s="530" t="str" cm="1">
        <f t="array" ref="AB9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8" s="530" t="str" cm="1">
        <f t="array" ref="AD9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8" s="530" t="str" cm="1">
        <f t="array" ref="AE9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8" s="530" t="str" cm="1">
        <f t="array" ref="AF9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99" spans="1:32" x14ac:dyDescent="0.3">
      <c r="A99" s="569">
        <f>'Config!'!C85</f>
        <v>76</v>
      </c>
      <c r="B99" s="536" t="str">
        <f>'Config!'!A85</f>
        <v>Itália</v>
      </c>
      <c r="C99" s="536" t="str">
        <f>'Config!'!B85</f>
        <v>União Européia</v>
      </c>
      <c r="D99" s="538" cm="1">
        <f t="array" ref="D99">IFERROR(INDEX(Population!$BD$3:$BN$177,'IMS Seg. Table'!$A99,'Config!'!$BA$15-2010+1),"")</f>
        <v>59539717</v>
      </c>
      <c r="E99" s="551" cm="1">
        <f t="array" ref="E99">IFERROR(INDEX(Population!$CH$3:$CH$178,'IMS Seg. Table'!$A99,1),"")</f>
        <v>294140</v>
      </c>
      <c r="F99" s="552">
        <f>IFERROR('IMS Seg. Table'!$D99/'IMS Seg. Table'!$E99,"")</f>
        <v>202.41965390630313</v>
      </c>
      <c r="G99" s="575" cm="1">
        <f t="array" ref="G99">IFERROR(INDEX('Country Competitivness'!$CL$4:$CX$178,Tabela2[[#This Row],[ID]],'Config!'!$AZ$17+1),".")</f>
        <v>135.423371775074</v>
      </c>
      <c r="H99" s="540" cm="1">
        <f t="array" ref="H99">INDEX(GDP!$G$3:$S$177,'IMS Seg. Table'!$A99,'Config!'!$BA$15-2010+1)*1000000000</f>
        <v>2072823157059.7622</v>
      </c>
      <c r="I99" s="539">
        <f t="shared" si="31"/>
        <v>34814.125116848678</v>
      </c>
      <c r="J99" s="576">
        <f>IFERROR(INDEX('Income Tax Rate (%)'!$F$2:$P$176,Tabela2[[#This Row],[ID]],'Config!'!$BA$15-2010+1)/100,"")</f>
        <v>0.43</v>
      </c>
      <c r="K99" s="577">
        <f>IFERROR(INDEX('Tariff Rate (%)'!$F$2:$P$176,Tabela2[[#This Row],[ID]],'Config!'!$BA$15-2010+1)/100,"")</f>
        <v>1.09E-2</v>
      </c>
      <c r="L99" s="577">
        <f>IFERROR(INDEX('Corporate Tax Rate (%)'!$F$2:$P$176,Tabela2[[#This Row],[ID]],'Config!'!$BA$15-2010+1)/100,"")</f>
        <v>0.27500000000000002</v>
      </c>
      <c r="M99" s="527" cm="1">
        <f t="array" ref="M99">INDEX('Score-Starting a business'!$F$2:$P$176,'IMS Seg. Table'!$A99,'Config!'!$BA$15-2010+1)</f>
        <v>86.75</v>
      </c>
      <c r="N99" s="527" cm="1">
        <f t="array" ref="N99">IFERROR(INDEX('Country Competitivness'!$AX$4:$BH$178,Tabela2[[#This Row],[ID]],'Config!'!$BA$15-2010+1),"")</f>
        <v>2.0839508043956045</v>
      </c>
      <c r="O99" s="527" cm="1">
        <f t="array" ref="O99">IFERROR(INDEX('Country Competitivness'!$EE$4:$EO$178,Tabela2[[#This Row],[ID]],'Config!'!$BA$15-2010+1),"")</f>
        <v>4.1963381813186817</v>
      </c>
      <c r="P99" s="527" cm="1">
        <f t="array" ref="P99">IFERROR(INDEX('Country Competitivness'!$H$4:$R$178,Tabela2[[#This Row],[ID]],'Config!'!$BA$15-2010+1),"")</f>
        <v>4.8466352921341826</v>
      </c>
      <c r="Q99" s="527" cm="1">
        <f t="array" ref="Q99">IFERROR(INDEX('Country Competitivness'!$AJ$4:$AT$178,Tabela2[[#This Row],[ID]],MAX(1,'Config!'!$BA$15-2010)),"")</f>
        <v>4.4014196578754587</v>
      </c>
      <c r="R99" s="527" cm="1">
        <f t="array" ref="R99">IFERROR(INDEX('Country Competitivness'!$BM$4:$BW$178,Tabela2[[#This Row],[ID]],'Config!'!$BA$15-2010+1),"")</f>
        <v>4.1220722791208795</v>
      </c>
      <c r="S99" s="578" t="str" cm="1">
        <f t="array" ref="S9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99" s="537" t="str" cm="1">
        <f t="array" ref="T99">IF('Config!'!$BA$15=2010,".",IF(INDEX('Result data'!$R$216:$AA$390,'IMS Seg. Table'!$A99,'Config!'!$BA$15-2010)=".",".",INDEX('Result data'!$R$216:$AA$390,'IMS Seg. Table'!$A99,'Config!'!$BA$15-2010)))</f>
        <v>.</v>
      </c>
      <c r="U99" s="579" t="str">
        <f t="shared" si="32"/>
        <v>.</v>
      </c>
      <c r="V99" s="530" t="str" cm="1">
        <f t="array" ref="V99">IF(Tabela2[[#This Row],[Market Penetration (Category)]]=".",".",INDEX('Result data'!$BS$216:$CB$390,'IMS Seg. Table'!$A99,'Config!'!$BA$15-2010))</f>
        <v>.</v>
      </c>
      <c r="W99" s="563" t="str">
        <f>IF(Tabela2[[#This Row],[Market Demand (U$ millions)]]=".",".",Tabela2[[#This Row],[Market Demand (U$ millions)]]/Tabela2[[#This Row],[Active users (thousands)]])</f>
        <v>.</v>
      </c>
      <c r="X99" s="580" cm="1">
        <f t="array" ref="X99">IF('Config!'!$BA$15=2010,".",IF(INDEX('Result data'!$AE$216:$AN$390,'IMS Seg. Table'!$A99,'Config!'!$BA$15-2010)=".",0,INDEX('Result data'!$AE$216:$AN$390,'IMS Seg. Table'!$A99,'Config!'!$BA$15-2010)))</f>
        <v>0</v>
      </c>
      <c r="Y99" s="563" t="str">
        <f>IF('Config!'!$BA$15=2010,".",IF(Tabela2[[#This Row],[Number of competitors]]=0,".",SUMIF('Result data'!$N$216:$N$390,Tabela2[[#This Row],[ID]],'Result data'!$CP$216:$CP$393)))</f>
        <v>.</v>
      </c>
      <c r="Z99" s="563" t="str">
        <f>IF('Config!'!$BA$15=2010,".",IF(Tabela2[[#This Row],[Number of competitors]]=0,".",SUMIF('Result data'!$N$216:$N$390,Tabela2[[#This Row],[ID]],'Result data'!$DA$216:$DA$393)))</f>
        <v>.</v>
      </c>
      <c r="AA99" s="530" t="str" cm="1">
        <f t="array" ref="AA9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99" s="530" t="str" cm="1">
        <f t="array" ref="AB9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9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99" s="530" t="str" cm="1">
        <f t="array" ref="AD9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99" s="530" t="str" cm="1">
        <f t="array" ref="AE9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99" s="530" t="str" cm="1">
        <f t="array" ref="AF9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0" spans="1:32" x14ac:dyDescent="0.3">
      <c r="A100" s="568">
        <f>'Config!'!C86</f>
        <v>78</v>
      </c>
      <c r="B100" s="536" t="str">
        <f>'Config!'!A86</f>
        <v>Jamaica</v>
      </c>
      <c r="C100" s="536" t="str">
        <f>'Config!'!B86</f>
        <v>Caribe</v>
      </c>
      <c r="D100" s="538" cm="1">
        <f t="array" ref="D100">IFERROR(INDEX(Population!$BD$3:$BN$177,'IMS Seg. Table'!$A100,'Config!'!$BA$15-2010+1),"")</f>
        <v>2707805</v>
      </c>
      <c r="E100" s="551" cm="1">
        <f t="array" ref="E100">IFERROR(INDEX(Population!$CH$3:$CH$178,'IMS Seg. Table'!$A100,1),"")</f>
        <v>10831</v>
      </c>
      <c r="F100" s="552">
        <f>IFERROR('IMS Seg. Table'!$D100/'IMS Seg. Table'!$E100,"")</f>
        <v>250.00507801680362</v>
      </c>
      <c r="G100" s="575" cm="1">
        <f t="array" ref="G100">IFERROR(INDEX('Country Competitivness'!$CL$4:$CX$178,Tabela2[[#This Row],[ID]],'Config!'!$AZ$17+1),".")</f>
        <v>113.215801816237</v>
      </c>
      <c r="H100" s="540" cm="1">
        <f t="array" ref="H100">INDEX(GDP!$G$3:$S$177,'IMS Seg. Table'!$A100,'Config!'!$BA$15-2010+1)*1000000000</f>
        <v>14798716216.216217</v>
      </c>
      <c r="I100" s="539">
        <f t="shared" si="31"/>
        <v>5465.2075080060113</v>
      </c>
      <c r="J100" s="576">
        <f>IFERROR(INDEX('Income Tax Rate (%)'!$F$2:$P$176,Tabela2[[#This Row],[ID]],'Config!'!$BA$15-2010+1)/100,"")</f>
        <v>0.25</v>
      </c>
      <c r="K100" s="577">
        <f>IFERROR(INDEX('Tariff Rate (%)'!$F$2:$P$176,Tabela2[[#This Row],[ID]],'Config!'!$BA$15-2010+1)/100,"")</f>
        <v>7.4499999999999997E-2</v>
      </c>
      <c r="L100" s="577">
        <f>IFERROR(INDEX('Corporate Tax Rate (%)'!$F$2:$P$176,Tabela2[[#This Row],[ID]],'Config!'!$BA$15-2010+1)/100,"")</f>
        <v>0.33329999999999999</v>
      </c>
      <c r="M100" s="527" cm="1">
        <f t="array" ref="M100">INDEX('Score-Starting a business'!$F$2:$P$176,'IMS Seg. Table'!$A100,'Config!'!$BA$15-2010+1)</f>
        <v>90.11</v>
      </c>
      <c r="N100" s="527" cm="1">
        <f t="array" ref="N100">IFERROR(INDEX('Country Competitivness'!$AX$4:$BH$178,Tabela2[[#This Row],[ID]],'Config!'!$BA$15-2010+1),"")</f>
        <v>2.6071232279661016</v>
      </c>
      <c r="O100" s="527" cm="1">
        <f t="array" ref="O100">IFERROR(INDEX('Country Competitivness'!$EE$4:$EO$178,Tabela2[[#This Row],[ID]],'Config!'!$BA$15-2010+1),"")</f>
        <v>3.777328547457627</v>
      </c>
      <c r="P100" s="527" cm="1">
        <f t="array" ref="P100">IFERROR(INDEX('Country Competitivness'!$H$4:$R$178,Tabela2[[#This Row],[ID]],'Config!'!$BA$15-2010+1),"")</f>
        <v>3.8100414463871544</v>
      </c>
      <c r="Q100" s="527" cm="1">
        <f t="array" ref="Q100">IFERROR(INDEX('Country Competitivness'!$AJ$4:$AT$178,Tabela2[[#This Row],[ID]],MAX(1,'Config!'!$BA$15-2010)),"")</f>
        <v>4.9773048988700568</v>
      </c>
      <c r="R100" s="527" cm="1">
        <f t="array" ref="R100">IFERROR(INDEX('Country Competitivness'!$BM$4:$BW$178,Tabela2[[#This Row],[ID]],'Config!'!$BA$15-2010+1),"")</f>
        <v>3.358277490677966</v>
      </c>
      <c r="S100" s="578" t="str" cm="1">
        <f t="array" ref="S10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0" s="537" t="str" cm="1">
        <f t="array" ref="T100">IF('Config!'!$BA$15=2010,".",IF(INDEX('Result data'!$R$216:$AA$390,'IMS Seg. Table'!$A100,'Config!'!$BA$15-2010)=".",".",INDEX('Result data'!$R$216:$AA$390,'IMS Seg. Table'!$A100,'Config!'!$BA$15-2010)))</f>
        <v>.</v>
      </c>
      <c r="U100" s="579" t="str">
        <f t="shared" si="32"/>
        <v>.</v>
      </c>
      <c r="V100" s="530" t="str" cm="1">
        <f t="array" ref="V100">IF(Tabela2[[#This Row],[Market Penetration (Category)]]=".",".",INDEX('Result data'!$BS$216:$CB$390,'IMS Seg. Table'!$A100,'Config!'!$BA$15-2010))</f>
        <v>.</v>
      </c>
      <c r="W100" s="563" t="str">
        <f>IF(Tabela2[[#This Row],[Market Demand (U$ millions)]]=".",".",Tabela2[[#This Row],[Market Demand (U$ millions)]]/Tabela2[[#This Row],[Active users (thousands)]])</f>
        <v>.</v>
      </c>
      <c r="X100" s="580" cm="1">
        <f t="array" ref="X100">IF('Config!'!$BA$15=2010,".",IF(INDEX('Result data'!$AE$216:$AN$390,'IMS Seg. Table'!$A100,'Config!'!$BA$15-2010)=".",0,INDEX('Result data'!$AE$216:$AN$390,'IMS Seg. Table'!$A100,'Config!'!$BA$15-2010)))</f>
        <v>0</v>
      </c>
      <c r="Y100" s="563" t="str">
        <f>IF('Config!'!$BA$15=2010,".",IF(Tabela2[[#This Row],[Number of competitors]]=0,".",SUMIF('Result data'!$N$216:$N$390,Tabela2[[#This Row],[ID]],'Result data'!$CP$216:$CP$393)))</f>
        <v>.</v>
      </c>
      <c r="Z100" s="563" t="str">
        <f>IF('Config!'!$BA$15=2010,".",IF(Tabela2[[#This Row],[Number of competitors]]=0,".",SUMIF('Result data'!$N$216:$N$390,Tabela2[[#This Row],[ID]],'Result data'!$DA$216:$DA$393)))</f>
        <v>.</v>
      </c>
      <c r="AA100" s="530" t="str" cm="1">
        <f t="array" ref="AA10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0" s="530" t="str" cm="1">
        <f t="array" ref="AB10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0" s="530" t="str" cm="1">
        <f t="array" ref="AD10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0" s="530" t="str" cm="1">
        <f t="array" ref="AE10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0" s="530" t="str" cm="1">
        <f t="array" ref="AF10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1" spans="1:32" x14ac:dyDescent="0.3">
      <c r="A101" s="569">
        <f>'Config!'!C87</f>
        <v>79</v>
      </c>
      <c r="B101" s="536" t="str">
        <f>'Config!'!A87</f>
        <v>Japão</v>
      </c>
      <c r="C101" s="536" t="str">
        <f>'Config!'!B87</f>
        <v>Ásia-Pacífico</v>
      </c>
      <c r="D101" s="538" cm="1">
        <f t="array" ref="D101">IFERROR(INDEX(Population!$BD$3:$BN$177,'IMS Seg. Table'!$A101,'Config!'!$BA$15-2010+1),"")</f>
        <v>127561489</v>
      </c>
      <c r="E101" s="551" cm="1">
        <f t="array" ref="E101">IFERROR(INDEX(Population!$CH$3:$CH$178,'IMS Seg. Table'!$A101,1),"")</f>
        <v>364485</v>
      </c>
      <c r="F101" s="552">
        <f>IFERROR('IMS Seg. Table'!$D101/'IMS Seg. Table'!$E101,"")</f>
        <v>349.97733514410743</v>
      </c>
      <c r="G101" s="575" cm="1">
        <f t="array" ref="G101">IFERROR(INDEX('Country Competitivness'!$CL$4:$CX$178,Tabela2[[#This Row],[ID]],'Config!'!$AZ$17+1),".")</f>
        <v>95.394785923238203</v>
      </c>
      <c r="H101" s="540" cm="1">
        <f t="array" ref="H101">INDEX(GDP!$G$3:$S$177,'IMS Seg. Table'!$A101,'Config!'!$BA$15-2010+1)*1000000000</f>
        <v>6203213121334.1221</v>
      </c>
      <c r="I101" s="539">
        <f t="shared" si="31"/>
        <v>48629.19968999517</v>
      </c>
      <c r="J101" s="576">
        <f>IFERROR(INDEX('Income Tax Rate (%)'!$F$2:$P$176,Tabela2[[#This Row],[ID]],'Config!'!$BA$15-2010+1)/100,"")</f>
        <v>0.40799999999999997</v>
      </c>
      <c r="K101" s="577">
        <f>IFERROR(INDEX('Tariff Rate (%)'!$F$2:$P$176,Tabela2[[#This Row],[ID]],'Config!'!$BA$15-2010+1)/100,"")</f>
        <v>1.29E-2</v>
      </c>
      <c r="L101" s="577">
        <f>IFERROR(INDEX('Corporate Tax Rate (%)'!$F$2:$P$176,Tabela2[[#This Row],[ID]],'Config!'!$BA$15-2010+1)/100,"")</f>
        <v>0.255</v>
      </c>
      <c r="M101" s="527" cm="1">
        <f t="array" ref="M101">INDEX('Score-Starting a business'!$F$2:$P$176,'IMS Seg. Table'!$A101,'Config!'!$BA$15-2010+1)</f>
        <v>85.851666666666702</v>
      </c>
      <c r="N101" s="527" cm="1">
        <f t="array" ref="N101">IFERROR(INDEX('Country Competitivness'!$AX$4:$BH$178,Tabela2[[#This Row],[ID]],'Config!'!$BA$15-2010+1),"")</f>
        <v>3.1973928602510462</v>
      </c>
      <c r="O101" s="527" cm="1">
        <f t="array" ref="O101">IFERROR(INDEX('Country Competitivness'!$EE$4:$EO$178,Tabela2[[#This Row],[ID]],'Config!'!$BA$15-2010+1),"")</f>
        <v>5.7775288368200837</v>
      </c>
      <c r="P101" s="527" cm="1">
        <f t="array" ref="P101">IFERROR(INDEX('Country Competitivness'!$H$4:$R$178,Tabela2[[#This Row],[ID]],'Config!'!$BA$15-2010+1),"")</f>
        <v>5.9059696046685746</v>
      </c>
      <c r="Q101" s="527" cm="1">
        <f t="array" ref="Q101">IFERROR(INDEX('Country Competitivness'!$AJ$4:$AT$178,Tabela2[[#This Row],[ID]],MAX(1,'Config!'!$BA$15-2010)),"")</f>
        <v>5.7685090033472806</v>
      </c>
      <c r="R101" s="527" cm="1">
        <f t="array" ref="R101">IFERROR(INDEX('Country Competitivness'!$BM$4:$BW$178,Tabela2[[#This Row],[ID]],'Config!'!$BA$15-2010+1),"")</f>
        <v>5.2907247414225935</v>
      </c>
      <c r="S101" s="578" cm="1">
        <f t="array" ref="S10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2011</v>
      </c>
      <c r="T101" s="537" cm="1">
        <f t="array" ref="T101">IF('Config!'!$BA$15=2010,".",IF(INDEX('Result data'!$R$216:$AA$390,'IMS Seg. Table'!$A101,'Config!'!$BA$15-2010)=".",".",INDEX('Result data'!$R$216:$AA$390,'IMS Seg. Table'!$A101,'Config!'!$BA$15-2010)))</f>
        <v>4824346</v>
      </c>
      <c r="U101" s="579">
        <f t="shared" si="32"/>
        <v>3.7819768629386255E-2</v>
      </c>
      <c r="V101" s="530" cm="1">
        <f t="array" ref="V101">IF(Tabela2[[#This Row],[Market Penetration (Category)]]=".",".",INDEX('Result data'!$BS$216:$CB$390,'IMS Seg. Table'!$A101,'Config!'!$BA$15-2010))</f>
        <v>83859373.725545689</v>
      </c>
      <c r="W101" s="563">
        <f>IF(Tabela2[[#This Row],[Market Demand (U$ millions)]]=".",".",Tabela2[[#This Row],[Market Demand (U$ millions)]]/Tabela2[[#This Row],[Active users (thousands)]])</f>
        <v>17.382537182355016</v>
      </c>
      <c r="X101" s="580" cm="1">
        <f t="array" ref="X101">IF('Config!'!$BA$15=2010,".",IF(INDEX('Result data'!$AE$216:$AN$390,'IMS Seg. Table'!$A101,'Config!'!$BA$15-2010)=".",0,INDEX('Result data'!$AE$216:$AN$390,'IMS Seg. Table'!$A101,'Config!'!$BA$15-2010)))</f>
        <v>1</v>
      </c>
      <c r="Y101" s="563">
        <f>IF('Config!'!$BA$15=2010,".",IF(Tabela2[[#This Row],[Number of competitors]]=0,".",SUMIF('Result data'!$N$216:$N$390,Tabela2[[#This Row],[ID]],'Result data'!$CP$216:$CP$393)))</f>
        <v>4.369321409375468</v>
      </c>
      <c r="Z101" s="563">
        <f>IF('Config!'!$BA$15=2010,".",IF(Tabela2[[#This Row],[Number of competitors]]=0,".",SUMIF('Result data'!$N$216:$N$390,Tabela2[[#This Row],[ID]],'Result data'!$DA$216:$DA$393)))</f>
        <v>3.276991057031601</v>
      </c>
      <c r="AA101" s="530" cm="1">
        <f t="array" ref="AA10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370682.64203116792</v>
      </c>
      <c r="AB101" s="530" cm="1">
        <f t="array" ref="AB10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1482730.5681246719</v>
      </c>
      <c r="AC101" s="530">
        <f>IF('Config!'!$BA$15=2010,".",IF(Tabela2[[#This Row],[Local Marketing and Sales Expenses (millions)]]=".",".",SUM(Tabela2[[#This Row],[Global Marketing and Sales Expenses (millions)]:[Local Marketing and Sales Expenses (millions)]])))</f>
        <v>1853413.2101558398</v>
      </c>
      <c r="AD101" s="530" cm="1">
        <f t="array" ref="AD10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5699042.3407669989</v>
      </c>
      <c r="AE101" s="530" cm="1">
        <f t="array" ref="AE10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5772184.3820854072</v>
      </c>
      <c r="AF101" s="530" cm="1">
        <f t="array" ref="AF10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1049723.9858154017</v>
      </c>
    </row>
    <row r="102" spans="1:32" x14ac:dyDescent="0.3">
      <c r="A102" s="568">
        <f>'Config!'!C88</f>
        <v>80</v>
      </c>
      <c r="B102" s="536" t="str">
        <f>'Config!'!A88</f>
        <v>Jordânia</v>
      </c>
      <c r="C102" s="536" t="str">
        <f>'Config!'!B88</f>
        <v>Oriente médio</v>
      </c>
      <c r="D102" s="538" cm="1">
        <f t="array" ref="D102">IFERROR(INDEX(Population!$BD$3:$BN$177,'IMS Seg. Table'!$A102,'Config!'!$BA$15-2010+1),"")</f>
        <v>6994451</v>
      </c>
      <c r="E102" s="551" cm="1">
        <f t="array" ref="E102">IFERROR(INDEX(Population!$CH$3:$CH$178,'IMS Seg. Table'!$A102,1),"")</f>
        <v>88802</v>
      </c>
      <c r="F102" s="552">
        <f>IFERROR('IMS Seg. Table'!$D102/'IMS Seg. Table'!$E102,"")</f>
        <v>78.764566113375821</v>
      </c>
      <c r="G102" s="575" cm="1">
        <f t="array" ref="G102">IFERROR(INDEX('Country Competitivness'!$CL$4:$CX$178,Tabela2[[#This Row],[ID]],'Config!'!$AZ$17+1),".")</f>
        <v>106.99461972221199</v>
      </c>
      <c r="H102" s="540" cm="1">
        <f t="array" ref="H102">INDEX(GDP!$G$3:$S$177,'IMS Seg. Table'!$A102,'Config!'!$BA$15-2010+1)*1000000000</f>
        <v>30966149506.34697</v>
      </c>
      <c r="I102" s="539">
        <f t="shared" si="31"/>
        <v>4427.245184267782</v>
      </c>
      <c r="J102" s="576">
        <f>IFERROR(INDEX('Income Tax Rate (%)'!$F$2:$P$176,Tabela2[[#This Row],[ID]],'Config!'!$BA$15-2010+1)/100,"")</f>
        <v>0.14000000000000001</v>
      </c>
      <c r="K102" s="577">
        <f>IFERROR(INDEX('Tariff Rate (%)'!$F$2:$P$176,Tabela2[[#This Row],[ID]],'Config!'!$BA$15-2010+1)/100,"")</f>
        <v>5.1799999999999999E-2</v>
      </c>
      <c r="L102" s="577">
        <f>IFERROR(INDEX('Corporate Tax Rate (%)'!$F$2:$P$176,Tabela2[[#This Row],[ID]],'Config!'!$BA$15-2010+1)/100,"")</f>
        <v>0.14000000000000001</v>
      </c>
      <c r="M102" s="527" cm="1">
        <f t="array" ref="M102">INDEX('Score-Starting a business'!$F$2:$P$176,'IMS Seg. Table'!$A102,'Config!'!$BA$15-2010+1)</f>
        <v>84.710000000000008</v>
      </c>
      <c r="N102" s="527" cm="1">
        <f t="array" ref="N102">IFERROR(INDEX('Country Competitivness'!$AX$4:$BH$178,Tabela2[[#This Row],[ID]],'Config!'!$BA$15-2010+1),"")</f>
        <v>3.2766025873015874</v>
      </c>
      <c r="O102" s="527" cm="1">
        <f t="array" ref="O102">IFERROR(INDEX('Country Competitivness'!$EE$4:$EO$178,Tabela2[[#This Row],[ID]],'Config!'!$BA$15-2010+1),"")</f>
        <v>4.6321051412698413</v>
      </c>
      <c r="P102" s="527" cm="1">
        <f t="array" ref="P102">IFERROR(INDEX('Country Competitivness'!$H$4:$R$178,Tabela2[[#This Row],[ID]],'Config!'!$BA$15-2010+1),"")</f>
        <v>3.8823126796992486</v>
      </c>
      <c r="Q102" s="527" cm="1">
        <f t="array" ref="Q102">IFERROR(INDEX('Country Competitivness'!$AJ$4:$AT$178,Tabela2[[#This Row],[ID]],MAX(1,'Config!'!$BA$15-2010)),"")</f>
        <v>5.2887316894179897</v>
      </c>
      <c r="R102" s="527" cm="1">
        <f t="array" ref="R102">IFERROR(INDEX('Country Competitivness'!$BM$4:$BW$178,Tabela2[[#This Row],[ID]],'Config!'!$BA$15-2010+1),"")</f>
        <v>3.2690350174603173</v>
      </c>
      <c r="S102" s="578" t="str" cm="1">
        <f t="array" ref="S10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2" s="537" t="str" cm="1">
        <f t="array" ref="T102">IF('Config!'!$BA$15=2010,".",IF(INDEX('Result data'!$R$216:$AA$390,'IMS Seg. Table'!$A102,'Config!'!$BA$15-2010)=".",".",INDEX('Result data'!$R$216:$AA$390,'IMS Seg. Table'!$A102,'Config!'!$BA$15-2010)))</f>
        <v>.</v>
      </c>
      <c r="U102" s="579" t="str">
        <f t="shared" si="32"/>
        <v>.</v>
      </c>
      <c r="V102" s="530" t="str" cm="1">
        <f t="array" ref="V102">IF(Tabela2[[#This Row],[Market Penetration (Category)]]=".",".",INDEX('Result data'!$BS$216:$CB$390,'IMS Seg. Table'!$A102,'Config!'!$BA$15-2010))</f>
        <v>.</v>
      </c>
      <c r="W102" s="563" t="str">
        <f>IF(Tabela2[[#This Row],[Market Demand (U$ millions)]]=".",".",Tabela2[[#This Row],[Market Demand (U$ millions)]]/Tabela2[[#This Row],[Active users (thousands)]])</f>
        <v>.</v>
      </c>
      <c r="X102" s="580" cm="1">
        <f t="array" ref="X102">IF('Config!'!$BA$15=2010,".",IF(INDEX('Result data'!$AE$216:$AN$390,'IMS Seg. Table'!$A102,'Config!'!$BA$15-2010)=".",0,INDEX('Result data'!$AE$216:$AN$390,'IMS Seg. Table'!$A102,'Config!'!$BA$15-2010)))</f>
        <v>0</v>
      </c>
      <c r="Y102" s="563" t="str">
        <f>IF('Config!'!$BA$15=2010,".",IF(Tabela2[[#This Row],[Number of competitors]]=0,".",SUMIF('Result data'!$N$216:$N$390,Tabela2[[#This Row],[ID]],'Result data'!$CP$216:$CP$393)))</f>
        <v>.</v>
      </c>
      <c r="Z102" s="563" t="str">
        <f>IF('Config!'!$BA$15=2010,".",IF(Tabela2[[#This Row],[Number of competitors]]=0,".",SUMIF('Result data'!$N$216:$N$390,Tabela2[[#This Row],[ID]],'Result data'!$DA$216:$DA$393)))</f>
        <v>.</v>
      </c>
      <c r="AA102" s="530" t="str" cm="1">
        <f t="array" ref="AA10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2" s="530" t="str" cm="1">
        <f t="array" ref="AB10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2" s="530" t="str" cm="1">
        <f t="array" ref="AD10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2" s="530" t="str" cm="1">
        <f t="array" ref="AE10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2" s="530" t="str" cm="1">
        <f t="array" ref="AF10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3" spans="1:32" x14ac:dyDescent="0.3">
      <c r="A103" s="569">
        <f>'Config!'!C89</f>
        <v>83</v>
      </c>
      <c r="B103" s="536" t="str">
        <f>'Config!'!A89</f>
        <v>Kosovo</v>
      </c>
      <c r="C103" s="536" t="str">
        <f>'Config!'!B89</f>
        <v>Europa</v>
      </c>
      <c r="D103" s="538" cm="1">
        <f t="array" ref="D103">IFERROR(INDEX(Population!$BD$3:$BN$177,'IMS Seg. Table'!$A103,'Config!'!$BA$15-2010+1),"")</f>
        <v>1805200</v>
      </c>
      <c r="E103" s="551" cm="1">
        <f t="array" ref="E103">IFERROR(INDEX(Population!$CH$3:$CH$178,'IMS Seg. Table'!$A103,1),"")</f>
        <v>10887</v>
      </c>
      <c r="F103" s="552">
        <f>IFERROR('IMS Seg. Table'!$D103/'IMS Seg. Table'!$E103,"")</f>
        <v>165.81243685129053</v>
      </c>
      <c r="G103" s="575" cm="1">
        <f t="array" ref="G103">IFERROR(INDEX('Country Competitivness'!$CL$4:$CX$178,Tabela2[[#This Row],[ID]],'Config!'!$AZ$17+1),".")</f>
        <v>108.15</v>
      </c>
      <c r="H103" s="540" cm="1">
        <f t="array" ref="H103">INDEX(GDP!$G$3:$S$177,'IMS Seg. Table'!$A103,'Config!'!$BA$15-2010+1)*1000000000</f>
        <v>6499935757.4200172</v>
      </c>
      <c r="I103" s="539">
        <f t="shared" si="31"/>
        <v>3600.6734751938939</v>
      </c>
      <c r="J103" s="576">
        <f>IFERROR(INDEX('Income Tax Rate (%)'!$F$2:$P$176,Tabela2[[#This Row],[ID]],'Config!'!$BA$15-2010+1)/100,"")</f>
        <v>0.1</v>
      </c>
      <c r="K103" s="577">
        <f>IFERROR(INDEX('Tariff Rate (%)'!$F$2:$P$176,Tabela2[[#This Row],[ID]],'Config!'!$BA$15-2010+1)/100,"")</f>
        <v>6.2699999999999992E-2</v>
      </c>
      <c r="L103" s="577">
        <f>IFERROR(INDEX('Corporate Tax Rate (%)'!$F$2:$P$176,Tabela2[[#This Row],[ID]],'Config!'!$BA$15-2010+1)/100,"")</f>
        <v>0.1</v>
      </c>
      <c r="M103" s="527" cm="1">
        <f t="array" ref="M103">INDEX('Score-Starting a business'!$F$2:$P$176,'IMS Seg. Table'!$A103,'Config!'!$BA$15-2010+1)</f>
        <v>62.440000000000005</v>
      </c>
      <c r="N103" s="527" cm="1">
        <f t="array" ref="N103">IFERROR(INDEX('Country Competitivness'!$AX$4:$BH$178,Tabela2[[#This Row],[ID]],'Config!'!$BA$15-2010+1),"")</f>
        <v>3.69</v>
      </c>
      <c r="O103" s="527" cm="1">
        <f t="array" ref="O103">IFERROR(INDEX('Country Competitivness'!$EE$4:$EO$178,Tabela2[[#This Row],[ID]],'Config!'!$BA$15-2010+1),"")</f>
        <v>3.63</v>
      </c>
      <c r="P103" s="527" cm="1">
        <f t="array" ref="P103">IFERROR(INDEX('Country Competitivness'!$H$4:$R$178,Tabela2[[#This Row],[ID]],'Config!'!$BA$15-2010+1),"")</f>
        <v>3.66</v>
      </c>
      <c r="Q103" s="527" cm="1">
        <f t="array" ref="Q103">IFERROR(INDEX('Country Competitivness'!$AJ$4:$AT$178,Tabela2[[#This Row],[ID]],MAX(1,'Config!'!$BA$15-2010)),"")</f>
        <v>4.1100000000000003</v>
      </c>
      <c r="R103" s="527" cm="1">
        <f t="array" ref="R103">IFERROR(INDEX('Country Competitivness'!$BM$4:$BW$178,Tabela2[[#This Row],[ID]],'Config!'!$BA$15-2010+1),"")</f>
        <v>2.87</v>
      </c>
      <c r="S103" s="578" t="str" cm="1">
        <f t="array" ref="S10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3" s="537" t="str" cm="1">
        <f t="array" ref="T103">IF('Config!'!$BA$15=2010,".",IF(INDEX('Result data'!$R$216:$AA$390,'IMS Seg. Table'!$A103,'Config!'!$BA$15-2010)=".",".",INDEX('Result data'!$R$216:$AA$390,'IMS Seg. Table'!$A103,'Config!'!$BA$15-2010)))</f>
        <v>.</v>
      </c>
      <c r="U103" s="579" t="str">
        <f t="shared" si="32"/>
        <v>.</v>
      </c>
      <c r="V103" s="530" t="str" cm="1">
        <f t="array" ref="V103">IF(Tabela2[[#This Row],[Market Penetration (Category)]]=".",".",INDEX('Result data'!$BS$216:$CB$390,'IMS Seg. Table'!$A103,'Config!'!$BA$15-2010))</f>
        <v>.</v>
      </c>
      <c r="W103" s="563" t="str">
        <f>IF(Tabela2[[#This Row],[Market Demand (U$ millions)]]=".",".",Tabela2[[#This Row],[Market Demand (U$ millions)]]/Tabela2[[#This Row],[Active users (thousands)]])</f>
        <v>.</v>
      </c>
      <c r="X103" s="580" cm="1">
        <f t="array" ref="X103">IF('Config!'!$BA$15=2010,".",IF(INDEX('Result data'!$AE$216:$AN$390,'IMS Seg. Table'!$A103,'Config!'!$BA$15-2010)=".",0,INDEX('Result data'!$AE$216:$AN$390,'IMS Seg. Table'!$A103,'Config!'!$BA$15-2010)))</f>
        <v>0</v>
      </c>
      <c r="Y103" s="563" t="str">
        <f>IF('Config!'!$BA$15=2010,".",IF(Tabela2[[#This Row],[Number of competitors]]=0,".",SUMIF('Result data'!$N$216:$N$390,Tabela2[[#This Row],[ID]],'Result data'!$CP$216:$CP$393)))</f>
        <v>.</v>
      </c>
      <c r="Z103" s="563" t="str">
        <f>IF('Config!'!$BA$15=2010,".",IF(Tabela2[[#This Row],[Number of competitors]]=0,".",SUMIF('Result data'!$N$216:$N$390,Tabela2[[#This Row],[ID]],'Result data'!$DA$216:$DA$393)))</f>
        <v>.</v>
      </c>
      <c r="AA103" s="530" t="str" cm="1">
        <f t="array" ref="AA10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3" s="530" t="str" cm="1">
        <f t="array" ref="AB10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3" s="530" t="str" cm="1">
        <f t="array" ref="AD10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3" s="530" t="str" cm="1">
        <f t="array" ref="AE10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3" s="530" t="str" cm="1">
        <f t="array" ref="AF10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4" spans="1:32" x14ac:dyDescent="0.3">
      <c r="A104" s="568">
        <f>'Config!'!C90</f>
        <v>84</v>
      </c>
      <c r="B104" s="536" t="str">
        <f>'Config!'!A90</f>
        <v>Kuwait</v>
      </c>
      <c r="C104" s="536" t="str">
        <f>'Config!'!B90</f>
        <v>Oriente médio</v>
      </c>
      <c r="D104" s="538" cm="1">
        <f t="array" ref="D104">IFERROR(INDEX(Population!$BD$3:$BN$177,'IMS Seg. Table'!$A104,'Config!'!$BA$15-2010+1),"")</f>
        <v>3419581</v>
      </c>
      <c r="E104" s="551" cm="1">
        <f t="array" ref="E104">IFERROR(INDEX(Population!$CH$3:$CH$178,'IMS Seg. Table'!$A104,1),"")</f>
        <v>17818</v>
      </c>
      <c r="F104" s="552">
        <f>IFERROR('IMS Seg. Table'!$D104/'IMS Seg. Table'!$E104,"")</f>
        <v>191.91721854304635</v>
      </c>
      <c r="G104" s="575" cm="1">
        <f t="array" ref="G104">IFERROR(INDEX('Country Competitivness'!$CL$4:$CX$178,Tabela2[[#This Row],[ID]],'Config!'!$AZ$17+1),".")</f>
        <v>160.77569889927099</v>
      </c>
      <c r="H104" s="540" cm="1">
        <f t="array" ref="H104">INDEX(GDP!$G$3:$S$177,'IMS Seg. Table'!$A104,'Config!'!$BA$15-2010+1)*1000000000</f>
        <v>174070025008.93173</v>
      </c>
      <c r="I104" s="539">
        <f t="shared" si="31"/>
        <v>50903.904603789684</v>
      </c>
      <c r="J104" s="576">
        <f>IFERROR(INDEX('Income Tax Rate (%)'!$F$2:$P$176,Tabela2[[#This Row],[ID]],'Config!'!$BA$15-2010+1)/100,"")</f>
        <v>0.44590000000000002</v>
      </c>
      <c r="K104" s="577">
        <f>IFERROR(INDEX('Tariff Rate (%)'!$F$2:$P$176,Tabela2[[#This Row],[ID]],'Config!'!$BA$15-2010+1)/100,"")</f>
        <v>4.1299999999999996E-2</v>
      </c>
      <c r="L104" s="577">
        <f>IFERROR(INDEX('Corporate Tax Rate (%)'!$F$2:$P$176,Tabela2[[#This Row],[ID]],'Config!'!$BA$15-2010+1)/100,"")</f>
        <v>0.15</v>
      </c>
      <c r="M104" s="527" cm="1">
        <f t="array" ref="M104">INDEX('Score-Starting a business'!$F$2:$P$176,'IMS Seg. Table'!$A104,'Config!'!$BA$15-2010+1)</f>
        <v>70.42</v>
      </c>
      <c r="N104" s="527" cm="1">
        <f t="array" ref="N104">IFERROR(INDEX('Country Competitivness'!$AX$4:$BH$178,Tabela2[[#This Row],[ID]],'Config!'!$BA$15-2010+1),"")</f>
        <v>2.634587244339623</v>
      </c>
      <c r="O104" s="527" cm="1">
        <f t="array" ref="O104">IFERROR(INDEX('Country Competitivness'!$EE$4:$EO$178,Tabela2[[#This Row],[ID]],'Config!'!$BA$15-2010+1),"")</f>
        <v>5.0157117839622645</v>
      </c>
      <c r="P104" s="527" cm="1">
        <f t="array" ref="P104">IFERROR(INDEX('Country Competitivness'!$H$4:$R$178,Tabela2[[#This Row],[ID]],'Config!'!$BA$15-2010+1),"")</f>
        <v>4.0161493687686205</v>
      </c>
      <c r="Q104" s="527" cm="1">
        <f t="array" ref="Q104">IFERROR(INDEX('Country Competitivness'!$AJ$4:$AT$178,Tabela2[[#This Row],[ID]],MAX(1,'Config!'!$BA$15-2010)),"")</f>
        <v>4.6822857889937106</v>
      </c>
      <c r="R104" s="527" cm="1">
        <f t="array" ref="R104">IFERROR(INDEX('Country Competitivness'!$BM$4:$BW$178,Tabela2[[#This Row],[ID]],'Config!'!$BA$15-2010+1),"")</f>
        <v>3.4673573009433967</v>
      </c>
      <c r="S104" s="578" t="str" cm="1">
        <f t="array" ref="S10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4" s="537" t="str" cm="1">
        <f t="array" ref="T104">IF('Config!'!$BA$15=2010,".",IF(INDEX('Result data'!$R$216:$AA$390,'IMS Seg. Table'!$A104,'Config!'!$BA$15-2010)=".",".",INDEX('Result data'!$R$216:$AA$390,'IMS Seg. Table'!$A104,'Config!'!$BA$15-2010)))</f>
        <v>.</v>
      </c>
      <c r="U104" s="579" t="str">
        <f t="shared" si="32"/>
        <v>.</v>
      </c>
      <c r="V104" s="530" t="str" cm="1">
        <f t="array" ref="V104">IF(Tabela2[[#This Row],[Market Penetration (Category)]]=".",".",INDEX('Result data'!$BS$216:$CB$390,'IMS Seg. Table'!$A104,'Config!'!$BA$15-2010))</f>
        <v>.</v>
      </c>
      <c r="W104" s="563" t="str">
        <f>IF(Tabela2[[#This Row],[Market Demand (U$ millions)]]=".",".",Tabela2[[#This Row],[Market Demand (U$ millions)]]/Tabela2[[#This Row],[Active users (thousands)]])</f>
        <v>.</v>
      </c>
      <c r="X104" s="580" cm="1">
        <f t="array" ref="X104">IF('Config!'!$BA$15=2010,".",IF(INDEX('Result data'!$AE$216:$AN$390,'IMS Seg. Table'!$A104,'Config!'!$BA$15-2010)=".",0,INDEX('Result data'!$AE$216:$AN$390,'IMS Seg. Table'!$A104,'Config!'!$BA$15-2010)))</f>
        <v>0</v>
      </c>
      <c r="Y104" s="563" t="str">
        <f>IF('Config!'!$BA$15=2010,".",IF(Tabela2[[#This Row],[Number of competitors]]=0,".",SUMIF('Result data'!$N$216:$N$390,Tabela2[[#This Row],[ID]],'Result data'!$CP$216:$CP$393)))</f>
        <v>.</v>
      </c>
      <c r="Z104" s="563" t="str">
        <f>IF('Config!'!$BA$15=2010,".",IF(Tabela2[[#This Row],[Number of competitors]]=0,".",SUMIF('Result data'!$N$216:$N$390,Tabela2[[#This Row],[ID]],'Result data'!$DA$216:$DA$393)))</f>
        <v>.</v>
      </c>
      <c r="AA104" s="530" t="str" cm="1">
        <f t="array" ref="AA10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4" s="530" t="str" cm="1">
        <f t="array" ref="AB10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4" s="530" t="str" cm="1">
        <f t="array" ref="AD10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4" s="530" t="str" cm="1">
        <f t="array" ref="AE10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4" s="530" t="str" cm="1">
        <f t="array" ref="AF10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5" spans="1:32" x14ac:dyDescent="0.3">
      <c r="A105" s="569">
        <f>'Config!'!C91</f>
        <v>85</v>
      </c>
      <c r="B105" s="536" t="str">
        <f>'Config!'!A91</f>
        <v>Laos</v>
      </c>
      <c r="C105" s="536" t="str">
        <f>'Config!'!B91</f>
        <v>Ásia-Pacífico</v>
      </c>
      <c r="D105" s="538" cm="1">
        <f t="array" ref="D105">IFERROR(INDEX(Population!$BD$3:$BN$177,'IMS Seg. Table'!$A105,'Config!'!$BA$15-2010+1),"")</f>
        <v>6473050</v>
      </c>
      <c r="E105" s="551" cm="1">
        <f t="array" ref="E105">IFERROR(INDEX(Population!$CH$3:$CH$178,'IMS Seg. Table'!$A105,1),"")</f>
        <v>230800</v>
      </c>
      <c r="F105" s="552">
        <f>IFERROR('IMS Seg. Table'!$D105/'IMS Seg. Table'!$E105,"")</f>
        <v>28.046143847487002</v>
      </c>
      <c r="G105" s="575" cm="1">
        <f t="array" ref="G105">IFERROR(INDEX('Country Competitivness'!$CL$4:$CX$178,Tabela2[[#This Row],[ID]],'Config!'!$AZ$17+1),".")</f>
        <v>82.62</v>
      </c>
      <c r="H105" s="540" cm="1">
        <f t="array" ref="H105">INDEX(GDP!$G$3:$S$177,'IMS Seg. Table'!$A105,'Config!'!$BA$15-2010+1)*1000000000</f>
        <v>19200000000</v>
      </c>
      <c r="I105" s="539">
        <f t="shared" si="31"/>
        <v>2966.1442442125426</v>
      </c>
      <c r="J105" s="576">
        <f>IFERROR(INDEX('Income Tax Rate (%)'!$F$2:$P$176,Tabela2[[#This Row],[ID]],'Config!'!$BA$15-2010+1)/100,"")</f>
        <v>0.24</v>
      </c>
      <c r="K105" s="577">
        <f>IFERROR(INDEX('Tariff Rate (%)'!$F$2:$P$176,Tabela2[[#This Row],[ID]],'Config!'!$BA$15-2010+1)/100,"")</f>
        <v>0.13200000000000001</v>
      </c>
      <c r="L105" s="577">
        <f>IFERROR(INDEX('Corporate Tax Rate (%)'!$F$2:$P$176,Tabela2[[#This Row],[ID]],'Config!'!$BA$15-2010+1)/100,"")</f>
        <v>0.24</v>
      </c>
      <c r="M105" s="527" t="str" cm="1">
        <f t="array" ref="M105">INDEX('Score-Starting a business'!$F$2:$P$176,'IMS Seg. Table'!$A105,'Config!'!$BA$15-2010+1)</f>
        <v>.</v>
      </c>
      <c r="N105" s="527" cm="1">
        <f t="array" ref="N105">IFERROR(INDEX('Country Competitivness'!$AX$4:$BH$178,Tabela2[[#This Row],[ID]],'Config!'!$BA$15-2010+1),"")</f>
        <v>3.11</v>
      </c>
      <c r="O105" s="527" cm="1">
        <f t="array" ref="O105">IFERROR(INDEX('Country Competitivness'!$EE$4:$EO$178,Tabela2[[#This Row],[ID]],'Config!'!$BA$15-2010+1),"")</f>
        <v>5.13</v>
      </c>
      <c r="P105" s="527" cm="1">
        <f t="array" ref="P105">IFERROR(INDEX('Country Competitivness'!$H$4:$R$178,Tabela2[[#This Row],[ID]],'Config!'!$BA$15-2010+1),"")</f>
        <v>3.29</v>
      </c>
      <c r="Q105" s="527" cm="1">
        <f t="array" ref="Q105">IFERROR(INDEX('Country Competitivness'!$AJ$4:$AT$178,Tabela2[[#This Row],[ID]],MAX(1,'Config!'!$BA$15-2010)),"")</f>
        <v>4.38</v>
      </c>
      <c r="R105" s="527" cm="1">
        <f t="array" ref="R105">IFERROR(INDEX('Country Competitivness'!$BM$4:$BW$178,Tabela2[[#This Row],[ID]],'Config!'!$BA$15-2010+1),"")</f>
        <v>3.56</v>
      </c>
      <c r="S105" s="578" t="str" cm="1">
        <f t="array" ref="S10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5" s="537" t="str" cm="1">
        <f t="array" ref="T105">IF('Config!'!$BA$15=2010,".",IF(INDEX('Result data'!$R$216:$AA$390,'IMS Seg. Table'!$A105,'Config!'!$BA$15-2010)=".",".",INDEX('Result data'!$R$216:$AA$390,'IMS Seg. Table'!$A105,'Config!'!$BA$15-2010)))</f>
        <v>.</v>
      </c>
      <c r="U105" s="579" t="str">
        <f t="shared" si="32"/>
        <v>.</v>
      </c>
      <c r="V105" s="530" t="str" cm="1">
        <f t="array" ref="V105">IF(Tabela2[[#This Row],[Market Penetration (Category)]]=".",".",INDEX('Result data'!$BS$216:$CB$390,'IMS Seg. Table'!$A105,'Config!'!$BA$15-2010))</f>
        <v>.</v>
      </c>
      <c r="W105" s="563" t="str">
        <f>IF(Tabela2[[#This Row],[Market Demand (U$ millions)]]=".",".",Tabela2[[#This Row],[Market Demand (U$ millions)]]/Tabela2[[#This Row],[Active users (thousands)]])</f>
        <v>.</v>
      </c>
      <c r="X105" s="580" cm="1">
        <f t="array" ref="X105">IF('Config!'!$BA$15=2010,".",IF(INDEX('Result data'!$AE$216:$AN$390,'IMS Seg. Table'!$A105,'Config!'!$BA$15-2010)=".",0,INDEX('Result data'!$AE$216:$AN$390,'IMS Seg. Table'!$A105,'Config!'!$BA$15-2010)))</f>
        <v>0</v>
      </c>
      <c r="Y105" s="563" t="str">
        <f>IF('Config!'!$BA$15=2010,".",IF(Tabela2[[#This Row],[Number of competitors]]=0,".",SUMIF('Result data'!$N$216:$N$390,Tabela2[[#This Row],[ID]],'Result data'!$CP$216:$CP$393)))</f>
        <v>.</v>
      </c>
      <c r="Z105" s="563" t="str">
        <f>IF('Config!'!$BA$15=2010,".",IF(Tabela2[[#This Row],[Number of competitors]]=0,".",SUMIF('Result data'!$N$216:$N$390,Tabela2[[#This Row],[ID]],'Result data'!$DA$216:$DA$393)))</f>
        <v>.</v>
      </c>
      <c r="AA105" s="530" t="str" cm="1">
        <f t="array" ref="AA10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5" s="530" t="str" cm="1">
        <f t="array" ref="AB10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5" s="530" t="str" cm="1">
        <f t="array" ref="AD10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5" s="530" t="str" cm="1">
        <f t="array" ref="AE10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5" s="530" t="str" cm="1">
        <f t="array" ref="AF10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6" spans="1:32" x14ac:dyDescent="0.3">
      <c r="A106" s="568">
        <f>'Config!'!C92</f>
        <v>88</v>
      </c>
      <c r="B106" s="536" t="str">
        <f>'Config!'!A92</f>
        <v>Lesoto</v>
      </c>
      <c r="C106" s="536" t="str">
        <f>'Config!'!B92</f>
        <v>África Subsaariana</v>
      </c>
      <c r="D106" s="538" cm="1">
        <f t="array" ref="D106">IFERROR(INDEX(Population!$BD$3:$BN$177,'IMS Seg. Table'!$A106,'Config!'!$BA$15-2010+1),"")</f>
        <v>2057331</v>
      </c>
      <c r="E106" s="551" cm="1">
        <f t="array" ref="E106">IFERROR(INDEX(Population!$CH$3:$CH$178,'IMS Seg. Table'!$A106,1),"")</f>
        <v>30355</v>
      </c>
      <c r="F106" s="552">
        <f>IFERROR('IMS Seg. Table'!$D106/'IMS Seg. Table'!$E106,"")</f>
        <v>67.775687695602045</v>
      </c>
      <c r="G106" s="575" cm="1">
        <f t="array" ref="G106">IFERROR(INDEX('Country Competitivness'!$CL$4:$CX$178,Tabela2[[#This Row],[ID]],'Config!'!$AZ$17+1),".")</f>
        <v>32.183217750693402</v>
      </c>
      <c r="H106" s="540" cm="1">
        <f t="array" ref="H106">INDEX(GDP!$G$3:$S$177,'IMS Seg. Table'!$A106,'Config!'!$BA$15-2010+1)*1000000000</f>
        <v>2678475773.4470162</v>
      </c>
      <c r="I106" s="539">
        <f t="shared" si="31"/>
        <v>1301.917763085773</v>
      </c>
      <c r="J106" s="576">
        <f>IFERROR(INDEX('Income Tax Rate (%)'!$F$2:$P$176,Tabela2[[#This Row],[ID]],'Config!'!$BA$15-2010+1)/100,"")</f>
        <v>0.35</v>
      </c>
      <c r="K106" s="577">
        <f>IFERROR(INDEX('Tariff Rate (%)'!$F$2:$P$176,Tabela2[[#This Row],[ID]],'Config!'!$BA$15-2010+1)/100,"")</f>
        <v>0.107</v>
      </c>
      <c r="L106" s="577">
        <f>IFERROR(INDEX('Corporate Tax Rate (%)'!$F$2:$P$176,Tabela2[[#This Row],[ID]],'Config!'!$BA$15-2010+1)/100,"")</f>
        <v>0.25</v>
      </c>
      <c r="M106" s="527" cm="1">
        <f t="array" ref="M106">INDEX('Score-Starting a business'!$F$2:$P$176,'IMS Seg. Table'!$A106,'Config!'!$BA$15-2010+1)</f>
        <v>77.69</v>
      </c>
      <c r="N106" s="527" cm="1">
        <f t="array" ref="N106">IFERROR(INDEX('Country Competitivness'!$AX$4:$BH$178,Tabela2[[#This Row],[ID]],'Config!'!$BA$15-2010+1),"")</f>
        <v>3.0510233333333332</v>
      </c>
      <c r="O106" s="527" cm="1">
        <f t="array" ref="O106">IFERROR(INDEX('Country Competitivness'!$EE$4:$EO$178,Tabela2[[#This Row],[ID]],'Config!'!$BA$15-2010+1),"")</f>
        <v>2.7193718552845527</v>
      </c>
      <c r="P106" s="527" cm="1">
        <f t="array" ref="P106">IFERROR(INDEX('Country Competitivness'!$H$4:$R$178,Tabela2[[#This Row],[ID]],'Config!'!$BA$15-2010+1),"")</f>
        <v>2.9980972575096279</v>
      </c>
      <c r="Q106" s="527" cm="1">
        <f t="array" ref="Q106">IFERROR(INDEX('Country Competitivness'!$AJ$4:$AT$178,Tabela2[[#This Row],[ID]],MAX(1,'Config!'!$BA$15-2010)),"")</f>
        <v>3.9009417311653114</v>
      </c>
      <c r="R106" s="527" cm="1">
        <f t="array" ref="R106">IFERROR(INDEX('Country Competitivness'!$BM$4:$BW$178,Tabela2[[#This Row],[ID]],'Config!'!$BA$15-2010+1),"")</f>
        <v>2.7350807430894308</v>
      </c>
      <c r="S106" s="578" t="str" cm="1">
        <f t="array" ref="S10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6" s="537" t="str" cm="1">
        <f t="array" ref="T106">IF('Config!'!$BA$15=2010,".",IF(INDEX('Result data'!$R$216:$AA$390,'IMS Seg. Table'!$A106,'Config!'!$BA$15-2010)=".",".",INDEX('Result data'!$R$216:$AA$390,'IMS Seg. Table'!$A106,'Config!'!$BA$15-2010)))</f>
        <v>.</v>
      </c>
      <c r="U106" s="579" t="str">
        <f t="shared" si="32"/>
        <v>.</v>
      </c>
      <c r="V106" s="530" t="str" cm="1">
        <f t="array" ref="V106">IF(Tabela2[[#This Row],[Market Penetration (Category)]]=".",".",INDEX('Result data'!$BS$216:$CB$390,'IMS Seg. Table'!$A106,'Config!'!$BA$15-2010))</f>
        <v>.</v>
      </c>
      <c r="W106" s="563" t="str">
        <f>IF(Tabela2[[#This Row],[Market Demand (U$ millions)]]=".",".",Tabela2[[#This Row],[Market Demand (U$ millions)]]/Tabela2[[#This Row],[Active users (thousands)]])</f>
        <v>.</v>
      </c>
      <c r="X106" s="580" cm="1">
        <f t="array" ref="X106">IF('Config!'!$BA$15=2010,".",IF(INDEX('Result data'!$AE$216:$AN$390,'IMS Seg. Table'!$A106,'Config!'!$BA$15-2010)=".",0,INDEX('Result data'!$AE$216:$AN$390,'IMS Seg. Table'!$A106,'Config!'!$BA$15-2010)))</f>
        <v>0</v>
      </c>
      <c r="Y106" s="563" t="str">
        <f>IF('Config!'!$BA$15=2010,".",IF(Tabela2[[#This Row],[Number of competitors]]=0,".",SUMIF('Result data'!$N$216:$N$390,Tabela2[[#This Row],[ID]],'Result data'!$CP$216:$CP$393)))</f>
        <v>.</v>
      </c>
      <c r="Z106" s="563" t="str">
        <f>IF('Config!'!$BA$15=2010,".",IF(Tabela2[[#This Row],[Number of competitors]]=0,".",SUMIF('Result data'!$N$216:$N$390,Tabela2[[#This Row],[ID]],'Result data'!$DA$216:$DA$393)))</f>
        <v>.</v>
      </c>
      <c r="AA106" s="530" t="str" cm="1">
        <f t="array" ref="AA10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6" s="530" t="str" cm="1">
        <f t="array" ref="AB10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6" s="530" t="str" cm="1">
        <f t="array" ref="AD10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6" s="530" t="str" cm="1">
        <f t="array" ref="AE10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6" s="530" t="str" cm="1">
        <f t="array" ref="AF10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7" spans="1:32" x14ac:dyDescent="0.3">
      <c r="A107" s="569">
        <f>'Config!'!C93</f>
        <v>86</v>
      </c>
      <c r="B107" s="536" t="str">
        <f>'Config!'!A93</f>
        <v>Letônia</v>
      </c>
      <c r="C107" s="536" t="str">
        <f>'Config!'!B93</f>
        <v>União Européia</v>
      </c>
      <c r="D107" s="538" cm="1">
        <f t="array" ref="D107">IFERROR(INDEX(Population!$BD$3:$BN$177,'IMS Seg. Table'!$A107,'Config!'!$BA$15-2010+1),"")</f>
        <v>2034319</v>
      </c>
      <c r="E107" s="551" cm="1">
        <f t="array" ref="E107">IFERROR(INDEX(Population!$CH$3:$CH$178,'IMS Seg. Table'!$A107,1),"")</f>
        <v>62249</v>
      </c>
      <c r="F107" s="552">
        <f>IFERROR('IMS Seg. Table'!$D107/'IMS Seg. Table'!$E107,"")</f>
        <v>32.680348278687205</v>
      </c>
      <c r="G107" s="575" cm="1">
        <f t="array" ref="G107">IFERROR(INDEX('Country Competitivness'!$CL$4:$CX$178,Tabela2[[#This Row],[ID]],'Config!'!$AZ$17+1),".")</f>
        <v>102.399580828219</v>
      </c>
      <c r="H107" s="540" cm="1">
        <f t="array" ref="H107">INDEX(GDP!$G$3:$S$177,'IMS Seg. Table'!$A107,'Config!'!$BA$15-2010+1)*1000000000</f>
        <v>28119996053.251122</v>
      </c>
      <c r="I107" s="539">
        <f t="shared" si="31"/>
        <v>13822.805594034722</v>
      </c>
      <c r="J107" s="576">
        <f>IFERROR(INDEX('Income Tax Rate (%)'!$F$2:$P$176,Tabela2[[#This Row],[ID]],'Config!'!$BA$15-2010+1)/100,"")</f>
        <v>0.24</v>
      </c>
      <c r="K107" s="577">
        <f>IFERROR(INDEX('Tariff Rate (%)'!$F$2:$P$176,Tabela2[[#This Row],[ID]],'Config!'!$BA$15-2010+1)/100,"")</f>
        <v>1.09E-2</v>
      </c>
      <c r="L107" s="577">
        <f>IFERROR(INDEX('Corporate Tax Rate (%)'!$F$2:$P$176,Tabela2[[#This Row],[ID]],'Config!'!$BA$15-2010+1)/100,"")</f>
        <v>0.15</v>
      </c>
      <c r="M107" s="527" cm="1">
        <f t="array" ref="M107">INDEX('Score-Starting a business'!$F$2:$P$176,'IMS Seg. Table'!$A107,'Config!'!$BA$15-2010+1)</f>
        <v>91.5</v>
      </c>
      <c r="N107" s="527" cm="1">
        <f t="array" ref="N107">IFERROR(INDEX('Country Competitivness'!$AX$4:$BH$178,Tabela2[[#This Row],[ID]],'Config!'!$BA$15-2010+1),"")</f>
        <v>3.2793492025477704</v>
      </c>
      <c r="O107" s="527" cm="1">
        <f t="array" ref="O107">IFERROR(INDEX('Country Competitivness'!$EE$4:$EO$178,Tabela2[[#This Row],[ID]],'Config!'!$BA$15-2010+1),"")</f>
        <v>3.1027343191082801</v>
      </c>
      <c r="P107" s="527" cm="1">
        <f t="array" ref="P107">IFERROR(INDEX('Country Competitivness'!$H$4:$R$178,Tabela2[[#This Row],[ID]],'Config!'!$BA$15-2010+1),"")</f>
        <v>3.8442210610459271</v>
      </c>
      <c r="Q107" s="527" cm="1">
        <f t="array" ref="Q107">IFERROR(INDEX('Country Competitivness'!$AJ$4:$AT$178,Tabela2[[#This Row],[ID]],MAX(1,'Config!'!$BA$15-2010)),"")</f>
        <v>4.5956168687898087</v>
      </c>
      <c r="R107" s="527" cm="1">
        <f t="array" ref="R107">IFERROR(INDEX('Country Competitivness'!$BM$4:$BW$178,Tabela2[[#This Row],[ID]],'Config!'!$BA$15-2010+1),"")</f>
        <v>3.3842566006369426</v>
      </c>
      <c r="S107" s="578" t="str" cm="1">
        <f t="array" ref="S10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7" s="537" t="str" cm="1">
        <f t="array" ref="T107">IF('Config!'!$BA$15=2010,".",IF(INDEX('Result data'!$R$216:$AA$390,'IMS Seg. Table'!$A107,'Config!'!$BA$15-2010)=".",".",INDEX('Result data'!$R$216:$AA$390,'IMS Seg. Table'!$A107,'Config!'!$BA$15-2010)))</f>
        <v>.</v>
      </c>
      <c r="U107" s="579" t="str">
        <f t="shared" si="32"/>
        <v>.</v>
      </c>
      <c r="V107" s="530" t="str" cm="1">
        <f t="array" ref="V107">IF(Tabela2[[#This Row],[Market Penetration (Category)]]=".",".",INDEX('Result data'!$BS$216:$CB$390,'IMS Seg. Table'!$A107,'Config!'!$BA$15-2010))</f>
        <v>.</v>
      </c>
      <c r="W107" s="563" t="str">
        <f>IF(Tabela2[[#This Row],[Market Demand (U$ millions)]]=".",".",Tabela2[[#This Row],[Market Demand (U$ millions)]]/Tabela2[[#This Row],[Active users (thousands)]])</f>
        <v>.</v>
      </c>
      <c r="X107" s="580" cm="1">
        <f t="array" ref="X107">IF('Config!'!$BA$15=2010,".",IF(INDEX('Result data'!$AE$216:$AN$390,'IMS Seg. Table'!$A107,'Config!'!$BA$15-2010)=".",0,INDEX('Result data'!$AE$216:$AN$390,'IMS Seg. Table'!$A107,'Config!'!$BA$15-2010)))</f>
        <v>0</v>
      </c>
      <c r="Y107" s="563" t="str">
        <f>IF('Config!'!$BA$15=2010,".",IF(Tabela2[[#This Row],[Number of competitors]]=0,".",SUMIF('Result data'!$N$216:$N$390,Tabela2[[#This Row],[ID]],'Result data'!$CP$216:$CP$393)))</f>
        <v>.</v>
      </c>
      <c r="Z107" s="563" t="str">
        <f>IF('Config!'!$BA$15=2010,".",IF(Tabela2[[#This Row],[Number of competitors]]=0,".",SUMIF('Result data'!$N$216:$N$390,Tabela2[[#This Row],[ID]],'Result data'!$DA$216:$DA$393)))</f>
        <v>.</v>
      </c>
      <c r="AA107" s="530" t="str" cm="1">
        <f t="array" ref="AA10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7" s="530" t="str" cm="1">
        <f t="array" ref="AB10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7" s="530" t="str" cm="1">
        <f t="array" ref="AD10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7" s="530" t="str" cm="1">
        <f t="array" ref="AE10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7" s="530" t="str" cm="1">
        <f t="array" ref="AF10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8" spans="1:32" x14ac:dyDescent="0.3">
      <c r="A108" s="568">
        <f>'Config!'!C94</f>
        <v>87</v>
      </c>
      <c r="B108" s="536" t="str">
        <f>'Config!'!A94</f>
        <v>Líbano</v>
      </c>
      <c r="C108" s="536" t="str">
        <f>'Config!'!B94</f>
        <v>Oriente médio</v>
      </c>
      <c r="D108" s="538" cm="1">
        <f t="array" ref="D108">IFERROR(INDEX(Population!$BD$3:$BN$177,'IMS Seg. Table'!$A108,'Config!'!$BA$15-2010+1),"")</f>
        <v>4924257</v>
      </c>
      <c r="E108" s="551" cm="1">
        <f t="array" ref="E108">IFERROR(INDEX(Population!$CH$3:$CH$178,'IMS Seg. Table'!$A108,1),"")</f>
        <v>10230</v>
      </c>
      <c r="F108" s="552">
        <f>IFERROR('IMS Seg. Table'!$D108/'IMS Seg. Table'!$E108,"")</f>
        <v>481.35454545454547</v>
      </c>
      <c r="G108" s="575" cm="1">
        <f t="array" ref="G108">IFERROR(INDEX('Country Competitivness'!$CL$4:$CX$178,Tabela2[[#This Row],[ID]],'Config!'!$AZ$17+1),".")</f>
        <v>68.000000946163993</v>
      </c>
      <c r="H108" s="540" cm="1">
        <f t="array" ref="H108">INDEX(GDP!$G$3:$S$177,'IMS Seg. Table'!$A108,'Config!'!$BA$15-2010+1)*1000000000</f>
        <v>44230727694.859024</v>
      </c>
      <c r="I108" s="539">
        <f t="shared" si="31"/>
        <v>8982.2134983732612</v>
      </c>
      <c r="J108" s="576">
        <f>IFERROR(INDEX('Income Tax Rate (%)'!$F$2:$P$176,Tabela2[[#This Row],[ID]],'Config!'!$BA$15-2010+1)/100,"")</f>
        <v>0.2</v>
      </c>
      <c r="K108" s="577">
        <f>IFERROR(INDEX('Tariff Rate (%)'!$F$2:$P$176,Tabela2[[#This Row],[ID]],'Config!'!$BA$15-2010+1)/100,"")</f>
        <v>7.0999999999999994E-2</v>
      </c>
      <c r="L108" s="577">
        <f>IFERROR(INDEX('Corporate Tax Rate (%)'!$F$2:$P$176,Tabela2[[#This Row],[ID]],'Config!'!$BA$15-2010+1)/100,"")</f>
        <v>0.15</v>
      </c>
      <c r="M108" s="527" cm="1">
        <f t="array" ref="M108">INDEX('Score-Starting a business'!$F$2:$P$176,'IMS Seg. Table'!$A108,'Config!'!$BA$15-2010+1)</f>
        <v>75.45</v>
      </c>
      <c r="N108" s="527" cm="1">
        <f t="array" ref="N108">IFERROR(INDEX('Country Competitivness'!$AX$4:$BH$178,Tabela2[[#This Row],[ID]],'Config!'!$BA$15-2010+1),"")</f>
        <v>3.0088663897196257</v>
      </c>
      <c r="O108" s="527" cm="1">
        <f t="array" ref="O108">IFERROR(INDEX('Country Competitivness'!$EE$4:$EO$178,Tabela2[[#This Row],[ID]],'Config!'!$BA$15-2010+1),"")</f>
        <v>2.8522892700934577</v>
      </c>
      <c r="P108" s="527" cm="1">
        <f t="array" ref="P108">IFERROR(INDEX('Country Competitivness'!$H$4:$R$178,Tabela2[[#This Row],[ID]],'Config!'!$BA$15-2010+1),"")</f>
        <v>4.1747130737825868</v>
      </c>
      <c r="Q108" s="527" cm="1">
        <f t="array" ref="Q108">IFERROR(INDEX('Country Competitivness'!$AJ$4:$AT$178,Tabela2[[#This Row],[ID]],MAX(1,'Config!'!$BA$15-2010)),"")</f>
        <v>4.5226626781931456</v>
      </c>
      <c r="R108" s="527" cm="1">
        <f t="array" ref="R108">IFERROR(INDEX('Country Competitivness'!$BM$4:$BW$178,Tabela2[[#This Row],[ID]],'Config!'!$BA$15-2010+1),"")</f>
        <v>4.2109794317757006</v>
      </c>
      <c r="S108" s="578" t="str" cm="1">
        <f t="array" ref="S10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8" s="537" t="str" cm="1">
        <f t="array" ref="T108">IF('Config!'!$BA$15=2010,".",IF(INDEX('Result data'!$R$216:$AA$390,'IMS Seg. Table'!$A108,'Config!'!$BA$15-2010)=".",".",INDEX('Result data'!$R$216:$AA$390,'IMS Seg. Table'!$A108,'Config!'!$BA$15-2010)))</f>
        <v>.</v>
      </c>
      <c r="U108" s="579" t="str">
        <f t="shared" si="32"/>
        <v>.</v>
      </c>
      <c r="V108" s="530" t="str" cm="1">
        <f t="array" ref="V108">IF(Tabela2[[#This Row],[Market Penetration (Category)]]=".",".",INDEX('Result data'!$BS$216:$CB$390,'IMS Seg. Table'!$A108,'Config!'!$BA$15-2010))</f>
        <v>.</v>
      </c>
      <c r="W108" s="563" t="str">
        <f>IF(Tabela2[[#This Row],[Market Demand (U$ millions)]]=".",".",Tabela2[[#This Row],[Market Demand (U$ millions)]]/Tabela2[[#This Row],[Active users (thousands)]])</f>
        <v>.</v>
      </c>
      <c r="X108" s="580" cm="1">
        <f t="array" ref="X108">IF('Config!'!$BA$15=2010,".",IF(INDEX('Result data'!$AE$216:$AN$390,'IMS Seg. Table'!$A108,'Config!'!$BA$15-2010)=".",0,INDEX('Result data'!$AE$216:$AN$390,'IMS Seg. Table'!$A108,'Config!'!$BA$15-2010)))</f>
        <v>0</v>
      </c>
      <c r="Y108" s="563" t="str">
        <f>IF('Config!'!$BA$15=2010,".",IF(Tabela2[[#This Row],[Number of competitors]]=0,".",SUMIF('Result data'!$N$216:$N$390,Tabela2[[#This Row],[ID]],'Result data'!$CP$216:$CP$393)))</f>
        <v>.</v>
      </c>
      <c r="Z108" s="563" t="str">
        <f>IF('Config!'!$BA$15=2010,".",IF(Tabela2[[#This Row],[Number of competitors]]=0,".",SUMIF('Result data'!$N$216:$N$390,Tabela2[[#This Row],[ID]],'Result data'!$DA$216:$DA$393)))</f>
        <v>.</v>
      </c>
      <c r="AA108" s="530" t="str" cm="1">
        <f t="array" ref="AA10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8" s="530" t="str" cm="1">
        <f t="array" ref="AB10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8" s="530" t="str" cm="1">
        <f t="array" ref="AD10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8" s="530" t="str" cm="1">
        <f t="array" ref="AE10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8" s="530" t="str" cm="1">
        <f t="array" ref="AF10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09" spans="1:32" x14ac:dyDescent="0.3">
      <c r="A109" s="569">
        <f>'Config!'!C95</f>
        <v>89</v>
      </c>
      <c r="B109" s="536" t="str">
        <f>'Config!'!A95</f>
        <v>Libéria</v>
      </c>
      <c r="C109" s="536" t="str">
        <f>'Config!'!B95</f>
        <v>África Subsaariana</v>
      </c>
      <c r="D109" s="538" cm="1">
        <f t="array" ref="D109">IFERROR(INDEX(Population!$BD$3:$BN$177,'IMS Seg. Table'!$A109,'Config!'!$BA$15-2010+1),"")</f>
        <v>4190155</v>
      </c>
      <c r="E109" s="551" cm="1">
        <f t="array" ref="E109">IFERROR(INDEX(Population!$CH$3:$CH$178,'IMS Seg. Table'!$A109,1),"")</f>
        <v>96320</v>
      </c>
      <c r="F109" s="552">
        <f>IFERROR('IMS Seg. Table'!$D109/'IMS Seg. Table'!$E109,"")</f>
        <v>43.502439784053159</v>
      </c>
      <c r="G109" s="575" cm="1">
        <f t="array" ref="G109">IFERROR(INDEX('Country Competitivness'!$CL$4:$CX$178,Tabela2[[#This Row],[ID]],'Config!'!$AZ$17+1),".")</f>
        <v>51.4</v>
      </c>
      <c r="H109" s="540" cm="1">
        <f t="array" ref="H109">INDEX(GDP!$G$3:$S$177,'IMS Seg. Table'!$A109,'Config!'!$BA$15-2010+1)*1000000000</f>
        <v>2720999999.9999995</v>
      </c>
      <c r="I109" s="539">
        <f t="shared" si="31"/>
        <v>649.37931890347716</v>
      </c>
      <c r="J109" s="576">
        <f>IFERROR(INDEX('Income Tax Rate (%)'!$F$2:$P$176,Tabela2[[#This Row],[ID]],'Config!'!$BA$15-2010+1)/100,"")</f>
        <v>0.25</v>
      </c>
      <c r="K109" s="577">
        <f>IFERROR(INDEX('Tariff Rate (%)'!$F$2:$P$176,Tabela2[[#This Row],[ID]],'Config!'!$BA$15-2010+1)/100,"")</f>
        <v>0.10439999999999999</v>
      </c>
      <c r="L109" s="577">
        <f>IFERROR(INDEX('Corporate Tax Rate (%)'!$F$2:$P$176,Tabela2[[#This Row],[ID]],'Config!'!$BA$15-2010+1)/100,"")</f>
        <v>0.25</v>
      </c>
      <c r="M109" s="527" cm="1">
        <f t="array" ref="M109">INDEX('Score-Starting a business'!$F$2:$P$176,'IMS Seg. Table'!$A109,'Config!'!$BA$15-2010+1)</f>
        <v>83.93</v>
      </c>
      <c r="N109" s="527" cm="1">
        <f t="array" ref="N109">IFERROR(INDEX('Country Competitivness'!$AX$4:$BH$178,Tabela2[[#This Row],[ID]],'Config!'!$BA$15-2010+1),"")</f>
        <v>4.204306822192649</v>
      </c>
      <c r="O109" s="527" cm="1">
        <f t="array" ref="O109">IFERROR(INDEX('Country Competitivness'!$EE$4:$EO$178,Tabela2[[#This Row],[ID]],'Config!'!$BA$15-2010+1),"")</f>
        <v>4.5502993074139262</v>
      </c>
      <c r="P109" s="527" cm="1">
        <f t="array" ref="P109">IFERROR(INDEX('Country Competitivness'!$H$4:$R$178,Tabela2[[#This Row],[ID]],'Config!'!$BA$15-2010+1),"")</f>
        <v>4.0769509281875269</v>
      </c>
      <c r="Q109" s="527" cm="1">
        <f t="array" ref="Q109">IFERROR(INDEX('Country Competitivness'!$AJ$4:$AT$178,Tabela2[[#This Row],[ID]],MAX(1,'Config!'!$BA$15-2010)),"")</f>
        <v>4.2728155556354919</v>
      </c>
      <c r="R109" s="527" cm="1">
        <f t="array" ref="R109">IFERROR(INDEX('Country Competitivness'!$BM$4:$BW$178,Tabela2[[#This Row],[ID]],'Config!'!$BA$15-2010+1),"")</f>
        <v>4.1144117499069459</v>
      </c>
      <c r="S109" s="578" t="str" cm="1">
        <f t="array" ref="S10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09" s="537" t="str" cm="1">
        <f t="array" ref="T109">IF('Config!'!$BA$15=2010,".",IF(INDEX('Result data'!$R$216:$AA$390,'IMS Seg. Table'!$A109,'Config!'!$BA$15-2010)=".",".",INDEX('Result data'!$R$216:$AA$390,'IMS Seg. Table'!$A109,'Config!'!$BA$15-2010)))</f>
        <v>.</v>
      </c>
      <c r="U109" s="579" t="str">
        <f t="shared" si="32"/>
        <v>.</v>
      </c>
      <c r="V109" s="530" t="str" cm="1">
        <f t="array" ref="V109">IF(Tabela2[[#This Row],[Market Penetration (Category)]]=".",".",INDEX('Result data'!$BS$216:$CB$390,'IMS Seg. Table'!$A109,'Config!'!$BA$15-2010))</f>
        <v>.</v>
      </c>
      <c r="W109" s="563" t="str">
        <f>IF(Tabela2[[#This Row],[Market Demand (U$ millions)]]=".",".",Tabela2[[#This Row],[Market Demand (U$ millions)]]/Tabela2[[#This Row],[Active users (thousands)]])</f>
        <v>.</v>
      </c>
      <c r="X109" s="580" cm="1">
        <f t="array" ref="X109">IF('Config!'!$BA$15=2010,".",IF(INDEX('Result data'!$AE$216:$AN$390,'IMS Seg. Table'!$A109,'Config!'!$BA$15-2010)=".",0,INDEX('Result data'!$AE$216:$AN$390,'IMS Seg. Table'!$A109,'Config!'!$BA$15-2010)))</f>
        <v>0</v>
      </c>
      <c r="Y109" s="563" t="str">
        <f>IF('Config!'!$BA$15=2010,".",IF(Tabela2[[#This Row],[Number of competitors]]=0,".",SUMIF('Result data'!$N$216:$N$390,Tabela2[[#This Row],[ID]],'Result data'!$CP$216:$CP$393)))</f>
        <v>.</v>
      </c>
      <c r="Z109" s="563" t="str">
        <f>IF('Config!'!$BA$15=2010,".",IF(Tabela2[[#This Row],[Number of competitors]]=0,".",SUMIF('Result data'!$N$216:$N$390,Tabela2[[#This Row],[ID]],'Result data'!$DA$216:$DA$393)))</f>
        <v>.</v>
      </c>
      <c r="AA109" s="530" t="str" cm="1">
        <f t="array" ref="AA10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09" s="530" t="str" cm="1">
        <f t="array" ref="AB10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0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09" s="530" t="str" cm="1">
        <f t="array" ref="AD10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09" s="530" t="str" cm="1">
        <f t="array" ref="AE10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09" s="530" t="str" cm="1">
        <f t="array" ref="AF10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0" spans="1:32" x14ac:dyDescent="0.3">
      <c r="A110" s="568">
        <f>'Config!'!C96</f>
        <v>90</v>
      </c>
      <c r="B110" s="536" t="str">
        <f>'Config!'!A96</f>
        <v>Líbia</v>
      </c>
      <c r="C110" s="536" t="str">
        <f>'Config!'!B96</f>
        <v>Oriente médio</v>
      </c>
      <c r="D110" s="538" cm="1">
        <f t="array" ref="D110">IFERROR(INDEX(Population!$BD$3:$BN$177,'IMS Seg. Table'!$A110,'Config!'!$BA$15-2010+1),"")</f>
        <v>6283403</v>
      </c>
      <c r="E110" s="551" cm="1">
        <f t="array" ref="E110">IFERROR(INDEX(Population!$CH$3:$CH$178,'IMS Seg. Table'!$A110,1),"")</f>
        <v>1759540</v>
      </c>
      <c r="F110" s="552">
        <f>IFERROR('IMS Seg. Table'!$D110/'IMS Seg. Table'!$E110,"")</f>
        <v>3.5710486831785579</v>
      </c>
      <c r="G110" s="575" cm="1">
        <f t="array" ref="G110">IFERROR(INDEX('Country Competitivness'!$CL$4:$CX$178,Tabela2[[#This Row],[ID]],'Config!'!$AZ$17+1),".")</f>
        <v>132.69</v>
      </c>
      <c r="H110" s="540" cm="1">
        <f t="array" ref="H110">INDEX(GDP!$G$3:$S$177,'IMS Seg. Table'!$A110,'Config!'!$BA$15-2010+1)*1000000000</f>
        <v>81873662518.823807</v>
      </c>
      <c r="I110" s="539">
        <f t="shared" si="31"/>
        <v>13030.146644871227</v>
      </c>
      <c r="J110" s="576">
        <f>IFERROR(INDEX('Income Tax Rate (%)'!$F$2:$P$176,Tabela2[[#This Row],[ID]],'Config!'!$BA$15-2010+1)/100,"")</f>
        <v>0.1</v>
      </c>
      <c r="K110" s="577">
        <f>IFERROR(INDEX('Tariff Rate (%)'!$F$2:$P$176,Tabela2[[#This Row],[ID]],'Config!'!$BA$15-2010+1)/100,"")</f>
        <v>2.7699999999999999E-2</v>
      </c>
      <c r="L110" s="577">
        <f>IFERROR(INDEX('Corporate Tax Rate (%)'!$F$2:$P$176,Tabela2[[#This Row],[ID]],'Config!'!$BA$15-2010+1)/100,"")</f>
        <v>0.2</v>
      </c>
      <c r="M110" s="527" cm="1">
        <f t="array" ref="M110">INDEX('Score-Starting a business'!$F$2:$P$176,'IMS Seg. Table'!$A110,'Config!'!$BA$15-2010+1)</f>
        <v>72.344999999999999</v>
      </c>
      <c r="N110" s="527" cm="1">
        <f t="array" ref="N110">IFERROR(INDEX('Country Competitivness'!$AX$4:$BH$178,Tabela2[[#This Row],[ID]],'Config!'!$BA$15-2010+1),"")</f>
        <v>3.1031614271335508</v>
      </c>
      <c r="O110" s="527" cm="1">
        <f t="array" ref="O110">IFERROR(INDEX('Country Competitivness'!$EE$4:$EO$178,Tabela2[[#This Row],[ID]],'Config!'!$BA$15-2010+1),"")</f>
        <v>3.0936172740742203</v>
      </c>
      <c r="P110" s="527" cm="1">
        <f t="array" ref="P110">IFERROR(INDEX('Country Competitivness'!$H$4:$R$178,Tabela2[[#This Row],[ID]],'Config!'!$BA$15-2010+1),"")</f>
        <v>2.9915556607305871</v>
      </c>
      <c r="Q110" s="527" cm="1">
        <f t="array" ref="Q110">IFERROR(INDEX('Country Competitivness'!$AJ$4:$AT$178,Tabela2[[#This Row],[ID]],MAX(1,'Config!'!$BA$15-2010)),"")</f>
        <v>4.0656758697959257</v>
      </c>
      <c r="R110" s="527" cm="1">
        <f t="array" ref="R110">IFERROR(INDEX('Country Competitivness'!$BM$4:$BW$178,Tabela2[[#This Row],[ID]],'Config!'!$BA$15-2010+1),"")</f>
        <v>3.0237436492937673</v>
      </c>
      <c r="S110" s="578" t="str" cm="1">
        <f t="array" ref="S11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0" s="537" t="str" cm="1">
        <f t="array" ref="T110">IF('Config!'!$BA$15=2010,".",IF(INDEX('Result data'!$R$216:$AA$390,'IMS Seg. Table'!$A110,'Config!'!$BA$15-2010)=".",".",INDEX('Result data'!$R$216:$AA$390,'IMS Seg. Table'!$A110,'Config!'!$BA$15-2010)))</f>
        <v>.</v>
      </c>
      <c r="U110" s="579" t="str">
        <f t="shared" si="32"/>
        <v>.</v>
      </c>
      <c r="V110" s="530" t="str" cm="1">
        <f t="array" ref="V110">IF(Tabela2[[#This Row],[Market Penetration (Category)]]=".",".",INDEX('Result data'!$BS$216:$CB$390,'IMS Seg. Table'!$A110,'Config!'!$BA$15-2010))</f>
        <v>.</v>
      </c>
      <c r="W110" s="563" t="str">
        <f>IF(Tabela2[[#This Row],[Market Demand (U$ millions)]]=".",".",Tabela2[[#This Row],[Market Demand (U$ millions)]]/Tabela2[[#This Row],[Active users (thousands)]])</f>
        <v>.</v>
      </c>
      <c r="X110" s="580" cm="1">
        <f t="array" ref="X110">IF('Config!'!$BA$15=2010,".",IF(INDEX('Result data'!$AE$216:$AN$390,'IMS Seg. Table'!$A110,'Config!'!$BA$15-2010)=".",0,INDEX('Result data'!$AE$216:$AN$390,'IMS Seg. Table'!$A110,'Config!'!$BA$15-2010)))</f>
        <v>0</v>
      </c>
      <c r="Y110" s="563" t="str">
        <f>IF('Config!'!$BA$15=2010,".",IF(Tabela2[[#This Row],[Number of competitors]]=0,".",SUMIF('Result data'!$N$216:$N$390,Tabela2[[#This Row],[ID]],'Result data'!$CP$216:$CP$393)))</f>
        <v>.</v>
      </c>
      <c r="Z110" s="563" t="str">
        <f>IF('Config!'!$BA$15=2010,".",IF(Tabela2[[#This Row],[Number of competitors]]=0,".",SUMIF('Result data'!$N$216:$N$390,Tabela2[[#This Row],[ID]],'Result data'!$DA$216:$DA$393)))</f>
        <v>.</v>
      </c>
      <c r="AA110" s="530" t="str" cm="1">
        <f t="array" ref="AA11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0" s="530" t="str" cm="1">
        <f t="array" ref="AB11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0" s="530" t="str" cm="1">
        <f t="array" ref="AD11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0" s="530" t="str" cm="1">
        <f t="array" ref="AE11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0" s="530" t="str" cm="1">
        <f t="array" ref="AF11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1" spans="1:32" x14ac:dyDescent="0.3">
      <c r="A111" s="569">
        <f>'Config!'!C97</f>
        <v>92</v>
      </c>
      <c r="B111" s="536" t="str">
        <f>'Config!'!A97</f>
        <v>Lituânia</v>
      </c>
      <c r="C111" s="536" t="str">
        <f>'Config!'!B97</f>
        <v>União Européia</v>
      </c>
      <c r="D111" s="538" cm="1">
        <f t="array" ref="D111">IFERROR(INDEX(Population!$BD$3:$BN$177,'IMS Seg. Table'!$A111,'Config!'!$BA$15-2010+1),"")</f>
        <v>2987773</v>
      </c>
      <c r="E111" s="551" cm="1">
        <f t="array" ref="E111">IFERROR(INDEX(Population!$CH$3:$CH$178,'IMS Seg. Table'!$A111,1),"")</f>
        <v>62680</v>
      </c>
      <c r="F111" s="552">
        <f>IFERROR('IMS Seg. Table'!$D111/'IMS Seg. Table'!$E111,"")</f>
        <v>47.667086790044671</v>
      </c>
      <c r="G111" s="575" cm="1">
        <f t="array" ref="G111">IFERROR(INDEX('Country Competitivness'!$CL$4:$CX$178,Tabela2[[#This Row],[ID]],'Config!'!$AZ$17+1),".")</f>
        <v>147.15858745202101</v>
      </c>
      <c r="H111" s="540" cm="1">
        <f t="array" ref="H111">INDEX(GDP!$G$3:$S$177,'IMS Seg. Table'!$A111,'Config!'!$BA$15-2010+1)*1000000000</f>
        <v>42848195256.214165</v>
      </c>
      <c r="I111" s="539">
        <f t="shared" si="31"/>
        <v>14341.181627993212</v>
      </c>
      <c r="J111" s="576">
        <f>IFERROR(INDEX('Income Tax Rate (%)'!$F$2:$P$176,Tabela2[[#This Row],[ID]],'Config!'!$BA$15-2010+1)/100,"")</f>
        <v>0.15</v>
      </c>
      <c r="K111" s="577">
        <f>IFERROR(INDEX('Tariff Rate (%)'!$F$2:$P$176,Tabela2[[#This Row],[ID]],'Config!'!$BA$15-2010+1)/100,"")</f>
        <v>1.09E-2</v>
      </c>
      <c r="L111" s="577">
        <f>IFERROR(INDEX('Corporate Tax Rate (%)'!$F$2:$P$176,Tabela2[[#This Row],[ID]],'Config!'!$BA$15-2010+1)/100,"")</f>
        <v>0.15</v>
      </c>
      <c r="M111" s="527" cm="1">
        <f t="array" ref="M111">INDEX('Score-Starting a business'!$F$2:$P$176,'IMS Seg. Table'!$A111,'Config!'!$BA$15-2010+1)</f>
        <v>84.67</v>
      </c>
      <c r="N111" s="527" cm="1">
        <f t="array" ref="N111">IFERROR(INDEX('Country Competitivness'!$AX$4:$BH$178,Tabela2[[#This Row],[ID]],'Config!'!$BA$15-2010+1),"")</f>
        <v>2.7654552888888886</v>
      </c>
      <c r="O111" s="527" cm="1">
        <f t="array" ref="O111">IFERROR(INDEX('Country Competitivness'!$EE$4:$EO$178,Tabela2[[#This Row],[ID]],'Config!'!$BA$15-2010+1),"")</f>
        <v>5.2258763761904756</v>
      </c>
      <c r="P111" s="527" cm="1">
        <f t="array" ref="P111">IFERROR(INDEX('Country Competitivness'!$H$4:$R$178,Tabela2[[#This Row],[ID]],'Config!'!$BA$15-2010+1),"")</f>
        <v>4.1290234828738503</v>
      </c>
      <c r="Q111" s="527" cm="1">
        <f t="array" ref="Q111">IFERROR(INDEX('Country Competitivness'!$AJ$4:$AT$178,Tabela2[[#This Row],[ID]],MAX(1,'Config!'!$BA$15-2010)),"")</f>
        <v>5.2496222619047614</v>
      </c>
      <c r="R111" s="527" cm="1">
        <f t="array" ref="R111">IFERROR(INDEX('Country Competitivness'!$BM$4:$BW$178,Tabela2[[#This Row],[ID]],'Config!'!$BA$15-2010+1),"")</f>
        <v>2.9389734222222219</v>
      </c>
      <c r="S111" s="578" t="str" cm="1">
        <f t="array" ref="S11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1" s="537" t="str" cm="1">
        <f t="array" ref="T111">IF('Config!'!$BA$15=2010,".",IF(INDEX('Result data'!$R$216:$AA$390,'IMS Seg. Table'!$A111,'Config!'!$BA$15-2010)=".",".",INDEX('Result data'!$R$216:$AA$390,'IMS Seg. Table'!$A111,'Config!'!$BA$15-2010)))</f>
        <v>.</v>
      </c>
      <c r="U111" s="579" t="str">
        <f t="shared" si="32"/>
        <v>.</v>
      </c>
      <c r="V111" s="530" t="str" cm="1">
        <f t="array" ref="V111">IF(Tabela2[[#This Row],[Market Penetration (Category)]]=".",".",INDEX('Result data'!$BS$216:$CB$390,'IMS Seg. Table'!$A111,'Config!'!$BA$15-2010))</f>
        <v>.</v>
      </c>
      <c r="W111" s="563" t="str">
        <f>IF(Tabela2[[#This Row],[Market Demand (U$ millions)]]=".",".",Tabela2[[#This Row],[Market Demand (U$ millions)]]/Tabela2[[#This Row],[Active users (thousands)]])</f>
        <v>.</v>
      </c>
      <c r="X111" s="580" cm="1">
        <f t="array" ref="X111">IF('Config!'!$BA$15=2010,".",IF(INDEX('Result data'!$AE$216:$AN$390,'IMS Seg. Table'!$A111,'Config!'!$BA$15-2010)=".",0,INDEX('Result data'!$AE$216:$AN$390,'IMS Seg. Table'!$A111,'Config!'!$BA$15-2010)))</f>
        <v>0</v>
      </c>
      <c r="Y111" s="563" t="str">
        <f>IF('Config!'!$BA$15=2010,".",IF(Tabela2[[#This Row],[Number of competitors]]=0,".",SUMIF('Result data'!$N$216:$N$390,Tabela2[[#This Row],[ID]],'Result data'!$CP$216:$CP$393)))</f>
        <v>.</v>
      </c>
      <c r="Z111" s="563" t="str">
        <f>IF('Config!'!$BA$15=2010,".",IF(Tabela2[[#This Row],[Number of competitors]]=0,".",SUMIF('Result data'!$N$216:$N$390,Tabela2[[#This Row],[ID]],'Result data'!$DA$216:$DA$393)))</f>
        <v>.</v>
      </c>
      <c r="AA111" s="530" t="str" cm="1">
        <f t="array" ref="AA11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1" s="530" t="str" cm="1">
        <f t="array" ref="AB11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1" s="530" t="str" cm="1">
        <f t="array" ref="AD11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1" s="530" t="str" cm="1">
        <f t="array" ref="AE11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1" s="530" t="str" cm="1">
        <f t="array" ref="AF11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2" spans="1:32" x14ac:dyDescent="0.3">
      <c r="A112" s="568">
        <f>'Config!'!C98</f>
        <v>93</v>
      </c>
      <c r="B112" s="536" t="str">
        <f>'Config!'!A98</f>
        <v>Luxemburgo</v>
      </c>
      <c r="C112" s="536" t="str">
        <f>'Config!'!B98</f>
        <v>União Européia</v>
      </c>
      <c r="D112" s="538" cm="1">
        <f t="array" ref="D112">IFERROR(INDEX(Population!$BD$3:$BN$177,'IMS Seg. Table'!$A112,'Config!'!$BA$15-2010+1),"")</f>
        <v>530946</v>
      </c>
      <c r="E112" s="551" cm="1">
        <f t="array" ref="E112">IFERROR(INDEX(Population!$CH$3:$CH$178,'IMS Seg. Table'!$A112,1),"")</f>
        <v>2586</v>
      </c>
      <c r="F112" s="552">
        <f>IFERROR('IMS Seg. Table'!$D112/'IMS Seg. Table'!$E112,"")</f>
        <v>205.31554524361948</v>
      </c>
      <c r="G112" s="575" cm="1">
        <f t="array" ref="G112">IFERROR(INDEX('Country Competitivness'!$CL$4:$CX$178,Tabela2[[#This Row],[ID]],'Config!'!$AZ$17+1),".")</f>
        <v>143.26591098989499</v>
      </c>
      <c r="H112" s="540" cm="1">
        <f t="array" ref="H112">INDEX(GDP!$G$3:$S$177,'IMS Seg. Table'!$A112,'Config!'!$BA$15-2010+1)*1000000000</f>
        <v>56677961787.071655</v>
      </c>
      <c r="I112" s="539">
        <f t="shared" ref="I112:I143" si="33">IFERROR((H112)/D112,".")</f>
        <v>106749.01362298925</v>
      </c>
      <c r="J112" s="576">
        <f>IFERROR(INDEX('Income Tax Rate (%)'!$F$2:$P$176,Tabela2[[#This Row],[ID]],'Config!'!$BA$15-2010+1)/100,"")</f>
        <v>0.436</v>
      </c>
      <c r="K112" s="577">
        <f>IFERROR(INDEX('Tariff Rate (%)'!$F$2:$P$176,Tabela2[[#This Row],[ID]],'Config!'!$BA$15-2010+1)/100,"")</f>
        <v>1.09E-2</v>
      </c>
      <c r="L112" s="577">
        <f>IFERROR(INDEX('Corporate Tax Rate (%)'!$F$2:$P$176,Tabela2[[#This Row],[ID]],'Config!'!$BA$15-2010+1)/100,"")</f>
        <v>0.21</v>
      </c>
      <c r="M112" s="527" cm="1">
        <f t="array" ref="M112">INDEX('Score-Starting a business'!$F$2:$P$176,'IMS Seg. Table'!$A112,'Config!'!$BA$15-2010+1)</f>
        <v>88.54</v>
      </c>
      <c r="N112" s="527" cm="1">
        <f t="array" ref="N112">IFERROR(INDEX('Country Competitivness'!$AX$4:$BH$178,Tabela2[[#This Row],[ID]],'Config!'!$BA$15-2010+1),"")</f>
        <v>3.5947813590361446</v>
      </c>
      <c r="O112" s="527" cm="1">
        <f t="array" ref="O112">IFERROR(INDEX('Country Competitivness'!$EE$4:$EO$178,Tabela2[[#This Row],[ID]],'Config!'!$BA$15-2010+1),"")</f>
        <v>5.8888290530120475</v>
      </c>
      <c r="P112" s="527" cm="1">
        <f t="array" ref="P112">IFERROR(INDEX('Country Competitivness'!$H$4:$R$178,Tabela2[[#This Row],[ID]],'Config!'!$BA$15-2010+1),"")</f>
        <v>4.9812671562460373</v>
      </c>
      <c r="Q112" s="527" cm="1">
        <f t="array" ref="Q112">IFERROR(INDEX('Country Competitivness'!$AJ$4:$AT$178,Tabela2[[#This Row],[ID]],MAX(1,'Config!'!$BA$15-2010)),"")</f>
        <v>5.7584887180722895</v>
      </c>
      <c r="R112" s="527" cm="1">
        <f t="array" ref="R112">IFERROR(INDEX('Country Competitivness'!$BM$4:$BW$178,Tabela2[[#This Row],[ID]],'Config!'!$BA$15-2010+1),"")</f>
        <v>5.0680326578313259</v>
      </c>
      <c r="S112" s="578" t="str" cm="1">
        <f t="array" ref="S11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2" s="537" t="str" cm="1">
        <f t="array" ref="T112">IF('Config!'!$BA$15=2010,".",IF(INDEX('Result data'!$R$216:$AA$390,'IMS Seg. Table'!$A112,'Config!'!$BA$15-2010)=".",".",INDEX('Result data'!$R$216:$AA$390,'IMS Seg. Table'!$A112,'Config!'!$BA$15-2010)))</f>
        <v>.</v>
      </c>
      <c r="U112" s="579" t="str">
        <f t="shared" ref="U112:U143" si="34">IFERROR(T112/D112,".")</f>
        <v>.</v>
      </c>
      <c r="V112" s="530" t="str" cm="1">
        <f t="array" ref="V112">IF(Tabela2[[#This Row],[Market Penetration (Category)]]=".",".",INDEX('Result data'!$BS$216:$CB$390,'IMS Seg. Table'!$A112,'Config!'!$BA$15-2010))</f>
        <v>.</v>
      </c>
      <c r="W112" s="563" t="str">
        <f>IF(Tabela2[[#This Row],[Market Demand (U$ millions)]]=".",".",Tabela2[[#This Row],[Market Demand (U$ millions)]]/Tabela2[[#This Row],[Active users (thousands)]])</f>
        <v>.</v>
      </c>
      <c r="X112" s="580" cm="1">
        <f t="array" ref="X112">IF('Config!'!$BA$15=2010,".",IF(INDEX('Result data'!$AE$216:$AN$390,'IMS Seg. Table'!$A112,'Config!'!$BA$15-2010)=".",0,INDEX('Result data'!$AE$216:$AN$390,'IMS Seg. Table'!$A112,'Config!'!$BA$15-2010)))</f>
        <v>0</v>
      </c>
      <c r="Y112" s="563" t="str">
        <f>IF('Config!'!$BA$15=2010,".",IF(Tabela2[[#This Row],[Number of competitors]]=0,".",SUMIF('Result data'!$N$216:$N$390,Tabela2[[#This Row],[ID]],'Result data'!$CP$216:$CP$393)))</f>
        <v>.</v>
      </c>
      <c r="Z112" s="563" t="str">
        <f>IF('Config!'!$BA$15=2010,".",IF(Tabela2[[#This Row],[Number of competitors]]=0,".",SUMIF('Result data'!$N$216:$N$390,Tabela2[[#This Row],[ID]],'Result data'!$DA$216:$DA$393)))</f>
        <v>.</v>
      </c>
      <c r="AA112" s="530" t="str" cm="1">
        <f t="array" ref="AA11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2" s="530" t="str" cm="1">
        <f t="array" ref="AB11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2" s="530" t="str" cm="1">
        <f t="array" ref="AD11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2" s="530" t="str" cm="1">
        <f t="array" ref="AE11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2" s="530" t="str" cm="1">
        <f t="array" ref="AF11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3" spans="1:32" x14ac:dyDescent="0.3">
      <c r="A113" s="569">
        <f>'Config!'!C99</f>
        <v>94</v>
      </c>
      <c r="B113" s="536" t="str">
        <f>'Config!'!A99</f>
        <v>Madagáscar</v>
      </c>
      <c r="C113" s="536" t="str">
        <f>'Config!'!B99</f>
        <v>África Subsaariana</v>
      </c>
      <c r="D113" s="538" cm="1">
        <f t="array" ref="D113">IFERROR(INDEX(Population!$BD$3:$BN$177,'IMS Seg. Table'!$A113,'Config!'!$BA$15-2010+1),"")</f>
        <v>22293720</v>
      </c>
      <c r="E113" s="551" cm="1">
        <f t="array" ref="E113">IFERROR(INDEX(Population!$CH$3:$CH$178,'IMS Seg. Table'!$A113,1),"")</f>
        <v>581540</v>
      </c>
      <c r="F113" s="552">
        <f>IFERROR('IMS Seg. Table'!$D113/'IMS Seg. Table'!$E113,"")</f>
        <v>38.335660487670665</v>
      </c>
      <c r="G113" s="575" cm="1">
        <f t="array" ref="G113">IFERROR(INDEX('Country Competitivness'!$CL$4:$CX$178,Tabela2[[#This Row],[ID]],'Config!'!$AZ$17+1),".")</f>
        <v>39.791020670789898</v>
      </c>
      <c r="H113" s="540" cm="1">
        <f t="array" ref="H113">INDEX(GDP!$G$3:$S$177,'IMS Seg. Table'!$A113,'Config!'!$BA$15-2010+1)*1000000000</f>
        <v>9919780071.2876415</v>
      </c>
      <c r="I113" s="539">
        <f t="shared" si="33"/>
        <v>444.95849375015212</v>
      </c>
      <c r="J113" s="576">
        <f>IFERROR(INDEX('Income Tax Rate (%)'!$F$2:$P$176,Tabela2[[#This Row],[ID]],'Config!'!$BA$15-2010+1)/100,"")</f>
        <v>0.2</v>
      </c>
      <c r="K113" s="577">
        <f>IFERROR(INDEX('Tariff Rate (%)'!$F$2:$P$176,Tabela2[[#This Row],[ID]],'Config!'!$BA$15-2010+1)/100,"")</f>
        <v>6.1200000000000004E-2</v>
      </c>
      <c r="L113" s="577">
        <f>IFERROR(INDEX('Corporate Tax Rate (%)'!$F$2:$P$176,Tabela2[[#This Row],[ID]],'Config!'!$BA$15-2010+1)/100,"")</f>
        <v>0.2</v>
      </c>
      <c r="M113" s="527" cm="1">
        <f t="array" ref="M113">INDEX('Score-Starting a business'!$F$2:$P$176,'IMS Seg. Table'!$A113,'Config!'!$BA$15-2010+1)</f>
        <v>79.17</v>
      </c>
      <c r="N113" s="527" cm="1">
        <f t="array" ref="N113">IFERROR(INDEX('Country Competitivness'!$AX$4:$BH$178,Tabela2[[#This Row],[ID]],'Config!'!$BA$15-2010+1),"")</f>
        <v>2.9258816893491124</v>
      </c>
      <c r="O113" s="527" cm="1">
        <f t="array" ref="O113">IFERROR(INDEX('Country Competitivness'!$EE$4:$EO$178,Tabela2[[#This Row],[ID]],'Config!'!$BA$15-2010+1),"")</f>
        <v>2.7143846704142014</v>
      </c>
      <c r="P113" s="527" cm="1">
        <f t="array" ref="P113">IFERROR(INDEX('Country Competitivness'!$H$4:$R$178,Tabela2[[#This Row],[ID]],'Config!'!$BA$15-2010+1),"")</f>
        <v>3.0325838118966049</v>
      </c>
      <c r="Q113" s="527" cm="1">
        <f t="array" ref="Q113">IFERROR(INDEX('Country Competitivness'!$AJ$4:$AT$178,Tabela2[[#This Row],[ID]],MAX(1,'Config!'!$BA$15-2010)),"")</f>
        <v>3.8702577932938858</v>
      </c>
      <c r="R113" s="527" cm="1">
        <f t="array" ref="R113">IFERROR(INDEX('Country Competitivness'!$BM$4:$BW$178,Tabela2[[#This Row],[ID]],'Config!'!$BA$15-2010+1),"")</f>
        <v>1.7881016266272187</v>
      </c>
      <c r="S113" s="578" t="str" cm="1">
        <f t="array" ref="S11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3" s="537" t="str" cm="1">
        <f t="array" ref="T113">IF('Config!'!$BA$15=2010,".",IF(INDEX('Result data'!$R$216:$AA$390,'IMS Seg. Table'!$A113,'Config!'!$BA$15-2010)=".",".",INDEX('Result data'!$R$216:$AA$390,'IMS Seg. Table'!$A113,'Config!'!$BA$15-2010)))</f>
        <v>.</v>
      </c>
      <c r="U113" s="579" t="str">
        <f t="shared" si="34"/>
        <v>.</v>
      </c>
      <c r="V113" s="530" t="str" cm="1">
        <f t="array" ref="V113">IF(Tabela2[[#This Row],[Market Penetration (Category)]]=".",".",INDEX('Result data'!$BS$216:$CB$390,'IMS Seg. Table'!$A113,'Config!'!$BA$15-2010))</f>
        <v>.</v>
      </c>
      <c r="W113" s="563" t="str">
        <f>IF(Tabela2[[#This Row],[Market Demand (U$ millions)]]=".",".",Tabela2[[#This Row],[Market Demand (U$ millions)]]/Tabela2[[#This Row],[Active users (thousands)]])</f>
        <v>.</v>
      </c>
      <c r="X113" s="580" cm="1">
        <f t="array" ref="X113">IF('Config!'!$BA$15=2010,".",IF(INDEX('Result data'!$AE$216:$AN$390,'IMS Seg. Table'!$A113,'Config!'!$BA$15-2010)=".",0,INDEX('Result data'!$AE$216:$AN$390,'IMS Seg. Table'!$A113,'Config!'!$BA$15-2010)))</f>
        <v>0</v>
      </c>
      <c r="Y113" s="563" t="str">
        <f>IF('Config!'!$BA$15=2010,".",IF(Tabela2[[#This Row],[Number of competitors]]=0,".",SUMIF('Result data'!$N$216:$N$390,Tabela2[[#This Row],[ID]],'Result data'!$CP$216:$CP$393)))</f>
        <v>.</v>
      </c>
      <c r="Z113" s="563" t="str">
        <f>IF('Config!'!$BA$15=2010,".",IF(Tabela2[[#This Row],[Number of competitors]]=0,".",SUMIF('Result data'!$N$216:$N$390,Tabela2[[#This Row],[ID]],'Result data'!$DA$216:$DA$393)))</f>
        <v>.</v>
      </c>
      <c r="AA113" s="530" t="str" cm="1">
        <f t="array" ref="AA11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3" s="530" t="str" cm="1">
        <f t="array" ref="AB11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3" s="530" t="str" cm="1">
        <f t="array" ref="AD11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3" s="530" t="str" cm="1">
        <f t="array" ref="AE11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3" s="530" t="str" cm="1">
        <f t="array" ref="AF11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4" spans="1:32" x14ac:dyDescent="0.3">
      <c r="A114" s="568">
        <f>'Config!'!C100</f>
        <v>96</v>
      </c>
      <c r="B114" s="536" t="str">
        <f>'Config!'!A100</f>
        <v>Malásia</v>
      </c>
      <c r="C114" s="536" t="str">
        <f>'Config!'!B100</f>
        <v>Ásia-Pacífico</v>
      </c>
      <c r="D114" s="538" cm="1">
        <f t="array" ref="D114">IFERROR(INDEX(Population!$BD$3:$BN$177,'IMS Seg. Table'!$A114,'Config!'!$BA$15-2010+1),"")</f>
        <v>29021940</v>
      </c>
      <c r="E114" s="551" cm="1">
        <f t="array" ref="E114">IFERROR(INDEX(Population!$CH$3:$CH$178,'IMS Seg. Table'!$A114,1),"")</f>
        <v>328657</v>
      </c>
      <c r="F114" s="552">
        <f>IFERROR('IMS Seg. Table'!$D114/'IMS Seg. Table'!$E114,"")</f>
        <v>88.304645877008554</v>
      </c>
      <c r="G114" s="575" cm="1">
        <f t="array" ref="G114">IFERROR(INDEX('Country Competitivness'!$CL$4:$CX$178,Tabela2[[#This Row],[ID]],'Config!'!$AZ$17+1),".")</f>
        <v>121.319599224211</v>
      </c>
      <c r="H114" s="540" cm="1">
        <f t="array" ref="H114">INDEX(GDP!$G$3:$S$177,'IMS Seg. Table'!$A114,'Config!'!$BA$15-2010+1)*1000000000</f>
        <v>314443149443.14941</v>
      </c>
      <c r="I114" s="539">
        <f t="shared" si="33"/>
        <v>10834.670233731771</v>
      </c>
      <c r="J114" s="576">
        <f>IFERROR(INDEX('Income Tax Rate (%)'!$F$2:$P$176,Tabela2[[#This Row],[ID]],'Config!'!$BA$15-2010+1)/100,"")</f>
        <v>0.26</v>
      </c>
      <c r="K114" s="577">
        <f>IFERROR(INDEX('Tariff Rate (%)'!$F$2:$P$176,Tabela2[[#This Row],[ID]],'Config!'!$BA$15-2010+1)/100,"")</f>
        <v>4.2999999999999997E-2</v>
      </c>
      <c r="L114" s="577">
        <f>IFERROR(INDEX('Corporate Tax Rate (%)'!$F$2:$P$176,Tabela2[[#This Row],[ID]],'Config!'!$BA$15-2010+1)/100,"")</f>
        <v>0.25</v>
      </c>
      <c r="M114" s="527" cm="1">
        <f t="array" ref="M114">INDEX('Score-Starting a business'!$F$2:$P$176,'IMS Seg. Table'!$A114,'Config!'!$BA$15-2010+1)</f>
        <v>87.850000000000009</v>
      </c>
      <c r="N114" s="527" cm="1">
        <f t="array" ref="N114">IFERROR(INDEX('Country Competitivness'!$AX$4:$BH$178,Tabela2[[#This Row],[ID]],'Config!'!$BA$15-2010+1),"")</f>
        <v>4.4265965096446704</v>
      </c>
      <c r="O114" s="527" cm="1">
        <f t="array" ref="O114">IFERROR(INDEX('Country Competitivness'!$EE$4:$EO$178,Tabela2[[#This Row],[ID]],'Config!'!$BA$15-2010+1),"")</f>
        <v>5.7261298020304565</v>
      </c>
      <c r="P114" s="527" cm="1">
        <f t="array" ref="P114">IFERROR(INDEX('Country Competitivness'!$H$4:$R$178,Tabela2[[#This Row],[ID]],'Config!'!$BA$15-2010+1),"")</f>
        <v>4.9856494977290939</v>
      </c>
      <c r="Q114" s="527" cm="1">
        <f t="array" ref="Q114">IFERROR(INDEX('Country Competitivness'!$AJ$4:$AT$178,Tabela2[[#This Row],[ID]],MAX(1,'Config!'!$BA$15-2010)),"")</f>
        <v>5.5867096240270726</v>
      </c>
      <c r="R114" s="527" cm="1">
        <f t="array" ref="R114">IFERROR(INDEX('Country Competitivness'!$BM$4:$BW$178,Tabela2[[#This Row],[ID]],'Config!'!$BA$15-2010+1),"")</f>
        <v>4.3774464974619285</v>
      </c>
      <c r="S114" s="578" t="str" cm="1">
        <f t="array" ref="S11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4" s="537" t="str" cm="1">
        <f t="array" ref="T114">IF('Config!'!$BA$15=2010,".",IF(INDEX('Result data'!$R$216:$AA$390,'IMS Seg. Table'!$A114,'Config!'!$BA$15-2010)=".",".",INDEX('Result data'!$R$216:$AA$390,'IMS Seg. Table'!$A114,'Config!'!$BA$15-2010)))</f>
        <v>.</v>
      </c>
      <c r="U114" s="579" t="str">
        <f t="shared" si="34"/>
        <v>.</v>
      </c>
      <c r="V114" s="530" t="str" cm="1">
        <f t="array" ref="V114">IF(Tabela2[[#This Row],[Market Penetration (Category)]]=".",".",INDEX('Result data'!$BS$216:$CB$390,'IMS Seg. Table'!$A114,'Config!'!$BA$15-2010))</f>
        <v>.</v>
      </c>
      <c r="W114" s="563" t="str">
        <f>IF(Tabela2[[#This Row],[Market Demand (U$ millions)]]=".",".",Tabela2[[#This Row],[Market Demand (U$ millions)]]/Tabela2[[#This Row],[Active users (thousands)]])</f>
        <v>.</v>
      </c>
      <c r="X114" s="580" cm="1">
        <f t="array" ref="X114">IF('Config!'!$BA$15=2010,".",IF(INDEX('Result data'!$AE$216:$AN$390,'IMS Seg. Table'!$A114,'Config!'!$BA$15-2010)=".",0,INDEX('Result data'!$AE$216:$AN$390,'IMS Seg. Table'!$A114,'Config!'!$BA$15-2010)))</f>
        <v>0</v>
      </c>
      <c r="Y114" s="563" t="str">
        <f>IF('Config!'!$BA$15=2010,".",IF(Tabela2[[#This Row],[Number of competitors]]=0,".",SUMIF('Result data'!$N$216:$N$390,Tabela2[[#This Row],[ID]],'Result data'!$CP$216:$CP$393)))</f>
        <v>.</v>
      </c>
      <c r="Z114" s="563" t="str">
        <f>IF('Config!'!$BA$15=2010,".",IF(Tabela2[[#This Row],[Number of competitors]]=0,".",SUMIF('Result data'!$N$216:$N$390,Tabela2[[#This Row],[ID]],'Result data'!$DA$216:$DA$393)))</f>
        <v>.</v>
      </c>
      <c r="AA114" s="530" t="str" cm="1">
        <f t="array" ref="AA11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4" s="530" t="str" cm="1">
        <f t="array" ref="AB11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4" s="530" t="str" cm="1">
        <f t="array" ref="AD11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4" s="530" t="str" cm="1">
        <f t="array" ref="AE11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4" s="530" t="str" cm="1">
        <f t="array" ref="AF11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5" spans="1:32" x14ac:dyDescent="0.3">
      <c r="A115" s="569">
        <f>'Config!'!C101</f>
        <v>95</v>
      </c>
      <c r="B115" s="536" t="str">
        <f>'Config!'!A101</f>
        <v>Malawi</v>
      </c>
      <c r="C115" s="536" t="str">
        <f>'Config!'!B101</f>
        <v>África Subsaariana</v>
      </c>
      <c r="D115" s="538" cm="1">
        <f t="array" ref="D115">IFERROR(INDEX(Population!$BD$3:$BN$177,'IMS Seg. Table'!$A115,'Config!'!$BA$15-2010+1),"")</f>
        <v>15700436</v>
      </c>
      <c r="E115" s="551" cm="1">
        <f t="array" ref="E115">IFERROR(INDEX(Population!$CH$3:$CH$178,'IMS Seg. Table'!$A115,1),"")</f>
        <v>94080</v>
      </c>
      <c r="F115" s="552">
        <f>IFERROR('IMS Seg. Table'!$D115/'IMS Seg. Table'!$E115,"")</f>
        <v>166.88388605442177</v>
      </c>
      <c r="G115" s="575" cm="1">
        <f t="array" ref="G115">IFERROR(INDEX('Country Competitivness'!$CL$4:$CX$178,Tabela2[[#This Row],[ID]],'Config!'!$AZ$17+1),".")</f>
        <v>20.384547422524701</v>
      </c>
      <c r="H115" s="540" cm="1">
        <f t="array" ref="H115">INDEX(GDP!$G$3:$S$177,'IMS Seg. Table'!$A115,'Config!'!$BA$15-2010+1)*1000000000</f>
        <v>6028487928.8335085</v>
      </c>
      <c r="I115" s="539">
        <f t="shared" si="33"/>
        <v>383.96945975471692</v>
      </c>
      <c r="J115" s="576">
        <f>IFERROR(INDEX('Income Tax Rate (%)'!$F$2:$P$176,Tabela2[[#This Row],[ID]],'Config!'!$BA$15-2010+1)/100,"")</f>
        <v>0.3</v>
      </c>
      <c r="K115" s="577">
        <f>IFERROR(INDEX('Tariff Rate (%)'!$F$2:$P$176,Tabela2[[#This Row],[ID]],'Config!'!$BA$15-2010+1)/100,"")</f>
        <v>6.1600000000000002E-2</v>
      </c>
      <c r="L115" s="577">
        <f>IFERROR(INDEX('Corporate Tax Rate (%)'!$F$2:$P$176,Tabela2[[#This Row],[ID]],'Config!'!$BA$15-2010+1)/100,"")</f>
        <v>0.3</v>
      </c>
      <c r="M115" s="527" cm="1">
        <f t="array" ref="M115">INDEX('Score-Starting a business'!$F$2:$P$176,'IMS Seg. Table'!$A115,'Config!'!$BA$15-2010+1)</f>
        <v>66.489999999999995</v>
      </c>
      <c r="N115" s="527" cm="1">
        <f t="array" ref="N115">IFERROR(INDEX('Country Competitivness'!$AX$4:$BH$178,Tabela2[[#This Row],[ID]],'Config!'!$BA$15-2010+1),"")</f>
        <v>3.35043252</v>
      </c>
      <c r="O115" s="527" cm="1">
        <f t="array" ref="O115">IFERROR(INDEX('Country Competitivness'!$EE$4:$EO$178,Tabela2[[#This Row],[ID]],'Config!'!$BA$15-2010+1),"")</f>
        <v>3.6538622666666667</v>
      </c>
      <c r="P115" s="527" cm="1">
        <f t="array" ref="P115">IFERROR(INDEX('Country Competitivness'!$H$4:$R$178,Tabela2[[#This Row],[ID]],'Config!'!$BA$15-2010+1),"")</f>
        <v>3.5369692733333333</v>
      </c>
      <c r="Q115" s="527" cm="1">
        <f t="array" ref="Q115">IFERROR(INDEX('Country Competitivness'!$AJ$4:$AT$178,Tabela2[[#This Row],[ID]],MAX(1,'Config!'!$BA$15-2010)),"")</f>
        <v>4.2678525311111111</v>
      </c>
      <c r="R115" s="527" cm="1">
        <f t="array" ref="R115">IFERROR(INDEX('Country Competitivness'!$BM$4:$BW$178,Tabela2[[#This Row],[ID]],'Config!'!$BA$15-2010+1),"")</f>
        <v>2.767937953333333</v>
      </c>
      <c r="S115" s="578" t="str" cm="1">
        <f t="array" ref="S11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5" s="537" t="str" cm="1">
        <f t="array" ref="T115">IF('Config!'!$BA$15=2010,".",IF(INDEX('Result data'!$R$216:$AA$390,'IMS Seg. Table'!$A115,'Config!'!$BA$15-2010)=".",".",INDEX('Result data'!$R$216:$AA$390,'IMS Seg. Table'!$A115,'Config!'!$BA$15-2010)))</f>
        <v>.</v>
      </c>
      <c r="U115" s="579" t="str">
        <f t="shared" si="34"/>
        <v>.</v>
      </c>
      <c r="V115" s="530" t="str" cm="1">
        <f t="array" ref="V115">IF(Tabela2[[#This Row],[Market Penetration (Category)]]=".",".",INDEX('Result data'!$BS$216:$CB$390,'IMS Seg. Table'!$A115,'Config!'!$BA$15-2010))</f>
        <v>.</v>
      </c>
      <c r="W115" s="563" t="str">
        <f>IF(Tabela2[[#This Row],[Market Demand (U$ millions)]]=".",".",Tabela2[[#This Row],[Market Demand (U$ millions)]]/Tabela2[[#This Row],[Active users (thousands)]])</f>
        <v>.</v>
      </c>
      <c r="X115" s="580" cm="1">
        <f t="array" ref="X115">IF('Config!'!$BA$15=2010,".",IF(INDEX('Result data'!$AE$216:$AN$390,'IMS Seg. Table'!$A115,'Config!'!$BA$15-2010)=".",0,INDEX('Result data'!$AE$216:$AN$390,'IMS Seg. Table'!$A115,'Config!'!$BA$15-2010)))</f>
        <v>0</v>
      </c>
      <c r="Y115" s="563" t="str">
        <f>IF('Config!'!$BA$15=2010,".",IF(Tabela2[[#This Row],[Number of competitors]]=0,".",SUMIF('Result data'!$N$216:$N$390,Tabela2[[#This Row],[ID]],'Result data'!$CP$216:$CP$393)))</f>
        <v>.</v>
      </c>
      <c r="Z115" s="563" t="str">
        <f>IF('Config!'!$BA$15=2010,".",IF(Tabela2[[#This Row],[Number of competitors]]=0,".",SUMIF('Result data'!$N$216:$N$390,Tabela2[[#This Row],[ID]],'Result data'!$DA$216:$DA$393)))</f>
        <v>.</v>
      </c>
      <c r="AA115" s="530" t="str" cm="1">
        <f t="array" ref="AA11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5" s="530" t="str" cm="1">
        <f t="array" ref="AB11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5" s="530" t="str" cm="1">
        <f t="array" ref="AD11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5" s="530" t="str" cm="1">
        <f t="array" ref="AE11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5" s="530" t="str" cm="1">
        <f t="array" ref="AF11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6" spans="1:32" x14ac:dyDescent="0.3">
      <c r="A116" s="568">
        <f>'Config!'!C102</f>
        <v>97</v>
      </c>
      <c r="B116" s="536" t="str">
        <f>'Config!'!A102</f>
        <v>Maldivas</v>
      </c>
      <c r="C116" s="536" t="str">
        <f>'Config!'!B102</f>
        <v>Ásia-Pacífico</v>
      </c>
      <c r="D116" s="538" cm="1">
        <f t="array" ref="D116">IFERROR(INDEX(Population!$BD$3:$BN$177,'IMS Seg. Table'!$A116,'Config!'!$BA$15-2010+1),"")</f>
        <v>385000</v>
      </c>
      <c r="E116" s="551" cm="1">
        <f t="array" ref="E116">IFERROR(INDEX(Population!$CH$3:$CH$178,'IMS Seg. Table'!$A116,1),"")</f>
        <v>298</v>
      </c>
      <c r="F116" s="552">
        <f>IFERROR('IMS Seg. Table'!$D116/'IMS Seg. Table'!$E116,"")</f>
        <v>1291.9463087248323</v>
      </c>
      <c r="G116" s="575" cm="1">
        <f t="array" ref="G116">IFERROR(INDEX('Country Competitivness'!$CL$4:$CX$178,Tabela2[[#This Row],[ID]],'Config!'!$AZ$17+1),".")</f>
        <v>100.56</v>
      </c>
      <c r="H116" s="540" cm="1">
        <f t="array" ref="H116">INDEX(GDP!$G$3:$S$177,'IMS Seg. Table'!$A116,'Config!'!$BA$15-2010+1)*1000000000</f>
        <v>2886170571.6963449</v>
      </c>
      <c r="I116" s="539">
        <f t="shared" si="33"/>
        <v>7496.5469394710253</v>
      </c>
      <c r="J116" s="576">
        <f>IFERROR(INDEX('Income Tax Rate (%)'!$F$2:$P$176,Tabela2[[#This Row],[ID]],'Config!'!$BA$15-2010+1)/100,"")</f>
        <v>0.18140000000000001</v>
      </c>
      <c r="K116" s="577">
        <f>IFERROR(INDEX('Tariff Rate (%)'!$F$2:$P$176,Tabela2[[#This Row],[ID]],'Config!'!$BA$15-2010+1)/100,"")</f>
        <v>0.20600000000000002</v>
      </c>
      <c r="L116" s="577">
        <f>IFERROR(INDEX('Corporate Tax Rate (%)'!$F$2:$P$176,Tabela2[[#This Row],[ID]],'Config!'!$BA$15-2010+1)/100,"")</f>
        <v>0.2361</v>
      </c>
      <c r="M116" s="527" cm="1">
        <f t="array" ref="M116">INDEX('Score-Starting a business'!$F$2:$P$176,'IMS Seg. Table'!$A116,'Config!'!$BA$15-2010+1)</f>
        <v>88.42</v>
      </c>
      <c r="N116" s="527" cm="1">
        <f t="array" ref="N116">IFERROR(INDEX('Country Competitivness'!$AX$4:$BH$178,Tabela2[[#This Row],[ID]],'Config!'!$BA$15-2010+1),"")</f>
        <v>3.23</v>
      </c>
      <c r="O116" s="527" cm="1">
        <f t="array" ref="O116">IFERROR(INDEX('Country Competitivness'!$EE$4:$EO$178,Tabela2[[#This Row],[ID]],'Config!'!$BA$15-2010+1),"")</f>
        <v>3.65</v>
      </c>
      <c r="P116" s="527" cm="1">
        <f t="array" ref="P116">IFERROR(INDEX('Country Competitivness'!$H$4:$R$178,Tabela2[[#This Row],[ID]],'Config!'!$BA$15-2010+1),"")</f>
        <v>3.32</v>
      </c>
      <c r="Q116" s="527" cm="1">
        <f t="array" ref="Q116">IFERROR(INDEX('Country Competitivness'!$AJ$4:$AT$178,Tabela2[[#This Row],[ID]],MAX(1,'Config!'!$BA$15-2010)),"")</f>
        <v>4.53</v>
      </c>
      <c r="R116" s="527" cm="1">
        <f t="array" ref="R116">IFERROR(INDEX('Country Competitivness'!$BM$4:$BW$178,Tabela2[[#This Row],[ID]],'Config!'!$BA$15-2010+1),"")</f>
        <v>3.68</v>
      </c>
      <c r="S116" s="578" t="str" cm="1">
        <f t="array" ref="S11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6" s="537" t="str" cm="1">
        <f t="array" ref="T116">IF('Config!'!$BA$15=2010,".",IF(INDEX('Result data'!$R$216:$AA$390,'IMS Seg. Table'!$A116,'Config!'!$BA$15-2010)=".",".",INDEX('Result data'!$R$216:$AA$390,'IMS Seg. Table'!$A116,'Config!'!$BA$15-2010)))</f>
        <v>.</v>
      </c>
      <c r="U116" s="579" t="str">
        <f t="shared" si="34"/>
        <v>.</v>
      </c>
      <c r="V116" s="530" t="str" cm="1">
        <f t="array" ref="V116">IF(Tabela2[[#This Row],[Market Penetration (Category)]]=".",".",INDEX('Result data'!$BS$216:$CB$390,'IMS Seg. Table'!$A116,'Config!'!$BA$15-2010))</f>
        <v>.</v>
      </c>
      <c r="W116" s="563" t="str">
        <f>IF(Tabela2[[#This Row],[Market Demand (U$ millions)]]=".",".",Tabela2[[#This Row],[Market Demand (U$ millions)]]/Tabela2[[#This Row],[Active users (thousands)]])</f>
        <v>.</v>
      </c>
      <c r="X116" s="580" cm="1">
        <f t="array" ref="X116">IF('Config!'!$BA$15=2010,".",IF(INDEX('Result data'!$AE$216:$AN$390,'IMS Seg. Table'!$A116,'Config!'!$BA$15-2010)=".",0,INDEX('Result data'!$AE$216:$AN$390,'IMS Seg. Table'!$A116,'Config!'!$BA$15-2010)))</f>
        <v>0</v>
      </c>
      <c r="Y116" s="563" t="str">
        <f>IF('Config!'!$BA$15=2010,".",IF(Tabela2[[#This Row],[Number of competitors]]=0,".",SUMIF('Result data'!$N$216:$N$390,Tabela2[[#This Row],[ID]],'Result data'!$CP$216:$CP$393)))</f>
        <v>.</v>
      </c>
      <c r="Z116" s="563" t="str">
        <f>IF('Config!'!$BA$15=2010,".",IF(Tabela2[[#This Row],[Number of competitors]]=0,".",SUMIF('Result data'!$N$216:$N$390,Tabela2[[#This Row],[ID]],'Result data'!$DA$216:$DA$393)))</f>
        <v>.</v>
      </c>
      <c r="AA116" s="530" t="str" cm="1">
        <f t="array" ref="AA11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6" s="530" t="str" cm="1">
        <f t="array" ref="AB11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6" s="530" t="str" cm="1">
        <f t="array" ref="AD11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6" s="530" t="str" cm="1">
        <f t="array" ref="AE11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6" s="530" t="str" cm="1">
        <f t="array" ref="AF11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7" spans="1:32" x14ac:dyDescent="0.3">
      <c r="A117" s="569">
        <f>'Config!'!C103</f>
        <v>98</v>
      </c>
      <c r="B117" s="536" t="str">
        <f>'Config!'!A103</f>
        <v>Mali</v>
      </c>
      <c r="C117" s="536" t="str">
        <f>'Config!'!B103</f>
        <v>África Subsaariana</v>
      </c>
      <c r="D117" s="538" cm="1">
        <f t="array" ref="D117">IFERROR(INDEX(Population!$BD$3:$BN$177,'IMS Seg. Table'!$A117,'Config!'!$BA$15-2010+1),"")</f>
        <v>16112333</v>
      </c>
      <c r="E117" s="551" cm="1">
        <f t="array" ref="E117">IFERROR(INDEX(Population!$CH$3:$CH$178,'IMS Seg. Table'!$A117,1),"")</f>
        <v>1220190</v>
      </c>
      <c r="F117" s="552">
        <f>IFERROR('IMS Seg. Table'!$D117/'IMS Seg. Table'!$E117,"")</f>
        <v>13.204773846696007</v>
      </c>
      <c r="G117" s="575" cm="1">
        <f t="array" ref="G117">IFERROR(INDEX('Country Competitivness'!$CL$4:$CX$178,Tabela2[[#This Row],[ID]],'Config!'!$AZ$17+1),".")</f>
        <v>47.663812868461797</v>
      </c>
      <c r="H117" s="540" cm="1">
        <f t="array" ref="H117">INDEX(GDP!$G$3:$S$177,'IMS Seg. Table'!$A117,'Config!'!$BA$15-2010+1)*1000000000</f>
        <v>12442747897.222303</v>
      </c>
      <c r="I117" s="539">
        <f t="shared" si="33"/>
        <v>772.2499216731868</v>
      </c>
      <c r="J117" s="576">
        <f>IFERROR(INDEX('Income Tax Rate (%)'!$F$2:$P$176,Tabela2[[#This Row],[ID]],'Config!'!$BA$15-2010+1)/100,"")</f>
        <v>0.4</v>
      </c>
      <c r="K117" s="577">
        <f>IFERROR(INDEX('Tariff Rate (%)'!$F$2:$P$176,Tabela2[[#This Row],[ID]],'Config!'!$BA$15-2010+1)/100,"")</f>
        <v>8.4000000000000005E-2</v>
      </c>
      <c r="L117" s="577">
        <f>IFERROR(INDEX('Corporate Tax Rate (%)'!$F$2:$P$176,Tabela2[[#This Row],[ID]],'Config!'!$BA$15-2010+1)/100,"")</f>
        <v>0.35</v>
      </c>
      <c r="M117" s="527" cm="1">
        <f t="array" ref="M117">INDEX('Score-Starting a business'!$F$2:$P$176,'IMS Seg. Table'!$A117,'Config!'!$BA$15-2010+1)</f>
        <v>60.620000000000005</v>
      </c>
      <c r="N117" s="527" cm="1">
        <f t="array" ref="N117">IFERROR(INDEX('Country Competitivness'!$AX$4:$BH$178,Tabela2[[#This Row],[ID]],'Config!'!$BA$15-2010+1),"")</f>
        <v>3.4225016213114756</v>
      </c>
      <c r="O117" s="527" cm="1">
        <f t="array" ref="O117">IFERROR(INDEX('Country Competitivness'!$EE$4:$EO$178,Tabela2[[#This Row],[ID]],'Config!'!$BA$15-2010+1),"")</f>
        <v>3.2597052500000001</v>
      </c>
      <c r="P117" s="527" cm="1">
        <f t="array" ref="P117">IFERROR(INDEX('Country Competitivness'!$H$4:$R$178,Tabela2[[#This Row],[ID]],'Config!'!$BA$15-2010+1),"")</f>
        <v>3.056246145901639</v>
      </c>
      <c r="Q117" s="527" cm="1">
        <f t="array" ref="Q117">IFERROR(INDEX('Country Competitivness'!$AJ$4:$AT$178,Tabela2[[#This Row],[ID]],MAX(1,'Config!'!$BA$15-2010)),"")</f>
        <v>4.1285410883879772</v>
      </c>
      <c r="R117" s="527" cm="1">
        <f t="array" ref="R117">IFERROR(INDEX('Country Competitivness'!$BM$4:$BW$178,Tabela2[[#This Row],[ID]],'Config!'!$BA$15-2010+1),"")</f>
        <v>2.361036980327869</v>
      </c>
      <c r="S117" s="578" t="str" cm="1">
        <f t="array" ref="S11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7" s="537" t="str" cm="1">
        <f t="array" ref="T117">IF('Config!'!$BA$15=2010,".",IF(INDEX('Result data'!$R$216:$AA$390,'IMS Seg. Table'!$A117,'Config!'!$BA$15-2010)=".",".",INDEX('Result data'!$R$216:$AA$390,'IMS Seg. Table'!$A117,'Config!'!$BA$15-2010)))</f>
        <v>.</v>
      </c>
      <c r="U117" s="579" t="str">
        <f t="shared" si="34"/>
        <v>.</v>
      </c>
      <c r="V117" s="530" t="str" cm="1">
        <f t="array" ref="V117">IF(Tabela2[[#This Row],[Market Penetration (Category)]]=".",".",INDEX('Result data'!$BS$216:$CB$390,'IMS Seg. Table'!$A117,'Config!'!$BA$15-2010))</f>
        <v>.</v>
      </c>
      <c r="W117" s="563" t="str">
        <f>IF(Tabela2[[#This Row],[Market Demand (U$ millions)]]=".",".",Tabela2[[#This Row],[Market Demand (U$ millions)]]/Tabela2[[#This Row],[Active users (thousands)]])</f>
        <v>.</v>
      </c>
      <c r="X117" s="580" cm="1">
        <f t="array" ref="X117">IF('Config!'!$BA$15=2010,".",IF(INDEX('Result data'!$AE$216:$AN$390,'IMS Seg. Table'!$A117,'Config!'!$BA$15-2010)=".",0,INDEX('Result data'!$AE$216:$AN$390,'IMS Seg. Table'!$A117,'Config!'!$BA$15-2010)))</f>
        <v>0</v>
      </c>
      <c r="Y117" s="563" t="str">
        <f>IF('Config!'!$BA$15=2010,".",IF(Tabela2[[#This Row],[Number of competitors]]=0,".",SUMIF('Result data'!$N$216:$N$390,Tabela2[[#This Row],[ID]],'Result data'!$CP$216:$CP$393)))</f>
        <v>.</v>
      </c>
      <c r="Z117" s="563" t="str">
        <f>IF('Config!'!$BA$15=2010,".",IF(Tabela2[[#This Row],[Number of competitors]]=0,".",SUMIF('Result data'!$N$216:$N$390,Tabela2[[#This Row],[ID]],'Result data'!$DA$216:$DA$393)))</f>
        <v>.</v>
      </c>
      <c r="AA117" s="530" t="str" cm="1">
        <f t="array" ref="AA11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7" s="530" t="str" cm="1">
        <f t="array" ref="AB11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7" s="530" t="str" cm="1">
        <f t="array" ref="AD11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7" s="530" t="str" cm="1">
        <f t="array" ref="AE11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7" s="530" t="str" cm="1">
        <f t="array" ref="AF11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8" spans="1:32" x14ac:dyDescent="0.3">
      <c r="A118" s="568">
        <f>'Config!'!C104</f>
        <v>99</v>
      </c>
      <c r="B118" s="536" t="str">
        <f>'Config!'!A104</f>
        <v>Malta</v>
      </c>
      <c r="C118" s="536" t="str">
        <f>'Config!'!B104</f>
        <v>União Européia</v>
      </c>
      <c r="D118" s="538" cm="1">
        <f t="array" ref="D118">IFERROR(INDEX(Population!$BD$3:$BN$177,'IMS Seg. Table'!$A118,'Config!'!$BA$15-2010+1),"")</f>
        <v>419455</v>
      </c>
      <c r="E118" s="551" cm="1">
        <f t="array" ref="E118">IFERROR(INDEX(Population!$CH$3:$CH$178,'IMS Seg. Table'!$A118,1),"")</f>
        <v>316</v>
      </c>
      <c r="F118" s="552">
        <f>IFERROR('IMS Seg. Table'!$D118/'IMS Seg. Table'!$E118,"")</f>
        <v>1327.3892405063291</v>
      </c>
      <c r="G118" s="575" cm="1">
        <f t="array" ref="G118">IFERROR(INDEX('Country Competitivness'!$CL$4:$CX$178,Tabela2[[#This Row],[ID]],'Config!'!$AZ$17+1),".")</f>
        <v>109.339159454041</v>
      </c>
      <c r="H118" s="540" cm="1">
        <f t="array" ref="H118">INDEX(GDP!$G$3:$S$177,'IMS Seg. Table'!$A118,'Config!'!$BA$15-2010+1)*1000000000</f>
        <v>9211948090.7089825</v>
      </c>
      <c r="I118" s="539">
        <f t="shared" si="33"/>
        <v>21961.70766997409</v>
      </c>
      <c r="J118" s="576">
        <f>IFERROR(INDEX('Income Tax Rate (%)'!$F$2:$P$176,Tabela2[[#This Row],[ID]],'Config!'!$BA$15-2010+1)/100,"")</f>
        <v>0.35</v>
      </c>
      <c r="K118" s="577">
        <f>IFERROR(INDEX('Tariff Rate (%)'!$F$2:$P$176,Tabela2[[#This Row],[ID]],'Config!'!$BA$15-2010+1)/100,"")</f>
        <v>1.09E-2</v>
      </c>
      <c r="L118" s="577">
        <f>IFERROR(INDEX('Corporate Tax Rate (%)'!$F$2:$P$176,Tabela2[[#This Row],[ID]],'Config!'!$BA$15-2010+1)/100,"")</f>
        <v>0.35</v>
      </c>
      <c r="M118" s="527" cm="1">
        <f t="array" ref="M118">INDEX('Score-Starting a business'!$F$2:$P$176,'IMS Seg. Table'!$A118,'Config!'!$BA$15-2010+1)</f>
        <v>72.209999999999994</v>
      </c>
      <c r="N118" s="527" cm="1">
        <f t="array" ref="N118">IFERROR(INDEX('Country Competitivness'!$AX$4:$BH$178,Tabela2[[#This Row],[ID]],'Config!'!$BA$15-2010+1),"")</f>
        <v>2.8317006777777776</v>
      </c>
      <c r="O118" s="527" cm="1">
        <f t="array" ref="O118">IFERROR(INDEX('Country Competitivness'!$EE$4:$EO$178,Tabela2[[#This Row],[ID]],'Config!'!$BA$15-2010+1),"")</f>
        <v>2.9913975777777777</v>
      </c>
      <c r="P118" s="527" cm="1">
        <f t="array" ref="P118">IFERROR(INDEX('Country Competitivness'!$H$4:$R$178,Tabela2[[#This Row],[ID]],'Config!'!$BA$15-2010+1),"")</f>
        <v>4.2849307093567246</v>
      </c>
      <c r="Q118" s="527" cm="1">
        <f t="array" ref="Q118">IFERROR(INDEX('Country Competitivness'!$AJ$4:$AT$178,Tabela2[[#This Row],[ID]],MAX(1,'Config!'!$BA$15-2010)),"")</f>
        <v>5.6333290740740738</v>
      </c>
      <c r="R118" s="527" cm="1">
        <f t="array" ref="R118">IFERROR(INDEX('Country Competitivness'!$BM$4:$BW$178,Tabela2[[#This Row],[ID]],'Config!'!$BA$15-2010+1),"")</f>
        <v>3.6796141888888885</v>
      </c>
      <c r="S118" s="578" t="str" cm="1">
        <f t="array" ref="S11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8" s="537" t="str" cm="1">
        <f t="array" ref="T118">IF('Config!'!$BA$15=2010,".",IF(INDEX('Result data'!$R$216:$AA$390,'IMS Seg. Table'!$A118,'Config!'!$BA$15-2010)=".",".",INDEX('Result data'!$R$216:$AA$390,'IMS Seg. Table'!$A118,'Config!'!$BA$15-2010)))</f>
        <v>.</v>
      </c>
      <c r="U118" s="579" t="str">
        <f t="shared" si="34"/>
        <v>.</v>
      </c>
      <c r="V118" s="530" t="str" cm="1">
        <f t="array" ref="V118">IF(Tabela2[[#This Row],[Market Penetration (Category)]]=".",".",INDEX('Result data'!$BS$216:$CB$390,'IMS Seg. Table'!$A118,'Config!'!$BA$15-2010))</f>
        <v>.</v>
      </c>
      <c r="W118" s="563" t="str">
        <f>IF(Tabela2[[#This Row],[Market Demand (U$ millions)]]=".",".",Tabela2[[#This Row],[Market Demand (U$ millions)]]/Tabela2[[#This Row],[Active users (thousands)]])</f>
        <v>.</v>
      </c>
      <c r="X118" s="580" cm="1">
        <f t="array" ref="X118">IF('Config!'!$BA$15=2010,".",IF(INDEX('Result data'!$AE$216:$AN$390,'IMS Seg. Table'!$A118,'Config!'!$BA$15-2010)=".",0,INDEX('Result data'!$AE$216:$AN$390,'IMS Seg. Table'!$A118,'Config!'!$BA$15-2010)))</f>
        <v>0</v>
      </c>
      <c r="Y118" s="563" t="str">
        <f>IF('Config!'!$BA$15=2010,".",IF(Tabela2[[#This Row],[Number of competitors]]=0,".",SUMIF('Result data'!$N$216:$N$390,Tabela2[[#This Row],[ID]],'Result data'!$CP$216:$CP$393)))</f>
        <v>.</v>
      </c>
      <c r="Z118" s="563" t="str">
        <f>IF('Config!'!$BA$15=2010,".",IF(Tabela2[[#This Row],[Number of competitors]]=0,".",SUMIF('Result data'!$N$216:$N$390,Tabela2[[#This Row],[ID]],'Result data'!$DA$216:$DA$393)))</f>
        <v>.</v>
      </c>
      <c r="AA118" s="530" t="str" cm="1">
        <f t="array" ref="AA11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8" s="530" t="str" cm="1">
        <f t="array" ref="AB11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8" s="530" t="str" cm="1">
        <f t="array" ref="AD11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8" s="530" t="str" cm="1">
        <f t="array" ref="AE11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8" s="530" t="str" cm="1">
        <f t="array" ref="AF11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19" spans="1:32" x14ac:dyDescent="0.3">
      <c r="A119" s="569">
        <f>'Config!'!C105</f>
        <v>108</v>
      </c>
      <c r="B119" s="536" t="str">
        <f>'Config!'!A105</f>
        <v>Marrocos</v>
      </c>
      <c r="C119" s="536" t="str">
        <f>'Config!'!B105</f>
        <v>Oriente médio</v>
      </c>
      <c r="D119" s="538" cm="1">
        <f t="array" ref="D119">IFERROR(INDEX(Population!$BD$3:$BN$177,'IMS Seg. Table'!$A119,'Config!'!$BA$15-2010+1),"")</f>
        <v>32984190</v>
      </c>
      <c r="E119" s="551" cm="1">
        <f t="array" ref="E119">IFERROR(INDEX(Population!$CH$3:$CH$178,'IMS Seg. Table'!$A119,1),"")</f>
        <v>446300</v>
      </c>
      <c r="F119" s="552">
        <f>IFERROR('IMS Seg. Table'!$D119/'IMS Seg. Table'!$E119,"")</f>
        <v>73.905870490701318</v>
      </c>
      <c r="G119" s="575" cm="1">
        <f t="array" ref="G119">IFERROR(INDEX('Country Competitivness'!$CL$4:$CX$178,Tabela2[[#This Row],[ID]],'Config!'!$AZ$17+1),".")</f>
        <v>100.096606059225</v>
      </c>
      <c r="H119" s="540" cm="1">
        <f t="array" ref="H119">INDEX(GDP!$G$3:$S$177,'IMS Seg. Table'!$A119,'Config!'!$BA$15-2010+1)*1000000000</f>
        <v>98266306615.363235</v>
      </c>
      <c r="I119" s="539">
        <f t="shared" si="33"/>
        <v>2979.19417197643</v>
      </c>
      <c r="J119" s="576">
        <f>IFERROR(INDEX('Income Tax Rate (%)'!$F$2:$P$176,Tabela2[[#This Row],[ID]],'Config!'!$BA$15-2010+1)/100,"")</f>
        <v>0.38</v>
      </c>
      <c r="K119" s="577">
        <f>IFERROR(INDEX('Tariff Rate (%)'!$F$2:$P$176,Tabela2[[#This Row],[ID]],'Config!'!$BA$15-2010+1)/100,"")</f>
        <v>0.13100000000000001</v>
      </c>
      <c r="L119" s="577">
        <f>IFERROR(INDEX('Corporate Tax Rate (%)'!$F$2:$P$176,Tabela2[[#This Row],[ID]],'Config!'!$BA$15-2010+1)/100,"")</f>
        <v>0.3</v>
      </c>
      <c r="M119" s="527" cm="1">
        <f t="array" ref="M119">INDEX('Score-Starting a business'!$F$2:$P$176,'IMS Seg. Table'!$A119,'Config!'!$BA$15-2010+1)</f>
        <v>86.37</v>
      </c>
      <c r="N119" s="527" cm="1">
        <f t="array" ref="N119">IFERROR(INDEX('Country Competitivness'!$AX$4:$BH$178,Tabela2[[#This Row],[ID]],'Config!'!$BA$15-2010+1),"")</f>
        <v>3.3146640000000001</v>
      </c>
      <c r="O119" s="527" cm="1">
        <f t="array" ref="O119">IFERROR(INDEX('Country Competitivness'!$EE$4:$EO$178,Tabela2[[#This Row],[ID]],'Config!'!$BA$15-2010+1),"")</f>
        <v>3.3573230000000001</v>
      </c>
      <c r="P119" s="527" cm="1">
        <f t="array" ref="P119">IFERROR(INDEX('Country Competitivness'!$H$4:$R$178,Tabela2[[#This Row],[ID]],'Config!'!$BA$15-2010+1),"")</f>
        <v>3.7753011578947366</v>
      </c>
      <c r="Q119" s="527" cm="1">
        <f t="array" ref="Q119">IFERROR(INDEX('Country Competitivness'!$AJ$4:$AT$178,Tabela2[[#This Row],[ID]],MAX(1,'Config!'!$BA$15-2010)),"")</f>
        <v>4.9148160000000001</v>
      </c>
      <c r="R119" s="527" cm="1">
        <f t="array" ref="R119">IFERROR(INDEX('Country Competitivness'!$BM$4:$BW$178,Tabela2[[#This Row],[ID]],'Config!'!$BA$15-2010+1),"")</f>
        <v>3.2960060000000002</v>
      </c>
      <c r="S119" s="578" t="str" cm="1">
        <f t="array" ref="S11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19" s="537" t="str" cm="1">
        <f t="array" ref="T119">IF('Config!'!$BA$15=2010,".",IF(INDEX('Result data'!$R$216:$AA$390,'IMS Seg. Table'!$A119,'Config!'!$BA$15-2010)=".",".",INDEX('Result data'!$R$216:$AA$390,'IMS Seg. Table'!$A119,'Config!'!$BA$15-2010)))</f>
        <v>.</v>
      </c>
      <c r="U119" s="579" t="str">
        <f t="shared" si="34"/>
        <v>.</v>
      </c>
      <c r="V119" s="530" t="str" cm="1">
        <f t="array" ref="V119">IF(Tabela2[[#This Row],[Market Penetration (Category)]]=".",".",INDEX('Result data'!$BS$216:$CB$390,'IMS Seg. Table'!$A119,'Config!'!$BA$15-2010))</f>
        <v>.</v>
      </c>
      <c r="W119" s="563" t="str">
        <f>IF(Tabela2[[#This Row],[Market Demand (U$ millions)]]=".",".",Tabela2[[#This Row],[Market Demand (U$ millions)]]/Tabela2[[#This Row],[Active users (thousands)]])</f>
        <v>.</v>
      </c>
      <c r="X119" s="580" cm="1">
        <f t="array" ref="X119">IF('Config!'!$BA$15=2010,".",IF(INDEX('Result data'!$AE$216:$AN$390,'IMS Seg. Table'!$A119,'Config!'!$BA$15-2010)=".",0,INDEX('Result data'!$AE$216:$AN$390,'IMS Seg. Table'!$A119,'Config!'!$BA$15-2010)))</f>
        <v>0</v>
      </c>
      <c r="Y119" s="563" t="str">
        <f>IF('Config!'!$BA$15=2010,".",IF(Tabela2[[#This Row],[Number of competitors]]=0,".",SUMIF('Result data'!$N$216:$N$390,Tabela2[[#This Row],[ID]],'Result data'!$CP$216:$CP$393)))</f>
        <v>.</v>
      </c>
      <c r="Z119" s="563" t="str">
        <f>IF('Config!'!$BA$15=2010,".",IF(Tabela2[[#This Row],[Number of competitors]]=0,".",SUMIF('Result data'!$N$216:$N$390,Tabela2[[#This Row],[ID]],'Result data'!$DA$216:$DA$393)))</f>
        <v>.</v>
      </c>
      <c r="AA119" s="530" t="str" cm="1">
        <f t="array" ref="AA11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19" s="530" t="str" cm="1">
        <f t="array" ref="AB11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1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19" s="530" t="str" cm="1">
        <f t="array" ref="AD11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19" s="530" t="str" cm="1">
        <f t="array" ref="AE11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19" s="530" t="str" cm="1">
        <f t="array" ref="AF11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0" spans="1:32" x14ac:dyDescent="0.3">
      <c r="A120" s="568">
        <f>'Config!'!C106</f>
        <v>102</v>
      </c>
      <c r="B120" s="536" t="str">
        <f>'Config!'!A106</f>
        <v>Maurício</v>
      </c>
      <c r="C120" s="536" t="str">
        <f>'Config!'!B106</f>
        <v>África Subsaariana</v>
      </c>
      <c r="D120" s="538" cm="1">
        <f t="array" ref="D120">IFERROR(INDEX(Population!$BD$3:$BN$177,'IMS Seg. Table'!$A120,'Config!'!$BA$15-2010+1),"")</f>
        <v>1255882</v>
      </c>
      <c r="E120" s="551" cm="1">
        <f t="array" ref="E120">IFERROR(INDEX(Population!$CH$3:$CH$178,'IMS Seg. Table'!$A120,1),"")</f>
        <v>2030</v>
      </c>
      <c r="F120" s="552">
        <f>IFERROR('IMS Seg. Table'!$D120/'IMS Seg. Table'!$E120,"")</f>
        <v>618.66108374384237</v>
      </c>
      <c r="G120" s="575" cm="1">
        <f t="array" ref="G120">IFERROR(INDEX('Country Competitivness'!$CL$4:$CX$178,Tabela2[[#This Row],[ID]],'Config!'!$AZ$17+1),".")</f>
        <v>91.666076547216207</v>
      </c>
      <c r="H120" s="540" cm="1">
        <f t="array" ref="H120">INDEX(GDP!$G$3:$S$177,'IMS Seg. Table'!$A120,'Config!'!$BA$15-2010+1)*1000000000</f>
        <v>11668685524.126455</v>
      </c>
      <c r="I120" s="539">
        <f t="shared" si="33"/>
        <v>9291.2276186189902</v>
      </c>
      <c r="J120" s="576">
        <f>IFERROR(INDEX('Income Tax Rate (%)'!$F$2:$P$176,Tabela2[[#This Row],[ID]],'Config!'!$BA$15-2010+1)/100,"")</f>
        <v>0.15</v>
      </c>
      <c r="K120" s="577">
        <f>IFERROR(INDEX('Tariff Rate (%)'!$F$2:$P$176,Tabela2[[#This Row],[ID]],'Config!'!$BA$15-2010+1)/100,"")</f>
        <v>6.8000000000000005E-3</v>
      </c>
      <c r="L120" s="577">
        <f>IFERROR(INDEX('Corporate Tax Rate (%)'!$F$2:$P$176,Tabela2[[#This Row],[ID]],'Config!'!$BA$15-2010+1)/100,"")</f>
        <v>0.15</v>
      </c>
      <c r="M120" s="527" cm="1">
        <f t="array" ref="M120">INDEX('Score-Starting a business'!$F$2:$P$176,'IMS Seg. Table'!$A120,'Config!'!$BA$15-2010+1)</f>
        <v>91.43</v>
      </c>
      <c r="N120" s="527" cm="1">
        <f t="array" ref="N120">IFERROR(INDEX('Country Competitivness'!$AX$4:$BH$178,Tabela2[[#This Row],[ID]],'Config!'!$BA$15-2010+1),"")</f>
        <v>3.5654139255952382</v>
      </c>
      <c r="O120" s="527" cm="1">
        <f t="array" ref="O120">IFERROR(INDEX('Country Competitivness'!$EE$4:$EO$178,Tabela2[[#This Row],[ID]],'Config!'!$BA$15-2010+1),"")</f>
        <v>4.1355242940476185</v>
      </c>
      <c r="P120" s="527" cm="1">
        <f t="array" ref="P120">IFERROR(INDEX('Country Competitivness'!$H$4:$R$178,Tabela2[[#This Row],[ID]],'Config!'!$BA$15-2010+1),"")</f>
        <v>4.2685268935776932</v>
      </c>
      <c r="Q120" s="527" cm="1">
        <f t="array" ref="Q120">IFERROR(INDEX('Country Competitivness'!$AJ$4:$AT$178,Tabela2[[#This Row],[ID]],MAX(1,'Config!'!$BA$15-2010)),"")</f>
        <v>5.0346554031746029</v>
      </c>
      <c r="R120" s="527" cm="1">
        <f t="array" ref="R120">IFERROR(INDEX('Country Competitivness'!$BM$4:$BW$178,Tabela2[[#This Row],[ID]],'Config!'!$BA$15-2010+1),"")</f>
        <v>3.5686252654761903</v>
      </c>
      <c r="S120" s="578" t="str" cm="1">
        <f t="array" ref="S12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0" s="537" t="str" cm="1">
        <f t="array" ref="T120">IF('Config!'!$BA$15=2010,".",IF(INDEX('Result data'!$R$216:$AA$390,'IMS Seg. Table'!$A120,'Config!'!$BA$15-2010)=".",".",INDEX('Result data'!$R$216:$AA$390,'IMS Seg. Table'!$A120,'Config!'!$BA$15-2010)))</f>
        <v>.</v>
      </c>
      <c r="U120" s="579" t="str">
        <f t="shared" si="34"/>
        <v>.</v>
      </c>
      <c r="V120" s="530" t="str" cm="1">
        <f t="array" ref="V120">IF(Tabela2[[#This Row],[Market Penetration (Category)]]=".",".",INDEX('Result data'!$BS$216:$CB$390,'IMS Seg. Table'!$A120,'Config!'!$BA$15-2010))</f>
        <v>.</v>
      </c>
      <c r="W120" s="563" t="str">
        <f>IF(Tabela2[[#This Row],[Market Demand (U$ millions)]]=".",".",Tabela2[[#This Row],[Market Demand (U$ millions)]]/Tabela2[[#This Row],[Active users (thousands)]])</f>
        <v>.</v>
      </c>
      <c r="X120" s="580" cm="1">
        <f t="array" ref="X120">IF('Config!'!$BA$15=2010,".",IF(INDEX('Result data'!$AE$216:$AN$390,'IMS Seg. Table'!$A120,'Config!'!$BA$15-2010)=".",0,INDEX('Result data'!$AE$216:$AN$390,'IMS Seg. Table'!$A120,'Config!'!$BA$15-2010)))</f>
        <v>0</v>
      </c>
      <c r="Y120" s="563" t="str">
        <f>IF('Config!'!$BA$15=2010,".",IF(Tabela2[[#This Row],[Number of competitors]]=0,".",SUMIF('Result data'!$N$216:$N$390,Tabela2[[#This Row],[ID]],'Result data'!$CP$216:$CP$393)))</f>
        <v>.</v>
      </c>
      <c r="Z120" s="563" t="str">
        <f>IF('Config!'!$BA$15=2010,".",IF(Tabela2[[#This Row],[Number of competitors]]=0,".",SUMIF('Result data'!$N$216:$N$390,Tabela2[[#This Row],[ID]],'Result data'!$DA$216:$DA$393)))</f>
        <v>.</v>
      </c>
      <c r="AA120" s="530" t="str" cm="1">
        <f t="array" ref="AA12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0" s="530" t="str" cm="1">
        <f t="array" ref="AB12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0" s="530" t="str" cm="1">
        <f t="array" ref="AD12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0" s="530" t="str" cm="1">
        <f t="array" ref="AE12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0" s="530" t="str" cm="1">
        <f t="array" ref="AF12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1" spans="1:32" x14ac:dyDescent="0.3">
      <c r="A121" s="569">
        <f>'Config!'!C107</f>
        <v>101</v>
      </c>
      <c r="B121" s="536" t="str">
        <f>'Config!'!A107</f>
        <v>Mauritânia</v>
      </c>
      <c r="C121" s="536" t="str">
        <f>'Config!'!B107</f>
        <v>África Subsaariana</v>
      </c>
      <c r="D121" s="538" cm="1">
        <f t="array" ref="D121">IFERROR(INDEX(Population!$BD$3:$BN$177,'IMS Seg. Table'!$A121,'Config!'!$BA$15-2010+1),"")</f>
        <v>3777067</v>
      </c>
      <c r="E121" s="551" cm="1">
        <f t="array" ref="E121">IFERROR(INDEX(Population!$CH$3:$CH$178,'IMS Seg. Table'!$A121,1),"")</f>
        <v>1030700</v>
      </c>
      <c r="F121" s="552">
        <f>IFERROR('IMS Seg. Table'!$D121/'IMS Seg. Table'!$E121,"")</f>
        <v>3.6645648588338022</v>
      </c>
      <c r="G121" s="575" cm="1">
        <f t="array" ref="G121">IFERROR(INDEX('Country Competitivness'!$CL$4:$CX$178,Tabela2[[#This Row],[ID]],'Config!'!$AZ$17+1),".")</f>
        <v>79.339829520607296</v>
      </c>
      <c r="H121" s="540" cm="1">
        <f t="array" ref="H121">INDEX(GDP!$G$3:$S$177,'IMS Seg. Table'!$A121,'Config!'!$BA$15-2010+1)*1000000000</f>
        <v>5231255478.3898592</v>
      </c>
      <c r="I121" s="539">
        <f t="shared" si="33"/>
        <v>1385.0046817781786</v>
      </c>
      <c r="J121" s="576">
        <f>IFERROR(INDEX('Income Tax Rate (%)'!$F$2:$P$176,Tabela2[[#This Row],[ID]],'Config!'!$BA$15-2010+1)/100,"")</f>
        <v>0.3</v>
      </c>
      <c r="K121" s="577">
        <f>IFERROR(INDEX('Tariff Rate (%)'!$F$2:$P$176,Tabela2[[#This Row],[ID]],'Config!'!$BA$15-2010+1)/100,"")</f>
        <v>0.08</v>
      </c>
      <c r="L121" s="577">
        <f>IFERROR(INDEX('Corporate Tax Rate (%)'!$F$2:$P$176,Tabela2[[#This Row],[ID]],'Config!'!$BA$15-2010+1)/100,"")</f>
        <v>0.25</v>
      </c>
      <c r="M121" s="527" cm="1">
        <f t="array" ref="M121">INDEX('Score-Starting a business'!$F$2:$P$176,'IMS Seg. Table'!$A121,'Config!'!$BA$15-2010+1)</f>
        <v>56.620000000000005</v>
      </c>
      <c r="N121" s="527" cm="1">
        <f t="array" ref="N121">IFERROR(INDEX('Country Competitivness'!$AX$4:$BH$178,Tabela2[[#This Row],[ID]],'Config!'!$BA$15-2010+1),"")</f>
        <v>3.9301174351145036</v>
      </c>
      <c r="O121" s="527" cm="1">
        <f t="array" ref="O121">IFERROR(INDEX('Country Competitivness'!$EE$4:$EO$178,Tabela2[[#This Row],[ID]],'Config!'!$BA$15-2010+1),"")</f>
        <v>2.3259082458015268</v>
      </c>
      <c r="P121" s="527" cm="1">
        <f t="array" ref="P121">IFERROR(INDEX('Country Competitivness'!$H$4:$R$178,Tabela2[[#This Row],[ID]],'Config!'!$BA$15-2010+1),"")</f>
        <v>2.9257145725190847</v>
      </c>
      <c r="Q121" s="527" cm="1">
        <f t="array" ref="Q121">IFERROR(INDEX('Country Competitivness'!$AJ$4:$AT$178,Tabela2[[#This Row],[ID]],MAX(1,'Config!'!$BA$15-2010)),"")</f>
        <v>3.5923155358778627</v>
      </c>
      <c r="R121" s="527" cm="1">
        <f t="array" ref="R121">IFERROR(INDEX('Country Competitivness'!$BM$4:$BW$178,Tabela2[[#This Row],[ID]],'Config!'!$BA$15-2010+1),"")</f>
        <v>2.2537399664122137</v>
      </c>
      <c r="S121" s="578" t="str" cm="1">
        <f t="array" ref="S12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1" s="537" t="str" cm="1">
        <f t="array" ref="T121">IF('Config!'!$BA$15=2010,".",IF(INDEX('Result data'!$R$216:$AA$390,'IMS Seg. Table'!$A121,'Config!'!$BA$15-2010)=".",".",INDEX('Result data'!$R$216:$AA$390,'IMS Seg. Table'!$A121,'Config!'!$BA$15-2010)))</f>
        <v>.</v>
      </c>
      <c r="U121" s="579" t="str">
        <f t="shared" si="34"/>
        <v>.</v>
      </c>
      <c r="V121" s="530" t="str" cm="1">
        <f t="array" ref="V121">IF(Tabela2[[#This Row],[Market Penetration (Category)]]=".",".",INDEX('Result data'!$BS$216:$CB$390,'IMS Seg. Table'!$A121,'Config!'!$BA$15-2010))</f>
        <v>.</v>
      </c>
      <c r="W121" s="563" t="str">
        <f>IF(Tabela2[[#This Row],[Market Demand (U$ millions)]]=".",".",Tabela2[[#This Row],[Market Demand (U$ millions)]]/Tabela2[[#This Row],[Active users (thousands)]])</f>
        <v>.</v>
      </c>
      <c r="X121" s="580" cm="1">
        <f t="array" ref="X121">IF('Config!'!$BA$15=2010,".",IF(INDEX('Result data'!$AE$216:$AN$390,'IMS Seg. Table'!$A121,'Config!'!$BA$15-2010)=".",0,INDEX('Result data'!$AE$216:$AN$390,'IMS Seg. Table'!$A121,'Config!'!$BA$15-2010)))</f>
        <v>0</v>
      </c>
      <c r="Y121" s="563" t="str">
        <f>IF('Config!'!$BA$15=2010,".",IF(Tabela2[[#This Row],[Number of competitors]]=0,".",SUMIF('Result data'!$N$216:$N$390,Tabela2[[#This Row],[ID]],'Result data'!$CP$216:$CP$393)))</f>
        <v>.</v>
      </c>
      <c r="Z121" s="563" t="str">
        <f>IF('Config!'!$BA$15=2010,".",IF(Tabela2[[#This Row],[Number of competitors]]=0,".",SUMIF('Result data'!$N$216:$N$390,Tabela2[[#This Row],[ID]],'Result data'!$DA$216:$DA$393)))</f>
        <v>.</v>
      </c>
      <c r="AA121" s="530" t="str" cm="1">
        <f t="array" ref="AA12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1" s="530" t="str" cm="1">
        <f t="array" ref="AB12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1" s="530" t="str" cm="1">
        <f t="array" ref="AD12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1" s="530" t="str" cm="1">
        <f t="array" ref="AE12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1" s="530" t="str" cm="1">
        <f t="array" ref="AF12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2" spans="1:32" x14ac:dyDescent="0.3">
      <c r="A122" s="568">
        <f>'Config!'!C108</f>
        <v>103</v>
      </c>
      <c r="B122" s="536" t="str">
        <f>'Config!'!A108</f>
        <v>México</v>
      </c>
      <c r="C122" s="536" t="str">
        <f>'Config!'!B108</f>
        <v>América Central</v>
      </c>
      <c r="D122" s="538" cm="1">
        <f t="array" ref="D122">IFERROR(INDEX(Population!$BD$3:$BN$177,'IMS Seg. Table'!$A122,'Config!'!$BA$15-2010+1),"")</f>
        <v>122070963</v>
      </c>
      <c r="E122" s="551" cm="1">
        <f t="array" ref="E122">IFERROR(INDEX(Population!$CH$3:$CH$178,'IMS Seg. Table'!$A122,1),"")</f>
        <v>1943945</v>
      </c>
      <c r="F122" s="552">
        <f>IFERROR('IMS Seg. Table'!$D122/'IMS Seg. Table'!$E122,"")</f>
        <v>62.795481868056967</v>
      </c>
      <c r="G122" s="575" cm="1">
        <f t="array" ref="G122">IFERROR(INDEX('Country Competitivness'!$CL$4:$CX$178,Tabela2[[#This Row],[ID]],'Config!'!$AZ$17+1),".")</f>
        <v>80.550430813236702</v>
      </c>
      <c r="H122" s="540" cm="1">
        <f t="array" ref="H122">INDEX(GDP!$G$3:$S$177,'IMS Seg. Table'!$A122,'Config!'!$BA$15-2010+1)*1000000000</f>
        <v>1201089987015.4524</v>
      </c>
      <c r="I122" s="539">
        <f t="shared" si="33"/>
        <v>9839.2767411481163</v>
      </c>
      <c r="J122" s="576">
        <f>IFERROR(INDEX('Income Tax Rate (%)'!$F$2:$P$176,Tabela2[[#This Row],[ID]],'Config!'!$BA$15-2010+1)/100,"")</f>
        <v>0.3</v>
      </c>
      <c r="K122" s="577">
        <f>IFERROR(INDEX('Tariff Rate (%)'!$F$2:$P$176,Tabela2[[#This Row],[ID]],'Config!'!$BA$15-2010+1)/100,"")</f>
        <v>2.1899999999999999E-2</v>
      </c>
      <c r="L122" s="577">
        <f>IFERROR(INDEX('Corporate Tax Rate (%)'!$F$2:$P$176,Tabela2[[#This Row],[ID]],'Config!'!$BA$15-2010+1)/100,"")</f>
        <v>0.3</v>
      </c>
      <c r="M122" s="527" cm="1">
        <f t="array" ref="M122">INDEX('Score-Starting a business'!$F$2:$P$176,'IMS Seg. Table'!$A122,'Config!'!$BA$15-2010+1)</f>
        <v>86.78</v>
      </c>
      <c r="N122" s="527" cm="1">
        <f t="array" ref="N122">IFERROR(INDEX('Country Competitivness'!$AX$4:$BH$178,Tabela2[[#This Row],[ID]],'Config!'!$BA$15-2010+1),"")</f>
        <v>2.8921464361607141</v>
      </c>
      <c r="O122" s="527" cm="1">
        <f t="array" ref="O122">IFERROR(INDEX('Country Competitivness'!$EE$4:$EO$178,Tabela2[[#This Row],[ID]],'Config!'!$BA$15-2010+1),"")</f>
        <v>4.2801291839285707</v>
      </c>
      <c r="P122" s="527" cm="1">
        <f t="array" ref="P122">IFERROR(INDEX('Country Competitivness'!$H$4:$R$178,Tabela2[[#This Row],[ID]],'Config!'!$BA$15-2010+1),"")</f>
        <v>4.1105720874530078</v>
      </c>
      <c r="Q122" s="527" cm="1">
        <f t="array" ref="Q122">IFERROR(INDEX('Country Competitivness'!$AJ$4:$AT$178,Tabela2[[#This Row],[ID]],MAX(1,'Config!'!$BA$15-2010)),"")</f>
        <v>4.9911546276785712</v>
      </c>
      <c r="R122" s="527" cm="1">
        <f t="array" ref="R122">IFERROR(INDEX('Country Competitivness'!$BM$4:$BW$178,Tabela2[[#This Row],[ID]],'Config!'!$BA$15-2010+1),"")</f>
        <v>3.4495426816964283</v>
      </c>
      <c r="S122" s="578" cm="1">
        <f t="array" ref="S12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122" s="537" cm="1">
        <f t="array" ref="T122">IF('Config!'!$BA$15=2010,".",IF(INDEX('Result data'!$R$216:$AA$390,'IMS Seg. Table'!$A122,'Config!'!$BA$15-2010)=".",".",INDEX('Result data'!$R$216:$AA$390,'IMS Seg. Table'!$A122,'Config!'!$BA$15-2010)))</f>
        <v>868708</v>
      </c>
      <c r="U122" s="579">
        <f t="shared" si="34"/>
        <v>7.1164180133485144E-3</v>
      </c>
      <c r="V122" s="530" cm="1">
        <f t="array" ref="V122">IF(Tabela2[[#This Row],[Market Penetration (Category)]]=".",".",INDEX('Result data'!$BS$216:$CB$390,'IMS Seg. Table'!$A122,'Config!'!$BA$15-2010))</f>
        <v>7730143.191369893</v>
      </c>
      <c r="W122" s="563">
        <f>IF(Tabela2[[#This Row],[Market Demand (U$ millions)]]=".",".",Tabela2[[#This Row],[Market Demand (U$ millions)]]/Tabela2[[#This Row],[Active users (thousands)]])</f>
        <v>8.8984367490225633</v>
      </c>
      <c r="X122" s="580" cm="1">
        <f t="array" ref="X122">IF('Config!'!$BA$15=2010,".",IF(INDEX('Result data'!$AE$216:$AN$390,'IMS Seg. Table'!$A122,'Config!'!$BA$15-2010)=".",0,INDEX('Result data'!$AE$216:$AN$390,'IMS Seg. Table'!$A122,'Config!'!$BA$15-2010)))</f>
        <v>1</v>
      </c>
      <c r="Y122" s="563">
        <f>IF('Config!'!$BA$15=2010,".",IF(Tabela2[[#This Row],[Number of competitors]]=0,".",SUMIF('Result data'!$N$216:$N$390,Tabela2[[#This Row],[ID]],'Result data'!$CP$216:$CP$393)))</f>
        <v>2.4976818130429614</v>
      </c>
      <c r="Z122" s="563">
        <f>IF('Config!'!$BA$15=2010,".",IF(Tabela2[[#This Row],[Number of competitors]]=0,".",SUMIF('Result data'!$N$216:$N$390,Tabela2[[#This Row],[ID]],'Result data'!$DA$216:$DA$393)))</f>
        <v>1.8732613597822212</v>
      </c>
      <c r="AA122" s="530" cm="1">
        <f t="array" ref="AA12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65710.35854991198</v>
      </c>
      <c r="AB122" s="530" cm="1">
        <f t="array" ref="AB12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591393.22694920795</v>
      </c>
      <c r="AC122" s="530">
        <f>IF('Config!'!$BA$15=2010,".",IF(Tabela2[[#This Row],[Local Marketing and Sales Expenses (millions)]]=".",".",SUM(Tabela2[[#This Row],[Global Marketing and Sales Expenses (millions)]:[Local Marketing and Sales Expenses (millions)]])))</f>
        <v>657103.58549911994</v>
      </c>
      <c r="AD122" s="530" cm="1">
        <f t="array" ref="AD12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5078694.2250976376</v>
      </c>
      <c r="AE122" s="530" cm="1">
        <f t="array" ref="AE12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5084473.0769596817</v>
      </c>
      <c r="AF122" s="530" cm="1">
        <f t="array" ref="AF12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123" spans="1:32" x14ac:dyDescent="0.3">
      <c r="A123" s="569">
        <f>'Config!'!C109</f>
        <v>109</v>
      </c>
      <c r="B123" s="536" t="str">
        <f>'Config!'!A109</f>
        <v>Moçambique</v>
      </c>
      <c r="C123" s="536" t="str">
        <f>'Config!'!B109</f>
        <v>África Subsaariana</v>
      </c>
      <c r="D123" s="538" cm="1">
        <f t="array" ref="D123">IFERROR(INDEX(Population!$BD$3:$BN$177,'IMS Seg. Table'!$A123,'Config!'!$BA$15-2010+1),"")</f>
        <v>25732928</v>
      </c>
      <c r="E123" s="551" cm="1">
        <f t="array" ref="E123">IFERROR(INDEX(Population!$CH$3:$CH$178,'IMS Seg. Table'!$A123,1),"")</f>
        <v>786380</v>
      </c>
      <c r="F123" s="552">
        <f>IFERROR('IMS Seg. Table'!$D123/'IMS Seg. Table'!$E123,"")</f>
        <v>32.723273735344236</v>
      </c>
      <c r="G123" s="575" cm="1">
        <f t="array" ref="G123">IFERROR(INDEX('Country Competitivness'!$CL$4:$CX$178,Tabela2[[#This Row],[ID]],'Config!'!$AZ$17+1),".")</f>
        <v>30.884735920351499</v>
      </c>
      <c r="H123" s="540" cm="1">
        <f t="array" ref="H123">INDEX(GDP!$G$3:$S$177,'IMS Seg. Table'!$A123,'Config!'!$BA$15-2010+1)*1000000000</f>
        <v>15265269710.640396</v>
      </c>
      <c r="I123" s="539">
        <f t="shared" si="33"/>
        <v>593.21930682122127</v>
      </c>
      <c r="J123" s="576">
        <f>IFERROR(INDEX('Income Tax Rate (%)'!$F$2:$P$176,Tabela2[[#This Row],[ID]],'Config!'!$BA$15-2010+1)/100,"")</f>
        <v>0.32</v>
      </c>
      <c r="K123" s="577">
        <f>IFERROR(INDEX('Tariff Rate (%)'!$F$2:$P$176,Tabela2[[#This Row],[ID]],'Config!'!$BA$15-2010+1)/100,"")</f>
        <v>4.7500000000000001E-2</v>
      </c>
      <c r="L123" s="577">
        <f>IFERROR(INDEX('Corporate Tax Rate (%)'!$F$2:$P$176,Tabela2[[#This Row],[ID]],'Config!'!$BA$15-2010+1)/100,"")</f>
        <v>0.32</v>
      </c>
      <c r="M123" s="527" cm="1">
        <f t="array" ref="M123">INDEX('Score-Starting a business'!$F$2:$P$176,'IMS Seg. Table'!$A123,'Config!'!$BA$15-2010+1)</f>
        <v>75.58</v>
      </c>
      <c r="N123" s="527" cm="1">
        <f t="array" ref="N123">IFERROR(INDEX('Country Competitivness'!$AX$4:$BH$178,Tabela2[[#This Row],[ID]],'Config!'!$BA$15-2010+1),"")</f>
        <v>3.5972063486338794</v>
      </c>
      <c r="O123" s="527" cm="1">
        <f t="array" ref="O123">IFERROR(INDEX('Country Competitivness'!$EE$4:$EO$178,Tabela2[[#This Row],[ID]],'Config!'!$BA$15-2010+1),"")</f>
        <v>2.33538023715847</v>
      </c>
      <c r="P123" s="527" cm="1">
        <f t="array" ref="P123">IFERROR(INDEX('Country Competitivness'!$H$4:$R$178,Tabela2[[#This Row],[ID]],'Config!'!$BA$15-2010+1),"")</f>
        <v>3.2554200054069597</v>
      </c>
      <c r="Q123" s="527" cm="1">
        <f t="array" ref="Q123">IFERROR(INDEX('Country Competitivness'!$AJ$4:$AT$178,Tabela2[[#This Row],[ID]],MAX(1,'Config!'!$BA$15-2010)),"")</f>
        <v>4.5084330805100175</v>
      </c>
      <c r="R123" s="527" cm="1">
        <f t="array" ref="R123">IFERROR(INDEX('Country Competitivness'!$BM$4:$BW$178,Tabela2[[#This Row],[ID]],'Config!'!$BA$15-2010+1),"")</f>
        <v>2.690821808743169</v>
      </c>
      <c r="S123" s="578" t="str" cm="1">
        <f t="array" ref="S12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3" s="537" t="str" cm="1">
        <f t="array" ref="T123">IF('Config!'!$BA$15=2010,".",IF(INDEX('Result data'!$R$216:$AA$390,'IMS Seg. Table'!$A123,'Config!'!$BA$15-2010)=".",".",INDEX('Result data'!$R$216:$AA$390,'IMS Seg. Table'!$A123,'Config!'!$BA$15-2010)))</f>
        <v>.</v>
      </c>
      <c r="U123" s="579" t="str">
        <f t="shared" si="34"/>
        <v>.</v>
      </c>
      <c r="V123" s="530" t="str" cm="1">
        <f t="array" ref="V123">IF(Tabela2[[#This Row],[Market Penetration (Category)]]=".",".",INDEX('Result data'!$BS$216:$CB$390,'IMS Seg. Table'!$A123,'Config!'!$BA$15-2010))</f>
        <v>.</v>
      </c>
      <c r="W123" s="563" t="str">
        <f>IF(Tabela2[[#This Row],[Market Demand (U$ millions)]]=".",".",Tabela2[[#This Row],[Market Demand (U$ millions)]]/Tabela2[[#This Row],[Active users (thousands)]])</f>
        <v>.</v>
      </c>
      <c r="X123" s="580" cm="1">
        <f t="array" ref="X123">IF('Config!'!$BA$15=2010,".",IF(INDEX('Result data'!$AE$216:$AN$390,'IMS Seg. Table'!$A123,'Config!'!$BA$15-2010)=".",0,INDEX('Result data'!$AE$216:$AN$390,'IMS Seg. Table'!$A123,'Config!'!$BA$15-2010)))</f>
        <v>0</v>
      </c>
      <c r="Y123" s="563" t="str">
        <f>IF('Config!'!$BA$15=2010,".",IF(Tabela2[[#This Row],[Number of competitors]]=0,".",SUMIF('Result data'!$N$216:$N$390,Tabela2[[#This Row],[ID]],'Result data'!$CP$216:$CP$393)))</f>
        <v>.</v>
      </c>
      <c r="Z123" s="563" t="str">
        <f>IF('Config!'!$BA$15=2010,".",IF(Tabela2[[#This Row],[Number of competitors]]=0,".",SUMIF('Result data'!$N$216:$N$390,Tabela2[[#This Row],[ID]],'Result data'!$DA$216:$DA$393)))</f>
        <v>.</v>
      </c>
      <c r="AA123" s="530" t="str" cm="1">
        <f t="array" ref="AA12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3" s="530" t="str" cm="1">
        <f t="array" ref="AB12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3" s="530" t="str" cm="1">
        <f t="array" ref="AD12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3" s="530" t="str" cm="1">
        <f t="array" ref="AE12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3" s="530" t="str" cm="1">
        <f t="array" ref="AF12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4" spans="1:32" x14ac:dyDescent="0.3">
      <c r="A124" s="568">
        <f>'Config!'!C110</f>
        <v>104</v>
      </c>
      <c r="B124" s="536" t="str">
        <f>'Config!'!A110</f>
        <v>Moldova</v>
      </c>
      <c r="C124" s="536" t="str">
        <f>'Config!'!B110</f>
        <v>Europa</v>
      </c>
      <c r="D124" s="538" cm="1">
        <f t="array" ref="D124">IFERROR(INDEX(Population!$BD$3:$BN$177,'IMS Seg. Table'!$A124,'Config!'!$BA$15-2010+1),"")</f>
        <v>3559519</v>
      </c>
      <c r="E124" s="551" cm="1">
        <f t="array" ref="E124">IFERROR(INDEX(Population!$CH$3:$CH$178,'IMS Seg. Table'!$A124,1),"")</f>
        <v>32891</v>
      </c>
      <c r="F124" s="552">
        <f>IFERROR('IMS Seg. Table'!$D124/'IMS Seg. Table'!$E124,"")</f>
        <v>108.2216715818917</v>
      </c>
      <c r="G124" s="575" cm="1">
        <f t="array" ref="G124">IFERROR(INDEX('Country Competitivness'!$CL$4:$CX$178,Tabela2[[#This Row],[ID]],'Config!'!$AZ$17+1),".")</f>
        <v>88.585330902058104</v>
      </c>
      <c r="H124" s="540" cm="1">
        <f t="array" ref="H124">INDEX(GDP!$G$3:$S$177,'IMS Seg. Table'!$A124,'Config!'!$BA$15-2010+1)*1000000000</f>
        <v>8709165249.2692833</v>
      </c>
      <c r="I124" s="539">
        <f t="shared" si="33"/>
        <v>2446.7253157713958</v>
      </c>
      <c r="J124" s="576">
        <f>IFERROR(INDEX('Income Tax Rate (%)'!$F$2:$P$176,Tabela2[[#This Row],[ID]],'Config!'!$BA$15-2010+1)/100,"")</f>
        <v>0.18</v>
      </c>
      <c r="K124" s="577">
        <f>IFERROR(INDEX('Tariff Rate (%)'!$F$2:$P$176,Tabela2[[#This Row],[ID]],'Config!'!$BA$15-2010+1)/100,"")</f>
        <v>2.46E-2</v>
      </c>
      <c r="L124" s="577">
        <f>IFERROR(INDEX('Corporate Tax Rate (%)'!$F$2:$P$176,Tabela2[[#This Row],[ID]],'Config!'!$BA$15-2010+1)/100,"")</f>
        <v>0.12</v>
      </c>
      <c r="M124" s="527" cm="1">
        <f t="array" ref="M124">INDEX('Score-Starting a business'!$F$2:$P$176,'IMS Seg. Table'!$A124,'Config!'!$BA$15-2010+1)</f>
        <v>86.14</v>
      </c>
      <c r="N124" s="527" cm="1">
        <f t="array" ref="N124">IFERROR(INDEX('Country Competitivness'!$AX$4:$BH$178,Tabela2[[#This Row],[ID]],'Config!'!$BA$15-2010+1),"")</f>
        <v>2.9331307126760562</v>
      </c>
      <c r="O124" s="527" cm="1">
        <f t="array" ref="O124">IFERROR(INDEX('Country Competitivness'!$EE$4:$EO$178,Tabela2[[#This Row],[ID]],'Config!'!$BA$15-2010+1),"")</f>
        <v>1.3223631873239436</v>
      </c>
      <c r="P124" s="527" cm="1">
        <f t="array" ref="P124">IFERROR(INDEX('Country Competitivness'!$H$4:$R$178,Tabela2[[#This Row],[ID]],'Config!'!$BA$15-2010+1),"")</f>
        <v>3.2744576020014819</v>
      </c>
      <c r="Q124" s="527" cm="1">
        <f t="array" ref="Q124">IFERROR(INDEX('Country Competitivness'!$AJ$4:$AT$178,Tabela2[[#This Row],[ID]],MAX(1,'Config!'!$BA$15-2010)),"")</f>
        <v>4.0852975258215958</v>
      </c>
      <c r="R124" s="527" cm="1">
        <f t="array" ref="R124">IFERROR(INDEX('Country Competitivness'!$BM$4:$BW$178,Tabela2[[#This Row],[ID]],'Config!'!$BA$15-2010+1),"")</f>
        <v>2.9659205746478872</v>
      </c>
      <c r="S124" s="578" t="str" cm="1">
        <f t="array" ref="S12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4" s="537" t="str" cm="1">
        <f t="array" ref="T124">IF('Config!'!$BA$15=2010,".",IF(INDEX('Result data'!$R$216:$AA$390,'IMS Seg. Table'!$A124,'Config!'!$BA$15-2010)=".",".",INDEX('Result data'!$R$216:$AA$390,'IMS Seg. Table'!$A124,'Config!'!$BA$15-2010)))</f>
        <v>.</v>
      </c>
      <c r="U124" s="579" t="str">
        <f t="shared" si="34"/>
        <v>.</v>
      </c>
      <c r="V124" s="530" t="str" cm="1">
        <f t="array" ref="V124">IF(Tabela2[[#This Row],[Market Penetration (Category)]]=".",".",INDEX('Result data'!$BS$216:$CB$390,'IMS Seg. Table'!$A124,'Config!'!$BA$15-2010))</f>
        <v>.</v>
      </c>
      <c r="W124" s="563" t="str">
        <f>IF(Tabela2[[#This Row],[Market Demand (U$ millions)]]=".",".",Tabela2[[#This Row],[Market Demand (U$ millions)]]/Tabela2[[#This Row],[Active users (thousands)]])</f>
        <v>.</v>
      </c>
      <c r="X124" s="580" cm="1">
        <f t="array" ref="X124">IF('Config!'!$BA$15=2010,".",IF(INDEX('Result data'!$AE$216:$AN$390,'IMS Seg. Table'!$A124,'Config!'!$BA$15-2010)=".",0,INDEX('Result data'!$AE$216:$AN$390,'IMS Seg. Table'!$A124,'Config!'!$BA$15-2010)))</f>
        <v>0</v>
      </c>
      <c r="Y124" s="563" t="str">
        <f>IF('Config!'!$BA$15=2010,".",IF(Tabela2[[#This Row],[Number of competitors]]=0,".",SUMIF('Result data'!$N$216:$N$390,Tabela2[[#This Row],[ID]],'Result data'!$CP$216:$CP$393)))</f>
        <v>.</v>
      </c>
      <c r="Z124" s="563" t="str">
        <f>IF('Config!'!$BA$15=2010,".",IF(Tabela2[[#This Row],[Number of competitors]]=0,".",SUMIF('Result data'!$N$216:$N$390,Tabela2[[#This Row],[ID]],'Result data'!$DA$216:$DA$393)))</f>
        <v>.</v>
      </c>
      <c r="AA124" s="530" t="str" cm="1">
        <f t="array" ref="AA12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4" s="530" t="str" cm="1">
        <f t="array" ref="AB12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4" s="530" t="str" cm="1">
        <f t="array" ref="AD12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4" s="530" t="str" cm="1">
        <f t="array" ref="AE12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4" s="530" t="str" cm="1">
        <f t="array" ref="AF12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5" spans="1:32" x14ac:dyDescent="0.3">
      <c r="A125" s="569">
        <f>'Config!'!C111</f>
        <v>106</v>
      </c>
      <c r="B125" s="536" t="str">
        <f>'Config!'!A111</f>
        <v>Mongólia</v>
      </c>
      <c r="C125" s="536" t="str">
        <f>'Config!'!B111</f>
        <v>Ásia-Pacífico</v>
      </c>
      <c r="D125" s="538" cm="1">
        <f t="array" ref="D125">IFERROR(INDEX(Population!$BD$3:$BN$177,'IMS Seg. Table'!$A125,'Config!'!$BA$15-2010+1),"")</f>
        <v>2808339</v>
      </c>
      <c r="E125" s="551" cm="1">
        <f t="array" ref="E125">IFERROR(INDEX(Population!$CH$3:$CH$178,'IMS Seg. Table'!$A125,1),"")</f>
        <v>1553556</v>
      </c>
      <c r="F125" s="552">
        <f>IFERROR('IMS Seg. Table'!$D125/'IMS Seg. Table'!$E125,"")</f>
        <v>1.807684434935078</v>
      </c>
      <c r="G125" s="575" cm="1">
        <f t="array" ref="G125">IFERROR(INDEX('Country Competitivness'!$CL$4:$CX$178,Tabela2[[#This Row],[ID]],'Config!'!$AZ$17+1),".")</f>
        <v>91.091040968417602</v>
      </c>
      <c r="H125" s="540" cm="1">
        <f t="array" ref="H125">INDEX(GDP!$G$3:$S$177,'IMS Seg. Table'!$A125,'Config!'!$BA$15-2010+1)*1000000000</f>
        <v>12292770631.196688</v>
      </c>
      <c r="I125" s="539">
        <f t="shared" si="33"/>
        <v>4377.2388700924948</v>
      </c>
      <c r="J125" s="576">
        <f>IFERROR(INDEX('Income Tax Rate (%)'!$F$2:$P$176,Tabela2[[#This Row],[ID]],'Config!'!$BA$15-2010+1)/100,"")</f>
        <v>0.1</v>
      </c>
      <c r="K125" s="577">
        <f>IFERROR(INDEX('Tariff Rate (%)'!$F$2:$P$176,Tabela2[[#This Row],[ID]],'Config!'!$BA$15-2010+1)/100,"")</f>
        <v>5.1299999999999998E-2</v>
      </c>
      <c r="L125" s="577">
        <f>IFERROR(INDEX('Corporate Tax Rate (%)'!$F$2:$P$176,Tabela2[[#This Row],[ID]],'Config!'!$BA$15-2010+1)/100,"")</f>
        <v>0.25</v>
      </c>
      <c r="M125" s="527" cm="1">
        <f t="array" ref="M125">INDEX('Score-Starting a business'!$F$2:$P$176,'IMS Seg. Table'!$A125,'Config!'!$BA$15-2010+1)</f>
        <v>82.94</v>
      </c>
      <c r="N125" s="527" cm="1">
        <f t="array" ref="N125">IFERROR(INDEX('Country Competitivness'!$AX$4:$BH$178,Tabela2[[#This Row],[ID]],'Config!'!$BA$15-2010+1),"")</f>
        <v>2.697454263636363</v>
      </c>
      <c r="O125" s="527" cm="1">
        <f t="array" ref="O125">IFERROR(INDEX('Country Competitivness'!$EE$4:$EO$178,Tabela2[[#This Row],[ID]],'Config!'!$BA$15-2010+1),"")</f>
        <v>1.8059656636363632</v>
      </c>
      <c r="P125" s="527" cm="1">
        <f t="array" ref="P125">IFERROR(INDEX('Country Competitivness'!$H$4:$R$178,Tabela2[[#This Row],[ID]],'Config!'!$BA$15-2010+1),"")</f>
        <v>3.2411068244019132</v>
      </c>
      <c r="Q125" s="527" cm="1">
        <f t="array" ref="Q125">IFERROR(INDEX('Country Competitivness'!$AJ$4:$AT$178,Tabela2[[#This Row],[ID]],MAX(1,'Config!'!$BA$15-2010)),"")</f>
        <v>4.3735024909090905</v>
      </c>
      <c r="R125" s="527" cm="1">
        <f t="array" ref="R125">IFERROR(INDEX('Country Competitivness'!$BM$4:$BW$178,Tabela2[[#This Row],[ID]],'Config!'!$BA$15-2010+1),"")</f>
        <v>3.039880227272727</v>
      </c>
      <c r="S125" s="578" t="str" cm="1">
        <f t="array" ref="S12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5" s="537" t="str" cm="1">
        <f t="array" ref="T125">IF('Config!'!$BA$15=2010,".",IF(INDEX('Result data'!$R$216:$AA$390,'IMS Seg. Table'!$A125,'Config!'!$BA$15-2010)=".",".",INDEX('Result data'!$R$216:$AA$390,'IMS Seg. Table'!$A125,'Config!'!$BA$15-2010)))</f>
        <v>.</v>
      </c>
      <c r="U125" s="579" t="str">
        <f t="shared" si="34"/>
        <v>.</v>
      </c>
      <c r="V125" s="530" t="str" cm="1">
        <f t="array" ref="V125">IF(Tabela2[[#This Row],[Market Penetration (Category)]]=".",".",INDEX('Result data'!$BS$216:$CB$390,'IMS Seg. Table'!$A125,'Config!'!$BA$15-2010))</f>
        <v>.</v>
      </c>
      <c r="W125" s="563" t="str">
        <f>IF(Tabela2[[#This Row],[Market Demand (U$ millions)]]=".",".",Tabela2[[#This Row],[Market Demand (U$ millions)]]/Tabela2[[#This Row],[Active users (thousands)]])</f>
        <v>.</v>
      </c>
      <c r="X125" s="580" cm="1">
        <f t="array" ref="X125">IF('Config!'!$BA$15=2010,".",IF(INDEX('Result data'!$AE$216:$AN$390,'IMS Seg. Table'!$A125,'Config!'!$BA$15-2010)=".",0,INDEX('Result data'!$AE$216:$AN$390,'IMS Seg. Table'!$A125,'Config!'!$BA$15-2010)))</f>
        <v>0</v>
      </c>
      <c r="Y125" s="563" t="str">
        <f>IF('Config!'!$BA$15=2010,".",IF(Tabela2[[#This Row],[Number of competitors]]=0,".",SUMIF('Result data'!$N$216:$N$390,Tabela2[[#This Row],[ID]],'Result data'!$CP$216:$CP$393)))</f>
        <v>.</v>
      </c>
      <c r="Z125" s="563" t="str">
        <f>IF('Config!'!$BA$15=2010,".",IF(Tabela2[[#This Row],[Number of competitors]]=0,".",SUMIF('Result data'!$N$216:$N$390,Tabela2[[#This Row],[ID]],'Result data'!$DA$216:$DA$393)))</f>
        <v>.</v>
      </c>
      <c r="AA125" s="530" t="str" cm="1">
        <f t="array" ref="AA12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5" s="530" t="str" cm="1">
        <f t="array" ref="AB12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5" s="530" t="str" cm="1">
        <f t="array" ref="AD12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5" s="530" t="str" cm="1">
        <f t="array" ref="AE12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5" s="530" t="str" cm="1">
        <f t="array" ref="AF12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6" spans="1:32" x14ac:dyDescent="0.3">
      <c r="A126" s="568">
        <f>'Config!'!C112</f>
        <v>107</v>
      </c>
      <c r="B126" s="536" t="str">
        <f>'Config!'!A112</f>
        <v>Montenegro</v>
      </c>
      <c r="C126" s="536" t="str">
        <f>'Config!'!B112</f>
        <v>Europa</v>
      </c>
      <c r="D126" s="538" cm="1">
        <f t="array" ref="D126">IFERROR(INDEX(Population!$BD$3:$BN$177,'IMS Seg. Table'!$A126,'Config!'!$BA$15-2010+1),"")</f>
        <v>620601</v>
      </c>
      <c r="E126" s="551" cm="1">
        <f t="array" ref="E126">IFERROR(INDEX(Population!$CH$3:$CH$178,'IMS Seg. Table'!$A126,1),"")</f>
        <v>13452</v>
      </c>
      <c r="F126" s="552">
        <f>IFERROR('IMS Seg. Table'!$D126/'IMS Seg. Table'!$E126,"")</f>
        <v>46.134478144513828</v>
      </c>
      <c r="G126" s="575" cm="1">
        <f t="array" ref="G126">IFERROR(INDEX('Country Competitivness'!$CL$4:$CX$178,Tabela2[[#This Row],[ID]],'Config!'!$AZ$17+1),".")</f>
        <v>185.27609304977099</v>
      </c>
      <c r="H126" s="540" cm="1">
        <f t="array" ref="H126">INDEX(GDP!$G$3:$S$177,'IMS Seg. Table'!$A126,'Config!'!$BA$15-2010+1)*1000000000</f>
        <v>4087725812.6686373</v>
      </c>
      <c r="I126" s="539">
        <f t="shared" si="33"/>
        <v>6586.7212793222006</v>
      </c>
      <c r="J126" s="576">
        <f>IFERROR(INDEX('Income Tax Rate (%)'!$F$2:$P$176,Tabela2[[#This Row],[ID]],'Config!'!$BA$15-2010+1)/100,"")</f>
        <v>0.09</v>
      </c>
      <c r="K126" s="577">
        <f>IFERROR(INDEX('Tariff Rate (%)'!$F$2:$P$176,Tabela2[[#This Row],[ID]],'Config!'!$BA$15-2010+1)/100,"")</f>
        <v>3.4700000000000002E-2</v>
      </c>
      <c r="L126" s="577">
        <f>IFERROR(INDEX('Corporate Tax Rate (%)'!$F$2:$P$176,Tabela2[[#This Row],[ID]],'Config!'!$BA$15-2010+1)/100,"")</f>
        <v>0.09</v>
      </c>
      <c r="M126" s="527" cm="1">
        <f t="array" ref="M126">INDEX('Score-Starting a business'!$F$2:$P$176,'IMS Seg. Table'!$A126,'Config!'!$BA$15-2010+1)</f>
        <v>86.570000000000007</v>
      </c>
      <c r="N126" s="527" cm="1">
        <f t="array" ref="N126">IFERROR(INDEX('Country Competitivness'!$AX$4:$BH$178,Tabela2[[#This Row],[ID]],'Config!'!$BA$15-2010+1),"")</f>
        <v>4.0337376859872611</v>
      </c>
      <c r="O126" s="527" cm="1">
        <f t="array" ref="O126">IFERROR(INDEX('Country Competitivness'!$EE$4:$EO$178,Tabela2[[#This Row],[ID]],'Config!'!$BA$15-2010+1),"")</f>
        <v>3.1436298643312104</v>
      </c>
      <c r="P126" s="527" cm="1">
        <f t="array" ref="P126">IFERROR(INDEX('Country Competitivness'!$H$4:$R$178,Tabela2[[#This Row],[ID]],'Config!'!$BA$15-2010+1),"")</f>
        <v>3.8459589695943679</v>
      </c>
      <c r="Q126" s="527" cm="1">
        <f t="array" ref="Q126">IFERROR(INDEX('Country Competitivness'!$AJ$4:$AT$178,Tabela2[[#This Row],[ID]],MAX(1,'Config!'!$BA$15-2010)),"")</f>
        <v>4.6091572541401282</v>
      </c>
      <c r="R126" s="527" cm="1">
        <f t="array" ref="R126">IFERROR(INDEX('Country Competitivness'!$BM$4:$BW$178,Tabela2[[#This Row],[ID]],'Config!'!$BA$15-2010+1),"")</f>
        <v>3.6171026859872608</v>
      </c>
      <c r="S126" s="578" t="str" cm="1">
        <f t="array" ref="S12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6" s="537" t="str" cm="1">
        <f t="array" ref="T126">IF('Config!'!$BA$15=2010,".",IF(INDEX('Result data'!$R$216:$AA$390,'IMS Seg. Table'!$A126,'Config!'!$BA$15-2010)=".",".",INDEX('Result data'!$R$216:$AA$390,'IMS Seg. Table'!$A126,'Config!'!$BA$15-2010)))</f>
        <v>.</v>
      </c>
      <c r="U126" s="579" t="str">
        <f t="shared" si="34"/>
        <v>.</v>
      </c>
      <c r="V126" s="530" t="str" cm="1">
        <f t="array" ref="V126">IF(Tabela2[[#This Row],[Market Penetration (Category)]]=".",".",INDEX('Result data'!$BS$216:$CB$390,'IMS Seg. Table'!$A126,'Config!'!$BA$15-2010))</f>
        <v>.</v>
      </c>
      <c r="W126" s="563" t="str">
        <f>IF(Tabela2[[#This Row],[Market Demand (U$ millions)]]=".",".",Tabela2[[#This Row],[Market Demand (U$ millions)]]/Tabela2[[#This Row],[Active users (thousands)]])</f>
        <v>.</v>
      </c>
      <c r="X126" s="580" cm="1">
        <f t="array" ref="X126">IF('Config!'!$BA$15=2010,".",IF(INDEX('Result data'!$AE$216:$AN$390,'IMS Seg. Table'!$A126,'Config!'!$BA$15-2010)=".",0,INDEX('Result data'!$AE$216:$AN$390,'IMS Seg. Table'!$A126,'Config!'!$BA$15-2010)))</f>
        <v>0</v>
      </c>
      <c r="Y126" s="563" t="str">
        <f>IF('Config!'!$BA$15=2010,".",IF(Tabela2[[#This Row],[Number of competitors]]=0,".",SUMIF('Result data'!$N$216:$N$390,Tabela2[[#This Row],[ID]],'Result data'!$CP$216:$CP$393)))</f>
        <v>.</v>
      </c>
      <c r="Z126" s="563" t="str">
        <f>IF('Config!'!$BA$15=2010,".",IF(Tabela2[[#This Row],[Number of competitors]]=0,".",SUMIF('Result data'!$N$216:$N$390,Tabela2[[#This Row],[ID]],'Result data'!$DA$216:$DA$393)))</f>
        <v>.</v>
      </c>
      <c r="AA126" s="530" t="str" cm="1">
        <f t="array" ref="AA12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6" s="530" t="str" cm="1">
        <f t="array" ref="AB12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6" s="530" t="str" cm="1">
        <f t="array" ref="AD12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6" s="530" t="str" cm="1">
        <f t="array" ref="AE12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6" s="530" t="str" cm="1">
        <f t="array" ref="AF12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7" spans="1:32" x14ac:dyDescent="0.3">
      <c r="A127" s="569">
        <f>'Config!'!C113</f>
        <v>110</v>
      </c>
      <c r="B127" s="536" t="str">
        <f>'Config!'!A113</f>
        <v>Namíbia</v>
      </c>
      <c r="C127" s="536" t="str">
        <f>'Config!'!B113</f>
        <v>África Subsaariana</v>
      </c>
      <c r="D127" s="538" cm="1">
        <f t="array" ref="D127">IFERROR(INDEX(Population!$BD$3:$BN$177,'IMS Seg. Table'!$A127,'Config!'!$BA$15-2010+1),"")</f>
        <v>2291645</v>
      </c>
      <c r="E127" s="551" cm="1">
        <f t="array" ref="E127">IFERROR(INDEX(Population!$CH$3:$CH$178,'IMS Seg. Table'!$A127,1),"")</f>
        <v>823290</v>
      </c>
      <c r="F127" s="552">
        <f>IFERROR('IMS Seg. Table'!$D127/'IMS Seg. Table'!$E127,"")</f>
        <v>2.7835209950321271</v>
      </c>
      <c r="G127" s="575" cm="1">
        <f t="array" ref="G127">IFERROR(INDEX('Country Competitivness'!$CL$4:$CX$178,Tabela2[[#This Row],[ID]],'Config!'!$AZ$17+1),".")</f>
        <v>67.206910732719294</v>
      </c>
      <c r="H127" s="540" cm="1">
        <f t="array" ref="H127">INDEX(GDP!$G$3:$S$177,'IMS Seg. Table'!$A127,'Config!'!$BA$15-2010+1)*1000000000</f>
        <v>13016272898.903774</v>
      </c>
      <c r="I127" s="539">
        <f t="shared" si="33"/>
        <v>5679.8818747684627</v>
      </c>
      <c r="J127" s="576">
        <f>IFERROR(INDEX('Income Tax Rate (%)'!$F$2:$P$176,Tabela2[[#This Row],[ID]],'Config!'!$BA$15-2010+1)/100,"")</f>
        <v>0.37</v>
      </c>
      <c r="K127" s="577">
        <f>IFERROR(INDEX('Tariff Rate (%)'!$F$2:$P$176,Tabela2[[#This Row],[ID]],'Config!'!$BA$15-2010+1)/100,"")</f>
        <v>1.0500000000000001E-2</v>
      </c>
      <c r="L127" s="577">
        <f>IFERROR(INDEX('Corporate Tax Rate (%)'!$F$2:$P$176,Tabela2[[#This Row],[ID]],'Config!'!$BA$15-2010+1)/100,"")</f>
        <v>0.34</v>
      </c>
      <c r="M127" s="527" cm="1">
        <f t="array" ref="M127">INDEX('Score-Starting a business'!$F$2:$P$176,'IMS Seg. Table'!$A127,'Config!'!$BA$15-2010+1)</f>
        <v>68.16</v>
      </c>
      <c r="N127" s="527" cm="1">
        <f t="array" ref="N127">IFERROR(INDEX('Country Competitivness'!$AX$4:$BH$178,Tabela2[[#This Row],[ID]],'Config!'!$BA$15-2010+1),"")</f>
        <v>3.389376851282051</v>
      </c>
      <c r="O127" s="527" cm="1">
        <f t="array" ref="O127">IFERROR(INDEX('Country Competitivness'!$EE$4:$EO$178,Tabela2[[#This Row],[ID]],'Config!'!$BA$15-2010+1),"")</f>
        <v>5.3515087692307697</v>
      </c>
      <c r="P127" s="527" cm="1">
        <f t="array" ref="P127">IFERROR(INDEX('Country Competitivness'!$H$4:$R$178,Tabela2[[#This Row],[ID]],'Config!'!$BA$15-2010+1),"")</f>
        <v>3.5595611257759781</v>
      </c>
      <c r="Q127" s="527" cm="1">
        <f t="array" ref="Q127">IFERROR(INDEX('Country Competitivness'!$AJ$4:$AT$178,Tabela2[[#This Row],[ID]],MAX(1,'Config!'!$BA$15-2010)),"")</f>
        <v>5.0006879094017096</v>
      </c>
      <c r="R127" s="527" cm="1">
        <f t="array" ref="R127">IFERROR(INDEX('Country Competitivness'!$BM$4:$BW$178,Tabela2[[#This Row],[ID]],'Config!'!$BA$15-2010+1),"")</f>
        <v>3.4981665897435903</v>
      </c>
      <c r="S127" s="578" t="str" cm="1">
        <f t="array" ref="S12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7" s="537" t="str" cm="1">
        <f t="array" ref="T127">IF('Config!'!$BA$15=2010,".",IF(INDEX('Result data'!$R$216:$AA$390,'IMS Seg. Table'!$A127,'Config!'!$BA$15-2010)=".",".",INDEX('Result data'!$R$216:$AA$390,'IMS Seg. Table'!$A127,'Config!'!$BA$15-2010)))</f>
        <v>.</v>
      </c>
      <c r="U127" s="579" t="str">
        <f t="shared" si="34"/>
        <v>.</v>
      </c>
      <c r="V127" s="530" t="str" cm="1">
        <f t="array" ref="V127">IF(Tabela2[[#This Row],[Market Penetration (Category)]]=".",".",INDEX('Result data'!$BS$216:$CB$390,'IMS Seg. Table'!$A127,'Config!'!$BA$15-2010))</f>
        <v>.</v>
      </c>
      <c r="W127" s="563" t="str">
        <f>IF(Tabela2[[#This Row],[Market Demand (U$ millions)]]=".",".",Tabela2[[#This Row],[Market Demand (U$ millions)]]/Tabela2[[#This Row],[Active users (thousands)]])</f>
        <v>.</v>
      </c>
      <c r="X127" s="580" cm="1">
        <f t="array" ref="X127">IF('Config!'!$BA$15=2010,".",IF(INDEX('Result data'!$AE$216:$AN$390,'IMS Seg. Table'!$A127,'Config!'!$BA$15-2010)=".",0,INDEX('Result data'!$AE$216:$AN$390,'IMS Seg. Table'!$A127,'Config!'!$BA$15-2010)))</f>
        <v>0</v>
      </c>
      <c r="Y127" s="563" t="str">
        <f>IF('Config!'!$BA$15=2010,".",IF(Tabela2[[#This Row],[Number of competitors]]=0,".",SUMIF('Result data'!$N$216:$N$390,Tabela2[[#This Row],[ID]],'Result data'!$CP$216:$CP$393)))</f>
        <v>.</v>
      </c>
      <c r="Z127" s="563" t="str">
        <f>IF('Config!'!$BA$15=2010,".",IF(Tabela2[[#This Row],[Number of competitors]]=0,".",SUMIF('Result data'!$N$216:$N$390,Tabela2[[#This Row],[ID]],'Result data'!$DA$216:$DA$393)))</f>
        <v>.</v>
      </c>
      <c r="AA127" s="530" t="str" cm="1">
        <f t="array" ref="AA12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7" s="530" t="str" cm="1">
        <f t="array" ref="AB12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7" s="530" t="str" cm="1">
        <f t="array" ref="AD12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7" s="530" t="str" cm="1">
        <f t="array" ref="AE12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7" s="530" t="str" cm="1">
        <f t="array" ref="AF12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8" spans="1:32" x14ac:dyDescent="0.3">
      <c r="A128" s="568">
        <f>'Config!'!C114</f>
        <v>111</v>
      </c>
      <c r="B128" s="536" t="str">
        <f>'Config!'!A114</f>
        <v>Nepal</v>
      </c>
      <c r="C128" s="536" t="str">
        <f>'Config!'!B114</f>
        <v>Ásia-Pacífico</v>
      </c>
      <c r="D128" s="538" cm="1">
        <f t="array" ref="D128">IFERROR(INDEX(Population!$BD$3:$BN$177,'IMS Seg. Table'!$A128,'Config!'!$BA$15-2010+1),"")</f>
        <v>27500515</v>
      </c>
      <c r="E128" s="551" cm="1">
        <f t="array" ref="E128">IFERROR(INDEX(Population!$CH$3:$CH$178,'IMS Seg. Table'!$A128,1),"")</f>
        <v>143351</v>
      </c>
      <c r="F128" s="552">
        <f>IFERROR('IMS Seg. Table'!$D128/'IMS Seg. Table'!$E128,"")</f>
        <v>191.84041269331919</v>
      </c>
      <c r="G128" s="575" cm="1">
        <f t="array" ref="G128">IFERROR(INDEX('Country Competitivness'!$CL$4:$CX$178,Tabela2[[#This Row],[ID]],'Config!'!$AZ$17+1),".")</f>
        <v>30.693448632621202</v>
      </c>
      <c r="H128" s="540" cm="1">
        <f t="array" ref="H128">INDEX(GDP!$G$3:$S$177,'IMS Seg. Table'!$A128,'Config!'!$BA$15-2010+1)*1000000000</f>
        <v>18851513891.065998</v>
      </c>
      <c r="I128" s="539">
        <f t="shared" si="33"/>
        <v>685.49675855401244</v>
      </c>
      <c r="J128" s="576">
        <f>IFERROR(INDEX('Income Tax Rate (%)'!$F$2:$P$176,Tabela2[[#This Row],[ID]],'Config!'!$BA$15-2010+1)/100,"")</f>
        <v>0.25</v>
      </c>
      <c r="K128" s="577">
        <f>IFERROR(INDEX('Tariff Rate (%)'!$F$2:$P$176,Tabela2[[#This Row],[ID]],'Config!'!$BA$15-2010+1)/100,"")</f>
        <v>0.12</v>
      </c>
      <c r="L128" s="577">
        <f>IFERROR(INDEX('Corporate Tax Rate (%)'!$F$2:$P$176,Tabela2[[#This Row],[ID]],'Config!'!$BA$15-2010+1)/100,"")</f>
        <v>0.25</v>
      </c>
      <c r="M128" s="527" cm="1">
        <f t="array" ref="M128">INDEX('Score-Starting a business'!$F$2:$P$176,'IMS Seg. Table'!$A128,'Config!'!$BA$15-2010+1)</f>
        <v>79.34</v>
      </c>
      <c r="N128" s="527" cm="1">
        <f t="array" ref="N128">IFERROR(INDEX('Country Competitivness'!$AX$4:$BH$178,Tabela2[[#This Row],[ID]],'Config!'!$BA$15-2010+1),"")</f>
        <v>2.8768049599999994</v>
      </c>
      <c r="O128" s="527" cm="1">
        <f t="array" ref="O128">IFERROR(INDEX('Country Competitivness'!$EE$4:$EO$178,Tabela2[[#This Row],[ID]],'Config!'!$BA$15-2010+1),"")</f>
        <v>2.4562263199999999</v>
      </c>
      <c r="P128" s="527" cm="1">
        <f t="array" ref="P128">IFERROR(INDEX('Country Competitivness'!$H$4:$R$178,Tabela2[[#This Row],[ID]],'Config!'!$BA$15-2010+1),"")</f>
        <v>3.1452822892105265</v>
      </c>
      <c r="Q128" s="527" cm="1">
        <f t="array" ref="Q128">IFERROR(INDEX('Country Competitivness'!$AJ$4:$AT$178,Tabela2[[#This Row],[ID]],MAX(1,'Config!'!$BA$15-2010)),"")</f>
        <v>4.0009822299999991</v>
      </c>
      <c r="R128" s="527" cm="1">
        <f t="array" ref="R128">IFERROR(INDEX('Country Competitivness'!$BM$4:$BW$178,Tabela2[[#This Row],[ID]],'Config!'!$BA$15-2010+1),"")</f>
        <v>2.8393166149999995</v>
      </c>
      <c r="S128" s="578" t="str" cm="1">
        <f t="array" ref="S12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8" s="537" t="str" cm="1">
        <f t="array" ref="T128">IF('Config!'!$BA$15=2010,".",IF(INDEX('Result data'!$R$216:$AA$390,'IMS Seg. Table'!$A128,'Config!'!$BA$15-2010)=".",".",INDEX('Result data'!$R$216:$AA$390,'IMS Seg. Table'!$A128,'Config!'!$BA$15-2010)))</f>
        <v>.</v>
      </c>
      <c r="U128" s="579" t="str">
        <f t="shared" si="34"/>
        <v>.</v>
      </c>
      <c r="V128" s="530" t="str" cm="1">
        <f t="array" ref="V128">IF(Tabela2[[#This Row],[Market Penetration (Category)]]=".",".",INDEX('Result data'!$BS$216:$CB$390,'IMS Seg. Table'!$A128,'Config!'!$BA$15-2010))</f>
        <v>.</v>
      </c>
      <c r="W128" s="563" t="str">
        <f>IF(Tabela2[[#This Row],[Market Demand (U$ millions)]]=".",".",Tabela2[[#This Row],[Market Demand (U$ millions)]]/Tabela2[[#This Row],[Active users (thousands)]])</f>
        <v>.</v>
      </c>
      <c r="X128" s="580" cm="1">
        <f t="array" ref="X128">IF('Config!'!$BA$15=2010,".",IF(INDEX('Result data'!$AE$216:$AN$390,'IMS Seg. Table'!$A128,'Config!'!$BA$15-2010)=".",0,INDEX('Result data'!$AE$216:$AN$390,'IMS Seg. Table'!$A128,'Config!'!$BA$15-2010)))</f>
        <v>0</v>
      </c>
      <c r="Y128" s="563" t="str">
        <f>IF('Config!'!$BA$15=2010,".",IF(Tabela2[[#This Row],[Number of competitors]]=0,".",SUMIF('Result data'!$N$216:$N$390,Tabela2[[#This Row],[ID]],'Result data'!$CP$216:$CP$393)))</f>
        <v>.</v>
      </c>
      <c r="Z128" s="563" t="str">
        <f>IF('Config!'!$BA$15=2010,".",IF(Tabela2[[#This Row],[Number of competitors]]=0,".",SUMIF('Result data'!$N$216:$N$390,Tabela2[[#This Row],[ID]],'Result data'!$DA$216:$DA$393)))</f>
        <v>.</v>
      </c>
      <c r="AA128" s="530" t="str" cm="1">
        <f t="array" ref="AA12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8" s="530" t="str" cm="1">
        <f t="array" ref="AB12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8" s="530" t="str" cm="1">
        <f t="array" ref="AD12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8" s="530" t="str" cm="1">
        <f t="array" ref="AE12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8" s="530" t="str" cm="1">
        <f t="array" ref="AF12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29" spans="1:32" x14ac:dyDescent="0.3">
      <c r="A129" s="569">
        <f>'Config!'!C115</f>
        <v>114</v>
      </c>
      <c r="B129" s="536" t="str">
        <f>'Config!'!A115</f>
        <v>Nicarágua</v>
      </c>
      <c r="C129" s="536" t="str">
        <f>'Config!'!B115</f>
        <v>América Central</v>
      </c>
      <c r="D129" s="538" cm="1">
        <f t="array" ref="D129">IFERROR(INDEX(Population!$BD$3:$BN$177,'IMS Seg. Table'!$A129,'Config!'!$BA$15-2010+1),"")</f>
        <v>5877034</v>
      </c>
      <c r="E129" s="551" cm="1">
        <f t="array" ref="E129">IFERROR(INDEX(Population!$CH$3:$CH$178,'IMS Seg. Table'!$A129,1),"")</f>
        <v>119990</v>
      </c>
      <c r="F129" s="552">
        <f>IFERROR('IMS Seg. Table'!$D129/'IMS Seg. Table'!$E129,"")</f>
        <v>48.979364947078921</v>
      </c>
      <c r="G129" s="575" cm="1">
        <f t="array" ref="G129">IFERROR(INDEX('Country Competitivness'!$CL$4:$CX$178,Tabela2[[#This Row],[ID]],'Config!'!$AZ$17+1),".")</f>
        <v>65.141738406468505</v>
      </c>
      <c r="H129" s="540" cm="1">
        <f t="array" ref="H129">INDEX(GDP!$G$3:$S$177,'IMS Seg. Table'!$A129,'Config!'!$BA$15-2010+1)*1000000000</f>
        <v>10532001129.669975</v>
      </c>
      <c r="I129" s="539">
        <f t="shared" si="33"/>
        <v>1792.0606090878453</v>
      </c>
      <c r="J129" s="576">
        <f>IFERROR(INDEX('Income Tax Rate (%)'!$F$2:$P$176,Tabela2[[#This Row],[ID]],'Config!'!$BA$15-2010+1)/100,"")</f>
        <v>0.3</v>
      </c>
      <c r="K129" s="577">
        <f>IFERROR(INDEX('Tariff Rate (%)'!$F$2:$P$176,Tabela2[[#This Row],[ID]],'Config!'!$BA$15-2010+1)/100,"")</f>
        <v>2.3E-2</v>
      </c>
      <c r="L129" s="577">
        <f>IFERROR(INDEX('Corporate Tax Rate (%)'!$F$2:$P$176,Tabela2[[#This Row],[ID]],'Config!'!$BA$15-2010+1)/100,"")</f>
        <v>0.3</v>
      </c>
      <c r="M129" s="527" cm="1">
        <f t="array" ref="M129">INDEX('Score-Starting a business'!$F$2:$P$176,'IMS Seg. Table'!$A129,'Config!'!$BA$15-2010+1)</f>
        <v>66.540000000000006</v>
      </c>
      <c r="N129" s="527" cm="1">
        <f t="array" ref="N129">IFERROR(INDEX('Country Competitivness'!$AX$4:$BH$178,Tabela2[[#This Row],[ID]],'Config!'!$BA$15-2010+1),"")</f>
        <v>3.243832691477273</v>
      </c>
      <c r="O129" s="527" cm="1">
        <f t="array" ref="O129">IFERROR(INDEX('Country Competitivness'!$EE$4:$EO$178,Tabela2[[#This Row],[ID]],'Config!'!$BA$15-2010+1),"")</f>
        <v>3.3450144602272731</v>
      </c>
      <c r="P129" s="527" cm="1">
        <f t="array" ref="P129">IFERROR(INDEX('Country Competitivness'!$H$4:$R$178,Tabela2[[#This Row],[ID]],'Config!'!$BA$15-2010+1),"")</f>
        <v>3.2148926926136365</v>
      </c>
      <c r="Q129" s="527" cm="1">
        <f t="array" ref="Q129">IFERROR(INDEX('Country Competitivness'!$AJ$4:$AT$178,Tabela2[[#This Row],[ID]],MAX(1,'Config!'!$BA$15-2010)),"")</f>
        <v>4.0944471600378796</v>
      </c>
      <c r="R129" s="527" cm="1">
        <f t="array" ref="R129">IFERROR(INDEX('Country Competitivness'!$BM$4:$BW$178,Tabela2[[#This Row],[ID]],'Config!'!$BA$15-2010+1),"")</f>
        <v>2.9686634284090907</v>
      </c>
      <c r="S129" s="578" t="str" cm="1">
        <f t="array" ref="S12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29" s="537" t="str" cm="1">
        <f t="array" ref="T129">IF('Config!'!$BA$15=2010,".",IF(INDEX('Result data'!$R$216:$AA$390,'IMS Seg. Table'!$A129,'Config!'!$BA$15-2010)=".",".",INDEX('Result data'!$R$216:$AA$390,'IMS Seg. Table'!$A129,'Config!'!$BA$15-2010)))</f>
        <v>.</v>
      </c>
      <c r="U129" s="579" t="str">
        <f t="shared" si="34"/>
        <v>.</v>
      </c>
      <c r="V129" s="530" t="str" cm="1">
        <f t="array" ref="V129">IF(Tabela2[[#This Row],[Market Penetration (Category)]]=".",".",INDEX('Result data'!$BS$216:$CB$390,'IMS Seg. Table'!$A129,'Config!'!$BA$15-2010))</f>
        <v>.</v>
      </c>
      <c r="W129" s="563" t="str">
        <f>IF(Tabela2[[#This Row],[Market Demand (U$ millions)]]=".",".",Tabela2[[#This Row],[Market Demand (U$ millions)]]/Tabela2[[#This Row],[Active users (thousands)]])</f>
        <v>.</v>
      </c>
      <c r="X129" s="580" cm="1">
        <f t="array" ref="X129">IF('Config!'!$BA$15=2010,".",IF(INDEX('Result data'!$AE$216:$AN$390,'IMS Seg. Table'!$A129,'Config!'!$BA$15-2010)=".",0,INDEX('Result data'!$AE$216:$AN$390,'IMS Seg. Table'!$A129,'Config!'!$BA$15-2010)))</f>
        <v>0</v>
      </c>
      <c r="Y129" s="563" t="str">
        <f>IF('Config!'!$BA$15=2010,".",IF(Tabela2[[#This Row],[Number of competitors]]=0,".",SUMIF('Result data'!$N$216:$N$390,Tabela2[[#This Row],[ID]],'Result data'!$CP$216:$CP$393)))</f>
        <v>.</v>
      </c>
      <c r="Z129" s="563" t="str">
        <f>IF('Config!'!$BA$15=2010,".",IF(Tabela2[[#This Row],[Number of competitors]]=0,".",SUMIF('Result data'!$N$216:$N$390,Tabela2[[#This Row],[ID]],'Result data'!$DA$216:$DA$393)))</f>
        <v>.</v>
      </c>
      <c r="AA129" s="530" t="str" cm="1">
        <f t="array" ref="AA12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29" s="530" t="str" cm="1">
        <f t="array" ref="AB12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2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29" s="530" t="str" cm="1">
        <f t="array" ref="AD12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29" s="530" t="str" cm="1">
        <f t="array" ref="AE12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29" s="530" t="str" cm="1">
        <f t="array" ref="AF12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0" spans="1:32" x14ac:dyDescent="0.3">
      <c r="A130" s="568">
        <f>'Config!'!C116</f>
        <v>115</v>
      </c>
      <c r="B130" s="536" t="str">
        <f>'Config!'!A116</f>
        <v>Níger</v>
      </c>
      <c r="C130" s="536" t="str">
        <f>'Config!'!B116</f>
        <v>África Subsaariana</v>
      </c>
      <c r="D130" s="538" cm="1">
        <f t="array" ref="D130">IFERROR(INDEX(Population!$BD$3:$BN$177,'IMS Seg. Table'!$A130,'Config!'!$BA$15-2010+1),"")</f>
        <v>17635782</v>
      </c>
      <c r="E130" s="551" cm="1">
        <f t="array" ref="E130">IFERROR(INDEX(Population!$CH$3:$CH$178,'IMS Seg. Table'!$A130,1),"")</f>
        <v>1266700</v>
      </c>
      <c r="F130" s="552">
        <f>IFERROR('IMS Seg. Table'!$D130/'IMS Seg. Table'!$E130,"")</f>
        <v>13.922619404752506</v>
      </c>
      <c r="G130" s="575" cm="1">
        <f t="array" ref="G130">IFERROR(INDEX('Country Competitivness'!$CL$4:$CX$178,Tabela2[[#This Row],[ID]],'Config!'!$AZ$17+1),".")</f>
        <v>49.52</v>
      </c>
      <c r="H130" s="540" cm="1">
        <f t="array" ref="H130">INDEX(GDP!$G$3:$S$177,'IMS Seg. Table'!$A130,'Config!'!$BA$15-2010+1)*1000000000</f>
        <v>6942258305.1908503</v>
      </c>
      <c r="I130" s="539">
        <f t="shared" si="33"/>
        <v>393.64618507933756</v>
      </c>
      <c r="J130" s="576">
        <f>IFERROR(INDEX('Income Tax Rate (%)'!$F$2:$P$176,Tabela2[[#This Row],[ID]],'Config!'!$BA$15-2010+1)/100,"")</f>
        <v>0.35</v>
      </c>
      <c r="K130" s="577">
        <f>IFERROR(INDEX('Tariff Rate (%)'!$F$2:$P$176,Tabela2[[#This Row],[ID]],'Config!'!$BA$15-2010+1)/100,"")</f>
        <v>9.6799999999999997E-2</v>
      </c>
      <c r="L130" s="577">
        <f>IFERROR(INDEX('Corporate Tax Rate (%)'!$F$2:$P$176,Tabela2[[#This Row],[ID]],'Config!'!$BA$15-2010+1)/100,"")</f>
        <v>0.3</v>
      </c>
      <c r="M130" s="527" cm="1">
        <f t="array" ref="M130">INDEX('Score-Starting a business'!$F$2:$P$176,'IMS Seg. Table'!$A130,'Config!'!$BA$15-2010+1)</f>
        <v>44.79</v>
      </c>
      <c r="N130" s="527" cm="1">
        <f t="array" ref="N130">IFERROR(INDEX('Country Competitivness'!$AX$4:$BH$178,Tabela2[[#This Row],[ID]],'Config!'!$BA$15-2010+1),"")</f>
        <v>2.5099999999999998</v>
      </c>
      <c r="O130" s="527" cm="1">
        <f t="array" ref="O130">IFERROR(INDEX('Country Competitivness'!$EE$4:$EO$178,Tabela2[[#This Row],[ID]],'Config!'!$BA$15-2010+1),"")</f>
        <v>2.36</v>
      </c>
      <c r="P130" s="527" cm="1">
        <f t="array" ref="P130">IFERROR(INDEX('Country Competitivness'!$H$4:$R$178,Tabela2[[#This Row],[ID]],'Config!'!$BA$15-2010+1),"")</f>
        <v>3.68</v>
      </c>
      <c r="Q130" s="527" cm="1">
        <f t="array" ref="Q130">IFERROR(INDEX('Country Competitivness'!$AJ$4:$AT$178,Tabela2[[#This Row],[ID]],MAX(1,'Config!'!$BA$15-2010)),"")</f>
        <v>4.26</v>
      </c>
      <c r="R130" s="527" cm="1">
        <f t="array" ref="R130">IFERROR(INDEX('Country Competitivness'!$BM$4:$BW$178,Tabela2[[#This Row],[ID]],'Config!'!$BA$15-2010+1),"")</f>
        <v>2.56</v>
      </c>
      <c r="S130" s="578" t="str" cm="1">
        <f t="array" ref="S13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0" s="537" t="str" cm="1">
        <f t="array" ref="T130">IF('Config!'!$BA$15=2010,".",IF(INDEX('Result data'!$R$216:$AA$390,'IMS Seg. Table'!$A130,'Config!'!$BA$15-2010)=".",".",INDEX('Result data'!$R$216:$AA$390,'IMS Seg. Table'!$A130,'Config!'!$BA$15-2010)))</f>
        <v>.</v>
      </c>
      <c r="U130" s="579" t="str">
        <f t="shared" si="34"/>
        <v>.</v>
      </c>
      <c r="V130" s="530" t="str" cm="1">
        <f t="array" ref="V130">IF(Tabela2[[#This Row],[Market Penetration (Category)]]=".",".",INDEX('Result data'!$BS$216:$CB$390,'IMS Seg. Table'!$A130,'Config!'!$BA$15-2010))</f>
        <v>.</v>
      </c>
      <c r="W130" s="563" t="str">
        <f>IF(Tabela2[[#This Row],[Market Demand (U$ millions)]]=".",".",Tabela2[[#This Row],[Market Demand (U$ millions)]]/Tabela2[[#This Row],[Active users (thousands)]])</f>
        <v>.</v>
      </c>
      <c r="X130" s="580" cm="1">
        <f t="array" ref="X130">IF('Config!'!$BA$15=2010,".",IF(INDEX('Result data'!$AE$216:$AN$390,'IMS Seg. Table'!$A130,'Config!'!$BA$15-2010)=".",0,INDEX('Result data'!$AE$216:$AN$390,'IMS Seg. Table'!$A130,'Config!'!$BA$15-2010)))</f>
        <v>0</v>
      </c>
      <c r="Y130" s="563" t="str">
        <f>IF('Config!'!$BA$15=2010,".",IF(Tabela2[[#This Row],[Number of competitors]]=0,".",SUMIF('Result data'!$N$216:$N$390,Tabela2[[#This Row],[ID]],'Result data'!$CP$216:$CP$393)))</f>
        <v>.</v>
      </c>
      <c r="Z130" s="563" t="str">
        <f>IF('Config!'!$BA$15=2010,".",IF(Tabela2[[#This Row],[Number of competitors]]=0,".",SUMIF('Result data'!$N$216:$N$390,Tabela2[[#This Row],[ID]],'Result data'!$DA$216:$DA$393)))</f>
        <v>.</v>
      </c>
      <c r="AA130" s="530" t="str" cm="1">
        <f t="array" ref="AA13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0" s="530" t="str" cm="1">
        <f t="array" ref="AB13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0" s="530" t="str" cm="1">
        <f t="array" ref="AD13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0" s="530" t="str" cm="1">
        <f t="array" ref="AE13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0" s="530" t="str" cm="1">
        <f t="array" ref="AF13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1" spans="1:32" x14ac:dyDescent="0.3">
      <c r="A131" s="569">
        <f>'Config!'!C117</f>
        <v>116</v>
      </c>
      <c r="B131" s="536" t="str">
        <f>'Config!'!A117</f>
        <v>Nigéria</v>
      </c>
      <c r="C131" s="536" t="str">
        <f>'Config!'!B117</f>
        <v>África Subsaariana</v>
      </c>
      <c r="D131" s="538" cm="1">
        <f t="array" ref="D131">IFERROR(INDEX(Population!$BD$3:$BN$177,'IMS Seg. Table'!$A131,'Config!'!$BA$15-2010+1),"")</f>
        <v>168240403</v>
      </c>
      <c r="E131" s="551" cm="1">
        <f t="array" ref="E131">IFERROR(INDEX(Population!$CH$3:$CH$178,'IMS Seg. Table'!$A131,1),"")</f>
        <v>910768</v>
      </c>
      <c r="F131" s="552">
        <f>IFERROR('IMS Seg. Table'!$D131/'IMS Seg. Table'!$E131,"")</f>
        <v>184.72366508265551</v>
      </c>
      <c r="G131" s="575" cm="1">
        <f t="array" ref="G131">IFERROR(INDEX('Country Competitivness'!$CL$4:$CX$178,Tabela2[[#This Row],[ID]],'Config!'!$AZ$17+1),".")</f>
        <v>55.104175978487802</v>
      </c>
      <c r="H131" s="540" cm="1">
        <f t="array" ref="H131">INDEX(GDP!$G$3:$S$177,'IMS Seg. Table'!$A131,'Config!'!$BA$15-2010+1)*1000000000</f>
        <v>459376049763.99908</v>
      </c>
      <c r="I131" s="539">
        <f t="shared" si="33"/>
        <v>2730.4740215345246</v>
      </c>
      <c r="J131" s="576">
        <f>IFERROR(INDEX('Income Tax Rate (%)'!$F$2:$P$176,Tabela2[[#This Row],[ID]],'Config!'!$BA$15-2010+1)/100,"")</f>
        <v>0.24</v>
      </c>
      <c r="K131" s="577">
        <f>IFERROR(INDEX('Tariff Rate (%)'!$F$2:$P$176,Tabela2[[#This Row],[ID]],'Config!'!$BA$15-2010+1)/100,"")</f>
        <v>0.106</v>
      </c>
      <c r="L131" s="577">
        <f>IFERROR(INDEX('Corporate Tax Rate (%)'!$F$2:$P$176,Tabela2[[#This Row],[ID]],'Config!'!$BA$15-2010+1)/100,"")</f>
        <v>0.3</v>
      </c>
      <c r="M131" s="527" cm="1">
        <f t="array" ref="M131">INDEX('Score-Starting a business'!$F$2:$P$176,'IMS Seg. Table'!$A131,'Config!'!$BA$15-2010+1)</f>
        <v>71.261666666666699</v>
      </c>
      <c r="N131" s="527" cm="1">
        <f t="array" ref="N131">IFERROR(INDEX('Country Competitivness'!$AX$4:$BH$178,Tabela2[[#This Row],[ID]],'Config!'!$BA$15-2010+1),"")</f>
        <v>3.6254650227053142</v>
      </c>
      <c r="O131" s="527" cm="1">
        <f t="array" ref="O131">IFERROR(INDEX('Country Competitivness'!$EE$4:$EO$178,Tabela2[[#This Row],[ID]],'Config!'!$BA$15-2010+1),"")</f>
        <v>2.72469075942029</v>
      </c>
      <c r="P131" s="527" cm="1">
        <f t="array" ref="P131">IFERROR(INDEX('Country Competitivness'!$H$4:$R$178,Tabela2[[#This Row],[ID]],'Config!'!$BA$15-2010+1),"")</f>
        <v>3.9581364756674295</v>
      </c>
      <c r="Q131" s="527" cm="1">
        <f t="array" ref="Q131">IFERROR(INDEX('Country Competitivness'!$AJ$4:$AT$178,Tabela2[[#This Row],[ID]],MAX(1,'Config!'!$BA$15-2010)),"")</f>
        <v>4.4577558909822868</v>
      </c>
      <c r="R131" s="527" cm="1">
        <f t="array" ref="R131">IFERROR(INDEX('Country Competitivness'!$BM$4:$BW$178,Tabela2[[#This Row],[ID]],'Config!'!$BA$15-2010+1),"")</f>
        <v>3.3696492555555553</v>
      </c>
      <c r="S131" s="578" t="str" cm="1">
        <f t="array" ref="S13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1" s="537" t="str" cm="1">
        <f t="array" ref="T131">IF('Config!'!$BA$15=2010,".",IF(INDEX('Result data'!$R$216:$AA$390,'IMS Seg. Table'!$A131,'Config!'!$BA$15-2010)=".",".",INDEX('Result data'!$R$216:$AA$390,'IMS Seg. Table'!$A131,'Config!'!$BA$15-2010)))</f>
        <v>.</v>
      </c>
      <c r="U131" s="579" t="str">
        <f t="shared" si="34"/>
        <v>.</v>
      </c>
      <c r="V131" s="530" t="str" cm="1">
        <f t="array" ref="V131">IF(Tabela2[[#This Row],[Market Penetration (Category)]]=".",".",INDEX('Result data'!$BS$216:$CB$390,'IMS Seg. Table'!$A131,'Config!'!$BA$15-2010))</f>
        <v>.</v>
      </c>
      <c r="W131" s="563" t="str">
        <f>IF(Tabela2[[#This Row],[Market Demand (U$ millions)]]=".",".",Tabela2[[#This Row],[Market Demand (U$ millions)]]/Tabela2[[#This Row],[Active users (thousands)]])</f>
        <v>.</v>
      </c>
      <c r="X131" s="580" cm="1">
        <f t="array" ref="X131">IF('Config!'!$BA$15=2010,".",IF(INDEX('Result data'!$AE$216:$AN$390,'IMS Seg. Table'!$A131,'Config!'!$BA$15-2010)=".",0,INDEX('Result data'!$AE$216:$AN$390,'IMS Seg. Table'!$A131,'Config!'!$BA$15-2010)))</f>
        <v>0</v>
      </c>
      <c r="Y131" s="563" t="str">
        <f>IF('Config!'!$BA$15=2010,".",IF(Tabela2[[#This Row],[Number of competitors]]=0,".",SUMIF('Result data'!$N$216:$N$390,Tabela2[[#This Row],[ID]],'Result data'!$CP$216:$CP$393)))</f>
        <v>.</v>
      </c>
      <c r="Z131" s="563" t="str">
        <f>IF('Config!'!$BA$15=2010,".",IF(Tabela2[[#This Row],[Number of competitors]]=0,".",SUMIF('Result data'!$N$216:$N$390,Tabela2[[#This Row],[ID]],'Result data'!$DA$216:$DA$393)))</f>
        <v>.</v>
      </c>
      <c r="AA131" s="530" t="str" cm="1">
        <f t="array" ref="AA13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1" s="530" t="str" cm="1">
        <f t="array" ref="AB13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1" s="530" t="str" cm="1">
        <f t="array" ref="AD13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1" s="530" t="str" cm="1">
        <f t="array" ref="AE13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1" s="530" t="str" cm="1">
        <f t="array" ref="AF13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2" spans="1:32" x14ac:dyDescent="0.3">
      <c r="A132" s="568">
        <f>'Config!'!C118</f>
        <v>117</v>
      </c>
      <c r="B132" s="536" t="str">
        <f>'Config!'!A118</f>
        <v>Noruega</v>
      </c>
      <c r="C132" s="536" t="str">
        <f>'Config!'!B118</f>
        <v>Europa</v>
      </c>
      <c r="D132" s="538" cm="1">
        <f t="array" ref="D132">IFERROR(INDEX(Population!$BD$3:$BN$177,'IMS Seg. Table'!$A132,'Config!'!$BA$15-2010+1),"")</f>
        <v>5018573</v>
      </c>
      <c r="E132" s="551" cm="1">
        <f t="array" ref="E132">IFERROR(INDEX(Population!$CH$3:$CH$178,'IMS Seg. Table'!$A132,1),"")</f>
        <v>304282</v>
      </c>
      <c r="F132" s="552">
        <f>IFERROR('IMS Seg. Table'!$D132/'IMS Seg. Table'!$E132,"")</f>
        <v>16.493164235807573</v>
      </c>
      <c r="G132" s="575" cm="1">
        <f t="array" ref="G132">IFERROR(INDEX('Country Competitivness'!$CL$4:$CX$178,Tabela2[[#This Row],[ID]],'Config!'!$AZ$17+1),".")</f>
        <v>113.14790919149701</v>
      </c>
      <c r="H132" s="540" cm="1">
        <f t="array" ref="H132">INDEX(GDP!$G$3:$S$177,'IMS Seg. Table'!$A132,'Config!'!$BA$15-2010+1)*1000000000</f>
        <v>510229136226.90161</v>
      </c>
      <c r="I132" s="539">
        <f t="shared" si="33"/>
        <v>101668.1706586517</v>
      </c>
      <c r="J132" s="576">
        <f>IFERROR(INDEX('Income Tax Rate (%)'!$F$2:$P$176,Tabela2[[#This Row],[ID]],'Config!'!$BA$15-2010+1)/100,"")</f>
        <v>0.47799999999999998</v>
      </c>
      <c r="K132" s="577">
        <f>IFERROR(INDEX('Tariff Rate (%)'!$F$2:$P$176,Tabela2[[#This Row],[ID]],'Config!'!$BA$15-2010+1)/100,"")</f>
        <v>4.5000000000000005E-3</v>
      </c>
      <c r="L132" s="577">
        <f>IFERROR(INDEX('Corporate Tax Rate (%)'!$F$2:$P$176,Tabela2[[#This Row],[ID]],'Config!'!$BA$15-2010+1)/100,"")</f>
        <v>0.28000000000000003</v>
      </c>
      <c r="M132" s="527" cm="1">
        <f t="array" ref="M132">INDEX('Score-Starting a business'!$F$2:$P$176,'IMS Seg. Table'!$A132,'Config!'!$BA$15-2010+1)</f>
        <v>91.3</v>
      </c>
      <c r="N132" s="527" cm="1">
        <f t="array" ref="N132">IFERROR(INDEX('Country Competitivness'!$AX$4:$BH$178,Tabela2[[#This Row],[ID]],'Config!'!$BA$15-2010+1),"")</f>
        <v>3.2706746638655462</v>
      </c>
      <c r="O132" s="527" cm="1">
        <f t="array" ref="O132">IFERROR(INDEX('Country Competitivness'!$EE$4:$EO$178,Tabela2[[#This Row],[ID]],'Config!'!$BA$15-2010+1),"")</f>
        <v>3.4611074436974789</v>
      </c>
      <c r="P132" s="527" cm="1">
        <f t="array" ref="P132">IFERROR(INDEX('Country Competitivness'!$H$4:$R$178,Tabela2[[#This Row],[ID]],'Config!'!$BA$15-2010+1),"")</f>
        <v>5.0352869209199467</v>
      </c>
      <c r="Q132" s="527" cm="1">
        <f t="array" ref="Q132">IFERROR(INDEX('Country Competitivness'!$AJ$4:$AT$178,Tabela2[[#This Row],[ID]],MAX(1,'Config!'!$BA$15-2010)),"")</f>
        <v>5.8679694436974792</v>
      </c>
      <c r="R132" s="527" cm="1">
        <f t="array" ref="R132">IFERROR(INDEX('Country Competitivness'!$BM$4:$BW$178,Tabela2[[#This Row],[ID]],'Config!'!$BA$15-2010+1),"")</f>
        <v>4.3193054487394953</v>
      </c>
      <c r="S132" s="578" cm="1">
        <f t="array" ref="S13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2012</v>
      </c>
      <c r="T132" s="537" cm="1">
        <f t="array" ref="T132">IF('Config!'!$BA$15=2010,".",IF(INDEX('Result data'!$R$216:$AA$390,'IMS Seg. Table'!$A132,'Config!'!$BA$15-2010)=".",".",INDEX('Result data'!$R$216:$AA$390,'IMS Seg. Table'!$A132,'Config!'!$BA$15-2010)))</f>
        <v>82337</v>
      </c>
      <c r="U132" s="579">
        <f t="shared" si="34"/>
        <v>1.6406456576401298E-2</v>
      </c>
      <c r="V132" s="530" cm="1">
        <f t="array" ref="V132">IF(Tabela2[[#This Row],[Market Penetration (Category)]]=".",".",INDEX('Result data'!$BS$216:$CB$390,'IMS Seg. Table'!$A132,'Config!'!$BA$15-2010))</f>
        <v>1859423.5306972978</v>
      </c>
      <c r="W132" s="563">
        <f>IF(Tabela2[[#This Row],[Market Demand (U$ millions)]]=".",".",Tabela2[[#This Row],[Market Demand (U$ millions)]]/Tabela2[[#This Row],[Active users (thousands)]])</f>
        <v>22.583085741492862</v>
      </c>
      <c r="X132" s="580" cm="1">
        <f t="array" ref="X132">IF('Config!'!$BA$15=2010,".",IF(INDEX('Result data'!$AE$216:$AN$390,'IMS Seg. Table'!$A132,'Config!'!$BA$15-2010)=".",0,INDEX('Result data'!$AE$216:$AN$390,'IMS Seg. Table'!$A132,'Config!'!$BA$15-2010)))</f>
        <v>1</v>
      </c>
      <c r="Y132" s="563">
        <f>IF('Config!'!$BA$15=2010,".",IF(Tabela2[[#This Row],[Number of competitors]]=0,".",SUMIF('Result data'!$N$216:$N$390,Tabela2[[#This Row],[ID]],'Result data'!$CP$216:$CP$393)))</f>
        <v>5.6560697076500563</v>
      </c>
      <c r="Z132" s="563">
        <f>IF('Config!'!$BA$15=2010,".",IF(Tabela2[[#This Row],[Number of competitors]]=0,".",SUMIF('Result data'!$N$216:$N$390,Tabela2[[#This Row],[ID]],'Result data'!$DA$216:$DA$393)))</f>
        <v>4.2420522807375427</v>
      </c>
      <c r="AA132" s="530" cm="1">
        <f t="array" ref="AA13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26850.64793750026</v>
      </c>
      <c r="AB132" s="530" cm="1">
        <f t="array" ref="AB13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40275.971906250394</v>
      </c>
      <c r="AC132" s="530">
        <f>IF('Config!'!$BA$15=2010,".",IF(Tabela2[[#This Row],[Local Marketing and Sales Expenses (millions)]]=".",".",SUM(Tabela2[[#This Row],[Global Marketing and Sales Expenses (millions)]:[Local Marketing and Sales Expenses (millions)]])))</f>
        <v>67126.619843750654</v>
      </c>
      <c r="AD132" s="530" cm="1">
        <f t="array" ref="AD13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2869353.5105380174</v>
      </c>
      <c r="AE132" s="530" cm="1">
        <f t="array" ref="AE13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3050396.2510556644</v>
      </c>
      <c r="AF132" s="530" cm="1">
        <f t="array" ref="AF13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0</v>
      </c>
    </row>
    <row r="133" spans="1:32" x14ac:dyDescent="0.3">
      <c r="A133" s="569">
        <f>'Config!'!C119</f>
        <v>113</v>
      </c>
      <c r="B133" s="536" t="str">
        <f>'Config!'!A119</f>
        <v>Nova Zelândia</v>
      </c>
      <c r="C133" s="536" t="str">
        <f>'Config!'!B119</f>
        <v>Oceânia</v>
      </c>
      <c r="D133" s="538" cm="1">
        <f t="array" ref="D133">IFERROR(INDEX(Population!$BD$3:$BN$177,'IMS Seg. Table'!$A133,'Config!'!$BA$15-2010+1),"")</f>
        <v>4408100</v>
      </c>
      <c r="E133" s="551" cm="1">
        <f t="array" ref="E133">IFERROR(INDEX(Population!$CH$3:$CH$178,'IMS Seg. Table'!$A133,1),"")</f>
        <v>264537</v>
      </c>
      <c r="F133" s="552">
        <f>IFERROR('IMS Seg. Table'!$D133/'IMS Seg. Table'!$E133,"")</f>
        <v>16.66345350555877</v>
      </c>
      <c r="G133" s="575" cm="1">
        <f t="array" ref="G133">IFERROR(INDEX('Country Competitivness'!$CL$4:$CX$178,Tabela2[[#This Row],[ID]],'Config!'!$AZ$17+1),".")</f>
        <v>114.92316173306</v>
      </c>
      <c r="H133" s="540" cm="1">
        <f t="array" ref="H133">INDEX(GDP!$G$3:$S$177,'IMS Seg. Table'!$A133,'Config!'!$BA$15-2010+1)*1000000000</f>
        <v>176193696737.93369</v>
      </c>
      <c r="I133" s="539">
        <f t="shared" si="33"/>
        <v>39970.440039457746</v>
      </c>
      <c r="J133" s="576">
        <f>IFERROR(INDEX('Income Tax Rate (%)'!$F$2:$P$176,Tabela2[[#This Row],[ID]],'Config!'!$BA$15-2010+1)/100,"")</f>
        <v>0.33</v>
      </c>
      <c r="K133" s="577">
        <f>IFERROR(INDEX('Tariff Rate (%)'!$F$2:$P$176,Tabela2[[#This Row],[ID]],'Config!'!$BA$15-2010+1)/100,"")</f>
        <v>1.6200000000000003E-2</v>
      </c>
      <c r="L133" s="577">
        <f>IFERROR(INDEX('Corporate Tax Rate (%)'!$F$2:$P$176,Tabela2[[#This Row],[ID]],'Config!'!$BA$15-2010+1)/100,"")</f>
        <v>0.28000000000000003</v>
      </c>
      <c r="M133" s="527" cm="1">
        <f t="array" ref="M133">INDEX('Score-Starting a business'!$F$2:$P$176,'IMS Seg. Table'!$A133,'Config!'!$BA$15-2010+1)</f>
        <v>99.95</v>
      </c>
      <c r="N133" s="527" cm="1">
        <f t="array" ref="N133">IFERROR(INDEX('Country Competitivness'!$AX$4:$BH$178,Tabela2[[#This Row],[ID]],'Config!'!$BA$15-2010+1),"")</f>
        <v>4.0059329404255317</v>
      </c>
      <c r="O133" s="527" cm="1">
        <f t="array" ref="O133">IFERROR(INDEX('Country Competitivness'!$EE$4:$EO$178,Tabela2[[#This Row],[ID]],'Config!'!$BA$15-2010+1),"")</f>
        <v>4.6674034393617019</v>
      </c>
      <c r="P133" s="527" cm="1">
        <f t="array" ref="P133">IFERROR(INDEX('Country Competitivness'!$H$4:$R$178,Tabela2[[#This Row],[ID]],'Config!'!$BA$15-2010+1),"")</f>
        <v>4.6231897245800662</v>
      </c>
      <c r="Q133" s="527" cm="1">
        <f t="array" ref="Q133">IFERROR(INDEX('Country Competitivness'!$AJ$4:$AT$178,Tabela2[[#This Row],[ID]],MAX(1,'Config!'!$BA$15-2010)),"")</f>
        <v>5.6040097230496455</v>
      </c>
      <c r="R133" s="527" cm="1">
        <f t="array" ref="R133">IFERROR(INDEX('Country Competitivness'!$BM$4:$BW$178,Tabela2[[#This Row],[ID]],'Config!'!$BA$15-2010+1),"")</f>
        <v>4.2211588659574462</v>
      </c>
      <c r="S133" s="578" t="str" cm="1">
        <f t="array" ref="S13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3" s="537" t="str" cm="1">
        <f t="array" ref="T133">IF('Config!'!$BA$15=2010,".",IF(INDEX('Result data'!$R$216:$AA$390,'IMS Seg. Table'!$A133,'Config!'!$BA$15-2010)=".",".",INDEX('Result data'!$R$216:$AA$390,'IMS Seg. Table'!$A133,'Config!'!$BA$15-2010)))</f>
        <v>.</v>
      </c>
      <c r="U133" s="579" t="str">
        <f t="shared" si="34"/>
        <v>.</v>
      </c>
      <c r="V133" s="530" t="str" cm="1">
        <f t="array" ref="V133">IF(Tabela2[[#This Row],[Market Penetration (Category)]]=".",".",INDEX('Result data'!$BS$216:$CB$390,'IMS Seg. Table'!$A133,'Config!'!$BA$15-2010))</f>
        <v>.</v>
      </c>
      <c r="W133" s="563" t="str">
        <f>IF(Tabela2[[#This Row],[Market Demand (U$ millions)]]=".",".",Tabela2[[#This Row],[Market Demand (U$ millions)]]/Tabela2[[#This Row],[Active users (thousands)]])</f>
        <v>.</v>
      </c>
      <c r="X133" s="580" cm="1">
        <f t="array" ref="X133">IF('Config!'!$BA$15=2010,".",IF(INDEX('Result data'!$AE$216:$AN$390,'IMS Seg. Table'!$A133,'Config!'!$BA$15-2010)=".",0,INDEX('Result data'!$AE$216:$AN$390,'IMS Seg. Table'!$A133,'Config!'!$BA$15-2010)))</f>
        <v>0</v>
      </c>
      <c r="Y133" s="563" t="str">
        <f>IF('Config!'!$BA$15=2010,".",IF(Tabela2[[#This Row],[Number of competitors]]=0,".",SUMIF('Result data'!$N$216:$N$390,Tabela2[[#This Row],[ID]],'Result data'!$CP$216:$CP$393)))</f>
        <v>.</v>
      </c>
      <c r="Z133" s="563" t="str">
        <f>IF('Config!'!$BA$15=2010,".",IF(Tabela2[[#This Row],[Number of competitors]]=0,".",SUMIF('Result data'!$N$216:$N$390,Tabela2[[#This Row],[ID]],'Result data'!$DA$216:$DA$393)))</f>
        <v>.</v>
      </c>
      <c r="AA133" s="530" t="str" cm="1">
        <f t="array" ref="AA13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3" s="530" t="str" cm="1">
        <f t="array" ref="AB13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3" s="530" t="str" cm="1">
        <f t="array" ref="AD13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3" s="530" t="str" cm="1">
        <f t="array" ref="AE13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3" s="530" t="str" cm="1">
        <f t="array" ref="AF13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4" spans="1:32" x14ac:dyDescent="0.3">
      <c r="A134" s="568">
        <f>'Config!'!C120</f>
        <v>118</v>
      </c>
      <c r="B134" s="536" t="str">
        <f>'Config!'!A120</f>
        <v>Omã</v>
      </c>
      <c r="C134" s="536" t="str">
        <f>'Config!'!B120</f>
        <v>Oriente médio</v>
      </c>
      <c r="D134" s="538" cm="1">
        <f t="array" ref="D134">IFERROR(INDEX(Population!$BD$3:$BN$177,'IMS Seg. Table'!$A134,'Config!'!$BA$15-2010+1),"")</f>
        <v>3545192</v>
      </c>
      <c r="E134" s="551" cm="1">
        <f t="array" ref="E134">IFERROR(INDEX(Population!$CH$3:$CH$178,'IMS Seg. Table'!$A134,1),"")</f>
        <v>309500</v>
      </c>
      <c r="F134" s="552">
        <f>IFERROR('IMS Seg. Table'!$D134/'IMS Seg. Table'!$E134,"")</f>
        <v>11.454578352180937</v>
      </c>
      <c r="G134" s="575" cm="1">
        <f t="array" ref="G134">IFERROR(INDEX('Country Competitivness'!$CL$4:$CX$178,Tabela2[[#This Row],[ID]],'Config!'!$AZ$17+1),".")</f>
        <v>165.543238206822</v>
      </c>
      <c r="H134" s="540" cm="1">
        <f t="array" ref="H134">INDEX(GDP!$G$3:$S$177,'IMS Seg. Table'!$A134,'Config!'!$BA$15-2010+1)*1000000000</f>
        <v>76689206762.02861</v>
      </c>
      <c r="I134" s="539">
        <f t="shared" si="33"/>
        <v>21631.890955984501</v>
      </c>
      <c r="J134" s="576">
        <f>IFERROR(INDEX('Income Tax Rate (%)'!$F$2:$P$176,Tabela2[[#This Row],[ID]],'Config!'!$BA$15-2010+1)/100,"")</f>
        <v>0.4728</v>
      </c>
      <c r="K134" s="577">
        <f>IFERROR(INDEX('Tariff Rate (%)'!$F$2:$P$176,Tabela2[[#This Row],[ID]],'Config!'!$BA$15-2010+1)/100,"")</f>
        <v>3.1699999999999999E-2</v>
      </c>
      <c r="L134" s="577">
        <f>IFERROR(INDEX('Corporate Tax Rate (%)'!$F$2:$P$176,Tabela2[[#This Row],[ID]],'Config!'!$BA$15-2010+1)/100,"")</f>
        <v>0.12</v>
      </c>
      <c r="M134" s="527" cm="1">
        <f t="array" ref="M134">INDEX('Score-Starting a business'!$F$2:$P$176,'IMS Seg. Table'!$A134,'Config!'!$BA$15-2010+1)</f>
        <v>72.53</v>
      </c>
      <c r="N134" s="527" cm="1">
        <f t="array" ref="N134">IFERROR(INDEX('Country Competitivness'!$AX$4:$BH$178,Tabela2[[#This Row],[ID]],'Config!'!$BA$15-2010+1),"")</f>
        <v>4.2544129561264832</v>
      </c>
      <c r="O134" s="527" cm="1">
        <f t="array" ref="O134">IFERROR(INDEX('Country Competitivness'!$EE$4:$EO$178,Tabela2[[#This Row],[ID]],'Config!'!$BA$15-2010+1),"")</f>
        <v>6.3682536134387355</v>
      </c>
      <c r="P134" s="527" cm="1">
        <f t="array" ref="P134">IFERROR(INDEX('Country Competitivness'!$H$4:$R$178,Tabela2[[#This Row],[ID]],'Config!'!$BA$15-2010+1),"")</f>
        <v>4.3017580800915338</v>
      </c>
      <c r="Q134" s="527" cm="1">
        <f t="array" ref="Q134">IFERROR(INDEX('Country Competitivness'!$AJ$4:$AT$178,Tabela2[[#This Row],[ID]],MAX(1,'Config!'!$BA$15-2010)),"")</f>
        <v>5.1951037113306988</v>
      </c>
      <c r="R134" s="527" cm="1">
        <f t="array" ref="R134">IFERROR(INDEX('Country Competitivness'!$BM$4:$BW$178,Tabela2[[#This Row],[ID]],'Config!'!$BA$15-2010+1),"")</f>
        <v>3.7776681640316205</v>
      </c>
      <c r="S134" s="578" t="str" cm="1">
        <f t="array" ref="S13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4" s="537" t="str" cm="1">
        <f t="array" ref="T134">IF('Config!'!$BA$15=2010,".",IF(INDEX('Result data'!$R$216:$AA$390,'IMS Seg. Table'!$A134,'Config!'!$BA$15-2010)=".",".",INDEX('Result data'!$R$216:$AA$390,'IMS Seg. Table'!$A134,'Config!'!$BA$15-2010)))</f>
        <v>.</v>
      </c>
      <c r="U134" s="579" t="str">
        <f t="shared" si="34"/>
        <v>.</v>
      </c>
      <c r="V134" s="530" t="str" cm="1">
        <f t="array" ref="V134">IF(Tabela2[[#This Row],[Market Penetration (Category)]]=".",".",INDEX('Result data'!$BS$216:$CB$390,'IMS Seg. Table'!$A134,'Config!'!$BA$15-2010))</f>
        <v>.</v>
      </c>
      <c r="W134" s="563" t="str">
        <f>IF(Tabela2[[#This Row],[Market Demand (U$ millions)]]=".",".",Tabela2[[#This Row],[Market Demand (U$ millions)]]/Tabela2[[#This Row],[Active users (thousands)]])</f>
        <v>.</v>
      </c>
      <c r="X134" s="580" cm="1">
        <f t="array" ref="X134">IF('Config!'!$BA$15=2010,".",IF(INDEX('Result data'!$AE$216:$AN$390,'IMS Seg. Table'!$A134,'Config!'!$BA$15-2010)=".",0,INDEX('Result data'!$AE$216:$AN$390,'IMS Seg. Table'!$A134,'Config!'!$BA$15-2010)))</f>
        <v>0</v>
      </c>
      <c r="Y134" s="563" t="str">
        <f>IF('Config!'!$BA$15=2010,".",IF(Tabela2[[#This Row],[Number of competitors]]=0,".",SUMIF('Result data'!$N$216:$N$390,Tabela2[[#This Row],[ID]],'Result data'!$CP$216:$CP$393)))</f>
        <v>.</v>
      </c>
      <c r="Z134" s="563" t="str">
        <f>IF('Config!'!$BA$15=2010,".",IF(Tabela2[[#This Row],[Number of competitors]]=0,".",SUMIF('Result data'!$N$216:$N$390,Tabela2[[#This Row],[ID]],'Result data'!$DA$216:$DA$393)))</f>
        <v>.</v>
      </c>
      <c r="AA134" s="530" t="str" cm="1">
        <f t="array" ref="AA13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4" s="530" t="str" cm="1">
        <f t="array" ref="AB13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4" s="530" t="str" cm="1">
        <f t="array" ref="AD13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4" s="530" t="str" cm="1">
        <f t="array" ref="AE13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4" s="530" t="str" cm="1">
        <f t="array" ref="AF13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5" spans="1:32" x14ac:dyDescent="0.3">
      <c r="A135" s="569">
        <f>'Config!'!C121</f>
        <v>120</v>
      </c>
      <c r="B135" s="536" t="str">
        <f>'Config!'!A121</f>
        <v>Panamá</v>
      </c>
      <c r="C135" s="536" t="str">
        <f>'Config!'!B121</f>
        <v>América Central</v>
      </c>
      <c r="D135" s="538" cm="1">
        <f t="array" ref="D135">IFERROR(INDEX(Population!$BD$3:$BN$177,'IMS Seg. Table'!$A135,'Config!'!$BA$15-2010+1),"")</f>
        <v>3743761</v>
      </c>
      <c r="E135" s="551" cm="1">
        <f t="array" ref="E135">IFERROR(INDEX(Population!$CH$3:$CH$178,'IMS Seg. Table'!$A135,1),"")</f>
        <v>74340</v>
      </c>
      <c r="F135" s="552">
        <f>IFERROR('IMS Seg. Table'!$D135/'IMS Seg. Table'!$E135,"")</f>
        <v>50.359981167608289</v>
      </c>
      <c r="G135" s="575" cm="1">
        <f t="array" ref="G135">IFERROR(INDEX('Country Competitivness'!$CL$4:$CX$178,Tabela2[[#This Row],[ID]],'Config!'!$AZ$17+1),".")</f>
        <v>184.71673273013701</v>
      </c>
      <c r="H135" s="540" cm="1">
        <f t="array" ref="H135">INDEX(GDP!$G$3:$S$177,'IMS Seg. Table'!$A135,'Config!'!$BA$15-2010+1)*1000000000</f>
        <v>40429699999.999992</v>
      </c>
      <c r="I135" s="539">
        <f t="shared" si="33"/>
        <v>10799.220356213977</v>
      </c>
      <c r="J135" s="576">
        <f>IFERROR(INDEX('Income Tax Rate (%)'!$F$2:$P$176,Tabela2[[#This Row],[ID]],'Config!'!$BA$15-2010+1)/100,"")</f>
        <v>0.25</v>
      </c>
      <c r="K135" s="577">
        <f>IFERROR(INDEX('Tariff Rate (%)'!$F$2:$P$176,Tabela2[[#This Row],[ID]],'Config!'!$BA$15-2010+1)/100,"")</f>
        <v>7.9000000000000001E-2</v>
      </c>
      <c r="L135" s="577">
        <f>IFERROR(INDEX('Corporate Tax Rate (%)'!$F$2:$P$176,Tabela2[[#This Row],[ID]],'Config!'!$BA$15-2010+1)/100,"")</f>
        <v>0.25</v>
      </c>
      <c r="M135" s="527" cm="1">
        <f t="array" ref="M135">INDEX('Score-Starting a business'!$F$2:$P$176,'IMS Seg. Table'!$A135,'Config!'!$BA$15-2010+1)</f>
        <v>89.54</v>
      </c>
      <c r="N135" s="527" cm="1">
        <f t="array" ref="N135">IFERROR(INDEX('Country Competitivness'!$AX$4:$BH$178,Tabela2[[#This Row],[ID]],'Config!'!$BA$15-2010+1),"")</f>
        <v>3.4288527751004021</v>
      </c>
      <c r="O135" s="527" cm="1">
        <f t="array" ref="O135">IFERROR(INDEX('Country Competitivness'!$EE$4:$EO$178,Tabela2[[#This Row],[ID]],'Config!'!$BA$15-2010+1),"")</f>
        <v>4.1866664369477915</v>
      </c>
      <c r="P135" s="527" cm="1">
        <f t="array" ref="P135">IFERROR(INDEX('Country Competitivness'!$H$4:$R$178,Tabela2[[#This Row],[ID]],'Config!'!$BA$15-2010+1),"")</f>
        <v>4.2091460087719295</v>
      </c>
      <c r="Q135" s="527" cm="1">
        <f t="array" ref="Q135">IFERROR(INDEX('Country Competitivness'!$AJ$4:$AT$178,Tabela2[[#This Row],[ID]],MAX(1,'Config!'!$BA$15-2010)),"")</f>
        <v>5.8009166781793864</v>
      </c>
      <c r="R135" s="527" cm="1">
        <f t="array" ref="R135">IFERROR(INDEX('Country Competitivness'!$BM$4:$BW$178,Tabela2[[#This Row],[ID]],'Config!'!$BA$15-2010+1),"")</f>
        <v>3.5143937718875504</v>
      </c>
      <c r="S135" s="578" t="str" cm="1">
        <f t="array" ref="S13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5" s="537" t="str" cm="1">
        <f t="array" ref="T135">IF('Config!'!$BA$15=2010,".",IF(INDEX('Result data'!$R$216:$AA$390,'IMS Seg. Table'!$A135,'Config!'!$BA$15-2010)=".",".",INDEX('Result data'!$R$216:$AA$390,'IMS Seg. Table'!$A135,'Config!'!$BA$15-2010)))</f>
        <v>.</v>
      </c>
      <c r="U135" s="579" t="str">
        <f t="shared" si="34"/>
        <v>.</v>
      </c>
      <c r="V135" s="530" t="str" cm="1">
        <f t="array" ref="V135">IF(Tabela2[[#This Row],[Market Penetration (Category)]]=".",".",INDEX('Result data'!$BS$216:$CB$390,'IMS Seg. Table'!$A135,'Config!'!$BA$15-2010))</f>
        <v>.</v>
      </c>
      <c r="W135" s="563" t="str">
        <f>IF(Tabela2[[#This Row],[Market Demand (U$ millions)]]=".",".",Tabela2[[#This Row],[Market Demand (U$ millions)]]/Tabela2[[#This Row],[Active users (thousands)]])</f>
        <v>.</v>
      </c>
      <c r="X135" s="580" cm="1">
        <f t="array" ref="X135">IF('Config!'!$BA$15=2010,".",IF(INDEX('Result data'!$AE$216:$AN$390,'IMS Seg. Table'!$A135,'Config!'!$BA$15-2010)=".",0,INDEX('Result data'!$AE$216:$AN$390,'IMS Seg. Table'!$A135,'Config!'!$BA$15-2010)))</f>
        <v>0</v>
      </c>
      <c r="Y135" s="563" t="str">
        <f>IF('Config!'!$BA$15=2010,".",IF(Tabela2[[#This Row],[Number of competitors]]=0,".",SUMIF('Result data'!$N$216:$N$390,Tabela2[[#This Row],[ID]],'Result data'!$CP$216:$CP$393)))</f>
        <v>.</v>
      </c>
      <c r="Z135" s="563" t="str">
        <f>IF('Config!'!$BA$15=2010,".",IF(Tabela2[[#This Row],[Number of competitors]]=0,".",SUMIF('Result data'!$N$216:$N$390,Tabela2[[#This Row],[ID]],'Result data'!$DA$216:$DA$393)))</f>
        <v>.</v>
      </c>
      <c r="AA135" s="530" t="str" cm="1">
        <f t="array" ref="AA13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5" s="530" t="str" cm="1">
        <f t="array" ref="AB13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5" s="530" t="str" cm="1">
        <f t="array" ref="AD13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5" s="530" t="str" cm="1">
        <f t="array" ref="AE13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5" s="530" t="str" cm="1">
        <f t="array" ref="AF13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6" spans="1:32" x14ac:dyDescent="0.3">
      <c r="A136" s="568">
        <f>'Config!'!C122</f>
        <v>121</v>
      </c>
      <c r="B136" s="536" t="str">
        <f>'Config!'!A122</f>
        <v>Papua Nova Guiné</v>
      </c>
      <c r="C136" s="536" t="str">
        <f>'Config!'!B122</f>
        <v>Oceânia</v>
      </c>
      <c r="D136" s="538" cm="1">
        <f t="array" ref="D136">IFERROR(INDEX(Population!$BD$3:$BN$177,'IMS Seg. Table'!$A136,'Config!'!$BA$15-2010+1),"")</f>
        <v>7154870</v>
      </c>
      <c r="E136" s="551" cm="1">
        <f t="array" ref="E136">IFERROR(INDEX(Population!$CH$3:$CH$178,'IMS Seg. Table'!$A136,1),"")</f>
        <v>452860</v>
      </c>
      <c r="F136" s="552">
        <f>IFERROR('IMS Seg. Table'!$D136/'IMS Seg. Table'!$E136,"")</f>
        <v>15.799297796228416</v>
      </c>
      <c r="G136" s="575" cm="1">
        <f t="array" ref="G136">IFERROR(INDEX('Country Competitivness'!$CL$4:$CX$178,Tabela2[[#This Row],[ID]],'Config!'!$AZ$17+1),".")</f>
        <v>68.17</v>
      </c>
      <c r="H136" s="540" cm="1">
        <f t="array" ref="H136">INDEX(GDP!$G$3:$S$177,'IMS Seg. Table'!$A136,'Config!'!$BA$15-2010+1)*1000000000</f>
        <v>21295834133.230942</v>
      </c>
      <c r="I136" s="539">
        <f t="shared" si="33"/>
        <v>2976.411050547521</v>
      </c>
      <c r="J136" s="576">
        <f>IFERROR(INDEX('Income Tax Rate (%)'!$F$2:$P$176,Tabela2[[#This Row],[ID]],'Config!'!$BA$15-2010+1)/100,"")</f>
        <v>0.42</v>
      </c>
      <c r="K136" s="577">
        <f>IFERROR(INDEX('Tariff Rate (%)'!$F$2:$P$176,Tabela2[[#This Row],[ID]],'Config!'!$BA$15-2010+1)/100,"")</f>
        <v>2.4700000000000003E-2</v>
      </c>
      <c r="L136" s="577">
        <f>IFERROR(INDEX('Corporate Tax Rate (%)'!$F$2:$P$176,Tabela2[[#This Row],[ID]],'Config!'!$BA$15-2010+1)/100,"")</f>
        <v>0.3</v>
      </c>
      <c r="M136" s="527" cm="1">
        <f t="array" ref="M136">INDEX('Score-Starting a business'!$F$2:$P$176,'IMS Seg. Table'!$A136,'Config!'!$BA$15-2010+1)</f>
        <v>76.73</v>
      </c>
      <c r="N136" s="527" cm="1">
        <f t="array" ref="N136">IFERROR(INDEX('Country Competitivness'!$AX$4:$BH$178,Tabela2[[#This Row],[ID]],'Config!'!$BA$15-2010+1),"")</f>
        <v>3.63</v>
      </c>
      <c r="O136" s="527" cm="1">
        <f t="array" ref="O136">IFERROR(INDEX('Country Competitivness'!$EE$4:$EO$178,Tabela2[[#This Row],[ID]],'Config!'!$BA$15-2010+1),"")</f>
        <v>3.06</v>
      </c>
      <c r="P136" s="527" cm="1">
        <f t="array" ref="P136">IFERROR(INDEX('Country Competitivness'!$H$4:$R$178,Tabela2[[#This Row],[ID]],'Config!'!$BA$15-2010+1),"")</f>
        <v>3.98</v>
      </c>
      <c r="Q136" s="527" cm="1">
        <f t="array" ref="Q136">IFERROR(INDEX('Country Competitivness'!$AJ$4:$AT$178,Tabela2[[#This Row],[ID]],MAX(1,'Config!'!$BA$15-2010)),"")</f>
        <v>4.01</v>
      </c>
      <c r="R136" s="527" cm="1">
        <f t="array" ref="R136">IFERROR(INDEX('Country Competitivness'!$BM$4:$BW$178,Tabela2[[#This Row],[ID]],'Config!'!$BA$15-2010+1),"")</f>
        <v>2.84</v>
      </c>
      <c r="S136" s="578" t="str" cm="1">
        <f t="array" ref="S13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6" s="537" t="str" cm="1">
        <f t="array" ref="T136">IF('Config!'!$BA$15=2010,".",IF(INDEX('Result data'!$R$216:$AA$390,'IMS Seg. Table'!$A136,'Config!'!$BA$15-2010)=".",".",INDEX('Result data'!$R$216:$AA$390,'IMS Seg. Table'!$A136,'Config!'!$BA$15-2010)))</f>
        <v>.</v>
      </c>
      <c r="U136" s="579" t="str">
        <f t="shared" si="34"/>
        <v>.</v>
      </c>
      <c r="V136" s="530" t="str" cm="1">
        <f t="array" ref="V136">IF(Tabela2[[#This Row],[Market Penetration (Category)]]=".",".",INDEX('Result data'!$BS$216:$CB$390,'IMS Seg. Table'!$A136,'Config!'!$BA$15-2010))</f>
        <v>.</v>
      </c>
      <c r="W136" s="563" t="str">
        <f>IF(Tabela2[[#This Row],[Market Demand (U$ millions)]]=".",".",Tabela2[[#This Row],[Market Demand (U$ millions)]]/Tabela2[[#This Row],[Active users (thousands)]])</f>
        <v>.</v>
      </c>
      <c r="X136" s="580" cm="1">
        <f t="array" ref="X136">IF('Config!'!$BA$15=2010,".",IF(INDEX('Result data'!$AE$216:$AN$390,'IMS Seg. Table'!$A136,'Config!'!$BA$15-2010)=".",0,INDEX('Result data'!$AE$216:$AN$390,'IMS Seg. Table'!$A136,'Config!'!$BA$15-2010)))</f>
        <v>0</v>
      </c>
      <c r="Y136" s="563" t="str">
        <f>IF('Config!'!$BA$15=2010,".",IF(Tabela2[[#This Row],[Number of competitors]]=0,".",SUMIF('Result data'!$N$216:$N$390,Tabela2[[#This Row],[ID]],'Result data'!$CP$216:$CP$393)))</f>
        <v>.</v>
      </c>
      <c r="Z136" s="563" t="str">
        <f>IF('Config!'!$BA$15=2010,".",IF(Tabela2[[#This Row],[Number of competitors]]=0,".",SUMIF('Result data'!$N$216:$N$390,Tabela2[[#This Row],[ID]],'Result data'!$DA$216:$DA$393)))</f>
        <v>.</v>
      </c>
      <c r="AA136" s="530" t="str" cm="1">
        <f t="array" ref="AA13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6" s="530" t="str" cm="1">
        <f t="array" ref="AB13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6" s="530" t="str" cm="1">
        <f t="array" ref="AD13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6" s="530" t="str" cm="1">
        <f t="array" ref="AE13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6" s="530" t="str" cm="1">
        <f t="array" ref="AF13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7" spans="1:32" x14ac:dyDescent="0.3">
      <c r="A137" s="569">
        <f>'Config!'!C123</f>
        <v>119</v>
      </c>
      <c r="B137" s="536" t="str">
        <f>'Config!'!A123</f>
        <v>Paquistão</v>
      </c>
      <c r="C137" s="536" t="str">
        <f>'Config!'!B123</f>
        <v>Ásia-Pacífico</v>
      </c>
      <c r="D137" s="538" cm="1">
        <f t="array" ref="D137">IFERROR(INDEX(Population!$BD$3:$BN$177,'IMS Seg. Table'!$A137,'Config!'!$BA$15-2010+1),"")</f>
        <v>177392252</v>
      </c>
      <c r="E137" s="551" cm="1">
        <f t="array" ref="E137">IFERROR(INDEX(Population!$CH$3:$CH$178,'IMS Seg. Table'!$A137,1),"")</f>
        <v>770875</v>
      </c>
      <c r="F137" s="552">
        <f>IFERROR('IMS Seg. Table'!$D137/'IMS Seg. Table'!$E137,"")</f>
        <v>230.11805026755312</v>
      </c>
      <c r="G137" s="575" cm="1">
        <f t="array" ref="G137">IFERROR(INDEX('Country Competitivness'!$CL$4:$CX$178,Tabela2[[#This Row],[ID]],'Config!'!$AZ$17+1),".")</f>
        <v>59.205820650433402</v>
      </c>
      <c r="H137" s="540" cm="1">
        <f t="array" ref="H137">INDEX(GDP!$G$3:$S$177,'IMS Seg. Table'!$A137,'Config!'!$BA$15-2010+1)*1000000000</f>
        <v>224383620829.56964</v>
      </c>
      <c r="I137" s="539">
        <f t="shared" si="33"/>
        <v>1264.900909142129</v>
      </c>
      <c r="J137" s="576">
        <f>IFERROR(INDEX('Income Tax Rate (%)'!$F$2:$P$176,Tabela2[[#This Row],[ID]],'Config!'!$BA$15-2010+1)/100,"")</f>
        <v>0.25</v>
      </c>
      <c r="K137" s="577">
        <f>IFERROR(INDEX('Tariff Rate (%)'!$F$2:$P$176,Tabela2[[#This Row],[ID]],'Config!'!$BA$15-2010+1)/100,"")</f>
        <v>0.10099999999999999</v>
      </c>
      <c r="L137" s="577">
        <f>IFERROR(INDEX('Corporate Tax Rate (%)'!$F$2:$P$176,Tabela2[[#This Row],[ID]],'Config!'!$BA$15-2010+1)/100,"")</f>
        <v>0.35</v>
      </c>
      <c r="M137" s="527" cm="1">
        <f t="array" ref="M137">INDEX('Score-Starting a business'!$F$2:$P$176,'IMS Seg. Table'!$A137,'Config!'!$BA$15-2010+1)</f>
        <v>75.185000000000002</v>
      </c>
      <c r="N137" s="527" cm="1">
        <f t="array" ref="N137">IFERROR(INDEX('Country Competitivness'!$AX$4:$BH$178,Tabela2[[#This Row],[ID]],'Config!'!$BA$15-2010+1),"")</f>
        <v>3.1716979298850578</v>
      </c>
      <c r="O137" s="527" cm="1">
        <f t="array" ref="O137">IFERROR(INDEX('Country Competitivness'!$EE$4:$EO$178,Tabela2[[#This Row],[ID]],'Config!'!$BA$15-2010+1),"")</f>
        <v>3.7130434724137933</v>
      </c>
      <c r="P137" s="527" cm="1">
        <f t="array" ref="P137">IFERROR(INDEX('Country Competitivness'!$H$4:$R$178,Tabela2[[#This Row],[ID]],'Config!'!$BA$15-2010+1),"")</f>
        <v>3.7973614158802187</v>
      </c>
      <c r="Q137" s="527" cm="1">
        <f t="array" ref="Q137">IFERROR(INDEX('Country Competitivness'!$AJ$4:$AT$178,Tabela2[[#This Row],[ID]],MAX(1,'Config!'!$BA$15-2010)),"")</f>
        <v>4.3178023042145597</v>
      </c>
      <c r="R137" s="527" cm="1">
        <f t="array" ref="R137">IFERROR(INDEX('Country Competitivness'!$BM$4:$BW$178,Tabela2[[#This Row],[ID]],'Config!'!$BA$15-2010+1),"")</f>
        <v>3.5185018402298853</v>
      </c>
      <c r="S137" s="578" t="str" cm="1">
        <f t="array" ref="S13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7" s="537" t="str" cm="1">
        <f t="array" ref="T137">IF('Config!'!$BA$15=2010,".",IF(INDEX('Result data'!$R$216:$AA$390,'IMS Seg. Table'!$A137,'Config!'!$BA$15-2010)=".",".",INDEX('Result data'!$R$216:$AA$390,'IMS Seg. Table'!$A137,'Config!'!$BA$15-2010)))</f>
        <v>.</v>
      </c>
      <c r="U137" s="579" t="str">
        <f t="shared" si="34"/>
        <v>.</v>
      </c>
      <c r="V137" s="530" t="str" cm="1">
        <f t="array" ref="V137">IF(Tabela2[[#This Row],[Market Penetration (Category)]]=".",".",INDEX('Result data'!$BS$216:$CB$390,'IMS Seg. Table'!$A137,'Config!'!$BA$15-2010))</f>
        <v>.</v>
      </c>
      <c r="W137" s="563" t="str">
        <f>IF(Tabela2[[#This Row],[Market Demand (U$ millions)]]=".",".",Tabela2[[#This Row],[Market Demand (U$ millions)]]/Tabela2[[#This Row],[Active users (thousands)]])</f>
        <v>.</v>
      </c>
      <c r="X137" s="580" cm="1">
        <f t="array" ref="X137">IF('Config!'!$BA$15=2010,".",IF(INDEX('Result data'!$AE$216:$AN$390,'IMS Seg. Table'!$A137,'Config!'!$BA$15-2010)=".",0,INDEX('Result data'!$AE$216:$AN$390,'IMS Seg. Table'!$A137,'Config!'!$BA$15-2010)))</f>
        <v>0</v>
      </c>
      <c r="Y137" s="563" t="str">
        <f>IF('Config!'!$BA$15=2010,".",IF(Tabela2[[#This Row],[Number of competitors]]=0,".",SUMIF('Result data'!$N$216:$N$390,Tabela2[[#This Row],[ID]],'Result data'!$CP$216:$CP$393)))</f>
        <v>.</v>
      </c>
      <c r="Z137" s="563" t="str">
        <f>IF('Config!'!$BA$15=2010,".",IF(Tabela2[[#This Row],[Number of competitors]]=0,".",SUMIF('Result data'!$N$216:$N$390,Tabela2[[#This Row],[ID]],'Result data'!$DA$216:$DA$393)))</f>
        <v>.</v>
      </c>
      <c r="AA137" s="530" t="str" cm="1">
        <f t="array" ref="AA13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7" s="530" t="str" cm="1">
        <f t="array" ref="AB13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7" s="530" t="str" cm="1">
        <f t="array" ref="AD13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7" s="530" t="str" cm="1">
        <f t="array" ref="AE13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7" s="530" t="str" cm="1">
        <f t="array" ref="AF13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8" spans="1:32" x14ac:dyDescent="0.3">
      <c r="A138" s="568">
        <f>'Config!'!C124</f>
        <v>122</v>
      </c>
      <c r="B138" s="536" t="str">
        <f>'Config!'!A124</f>
        <v>Paraguai</v>
      </c>
      <c r="C138" s="536" t="str">
        <f>'Config!'!B124</f>
        <v>América do Sul</v>
      </c>
      <c r="D138" s="538" cm="1">
        <f t="array" ref="D138">IFERROR(INDEX(Population!$BD$3:$BN$177,'IMS Seg. Table'!$A138,'Config!'!$BA$15-2010+1),"")</f>
        <v>6379162</v>
      </c>
      <c r="E138" s="551" cm="1">
        <f t="array" ref="E138">IFERROR(INDEX(Population!$CH$3:$CH$178,'IMS Seg. Table'!$A138,1),"")</f>
        <v>397302</v>
      </c>
      <c r="F138" s="552">
        <f>IFERROR('IMS Seg. Table'!$D138/'IMS Seg. Table'!$E138,"")</f>
        <v>16.056204096631781</v>
      </c>
      <c r="G138" s="575" cm="1">
        <f t="array" ref="G138">IFERROR(INDEX('Country Competitivness'!$CL$4:$CX$178,Tabela2[[#This Row],[ID]],'Config!'!$AZ$17+1),".")</f>
        <v>91.636331467362197</v>
      </c>
      <c r="H138" s="540" cm="1">
        <f t="array" ref="H138">INDEX(GDP!$G$3:$S$177,'IMS Seg. Table'!$A138,'Config!'!$BA$15-2010+1)*1000000000</f>
        <v>33283228891.092327</v>
      </c>
      <c r="I138" s="539">
        <f t="shared" si="33"/>
        <v>5217.4923432093947</v>
      </c>
      <c r="J138" s="576">
        <f>IFERROR(INDEX('Income Tax Rate (%)'!$F$2:$P$176,Tabela2[[#This Row],[ID]],'Config!'!$BA$15-2010+1)/100,"")</f>
        <v>0.1</v>
      </c>
      <c r="K138" s="577">
        <f>IFERROR(INDEX('Tariff Rate (%)'!$F$2:$P$176,Tabela2[[#This Row],[ID]],'Config!'!$BA$15-2010+1)/100,"")</f>
        <v>4.4699999999999997E-2</v>
      </c>
      <c r="L138" s="577">
        <f>IFERROR(INDEX('Corporate Tax Rate (%)'!$F$2:$P$176,Tabela2[[#This Row],[ID]],'Config!'!$BA$15-2010+1)/100,"")</f>
        <v>0.1</v>
      </c>
      <c r="M138" s="527" cm="1">
        <f t="array" ref="M138">INDEX('Score-Starting a business'!$F$2:$P$176,'IMS Seg. Table'!$A138,'Config!'!$BA$15-2010+1)</f>
        <v>77.27</v>
      </c>
      <c r="N138" s="527" cm="1">
        <f t="array" ref="N138">IFERROR(INDEX('Country Competitivness'!$AX$4:$BH$178,Tabela2[[#This Row],[ID]],'Config!'!$BA$15-2010+1),"")</f>
        <v>3.5021102365296803</v>
      </c>
      <c r="O138" s="527" cm="1">
        <f t="array" ref="O138">IFERROR(INDEX('Country Competitivness'!$EE$4:$EO$178,Tabela2[[#This Row],[ID]],'Config!'!$BA$15-2010+1),"")</f>
        <v>2.4367379954337895</v>
      </c>
      <c r="P138" s="527" cm="1">
        <f t="array" ref="P138">IFERROR(INDEX('Country Competitivness'!$H$4:$R$178,Tabela2[[#This Row],[ID]],'Config!'!$BA$15-2010+1),"")</f>
        <v>3.3887784751021393</v>
      </c>
      <c r="Q138" s="527" cm="1">
        <f t="array" ref="Q138">IFERROR(INDEX('Country Competitivness'!$AJ$4:$AT$178,Tabela2[[#This Row],[ID]],MAX(1,'Config!'!$BA$15-2010)),"")</f>
        <v>4.0957567989345511</v>
      </c>
      <c r="R138" s="527" cm="1">
        <f t="array" ref="R138">IFERROR(INDEX('Country Competitivness'!$BM$4:$BW$178,Tabela2[[#This Row],[ID]],'Config!'!$BA$15-2010+1),"")</f>
        <v>3.0749908689497714</v>
      </c>
      <c r="S138" s="578" t="str" cm="1">
        <f t="array" ref="S13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8" s="537" t="str" cm="1">
        <f t="array" ref="T138">IF('Config!'!$BA$15=2010,".",IF(INDEX('Result data'!$R$216:$AA$390,'IMS Seg. Table'!$A138,'Config!'!$BA$15-2010)=".",".",INDEX('Result data'!$R$216:$AA$390,'IMS Seg. Table'!$A138,'Config!'!$BA$15-2010)))</f>
        <v>.</v>
      </c>
      <c r="U138" s="579" t="str">
        <f t="shared" si="34"/>
        <v>.</v>
      </c>
      <c r="V138" s="530" t="str" cm="1">
        <f t="array" ref="V138">IF(Tabela2[[#This Row],[Market Penetration (Category)]]=".",".",INDEX('Result data'!$BS$216:$CB$390,'IMS Seg. Table'!$A138,'Config!'!$BA$15-2010))</f>
        <v>.</v>
      </c>
      <c r="W138" s="563" t="str">
        <f>IF(Tabela2[[#This Row],[Market Demand (U$ millions)]]=".",".",Tabela2[[#This Row],[Market Demand (U$ millions)]]/Tabela2[[#This Row],[Active users (thousands)]])</f>
        <v>.</v>
      </c>
      <c r="X138" s="580" cm="1">
        <f t="array" ref="X138">IF('Config!'!$BA$15=2010,".",IF(INDEX('Result data'!$AE$216:$AN$390,'IMS Seg. Table'!$A138,'Config!'!$BA$15-2010)=".",0,INDEX('Result data'!$AE$216:$AN$390,'IMS Seg. Table'!$A138,'Config!'!$BA$15-2010)))</f>
        <v>0</v>
      </c>
      <c r="Y138" s="563" t="str">
        <f>IF('Config!'!$BA$15=2010,".",IF(Tabela2[[#This Row],[Number of competitors]]=0,".",SUMIF('Result data'!$N$216:$N$390,Tabela2[[#This Row],[ID]],'Result data'!$CP$216:$CP$393)))</f>
        <v>.</v>
      </c>
      <c r="Z138" s="563" t="str">
        <f>IF('Config!'!$BA$15=2010,".",IF(Tabela2[[#This Row],[Number of competitors]]=0,".",SUMIF('Result data'!$N$216:$N$390,Tabela2[[#This Row],[ID]],'Result data'!$DA$216:$DA$393)))</f>
        <v>.</v>
      </c>
      <c r="AA138" s="530" t="str" cm="1">
        <f t="array" ref="AA13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8" s="530" t="str" cm="1">
        <f t="array" ref="AB13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8" s="530" t="str" cm="1">
        <f t="array" ref="AD13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8" s="530" t="str" cm="1">
        <f t="array" ref="AE13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8" s="530" t="str" cm="1">
        <f t="array" ref="AF13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39" spans="1:32" x14ac:dyDescent="0.3">
      <c r="A139" s="569">
        <f>'Config!'!C125</f>
        <v>123</v>
      </c>
      <c r="B139" s="536" t="str">
        <f>'Config!'!A125</f>
        <v>Peru</v>
      </c>
      <c r="C139" s="536" t="str">
        <f>'Config!'!B125</f>
        <v>América do Sul</v>
      </c>
      <c r="D139" s="538" cm="1">
        <f t="array" ref="D139">IFERROR(INDEX(Population!$BD$3:$BN$177,'IMS Seg. Table'!$A139,'Config!'!$BA$15-2010+1),"")</f>
        <v>30158768</v>
      </c>
      <c r="E139" s="551" cm="1">
        <f t="array" ref="E139">IFERROR(INDEX(Population!$CH$3:$CH$178,'IMS Seg. Table'!$A139,1),"")</f>
        <v>1279996</v>
      </c>
      <c r="F139" s="552">
        <f>IFERROR('IMS Seg. Table'!$D139/'IMS Seg. Table'!$E139,"")</f>
        <v>23.56161113003478</v>
      </c>
      <c r="G139" s="575" cm="1">
        <f t="array" ref="G139">IFERROR(INDEX('Country Competitivness'!$CL$4:$CX$178,Tabela2[[#This Row],[ID]],'Config!'!$AZ$17+1),".")</f>
        <v>100.132880450035</v>
      </c>
      <c r="H139" s="540" cm="1">
        <f t="array" ref="H139">INDEX(GDP!$G$3:$S$177,'IMS Seg. Table'!$A139,'Config!'!$BA$15-2010+1)*1000000000</f>
        <v>192648999090.08191</v>
      </c>
      <c r="I139" s="539">
        <f t="shared" si="33"/>
        <v>6387.8272179447749</v>
      </c>
      <c r="J139" s="576">
        <f>IFERROR(INDEX('Income Tax Rate (%)'!$F$2:$P$176,Tabela2[[#This Row],[ID]],'Config!'!$BA$15-2010+1)/100,"")</f>
        <v>0.3</v>
      </c>
      <c r="K139" s="577">
        <f>IFERROR(INDEX('Tariff Rate (%)'!$F$2:$P$176,Tabela2[[#This Row],[ID]],'Config!'!$BA$15-2010+1)/100,"")</f>
        <v>1.5100000000000001E-2</v>
      </c>
      <c r="L139" s="577">
        <f>IFERROR(INDEX('Corporate Tax Rate (%)'!$F$2:$P$176,Tabela2[[#This Row],[ID]],'Config!'!$BA$15-2010+1)/100,"")</f>
        <v>0.3</v>
      </c>
      <c r="M139" s="527" cm="1">
        <f t="array" ref="M139">INDEX('Score-Starting a business'!$F$2:$P$176,'IMS Seg. Table'!$A139,'Config!'!$BA$15-2010+1)</f>
        <v>78.02</v>
      </c>
      <c r="N139" s="527" cm="1">
        <f t="array" ref="N139">IFERROR(INDEX('Country Competitivness'!$AX$4:$BH$178,Tabela2[[#This Row],[ID]],'Config!'!$BA$15-2010+1),"")</f>
        <v>2.6323107264367813</v>
      </c>
      <c r="O139" s="527" cm="1">
        <f t="array" ref="O139">IFERROR(INDEX('Country Competitivness'!$EE$4:$EO$178,Tabela2[[#This Row],[ID]],'Config!'!$BA$15-2010+1),"")</f>
        <v>3.177049309195402</v>
      </c>
      <c r="P139" s="527" cm="1">
        <f t="array" ref="P139">IFERROR(INDEX('Country Competitivness'!$H$4:$R$178,Tabela2[[#This Row],[ID]],'Config!'!$BA$15-2010+1),"")</f>
        <v>3.9250380949788264</v>
      </c>
      <c r="Q139" s="527" cm="1">
        <f t="array" ref="Q139">IFERROR(INDEX('Country Competitivness'!$AJ$4:$AT$178,Tabela2[[#This Row],[ID]],MAX(1,'Config!'!$BA$15-2010)),"")</f>
        <v>5.0132603068965516</v>
      </c>
      <c r="R139" s="527" cm="1">
        <f t="array" ref="R139">IFERROR(INDEX('Country Competitivness'!$BM$4:$BW$178,Tabela2[[#This Row],[ID]],'Config!'!$BA$15-2010+1),"")</f>
        <v>3.5351236494252873</v>
      </c>
      <c r="S139" s="578" t="str" cm="1">
        <f t="array" ref="S13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39" s="537" t="str" cm="1">
        <f t="array" ref="T139">IF('Config!'!$BA$15=2010,".",IF(INDEX('Result data'!$R$216:$AA$390,'IMS Seg. Table'!$A139,'Config!'!$BA$15-2010)=".",".",INDEX('Result data'!$R$216:$AA$390,'IMS Seg. Table'!$A139,'Config!'!$BA$15-2010)))</f>
        <v>.</v>
      </c>
      <c r="U139" s="579" t="str">
        <f t="shared" si="34"/>
        <v>.</v>
      </c>
      <c r="V139" s="530" t="str" cm="1">
        <f t="array" ref="V139">IF(Tabela2[[#This Row],[Market Penetration (Category)]]=".",".",INDEX('Result data'!$BS$216:$CB$390,'IMS Seg. Table'!$A139,'Config!'!$BA$15-2010))</f>
        <v>.</v>
      </c>
      <c r="W139" s="563" t="str">
        <f>IF(Tabela2[[#This Row],[Market Demand (U$ millions)]]=".",".",Tabela2[[#This Row],[Market Demand (U$ millions)]]/Tabela2[[#This Row],[Active users (thousands)]])</f>
        <v>.</v>
      </c>
      <c r="X139" s="580" cm="1">
        <f t="array" ref="X139">IF('Config!'!$BA$15=2010,".",IF(INDEX('Result data'!$AE$216:$AN$390,'IMS Seg. Table'!$A139,'Config!'!$BA$15-2010)=".",0,INDEX('Result data'!$AE$216:$AN$390,'IMS Seg. Table'!$A139,'Config!'!$BA$15-2010)))</f>
        <v>0</v>
      </c>
      <c r="Y139" s="563" t="str">
        <f>IF('Config!'!$BA$15=2010,".",IF(Tabela2[[#This Row],[Number of competitors]]=0,".",SUMIF('Result data'!$N$216:$N$390,Tabela2[[#This Row],[ID]],'Result data'!$CP$216:$CP$393)))</f>
        <v>.</v>
      </c>
      <c r="Z139" s="563" t="str">
        <f>IF('Config!'!$BA$15=2010,".",IF(Tabela2[[#This Row],[Number of competitors]]=0,".",SUMIF('Result data'!$N$216:$N$390,Tabela2[[#This Row],[ID]],'Result data'!$DA$216:$DA$393)))</f>
        <v>.</v>
      </c>
      <c r="AA139" s="530" t="str" cm="1">
        <f t="array" ref="AA13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39" s="530" t="str" cm="1">
        <f t="array" ref="AB13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3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39" s="530" t="str" cm="1">
        <f t="array" ref="AD13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39" s="530" t="str" cm="1">
        <f t="array" ref="AE13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39" s="530" t="str" cm="1">
        <f t="array" ref="AF13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0" spans="1:32" x14ac:dyDescent="0.3">
      <c r="A140" s="568">
        <f>'Config!'!C126</f>
        <v>123</v>
      </c>
      <c r="B140" s="536" t="str">
        <f>'Config!'!A126</f>
        <v>Peru</v>
      </c>
      <c r="C140" s="536" t="str">
        <f>'Config!'!B126</f>
        <v>América do Sul</v>
      </c>
      <c r="D140" s="538" cm="1">
        <f t="array" ref="D140">IFERROR(INDEX(Population!$BD$3:$BN$177,'IMS Seg. Table'!$A140,'Config!'!$BA$15-2010+1),"")</f>
        <v>30158768</v>
      </c>
      <c r="E140" s="551" cm="1">
        <f t="array" ref="E140">IFERROR(INDEX(Population!$CH$3:$CH$178,'IMS Seg. Table'!$A140,1),"")</f>
        <v>1279996</v>
      </c>
      <c r="F140" s="552">
        <f>IFERROR('IMS Seg. Table'!$D140/'IMS Seg. Table'!$E140,"")</f>
        <v>23.56161113003478</v>
      </c>
      <c r="G140" s="575" cm="1">
        <f t="array" ref="G140">IFERROR(INDEX('Country Competitivness'!$CL$4:$CX$178,Tabela2[[#This Row],[ID]],'Config!'!$AZ$17+1),".")</f>
        <v>100.132880450035</v>
      </c>
      <c r="H140" s="540" cm="1">
        <f t="array" ref="H140">INDEX(GDP!$G$3:$S$177,'IMS Seg. Table'!$A140,'Config!'!$BA$15-2010+1)*1000000000</f>
        <v>192648999090.08191</v>
      </c>
      <c r="I140" s="539">
        <f t="shared" si="33"/>
        <v>6387.8272179447749</v>
      </c>
      <c r="J140" s="576">
        <f>IFERROR(INDEX('Income Tax Rate (%)'!$F$2:$P$176,Tabela2[[#This Row],[ID]],'Config!'!$BA$15-2010+1)/100,"")</f>
        <v>0.3</v>
      </c>
      <c r="K140" s="577">
        <f>IFERROR(INDEX('Tariff Rate (%)'!$F$2:$P$176,Tabela2[[#This Row],[ID]],'Config!'!$BA$15-2010+1)/100,"")</f>
        <v>1.5100000000000001E-2</v>
      </c>
      <c r="L140" s="577">
        <f>IFERROR(INDEX('Corporate Tax Rate (%)'!$F$2:$P$176,Tabela2[[#This Row],[ID]],'Config!'!$BA$15-2010+1)/100,"")</f>
        <v>0.3</v>
      </c>
      <c r="M140" s="527" cm="1">
        <f t="array" ref="M140">INDEX('Score-Starting a business'!$F$2:$P$176,'IMS Seg. Table'!$A140,'Config!'!$BA$15-2010+1)</f>
        <v>78.02</v>
      </c>
      <c r="N140" s="527" cm="1">
        <f t="array" ref="N140">IFERROR(INDEX('Country Competitivness'!$AX$4:$BH$178,Tabela2[[#This Row],[ID]],'Config!'!$BA$15-2010+1),"")</f>
        <v>2.6323107264367813</v>
      </c>
      <c r="O140" s="527" cm="1">
        <f t="array" ref="O140">IFERROR(INDEX('Country Competitivness'!$EE$4:$EO$178,Tabela2[[#This Row],[ID]],'Config!'!$BA$15-2010+1),"")</f>
        <v>3.177049309195402</v>
      </c>
      <c r="P140" s="527" cm="1">
        <f t="array" ref="P140">IFERROR(INDEX('Country Competitivness'!$H$4:$R$178,Tabela2[[#This Row],[ID]],'Config!'!$BA$15-2010+1),"")</f>
        <v>3.9250380949788264</v>
      </c>
      <c r="Q140" s="527" cm="1">
        <f t="array" ref="Q140">IFERROR(INDEX('Country Competitivness'!$AJ$4:$AT$178,Tabela2[[#This Row],[ID]],MAX(1,'Config!'!$BA$15-2010)),"")</f>
        <v>5.0132603068965516</v>
      </c>
      <c r="R140" s="527" cm="1">
        <f t="array" ref="R140">IFERROR(INDEX('Country Competitivness'!$BM$4:$BW$178,Tabela2[[#This Row],[ID]],'Config!'!$BA$15-2010+1),"")</f>
        <v>3.5351236494252873</v>
      </c>
      <c r="S140" s="578" t="str" cm="1">
        <f t="array" ref="S14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0" s="537" t="str" cm="1">
        <f t="array" ref="T140">IF('Config!'!$BA$15=2010,".",IF(INDEX('Result data'!$R$216:$AA$390,'IMS Seg. Table'!$A140,'Config!'!$BA$15-2010)=".",".",INDEX('Result data'!$R$216:$AA$390,'IMS Seg. Table'!$A140,'Config!'!$BA$15-2010)))</f>
        <v>.</v>
      </c>
      <c r="U140" s="579" t="str">
        <f t="shared" si="34"/>
        <v>.</v>
      </c>
      <c r="V140" s="530" t="str" cm="1">
        <f t="array" ref="V140">IF(Tabela2[[#This Row],[Market Penetration (Category)]]=".",".",INDEX('Result data'!$BS$216:$CB$390,'IMS Seg. Table'!$A140,'Config!'!$BA$15-2010))</f>
        <v>.</v>
      </c>
      <c r="W140" s="563" t="str">
        <f>IF(Tabela2[[#This Row],[Market Demand (U$ millions)]]=".",".",Tabela2[[#This Row],[Market Demand (U$ millions)]]/Tabela2[[#This Row],[Active users (thousands)]])</f>
        <v>.</v>
      </c>
      <c r="X140" s="580" cm="1">
        <f t="array" ref="X140">IF('Config!'!$BA$15=2010,".",IF(INDEX('Result data'!$AE$216:$AN$390,'IMS Seg. Table'!$A140,'Config!'!$BA$15-2010)=".",0,INDEX('Result data'!$AE$216:$AN$390,'IMS Seg. Table'!$A140,'Config!'!$BA$15-2010)))</f>
        <v>0</v>
      </c>
      <c r="Y140" s="563" t="str">
        <f>IF('Config!'!$BA$15=2010,".",IF(Tabela2[[#This Row],[Number of competitors]]=0,".",SUMIF('Result data'!$N$216:$N$390,Tabela2[[#This Row],[ID]],'Result data'!$CP$216:$CP$393)))</f>
        <v>.</v>
      </c>
      <c r="Z140" s="563" t="str">
        <f>IF('Config!'!$BA$15=2010,".",IF(Tabela2[[#This Row],[Number of competitors]]=0,".",SUMIF('Result data'!$N$216:$N$390,Tabela2[[#This Row],[ID]],'Result data'!$DA$216:$DA$393)))</f>
        <v>.</v>
      </c>
      <c r="AA140" s="530" t="str" cm="1">
        <f t="array" ref="AA14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0" s="530" t="str" cm="1">
        <f t="array" ref="AB14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0" s="530" t="str" cm="1">
        <f t="array" ref="AD14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0" s="530" t="str" cm="1">
        <f t="array" ref="AE14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0" s="530" t="str" cm="1">
        <f t="array" ref="AF14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1" spans="1:32" x14ac:dyDescent="0.3">
      <c r="A141" s="569">
        <f>'Config!'!C127</f>
        <v>125</v>
      </c>
      <c r="B141" s="536" t="str">
        <f>'Config!'!A127</f>
        <v>Polônia</v>
      </c>
      <c r="C141" s="536" t="str">
        <f>'Config!'!B127</f>
        <v>União Européia</v>
      </c>
      <c r="D141" s="538" cm="1">
        <f t="array" ref="D141">IFERROR(INDEX(Population!$BD$3:$BN$177,'IMS Seg. Table'!$A141,'Config!'!$BA$15-2010+1),"")</f>
        <v>38063164</v>
      </c>
      <c r="E141" s="551" cm="1">
        <f t="array" ref="E141">IFERROR(INDEX(Population!$CH$3:$CH$178,'IMS Seg. Table'!$A141,1),"")</f>
        <v>304255</v>
      </c>
      <c r="F141" s="552">
        <f>IFERROR('IMS Seg. Table'!$D141/'IMS Seg. Table'!$E141,"")</f>
        <v>125.10283807990008</v>
      </c>
      <c r="G141" s="575" cm="1">
        <f t="array" ref="G141">IFERROR(INDEX('Country Competitivness'!$CL$4:$CX$178,Tabela2[[#This Row],[ID]],'Config!'!$AZ$17+1),".")</f>
        <v>120.177674854598</v>
      </c>
      <c r="H141" s="540" cm="1">
        <f t="array" ref="H141">INDEX(GDP!$G$3:$S$177,'IMS Seg. Table'!$A141,'Config!'!$BA$15-2010+1)*1000000000</f>
        <v>500360816827.88269</v>
      </c>
      <c r="I141" s="539">
        <f t="shared" si="33"/>
        <v>13145.539262786528</v>
      </c>
      <c r="J141" s="576">
        <f>IFERROR(INDEX('Income Tax Rate (%)'!$F$2:$P$176,Tabela2[[#This Row],[ID]],'Config!'!$BA$15-2010+1)/100,"")</f>
        <v>0.32</v>
      </c>
      <c r="K141" s="577">
        <f>IFERROR(INDEX('Tariff Rate (%)'!$F$2:$P$176,Tabela2[[#This Row],[ID]],'Config!'!$BA$15-2010+1)/100,"")</f>
        <v>1.09E-2</v>
      </c>
      <c r="L141" s="577">
        <f>IFERROR(INDEX('Corporate Tax Rate (%)'!$F$2:$P$176,Tabela2[[#This Row],[ID]],'Config!'!$BA$15-2010+1)/100,"")</f>
        <v>0.19</v>
      </c>
      <c r="M141" s="527" cm="1">
        <f t="array" ref="M141">INDEX('Score-Starting a business'!$F$2:$P$176,'IMS Seg. Table'!$A141,'Config!'!$BA$15-2010+1)</f>
        <v>78.62</v>
      </c>
      <c r="N141" s="527" cm="1">
        <f t="array" ref="N141">IFERROR(INDEX('Country Competitivness'!$AX$4:$BH$178,Tabela2[[#This Row],[ID]],'Config!'!$BA$15-2010+1),"")</f>
        <v>2.6064698703339886</v>
      </c>
      <c r="O141" s="527" cm="1">
        <f t="array" ref="O141">IFERROR(INDEX('Country Competitivness'!$EE$4:$EO$178,Tabela2[[#This Row],[ID]],'Config!'!$BA$15-2010+1),"")</f>
        <v>2.3252414453831043</v>
      </c>
      <c r="P141" s="527" cm="1">
        <f t="array" ref="P141">IFERROR(INDEX('Country Competitivness'!$H$4:$R$178,Tabela2[[#This Row],[ID]],'Config!'!$BA$15-2010+1),"")</f>
        <v>4.0587280040016553</v>
      </c>
      <c r="Q141" s="527" cm="1">
        <f t="array" ref="Q141">IFERROR(INDEX('Country Competitivness'!$AJ$4:$AT$178,Tabela2[[#This Row],[ID]],MAX(1,'Config!'!$BA$15-2010)),"")</f>
        <v>4.6518254436149311</v>
      </c>
      <c r="R141" s="527" cm="1">
        <f t="array" ref="R141">IFERROR(INDEX('Country Competitivness'!$BM$4:$BW$178,Tabela2[[#This Row],[ID]],'Config!'!$BA$15-2010+1),"")</f>
        <v>3.4994461280943026</v>
      </c>
      <c r="S141" s="578" t="str" cm="1">
        <f t="array" ref="S14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1" s="537" t="str" cm="1">
        <f t="array" ref="T141">IF('Config!'!$BA$15=2010,".",IF(INDEX('Result data'!$R$216:$AA$390,'IMS Seg. Table'!$A141,'Config!'!$BA$15-2010)=".",".",INDEX('Result data'!$R$216:$AA$390,'IMS Seg. Table'!$A141,'Config!'!$BA$15-2010)))</f>
        <v>.</v>
      </c>
      <c r="U141" s="579" t="str">
        <f t="shared" si="34"/>
        <v>.</v>
      </c>
      <c r="V141" s="530" t="str" cm="1">
        <f t="array" ref="V141">IF(Tabela2[[#This Row],[Market Penetration (Category)]]=".",".",INDEX('Result data'!$BS$216:$CB$390,'IMS Seg. Table'!$A141,'Config!'!$BA$15-2010))</f>
        <v>.</v>
      </c>
      <c r="W141" s="563" t="str">
        <f>IF(Tabela2[[#This Row],[Market Demand (U$ millions)]]=".",".",Tabela2[[#This Row],[Market Demand (U$ millions)]]/Tabela2[[#This Row],[Active users (thousands)]])</f>
        <v>.</v>
      </c>
      <c r="X141" s="580" cm="1">
        <f t="array" ref="X141">IF('Config!'!$BA$15=2010,".",IF(INDEX('Result data'!$AE$216:$AN$390,'IMS Seg. Table'!$A141,'Config!'!$BA$15-2010)=".",0,INDEX('Result data'!$AE$216:$AN$390,'IMS Seg. Table'!$A141,'Config!'!$BA$15-2010)))</f>
        <v>0</v>
      </c>
      <c r="Y141" s="563" t="str">
        <f>IF('Config!'!$BA$15=2010,".",IF(Tabela2[[#This Row],[Number of competitors]]=0,".",SUMIF('Result data'!$N$216:$N$390,Tabela2[[#This Row],[ID]],'Result data'!$CP$216:$CP$393)))</f>
        <v>.</v>
      </c>
      <c r="Z141" s="563" t="str">
        <f>IF('Config!'!$BA$15=2010,".",IF(Tabela2[[#This Row],[Number of competitors]]=0,".",SUMIF('Result data'!$N$216:$N$390,Tabela2[[#This Row],[ID]],'Result data'!$DA$216:$DA$393)))</f>
        <v>.</v>
      </c>
      <c r="AA141" s="530" t="str" cm="1">
        <f t="array" ref="AA14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1" s="530" t="str" cm="1">
        <f t="array" ref="AB14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1" s="530" t="str" cm="1">
        <f t="array" ref="AD14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1" s="530" t="str" cm="1">
        <f t="array" ref="AE14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1" s="530" t="str" cm="1">
        <f t="array" ref="AF14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2" spans="1:32" x14ac:dyDescent="0.3">
      <c r="A142" s="568">
        <f>'Config!'!C128</f>
        <v>126</v>
      </c>
      <c r="B142" s="536" t="str">
        <f>'Config!'!A128</f>
        <v>Portugal</v>
      </c>
      <c r="C142" s="536" t="str">
        <f>'Config!'!B128</f>
        <v>União Européia</v>
      </c>
      <c r="D142" s="538" cm="1">
        <f t="array" ref="D142">IFERROR(INDEX(Population!$BD$3:$BN$177,'IMS Seg. Table'!$A142,'Config!'!$BA$15-2010+1),"")</f>
        <v>10514844</v>
      </c>
      <c r="E142" s="551" cm="1">
        <f t="array" ref="E142">IFERROR(INDEX(Population!$CH$3:$CH$178,'IMS Seg. Table'!$A142,1),"")</f>
        <v>91470</v>
      </c>
      <c r="F142" s="552">
        <f>IFERROR('IMS Seg. Table'!$D142/'IMS Seg. Table'!$E142,"")</f>
        <v>114.95401771072483</v>
      </c>
      <c r="G142" s="575" cm="1">
        <f t="array" ref="G142">IFERROR(INDEX('Country Competitivness'!$CL$4:$CX$178,Tabela2[[#This Row],[ID]],'Config!'!$AZ$17+1),".")</f>
        <v>142.33330073554799</v>
      </c>
      <c r="H142" s="540" cm="1">
        <f t="array" ref="H142">INDEX(GDP!$G$3:$S$177,'IMS Seg. Table'!$A142,'Config!'!$BA$15-2010+1)*1000000000</f>
        <v>216368178659.4465</v>
      </c>
      <c r="I142" s="539">
        <f t="shared" si="33"/>
        <v>20577.402637589916</v>
      </c>
      <c r="J142" s="576">
        <f>IFERROR(INDEX('Income Tax Rate (%)'!$F$2:$P$176,Tabela2[[#This Row],[ID]],'Config!'!$BA$15-2010+1)/100,"")</f>
        <v>0.48</v>
      </c>
      <c r="K142" s="577">
        <f>IFERROR(INDEX('Tariff Rate (%)'!$F$2:$P$176,Tabela2[[#This Row],[ID]],'Config!'!$BA$15-2010+1)/100,"")</f>
        <v>1.09E-2</v>
      </c>
      <c r="L142" s="577">
        <f>IFERROR(INDEX('Corporate Tax Rate (%)'!$F$2:$P$176,Tabela2[[#This Row],[ID]],'Config!'!$BA$15-2010+1)/100,"")</f>
        <v>0.26500000000000001</v>
      </c>
      <c r="M142" s="527" cm="1">
        <f t="array" ref="M142">INDEX('Score-Starting a business'!$F$2:$P$176,'IMS Seg. Table'!$A142,'Config!'!$BA$15-2010+1)</f>
        <v>90.73</v>
      </c>
      <c r="N142" s="527" cm="1">
        <f t="array" ref="N142">IFERROR(INDEX('Country Competitivness'!$AX$4:$BH$178,Tabela2[[#This Row],[ID]],'Config!'!$BA$15-2010+1),"")</f>
        <v>2.4890494066945608</v>
      </c>
      <c r="O142" s="527" cm="1">
        <f t="array" ref="O142">IFERROR(INDEX('Country Competitivness'!$EE$4:$EO$178,Tabela2[[#This Row],[ID]],'Config!'!$BA$15-2010+1),"")</f>
        <v>6.2936537376569035</v>
      </c>
      <c r="P142" s="527" cm="1">
        <f t="array" ref="P142">IFERROR(INDEX('Country Competitivness'!$H$4:$R$178,Tabela2[[#This Row],[ID]],'Config!'!$BA$15-2010+1),"")</f>
        <v>4.1872498597445498</v>
      </c>
      <c r="Q142" s="527" cm="1">
        <f t="array" ref="Q142">IFERROR(INDEX('Country Competitivness'!$AJ$4:$AT$178,Tabela2[[#This Row],[ID]],MAX(1,'Config!'!$BA$15-2010)),"")</f>
        <v>5.7444150324965149</v>
      </c>
      <c r="R142" s="527" cm="1">
        <f t="array" ref="R142">IFERROR(INDEX('Country Competitivness'!$BM$4:$BW$178,Tabela2[[#This Row],[ID]],'Config!'!$BA$15-2010+1),"")</f>
        <v>3.5848422732217573</v>
      </c>
      <c r="S142" s="578" t="str" cm="1">
        <f t="array" ref="S14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2" s="537" t="str" cm="1">
        <f t="array" ref="T142">IF('Config!'!$BA$15=2010,".",IF(INDEX('Result data'!$R$216:$AA$390,'IMS Seg. Table'!$A142,'Config!'!$BA$15-2010)=".",".",INDEX('Result data'!$R$216:$AA$390,'IMS Seg. Table'!$A142,'Config!'!$BA$15-2010)))</f>
        <v>.</v>
      </c>
      <c r="U142" s="579" t="str">
        <f t="shared" si="34"/>
        <v>.</v>
      </c>
      <c r="V142" s="530" t="str" cm="1">
        <f t="array" ref="V142">IF(Tabela2[[#This Row],[Market Penetration (Category)]]=".",".",INDEX('Result data'!$BS$216:$CB$390,'IMS Seg. Table'!$A142,'Config!'!$BA$15-2010))</f>
        <v>.</v>
      </c>
      <c r="W142" s="563" t="str">
        <f>IF(Tabela2[[#This Row],[Market Demand (U$ millions)]]=".",".",Tabela2[[#This Row],[Market Demand (U$ millions)]]/Tabela2[[#This Row],[Active users (thousands)]])</f>
        <v>.</v>
      </c>
      <c r="X142" s="580" cm="1">
        <f t="array" ref="X142">IF('Config!'!$BA$15=2010,".",IF(INDEX('Result data'!$AE$216:$AN$390,'IMS Seg. Table'!$A142,'Config!'!$BA$15-2010)=".",0,INDEX('Result data'!$AE$216:$AN$390,'IMS Seg. Table'!$A142,'Config!'!$BA$15-2010)))</f>
        <v>0</v>
      </c>
      <c r="Y142" s="563" t="str">
        <f>IF('Config!'!$BA$15=2010,".",IF(Tabela2[[#This Row],[Number of competitors]]=0,".",SUMIF('Result data'!$N$216:$N$390,Tabela2[[#This Row],[ID]],'Result data'!$CP$216:$CP$393)))</f>
        <v>.</v>
      </c>
      <c r="Z142" s="563" t="str">
        <f>IF('Config!'!$BA$15=2010,".",IF(Tabela2[[#This Row],[Number of competitors]]=0,".",SUMIF('Result data'!$N$216:$N$390,Tabela2[[#This Row],[ID]],'Result data'!$DA$216:$DA$393)))</f>
        <v>.</v>
      </c>
      <c r="AA142" s="530" t="str" cm="1">
        <f t="array" ref="AA14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2" s="530" t="str" cm="1">
        <f t="array" ref="AB14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2" s="530" t="str" cm="1">
        <f t="array" ref="AD14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2" s="530" t="str" cm="1">
        <f t="array" ref="AE14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2" s="530" t="str" cm="1">
        <f t="array" ref="AF14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3" spans="1:32" x14ac:dyDescent="0.3">
      <c r="A143" s="569">
        <f>'Config!'!C129</f>
        <v>82</v>
      </c>
      <c r="B143" s="536" t="str">
        <f>'Config!'!A129</f>
        <v>Quênia</v>
      </c>
      <c r="C143" s="536" t="str">
        <f>'Config!'!B129</f>
        <v>África Subsaariana</v>
      </c>
      <c r="D143" s="538" cm="1">
        <f t="array" ref="D143">IFERROR(INDEX(Population!$BD$3:$BN$177,'IMS Seg. Table'!$A143,'Config!'!$BA$15-2010+1),"")</f>
        <v>42542978</v>
      </c>
      <c r="E143" s="551" cm="1">
        <f t="array" ref="E143">IFERROR(INDEX(Population!$CH$3:$CH$178,'IMS Seg. Table'!$A143,1),"")</f>
        <v>569140</v>
      </c>
      <c r="F143" s="552">
        <f>IFERROR('IMS Seg. Table'!$D143/'IMS Seg. Table'!$E143,"")</f>
        <v>74.749583582246899</v>
      </c>
      <c r="G143" s="575" cm="1">
        <f t="array" ref="G143">IFERROR(INDEX('Country Competitivness'!$CL$4:$CX$178,Tabela2[[#This Row],[ID]],'Config!'!$AZ$17+1),".")</f>
        <v>61.632283441515902</v>
      </c>
      <c r="H143" s="540" cm="1">
        <f t="array" ref="H143">INDEX(GDP!$G$3:$S$177,'IMS Seg. Table'!$A143,'Config!'!$BA$15-2010+1)*1000000000</f>
        <v>50412754861.019096</v>
      </c>
      <c r="I143" s="539">
        <f t="shared" si="33"/>
        <v>1184.9841555760177</v>
      </c>
      <c r="J143" s="576">
        <f>IFERROR(INDEX('Income Tax Rate (%)'!$F$2:$P$176,Tabela2[[#This Row],[ID]],'Config!'!$BA$15-2010+1)/100,"")</f>
        <v>0.3</v>
      </c>
      <c r="K143" s="577">
        <f>IFERROR(INDEX('Tariff Rate (%)'!$F$2:$P$176,Tabela2[[#This Row],[ID]],'Config!'!$BA$15-2010+1)/100,"")</f>
        <v>6.08E-2</v>
      </c>
      <c r="L143" s="577">
        <f>IFERROR(INDEX('Corporate Tax Rate (%)'!$F$2:$P$176,Tabela2[[#This Row],[ID]],'Config!'!$BA$15-2010+1)/100,"")</f>
        <v>0.3</v>
      </c>
      <c r="M143" s="527" cm="1">
        <f t="array" ref="M143">INDEX('Score-Starting a business'!$F$2:$P$176,'IMS Seg. Table'!$A143,'Config!'!$BA$15-2010+1)</f>
        <v>65.53</v>
      </c>
      <c r="N143" s="527" cm="1">
        <f t="array" ref="N143">IFERROR(INDEX('Country Competitivness'!$AX$4:$BH$178,Tabela2[[#This Row],[ID]],'Config!'!$BA$15-2010+1),"")</f>
        <v>3.0217939170731709</v>
      </c>
      <c r="O143" s="527" cm="1">
        <f t="array" ref="O143">IFERROR(INDEX('Country Competitivness'!$EE$4:$EO$178,Tabela2[[#This Row],[ID]],'Config!'!$BA$15-2010+1),"")</f>
        <v>3.8881451073170732</v>
      </c>
      <c r="P143" s="527" cm="1">
        <f t="array" ref="P143">IFERROR(INDEX('Country Competitivness'!$H$4:$R$178,Tabela2[[#This Row],[ID]],'Config!'!$BA$15-2010+1),"")</f>
        <v>4.0691183011553269</v>
      </c>
      <c r="Q143" s="527" cm="1">
        <f t="array" ref="Q143">IFERROR(INDEX('Country Competitivness'!$AJ$4:$AT$178,Tabela2[[#This Row],[ID]],MAX(1,'Config!'!$BA$15-2010)),"")</f>
        <v>4.8922728560975619</v>
      </c>
      <c r="R143" s="527" cm="1">
        <f t="array" ref="R143">IFERROR(INDEX('Country Competitivness'!$BM$4:$BW$178,Tabela2[[#This Row],[ID]],'Config!'!$BA$15-2010+1),"")</f>
        <v>3.3272003317073171</v>
      </c>
      <c r="S143" s="578" t="str" cm="1">
        <f t="array" ref="S14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3" s="537" t="str" cm="1">
        <f t="array" ref="T143">IF('Config!'!$BA$15=2010,".",IF(INDEX('Result data'!$R$216:$AA$390,'IMS Seg. Table'!$A143,'Config!'!$BA$15-2010)=".",".",INDEX('Result data'!$R$216:$AA$390,'IMS Seg. Table'!$A143,'Config!'!$BA$15-2010)))</f>
        <v>.</v>
      </c>
      <c r="U143" s="579" t="str">
        <f t="shared" si="34"/>
        <v>.</v>
      </c>
      <c r="V143" s="530" t="str" cm="1">
        <f t="array" ref="V143">IF(Tabela2[[#This Row],[Market Penetration (Category)]]=".",".",INDEX('Result data'!$BS$216:$CB$390,'IMS Seg. Table'!$A143,'Config!'!$BA$15-2010))</f>
        <v>.</v>
      </c>
      <c r="W143" s="563" t="str">
        <f>IF(Tabela2[[#This Row],[Market Demand (U$ millions)]]=".",".",Tabela2[[#This Row],[Market Demand (U$ millions)]]/Tabela2[[#This Row],[Active users (thousands)]])</f>
        <v>.</v>
      </c>
      <c r="X143" s="580" cm="1">
        <f t="array" ref="X143">IF('Config!'!$BA$15=2010,".",IF(INDEX('Result data'!$AE$216:$AN$390,'IMS Seg. Table'!$A143,'Config!'!$BA$15-2010)=".",0,INDEX('Result data'!$AE$216:$AN$390,'IMS Seg. Table'!$A143,'Config!'!$BA$15-2010)))</f>
        <v>0</v>
      </c>
      <c r="Y143" s="563" t="str">
        <f>IF('Config!'!$BA$15=2010,".",IF(Tabela2[[#This Row],[Number of competitors]]=0,".",SUMIF('Result data'!$N$216:$N$390,Tabela2[[#This Row],[ID]],'Result data'!$CP$216:$CP$393)))</f>
        <v>.</v>
      </c>
      <c r="Z143" s="563" t="str">
        <f>IF('Config!'!$BA$15=2010,".",IF(Tabela2[[#This Row],[Number of competitors]]=0,".",SUMIF('Result data'!$N$216:$N$390,Tabela2[[#This Row],[ID]],'Result data'!$DA$216:$DA$393)))</f>
        <v>.</v>
      </c>
      <c r="AA143" s="530" t="str" cm="1">
        <f t="array" ref="AA14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3" s="530" t="str" cm="1">
        <f t="array" ref="AB14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3" s="530" t="str" cm="1">
        <f t="array" ref="AD14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3" s="530" t="str" cm="1">
        <f t="array" ref="AE14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3" s="530" t="str" cm="1">
        <f t="array" ref="AF14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4" spans="1:32" x14ac:dyDescent="0.3">
      <c r="A144" s="568">
        <f>'Config!'!C130</f>
        <v>175</v>
      </c>
      <c r="B144" s="536" t="str">
        <f>'Config!'!A130</f>
        <v>Reino Unido</v>
      </c>
      <c r="C144" s="536" t="str">
        <f>'Config!'!B130</f>
        <v>União Européia</v>
      </c>
      <c r="D144" s="538" cm="1">
        <f t="array" ref="D144">IFERROR(INDEX(Population!$BD$3:$BN$177,'IMS Seg. Table'!$A144,'Config!'!$BA$15-2010+1),"")</f>
        <v>63700300</v>
      </c>
      <c r="E144" s="551" cm="1">
        <f t="array" ref="E144">IFERROR(INDEX(Population!$CH$3:$CH$178,'IMS Seg. Table'!$A144,1),"")</f>
        <v>241930</v>
      </c>
      <c r="F144" s="552">
        <f>IFERROR('IMS Seg. Table'!$D144/'IMS Seg. Table'!$E144,"")</f>
        <v>263.3005414789402</v>
      </c>
      <c r="G144" s="575" cm="1">
        <f t="array" ref="G144">IFERROR(INDEX('Country Competitivness'!$CL$4:$CX$178,Tabela2[[#This Row],[ID]],'Config!'!$AZ$17+1),".")</f>
        <v>130.24624421118401</v>
      </c>
      <c r="H144" s="540" cm="1">
        <f t="array" ref="H144">INDEX(GDP!$G$3:$S$177,'IMS Seg. Table'!$A144,'Config!'!$BA$15-2010+1)*1000000000</f>
        <v>2676605417645.9868</v>
      </c>
      <c r="I144" s="539">
        <f t="shared" ref="I144:I175" si="35">IFERROR((H144)/D144,".")</f>
        <v>42018.725463553339</v>
      </c>
      <c r="J144" s="576">
        <f>IFERROR(INDEX('Income Tax Rate (%)'!$F$2:$P$176,Tabela2[[#This Row],[ID]],'Config!'!$BA$15-2010+1)/100,"")</f>
        <v>0.22</v>
      </c>
      <c r="K144" s="577">
        <f>IFERROR(INDEX('Tariff Rate (%)'!$F$2:$P$176,Tabela2[[#This Row],[ID]],'Config!'!$BA$15-2010+1)/100,"")</f>
        <v>6.8699999999999997E-2</v>
      </c>
      <c r="L144" s="577">
        <f>IFERROR(INDEX('Corporate Tax Rate (%)'!$F$2:$P$176,Tabela2[[#This Row],[ID]],'Config!'!$BA$15-2010+1)/100,"")</f>
        <v>0.09</v>
      </c>
      <c r="M144" s="527" cm="1">
        <f t="array" ref="M144">INDEX('Score-Starting a business'!$F$2:$P$176,'IMS Seg. Table'!$A144,'Config!'!$BA$15-2010+1)</f>
        <v>89.8</v>
      </c>
      <c r="N144" s="527" cm="1">
        <f t="array" ref="N144">IFERROR(INDEX('Country Competitivness'!$AX$4:$BH$178,Tabela2[[#This Row],[ID]],'Config!'!$BA$15-2010+1),"")</f>
        <v>3.1009165384615383</v>
      </c>
      <c r="O144" s="527" cm="1">
        <f t="array" ref="O144">IFERROR(INDEX('Country Competitivness'!$EE$4:$EO$178,Tabela2[[#This Row],[ID]],'Config!'!$BA$15-2010+1),"")</f>
        <v>5.4723806923076923</v>
      </c>
      <c r="P144" s="527" cm="1">
        <f t="array" ref="P144">IFERROR(INDEX('Country Competitivness'!$H$4:$R$178,Tabela2[[#This Row],[ID]],'Config!'!$BA$15-2010+1),"")</f>
        <v>5.4117276437246966</v>
      </c>
      <c r="Q144" s="527" cm="1">
        <f t="array" ref="Q144">IFERROR(INDEX('Country Competitivness'!$AJ$4:$AT$178,Tabela2[[#This Row],[ID]],MAX(1,'Config!'!$BA$15-2010)),"")</f>
        <v>5.7960710256410257</v>
      </c>
      <c r="R144" s="527" cm="1">
        <f t="array" ref="R144">IFERROR(INDEX('Country Competitivness'!$BM$4:$BW$178,Tabela2[[#This Row],[ID]],'Config!'!$BA$15-2010+1),"")</f>
        <v>4.5195152307692315</v>
      </c>
      <c r="S144" s="578" cm="1">
        <f t="array" ref="S14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2011</v>
      </c>
      <c r="T144" s="537" cm="1">
        <f t="array" ref="T144">IF('Config!'!$BA$15=2010,".",IF(INDEX('Result data'!$R$216:$AA$390,'IMS Seg. Table'!$A144,'Config!'!$BA$15-2010)=".",".",INDEX('Result data'!$R$216:$AA$390,'IMS Seg. Table'!$A144,'Config!'!$BA$15-2010)))</f>
        <v>2435826</v>
      </c>
      <c r="U144" s="579">
        <f t="shared" ref="U144:U175" si="36">IFERROR(T144/D144,".")</f>
        <v>3.8238846598838624E-2</v>
      </c>
      <c r="V144" s="530" cm="1">
        <f t="array" ref="V144">IF(Tabela2[[#This Row],[Market Penetration (Category)]]=".",".",INDEX('Result data'!$BS$216:$CB$390,'IMS Seg. Table'!$A144,'Config!'!$BA$15-2010))</f>
        <v>34676442.718041174</v>
      </c>
      <c r="W144" s="563">
        <f>IF(Tabela2[[#This Row],[Market Demand (U$ millions)]]=".",".",Tabela2[[#This Row],[Market Demand (U$ millions)]]/Tabela2[[#This Row],[Active users (thousands)]])</f>
        <v>14.236009763440071</v>
      </c>
      <c r="X144" s="580" cm="1">
        <f t="array" ref="X144">IF('Config!'!$BA$15=2010,".",IF(INDEX('Result data'!$AE$216:$AN$390,'IMS Seg. Table'!$A144,'Config!'!$BA$15-2010)=".",0,INDEX('Result data'!$AE$216:$AN$390,'IMS Seg. Table'!$A144,'Config!'!$BA$15-2010)))</f>
        <v>1</v>
      </c>
      <c r="Y144" s="563">
        <f>IF('Config!'!$BA$15=2010,".",IF(Tabela2[[#This Row],[Number of competitors]]=0,".",SUMIF('Result data'!$N$216:$N$390,Tabela2[[#This Row],[ID]],'Result data'!$CP$216:$CP$393)))</f>
        <v>4.981799586923457</v>
      </c>
      <c r="Z144" s="563">
        <f>IF('Config!'!$BA$15=2010,".",IF(Tabela2[[#This Row],[Number of competitors]]=0,".",SUMIF('Result data'!$N$216:$N$390,Tabela2[[#This Row],[ID]],'Result data'!$DA$216:$DA$393)))</f>
        <v>3.4872597108464198</v>
      </c>
      <c r="AA144" s="530" cm="1">
        <f t="array" ref="AA14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34289.641450087991</v>
      </c>
      <c r="AB144" s="530" cm="1">
        <f t="array" ref="AB14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308606.77305079205</v>
      </c>
      <c r="AC144" s="530">
        <f>IF('Config!'!$BA$15=2010,".",IF(Tabela2[[#This Row],[Local Marketing and Sales Expenses (millions)]]=".",".",SUM(Tabela2[[#This Row],[Global Marketing and Sales Expenses (millions)]:[Local Marketing and Sales Expenses (millions)]])))</f>
        <v>342896.41450088006</v>
      </c>
      <c r="AD144" s="530" cm="1">
        <f t="array" ref="AD14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3785255.1859312356</v>
      </c>
      <c r="AE144" s="530" cm="1">
        <f t="array" ref="AE14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4099276.8317203159</v>
      </c>
      <c r="AF144" s="530" cm="1">
        <f t="array" ref="AF14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137385.9144790119</v>
      </c>
    </row>
    <row r="145" spans="1:32" x14ac:dyDescent="0.3">
      <c r="A145" s="569">
        <f>'Config!'!C131</f>
        <v>31</v>
      </c>
      <c r="B145" s="536" t="str">
        <f>'Config!'!A131</f>
        <v>República Centro-Africana.</v>
      </c>
      <c r="C145" s="536" t="str">
        <f>'Config!'!B131</f>
        <v>África Subsaariana</v>
      </c>
      <c r="D145" s="538" cm="1">
        <f t="array" ref="D145">IFERROR(INDEX(Population!$BD$3:$BN$177,'IMS Seg. Table'!$A145,'Config!'!$BA$15-2010+1),"")</f>
        <v>4619500</v>
      </c>
      <c r="E145" s="551" cm="1">
        <f t="array" ref="E145">IFERROR(INDEX(Population!$CH$3:$CH$178,'IMS Seg. Table'!$A145,1),"")</f>
        <v>622984</v>
      </c>
      <c r="F145" s="552">
        <f>IFERROR('IMS Seg. Table'!$D145/'IMS Seg. Table'!$E145,"")</f>
        <v>7.415118205282961</v>
      </c>
      <c r="G145" s="575" cm="1">
        <f t="array" ref="G145">IFERROR(INDEX('Country Competitivness'!$CL$4:$CX$178,Tabela2[[#This Row],[ID]],'Config!'!$AZ$17+1),".")</f>
        <v>74.209999999999994</v>
      </c>
      <c r="H145" s="540" cm="1">
        <f t="array" ref="H145">INDEX(GDP!$G$3:$S$177,'IMS Seg. Table'!$A145,'Config!'!$BA$15-2010+1)*1000000000</f>
        <v>2510270267.7291765</v>
      </c>
      <c r="I145" s="539">
        <f t="shared" si="35"/>
        <v>543.40735311812455</v>
      </c>
      <c r="J145" s="576">
        <f>IFERROR(INDEX('Income Tax Rate (%)'!$F$2:$P$176,Tabela2[[#This Row],[ID]],'Config!'!$BA$15-2010+1)/100,"")</f>
        <v>0.5</v>
      </c>
      <c r="K145" s="577">
        <f>IFERROR(INDEX('Tariff Rate (%)'!$F$2:$P$176,Tabela2[[#This Row],[ID]],'Config!'!$BA$15-2010+1)/100,"")</f>
        <v>0.16600000000000001</v>
      </c>
      <c r="L145" s="577">
        <f>IFERROR(INDEX('Corporate Tax Rate (%)'!$F$2:$P$176,Tabela2[[#This Row],[ID]],'Config!'!$BA$15-2010+1)/100,"")</f>
        <v>0.3</v>
      </c>
      <c r="M145" s="527" cm="1">
        <f t="array" ref="M145">INDEX('Score-Starting a business'!$F$2:$P$176,'IMS Seg. Table'!$A145,'Config!'!$BA$15-2010+1)</f>
        <v>39.74</v>
      </c>
      <c r="N145" s="527" cm="1">
        <f t="array" ref="N145">IFERROR(INDEX('Country Competitivness'!$AX$4:$BH$178,Tabela2[[#This Row],[ID]],'Config!'!$BA$15-2010+1),"")</f>
        <v>5.17</v>
      </c>
      <c r="O145" s="527" cm="1">
        <f t="array" ref="O145">IFERROR(INDEX('Country Competitivness'!$EE$4:$EO$178,Tabela2[[#This Row],[ID]],'Config!'!$BA$15-2010+1),"")</f>
        <v>3.28</v>
      </c>
      <c r="P145" s="527" cm="1">
        <f t="array" ref="P145">IFERROR(INDEX('Country Competitivness'!$H$4:$R$178,Tabela2[[#This Row],[ID]],'Config!'!$BA$15-2010+1),"")</f>
        <v>3.37</v>
      </c>
      <c r="Q145" s="527" cm="1">
        <f t="array" ref="Q145">IFERROR(INDEX('Country Competitivness'!$AJ$4:$AT$178,Tabela2[[#This Row],[ID]],MAX(1,'Config!'!$BA$15-2010)),"")</f>
        <v>4.41</v>
      </c>
      <c r="R145" s="527" cm="1">
        <f t="array" ref="R145">IFERROR(INDEX('Country Competitivness'!$BM$4:$BW$178,Tabela2[[#This Row],[ID]],'Config!'!$BA$15-2010+1),"")</f>
        <v>2.93</v>
      </c>
      <c r="S145" s="578" t="str" cm="1">
        <f t="array" ref="S14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5" s="537" t="str" cm="1">
        <f t="array" ref="T145">IF('Config!'!$BA$15=2010,".",IF(INDEX('Result data'!$R$216:$AA$390,'IMS Seg. Table'!$A145,'Config!'!$BA$15-2010)=".",".",INDEX('Result data'!$R$216:$AA$390,'IMS Seg. Table'!$A145,'Config!'!$BA$15-2010)))</f>
        <v>.</v>
      </c>
      <c r="U145" s="579" t="str">
        <f t="shared" si="36"/>
        <v>.</v>
      </c>
      <c r="V145" s="530" t="str" cm="1">
        <f t="array" ref="V145">IF(Tabela2[[#This Row],[Market Penetration (Category)]]=".",".",INDEX('Result data'!$BS$216:$CB$390,'IMS Seg. Table'!$A145,'Config!'!$BA$15-2010))</f>
        <v>.</v>
      </c>
      <c r="W145" s="563" t="str">
        <f>IF(Tabela2[[#This Row],[Market Demand (U$ millions)]]=".",".",Tabela2[[#This Row],[Market Demand (U$ millions)]]/Tabela2[[#This Row],[Active users (thousands)]])</f>
        <v>.</v>
      </c>
      <c r="X145" s="580" cm="1">
        <f t="array" ref="X145">IF('Config!'!$BA$15=2010,".",IF(INDEX('Result data'!$AE$216:$AN$390,'IMS Seg. Table'!$A145,'Config!'!$BA$15-2010)=".",0,INDEX('Result data'!$AE$216:$AN$390,'IMS Seg. Table'!$A145,'Config!'!$BA$15-2010)))</f>
        <v>0</v>
      </c>
      <c r="Y145" s="563" t="str">
        <f>IF('Config!'!$BA$15=2010,".",IF(Tabela2[[#This Row],[Number of competitors]]=0,".",SUMIF('Result data'!$N$216:$N$390,Tabela2[[#This Row],[ID]],'Result data'!$CP$216:$CP$393)))</f>
        <v>.</v>
      </c>
      <c r="Z145" s="563" t="str">
        <f>IF('Config!'!$BA$15=2010,".",IF(Tabela2[[#This Row],[Number of competitors]]=0,".",SUMIF('Result data'!$N$216:$N$390,Tabela2[[#This Row],[ID]],'Result data'!$DA$216:$DA$393)))</f>
        <v>.</v>
      </c>
      <c r="AA145" s="530" t="str" cm="1">
        <f t="array" ref="AA14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5" s="530" t="str" cm="1">
        <f t="array" ref="AB14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5" s="530" t="str" cm="1">
        <f t="array" ref="AD14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5" s="530" t="str" cm="1">
        <f t="array" ref="AE14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5" s="530" t="str" cm="1">
        <f t="array" ref="AF14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6" spans="1:32" x14ac:dyDescent="0.3">
      <c r="A146" s="568">
        <f>'Config!'!C132</f>
        <v>41</v>
      </c>
      <c r="B146" s="536" t="str">
        <f>'Config!'!A132</f>
        <v>República Checa</v>
      </c>
      <c r="C146" s="536" t="str">
        <f>'Config!'!B132</f>
        <v>União Européia</v>
      </c>
      <c r="D146" s="538" cm="1">
        <f t="array" ref="D146">IFERROR(INDEX(Population!$BD$3:$BN$177,'IMS Seg. Table'!$A146,'Config!'!$BA$15-2010+1),"")</f>
        <v>10510785</v>
      </c>
      <c r="E146" s="551" cm="1">
        <f t="array" ref="E146">IFERROR(INDEX(Population!$CH$3:$CH$178,'IMS Seg. Table'!$A146,1),"")</f>
        <v>77247</v>
      </c>
      <c r="F146" s="552">
        <f>IFERROR('IMS Seg. Table'!$D146/'IMS Seg. Table'!$E146,"")</f>
        <v>136.06722591168588</v>
      </c>
      <c r="G146" s="575" cm="1">
        <f t="array" ref="G146">IFERROR(INDEX('Country Competitivness'!$CL$4:$CX$178,Tabela2[[#This Row],[ID]],'Config!'!$AZ$17+1),".")</f>
        <v>136.579630533234</v>
      </c>
      <c r="H146" s="540" cm="1">
        <f t="array" ref="H146">INDEX(GDP!$G$3:$S$177,'IMS Seg. Table'!$A146,'Config!'!$BA$15-2010+1)*1000000000</f>
        <v>207376427020.8147</v>
      </c>
      <c r="I146" s="539">
        <f t="shared" si="35"/>
        <v>19729.870511176348</v>
      </c>
      <c r="J146" s="576">
        <f>IFERROR(INDEX('Income Tax Rate (%)'!$F$2:$P$176,Tabela2[[#This Row],[ID]],'Config!'!$BA$15-2010+1)/100,"")</f>
        <v>0.15</v>
      </c>
      <c r="K146" s="577">
        <f>IFERROR(INDEX('Tariff Rate (%)'!$F$2:$P$176,Tabela2[[#This Row],[ID]],'Config!'!$BA$15-2010+1)/100,"")</f>
        <v>1.09E-2</v>
      </c>
      <c r="L146" s="577">
        <f>IFERROR(INDEX('Corporate Tax Rate (%)'!$F$2:$P$176,Tabela2[[#This Row],[ID]],'Config!'!$BA$15-2010+1)/100,"")</f>
        <v>0.19</v>
      </c>
      <c r="M146" s="527" cm="1">
        <f t="array" ref="M146">INDEX('Score-Starting a business'!$F$2:$P$176,'IMS Seg. Table'!$A146,'Config!'!$BA$15-2010+1)</f>
        <v>79.239999999999995</v>
      </c>
      <c r="N146" s="527" cm="1">
        <f t="array" ref="N146">IFERROR(INDEX('Country Competitivness'!$AX$4:$BH$178,Tabela2[[#This Row],[ID]],'Config!'!$BA$15-2010+1),"")</f>
        <v>2.6213503766233766</v>
      </c>
      <c r="O146" s="527" cm="1">
        <f t="array" ref="O146">IFERROR(INDEX('Country Competitivness'!$EE$4:$EO$178,Tabela2[[#This Row],[ID]],'Config!'!$BA$15-2010+1),"")</f>
        <v>3.6105827714285716</v>
      </c>
      <c r="P146" s="527" cm="1">
        <f t="array" ref="P146">IFERROR(INDEX('Country Competitivness'!$H$4:$R$178,Tabela2[[#This Row],[ID]],'Config!'!$BA$15-2010+1),"")</f>
        <v>4.4150784548188655</v>
      </c>
      <c r="Q146" s="527" cm="1">
        <f t="array" ref="Q146">IFERROR(INDEX('Country Competitivness'!$AJ$4:$AT$178,Tabela2[[#This Row],[ID]],MAX(1,'Config!'!$BA$15-2010)),"")</f>
        <v>5.3877027696969693</v>
      </c>
      <c r="R146" s="527" cm="1">
        <f t="array" ref="R146">IFERROR(INDEX('Country Competitivness'!$BM$4:$BW$178,Tabela2[[#This Row],[ID]],'Config!'!$BA$15-2010+1),"")</f>
        <v>3.612388649350649</v>
      </c>
      <c r="S146" s="578" t="str" cm="1">
        <f t="array" ref="S14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6" s="537" t="str" cm="1">
        <f t="array" ref="T146">IF('Config!'!$BA$15=2010,".",IF(INDEX('Result data'!$R$216:$AA$390,'IMS Seg. Table'!$A146,'Config!'!$BA$15-2010)=".",".",INDEX('Result data'!$R$216:$AA$390,'IMS Seg. Table'!$A146,'Config!'!$BA$15-2010)))</f>
        <v>.</v>
      </c>
      <c r="U146" s="579" t="str">
        <f t="shared" si="36"/>
        <v>.</v>
      </c>
      <c r="V146" s="530" t="str" cm="1">
        <f t="array" ref="V146">IF(Tabela2[[#This Row],[Market Penetration (Category)]]=".",".",INDEX('Result data'!$BS$216:$CB$390,'IMS Seg. Table'!$A146,'Config!'!$BA$15-2010))</f>
        <v>.</v>
      </c>
      <c r="W146" s="563" t="str">
        <f>IF(Tabela2[[#This Row],[Market Demand (U$ millions)]]=".",".",Tabela2[[#This Row],[Market Demand (U$ millions)]]/Tabela2[[#This Row],[Active users (thousands)]])</f>
        <v>.</v>
      </c>
      <c r="X146" s="580" cm="1">
        <f t="array" ref="X146">IF('Config!'!$BA$15=2010,".",IF(INDEX('Result data'!$AE$216:$AN$390,'IMS Seg. Table'!$A146,'Config!'!$BA$15-2010)=".",0,INDEX('Result data'!$AE$216:$AN$390,'IMS Seg. Table'!$A146,'Config!'!$BA$15-2010)))</f>
        <v>0</v>
      </c>
      <c r="Y146" s="563" t="str">
        <f>IF('Config!'!$BA$15=2010,".",IF(Tabela2[[#This Row],[Number of competitors]]=0,".",SUMIF('Result data'!$N$216:$N$390,Tabela2[[#This Row],[ID]],'Result data'!$CP$216:$CP$393)))</f>
        <v>.</v>
      </c>
      <c r="Z146" s="563" t="str">
        <f>IF('Config!'!$BA$15=2010,".",IF(Tabela2[[#This Row],[Number of competitors]]=0,".",SUMIF('Result data'!$N$216:$N$390,Tabela2[[#This Row],[ID]],'Result data'!$DA$216:$DA$393)))</f>
        <v>.</v>
      </c>
      <c r="AA146" s="530" t="str" cm="1">
        <f t="array" ref="AA14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6" s="530" t="str" cm="1">
        <f t="array" ref="AB14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6" s="530" t="str" cm="1">
        <f t="array" ref="AD14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6" s="530" t="str" cm="1">
        <f t="array" ref="AE14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6" s="530" t="str" cm="1">
        <f t="array" ref="AF14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7" spans="1:32" x14ac:dyDescent="0.3">
      <c r="A147" s="569">
        <f>'Config!'!C133</f>
        <v>46</v>
      </c>
      <c r="B147" s="536" t="str">
        <f>'Config!'!A133</f>
        <v>República Dominicana</v>
      </c>
      <c r="C147" s="536" t="str">
        <f>'Config!'!B133</f>
        <v>Caribe</v>
      </c>
      <c r="D147" s="538" cm="1">
        <f t="array" ref="D147">IFERROR(INDEX(Population!$BD$3:$BN$177,'IMS Seg. Table'!$A147,'Config!'!$BA$15-2010+1),"")</f>
        <v>10155036</v>
      </c>
      <c r="E147" s="551" cm="1">
        <f t="array" ref="E147">IFERROR(INDEX(Population!$CH$3:$CH$178,'IMS Seg. Table'!$A147,1),"")</f>
        <v>48320</v>
      </c>
      <c r="F147" s="552">
        <f>IFERROR('IMS Seg. Table'!$D147/'IMS Seg. Table'!$E147,"")</f>
        <v>210.16216887417218</v>
      </c>
      <c r="G147" s="575" cm="1">
        <f t="array" ref="G147">IFERROR(INDEX('Country Competitivness'!$CL$4:$CX$178,Tabela2[[#This Row],[ID]],'Config!'!$AZ$17+1),".")</f>
        <v>89.578889367926095</v>
      </c>
      <c r="H147" s="540" cm="1">
        <f t="array" ref="H147">INDEX(GDP!$G$3:$S$177,'IMS Seg. Table'!$A147,'Config!'!$BA$15-2010+1)*1000000000</f>
        <v>60657780260.67923</v>
      </c>
      <c r="I147" s="539">
        <f t="shared" si="35"/>
        <v>5973.1723512037997</v>
      </c>
      <c r="J147" s="576">
        <f>IFERROR(INDEX('Income Tax Rate (%)'!$F$2:$P$176,Tabela2[[#This Row],[ID]],'Config!'!$BA$15-2010+1)/100,"")</f>
        <v>0.25</v>
      </c>
      <c r="K147" s="577">
        <f>IFERROR(INDEX('Tariff Rate (%)'!$F$2:$P$176,Tabela2[[#This Row],[ID]],'Config!'!$BA$15-2010+1)/100,"")</f>
        <v>6.0899999999999996E-2</v>
      </c>
      <c r="L147" s="577">
        <f>IFERROR(INDEX('Corporate Tax Rate (%)'!$F$2:$P$176,Tabela2[[#This Row],[ID]],'Config!'!$BA$15-2010+1)/100,"")</f>
        <v>0.28999999999999998</v>
      </c>
      <c r="M147" s="527" cm="1">
        <f t="array" ref="M147">INDEX('Score-Starting a business'!$F$2:$P$176,'IMS Seg. Table'!$A147,'Config!'!$BA$15-2010+1)</f>
        <v>81.760000000000005</v>
      </c>
      <c r="N147" s="527" cm="1">
        <f t="array" ref="N147">IFERROR(INDEX('Country Competitivness'!$AX$4:$BH$178,Tabela2[[#This Row],[ID]],'Config!'!$BA$15-2010+1),"")</f>
        <v>2.8719176134020614</v>
      </c>
      <c r="O147" s="527" cm="1">
        <f t="array" ref="O147">IFERROR(INDEX('Country Competitivness'!$EE$4:$EO$178,Tabela2[[#This Row],[ID]],'Config!'!$BA$15-2010+1),"")</f>
        <v>3.9160511948453607</v>
      </c>
      <c r="P147" s="527" cm="1">
        <f t="array" ref="P147">IFERROR(INDEX('Country Competitivness'!$H$4:$R$178,Tabela2[[#This Row],[ID]],'Config!'!$BA$15-2010+1),"")</f>
        <v>3.6520712733586542</v>
      </c>
      <c r="Q147" s="527" cm="1">
        <f t="array" ref="Q147">IFERROR(INDEX('Country Competitivness'!$AJ$4:$AT$178,Tabela2[[#This Row],[ID]],MAX(1,'Config!'!$BA$15-2010)),"")</f>
        <v>4.9825605498281789</v>
      </c>
      <c r="R147" s="527" cm="1">
        <f t="array" ref="R147">IFERROR(INDEX('Country Competitivness'!$BM$4:$BW$178,Tabela2[[#This Row],[ID]],'Config!'!$BA$15-2010+1),"")</f>
        <v>2.6869932216494847</v>
      </c>
      <c r="S147" s="578" t="str" cm="1">
        <f t="array" ref="S14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7" s="537" t="str" cm="1">
        <f t="array" ref="T147">IF('Config!'!$BA$15=2010,".",IF(INDEX('Result data'!$R$216:$AA$390,'IMS Seg. Table'!$A147,'Config!'!$BA$15-2010)=".",".",INDEX('Result data'!$R$216:$AA$390,'IMS Seg. Table'!$A147,'Config!'!$BA$15-2010)))</f>
        <v>.</v>
      </c>
      <c r="U147" s="579" t="str">
        <f t="shared" si="36"/>
        <v>.</v>
      </c>
      <c r="V147" s="530" t="str" cm="1">
        <f t="array" ref="V147">IF(Tabela2[[#This Row],[Market Penetration (Category)]]=".",".",INDEX('Result data'!$BS$216:$CB$390,'IMS Seg. Table'!$A147,'Config!'!$BA$15-2010))</f>
        <v>.</v>
      </c>
      <c r="W147" s="563" t="str">
        <f>IF(Tabela2[[#This Row],[Market Demand (U$ millions)]]=".",".",Tabela2[[#This Row],[Market Demand (U$ millions)]]/Tabela2[[#This Row],[Active users (thousands)]])</f>
        <v>.</v>
      </c>
      <c r="X147" s="580" cm="1">
        <f t="array" ref="X147">IF('Config!'!$BA$15=2010,".",IF(INDEX('Result data'!$AE$216:$AN$390,'IMS Seg. Table'!$A147,'Config!'!$BA$15-2010)=".",0,INDEX('Result data'!$AE$216:$AN$390,'IMS Seg. Table'!$A147,'Config!'!$BA$15-2010)))</f>
        <v>0</v>
      </c>
      <c r="Y147" s="563" t="str">
        <f>IF('Config!'!$BA$15=2010,".",IF(Tabela2[[#This Row],[Number of competitors]]=0,".",SUMIF('Result data'!$N$216:$N$390,Tabela2[[#This Row],[ID]],'Result data'!$CP$216:$CP$393)))</f>
        <v>.</v>
      </c>
      <c r="Z147" s="563" t="str">
        <f>IF('Config!'!$BA$15=2010,".",IF(Tabela2[[#This Row],[Number of competitors]]=0,".",SUMIF('Result data'!$N$216:$N$390,Tabela2[[#This Row],[ID]],'Result data'!$DA$216:$DA$393)))</f>
        <v>.</v>
      </c>
      <c r="AA147" s="530" t="str" cm="1">
        <f t="array" ref="AA14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7" s="530" t="str" cm="1">
        <f t="array" ref="AB14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7" s="530" t="str" cm="1">
        <f t="array" ref="AD14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7" s="530" t="str" cm="1">
        <f t="array" ref="AE14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7" s="530" t="str" cm="1">
        <f t="array" ref="AF14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8" spans="1:32" x14ac:dyDescent="0.3">
      <c r="A148" s="568">
        <f>'Config!'!C134</f>
        <v>129</v>
      </c>
      <c r="B148" s="536" t="str">
        <f>'Config!'!A134</f>
        <v>Romênia.</v>
      </c>
      <c r="C148" s="536" t="str">
        <f>'Config!'!B134</f>
        <v>União Européia</v>
      </c>
      <c r="D148" s="538" cm="1">
        <f t="array" ref="D148">IFERROR(INDEX(Population!$BD$3:$BN$177,'IMS Seg. Table'!$A148,'Config!'!$BA$15-2010+1),"")</f>
        <v>20058035</v>
      </c>
      <c r="E148" s="551" cm="1">
        <f t="array" ref="E148">IFERROR(INDEX(Population!$CH$3:$CH$178,'IMS Seg. Table'!$A148,1),"")</f>
        <v>229891</v>
      </c>
      <c r="F148" s="552">
        <f>IFERROR('IMS Seg. Table'!$D148/'IMS Seg. Table'!$E148,"")</f>
        <v>87.250196832411888</v>
      </c>
      <c r="G148" s="575" cm="1">
        <f t="array" ref="G148">IFERROR(INDEX('Country Competitivness'!$CL$4:$CX$178,Tabela2[[#This Row],[ID]],'Config!'!$AZ$17+1),".")</f>
        <v>114.677345932452</v>
      </c>
      <c r="H148" s="540" cm="1">
        <f t="array" ref="H148">INDEX(GDP!$G$3:$S$177,'IMS Seg. Table'!$A148,'Config!'!$BA$15-2010+1)*1000000000</f>
        <v>171196268957.96091</v>
      </c>
      <c r="I148" s="539">
        <f t="shared" si="35"/>
        <v>8535.0468756266964</v>
      </c>
      <c r="J148" s="576">
        <f>IFERROR(INDEX('Income Tax Rate (%)'!$F$2:$P$176,Tabela2[[#This Row],[ID]],'Config!'!$BA$15-2010+1)/100,"")</f>
        <v>0.16</v>
      </c>
      <c r="K148" s="577">
        <f>IFERROR(INDEX('Tariff Rate (%)'!$F$2:$P$176,Tabela2[[#This Row],[ID]],'Config!'!$BA$15-2010+1)/100,"")</f>
        <v>1.09E-2</v>
      </c>
      <c r="L148" s="577">
        <f>IFERROR(INDEX('Corporate Tax Rate (%)'!$F$2:$P$176,Tabela2[[#This Row],[ID]],'Config!'!$BA$15-2010+1)/100,"")</f>
        <v>0.16</v>
      </c>
      <c r="M148" s="527" cm="1">
        <f t="array" ref="M148">INDEX('Score-Starting a business'!$F$2:$P$176,'IMS Seg. Table'!$A148,'Config!'!$BA$15-2010+1)</f>
        <v>87.84</v>
      </c>
      <c r="N148" s="527" cm="1">
        <f t="array" ref="N148">IFERROR(INDEX('Country Competitivness'!$AX$4:$BH$178,Tabela2[[#This Row],[ID]],'Config!'!$BA$15-2010+1),"")</f>
        <v>2.8469961938144328</v>
      </c>
      <c r="O148" s="527" cm="1">
        <f t="array" ref="O148">IFERROR(INDEX('Country Competitivness'!$EE$4:$EO$178,Tabela2[[#This Row],[ID]],'Config!'!$BA$15-2010+1),"")</f>
        <v>2.0969641134020618</v>
      </c>
      <c r="P148" s="527" cm="1">
        <f t="array" ref="P148">IFERROR(INDEX('Country Competitivness'!$H$4:$R$178,Tabela2[[#This Row],[ID]],'Config!'!$BA$15-2010+1),"")</f>
        <v>3.4820548949538797</v>
      </c>
      <c r="Q148" s="527" cm="1">
        <f t="array" ref="Q148">IFERROR(INDEX('Country Competitivness'!$AJ$4:$AT$178,Tabela2[[#This Row],[ID]],MAX(1,'Config!'!$BA$15-2010)),"")</f>
        <v>4.2608815285223365</v>
      </c>
      <c r="R148" s="527" cm="1">
        <f t="array" ref="R148">IFERROR(INDEX('Country Competitivness'!$BM$4:$BW$178,Tabela2[[#This Row],[ID]],'Config!'!$BA$15-2010+1),"")</f>
        <v>3.2257525649484533</v>
      </c>
      <c r="S148" s="578" t="str" cm="1">
        <f t="array" ref="S14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8" s="537" t="str" cm="1">
        <f t="array" ref="T148">IF('Config!'!$BA$15=2010,".",IF(INDEX('Result data'!$R$216:$AA$390,'IMS Seg. Table'!$A148,'Config!'!$BA$15-2010)=".",".",INDEX('Result data'!$R$216:$AA$390,'IMS Seg. Table'!$A148,'Config!'!$BA$15-2010)))</f>
        <v>.</v>
      </c>
      <c r="U148" s="579" t="str">
        <f t="shared" si="36"/>
        <v>.</v>
      </c>
      <c r="V148" s="530" t="str" cm="1">
        <f t="array" ref="V148">IF(Tabela2[[#This Row],[Market Penetration (Category)]]=".",".",INDEX('Result data'!$BS$216:$CB$390,'IMS Seg. Table'!$A148,'Config!'!$BA$15-2010))</f>
        <v>.</v>
      </c>
      <c r="W148" s="563" t="str">
        <f>IF(Tabela2[[#This Row],[Market Demand (U$ millions)]]=".",".",Tabela2[[#This Row],[Market Demand (U$ millions)]]/Tabela2[[#This Row],[Active users (thousands)]])</f>
        <v>.</v>
      </c>
      <c r="X148" s="580" cm="1">
        <f t="array" ref="X148">IF('Config!'!$BA$15=2010,".",IF(INDEX('Result data'!$AE$216:$AN$390,'IMS Seg. Table'!$A148,'Config!'!$BA$15-2010)=".",0,INDEX('Result data'!$AE$216:$AN$390,'IMS Seg. Table'!$A148,'Config!'!$BA$15-2010)))</f>
        <v>0</v>
      </c>
      <c r="Y148" s="563" t="str">
        <f>IF('Config!'!$BA$15=2010,".",IF(Tabela2[[#This Row],[Number of competitors]]=0,".",SUMIF('Result data'!$N$216:$N$390,Tabela2[[#This Row],[ID]],'Result data'!$CP$216:$CP$393)))</f>
        <v>.</v>
      </c>
      <c r="Z148" s="563" t="str">
        <f>IF('Config!'!$BA$15=2010,".",IF(Tabela2[[#This Row],[Number of competitors]]=0,".",SUMIF('Result data'!$N$216:$N$390,Tabela2[[#This Row],[ID]],'Result data'!$DA$216:$DA$393)))</f>
        <v>.</v>
      </c>
      <c r="AA148" s="530" t="str" cm="1">
        <f t="array" ref="AA14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8" s="530" t="str" cm="1">
        <f t="array" ref="AB14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8" s="530" t="str" cm="1">
        <f t="array" ref="AD14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8" s="530" t="str" cm="1">
        <f t="array" ref="AE14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8" s="530" t="str" cm="1">
        <f t="array" ref="AF14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49" spans="1:32" x14ac:dyDescent="0.3">
      <c r="A149" s="569">
        <f>'Config!'!C135</f>
        <v>131</v>
      </c>
      <c r="B149" s="536" t="str">
        <f>'Config!'!A135</f>
        <v>Ruanda</v>
      </c>
      <c r="C149" s="536" t="str">
        <f>'Config!'!B135</f>
        <v>África Subsaariana</v>
      </c>
      <c r="D149" s="538" cm="1">
        <f t="array" ref="D149">IFERROR(INDEX(Population!$BD$3:$BN$177,'IMS Seg. Table'!$A149,'Config!'!$BA$15-2010+1),"")</f>
        <v>10817350</v>
      </c>
      <c r="E149" s="551" cm="1">
        <f t="array" ref="E149">IFERROR(INDEX(Population!$CH$3:$CH$178,'IMS Seg. Table'!$A149,1),"")</f>
        <v>24668</v>
      </c>
      <c r="F149" s="552">
        <f>IFERROR('IMS Seg. Table'!$D149/'IMS Seg. Table'!$E149,"")</f>
        <v>438.51751256688829</v>
      </c>
      <c r="G149" s="575" cm="1">
        <f t="array" ref="G149">IFERROR(INDEX('Country Competitivness'!$CL$4:$CX$178,Tabela2[[#This Row],[ID]],'Config!'!$AZ$17+1),".")</f>
        <v>33.4032316438104</v>
      </c>
      <c r="H149" s="540" cm="1">
        <f t="array" ref="H149">INDEX(GDP!$G$3:$S$177,'IMS Seg. Table'!$A149,'Config!'!$BA$15-2010+1)*1000000000</f>
        <v>7334917696.7226334</v>
      </c>
      <c r="I149" s="539">
        <f t="shared" si="35"/>
        <v>678.06973951315558</v>
      </c>
      <c r="J149" s="576">
        <f>IFERROR(INDEX('Income Tax Rate (%)'!$F$2:$P$176,Tabela2[[#This Row],[ID]],'Config!'!$BA$15-2010+1)/100,"")</f>
        <v>0.3</v>
      </c>
      <c r="K149" s="577">
        <f>IFERROR(INDEX('Tariff Rate (%)'!$F$2:$P$176,Tabela2[[#This Row],[ID]],'Config!'!$BA$15-2010+1)/100,"")</f>
        <v>6.13E-2</v>
      </c>
      <c r="L149" s="577">
        <f>IFERROR(INDEX('Corporate Tax Rate (%)'!$F$2:$P$176,Tabela2[[#This Row],[ID]],'Config!'!$BA$15-2010+1)/100,"")</f>
        <v>0.3</v>
      </c>
      <c r="M149" s="527" cm="1">
        <f t="array" ref="M149">INDEX('Score-Starting a business'!$F$2:$P$176,'IMS Seg. Table'!$A149,'Config!'!$BA$15-2010+1)</f>
        <v>90.42</v>
      </c>
      <c r="N149" s="527" cm="1">
        <f t="array" ref="N149">IFERROR(INDEX('Country Competitivness'!$AX$4:$BH$178,Tabela2[[#This Row],[ID]],'Config!'!$BA$15-2010+1),"")</f>
        <v>5.1834248821917814</v>
      </c>
      <c r="O149" s="527" cm="1">
        <f t="array" ref="O149">IFERROR(INDEX('Country Competitivness'!$EE$4:$EO$178,Tabela2[[#This Row],[ID]],'Config!'!$BA$15-2010+1),"")</f>
        <v>4.6144043821917808</v>
      </c>
      <c r="P149" s="527" cm="1">
        <f t="array" ref="P149">IFERROR(INDEX('Country Competitivness'!$H$4:$R$178,Tabela2[[#This Row],[ID]],'Config!'!$BA$15-2010+1),"")</f>
        <v>3.7487111483777937</v>
      </c>
      <c r="Q149" s="527" cm="1">
        <f t="array" ref="Q149">IFERROR(INDEX('Country Competitivness'!$AJ$4:$AT$178,Tabela2[[#This Row],[ID]],MAX(1,'Config!'!$BA$15-2010)),"")</f>
        <v>4.8368062972602743</v>
      </c>
      <c r="R149" s="527" cm="1">
        <f t="array" ref="R149">IFERROR(INDEX('Country Competitivness'!$BM$4:$BW$178,Tabela2[[#This Row],[ID]],'Config!'!$BA$15-2010+1),"")</f>
        <v>2.8429094369863015</v>
      </c>
      <c r="S149" s="578" t="str" cm="1">
        <f t="array" ref="S14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49" s="537" t="str" cm="1">
        <f t="array" ref="T149">IF('Config!'!$BA$15=2010,".",IF(INDEX('Result data'!$R$216:$AA$390,'IMS Seg. Table'!$A149,'Config!'!$BA$15-2010)=".",".",INDEX('Result data'!$R$216:$AA$390,'IMS Seg. Table'!$A149,'Config!'!$BA$15-2010)))</f>
        <v>.</v>
      </c>
      <c r="U149" s="579" t="str">
        <f t="shared" si="36"/>
        <v>.</v>
      </c>
      <c r="V149" s="530" t="str" cm="1">
        <f t="array" ref="V149">IF(Tabela2[[#This Row],[Market Penetration (Category)]]=".",".",INDEX('Result data'!$BS$216:$CB$390,'IMS Seg. Table'!$A149,'Config!'!$BA$15-2010))</f>
        <v>.</v>
      </c>
      <c r="W149" s="563" t="str">
        <f>IF(Tabela2[[#This Row],[Market Demand (U$ millions)]]=".",".",Tabela2[[#This Row],[Market Demand (U$ millions)]]/Tabela2[[#This Row],[Active users (thousands)]])</f>
        <v>.</v>
      </c>
      <c r="X149" s="580" cm="1">
        <f t="array" ref="X149">IF('Config!'!$BA$15=2010,".",IF(INDEX('Result data'!$AE$216:$AN$390,'IMS Seg. Table'!$A149,'Config!'!$BA$15-2010)=".",0,INDEX('Result data'!$AE$216:$AN$390,'IMS Seg. Table'!$A149,'Config!'!$BA$15-2010)))</f>
        <v>0</v>
      </c>
      <c r="Y149" s="563" t="str">
        <f>IF('Config!'!$BA$15=2010,".",IF(Tabela2[[#This Row],[Number of competitors]]=0,".",SUMIF('Result data'!$N$216:$N$390,Tabela2[[#This Row],[ID]],'Result data'!$CP$216:$CP$393)))</f>
        <v>.</v>
      </c>
      <c r="Z149" s="563" t="str">
        <f>IF('Config!'!$BA$15=2010,".",IF(Tabela2[[#This Row],[Number of competitors]]=0,".",SUMIF('Result data'!$N$216:$N$390,Tabela2[[#This Row],[ID]],'Result data'!$DA$216:$DA$393)))</f>
        <v>.</v>
      </c>
      <c r="AA149" s="530" t="str" cm="1">
        <f t="array" ref="AA14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49" s="530" t="str" cm="1">
        <f t="array" ref="AB14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4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49" s="530" t="str" cm="1">
        <f t="array" ref="AD14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49" s="530" t="str" cm="1">
        <f t="array" ref="AE14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49" s="530" t="str" cm="1">
        <f t="array" ref="AF14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0" spans="1:32" x14ac:dyDescent="0.3">
      <c r="A150" s="568">
        <f>'Config!'!C136</f>
        <v>133</v>
      </c>
      <c r="B150" s="536" t="str">
        <f>'Config!'!A136</f>
        <v>Samoa.</v>
      </c>
      <c r="C150" s="536" t="str">
        <f>'Config!'!B136</f>
        <v>Oceânia</v>
      </c>
      <c r="D150" s="538" cm="1">
        <f t="array" ref="D150">IFERROR(INDEX(Population!$BD$3:$BN$177,'IMS Seg. Table'!$A150,'Config!'!$BA$15-2010+1),"")</f>
        <v>188901</v>
      </c>
      <c r="E150" s="551" cm="1">
        <f t="array" ref="E150">IFERROR(INDEX(Population!$CH$3:$CH$178,'IMS Seg. Table'!$A150,1),"")</f>
        <v>2821</v>
      </c>
      <c r="F150" s="552">
        <f>IFERROR('IMS Seg. Table'!$D150/'IMS Seg. Table'!$E150,"")</f>
        <v>66.962424672102088</v>
      </c>
      <c r="G150" s="575" cm="1">
        <f t="array" ref="G150">IFERROR(INDEX('Country Competitivness'!$CL$4:$CX$178,Tabela2[[#This Row],[ID]],'Config!'!$AZ$17+1),".")</f>
        <v>92.23</v>
      </c>
      <c r="H150" s="540" cm="1">
        <f t="array" ref="H150">INDEX(GDP!$G$3:$S$177,'IMS Seg. Table'!$A150,'Config!'!$BA$15-2010+1)*1000000000</f>
        <v>801168622.33811378</v>
      </c>
      <c r="I150" s="539">
        <f t="shared" si="35"/>
        <v>4241.2090054479004</v>
      </c>
      <c r="J150" s="576">
        <f>IFERROR(INDEX('Income Tax Rate (%)'!$F$2:$P$176,Tabela2[[#This Row],[ID]],'Config!'!$BA$15-2010+1)/100,"")</f>
        <v>0.27</v>
      </c>
      <c r="K150" s="577">
        <f>IFERROR(INDEX('Tariff Rate (%)'!$F$2:$P$176,Tabela2[[#This Row],[ID]],'Config!'!$BA$15-2010+1)/100,"")</f>
        <v>7.1199999999999999E-2</v>
      </c>
      <c r="L150" s="577">
        <f>IFERROR(INDEX('Corporate Tax Rate (%)'!$F$2:$P$176,Tabela2[[#This Row],[ID]],'Config!'!$BA$15-2010+1)/100,"")</f>
        <v>0.27</v>
      </c>
      <c r="M150" s="527" cm="1">
        <f t="array" ref="M150">INDEX('Score-Starting a business'!$F$2:$P$176,'IMS Seg. Table'!$A150,'Config!'!$BA$15-2010+1)</f>
        <v>92.24</v>
      </c>
      <c r="N150" s="527" cm="1">
        <f t="array" ref="N150">IFERROR(INDEX('Country Competitivness'!$AX$4:$BH$178,Tabela2[[#This Row],[ID]],'Config!'!$BA$15-2010+1),"")</f>
        <v>2.86</v>
      </c>
      <c r="O150" s="527" cm="1">
        <f t="array" ref="O150">IFERROR(INDEX('Country Competitivness'!$EE$4:$EO$178,Tabela2[[#This Row],[ID]],'Config!'!$BA$15-2010+1),"")</f>
        <v>2.69</v>
      </c>
      <c r="P150" s="527" cm="1">
        <f t="array" ref="P150">IFERROR(INDEX('Country Competitivness'!$H$4:$R$178,Tabela2[[#This Row],[ID]],'Config!'!$BA$15-2010+1),"")</f>
        <v>4.12</v>
      </c>
      <c r="Q150" s="527" cm="1">
        <f t="array" ref="Q150">IFERROR(INDEX('Country Competitivness'!$AJ$4:$AT$178,Tabela2[[#This Row],[ID]],MAX(1,'Config!'!$BA$15-2010)),"")</f>
        <v>5.1100000000000003</v>
      </c>
      <c r="R150" s="527" cm="1">
        <f t="array" ref="R150">IFERROR(INDEX('Country Competitivness'!$BM$4:$BW$178,Tabela2[[#This Row],[ID]],'Config!'!$BA$15-2010+1),"")</f>
        <v>3.18</v>
      </c>
      <c r="S150" s="578" t="str" cm="1">
        <f t="array" ref="S15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0" s="537" t="str" cm="1">
        <f t="array" ref="T150">IF('Config!'!$BA$15=2010,".",IF(INDEX('Result data'!$R$216:$AA$390,'IMS Seg. Table'!$A150,'Config!'!$BA$15-2010)=".",".",INDEX('Result data'!$R$216:$AA$390,'IMS Seg. Table'!$A150,'Config!'!$BA$15-2010)))</f>
        <v>.</v>
      </c>
      <c r="U150" s="579" t="str">
        <f t="shared" si="36"/>
        <v>.</v>
      </c>
      <c r="V150" s="530" t="str" cm="1">
        <f t="array" ref="V150">IF(Tabela2[[#This Row],[Market Penetration (Category)]]=".",".",INDEX('Result data'!$BS$216:$CB$390,'IMS Seg. Table'!$A150,'Config!'!$BA$15-2010))</f>
        <v>.</v>
      </c>
      <c r="W150" s="563" t="str">
        <f>IF(Tabela2[[#This Row],[Market Demand (U$ millions)]]=".",".",Tabela2[[#This Row],[Market Demand (U$ millions)]]/Tabela2[[#This Row],[Active users (thousands)]])</f>
        <v>.</v>
      </c>
      <c r="X150" s="580" cm="1">
        <f t="array" ref="X150">IF('Config!'!$BA$15=2010,".",IF(INDEX('Result data'!$AE$216:$AN$390,'IMS Seg. Table'!$A150,'Config!'!$BA$15-2010)=".",0,INDEX('Result data'!$AE$216:$AN$390,'IMS Seg. Table'!$A150,'Config!'!$BA$15-2010)))</f>
        <v>0</v>
      </c>
      <c r="Y150" s="563" t="str">
        <f>IF('Config!'!$BA$15=2010,".",IF(Tabela2[[#This Row],[Number of competitors]]=0,".",SUMIF('Result data'!$N$216:$N$390,Tabela2[[#This Row],[ID]],'Result data'!$CP$216:$CP$393)))</f>
        <v>.</v>
      </c>
      <c r="Z150" s="563" t="str">
        <f>IF('Config!'!$BA$15=2010,".",IF(Tabela2[[#This Row],[Number of competitors]]=0,".",SUMIF('Result data'!$N$216:$N$390,Tabela2[[#This Row],[ID]],'Result data'!$DA$216:$DA$393)))</f>
        <v>.</v>
      </c>
      <c r="AA150" s="530" t="str" cm="1">
        <f t="array" ref="AA15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0" s="530" t="str" cm="1">
        <f t="array" ref="AB15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0" s="530" t="str" cm="1">
        <f t="array" ref="AD15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0" s="530" t="str" cm="1">
        <f t="array" ref="AE15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0" s="530" t="str" cm="1">
        <f t="array" ref="AF15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1" spans="1:32" x14ac:dyDescent="0.3">
      <c r="A151" s="569">
        <f>'Config!'!C137</f>
        <v>135</v>
      </c>
      <c r="B151" s="536" t="str">
        <f>'Config!'!A137</f>
        <v>Senegal</v>
      </c>
      <c r="C151" s="536" t="str">
        <f>'Config!'!B137</f>
        <v>África Subsaariana</v>
      </c>
      <c r="D151" s="538" cm="1">
        <f t="array" ref="D151">IFERROR(INDEX(Population!$BD$3:$BN$177,'IMS Seg. Table'!$A151,'Config!'!$BA$15-2010+1),"")</f>
        <v>13780108</v>
      </c>
      <c r="E151" s="551" cm="1">
        <f t="array" ref="E151">IFERROR(INDEX(Population!$CH$3:$CH$178,'IMS Seg. Table'!$A151,1),"")</f>
        <v>192530</v>
      </c>
      <c r="F151" s="552">
        <f>IFERROR('IMS Seg. Table'!$D151/'IMS Seg. Table'!$E151,"")</f>
        <v>71.57382226146575</v>
      </c>
      <c r="G151" s="575" cm="1">
        <f t="array" ref="G151">IFERROR(INDEX('Country Competitivness'!$CL$4:$CX$178,Tabela2[[#This Row],[ID]],'Config!'!$AZ$17+1),".")</f>
        <v>67.105513326332996</v>
      </c>
      <c r="H151" s="540" cm="1">
        <f t="array" ref="H151">INDEX(GDP!$G$3:$S$177,'IMS Seg. Table'!$A151,'Config!'!$BA$15-2010+1)*1000000000</f>
        <v>17825417949.423077</v>
      </c>
      <c r="I151" s="539">
        <f t="shared" si="35"/>
        <v>1293.5615562246012</v>
      </c>
      <c r="J151" s="576">
        <f>IFERROR(INDEX('Income Tax Rate (%)'!$F$2:$P$176,Tabela2[[#This Row],[ID]],'Config!'!$BA$15-2010+1)/100,"")</f>
        <v>0.5</v>
      </c>
      <c r="K151" s="577">
        <f>IFERROR(INDEX('Tariff Rate (%)'!$F$2:$P$176,Tabela2[[#This Row],[ID]],'Config!'!$BA$15-2010+1)/100,"")</f>
        <v>8.4199999999999997E-2</v>
      </c>
      <c r="L151" s="577">
        <f>IFERROR(INDEX('Corporate Tax Rate (%)'!$F$2:$P$176,Tabela2[[#This Row],[ID]],'Config!'!$BA$15-2010+1)/100,"")</f>
        <v>0.25</v>
      </c>
      <c r="M151" s="527" cm="1">
        <f t="array" ref="M151">INDEX('Score-Starting a business'!$F$2:$P$176,'IMS Seg. Table'!$A151,'Config!'!$BA$15-2010+1)</f>
        <v>73.02</v>
      </c>
      <c r="N151" s="527" cm="1">
        <f t="array" ref="N151">IFERROR(INDEX('Country Competitivness'!$AX$4:$BH$178,Tabela2[[#This Row],[ID]],'Config!'!$BA$15-2010+1),"")</f>
        <v>3.2276963455497381</v>
      </c>
      <c r="O151" s="527" cm="1">
        <f t="array" ref="O151">IFERROR(INDEX('Country Competitivness'!$EE$4:$EO$178,Tabela2[[#This Row],[ID]],'Config!'!$BA$15-2010+1),"")</f>
        <v>3.327375671727749</v>
      </c>
      <c r="P151" s="527" cm="1">
        <f t="array" ref="P151">IFERROR(INDEX('Country Competitivness'!$H$4:$R$178,Tabela2[[#This Row],[ID]],'Config!'!$BA$15-2010+1),"")</f>
        <v>3.7210954284375855</v>
      </c>
      <c r="Q151" s="527" cm="1">
        <f t="array" ref="Q151">IFERROR(INDEX('Country Competitivness'!$AJ$4:$AT$178,Tabela2[[#This Row],[ID]],MAX(1,'Config!'!$BA$15-2010)),"")</f>
        <v>5.2838630345549733</v>
      </c>
      <c r="R151" s="527" cm="1">
        <f t="array" ref="R151">IFERROR(INDEX('Country Competitivness'!$BM$4:$BW$178,Tabela2[[#This Row],[ID]],'Config!'!$BA$15-2010+1),"")</f>
        <v>2.3071877078534029</v>
      </c>
      <c r="S151" s="578" t="str" cm="1">
        <f t="array" ref="S15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1" s="537" t="str" cm="1">
        <f t="array" ref="T151">IF('Config!'!$BA$15=2010,".",IF(INDEX('Result data'!$R$216:$AA$390,'IMS Seg. Table'!$A151,'Config!'!$BA$15-2010)=".",".",INDEX('Result data'!$R$216:$AA$390,'IMS Seg. Table'!$A151,'Config!'!$BA$15-2010)))</f>
        <v>.</v>
      </c>
      <c r="U151" s="579" t="str">
        <f t="shared" si="36"/>
        <v>.</v>
      </c>
      <c r="V151" s="530" t="str" cm="1">
        <f t="array" ref="V151">IF(Tabela2[[#This Row],[Market Penetration (Category)]]=".",".",INDEX('Result data'!$BS$216:$CB$390,'IMS Seg. Table'!$A151,'Config!'!$BA$15-2010))</f>
        <v>.</v>
      </c>
      <c r="W151" s="563" t="str">
        <f>IF(Tabela2[[#This Row],[Market Demand (U$ millions)]]=".",".",Tabela2[[#This Row],[Market Demand (U$ millions)]]/Tabela2[[#This Row],[Active users (thousands)]])</f>
        <v>.</v>
      </c>
      <c r="X151" s="580" cm="1">
        <f t="array" ref="X151">IF('Config!'!$BA$15=2010,".",IF(INDEX('Result data'!$AE$216:$AN$390,'IMS Seg. Table'!$A151,'Config!'!$BA$15-2010)=".",0,INDEX('Result data'!$AE$216:$AN$390,'IMS Seg. Table'!$A151,'Config!'!$BA$15-2010)))</f>
        <v>0</v>
      </c>
      <c r="Y151" s="563" t="str">
        <f>IF('Config!'!$BA$15=2010,".",IF(Tabela2[[#This Row],[Number of competitors]]=0,".",SUMIF('Result data'!$N$216:$N$390,Tabela2[[#This Row],[ID]],'Result data'!$CP$216:$CP$393)))</f>
        <v>.</v>
      </c>
      <c r="Z151" s="563" t="str">
        <f>IF('Config!'!$BA$15=2010,".",IF(Tabela2[[#This Row],[Number of competitors]]=0,".",SUMIF('Result data'!$N$216:$N$390,Tabela2[[#This Row],[ID]],'Result data'!$DA$216:$DA$393)))</f>
        <v>.</v>
      </c>
      <c r="AA151" s="530" t="str" cm="1">
        <f t="array" ref="AA15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1" s="530" t="str" cm="1">
        <f t="array" ref="AB15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1" s="530" t="str" cm="1">
        <f t="array" ref="AD15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1" s="530" t="str" cm="1">
        <f t="array" ref="AE15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1" s="530" t="str" cm="1">
        <f t="array" ref="AF15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2" spans="1:32" x14ac:dyDescent="0.3">
      <c r="A152" s="568">
        <f>'Config!'!C138</f>
        <v>138</v>
      </c>
      <c r="B152" s="536" t="str">
        <f>'Config!'!A138</f>
        <v>Serra Leoa</v>
      </c>
      <c r="C152" s="536" t="str">
        <f>'Config!'!B138</f>
        <v>África Subsaariana</v>
      </c>
      <c r="D152" s="538" cm="1">
        <f t="array" ref="D152">IFERROR(INDEX(Population!$BD$3:$BN$177,'IMS Seg. Table'!$A152,'Config!'!$BA$15-2010+1),"")</f>
        <v>6043157</v>
      </c>
      <c r="E152" s="551" cm="1">
        <f t="array" ref="E152">IFERROR(INDEX(Population!$CH$3:$CH$178,'IMS Seg. Table'!$A152,1),"")</f>
        <v>71620</v>
      </c>
      <c r="F152" s="552">
        <f>IFERROR('IMS Seg. Table'!$D152/'IMS Seg. Table'!$E152,"")</f>
        <v>84.378064786372519</v>
      </c>
      <c r="G152" s="575" cm="1">
        <f t="array" ref="G152">IFERROR(INDEX('Country Competitivness'!$CL$4:$CX$178,Tabela2[[#This Row],[ID]],'Config!'!$AZ$17+1),".")</f>
        <v>31.58</v>
      </c>
      <c r="H152" s="540" cm="1">
        <f t="array" ref="H152">INDEX(GDP!$G$3:$S$177,'IMS Seg. Table'!$A152,'Config!'!$BA$15-2010+1)*1000000000</f>
        <v>3801862611.3641367</v>
      </c>
      <c r="I152" s="539">
        <f t="shared" si="35"/>
        <v>629.11862315742201</v>
      </c>
      <c r="J152" s="576">
        <f>IFERROR(INDEX('Income Tax Rate (%)'!$F$2:$P$176,Tabela2[[#This Row],[ID]],'Config!'!$BA$15-2010+1)/100,"")</f>
        <v>0.3</v>
      </c>
      <c r="K152" s="577">
        <f>IFERROR(INDEX('Tariff Rate (%)'!$F$2:$P$176,Tabela2[[#This Row],[ID]],'Config!'!$BA$15-2010+1)/100,"")</f>
        <v>9.8800000000000013E-2</v>
      </c>
      <c r="L152" s="577">
        <f>IFERROR(INDEX('Corporate Tax Rate (%)'!$F$2:$P$176,Tabela2[[#This Row],[ID]],'Config!'!$BA$15-2010+1)/100,"")</f>
        <v>0.3</v>
      </c>
      <c r="M152" s="527" cm="1">
        <f t="array" ref="M152">INDEX('Score-Starting a business'!$F$2:$P$176,'IMS Seg. Table'!$A152,'Config!'!$BA$15-2010+1)</f>
        <v>76.89</v>
      </c>
      <c r="N152" s="527" cm="1">
        <f t="array" ref="N152">IFERROR(INDEX('Country Competitivness'!$AX$4:$BH$178,Tabela2[[#This Row],[ID]],'Config!'!$BA$15-2010+1),"")</f>
        <v>3.6173481204547735</v>
      </c>
      <c r="O152" s="527" cm="1">
        <f t="array" ref="O152">IFERROR(INDEX('Country Competitivness'!$EE$4:$EO$178,Tabela2[[#This Row],[ID]],'Config!'!$BA$15-2010+1),"")</f>
        <v>2.624229606313965</v>
      </c>
      <c r="P152" s="527" cm="1">
        <f t="array" ref="P152">IFERROR(INDEX('Country Competitivness'!$H$4:$R$178,Tabela2[[#This Row],[ID]],'Config!'!$BA$15-2010+1),"")</f>
        <v>3.3106549703156509</v>
      </c>
      <c r="Q152" s="527" cm="1">
        <f t="array" ref="Q152">IFERROR(INDEX('Country Competitivness'!$AJ$4:$AT$178,Tabela2[[#This Row],[ID]],MAX(1,'Config!'!$BA$15-2010)),"")</f>
        <v>4.0020162420353627</v>
      </c>
      <c r="R152" s="527" cm="1">
        <f t="array" ref="R152">IFERROR(INDEX('Country Competitivness'!$BM$4:$BW$178,Tabela2[[#This Row],[ID]],'Config!'!$BA$15-2010+1),"")</f>
        <v>2.2514426862723735</v>
      </c>
      <c r="S152" s="578" t="str" cm="1">
        <f t="array" ref="S15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2" s="537" t="str" cm="1">
        <f t="array" ref="T152">IF('Config!'!$BA$15=2010,".",IF(INDEX('Result data'!$R$216:$AA$390,'IMS Seg. Table'!$A152,'Config!'!$BA$15-2010)=".",".",INDEX('Result data'!$R$216:$AA$390,'IMS Seg. Table'!$A152,'Config!'!$BA$15-2010)))</f>
        <v>.</v>
      </c>
      <c r="U152" s="579" t="str">
        <f t="shared" si="36"/>
        <v>.</v>
      </c>
      <c r="V152" s="530" t="str" cm="1">
        <f t="array" ref="V152">IF(Tabela2[[#This Row],[Market Penetration (Category)]]=".",".",INDEX('Result data'!$BS$216:$CB$390,'IMS Seg. Table'!$A152,'Config!'!$BA$15-2010))</f>
        <v>.</v>
      </c>
      <c r="W152" s="563" t="str">
        <f>IF(Tabela2[[#This Row],[Market Demand (U$ millions)]]=".",".",Tabela2[[#This Row],[Market Demand (U$ millions)]]/Tabela2[[#This Row],[Active users (thousands)]])</f>
        <v>.</v>
      </c>
      <c r="X152" s="580" cm="1">
        <f t="array" ref="X152">IF('Config!'!$BA$15=2010,".",IF(INDEX('Result data'!$AE$216:$AN$390,'IMS Seg. Table'!$A152,'Config!'!$BA$15-2010)=".",0,INDEX('Result data'!$AE$216:$AN$390,'IMS Seg. Table'!$A152,'Config!'!$BA$15-2010)))</f>
        <v>0</v>
      </c>
      <c r="Y152" s="563" t="str">
        <f>IF('Config!'!$BA$15=2010,".",IF(Tabela2[[#This Row],[Number of competitors]]=0,".",SUMIF('Result data'!$N$216:$N$390,Tabela2[[#This Row],[ID]],'Result data'!$CP$216:$CP$393)))</f>
        <v>.</v>
      </c>
      <c r="Z152" s="563" t="str">
        <f>IF('Config!'!$BA$15=2010,".",IF(Tabela2[[#This Row],[Number of competitors]]=0,".",SUMIF('Result data'!$N$216:$N$390,Tabela2[[#This Row],[ID]],'Result data'!$DA$216:$DA$393)))</f>
        <v>.</v>
      </c>
      <c r="AA152" s="530" t="str" cm="1">
        <f t="array" ref="AA15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2" s="530" t="str" cm="1">
        <f t="array" ref="AB15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2" s="530" t="str" cm="1">
        <f t="array" ref="AD15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2" s="530" t="str" cm="1">
        <f t="array" ref="AE15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2" s="530" t="str" cm="1">
        <f t="array" ref="AF15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3" spans="1:32" x14ac:dyDescent="0.3">
      <c r="A153" s="569">
        <f>'Config!'!C139</f>
        <v>136</v>
      </c>
      <c r="B153" s="536" t="str">
        <f>'Config!'!A139</f>
        <v>Sérvia</v>
      </c>
      <c r="C153" s="536" t="str">
        <f>'Config!'!B139</f>
        <v>Europa</v>
      </c>
      <c r="D153" s="538" cm="1">
        <f t="array" ref="D153">IFERROR(INDEX(Population!$BD$3:$BN$177,'IMS Seg. Table'!$A153,'Config!'!$BA$15-2010+1),"")</f>
        <v>7199077</v>
      </c>
      <c r="E153" s="551" cm="1">
        <f t="array" ref="E153">IFERROR(INDEX(Population!$CH$3:$CH$178,'IMS Seg. Table'!$A153,1),"")</f>
        <v>77474</v>
      </c>
      <c r="F153" s="552">
        <f>IFERROR('IMS Seg. Table'!$D153/'IMS Seg. Table'!$E153,"")</f>
        <v>92.922490125719591</v>
      </c>
      <c r="G153" s="575" cm="1">
        <f t="array" ref="G153">IFERROR(INDEX('Country Competitivness'!$CL$4:$CX$178,Tabela2[[#This Row],[ID]],'Config!'!$AZ$17+1),".")</f>
        <v>129.18732364399401</v>
      </c>
      <c r="H153" s="540" cm="1">
        <f t="array" ref="H153">INDEX(GDP!$G$3:$S$177,'IMS Seg. Table'!$A153,'Config!'!$BA$15-2010+1)*1000000000</f>
        <v>43309252921.056725</v>
      </c>
      <c r="I153" s="539">
        <f t="shared" si="35"/>
        <v>6015.9452275696904</v>
      </c>
      <c r="J153" s="576">
        <f>IFERROR(INDEX('Income Tax Rate (%)'!$F$2:$P$176,Tabela2[[#This Row],[ID]],'Config!'!$BA$15-2010+1)/100,"")</f>
        <v>0.15</v>
      </c>
      <c r="K153" s="577">
        <f>IFERROR(INDEX('Tariff Rate (%)'!$F$2:$P$176,Tabela2[[#This Row],[ID]],'Config!'!$BA$15-2010+1)/100,"")</f>
        <v>6.5000000000000002E-2</v>
      </c>
      <c r="L153" s="577">
        <f>IFERROR(INDEX('Corporate Tax Rate (%)'!$F$2:$P$176,Tabela2[[#This Row],[ID]],'Config!'!$BA$15-2010+1)/100,"")</f>
        <v>0.15</v>
      </c>
      <c r="M153" s="527" cm="1">
        <f t="array" ref="M153">INDEX('Score-Starting a business'!$F$2:$P$176,'IMS Seg. Table'!$A153,'Config!'!$BA$15-2010+1)</f>
        <v>86.69</v>
      </c>
      <c r="N153" s="527" cm="1">
        <f t="array" ref="N153">IFERROR(INDEX('Country Competitivness'!$AX$4:$BH$178,Tabela2[[#This Row],[ID]],'Config!'!$BA$15-2010+1),"")</f>
        <v>2.3389139590062111</v>
      </c>
      <c r="O153" s="527" cm="1">
        <f t="array" ref="O153">IFERROR(INDEX('Country Competitivness'!$EE$4:$EO$178,Tabela2[[#This Row],[ID]],'Config!'!$BA$15-2010+1),"")</f>
        <v>2.4000163006211181</v>
      </c>
      <c r="P153" s="527" cm="1">
        <f t="array" ref="P153">IFERROR(INDEX('Country Competitivness'!$H$4:$R$178,Tabela2[[#This Row],[ID]],'Config!'!$BA$15-2010+1),"")</f>
        <v>3.0815359758744694</v>
      </c>
      <c r="Q153" s="527" cm="1">
        <f t="array" ref="Q153">IFERROR(INDEX('Country Competitivness'!$AJ$4:$AT$178,Tabela2[[#This Row],[ID]],MAX(1,'Config!'!$BA$15-2010)),"")</f>
        <v>3.8829754070393374</v>
      </c>
      <c r="R153" s="527" cm="1">
        <f t="array" ref="R153">IFERROR(INDEX('Country Competitivness'!$BM$4:$BW$178,Tabela2[[#This Row],[ID]],'Config!'!$BA$15-2010+1),"")</f>
        <v>2.150678829813665</v>
      </c>
      <c r="S153" s="578" t="str" cm="1">
        <f t="array" ref="S15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3" s="537" t="str" cm="1">
        <f t="array" ref="T153">IF('Config!'!$BA$15=2010,".",IF(INDEX('Result data'!$R$216:$AA$390,'IMS Seg. Table'!$A153,'Config!'!$BA$15-2010)=".",".",INDEX('Result data'!$R$216:$AA$390,'IMS Seg. Table'!$A153,'Config!'!$BA$15-2010)))</f>
        <v>.</v>
      </c>
      <c r="U153" s="579" t="str">
        <f t="shared" si="36"/>
        <v>.</v>
      </c>
      <c r="V153" s="530" t="str" cm="1">
        <f t="array" ref="V153">IF(Tabela2[[#This Row],[Market Penetration (Category)]]=".",".",INDEX('Result data'!$BS$216:$CB$390,'IMS Seg. Table'!$A153,'Config!'!$BA$15-2010))</f>
        <v>.</v>
      </c>
      <c r="W153" s="563" t="str">
        <f>IF(Tabela2[[#This Row],[Market Demand (U$ millions)]]=".",".",Tabela2[[#This Row],[Market Demand (U$ millions)]]/Tabela2[[#This Row],[Active users (thousands)]])</f>
        <v>.</v>
      </c>
      <c r="X153" s="580" cm="1">
        <f t="array" ref="X153">IF('Config!'!$BA$15=2010,".",IF(INDEX('Result data'!$AE$216:$AN$390,'IMS Seg. Table'!$A153,'Config!'!$BA$15-2010)=".",0,INDEX('Result data'!$AE$216:$AN$390,'IMS Seg. Table'!$A153,'Config!'!$BA$15-2010)))</f>
        <v>0</v>
      </c>
      <c r="Y153" s="563" t="str">
        <f>IF('Config!'!$BA$15=2010,".",IF(Tabela2[[#This Row],[Number of competitors]]=0,".",SUMIF('Result data'!$N$216:$N$390,Tabela2[[#This Row],[ID]],'Result data'!$CP$216:$CP$393)))</f>
        <v>.</v>
      </c>
      <c r="Z153" s="563" t="str">
        <f>IF('Config!'!$BA$15=2010,".",IF(Tabela2[[#This Row],[Number of competitors]]=0,".",SUMIF('Result data'!$N$216:$N$390,Tabela2[[#This Row],[ID]],'Result data'!$DA$216:$DA$393)))</f>
        <v>.</v>
      </c>
      <c r="AA153" s="530" t="str" cm="1">
        <f t="array" ref="AA15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3" s="530" t="str" cm="1">
        <f t="array" ref="AB15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3" s="530" t="str" cm="1">
        <f t="array" ref="AD15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3" s="530" t="str" cm="1">
        <f t="array" ref="AE15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3" s="530" t="str" cm="1">
        <f t="array" ref="AF15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4" spans="1:32" x14ac:dyDescent="0.3">
      <c r="A154" s="568">
        <f>'Config!'!C140</f>
        <v>137</v>
      </c>
      <c r="B154" s="536" t="str">
        <f>'Config!'!A140</f>
        <v>Seychelles.</v>
      </c>
      <c r="C154" s="536" t="str">
        <f>'Config!'!B140</f>
        <v>África Subsaariana</v>
      </c>
      <c r="D154" s="538" cm="1">
        <f t="array" ref="D154">IFERROR(INDEX(Population!$BD$3:$BN$177,'IMS Seg. Table'!$A154,'Config!'!$BA$15-2010+1),"")</f>
        <v>88303</v>
      </c>
      <c r="E154" s="551" cm="1">
        <f t="array" ref="E154">IFERROR(INDEX(Population!$CH$3:$CH$178,'IMS Seg. Table'!$A154,1),"")</f>
        <v>455</v>
      </c>
      <c r="F154" s="552">
        <f>IFERROR('IMS Seg. Table'!$D154/'IMS Seg. Table'!$E154,"")</f>
        <v>194.07252747252747</v>
      </c>
      <c r="G154" s="575" cm="1">
        <f t="array" ref="G154">IFERROR(INDEX('Country Competitivness'!$CL$4:$CX$178,Tabela2[[#This Row],[ID]],'Config!'!$AZ$17+1),".")</f>
        <v>157.69999999999999</v>
      </c>
      <c r="H154" s="540" cm="1">
        <f t="array" ref="H154">INDEX(GDP!$G$3:$S$177,'IMS Seg. Table'!$A154,'Config!'!$BA$15-2010+1)*1000000000</f>
        <v>1060226125.6261593</v>
      </c>
      <c r="I154" s="539">
        <f t="shared" si="35"/>
        <v>12006.682962370014</v>
      </c>
      <c r="J154" s="576">
        <f>IFERROR(INDEX('Income Tax Rate (%)'!$F$2:$P$176,Tabela2[[#This Row],[ID]],'Config!'!$BA$15-2010+1)/100,"")</f>
        <v>0.15</v>
      </c>
      <c r="K154" s="577">
        <f>IFERROR(INDEX('Tariff Rate (%)'!$F$2:$P$176,Tabela2[[#This Row],[ID]],'Config!'!$BA$15-2010+1)/100,"")</f>
        <v>0.28300000000000003</v>
      </c>
      <c r="L154" s="577">
        <f>IFERROR(INDEX('Corporate Tax Rate (%)'!$F$2:$P$176,Tabela2[[#This Row],[ID]],'Config!'!$BA$15-2010+1)/100,"")</f>
        <v>0.33</v>
      </c>
      <c r="M154" s="527" cm="1">
        <f t="array" ref="M154">INDEX('Score-Starting a business'!$F$2:$P$176,'IMS Seg. Table'!$A154,'Config!'!$BA$15-2010+1)</f>
        <v>76.680000000000007</v>
      </c>
      <c r="N154" s="527" cm="1">
        <f t="array" ref="N154">IFERROR(INDEX('Country Competitivness'!$AX$4:$BH$178,Tabela2[[#This Row],[ID]],'Config!'!$BA$15-2010+1),"")</f>
        <v>3.8314962971926101</v>
      </c>
      <c r="O154" s="527" cm="1">
        <f t="array" ref="O154">IFERROR(INDEX('Country Competitivness'!$EE$4:$EO$178,Tabela2[[#This Row],[ID]],'Config!'!$BA$15-2010+1),"")</f>
        <v>4.2908030681625542</v>
      </c>
      <c r="P154" s="527" cm="1">
        <f t="array" ref="P154">IFERROR(INDEX('Country Competitivness'!$H$4:$R$178,Tabela2[[#This Row],[ID]],'Config!'!$BA$15-2010+1),"")</f>
        <v>3.8593158141035362</v>
      </c>
      <c r="Q154" s="527" cm="1">
        <f t="array" ref="Q154">IFERROR(INDEX('Country Competitivness'!$AJ$4:$AT$178,Tabela2[[#This Row],[ID]],MAX(1,'Config!'!$BA$15-2010)),"")</f>
        <v>4.6433256387049031</v>
      </c>
      <c r="R154" s="527" cm="1">
        <f t="array" ref="R154">IFERROR(INDEX('Country Competitivness'!$BM$4:$BW$178,Tabela2[[#This Row],[ID]],'Config!'!$BA$15-2010+1),"")</f>
        <v>3.2717967082505091</v>
      </c>
      <c r="S154" s="578" t="str" cm="1">
        <f t="array" ref="S15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4" s="537" t="str" cm="1">
        <f t="array" ref="T154">IF('Config!'!$BA$15=2010,".",IF(INDEX('Result data'!$R$216:$AA$390,'IMS Seg. Table'!$A154,'Config!'!$BA$15-2010)=".",".",INDEX('Result data'!$R$216:$AA$390,'IMS Seg. Table'!$A154,'Config!'!$BA$15-2010)))</f>
        <v>.</v>
      </c>
      <c r="U154" s="579" t="str">
        <f t="shared" si="36"/>
        <v>.</v>
      </c>
      <c r="V154" s="530" t="str" cm="1">
        <f t="array" ref="V154">IF(Tabela2[[#This Row],[Market Penetration (Category)]]=".",".",INDEX('Result data'!$BS$216:$CB$390,'IMS Seg. Table'!$A154,'Config!'!$BA$15-2010))</f>
        <v>.</v>
      </c>
      <c r="W154" s="563" t="str">
        <f>IF(Tabela2[[#This Row],[Market Demand (U$ millions)]]=".",".",Tabela2[[#This Row],[Market Demand (U$ millions)]]/Tabela2[[#This Row],[Active users (thousands)]])</f>
        <v>.</v>
      </c>
      <c r="X154" s="580" cm="1">
        <f t="array" ref="X154">IF('Config!'!$BA$15=2010,".",IF(INDEX('Result data'!$AE$216:$AN$390,'IMS Seg. Table'!$A154,'Config!'!$BA$15-2010)=".",0,INDEX('Result data'!$AE$216:$AN$390,'IMS Seg. Table'!$A154,'Config!'!$BA$15-2010)))</f>
        <v>0</v>
      </c>
      <c r="Y154" s="563" t="str">
        <f>IF('Config!'!$BA$15=2010,".",IF(Tabela2[[#This Row],[Number of competitors]]=0,".",SUMIF('Result data'!$N$216:$N$390,Tabela2[[#This Row],[ID]],'Result data'!$CP$216:$CP$393)))</f>
        <v>.</v>
      </c>
      <c r="Z154" s="563" t="str">
        <f>IF('Config!'!$BA$15=2010,".",IF(Tabela2[[#This Row],[Number of competitors]]=0,".",SUMIF('Result data'!$N$216:$N$390,Tabela2[[#This Row],[ID]],'Result data'!$DA$216:$DA$393)))</f>
        <v>.</v>
      </c>
      <c r="AA154" s="530" t="str" cm="1">
        <f t="array" ref="AA15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4" s="530" t="str" cm="1">
        <f t="array" ref="AB15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4" s="530" t="str" cm="1">
        <f t="array" ref="AD15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4" s="530" t="str" cm="1">
        <f t="array" ref="AE15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4" s="530" t="str" cm="1">
        <f t="array" ref="AF15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5" spans="1:32" x14ac:dyDescent="0.3">
      <c r="A155" s="569">
        <f>'Config!'!C141</f>
        <v>147</v>
      </c>
      <c r="B155" s="536" t="str">
        <f>'Config!'!A141</f>
        <v>Sri Lanka</v>
      </c>
      <c r="C155" s="536" t="str">
        <f>'Config!'!B141</f>
        <v>Ásia-Pacífico</v>
      </c>
      <c r="D155" s="538" cm="1">
        <f t="array" ref="D155">IFERROR(INDEX(Population!$BD$3:$BN$177,'IMS Seg. Table'!$A155,'Config!'!$BA$15-2010+1),"")</f>
        <v>20424000</v>
      </c>
      <c r="E155" s="551" cm="1">
        <f t="array" ref="E155">IFERROR(INDEX(Population!$CH$3:$CH$178,'IMS Seg. Table'!$A155,1),"")</f>
        <v>64630</v>
      </c>
      <c r="F155" s="552">
        <f>IFERROR('IMS Seg. Table'!$D155/'IMS Seg. Table'!$E155,"")</f>
        <v>316.01423487544486</v>
      </c>
      <c r="G155" s="575" cm="1">
        <f t="array" ref="G155">IFERROR(INDEX('Country Competitivness'!$CL$4:$CX$178,Tabela2[[#This Row],[ID]],'Config!'!$AZ$17+1),".")</f>
        <v>83.218381789907497</v>
      </c>
      <c r="H155" s="540" cm="1">
        <f t="array" ref="H155">INDEX(GDP!$G$3:$S$177,'IMS Seg. Table'!$A155,'Config!'!$BA$15-2010+1)*1000000000</f>
        <v>68434409315.112289</v>
      </c>
      <c r="I155" s="539">
        <f t="shared" si="35"/>
        <v>3350.6859241633515</v>
      </c>
      <c r="J155" s="576">
        <f>IFERROR(INDEX('Income Tax Rate (%)'!$F$2:$P$176,Tabela2[[#This Row],[ID]],'Config!'!$BA$15-2010+1)/100,"")</f>
        <v>0.24</v>
      </c>
      <c r="K155" s="577">
        <f>IFERROR(INDEX('Tariff Rate (%)'!$F$2:$P$176,Tabela2[[#This Row],[ID]],'Config!'!$BA$15-2010+1)/100,"")</f>
        <v>5.7000000000000002E-2</v>
      </c>
      <c r="L155" s="577">
        <f>IFERROR(INDEX('Corporate Tax Rate (%)'!$F$2:$P$176,Tabela2[[#This Row],[ID]],'Config!'!$BA$15-2010+1)/100,"")</f>
        <v>0.28000000000000003</v>
      </c>
      <c r="M155" s="527" cm="1">
        <f t="array" ref="M155">INDEX('Score-Starting a business'!$F$2:$P$176,'IMS Seg. Table'!$A155,'Config!'!$BA$15-2010+1)</f>
        <v>75.81</v>
      </c>
      <c r="N155" s="527" cm="1">
        <f t="array" ref="N155">IFERROR(INDEX('Country Competitivness'!$AX$4:$BH$178,Tabela2[[#This Row],[ID]],'Config!'!$BA$15-2010+1),"")</f>
        <v>3.7162241172413792</v>
      </c>
      <c r="O155" s="527" cm="1">
        <f t="array" ref="O155">IFERROR(INDEX('Country Competitivness'!$EE$4:$EO$178,Tabela2[[#This Row],[ID]],'Config!'!$BA$15-2010+1),"")</f>
        <v>4.5416986965517241</v>
      </c>
      <c r="P155" s="527" cm="1">
        <f t="array" ref="P155">IFERROR(INDEX('Country Competitivness'!$H$4:$R$178,Tabela2[[#This Row],[ID]],'Config!'!$BA$15-2010+1),"")</f>
        <v>4.5389438620689653</v>
      </c>
      <c r="Q155" s="527" cm="1">
        <f t="array" ref="Q155">IFERROR(INDEX('Country Competitivness'!$AJ$4:$AT$178,Tabela2[[#This Row],[ID]],MAX(1,'Config!'!$BA$15-2010)),"")</f>
        <v>5.1039109954022992</v>
      </c>
      <c r="R155" s="527" cm="1">
        <f t="array" ref="R155">IFERROR(INDEX('Country Competitivness'!$BM$4:$BW$178,Tabela2[[#This Row],[ID]],'Config!'!$BA$15-2010+1),"")</f>
        <v>4.3556990068965522</v>
      </c>
      <c r="S155" s="578" t="str" cm="1">
        <f t="array" ref="S15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5" s="537" t="str" cm="1">
        <f t="array" ref="T155">IF('Config!'!$BA$15=2010,".",IF(INDEX('Result data'!$R$216:$AA$390,'IMS Seg. Table'!$A155,'Config!'!$BA$15-2010)=".",".",INDEX('Result data'!$R$216:$AA$390,'IMS Seg. Table'!$A155,'Config!'!$BA$15-2010)))</f>
        <v>.</v>
      </c>
      <c r="U155" s="579" t="str">
        <f t="shared" si="36"/>
        <v>.</v>
      </c>
      <c r="V155" s="530" t="str" cm="1">
        <f t="array" ref="V155">IF(Tabela2[[#This Row],[Market Penetration (Category)]]=".",".",INDEX('Result data'!$BS$216:$CB$390,'IMS Seg. Table'!$A155,'Config!'!$BA$15-2010))</f>
        <v>.</v>
      </c>
      <c r="W155" s="563" t="str">
        <f>IF(Tabela2[[#This Row],[Market Demand (U$ millions)]]=".",".",Tabela2[[#This Row],[Market Demand (U$ millions)]]/Tabela2[[#This Row],[Active users (thousands)]])</f>
        <v>.</v>
      </c>
      <c r="X155" s="580" cm="1">
        <f t="array" ref="X155">IF('Config!'!$BA$15=2010,".",IF(INDEX('Result data'!$AE$216:$AN$390,'IMS Seg. Table'!$A155,'Config!'!$BA$15-2010)=".",0,INDEX('Result data'!$AE$216:$AN$390,'IMS Seg. Table'!$A155,'Config!'!$BA$15-2010)))</f>
        <v>0</v>
      </c>
      <c r="Y155" s="563" t="str">
        <f>IF('Config!'!$BA$15=2010,".",IF(Tabela2[[#This Row],[Number of competitors]]=0,".",SUMIF('Result data'!$N$216:$N$390,Tabela2[[#This Row],[ID]],'Result data'!$CP$216:$CP$393)))</f>
        <v>.</v>
      </c>
      <c r="Z155" s="563" t="str">
        <f>IF('Config!'!$BA$15=2010,".",IF(Tabela2[[#This Row],[Number of competitors]]=0,".",SUMIF('Result data'!$N$216:$N$390,Tabela2[[#This Row],[ID]],'Result data'!$DA$216:$DA$393)))</f>
        <v>.</v>
      </c>
      <c r="AA155" s="530" t="str" cm="1">
        <f t="array" ref="AA15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5" s="530" t="str" cm="1">
        <f t="array" ref="AB15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5" s="530" t="str" cm="1">
        <f t="array" ref="AD15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5" s="530" t="str" cm="1">
        <f t="array" ref="AE15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5" s="530" t="str" cm="1">
        <f t="array" ref="AF15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6" spans="1:32" x14ac:dyDescent="0.3">
      <c r="A156" s="568">
        <f>'Config!'!C142</f>
        <v>149</v>
      </c>
      <c r="B156" s="536" t="str">
        <f>'Config!'!A142</f>
        <v>Suazilândia.</v>
      </c>
      <c r="C156" s="536" t="str">
        <f>'Config!'!B142</f>
        <v>África Subsaariana</v>
      </c>
      <c r="D156" s="538" cm="1">
        <f t="array" ref="D156">IFERROR(INDEX(Population!$BD$3:$BN$177,'IMS Seg. Table'!$A156,'Config!'!$BA$15-2010+1),"")</f>
        <v>1231694</v>
      </c>
      <c r="E156" s="551" cm="1">
        <f t="array" ref="E156">IFERROR(INDEX(Population!$CH$3:$CH$178,'IMS Seg. Table'!$A156,1),"")</f>
        <v>17204</v>
      </c>
      <c r="F156" s="552">
        <f>IFERROR('IMS Seg. Table'!$D156/'IMS Seg. Table'!$E156,"")</f>
        <v>71.593466635666118</v>
      </c>
      <c r="G156" s="575" cm="1">
        <f t="array" ref="G156">IFERROR(INDEX('Country Competitivness'!$CL$4:$CX$178,Tabela2[[#This Row],[ID]],'Config!'!$AZ$17+1),".")</f>
        <v>61.776172457286997</v>
      </c>
      <c r="H156" s="540" cm="1">
        <f t="array" ref="H156">INDEX(GDP!$G$3:$S$177,'IMS Seg. Table'!$A156,'Config!'!$BA$15-2010+1)*1000000000</f>
        <v>6242000000</v>
      </c>
      <c r="I156" s="539">
        <f t="shared" si="35"/>
        <v>5067.817168874737</v>
      </c>
      <c r="J156" s="576">
        <f>IFERROR(INDEX('Income Tax Rate (%)'!$F$2:$P$176,Tabela2[[#This Row],[ID]],'Config!'!$BA$15-2010+1)/100,"")</f>
        <v>0.33</v>
      </c>
      <c r="K156" s="577">
        <f>IFERROR(INDEX('Tariff Rate (%)'!$F$2:$P$176,Tabela2[[#This Row],[ID]],'Config!'!$BA$15-2010+1)/100,"")</f>
        <v>4.24E-2</v>
      </c>
      <c r="L156" s="577">
        <f>IFERROR(INDEX('Corporate Tax Rate (%)'!$F$2:$P$176,Tabela2[[#This Row],[ID]],'Config!'!$BA$15-2010+1)/100,"")</f>
        <v>0.3</v>
      </c>
      <c r="M156" s="527" cm="1">
        <f t="array" ref="M156">INDEX('Score-Starting a business'!$F$2:$P$176,'IMS Seg. Table'!$A156,'Config!'!$BA$15-2010+1)</f>
        <v>66.2</v>
      </c>
      <c r="N156" s="527" cm="1">
        <f t="array" ref="N156">IFERROR(INDEX('Country Competitivness'!$AX$4:$BH$178,Tabela2[[#This Row],[ID]],'Config!'!$BA$15-2010+1),"")</f>
        <v>3.1474458894736843</v>
      </c>
      <c r="O156" s="527" cm="1">
        <f t="array" ref="O156">IFERROR(INDEX('Country Competitivness'!$EE$4:$EO$178,Tabela2[[#This Row],[ID]],'Config!'!$BA$15-2010+1),"")</f>
        <v>4.9549791736842108</v>
      </c>
      <c r="P156" s="527" cm="1">
        <f t="array" ref="P156">IFERROR(INDEX('Country Competitivness'!$H$4:$R$178,Tabela2[[#This Row],[ID]],'Config!'!$BA$15-2010+1),"")</f>
        <v>3.1172995828254848</v>
      </c>
      <c r="Q156" s="527" cm="1">
        <f t="array" ref="Q156">IFERROR(INDEX('Country Competitivness'!$AJ$4:$AT$178,Tabela2[[#This Row],[ID]],MAX(1,'Config!'!$BA$15-2010)),"")</f>
        <v>3.634126159649123</v>
      </c>
      <c r="R156" s="527" cm="1">
        <f t="array" ref="R156">IFERROR(INDEX('Country Competitivness'!$BM$4:$BW$178,Tabela2[[#This Row],[ID]],'Config!'!$BA$15-2010+1),"")</f>
        <v>3.017255978947369</v>
      </c>
      <c r="S156" s="578" t="str" cm="1">
        <f t="array" ref="S15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6" s="537" t="str" cm="1">
        <f t="array" ref="T156">IF('Config!'!$BA$15=2010,".",IF(INDEX('Result data'!$R$216:$AA$390,'IMS Seg. Table'!$A156,'Config!'!$BA$15-2010)=".",".",INDEX('Result data'!$R$216:$AA$390,'IMS Seg. Table'!$A156,'Config!'!$BA$15-2010)))</f>
        <v>.</v>
      </c>
      <c r="U156" s="579" t="str">
        <f t="shared" si="36"/>
        <v>.</v>
      </c>
      <c r="V156" s="530" t="str" cm="1">
        <f t="array" ref="V156">IF(Tabela2[[#This Row],[Market Penetration (Category)]]=".",".",INDEX('Result data'!$BS$216:$CB$390,'IMS Seg. Table'!$A156,'Config!'!$BA$15-2010))</f>
        <v>.</v>
      </c>
      <c r="W156" s="563" t="str">
        <f>IF(Tabela2[[#This Row],[Market Demand (U$ millions)]]=".",".",Tabela2[[#This Row],[Market Demand (U$ millions)]]/Tabela2[[#This Row],[Active users (thousands)]])</f>
        <v>.</v>
      </c>
      <c r="X156" s="580" cm="1">
        <f t="array" ref="X156">IF('Config!'!$BA$15=2010,".",IF(INDEX('Result data'!$AE$216:$AN$390,'IMS Seg. Table'!$A156,'Config!'!$BA$15-2010)=".",0,INDEX('Result data'!$AE$216:$AN$390,'IMS Seg. Table'!$A156,'Config!'!$BA$15-2010)))</f>
        <v>0</v>
      </c>
      <c r="Y156" s="563" t="str">
        <f>IF('Config!'!$BA$15=2010,".",IF(Tabela2[[#This Row],[Number of competitors]]=0,".",SUMIF('Result data'!$N$216:$N$390,Tabela2[[#This Row],[ID]],'Result data'!$CP$216:$CP$393)))</f>
        <v>.</v>
      </c>
      <c r="Z156" s="563" t="str">
        <f>IF('Config!'!$BA$15=2010,".",IF(Tabela2[[#This Row],[Number of competitors]]=0,".",SUMIF('Result data'!$N$216:$N$390,Tabela2[[#This Row],[ID]],'Result data'!$DA$216:$DA$393)))</f>
        <v>.</v>
      </c>
      <c r="AA156" s="530" t="str" cm="1">
        <f t="array" ref="AA15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6" s="530" t="str" cm="1">
        <f t="array" ref="AB15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6" s="530" t="str" cm="1">
        <f t="array" ref="AD15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6" s="530" t="str" cm="1">
        <f t="array" ref="AE15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6" s="530" t="str" cm="1">
        <f t="array" ref="AF15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7" spans="1:32" x14ac:dyDescent="0.3">
      <c r="A157" s="569">
        <f>'Config!'!C143</f>
        <v>150</v>
      </c>
      <c r="B157" s="536" t="str">
        <f>'Config!'!A143</f>
        <v>Suécia</v>
      </c>
      <c r="C157" s="536" t="str">
        <f>'Config!'!B143</f>
        <v>União Européia</v>
      </c>
      <c r="D157" s="538" cm="1">
        <f t="array" ref="D157">IFERROR(INDEX(Population!$BD$3:$BN$177,'IMS Seg. Table'!$A157,'Config!'!$BA$15-2010+1),"")</f>
        <v>9519374</v>
      </c>
      <c r="E157" s="551" cm="1">
        <f t="array" ref="E157">IFERROR(INDEX(Population!$CH$3:$CH$178,'IMS Seg. Table'!$A157,1),"")</f>
        <v>410335</v>
      </c>
      <c r="F157" s="552">
        <f>IFERROR('IMS Seg. Table'!$D157/'IMS Seg. Table'!$E157,"")</f>
        <v>23.199030060803977</v>
      </c>
      <c r="G157" s="575" cm="1">
        <f t="array" ref="G157">IFERROR(INDEX('Country Competitivness'!$CL$4:$CX$178,Tabela2[[#This Row],[ID]],'Config!'!$AZ$17+1),".")</f>
        <v>113.54323443842</v>
      </c>
      <c r="H157" s="540" cm="1">
        <f t="array" ref="H157">INDEX(GDP!$G$3:$S$177,'IMS Seg. Table'!$A157,'Config!'!$BA$15-2010+1)*1000000000</f>
        <v>544481531961.97974</v>
      </c>
      <c r="I157" s="539">
        <f t="shared" si="35"/>
        <v>57197.199307641422</v>
      </c>
      <c r="J157" s="576">
        <f>IFERROR(INDEX('Income Tax Rate (%)'!$F$2:$P$176,Tabela2[[#This Row],[ID]],'Config!'!$BA$15-2010+1)/100,"")</f>
        <v>0.56999999999999995</v>
      </c>
      <c r="K157" s="577">
        <f>IFERROR(INDEX('Tariff Rate (%)'!$F$2:$P$176,Tabela2[[#This Row],[ID]],'Config!'!$BA$15-2010+1)/100,"")</f>
        <v>1.09E-2</v>
      </c>
      <c r="L157" s="577">
        <f>IFERROR(INDEX('Corporate Tax Rate (%)'!$F$2:$P$176,Tabela2[[#This Row],[ID]],'Config!'!$BA$15-2010+1)/100,"")</f>
        <v>0.22</v>
      </c>
      <c r="M157" s="527" cm="1">
        <f t="array" ref="M157">INDEX('Score-Starting a business'!$F$2:$P$176,'IMS Seg. Table'!$A157,'Config!'!$BA$15-2010+1)</f>
        <v>92.210000000000008</v>
      </c>
      <c r="N157" s="527" cm="1">
        <f t="array" ref="N157">IFERROR(INDEX('Country Competitivness'!$AX$4:$BH$178,Tabela2[[#This Row],[ID]],'Config!'!$BA$15-2010+1),"")</f>
        <v>3.8564821202898552</v>
      </c>
      <c r="O157" s="527" cm="1">
        <f t="array" ref="O157">IFERROR(INDEX('Country Competitivness'!$EE$4:$EO$178,Tabela2[[#This Row],[ID]],'Config!'!$BA$15-2010+1),"")</f>
        <v>5.6597241608695654</v>
      </c>
      <c r="P157" s="527" cm="1">
        <f t="array" ref="P157">IFERROR(INDEX('Country Competitivness'!$H$4:$R$178,Tabela2[[#This Row],[ID]],'Config!'!$BA$15-2010+1),"")</f>
        <v>5.8299069344012198</v>
      </c>
      <c r="Q157" s="527" cm="1">
        <f t="array" ref="Q157">IFERROR(INDEX('Country Competitivness'!$AJ$4:$AT$178,Tabela2[[#This Row],[ID]],MAX(1,'Config!'!$BA$15-2010)),"")</f>
        <v>6.1987132666666662</v>
      </c>
      <c r="R157" s="527" cm="1">
        <f t="array" ref="R157">IFERROR(INDEX('Country Competitivness'!$BM$4:$BW$178,Tabela2[[#This Row],[ID]],'Config!'!$BA$15-2010+1),"")</f>
        <v>4.9297430014492756</v>
      </c>
      <c r="S157" s="578" t="str" cm="1">
        <f t="array" ref="S15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7" s="537" t="str" cm="1">
        <f t="array" ref="T157">IF('Config!'!$BA$15=2010,".",IF(INDEX('Result data'!$R$216:$AA$390,'IMS Seg. Table'!$A157,'Config!'!$BA$15-2010)=".",".",INDEX('Result data'!$R$216:$AA$390,'IMS Seg. Table'!$A157,'Config!'!$BA$15-2010)))</f>
        <v>.</v>
      </c>
      <c r="U157" s="579" t="str">
        <f t="shared" si="36"/>
        <v>.</v>
      </c>
      <c r="V157" s="530" t="str" cm="1">
        <f t="array" ref="V157">IF(Tabela2[[#This Row],[Market Penetration (Category)]]=".",".",INDEX('Result data'!$BS$216:$CB$390,'IMS Seg. Table'!$A157,'Config!'!$BA$15-2010))</f>
        <v>.</v>
      </c>
      <c r="W157" s="563" t="str">
        <f>IF(Tabela2[[#This Row],[Market Demand (U$ millions)]]=".",".",Tabela2[[#This Row],[Market Demand (U$ millions)]]/Tabela2[[#This Row],[Active users (thousands)]])</f>
        <v>.</v>
      </c>
      <c r="X157" s="580" cm="1">
        <f t="array" ref="X157">IF('Config!'!$BA$15=2010,".",IF(INDEX('Result data'!$AE$216:$AN$390,'IMS Seg. Table'!$A157,'Config!'!$BA$15-2010)=".",0,INDEX('Result data'!$AE$216:$AN$390,'IMS Seg. Table'!$A157,'Config!'!$BA$15-2010)))</f>
        <v>0</v>
      </c>
      <c r="Y157" s="563" t="str">
        <f>IF('Config!'!$BA$15=2010,".",IF(Tabela2[[#This Row],[Number of competitors]]=0,".",SUMIF('Result data'!$N$216:$N$390,Tabela2[[#This Row],[ID]],'Result data'!$CP$216:$CP$393)))</f>
        <v>.</v>
      </c>
      <c r="Z157" s="563" t="str">
        <f>IF('Config!'!$BA$15=2010,".",IF(Tabela2[[#This Row],[Number of competitors]]=0,".",SUMIF('Result data'!$N$216:$N$390,Tabela2[[#This Row],[ID]],'Result data'!$DA$216:$DA$393)))</f>
        <v>.</v>
      </c>
      <c r="AA157" s="530" t="str" cm="1">
        <f t="array" ref="AA15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7" s="530" t="str" cm="1">
        <f t="array" ref="AB15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7" s="530" t="str" cm="1">
        <f t="array" ref="AD15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7" s="530" t="str" cm="1">
        <f t="array" ref="AE15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7" s="530" t="str" cm="1">
        <f t="array" ref="AF15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8" spans="1:32" x14ac:dyDescent="0.3">
      <c r="A158" s="568">
        <f>'Config!'!C144</f>
        <v>151</v>
      </c>
      <c r="B158" s="536" t="str">
        <f>'Config!'!A144</f>
        <v>Suíça</v>
      </c>
      <c r="C158" s="536" t="str">
        <f>'Config!'!B144</f>
        <v>Europa</v>
      </c>
      <c r="D158" s="538" cm="1">
        <f t="array" ref="D158">IFERROR(INDEX(Population!$BD$3:$BN$177,'IMS Seg. Table'!$A158,'Config!'!$BA$15-2010+1),"")</f>
        <v>7996861</v>
      </c>
      <c r="E158" s="551" cm="1">
        <f t="array" ref="E158">IFERROR(INDEX(Population!$CH$3:$CH$178,'IMS Seg. Table'!$A158,1),"")</f>
        <v>39997</v>
      </c>
      <c r="F158" s="552">
        <f>IFERROR('IMS Seg. Table'!$D158/'IMS Seg. Table'!$E158,"")</f>
        <v>199.93652023901794</v>
      </c>
      <c r="G158" s="575" cm="1">
        <f t="array" ref="G158">IFERROR(INDEX('Country Competitivness'!$CL$4:$CX$178,Tabela2[[#This Row],[ID]],'Config!'!$AZ$17+1),".")</f>
        <v>123.624828719268</v>
      </c>
      <c r="H158" s="540" cm="1">
        <f t="array" ref="H158">INDEX(GDP!$G$3:$S$177,'IMS Seg. Table'!$A158,'Config!'!$BA$15-2010+1)*1000000000</f>
        <v>668043614122.87</v>
      </c>
      <c r="I158" s="539">
        <f t="shared" si="35"/>
        <v>83538.23007838575</v>
      </c>
      <c r="J158" s="576">
        <f>IFERROR(INDEX('Income Tax Rate (%)'!$F$2:$P$176,Tabela2[[#This Row],[ID]],'Config!'!$BA$15-2010+1)/100,"")</f>
        <v>0.41499999999999998</v>
      </c>
      <c r="K158" s="577">
        <f>IFERROR(INDEX('Tariff Rate (%)'!$F$2:$P$176,Tabela2[[#This Row],[ID]],'Config!'!$BA$15-2010+1)/100,"")</f>
        <v>3.04E-2</v>
      </c>
      <c r="L158" s="577">
        <f>IFERROR(INDEX('Corporate Tax Rate (%)'!$F$2:$P$176,Tabela2[[#This Row],[ID]],'Config!'!$BA$15-2010+1)/100,"")</f>
        <v>0.24</v>
      </c>
      <c r="M158" s="527" cm="1">
        <f t="array" ref="M158">INDEX('Score-Starting a business'!$F$2:$P$176,'IMS Seg. Table'!$A158,'Config!'!$BA$15-2010+1)</f>
        <v>86.27</v>
      </c>
      <c r="N158" s="527" cm="1">
        <f t="array" ref="N158">IFERROR(INDEX('Country Competitivness'!$AX$4:$BH$178,Tabela2[[#This Row],[ID]],'Config!'!$BA$15-2010+1),"")</f>
        <v>4.1363970382775115</v>
      </c>
      <c r="O158" s="527" cm="1">
        <f t="array" ref="O158">IFERROR(INDEX('Country Competitivness'!$EE$4:$EO$178,Tabela2[[#This Row],[ID]],'Config!'!$BA$15-2010+1),"")</f>
        <v>6.4378351516746406</v>
      </c>
      <c r="P158" s="527" cm="1">
        <f t="array" ref="P158">IFERROR(INDEX('Country Competitivness'!$H$4:$R$178,Tabela2[[#This Row],[ID]],'Config!'!$BA$15-2010+1),"")</f>
        <v>5.8214705733064713</v>
      </c>
      <c r="Q158" s="527" cm="1">
        <f t="array" ref="Q158">IFERROR(INDEX('Country Competitivness'!$AJ$4:$AT$178,Tabela2[[#This Row],[ID]],MAX(1,'Config!'!$BA$15-2010)),"")</f>
        <v>6.0018081041467299</v>
      </c>
      <c r="R158" s="527" cm="1">
        <f t="array" ref="R158">IFERROR(INDEX('Country Competitivness'!$BM$4:$BW$178,Tabela2[[#This Row],[ID]],'Config!'!$BA$15-2010+1),"")</f>
        <v>5.1986904569377987</v>
      </c>
      <c r="S158" s="578" t="str" cm="1">
        <f t="array" ref="S15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8" s="537" t="str" cm="1">
        <f t="array" ref="T158">IF('Config!'!$BA$15=2010,".",IF(INDEX('Result data'!$R$216:$AA$390,'IMS Seg. Table'!$A158,'Config!'!$BA$15-2010)=".",".",INDEX('Result data'!$R$216:$AA$390,'IMS Seg. Table'!$A158,'Config!'!$BA$15-2010)))</f>
        <v>.</v>
      </c>
      <c r="U158" s="579" t="str">
        <f t="shared" si="36"/>
        <v>.</v>
      </c>
      <c r="V158" s="530" t="str" cm="1">
        <f t="array" ref="V158">IF(Tabela2[[#This Row],[Market Penetration (Category)]]=".",".",INDEX('Result data'!$BS$216:$CB$390,'IMS Seg. Table'!$A158,'Config!'!$BA$15-2010))</f>
        <v>.</v>
      </c>
      <c r="W158" s="563" t="str">
        <f>IF(Tabela2[[#This Row],[Market Demand (U$ millions)]]=".",".",Tabela2[[#This Row],[Market Demand (U$ millions)]]/Tabela2[[#This Row],[Active users (thousands)]])</f>
        <v>.</v>
      </c>
      <c r="X158" s="580" cm="1">
        <f t="array" ref="X158">IF('Config!'!$BA$15=2010,".",IF(INDEX('Result data'!$AE$216:$AN$390,'IMS Seg. Table'!$A158,'Config!'!$BA$15-2010)=".",0,INDEX('Result data'!$AE$216:$AN$390,'IMS Seg. Table'!$A158,'Config!'!$BA$15-2010)))</f>
        <v>0</v>
      </c>
      <c r="Y158" s="563" t="str">
        <f>IF('Config!'!$BA$15=2010,".",IF(Tabela2[[#This Row],[Number of competitors]]=0,".",SUMIF('Result data'!$N$216:$N$390,Tabela2[[#This Row],[ID]],'Result data'!$CP$216:$CP$393)))</f>
        <v>.</v>
      </c>
      <c r="Z158" s="563" t="str">
        <f>IF('Config!'!$BA$15=2010,".",IF(Tabela2[[#This Row],[Number of competitors]]=0,".",SUMIF('Result data'!$N$216:$N$390,Tabela2[[#This Row],[ID]],'Result data'!$DA$216:$DA$393)))</f>
        <v>.</v>
      </c>
      <c r="AA158" s="530" t="str" cm="1">
        <f t="array" ref="AA15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8" s="530" t="str" cm="1">
        <f t="array" ref="AB15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8" s="530" t="str" cm="1">
        <f t="array" ref="AD15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8" s="530" t="str" cm="1">
        <f t="array" ref="AE15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8" s="530" t="str" cm="1">
        <f t="array" ref="AF15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59" spans="1:32" x14ac:dyDescent="0.3">
      <c r="A159" s="569">
        <f>'Config!'!C145</f>
        <v>148</v>
      </c>
      <c r="B159" s="536" t="str">
        <f>'Config!'!A145</f>
        <v>Suriname</v>
      </c>
      <c r="C159" s="536" t="str">
        <f>'Config!'!B145</f>
        <v>América do Sul</v>
      </c>
      <c r="D159" s="538" cm="1">
        <f t="array" ref="D159">IFERROR(INDEX(Population!$BD$3:$BN$177,'IMS Seg. Table'!$A159,'Config!'!$BA$15-2010+1),"")</f>
        <v>528535</v>
      </c>
      <c r="E159" s="551" cm="1">
        <f t="array" ref="E159">IFERROR(INDEX(Population!$CH$3:$CH$178,'IMS Seg. Table'!$A159,1),"")</f>
        <v>156000</v>
      </c>
      <c r="F159" s="552">
        <f>IFERROR('IMS Seg. Table'!$D159/'IMS Seg. Table'!$E159,"")</f>
        <v>3.3880448717948717</v>
      </c>
      <c r="G159" s="575" cm="1">
        <f t="array" ref="G159">IFERROR(INDEX('Country Competitivness'!$CL$4:$CX$178,Tabela2[[#This Row],[ID]],'Config!'!$AZ$17+1),".")</f>
        <v>169.641427580265</v>
      </c>
      <c r="H159" s="540" cm="1">
        <f t="array" ref="H159">INDEX(GDP!$G$3:$S$177,'IMS Seg. Table'!$A159,'Config!'!$BA$15-2010+1)*1000000000</f>
        <v>4980000000</v>
      </c>
      <c r="I159" s="539">
        <f t="shared" si="35"/>
        <v>9422.2709943523132</v>
      </c>
      <c r="J159" s="576">
        <f>IFERROR(INDEX('Income Tax Rate (%)'!$F$2:$P$176,Tabela2[[#This Row],[ID]],'Config!'!$BA$15-2010+1)/100,"")</f>
        <v>0.38</v>
      </c>
      <c r="K159" s="577">
        <f>IFERROR(INDEX('Tariff Rate (%)'!$F$2:$P$176,Tabela2[[#This Row],[ID]],'Config!'!$BA$15-2010+1)/100,"")</f>
        <v>0.11900000000000001</v>
      </c>
      <c r="L159" s="577">
        <f>IFERROR(INDEX('Corporate Tax Rate (%)'!$F$2:$P$176,Tabela2[[#This Row],[ID]],'Config!'!$BA$15-2010+1)/100,"")</f>
        <v>0.36</v>
      </c>
      <c r="M159" s="527" cm="1">
        <f t="array" ref="M159">INDEX('Score-Starting a business'!$F$2:$P$176,'IMS Seg. Table'!$A159,'Config!'!$BA$15-2010+1)</f>
        <v>42.92</v>
      </c>
      <c r="N159" s="527" cm="1">
        <f t="array" ref="N159">IFERROR(INDEX('Country Competitivness'!$AX$4:$BH$178,Tabela2[[#This Row],[ID]],'Config!'!$BA$15-2010+1),"")</f>
        <v>2.7920060000000002</v>
      </c>
      <c r="O159" s="527" cm="1">
        <f t="array" ref="O159">IFERROR(INDEX('Country Competitivness'!$EE$4:$EO$178,Tabela2[[#This Row],[ID]],'Config!'!$BA$15-2010+1),"")</f>
        <v>4.2486819999999996</v>
      </c>
      <c r="P159" s="527" cm="1">
        <f t="array" ref="P159">IFERROR(INDEX('Country Competitivness'!$H$4:$R$178,Tabela2[[#This Row],[ID]],'Config!'!$BA$15-2010+1),"")</f>
        <v>3.2374576315789469</v>
      </c>
      <c r="Q159" s="527" cm="1">
        <f t="array" ref="Q159">IFERROR(INDEX('Country Competitivness'!$AJ$4:$AT$178,Tabela2[[#This Row],[ID]],MAX(1,'Config!'!$BA$15-2010)),"")</f>
        <v>3.9934226666666661</v>
      </c>
      <c r="R159" s="527" cm="1">
        <f t="array" ref="R159">IFERROR(INDEX('Country Competitivness'!$BM$4:$BW$178,Tabela2[[#This Row],[ID]],'Config!'!$BA$15-2010+1),"")</f>
        <v>2.9676680000000002</v>
      </c>
      <c r="S159" s="578" t="str" cm="1">
        <f t="array" ref="S15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59" s="537" t="str" cm="1">
        <f t="array" ref="T159">IF('Config!'!$BA$15=2010,".",IF(INDEX('Result data'!$R$216:$AA$390,'IMS Seg. Table'!$A159,'Config!'!$BA$15-2010)=".",".",INDEX('Result data'!$R$216:$AA$390,'IMS Seg. Table'!$A159,'Config!'!$BA$15-2010)))</f>
        <v>.</v>
      </c>
      <c r="U159" s="579" t="str">
        <f t="shared" si="36"/>
        <v>.</v>
      </c>
      <c r="V159" s="530" t="str" cm="1">
        <f t="array" ref="V159">IF(Tabela2[[#This Row],[Market Penetration (Category)]]=".",".",INDEX('Result data'!$BS$216:$CB$390,'IMS Seg. Table'!$A159,'Config!'!$BA$15-2010))</f>
        <v>.</v>
      </c>
      <c r="W159" s="563" t="str">
        <f>IF(Tabela2[[#This Row],[Market Demand (U$ millions)]]=".",".",Tabela2[[#This Row],[Market Demand (U$ millions)]]/Tabela2[[#This Row],[Active users (thousands)]])</f>
        <v>.</v>
      </c>
      <c r="X159" s="580" cm="1">
        <f t="array" ref="X159">IF('Config!'!$BA$15=2010,".",IF(INDEX('Result data'!$AE$216:$AN$390,'IMS Seg. Table'!$A159,'Config!'!$BA$15-2010)=".",0,INDEX('Result data'!$AE$216:$AN$390,'IMS Seg. Table'!$A159,'Config!'!$BA$15-2010)))</f>
        <v>0</v>
      </c>
      <c r="Y159" s="563" t="str">
        <f>IF('Config!'!$BA$15=2010,".",IF(Tabela2[[#This Row],[Number of competitors]]=0,".",SUMIF('Result data'!$N$216:$N$390,Tabela2[[#This Row],[ID]],'Result data'!$CP$216:$CP$393)))</f>
        <v>.</v>
      </c>
      <c r="Z159" s="563" t="str">
        <f>IF('Config!'!$BA$15=2010,".",IF(Tabela2[[#This Row],[Number of competitors]]=0,".",SUMIF('Result data'!$N$216:$N$390,Tabela2[[#This Row],[ID]],'Result data'!$DA$216:$DA$393)))</f>
        <v>.</v>
      </c>
      <c r="AA159" s="530" t="str" cm="1">
        <f t="array" ref="AA15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59" s="530" t="str" cm="1">
        <f t="array" ref="AB15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5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59" s="530" t="str" cm="1">
        <f t="array" ref="AD15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59" s="530" t="str" cm="1">
        <f t="array" ref="AE15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59" s="530" t="str" cm="1">
        <f t="array" ref="AF15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0" spans="1:32" x14ac:dyDescent="0.3">
      <c r="A160" s="568">
        <f>'Config!'!C146</f>
        <v>155</v>
      </c>
      <c r="B160" s="536" t="str">
        <f>'Config!'!A146</f>
        <v>Tailândia</v>
      </c>
      <c r="C160" s="536" t="str">
        <f>'Config!'!B146</f>
        <v>Ásia-Pacífico</v>
      </c>
      <c r="D160" s="538" cm="1">
        <f t="array" ref="D160">IFERROR(INDEX(Population!$BD$3:$BN$177,'IMS Seg. Table'!$A160,'Config!'!$BA$15-2010+1),"")</f>
        <v>67164130</v>
      </c>
      <c r="E160" s="551" cm="1">
        <f t="array" ref="E160">IFERROR(INDEX(Population!$CH$3:$CH$178,'IMS Seg. Table'!$A160,1),"")</f>
        <v>510890</v>
      </c>
      <c r="F160" s="552">
        <f>IFERROR('IMS Seg. Table'!$D160/'IMS Seg. Table'!$E160,"")</f>
        <v>131.46495331676095</v>
      </c>
      <c r="G160" s="575" cm="1">
        <f t="array" ref="G160">IFERROR(INDEX('Country Competitivness'!$CL$4:$CX$178,Tabela2[[#This Row],[ID]],'Config!'!$AZ$17+1),".")</f>
        <v>100.811367005297</v>
      </c>
      <c r="H160" s="540" cm="1">
        <f t="array" ref="H160">INDEX(GDP!$G$3:$S$177,'IMS Seg. Table'!$A160,'Config!'!$BA$15-2010+1)*1000000000</f>
        <v>397558094269.87653</v>
      </c>
      <c r="I160" s="539">
        <f t="shared" si="35"/>
        <v>5919.2026200574101</v>
      </c>
      <c r="J160" s="576">
        <f>IFERROR(INDEX('Income Tax Rate (%)'!$F$2:$P$176,Tabela2[[#This Row],[ID]],'Config!'!$BA$15-2010+1)/100,"")</f>
        <v>0.37</v>
      </c>
      <c r="K160" s="577">
        <f>IFERROR(INDEX('Tariff Rate (%)'!$F$2:$P$176,Tabela2[[#This Row],[ID]],'Config!'!$BA$15-2010+1)/100,"")</f>
        <v>0.05</v>
      </c>
      <c r="L160" s="577">
        <f>IFERROR(INDEX('Corporate Tax Rate (%)'!$F$2:$P$176,Tabela2[[#This Row],[ID]],'Config!'!$BA$15-2010+1)/100,"")</f>
        <v>0.2</v>
      </c>
      <c r="M160" s="527" cm="1">
        <f t="array" ref="M160">INDEX('Score-Starting a business'!$F$2:$P$176,'IMS Seg. Table'!$A160,'Config!'!$BA$15-2010+1)</f>
        <v>80.92</v>
      </c>
      <c r="N160" s="527" cm="1">
        <f t="array" ref="N160">IFERROR(INDEX('Country Competitivness'!$AX$4:$BH$178,Tabela2[[#This Row],[ID]],'Config!'!$BA$15-2010+1),"")</f>
        <v>3.5657331263157896</v>
      </c>
      <c r="O160" s="527" cm="1">
        <f t="array" ref="O160">IFERROR(INDEX('Country Competitivness'!$EE$4:$EO$178,Tabela2[[#This Row],[ID]],'Config!'!$BA$15-2010+1),"")</f>
        <v>4.9910145675438606</v>
      </c>
      <c r="P160" s="527" cm="1">
        <f t="array" ref="P160">IFERROR(INDEX('Country Competitivness'!$H$4:$R$178,Tabela2[[#This Row],[ID]],'Config!'!$BA$15-2010+1),"")</f>
        <v>4.2003317308402588</v>
      </c>
      <c r="Q160" s="527" cm="1">
        <f t="array" ref="Q160">IFERROR(INDEX('Country Competitivness'!$AJ$4:$AT$178,Tabela2[[#This Row],[ID]],MAX(1,'Config!'!$BA$15-2010)),"")</f>
        <v>4.8407514415204682</v>
      </c>
      <c r="R160" s="527" cm="1">
        <f t="array" ref="R160">IFERROR(INDEX('Country Competitivness'!$BM$4:$BW$178,Tabela2[[#This Row],[ID]],'Config!'!$BA$15-2010+1),"")</f>
        <v>3.8252489412280704</v>
      </c>
      <c r="S160" s="578" t="str" cm="1">
        <f t="array" ref="S16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0" s="537" t="str" cm="1">
        <f t="array" ref="T160">IF('Config!'!$BA$15=2010,".",IF(INDEX('Result data'!$R$216:$AA$390,'IMS Seg. Table'!$A160,'Config!'!$BA$15-2010)=".",".",INDEX('Result data'!$R$216:$AA$390,'IMS Seg. Table'!$A160,'Config!'!$BA$15-2010)))</f>
        <v>.</v>
      </c>
      <c r="U160" s="579" t="str">
        <f t="shared" si="36"/>
        <v>.</v>
      </c>
      <c r="V160" s="530" t="str" cm="1">
        <f t="array" ref="V160">IF(Tabela2[[#This Row],[Market Penetration (Category)]]=".",".",INDEX('Result data'!$BS$216:$CB$390,'IMS Seg. Table'!$A160,'Config!'!$BA$15-2010))</f>
        <v>.</v>
      </c>
      <c r="W160" s="563" t="str">
        <f>IF(Tabela2[[#This Row],[Market Demand (U$ millions)]]=".",".",Tabela2[[#This Row],[Market Demand (U$ millions)]]/Tabela2[[#This Row],[Active users (thousands)]])</f>
        <v>.</v>
      </c>
      <c r="X160" s="580" cm="1">
        <f t="array" ref="X160">IF('Config!'!$BA$15=2010,".",IF(INDEX('Result data'!$AE$216:$AN$390,'IMS Seg. Table'!$A160,'Config!'!$BA$15-2010)=".",0,INDEX('Result data'!$AE$216:$AN$390,'IMS Seg. Table'!$A160,'Config!'!$BA$15-2010)))</f>
        <v>0</v>
      </c>
      <c r="Y160" s="563" t="str">
        <f>IF('Config!'!$BA$15=2010,".",IF(Tabela2[[#This Row],[Number of competitors]]=0,".",SUMIF('Result data'!$N$216:$N$390,Tabela2[[#This Row],[ID]],'Result data'!$CP$216:$CP$393)))</f>
        <v>.</v>
      </c>
      <c r="Z160" s="563" t="str">
        <f>IF('Config!'!$BA$15=2010,".",IF(Tabela2[[#This Row],[Number of competitors]]=0,".",SUMIF('Result data'!$N$216:$N$390,Tabela2[[#This Row],[ID]],'Result data'!$DA$216:$DA$393)))</f>
        <v>.</v>
      </c>
      <c r="AA160" s="530" t="str" cm="1">
        <f t="array" ref="AA16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0" s="530" t="str" cm="1">
        <f t="array" ref="AB16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0" s="530" t="str" cm="1">
        <f t="array" ref="AD16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0" s="530" t="str" cm="1">
        <f t="array" ref="AE16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0" s="530" t="str" cm="1">
        <f t="array" ref="AF16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1" spans="1:32" x14ac:dyDescent="0.3">
      <c r="A161" s="569">
        <f>'Config!'!C147</f>
        <v>153</v>
      </c>
      <c r="B161" s="536" t="str">
        <f>'Config!'!A147</f>
        <v>Tajiquistão</v>
      </c>
      <c r="C161" s="536" t="str">
        <f>'Config!'!B147</f>
        <v>Ásia-Pacífico</v>
      </c>
      <c r="D161" s="538" cm="1">
        <f t="array" ref="D161">IFERROR(INDEX(Population!$BD$3:$BN$177,'IMS Seg. Table'!$A161,'Config!'!$BA$15-2010+1),"")</f>
        <v>7930929</v>
      </c>
      <c r="E161" s="551" cm="1">
        <f t="array" ref="E161">IFERROR(INDEX(Population!$CH$3:$CH$178,'IMS Seg. Table'!$A161,1),"")</f>
        <v>141510</v>
      </c>
      <c r="F161" s="552">
        <f>IFERROR('IMS Seg. Table'!$D161/'IMS Seg. Table'!$E161,"")</f>
        <v>56.045007419970318</v>
      </c>
      <c r="G161" s="575" cm="1">
        <f t="array" ref="G161">IFERROR(INDEX('Country Competitivness'!$CL$4:$CX$178,Tabela2[[#This Row],[ID]],'Config!'!$AZ$17+1),".")</f>
        <v>86.366557793353493</v>
      </c>
      <c r="H161" s="540" cm="1">
        <f t="array" ref="H161">INDEX(GDP!$G$3:$S$177,'IMS Seg. Table'!$A161,'Config!'!$BA$15-2010+1)*1000000000</f>
        <v>7633049792.0932093</v>
      </c>
      <c r="I161" s="539">
        <f t="shared" si="35"/>
        <v>962.44081772680215</v>
      </c>
      <c r="J161" s="576">
        <f>IFERROR(INDEX('Income Tax Rate (%)'!$F$2:$P$176,Tabela2[[#This Row],[ID]],'Config!'!$BA$15-2010+1)/100,"")</f>
        <v>0.13</v>
      </c>
      <c r="K161" s="577">
        <f>IFERROR(INDEX('Tariff Rate (%)'!$F$2:$P$176,Tabela2[[#This Row],[ID]],'Config!'!$BA$15-2010+1)/100,"")</f>
        <v>5.9000000000000004E-2</v>
      </c>
      <c r="L161" s="577">
        <f>IFERROR(INDEX('Corporate Tax Rate (%)'!$F$2:$P$176,Tabela2[[#This Row],[ID]],'Config!'!$BA$15-2010+1)/100,"")</f>
        <v>0.15</v>
      </c>
      <c r="M161" s="527" cm="1">
        <f t="array" ref="M161">INDEX('Score-Starting a business'!$F$2:$P$176,'IMS Seg. Table'!$A161,'Config!'!$BA$15-2010+1)</f>
        <v>86.81</v>
      </c>
      <c r="N161" s="527" cm="1">
        <f t="array" ref="N161">IFERROR(INDEX('Country Competitivness'!$AX$4:$BH$178,Tabela2[[#This Row],[ID]],'Config!'!$BA$15-2010+1),"")</f>
        <v>3.9080579537688442</v>
      </c>
      <c r="O161" s="527" cm="1">
        <f t="array" ref="O161">IFERROR(INDEX('Country Competitivness'!$EE$4:$EO$178,Tabela2[[#This Row],[ID]],'Config!'!$BA$15-2010+1),"")</f>
        <v>3.3644722562814069</v>
      </c>
      <c r="P161" s="527" cm="1">
        <f t="array" ref="P161">IFERROR(INDEX('Country Competitivness'!$H$4:$R$178,Tabela2[[#This Row],[ID]],'Config!'!$BA$15-2010+1),"")</f>
        <v>3.3789254316318433</v>
      </c>
      <c r="Q161" s="527" cm="1">
        <f t="array" ref="Q161">IFERROR(INDEX('Country Competitivness'!$AJ$4:$AT$178,Tabela2[[#This Row],[ID]],MAX(1,'Config!'!$BA$15-2010)),"")</f>
        <v>4.1687238680067003</v>
      </c>
      <c r="R161" s="527" cm="1">
        <f t="array" ref="R161">IFERROR(INDEX('Country Competitivness'!$BM$4:$BW$178,Tabela2[[#This Row],[ID]],'Config!'!$BA$15-2010+1),"")</f>
        <v>3.3136880201005026</v>
      </c>
      <c r="S161" s="578" t="str" cm="1">
        <f t="array" ref="S16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1" s="537" t="str" cm="1">
        <f t="array" ref="T161">IF('Config!'!$BA$15=2010,".",IF(INDEX('Result data'!$R$216:$AA$390,'IMS Seg. Table'!$A161,'Config!'!$BA$15-2010)=".",".",INDEX('Result data'!$R$216:$AA$390,'IMS Seg. Table'!$A161,'Config!'!$BA$15-2010)))</f>
        <v>.</v>
      </c>
      <c r="U161" s="579" t="str">
        <f t="shared" si="36"/>
        <v>.</v>
      </c>
      <c r="V161" s="530" t="str" cm="1">
        <f t="array" ref="V161">IF(Tabela2[[#This Row],[Market Penetration (Category)]]=".",".",INDEX('Result data'!$BS$216:$CB$390,'IMS Seg. Table'!$A161,'Config!'!$BA$15-2010))</f>
        <v>.</v>
      </c>
      <c r="W161" s="563" t="str">
        <f>IF(Tabela2[[#This Row],[Market Demand (U$ millions)]]=".",".",Tabela2[[#This Row],[Market Demand (U$ millions)]]/Tabela2[[#This Row],[Active users (thousands)]])</f>
        <v>.</v>
      </c>
      <c r="X161" s="580" cm="1">
        <f t="array" ref="X161">IF('Config!'!$BA$15=2010,".",IF(INDEX('Result data'!$AE$216:$AN$390,'IMS Seg. Table'!$A161,'Config!'!$BA$15-2010)=".",0,INDEX('Result data'!$AE$216:$AN$390,'IMS Seg. Table'!$A161,'Config!'!$BA$15-2010)))</f>
        <v>0</v>
      </c>
      <c r="Y161" s="563" t="str">
        <f>IF('Config!'!$BA$15=2010,".",IF(Tabela2[[#This Row],[Number of competitors]]=0,".",SUMIF('Result data'!$N$216:$N$390,Tabela2[[#This Row],[ID]],'Result data'!$CP$216:$CP$393)))</f>
        <v>.</v>
      </c>
      <c r="Z161" s="563" t="str">
        <f>IF('Config!'!$BA$15=2010,".",IF(Tabela2[[#This Row],[Number of competitors]]=0,".",SUMIF('Result data'!$N$216:$N$390,Tabela2[[#This Row],[ID]],'Result data'!$DA$216:$DA$393)))</f>
        <v>.</v>
      </c>
      <c r="AA161" s="530" t="str" cm="1">
        <f t="array" ref="AA16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1" s="530" t="str" cm="1">
        <f t="array" ref="AB16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1" s="530" t="str" cm="1">
        <f t="array" ref="AD16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1" s="530" t="str" cm="1">
        <f t="array" ref="AE16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1" s="530" t="str" cm="1">
        <f t="array" ref="AF16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2" spans="1:32" x14ac:dyDescent="0.3">
      <c r="A162" s="568">
        <f>'Config!'!C148</f>
        <v>154</v>
      </c>
      <c r="B162" s="536" t="str">
        <f>'Config!'!A148</f>
        <v>Tanzânia</v>
      </c>
      <c r="C162" s="536" t="str">
        <f>'Config!'!B148</f>
        <v>África Subsaariana</v>
      </c>
      <c r="D162" s="538" cm="1">
        <f t="array" ref="D162">IFERROR(INDEX(Population!$BD$3:$BN$177,'IMS Seg. Table'!$A162,'Config!'!$BA$15-2010+1),"")</f>
        <v>48645709</v>
      </c>
      <c r="E162" s="551" cm="1">
        <f t="array" ref="E162">IFERROR(INDEX(Population!$CH$3:$CH$178,'IMS Seg. Table'!$A162,1),"")</f>
        <v>885800</v>
      </c>
      <c r="F162" s="552">
        <f>IFERROR('IMS Seg. Table'!$D162/'IMS Seg. Table'!$E162,"")</f>
        <v>54.917260103860919</v>
      </c>
      <c r="G162" s="575" cm="1">
        <f t="array" ref="G162">IFERROR(INDEX('Country Competitivness'!$CL$4:$CX$178,Tabela2[[#This Row],[ID]],'Config!'!$AZ$17+1),".")</f>
        <v>46.795894920446599</v>
      </c>
      <c r="H162" s="540" cm="1">
        <f t="array" ref="H162">INDEX(GDP!$G$3:$S$177,'IMS Seg. Table'!$A162,'Config!'!$BA$15-2010+1)*1000000000</f>
        <v>39650530214.328712</v>
      </c>
      <c r="I162" s="539">
        <f t="shared" si="35"/>
        <v>815.08792922164446</v>
      </c>
      <c r="J162" s="576">
        <f>IFERROR(INDEX('Income Tax Rate (%)'!$F$2:$P$176,Tabela2[[#This Row],[ID]],'Config!'!$BA$15-2010+1)/100,"")</f>
        <v>0.3</v>
      </c>
      <c r="K162" s="577">
        <f>IFERROR(INDEX('Tariff Rate (%)'!$F$2:$P$176,Tabela2[[#This Row],[ID]],'Config!'!$BA$15-2010+1)/100,"")</f>
        <v>6.6100000000000006E-2</v>
      </c>
      <c r="L162" s="577">
        <f>IFERROR(INDEX('Corporate Tax Rate (%)'!$F$2:$P$176,Tabela2[[#This Row],[ID]],'Config!'!$BA$15-2010+1)/100,"")</f>
        <v>0.3</v>
      </c>
      <c r="M162" s="527" cm="1">
        <f t="array" ref="M162">INDEX('Score-Starting a business'!$F$2:$P$176,'IMS Seg. Table'!$A162,'Config!'!$BA$15-2010+1)</f>
        <v>64.320000000000007</v>
      </c>
      <c r="N162" s="527" cm="1">
        <f t="array" ref="N162">IFERROR(INDEX('Country Competitivness'!$AX$4:$BH$178,Tabela2[[#This Row],[ID]],'Config!'!$BA$15-2010+1),"")</f>
        <v>3.3706150280898877</v>
      </c>
      <c r="O162" s="527" cm="1">
        <f t="array" ref="O162">IFERROR(INDEX('Country Competitivness'!$EE$4:$EO$178,Tabela2[[#This Row],[ID]],'Config!'!$BA$15-2010+1),"")</f>
        <v>3.1824513089887638</v>
      </c>
      <c r="P162" s="527" cm="1">
        <f t="array" ref="P162">IFERROR(INDEX('Country Competitivness'!$H$4:$R$178,Tabela2[[#This Row],[ID]],'Config!'!$BA$15-2010+1),"")</f>
        <v>3.4757061083973979</v>
      </c>
      <c r="Q162" s="527" cm="1">
        <f t="array" ref="Q162">IFERROR(INDEX('Country Competitivness'!$AJ$4:$AT$178,Tabela2[[#This Row],[ID]],MAX(1,'Config!'!$BA$15-2010)),"")</f>
        <v>4.018515303370787</v>
      </c>
      <c r="R162" s="527" cm="1">
        <f t="array" ref="R162">IFERROR(INDEX('Country Competitivness'!$BM$4:$BW$178,Tabela2[[#This Row],[ID]],'Config!'!$BA$15-2010+1),"")</f>
        <v>2.850671820224719</v>
      </c>
      <c r="S162" s="578" t="str" cm="1">
        <f t="array" ref="S16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2" s="537" t="str" cm="1">
        <f t="array" ref="T162">IF('Config!'!$BA$15=2010,".",IF(INDEX('Result data'!$R$216:$AA$390,'IMS Seg. Table'!$A162,'Config!'!$BA$15-2010)=".",".",INDEX('Result data'!$R$216:$AA$390,'IMS Seg. Table'!$A162,'Config!'!$BA$15-2010)))</f>
        <v>.</v>
      </c>
      <c r="U162" s="579" t="str">
        <f t="shared" si="36"/>
        <v>.</v>
      </c>
      <c r="V162" s="530" t="str" cm="1">
        <f t="array" ref="V162">IF(Tabela2[[#This Row],[Market Penetration (Category)]]=".",".",INDEX('Result data'!$BS$216:$CB$390,'IMS Seg. Table'!$A162,'Config!'!$BA$15-2010))</f>
        <v>.</v>
      </c>
      <c r="W162" s="563" t="str">
        <f>IF(Tabela2[[#This Row],[Market Demand (U$ millions)]]=".",".",Tabela2[[#This Row],[Market Demand (U$ millions)]]/Tabela2[[#This Row],[Active users (thousands)]])</f>
        <v>.</v>
      </c>
      <c r="X162" s="580" cm="1">
        <f t="array" ref="X162">IF('Config!'!$BA$15=2010,".",IF(INDEX('Result data'!$AE$216:$AN$390,'IMS Seg. Table'!$A162,'Config!'!$BA$15-2010)=".",0,INDEX('Result data'!$AE$216:$AN$390,'IMS Seg. Table'!$A162,'Config!'!$BA$15-2010)))</f>
        <v>0</v>
      </c>
      <c r="Y162" s="563" t="str">
        <f>IF('Config!'!$BA$15=2010,".",IF(Tabela2[[#This Row],[Number of competitors]]=0,".",SUMIF('Result data'!$N$216:$N$390,Tabela2[[#This Row],[ID]],'Result data'!$CP$216:$CP$393)))</f>
        <v>.</v>
      </c>
      <c r="Z162" s="563" t="str">
        <f>IF('Config!'!$BA$15=2010,".",IF(Tabela2[[#This Row],[Number of competitors]]=0,".",SUMIF('Result data'!$N$216:$N$390,Tabela2[[#This Row],[ID]],'Result data'!$DA$216:$DA$393)))</f>
        <v>.</v>
      </c>
      <c r="AA162" s="530" t="str" cm="1">
        <f t="array" ref="AA16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2" s="530" t="str" cm="1">
        <f t="array" ref="AB16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2" s="530" t="str" cm="1">
        <f t="array" ref="AD16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2" s="530" t="str" cm="1">
        <f t="array" ref="AE16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2" s="530" t="str" cm="1">
        <f t="array" ref="AF16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3" spans="1:32" x14ac:dyDescent="0.3">
      <c r="A163" s="569">
        <f>'Config!'!C149</f>
        <v>173</v>
      </c>
      <c r="B163" s="536" t="str">
        <f>'Config!'!A149</f>
        <v>Timor-Leste</v>
      </c>
      <c r="C163" s="536" t="str">
        <f>'Config!'!B149</f>
        <v>Ásia-Pacífico</v>
      </c>
      <c r="D163" s="538" cm="1">
        <f t="array" ref="D163">IFERROR(INDEX(Population!$BD$3:$BN$177,'IMS Seg. Table'!$A163,'Config!'!$BA$15-2010+1),"")</f>
        <v>1148958</v>
      </c>
      <c r="E163" s="551" cm="1">
        <f t="array" ref="E163">IFERROR(INDEX(Population!$CH$3:$CH$178,'IMS Seg. Table'!$A163,1),"")</f>
        <v>14874</v>
      </c>
      <c r="F163" s="552">
        <f>IFERROR('IMS Seg. Table'!$D163/'IMS Seg. Table'!$E163,"")</f>
        <v>77.246066962484875</v>
      </c>
      <c r="G163" s="575" cm="1">
        <f t="array" ref="G163">IFERROR(INDEX('Country Competitivness'!$CL$4:$CX$178,Tabela2[[#This Row],[ID]],'Config!'!$AZ$17+1),".")</f>
        <v>53.417292581079799</v>
      </c>
      <c r="H163" s="540" cm="1">
        <f t="array" ref="H163">INDEX(GDP!$G$3:$S$177,'IMS Seg. Table'!$A163,'Config!'!$BA$15-2010+1)*1000000000</f>
        <v>6661664574.7462997</v>
      </c>
      <c r="I163" s="539">
        <f t="shared" si="35"/>
        <v>5798.0053011043919</v>
      </c>
      <c r="J163" s="576">
        <f>IFERROR(INDEX('Income Tax Rate (%)'!$F$2:$P$176,Tabela2[[#This Row],[ID]],'Config!'!$BA$15-2010+1)/100,"")</f>
        <v>0.25</v>
      </c>
      <c r="K163" s="577">
        <f>IFERROR(INDEX('Tariff Rate (%)'!$F$2:$P$176,Tabela2[[#This Row],[ID]],'Config!'!$BA$15-2010+1)/100,"")</f>
        <v>0.14300000000000002</v>
      </c>
      <c r="L163" s="577">
        <f>IFERROR(INDEX('Corporate Tax Rate (%)'!$F$2:$P$176,Tabela2[[#This Row],[ID]],'Config!'!$BA$15-2010+1)/100,"")</f>
        <v>0.25</v>
      </c>
      <c r="M163" s="527" cm="1">
        <f t="array" ref="M163">INDEX('Score-Starting a business'!$F$2:$P$176,'IMS Seg. Table'!$A163,'Config!'!$BA$15-2010+1)</f>
        <v>52.13</v>
      </c>
      <c r="N163" s="527" cm="1">
        <f t="array" ref="N163">IFERROR(INDEX('Country Competitivness'!$AX$4:$BH$178,Tabela2[[#This Row],[ID]],'Config!'!$BA$15-2010+1),"")</f>
        <v>3.1334724163934426</v>
      </c>
      <c r="O163" s="527" cm="1">
        <f t="array" ref="O163">IFERROR(INDEX('Country Competitivness'!$EE$4:$EO$178,Tabela2[[#This Row],[ID]],'Config!'!$BA$15-2010+1),"")</f>
        <v>2.1375078229508198</v>
      </c>
      <c r="P163" s="527" cm="1">
        <f t="array" ref="P163">IFERROR(INDEX('Country Competitivness'!$H$4:$R$178,Tabela2[[#This Row],[ID]],'Config!'!$BA$15-2010+1),"")</f>
        <v>2.9194910172562558</v>
      </c>
      <c r="Q163" s="527" cm="1">
        <f t="array" ref="Q163">IFERROR(INDEX('Country Competitivness'!$AJ$4:$AT$178,Tabela2[[#This Row],[ID]],MAX(1,'Config!'!$BA$15-2010)),"")</f>
        <v>3.5727972371584698</v>
      </c>
      <c r="R163" s="527" cm="1">
        <f t="array" ref="R163">IFERROR(INDEX('Country Competitivness'!$BM$4:$BW$178,Tabela2[[#This Row],[ID]],'Config!'!$BA$15-2010+1),"")</f>
        <v>2.7831482524590165</v>
      </c>
      <c r="S163" s="578" t="str" cm="1">
        <f t="array" ref="S16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3" s="537" t="str" cm="1">
        <f t="array" ref="T163">IF('Config!'!$BA$15=2010,".",IF(INDEX('Result data'!$R$216:$AA$390,'IMS Seg. Table'!$A163,'Config!'!$BA$15-2010)=".",".",INDEX('Result data'!$R$216:$AA$390,'IMS Seg. Table'!$A163,'Config!'!$BA$15-2010)))</f>
        <v>.</v>
      </c>
      <c r="U163" s="579" t="str">
        <f t="shared" si="36"/>
        <v>.</v>
      </c>
      <c r="V163" s="530" t="str" cm="1">
        <f t="array" ref="V163">IF(Tabela2[[#This Row],[Market Penetration (Category)]]=".",".",INDEX('Result data'!$BS$216:$CB$390,'IMS Seg. Table'!$A163,'Config!'!$BA$15-2010))</f>
        <v>.</v>
      </c>
      <c r="W163" s="563" t="str">
        <f>IF(Tabela2[[#This Row],[Market Demand (U$ millions)]]=".",".",Tabela2[[#This Row],[Market Demand (U$ millions)]]/Tabela2[[#This Row],[Active users (thousands)]])</f>
        <v>.</v>
      </c>
      <c r="X163" s="580" cm="1">
        <f t="array" ref="X163">IF('Config!'!$BA$15=2010,".",IF(INDEX('Result data'!$AE$216:$AN$390,'IMS Seg. Table'!$A163,'Config!'!$BA$15-2010)=".",0,INDEX('Result data'!$AE$216:$AN$390,'IMS Seg. Table'!$A163,'Config!'!$BA$15-2010)))</f>
        <v>0</v>
      </c>
      <c r="Y163" s="563" t="str">
        <f>IF('Config!'!$BA$15=2010,".",IF(Tabela2[[#This Row],[Number of competitors]]=0,".",SUMIF('Result data'!$N$216:$N$390,Tabela2[[#This Row],[ID]],'Result data'!$CP$216:$CP$393)))</f>
        <v>.</v>
      </c>
      <c r="Z163" s="563" t="str">
        <f>IF('Config!'!$BA$15=2010,".",IF(Tabela2[[#This Row],[Number of competitors]]=0,".",SUMIF('Result data'!$N$216:$N$390,Tabela2[[#This Row],[ID]],'Result data'!$DA$216:$DA$393)))</f>
        <v>.</v>
      </c>
      <c r="AA163" s="530" t="str" cm="1">
        <f t="array" ref="AA16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3" s="530" t="str" cm="1">
        <f t="array" ref="AB16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3" s="530" t="str" cm="1">
        <f t="array" ref="AD16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3" s="530" t="str" cm="1">
        <f t="array" ref="AE16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3" s="530" t="str" cm="1">
        <f t="array" ref="AF16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4" spans="1:32" x14ac:dyDescent="0.3">
      <c r="A164" s="568">
        <f>'Config!'!C150</f>
        <v>156</v>
      </c>
      <c r="B164" s="536" t="str">
        <f>'Config!'!A150</f>
        <v>Togo</v>
      </c>
      <c r="C164" s="536" t="str">
        <f>'Config!'!B150</f>
        <v>África Subsaariana</v>
      </c>
      <c r="D164" s="538" cm="1">
        <f t="array" ref="D164">IFERROR(INDEX(Population!$BD$3:$BN$177,'IMS Seg. Table'!$A164,'Config!'!$BA$15-2010+1),"")</f>
        <v>6745581</v>
      </c>
      <c r="E164" s="551" cm="1">
        <f t="array" ref="E164">IFERROR(INDEX(Population!$CH$3:$CH$178,'IMS Seg. Table'!$A164,1),"")</f>
        <v>54385</v>
      </c>
      <c r="F164" s="552">
        <f>IFERROR('IMS Seg. Table'!$D164/'IMS Seg. Table'!$E164,"")</f>
        <v>124.03385124574791</v>
      </c>
      <c r="G164" s="575" cm="1">
        <f t="array" ref="G164">IFERROR(INDEX('Country Competitivness'!$CL$4:$CX$178,Tabela2[[#This Row],[ID]],'Config!'!$AZ$17+1),".")</f>
        <v>39.57</v>
      </c>
      <c r="H164" s="540" cm="1">
        <f t="array" ref="H164">INDEX(GDP!$G$3:$S$177,'IMS Seg. Table'!$A164,'Config!'!$BA$15-2010+1)*1000000000</f>
        <v>3873529926.2272267</v>
      </c>
      <c r="I164" s="539">
        <f t="shared" si="35"/>
        <v>574.23221605777576</v>
      </c>
      <c r="J164" s="576">
        <f>IFERROR(INDEX('Income Tax Rate (%)'!$F$2:$P$176,Tabela2[[#This Row],[ID]],'Config!'!$BA$15-2010+1)/100,"")</f>
        <v>0.45</v>
      </c>
      <c r="K164" s="577">
        <f>IFERROR(INDEX('Tariff Rate (%)'!$F$2:$P$176,Tabela2[[#This Row],[ID]],'Config!'!$BA$15-2010+1)/100,"")</f>
        <v>0.111</v>
      </c>
      <c r="L164" s="577">
        <f>IFERROR(INDEX('Corporate Tax Rate (%)'!$F$2:$P$176,Tabela2[[#This Row],[ID]],'Config!'!$BA$15-2010+1)/100,"")</f>
        <v>0.27</v>
      </c>
      <c r="M164" s="527" cm="1">
        <f t="array" ref="M164">INDEX('Score-Starting a business'!$F$2:$P$176,'IMS Seg. Table'!$A164,'Config!'!$BA$15-2010+1)</f>
        <v>23.04</v>
      </c>
      <c r="N164" s="527" cm="1">
        <f t="array" ref="N164">IFERROR(INDEX('Country Competitivness'!$AX$4:$BH$178,Tabela2[[#This Row],[ID]],'Config!'!$BA$15-2010+1),"")</f>
        <v>3.81</v>
      </c>
      <c r="O164" s="527" cm="1">
        <f t="array" ref="O164">IFERROR(INDEX('Country Competitivness'!$EE$4:$EO$178,Tabela2[[#This Row],[ID]],'Config!'!$BA$15-2010+1),"")</f>
        <v>2.9</v>
      </c>
      <c r="P164" s="527" cm="1">
        <f t="array" ref="P164">IFERROR(INDEX('Country Competitivness'!$H$4:$R$178,Tabela2[[#This Row],[ID]],'Config!'!$BA$15-2010+1),"")</f>
        <v>3.52</v>
      </c>
      <c r="Q164" s="527" cm="1">
        <f t="array" ref="Q164">IFERROR(INDEX('Country Competitivness'!$AJ$4:$AT$178,Tabela2[[#This Row],[ID]],MAX(1,'Config!'!$BA$15-2010)),"")</f>
        <v>4.66</v>
      </c>
      <c r="R164" s="527" cm="1">
        <f t="array" ref="R164">IFERROR(INDEX('Country Competitivness'!$BM$4:$BW$178,Tabela2[[#This Row],[ID]],'Config!'!$BA$15-2010+1),"")</f>
        <v>2.87</v>
      </c>
      <c r="S164" s="578" t="str" cm="1">
        <f t="array" ref="S16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4" s="537" t="str" cm="1">
        <f t="array" ref="T164">IF('Config!'!$BA$15=2010,".",IF(INDEX('Result data'!$R$216:$AA$390,'IMS Seg. Table'!$A164,'Config!'!$BA$15-2010)=".",".",INDEX('Result data'!$R$216:$AA$390,'IMS Seg. Table'!$A164,'Config!'!$BA$15-2010)))</f>
        <v>.</v>
      </c>
      <c r="U164" s="579" t="str">
        <f t="shared" si="36"/>
        <v>.</v>
      </c>
      <c r="V164" s="530" t="str" cm="1">
        <f t="array" ref="V164">IF(Tabela2[[#This Row],[Market Penetration (Category)]]=".",".",INDEX('Result data'!$BS$216:$CB$390,'IMS Seg. Table'!$A164,'Config!'!$BA$15-2010))</f>
        <v>.</v>
      </c>
      <c r="W164" s="563" t="str">
        <f>IF(Tabela2[[#This Row],[Market Demand (U$ millions)]]=".",".",Tabela2[[#This Row],[Market Demand (U$ millions)]]/Tabela2[[#This Row],[Active users (thousands)]])</f>
        <v>.</v>
      </c>
      <c r="X164" s="580" cm="1">
        <f t="array" ref="X164">IF('Config!'!$BA$15=2010,".",IF(INDEX('Result data'!$AE$216:$AN$390,'IMS Seg. Table'!$A164,'Config!'!$BA$15-2010)=".",0,INDEX('Result data'!$AE$216:$AN$390,'IMS Seg. Table'!$A164,'Config!'!$BA$15-2010)))</f>
        <v>0</v>
      </c>
      <c r="Y164" s="563" t="str">
        <f>IF('Config!'!$BA$15=2010,".",IF(Tabela2[[#This Row],[Number of competitors]]=0,".",SUMIF('Result data'!$N$216:$N$390,Tabela2[[#This Row],[ID]],'Result data'!$CP$216:$CP$393)))</f>
        <v>.</v>
      </c>
      <c r="Z164" s="563" t="str">
        <f>IF('Config!'!$BA$15=2010,".",IF(Tabela2[[#This Row],[Number of competitors]]=0,".",SUMIF('Result data'!$N$216:$N$390,Tabela2[[#This Row],[ID]],'Result data'!$DA$216:$DA$393)))</f>
        <v>.</v>
      </c>
      <c r="AA164" s="530" t="str" cm="1">
        <f t="array" ref="AA16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4" s="530" t="str" cm="1">
        <f t="array" ref="AB16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4" s="530" t="str" cm="1">
        <f t="array" ref="AD16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4" s="530" t="str" cm="1">
        <f t="array" ref="AE16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4" s="530" t="str" cm="1">
        <f t="array" ref="AF16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5" spans="1:32" x14ac:dyDescent="0.3">
      <c r="A165" s="569">
        <f>'Config!'!C151</f>
        <v>174</v>
      </c>
      <c r="B165" s="536" t="str">
        <f>'Config!'!A151</f>
        <v>Trinidad e Tobago</v>
      </c>
      <c r="C165" s="536" t="str">
        <f>'Config!'!B151</f>
        <v>Caribe</v>
      </c>
      <c r="D165" s="538" cm="1">
        <f t="array" ref="D165">IFERROR(INDEX(Population!$BD$3:$BN$177,'IMS Seg. Table'!$A165,'Config!'!$BA$15-2010+1),"")</f>
        <v>1341579</v>
      </c>
      <c r="E165" s="551" cm="1">
        <f t="array" ref="E165">IFERROR(INDEX(Population!$CH$3:$CH$178,'IMS Seg. Table'!$A165,1),"")</f>
        <v>5128</v>
      </c>
      <c r="F165" s="552">
        <f>IFERROR('IMS Seg. Table'!$D165/'IMS Seg. Table'!$E165,"")</f>
        <v>261.61836973478938</v>
      </c>
      <c r="G165" s="575" cm="1">
        <f t="array" ref="G165">IFERROR(INDEX('Country Competitivness'!$CL$4:$CX$178,Tabela2[[#This Row],[ID]],'Config!'!$AZ$17+1),".")</f>
        <v>141.20681493740099</v>
      </c>
      <c r="H165" s="540" cm="1">
        <f t="array" ref="H165">INDEX(GDP!$G$3:$S$177,'IMS Seg. Table'!$A165,'Config!'!$BA$15-2010+1)*1000000000</f>
        <v>25769329445.066566</v>
      </c>
      <c r="I165" s="539">
        <f t="shared" si="35"/>
        <v>19208.20871902927</v>
      </c>
      <c r="J165" s="576">
        <f>IFERROR(INDEX('Income Tax Rate (%)'!$F$2:$P$176,Tabela2[[#This Row],[ID]],'Config!'!$BA$15-2010+1)/100,"")</f>
        <v>0.1</v>
      </c>
      <c r="K165" s="577">
        <f>IFERROR(INDEX('Tariff Rate (%)'!$F$2:$P$176,Tabela2[[#This Row],[ID]],'Config!'!$BA$15-2010+1)/100,"")</f>
        <v>2.8999999999999998E-2</v>
      </c>
      <c r="L165" s="577">
        <f>IFERROR(INDEX('Corporate Tax Rate (%)'!$F$2:$P$176,Tabela2[[#This Row],[ID]],'Config!'!$BA$15-2010+1)/100,"")</f>
        <v>0.08</v>
      </c>
      <c r="M165" s="527" cm="1">
        <f t="array" ref="M165">INDEX('Score-Starting a business'!$F$2:$P$176,'IMS Seg. Table'!$A165,'Config!'!$BA$15-2010+1)</f>
        <v>79.680000000000007</v>
      </c>
      <c r="N165" s="527" cm="1">
        <f t="array" ref="N165">IFERROR(INDEX('Country Competitivness'!$AX$4:$BH$178,Tabela2[[#This Row],[ID]],'Config!'!$BA$15-2010+1),"")</f>
        <v>3.4240978047619048</v>
      </c>
      <c r="O165" s="527" cm="1">
        <f t="array" ref="O165">IFERROR(INDEX('Country Competitivness'!$EE$4:$EO$178,Tabela2[[#This Row],[ID]],'Config!'!$BA$15-2010+1),"")</f>
        <v>3.855958171428572</v>
      </c>
      <c r="P165" s="527" cm="1">
        <f t="array" ref="P165">IFERROR(INDEX('Country Competitivness'!$H$4:$R$178,Tabela2[[#This Row],[ID]],'Config!'!$BA$15-2010+1),"")</f>
        <v>3.8892328498746878</v>
      </c>
      <c r="Q165" s="527" cm="1">
        <f t="array" ref="Q165">IFERROR(INDEX('Country Competitivness'!$AJ$4:$AT$178,Tabela2[[#This Row],[ID]],MAX(1,'Config!'!$BA$15-2010)),"")</f>
        <v>4.8649836095238097</v>
      </c>
      <c r="R165" s="527" cm="1">
        <f t="array" ref="R165">IFERROR(INDEX('Country Competitivness'!$BM$4:$BW$178,Tabela2[[#This Row],[ID]],'Config!'!$BA$15-2010+1),"")</f>
        <v>3.5511246714285716</v>
      </c>
      <c r="S165" s="578" t="str" cm="1">
        <f t="array" ref="S16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5" s="537" t="str" cm="1">
        <f t="array" ref="T165">IF('Config!'!$BA$15=2010,".",IF(INDEX('Result data'!$R$216:$AA$390,'IMS Seg. Table'!$A165,'Config!'!$BA$15-2010)=".",".",INDEX('Result data'!$R$216:$AA$390,'IMS Seg. Table'!$A165,'Config!'!$BA$15-2010)))</f>
        <v>.</v>
      </c>
      <c r="U165" s="579" t="str">
        <f t="shared" si="36"/>
        <v>.</v>
      </c>
      <c r="V165" s="530" t="str" cm="1">
        <f t="array" ref="V165">IF(Tabela2[[#This Row],[Market Penetration (Category)]]=".",".",INDEX('Result data'!$BS$216:$CB$390,'IMS Seg. Table'!$A165,'Config!'!$BA$15-2010))</f>
        <v>.</v>
      </c>
      <c r="W165" s="563" t="str">
        <f>IF(Tabela2[[#This Row],[Market Demand (U$ millions)]]=".",".",Tabela2[[#This Row],[Market Demand (U$ millions)]]/Tabela2[[#This Row],[Active users (thousands)]])</f>
        <v>.</v>
      </c>
      <c r="X165" s="580" cm="1">
        <f t="array" ref="X165">IF('Config!'!$BA$15=2010,".",IF(INDEX('Result data'!$AE$216:$AN$390,'IMS Seg. Table'!$A165,'Config!'!$BA$15-2010)=".",0,INDEX('Result data'!$AE$216:$AN$390,'IMS Seg. Table'!$A165,'Config!'!$BA$15-2010)))</f>
        <v>0</v>
      </c>
      <c r="Y165" s="563" t="str">
        <f>IF('Config!'!$BA$15=2010,".",IF(Tabela2[[#This Row],[Number of competitors]]=0,".",SUMIF('Result data'!$N$216:$N$390,Tabela2[[#This Row],[ID]],'Result data'!$CP$216:$CP$393)))</f>
        <v>.</v>
      </c>
      <c r="Z165" s="563" t="str">
        <f>IF('Config!'!$BA$15=2010,".",IF(Tabela2[[#This Row],[Number of competitors]]=0,".",SUMIF('Result data'!$N$216:$N$390,Tabela2[[#This Row],[ID]],'Result data'!$DA$216:$DA$393)))</f>
        <v>.</v>
      </c>
      <c r="AA165" s="530" t="str" cm="1">
        <f t="array" ref="AA16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5" s="530" t="str" cm="1">
        <f t="array" ref="AB16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5" s="530" t="str" cm="1">
        <f t="array" ref="AD16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5" s="530" t="str" cm="1">
        <f t="array" ref="AE16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5" s="530" t="str" cm="1">
        <f t="array" ref="AF16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6" spans="1:32" x14ac:dyDescent="0.3">
      <c r="A166" s="568">
        <f>'Config!'!C152</f>
        <v>157</v>
      </c>
      <c r="B166" s="536" t="str">
        <f>'Config!'!A152</f>
        <v>Tunísia</v>
      </c>
      <c r="C166" s="536" t="str">
        <f>'Config!'!B152</f>
        <v>Oriente médio</v>
      </c>
      <c r="D166" s="538" cm="1">
        <f t="array" ref="D166">IFERROR(INDEX(Population!$BD$3:$BN$177,'IMS Seg. Table'!$A166,'Config!'!$BA$15-2010+1),"")</f>
        <v>10777500</v>
      </c>
      <c r="E166" s="551" cm="1">
        <f t="array" ref="E166">IFERROR(INDEX(Population!$CH$3:$CH$178,'IMS Seg. Table'!$A166,1),"")</f>
        <v>155360</v>
      </c>
      <c r="F166" s="552">
        <f>IFERROR('IMS Seg. Table'!$D166/'IMS Seg. Table'!$E166,"")</f>
        <v>69.371138002059737</v>
      </c>
      <c r="G166" s="575" cm="1">
        <f t="array" ref="G166">IFERROR(INDEX('Country Competitivness'!$CL$4:$CX$178,Tabela2[[#This Row],[ID]],'Config!'!$AZ$17+1),".")</f>
        <v>106.042133267894</v>
      </c>
      <c r="H166" s="540" cm="1">
        <f t="array" ref="H166">INDEX(GDP!$G$3:$S$177,'IMS Seg. Table'!$A166,'Config!'!$BA$15-2010+1)*1000000000</f>
        <v>45044112939.368713</v>
      </c>
      <c r="I166" s="539">
        <f t="shared" si="35"/>
        <v>4179.458403096146</v>
      </c>
      <c r="J166" s="576">
        <f>IFERROR(INDEX('Income Tax Rate (%)'!$F$2:$P$176,Tabela2[[#This Row],[ID]],'Config!'!$BA$15-2010+1)/100,"")</f>
        <v>0.35</v>
      </c>
      <c r="K166" s="577">
        <f>IFERROR(INDEX('Tariff Rate (%)'!$F$2:$P$176,Tabela2[[#This Row],[ID]],'Config!'!$BA$15-2010+1)/100,"")</f>
        <v>0.14099999999999999</v>
      </c>
      <c r="L166" s="577">
        <f>IFERROR(INDEX('Corporate Tax Rate (%)'!$F$2:$P$176,Tabela2[[#This Row],[ID]],'Config!'!$BA$15-2010+1)/100,"")</f>
        <v>0.3</v>
      </c>
      <c r="M166" s="527" cm="1">
        <f t="array" ref="M166">INDEX('Score-Starting a business'!$F$2:$P$176,'IMS Seg. Table'!$A166,'Config!'!$BA$15-2010+1)</f>
        <v>83.350000000000009</v>
      </c>
      <c r="N166" s="527" cm="1">
        <f t="array" ref="N166">IFERROR(INDEX('Country Competitivness'!$AX$4:$BH$178,Tabela2[[#This Row],[ID]],'Config!'!$BA$15-2010+1),"")</f>
        <v>3.8089705243781098</v>
      </c>
      <c r="O166" s="527" cm="1">
        <f t="array" ref="O166">IFERROR(INDEX('Country Competitivness'!$EE$4:$EO$178,Tabela2[[#This Row],[ID]],'Config!'!$BA$15-2010+1),"")</f>
        <v>4.6378891422885573</v>
      </c>
      <c r="P166" s="527" cm="1">
        <f t="array" ref="P166">IFERROR(INDEX('Country Competitivness'!$H$4:$R$178,Tabela2[[#This Row],[ID]],'Config!'!$BA$15-2010+1),"")</f>
        <v>4.1620982864100542</v>
      </c>
      <c r="Q166" s="527" cm="1">
        <f t="array" ref="Q166">IFERROR(INDEX('Country Competitivness'!$AJ$4:$AT$178,Tabela2[[#This Row],[ID]],MAX(1,'Config!'!$BA$15-2010)),"")</f>
        <v>5.1761100520729686</v>
      </c>
      <c r="R166" s="527" cm="1">
        <f t="array" ref="R166">IFERROR(INDEX('Country Competitivness'!$BM$4:$BW$178,Tabela2[[#This Row],[ID]],'Config!'!$BA$15-2010+1),"")</f>
        <v>3.6871994278606968</v>
      </c>
      <c r="S166" s="578" t="str" cm="1">
        <f t="array" ref="S166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6" s="537" t="str" cm="1">
        <f t="array" ref="T166">IF('Config!'!$BA$15=2010,".",IF(INDEX('Result data'!$R$216:$AA$390,'IMS Seg. Table'!$A166,'Config!'!$BA$15-2010)=".",".",INDEX('Result data'!$R$216:$AA$390,'IMS Seg. Table'!$A166,'Config!'!$BA$15-2010)))</f>
        <v>.</v>
      </c>
      <c r="U166" s="579" t="str">
        <f t="shared" si="36"/>
        <v>.</v>
      </c>
      <c r="V166" s="530" t="str" cm="1">
        <f t="array" ref="V166">IF(Tabela2[[#This Row],[Market Penetration (Category)]]=".",".",INDEX('Result data'!$BS$216:$CB$390,'IMS Seg. Table'!$A166,'Config!'!$BA$15-2010))</f>
        <v>.</v>
      </c>
      <c r="W166" s="563" t="str">
        <f>IF(Tabela2[[#This Row],[Market Demand (U$ millions)]]=".",".",Tabela2[[#This Row],[Market Demand (U$ millions)]]/Tabela2[[#This Row],[Active users (thousands)]])</f>
        <v>.</v>
      </c>
      <c r="X166" s="580" cm="1">
        <f t="array" ref="X166">IF('Config!'!$BA$15=2010,".",IF(INDEX('Result data'!$AE$216:$AN$390,'IMS Seg. Table'!$A166,'Config!'!$BA$15-2010)=".",0,INDEX('Result data'!$AE$216:$AN$390,'IMS Seg. Table'!$A166,'Config!'!$BA$15-2010)))</f>
        <v>0</v>
      </c>
      <c r="Y166" s="563" t="str">
        <f>IF('Config!'!$BA$15=2010,".",IF(Tabela2[[#This Row],[Number of competitors]]=0,".",SUMIF('Result data'!$N$216:$N$390,Tabela2[[#This Row],[ID]],'Result data'!$CP$216:$CP$393)))</f>
        <v>.</v>
      </c>
      <c r="Z166" s="563" t="str">
        <f>IF('Config!'!$BA$15=2010,".",IF(Tabela2[[#This Row],[Number of competitors]]=0,".",SUMIF('Result data'!$N$216:$N$390,Tabela2[[#This Row],[ID]],'Result data'!$DA$216:$DA$393)))</f>
        <v>.</v>
      </c>
      <c r="AA166" s="530" t="str" cm="1">
        <f t="array" ref="AA166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6" s="530" t="str" cm="1">
        <f t="array" ref="AB166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6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6" s="530" t="str" cm="1">
        <f t="array" ref="AD166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6" s="530" t="str" cm="1">
        <f t="array" ref="AE166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6" s="530" t="str" cm="1">
        <f t="array" ref="AF166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7" spans="1:32" x14ac:dyDescent="0.3">
      <c r="A167" s="569">
        <f>'Config!'!C153</f>
        <v>159</v>
      </c>
      <c r="B167" s="536" t="str">
        <f>'Config!'!A153</f>
        <v>Turquemenistão</v>
      </c>
      <c r="C167" s="536" t="str">
        <f>'Config!'!B153</f>
        <v>Ásia-Pacífico</v>
      </c>
      <c r="D167" s="538" cm="1">
        <f t="array" ref="D167">IFERROR(INDEX(Population!$BD$3:$BN$177,'IMS Seg. Table'!$A167,'Config!'!$BA$15-2010+1),"")</f>
        <v>5172941</v>
      </c>
      <c r="E167" s="551" cm="1">
        <f t="array" ref="E167">IFERROR(INDEX(Population!$CH$3:$CH$178,'IMS Seg. Table'!$A167,1),"")</f>
        <v>469930</v>
      </c>
      <c r="F167" s="552">
        <f>IFERROR('IMS Seg. Table'!$D167/'IMS Seg. Table'!$E167,"")</f>
        <v>11.007896920817995</v>
      </c>
      <c r="G167" s="575" cm="1">
        <f t="array" ref="G167">IFERROR(INDEX('Country Competitivness'!$CL$4:$CX$178,Tabela2[[#This Row],[ID]],'Config!'!$AZ$17+1),".")</f>
        <v>146.94</v>
      </c>
      <c r="H167" s="540" cm="1">
        <f t="array" ref="H167">INDEX(GDP!$G$3:$S$177,'IMS Seg. Table'!$A167,'Config!'!$BA$15-2010+1)*1000000000</f>
        <v>35164210526.315788</v>
      </c>
      <c r="I167" s="539">
        <f t="shared" si="35"/>
        <v>6797.7211660283365</v>
      </c>
      <c r="J167" s="576">
        <f>IFERROR(INDEX('Income Tax Rate (%)'!$F$2:$P$176,Tabela2[[#This Row],[ID]],'Config!'!$BA$15-2010+1)/100,"")</f>
        <v>0.1</v>
      </c>
      <c r="K167" s="577">
        <f>IFERROR(INDEX('Tariff Rate (%)'!$F$2:$P$176,Tabela2[[#This Row],[ID]],'Config!'!$BA$15-2010+1)/100,"")</f>
        <v>2.8999999999999998E-2</v>
      </c>
      <c r="L167" s="577">
        <f>IFERROR(INDEX('Corporate Tax Rate (%)'!$F$2:$P$176,Tabela2[[#This Row],[ID]],'Config!'!$BA$15-2010+1)/100,"")</f>
        <v>0.08</v>
      </c>
      <c r="M167" s="527" t="str" cm="1">
        <f t="array" ref="M167">INDEX('Score-Starting a business'!$F$2:$P$176,'IMS Seg. Table'!$A167,'Config!'!$BA$15-2010+1)</f>
        <v>.</v>
      </c>
      <c r="N167" s="527" cm="1">
        <f t="array" ref="N167">IFERROR(INDEX('Country Competitivness'!$AX$4:$BH$178,Tabela2[[#This Row],[ID]],'Config!'!$BA$15-2010+1),"")</f>
        <v>4.05</v>
      </c>
      <c r="O167" s="527" cm="1">
        <f t="array" ref="O167">IFERROR(INDEX('Country Competitivness'!$EE$4:$EO$178,Tabela2[[#This Row],[ID]],'Config!'!$BA$15-2010+1),"")</f>
        <v>3.12</v>
      </c>
      <c r="P167" s="527" cm="1">
        <f t="array" ref="P167">IFERROR(INDEX('Country Competitivness'!$H$4:$R$178,Tabela2[[#This Row],[ID]],'Config!'!$BA$15-2010+1),"")</f>
        <v>3.41</v>
      </c>
      <c r="Q167" s="527" cm="1">
        <f t="array" ref="Q167">IFERROR(INDEX('Country Competitivness'!$AJ$4:$AT$178,Tabela2[[#This Row],[ID]],MAX(1,'Config!'!$BA$15-2010)),"")</f>
        <v>5.27</v>
      </c>
      <c r="R167" s="527" cm="1">
        <f t="array" ref="R167">IFERROR(INDEX('Country Competitivness'!$BM$4:$BW$178,Tabela2[[#This Row],[ID]],'Config!'!$BA$15-2010+1),"")</f>
        <v>4.24</v>
      </c>
      <c r="S167" s="578" t="str" cm="1">
        <f t="array" ref="S167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7" s="537" t="str" cm="1">
        <f t="array" ref="T167">IF('Config!'!$BA$15=2010,".",IF(INDEX('Result data'!$R$216:$AA$390,'IMS Seg. Table'!$A167,'Config!'!$BA$15-2010)=".",".",INDEX('Result data'!$R$216:$AA$390,'IMS Seg. Table'!$A167,'Config!'!$BA$15-2010)))</f>
        <v>.</v>
      </c>
      <c r="U167" s="579" t="str">
        <f t="shared" si="36"/>
        <v>.</v>
      </c>
      <c r="V167" s="530" t="str" cm="1">
        <f t="array" ref="V167">IF(Tabela2[[#This Row],[Market Penetration (Category)]]=".",".",INDEX('Result data'!$BS$216:$CB$390,'IMS Seg. Table'!$A167,'Config!'!$BA$15-2010))</f>
        <v>.</v>
      </c>
      <c r="W167" s="563" t="str">
        <f>IF(Tabela2[[#This Row],[Market Demand (U$ millions)]]=".",".",Tabela2[[#This Row],[Market Demand (U$ millions)]]/Tabela2[[#This Row],[Active users (thousands)]])</f>
        <v>.</v>
      </c>
      <c r="X167" s="580" cm="1">
        <f t="array" ref="X167">IF('Config!'!$BA$15=2010,".",IF(INDEX('Result data'!$AE$216:$AN$390,'IMS Seg. Table'!$A167,'Config!'!$BA$15-2010)=".",0,INDEX('Result data'!$AE$216:$AN$390,'IMS Seg. Table'!$A167,'Config!'!$BA$15-2010)))</f>
        <v>0</v>
      </c>
      <c r="Y167" s="563" t="str">
        <f>IF('Config!'!$BA$15=2010,".",IF(Tabela2[[#This Row],[Number of competitors]]=0,".",SUMIF('Result data'!$N$216:$N$390,Tabela2[[#This Row],[ID]],'Result data'!$CP$216:$CP$393)))</f>
        <v>.</v>
      </c>
      <c r="Z167" s="563" t="str">
        <f>IF('Config!'!$BA$15=2010,".",IF(Tabela2[[#This Row],[Number of competitors]]=0,".",SUMIF('Result data'!$N$216:$N$390,Tabela2[[#This Row],[ID]],'Result data'!$DA$216:$DA$393)))</f>
        <v>.</v>
      </c>
      <c r="AA167" s="530" t="str" cm="1">
        <f t="array" ref="AA167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7" s="530" t="str" cm="1">
        <f t="array" ref="AB167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7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7" s="530" t="str" cm="1">
        <f t="array" ref="AD167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7" s="530" t="str" cm="1">
        <f t="array" ref="AE167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7" s="530" t="str" cm="1">
        <f t="array" ref="AF167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8" spans="1:32" x14ac:dyDescent="0.3">
      <c r="A168" s="568">
        <f>'Config!'!C154</f>
        <v>161</v>
      </c>
      <c r="B168" s="536" t="str">
        <f>'Config!'!A154</f>
        <v>Ucrânia</v>
      </c>
      <c r="C168" s="536" t="str">
        <f>'Config!'!B154</f>
        <v>Europa</v>
      </c>
      <c r="D168" s="538" cm="1">
        <f t="array" ref="D168">IFERROR(INDEX(Population!$BD$3:$BN$177,'IMS Seg. Table'!$A168,'Config!'!$BA$15-2010+1),"")</f>
        <v>45593300</v>
      </c>
      <c r="E168" s="551" cm="1">
        <f t="array" ref="E168">IFERROR(INDEX(Population!$CH$3:$CH$178,'IMS Seg. Table'!$A168,1),"")</f>
        <v>579330</v>
      </c>
      <c r="F168" s="552">
        <f>IFERROR('IMS Seg. Table'!$D168/'IMS Seg. Table'!$E168,"")</f>
        <v>78.700050057825422</v>
      </c>
      <c r="G168" s="575" cm="1">
        <f t="array" ref="G168">IFERROR(INDEX('Country Competitivness'!$CL$4:$CX$178,Tabela2[[#This Row],[ID]],'Config!'!$AZ$17+1),".")</f>
        <v>118.659654131618</v>
      </c>
      <c r="H168" s="540" cm="1">
        <f t="array" ref="H168">INDEX(GDP!$G$3:$S$177,'IMS Seg. Table'!$A168,'Config!'!$BA$15-2010+1)*1000000000</f>
        <v>175781379051.43286</v>
      </c>
      <c r="I168" s="539">
        <f t="shared" si="35"/>
        <v>3855.4212801317926</v>
      </c>
      <c r="J168" s="576">
        <f>IFERROR(INDEX('Income Tax Rate (%)'!$F$2:$P$176,Tabela2[[#This Row],[ID]],'Config!'!$BA$15-2010+1)/100,"")</f>
        <v>0.17</v>
      </c>
      <c r="K168" s="577">
        <f>IFERROR(INDEX('Tariff Rate (%)'!$F$2:$P$176,Tabela2[[#This Row],[ID]],'Config!'!$BA$15-2010+1)/100,"")</f>
        <v>1.9099999999999999E-2</v>
      </c>
      <c r="L168" s="577">
        <f>IFERROR(INDEX('Corporate Tax Rate (%)'!$F$2:$P$176,Tabela2[[#This Row],[ID]],'Config!'!$BA$15-2010+1)/100,"")</f>
        <v>0.19</v>
      </c>
      <c r="M168" s="527" cm="1">
        <f t="array" ref="M168">INDEX('Score-Starting a business'!$F$2:$P$176,'IMS Seg. Table'!$A168,'Config!'!$BA$15-2010+1)</f>
        <v>79.84</v>
      </c>
      <c r="N168" s="527" cm="1">
        <f t="array" ref="N168">IFERROR(INDEX('Country Competitivness'!$AX$4:$BH$178,Tabela2[[#This Row],[ID]],'Config!'!$BA$15-2010+1),"")</f>
        <v>2.4680417500000003</v>
      </c>
      <c r="O168" s="527" cm="1">
        <f t="array" ref="O168">IFERROR(INDEX('Country Competitivness'!$EE$4:$EO$178,Tabela2[[#This Row],[ID]],'Config!'!$BA$15-2010+1),"")</f>
        <v>2.0522322499999999</v>
      </c>
      <c r="P168" s="527" cm="1">
        <f t="array" ref="P168">IFERROR(INDEX('Country Competitivness'!$H$4:$R$178,Tabela2[[#This Row],[ID]],'Config!'!$BA$15-2010+1),"")</f>
        <v>3.4762592421052632</v>
      </c>
      <c r="Q168" s="527" cm="1">
        <f t="array" ref="Q168">IFERROR(INDEX('Country Competitivness'!$AJ$4:$AT$178,Tabela2[[#This Row],[ID]],MAX(1,'Config!'!$BA$15-2010)),"")</f>
        <v>4.3315737500000004</v>
      </c>
      <c r="R168" s="527" cm="1">
        <f t="array" ref="R168">IFERROR(INDEX('Country Competitivness'!$BM$4:$BW$178,Tabela2[[#This Row],[ID]],'Config!'!$BA$15-2010+1),"")</f>
        <v>3.1800687000000005</v>
      </c>
      <c r="S168" s="578" t="str" cm="1">
        <f t="array" ref="S168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8" s="537" t="str" cm="1">
        <f t="array" ref="T168">IF('Config!'!$BA$15=2010,".",IF(INDEX('Result data'!$R$216:$AA$390,'IMS Seg. Table'!$A168,'Config!'!$BA$15-2010)=".",".",INDEX('Result data'!$R$216:$AA$390,'IMS Seg. Table'!$A168,'Config!'!$BA$15-2010)))</f>
        <v>.</v>
      </c>
      <c r="U168" s="579" t="str">
        <f t="shared" si="36"/>
        <v>.</v>
      </c>
      <c r="V168" s="530" t="str" cm="1">
        <f t="array" ref="V168">IF(Tabela2[[#This Row],[Market Penetration (Category)]]=".",".",INDEX('Result data'!$BS$216:$CB$390,'IMS Seg. Table'!$A168,'Config!'!$BA$15-2010))</f>
        <v>.</v>
      </c>
      <c r="W168" s="563" t="str">
        <f>IF(Tabela2[[#This Row],[Market Demand (U$ millions)]]=".",".",Tabela2[[#This Row],[Market Demand (U$ millions)]]/Tabela2[[#This Row],[Active users (thousands)]])</f>
        <v>.</v>
      </c>
      <c r="X168" s="580" cm="1">
        <f t="array" ref="X168">IF('Config!'!$BA$15=2010,".",IF(INDEX('Result data'!$AE$216:$AN$390,'IMS Seg. Table'!$A168,'Config!'!$BA$15-2010)=".",0,INDEX('Result data'!$AE$216:$AN$390,'IMS Seg. Table'!$A168,'Config!'!$BA$15-2010)))</f>
        <v>0</v>
      </c>
      <c r="Y168" s="563" t="str">
        <f>IF('Config!'!$BA$15=2010,".",IF(Tabela2[[#This Row],[Number of competitors]]=0,".",SUMIF('Result data'!$N$216:$N$390,Tabela2[[#This Row],[ID]],'Result data'!$CP$216:$CP$393)))</f>
        <v>.</v>
      </c>
      <c r="Z168" s="563" t="str">
        <f>IF('Config!'!$BA$15=2010,".",IF(Tabela2[[#This Row],[Number of competitors]]=0,".",SUMIF('Result data'!$N$216:$N$390,Tabela2[[#This Row],[ID]],'Result data'!$DA$216:$DA$393)))</f>
        <v>.</v>
      </c>
      <c r="AA168" s="530" t="str" cm="1">
        <f t="array" ref="AA168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8" s="530" t="str" cm="1">
        <f t="array" ref="AB168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8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8" s="530" t="str" cm="1">
        <f t="array" ref="AD168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8" s="530" t="str" cm="1">
        <f t="array" ref="AE168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8" s="530" t="str" cm="1">
        <f t="array" ref="AF168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69" spans="1:32" x14ac:dyDescent="0.3">
      <c r="A169" s="569">
        <f>'Config!'!C155</f>
        <v>160</v>
      </c>
      <c r="B169" s="536" t="str">
        <f>'Config!'!A155</f>
        <v>Uganda</v>
      </c>
      <c r="C169" s="536" t="str">
        <f>'Config!'!B155</f>
        <v>África Subsaariana</v>
      </c>
      <c r="D169" s="538" cm="1">
        <f t="array" ref="D169">IFERROR(INDEX(Population!$BD$3:$BN$177,'IMS Seg. Table'!$A169,'Config!'!$BA$15-2010+1),"")</f>
        <v>35400620</v>
      </c>
      <c r="E169" s="551" cm="1">
        <f t="array" ref="E169">IFERROR(INDEX(Population!$CH$3:$CH$178,'IMS Seg. Table'!$A169,1),"")</f>
        <v>197100</v>
      </c>
      <c r="F169" s="552">
        <f>IFERROR('IMS Seg. Table'!$D169/'IMS Seg. Table'!$E169,"")</f>
        <v>179.60740740740741</v>
      </c>
      <c r="G169" s="575" cm="1">
        <f t="array" ref="G169">IFERROR(INDEX('Country Competitivness'!$CL$4:$CX$178,Tabela2[[#This Row],[ID]],'Config!'!$AZ$17+1),".")</f>
        <v>38.379613054220997</v>
      </c>
      <c r="H169" s="540" cm="1">
        <f t="array" ref="H169">INDEX(GDP!$G$3:$S$177,'IMS Seg. Table'!$A169,'Config!'!$BA$15-2010+1)*1000000000</f>
        <v>23114293416.390514</v>
      </c>
      <c r="I169" s="539">
        <f t="shared" si="35"/>
        <v>652.93470612634792</v>
      </c>
      <c r="J169" s="576">
        <f>IFERROR(INDEX('Income Tax Rate (%)'!$F$2:$P$176,Tabela2[[#This Row],[ID]],'Config!'!$BA$15-2010+1)/100,"")</f>
        <v>0.3</v>
      </c>
      <c r="K169" s="577">
        <f>IFERROR(INDEX('Tariff Rate (%)'!$F$2:$P$176,Tabela2[[#This Row],[ID]],'Config!'!$BA$15-2010+1)/100,"")</f>
        <v>7.3099999999999998E-2</v>
      </c>
      <c r="L169" s="577">
        <f>IFERROR(INDEX('Corporate Tax Rate (%)'!$F$2:$P$176,Tabela2[[#This Row],[ID]],'Config!'!$BA$15-2010+1)/100,"")</f>
        <v>0.3</v>
      </c>
      <c r="M169" s="527" cm="1">
        <f t="array" ref="M169">INDEX('Score-Starting a business'!$F$2:$P$176,'IMS Seg. Table'!$A169,'Config!'!$BA$15-2010+1)</f>
        <v>63.910000000000004</v>
      </c>
      <c r="N169" s="527" cm="1">
        <f t="array" ref="N169">IFERROR(INDEX('Country Competitivness'!$AX$4:$BH$178,Tabela2[[#This Row],[ID]],'Config!'!$BA$15-2010+1),"")</f>
        <v>3.9315896461538462</v>
      </c>
      <c r="O169" s="527" cm="1">
        <f t="array" ref="O169">IFERROR(INDEX('Country Competitivness'!$EE$4:$EO$178,Tabela2[[#This Row],[ID]],'Config!'!$BA$15-2010+1),"")</f>
        <v>2.9532910065934068</v>
      </c>
      <c r="P169" s="527" cm="1">
        <f t="array" ref="P169">IFERROR(INDEX('Country Competitivness'!$H$4:$R$178,Tabela2[[#This Row],[ID]],'Config!'!$BA$15-2010+1),"")</f>
        <v>3.3253973116252173</v>
      </c>
      <c r="Q169" s="527" cm="1">
        <f t="array" ref="Q169">IFERROR(INDEX('Country Competitivness'!$AJ$4:$AT$178,Tabela2[[#This Row],[ID]],MAX(1,'Config!'!$BA$15-2010)),"")</f>
        <v>4.6298212637362637</v>
      </c>
      <c r="R169" s="527" cm="1">
        <f t="array" ref="R169">IFERROR(INDEX('Country Competitivness'!$BM$4:$BW$178,Tabela2[[#This Row],[ID]],'Config!'!$BA$15-2010+1),"")</f>
        <v>2.4885293164835165</v>
      </c>
      <c r="S169" s="578" t="str" cm="1">
        <f t="array" ref="S169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69" s="537" t="str" cm="1">
        <f t="array" ref="T169">IF('Config!'!$BA$15=2010,".",IF(INDEX('Result data'!$R$216:$AA$390,'IMS Seg. Table'!$A169,'Config!'!$BA$15-2010)=".",".",INDEX('Result data'!$R$216:$AA$390,'IMS Seg. Table'!$A169,'Config!'!$BA$15-2010)))</f>
        <v>.</v>
      </c>
      <c r="U169" s="579" t="str">
        <f t="shared" si="36"/>
        <v>.</v>
      </c>
      <c r="V169" s="530" t="str" cm="1">
        <f t="array" ref="V169">IF(Tabela2[[#This Row],[Market Penetration (Category)]]=".",".",INDEX('Result data'!$BS$216:$CB$390,'IMS Seg. Table'!$A169,'Config!'!$BA$15-2010))</f>
        <v>.</v>
      </c>
      <c r="W169" s="563" t="str">
        <f>IF(Tabela2[[#This Row],[Market Demand (U$ millions)]]=".",".",Tabela2[[#This Row],[Market Demand (U$ millions)]]/Tabela2[[#This Row],[Active users (thousands)]])</f>
        <v>.</v>
      </c>
      <c r="X169" s="580" cm="1">
        <f t="array" ref="X169">IF('Config!'!$BA$15=2010,".",IF(INDEX('Result data'!$AE$216:$AN$390,'IMS Seg. Table'!$A169,'Config!'!$BA$15-2010)=".",0,INDEX('Result data'!$AE$216:$AN$390,'IMS Seg. Table'!$A169,'Config!'!$BA$15-2010)))</f>
        <v>0</v>
      </c>
      <c r="Y169" s="563" t="str">
        <f>IF('Config!'!$BA$15=2010,".",IF(Tabela2[[#This Row],[Number of competitors]]=0,".",SUMIF('Result data'!$N$216:$N$390,Tabela2[[#This Row],[ID]],'Result data'!$CP$216:$CP$393)))</f>
        <v>.</v>
      </c>
      <c r="Z169" s="563" t="str">
        <f>IF('Config!'!$BA$15=2010,".",IF(Tabela2[[#This Row],[Number of competitors]]=0,".",SUMIF('Result data'!$N$216:$N$390,Tabela2[[#This Row],[ID]],'Result data'!$DA$216:$DA$393)))</f>
        <v>.</v>
      </c>
      <c r="AA169" s="530" t="str" cm="1">
        <f t="array" ref="AA169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69" s="530" t="str" cm="1">
        <f t="array" ref="AB169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69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69" s="530" t="str" cm="1">
        <f t="array" ref="AD169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69" s="530" t="str" cm="1">
        <f t="array" ref="AE169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69" s="530" t="str" cm="1">
        <f t="array" ref="AF169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0" spans="1:32" x14ac:dyDescent="0.3">
      <c r="A170" s="568">
        <f>'Config!'!C156</f>
        <v>164</v>
      </c>
      <c r="B170" s="536" t="str">
        <f>'Config!'!A156</f>
        <v>Uruguai</v>
      </c>
      <c r="C170" s="536" t="str">
        <f>'Config!'!B156</f>
        <v>América do Sul</v>
      </c>
      <c r="D170" s="538" cm="1">
        <f t="array" ref="D170">IFERROR(INDEX(Population!$BD$3:$BN$177,'IMS Seg. Table'!$A170,'Config!'!$BA$15-2010+1),"")</f>
        <v>3396753</v>
      </c>
      <c r="E170" s="551" cm="1">
        <f t="array" ref="E170">IFERROR(INDEX(Population!$CH$3:$CH$178,'IMS Seg. Table'!$A170,1),"")</f>
        <v>175015</v>
      </c>
      <c r="F170" s="552">
        <f>IFERROR('IMS Seg. Table'!$D170/'IMS Seg. Table'!$E170,"")</f>
        <v>19.408353569694025</v>
      </c>
      <c r="G170" s="575" cm="1">
        <f t="array" ref="G170">IFERROR(INDEX('Country Competitivness'!$CL$4:$CX$178,Tabela2[[#This Row],[ID]],'Config!'!$AZ$17+1),".")</f>
        <v>131.71385775172399</v>
      </c>
      <c r="H170" s="540" cm="1">
        <f t="array" ref="H170">INDEX(GDP!$G$3:$S$177,'IMS Seg. Table'!$A170,'Config!'!$BA$15-2010+1)*1000000000</f>
        <v>51264390116.490898</v>
      </c>
      <c r="I170" s="539">
        <f t="shared" si="35"/>
        <v>15092.174825926671</v>
      </c>
      <c r="J170" s="576">
        <f>IFERROR(INDEX('Income Tax Rate (%)'!$F$2:$P$176,Tabela2[[#This Row],[ID]],'Config!'!$BA$15-2010+1)/100,"")</f>
        <v>0.3</v>
      </c>
      <c r="K170" s="577">
        <f>IFERROR(INDEX('Tariff Rate (%)'!$F$2:$P$176,Tabela2[[#This Row],[ID]],'Config!'!$BA$15-2010+1)/100,"")</f>
        <v>3.7499999999999999E-2</v>
      </c>
      <c r="L170" s="577">
        <f>IFERROR(INDEX('Corporate Tax Rate (%)'!$F$2:$P$176,Tabela2[[#This Row],[ID]],'Config!'!$BA$15-2010+1)/100,"")</f>
        <v>0.25</v>
      </c>
      <c r="M170" s="527" cm="1">
        <f t="array" ref="M170">INDEX('Score-Starting a business'!$F$2:$P$176,'IMS Seg. Table'!$A170,'Config!'!$BA$15-2010+1)</f>
        <v>89.5</v>
      </c>
      <c r="N170" s="527" cm="1">
        <f t="array" ref="N170">IFERROR(INDEX('Country Competitivness'!$AX$4:$BH$178,Tabela2[[#This Row],[ID]],'Config!'!$BA$15-2010+1),"")</f>
        <v>3.1095594440993786</v>
      </c>
      <c r="O170" s="527" cm="1">
        <f t="array" ref="O170">IFERROR(INDEX('Country Competitivness'!$EE$4:$EO$178,Tabela2[[#This Row],[ID]],'Config!'!$BA$15-2010+1),"")</f>
        <v>4.0165291602484476</v>
      </c>
      <c r="P170" s="527" cm="1">
        <f t="array" ref="P170">IFERROR(INDEX('Country Competitivness'!$H$4:$R$178,Tabela2[[#This Row],[ID]],'Config!'!$BA$15-2010+1),"")</f>
        <v>3.7628952442301413</v>
      </c>
      <c r="Q170" s="527" cm="1">
        <f t="array" ref="Q170">IFERROR(INDEX('Country Competitivness'!$AJ$4:$AT$178,Tabela2[[#This Row],[ID]],MAX(1,'Config!'!$BA$15-2010)),"")</f>
        <v>5.1019231505175986</v>
      </c>
      <c r="R170" s="527" cm="1">
        <f t="array" ref="R170">IFERROR(INDEX('Country Competitivness'!$BM$4:$BW$178,Tabela2[[#This Row],[ID]],'Config!'!$BA$15-2010+1),"")</f>
        <v>3.541055326708074</v>
      </c>
      <c r="S170" s="578" t="str" cm="1">
        <f t="array" ref="S170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0" s="537" t="str" cm="1">
        <f t="array" ref="T170">IF('Config!'!$BA$15=2010,".",IF(INDEX('Result data'!$R$216:$AA$390,'IMS Seg. Table'!$A170,'Config!'!$BA$15-2010)=".",".",INDEX('Result data'!$R$216:$AA$390,'IMS Seg. Table'!$A170,'Config!'!$BA$15-2010)))</f>
        <v>.</v>
      </c>
      <c r="U170" s="579" t="str">
        <f t="shared" si="36"/>
        <v>.</v>
      </c>
      <c r="V170" s="530" t="str" cm="1">
        <f t="array" ref="V170">IF(Tabela2[[#This Row],[Market Penetration (Category)]]=".",".",INDEX('Result data'!$BS$216:$CB$390,'IMS Seg. Table'!$A170,'Config!'!$BA$15-2010))</f>
        <v>.</v>
      </c>
      <c r="W170" s="563" t="str">
        <f>IF(Tabela2[[#This Row],[Market Demand (U$ millions)]]=".",".",Tabela2[[#This Row],[Market Demand (U$ millions)]]/Tabela2[[#This Row],[Active users (thousands)]])</f>
        <v>.</v>
      </c>
      <c r="X170" s="580" cm="1">
        <f t="array" ref="X170">IF('Config!'!$BA$15=2010,".",IF(INDEX('Result data'!$AE$216:$AN$390,'IMS Seg. Table'!$A170,'Config!'!$BA$15-2010)=".",0,INDEX('Result data'!$AE$216:$AN$390,'IMS Seg. Table'!$A170,'Config!'!$BA$15-2010)))</f>
        <v>0</v>
      </c>
      <c r="Y170" s="563" t="str">
        <f>IF('Config!'!$BA$15=2010,".",IF(Tabela2[[#This Row],[Number of competitors]]=0,".",SUMIF('Result data'!$N$216:$N$390,Tabela2[[#This Row],[ID]],'Result data'!$CP$216:$CP$393)))</f>
        <v>.</v>
      </c>
      <c r="Z170" s="563" t="str">
        <f>IF('Config!'!$BA$15=2010,".",IF(Tabela2[[#This Row],[Number of competitors]]=0,".",SUMIF('Result data'!$N$216:$N$390,Tabela2[[#This Row],[ID]],'Result data'!$DA$216:$DA$393)))</f>
        <v>.</v>
      </c>
      <c r="AA170" s="530" t="str" cm="1">
        <f t="array" ref="AA170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0" s="530" t="str" cm="1">
        <f t="array" ref="AB170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0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0" s="530" t="str" cm="1">
        <f t="array" ref="AD170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0" s="530" t="str" cm="1">
        <f t="array" ref="AE170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0" s="530" t="str" cm="1">
        <f t="array" ref="AF170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1" spans="1:32" x14ac:dyDescent="0.3">
      <c r="A171" s="569">
        <f>'Config!'!C157</f>
        <v>165</v>
      </c>
      <c r="B171" s="536" t="str">
        <f>'Config!'!A157</f>
        <v>Uzbequistão</v>
      </c>
      <c r="C171" s="536" t="str">
        <f>'Config!'!B157</f>
        <v>Ásia-Pacífico</v>
      </c>
      <c r="D171" s="538" cm="1">
        <f t="array" ref="D171">IFERROR(INDEX(Population!$BD$3:$BN$177,'IMS Seg. Table'!$A171,'Config!'!$BA$15-2010+1),"")</f>
        <v>29774500</v>
      </c>
      <c r="E171" s="551" cm="1">
        <f t="array" ref="E171">IFERROR(INDEX(Population!$CH$3:$CH$178,'IMS Seg. Table'!$A171,1),"")</f>
        <v>425400</v>
      </c>
      <c r="F171" s="552">
        <f>IFERROR('IMS Seg. Table'!$D171/'IMS Seg. Table'!$E171,"")</f>
        <v>69.991772449459333</v>
      </c>
      <c r="G171" s="575" cm="1">
        <f t="array" ref="G171">IFERROR(INDEX('Country Competitivness'!$CL$4:$CX$178,Tabela2[[#This Row],[ID]],'Config!'!$AZ$17+1),".")</f>
        <v>78.510000000000005</v>
      </c>
      <c r="H171" s="540" cm="1">
        <f t="array" ref="H171">INDEX(GDP!$G$3:$S$177,'IMS Seg. Table'!$A171,'Config!'!$BA$15-2010+1)*1000000000</f>
        <v>51821573338.131165</v>
      </c>
      <c r="I171" s="539">
        <f t="shared" si="35"/>
        <v>1740.468297977503</v>
      </c>
      <c r="J171" s="576">
        <f>IFERROR(INDEX('Income Tax Rate (%)'!$F$2:$P$176,Tabela2[[#This Row],[ID]],'Config!'!$BA$15-2010+1)/100,"")</f>
        <v>0.22</v>
      </c>
      <c r="K171" s="577">
        <f>IFERROR(INDEX('Tariff Rate (%)'!$F$2:$P$176,Tabela2[[#This Row],[ID]],'Config!'!$BA$15-2010+1)/100,"")</f>
        <v>6.93E-2</v>
      </c>
      <c r="L171" s="577">
        <f>IFERROR(INDEX('Corporate Tax Rate (%)'!$F$2:$P$176,Tabela2[[#This Row],[ID]],'Config!'!$BA$15-2010+1)/100,"")</f>
        <v>0.09</v>
      </c>
      <c r="M171" s="527" cm="1">
        <f t="array" ref="M171">INDEX('Score-Starting a business'!$F$2:$P$176,'IMS Seg. Table'!$A171,'Config!'!$BA$15-2010+1)</f>
        <v>84.210000000000008</v>
      </c>
      <c r="N171" s="527" cm="1">
        <f t="array" ref="N171">IFERROR(INDEX('Country Competitivness'!$AX$4:$BH$178,Tabela2[[#This Row],[ID]],'Config!'!$BA$15-2010+1),"")</f>
        <v>2.92</v>
      </c>
      <c r="O171" s="527" cm="1">
        <f t="array" ref="O171">IFERROR(INDEX('Country Competitivness'!$EE$4:$EO$178,Tabela2[[#This Row],[ID]],'Config!'!$BA$15-2010+1),"")</f>
        <v>3.66</v>
      </c>
      <c r="P171" s="527" cm="1">
        <f t="array" ref="P171">IFERROR(INDEX('Country Competitivness'!$H$4:$R$178,Tabela2[[#This Row],[ID]],'Config!'!$BA$15-2010+1),"")</f>
        <v>3.77</v>
      </c>
      <c r="Q171" s="527" cm="1">
        <f t="array" ref="Q171">IFERROR(INDEX('Country Competitivness'!$AJ$4:$AT$178,Tabela2[[#This Row],[ID]],MAX(1,'Config!'!$BA$15-2010)),"")</f>
        <v>5.19</v>
      </c>
      <c r="R171" s="527" cm="1">
        <f t="array" ref="R171">IFERROR(INDEX('Country Competitivness'!$BM$4:$BW$178,Tabela2[[#This Row],[ID]],'Config!'!$BA$15-2010+1),"")</f>
        <v>3.41</v>
      </c>
      <c r="S171" s="578" t="str" cm="1">
        <f t="array" ref="S171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1" s="537" t="str" cm="1">
        <f t="array" ref="T171">IF('Config!'!$BA$15=2010,".",IF(INDEX('Result data'!$R$216:$AA$390,'IMS Seg. Table'!$A171,'Config!'!$BA$15-2010)=".",".",INDEX('Result data'!$R$216:$AA$390,'IMS Seg. Table'!$A171,'Config!'!$BA$15-2010)))</f>
        <v>.</v>
      </c>
      <c r="U171" s="579" t="str">
        <f t="shared" si="36"/>
        <v>.</v>
      </c>
      <c r="V171" s="530" t="str" cm="1">
        <f t="array" ref="V171">IF(Tabela2[[#This Row],[Market Penetration (Category)]]=".",".",INDEX('Result data'!$BS$216:$CB$390,'IMS Seg. Table'!$A171,'Config!'!$BA$15-2010))</f>
        <v>.</v>
      </c>
      <c r="W171" s="563" t="str">
        <f>IF(Tabela2[[#This Row],[Market Demand (U$ millions)]]=".",".",Tabela2[[#This Row],[Market Demand (U$ millions)]]/Tabela2[[#This Row],[Active users (thousands)]])</f>
        <v>.</v>
      </c>
      <c r="X171" s="580" cm="1">
        <f t="array" ref="X171">IF('Config!'!$BA$15=2010,".",IF(INDEX('Result data'!$AE$216:$AN$390,'IMS Seg. Table'!$A171,'Config!'!$BA$15-2010)=".",0,INDEX('Result data'!$AE$216:$AN$390,'IMS Seg. Table'!$A171,'Config!'!$BA$15-2010)))</f>
        <v>0</v>
      </c>
      <c r="Y171" s="563" t="str">
        <f>IF('Config!'!$BA$15=2010,".",IF(Tabela2[[#This Row],[Number of competitors]]=0,".",SUMIF('Result data'!$N$216:$N$390,Tabela2[[#This Row],[ID]],'Result data'!$CP$216:$CP$393)))</f>
        <v>.</v>
      </c>
      <c r="Z171" s="563" t="str">
        <f>IF('Config!'!$BA$15=2010,".",IF(Tabela2[[#This Row],[Number of competitors]]=0,".",SUMIF('Result data'!$N$216:$N$390,Tabela2[[#This Row],[ID]],'Result data'!$DA$216:$DA$393)))</f>
        <v>.</v>
      </c>
      <c r="AA171" s="530" t="str" cm="1">
        <f t="array" ref="AA171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1" s="530" t="str" cm="1">
        <f t="array" ref="AB171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1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1" s="530" t="str" cm="1">
        <f t="array" ref="AD171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1" s="530" t="str" cm="1">
        <f t="array" ref="AE171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1" s="530" t="str" cm="1">
        <f t="array" ref="AF171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2" spans="1:32" x14ac:dyDescent="0.3">
      <c r="A172" s="568">
        <f>'Config!'!C158</f>
        <v>166</v>
      </c>
      <c r="B172" s="536" t="str">
        <f>'Config!'!A158</f>
        <v>Venezuela</v>
      </c>
      <c r="C172" s="536" t="str">
        <f>'Config!'!B158</f>
        <v>América do Sul</v>
      </c>
      <c r="D172" s="538" cm="1">
        <f t="array" ref="D172">IFERROR(INDEX(Population!$BD$3:$BN$177,'IMS Seg. Table'!$A172,'Config!'!$BA$15-2010+1),"")</f>
        <v>29854238</v>
      </c>
      <c r="E172" s="551" cm="1">
        <f t="array" ref="E172">IFERROR(INDEX(Population!$CH$3:$CH$178,'IMS Seg. Table'!$A172,1),"")</f>
        <v>882050</v>
      </c>
      <c r="F172" s="552">
        <f>IFERROR('IMS Seg. Table'!$D172/'IMS Seg. Table'!$E172,"")</f>
        <v>33.846423672127429</v>
      </c>
      <c r="G172" s="575" cm="1">
        <f t="array" ref="G172">IFERROR(INDEX('Country Competitivness'!$CL$4:$CX$178,Tabela2[[#This Row],[ID]],'Config!'!$AZ$17+1),".")</f>
        <v>96.204491278200607</v>
      </c>
      <c r="H172" s="540" cm="1">
        <f t="array" ref="H172">INDEX(GDP!$G$3:$S$177,'IMS Seg. Table'!$A172,'Config!'!$BA$15-2010+1)*1000000000</f>
        <v>381286237847.66748</v>
      </c>
      <c r="I172" s="539">
        <f t="shared" si="35"/>
        <v>12771.595036110702</v>
      </c>
      <c r="J172" s="576">
        <f>IFERROR(INDEX('Income Tax Rate (%)'!$F$2:$P$176,Tabela2[[#This Row],[ID]],'Config!'!$BA$15-2010+1)/100,"")</f>
        <v>0.34</v>
      </c>
      <c r="K172" s="577">
        <f>IFERROR(INDEX('Tariff Rate (%)'!$F$2:$P$176,Tabela2[[#This Row],[ID]],'Config!'!$BA$15-2010+1)/100,"")</f>
        <v>8.6300000000000002E-2</v>
      </c>
      <c r="L172" s="577">
        <f>IFERROR(INDEX('Corporate Tax Rate (%)'!$F$2:$P$176,Tabela2[[#This Row],[ID]],'Config!'!$BA$15-2010+1)/100,"")</f>
        <v>0.34</v>
      </c>
      <c r="M172" s="527" cm="1">
        <f t="array" ref="M172">INDEX('Score-Starting a business'!$F$2:$P$176,'IMS Seg. Table'!$A172,'Config!'!$BA$15-2010+1)</f>
        <v>46.74</v>
      </c>
      <c r="N172" s="527" cm="1">
        <f t="array" ref="N172">IFERROR(INDEX('Country Competitivness'!$AX$4:$BH$178,Tabela2[[#This Row],[ID]],'Config!'!$BA$15-2010+1),"")</f>
        <v>2.1797536168674698</v>
      </c>
      <c r="O172" s="527" cm="1">
        <f t="array" ref="O172">IFERROR(INDEX('Country Competitivness'!$EE$4:$EO$178,Tabela2[[#This Row],[ID]],'Config!'!$BA$15-2010+1),"")</f>
        <v>2.8736036746987952</v>
      </c>
      <c r="P172" s="527" cm="1">
        <f t="array" ref="P172">IFERROR(INDEX('Country Competitivness'!$H$4:$R$178,Tabela2[[#This Row],[ID]],'Config!'!$BA$15-2010+1),"")</f>
        <v>3.152459392263792</v>
      </c>
      <c r="Q172" s="527" cm="1">
        <f t="array" ref="Q172">IFERROR(INDEX('Country Competitivness'!$AJ$4:$AT$178,Tabela2[[#This Row],[ID]],MAX(1,'Config!'!$BA$15-2010)),"")</f>
        <v>4.1587081510040163</v>
      </c>
      <c r="R172" s="527" cm="1">
        <f t="array" ref="R172">IFERROR(INDEX('Country Competitivness'!$BM$4:$BW$178,Tabela2[[#This Row],[ID]],'Config!'!$BA$15-2010+1),"")</f>
        <v>3.1570245879518071</v>
      </c>
      <c r="S172" s="578" t="str" cm="1">
        <f t="array" ref="S172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2" s="537" t="str" cm="1">
        <f t="array" ref="T172">IF('Config!'!$BA$15=2010,".",IF(INDEX('Result data'!$R$216:$AA$390,'IMS Seg. Table'!$A172,'Config!'!$BA$15-2010)=".",".",INDEX('Result data'!$R$216:$AA$390,'IMS Seg. Table'!$A172,'Config!'!$BA$15-2010)))</f>
        <v>.</v>
      </c>
      <c r="U172" s="579" t="str">
        <f t="shared" si="36"/>
        <v>.</v>
      </c>
      <c r="V172" s="530" t="str" cm="1">
        <f t="array" ref="V172">IF(Tabela2[[#This Row],[Market Penetration (Category)]]=".",".",INDEX('Result data'!$BS$216:$CB$390,'IMS Seg. Table'!$A172,'Config!'!$BA$15-2010))</f>
        <v>.</v>
      </c>
      <c r="W172" s="563" t="str">
        <f>IF(Tabela2[[#This Row],[Market Demand (U$ millions)]]=".",".",Tabela2[[#This Row],[Market Demand (U$ millions)]]/Tabela2[[#This Row],[Active users (thousands)]])</f>
        <v>.</v>
      </c>
      <c r="X172" s="580" cm="1">
        <f t="array" ref="X172">IF('Config!'!$BA$15=2010,".",IF(INDEX('Result data'!$AE$216:$AN$390,'IMS Seg. Table'!$A172,'Config!'!$BA$15-2010)=".",0,INDEX('Result data'!$AE$216:$AN$390,'IMS Seg. Table'!$A172,'Config!'!$BA$15-2010)))</f>
        <v>0</v>
      </c>
      <c r="Y172" s="563" t="str">
        <f>IF('Config!'!$BA$15=2010,".",IF(Tabela2[[#This Row],[Number of competitors]]=0,".",SUMIF('Result data'!$N$216:$N$390,Tabela2[[#This Row],[ID]],'Result data'!$CP$216:$CP$393)))</f>
        <v>.</v>
      </c>
      <c r="Z172" s="563" t="str">
        <f>IF('Config!'!$BA$15=2010,".",IF(Tabela2[[#This Row],[Number of competitors]]=0,".",SUMIF('Result data'!$N$216:$N$390,Tabela2[[#This Row],[ID]],'Result data'!$DA$216:$DA$393)))</f>
        <v>.</v>
      </c>
      <c r="AA172" s="530" t="str" cm="1">
        <f t="array" ref="AA172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2" s="530" t="str" cm="1">
        <f t="array" ref="AB172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2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2" s="530" t="str" cm="1">
        <f t="array" ref="AD172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2" s="530" t="str" cm="1">
        <f t="array" ref="AE172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2" s="530" t="str" cm="1">
        <f t="array" ref="AF172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3" spans="1:32" x14ac:dyDescent="0.3">
      <c r="A173" s="569">
        <f>'Config!'!C159</f>
        <v>167</v>
      </c>
      <c r="B173" s="536" t="str">
        <f>'Config!'!A159</f>
        <v>Vietnã</v>
      </c>
      <c r="C173" s="536" t="str">
        <f>'Config!'!B159</f>
        <v>Ásia-Pacífico</v>
      </c>
      <c r="D173" s="538" cm="1">
        <f t="array" ref="D173">IFERROR(INDEX(Population!$BD$3:$BN$177,'IMS Seg. Table'!$A173,'Config!'!$BA$15-2010+1),"")</f>
        <v>88809200</v>
      </c>
      <c r="E173" s="551" cm="1">
        <f t="array" ref="E173">IFERROR(INDEX(Population!$CH$3:$CH$178,'IMS Seg. Table'!$A173,1),"")</f>
        <v>310070</v>
      </c>
      <c r="F173" s="552">
        <f>IFERROR('IMS Seg. Table'!$D173/'IMS Seg. Table'!$E173,"")</f>
        <v>286.41661560292835</v>
      </c>
      <c r="G173" s="575" cm="1">
        <f t="array" ref="G173">IFERROR(INDEX('Country Competitivness'!$CL$4:$CX$178,Tabela2[[#This Row],[ID]],'Config!'!$AZ$17+1),".")</f>
        <v>175.30190773439401</v>
      </c>
      <c r="H173" s="540" cm="1">
        <f t="array" ref="H173">INDEX(GDP!$G$3:$S$177,'IMS Seg. Table'!$A173,'Config!'!$BA$15-2010+1)*1000000000</f>
        <v>155820001920.49164</v>
      </c>
      <c r="I173" s="539">
        <f t="shared" si="35"/>
        <v>1754.5479738641002</v>
      </c>
      <c r="J173" s="576">
        <f>IFERROR(INDEX('Income Tax Rate (%)'!$F$2:$P$176,Tabela2[[#This Row],[ID]],'Config!'!$BA$15-2010+1)/100,"")</f>
        <v>0.35</v>
      </c>
      <c r="K173" s="577">
        <f>IFERROR(INDEX('Tariff Rate (%)'!$F$2:$P$176,Tabela2[[#This Row],[ID]],'Config!'!$BA$15-2010+1)/100,"")</f>
        <v>5.6600000000000004E-2</v>
      </c>
      <c r="L173" s="577">
        <f>IFERROR(INDEX('Corporate Tax Rate (%)'!$F$2:$P$176,Tabela2[[#This Row],[ID]],'Config!'!$BA$15-2010+1)/100,"")</f>
        <v>0.25</v>
      </c>
      <c r="M173" s="527" cm="1">
        <f t="array" ref="M173">INDEX('Score-Starting a business'!$F$2:$P$176,'IMS Seg. Table'!$A173,'Config!'!$BA$15-2010+1)</f>
        <v>77.97</v>
      </c>
      <c r="N173" s="527" cm="1">
        <f t="array" ref="N173">IFERROR(INDEX('Country Competitivness'!$AX$4:$BH$178,Tabela2[[#This Row],[ID]],'Config!'!$BA$15-2010+1),"")</f>
        <v>2.7081299000000003</v>
      </c>
      <c r="O173" s="527" cm="1">
        <f t="array" ref="O173">IFERROR(INDEX('Country Competitivness'!$EE$4:$EO$178,Tabela2[[#This Row],[ID]],'Config!'!$BA$15-2010+1),"")</f>
        <v>2.563275</v>
      </c>
      <c r="P173" s="527" cm="1">
        <f t="array" ref="P173">IFERROR(INDEX('Country Competitivness'!$H$4:$R$178,Tabela2[[#This Row],[ID]],'Config!'!$BA$15-2010+1),"")</f>
        <v>3.717470896842106</v>
      </c>
      <c r="Q173" s="527" cm="1">
        <f t="array" ref="Q173">IFERROR(INDEX('Country Competitivness'!$AJ$4:$AT$178,Tabela2[[#This Row],[ID]],MAX(1,'Config!'!$BA$15-2010)),"")</f>
        <v>4.3870276266666668</v>
      </c>
      <c r="R173" s="527" cm="1">
        <f t="array" ref="R173">IFERROR(INDEX('Country Competitivness'!$BM$4:$BW$178,Tabela2[[#This Row],[ID]],'Config!'!$BA$15-2010+1),"")</f>
        <v>3.4988314800000002</v>
      </c>
      <c r="S173" s="578" t="str" cm="1">
        <f t="array" ref="S173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3" s="537" t="str" cm="1">
        <f t="array" ref="T173">IF('Config!'!$BA$15=2010,".",IF(INDEX('Result data'!$R$216:$AA$390,'IMS Seg. Table'!$A173,'Config!'!$BA$15-2010)=".",".",INDEX('Result data'!$R$216:$AA$390,'IMS Seg. Table'!$A173,'Config!'!$BA$15-2010)))</f>
        <v>.</v>
      </c>
      <c r="U173" s="579" t="str">
        <f t="shared" si="36"/>
        <v>.</v>
      </c>
      <c r="V173" s="530" t="str" cm="1">
        <f t="array" ref="V173">IF(Tabela2[[#This Row],[Market Penetration (Category)]]=".",".",INDEX('Result data'!$BS$216:$CB$390,'IMS Seg. Table'!$A173,'Config!'!$BA$15-2010))</f>
        <v>.</v>
      </c>
      <c r="W173" s="563" t="str">
        <f>IF(Tabela2[[#This Row],[Market Demand (U$ millions)]]=".",".",Tabela2[[#This Row],[Market Demand (U$ millions)]]/Tabela2[[#This Row],[Active users (thousands)]])</f>
        <v>.</v>
      </c>
      <c r="X173" s="580" cm="1">
        <f t="array" ref="X173">IF('Config!'!$BA$15=2010,".",IF(INDEX('Result data'!$AE$216:$AN$390,'IMS Seg. Table'!$A173,'Config!'!$BA$15-2010)=".",0,INDEX('Result data'!$AE$216:$AN$390,'IMS Seg. Table'!$A173,'Config!'!$BA$15-2010)))</f>
        <v>0</v>
      </c>
      <c r="Y173" s="563" t="str">
        <f>IF('Config!'!$BA$15=2010,".",IF(Tabela2[[#This Row],[Number of competitors]]=0,".",SUMIF('Result data'!$N$216:$N$390,Tabela2[[#This Row],[ID]],'Result data'!$CP$216:$CP$393)))</f>
        <v>.</v>
      </c>
      <c r="Z173" s="563" t="str">
        <f>IF('Config!'!$BA$15=2010,".",IF(Tabela2[[#This Row],[Number of competitors]]=0,".",SUMIF('Result data'!$N$216:$N$390,Tabela2[[#This Row],[ID]],'Result data'!$DA$216:$DA$393)))</f>
        <v>.</v>
      </c>
      <c r="AA173" s="530" t="str" cm="1">
        <f t="array" ref="AA173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3" s="530" t="str" cm="1">
        <f t="array" ref="AB173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3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3" s="530" t="str" cm="1">
        <f t="array" ref="AD173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3" s="530" t="str" cm="1">
        <f t="array" ref="AE173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3" s="530" t="str" cm="1">
        <f t="array" ref="AF173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4" spans="1:32" x14ac:dyDescent="0.3">
      <c r="A174" s="568">
        <f>'Config!'!C160</f>
        <v>169</v>
      </c>
      <c r="B174" s="536" t="str">
        <f>'Config!'!A160</f>
        <v>Zâmbia</v>
      </c>
      <c r="C174" s="536" t="str">
        <f>'Config!'!B160</f>
        <v>África Subsaariana</v>
      </c>
      <c r="D174" s="538" cm="1">
        <f t="array" ref="D174">IFERROR(INDEX(Population!$BD$3:$BN$177,'IMS Seg. Table'!$A174,'Config!'!$BA$15-2010+1),"")</f>
        <v>14786581</v>
      </c>
      <c r="E174" s="551" cm="1">
        <f t="array" ref="E174">IFERROR(INDEX(Population!$CH$3:$CH$178,'IMS Seg. Table'!$A174,1),"")</f>
        <v>743398</v>
      </c>
      <c r="F174" s="552">
        <f>IFERROR('IMS Seg. Table'!$D174/'IMS Seg. Table'!$E174,"")</f>
        <v>19.89053104797161</v>
      </c>
      <c r="G174" s="575" cm="1">
        <f t="array" ref="G174">IFERROR(INDEX('Country Competitivness'!$CL$4:$CX$178,Tabela2[[#This Row],[ID]],'Config!'!$AZ$17+1),".")</f>
        <v>37.795572778386003</v>
      </c>
      <c r="H174" s="540" cm="1">
        <f t="array" ref="H174">INDEX(GDP!$G$3:$S$177,'IMS Seg. Table'!$A174,'Config!'!$BA$15-2010+1)*1000000000</f>
        <v>25503370699.201523</v>
      </c>
      <c r="I174" s="539">
        <f t="shared" si="35"/>
        <v>1724.764548288852</v>
      </c>
      <c r="J174" s="576">
        <f>IFERROR(INDEX('Income Tax Rate (%)'!$F$2:$P$176,Tabela2[[#This Row],[ID]],'Config!'!$BA$15-2010+1)/100,"")</f>
        <v>0.35</v>
      </c>
      <c r="K174" s="577">
        <f>IFERROR(INDEX('Tariff Rate (%)'!$F$2:$P$176,Tabela2[[#This Row],[ID]],'Config!'!$BA$15-2010+1)/100,"")</f>
        <v>2.69E-2</v>
      </c>
      <c r="L174" s="577">
        <f>IFERROR(INDEX('Corporate Tax Rate (%)'!$F$2:$P$176,Tabela2[[#This Row],[ID]],'Config!'!$BA$15-2010+1)/100,"")</f>
        <v>0.35</v>
      </c>
      <c r="M174" s="527" cm="1">
        <f t="array" ref="M174">INDEX('Score-Starting a business'!$F$2:$P$176,'IMS Seg. Table'!$A174,'Config!'!$BA$15-2010+1)</f>
        <v>83.17</v>
      </c>
      <c r="N174" s="527" cm="1">
        <f t="array" ref="N174">IFERROR(INDEX('Country Competitivness'!$AX$4:$BH$178,Tabela2[[#This Row],[ID]],'Config!'!$BA$15-2010+1),"")</f>
        <v>3.7986146199999999</v>
      </c>
      <c r="O174" s="527" cm="1">
        <f t="array" ref="O174">IFERROR(INDEX('Country Competitivness'!$EE$4:$EO$178,Tabela2[[#This Row],[ID]],'Config!'!$BA$15-2010+1),"")</f>
        <v>2.9227034999999999</v>
      </c>
      <c r="P174" s="527" cm="1">
        <f t="array" ref="P174">IFERROR(INDEX('Country Competitivness'!$H$4:$R$178,Tabela2[[#This Row],[ID]],'Config!'!$BA$15-2010+1),"")</f>
        <v>3.6107954645112774</v>
      </c>
      <c r="Q174" s="527" cm="1">
        <f t="array" ref="Q174">IFERROR(INDEX('Country Competitivness'!$AJ$4:$AT$178,Tabela2[[#This Row],[ID]],MAX(1,'Config!'!$BA$15-2010)),"")</f>
        <v>4.6451399076190478</v>
      </c>
      <c r="R174" s="527" cm="1">
        <f t="array" ref="R174">IFERROR(INDEX('Country Competitivness'!$BM$4:$BW$178,Tabela2[[#This Row],[ID]],'Config!'!$BA$15-2010+1),"")</f>
        <v>2.876263994285714</v>
      </c>
      <c r="S174" s="578" t="str" cm="1">
        <f t="array" ref="S174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4" s="537" t="str" cm="1">
        <f t="array" ref="T174">IF('Config!'!$BA$15=2010,".",IF(INDEX('Result data'!$R$216:$AA$390,'IMS Seg. Table'!$A174,'Config!'!$BA$15-2010)=".",".",INDEX('Result data'!$R$216:$AA$390,'IMS Seg. Table'!$A174,'Config!'!$BA$15-2010)))</f>
        <v>.</v>
      </c>
      <c r="U174" s="579" t="str">
        <f t="shared" si="36"/>
        <v>.</v>
      </c>
      <c r="V174" s="530" t="str" cm="1">
        <f t="array" ref="V174">IF(Tabela2[[#This Row],[Market Penetration (Category)]]=".",".",INDEX('Result data'!$BS$216:$CB$390,'IMS Seg. Table'!$A174,'Config!'!$BA$15-2010))</f>
        <v>.</v>
      </c>
      <c r="W174" s="563" t="str">
        <f>IF(Tabela2[[#This Row],[Market Demand (U$ millions)]]=".",".",Tabela2[[#This Row],[Market Demand (U$ millions)]]/Tabela2[[#This Row],[Active users (thousands)]])</f>
        <v>.</v>
      </c>
      <c r="X174" s="580" cm="1">
        <f t="array" ref="X174">IF('Config!'!$BA$15=2010,".",IF(INDEX('Result data'!$AE$216:$AN$390,'IMS Seg. Table'!$A174,'Config!'!$BA$15-2010)=".",0,INDEX('Result data'!$AE$216:$AN$390,'IMS Seg. Table'!$A174,'Config!'!$BA$15-2010)))</f>
        <v>0</v>
      </c>
      <c r="Y174" s="563" t="str">
        <f>IF('Config!'!$BA$15=2010,".",IF(Tabela2[[#This Row],[Number of competitors]]=0,".",SUMIF('Result data'!$N$216:$N$390,Tabela2[[#This Row],[ID]],'Result data'!$CP$216:$CP$393)))</f>
        <v>.</v>
      </c>
      <c r="Z174" s="563" t="str">
        <f>IF('Config!'!$BA$15=2010,".",IF(Tabela2[[#This Row],[Number of competitors]]=0,".",SUMIF('Result data'!$N$216:$N$390,Tabela2[[#This Row],[ID]],'Result data'!$DA$216:$DA$393)))</f>
        <v>.</v>
      </c>
      <c r="AA174" s="530" t="str" cm="1">
        <f t="array" ref="AA174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4" s="530" t="str" cm="1">
        <f t="array" ref="AB174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4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4" s="530" t="str" cm="1">
        <f t="array" ref="AD174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4" s="530" t="str" cm="1">
        <f t="array" ref="AE174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4" s="530" t="str" cm="1">
        <f t="array" ref="AF174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5" spans="1:32" x14ac:dyDescent="0.3">
      <c r="A175" s="569">
        <f>'Config!'!C161</f>
        <v>170</v>
      </c>
      <c r="B175" s="536" t="str">
        <f>'Config!'!A161</f>
        <v>Zimbábue</v>
      </c>
      <c r="C175" s="536" t="str">
        <f>'Config!'!B161</f>
        <v>África Subsaariana</v>
      </c>
      <c r="D175" s="538" cm="1">
        <f t="array" ref="D175">IFERROR(INDEX(Population!$BD$3:$BN$177,'IMS Seg. Table'!$A175,'Config!'!$BA$15-2010+1),"")</f>
        <v>14565482</v>
      </c>
      <c r="E175" s="551" cm="1">
        <f t="array" ref="E175">IFERROR(INDEX(Population!$CH$3:$CH$178,'IMS Seg. Table'!$A175,1),"")</f>
        <v>386847</v>
      </c>
      <c r="F175" s="552">
        <f>IFERROR('IMS Seg. Table'!$D175/'IMS Seg. Table'!$E175,"")</f>
        <v>37.651789984153943</v>
      </c>
      <c r="G175" s="575" cm="1">
        <f t="array" ref="G175">IFERROR(INDEX('Country Competitivness'!$CL$4:$CX$178,Tabela2[[#This Row],[ID]],'Config!'!$AZ$17+1),".")</f>
        <v>59.658970235264803</v>
      </c>
      <c r="H175" s="540" cm="1">
        <f t="array" ref="H175">INDEX(GDP!$G$3:$S$177,'IMS Seg. Table'!$A175,'Config!'!$BA$15-2010+1)*1000000000</f>
        <v>17114849900.000004</v>
      </c>
      <c r="I175" s="539">
        <f t="shared" si="35"/>
        <v>1175.0280491919186</v>
      </c>
      <c r="J175" s="576">
        <f>IFERROR(INDEX('Income Tax Rate (%)'!$F$2:$P$176,Tabela2[[#This Row],[ID]],'Config!'!$BA$15-2010+1)/100,"")</f>
        <v>0.46350000000000002</v>
      </c>
      <c r="K175" s="577">
        <f>IFERROR(INDEX('Tariff Rate (%)'!$F$2:$P$176,Tabela2[[#This Row],[ID]],'Config!'!$BA$15-2010+1)/100,"")</f>
        <v>0.154</v>
      </c>
      <c r="L175" s="577">
        <f>IFERROR(INDEX('Corporate Tax Rate (%)'!$F$2:$P$176,Tabela2[[#This Row],[ID]],'Config!'!$BA$15-2010+1)/100,"")</f>
        <v>0.25</v>
      </c>
      <c r="M175" s="527" cm="1">
        <f t="array" ref="M175">INDEX('Score-Starting a business'!$F$2:$P$176,'IMS Seg. Table'!$A175,'Config!'!$BA$15-2010+1)</f>
        <v>45.47</v>
      </c>
      <c r="N175" s="527" cm="1">
        <f t="array" ref="N175">IFERROR(INDEX('Country Competitivness'!$AX$4:$BH$178,Tabela2[[#This Row],[ID]],'Config!'!$BA$15-2010+1),"")</f>
        <v>3.1116985666666666</v>
      </c>
      <c r="O175" s="527" cm="1">
        <f t="array" ref="O175">IFERROR(INDEX('Country Competitivness'!$EE$4:$EO$178,Tabela2[[#This Row],[ID]],'Config!'!$BA$15-2010+1),"")</f>
        <v>3.2599950333333334</v>
      </c>
      <c r="P175" s="527" cm="1">
        <f t="array" ref="P175">IFERROR(INDEX('Country Competitivness'!$H$4:$R$178,Tabela2[[#This Row],[ID]],'Config!'!$BA$15-2010+1),"")</f>
        <v>3.2392089508771931</v>
      </c>
      <c r="Q175" s="527" cm="1">
        <f t="array" ref="Q175">IFERROR(INDEX('Country Competitivness'!$AJ$4:$AT$178,Tabela2[[#This Row],[ID]],MAX(1,'Config!'!$BA$15-2010)),"")</f>
        <v>3.881389688888889</v>
      </c>
      <c r="R175" s="527" cm="1">
        <f t="array" ref="R175">IFERROR(INDEX('Country Competitivness'!$BM$4:$BW$178,Tabela2[[#This Row],[ID]],'Config!'!$BA$15-2010+1),"")</f>
        <v>3.1825454666666664</v>
      </c>
      <c r="S175" s="578" t="str" cm="1">
        <f t="array" ref="S175">IF('Config!'!$BA$15=2010,".",IF(COUNTIF('Result data'!$C$216:$L$225,INDEX('Result data'!$O$216:$O$390,Tabela2[[#This Row],[ID]]))=0,".",_xlfn.MINIFS('Result data'!$C$228:$L$237,'Result data'!$C$216:$L$225,INDEX('Result data'!$O$216:$O$390,Tabela2[[#This Row],[ID]]))))</f>
        <v>.</v>
      </c>
      <c r="T175" s="537" t="str" cm="1">
        <f t="array" ref="T175">IF('Config!'!$BA$15=2010,".",IF(INDEX('Result data'!$R$216:$AA$390,'IMS Seg. Table'!$A175,'Config!'!$BA$15-2010)=".",".",INDEX('Result data'!$R$216:$AA$390,'IMS Seg. Table'!$A175,'Config!'!$BA$15-2010)))</f>
        <v>.</v>
      </c>
      <c r="U175" s="579" t="str">
        <f t="shared" si="36"/>
        <v>.</v>
      </c>
      <c r="V175" s="530" t="str" cm="1">
        <f t="array" ref="V175">IF(Tabela2[[#This Row],[Market Penetration (Category)]]=".",".",INDEX('Result data'!$BS$216:$CB$390,'IMS Seg. Table'!$A175,'Config!'!$BA$15-2010))</f>
        <v>.</v>
      </c>
      <c r="W175" s="563" t="str">
        <f>IF(Tabela2[[#This Row],[Market Demand (U$ millions)]]=".",".",Tabela2[[#This Row],[Market Demand (U$ millions)]]/Tabela2[[#This Row],[Active users (thousands)]])</f>
        <v>.</v>
      </c>
      <c r="X175" s="580" cm="1">
        <f t="array" ref="X175">IF('Config!'!$BA$15=2010,".",IF(INDEX('Result data'!$AE$216:$AN$390,'IMS Seg. Table'!$A175,'Config!'!$BA$15-2010)=".",0,INDEX('Result data'!$AE$216:$AN$390,'IMS Seg. Table'!$A175,'Config!'!$BA$15-2010)))</f>
        <v>0</v>
      </c>
      <c r="Y175" s="563" t="str">
        <f>IF('Config!'!$BA$15=2010,".",IF(Tabela2[[#This Row],[Number of competitors]]=0,".",SUMIF('Result data'!$N$216:$N$390,Tabela2[[#This Row],[ID]],'Result data'!$CP$216:$CP$393)))</f>
        <v>.</v>
      </c>
      <c r="Z175" s="563" t="str">
        <f>IF('Config!'!$BA$15=2010,".",IF(Tabela2[[#This Row],[Number of competitors]]=0,".",SUMIF('Result data'!$N$216:$N$390,Tabela2[[#This Row],[ID]],'Result data'!$DA$216:$DA$393)))</f>
        <v>.</v>
      </c>
      <c r="AA175" s="530" t="str" cm="1">
        <f t="array" ref="AA175">IF('Config!'!$BA$15=2010,".",IF(COUNTIF('Result data'!$C$216:$L$225,INDEX('Result data'!$O$216:$O$390,Tabela2[[#This Row],[ID]]))=0,".",SUMIF('Result data'!$C$216:$L$225,INDEX('Result data'!$O$216:$O$390,Tabela2[[#This Row],[ID]]),'Result data'!$C$456:$L$465)))</f>
        <v>.</v>
      </c>
      <c r="AB175" s="530" t="str" cm="1">
        <f t="array" ref="AB175">IF('Config!'!$BA$15=2010,".",IF(COUNTIF('Result data'!$C$216:$L$225,INDEX('Result data'!$O$216:$O$390,Tabela2[[#This Row],[ID]]))=0,".",SUMIF('Result data'!$C$216:$L$225,INDEX('Result data'!$O$216:$O$390,Tabela2[[#This Row],[ID]]),'Result data'!$C$468:$L$477)))</f>
        <v>.</v>
      </c>
      <c r="AC175" s="530" t="str">
        <f>IF('Config!'!$BA$15=2010,".",IF(Tabela2[[#This Row],[Local Marketing and Sales Expenses (millions)]]=".",".",SUM(Tabela2[[#This Row],[Global Marketing and Sales Expenses (millions)]:[Local Marketing and Sales Expenses (millions)]])))</f>
        <v>.</v>
      </c>
      <c r="AD175" s="530" t="str" cm="1">
        <f t="array" ref="AD175">IF('Config!'!$BA$15=2010,".",IF(COUNTIF('Result data'!$C$216:$L$225,INDEX('Result data'!$O$216:$O$390,Tabela2[[#This Row],[ID]]))=0,".",SUMIF('Result data'!$C$216:$L$225,INDEX('Result data'!$O$216:$O$390,Tabela2[[#This Row],[ID]]),'Result data'!$C$372:$L$381)+SUMIF('Result data'!$C$216:$L$225,INDEX('Result data'!$O$216:$O$390,Tabela2[[#This Row],[ID]]),'Result data'!$C$384:$L$393)))</f>
        <v>.</v>
      </c>
      <c r="AE175" s="530" t="str" cm="1">
        <f t="array" ref="AE175">IF('Config!'!$BA$15=2010,".",IF(COUNTIF('Result data'!$C$216:$L$225,INDEX('Result data'!$O$216:$O$390,Tabela2[[#This Row],[ID]]))=0,".",SUMIF('Result data'!$C$216:$L$225,INDEX('Result data'!$O$216:$O$390,Tabela2[[#This Row],[ID]]),'Result data'!$C$396:$L$405)))</f>
        <v>.</v>
      </c>
      <c r="AF175" s="530" t="str" cm="1">
        <f t="array" ref="AF175">IF('Config!'!$BA$15=2010,".",IF(COUNTIF('Result data'!$C$216:$L$225,INDEX('Result data'!$O$216:$O$390,Tabela2[[#This Row],[ID]]))=0,".",SUMIF('Result data'!$C$216:$L$225,INDEX('Result data'!$O$216:$O$390,Tabela2[[#This Row],[ID]]),'Result data'!$C$420:$L$429)))</f>
        <v>.</v>
      </c>
    </row>
    <row r="176" spans="1:32" x14ac:dyDescent="0.3"/>
  </sheetData>
  <mergeCells count="18">
    <mergeCell ref="B1:U1"/>
    <mergeCell ref="D14:G14"/>
    <mergeCell ref="H14:O14"/>
    <mergeCell ref="P14:R14"/>
    <mergeCell ref="S14:AF14"/>
    <mergeCell ref="A14:C14"/>
    <mergeCell ref="B12:C12"/>
    <mergeCell ref="B13:V13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</mergeCells>
  <phoneticPr fontId="77" type="noConversion"/>
  <conditionalFormatting sqref="D16:G175">
    <cfRule type="dataBar" priority="20">
      <dataBar>
        <cfvo type="num" val="0"/>
        <cfvo type="num" val="1000000000"/>
        <color rgb="FFFFB628"/>
      </dataBar>
      <extLst>
        <ext xmlns:x14="http://schemas.microsoft.com/office/spreadsheetml/2009/9/main" uri="{B025F937-C7B1-47D3-B67F-A62EFF666E3E}">
          <x14:id>{E6815AEA-E404-4368-87CE-2F3AE88C673B}</x14:id>
        </ext>
      </extLst>
    </cfRule>
  </conditionalFormatting>
  <conditionalFormatting sqref="H16:H175">
    <cfRule type="dataBar" priority="19">
      <dataBar>
        <cfvo type="num" val="0"/>
        <cfvo type="num" val="10000000000000"/>
        <color rgb="FFFF555A"/>
      </dataBar>
      <extLst>
        <ext xmlns:x14="http://schemas.microsoft.com/office/spreadsheetml/2009/9/main" uri="{B025F937-C7B1-47D3-B67F-A62EFF666E3E}">
          <x14:id>{E0DAC8D4-D97D-49A7-942C-B79E51EBBCB6}</x14:id>
        </ext>
      </extLst>
    </cfRule>
  </conditionalFormatting>
  <conditionalFormatting sqref="I16:I175">
    <cfRule type="dataBar" priority="28">
      <dataBar>
        <cfvo type="num" val="4126"/>
        <cfvo type="num" val="40000"/>
        <color theme="3"/>
      </dataBar>
    </cfRule>
  </conditionalFormatting>
  <conditionalFormatting sqref="T16:T175">
    <cfRule type="cellIs" dxfId="25" priority="29" operator="equal">
      <formula>0</formula>
    </cfRule>
  </conditionalFormatting>
  <conditionalFormatting sqref="U16:U175">
    <cfRule type="iconSet" priority="24">
      <iconSet iconSet="5Rating">
        <cfvo type="percent" val="0"/>
        <cfvo type="num" val="0.05"/>
        <cfvo type="num" val="0.1"/>
        <cfvo type="num" val="0.15"/>
        <cfvo type="num" val="0.2"/>
      </iconSet>
    </cfRule>
    <cfRule type="cellIs" dxfId="24" priority="25" operator="equal">
      <formula>0</formula>
    </cfRule>
  </conditionalFormatting>
  <conditionalFormatting sqref="V16:W175">
    <cfRule type="cellIs" dxfId="23" priority="22" operator="equal">
      <formula>0</formula>
    </cfRule>
    <cfRule type="dataBar" priority="23">
      <dataBar>
        <cfvo type="num" val="0"/>
        <cfvo type="num" val="1000000000"/>
        <color rgb="FF63C384"/>
      </dataBar>
      <extLst>
        <ext xmlns:x14="http://schemas.microsoft.com/office/spreadsheetml/2009/9/main" uri="{B025F937-C7B1-47D3-B67F-A62EFF666E3E}">
          <x14:id>{FB8BDB3D-C594-4875-9CC3-2C012BBF70AA}</x14:id>
        </ext>
      </extLst>
    </cfRule>
  </conditionalFormatting>
  <conditionalFormatting sqref="X16:X175">
    <cfRule type="iconSet" priority="21">
      <iconSet reverse="1">
        <cfvo type="percent" val="0"/>
        <cfvo type="num" val="1"/>
        <cfvo type="num" val="3"/>
      </iconSet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815AEA-E404-4368-87CE-2F3AE88C673B}">
            <x14:dataBar minLength="0" maxLength="100" border="1" negativeBarBorderColorSameAsPositive="0">
              <x14:cfvo type="num">
                <xm:f>0</xm:f>
              </x14:cfvo>
              <x14:cfvo type="num">
                <xm:f>1000000000</xm:f>
              </x14:cfvo>
              <x14:borderColor rgb="FFFFB628"/>
              <x14:negativeFillColor rgb="FFFF0000"/>
              <x14:negativeBorderColor rgb="FFFF0000"/>
              <x14:axisColor rgb="FF000000"/>
            </x14:dataBar>
          </x14:cfRule>
          <xm:sqref>D16:G175</xm:sqref>
        </x14:conditionalFormatting>
        <x14:conditionalFormatting xmlns:xm="http://schemas.microsoft.com/office/excel/2006/main">
          <x14:cfRule type="dataBar" id="{E0DAC8D4-D97D-49A7-942C-B79E51EBBCB6}">
            <x14:dataBar minLength="0" maxLength="100" gradient="0">
              <x14:cfvo type="num">
                <xm:f>0</xm:f>
              </x14:cfvo>
              <x14:cfvo type="num">
                <xm:f>10000000000000</xm:f>
              </x14:cfvo>
              <x14:negativeFillColor rgb="FFFF0000"/>
              <x14:axisColor rgb="FF000000"/>
            </x14:dataBar>
          </x14:cfRule>
          <xm:sqref>H16:H175</xm:sqref>
        </x14:conditionalFormatting>
        <x14:conditionalFormatting xmlns:xm="http://schemas.microsoft.com/office/excel/2006/main">
          <x14:cfRule type="iconSet" priority="26" id="{CF2F8CAE-8D79-44C0-8D98-74B37D25CB0B}">
            <x14:iconSet iconSet="3Triangles">
              <x14:cfvo type="percent">
                <xm:f>0</xm:f>
              </x14:cfvo>
              <x14:cfvo type="num">
                <xm:f>1000000</xm:f>
              </x14:cfvo>
              <x14:cfvo type="num">
                <xm:f>10000000</xm:f>
              </x14:cfvo>
            </x14:iconSet>
          </x14:cfRule>
          <xm:sqref>T16:T175</xm:sqref>
        </x14:conditionalFormatting>
        <x14:conditionalFormatting xmlns:xm="http://schemas.microsoft.com/office/excel/2006/main">
          <x14:cfRule type="dataBar" id="{FB8BDB3D-C594-4875-9CC3-2C012BBF70AA}">
            <x14:dataBar minLength="0" maxLength="100" gradient="0">
              <x14:cfvo type="num">
                <xm:f>0</xm:f>
              </x14:cfvo>
              <x14:cfvo type="num">
                <xm:f>1000000000</xm:f>
              </x14:cfvo>
              <x14:negativeFillColor rgb="FFFF0000"/>
              <x14:axisColor rgb="FF000000"/>
            </x14:dataBar>
          </x14:cfRule>
          <xm:sqref>V16:W175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20">
    <tabColor theme="8"/>
  </sheetPr>
  <dimension ref="A1:M80"/>
  <sheetViews>
    <sheetView showGridLines="0" zoomScale="85" zoomScaleNormal="85" workbookViewId="0">
      <pane ySplit="2" topLeftCell="A60" activePane="bottomLeft" state="frozen"/>
      <selection activeCell="Q1" sqref="Q1:AH1"/>
      <selection pane="bottomLeft" activeCell="Q1" sqref="Q1:AH1"/>
    </sheetView>
  </sheetViews>
  <sheetFormatPr defaultColWidth="0" defaultRowHeight="24" zeroHeight="1" x14ac:dyDescent="0.35"/>
  <cols>
    <col min="1" max="1" width="34" style="182" customWidth="1"/>
    <col min="2" max="2" width="22.42578125" style="182" customWidth="1"/>
    <col min="3" max="3" width="18.5703125" style="182" customWidth="1"/>
    <col min="4" max="4" width="20.5703125" style="182" customWidth="1"/>
    <col min="5" max="5" width="26" style="182" customWidth="1"/>
    <col min="6" max="6" width="27.7109375" style="182" customWidth="1"/>
    <col min="7" max="7" width="25.28515625" style="182" customWidth="1"/>
    <col min="8" max="8" width="15.140625" style="182" customWidth="1"/>
    <col min="9" max="9" width="19.42578125" style="182" customWidth="1"/>
    <col min="10" max="10" width="0.140625" style="236" customWidth="1"/>
    <col min="11" max="12" width="0.140625" customWidth="1"/>
    <col min="13" max="13" width="13" hidden="1" customWidth="1"/>
    <col min="14" max="16384" width="9.140625" hidden="1"/>
  </cols>
  <sheetData>
    <row r="1" spans="1:12" ht="44.25" customHeight="1" x14ac:dyDescent="0.45">
      <c r="A1" s="854" t="str">
        <f>Language!C347</f>
        <v>Visão geral global, regional e de concorrência:</v>
      </c>
      <c r="B1" s="854"/>
      <c r="C1" s="854"/>
      <c r="D1" s="854"/>
      <c r="E1" s="854"/>
      <c r="F1" s="854"/>
      <c r="G1" s="854"/>
      <c r="H1" s="672" t="str">
        <f>Language!C348</f>
        <v>Ano-</v>
      </c>
      <c r="I1" s="672">
        <f>'Config!'!BA15</f>
        <v>2012</v>
      </c>
    </row>
    <row r="2" spans="1:12" ht="30.75" customHeight="1" x14ac:dyDescent="0.45">
      <c r="A2" s="695"/>
      <c r="B2" s="695"/>
      <c r="C2" s="695"/>
      <c r="D2" s="859" t="str">
        <f>'Config!'!BK13</f>
        <v/>
      </c>
      <c r="E2" s="859"/>
      <c r="F2" s="859"/>
      <c r="G2" s="859"/>
      <c r="H2" s="859"/>
      <c r="I2" s="859"/>
    </row>
    <row r="3" spans="1:12" ht="28.5" x14ac:dyDescent="0.4">
      <c r="A3" s="190" t="str">
        <f>Language!C349</f>
        <v>Informações demográficas e de mercado</v>
      </c>
      <c r="B3" s="190"/>
      <c r="C3" s="190"/>
      <c r="D3" s="190"/>
      <c r="E3" s="190"/>
      <c r="F3" s="190"/>
      <c r="G3" s="190"/>
      <c r="H3" s="190"/>
      <c r="I3" s="190"/>
    </row>
    <row r="4" spans="1:12" ht="49.5" customHeight="1" x14ac:dyDescent="0.25">
      <c r="A4" s="188" t="str" cm="1">
        <f t="array" ref="A4:B4">TRANSPOSE(Language!C350:'Language'!C351)</f>
        <v>Região</v>
      </c>
      <c r="B4" s="697" t="str">
        <v>N. De países com concorrentes</v>
      </c>
      <c r="C4" s="856" t="str">
        <f>Language!C352</f>
        <v>N. de subsidiárias</v>
      </c>
      <c r="D4" s="856"/>
      <c r="E4" s="697" t="str" cm="1">
        <f t="array" ref="E4:G4">TRANSPOSE(Language!C353:'Language'!C355)</f>
        <v>Usuários ativos (milhões)</v>
      </c>
      <c r="F4" s="697" t="str">
        <v>Penetração de Mercado (Geral)</v>
      </c>
      <c r="G4" s="234" t="str">
        <v>Penetração de mercado (países ativos)</v>
      </c>
      <c r="H4" s="189"/>
      <c r="I4" s="189"/>
      <c r="J4" s="236" t="str">
        <f>'General Report'!$E$4&amp;": "&amp;'General Report'!$I$1</f>
        <v>Usuários ativos (milhões): 2012</v>
      </c>
    </row>
    <row r="5" spans="1:12" ht="18" x14ac:dyDescent="0.25">
      <c r="A5" s="43" t="str">
        <f>Language!N149</f>
        <v>Ásia-Pacífico</v>
      </c>
      <c r="B5" s="698">
        <f>SUMIF('Result data'!$B$172:$M$172,'General Report'!$I$1,'Result data'!$B173:$M173)</f>
        <v>3</v>
      </c>
      <c r="C5" s="857">
        <f>SUMIF('Result data'!$B$46:$DQ$46,'General Report'!I$1,'Result data'!$B47:$DQ47)</f>
        <v>3</v>
      </c>
      <c r="D5" s="857"/>
      <c r="E5" s="458">
        <f>IF(C5=0,"",IFERROR(INDEX('Result data'!$B14:$M14,1,'General Report'!$I$1-2010),""))</f>
        <v>12513868</v>
      </c>
      <c r="F5" s="442">
        <f>IF(INDEX('Result data'!$B25:$M25,1,'General Report'!$I$1-2010)=0,"0,00%",INDEX('Result data'!$B25:$M25,1,'General Report'!$I$1-2010))</f>
        <v>3.2907904559660982E-3</v>
      </c>
      <c r="G5" s="442">
        <f>IFERROR(IF(INDEX('Result data'!$O25:$Z25,1,'General Report'!$I$1-2010)=0,"0,00%",INDEX('Result data'!$O25:$Z25,1,'General Report'!$I$1-2010)),"")</f>
        <v>8.1883059066359832E-3</v>
      </c>
      <c r="H5" s="43"/>
      <c r="I5" s="43"/>
      <c r="K5" t="str">
        <f>IF(SUMIF('Result data'!$B$35:$K$35,"&lt;="&amp;'Config!'!$BA$15,'Result data'!B36:K36)=0,"",A5)</f>
        <v>Ásia-Pacífico</v>
      </c>
      <c r="L5" s="236">
        <f>IFERROR(E5/$E$15,"")</f>
        <v>0.42707894747170455</v>
      </c>
    </row>
    <row r="6" spans="1:12" ht="18" x14ac:dyDescent="0.25">
      <c r="A6" s="186" t="str">
        <f>Language!N150</f>
        <v>América Central</v>
      </c>
      <c r="B6" s="699">
        <f>SUMIF('Result data'!$B$172:$M$172,'General Report'!$I$1,'Result data'!$B174:$M174)</f>
        <v>1</v>
      </c>
      <c r="C6" s="858">
        <f>SUMIF('Result data'!$B$46:$DQ$46,'General Report'!I$1,'Result data'!$B48:$DQ48)</f>
        <v>1</v>
      </c>
      <c r="D6" s="858"/>
      <c r="E6" s="459">
        <f>IF(C6=0,"",IFERROR(INDEX('Result data'!$B15:$M15,1,'General Report'!$I$1-2010),""))</f>
        <v>868708</v>
      </c>
      <c r="F6" s="443">
        <f>IF(INDEX('Result data'!$B26:$M26,1,'General Report'!$I$1-2010)=0,"0,00%",INDEX('Result data'!$B26:$M26,1,'General Report'!$I$1-2010))</f>
        <v>5.2376063109132167E-3</v>
      </c>
      <c r="G6" s="443">
        <f>IFERROR(IF(INDEX('Result data'!$O26:$Z26,1,'General Report'!$I$1-2010)=0,"0,00%",INDEX('Result data'!$O26:$Z26,1,'General Report'!$I$1-2010)),"")</f>
        <v>7.1164180133485144E-3</v>
      </c>
      <c r="H6" s="43"/>
      <c r="I6" s="43"/>
      <c r="K6" t="str">
        <f>IF(SUMIF('Result data'!$B$35:$K$35,"&lt;="&amp;'Config!'!$BA$15,'Result data'!B37:K37)=0,"",A6)</f>
        <v>América Central</v>
      </c>
      <c r="L6" s="236">
        <f t="shared" ref="L6:L14" si="0">IFERROR(E6/$E$15,"")</f>
        <v>2.9647659564592619E-2</v>
      </c>
    </row>
    <row r="7" spans="1:12" ht="18" x14ac:dyDescent="0.25">
      <c r="A7" s="43" t="str">
        <f>Language!N151</f>
        <v>Europa</v>
      </c>
      <c r="B7" s="698">
        <f>SUMIF('Result data'!$B$172:$M$172,'General Report'!$I$1,'Result data'!$B175:$M175)</f>
        <v>1</v>
      </c>
      <c r="C7" s="857">
        <f>SUMIF('Result data'!$B$46:$DQ$46,'General Report'!I$1,'Result data'!$B49:$DQ49)</f>
        <v>1</v>
      </c>
      <c r="D7" s="857"/>
      <c r="E7" s="458">
        <f>IF(C7=0,"",IFERROR(INDEX('Result data'!$B16:$M16,1,'General Report'!$I$1-2010),""))</f>
        <v>82337</v>
      </c>
      <c r="F7" s="442">
        <f>IF(INDEX('Result data'!$B27:$M27,1,'General Report'!$I$1-2010)=0,"0,00%",INDEX('Result data'!$B27:$M27,1,'General Report'!$I$1-2010))</f>
        <v>2.5926235114291066E-4</v>
      </c>
      <c r="G7" s="442">
        <f>IFERROR(IF(INDEX('Result data'!$O27:$Z27,1,'General Report'!$I$1-2010)=0,"0,00%",INDEX('Result data'!$O27:$Z27,1,'General Report'!$I$1-2010)),"")</f>
        <v>1.6406456576401298E-2</v>
      </c>
      <c r="H7" s="43"/>
      <c r="I7" s="43"/>
      <c r="K7" t="str">
        <f>IF(SUMIF('Result data'!$B$35:$K$35,"&lt;="&amp;'Config!'!$BA$15,'Result data'!B38:K38)=0,"",A7)</f>
        <v>Europa</v>
      </c>
      <c r="L7" s="236">
        <f t="shared" si="0"/>
        <v>2.8100343792964522E-3</v>
      </c>
    </row>
    <row r="8" spans="1:12" ht="18" x14ac:dyDescent="0.25">
      <c r="A8" s="186" t="str">
        <f>Language!N152</f>
        <v>União Européia</v>
      </c>
      <c r="B8" s="699">
        <f>SUMIF('Result data'!$B$172:$M$172,'General Report'!$I$1,'Result data'!$B176:$M176)</f>
        <v>3</v>
      </c>
      <c r="C8" s="858">
        <f>SUMIF('Result data'!$B$46:$DQ$46,'General Report'!I$1,'Result data'!$B50:$DQ50)</f>
        <v>5</v>
      </c>
      <c r="D8" s="858"/>
      <c r="E8" s="459">
        <f>IF(C8=0,"",IFERROR(INDEX('Result data'!$B17:$M17,1,'General Report'!$I$1-2010),""))</f>
        <v>6780601</v>
      </c>
      <c r="F8" s="443">
        <f>IF(INDEX('Result data'!$B28:$M28,1,'General Report'!$I$1-2010)=0,"0,00%",INDEX('Result data'!$B28:$M28,1,'General Report'!$I$1-2010))</f>
        <v>1.3538700219918688E-2</v>
      </c>
      <c r="G8" s="443">
        <f>IFERROR(IF(INDEX('Result data'!$O28:$Z28,1,'General Report'!$I$1-2010)=0,"0,00%",INDEX('Result data'!$O28:$Z28,1,'General Report'!$I$1-2010)),"")</f>
        <v>3.2321526755707375E-2</v>
      </c>
      <c r="H8" s="43"/>
      <c r="I8" s="43"/>
      <c r="K8" t="str">
        <f>IF(SUMIF('Result data'!$B$35:$K$35,"&lt;="&amp;'Config!'!$BA$15,'Result data'!B39:K39)=0,"",A8)</f>
        <v>União Européia</v>
      </c>
      <c r="L8" s="236">
        <f t="shared" si="0"/>
        <v>0.23141141798088227</v>
      </c>
    </row>
    <row r="9" spans="1:12" ht="18" x14ac:dyDescent="0.25">
      <c r="A9" s="43" t="str">
        <f>Language!N153</f>
        <v>Oriente médio</v>
      </c>
      <c r="B9" s="698">
        <f>SUMIF('Result data'!$B$172:$M$172,'General Report'!$I$1,'Result data'!$B177:$M177)</f>
        <v>0</v>
      </c>
      <c r="C9" s="857">
        <f>SUMIF('Result data'!$B$46:$DQ$46,'General Report'!I$1,'Result data'!$B51:$DQ51)</f>
        <v>0</v>
      </c>
      <c r="D9" s="857"/>
      <c r="E9" s="458" t="str">
        <f>IF(C9=0,"",IFERROR(INDEX('Result data'!$B18:$M18,1,'General Report'!$I$1-2010),""))</f>
        <v/>
      </c>
      <c r="F9" s="442" t="str">
        <f>IF(INDEX('Result data'!$B29:$M29,1,'General Report'!$I$1-2010)=0,"0,00%",INDEX('Result data'!$B29:$M29,1,'General Report'!$I$1-2010))</f>
        <v/>
      </c>
      <c r="G9" s="442" t="str">
        <f>IFERROR(IF(INDEX('Result data'!$O29:$Z29,1,'General Report'!$I$1-2010)=0,"0,00%",INDEX('Result data'!$O29:$Z29,1,'General Report'!$I$1-2010)),"")</f>
        <v/>
      </c>
      <c r="H9" s="43"/>
      <c r="I9" s="43"/>
      <c r="K9" t="str">
        <f>IF(SUMIF('Result data'!$B$35:$K$35,"&lt;="&amp;'Config!'!$BA$15,'Result data'!B40:K40)=0,"",A9)</f>
        <v/>
      </c>
      <c r="L9" s="236" t="str">
        <f t="shared" si="0"/>
        <v/>
      </c>
    </row>
    <row r="10" spans="1:12" ht="18" x14ac:dyDescent="0.25">
      <c r="A10" s="186" t="str">
        <f>Language!N154</f>
        <v>América do Norte</v>
      </c>
      <c r="B10" s="699">
        <f>SUMIF('Result data'!$B$172:$M$172,'General Report'!$I$1,'Result data'!$B178:$M178)</f>
        <v>2</v>
      </c>
      <c r="C10" s="858">
        <f>SUMIF('Result data'!$B$46:$DQ$46,'General Report'!I$1,'Result data'!$B52:$DQ52)</f>
        <v>2</v>
      </c>
      <c r="D10" s="858"/>
      <c r="E10" s="459">
        <f>IF(C10=0,"",IFERROR(INDEX('Result data'!$B19:$M19,1,'General Report'!$I$1-2010),""))</f>
        <v>9055551</v>
      </c>
      <c r="F10" s="443">
        <f>IF(INDEX('Result data'!$B30:$M30,1,'General Report'!$I$1-2010)=0,"0,00%",INDEX('Result data'!$B30:$M30,1,'General Report'!$I$1-2010))</f>
        <v>2.5953168710148709E-2</v>
      </c>
      <c r="G10" s="443">
        <f>IFERROR(IF(INDEX('Result data'!$O30:$Z30,1,'General Report'!$I$1-2010)=0,"0,00%",INDEX('Result data'!$O30:$Z30,1,'General Report'!$I$1-2010)),"")</f>
        <v>2.5957989388566707E-2</v>
      </c>
      <c r="H10" s="43"/>
      <c r="I10" s="43"/>
      <c r="K10" t="str">
        <f>IF(SUMIF('Result data'!$B$35:$K$35,"&lt;="&amp;'Config!'!$BA$15,'Result data'!B41:K41)=0,"",A10)</f>
        <v>América do Norte</v>
      </c>
      <c r="L10" s="236">
        <f t="shared" si="0"/>
        <v>0.30905194060352414</v>
      </c>
    </row>
    <row r="11" spans="1:12" ht="18" x14ac:dyDescent="0.25">
      <c r="A11" s="43" t="str">
        <f>Language!N155</f>
        <v>Oceânia</v>
      </c>
      <c r="B11" s="698">
        <f>SUMIF('Result data'!$B$172:$M$172,'General Report'!$I$1,'Result data'!$B179:$M179)</f>
        <v>0</v>
      </c>
      <c r="C11" s="857">
        <f>SUMIF('Result data'!$B$46:$DQ$46,'General Report'!I$1,'Result data'!$B53:$DQ53)</f>
        <v>0</v>
      </c>
      <c r="D11" s="857"/>
      <c r="E11" s="458" t="str">
        <f>IF(C11=0,"",IFERROR(INDEX('Result data'!$B20:$M20,1,'General Report'!$I$1-2010),""))</f>
        <v/>
      </c>
      <c r="F11" s="442" t="str">
        <f>IF(INDEX('Result data'!$B31:$M31,1,'General Report'!$I$1-2010)=0,"0,00%",INDEX('Result data'!$B31:$M31,1,'General Report'!$I$1-2010))</f>
        <v/>
      </c>
      <c r="G11" s="442" t="str">
        <f>IFERROR(IF(INDEX('Result data'!$O31:$Z31,1,'General Report'!$I$1-2010)=0,"0,00%",INDEX('Result data'!$O31:$Z31,1,'General Report'!$I$1-2010)),"")</f>
        <v/>
      </c>
      <c r="H11" s="43"/>
      <c r="I11" s="43"/>
      <c r="K11" t="str">
        <f>IF(SUMIF('Result data'!$B$35:$K$35,"&lt;="&amp;'Config!'!$BA$15,'Result data'!B42:K42)=0,"",A11)</f>
        <v/>
      </c>
      <c r="L11" s="236" t="str">
        <f t="shared" si="0"/>
        <v/>
      </c>
    </row>
    <row r="12" spans="1:12" ht="18" x14ac:dyDescent="0.25">
      <c r="A12" s="186" t="str">
        <f>Language!N156</f>
        <v>América do Sul</v>
      </c>
      <c r="B12" s="699">
        <f>SUMIF('Result data'!$B$172:$M$172,'General Report'!$I$1,'Result data'!$B180:$M180)</f>
        <v>0</v>
      </c>
      <c r="C12" s="858">
        <f>SUMIF('Result data'!$B$46:$DQ$46,'General Report'!I$1,'Result data'!$B54:$DQ54)</f>
        <v>0</v>
      </c>
      <c r="D12" s="858"/>
      <c r="E12" s="459" t="str">
        <f>IF(C12=0,"",IFERROR(INDEX('Result data'!$B21:$M21,1,'General Report'!$I$1-2010),""))</f>
        <v/>
      </c>
      <c r="F12" s="443" t="str">
        <f>IF(INDEX('Result data'!$B32:$M32,1,'General Report'!$I$1-2010)=0,"0,00%",INDEX('Result data'!$B32:$M32,1,'General Report'!$I$1-2010))</f>
        <v/>
      </c>
      <c r="G12" s="443" t="str">
        <f>IFERROR(IF(INDEX('Result data'!$O32:$Z32,1,'General Report'!$I$1-2010)=0,"0,00%",INDEX('Result data'!$O32:$Z32,1,'General Report'!$I$1-2010)),"")</f>
        <v/>
      </c>
      <c r="H12" s="43"/>
      <c r="I12" s="43"/>
      <c r="K12" t="str">
        <f>IF(SUMIF('Result data'!$B$35:$K$35,"&lt;="&amp;'Config!'!$BA$15,'Result data'!B43:K43)=0,"",A12)</f>
        <v/>
      </c>
      <c r="L12" s="236" t="str">
        <f t="shared" si="0"/>
        <v/>
      </c>
    </row>
    <row r="13" spans="1:12" ht="18" x14ac:dyDescent="0.25">
      <c r="A13" s="43" t="str">
        <f>Language!N157</f>
        <v>África Subsaariana</v>
      </c>
      <c r="B13" s="698">
        <f>SUMIF('Result data'!$B$172:$M$172,'General Report'!$I$1,'Result data'!$B181:$M181)</f>
        <v>0</v>
      </c>
      <c r="C13" s="857">
        <f>SUMIF('Result data'!$B$46:$DQ$46,'General Report'!I$1,'Result data'!$B55:$DQ55)</f>
        <v>0</v>
      </c>
      <c r="D13" s="857"/>
      <c r="E13" s="458" t="str">
        <f>IF(C13=0,"",IFERROR(INDEX('Result data'!$B22:$M22,1,'General Report'!$I$1-2010),""))</f>
        <v/>
      </c>
      <c r="F13" s="442" t="str">
        <f>IF(INDEX('Result data'!$B33:$M33,1,'General Report'!$I$1-2010)=0,"0,00%",INDEX('Result data'!$B33:$M33,1,'General Report'!$I$1-2010))</f>
        <v/>
      </c>
      <c r="G13" s="442" t="str">
        <f>IFERROR(IF(INDEX('Result data'!$O33:$Z33,1,'General Report'!$I$1-2010)=0,"0,00%",INDEX('Result data'!$O33:$Z33,1,'General Report'!$I$1-2010)),"")</f>
        <v/>
      </c>
      <c r="H13" s="43"/>
      <c r="I13" s="43"/>
      <c r="K13" t="str">
        <f>IF(SUMIF('Result data'!$B$35:$K$35,"&lt;="&amp;'Config!'!$BA$15,'Result data'!B44:K44)=0,"",A13)</f>
        <v/>
      </c>
      <c r="L13" s="236" t="str">
        <f t="shared" si="0"/>
        <v/>
      </c>
    </row>
    <row r="14" spans="1:12" ht="18" x14ac:dyDescent="0.25">
      <c r="A14" s="186" t="str">
        <f>Language!N158</f>
        <v>Caribe</v>
      </c>
      <c r="B14" s="699">
        <f>SUMIF('Result data'!$B$172:$M$172,'General Report'!$I$1,'Result data'!$B182:$M182)</f>
        <v>0</v>
      </c>
      <c r="C14" s="858">
        <f>SUMIF('Result data'!$B$46:$DQ$46,'General Report'!I$1,'Result data'!$B56:$DQ56)</f>
        <v>0</v>
      </c>
      <c r="D14" s="858"/>
      <c r="E14" s="459" t="str">
        <f>IF(C14=0,"",IFERROR(INDEX('Result data'!$B23:$M23,1,'General Report'!$I$1-2010),""))</f>
        <v/>
      </c>
      <c r="F14" s="443" t="str">
        <f>IF(INDEX('Result data'!$B34:$M34,1,'General Report'!$I$1-2010)=0,"0,00%",INDEX('Result data'!$B34:$M34,1,'General Report'!$I$1-2010))</f>
        <v/>
      </c>
      <c r="G14" s="443" t="str">
        <f>IFERROR(IF(INDEX('Result data'!$O34:$Z34,1,'General Report'!$I$1-2010)=0,"0,00%",INDEX('Result data'!$O34:$Z34,1,'General Report'!$I$1-2010)),"")</f>
        <v/>
      </c>
      <c r="H14" s="43"/>
      <c r="I14" s="43"/>
      <c r="K14" t="str">
        <f>IF(SUMIF('Result data'!$B$35:$K$35,"&lt;="&amp;'Config!'!$BA$15,'Result data'!B45:K45)=0,"",A14)</f>
        <v/>
      </c>
      <c r="L14" s="236" t="str">
        <f t="shared" si="0"/>
        <v/>
      </c>
    </row>
    <row r="15" spans="1:12" x14ac:dyDescent="0.35">
      <c r="A15" s="187" t="str">
        <f>Language!C356</f>
        <v>Total do mundo</v>
      </c>
      <c r="B15" s="696">
        <f>SUM(B5:B14)</f>
        <v>10</v>
      </c>
      <c r="C15" s="855">
        <f>SUM(C5:C14)</f>
        <v>12</v>
      </c>
      <c r="D15" s="855"/>
      <c r="E15" s="460">
        <f>SUM(E5:E14)</f>
        <v>29301065</v>
      </c>
      <c r="F15" s="444">
        <f>IFERROR(E15/SUMIF('Result data'!$O$13:$Z$13,'General Report'!I1,'Result data'!$O$15:$Z$15),"")</f>
        <v>4.2742000360133049E-3</v>
      </c>
      <c r="G15" s="444">
        <f>IFERROR(E15/SUMIF('Result data'!$O$13:$Z$13,'General Report'!I1,'Result data'!$O$16:$Z$16),"")</f>
        <v>1.3234503621925695E-2</v>
      </c>
      <c r="J15" s="236">
        <f t="shared" ref="J15" si="1">E15/$E$15</f>
        <v>1</v>
      </c>
    </row>
    <row r="16" spans="1:12" x14ac:dyDescent="0.35"/>
    <row r="17" spans="1:12" x14ac:dyDescent="0.35"/>
    <row r="18" spans="1:12" x14ac:dyDescent="0.35"/>
    <row r="19" spans="1:12" x14ac:dyDescent="0.35"/>
    <row r="20" spans="1:12" x14ac:dyDescent="0.35"/>
    <row r="21" spans="1:12" x14ac:dyDescent="0.35"/>
    <row r="22" spans="1:12" x14ac:dyDescent="0.35"/>
    <row r="23" spans="1:12" x14ac:dyDescent="0.35"/>
    <row r="24" spans="1:12" x14ac:dyDescent="0.35"/>
    <row r="25" spans="1:12" x14ac:dyDescent="0.35"/>
    <row r="26" spans="1:12" x14ac:dyDescent="0.35"/>
    <row r="27" spans="1:12" ht="11.25" customHeight="1" x14ac:dyDescent="0.35"/>
    <row r="28" spans="1:12" ht="28.5" x14ac:dyDescent="0.4">
      <c r="A28" s="191" t="str">
        <f>Language!C358</f>
        <v>Informações financeiras (em milhões de U $)</v>
      </c>
      <c r="B28" s="191"/>
      <c r="C28" s="191"/>
      <c r="D28" s="191"/>
      <c r="E28" s="191"/>
      <c r="F28" s="191"/>
      <c r="G28" s="191"/>
      <c r="H28" s="191"/>
      <c r="I28" s="191"/>
    </row>
    <row r="29" spans="1:12" s="145" customFormat="1" ht="55.5" customHeight="1" x14ac:dyDescent="0.25">
      <c r="A29" s="192" t="str" cm="1">
        <f t="array" ref="A29:I29">TRANSPOSE(Language!C359:C367)</f>
        <v>Região</v>
      </c>
      <c r="B29" s="193" t="str">
        <v>Receita</v>
      </c>
      <c r="C29" s="193" t="str">
        <v>Custo das mercadorias vendidas</v>
      </c>
      <c r="D29" s="221" t="str">
        <v>Total de despesas de marketing e vendas</v>
      </c>
      <c r="E29" s="193" t="str">
        <v>Custos fixos (ADM. &amp; OP.)</v>
      </c>
      <c r="F29" s="193" t="str">
        <v>Custos de abertura</v>
      </c>
      <c r="G29" s="193" t="str">
        <v>Custos regulatórios e políticos</v>
      </c>
      <c r="H29" s="193" t="str">
        <v>Impostos</v>
      </c>
      <c r="I29" s="193" t="str">
        <v>Lucro Líquido</v>
      </c>
      <c r="J29" s="604"/>
    </row>
    <row r="30" spans="1:12" ht="18" x14ac:dyDescent="0.25">
      <c r="A30" s="43" t="str">
        <f>A5</f>
        <v>Ásia-Pacífico</v>
      </c>
      <c r="B30" s="461">
        <f>IFERROR('MSE per country'!H2,"")</f>
        <v>145941205.92260596</v>
      </c>
      <c r="C30" s="461">
        <f>IFERROR('MSE per country'!I2,"")</f>
        <v>109455904.44195446</v>
      </c>
      <c r="D30" s="461">
        <f>IFERROR('MSE per country'!J2,"")</f>
        <v>3055789.5681764558</v>
      </c>
      <c r="E30" s="461">
        <f>IFERROR('MSE per country'!K2,"")</f>
        <v>6883659.9872603584</v>
      </c>
      <c r="F30" s="461">
        <f>IFERROR('MSE per country'!L2,"")</f>
        <v>4147509.3558005942</v>
      </c>
      <c r="G30" s="461">
        <f>IFERROR('MSE per country'!M2,"")</f>
        <v>15743116.909339214</v>
      </c>
      <c r="H30" s="461">
        <f>IFERROR('MSE per country'!N2,"")</f>
        <v>1279665.5670196167</v>
      </c>
      <c r="I30" s="461">
        <f>IFERROR('MSE per country'!O2,"")</f>
        <v>5375560.0930552781</v>
      </c>
      <c r="L30" s="605"/>
    </row>
    <row r="31" spans="1:12" ht="18" x14ac:dyDescent="0.25">
      <c r="A31" s="194" t="str">
        <f t="shared" ref="A31:A39" si="2">A6</f>
        <v>América Central</v>
      </c>
      <c r="B31" s="462">
        <f>IFERROR('MSE per country'!H3,"")</f>
        <v>7730143.191369893</v>
      </c>
      <c r="C31" s="462">
        <f>IFERROR('MSE per country'!I3,"")</f>
        <v>5797607.3935274202</v>
      </c>
      <c r="D31" s="462">
        <f>IFERROR('MSE per country'!J3,"")</f>
        <v>657103.58549911994</v>
      </c>
      <c r="E31" s="462">
        <f>IFERROR('MSE per country'!K3,"")</f>
        <v>871282.8424596776</v>
      </c>
      <c r="F31" s="462">
        <f>IFERROR('MSE per country'!L3,"")</f>
        <v>4207411.3826379599</v>
      </c>
      <c r="G31" s="462">
        <f>IFERROR('MSE per country'!M3,"")</f>
        <v>5084473.0769596817</v>
      </c>
      <c r="H31" s="462">
        <f>IFERROR('MSE per country'!N3,"")</f>
        <v>0</v>
      </c>
      <c r="I31" s="462">
        <f>IFERROR('MSE per country'!O3,"")</f>
        <v>-8887735.0897139665</v>
      </c>
    </row>
    <row r="32" spans="1:12" ht="18" x14ac:dyDescent="0.25">
      <c r="A32" s="43" t="str">
        <f t="shared" si="2"/>
        <v>Europa</v>
      </c>
      <c r="B32" s="461">
        <f>IFERROR('MSE per country'!H4,"")</f>
        <v>1859423.5306972978</v>
      </c>
      <c r="C32" s="461">
        <f>IFERROR('MSE per country'!I4,"")</f>
        <v>1394567.6480229734</v>
      </c>
      <c r="D32" s="461">
        <f>IFERROR('MSE per country'!J4,"")</f>
        <v>67126.619843750654</v>
      </c>
      <c r="E32" s="461">
        <f>IFERROR('MSE per country'!K4,"")</f>
        <v>250003.39976453365</v>
      </c>
      <c r="F32" s="461">
        <f>IFERROR('MSE per country'!L4,"")</f>
        <v>2619350.1107734838</v>
      </c>
      <c r="G32" s="461">
        <f>IFERROR('MSE per country'!M4,"")</f>
        <v>3050396.2510556644</v>
      </c>
      <c r="H32" s="461">
        <f>IFERROR('MSE per country'!N4,"")</f>
        <v>0</v>
      </c>
      <c r="I32" s="461">
        <f>IFERROR('MSE per country'!O4,"")</f>
        <v>-5522020.4987631086</v>
      </c>
    </row>
    <row r="33" spans="1:9" ht="18" x14ac:dyDescent="0.25">
      <c r="A33" s="194" t="str">
        <f t="shared" si="2"/>
        <v>União Européia</v>
      </c>
      <c r="B33" s="462">
        <f>IFERROR('MSE per country'!H5,"")</f>
        <v>115367775.55047011</v>
      </c>
      <c r="C33" s="462">
        <f>IFERROR('MSE per country'!I5,"")</f>
        <v>87048639.319791719</v>
      </c>
      <c r="D33" s="462">
        <f>IFERROR('MSE per country'!J5,"")</f>
        <v>1747603.770145868</v>
      </c>
      <c r="E33" s="462">
        <f>IFERROR('MSE per country'!K5,"")</f>
        <v>16575218.975074144</v>
      </c>
      <c r="F33" s="462">
        <f>IFERROR('MSE per country'!L5,"")</f>
        <v>2154399.1958331605</v>
      </c>
      <c r="G33" s="462">
        <f>IFERROR('MSE per country'!M5,"")</f>
        <v>14392826.612107176</v>
      </c>
      <c r="H33" s="462">
        <f>IFERROR('MSE per country'!N5,"")</f>
        <v>137385.9144790119</v>
      </c>
      <c r="I33" s="462">
        <f>IFERROR('MSE per country'!O5,"")</f>
        <v>-6688298.2369609624</v>
      </c>
    </row>
    <row r="34" spans="1:9" ht="18" x14ac:dyDescent="0.25">
      <c r="A34" s="43" t="str">
        <f t="shared" si="2"/>
        <v>Oriente médio</v>
      </c>
      <c r="B34" s="461" t="str">
        <f>IFERROR('MSE per country'!H6,"")</f>
        <v/>
      </c>
      <c r="C34" s="461">
        <f>IFERROR('MSE per country'!I6,"")</f>
        <v>0</v>
      </c>
      <c r="D34" s="461">
        <f>IFERROR('MSE per country'!J6,"")</f>
        <v>0</v>
      </c>
      <c r="E34" s="461">
        <f>IFERROR('MSE per country'!K6,"")</f>
        <v>0</v>
      </c>
      <c r="F34" s="461">
        <f>IFERROR('MSE per country'!L6,"")</f>
        <v>0</v>
      </c>
      <c r="G34" s="461">
        <f>IFERROR('MSE per country'!M6,"")</f>
        <v>0</v>
      </c>
      <c r="H34" s="461">
        <f>IFERROR('MSE per country'!N6,"")</f>
        <v>0</v>
      </c>
      <c r="I34" s="461" t="str">
        <f>IFERROR('MSE per country'!O6,"")</f>
        <v/>
      </c>
    </row>
    <row r="35" spans="1:9" ht="18" x14ac:dyDescent="0.25">
      <c r="A35" s="194" t="str">
        <f t="shared" si="2"/>
        <v>América do Norte</v>
      </c>
      <c r="B35" s="462">
        <f>IFERROR('MSE per country'!H7,"")</f>
        <v>200836349.932374</v>
      </c>
      <c r="C35" s="462">
        <f>IFERROR('MSE per country'!I7,"")</f>
        <v>122214142.05331922</v>
      </c>
      <c r="D35" s="462">
        <f>IFERROR('MSE per country'!J7,"")</f>
        <v>6882549</v>
      </c>
      <c r="E35" s="462">
        <f>IFERROR('MSE per country'!K7,"")</f>
        <v>9396786.9432365838</v>
      </c>
      <c r="F35" s="462">
        <f>IFERROR('MSE per country'!L7,"")</f>
        <v>2206083.98561572</v>
      </c>
      <c r="G35" s="462">
        <f>IFERROR('MSE per country'!M7,"")</f>
        <v>17345666.893083032</v>
      </c>
      <c r="H35" s="462">
        <f>IFERROR('MSE per country'!N7,"")</f>
        <v>8702812.7782168891</v>
      </c>
      <c r="I35" s="462">
        <f>IFERROR('MSE per country'!O7,"")</f>
        <v>34088308.278902531</v>
      </c>
    </row>
    <row r="36" spans="1:9" ht="18" x14ac:dyDescent="0.25">
      <c r="A36" s="43" t="str">
        <f t="shared" si="2"/>
        <v>Oceânia</v>
      </c>
      <c r="B36" s="461" t="str">
        <f>IFERROR('MSE per country'!H8,"")</f>
        <v/>
      </c>
      <c r="C36" s="461">
        <f>IFERROR('MSE per country'!I8,"")</f>
        <v>0</v>
      </c>
      <c r="D36" s="461">
        <f>IFERROR('MSE per country'!J8,"")</f>
        <v>0</v>
      </c>
      <c r="E36" s="461">
        <f>IFERROR('MSE per country'!K8,"")</f>
        <v>0</v>
      </c>
      <c r="F36" s="461">
        <f>IFERROR('MSE per country'!L8,"")</f>
        <v>0</v>
      </c>
      <c r="G36" s="461">
        <f>IFERROR('MSE per country'!M8,"")</f>
        <v>0</v>
      </c>
      <c r="H36" s="461">
        <f>IFERROR('MSE per country'!N8,"")</f>
        <v>0</v>
      </c>
      <c r="I36" s="461" t="str">
        <f>IFERROR('MSE per country'!O8,"")</f>
        <v/>
      </c>
    </row>
    <row r="37" spans="1:9" ht="18" x14ac:dyDescent="0.25">
      <c r="A37" s="194" t="str">
        <f t="shared" si="2"/>
        <v>América do Sul</v>
      </c>
      <c r="B37" s="462" t="str">
        <f>IFERROR('MSE per country'!H9,"")</f>
        <v/>
      </c>
      <c r="C37" s="462">
        <f>IFERROR('MSE per country'!I9,"")</f>
        <v>0</v>
      </c>
      <c r="D37" s="462">
        <f>IFERROR('MSE per country'!J9,"")</f>
        <v>0</v>
      </c>
      <c r="E37" s="462">
        <f>IFERROR('MSE per country'!K9,"")</f>
        <v>0</v>
      </c>
      <c r="F37" s="462">
        <f>IFERROR('MSE per country'!L9,"")</f>
        <v>0</v>
      </c>
      <c r="G37" s="462">
        <f>IFERROR('MSE per country'!M9,"")</f>
        <v>0</v>
      </c>
      <c r="H37" s="462">
        <f>IFERROR('MSE per country'!N9,"")</f>
        <v>0</v>
      </c>
      <c r="I37" s="462" t="str">
        <f>IFERROR('MSE per country'!O9,"")</f>
        <v/>
      </c>
    </row>
    <row r="38" spans="1:9" ht="18" x14ac:dyDescent="0.25">
      <c r="A38" s="43" t="str">
        <f t="shared" si="2"/>
        <v>África Subsaariana</v>
      </c>
      <c r="B38" s="461" t="str">
        <f>IFERROR('MSE per country'!H10,"")</f>
        <v/>
      </c>
      <c r="C38" s="461">
        <f>IFERROR('MSE per country'!I10,"")</f>
        <v>0</v>
      </c>
      <c r="D38" s="461">
        <f>IFERROR('MSE per country'!J10,"")</f>
        <v>0</v>
      </c>
      <c r="E38" s="461">
        <f>IFERROR('MSE per country'!K10,"")</f>
        <v>0</v>
      </c>
      <c r="F38" s="461">
        <f>IFERROR('MSE per country'!L10,"")</f>
        <v>0</v>
      </c>
      <c r="G38" s="461">
        <f>IFERROR('MSE per country'!M10,"")</f>
        <v>0</v>
      </c>
      <c r="H38" s="461">
        <f>IFERROR('MSE per country'!N10,"")</f>
        <v>0</v>
      </c>
      <c r="I38" s="461" t="str">
        <f>IFERROR('MSE per country'!O10,"")</f>
        <v/>
      </c>
    </row>
    <row r="39" spans="1:9" ht="18" x14ac:dyDescent="0.25">
      <c r="A39" s="194" t="str">
        <f t="shared" si="2"/>
        <v>Caribe</v>
      </c>
      <c r="B39" s="462" t="str">
        <f>IFERROR('MSE per country'!H11,"")</f>
        <v/>
      </c>
      <c r="C39" s="462">
        <f>IFERROR('MSE per country'!I11,"")</f>
        <v>0</v>
      </c>
      <c r="D39" s="462">
        <f>IFERROR('MSE per country'!J11,"")</f>
        <v>0</v>
      </c>
      <c r="E39" s="462">
        <f>IFERROR('MSE per country'!K11,"")</f>
        <v>0</v>
      </c>
      <c r="F39" s="462">
        <f>IFERROR('MSE per country'!L11,"")</f>
        <v>0</v>
      </c>
      <c r="G39" s="462">
        <f>IFERROR('MSE per country'!M11,"")</f>
        <v>0</v>
      </c>
      <c r="H39" s="462">
        <f>IFERROR('MSE per country'!N11,"")</f>
        <v>0</v>
      </c>
      <c r="I39" s="462" t="str">
        <f>IFERROR('MSE per country'!O11,"")</f>
        <v/>
      </c>
    </row>
    <row r="40" spans="1:9" ht="20.25" x14ac:dyDescent="0.3">
      <c r="A40" s="195" t="s">
        <v>1290</v>
      </c>
      <c r="B40" s="463">
        <f>SUM(B30:B39)</f>
        <v>471734898.12751722</v>
      </c>
      <c r="C40" s="463">
        <f t="shared" ref="C40:I40" si="3">SUM(C30:C39)</f>
        <v>325910860.85661578</v>
      </c>
      <c r="D40" s="463">
        <f t="shared" si="3"/>
        <v>12410172.543665195</v>
      </c>
      <c r="E40" s="463">
        <f t="shared" si="3"/>
        <v>33976952.147795297</v>
      </c>
      <c r="F40" s="463">
        <f t="shared" si="3"/>
        <v>15334754.030660916</v>
      </c>
      <c r="G40" s="463">
        <f t="shared" si="3"/>
        <v>55616479.74254477</v>
      </c>
      <c r="H40" s="463">
        <f t="shared" si="3"/>
        <v>10119864.259715518</v>
      </c>
      <c r="I40" s="463">
        <f t="shared" si="3"/>
        <v>18365814.546519771</v>
      </c>
    </row>
    <row r="41" spans="1:9" x14ac:dyDescent="0.35"/>
    <row r="42" spans="1:9" x14ac:dyDescent="0.35"/>
    <row r="43" spans="1:9" x14ac:dyDescent="0.35"/>
    <row r="44" spans="1:9" x14ac:dyDescent="0.35"/>
    <row r="45" spans="1:9" x14ac:dyDescent="0.35"/>
    <row r="46" spans="1:9" x14ac:dyDescent="0.35"/>
    <row r="47" spans="1:9" x14ac:dyDescent="0.35"/>
    <row r="48" spans="1:9" x14ac:dyDescent="0.35"/>
    <row r="49" spans="1:9" x14ac:dyDescent="0.35"/>
    <row r="50" spans="1:9" x14ac:dyDescent="0.35"/>
    <row r="51" spans="1:9" x14ac:dyDescent="0.35"/>
    <row r="52" spans="1:9" x14ac:dyDescent="0.35"/>
    <row r="53" spans="1:9" ht="4.5" customHeight="1" x14ac:dyDescent="0.35"/>
    <row r="54" spans="1:9" ht="38.25" customHeight="1" x14ac:dyDescent="0.25">
      <c r="A54" s="853" t="str">
        <f>Language!C370</f>
        <v>Análise de competição</v>
      </c>
      <c r="B54" s="853"/>
      <c r="C54" s="853"/>
      <c r="D54" s="853"/>
      <c r="E54" s="853"/>
      <c r="F54" s="853"/>
      <c r="G54" s="853"/>
      <c r="H54" s="853"/>
      <c r="I54" s="853"/>
    </row>
    <row r="55" spans="1:9" ht="56.25" customHeight="1" x14ac:dyDescent="0.35">
      <c r="A55" s="192" t="str" cm="1">
        <f t="array" ref="A55:G55">TRANSPOSE(Language!C371:C377)</f>
        <v>Empresa / jogador / equipe</v>
      </c>
      <c r="B55" s="193" t="str">
        <v>Receitas por jogador (milhares)</v>
      </c>
      <c r="C55" s="221" t="str">
        <v>Total de despesas de marketing e vendas (milhares)</v>
      </c>
      <c r="D55" s="222" t="str">
        <v>Lucro Líquido (após parceiros, impostos e juros) (milhares)</v>
      </c>
      <c r="E55" s="193" t="str">
        <v>Disponibilidade de caixa (milhares)</v>
      </c>
      <c r="F55" s="182" t="str">
        <v>Número de corridas por jogador (milhares)</v>
      </c>
      <c r="G55" s="182" t="str">
        <v>Receitas por jogador (milhares)</v>
      </c>
    </row>
    <row r="56" spans="1:9" x14ac:dyDescent="0.35">
      <c r="A56" s="43" t="str">
        <f>IF('Config!'!AZ3="","",'Config!'!AZ3)</f>
        <v>T1 - BlitzRide</v>
      </c>
      <c r="B56" s="455">
        <f>IF(_xlfn.SINGLE(INDEX('Result data'!$B$188:$DQ$188,1,SUMIF('Result data'!$B$186:$DQ$186,'Config!'!$BE3&amp;"_"&amp;'General Report'!$I$1,'Result data'!$B$207:$DQ$207)))=0,"",_xlfn.SINGLE(INDEX('Result data'!$B$188:$DQ$188,1,SUMIF('Result data'!$B$186:$DQ$186,'Config!'!$BE3&amp;"_"&amp;'General Report'!$I$1,'Result data'!$B$207:$DQ$207))))</f>
        <v>29571924.471001029</v>
      </c>
      <c r="C56" s="455">
        <f>IF(A56="","",_xlfn.SINGLE(INDEX('Result data'!$B$194:$DQ$194,1,SUMIF('Result data'!$B$186:$DQ$186,'Config!'!$BE3&amp;"_"&amp;'General Report'!$I$1,'Result data'!$B$207:$DQ$207))))</f>
        <v>605000</v>
      </c>
      <c r="D56" s="455">
        <f>IF(A56="","",_xlfn.SINGLE(INDEX('Result data'!$B$203:$DQ$203,1,SUMIF('Result data'!$B$186:$DQ$186,'Config!'!$BE3&amp;"_"&amp;'General Report'!$I$1,'Result data'!$B$207:$DQ$207))))</f>
        <v>-4947401.0199537436</v>
      </c>
      <c r="E56" s="455">
        <f>IF(A56="","",_xlfn.SINGLE(INDEX('Result data'!$B$204:$DQ$204,1,SUMIF('Result data'!$B$186:$DQ$186,'Config!'!$BE3&amp;"_"&amp;'General Report'!$I$1,'Result data'!$B$207:$DQ$207))))</f>
        <v>-4621834.5570100052</v>
      </c>
      <c r="I56" s="196"/>
    </row>
    <row r="57" spans="1:9" x14ac:dyDescent="0.35">
      <c r="A57" s="194" t="str">
        <f>IF('Config!'!AZ4="","",'Config!'!AZ4)</f>
        <v>T2 - .</v>
      </c>
      <c r="B57" s="456">
        <f>IF(_xlfn.SINGLE(INDEX('Result data'!$B$188:$DQ$188,1,SUMIF('Result data'!$B$186:$DQ$186,'Config!'!$BE4&amp;"_"&amp;'General Report'!$I$1,'Result data'!$B$207:$DQ$207)))=0,"",_xlfn.SINGLE(INDEX('Result data'!$B$188:$DQ$188,1,SUMIF('Result data'!$B$186:$DQ$186,'Config!'!$BE4&amp;"_"&amp;'General Report'!$I$1,'Result data'!$B$207:$DQ$207))))</f>
        <v>42406585.909411065</v>
      </c>
      <c r="C57" s="456">
        <f>IF(A57="","",_xlfn.SINGLE(INDEX('Result data'!$B$194:$DQ$194,1,SUMIF('Result data'!$B$186:$DQ$186,'Config!'!$BE4&amp;"_"&amp;'General Report'!$I$1,'Result data'!$B$207:$DQ$207))))</f>
        <v>1000000</v>
      </c>
      <c r="D57" s="456">
        <f>IF(A57="","",_xlfn.SINGLE(INDEX('Result data'!$B$203:$DQ$203,1,SUMIF('Result data'!$B$186:$DQ$186,'Config!'!$BE4&amp;"_"&amp;'General Report'!$I$1,'Result data'!$B$207:$DQ$207))))</f>
        <v>-7521315.6884186678</v>
      </c>
      <c r="E57" s="456">
        <f>IF(A57="","",_xlfn.SINGLE(INDEX('Result data'!$B$204:$DQ$204,1,SUMIF('Result data'!$B$186:$DQ$186,'Config!'!$BE4&amp;"_"&amp;'General Report'!$I$1,'Result data'!$B$207:$DQ$207))))</f>
        <v>-5276849.3570706062</v>
      </c>
      <c r="I57" s="197"/>
    </row>
    <row r="58" spans="1:9" x14ac:dyDescent="0.35">
      <c r="A58" s="43" t="str">
        <f>IF('Config!'!AZ5="","",'Config!'!AZ5)</f>
        <v>T3 - .</v>
      </c>
      <c r="B58" s="455">
        <f>IF(_xlfn.SINGLE(INDEX('Result data'!$B$188:$DQ$188,1,SUMIF('Result data'!$B$186:$DQ$186,'Config!'!$BE5&amp;"_"&amp;'General Report'!$I$1,'Result data'!$B$207:$DQ$207)))=0,"",_xlfn.SINGLE(INDEX('Result data'!$B$188:$DQ$188,1,SUMIF('Result data'!$B$186:$DQ$186,'Config!'!$BE5&amp;"_"&amp;'General Report'!$I$1,'Result data'!$B$207:$DQ$207))))</f>
        <v>70466326.271968588</v>
      </c>
      <c r="C58" s="455">
        <f>IF(A58="","",_xlfn.SINGLE(INDEX('Result data'!$B$194:$DQ$194,1,SUMIF('Result data'!$B$186:$DQ$186,'Config!'!$BE5&amp;"_"&amp;'General Report'!$I$1,'Result data'!$B$207:$DQ$207))))</f>
        <v>490000</v>
      </c>
      <c r="D58" s="455">
        <f>IF(A58="","",_xlfn.SINGLE(INDEX('Result data'!$B$203:$DQ$203,1,SUMIF('Result data'!$B$186:$DQ$186,'Config!'!$BE5&amp;"_"&amp;'General Report'!$I$1,'Result data'!$B$207:$DQ$207))))</f>
        <v>-698913.24695345678</v>
      </c>
      <c r="E58" s="455">
        <f>IF(A58="","",_xlfn.SINGLE(INDEX('Result data'!$B$204:$DQ$204,1,SUMIF('Result data'!$B$186:$DQ$186,'Config!'!$BE5&amp;"_"&amp;'General Report'!$I$1,'Result data'!$B$207:$DQ$207))))</f>
        <v>-564273.82531428069</v>
      </c>
      <c r="I58" s="196"/>
    </row>
    <row r="59" spans="1:9" x14ac:dyDescent="0.35">
      <c r="A59" s="194" t="str">
        <f>IF('Config!'!AZ6="","",'Config!'!AZ6)</f>
        <v>T4 - We Drive</v>
      </c>
      <c r="B59" s="456">
        <f>IF(_xlfn.SINGLE(INDEX('Result data'!$B$188:$DQ$188,1,SUMIF('Result data'!$B$186:$DQ$186,'Config!'!$BE6&amp;"_"&amp;'General Report'!$I$1,'Result data'!$B$207:$DQ$207)))=0,"",_xlfn.SINGLE(INDEX('Result data'!$B$188:$DQ$188,1,SUMIF('Result data'!$B$186:$DQ$186,'Config!'!$BE6&amp;"_"&amp;'General Report'!$I$1,'Result data'!$B$207:$DQ$207))))</f>
        <v>200836349.932374</v>
      </c>
      <c r="C59" s="456">
        <f>IF(A59="","",_xlfn.SINGLE(INDEX('Result data'!$B$194:$DQ$194,1,SUMIF('Result data'!$B$186:$DQ$186,'Config!'!$BE6&amp;"_"&amp;'General Report'!$I$1,'Result data'!$B$207:$DQ$207))))</f>
        <v>6882549</v>
      </c>
      <c r="D59" s="456">
        <f>IF(A59="","",_xlfn.SINGLE(INDEX('Result data'!$B$203:$DQ$203,1,SUMIF('Result data'!$B$186:$DQ$186,'Config!'!$BE6&amp;"_"&amp;'General Report'!$I$1,'Result data'!$B$207:$DQ$207))))</f>
        <v>35657613.276339889</v>
      </c>
      <c r="E59" s="456">
        <f>IF(A59="","",_xlfn.SINGLE(INDEX('Result data'!$B$204:$DQ$204,1,SUMIF('Result data'!$B$186:$DQ$186,'Config!'!$BE6&amp;"_"&amp;'General Report'!$I$1,'Result data'!$B$207:$DQ$207))))</f>
        <v>49422712.405018084</v>
      </c>
      <c r="I59" s="197"/>
    </row>
    <row r="60" spans="1:9" x14ac:dyDescent="0.35">
      <c r="A60" s="43" t="str">
        <f>IF('Config!'!AZ7="","",'Config!'!AZ7)</f>
        <v>T5 - Norimono</v>
      </c>
      <c r="B60" s="455">
        <f>IF(_xlfn.SINGLE(INDEX('Result data'!$B$188:$DQ$188,1,SUMIF('Result data'!$B$186:$DQ$186,'Config!'!$BE7&amp;"_"&amp;'General Report'!$I$1,'Result data'!$B$207:$DQ$207)))=0,"",_xlfn.SINGLE(INDEX('Result data'!$B$188:$DQ$188,1,SUMIF('Result data'!$B$186:$DQ$186,'Config!'!$BE7&amp;"_"&amp;'General Report'!$I$1,'Result data'!$B$207:$DQ$207))))</f>
        <v>92894974.567157641</v>
      </c>
      <c r="C60" s="455">
        <f>IF(A60="","",_xlfn.SINGLE(INDEX('Result data'!$B$194:$DQ$194,1,SUMIF('Result data'!$B$186:$DQ$186,'Config!'!$BE7&amp;"_"&amp;'General Report'!$I$1,'Result data'!$B$207:$DQ$207))))</f>
        <v>2579956.0895342566</v>
      </c>
      <c r="D60" s="455">
        <f>IF(A60="","",_xlfn.SINGLE(INDEX('Result data'!$B$203:$DQ$203,1,SUMIF('Result data'!$B$186:$DQ$186,'Config!'!$BE7&amp;"_"&amp;'General Report'!$I$1,'Result data'!$B$207:$DQ$207))))</f>
        <v>3189394.6162279579</v>
      </c>
      <c r="E60" s="455">
        <f>IF(A60="","",_xlfn.SINGLE(INDEX('Result data'!$B$204:$DQ$204,1,SUMIF('Result data'!$B$186:$DQ$186,'Config!'!$BE7&amp;"_"&amp;'General Report'!$I$1,'Result data'!$B$207:$DQ$207))))</f>
        <v>8349306.7952964716</v>
      </c>
      <c r="I60" s="196"/>
    </row>
    <row r="61" spans="1:9" x14ac:dyDescent="0.35">
      <c r="A61" s="194" t="str">
        <f>IF('Config!'!AZ8="","",'Config!'!AZ8)</f>
        <v>T6 - NextRide</v>
      </c>
      <c r="B61" s="456">
        <f>IF(_xlfn.SINGLE(INDEX('Result data'!$B$188:$DQ$188,1,SUMIF('Result data'!$B$186:$DQ$186,'Config!'!$BE8&amp;"_"&amp;'General Report'!$I$1,'Result data'!$B$207:$DQ$207)))=0,"",_xlfn.SINGLE(INDEX('Result data'!$B$188:$DQ$188,1,SUMIF('Result data'!$B$186:$DQ$186,'Config!'!$BE8&amp;"_"&amp;'General Report'!$I$1,'Result data'!$B$207:$DQ$207))))</f>
        <v>35558736.975604951</v>
      </c>
      <c r="C61" s="456">
        <f>IF(A61="","",_xlfn.SINGLE(INDEX('Result data'!$B$194:$DQ$194,1,SUMIF('Result data'!$B$186:$DQ$186,'Config!'!$BE8&amp;"_"&amp;'General Report'!$I$1,'Result data'!$B$207:$DQ$207))))</f>
        <v>852667.45413093688</v>
      </c>
      <c r="D61" s="456">
        <f>IF(A61="","",_xlfn.SINGLE(INDEX('Result data'!$B$203:$DQ$203,1,SUMIF('Result data'!$B$186:$DQ$186,'Config!'!$BE8&amp;"_"&amp;'General Report'!$I$1,'Result data'!$B$207:$DQ$207))))</f>
        <v>-3240079.4753457978</v>
      </c>
      <c r="E61" s="456">
        <f>IF(A61="","",_xlfn.SINGLE(INDEX('Result data'!$B$204:$DQ$204,1,SUMIF('Result data'!$B$186:$DQ$186,'Config!'!$BE8&amp;"_"&amp;'General Report'!$I$1,'Result data'!$B$207:$DQ$207))))</f>
        <v>-1534744.5670839241</v>
      </c>
      <c r="I61" s="197"/>
    </row>
    <row r="62" spans="1:9" x14ac:dyDescent="0.35">
      <c r="A62" s="43" t="str">
        <f>IF('Config!'!AZ9="","",'Config!'!AZ9)</f>
        <v/>
      </c>
      <c r="B62" s="455" t="str">
        <f>IF(_xlfn.SINGLE(INDEX('Result data'!$B$188:$DQ$188,1,SUMIF('Result data'!$B$186:$DQ$186,'Config!'!$BE9&amp;"_"&amp;'General Report'!$I$1,'Result data'!$B$207:$DQ$207)))=0,"",_xlfn.SINGLE(INDEX('Result data'!$B$188:$DQ$188,1,SUMIF('Result data'!$B$186:$DQ$186,'Config!'!$BE9&amp;"_"&amp;'General Report'!$I$1,'Result data'!$B$207:$DQ$207))))</f>
        <v/>
      </c>
      <c r="C62" s="455" t="str">
        <f>IF(A62="","",_xlfn.SINGLE(INDEX('Result data'!$B$194:$DQ$194,1,SUMIF('Result data'!$B$186:$DQ$186,'Config!'!$BE9&amp;"_"&amp;'General Report'!$I$1,'Result data'!$B$207:$DQ$207))))</f>
        <v/>
      </c>
      <c r="D62" s="455" t="str">
        <f>IF(A62="","",_xlfn.SINGLE(INDEX('Result data'!$B$203:$DQ$203,1,SUMIF('Result data'!$B$186:$DQ$186,'Config!'!$BE9&amp;"_"&amp;'General Report'!$I$1,'Result data'!$B$207:$DQ$207))))</f>
        <v/>
      </c>
      <c r="E62" s="455" t="str">
        <f>IF(A62="","",_xlfn.SINGLE(INDEX('Result data'!$B$204:$DQ$204,1,SUMIF('Result data'!$B$186:$DQ$186,'Config!'!$BE9&amp;"_"&amp;'General Report'!$I$1,'Result data'!$B$207:$DQ$207))))</f>
        <v/>
      </c>
      <c r="I62" s="196"/>
    </row>
    <row r="63" spans="1:9" x14ac:dyDescent="0.35">
      <c r="A63" s="194" t="str">
        <f>IF('Config!'!AZ10="","",'Config!'!AZ10)</f>
        <v/>
      </c>
      <c r="B63" s="456" t="str">
        <f>IF(_xlfn.SINGLE(INDEX('Result data'!$B$188:$DQ$188,1,SUMIF('Result data'!$B$186:$DQ$186,'Config!'!$BE10&amp;"_"&amp;'General Report'!$I$1,'Result data'!$B$207:$DQ$207)))=0,"",_xlfn.SINGLE(INDEX('Result data'!$B$188:$DQ$188,1,SUMIF('Result data'!$B$186:$DQ$186,'Config!'!$BE10&amp;"_"&amp;'General Report'!$I$1,'Result data'!$B$207:$DQ$207))))</f>
        <v/>
      </c>
      <c r="C63" s="456" t="str">
        <f>IF(A63="","",_xlfn.SINGLE(INDEX('Result data'!$B$194:$DQ$194,1,SUMIF('Result data'!$B$186:$DQ$186,'Config!'!$BE10&amp;"_"&amp;'General Report'!$I$1,'Result data'!$B$207:$DQ$207))))</f>
        <v/>
      </c>
      <c r="D63" s="456" t="str">
        <f>IF(A63="","",_xlfn.SINGLE(INDEX('Result data'!$B$203:$DQ$203,1,SUMIF('Result data'!$B$186:$DQ$186,'Config!'!$BE10&amp;"_"&amp;'General Report'!$I$1,'Result data'!$B$207:$DQ$207))))</f>
        <v/>
      </c>
      <c r="E63" s="456" t="str">
        <f>IF(A63="","",_xlfn.SINGLE(INDEX('Result data'!$B$204:$DQ$204,1,SUMIF('Result data'!$B$186:$DQ$186,'Config!'!$BE10&amp;"_"&amp;'General Report'!$I$1,'Result data'!$B$207:$DQ$207))))</f>
        <v/>
      </c>
      <c r="I63" s="197"/>
    </row>
    <row r="64" spans="1:9" x14ac:dyDescent="0.35">
      <c r="A64" s="43" t="str">
        <f>IF('Config!'!AZ11="","",'Config!'!AZ11)</f>
        <v/>
      </c>
      <c r="B64" s="455" t="str">
        <f>IF(_xlfn.SINGLE(INDEX('Result data'!$B$188:$DQ$188,1,SUMIF('Result data'!$B$186:$DQ$186,'Config!'!$BE11&amp;"_"&amp;'General Report'!$I$1,'Result data'!$B$207:$DQ$207)))=0,"",_xlfn.SINGLE(INDEX('Result data'!$B$188:$DQ$188,1,SUMIF('Result data'!$B$186:$DQ$186,'Config!'!$BE11&amp;"_"&amp;'General Report'!$I$1,'Result data'!$B$207:$DQ$207))))</f>
        <v/>
      </c>
      <c r="C64" s="455" t="str">
        <f>IF(A64="","",_xlfn.SINGLE(INDEX('Result data'!$B$194:$DQ$194,1,SUMIF('Result data'!$B$186:$DQ$186,'Config!'!$BE11&amp;"_"&amp;'General Report'!$I$1,'Result data'!$B$207:$DQ$207))))</f>
        <v/>
      </c>
      <c r="D64" s="455" t="str">
        <f>IF(A64="","",_xlfn.SINGLE(INDEX('Result data'!$B$203:$DQ$203,1,SUMIF('Result data'!$B$186:$DQ$186,'Config!'!$BE11&amp;"_"&amp;'General Report'!$I$1,'Result data'!$B$207:$DQ$207))))</f>
        <v/>
      </c>
      <c r="E64" s="455" t="str">
        <f>IF(A64="","",_xlfn.SINGLE(INDEX('Result data'!$B$204:$DQ$204,1,SUMIF('Result data'!$B$186:$DQ$186,'Config!'!$BE11&amp;"_"&amp;'General Report'!$I$1,'Result data'!$B$207:$DQ$207))))</f>
        <v/>
      </c>
      <c r="I64" s="196"/>
    </row>
    <row r="65" spans="1:10" x14ac:dyDescent="0.35">
      <c r="A65" s="194" t="str">
        <f>IF('Config!'!AZ12="","",'Config!'!AZ12)</f>
        <v/>
      </c>
      <c r="B65" s="456" t="str">
        <f>IF(_xlfn.SINGLE(INDEX('Result data'!$B$188:$DQ$188,1,SUMIF('Result data'!$B$186:$DQ$186,'Config!'!$BE12&amp;"_"&amp;'General Report'!$I$1,'Result data'!$B$207:$DQ$207)))=0,"",_xlfn.SINGLE(INDEX('Result data'!$B$188:$DQ$188,1,SUMIF('Result data'!$B$186:$DQ$186,'Config!'!$BE12&amp;"_"&amp;'General Report'!$I$1,'Result data'!$B$207:$DQ$207))))</f>
        <v/>
      </c>
      <c r="C65" s="456" t="str">
        <f>IF(A65="","",_xlfn.SINGLE(INDEX('Result data'!$B$194:$DQ$194,1,SUMIF('Result data'!$B$186:$DQ$186,'Config!'!$BE12&amp;"_"&amp;'General Report'!$I$1,'Result data'!$B$207:$DQ$207))))</f>
        <v/>
      </c>
      <c r="D65" s="456" t="str">
        <f>IF(A65="","",_xlfn.SINGLE(INDEX('Result data'!$B$203:$DQ$203,1,SUMIF('Result data'!$B$186:$DQ$186,'Config!'!$BE12&amp;"_"&amp;'General Report'!$I$1,'Result data'!$B$207:$DQ$207))))</f>
        <v/>
      </c>
      <c r="E65" s="456" t="str">
        <f>IF(A65="","",_xlfn.SINGLE(INDEX('Result data'!$B$204:$DQ$204,1,SUMIF('Result data'!$B$186:$DQ$186,'Config!'!$BE12&amp;"_"&amp;'General Report'!$I$1,'Result data'!$B$207:$DQ$207))))</f>
        <v/>
      </c>
      <c r="I65" s="197"/>
    </row>
    <row r="66" spans="1:10" ht="20.25" x14ac:dyDescent="0.3">
      <c r="A66" s="195" t="str">
        <f>Language!C356</f>
        <v>Total do mundo</v>
      </c>
      <c r="B66" s="457">
        <f>SUM(B56:B65)</f>
        <v>471734898.12751728</v>
      </c>
      <c r="C66" s="457">
        <f t="shared" ref="C66" si="4">SUM(C56:C65)</f>
        <v>12410172.543665193</v>
      </c>
      <c r="D66" s="457">
        <f t="shared" ref="D66" si="5">SUM(D56:D65)</f>
        <v>22439298.461896181</v>
      </c>
      <c r="E66" s="457">
        <f t="shared" ref="E66" si="6">SUM(E56:E65)</f>
        <v>45774316.893835738</v>
      </c>
      <c r="F66" s="198"/>
      <c r="G66" s="198"/>
      <c r="H66" s="198"/>
      <c r="I66" s="198"/>
    </row>
    <row r="67" spans="1:10" ht="73.5" customHeight="1" x14ac:dyDescent="0.25">
      <c r="A67" s="223" t="str" cm="1">
        <f t="array" ref="A67:J67">TRANSPOSE(Language!C378:C387)</f>
        <v>Empresa / jogador / equipe</v>
      </c>
      <c r="B67" s="224" t="str">
        <v>Usuários ativos (milhares)</v>
      </c>
      <c r="C67" s="224" t="str">
        <v>Crescimento: usuários ativos</v>
      </c>
      <c r="D67" s="441" t="str">
        <v>Número de corridas por competidor (milhares)</v>
      </c>
      <c r="E67" s="224" t="str">
        <v>Participação de mercado global (número de corridas)</v>
      </c>
      <c r="F67" s="224" t="str">
        <v>Crescimento: margem bruta</v>
      </c>
      <c r="G67" s="224" t="str">
        <v>Presença: Número de regiões</v>
      </c>
      <c r="H67" s="224" t="str">
        <v>Presença: Número de países</v>
      </c>
      <c r="I67" s="224" t="str">
        <v>Diversificação de receita</v>
      </c>
      <c r="J67" s="236" t="str">
        <v>Milhões</v>
      </c>
    </row>
    <row r="68" spans="1:10" ht="18" x14ac:dyDescent="0.25">
      <c r="A68" s="43" t="str">
        <f>A56&amp;'Config!'!BI3</f>
        <v>T1 - BlitzRide</v>
      </c>
      <c r="B68" s="445">
        <f>IFERROR(IF(A56="","",INDEX('Result data'!$B$208:$DQ$208,1,SUMIF('Result data'!$B$186:$DQ$186,'Config!'!$BE3&amp;"_"&amp;'General Report'!$I$1,'Result data'!$B$207:$DQ$207))),"")</f>
        <v>2629087.3831547895</v>
      </c>
      <c r="C68" s="219">
        <f>IFERROR(IF(A56="","",INDEX('Result data'!$B527:$K527,1,'General Report'!I$1-2010)),"")</f>
        <v>1.2783689658649173</v>
      </c>
      <c r="D68" s="445">
        <f>IF(A56="","",_xlfn.SINGLE(INDEX('Result data'!$B$211:$DQ$211,1,SUMIF('Result data'!$B$186:$DQ$186,'Config!'!$BE3&amp;"_"&amp;'General Report'!$I$1,'Result data'!$B$207:$DQ$207))))</f>
        <v>3686375.349907388</v>
      </c>
      <c r="E68" s="230">
        <f>IFERROR(IF(A56="","",INDEX('Result data'!$B$212:$DQ$212,1,SUMIF('Result data'!$B$186:$DQ$186,'Config!'!$BE3&amp;"_"&amp;'General Report'!$I$1,'Result data'!$B$207:$DQ$207))),"")</f>
        <v>5.0024548259945539E-2</v>
      </c>
      <c r="F68" s="230">
        <f>IFERROR(IF(A56="","",INDEX('Result data'!$B539:$K539,1,'General Report'!I$1-2010)),"")</f>
        <v>0.87244583700090117</v>
      </c>
      <c r="G68" s="231">
        <f>IFERROR(IF(A56="","",INDEX('Result data'!$B$57:$DQ$57,1,SUMIF('Result data'!$B$186:$DQ$186,'Config!'!$BE3&amp;"_"&amp;'General Report'!$I$1,'Result data'!$B$207:$DQ$207))),"")</f>
        <v>2</v>
      </c>
      <c r="H68" s="231">
        <f>IFERROR(IF(A56="","",INDEX('Result data'!$B$58:$DQ$58,1,SUMIF('Result data'!$B$186:$DQ$186,'Config!'!$BE3&amp;"_"&amp;'General Report'!$I$1,'Result data'!$B$207:$DQ$207))),"")</f>
        <v>2</v>
      </c>
      <c r="I68" s="230">
        <f>IFERROR(IF(A56="","",INDEX('Result data'!$B$81:$DQ$81,1,SUMIF('Result data'!$B$186:$DQ$186,'Config!'!$BE3&amp;"_"&amp;'General Report'!$I$1,'Result data'!$B$207:$DQ$207))),"")</f>
        <v>0.13094302000539082</v>
      </c>
    </row>
    <row r="69" spans="1:10" ht="18" x14ac:dyDescent="0.25">
      <c r="A69" s="225" t="str">
        <f>A57&amp;'Config!'!BI4</f>
        <v>T2 - .</v>
      </c>
      <c r="B69" s="446">
        <f>IFERROR(IF(A57="","",INDEX('Result data'!$B$208:$DQ$208,1,SUMIF('Result data'!$B$186:$DQ$186,'Config!'!$BE4&amp;"_"&amp;'General Report'!$I$1,'Result data'!$B$207:$DQ$207))),"")</f>
        <v>3304534</v>
      </c>
      <c r="C69" s="226">
        <f>IFERROR(IF(A57="","",INDEX('Result data'!$B528:$K528,1,'General Report'!I$1-2010)),"")</f>
        <v>2.1572031165654724</v>
      </c>
      <c r="D69" s="446">
        <f>IF(A57="","",_xlfn.SINGLE(INDEX('Result data'!$B$211:$DQ$211,1,SUMIF('Result data'!$B$186:$DQ$186,'Config!'!$BE4&amp;"_"&amp;'General Report'!$I$1,'Result data'!$B$207:$DQ$207))))</f>
        <v>4845628.7351979446</v>
      </c>
      <c r="E69" s="232">
        <f>IFERROR(IF(A57="","",INDEX('Result data'!$B$212:$DQ$212,1,SUMIF('Result data'!$B$186:$DQ$186,'Config!'!$BE4&amp;"_"&amp;'General Report'!$I$1,'Result data'!$B$207:$DQ$207))),"")</f>
        <v>6.5755753417724605E-2</v>
      </c>
      <c r="F69" s="232">
        <f>IFERROR(IF(A57="","",INDEX('Result data'!$B540:$K540,1,'General Report'!I$1-2010)),"")</f>
        <v>1.1270493190908759</v>
      </c>
      <c r="G69" s="233">
        <f>IFERROR(IF(A57="","",INDEX('Result data'!$B$57:$DQ$57,1,SUMIF('Result data'!$B$186:$DQ$186,'Config!'!$BE4&amp;"_"&amp;'General Report'!$I$1,'Result data'!$B$207:$DQ$207))),"")</f>
        <v>2</v>
      </c>
      <c r="H69" s="233">
        <f>IFERROR(IF(A57="","",INDEX('Result data'!$B$58:$DQ$58,1,SUMIF('Result data'!$B$186:$DQ$186,'Config!'!$BE4&amp;"_"&amp;'General Report'!$I$1,'Result data'!$B$207:$DQ$207))),"")</f>
        <v>2</v>
      </c>
      <c r="I69" s="232">
        <f>IFERROR(IF(A57="","",INDEX('Result data'!$B$81:$DQ$81,1,SUMIF('Result data'!$B$186:$DQ$186,'Config!'!$BE4&amp;"_"&amp;'General Report'!$I$1,'Result data'!$B$207:$DQ$207))),"")</f>
        <v>0.33124012895724886</v>
      </c>
    </row>
    <row r="70" spans="1:10" ht="18" x14ac:dyDescent="0.25">
      <c r="A70" s="43" t="str">
        <f>A58&amp;'Config!'!BI5</f>
        <v>T3 - .</v>
      </c>
      <c r="B70" s="445">
        <f>IFERROR(IF(A58="","",INDEX('Result data'!$B$208:$DQ$208,1,SUMIF('Result data'!$B$186:$DQ$186,'Config!'!$BE5&amp;"_"&amp;'General Report'!$I$1,'Result data'!$B$207:$DQ$207))),"")</f>
        <v>9037642.5943339374</v>
      </c>
      <c r="C70" s="219">
        <f>IFERROR(IF(A58="","",INDEX('Result data'!$B529:$K529,1,'General Report'!I$1-2010)),"")</f>
        <v>7.632382646673582</v>
      </c>
      <c r="D70" s="445">
        <f>IF(A58="","",_xlfn.SINGLE(INDEX('Result data'!$B$211:$DQ$211,1,SUMIF('Result data'!$B$186:$DQ$186,'Config!'!$BE5&amp;"_"&amp;'General Report'!$I$1,'Result data'!$B$207:$DQ$207))))</f>
        <v>11351981.809359953</v>
      </c>
      <c r="E70" s="230">
        <f>IFERROR(IF(A58="","",INDEX('Result data'!$B$212:$DQ$212,1,SUMIF('Result data'!$B$186:$DQ$186,'Config!'!$BE5&amp;"_"&amp;'General Report'!$I$1,'Result data'!$B$207:$DQ$207))),"")</f>
        <v>0.15404773197678243</v>
      </c>
      <c r="F70" s="230">
        <f>IFERROR(IF(A58="","",INDEX('Result data'!$B541:$K541,1,'General Report'!I$1-2010)),"")</f>
        <v>7.3142898395912237</v>
      </c>
      <c r="G70" s="231">
        <f>IFERROR(IF(A58="","",INDEX('Result data'!$B$57:$DQ$57,1,SUMIF('Result data'!$B$186:$DQ$186,'Config!'!$BE5&amp;"_"&amp;'General Report'!$I$1,'Result data'!$B$207:$DQ$207))),"")</f>
        <v>2</v>
      </c>
      <c r="H70" s="231">
        <f>IFERROR(IF(A58="","",INDEX('Result data'!$B$58:$DQ$58,1,SUMIF('Result data'!$B$186:$DQ$186,'Config!'!$BE5&amp;"_"&amp;'General Report'!$I$1,'Result data'!$B$207:$DQ$207))),"")</f>
        <v>2</v>
      </c>
      <c r="I70" s="230">
        <f>IFERROR(IF(A58="","",INDEX('Result data'!$B$81:$DQ$81,1,SUMIF('Result data'!$B$186:$DQ$186,'Config!'!$BE5&amp;"_"&amp;'General Report'!$I$1,'Result data'!$B$207:$DQ$207))),"")</f>
        <v>0.41355119262922013</v>
      </c>
    </row>
    <row r="71" spans="1:10" ht="18" x14ac:dyDescent="0.25">
      <c r="A71" s="225" t="str">
        <f>A59&amp;'Config!'!BI6</f>
        <v>T4 - We Drive</v>
      </c>
      <c r="B71" s="446">
        <f>IFERROR(IF(A59="","",INDEX('Result data'!$B$208:$DQ$208,1,SUMIF('Result data'!$B$186:$DQ$186,'Config!'!$BE6&amp;"_"&amp;'General Report'!$I$1,'Result data'!$B$207:$DQ$207))),"")</f>
        <v>9055551</v>
      </c>
      <c r="C71" s="226">
        <f>IFERROR(IF(A59="","",INDEX('Result data'!$B530:$K530,1,'General Report'!I$1-2010)),"")</f>
        <v>1.2919515507633217</v>
      </c>
      <c r="D71" s="446">
        <f>IF(A59="","",_xlfn.SINGLE(INDEX('Result data'!$B$211:$DQ$211,1,SUMIF('Result data'!$B$186:$DQ$186,'Config!'!$BE6&amp;"_"&amp;'General Report'!$I$1,'Result data'!$B$207:$DQ$207))))</f>
        <v>37618102.834430754</v>
      </c>
      <c r="E71" s="232">
        <f>IFERROR(IF(A59="","",INDEX('Result data'!$B$212:$DQ$212,1,SUMIF('Result data'!$B$186:$DQ$186,'Config!'!$BE6&amp;"_"&amp;'General Report'!$I$1,'Result data'!$B$207:$DQ$207))),"")</f>
        <v>0.51048209204628392</v>
      </c>
      <c r="F71" s="232">
        <f>IFERROR(IF(A59="","",INDEX('Result data'!$B542:$K542,1,'General Report'!I$1-2010)),"")</f>
        <v>1.8302286941515642</v>
      </c>
      <c r="G71" s="233">
        <f>IFERROR(IF(A59="","",INDEX('Result data'!$B$57:$DQ$57,1,SUMIF('Result data'!$B$186:$DQ$186,'Config!'!$BE6&amp;"_"&amp;'General Report'!$I$1,'Result data'!$B$207:$DQ$207))),"")</f>
        <v>1</v>
      </c>
      <c r="H71" s="233">
        <f>IFERROR(IF(A59="","",INDEX('Result data'!$B$58:$DQ$58,1,SUMIF('Result data'!$B$186:$DQ$186,'Config!'!$BE6&amp;"_"&amp;'General Report'!$I$1,'Result data'!$B$207:$DQ$207))),"")</f>
        <v>2</v>
      </c>
      <c r="I71" s="232">
        <f>IFERROR(IF(A59="","",INDEX('Result data'!$B$81:$DQ$81,1,SUMIF('Result data'!$B$186:$DQ$186,'Config!'!$BE6&amp;"_"&amp;'General Report'!$I$1,'Result data'!$B$207:$DQ$207))),"")</f>
        <v>0</v>
      </c>
    </row>
    <row r="72" spans="1:10" ht="18" x14ac:dyDescent="0.25">
      <c r="A72" s="43" t="str">
        <f>A60&amp;'Config!'!BI7</f>
        <v>T5 - Norimono</v>
      </c>
      <c r="B72" s="445">
        <f>IFERROR(IF(A60="","",INDEX('Result data'!$B$208:$DQ$208,1,SUMIF('Result data'!$B$186:$DQ$186,'Config!'!$BE7&amp;"_"&amp;'General Report'!$I$1,'Result data'!$B$207:$DQ$207))),"")</f>
        <v>5529546</v>
      </c>
      <c r="C72" s="219">
        <f>IFERROR(IF(A60="","",INDEX('Result data'!$B531:$K531,1,'General Report'!I$1-2010)),"")</f>
        <v>1.7788660190154366</v>
      </c>
      <c r="D72" s="445">
        <f>IF(A60="","",_xlfn.SINGLE(INDEX('Result data'!$B$211:$DQ$211,1,SUMIF('Result data'!$B$186:$DQ$186,'Config!'!$BE7&amp;"_"&amp;'General Report'!$I$1,'Result data'!$B$207:$DQ$207))))</f>
        <v>11685944.70243755</v>
      </c>
      <c r="E72" s="230">
        <f>IFERROR(IF(A60="","",INDEX('Result data'!$B$212:$DQ$212,1,SUMIF('Result data'!$B$186:$DQ$186,'Config!'!$BE7&amp;"_"&amp;'General Report'!$I$1,'Result data'!$B$207:$DQ$207))),"")</f>
        <v>0.15857964782257686</v>
      </c>
      <c r="F72" s="230">
        <f>IFERROR(IF(A60="","",INDEX('Result data'!$B543:$K543,1,'General Report'!I$1-2010)),"")</f>
        <v>1.1918057287350439</v>
      </c>
      <c r="G72" s="231">
        <f>IFERROR(IF(A60="","",INDEX('Result data'!$B$57:$DQ$57,1,SUMIF('Result data'!$B$186:$DQ$186,'Config!'!$BE7&amp;"_"&amp;'General Report'!$I$1,'Result data'!$B$207:$DQ$207))),"")</f>
        <v>1</v>
      </c>
      <c r="H72" s="231">
        <f>IFERROR(IF(A60="","",INDEX('Result data'!$B$58:$DQ$58,1,SUMIF('Result data'!$B$186:$DQ$186,'Config!'!$BE7&amp;"_"&amp;'General Report'!$I$1,'Result data'!$B$207:$DQ$207))),"")</f>
        <v>2</v>
      </c>
      <c r="I72" s="230">
        <f>IFERROR(IF(A60="","",INDEX('Result data'!$B$81:$DQ$81,1,SUMIF('Result data'!$B$186:$DQ$186,'Config!'!$BE7&amp;"_"&amp;'General Report'!$I$1,'Result data'!$B$207:$DQ$207))),"")</f>
        <v>0</v>
      </c>
    </row>
    <row r="73" spans="1:10" ht="18" x14ac:dyDescent="0.25">
      <c r="A73" s="225" t="str">
        <f>A61&amp;'Config!'!BI8</f>
        <v>T6 - NextRide</v>
      </c>
      <c r="B73" s="446">
        <f>IFERROR(IF(A61="","",INDEX('Result data'!$B$208:$DQ$208,1,SUMIF('Result data'!$B$186:$DQ$186,'Config!'!$BE8&amp;"_"&amp;'General Report'!$I$1,'Result data'!$B$207:$DQ$207))),"")</f>
        <v>3159096.6299564466</v>
      </c>
      <c r="C73" s="226">
        <f>IFERROR(IF(A61="","",INDEX('Result data'!$B532:$K532,1,'General Report'!I$1-2010)),"")</f>
        <v>2.1939330759481313</v>
      </c>
      <c r="D73" s="446">
        <f>IF(A61="","",_xlfn.SINGLE(INDEX('Result data'!$B$211:$DQ$211,1,SUMIF('Result data'!$B$186:$DQ$186,'Config!'!$BE8&amp;"_"&amp;'General Report'!$I$1,'Result data'!$B$207:$DQ$207))))</f>
        <v>4503293.689736167</v>
      </c>
      <c r="E73" s="232">
        <f>IFERROR(IF(A61="","",INDEX('Result data'!$B$212:$DQ$212,1,SUMIF('Result data'!$B$186:$DQ$186,'Config!'!$BE8&amp;"_"&amp;'General Report'!$I$1,'Result data'!$B$207:$DQ$207))),"")</f>
        <v>6.1110226476686555E-2</v>
      </c>
      <c r="F73" s="232">
        <f>IFERROR(IF(A61="","",INDEX('Result data'!$B544:$K544,1,'General Report'!I$1-2010)),"")</f>
        <v>6.5182140480966169</v>
      </c>
      <c r="G73" s="233">
        <f>IFERROR(IF(A61="","",INDEX('Result data'!$B$57:$DQ$57,1,SUMIF('Result data'!$B$186:$DQ$186,'Config!'!$BE8&amp;"_"&amp;'General Report'!$I$1,'Result data'!$B$207:$DQ$207))),"")</f>
        <v>1</v>
      </c>
      <c r="H73" s="233">
        <f>IFERROR(IF(A61="","",INDEX('Result data'!$B$58:$DQ$58,1,SUMIF('Result data'!$B$186:$DQ$186,'Config!'!$BE8&amp;"_"&amp;'General Report'!$I$1,'Result data'!$B$207:$DQ$207))),"")</f>
        <v>2</v>
      </c>
      <c r="I73" s="232">
        <f>IFERROR(IF(A61="","",INDEX('Result data'!$B$81:$DQ$81,1,SUMIF('Result data'!$B$186:$DQ$186,'Config!'!$BE8&amp;"_"&amp;'General Report'!$I$1,'Result data'!$B$207:$DQ$207))),"")</f>
        <v>0</v>
      </c>
    </row>
    <row r="74" spans="1:10" ht="18" x14ac:dyDescent="0.25">
      <c r="A74" s="43" t="str">
        <f>A62&amp;'Config!'!BI9</f>
        <v/>
      </c>
      <c r="B74" s="445" t="str">
        <f>IFERROR(IF(A62="","",INDEX('Result data'!$B$208:$DQ$208,1,SUMIF('Result data'!$B$186:$DQ$186,'Config!'!$BE9&amp;"_"&amp;'General Report'!$I$1,'Result data'!$B$207:$DQ$207))),"")</f>
        <v/>
      </c>
      <c r="C74" s="219" t="str">
        <f>IFERROR(IF(A62="","",INDEX('Result data'!$B533:$K533,1,'General Report'!I$1-2010)),"")</f>
        <v/>
      </c>
      <c r="D74" s="445" t="str">
        <f>IF(A62="","",_xlfn.SINGLE(INDEX('Result data'!$B$211:$DQ$211,1,SUMIF('Result data'!$B$186:$DQ$186,'Config!'!$BE9&amp;"_"&amp;'General Report'!$I$1,'Result data'!$B$207:$DQ$207))))</f>
        <v/>
      </c>
      <c r="E74" s="230" t="str">
        <f>IFERROR(IF(A62="","",INDEX('Result data'!$B$212:$DQ$212,1,SUMIF('Result data'!$B$186:$DQ$186,'Config!'!$BE9&amp;"_"&amp;'General Report'!$I$1,'Result data'!$B$207:$DQ$207))),"")</f>
        <v/>
      </c>
      <c r="F74" s="230" t="str">
        <f>IFERROR(IF(A62="","",INDEX('Result data'!$B545:$K545,1,'General Report'!I$1-2010)),"")</f>
        <v/>
      </c>
      <c r="G74" s="231" t="str">
        <f>IFERROR(IF(A62="","",INDEX('Result data'!$B$57:$DQ$57,1,SUMIF('Result data'!$B$186:$DQ$186,'Config!'!$BE9&amp;"_"&amp;'General Report'!$I$1,'Result data'!$B$207:$DQ$207))),"")</f>
        <v/>
      </c>
      <c r="H74" s="231" t="str">
        <f>IFERROR(IF(A62="","",INDEX('Result data'!$B$58:$DQ$58,1,SUMIF('Result data'!$B$186:$DQ$186,'Config!'!$BE9&amp;"_"&amp;'General Report'!$I$1,'Result data'!$B$207:$DQ$207))),"")</f>
        <v/>
      </c>
      <c r="I74" s="230" t="str">
        <f>IFERROR(IF(A62="","",INDEX('Result data'!$B$81:$DQ$81,1,SUMIF('Result data'!$B$186:$DQ$186,'Config!'!$BE9&amp;"_"&amp;'General Report'!$I$1,'Result data'!$B$207:$DQ$207))),"")</f>
        <v/>
      </c>
    </row>
    <row r="75" spans="1:10" ht="18" x14ac:dyDescent="0.25">
      <c r="A75" s="225" t="str">
        <f>A63&amp;'Config!'!BI10</f>
        <v/>
      </c>
      <c r="B75" s="446" t="str">
        <f>IFERROR(IF(A63="","",INDEX('Result data'!$B$208:$DQ$208,1,SUMIF('Result data'!$B$186:$DQ$186,'Config!'!$BE10&amp;"_"&amp;'General Report'!$I$1,'Result data'!$B$207:$DQ$207))),"")</f>
        <v/>
      </c>
      <c r="C75" s="226" t="str">
        <f>IFERROR(IF(A63="","",INDEX('Result data'!$B534:$K534,1,'General Report'!I$1-2010)),"")</f>
        <v/>
      </c>
      <c r="D75" s="446" t="str">
        <f>IF(A63="","",_xlfn.SINGLE(INDEX('Result data'!$B$211:$DQ$211,1,SUMIF('Result data'!$B$186:$DQ$186,'Config!'!$BE10&amp;"_"&amp;'General Report'!$I$1,'Result data'!$B$207:$DQ$207))))</f>
        <v/>
      </c>
      <c r="E75" s="232" t="str">
        <f>IFERROR(IF(A63="","",INDEX('Result data'!$B$212:$DQ$212,1,SUMIF('Result data'!$B$186:$DQ$186,'Config!'!$BE10&amp;"_"&amp;'General Report'!$I$1,'Result data'!$B$207:$DQ$207))),"")</f>
        <v/>
      </c>
      <c r="F75" s="232" t="str">
        <f>IFERROR(IF(A63="","",INDEX('Result data'!$B546:$K546,1,'General Report'!I$1-2010)),"")</f>
        <v/>
      </c>
      <c r="G75" s="233" t="str">
        <f>IFERROR(IF(A63="","",INDEX('Result data'!$B$57:$DQ$57,1,SUMIF('Result data'!$B$186:$DQ$186,'Config!'!$BE10&amp;"_"&amp;'General Report'!$I$1,'Result data'!$B$207:$DQ$207))),"")</f>
        <v/>
      </c>
      <c r="H75" s="233" t="str">
        <f>IFERROR(IF(A63="","",INDEX('Result data'!$B$58:$DQ$58,1,SUMIF('Result data'!$B$186:$DQ$186,'Config!'!$BE10&amp;"_"&amp;'General Report'!$I$1,'Result data'!$B$207:$DQ$207))),"")</f>
        <v/>
      </c>
      <c r="I75" s="232" t="str">
        <f>IFERROR(IF(A63="","",INDEX('Result data'!$B$81:$DQ$81,1,SUMIF('Result data'!$B$186:$DQ$186,'Config!'!$BE10&amp;"_"&amp;'General Report'!$I$1,'Result data'!$B$207:$DQ$207))),"")</f>
        <v/>
      </c>
    </row>
    <row r="76" spans="1:10" ht="18" x14ac:dyDescent="0.25">
      <c r="A76" s="43" t="str">
        <f>A64&amp;'Config!'!BI11</f>
        <v/>
      </c>
      <c r="B76" s="445" t="str">
        <f>IFERROR(IF(A64="","",INDEX('Result data'!$B$208:$DQ$208,1,SUMIF('Result data'!$B$186:$DQ$186,'Config!'!$BE11&amp;"_"&amp;'General Report'!$I$1,'Result data'!$B$207:$DQ$207))),"")</f>
        <v/>
      </c>
      <c r="C76" s="219" t="str">
        <f>IFERROR(IF(A64="","",INDEX('Result data'!$B535:$K535,1,'General Report'!I$1-2010)),"")</f>
        <v/>
      </c>
      <c r="D76" s="445" t="str">
        <f>IF(A64="","",_xlfn.SINGLE(INDEX('Result data'!$B$211:$DQ$211,1,SUMIF('Result data'!$B$186:$DQ$186,'Config!'!$BE11&amp;"_"&amp;'General Report'!$I$1,'Result data'!$B$207:$DQ$207))))</f>
        <v/>
      </c>
      <c r="E76" s="230" t="str">
        <f>IFERROR(IF(A64="","",INDEX('Result data'!$B$212:$DQ$212,1,SUMIF('Result data'!$B$186:$DQ$186,'Config!'!$BE11&amp;"_"&amp;'General Report'!$I$1,'Result data'!$B$207:$DQ$207))),"")</f>
        <v/>
      </c>
      <c r="F76" s="230" t="str">
        <f>IFERROR(IF(A64="","",INDEX('Result data'!$B547:$K547,1,'General Report'!I$1-2010)),"")</f>
        <v/>
      </c>
      <c r="G76" s="231" t="str">
        <f>IFERROR(IF(A64="","",INDEX('Result data'!$B$57:$DQ$57,1,SUMIF('Result data'!$B$186:$DQ$186,'Config!'!$BE11&amp;"_"&amp;'General Report'!$I$1,'Result data'!$B$207:$DQ$207))),"")</f>
        <v/>
      </c>
      <c r="H76" s="231" t="str">
        <f>IFERROR(IF(A64="","",INDEX('Result data'!$B$58:$DQ$58,1,SUMIF('Result data'!$B$186:$DQ$186,'Config!'!$BE11&amp;"_"&amp;'General Report'!$I$1,'Result data'!$B$207:$DQ$207))),"")</f>
        <v/>
      </c>
      <c r="I76" s="230" t="str">
        <f>IFERROR(IF(A64="","",INDEX('Result data'!$B$81:$DQ$81,1,SUMIF('Result data'!$B$186:$DQ$186,'Config!'!$BE11&amp;"_"&amp;'General Report'!$I$1,'Result data'!$B$207:$DQ$207))),"")</f>
        <v/>
      </c>
    </row>
    <row r="77" spans="1:10" ht="18" x14ac:dyDescent="0.25">
      <c r="A77" s="225" t="str">
        <f>A65&amp;'Config!'!BI12</f>
        <v/>
      </c>
      <c r="B77" s="446" t="str">
        <f>IFERROR(IF(A65="","",INDEX('Result data'!$B$208:$DQ$208,1,SUMIF('Result data'!$B$186:$DQ$186,'Config!'!$BE12&amp;"_"&amp;'General Report'!$I$1,'Result data'!$B$207:$DQ$207))),"")</f>
        <v/>
      </c>
      <c r="C77" s="226" t="str">
        <f>IFERROR(IF(A65="","",INDEX('Result data'!$B536:$K536,1,'General Report'!I$1-2010)),"")</f>
        <v/>
      </c>
      <c r="D77" s="446" t="str">
        <f>IF(A65="","",_xlfn.SINGLE(INDEX('Result data'!$B$211:$DQ$211,1,SUMIF('Result data'!$B$186:$DQ$186,'Config!'!$BE12&amp;"_"&amp;'General Report'!$I$1,'Result data'!$B$207:$DQ$207))))</f>
        <v/>
      </c>
      <c r="E77" s="232" t="str">
        <f>IFERROR(IF(A65="","",INDEX('Result data'!$B$212:$DQ$212,1,SUMIF('Result data'!$B$186:$DQ$186,'Config!'!$BE12&amp;"_"&amp;'General Report'!$I$1,'Result data'!$B$207:$DQ$207))),"")</f>
        <v/>
      </c>
      <c r="F77" s="232" t="str">
        <f>IFERROR(IF(A65="","",INDEX('Result data'!$B548:$K548,1,'General Report'!I$1-2010)),"")</f>
        <v/>
      </c>
      <c r="G77" s="233" t="str">
        <f>IFERROR(IF(A65="","",INDEX('Result data'!$B$57:$DQ$57,1,SUMIF('Result data'!$B$186:$DQ$186,'Config!'!$BE12&amp;"_"&amp;'General Report'!$I$1,'Result data'!$B$207:$DQ$207))),"")</f>
        <v/>
      </c>
      <c r="H77" s="233" t="str">
        <f>IFERROR(IF(A65="","",INDEX('Result data'!$B$58:$DQ$58,1,SUMIF('Result data'!$B$186:$DQ$186,'Config!'!$BE12&amp;"_"&amp;'General Report'!$I$1,'Result data'!$B$207:$DQ$207))),"")</f>
        <v/>
      </c>
      <c r="I77" s="232" t="str">
        <f>IFERROR(IF(A65="","",INDEX('Result data'!$B$81:$DQ$81,1,SUMIF('Result data'!$B$186:$DQ$186,'Config!'!$BE12&amp;"_"&amp;'General Report'!$I$1,'Result data'!$B$207:$DQ$207))),"")</f>
        <v/>
      </c>
    </row>
    <row r="78" spans="1:10" ht="20.25" x14ac:dyDescent="0.3">
      <c r="A78" s="227" t="str">
        <f>A66</f>
        <v>Total do mundo</v>
      </c>
      <c r="B78" s="447">
        <f>E15</f>
        <v>29301065</v>
      </c>
      <c r="C78" s="228" cm="1">
        <f t="array" ref="C78">IFERROR(IF('General Report'!I1=2011,"",B78/(INDEX('Result data'!O14:Z14,1,'General Report'!I1-2011)))-1,"")</f>
        <v>2.4348956773350494</v>
      </c>
      <c r="D78" s="448">
        <f>SUM(D68:D77)</f>
        <v>73691327.121069759</v>
      </c>
      <c r="E78" s="228">
        <f>SUM(E68:E77)</f>
        <v>0.99999999999999989</v>
      </c>
      <c r="F78" s="228">
        <f>IFERROR(INDEX('Result data'!P95:AA95,1,'General Report'!I1-2010),"")</f>
        <v>1.8822073482064048</v>
      </c>
      <c r="G78" s="229">
        <f>MAX(G68:G77)</f>
        <v>2</v>
      </c>
      <c r="H78" s="229">
        <f>MAX(H68:H77)</f>
        <v>2</v>
      </c>
      <c r="I78" s="228">
        <f>IFERROR(AVERAGE(I68:I77),"")</f>
        <v>0.14595572359864331</v>
      </c>
    </row>
    <row r="79" spans="1:10" s="235" customFormat="1" ht="8.25" customHeight="1" x14ac:dyDescent="0.35">
      <c r="A79" s="237"/>
      <c r="B79" s="237"/>
      <c r="C79" s="237"/>
      <c r="D79" s="237"/>
      <c r="E79" s="237"/>
      <c r="F79" s="237"/>
      <c r="G79" s="237"/>
      <c r="H79" s="237"/>
      <c r="I79" s="237"/>
      <c r="J79" s="236"/>
    </row>
    <row r="80" spans="1:10" hidden="1" x14ac:dyDescent="0.35">
      <c r="B80" s="220"/>
      <c r="C80" s="220"/>
    </row>
  </sheetData>
  <mergeCells count="15">
    <mergeCell ref="A54:I54"/>
    <mergeCell ref="A1:G1"/>
    <mergeCell ref="C15:D15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D2:I2"/>
  </mergeCells>
  <conditionalFormatting sqref="B68:B77">
    <cfRule type="iconSet" priority="13">
      <iconSet iconSet="5Quarters">
        <cfvo type="percent" val="0"/>
        <cfvo type="formula" val="0.2*$B$78"/>
        <cfvo type="formula" val="0.4*$B$78"/>
        <cfvo type="formula" val="0.6*$B$78"/>
        <cfvo type="formula" val="0.8*$B$78"/>
      </iconSet>
    </cfRule>
  </conditionalFormatting>
  <conditionalFormatting sqref="B5:C14">
    <cfRule type="cellIs" dxfId="22" priority="25" operator="equal">
      <formula>0</formula>
    </cfRule>
  </conditionalFormatting>
  <conditionalFormatting sqref="B30:I39 I30:I40 B56:E65 I56:I66">
    <cfRule type="cellIs" dxfId="21" priority="19" operator="lessThan">
      <formula>0</formula>
    </cfRule>
  </conditionalFormatting>
  <conditionalFormatting sqref="B30:I39">
    <cfRule type="cellIs" dxfId="20" priority="1" operator="equal">
      <formula>0</formula>
    </cfRule>
  </conditionalFormatting>
  <conditionalFormatting sqref="B68:I77">
    <cfRule type="cellIs" dxfId="19" priority="2" operator="lessThan">
      <formula>0</formula>
    </cfRule>
  </conditionalFormatting>
  <conditionalFormatting sqref="D68:D77">
    <cfRule type="iconSet" priority="12">
      <iconSet iconSet="4Rating">
        <cfvo type="percent" val="0"/>
        <cfvo type="formula" val="$D$78*0.1"/>
        <cfvo type="formula" val="$D$78*0.3"/>
        <cfvo type="formula" val="$D$78*0.5"/>
      </iconSet>
    </cfRule>
  </conditionalFormatting>
  <conditionalFormatting sqref="E68:E77">
    <cfRule type="iconSet" priority="11">
      <iconSet iconSet="4Rating">
        <cfvo type="percent" val="0"/>
        <cfvo type="num" val="0.1"/>
        <cfvo type="num" val="0.3"/>
        <cfvo type="num" val="0.5"/>
      </iconSet>
    </cfRule>
  </conditionalFormatting>
  <conditionalFormatting sqref="F5:F15">
    <cfRule type="iconSet" priority="28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F5:G15">
    <cfRule type="cellIs" dxfId="18" priority="27" operator="equal">
      <formula>"0,00%"</formula>
    </cfRule>
  </conditionalFormatting>
  <conditionalFormatting sqref="G5:G15">
    <cfRule type="iconSet" priority="26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G68:G77">
    <cfRule type="iconSet" priority="9">
      <iconSet>
        <cfvo type="percent" val="0"/>
        <cfvo type="percent" val="33"/>
        <cfvo type="percent" val="67"/>
      </iconSet>
    </cfRule>
  </conditionalFormatting>
  <conditionalFormatting sqref="H68:H77">
    <cfRule type="iconSet" priority="8">
      <iconSet>
        <cfvo type="percent" val="0"/>
        <cfvo type="percent" val="33"/>
        <cfvo type="percent" val="67"/>
      </iconSet>
    </cfRule>
  </conditionalFormatting>
  <conditionalFormatting sqref="I68:I77">
    <cfRule type="iconSet" priority="4">
      <iconSet iconSet="3Arrows">
        <cfvo type="percent" val="0"/>
        <cfvo type="num" val="0.2"/>
        <cfvo type="num" val="0.5"/>
      </iconSet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E9825653-18FF-4BD1-AE6F-2D96CB3AC388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C68:C77</xm:sqref>
        </x14:conditionalFormatting>
        <x14:conditionalFormatting xmlns:xm="http://schemas.microsoft.com/office/excel/2006/main">
          <x14:cfRule type="iconSet" priority="10" id="{00000000-000E-0000-0E00-00000700000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F68:F77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6E79-52D1-47BE-88DD-8B2A3CE0BC94}">
  <sheetPr codeName="Planilha21">
    <tabColor theme="8"/>
  </sheetPr>
  <dimension ref="A1:S52"/>
  <sheetViews>
    <sheetView showGridLines="0" topLeftCell="A3" workbookViewId="0">
      <selection activeCell="Q1" sqref="Q1:AH1"/>
    </sheetView>
  </sheetViews>
  <sheetFormatPr defaultColWidth="0" defaultRowHeight="16.5" zeroHeight="1" x14ac:dyDescent="0.25"/>
  <cols>
    <col min="1" max="1" width="20.28515625" style="364" bestFit="1" customWidth="1"/>
    <col min="2" max="7" width="7.42578125" style="353" customWidth="1"/>
    <col min="8" max="8" width="9.7109375" style="353" customWidth="1"/>
    <col min="9" max="10" width="7.42578125" style="353" customWidth="1"/>
    <col min="11" max="11" width="7.85546875" style="353" customWidth="1"/>
    <col min="12" max="15" width="7.42578125" style="353" customWidth="1"/>
    <col min="16" max="16" width="7.85546875" style="353" customWidth="1"/>
    <col min="17" max="17" width="10.28515625" style="353" customWidth="1"/>
    <col min="18" max="19" width="15" style="353" customWidth="1"/>
    <col min="20" max="16384" width="22.7109375" style="353" hidden="1"/>
  </cols>
  <sheetData>
    <row r="1" spans="1:19" ht="29.25" thickBot="1" x14ac:dyDescent="0.3">
      <c r="A1" s="865" t="str">
        <f>Language!C388</f>
        <v>Pontuação na simulação e notas no curso</v>
      </c>
      <c r="B1" s="865"/>
      <c r="C1" s="865"/>
      <c r="D1" s="865"/>
      <c r="E1" s="865"/>
      <c r="F1" s="865"/>
      <c r="G1" s="865"/>
      <c r="H1" s="865"/>
      <c r="I1" s="865"/>
      <c r="J1" s="865"/>
      <c r="K1" s="865"/>
      <c r="L1" s="865"/>
      <c r="M1" s="865"/>
      <c r="N1" s="865"/>
      <c r="O1" s="865"/>
      <c r="P1" s="865"/>
      <c r="Q1" s="865"/>
      <c r="R1" s="865"/>
      <c r="S1" s="865"/>
    </row>
    <row r="2" spans="1:19" s="33" customFormat="1" ht="30" customHeight="1" x14ac:dyDescent="0.25">
      <c r="A2" s="860" t="str">
        <f>Language!C378</f>
        <v>Empresa / jogador / equipe</v>
      </c>
      <c r="B2" s="866" t="str">
        <f>Language!C389</f>
        <v>Total de pontuação não competitiva</v>
      </c>
      <c r="C2" s="867"/>
      <c r="D2" s="867"/>
      <c r="E2" s="867"/>
      <c r="F2" s="867"/>
      <c r="G2" s="867"/>
      <c r="H2" s="868"/>
      <c r="I2" s="869" t="str">
        <f>Language!C396</f>
        <v>Evolução</v>
      </c>
      <c r="J2" s="870"/>
      <c r="K2" s="871"/>
      <c r="L2" s="872" t="str">
        <f>Language!C399</f>
        <v>Posição final</v>
      </c>
      <c r="M2" s="873"/>
      <c r="N2" s="873"/>
      <c r="O2" s="873"/>
      <c r="P2" s="874"/>
      <c r="Q2" s="877" t="s">
        <v>559</v>
      </c>
      <c r="R2" s="875" t="str">
        <f>Language!C404</f>
        <v>Notas no curso</v>
      </c>
      <c r="S2" s="876"/>
    </row>
    <row r="3" spans="1:19" s="331" customFormat="1" ht="114.75" customHeight="1" x14ac:dyDescent="0.25">
      <c r="A3" s="861"/>
      <c r="B3" s="608" t="str" cm="1">
        <f t="array" ref="B3:G3">TRANSPOSE(Language!C390:C395)</f>
        <v>Número de usuários</v>
      </c>
      <c r="C3" s="609" t="str">
        <v>Participação de mercado (corridas)</v>
      </c>
      <c r="D3" s="609" t="str">
        <v>Disponibilidade de caixa:</v>
      </c>
      <c r="E3" s="609" t="str">
        <v>Países</v>
      </c>
      <c r="F3" s="609" t="str">
        <v>Regiões.</v>
      </c>
      <c r="G3" s="609" t="str">
        <v>Diversificação de receita</v>
      </c>
      <c r="H3" s="354" t="s">
        <v>559</v>
      </c>
      <c r="I3" s="610" t="str" cm="1">
        <f t="array" ref="I3:J3">TRANSPOSE(Language!C397:'Language'!C398)</f>
        <v>Crescimento: usuários ativos</v>
      </c>
      <c r="J3" s="611" t="str">
        <v>Crescimento: lucro bruto</v>
      </c>
      <c r="K3" s="355" t="s">
        <v>559</v>
      </c>
      <c r="L3" s="612" t="str" cm="1">
        <f t="array" ref="L3:O3">TRANSPOSE(Language!C400:'Language'!C403)</f>
        <v>Usuários</v>
      </c>
      <c r="M3" s="613" t="str">
        <v>Caixa</v>
      </c>
      <c r="N3" s="613" t="str">
        <v>Número de Países</v>
      </c>
      <c r="O3" s="613" t="str">
        <v>Objetivo da empresa</v>
      </c>
      <c r="P3" s="356" t="s">
        <v>559</v>
      </c>
      <c r="Q3" s="878"/>
      <c r="R3" s="357" t="str" cm="1">
        <f t="array" ref="R3:S3">TRANSPOSE(Language!C405:'Language'!C406)</f>
        <v>Curso</v>
      </c>
      <c r="S3" s="358" t="str">
        <v>Competição</v>
      </c>
    </row>
    <row r="4" spans="1:19" ht="23.45" customHeight="1" x14ac:dyDescent="0.25">
      <c r="A4" s="359" t="str">
        <f>IF('Result data'!A560="","",'General Report'!A56)</f>
        <v>T1 - BlitzRide</v>
      </c>
      <c r="B4" s="478">
        <f>'Result data'!B560</f>
        <v>3</v>
      </c>
      <c r="C4" s="479">
        <f>'Result data'!C560</f>
        <v>3.5</v>
      </c>
      <c r="D4" s="479">
        <f>'Result data'!D560</f>
        <v>0</v>
      </c>
      <c r="E4" s="479">
        <f>'Result data'!E560</f>
        <v>1</v>
      </c>
      <c r="F4" s="479">
        <f>'Result data'!F560</f>
        <v>1</v>
      </c>
      <c r="G4" s="479">
        <f>'Result data'!G560</f>
        <v>0.5</v>
      </c>
      <c r="H4" s="606">
        <f>'Result data'!H560</f>
        <v>9</v>
      </c>
      <c r="I4" s="360">
        <f>'Result data'!I560</f>
        <v>1</v>
      </c>
      <c r="J4" s="361">
        <f>'Result data'!J560</f>
        <v>1</v>
      </c>
      <c r="K4" s="614">
        <f>'Result data'!K560</f>
        <v>2</v>
      </c>
      <c r="L4" s="360">
        <f>'Result data'!L560</f>
        <v>0</v>
      </c>
      <c r="M4" s="361">
        <f>'Result data'!M560</f>
        <v>0</v>
      </c>
      <c r="N4" s="361">
        <f>'Result data'!N560</f>
        <v>2</v>
      </c>
      <c r="O4" s="361">
        <f>'Result data'!O560</f>
        <v>5</v>
      </c>
      <c r="P4" s="614">
        <f>IF(A4="","",'Result data'!P560)</f>
        <v>7</v>
      </c>
      <c r="Q4" s="480">
        <f>'Result data'!Q560</f>
        <v>18</v>
      </c>
      <c r="R4" s="362">
        <f>'Result data'!R560</f>
        <v>5.1428571428571432</v>
      </c>
      <c r="S4" s="363">
        <f>'Result data'!S560</f>
        <v>0</v>
      </c>
    </row>
    <row r="5" spans="1:19" ht="23.45" customHeight="1" x14ac:dyDescent="0.25">
      <c r="A5" s="615" t="str">
        <f>IF('Result data'!A561="","",'General Report'!A57)</f>
        <v>T2 - .</v>
      </c>
      <c r="B5" s="623">
        <f>'Result data'!B561</f>
        <v>3</v>
      </c>
      <c r="C5" s="624">
        <f>'Result data'!C561</f>
        <v>3.5</v>
      </c>
      <c r="D5" s="624">
        <f>'Result data'!D561</f>
        <v>0</v>
      </c>
      <c r="E5" s="624">
        <f>'Result data'!E561</f>
        <v>1</v>
      </c>
      <c r="F5" s="624">
        <f>'Result data'!F561</f>
        <v>1</v>
      </c>
      <c r="G5" s="624">
        <f>'Result data'!G561</f>
        <v>2.5</v>
      </c>
      <c r="H5" s="625">
        <f>'Result data'!H561</f>
        <v>11</v>
      </c>
      <c r="I5" s="632">
        <f>'Result data'!I561</f>
        <v>2</v>
      </c>
      <c r="J5" s="633">
        <f>'Result data'!J561</f>
        <v>1</v>
      </c>
      <c r="K5" s="634">
        <f>'Result data'!K561</f>
        <v>3</v>
      </c>
      <c r="L5" s="638">
        <f>'Result data'!L561</f>
        <v>0</v>
      </c>
      <c r="M5" s="639">
        <f>'Result data'!M561</f>
        <v>0</v>
      </c>
      <c r="N5" s="639">
        <f>'Result data'!N561</f>
        <v>2</v>
      </c>
      <c r="O5" s="639">
        <f>'Result data'!O561</f>
        <v>20</v>
      </c>
      <c r="P5" s="640">
        <f>IF(A5="","",'Result data'!P561)</f>
        <v>22</v>
      </c>
      <c r="Q5" s="616">
        <f>'Result data'!Q561</f>
        <v>36</v>
      </c>
      <c r="R5" s="617">
        <f>'Result data'!R561</f>
        <v>10.285714285714286</v>
      </c>
      <c r="S5" s="618">
        <f>'Result data'!S561</f>
        <v>0</v>
      </c>
    </row>
    <row r="6" spans="1:19" ht="23.45" customHeight="1" x14ac:dyDescent="0.25">
      <c r="A6" s="359" t="str">
        <f>IF('Result data'!A562="","",'General Report'!A58)</f>
        <v>T3 - .</v>
      </c>
      <c r="B6" s="478">
        <f>'Result data'!B562</f>
        <v>5</v>
      </c>
      <c r="C6" s="479">
        <f>'Result data'!C562</f>
        <v>4.5</v>
      </c>
      <c r="D6" s="479">
        <f>'Result data'!D562</f>
        <v>0</v>
      </c>
      <c r="E6" s="479">
        <f>'Result data'!E562</f>
        <v>1</v>
      </c>
      <c r="F6" s="479">
        <f>'Result data'!F562</f>
        <v>1</v>
      </c>
      <c r="G6" s="479">
        <f>'Result data'!G562</f>
        <v>3.5</v>
      </c>
      <c r="H6" s="606">
        <f>'Result data'!H562</f>
        <v>15</v>
      </c>
      <c r="I6" s="360">
        <f>'Result data'!I562</f>
        <v>4</v>
      </c>
      <c r="J6" s="361">
        <f>'Result data'!J562</f>
        <v>4</v>
      </c>
      <c r="K6" s="614">
        <f>'Result data'!K562</f>
        <v>8</v>
      </c>
      <c r="L6" s="360">
        <f>'Result data'!L562</f>
        <v>2</v>
      </c>
      <c r="M6" s="361">
        <f>'Result data'!M562</f>
        <v>1</v>
      </c>
      <c r="N6" s="361">
        <f>'Result data'!N562</f>
        <v>2</v>
      </c>
      <c r="O6" s="361">
        <f>'Result data'!O562</f>
        <v>10</v>
      </c>
      <c r="P6" s="614">
        <f>IF(A6="","",'Result data'!P562)</f>
        <v>15</v>
      </c>
      <c r="Q6" s="480">
        <f>'Result data'!Q562</f>
        <v>38</v>
      </c>
      <c r="R6" s="362">
        <f>'Result data'!R562</f>
        <v>10.857142857142858</v>
      </c>
      <c r="S6" s="363">
        <f>'Result data'!S562</f>
        <v>0</v>
      </c>
    </row>
    <row r="7" spans="1:19" ht="23.45" customHeight="1" x14ac:dyDescent="0.25">
      <c r="A7" s="615" t="str">
        <f>IF('Result data'!A563="","",'General Report'!A59)</f>
        <v>T4 - We Drive</v>
      </c>
      <c r="B7" s="623">
        <f>'Result data'!B563</f>
        <v>5</v>
      </c>
      <c r="C7" s="624">
        <f>'Result data'!C563</f>
        <v>5</v>
      </c>
      <c r="D7" s="624">
        <f>'Result data'!D563</f>
        <v>3</v>
      </c>
      <c r="E7" s="624">
        <f>'Result data'!E563</f>
        <v>1</v>
      </c>
      <c r="F7" s="624">
        <f>'Result data'!F563</f>
        <v>0.5</v>
      </c>
      <c r="G7" s="624">
        <f>'Result data'!G563</f>
        <v>0</v>
      </c>
      <c r="H7" s="625">
        <f>'Result data'!H563</f>
        <v>14.5</v>
      </c>
      <c r="I7" s="632">
        <f>'Result data'!I563</f>
        <v>1</v>
      </c>
      <c r="J7" s="633">
        <f>'Result data'!J563</f>
        <v>2</v>
      </c>
      <c r="K7" s="634">
        <f>'Result data'!K563</f>
        <v>3</v>
      </c>
      <c r="L7" s="638">
        <f>'Result data'!L563</f>
        <v>4</v>
      </c>
      <c r="M7" s="639">
        <f>'Result data'!M563</f>
        <v>4</v>
      </c>
      <c r="N7" s="639">
        <f>'Result data'!N563</f>
        <v>2</v>
      </c>
      <c r="O7" s="639">
        <f>'Result data'!O563</f>
        <v>20</v>
      </c>
      <c r="P7" s="640">
        <f>IF(A7="","",'Result data'!P563)</f>
        <v>30</v>
      </c>
      <c r="Q7" s="616">
        <f>'Result data'!Q563</f>
        <v>47.5</v>
      </c>
      <c r="R7" s="617">
        <f>'Result data'!R563</f>
        <v>13.571428571428571</v>
      </c>
      <c r="S7" s="618">
        <f>'Result data'!S563</f>
        <v>0</v>
      </c>
    </row>
    <row r="8" spans="1:19" ht="23.45" customHeight="1" x14ac:dyDescent="0.25">
      <c r="A8" s="359" t="str">
        <f>IF('Result data'!A564="","",'General Report'!A60)</f>
        <v>T5 - Norimono</v>
      </c>
      <c r="B8" s="478">
        <f>'Result data'!B564</f>
        <v>4</v>
      </c>
      <c r="C8" s="479">
        <f>'Result data'!C564</f>
        <v>4.5</v>
      </c>
      <c r="D8" s="479">
        <f>'Result data'!D564</f>
        <v>0</v>
      </c>
      <c r="E8" s="479">
        <f>'Result data'!E564</f>
        <v>1</v>
      </c>
      <c r="F8" s="479">
        <f>'Result data'!F564</f>
        <v>0.5</v>
      </c>
      <c r="G8" s="479">
        <f>'Result data'!G564</f>
        <v>0</v>
      </c>
      <c r="H8" s="606">
        <f>'Result data'!H564</f>
        <v>10</v>
      </c>
      <c r="I8" s="360">
        <f>'Result data'!I564</f>
        <v>1</v>
      </c>
      <c r="J8" s="361">
        <f>'Result data'!J564</f>
        <v>1</v>
      </c>
      <c r="K8" s="614">
        <f>'Result data'!K564</f>
        <v>2</v>
      </c>
      <c r="L8" s="360">
        <f>'Result data'!L564</f>
        <v>1</v>
      </c>
      <c r="M8" s="361">
        <f>'Result data'!M564</f>
        <v>2</v>
      </c>
      <c r="N8" s="361">
        <f>'Result data'!N564</f>
        <v>2</v>
      </c>
      <c r="O8" s="361">
        <f>'Result data'!O564</f>
        <v>20</v>
      </c>
      <c r="P8" s="614">
        <f>IF(A8="","",'Result data'!P564)</f>
        <v>25</v>
      </c>
      <c r="Q8" s="480">
        <f>'Result data'!Q564</f>
        <v>37</v>
      </c>
      <c r="R8" s="362">
        <f>'Result data'!R564</f>
        <v>10.571428571428571</v>
      </c>
      <c r="S8" s="363">
        <f>'Result data'!S564</f>
        <v>0</v>
      </c>
    </row>
    <row r="9" spans="1:19" ht="23.45" customHeight="1" x14ac:dyDescent="0.25">
      <c r="A9" s="615" t="str">
        <f>IF('Result data'!A565="","",'General Report'!A61)</f>
        <v>T6 - NextRide</v>
      </c>
      <c r="B9" s="623">
        <f>'Result data'!B565</f>
        <v>3</v>
      </c>
      <c r="C9" s="624">
        <f>'Result data'!C565</f>
        <v>3.5</v>
      </c>
      <c r="D9" s="624">
        <f>'Result data'!D565</f>
        <v>0</v>
      </c>
      <c r="E9" s="624">
        <f>'Result data'!E565</f>
        <v>1</v>
      </c>
      <c r="F9" s="624">
        <f>'Result data'!F565</f>
        <v>0.5</v>
      </c>
      <c r="G9" s="624">
        <f>'Result data'!G565</f>
        <v>0</v>
      </c>
      <c r="H9" s="625">
        <f>'Result data'!H565</f>
        <v>8</v>
      </c>
      <c r="I9" s="632">
        <f>'Result data'!I565</f>
        <v>3</v>
      </c>
      <c r="J9" s="633">
        <f>'Result data'!J565</f>
        <v>3</v>
      </c>
      <c r="K9" s="634">
        <f>'Result data'!K565</f>
        <v>6</v>
      </c>
      <c r="L9" s="638">
        <f>'Result data'!L565</f>
        <v>0</v>
      </c>
      <c r="M9" s="639">
        <f>'Result data'!M565</f>
        <v>0</v>
      </c>
      <c r="N9" s="639">
        <f>'Result data'!N565</f>
        <v>2</v>
      </c>
      <c r="O9" s="639">
        <f>'Result data'!O565</f>
        <v>20</v>
      </c>
      <c r="P9" s="640">
        <f>IF(A9="","",'Result data'!P565)</f>
        <v>22</v>
      </c>
      <c r="Q9" s="616">
        <f>'Result data'!Q565</f>
        <v>36</v>
      </c>
      <c r="R9" s="617">
        <f>'Result data'!R565</f>
        <v>10.285714285714286</v>
      </c>
      <c r="S9" s="618">
        <f>'Result data'!S565</f>
        <v>0</v>
      </c>
    </row>
    <row r="10" spans="1:19" ht="23.45" customHeight="1" x14ac:dyDescent="0.25">
      <c r="A10" s="359" t="str">
        <f>IF('Result data'!A566="","",'General Report'!A62)</f>
        <v/>
      </c>
      <c r="B10" s="481" t="str">
        <f>'Result data'!B566</f>
        <v/>
      </c>
      <c r="C10" s="482" t="str">
        <f>'Result data'!C566</f>
        <v/>
      </c>
      <c r="D10" s="482" t="str">
        <f>'Result data'!D566</f>
        <v/>
      </c>
      <c r="E10" s="482" t="str">
        <f>'Result data'!E566</f>
        <v/>
      </c>
      <c r="F10" s="482" t="str">
        <f>'Result data'!F566</f>
        <v/>
      </c>
      <c r="G10" s="482" t="str">
        <f>'Result data'!G566</f>
        <v/>
      </c>
      <c r="H10" s="607" t="str">
        <f>'Result data'!H566</f>
        <v/>
      </c>
      <c r="I10" s="360" t="str">
        <f>'Result data'!I566</f>
        <v/>
      </c>
      <c r="J10" s="361" t="str">
        <f>'Result data'!J566</f>
        <v/>
      </c>
      <c r="K10" s="614" t="str">
        <f>'Result data'!K566</f>
        <v/>
      </c>
      <c r="L10" s="360">
        <f>'Result data'!L566</f>
        <v>0</v>
      </c>
      <c r="M10" s="361">
        <f>'Result data'!M566</f>
        <v>0</v>
      </c>
      <c r="N10" s="361">
        <f>'Result data'!N566</f>
        <v>0</v>
      </c>
      <c r="O10" s="361">
        <f>'Result data'!O566</f>
        <v>0</v>
      </c>
      <c r="P10" s="614" t="str">
        <f>IF(A10="","",'Result data'!P566)</f>
        <v/>
      </c>
      <c r="Q10" s="480" t="str">
        <f>'Result data'!Q566</f>
        <v/>
      </c>
      <c r="R10" s="362" t="str">
        <f>'Result data'!R566</f>
        <v/>
      </c>
      <c r="S10" s="363" t="str">
        <f>'Result data'!S566</f>
        <v/>
      </c>
    </row>
    <row r="11" spans="1:19" ht="23.45" customHeight="1" x14ac:dyDescent="0.25">
      <c r="A11" s="615" t="str">
        <f>IF('Result data'!A567="","",'General Report'!A63)</f>
        <v/>
      </c>
      <c r="B11" s="626" t="str">
        <f>'Result data'!B567</f>
        <v/>
      </c>
      <c r="C11" s="627" t="str">
        <f>'Result data'!C567</f>
        <v/>
      </c>
      <c r="D11" s="627" t="str">
        <f>'Result data'!D567</f>
        <v/>
      </c>
      <c r="E11" s="627" t="str">
        <f>'Result data'!E567</f>
        <v/>
      </c>
      <c r="F11" s="627" t="str">
        <f>'Result data'!F567</f>
        <v/>
      </c>
      <c r="G11" s="627" t="str">
        <f>'Result data'!G567</f>
        <v/>
      </c>
      <c r="H11" s="628" t="str">
        <f>'Result data'!H567</f>
        <v/>
      </c>
      <c r="I11" s="632" t="str">
        <f>'Result data'!I567</f>
        <v/>
      </c>
      <c r="J11" s="633" t="str">
        <f>'Result data'!J567</f>
        <v/>
      </c>
      <c r="K11" s="634" t="str">
        <f>'Result data'!K567</f>
        <v/>
      </c>
      <c r="L11" s="638">
        <f>'Result data'!L567</f>
        <v>0</v>
      </c>
      <c r="M11" s="639">
        <f>'Result data'!M567</f>
        <v>0</v>
      </c>
      <c r="N11" s="639">
        <f>'Result data'!N567</f>
        <v>0</v>
      </c>
      <c r="O11" s="639">
        <f>'Result data'!O567</f>
        <v>0</v>
      </c>
      <c r="P11" s="640" t="str">
        <f>IF(A11="","",'Result data'!P567)</f>
        <v/>
      </c>
      <c r="Q11" s="616" t="str">
        <f>'Result data'!Q567</f>
        <v/>
      </c>
      <c r="R11" s="617" t="str">
        <f>'Result data'!R567</f>
        <v/>
      </c>
      <c r="S11" s="618" t="str">
        <f>'Result data'!S567</f>
        <v/>
      </c>
    </row>
    <row r="12" spans="1:19" ht="23.45" customHeight="1" x14ac:dyDescent="0.25">
      <c r="A12" s="359" t="str">
        <f>IF('Result data'!A568="","",'General Report'!A64)</f>
        <v/>
      </c>
      <c r="B12" s="481" t="str">
        <f>'Result data'!B568</f>
        <v/>
      </c>
      <c r="C12" s="482" t="str">
        <f>'Result data'!C568</f>
        <v/>
      </c>
      <c r="D12" s="482" t="str">
        <f>'Result data'!D568</f>
        <v/>
      </c>
      <c r="E12" s="482" t="str">
        <f>'Result data'!E568</f>
        <v/>
      </c>
      <c r="F12" s="482" t="str">
        <f>'Result data'!F568</f>
        <v/>
      </c>
      <c r="G12" s="482" t="str">
        <f>'Result data'!G568</f>
        <v/>
      </c>
      <c r="H12" s="607" t="str">
        <f>'Result data'!H568</f>
        <v/>
      </c>
      <c r="I12" s="360" t="str">
        <f>'Result data'!I568</f>
        <v/>
      </c>
      <c r="J12" s="361" t="str">
        <f>'Result data'!J568</f>
        <v/>
      </c>
      <c r="K12" s="614" t="str">
        <f>'Result data'!K568</f>
        <v/>
      </c>
      <c r="L12" s="360">
        <f>'Result data'!L568</f>
        <v>0</v>
      </c>
      <c r="M12" s="361">
        <f>'Result data'!M568</f>
        <v>0</v>
      </c>
      <c r="N12" s="361">
        <f>'Result data'!N568</f>
        <v>0</v>
      </c>
      <c r="O12" s="361">
        <f>'Result data'!O568</f>
        <v>0</v>
      </c>
      <c r="P12" s="614" t="str">
        <f>IF(A12="","",'Result data'!P568)</f>
        <v/>
      </c>
      <c r="Q12" s="480" t="str">
        <f>'Result data'!Q568</f>
        <v/>
      </c>
      <c r="R12" s="362" t="str">
        <f>'Result data'!R568</f>
        <v/>
      </c>
      <c r="S12" s="363" t="str">
        <f>'Result data'!S568</f>
        <v/>
      </c>
    </row>
    <row r="13" spans="1:19" ht="23.45" customHeight="1" thickBot="1" x14ac:dyDescent="0.3">
      <c r="A13" s="619" t="str">
        <f>IF('Result data'!A569="","",'General Report'!A65)</f>
        <v/>
      </c>
      <c r="B13" s="629" t="str">
        <f>'Result data'!B569</f>
        <v/>
      </c>
      <c r="C13" s="630" t="str">
        <f>'Result data'!C569</f>
        <v/>
      </c>
      <c r="D13" s="630" t="str">
        <f>'Result data'!D569</f>
        <v/>
      </c>
      <c r="E13" s="630" t="str">
        <f>'Result data'!E569</f>
        <v/>
      </c>
      <c r="F13" s="630" t="str">
        <f>'Result data'!F569</f>
        <v/>
      </c>
      <c r="G13" s="630" t="str">
        <f>'Result data'!G569</f>
        <v/>
      </c>
      <c r="H13" s="631" t="str">
        <f>'Result data'!H569</f>
        <v/>
      </c>
      <c r="I13" s="635" t="str">
        <f>'Result data'!I569</f>
        <v/>
      </c>
      <c r="J13" s="636" t="str">
        <f>'Result data'!J569</f>
        <v/>
      </c>
      <c r="K13" s="637" t="str">
        <f>'Result data'!K569</f>
        <v/>
      </c>
      <c r="L13" s="641">
        <f>'Result data'!L569</f>
        <v>0</v>
      </c>
      <c r="M13" s="642">
        <f>'Result data'!M569</f>
        <v>0</v>
      </c>
      <c r="N13" s="642">
        <f>'Result data'!N569</f>
        <v>0</v>
      </c>
      <c r="O13" s="642">
        <f>'Result data'!O569</f>
        <v>0</v>
      </c>
      <c r="P13" s="643" t="str">
        <f>IF(A13="","",'Result data'!P569)</f>
        <v/>
      </c>
      <c r="Q13" s="620" t="str">
        <f>'Result data'!Q569</f>
        <v/>
      </c>
      <c r="R13" s="621" t="str">
        <f>'Result data'!R569</f>
        <v/>
      </c>
      <c r="S13" s="622" t="str">
        <f>'Result data'!S569</f>
        <v/>
      </c>
    </row>
    <row r="14" spans="1:19" ht="17.25" thickBot="1" x14ac:dyDescent="0.3"/>
    <row r="15" spans="1:19" ht="18.75" thickBot="1" x14ac:dyDescent="0.3">
      <c r="A15" s="860" t="str">
        <f>A2</f>
        <v>Empresa / jogador / equipe</v>
      </c>
      <c r="B15" s="862"/>
      <c r="C15" s="863"/>
      <c r="D15" s="863"/>
      <c r="E15" s="863"/>
      <c r="F15" s="863"/>
      <c r="G15" s="863"/>
      <c r="H15" s="863"/>
      <c r="I15" s="863"/>
      <c r="J15" s="863"/>
      <c r="K15" s="864"/>
    </row>
    <row r="16" spans="1:19" ht="162" x14ac:dyDescent="0.25">
      <c r="A16" s="861"/>
      <c r="B16" s="608"/>
      <c r="C16" s="609"/>
      <c r="D16" s="609"/>
      <c r="E16" s="609"/>
      <c r="F16" s="609"/>
      <c r="G16" s="609"/>
      <c r="H16" s="354"/>
      <c r="I16" s="354"/>
      <c r="J16" s="354"/>
      <c r="K16" s="354"/>
      <c r="L16" s="700" t="s">
        <v>1042</v>
      </c>
      <c r="M16" s="700" t="str">
        <f>B2</f>
        <v>Total de pontuação não competitiva</v>
      </c>
      <c r="N16" s="700" t="str">
        <f>I2</f>
        <v>Evolução</v>
      </c>
      <c r="O16" s="700" t="str">
        <f>L2</f>
        <v>Posição final</v>
      </c>
    </row>
    <row r="17" spans="1:15" x14ac:dyDescent="0.25">
      <c r="A17" s="359" t="str" cm="1">
        <f t="array" ref="A17:A26">A4:A13</f>
        <v>T1 - BlitzRide</v>
      </c>
      <c r="B17" s="478"/>
      <c r="C17" s="479"/>
      <c r="D17" s="479"/>
      <c r="E17" s="479"/>
      <c r="F17" s="479"/>
      <c r="G17" s="479"/>
      <c r="H17" s="606"/>
      <c r="I17" s="606"/>
      <c r="J17" s="606"/>
      <c r="K17" s="606"/>
      <c r="L17" s="359" t="str">
        <f t="shared" ref="L17:L26" si="0">A4</f>
        <v>T1 - BlitzRide</v>
      </c>
      <c r="M17" s="365">
        <f t="shared" ref="M17:M26" si="1">H4</f>
        <v>9</v>
      </c>
      <c r="N17" s="365">
        <f t="shared" ref="N17:N26" si="2">K4</f>
        <v>2</v>
      </c>
      <c r="O17" s="365">
        <f t="shared" ref="O17:O26" si="3">P4</f>
        <v>7</v>
      </c>
    </row>
    <row r="18" spans="1:15" x14ac:dyDescent="0.25">
      <c r="A18" s="615" t="str">
        <v>T2 - .</v>
      </c>
      <c r="B18" s="623"/>
      <c r="C18" s="624"/>
      <c r="D18" s="624"/>
      <c r="E18" s="624"/>
      <c r="F18" s="624"/>
      <c r="G18" s="624"/>
      <c r="H18" s="625"/>
      <c r="I18" s="625"/>
      <c r="J18" s="625"/>
      <c r="K18" s="625"/>
      <c r="L18" s="359" t="str">
        <f t="shared" si="0"/>
        <v>T2 - .</v>
      </c>
      <c r="M18" s="365">
        <f t="shared" si="1"/>
        <v>11</v>
      </c>
      <c r="N18" s="365">
        <f t="shared" si="2"/>
        <v>3</v>
      </c>
      <c r="O18" s="365">
        <f t="shared" si="3"/>
        <v>22</v>
      </c>
    </row>
    <row r="19" spans="1:15" x14ac:dyDescent="0.25">
      <c r="A19" s="359" t="str">
        <v>T3 - .</v>
      </c>
      <c r="B19" s="478"/>
      <c r="C19" s="479"/>
      <c r="D19" s="479"/>
      <c r="E19" s="479"/>
      <c r="F19" s="479"/>
      <c r="G19" s="479"/>
      <c r="H19" s="606"/>
      <c r="I19" s="606"/>
      <c r="J19" s="606"/>
      <c r="K19" s="606"/>
      <c r="L19" s="359" t="str">
        <f t="shared" si="0"/>
        <v>T3 - .</v>
      </c>
      <c r="M19" s="365">
        <f t="shared" si="1"/>
        <v>15</v>
      </c>
      <c r="N19" s="365">
        <f t="shared" si="2"/>
        <v>8</v>
      </c>
      <c r="O19" s="365">
        <f t="shared" si="3"/>
        <v>15</v>
      </c>
    </row>
    <row r="20" spans="1:15" x14ac:dyDescent="0.25">
      <c r="A20" s="615" t="str">
        <v>T4 - We Drive</v>
      </c>
      <c r="B20" s="623"/>
      <c r="C20" s="624"/>
      <c r="D20" s="624"/>
      <c r="E20" s="624"/>
      <c r="F20" s="624"/>
      <c r="G20" s="624"/>
      <c r="H20" s="625"/>
      <c r="I20" s="625"/>
      <c r="J20" s="625"/>
      <c r="K20" s="625"/>
      <c r="L20" s="359" t="str">
        <f t="shared" si="0"/>
        <v>T4 - We Drive</v>
      </c>
      <c r="M20" s="365">
        <f t="shared" si="1"/>
        <v>14.5</v>
      </c>
      <c r="N20" s="365">
        <f t="shared" si="2"/>
        <v>3</v>
      </c>
      <c r="O20" s="365">
        <f t="shared" si="3"/>
        <v>30</v>
      </c>
    </row>
    <row r="21" spans="1:15" x14ac:dyDescent="0.25">
      <c r="A21" s="359" t="str">
        <v>T5 - Norimono</v>
      </c>
      <c r="B21" s="478"/>
      <c r="C21" s="479"/>
      <c r="D21" s="479"/>
      <c r="E21" s="479"/>
      <c r="F21" s="479"/>
      <c r="G21" s="479"/>
      <c r="H21" s="606"/>
      <c r="I21" s="606"/>
      <c r="J21" s="606"/>
      <c r="K21" s="606"/>
      <c r="L21" s="359" t="str">
        <f t="shared" si="0"/>
        <v>T5 - Norimono</v>
      </c>
      <c r="M21" s="365">
        <f t="shared" si="1"/>
        <v>10</v>
      </c>
      <c r="N21" s="365">
        <f t="shared" si="2"/>
        <v>2</v>
      </c>
      <c r="O21" s="365">
        <f t="shared" si="3"/>
        <v>25</v>
      </c>
    </row>
    <row r="22" spans="1:15" x14ac:dyDescent="0.25">
      <c r="A22" s="615" t="str">
        <v>T6 - NextRide</v>
      </c>
      <c r="B22" s="623"/>
      <c r="C22" s="624"/>
      <c r="D22" s="624"/>
      <c r="E22" s="624"/>
      <c r="F22" s="624"/>
      <c r="G22" s="624"/>
      <c r="H22" s="625"/>
      <c r="I22" s="625"/>
      <c r="J22" s="625"/>
      <c r="K22" s="625"/>
      <c r="L22" s="359" t="str">
        <f t="shared" si="0"/>
        <v>T6 - NextRide</v>
      </c>
      <c r="M22" s="365">
        <f t="shared" si="1"/>
        <v>8</v>
      </c>
      <c r="N22" s="365">
        <f t="shared" si="2"/>
        <v>6</v>
      </c>
      <c r="O22" s="365">
        <f t="shared" si="3"/>
        <v>22</v>
      </c>
    </row>
    <row r="23" spans="1:15" x14ac:dyDescent="0.25">
      <c r="A23" s="359" t="str">
        <v/>
      </c>
      <c r="B23" s="481"/>
      <c r="C23" s="482"/>
      <c r="D23" s="482"/>
      <c r="E23" s="482"/>
      <c r="F23" s="482"/>
      <c r="G23" s="482"/>
      <c r="H23" s="607"/>
      <c r="I23" s="607"/>
      <c r="J23" s="607"/>
      <c r="K23" s="607"/>
      <c r="L23" s="359" t="str">
        <f t="shared" si="0"/>
        <v/>
      </c>
      <c r="M23" s="365" t="str">
        <f t="shared" si="1"/>
        <v/>
      </c>
      <c r="N23" s="365" t="str">
        <f t="shared" si="2"/>
        <v/>
      </c>
      <c r="O23" s="365" t="str">
        <f t="shared" si="3"/>
        <v/>
      </c>
    </row>
    <row r="24" spans="1:15" x14ac:dyDescent="0.25">
      <c r="A24" s="615" t="str">
        <v/>
      </c>
      <c r="B24" s="626"/>
      <c r="C24" s="627"/>
      <c r="D24" s="627"/>
      <c r="E24" s="627"/>
      <c r="F24" s="627"/>
      <c r="G24" s="627"/>
      <c r="H24" s="628"/>
      <c r="I24" s="628"/>
      <c r="J24" s="628"/>
      <c r="K24" s="628"/>
      <c r="L24" s="359" t="str">
        <f t="shared" si="0"/>
        <v/>
      </c>
      <c r="M24" s="365" t="str">
        <f t="shared" si="1"/>
        <v/>
      </c>
      <c r="N24" s="365" t="str">
        <f t="shared" si="2"/>
        <v/>
      </c>
      <c r="O24" s="365" t="str">
        <f t="shared" si="3"/>
        <v/>
      </c>
    </row>
    <row r="25" spans="1:15" x14ac:dyDescent="0.25">
      <c r="A25" s="359" t="str">
        <v/>
      </c>
      <c r="B25" s="481"/>
      <c r="C25" s="482"/>
      <c r="D25" s="482"/>
      <c r="E25" s="482"/>
      <c r="F25" s="482"/>
      <c r="G25" s="482"/>
      <c r="H25" s="607"/>
      <c r="I25" s="607"/>
      <c r="J25" s="607"/>
      <c r="K25" s="607"/>
      <c r="L25" s="359" t="str">
        <f t="shared" si="0"/>
        <v/>
      </c>
      <c r="M25" s="365" t="str">
        <f t="shared" si="1"/>
        <v/>
      </c>
      <c r="N25" s="365" t="str">
        <f t="shared" si="2"/>
        <v/>
      </c>
      <c r="O25" s="365" t="str">
        <f t="shared" si="3"/>
        <v/>
      </c>
    </row>
    <row r="26" spans="1:15" ht="17.25" thickBot="1" x14ac:dyDescent="0.3">
      <c r="A26" s="619" t="str">
        <v/>
      </c>
      <c r="B26" s="629"/>
      <c r="C26" s="630"/>
      <c r="D26" s="630"/>
      <c r="E26" s="630"/>
      <c r="F26" s="630"/>
      <c r="G26" s="630"/>
      <c r="H26" s="631"/>
      <c r="I26" s="631"/>
      <c r="J26" s="631"/>
      <c r="K26" s="631"/>
      <c r="L26" s="359" t="str">
        <f t="shared" si="0"/>
        <v/>
      </c>
      <c r="M26" s="365" t="str">
        <f t="shared" si="1"/>
        <v/>
      </c>
      <c r="N26" s="365" t="str">
        <f t="shared" si="2"/>
        <v/>
      </c>
      <c r="O26" s="365" t="str">
        <f t="shared" si="3"/>
        <v/>
      </c>
    </row>
    <row r="27" spans="1:15" x14ac:dyDescent="0.25">
      <c r="L27" s="366" t="s">
        <v>835</v>
      </c>
      <c r="M27" s="366"/>
    </row>
    <row r="28" spans="1:15" x14ac:dyDescent="0.25">
      <c r="L28" s="15" t="s">
        <v>837</v>
      </c>
      <c r="M28" s="15" t="s">
        <v>838</v>
      </c>
    </row>
    <row r="29" spans="1:15" x14ac:dyDescent="0.25">
      <c r="L29">
        <f>'Result data'!T560</f>
        <v>20</v>
      </c>
      <c r="M29">
        <f>'Result data'!U560</f>
        <v>5</v>
      </c>
    </row>
    <row r="30" spans="1:15" x14ac:dyDescent="0.25"/>
    <row r="51" ht="13.9" hidden="1" customHeight="1" x14ac:dyDescent="0.25"/>
    <row r="52" ht="13.9" hidden="1" customHeight="1" x14ac:dyDescent="0.25"/>
  </sheetData>
  <mergeCells count="9">
    <mergeCell ref="A15:A16"/>
    <mergeCell ref="B15:K15"/>
    <mergeCell ref="A1:S1"/>
    <mergeCell ref="B2:H2"/>
    <mergeCell ref="I2:K2"/>
    <mergeCell ref="L2:P2"/>
    <mergeCell ref="R2:S2"/>
    <mergeCell ref="A2:A3"/>
    <mergeCell ref="Q2:Q3"/>
  </mergeCells>
  <conditionalFormatting sqref="B4:G13 I4:J13 L4:O13 Q4:Q13">
    <cfRule type="cellIs" dxfId="17" priority="20" operator="equal">
      <formula>0</formula>
    </cfRule>
  </conditionalFormatting>
  <conditionalFormatting sqref="B17:G26">
    <cfRule type="cellIs" dxfId="16" priority="5" operator="equal">
      <formula>0</formula>
    </cfRule>
  </conditionalFormatting>
  <conditionalFormatting sqref="B26:K26">
    <cfRule type="cellIs" dxfId="15" priority="4" operator="equal">
      <formula>0</formula>
    </cfRule>
  </conditionalFormatting>
  <conditionalFormatting sqref="B13:Q13">
    <cfRule type="cellIs" dxfId="14" priority="12" operator="equal">
      <formula>0</formula>
    </cfRule>
  </conditionalFormatting>
  <conditionalFormatting sqref="H4:H13">
    <cfRule type="iconSet" priority="8">
      <iconSet iconSet="3Flags">
        <cfvo type="percent" val="0"/>
        <cfvo type="percent" val="33"/>
        <cfvo type="percent" val="67"/>
      </iconSet>
    </cfRule>
  </conditionalFormatting>
  <conditionalFormatting sqref="H17:H26">
    <cfRule type="iconSet" priority="3">
      <iconSet iconSet="3Flags">
        <cfvo type="percent" val="0"/>
        <cfvo type="percent" val="33"/>
        <cfvo type="percent" val="67"/>
      </iconSet>
    </cfRule>
  </conditionalFormatting>
  <conditionalFormatting sqref="I17:K26">
    <cfRule type="iconSet" priority="1">
      <iconSet iconSet="3Flags">
        <cfvo type="percent" val="0"/>
        <cfvo type="percent" val="33"/>
        <cfvo type="percent" val="67"/>
      </iconSet>
    </cfRule>
  </conditionalFormatting>
  <conditionalFormatting sqref="K4:K13">
    <cfRule type="iconSet" priority="7">
      <iconSet iconSet="3Flags">
        <cfvo type="percent" val="0"/>
        <cfvo type="percent" val="33"/>
        <cfvo type="percent" val="67"/>
      </iconSet>
    </cfRule>
  </conditionalFormatting>
  <conditionalFormatting sqref="P4:P13">
    <cfRule type="iconSet" priority="6">
      <iconSet iconSet="3Flags">
        <cfvo type="percent" val="0"/>
        <cfvo type="percent" val="33"/>
        <cfvo type="percent" val="67"/>
      </iconSet>
    </cfRule>
  </conditionalFormatting>
  <conditionalFormatting sqref="Q4:Q12">
    <cfRule type="iconSet" priority="19">
      <iconSet iconSet="3Flags">
        <cfvo type="percent" val="0"/>
        <cfvo type="num" val="50"/>
        <cfvo type="percent" val="67"/>
      </iconSet>
    </cfRule>
  </conditionalFormatting>
  <conditionalFormatting sqref="Q13">
    <cfRule type="iconSet" priority="11">
      <iconSet iconSet="3Flags">
        <cfvo type="percent" val="0"/>
        <cfvo type="num" val="50"/>
        <cfvo type="percent" val="67"/>
      </iconSet>
    </cfRule>
  </conditionalFormatting>
  <conditionalFormatting sqref="R4:R13">
    <cfRule type="dataBar" priority="751">
      <dataBar>
        <cfvo type="num" val="0"/>
        <cfvo type="num" val="$L$29"/>
        <color rgb="FF63C384"/>
      </dataBar>
      <extLst>
        <ext xmlns:x14="http://schemas.microsoft.com/office/spreadsheetml/2009/9/main" uri="{B025F937-C7B1-47D3-B67F-A62EFF666E3E}">
          <x14:id>{331C8B27-6C42-4C94-9D8E-5E4F83988C0B}</x14:id>
        </ext>
      </extLst>
    </cfRule>
  </conditionalFormatting>
  <conditionalFormatting sqref="S4:S13">
    <cfRule type="dataBar" priority="752">
      <dataBar>
        <cfvo type="num" val="0"/>
        <cfvo type="num" val="$M$29"/>
        <color rgb="FF638EC6"/>
      </dataBar>
      <extLst>
        <ext xmlns:x14="http://schemas.microsoft.com/office/spreadsheetml/2009/9/main" uri="{B025F937-C7B1-47D3-B67F-A62EFF666E3E}">
          <x14:id>{6B23F875-2048-49ED-906B-F9B7D52A97DC}</x14:id>
        </ext>
      </extLst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1C8B27-6C42-4C94-9D8E-5E4F83988C0B}">
            <x14:dataBar minLength="0" maxLength="100" border="1" negativeBarBorderColorSameAsPositive="0">
              <x14:cfvo type="num">
                <xm:f>0</xm:f>
              </x14:cfvo>
              <x14:cfvo type="num">
                <xm:f>$L$29</xm:f>
              </x14:cfvo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R4:R13</xm:sqref>
        </x14:conditionalFormatting>
        <x14:conditionalFormatting xmlns:xm="http://schemas.microsoft.com/office/excel/2006/main">
          <x14:cfRule type="dataBar" id="{6B23F875-2048-49ED-906B-F9B7D52A97DC}">
            <x14:dataBar minLength="0" maxLength="100" border="1" negativeBarBorderColorSameAsPositive="0">
              <x14:cfvo type="num">
                <xm:f>0</xm:f>
              </x14:cfvo>
              <x14:cfvo type="num">
                <xm:f>$M$29</xm:f>
              </x14:cfvo>
              <x14:borderColor rgb="FF638EC6"/>
              <x14:negativeFillColor rgb="FFFF0000"/>
              <x14:negativeBorderColor rgb="FFFF0000"/>
              <x14:axisColor rgb="FF000000"/>
            </x14:dataBar>
          </x14:cfRule>
          <xm:sqref>S4:S13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22">
    <tabColor theme="8"/>
  </sheetPr>
  <dimension ref="A1:XFD267"/>
  <sheetViews>
    <sheetView showGridLines="0" zoomScale="145" zoomScaleNormal="145" workbookViewId="0">
      <selection activeCell="Q1" sqref="Q1:AH1"/>
    </sheetView>
  </sheetViews>
  <sheetFormatPr defaultColWidth="0" defaultRowHeight="16.5" zeroHeight="1" x14ac:dyDescent="0.3"/>
  <cols>
    <col min="1" max="1" width="23.28515625" style="181" customWidth="1"/>
    <col min="2" max="11" width="10.28515625" style="181" customWidth="1"/>
    <col min="12" max="16384" width="8.85546875" style="181" hidden="1"/>
  </cols>
  <sheetData>
    <row r="1" spans="1:11" ht="22.5" x14ac:dyDescent="0.3">
      <c r="A1" s="882" t="str">
        <f>Language!C407</f>
        <v>Presença no país desde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</row>
    <row r="2" spans="1:11" ht="19.899999999999999" customHeight="1" x14ac:dyDescent="0.3">
      <c r="A2" s="881" t="str">
        <f>Language!C393</f>
        <v>Países</v>
      </c>
      <c r="B2" s="329" t="str">
        <f t="array" ref="B2:K2">TRANSPOSE(team)</f>
        <v>Time 1</v>
      </c>
      <c r="C2" s="329" t="str">
        <v>Time 2</v>
      </c>
      <c r="D2" s="329" t="str">
        <v>Time 3</v>
      </c>
      <c r="E2" s="329" t="str">
        <v>Time 4</v>
      </c>
      <c r="F2" s="329" t="str">
        <v>Time 5</v>
      </c>
      <c r="G2" s="329" t="str">
        <v>Time 6</v>
      </c>
      <c r="H2" s="329" t="str">
        <v>Time 7</v>
      </c>
      <c r="I2" s="329" t="str">
        <v>Time 8</v>
      </c>
      <c r="J2" s="329" t="str">
        <v>Time 9</v>
      </c>
      <c r="K2" s="329" t="str">
        <v>Time 10</v>
      </c>
    </row>
    <row r="3" spans="1:11" s="331" customFormat="1" ht="87" customHeight="1" x14ac:dyDescent="0.25">
      <c r="A3" s="881"/>
      <c r="B3" s="330" t="str">
        <f t="array" ref="B3:K3">TRANSPOSE('Config!'!AZ3:AZ12)</f>
        <v>T1 - BlitzRide</v>
      </c>
      <c r="C3" s="330" t="str">
        <v>T2 - .</v>
      </c>
      <c r="D3" s="330" t="str">
        <v>T3 - .</v>
      </c>
      <c r="E3" s="330" t="str">
        <v>T4 - We Drive</v>
      </c>
      <c r="F3" s="330" t="str">
        <v>T5 - Norimono</v>
      </c>
      <c r="G3" s="330" t="str">
        <v>T6 - NextRide</v>
      </c>
      <c r="H3" s="330" t="str">
        <v/>
      </c>
      <c r="I3" s="330" t="str">
        <v/>
      </c>
      <c r="J3" s="330" t="str">
        <v/>
      </c>
      <c r="K3" s="330" t="str">
        <v/>
      </c>
    </row>
    <row r="4" spans="1:11" x14ac:dyDescent="0.3">
      <c r="A4" s="181" t="str">
        <f>IF('Result data'!BG216="","",INDEX(Language!$C$149:$C$308,MATCH('Result data'!BG216,Language!$B$149:$B$308,0)))</f>
        <v>Canadá</v>
      </c>
      <c r="B4" s="684" t="str">
        <f>IF('Result data'!BH216=".","",'Result data'!BH216)</f>
        <v/>
      </c>
      <c r="C4" s="684" t="str">
        <f>IF('Result data'!BI216=".","",'Result data'!BI216)</f>
        <v/>
      </c>
      <c r="D4" s="684" t="str">
        <f>IF('Result data'!BJ216=".","",'Result data'!BJ216)</f>
        <v/>
      </c>
      <c r="E4" s="684" t="str">
        <f>IF('Result data'!BK216=".","",'Result data'!BK216)</f>
        <v>2012 (JV)</v>
      </c>
      <c r="F4" s="684" t="str">
        <f>IF('Result data'!BL216=".","",'Result data'!BL216)</f>
        <v/>
      </c>
      <c r="G4" s="684" t="str">
        <f>IF('Result data'!BM216=".","",'Result data'!BM216)</f>
        <v/>
      </c>
      <c r="H4" s="684" t="str">
        <f>IF('Result data'!BN216=".","",'Result data'!BN216)</f>
        <v/>
      </c>
      <c r="I4" s="684" t="str">
        <f>IF('Result data'!BO216=".","",'Result data'!BO216)</f>
        <v/>
      </c>
      <c r="J4" s="684" t="str">
        <f>IF('Result data'!BP216=".","",'Result data'!BP216)</f>
        <v/>
      </c>
      <c r="K4" s="684" t="str">
        <f>IF('Result data'!BQ216=".","",'Result data'!BQ216)</f>
        <v/>
      </c>
    </row>
    <row r="5" spans="1:11" x14ac:dyDescent="0.3">
      <c r="A5" s="213" t="str">
        <f>IF('Result data'!BG217="","",INDEX(Language!$C$149:$C$308,MATCH('Result data'!BG217,Language!$B$149:$B$308,0)))</f>
        <v>China</v>
      </c>
      <c r="B5" s="685" t="str">
        <f>IF('Result data'!BH217=".","",'Result data'!BH217)</f>
        <v/>
      </c>
      <c r="C5" s="685" t="str">
        <f>IF('Result data'!BI217=".","",'Result data'!BI217)</f>
        <v/>
      </c>
      <c r="D5" s="685" t="str">
        <f>IF('Result data'!BJ217=".","",'Result data'!BJ217)</f>
        <v>2012 (JV)</v>
      </c>
      <c r="E5" s="685" t="str">
        <f>IF('Result data'!BK217=".","",'Result data'!BK217)</f>
        <v/>
      </c>
      <c r="F5" s="685" t="str">
        <f>IF('Result data'!BL217=".","",'Result data'!BL217)</f>
        <v/>
      </c>
      <c r="G5" s="685" t="str">
        <f>IF('Result data'!BM217=".","",'Result data'!BM217)</f>
        <v/>
      </c>
      <c r="H5" s="685" t="str">
        <f>IF('Result data'!BN217=".","",'Result data'!BN217)</f>
        <v/>
      </c>
      <c r="I5" s="685" t="str">
        <f>IF('Result data'!BO217=".","",'Result data'!BO217)</f>
        <v/>
      </c>
      <c r="J5" s="685" t="str">
        <f>IF('Result data'!BP217=".","",'Result data'!BP217)</f>
        <v/>
      </c>
      <c r="K5" s="685" t="str">
        <f>IF('Result data'!BQ217=".","",'Result data'!BQ217)</f>
        <v/>
      </c>
    </row>
    <row r="6" spans="1:11" x14ac:dyDescent="0.3">
      <c r="A6" s="181" t="str">
        <f>IF('Result data'!BG218="","",INDEX(Language!$C$149:$C$308,MATCH('Result data'!BG218,Language!$B$149:$B$308,0)))</f>
        <v>França</v>
      </c>
      <c r="B6" s="684" t="str">
        <f>IF('Result data'!BH218=".","",'Result data'!BH218)</f>
        <v/>
      </c>
      <c r="C6" s="684" t="str">
        <f>IF('Result data'!BI218=".","",'Result data'!BI218)</f>
        <v/>
      </c>
      <c r="D6" s="684" t="str">
        <f>IF('Result data'!BJ218=".","",'Result data'!BJ218)</f>
        <v/>
      </c>
      <c r="E6" s="684" t="str">
        <f>IF('Result data'!BK218=".","",'Result data'!BK218)</f>
        <v/>
      </c>
      <c r="F6" s="684" t="str">
        <f>IF('Result data'!BL218=".","",'Result data'!BL218)</f>
        <v/>
      </c>
      <c r="G6" s="684" t="str">
        <f>IF('Result data'!BM218=".","",'Result data'!BM218)</f>
        <v>2012 (JV)</v>
      </c>
      <c r="H6" s="684" t="str">
        <f>IF('Result data'!BN218=".","",'Result data'!BN218)</f>
        <v/>
      </c>
      <c r="I6" s="684" t="str">
        <f>IF('Result data'!BO218=".","",'Result data'!BO218)</f>
        <v/>
      </c>
      <c r="J6" s="684" t="str">
        <f>IF('Result data'!BP218=".","",'Result data'!BP218)</f>
        <v/>
      </c>
      <c r="K6" s="684" t="str">
        <f>IF('Result data'!BQ218=".","",'Result data'!BQ218)</f>
        <v/>
      </c>
    </row>
    <row r="7" spans="1:11" x14ac:dyDescent="0.3">
      <c r="A7" s="213" t="str">
        <f>IF('Result data'!BG219="","",INDEX(Language!$C$149:$C$308,MATCH('Result data'!BG219,Language!$B$149:$B$308,0)))</f>
        <v>Alemanha</v>
      </c>
      <c r="B7" s="685" t="str">
        <f>IF('Result data'!BH219=".","",'Result data'!BH219)</f>
        <v>2011 (FDI)</v>
      </c>
      <c r="C7" s="685" t="str">
        <f>IF('Result data'!BI219=".","",'Result data'!BI219)</f>
        <v/>
      </c>
      <c r="D7" s="685" t="str">
        <f>IF('Result data'!BJ219=".","",'Result data'!BJ219)</f>
        <v>2011 (FDI)</v>
      </c>
      <c r="E7" s="685" t="str">
        <f>IF('Result data'!BK219=".","",'Result data'!BK219)</f>
        <v/>
      </c>
      <c r="F7" s="685" t="str">
        <f>IF('Result data'!BL219=".","",'Result data'!BL219)</f>
        <v/>
      </c>
      <c r="G7" s="685" t="str">
        <f>IF('Result data'!BM219=".","",'Result data'!BM219)</f>
        <v>2011 (FDI)</v>
      </c>
      <c r="H7" s="685" t="str">
        <f>IF('Result data'!BN219=".","",'Result data'!BN219)</f>
        <v/>
      </c>
      <c r="I7" s="685" t="str">
        <f>IF('Result data'!BO219=".","",'Result data'!BO219)</f>
        <v/>
      </c>
      <c r="J7" s="685" t="str">
        <f>IF('Result data'!BP219=".","",'Result data'!BP219)</f>
        <v/>
      </c>
      <c r="K7" s="685" t="str">
        <f>IF('Result data'!BQ219=".","",'Result data'!BQ219)</f>
        <v/>
      </c>
    </row>
    <row r="8" spans="1:11" x14ac:dyDescent="0.3">
      <c r="A8" s="181" t="str">
        <f>IF('Result data'!BG220="","",INDEX(Language!$C$149:$C$308,MATCH('Result data'!BG220,Language!$B$149:$B$308,0)))</f>
        <v>Japão</v>
      </c>
      <c r="B8" s="684" t="str">
        <f>IF('Result data'!BH220=".","",'Result data'!BH220)</f>
        <v/>
      </c>
      <c r="C8" s="684" t="str">
        <f>IF('Result data'!BI220=".","",'Result data'!BI220)</f>
        <v/>
      </c>
      <c r="D8" s="684" t="str">
        <f>IF('Result data'!BJ220=".","",'Result data'!BJ220)</f>
        <v/>
      </c>
      <c r="E8" s="684" t="str">
        <f>IF('Result data'!BK220=".","",'Result data'!BK220)</f>
        <v/>
      </c>
      <c r="F8" s="684" t="str">
        <f>IF('Result data'!BL220=".","",'Result data'!BL220)</f>
        <v>2011 (FDI)</v>
      </c>
      <c r="G8" s="684" t="str">
        <f>IF('Result data'!BM220=".","",'Result data'!BM220)</f>
        <v/>
      </c>
      <c r="H8" s="684" t="str">
        <f>IF('Result data'!BN220=".","",'Result data'!BN220)</f>
        <v/>
      </c>
      <c r="I8" s="684" t="str">
        <f>IF('Result data'!BO220=".","",'Result data'!BO220)</f>
        <v/>
      </c>
      <c r="J8" s="684" t="str">
        <f>IF('Result data'!BP220=".","",'Result data'!BP220)</f>
        <v/>
      </c>
      <c r="K8" s="684" t="str">
        <f>IF('Result data'!BQ220=".","",'Result data'!BQ220)</f>
        <v/>
      </c>
    </row>
    <row r="9" spans="1:11" x14ac:dyDescent="0.3">
      <c r="A9" s="213" t="str">
        <f>IF('Result data'!BG221="","",INDEX(Language!$C$149:$C$308,MATCH('Result data'!BG221,Language!$B$149:$B$308,0)))</f>
        <v>México</v>
      </c>
      <c r="B9" s="685" t="str">
        <f>IF('Result data'!BH221=".","",'Result data'!BH221)</f>
        <v/>
      </c>
      <c r="C9" s="685" t="str">
        <f>IF('Result data'!BI221=".","",'Result data'!BI221)</f>
        <v>2012 (FDI)</v>
      </c>
      <c r="D9" s="685" t="str">
        <f>IF('Result data'!BJ221=".","",'Result data'!BJ221)</f>
        <v/>
      </c>
      <c r="E9" s="685" t="str">
        <f>IF('Result data'!BK221=".","",'Result data'!BK221)</f>
        <v/>
      </c>
      <c r="F9" s="685" t="str">
        <f>IF('Result data'!BL221=".","",'Result data'!BL221)</f>
        <v/>
      </c>
      <c r="G9" s="685" t="str">
        <f>IF('Result data'!BM221=".","",'Result data'!BM221)</f>
        <v/>
      </c>
      <c r="H9" s="685" t="str">
        <f>IF('Result data'!BN221=".","",'Result data'!BN221)</f>
        <v/>
      </c>
      <c r="I9" s="685" t="str">
        <f>IF('Result data'!BO221=".","",'Result data'!BO221)</f>
        <v/>
      </c>
      <c r="J9" s="685" t="str">
        <f>IF('Result data'!BP221=".","",'Result data'!BP221)</f>
        <v/>
      </c>
      <c r="K9" s="685" t="str">
        <f>IF('Result data'!BQ221=".","",'Result data'!BQ221)</f>
        <v/>
      </c>
    </row>
    <row r="10" spans="1:11" x14ac:dyDescent="0.3">
      <c r="A10" s="181" t="str">
        <f>IF('Result data'!BG222="","",INDEX(Language!$C$149:$C$308,MATCH('Result data'!BG222,Language!$B$149:$B$308,0)))</f>
        <v>Noruega</v>
      </c>
      <c r="B10" s="684" t="str">
        <f>IF('Result data'!BH222=".","",'Result data'!BH222)</f>
        <v>2012 (JV)</v>
      </c>
      <c r="C10" s="684" t="str">
        <f>IF('Result data'!BI222=".","",'Result data'!BI222)</f>
        <v/>
      </c>
      <c r="D10" s="684" t="str">
        <f>IF('Result data'!BJ222=".","",'Result data'!BJ222)</f>
        <v/>
      </c>
      <c r="E10" s="684" t="str">
        <f>IF('Result data'!BK222=".","",'Result data'!BK222)</f>
        <v/>
      </c>
      <c r="F10" s="684" t="str">
        <f>IF('Result data'!BL222=".","",'Result data'!BL222)</f>
        <v/>
      </c>
      <c r="G10" s="684" t="str">
        <f>IF('Result data'!BM222=".","",'Result data'!BM222)</f>
        <v/>
      </c>
      <c r="H10" s="684" t="str">
        <f>IF('Result data'!BN222=".","",'Result data'!BN222)</f>
        <v/>
      </c>
      <c r="I10" s="684" t="str">
        <f>IF('Result data'!BO222=".","",'Result data'!BO222)</f>
        <v/>
      </c>
      <c r="J10" s="684" t="str">
        <f>IF('Result data'!BP222=".","",'Result data'!BP222)</f>
        <v/>
      </c>
      <c r="K10" s="684" t="str">
        <f>IF('Result data'!BQ222=".","",'Result data'!BQ222)</f>
        <v/>
      </c>
    </row>
    <row r="11" spans="1:11" x14ac:dyDescent="0.3">
      <c r="A11" s="213" t="str">
        <f>IF('Result data'!BG223="","",INDEX(Language!$C$149:$C$308,MATCH('Result data'!BG223,Language!$B$149:$B$308,0)))</f>
        <v>Coreia do Sul</v>
      </c>
      <c r="B11" s="685" t="str">
        <f>IF('Result data'!BH223=".","",'Result data'!BH223)</f>
        <v/>
      </c>
      <c r="C11" s="685" t="str">
        <f>IF('Result data'!BI223=".","",'Result data'!BI223)</f>
        <v/>
      </c>
      <c r="D11" s="685" t="str">
        <f>IF('Result data'!BJ223=".","",'Result data'!BJ223)</f>
        <v/>
      </c>
      <c r="E11" s="685" t="str">
        <f>IF('Result data'!BK223=".","",'Result data'!BK223)</f>
        <v/>
      </c>
      <c r="F11" s="685" t="str">
        <f>IF('Result data'!BL223=".","",'Result data'!BL223)</f>
        <v>2012 (JV)</v>
      </c>
      <c r="G11" s="685" t="str">
        <f>IF('Result data'!BM223=".","",'Result data'!BM223)</f>
        <v/>
      </c>
      <c r="H11" s="685" t="str">
        <f>IF('Result data'!BN223=".","",'Result data'!BN223)</f>
        <v/>
      </c>
      <c r="I11" s="685" t="str">
        <f>IF('Result data'!BO223=".","",'Result data'!BO223)</f>
        <v/>
      </c>
      <c r="J11" s="685" t="str">
        <f>IF('Result data'!BP223=".","",'Result data'!BP223)</f>
        <v/>
      </c>
      <c r="K11" s="685" t="str">
        <f>IF('Result data'!BQ223=".","",'Result data'!BQ223)</f>
        <v/>
      </c>
    </row>
    <row r="12" spans="1:11" x14ac:dyDescent="0.3">
      <c r="A12" s="181" t="str">
        <f>IF('Result data'!BG224="","",INDEX(Language!$C$149:$C$308,MATCH('Result data'!BG224,Language!$B$149:$B$308,0)))</f>
        <v>Estados Unidos</v>
      </c>
      <c r="B12" s="684" t="str">
        <f>IF('Result data'!BH224=".","",'Result data'!BH224)</f>
        <v/>
      </c>
      <c r="C12" s="684" t="str">
        <f>IF('Result data'!BI224=".","",'Result data'!BI224)</f>
        <v/>
      </c>
      <c r="D12" s="684" t="str">
        <f>IF('Result data'!BJ224=".","",'Result data'!BJ224)</f>
        <v/>
      </c>
      <c r="E12" s="684" t="str">
        <f>IF('Result data'!BK224=".","",'Result data'!BK224)</f>
        <v>2011 (FDI)</v>
      </c>
      <c r="F12" s="684" t="str">
        <f>IF('Result data'!BL224=".","",'Result data'!BL224)</f>
        <v/>
      </c>
      <c r="G12" s="684" t="str">
        <f>IF('Result data'!BM224=".","",'Result data'!BM224)</f>
        <v/>
      </c>
      <c r="H12" s="684" t="str">
        <f>IF('Result data'!BN224=".","",'Result data'!BN224)</f>
        <v/>
      </c>
      <c r="I12" s="684" t="str">
        <f>IF('Result data'!BO224=".","",'Result data'!BO224)</f>
        <v/>
      </c>
      <c r="J12" s="684" t="str">
        <f>IF('Result data'!BP224=".","",'Result data'!BP224)</f>
        <v/>
      </c>
      <c r="K12" s="684" t="str">
        <f>IF('Result data'!BQ224=".","",'Result data'!BQ224)</f>
        <v/>
      </c>
    </row>
    <row r="13" spans="1:11" x14ac:dyDescent="0.3">
      <c r="A13" s="213" t="str">
        <f>IF('Result data'!BG225="","",INDEX(Language!$C$149:$C$308,MATCH('Result data'!BG225,Language!$B$149:$B$308,0)))</f>
        <v>Reino Unido</v>
      </c>
      <c r="B13" s="685" t="str">
        <f>IF('Result data'!BH225=".","",'Result data'!BH225)</f>
        <v/>
      </c>
      <c r="C13" s="685" t="str">
        <f>IF('Result data'!BI225=".","",'Result data'!BI225)</f>
        <v>2011 (FDI)</v>
      </c>
      <c r="D13" s="685" t="str">
        <f>IF('Result data'!BJ225=".","",'Result data'!BJ225)</f>
        <v/>
      </c>
      <c r="E13" s="685" t="str">
        <f>IF('Result data'!BK225=".","",'Result data'!BK225)</f>
        <v/>
      </c>
      <c r="F13" s="685" t="str">
        <f>IF('Result data'!BL225=".","",'Result data'!BL225)</f>
        <v/>
      </c>
      <c r="G13" s="685" t="str">
        <f>IF('Result data'!BM225=".","",'Result data'!BM225)</f>
        <v/>
      </c>
      <c r="H13" s="685" t="str">
        <f>IF('Result data'!BN225=".","",'Result data'!BN225)</f>
        <v/>
      </c>
      <c r="I13" s="685" t="str">
        <f>IF('Result data'!BO225=".","",'Result data'!BO225)</f>
        <v/>
      </c>
      <c r="J13" s="685" t="str">
        <f>IF('Result data'!BP225=".","",'Result data'!BP225)</f>
        <v/>
      </c>
      <c r="K13" s="685" t="str">
        <f>IF('Result data'!BQ225=".","",'Result data'!BQ225)</f>
        <v/>
      </c>
    </row>
    <row r="14" spans="1:11" x14ac:dyDescent="0.3">
      <c r="A14" s="181" t="str">
        <f>IF('Result data'!BG226="","",INDEX(Language!$C$149:$C$308,MATCH('Result data'!BG226,Language!$B$149:$B$308,0)))</f>
        <v/>
      </c>
      <c r="B14" s="684" t="str">
        <f>IF('Result data'!BH226=".","",'Result data'!BH226)</f>
        <v/>
      </c>
      <c r="C14" s="684" t="str">
        <f>IF('Result data'!BI226=".","",'Result data'!BI226)</f>
        <v/>
      </c>
      <c r="D14" s="684" t="str">
        <f>IF('Result data'!BJ226=".","",'Result data'!BJ226)</f>
        <v/>
      </c>
      <c r="E14" s="684" t="str">
        <f>IF('Result data'!BK226=".","",'Result data'!BK226)</f>
        <v/>
      </c>
      <c r="F14" s="684" t="str">
        <f>IF('Result data'!BL226=".","",'Result data'!BL226)</f>
        <v/>
      </c>
      <c r="G14" s="684" t="str">
        <f>IF('Result data'!BM226=".","",'Result data'!BM226)</f>
        <v/>
      </c>
      <c r="H14" s="684" t="str">
        <f>IF('Result data'!BN226=".","",'Result data'!BN226)</f>
        <v/>
      </c>
      <c r="I14" s="684" t="str">
        <f>IF('Result data'!BO226=".","",'Result data'!BO226)</f>
        <v/>
      </c>
      <c r="J14" s="684" t="str">
        <f>IF('Result data'!BP226=".","",'Result data'!BP226)</f>
        <v/>
      </c>
      <c r="K14" s="684" t="str">
        <f>IF('Result data'!BQ226=".","",'Result data'!BQ226)</f>
        <v/>
      </c>
    </row>
    <row r="15" spans="1:11" x14ac:dyDescent="0.3">
      <c r="A15" s="213" t="str">
        <f>IF('Result data'!BG227="","",INDEX(Language!$C$149:$C$308,MATCH('Result data'!BG227,Language!$B$149:$B$308,0)))</f>
        <v/>
      </c>
      <c r="B15" s="685" t="str">
        <f>IF('Result data'!BH227=".","",'Result data'!BH227)</f>
        <v/>
      </c>
      <c r="C15" s="685" t="str">
        <f>IF('Result data'!BI227=".","",'Result data'!BI227)</f>
        <v/>
      </c>
      <c r="D15" s="685" t="str">
        <f>IF('Result data'!BJ227=".","",'Result data'!BJ227)</f>
        <v/>
      </c>
      <c r="E15" s="685" t="str">
        <f>IF('Result data'!BK227=".","",'Result data'!BK227)</f>
        <v/>
      </c>
      <c r="F15" s="685" t="str">
        <f>IF('Result data'!BL227=".","",'Result data'!BL227)</f>
        <v/>
      </c>
      <c r="G15" s="685" t="str">
        <f>IF('Result data'!BM227=".","",'Result data'!BM227)</f>
        <v/>
      </c>
      <c r="H15" s="685" t="str">
        <f>IF('Result data'!BN227=".","",'Result data'!BN227)</f>
        <v/>
      </c>
      <c r="I15" s="685" t="str">
        <f>IF('Result data'!BO227=".","",'Result data'!BO227)</f>
        <v/>
      </c>
      <c r="J15" s="685" t="str">
        <f>IF('Result data'!BP227=".","",'Result data'!BP227)</f>
        <v/>
      </c>
      <c r="K15" s="685" t="str">
        <f>IF('Result data'!BQ227=".","",'Result data'!BQ227)</f>
        <v/>
      </c>
    </row>
    <row r="16" spans="1:11" x14ac:dyDescent="0.3">
      <c r="A16" s="181" t="str">
        <f>IF('Result data'!BG228="","",INDEX(Language!$C$149:$C$308,MATCH('Result data'!BG228,Language!$B$149:$B$308,0)))</f>
        <v/>
      </c>
      <c r="B16" s="684" t="str">
        <f>IF('Result data'!BH228=".","",'Result data'!BH228)</f>
        <v/>
      </c>
      <c r="C16" s="684" t="str">
        <f>IF('Result data'!BI228=".","",'Result data'!BI228)</f>
        <v/>
      </c>
      <c r="D16" s="684" t="str">
        <f>IF('Result data'!BJ228=".","",'Result data'!BJ228)</f>
        <v/>
      </c>
      <c r="E16" s="684" t="str">
        <f>IF('Result data'!BK228=".","",'Result data'!BK228)</f>
        <v/>
      </c>
      <c r="F16" s="684" t="str">
        <f>IF('Result data'!BL228=".","",'Result data'!BL228)</f>
        <v/>
      </c>
      <c r="G16" s="684" t="str">
        <f>IF('Result data'!BM228=".","",'Result data'!BM228)</f>
        <v/>
      </c>
      <c r="H16" s="684" t="str">
        <f>IF('Result data'!BN228=".","",'Result data'!BN228)</f>
        <v/>
      </c>
      <c r="I16" s="684" t="str">
        <f>IF('Result data'!BO228=".","",'Result data'!BO228)</f>
        <v/>
      </c>
      <c r="J16" s="684" t="str">
        <f>IF('Result data'!BP228=".","",'Result data'!BP228)</f>
        <v/>
      </c>
      <c r="K16" s="684" t="str">
        <f>IF('Result data'!BQ228=".","",'Result data'!BQ228)</f>
        <v/>
      </c>
    </row>
    <row r="17" spans="1:11" x14ac:dyDescent="0.3">
      <c r="A17" s="213" t="str">
        <f>IF('Result data'!BG229="","",INDEX(Language!$C$149:$C$308,MATCH('Result data'!BG229,Language!$B$149:$B$308,0)))</f>
        <v/>
      </c>
      <c r="B17" s="685" t="str">
        <f>IF('Result data'!BH229=".","",'Result data'!BH229)</f>
        <v/>
      </c>
      <c r="C17" s="685" t="str">
        <f>IF('Result data'!BI229=".","",'Result data'!BI229)</f>
        <v/>
      </c>
      <c r="D17" s="685" t="str">
        <f>IF('Result data'!BJ229=".","",'Result data'!BJ229)</f>
        <v/>
      </c>
      <c r="E17" s="685" t="str">
        <f>IF('Result data'!BK229=".","",'Result data'!BK229)</f>
        <v/>
      </c>
      <c r="F17" s="685" t="str">
        <f>IF('Result data'!BL229=".","",'Result data'!BL229)</f>
        <v/>
      </c>
      <c r="G17" s="685" t="str">
        <f>IF('Result data'!BM229=".","",'Result data'!BM229)</f>
        <v/>
      </c>
      <c r="H17" s="685" t="str">
        <f>IF('Result data'!BN229=".","",'Result data'!BN229)</f>
        <v/>
      </c>
      <c r="I17" s="685" t="str">
        <f>IF('Result data'!BO229=".","",'Result data'!BO229)</f>
        <v/>
      </c>
      <c r="J17" s="685" t="str">
        <f>IF('Result data'!BP229=".","",'Result data'!BP229)</f>
        <v/>
      </c>
      <c r="K17" s="685" t="str">
        <f>IF('Result data'!BQ229=".","",'Result data'!BQ229)</f>
        <v/>
      </c>
    </row>
    <row r="18" spans="1:11" x14ac:dyDescent="0.3">
      <c r="A18" s="181" t="str">
        <f>IF('Result data'!BG230="","",INDEX(Language!$C$149:$C$308,MATCH('Result data'!BG230,Language!$B$149:$B$308,0)))</f>
        <v/>
      </c>
      <c r="B18" s="684" t="str">
        <f>IF('Result data'!BH230=".","",'Result data'!BH230)</f>
        <v/>
      </c>
      <c r="C18" s="684" t="str">
        <f>IF('Result data'!BI230=".","",'Result data'!BI230)</f>
        <v/>
      </c>
      <c r="D18" s="684" t="str">
        <f>IF('Result data'!BJ230=".","",'Result data'!BJ230)</f>
        <v/>
      </c>
      <c r="E18" s="684" t="str">
        <f>IF('Result data'!BK230=".","",'Result data'!BK230)</f>
        <v/>
      </c>
      <c r="F18" s="684" t="str">
        <f>IF('Result data'!BL230=".","",'Result data'!BL230)</f>
        <v/>
      </c>
      <c r="G18" s="684" t="str">
        <f>IF('Result data'!BM230=".","",'Result data'!BM230)</f>
        <v/>
      </c>
      <c r="H18" s="684" t="str">
        <f>IF('Result data'!BN230=".","",'Result data'!BN230)</f>
        <v/>
      </c>
      <c r="I18" s="684" t="str">
        <f>IF('Result data'!BO230=".","",'Result data'!BO230)</f>
        <v/>
      </c>
      <c r="J18" s="684" t="str">
        <f>IF('Result data'!BP230=".","",'Result data'!BP230)</f>
        <v/>
      </c>
      <c r="K18" s="684" t="str">
        <f>IF('Result data'!BQ230=".","",'Result data'!BQ230)</f>
        <v/>
      </c>
    </row>
    <row r="19" spans="1:11" x14ac:dyDescent="0.3">
      <c r="A19" s="213" t="str">
        <f>IF('Result data'!BG231="","",INDEX(Language!$C$149:$C$308,MATCH('Result data'!BG231,Language!$B$149:$B$308,0)))</f>
        <v/>
      </c>
      <c r="B19" s="685" t="str">
        <f>IF('Result data'!BH231=".","",'Result data'!BH231)</f>
        <v/>
      </c>
      <c r="C19" s="685" t="str">
        <f>IF('Result data'!BI231=".","",'Result data'!BI231)</f>
        <v/>
      </c>
      <c r="D19" s="685" t="str">
        <f>IF('Result data'!BJ231=".","",'Result data'!BJ231)</f>
        <v/>
      </c>
      <c r="E19" s="685" t="str">
        <f>IF('Result data'!BK231=".","",'Result data'!BK231)</f>
        <v/>
      </c>
      <c r="F19" s="685" t="str">
        <f>IF('Result data'!BL231=".","",'Result data'!BL231)</f>
        <v/>
      </c>
      <c r="G19" s="685" t="str">
        <f>IF('Result data'!BM231=".","",'Result data'!BM231)</f>
        <v/>
      </c>
      <c r="H19" s="685" t="str">
        <f>IF('Result data'!BN231=".","",'Result data'!BN231)</f>
        <v/>
      </c>
      <c r="I19" s="685" t="str">
        <f>IF('Result data'!BO231=".","",'Result data'!BO231)</f>
        <v/>
      </c>
      <c r="J19" s="685" t="str">
        <f>IF('Result data'!BP231=".","",'Result data'!BP231)</f>
        <v/>
      </c>
      <c r="K19" s="685" t="str">
        <f>IF('Result data'!BQ231=".","",'Result data'!BQ231)</f>
        <v/>
      </c>
    </row>
    <row r="20" spans="1:11" x14ac:dyDescent="0.3">
      <c r="A20" s="181" t="str">
        <f>IF('Result data'!BG232="","",INDEX(Language!$C$149:$C$308,MATCH('Result data'!BG232,Language!$B$149:$B$308,0)))</f>
        <v/>
      </c>
      <c r="B20" s="684" t="str">
        <f>IF('Result data'!BH232=".","",'Result data'!BH232)</f>
        <v/>
      </c>
      <c r="C20" s="684" t="str">
        <f>IF('Result data'!BI232=".","",'Result data'!BI232)</f>
        <v/>
      </c>
      <c r="D20" s="684" t="str">
        <f>IF('Result data'!BJ232=".","",'Result data'!BJ232)</f>
        <v/>
      </c>
      <c r="E20" s="684" t="str">
        <f>IF('Result data'!BK232=".","",'Result data'!BK232)</f>
        <v/>
      </c>
      <c r="F20" s="684" t="str">
        <f>IF('Result data'!BL232=".","",'Result data'!BL232)</f>
        <v/>
      </c>
      <c r="G20" s="684" t="str">
        <f>IF('Result data'!BM232=".","",'Result data'!BM232)</f>
        <v/>
      </c>
      <c r="H20" s="684" t="str">
        <f>IF('Result data'!BN232=".","",'Result data'!BN232)</f>
        <v/>
      </c>
      <c r="I20" s="684" t="str">
        <f>IF('Result data'!BO232=".","",'Result data'!BO232)</f>
        <v/>
      </c>
      <c r="J20" s="684" t="str">
        <f>IF('Result data'!BP232=".","",'Result data'!BP232)</f>
        <v/>
      </c>
      <c r="K20" s="684" t="str">
        <f>IF('Result data'!BQ232=".","",'Result data'!BQ232)</f>
        <v/>
      </c>
    </row>
    <row r="21" spans="1:11" x14ac:dyDescent="0.3">
      <c r="A21" s="213" t="str">
        <f>IF('Result data'!BG233="","",INDEX(Language!$C$149:$C$308,MATCH('Result data'!BG233,Language!$B$149:$B$308,0)))</f>
        <v/>
      </c>
      <c r="B21" s="685" t="str">
        <f>IF('Result data'!BH233=".","",'Result data'!BH233)</f>
        <v/>
      </c>
      <c r="C21" s="685" t="str">
        <f>IF('Result data'!BI233=".","",'Result data'!BI233)</f>
        <v/>
      </c>
      <c r="D21" s="685" t="str">
        <f>IF('Result data'!BJ233=".","",'Result data'!BJ233)</f>
        <v/>
      </c>
      <c r="E21" s="685" t="str">
        <f>IF('Result data'!BK233=".","",'Result data'!BK233)</f>
        <v/>
      </c>
      <c r="F21" s="685" t="str">
        <f>IF('Result data'!BL233=".","",'Result data'!BL233)</f>
        <v/>
      </c>
      <c r="G21" s="685" t="str">
        <f>IF('Result data'!BM233=".","",'Result data'!BM233)</f>
        <v/>
      </c>
      <c r="H21" s="685" t="str">
        <f>IF('Result data'!BN233=".","",'Result data'!BN233)</f>
        <v/>
      </c>
      <c r="I21" s="685" t="str">
        <f>IF('Result data'!BO233=".","",'Result data'!BO233)</f>
        <v/>
      </c>
      <c r="J21" s="685" t="str">
        <f>IF('Result data'!BP233=".","",'Result data'!BP233)</f>
        <v/>
      </c>
      <c r="K21" s="685" t="str">
        <f>IF('Result data'!BQ233=".","",'Result data'!BQ233)</f>
        <v/>
      </c>
    </row>
    <row r="22" spans="1:11" x14ac:dyDescent="0.3">
      <c r="A22" s="181" t="str">
        <f>IF('Result data'!BG234="","",INDEX(Language!$C$149:$C$308,MATCH('Result data'!BG234,Language!$B$149:$B$308,0)))</f>
        <v/>
      </c>
      <c r="B22" s="684" t="str">
        <f>IF('Result data'!BH234=".","",'Result data'!BH234)</f>
        <v/>
      </c>
      <c r="C22" s="684" t="str">
        <f>IF('Result data'!BI234=".","",'Result data'!BI234)</f>
        <v/>
      </c>
      <c r="D22" s="684" t="str">
        <f>IF('Result data'!BJ234=".","",'Result data'!BJ234)</f>
        <v/>
      </c>
      <c r="E22" s="684" t="str">
        <f>IF('Result data'!BK234=".","",'Result data'!BK234)</f>
        <v/>
      </c>
      <c r="F22" s="684" t="str">
        <f>IF('Result data'!BL234=".","",'Result data'!BL234)</f>
        <v/>
      </c>
      <c r="G22" s="684" t="str">
        <f>IF('Result data'!BM234=".","",'Result data'!BM234)</f>
        <v/>
      </c>
      <c r="H22" s="684" t="str">
        <f>IF('Result data'!BN234=".","",'Result data'!BN234)</f>
        <v/>
      </c>
      <c r="I22" s="684" t="str">
        <f>IF('Result data'!BO234=".","",'Result data'!BO234)</f>
        <v/>
      </c>
      <c r="J22" s="684" t="str">
        <f>IF('Result data'!BP234=".","",'Result data'!BP234)</f>
        <v/>
      </c>
      <c r="K22" s="684" t="str">
        <f>IF('Result data'!BQ234=".","",'Result data'!BQ234)</f>
        <v/>
      </c>
    </row>
    <row r="23" spans="1:11" x14ac:dyDescent="0.3">
      <c r="A23" s="213" t="str">
        <f>IF('Result data'!BG235="","",INDEX(Language!$C$149:$C$308,MATCH('Result data'!BG235,Language!$B$149:$B$308,0)))</f>
        <v/>
      </c>
      <c r="B23" s="685" t="str">
        <f>IF('Result data'!BH235=".","",'Result data'!BH235)</f>
        <v/>
      </c>
      <c r="C23" s="685" t="str">
        <f>IF('Result data'!BI235=".","",'Result data'!BI235)</f>
        <v/>
      </c>
      <c r="D23" s="685" t="str">
        <f>IF('Result data'!BJ235=".","",'Result data'!BJ235)</f>
        <v/>
      </c>
      <c r="E23" s="685" t="str">
        <f>IF('Result data'!BK235=".","",'Result data'!BK235)</f>
        <v/>
      </c>
      <c r="F23" s="685" t="str">
        <f>IF('Result data'!BL235=".","",'Result data'!BL235)</f>
        <v/>
      </c>
      <c r="G23" s="685" t="str">
        <f>IF('Result data'!BM235=".","",'Result data'!BM235)</f>
        <v/>
      </c>
      <c r="H23" s="685" t="str">
        <f>IF('Result data'!BN235=".","",'Result data'!BN235)</f>
        <v/>
      </c>
      <c r="I23" s="685" t="str">
        <f>IF('Result data'!BO235=".","",'Result data'!BO235)</f>
        <v/>
      </c>
      <c r="J23" s="685" t="str">
        <f>IF('Result data'!BP235=".","",'Result data'!BP235)</f>
        <v/>
      </c>
      <c r="K23" s="685" t="str">
        <f>IF('Result data'!BQ235=".","",'Result data'!BQ235)</f>
        <v/>
      </c>
    </row>
    <row r="24" spans="1:11" x14ac:dyDescent="0.3">
      <c r="A24" s="181" t="str">
        <f>IF('Result data'!BG236="","",INDEX(Language!$C$149:$C$308,MATCH('Result data'!BG236,Language!$B$149:$B$308,0)))</f>
        <v/>
      </c>
      <c r="B24" s="684" t="str">
        <f>IF('Result data'!BH236=".","",'Result data'!BH236)</f>
        <v/>
      </c>
      <c r="C24" s="684" t="str">
        <f>IF('Result data'!BI236=".","",'Result data'!BI236)</f>
        <v/>
      </c>
      <c r="D24" s="684" t="str">
        <f>IF('Result data'!BJ236=".","",'Result data'!BJ236)</f>
        <v/>
      </c>
      <c r="E24" s="684" t="str">
        <f>IF('Result data'!BK236=".","",'Result data'!BK236)</f>
        <v/>
      </c>
      <c r="F24" s="684" t="str">
        <f>IF('Result data'!BL236=".","",'Result data'!BL236)</f>
        <v/>
      </c>
      <c r="G24" s="684" t="str">
        <f>IF('Result data'!BM236=".","",'Result data'!BM236)</f>
        <v/>
      </c>
      <c r="H24" s="684" t="str">
        <f>IF('Result data'!BN236=".","",'Result data'!BN236)</f>
        <v/>
      </c>
      <c r="I24" s="684" t="str">
        <f>IF('Result data'!BO236=".","",'Result data'!BO236)</f>
        <v/>
      </c>
      <c r="J24" s="684" t="str">
        <f>IF('Result data'!BP236=".","",'Result data'!BP236)</f>
        <v/>
      </c>
      <c r="K24" s="684" t="str">
        <f>IF('Result data'!BQ236=".","",'Result data'!BQ236)</f>
        <v/>
      </c>
    </row>
    <row r="25" spans="1:11" x14ac:dyDescent="0.3">
      <c r="A25" s="213" t="str">
        <f>IF('Result data'!BG237="","",INDEX(Language!$C$149:$C$308,MATCH('Result data'!BG237,Language!$B$149:$B$308,0)))</f>
        <v/>
      </c>
      <c r="B25" s="685" t="str">
        <f>IF('Result data'!BH237=".","",'Result data'!BH237)</f>
        <v/>
      </c>
      <c r="C25" s="685" t="str">
        <f>IF('Result data'!BI237=".","",'Result data'!BI237)</f>
        <v/>
      </c>
      <c r="D25" s="685" t="str">
        <f>IF('Result data'!BJ237=".","",'Result data'!BJ237)</f>
        <v/>
      </c>
      <c r="E25" s="685" t="str">
        <f>IF('Result data'!BK237=".","",'Result data'!BK237)</f>
        <v/>
      </c>
      <c r="F25" s="685" t="str">
        <f>IF('Result data'!BL237=".","",'Result data'!BL237)</f>
        <v/>
      </c>
      <c r="G25" s="685" t="str">
        <f>IF('Result data'!BM237=".","",'Result data'!BM237)</f>
        <v/>
      </c>
      <c r="H25" s="685" t="str">
        <f>IF('Result data'!BN237=".","",'Result data'!BN237)</f>
        <v/>
      </c>
      <c r="I25" s="685" t="str">
        <f>IF('Result data'!BO237=".","",'Result data'!BO237)</f>
        <v/>
      </c>
      <c r="J25" s="685" t="str">
        <f>IF('Result data'!BP237=".","",'Result data'!BP237)</f>
        <v/>
      </c>
      <c r="K25" s="685" t="str">
        <f>IF('Result data'!BQ237=".","",'Result data'!BQ237)</f>
        <v/>
      </c>
    </row>
    <row r="26" spans="1:11" x14ac:dyDescent="0.3">
      <c r="A26" s="181" t="str">
        <f>IF('Result data'!BG238="","",INDEX(Language!$C$149:$C$308,MATCH('Result data'!BG238,Language!$B$149:$B$308,0)))</f>
        <v/>
      </c>
      <c r="B26" s="684" t="str">
        <f>IF('Result data'!BH238=".","",'Result data'!BH238)</f>
        <v/>
      </c>
      <c r="C26" s="684" t="str">
        <f>IF('Result data'!BI238=".","",'Result data'!BI238)</f>
        <v/>
      </c>
      <c r="D26" s="684" t="str">
        <f>IF('Result data'!BJ238=".","",'Result data'!BJ238)</f>
        <v/>
      </c>
      <c r="E26" s="684" t="str">
        <f>IF('Result data'!BK238=".","",'Result data'!BK238)</f>
        <v/>
      </c>
      <c r="F26" s="684" t="str">
        <f>IF('Result data'!BL238=".","",'Result data'!BL238)</f>
        <v/>
      </c>
      <c r="G26" s="684" t="str">
        <f>IF('Result data'!BM238=".","",'Result data'!BM238)</f>
        <v/>
      </c>
      <c r="H26" s="684" t="str">
        <f>IF('Result data'!BN238=".","",'Result data'!BN238)</f>
        <v/>
      </c>
      <c r="I26" s="684" t="str">
        <f>IF('Result data'!BO238=".","",'Result data'!BO238)</f>
        <v/>
      </c>
      <c r="J26" s="684" t="str">
        <f>IF('Result data'!BP238=".","",'Result data'!BP238)</f>
        <v/>
      </c>
      <c r="K26" s="684" t="str">
        <f>IF('Result data'!BQ238=".","",'Result data'!BQ238)</f>
        <v/>
      </c>
    </row>
    <row r="27" spans="1:11" x14ac:dyDescent="0.3">
      <c r="A27" s="213" t="str">
        <f>IF('Result data'!BG239="","",INDEX(Language!$C$149:$C$308,MATCH('Result data'!BG239,Language!$B$149:$B$308,0)))</f>
        <v/>
      </c>
      <c r="B27" s="685" t="str">
        <f>IF('Result data'!BH239=".","",'Result data'!BH239)</f>
        <v/>
      </c>
      <c r="C27" s="685" t="str">
        <f>IF('Result data'!BI239=".","",'Result data'!BI239)</f>
        <v/>
      </c>
      <c r="D27" s="685" t="str">
        <f>IF('Result data'!BJ239=".","",'Result data'!BJ239)</f>
        <v/>
      </c>
      <c r="E27" s="685" t="str">
        <f>IF('Result data'!BK239=".","",'Result data'!BK239)</f>
        <v/>
      </c>
      <c r="F27" s="685" t="str">
        <f>IF('Result data'!BL239=".","",'Result data'!BL239)</f>
        <v/>
      </c>
      <c r="G27" s="685" t="str">
        <f>IF('Result data'!BM239=".","",'Result data'!BM239)</f>
        <v/>
      </c>
      <c r="H27" s="685" t="str">
        <f>IF('Result data'!BN239=".","",'Result data'!BN239)</f>
        <v/>
      </c>
      <c r="I27" s="685" t="str">
        <f>IF('Result data'!BO239=".","",'Result data'!BO239)</f>
        <v/>
      </c>
      <c r="J27" s="685" t="str">
        <f>IF('Result data'!BP239=".","",'Result data'!BP239)</f>
        <v/>
      </c>
      <c r="K27" s="685" t="str">
        <f>IF('Result data'!BQ239=".","",'Result data'!BQ239)</f>
        <v/>
      </c>
    </row>
    <row r="28" spans="1:11" x14ac:dyDescent="0.3">
      <c r="A28" s="181" t="str">
        <f>IF('Result data'!BG240="","",INDEX(Language!$C$149:$C$308,MATCH('Result data'!BG240,Language!$B$149:$B$308,0)))</f>
        <v/>
      </c>
      <c r="B28" s="684" t="str">
        <f>IF('Result data'!BH240=".","",'Result data'!BH240)</f>
        <v/>
      </c>
      <c r="C28" s="684" t="str">
        <f>IF('Result data'!BI240=".","",'Result data'!BI240)</f>
        <v/>
      </c>
      <c r="D28" s="684" t="str">
        <f>IF('Result data'!BJ240=".","",'Result data'!BJ240)</f>
        <v/>
      </c>
      <c r="E28" s="684" t="str">
        <f>IF('Result data'!BK240=".","",'Result data'!BK240)</f>
        <v/>
      </c>
      <c r="F28" s="684" t="str">
        <f>IF('Result data'!BL240=".","",'Result data'!BL240)</f>
        <v/>
      </c>
      <c r="G28" s="684" t="str">
        <f>IF('Result data'!BM240=".","",'Result data'!BM240)</f>
        <v/>
      </c>
      <c r="H28" s="684" t="str">
        <f>IF('Result data'!BN240=".","",'Result data'!BN240)</f>
        <v/>
      </c>
      <c r="I28" s="684" t="str">
        <f>IF('Result data'!BO240=".","",'Result data'!BO240)</f>
        <v/>
      </c>
      <c r="J28" s="684" t="str">
        <f>IF('Result data'!BP240=".","",'Result data'!BP240)</f>
        <v/>
      </c>
      <c r="K28" s="684" t="str">
        <f>IF('Result data'!BQ240=".","",'Result data'!BQ240)</f>
        <v/>
      </c>
    </row>
    <row r="29" spans="1:11" x14ac:dyDescent="0.3">
      <c r="A29" s="213" t="str">
        <f>IF('Result data'!BG241="","",INDEX(Language!$C$149:$C$308,MATCH('Result data'!BG241,Language!$B$149:$B$308,0)))</f>
        <v/>
      </c>
      <c r="B29" s="685" t="str">
        <f>IF('Result data'!BH241=".","",'Result data'!BH241)</f>
        <v/>
      </c>
      <c r="C29" s="685" t="str">
        <f>IF('Result data'!BI241=".","",'Result data'!BI241)</f>
        <v/>
      </c>
      <c r="D29" s="685" t="str">
        <f>IF('Result data'!BJ241=".","",'Result data'!BJ241)</f>
        <v/>
      </c>
      <c r="E29" s="685" t="str">
        <f>IF('Result data'!BK241=".","",'Result data'!BK241)</f>
        <v/>
      </c>
      <c r="F29" s="685" t="str">
        <f>IF('Result data'!BL241=".","",'Result data'!BL241)</f>
        <v/>
      </c>
      <c r="G29" s="685" t="str">
        <f>IF('Result data'!BM241=".","",'Result data'!BM241)</f>
        <v/>
      </c>
      <c r="H29" s="685" t="str">
        <f>IF('Result data'!BN241=".","",'Result data'!BN241)</f>
        <v/>
      </c>
      <c r="I29" s="685" t="str">
        <f>IF('Result data'!BO241=".","",'Result data'!BO241)</f>
        <v/>
      </c>
      <c r="J29" s="685" t="str">
        <f>IF('Result data'!BP241=".","",'Result data'!BP241)</f>
        <v/>
      </c>
      <c r="K29" s="685" t="str">
        <f>IF('Result data'!BQ241=".","",'Result data'!BQ241)</f>
        <v/>
      </c>
    </row>
    <row r="30" spans="1:11" x14ac:dyDescent="0.3">
      <c r="A30" s="181" t="str">
        <f>IF('Result data'!BG242="","",INDEX(Language!$C$149:$C$308,MATCH('Result data'!BG242,Language!$B$149:$B$308,0)))</f>
        <v/>
      </c>
      <c r="B30" s="684" t="str">
        <f>IF('Result data'!BH242=".","",'Result data'!BH242)</f>
        <v/>
      </c>
      <c r="C30" s="684" t="str">
        <f>IF('Result data'!BI242=".","",'Result data'!BI242)</f>
        <v/>
      </c>
      <c r="D30" s="684" t="str">
        <f>IF('Result data'!BJ242=".","",'Result data'!BJ242)</f>
        <v/>
      </c>
      <c r="E30" s="684" t="str">
        <f>IF('Result data'!BK242=".","",'Result data'!BK242)</f>
        <v/>
      </c>
      <c r="F30" s="684" t="str">
        <f>IF('Result data'!BL242=".","",'Result data'!BL242)</f>
        <v/>
      </c>
      <c r="G30" s="684" t="str">
        <f>IF('Result data'!BM242=".","",'Result data'!BM242)</f>
        <v/>
      </c>
      <c r="H30" s="684" t="str">
        <f>IF('Result data'!BN242=".","",'Result data'!BN242)</f>
        <v/>
      </c>
      <c r="I30" s="684" t="str">
        <f>IF('Result data'!BO242=".","",'Result data'!BO242)</f>
        <v/>
      </c>
      <c r="J30" s="684" t="str">
        <f>IF('Result data'!BP242=".","",'Result data'!BP242)</f>
        <v/>
      </c>
      <c r="K30" s="684" t="str">
        <f>IF('Result data'!BQ242=".","",'Result data'!BQ242)</f>
        <v/>
      </c>
    </row>
    <row r="31" spans="1:11" x14ac:dyDescent="0.3">
      <c r="A31" s="213" t="str">
        <f>IF('Result data'!BG243="","",INDEX(Language!$C$149:$C$308,MATCH('Result data'!BG243,Language!$B$149:$B$308,0)))</f>
        <v/>
      </c>
      <c r="B31" s="685" t="str">
        <f>IF('Result data'!BH243=".","",'Result data'!BH243)</f>
        <v/>
      </c>
      <c r="C31" s="685" t="str">
        <f>IF('Result data'!BI243=".","",'Result data'!BI243)</f>
        <v/>
      </c>
      <c r="D31" s="685" t="str">
        <f>IF('Result data'!BJ243=".","",'Result data'!BJ243)</f>
        <v/>
      </c>
      <c r="E31" s="685" t="str">
        <f>IF('Result data'!BK243=".","",'Result data'!BK243)</f>
        <v/>
      </c>
      <c r="F31" s="685" t="str">
        <f>IF('Result data'!BL243=".","",'Result data'!BL243)</f>
        <v/>
      </c>
      <c r="G31" s="685" t="str">
        <f>IF('Result data'!BM243=".","",'Result data'!BM243)</f>
        <v/>
      </c>
      <c r="H31" s="685" t="str">
        <f>IF('Result data'!BN243=".","",'Result data'!BN243)</f>
        <v/>
      </c>
      <c r="I31" s="685" t="str">
        <f>IF('Result data'!BO243=".","",'Result data'!BO243)</f>
        <v/>
      </c>
      <c r="J31" s="685" t="str">
        <f>IF('Result data'!BP243=".","",'Result data'!BP243)</f>
        <v/>
      </c>
      <c r="K31" s="685" t="str">
        <f>IF('Result data'!BQ243=".","",'Result data'!BQ243)</f>
        <v/>
      </c>
    </row>
    <row r="32" spans="1:11" x14ac:dyDescent="0.3">
      <c r="A32" s="181" t="str">
        <f>IF('Result data'!BG244="","",INDEX(Language!$C$149:$C$308,MATCH('Result data'!BG244,Language!$B$149:$B$308,0)))</f>
        <v/>
      </c>
      <c r="B32" s="684" t="str">
        <f>IF('Result data'!BH244=".","",'Result data'!BH244)</f>
        <v/>
      </c>
      <c r="C32" s="684" t="str">
        <f>IF('Result data'!BI244=".","",'Result data'!BI244)</f>
        <v/>
      </c>
      <c r="D32" s="684" t="str">
        <f>IF('Result data'!BJ244=".","",'Result data'!BJ244)</f>
        <v/>
      </c>
      <c r="E32" s="684" t="str">
        <f>IF('Result data'!BK244=".","",'Result data'!BK244)</f>
        <v/>
      </c>
      <c r="F32" s="684" t="str">
        <f>IF('Result data'!BL244=".","",'Result data'!BL244)</f>
        <v/>
      </c>
      <c r="G32" s="684" t="str">
        <f>IF('Result data'!BM244=".","",'Result data'!BM244)</f>
        <v/>
      </c>
      <c r="H32" s="684" t="str">
        <f>IF('Result data'!BN244=".","",'Result data'!BN244)</f>
        <v/>
      </c>
      <c r="I32" s="684" t="str">
        <f>IF('Result data'!BO244=".","",'Result data'!BO244)</f>
        <v/>
      </c>
      <c r="J32" s="684" t="str">
        <f>IF('Result data'!BP244=".","",'Result data'!BP244)</f>
        <v/>
      </c>
      <c r="K32" s="684" t="str">
        <f>IF('Result data'!BQ244=".","",'Result data'!BQ244)</f>
        <v/>
      </c>
    </row>
    <row r="33" spans="1:11" x14ac:dyDescent="0.3">
      <c r="A33" s="213" t="str">
        <f>IF('Result data'!BG245="","",INDEX(Language!$C$149:$C$308,MATCH('Result data'!BG245,Language!$B$149:$B$308,0)))</f>
        <v/>
      </c>
      <c r="B33" s="685" t="str">
        <f>IF('Result data'!BH245=".","",'Result data'!BH245)</f>
        <v/>
      </c>
      <c r="C33" s="685" t="str">
        <f>IF('Result data'!BI245=".","",'Result data'!BI245)</f>
        <v/>
      </c>
      <c r="D33" s="685" t="str">
        <f>IF('Result data'!BJ245=".","",'Result data'!BJ245)</f>
        <v/>
      </c>
      <c r="E33" s="685" t="str">
        <f>IF('Result data'!BK245=".","",'Result data'!BK245)</f>
        <v/>
      </c>
      <c r="F33" s="685" t="str">
        <f>IF('Result data'!BL245=".","",'Result data'!BL245)</f>
        <v/>
      </c>
      <c r="G33" s="685" t="str">
        <f>IF('Result data'!BM245=".","",'Result data'!BM245)</f>
        <v/>
      </c>
      <c r="H33" s="685" t="str">
        <f>IF('Result data'!BN245=".","",'Result data'!BN245)</f>
        <v/>
      </c>
      <c r="I33" s="685" t="str">
        <f>IF('Result data'!BO245=".","",'Result data'!BO245)</f>
        <v/>
      </c>
      <c r="J33" s="685" t="str">
        <f>IF('Result data'!BP245=".","",'Result data'!BP245)</f>
        <v/>
      </c>
      <c r="K33" s="685" t="str">
        <f>IF('Result data'!BQ245=".","",'Result data'!BQ245)</f>
        <v/>
      </c>
    </row>
    <row r="34" spans="1:11" x14ac:dyDescent="0.3">
      <c r="A34" s="181" t="str">
        <f>IF('Result data'!BG246="","",INDEX(Language!$C$149:$C$308,MATCH('Result data'!BG246,Language!$B$149:$B$308,0)))</f>
        <v/>
      </c>
      <c r="B34" s="684" t="str">
        <f>IF('Result data'!BH246=".","",'Result data'!BH246)</f>
        <v/>
      </c>
      <c r="C34" s="684" t="str">
        <f>IF('Result data'!BI246=".","",'Result data'!BI246)</f>
        <v/>
      </c>
      <c r="D34" s="684" t="str">
        <f>IF('Result data'!BJ246=".","",'Result data'!BJ246)</f>
        <v/>
      </c>
      <c r="E34" s="684" t="str">
        <f>IF('Result data'!BK246=".","",'Result data'!BK246)</f>
        <v/>
      </c>
      <c r="F34" s="684" t="str">
        <f>IF('Result data'!BL246=".","",'Result data'!BL246)</f>
        <v/>
      </c>
      <c r="G34" s="684" t="str">
        <f>IF('Result data'!BM246=".","",'Result data'!BM246)</f>
        <v/>
      </c>
      <c r="H34" s="684" t="str">
        <f>IF('Result data'!BN246=".","",'Result data'!BN246)</f>
        <v/>
      </c>
      <c r="I34" s="684" t="str">
        <f>IF('Result data'!BO246=".","",'Result data'!BO246)</f>
        <v/>
      </c>
      <c r="J34" s="684" t="str">
        <f>IF('Result data'!BP246=".","",'Result data'!BP246)</f>
        <v/>
      </c>
      <c r="K34" s="684" t="str">
        <f>IF('Result data'!BQ246=".","",'Result data'!BQ246)</f>
        <v/>
      </c>
    </row>
    <row r="35" spans="1:11" x14ac:dyDescent="0.3">
      <c r="A35" s="213" t="str">
        <f>IF('Result data'!BG247="","",INDEX(Language!$C$149:$C$308,MATCH('Result data'!BG247,Language!$B$149:$B$308,0)))</f>
        <v/>
      </c>
      <c r="B35" s="685" t="str">
        <f>IF('Result data'!BH247=".","",'Result data'!BH247)</f>
        <v/>
      </c>
      <c r="C35" s="685" t="str">
        <f>IF('Result data'!BI247=".","",'Result data'!BI247)</f>
        <v/>
      </c>
      <c r="D35" s="685" t="str">
        <f>IF('Result data'!BJ247=".","",'Result data'!BJ247)</f>
        <v/>
      </c>
      <c r="E35" s="685" t="str">
        <f>IF('Result data'!BK247=".","",'Result data'!BK247)</f>
        <v/>
      </c>
      <c r="F35" s="685" t="str">
        <f>IF('Result data'!BL247=".","",'Result data'!BL247)</f>
        <v/>
      </c>
      <c r="G35" s="685" t="str">
        <f>IF('Result data'!BM247=".","",'Result data'!BM247)</f>
        <v/>
      </c>
      <c r="H35" s="685" t="str">
        <f>IF('Result data'!BN247=".","",'Result data'!BN247)</f>
        <v/>
      </c>
      <c r="I35" s="685" t="str">
        <f>IF('Result data'!BO247=".","",'Result data'!BO247)</f>
        <v/>
      </c>
      <c r="J35" s="685" t="str">
        <f>IF('Result data'!BP247=".","",'Result data'!BP247)</f>
        <v/>
      </c>
      <c r="K35" s="685" t="str">
        <f>IF('Result data'!BQ247=".","",'Result data'!BQ247)</f>
        <v/>
      </c>
    </row>
    <row r="36" spans="1:11" x14ac:dyDescent="0.3">
      <c r="A36" s="181" t="str">
        <f>IF('Result data'!BG248="","",INDEX(Language!$C$149:$C$308,MATCH('Result data'!BG248,Language!$B$149:$B$308,0)))</f>
        <v/>
      </c>
      <c r="B36" s="684" t="str">
        <f>IF('Result data'!BH248=".","",'Result data'!BH248)</f>
        <v/>
      </c>
      <c r="C36" s="684" t="str">
        <f>IF('Result data'!BI248=".","",'Result data'!BI248)</f>
        <v/>
      </c>
      <c r="D36" s="684" t="str">
        <f>IF('Result data'!BJ248=".","",'Result data'!BJ248)</f>
        <v/>
      </c>
      <c r="E36" s="684" t="str">
        <f>IF('Result data'!BK248=".","",'Result data'!BK248)</f>
        <v/>
      </c>
      <c r="F36" s="684" t="str">
        <f>IF('Result data'!BL248=".","",'Result data'!BL248)</f>
        <v/>
      </c>
      <c r="G36" s="684" t="str">
        <f>IF('Result data'!BM248=".","",'Result data'!BM248)</f>
        <v/>
      </c>
      <c r="H36" s="684" t="str">
        <f>IF('Result data'!BN248=".","",'Result data'!BN248)</f>
        <v/>
      </c>
      <c r="I36" s="684" t="str">
        <f>IF('Result data'!BO248=".","",'Result data'!BO248)</f>
        <v/>
      </c>
      <c r="J36" s="684" t="str">
        <f>IF('Result data'!BP248=".","",'Result data'!BP248)</f>
        <v/>
      </c>
      <c r="K36" s="684" t="str">
        <f>IF('Result data'!BQ248=".","",'Result data'!BQ248)</f>
        <v/>
      </c>
    </row>
    <row r="37" spans="1:11" x14ac:dyDescent="0.3">
      <c r="A37" s="213" t="str">
        <f>IF('Result data'!BG249="","",INDEX(Language!$C$149:$C$308,MATCH('Result data'!BG249,Language!$B$149:$B$308,0)))</f>
        <v/>
      </c>
      <c r="B37" s="685" t="str">
        <f>IF('Result data'!BH249=".","",'Result data'!BH249)</f>
        <v/>
      </c>
      <c r="C37" s="685" t="str">
        <f>IF('Result data'!BI249=".","",'Result data'!BI249)</f>
        <v/>
      </c>
      <c r="D37" s="685" t="str">
        <f>IF('Result data'!BJ249=".","",'Result data'!BJ249)</f>
        <v/>
      </c>
      <c r="E37" s="685" t="str">
        <f>IF('Result data'!BK249=".","",'Result data'!BK249)</f>
        <v/>
      </c>
      <c r="F37" s="685" t="str">
        <f>IF('Result data'!BL249=".","",'Result data'!BL249)</f>
        <v/>
      </c>
      <c r="G37" s="685" t="str">
        <f>IF('Result data'!BM249=".","",'Result data'!BM249)</f>
        <v/>
      </c>
      <c r="H37" s="685" t="str">
        <f>IF('Result data'!BN249=".","",'Result data'!BN249)</f>
        <v/>
      </c>
      <c r="I37" s="685" t="str">
        <f>IF('Result data'!BO249=".","",'Result data'!BO249)</f>
        <v/>
      </c>
      <c r="J37" s="685" t="str">
        <f>IF('Result data'!BP249=".","",'Result data'!BP249)</f>
        <v/>
      </c>
      <c r="K37" s="685" t="str">
        <f>IF('Result data'!BQ249=".","",'Result data'!BQ249)</f>
        <v/>
      </c>
    </row>
    <row r="38" spans="1:11" x14ac:dyDescent="0.3">
      <c r="A38" s="181" t="str">
        <f>IF('Result data'!BG250="","",INDEX(Language!$C$149:$C$308,MATCH('Result data'!BG250,Language!$B$149:$B$308,0)))</f>
        <v/>
      </c>
      <c r="B38" s="684" t="str">
        <f>IF('Result data'!BH250=".","",'Result data'!BH250)</f>
        <v/>
      </c>
      <c r="C38" s="684" t="str">
        <f>IF('Result data'!BI250=".","",'Result data'!BI250)</f>
        <v/>
      </c>
      <c r="D38" s="684" t="str">
        <f>IF('Result data'!BJ250=".","",'Result data'!BJ250)</f>
        <v/>
      </c>
      <c r="E38" s="684" t="str">
        <f>IF('Result data'!BK250=".","",'Result data'!BK250)</f>
        <v/>
      </c>
      <c r="F38" s="684" t="str">
        <f>IF('Result data'!BL250=".","",'Result data'!BL250)</f>
        <v/>
      </c>
      <c r="G38" s="684" t="str">
        <f>IF('Result data'!BM250=".","",'Result data'!BM250)</f>
        <v/>
      </c>
      <c r="H38" s="684" t="str">
        <f>IF('Result data'!BN250=".","",'Result data'!BN250)</f>
        <v/>
      </c>
      <c r="I38" s="684" t="str">
        <f>IF('Result data'!BO250=".","",'Result data'!BO250)</f>
        <v/>
      </c>
      <c r="J38" s="684" t="str">
        <f>IF('Result data'!BP250=".","",'Result data'!BP250)</f>
        <v/>
      </c>
      <c r="K38" s="684" t="str">
        <f>IF('Result data'!BQ250=".","",'Result data'!BQ250)</f>
        <v/>
      </c>
    </row>
    <row r="39" spans="1:11" x14ac:dyDescent="0.3">
      <c r="A39" s="213" t="str">
        <f>IF('Result data'!BG251="","",INDEX(Language!$C$149:$C$308,MATCH('Result data'!BG251,Language!$B$149:$B$308,0)))</f>
        <v/>
      </c>
      <c r="B39" s="685" t="str">
        <f>IF('Result data'!BH251=".","",'Result data'!BH251)</f>
        <v/>
      </c>
      <c r="C39" s="685" t="str">
        <f>IF('Result data'!BI251=".","",'Result data'!BI251)</f>
        <v/>
      </c>
      <c r="D39" s="685" t="str">
        <f>IF('Result data'!BJ251=".","",'Result data'!BJ251)</f>
        <v/>
      </c>
      <c r="E39" s="685" t="str">
        <f>IF('Result data'!BK251=".","",'Result data'!BK251)</f>
        <v/>
      </c>
      <c r="F39" s="685" t="str">
        <f>IF('Result data'!BL251=".","",'Result data'!BL251)</f>
        <v/>
      </c>
      <c r="G39" s="685" t="str">
        <f>IF('Result data'!BM251=".","",'Result data'!BM251)</f>
        <v/>
      </c>
      <c r="H39" s="685" t="str">
        <f>IF('Result data'!BN251=".","",'Result data'!BN251)</f>
        <v/>
      </c>
      <c r="I39" s="685" t="str">
        <f>IF('Result data'!BO251=".","",'Result data'!BO251)</f>
        <v/>
      </c>
      <c r="J39" s="685" t="str">
        <f>IF('Result data'!BP251=".","",'Result data'!BP251)</f>
        <v/>
      </c>
      <c r="K39" s="685" t="str">
        <f>IF('Result data'!BQ251=".","",'Result data'!BQ251)</f>
        <v/>
      </c>
    </row>
    <row r="40" spans="1:11" x14ac:dyDescent="0.3">
      <c r="A40" s="181" t="str">
        <f>IF('Result data'!BG252="","",INDEX(Language!$C$149:$C$308,MATCH('Result data'!BG252,Language!$B$149:$B$308,0)))</f>
        <v/>
      </c>
      <c r="B40" s="684" t="str">
        <f>IF('Result data'!BH252=".","",'Result data'!BH252)</f>
        <v/>
      </c>
      <c r="C40" s="684" t="str">
        <f>IF('Result data'!BI252=".","",'Result data'!BI252)</f>
        <v/>
      </c>
      <c r="D40" s="684" t="str">
        <f>IF('Result data'!BJ252=".","",'Result data'!BJ252)</f>
        <v/>
      </c>
      <c r="E40" s="684" t="str">
        <f>IF('Result data'!BK252=".","",'Result data'!BK252)</f>
        <v/>
      </c>
      <c r="F40" s="684" t="str">
        <f>IF('Result data'!BL252=".","",'Result data'!BL252)</f>
        <v/>
      </c>
      <c r="G40" s="684" t="str">
        <f>IF('Result data'!BM252=".","",'Result data'!BM252)</f>
        <v/>
      </c>
      <c r="H40" s="684" t="str">
        <f>IF('Result data'!BN252=".","",'Result data'!BN252)</f>
        <v/>
      </c>
      <c r="I40" s="684" t="str">
        <f>IF('Result data'!BO252=".","",'Result data'!BO252)</f>
        <v/>
      </c>
      <c r="J40" s="684" t="str">
        <f>IF('Result data'!BP252=".","",'Result data'!BP252)</f>
        <v/>
      </c>
      <c r="K40" s="684" t="str">
        <f>IF('Result data'!BQ252=".","",'Result data'!BQ252)</f>
        <v/>
      </c>
    </row>
    <row r="41" spans="1:11" x14ac:dyDescent="0.3">
      <c r="A41" s="213" t="str">
        <f>IF('Result data'!BG253="","",INDEX(Language!$C$149:$C$308,MATCH('Result data'!BG253,Language!$B$149:$B$308,0)))</f>
        <v/>
      </c>
      <c r="B41" s="685" t="str">
        <f>IF('Result data'!BH253=".","",'Result data'!BH253)</f>
        <v/>
      </c>
      <c r="C41" s="685" t="str">
        <f>IF('Result data'!BI253=".","",'Result data'!BI253)</f>
        <v/>
      </c>
      <c r="D41" s="685" t="str">
        <f>IF('Result data'!BJ253=".","",'Result data'!BJ253)</f>
        <v/>
      </c>
      <c r="E41" s="685" t="str">
        <f>IF('Result data'!BK253=".","",'Result data'!BK253)</f>
        <v/>
      </c>
      <c r="F41" s="685" t="str">
        <f>IF('Result data'!BL253=".","",'Result data'!BL253)</f>
        <v/>
      </c>
      <c r="G41" s="685" t="str">
        <f>IF('Result data'!BM253=".","",'Result data'!BM253)</f>
        <v/>
      </c>
      <c r="H41" s="685" t="str">
        <f>IF('Result data'!BN253=".","",'Result data'!BN253)</f>
        <v/>
      </c>
      <c r="I41" s="685" t="str">
        <f>IF('Result data'!BO253=".","",'Result data'!BO253)</f>
        <v/>
      </c>
      <c r="J41" s="685" t="str">
        <f>IF('Result data'!BP253=".","",'Result data'!BP253)</f>
        <v/>
      </c>
      <c r="K41" s="685" t="str">
        <f>IF('Result data'!BQ253=".","",'Result data'!BQ253)</f>
        <v/>
      </c>
    </row>
    <row r="42" spans="1:11" x14ac:dyDescent="0.3">
      <c r="A42" s="181" t="str">
        <f>IF('Result data'!BG254="","",INDEX(Language!$C$149:$C$308,MATCH('Result data'!BG254,Language!$B$149:$B$308,0)))</f>
        <v/>
      </c>
      <c r="B42" s="684" t="str">
        <f>IF('Result data'!BH254=".","",'Result data'!BH254)</f>
        <v/>
      </c>
      <c r="C42" s="684" t="str">
        <f>IF('Result data'!BI254=".","",'Result data'!BI254)</f>
        <v/>
      </c>
      <c r="D42" s="684" t="str">
        <f>IF('Result data'!BJ254=".","",'Result data'!BJ254)</f>
        <v/>
      </c>
      <c r="E42" s="684" t="str">
        <f>IF('Result data'!BK254=".","",'Result data'!BK254)</f>
        <v/>
      </c>
      <c r="F42" s="684" t="str">
        <f>IF('Result data'!BL254=".","",'Result data'!BL254)</f>
        <v/>
      </c>
      <c r="G42" s="684" t="str">
        <f>IF('Result data'!BM254=".","",'Result data'!BM254)</f>
        <v/>
      </c>
      <c r="H42" s="684" t="str">
        <f>IF('Result data'!BN254=".","",'Result data'!BN254)</f>
        <v/>
      </c>
      <c r="I42" s="684" t="str">
        <f>IF('Result data'!BO254=".","",'Result data'!BO254)</f>
        <v/>
      </c>
      <c r="J42" s="684" t="str">
        <f>IF('Result data'!BP254=".","",'Result data'!BP254)</f>
        <v/>
      </c>
      <c r="K42" s="684" t="str">
        <f>IF('Result data'!BQ254=".","",'Result data'!BQ254)</f>
        <v/>
      </c>
    </row>
    <row r="43" spans="1:11" x14ac:dyDescent="0.3">
      <c r="A43" s="213" t="str">
        <f>IF('Result data'!BG255="","",INDEX(Language!$C$149:$C$308,MATCH('Result data'!BG255,Language!$B$149:$B$308,0)))</f>
        <v/>
      </c>
      <c r="B43" s="685" t="str">
        <f>IF('Result data'!BH255=".","",'Result data'!BH255)</f>
        <v/>
      </c>
      <c r="C43" s="685" t="str">
        <f>IF('Result data'!BI255=".","",'Result data'!BI255)</f>
        <v/>
      </c>
      <c r="D43" s="685" t="str">
        <f>IF('Result data'!BJ255=".","",'Result data'!BJ255)</f>
        <v/>
      </c>
      <c r="E43" s="685" t="str">
        <f>IF('Result data'!BK255=".","",'Result data'!BK255)</f>
        <v/>
      </c>
      <c r="F43" s="685" t="str">
        <f>IF('Result data'!BL255=".","",'Result data'!BL255)</f>
        <v/>
      </c>
      <c r="G43" s="685" t="str">
        <f>IF('Result data'!BM255=".","",'Result data'!BM255)</f>
        <v/>
      </c>
      <c r="H43" s="685" t="str">
        <f>IF('Result data'!BN255=".","",'Result data'!BN255)</f>
        <v/>
      </c>
      <c r="I43" s="685" t="str">
        <f>IF('Result data'!BO255=".","",'Result data'!BO255)</f>
        <v/>
      </c>
      <c r="J43" s="685" t="str">
        <f>IF('Result data'!BP255=".","",'Result data'!BP255)</f>
        <v/>
      </c>
      <c r="K43" s="685" t="str">
        <f>IF('Result data'!BQ255=".","",'Result data'!BQ255)</f>
        <v/>
      </c>
    </row>
    <row r="44" spans="1:11" x14ac:dyDescent="0.3">
      <c r="A44" s="181" t="str">
        <f>IF('Result data'!BG256="","",INDEX(Language!$C$149:$C$308,MATCH('Result data'!BG256,Language!$B$149:$B$308,0)))</f>
        <v/>
      </c>
      <c r="B44" s="684" t="str">
        <f>IF('Result data'!BH256=".","",'Result data'!BH256)</f>
        <v/>
      </c>
      <c r="C44" s="684" t="str">
        <f>IF('Result data'!BI256=".","",'Result data'!BI256)</f>
        <v/>
      </c>
      <c r="D44" s="684" t="str">
        <f>IF('Result data'!BJ256=".","",'Result data'!BJ256)</f>
        <v/>
      </c>
      <c r="E44" s="684" t="str">
        <f>IF('Result data'!BK256=".","",'Result data'!BK256)</f>
        <v/>
      </c>
      <c r="F44" s="684" t="str">
        <f>IF('Result data'!BL256=".","",'Result data'!BL256)</f>
        <v/>
      </c>
      <c r="G44" s="684" t="str">
        <f>IF('Result data'!BM256=".","",'Result data'!BM256)</f>
        <v/>
      </c>
      <c r="H44" s="684" t="str">
        <f>IF('Result data'!BN256=".","",'Result data'!BN256)</f>
        <v/>
      </c>
      <c r="I44" s="684" t="str">
        <f>IF('Result data'!BO256=".","",'Result data'!BO256)</f>
        <v/>
      </c>
      <c r="J44" s="684" t="str">
        <f>IF('Result data'!BP256=".","",'Result data'!BP256)</f>
        <v/>
      </c>
      <c r="K44" s="684" t="str">
        <f>IF('Result data'!BQ256=".","",'Result data'!BQ256)</f>
        <v/>
      </c>
    </row>
    <row r="45" spans="1:11" x14ac:dyDescent="0.3">
      <c r="A45" s="213" t="str">
        <f>IF('Result data'!BG257="","",INDEX(Language!$C$149:$C$308,MATCH('Result data'!BG257,Language!$B$149:$B$308,0)))</f>
        <v/>
      </c>
      <c r="B45" s="685" t="str">
        <f>IF('Result data'!BH257=".","",'Result data'!BH257)</f>
        <v/>
      </c>
      <c r="C45" s="685" t="str">
        <f>IF('Result data'!BI257=".","",'Result data'!BI257)</f>
        <v/>
      </c>
      <c r="D45" s="685" t="str">
        <f>IF('Result data'!BJ257=".","",'Result data'!BJ257)</f>
        <v/>
      </c>
      <c r="E45" s="685" t="str">
        <f>IF('Result data'!BK257=".","",'Result data'!BK257)</f>
        <v/>
      </c>
      <c r="F45" s="685" t="str">
        <f>IF('Result data'!BL257=".","",'Result data'!BL257)</f>
        <v/>
      </c>
      <c r="G45" s="685" t="str">
        <f>IF('Result data'!BM257=".","",'Result data'!BM257)</f>
        <v/>
      </c>
      <c r="H45" s="685" t="str">
        <f>IF('Result data'!BN257=".","",'Result data'!BN257)</f>
        <v/>
      </c>
      <c r="I45" s="685" t="str">
        <f>IF('Result data'!BO257=".","",'Result data'!BO257)</f>
        <v/>
      </c>
      <c r="J45" s="685" t="str">
        <f>IF('Result data'!BP257=".","",'Result data'!BP257)</f>
        <v/>
      </c>
      <c r="K45" s="685" t="str">
        <f>IF('Result data'!BQ257=".","",'Result data'!BQ257)</f>
        <v/>
      </c>
    </row>
    <row r="46" spans="1:11" x14ac:dyDescent="0.3">
      <c r="A46" s="181" t="str">
        <f>IF('Result data'!BG258="","",INDEX(Language!$C$149:$C$308,MATCH('Result data'!BG258,Language!$B$149:$B$308,0)))</f>
        <v/>
      </c>
      <c r="B46" s="684" t="str">
        <f>IF('Result data'!BH258=".","",'Result data'!BH258)</f>
        <v/>
      </c>
      <c r="C46" s="684" t="str">
        <f>IF('Result data'!BI258=".","",'Result data'!BI258)</f>
        <v/>
      </c>
      <c r="D46" s="684" t="str">
        <f>IF('Result data'!BJ258=".","",'Result data'!BJ258)</f>
        <v/>
      </c>
      <c r="E46" s="684" t="str">
        <f>IF('Result data'!BK258=".","",'Result data'!BK258)</f>
        <v/>
      </c>
      <c r="F46" s="684" t="str">
        <f>IF('Result data'!BL258=".","",'Result data'!BL258)</f>
        <v/>
      </c>
      <c r="G46" s="684" t="str">
        <f>IF('Result data'!BM258=".","",'Result data'!BM258)</f>
        <v/>
      </c>
      <c r="H46" s="684" t="str">
        <f>IF('Result data'!BN258=".","",'Result data'!BN258)</f>
        <v/>
      </c>
      <c r="I46" s="684" t="str">
        <f>IF('Result data'!BO258=".","",'Result data'!BO258)</f>
        <v/>
      </c>
      <c r="J46" s="684" t="str">
        <f>IF('Result data'!BP258=".","",'Result data'!BP258)</f>
        <v/>
      </c>
      <c r="K46" s="684" t="str">
        <f>IF('Result data'!BQ258=".","",'Result data'!BQ258)</f>
        <v/>
      </c>
    </row>
    <row r="47" spans="1:11" x14ac:dyDescent="0.3">
      <c r="A47" s="213" t="str">
        <f>IF('Result data'!BG259="","",INDEX(Language!$C$149:$C$308,MATCH('Result data'!BG259,Language!$B$149:$B$308,0)))</f>
        <v/>
      </c>
      <c r="B47" s="685" t="str">
        <f>IF('Result data'!BH259=".","",'Result data'!BH259)</f>
        <v/>
      </c>
      <c r="C47" s="685" t="str">
        <f>IF('Result data'!BI259=".","",'Result data'!BI259)</f>
        <v/>
      </c>
      <c r="D47" s="685" t="str">
        <f>IF('Result data'!BJ259=".","",'Result data'!BJ259)</f>
        <v/>
      </c>
      <c r="E47" s="685" t="str">
        <f>IF('Result data'!BK259=".","",'Result data'!BK259)</f>
        <v/>
      </c>
      <c r="F47" s="685" t="str">
        <f>IF('Result data'!BL259=".","",'Result data'!BL259)</f>
        <v/>
      </c>
      <c r="G47" s="685" t="str">
        <f>IF('Result data'!BM259=".","",'Result data'!BM259)</f>
        <v/>
      </c>
      <c r="H47" s="685" t="str">
        <f>IF('Result data'!BN259=".","",'Result data'!BN259)</f>
        <v/>
      </c>
      <c r="I47" s="685" t="str">
        <f>IF('Result data'!BO259=".","",'Result data'!BO259)</f>
        <v/>
      </c>
      <c r="J47" s="685" t="str">
        <f>IF('Result data'!BP259=".","",'Result data'!BP259)</f>
        <v/>
      </c>
      <c r="K47" s="685" t="str">
        <f>IF('Result data'!BQ259=".","",'Result data'!BQ259)</f>
        <v/>
      </c>
    </row>
    <row r="48" spans="1:11" x14ac:dyDescent="0.3">
      <c r="A48" s="181" t="str">
        <f>IF('Result data'!BG260="","",INDEX(Language!$C$149:$C$308,MATCH('Result data'!BG260,Language!$B$149:$B$308,0)))</f>
        <v/>
      </c>
      <c r="B48" s="684" t="str">
        <f>IF('Result data'!BH260=".","",'Result data'!BH260)</f>
        <v/>
      </c>
      <c r="C48" s="684" t="str">
        <f>IF('Result data'!BI260=".","",'Result data'!BI260)</f>
        <v/>
      </c>
      <c r="D48" s="684" t="str">
        <f>IF('Result data'!BJ260=".","",'Result data'!BJ260)</f>
        <v/>
      </c>
      <c r="E48" s="684" t="str">
        <f>IF('Result data'!BK260=".","",'Result data'!BK260)</f>
        <v/>
      </c>
      <c r="F48" s="684" t="str">
        <f>IF('Result data'!BL260=".","",'Result data'!BL260)</f>
        <v/>
      </c>
      <c r="G48" s="684" t="str">
        <f>IF('Result data'!BM260=".","",'Result data'!BM260)</f>
        <v/>
      </c>
      <c r="H48" s="684" t="str">
        <f>IF('Result data'!BN260=".","",'Result data'!BN260)</f>
        <v/>
      </c>
      <c r="I48" s="684" t="str">
        <f>IF('Result data'!BO260=".","",'Result data'!BO260)</f>
        <v/>
      </c>
      <c r="J48" s="684" t="str">
        <f>IF('Result data'!BP260=".","",'Result data'!BP260)</f>
        <v/>
      </c>
      <c r="K48" s="684" t="str">
        <f>IF('Result data'!BQ260=".","",'Result data'!BQ260)</f>
        <v/>
      </c>
    </row>
    <row r="49" spans="1:11" x14ac:dyDescent="0.3">
      <c r="A49" s="213" t="str">
        <f>IF('Result data'!BG261="","",INDEX(Language!$C$149:$C$308,MATCH('Result data'!BG261,Language!$B$149:$B$308,0)))</f>
        <v/>
      </c>
      <c r="B49" s="685" t="str">
        <f>IF('Result data'!BH261=".","",'Result data'!BH261)</f>
        <v/>
      </c>
      <c r="C49" s="685" t="str">
        <f>IF('Result data'!BI261=".","",'Result data'!BI261)</f>
        <v/>
      </c>
      <c r="D49" s="685" t="str">
        <f>IF('Result data'!BJ261=".","",'Result data'!BJ261)</f>
        <v/>
      </c>
      <c r="E49" s="685" t="str">
        <f>IF('Result data'!BK261=".","",'Result data'!BK261)</f>
        <v/>
      </c>
      <c r="F49" s="685" t="str">
        <f>IF('Result data'!BL261=".","",'Result data'!BL261)</f>
        <v/>
      </c>
      <c r="G49" s="685" t="str">
        <f>IF('Result data'!BM261=".","",'Result data'!BM261)</f>
        <v/>
      </c>
      <c r="H49" s="685" t="str">
        <f>IF('Result data'!BN261=".","",'Result data'!BN261)</f>
        <v/>
      </c>
      <c r="I49" s="685" t="str">
        <f>IF('Result data'!BO261=".","",'Result data'!BO261)</f>
        <v/>
      </c>
      <c r="J49" s="685" t="str">
        <f>IF('Result data'!BP261=".","",'Result data'!BP261)</f>
        <v/>
      </c>
      <c r="K49" s="685" t="str">
        <f>IF('Result data'!BQ261=".","",'Result data'!BQ261)</f>
        <v/>
      </c>
    </row>
    <row r="50" spans="1:11" x14ac:dyDescent="0.3">
      <c r="A50" s="181" t="str">
        <f>IF('Result data'!BG262="","",INDEX(Language!$C$149:$C$308,MATCH('Result data'!BG262,Language!$B$149:$B$308,0)))</f>
        <v/>
      </c>
      <c r="B50" s="684" t="str">
        <f>IF('Result data'!BH262=".","",'Result data'!BH262)</f>
        <v/>
      </c>
      <c r="C50" s="684" t="str">
        <f>IF('Result data'!BI262=".","",'Result data'!BI262)</f>
        <v/>
      </c>
      <c r="D50" s="684" t="str">
        <f>IF('Result data'!BJ262=".","",'Result data'!BJ262)</f>
        <v/>
      </c>
      <c r="E50" s="684" t="str">
        <f>IF('Result data'!BK262=".","",'Result data'!BK262)</f>
        <v/>
      </c>
      <c r="F50" s="684" t="str">
        <f>IF('Result data'!BL262=".","",'Result data'!BL262)</f>
        <v/>
      </c>
      <c r="G50" s="684" t="str">
        <f>IF('Result data'!BM262=".","",'Result data'!BM262)</f>
        <v/>
      </c>
      <c r="H50" s="684" t="str">
        <f>IF('Result data'!BN262=".","",'Result data'!BN262)</f>
        <v/>
      </c>
      <c r="I50" s="684" t="str">
        <f>IF('Result data'!BO262=".","",'Result data'!BO262)</f>
        <v/>
      </c>
      <c r="J50" s="684" t="str">
        <f>IF('Result data'!BP262=".","",'Result data'!BP262)</f>
        <v/>
      </c>
      <c r="K50" s="684" t="str">
        <f>IF('Result data'!BQ262=".","",'Result data'!BQ262)</f>
        <v/>
      </c>
    </row>
    <row r="51" spans="1:11" x14ac:dyDescent="0.3">
      <c r="A51" s="213" t="str">
        <f>IF('Result data'!BG263="","",INDEX(Language!$C$149:$C$308,MATCH('Result data'!BG263,Language!$B$149:$B$308,0)))</f>
        <v/>
      </c>
      <c r="B51" s="685" t="str">
        <f>IF('Result data'!BH263=".","",'Result data'!BH263)</f>
        <v/>
      </c>
      <c r="C51" s="685" t="str">
        <f>IF('Result data'!BI263=".","",'Result data'!BI263)</f>
        <v/>
      </c>
      <c r="D51" s="685" t="str">
        <f>IF('Result data'!BJ263=".","",'Result data'!BJ263)</f>
        <v/>
      </c>
      <c r="E51" s="685" t="str">
        <f>IF('Result data'!BK263=".","",'Result data'!BK263)</f>
        <v/>
      </c>
      <c r="F51" s="685" t="str">
        <f>IF('Result data'!BL263=".","",'Result data'!BL263)</f>
        <v/>
      </c>
      <c r="G51" s="685" t="str">
        <f>IF('Result data'!BM263=".","",'Result data'!BM263)</f>
        <v/>
      </c>
      <c r="H51" s="685" t="str">
        <f>IF('Result data'!BN263=".","",'Result data'!BN263)</f>
        <v/>
      </c>
      <c r="I51" s="685" t="str">
        <f>IF('Result data'!BO263=".","",'Result data'!BO263)</f>
        <v/>
      </c>
      <c r="J51" s="685" t="str">
        <f>IF('Result data'!BP263=".","",'Result data'!BP263)</f>
        <v/>
      </c>
      <c r="K51" s="685" t="str">
        <f>IF('Result data'!BQ263=".","",'Result data'!BQ263)</f>
        <v/>
      </c>
    </row>
    <row r="52" spans="1:11" x14ac:dyDescent="0.3">
      <c r="A52" s="181" t="str">
        <f>IF('Result data'!BG264="","",INDEX(Language!$C$149:$C$308,MATCH('Result data'!BG264,Language!$B$149:$B$308,0)))</f>
        <v/>
      </c>
      <c r="B52" s="684" t="str">
        <f>IF('Result data'!BH264=".","",'Result data'!BH264)</f>
        <v/>
      </c>
      <c r="C52" s="684" t="str">
        <f>IF('Result data'!BI264=".","",'Result data'!BI264)</f>
        <v/>
      </c>
      <c r="D52" s="684" t="str">
        <f>IF('Result data'!BJ264=".","",'Result data'!BJ264)</f>
        <v/>
      </c>
      <c r="E52" s="684" t="str">
        <f>IF('Result data'!BK264=".","",'Result data'!BK264)</f>
        <v/>
      </c>
      <c r="F52" s="684" t="str">
        <f>IF('Result data'!BL264=".","",'Result data'!BL264)</f>
        <v/>
      </c>
      <c r="G52" s="684" t="str">
        <f>IF('Result data'!BM264=".","",'Result data'!BM264)</f>
        <v/>
      </c>
      <c r="H52" s="684" t="str">
        <f>IF('Result data'!BN264=".","",'Result data'!BN264)</f>
        <v/>
      </c>
      <c r="I52" s="684" t="str">
        <f>IF('Result data'!BO264=".","",'Result data'!BO264)</f>
        <v/>
      </c>
      <c r="J52" s="684" t="str">
        <f>IF('Result data'!BP264=".","",'Result data'!BP264)</f>
        <v/>
      </c>
      <c r="K52" s="684" t="str">
        <f>IF('Result data'!BQ264=".","",'Result data'!BQ264)</f>
        <v/>
      </c>
    </row>
    <row r="53" spans="1:11" x14ac:dyDescent="0.3">
      <c r="A53" s="213" t="str">
        <f>IF('Result data'!BG265="","",INDEX(Language!$C$149:$C$308,MATCH('Result data'!BG265,Language!$B$149:$B$308,0)))</f>
        <v/>
      </c>
      <c r="B53" s="685" t="str">
        <f>IF('Result data'!BH265=".","",'Result data'!BH265)</f>
        <v/>
      </c>
      <c r="C53" s="685" t="str">
        <f>IF('Result data'!BI265=".","",'Result data'!BI265)</f>
        <v/>
      </c>
      <c r="D53" s="685" t="str">
        <f>IF('Result data'!BJ265=".","",'Result data'!BJ265)</f>
        <v/>
      </c>
      <c r="E53" s="685" t="str">
        <f>IF('Result data'!BK265=".","",'Result data'!BK265)</f>
        <v/>
      </c>
      <c r="F53" s="685" t="str">
        <f>IF('Result data'!BL265=".","",'Result data'!BL265)</f>
        <v/>
      </c>
      <c r="G53" s="685" t="str">
        <f>IF('Result data'!BM265=".","",'Result data'!BM265)</f>
        <v/>
      </c>
      <c r="H53" s="685" t="str">
        <f>IF('Result data'!BN265=".","",'Result data'!BN265)</f>
        <v/>
      </c>
      <c r="I53" s="685" t="str">
        <f>IF('Result data'!BO265=".","",'Result data'!BO265)</f>
        <v/>
      </c>
      <c r="J53" s="685" t="str">
        <f>IF('Result data'!BP265=".","",'Result data'!BP265)</f>
        <v/>
      </c>
      <c r="K53" s="685" t="str">
        <f>IF('Result data'!BQ265=".","",'Result data'!BQ265)</f>
        <v/>
      </c>
    </row>
    <row r="54" spans="1:11" x14ac:dyDescent="0.3">
      <c r="A54" s="181" t="str">
        <f>IF('Result data'!BG266="","",INDEX(Language!$C$149:$C$308,MATCH('Result data'!BG266,Language!$B$149:$B$308,0)))</f>
        <v/>
      </c>
      <c r="B54" s="684" t="str">
        <f>IF('Result data'!BH266=".","",'Result data'!BH266)</f>
        <v/>
      </c>
      <c r="C54" s="684" t="str">
        <f>IF('Result data'!BI266=".","",'Result data'!BI266)</f>
        <v/>
      </c>
      <c r="D54" s="684" t="str">
        <f>IF('Result data'!BJ266=".","",'Result data'!BJ266)</f>
        <v/>
      </c>
      <c r="E54" s="684" t="str">
        <f>IF('Result data'!BK266=".","",'Result data'!BK266)</f>
        <v/>
      </c>
      <c r="F54" s="684" t="str">
        <f>IF('Result data'!BL266=".","",'Result data'!BL266)</f>
        <v/>
      </c>
      <c r="G54" s="684" t="str">
        <f>IF('Result data'!BM266=".","",'Result data'!BM266)</f>
        <v/>
      </c>
      <c r="H54" s="684" t="str">
        <f>IF('Result data'!BN266=".","",'Result data'!BN266)</f>
        <v/>
      </c>
      <c r="I54" s="684" t="str">
        <f>IF('Result data'!BO266=".","",'Result data'!BO266)</f>
        <v/>
      </c>
      <c r="J54" s="684" t="str">
        <f>IF('Result data'!BP266=".","",'Result data'!BP266)</f>
        <v/>
      </c>
      <c r="K54" s="684" t="str">
        <f>IF('Result data'!BQ266=".","",'Result data'!BQ266)</f>
        <v/>
      </c>
    </row>
    <row r="55" spans="1:11" x14ac:dyDescent="0.3">
      <c r="A55" s="213" t="str">
        <f>IF('Result data'!BG267="","",INDEX(Language!$C$149:$C$308,MATCH('Result data'!BG267,Language!$B$149:$B$308,0)))</f>
        <v/>
      </c>
      <c r="B55" s="685" t="str">
        <f>IF('Result data'!BH267=".","",'Result data'!BH267)</f>
        <v/>
      </c>
      <c r="C55" s="685" t="str">
        <f>IF('Result data'!BI267=".","",'Result data'!BI267)</f>
        <v/>
      </c>
      <c r="D55" s="685" t="str">
        <f>IF('Result data'!BJ267=".","",'Result data'!BJ267)</f>
        <v/>
      </c>
      <c r="E55" s="685" t="str">
        <f>IF('Result data'!BK267=".","",'Result data'!BK267)</f>
        <v/>
      </c>
      <c r="F55" s="685" t="str">
        <f>IF('Result data'!BL267=".","",'Result data'!BL267)</f>
        <v/>
      </c>
      <c r="G55" s="685" t="str">
        <f>IF('Result data'!BM267=".","",'Result data'!BM267)</f>
        <v/>
      </c>
      <c r="H55" s="685" t="str">
        <f>IF('Result data'!BN267=".","",'Result data'!BN267)</f>
        <v/>
      </c>
      <c r="I55" s="685" t="str">
        <f>IF('Result data'!BO267=".","",'Result data'!BO267)</f>
        <v/>
      </c>
      <c r="J55" s="685" t="str">
        <f>IF('Result data'!BP267=".","",'Result data'!BP267)</f>
        <v/>
      </c>
      <c r="K55" s="685" t="str">
        <f>IF('Result data'!BQ267=".","",'Result data'!BQ267)</f>
        <v/>
      </c>
    </row>
    <row r="56" spans="1:11" x14ac:dyDescent="0.3">
      <c r="A56" s="181" t="str">
        <f>IF('Result data'!BG268="","",INDEX(Language!$C$149:$C$308,MATCH('Result data'!BG268,Language!$B$149:$B$308,0)))</f>
        <v/>
      </c>
      <c r="B56" s="684" t="str">
        <f>IF('Result data'!BH268=".","",'Result data'!BH268)</f>
        <v/>
      </c>
      <c r="C56" s="684" t="str">
        <f>IF('Result data'!BI268=".","",'Result data'!BI268)</f>
        <v/>
      </c>
      <c r="D56" s="684" t="str">
        <f>IF('Result data'!BJ268=".","",'Result data'!BJ268)</f>
        <v/>
      </c>
      <c r="E56" s="684" t="str">
        <f>IF('Result data'!BK268=".","",'Result data'!BK268)</f>
        <v/>
      </c>
      <c r="F56" s="684" t="str">
        <f>IF('Result data'!BL268=".","",'Result data'!BL268)</f>
        <v/>
      </c>
      <c r="G56" s="684" t="str">
        <f>IF('Result data'!BM268=".","",'Result data'!BM268)</f>
        <v/>
      </c>
      <c r="H56" s="684" t="str">
        <f>IF('Result data'!BN268=".","",'Result data'!BN268)</f>
        <v/>
      </c>
      <c r="I56" s="684" t="str">
        <f>IF('Result data'!BO268=".","",'Result data'!BO268)</f>
        <v/>
      </c>
      <c r="J56" s="684" t="str">
        <f>IF('Result data'!BP268=".","",'Result data'!BP268)</f>
        <v/>
      </c>
      <c r="K56" s="684" t="str">
        <f>IF('Result data'!BQ268=".","",'Result data'!BQ268)</f>
        <v/>
      </c>
    </row>
    <row r="57" spans="1:11" x14ac:dyDescent="0.3">
      <c r="A57" s="213" t="str">
        <f>IF('Result data'!BG269="","",INDEX(Language!$C$149:$C$308,MATCH('Result data'!BG269,Language!$B$149:$B$308,0)))</f>
        <v/>
      </c>
      <c r="B57" s="685" t="str">
        <f>IF('Result data'!BH269=".","",'Result data'!BH269)</f>
        <v/>
      </c>
      <c r="C57" s="685" t="str">
        <f>IF('Result data'!BI269=".","",'Result data'!BI269)</f>
        <v/>
      </c>
      <c r="D57" s="685" t="str">
        <f>IF('Result data'!BJ269=".","",'Result data'!BJ269)</f>
        <v/>
      </c>
      <c r="E57" s="685" t="str">
        <f>IF('Result data'!BK269=".","",'Result data'!BK269)</f>
        <v/>
      </c>
      <c r="F57" s="685" t="str">
        <f>IF('Result data'!BL269=".","",'Result data'!BL269)</f>
        <v/>
      </c>
      <c r="G57" s="685" t="str">
        <f>IF('Result data'!BM269=".","",'Result data'!BM269)</f>
        <v/>
      </c>
      <c r="H57" s="685" t="str">
        <f>IF('Result data'!BN269=".","",'Result data'!BN269)</f>
        <v/>
      </c>
      <c r="I57" s="685" t="str">
        <f>IF('Result data'!BO269=".","",'Result data'!BO269)</f>
        <v/>
      </c>
      <c r="J57" s="685" t="str">
        <f>IF('Result data'!BP269=".","",'Result data'!BP269)</f>
        <v/>
      </c>
      <c r="K57" s="685" t="str">
        <f>IF('Result data'!BQ269=".","",'Result data'!BQ269)</f>
        <v/>
      </c>
    </row>
    <row r="58" spans="1:11" x14ac:dyDescent="0.3">
      <c r="A58" s="181" t="str">
        <f>IF('Result data'!BG270="","",INDEX(Language!$C$149:$C$308,MATCH('Result data'!BG270,Language!$B$149:$B$308,0)))</f>
        <v/>
      </c>
      <c r="B58" s="684" t="str">
        <f>IF('Result data'!BH270=".","",'Result data'!BH270)</f>
        <v/>
      </c>
      <c r="C58" s="684" t="str">
        <f>IF('Result data'!BI270=".","",'Result data'!BI270)</f>
        <v/>
      </c>
      <c r="D58" s="684" t="str">
        <f>IF('Result data'!BJ270=".","",'Result data'!BJ270)</f>
        <v/>
      </c>
      <c r="E58" s="684" t="str">
        <f>IF('Result data'!BK270=".","",'Result data'!BK270)</f>
        <v/>
      </c>
      <c r="F58" s="684" t="str">
        <f>IF('Result data'!BL270=".","",'Result data'!BL270)</f>
        <v/>
      </c>
      <c r="G58" s="684" t="str">
        <f>IF('Result data'!BM270=".","",'Result data'!BM270)</f>
        <v/>
      </c>
      <c r="H58" s="684" t="str">
        <f>IF('Result data'!BN270=".","",'Result data'!BN270)</f>
        <v/>
      </c>
      <c r="I58" s="684" t="str">
        <f>IF('Result data'!BO270=".","",'Result data'!BO270)</f>
        <v/>
      </c>
      <c r="J58" s="684" t="str">
        <f>IF('Result data'!BP270=".","",'Result data'!BP270)</f>
        <v/>
      </c>
      <c r="K58" s="684" t="str">
        <f>IF('Result data'!BQ270=".","",'Result data'!BQ270)</f>
        <v/>
      </c>
    </row>
    <row r="59" spans="1:11" x14ac:dyDescent="0.3">
      <c r="A59" s="213" t="str">
        <f>IF('Result data'!BG271="","",INDEX(Language!$C$149:$C$308,MATCH('Result data'!BG271,Language!$B$149:$B$308,0)))</f>
        <v/>
      </c>
      <c r="B59" s="685" t="str">
        <f>IF('Result data'!BH271=".","",'Result data'!BH271)</f>
        <v/>
      </c>
      <c r="C59" s="685" t="str">
        <f>IF('Result data'!BI271=".","",'Result data'!BI271)</f>
        <v/>
      </c>
      <c r="D59" s="685" t="str">
        <f>IF('Result data'!BJ271=".","",'Result data'!BJ271)</f>
        <v/>
      </c>
      <c r="E59" s="685" t="str">
        <f>IF('Result data'!BK271=".","",'Result data'!BK271)</f>
        <v/>
      </c>
      <c r="F59" s="685" t="str">
        <f>IF('Result data'!BL271=".","",'Result data'!BL271)</f>
        <v/>
      </c>
      <c r="G59" s="685" t="str">
        <f>IF('Result data'!BM271=".","",'Result data'!BM271)</f>
        <v/>
      </c>
      <c r="H59" s="685" t="str">
        <f>IF('Result data'!BN271=".","",'Result data'!BN271)</f>
        <v/>
      </c>
      <c r="I59" s="685" t="str">
        <f>IF('Result data'!BO271=".","",'Result data'!BO271)</f>
        <v/>
      </c>
      <c r="J59" s="685" t="str">
        <f>IF('Result data'!BP271=".","",'Result data'!BP271)</f>
        <v/>
      </c>
      <c r="K59" s="685" t="str">
        <f>IF('Result data'!BQ271=".","",'Result data'!BQ271)</f>
        <v/>
      </c>
    </row>
    <row r="60" spans="1:11" x14ac:dyDescent="0.3">
      <c r="A60" s="181" t="str">
        <f>IF('Result data'!BG272="","",INDEX(Language!$C$149:$C$308,MATCH('Result data'!BG272,Language!$B$149:$B$308,0)))</f>
        <v/>
      </c>
      <c r="B60" s="684" t="str">
        <f>IF('Result data'!BH272=".","",'Result data'!BH272)</f>
        <v/>
      </c>
      <c r="C60" s="684" t="str">
        <f>IF('Result data'!BI272=".","",'Result data'!BI272)</f>
        <v/>
      </c>
      <c r="D60" s="684" t="str">
        <f>IF('Result data'!BJ272=".","",'Result data'!BJ272)</f>
        <v/>
      </c>
      <c r="E60" s="684" t="str">
        <f>IF('Result data'!BK272=".","",'Result data'!BK272)</f>
        <v/>
      </c>
      <c r="F60" s="684" t="str">
        <f>IF('Result data'!BL272=".","",'Result data'!BL272)</f>
        <v/>
      </c>
      <c r="G60" s="684" t="str">
        <f>IF('Result data'!BM272=".","",'Result data'!BM272)</f>
        <v/>
      </c>
      <c r="H60" s="684" t="str">
        <f>IF('Result data'!BN272=".","",'Result data'!BN272)</f>
        <v/>
      </c>
      <c r="I60" s="684" t="str">
        <f>IF('Result data'!BO272=".","",'Result data'!BO272)</f>
        <v/>
      </c>
      <c r="J60" s="684" t="str">
        <f>IF('Result data'!BP272=".","",'Result data'!BP272)</f>
        <v/>
      </c>
      <c r="K60" s="684" t="str">
        <f>IF('Result data'!BQ272=".","",'Result data'!BQ272)</f>
        <v/>
      </c>
    </row>
    <row r="61" spans="1:11" x14ac:dyDescent="0.3">
      <c r="A61" s="213" t="str">
        <f>IF('Result data'!BG273="","",INDEX(Language!$C$149:$C$308,MATCH('Result data'!BG273,Language!$B$149:$B$308,0)))</f>
        <v/>
      </c>
      <c r="B61" s="685" t="str">
        <f>IF('Result data'!BH273=".","",'Result data'!BH273)</f>
        <v/>
      </c>
      <c r="C61" s="685" t="str">
        <f>IF('Result data'!BI273=".","",'Result data'!BI273)</f>
        <v/>
      </c>
      <c r="D61" s="685" t="str">
        <f>IF('Result data'!BJ273=".","",'Result data'!BJ273)</f>
        <v/>
      </c>
      <c r="E61" s="685" t="str">
        <f>IF('Result data'!BK273=".","",'Result data'!BK273)</f>
        <v/>
      </c>
      <c r="F61" s="685" t="str">
        <f>IF('Result data'!BL273=".","",'Result data'!BL273)</f>
        <v/>
      </c>
      <c r="G61" s="685" t="str">
        <f>IF('Result data'!BM273=".","",'Result data'!BM273)</f>
        <v/>
      </c>
      <c r="H61" s="685" t="str">
        <f>IF('Result data'!BN273=".","",'Result data'!BN273)</f>
        <v/>
      </c>
      <c r="I61" s="685" t="str">
        <f>IF('Result data'!BO273=".","",'Result data'!BO273)</f>
        <v/>
      </c>
      <c r="J61" s="685" t="str">
        <f>IF('Result data'!BP273=".","",'Result data'!BP273)</f>
        <v/>
      </c>
      <c r="K61" s="685" t="str">
        <f>IF('Result data'!BQ273=".","",'Result data'!BQ273)</f>
        <v/>
      </c>
    </row>
    <row r="62" spans="1:11" x14ac:dyDescent="0.3">
      <c r="A62" s="181" t="str">
        <f>IF('Result data'!BG274="","",INDEX(Language!$C$149:$C$308,MATCH('Result data'!BG274,Language!$B$149:$B$308,0)))</f>
        <v/>
      </c>
      <c r="B62" s="684" t="str">
        <f>IF('Result data'!BH274=".","",'Result data'!BH274)</f>
        <v/>
      </c>
      <c r="C62" s="684" t="str">
        <f>IF('Result data'!BI274=".","",'Result data'!BI274)</f>
        <v/>
      </c>
      <c r="D62" s="684" t="str">
        <f>IF('Result data'!BJ274=".","",'Result data'!BJ274)</f>
        <v/>
      </c>
      <c r="E62" s="684" t="str">
        <f>IF('Result data'!BK274=".","",'Result data'!BK274)</f>
        <v/>
      </c>
      <c r="F62" s="684" t="str">
        <f>IF('Result data'!BL274=".","",'Result data'!BL274)</f>
        <v/>
      </c>
      <c r="G62" s="684" t="str">
        <f>IF('Result data'!BM274=".","",'Result data'!BM274)</f>
        <v/>
      </c>
      <c r="H62" s="684" t="str">
        <f>IF('Result data'!BN274=".","",'Result data'!BN274)</f>
        <v/>
      </c>
      <c r="I62" s="684" t="str">
        <f>IF('Result data'!BO274=".","",'Result data'!BO274)</f>
        <v/>
      </c>
      <c r="J62" s="684" t="str">
        <f>IF('Result data'!BP274=".","",'Result data'!BP274)</f>
        <v/>
      </c>
      <c r="K62" s="684" t="str">
        <f>IF('Result data'!BQ274=".","",'Result data'!BQ274)</f>
        <v/>
      </c>
    </row>
    <row r="63" spans="1:11" x14ac:dyDescent="0.3">
      <c r="A63" s="213" t="str">
        <f>IF('Result data'!BG275="","",INDEX(Language!$C$149:$C$308,MATCH('Result data'!BG275,Language!$B$149:$B$308,0)))</f>
        <v/>
      </c>
      <c r="B63" s="685" t="str">
        <f>IF('Result data'!BH275=".","",'Result data'!BH275)</f>
        <v/>
      </c>
      <c r="C63" s="685" t="str">
        <f>IF('Result data'!BI275=".","",'Result data'!BI275)</f>
        <v/>
      </c>
      <c r="D63" s="685" t="str">
        <f>IF('Result data'!BJ275=".","",'Result data'!BJ275)</f>
        <v/>
      </c>
      <c r="E63" s="685" t="str">
        <f>IF('Result data'!BK275=".","",'Result data'!BK275)</f>
        <v/>
      </c>
      <c r="F63" s="685" t="str">
        <f>IF('Result data'!BL275=".","",'Result data'!BL275)</f>
        <v/>
      </c>
      <c r="G63" s="685" t="str">
        <f>IF('Result data'!BM275=".","",'Result data'!BM275)</f>
        <v/>
      </c>
      <c r="H63" s="685" t="str">
        <f>IF('Result data'!BN275=".","",'Result data'!BN275)</f>
        <v/>
      </c>
      <c r="I63" s="685" t="str">
        <f>IF('Result data'!BO275=".","",'Result data'!BO275)</f>
        <v/>
      </c>
      <c r="J63" s="685" t="str">
        <f>IF('Result data'!BP275=".","",'Result data'!BP275)</f>
        <v/>
      </c>
      <c r="K63" s="685" t="str">
        <f>IF('Result data'!BQ275=".","",'Result data'!BQ275)</f>
        <v/>
      </c>
    </row>
    <row r="64" spans="1:11" x14ac:dyDescent="0.3">
      <c r="A64" s="181" t="str">
        <f>IF('Result data'!BG276="","",INDEX(Language!$C$149:$C$308,MATCH('Result data'!BG276,Language!$B$149:$B$308,0)))</f>
        <v/>
      </c>
      <c r="B64" s="684" t="str">
        <f>IF('Result data'!BH276=".","",'Result data'!BH276)</f>
        <v/>
      </c>
      <c r="C64" s="684" t="str">
        <f>IF('Result data'!BI276=".","",'Result data'!BI276)</f>
        <v/>
      </c>
      <c r="D64" s="684" t="str">
        <f>IF('Result data'!BJ276=".","",'Result data'!BJ276)</f>
        <v/>
      </c>
      <c r="E64" s="684" t="str">
        <f>IF('Result data'!BK276=".","",'Result data'!BK276)</f>
        <v/>
      </c>
      <c r="F64" s="684" t="str">
        <f>IF('Result data'!BL276=".","",'Result data'!BL276)</f>
        <v/>
      </c>
      <c r="G64" s="684" t="str">
        <f>IF('Result data'!BM276=".","",'Result data'!BM276)</f>
        <v/>
      </c>
      <c r="H64" s="684" t="str">
        <f>IF('Result data'!BN276=".","",'Result data'!BN276)</f>
        <v/>
      </c>
      <c r="I64" s="684" t="str">
        <f>IF('Result data'!BO276=".","",'Result data'!BO276)</f>
        <v/>
      </c>
      <c r="J64" s="684" t="str">
        <f>IF('Result data'!BP276=".","",'Result data'!BP276)</f>
        <v/>
      </c>
      <c r="K64" s="684" t="str">
        <f>IF('Result data'!BQ276=".","",'Result data'!BQ276)</f>
        <v/>
      </c>
    </row>
    <row r="65" spans="1:11" x14ac:dyDescent="0.3">
      <c r="A65" s="213" t="str">
        <f>IF('Result data'!BG277="","",INDEX(Language!$C$149:$C$308,MATCH('Result data'!BG277,Language!$B$149:$B$308,0)))</f>
        <v/>
      </c>
      <c r="B65" s="685" t="str">
        <f>IF('Result data'!BH277=".","",'Result data'!BH277)</f>
        <v/>
      </c>
      <c r="C65" s="685" t="str">
        <f>IF('Result data'!BI277=".","",'Result data'!BI277)</f>
        <v/>
      </c>
      <c r="D65" s="685" t="str">
        <f>IF('Result data'!BJ277=".","",'Result data'!BJ277)</f>
        <v/>
      </c>
      <c r="E65" s="685" t="str">
        <f>IF('Result data'!BK277=".","",'Result data'!BK277)</f>
        <v/>
      </c>
      <c r="F65" s="685" t="str">
        <f>IF('Result data'!BL277=".","",'Result data'!BL277)</f>
        <v/>
      </c>
      <c r="G65" s="685" t="str">
        <f>IF('Result data'!BM277=".","",'Result data'!BM277)</f>
        <v/>
      </c>
      <c r="H65" s="685" t="str">
        <f>IF('Result data'!BN277=".","",'Result data'!BN277)</f>
        <v/>
      </c>
      <c r="I65" s="685" t="str">
        <f>IF('Result data'!BO277=".","",'Result data'!BO277)</f>
        <v/>
      </c>
      <c r="J65" s="685" t="str">
        <f>IF('Result data'!BP277=".","",'Result data'!BP277)</f>
        <v/>
      </c>
      <c r="K65" s="685" t="str">
        <f>IF('Result data'!BQ277=".","",'Result data'!BQ277)</f>
        <v/>
      </c>
    </row>
    <row r="66" spans="1:11" x14ac:dyDescent="0.3">
      <c r="A66" s="181" t="str">
        <f>IF('Result data'!BG278="","",INDEX(Language!$C$149:$C$308,MATCH('Result data'!BG278,Language!$B$149:$B$308,0)))</f>
        <v/>
      </c>
      <c r="B66" s="684" t="str">
        <f>IF('Result data'!BH278=".","",'Result data'!BH278)</f>
        <v/>
      </c>
      <c r="C66" s="684" t="str">
        <f>IF('Result data'!BI278=".","",'Result data'!BI278)</f>
        <v/>
      </c>
      <c r="D66" s="684" t="str">
        <f>IF('Result data'!BJ278=".","",'Result data'!BJ278)</f>
        <v/>
      </c>
      <c r="E66" s="684" t="str">
        <f>IF('Result data'!BK278=".","",'Result data'!BK278)</f>
        <v/>
      </c>
      <c r="F66" s="684" t="str">
        <f>IF('Result data'!BL278=".","",'Result data'!BL278)</f>
        <v/>
      </c>
      <c r="G66" s="684" t="str">
        <f>IF('Result data'!BM278=".","",'Result data'!BM278)</f>
        <v/>
      </c>
      <c r="H66" s="684" t="str">
        <f>IF('Result data'!BN278=".","",'Result data'!BN278)</f>
        <v/>
      </c>
      <c r="I66" s="684" t="str">
        <f>IF('Result data'!BO278=".","",'Result data'!BO278)</f>
        <v/>
      </c>
      <c r="J66" s="684" t="str">
        <f>IF('Result data'!BP278=".","",'Result data'!BP278)</f>
        <v/>
      </c>
      <c r="K66" s="684" t="str">
        <f>IF('Result data'!BQ278=".","",'Result data'!BQ278)</f>
        <v/>
      </c>
    </row>
    <row r="67" spans="1:11" x14ac:dyDescent="0.3">
      <c r="A67" s="213" t="str">
        <f>IF('Result data'!BG279="","",INDEX(Language!$C$149:$C$308,MATCH('Result data'!BG279,Language!$B$149:$B$308,0)))</f>
        <v/>
      </c>
      <c r="B67" s="685" t="str">
        <f>IF('Result data'!BH279=".","",'Result data'!BH279)</f>
        <v/>
      </c>
      <c r="C67" s="685" t="str">
        <f>IF('Result data'!BI279=".","",'Result data'!BI279)</f>
        <v/>
      </c>
      <c r="D67" s="685" t="str">
        <f>IF('Result data'!BJ279=".","",'Result data'!BJ279)</f>
        <v/>
      </c>
      <c r="E67" s="685" t="str">
        <f>IF('Result data'!BK279=".","",'Result data'!BK279)</f>
        <v/>
      </c>
      <c r="F67" s="685" t="str">
        <f>IF('Result data'!BL279=".","",'Result data'!BL279)</f>
        <v/>
      </c>
      <c r="G67" s="685" t="str">
        <f>IF('Result data'!BM279=".","",'Result data'!BM279)</f>
        <v/>
      </c>
      <c r="H67" s="685" t="str">
        <f>IF('Result data'!BN279=".","",'Result data'!BN279)</f>
        <v/>
      </c>
      <c r="I67" s="685" t="str">
        <f>IF('Result data'!BO279=".","",'Result data'!BO279)</f>
        <v/>
      </c>
      <c r="J67" s="685" t="str">
        <f>IF('Result data'!BP279=".","",'Result data'!BP279)</f>
        <v/>
      </c>
      <c r="K67" s="685" t="str">
        <f>IF('Result data'!BQ279=".","",'Result data'!BQ279)</f>
        <v/>
      </c>
    </row>
    <row r="68" spans="1:11" x14ac:dyDescent="0.3">
      <c r="A68" s="181" t="str">
        <f>IF('Result data'!BG280="","",INDEX(Language!$C$149:$C$308,MATCH('Result data'!BG280,Language!$B$149:$B$308,0)))</f>
        <v/>
      </c>
      <c r="B68" s="684" t="str">
        <f>IF('Result data'!BH280=".","",'Result data'!BH280)</f>
        <v/>
      </c>
      <c r="C68" s="684" t="str">
        <f>IF('Result data'!BI280=".","",'Result data'!BI280)</f>
        <v/>
      </c>
      <c r="D68" s="684" t="str">
        <f>IF('Result data'!BJ280=".","",'Result data'!BJ280)</f>
        <v/>
      </c>
      <c r="E68" s="684" t="str">
        <f>IF('Result data'!BK280=".","",'Result data'!BK280)</f>
        <v/>
      </c>
      <c r="F68" s="684" t="str">
        <f>IF('Result data'!BL280=".","",'Result data'!BL280)</f>
        <v/>
      </c>
      <c r="G68" s="684" t="str">
        <f>IF('Result data'!BM280=".","",'Result data'!BM280)</f>
        <v/>
      </c>
      <c r="H68" s="684" t="str">
        <f>IF('Result data'!BN280=".","",'Result data'!BN280)</f>
        <v/>
      </c>
      <c r="I68" s="684" t="str">
        <f>IF('Result data'!BO280=".","",'Result data'!BO280)</f>
        <v/>
      </c>
      <c r="J68" s="684" t="str">
        <f>IF('Result data'!BP280=".","",'Result data'!BP280)</f>
        <v/>
      </c>
      <c r="K68" s="684" t="str">
        <f>IF('Result data'!BQ280=".","",'Result data'!BQ280)</f>
        <v/>
      </c>
    </row>
    <row r="69" spans="1:11" x14ac:dyDescent="0.3">
      <c r="A69" s="213" t="str">
        <f>IF('Result data'!BG281="","",INDEX(Language!$C$149:$C$308,MATCH('Result data'!BG281,Language!$B$149:$B$308,0)))</f>
        <v/>
      </c>
      <c r="B69" s="685" t="str">
        <f>IF('Result data'!BH281=".","",'Result data'!BH281)</f>
        <v/>
      </c>
      <c r="C69" s="685" t="str">
        <f>IF('Result data'!BI281=".","",'Result data'!BI281)</f>
        <v/>
      </c>
      <c r="D69" s="685" t="str">
        <f>IF('Result data'!BJ281=".","",'Result data'!BJ281)</f>
        <v/>
      </c>
      <c r="E69" s="685" t="str">
        <f>IF('Result data'!BK281=".","",'Result data'!BK281)</f>
        <v/>
      </c>
      <c r="F69" s="685" t="str">
        <f>IF('Result data'!BL281=".","",'Result data'!BL281)</f>
        <v/>
      </c>
      <c r="G69" s="685" t="str">
        <f>IF('Result data'!BM281=".","",'Result data'!BM281)</f>
        <v/>
      </c>
      <c r="H69" s="685" t="str">
        <f>IF('Result data'!BN281=".","",'Result data'!BN281)</f>
        <v/>
      </c>
      <c r="I69" s="685" t="str">
        <f>IF('Result data'!BO281=".","",'Result data'!BO281)</f>
        <v/>
      </c>
      <c r="J69" s="685" t="str">
        <f>IF('Result data'!BP281=".","",'Result data'!BP281)</f>
        <v/>
      </c>
      <c r="K69" s="685" t="str">
        <f>IF('Result data'!BQ281=".","",'Result data'!BQ281)</f>
        <v/>
      </c>
    </row>
    <row r="70" spans="1:11" x14ac:dyDescent="0.3">
      <c r="A70" s="181" t="str">
        <f>IF('Result data'!BG282="","",INDEX(Language!$C$149:$C$308,MATCH('Result data'!BG282,Language!$B$149:$B$308,0)))</f>
        <v/>
      </c>
      <c r="B70" s="684" t="str">
        <f>IF('Result data'!BH282=".","",'Result data'!BH282)</f>
        <v/>
      </c>
      <c r="C70" s="684" t="str">
        <f>IF('Result data'!BI282=".","",'Result data'!BI282)</f>
        <v/>
      </c>
      <c r="D70" s="684" t="str">
        <f>IF('Result data'!BJ282=".","",'Result data'!BJ282)</f>
        <v/>
      </c>
      <c r="E70" s="684" t="str">
        <f>IF('Result data'!BK282=".","",'Result data'!BK282)</f>
        <v/>
      </c>
      <c r="F70" s="684" t="str">
        <f>IF('Result data'!BL282=".","",'Result data'!BL282)</f>
        <v/>
      </c>
      <c r="G70" s="684" t="str">
        <f>IF('Result data'!BM282=".","",'Result data'!BM282)</f>
        <v/>
      </c>
      <c r="H70" s="684" t="str">
        <f>IF('Result data'!BN282=".","",'Result data'!BN282)</f>
        <v/>
      </c>
      <c r="I70" s="684" t="str">
        <f>IF('Result data'!BO282=".","",'Result data'!BO282)</f>
        <v/>
      </c>
      <c r="J70" s="684" t="str">
        <f>IF('Result data'!BP282=".","",'Result data'!BP282)</f>
        <v/>
      </c>
      <c r="K70" s="684" t="str">
        <f>IF('Result data'!BQ282=".","",'Result data'!BQ282)</f>
        <v/>
      </c>
    </row>
    <row r="71" spans="1:11" x14ac:dyDescent="0.3">
      <c r="A71" s="213" t="str">
        <f>IF('Result data'!BG283="","",INDEX(Language!$C$149:$C$308,MATCH('Result data'!BG283,Language!$B$149:$B$308,0)))</f>
        <v/>
      </c>
      <c r="B71" s="685" t="str">
        <f>IF('Result data'!BH283=".","",'Result data'!BH283)</f>
        <v/>
      </c>
      <c r="C71" s="685" t="str">
        <f>IF('Result data'!BI283=".","",'Result data'!BI283)</f>
        <v/>
      </c>
      <c r="D71" s="685" t="str">
        <f>IF('Result data'!BJ283=".","",'Result data'!BJ283)</f>
        <v/>
      </c>
      <c r="E71" s="685" t="str">
        <f>IF('Result data'!BK283=".","",'Result data'!BK283)</f>
        <v/>
      </c>
      <c r="F71" s="685" t="str">
        <f>IF('Result data'!BL283=".","",'Result data'!BL283)</f>
        <v/>
      </c>
      <c r="G71" s="685" t="str">
        <f>IF('Result data'!BM283=".","",'Result data'!BM283)</f>
        <v/>
      </c>
      <c r="H71" s="685" t="str">
        <f>IF('Result data'!BN283=".","",'Result data'!BN283)</f>
        <v/>
      </c>
      <c r="I71" s="685" t="str">
        <f>IF('Result data'!BO283=".","",'Result data'!BO283)</f>
        <v/>
      </c>
      <c r="J71" s="685" t="str">
        <f>IF('Result data'!BP283=".","",'Result data'!BP283)</f>
        <v/>
      </c>
      <c r="K71" s="685" t="str">
        <f>IF('Result data'!BQ283=".","",'Result data'!BQ283)</f>
        <v/>
      </c>
    </row>
    <row r="72" spans="1:11" x14ac:dyDescent="0.3">
      <c r="A72" s="181" t="str">
        <f>IF('Result data'!BG284="","",INDEX(Language!$C$149:$C$308,MATCH('Result data'!BG284,Language!$B$149:$B$308,0)))</f>
        <v/>
      </c>
      <c r="B72" s="684" t="str">
        <f>IF('Result data'!BH284=".","",'Result data'!BH284)</f>
        <v/>
      </c>
      <c r="C72" s="684" t="str">
        <f>IF('Result data'!BI284=".","",'Result data'!BI284)</f>
        <v/>
      </c>
      <c r="D72" s="684" t="str">
        <f>IF('Result data'!BJ284=".","",'Result data'!BJ284)</f>
        <v/>
      </c>
      <c r="E72" s="684" t="str">
        <f>IF('Result data'!BK284=".","",'Result data'!BK284)</f>
        <v/>
      </c>
      <c r="F72" s="684" t="str">
        <f>IF('Result data'!BL284=".","",'Result data'!BL284)</f>
        <v/>
      </c>
      <c r="G72" s="684" t="str">
        <f>IF('Result data'!BM284=".","",'Result data'!BM284)</f>
        <v/>
      </c>
      <c r="H72" s="684" t="str">
        <f>IF('Result data'!BN284=".","",'Result data'!BN284)</f>
        <v/>
      </c>
      <c r="I72" s="684" t="str">
        <f>IF('Result data'!BO284=".","",'Result data'!BO284)</f>
        <v/>
      </c>
      <c r="J72" s="684" t="str">
        <f>IF('Result data'!BP284=".","",'Result data'!BP284)</f>
        <v/>
      </c>
      <c r="K72" s="684" t="str">
        <f>IF('Result data'!BQ284=".","",'Result data'!BQ284)</f>
        <v/>
      </c>
    </row>
    <row r="73" spans="1:11" x14ac:dyDescent="0.3">
      <c r="A73" s="213" t="str">
        <f>IF('Result data'!BG285="","",INDEX(Language!$C$149:$C$308,MATCH('Result data'!BG285,Language!$B$149:$B$308,0)))</f>
        <v/>
      </c>
      <c r="B73" s="685" t="str">
        <f>IF('Result data'!BH285=".","",'Result data'!BH285)</f>
        <v/>
      </c>
      <c r="C73" s="685" t="str">
        <f>IF('Result data'!BI285=".","",'Result data'!BI285)</f>
        <v/>
      </c>
      <c r="D73" s="685" t="str">
        <f>IF('Result data'!BJ285=".","",'Result data'!BJ285)</f>
        <v/>
      </c>
      <c r="E73" s="685" t="str">
        <f>IF('Result data'!BK285=".","",'Result data'!BK285)</f>
        <v/>
      </c>
      <c r="F73" s="685" t="str">
        <f>IF('Result data'!BL285=".","",'Result data'!BL285)</f>
        <v/>
      </c>
      <c r="G73" s="685" t="str">
        <f>IF('Result data'!BM285=".","",'Result data'!BM285)</f>
        <v/>
      </c>
      <c r="H73" s="685" t="str">
        <f>IF('Result data'!BN285=".","",'Result data'!BN285)</f>
        <v/>
      </c>
      <c r="I73" s="685" t="str">
        <f>IF('Result data'!BO285=".","",'Result data'!BO285)</f>
        <v/>
      </c>
      <c r="J73" s="685" t="str">
        <f>IF('Result data'!BP285=".","",'Result data'!BP285)</f>
        <v/>
      </c>
      <c r="K73" s="685" t="str">
        <f>IF('Result data'!BQ285=".","",'Result data'!BQ285)</f>
        <v/>
      </c>
    </row>
    <row r="74" spans="1:11" x14ac:dyDescent="0.3">
      <c r="A74" s="181" t="str">
        <f>IF('Result data'!BG286="","",INDEX(Language!$C$149:$C$308,MATCH('Result data'!BG286,Language!$B$149:$B$308,0)))</f>
        <v/>
      </c>
      <c r="B74" s="684" t="str">
        <f>IF('Result data'!BH286=".","",'Result data'!BH286)</f>
        <v/>
      </c>
      <c r="C74" s="684" t="str">
        <f>IF('Result data'!BI286=".","",'Result data'!BI286)</f>
        <v/>
      </c>
      <c r="D74" s="684" t="str">
        <f>IF('Result data'!BJ286=".","",'Result data'!BJ286)</f>
        <v/>
      </c>
      <c r="E74" s="684" t="str">
        <f>IF('Result data'!BK286=".","",'Result data'!BK286)</f>
        <v/>
      </c>
      <c r="F74" s="684" t="str">
        <f>IF('Result data'!BL286=".","",'Result data'!BL286)</f>
        <v/>
      </c>
      <c r="G74" s="684" t="str">
        <f>IF('Result data'!BM286=".","",'Result data'!BM286)</f>
        <v/>
      </c>
      <c r="H74" s="684" t="str">
        <f>IF('Result data'!BN286=".","",'Result data'!BN286)</f>
        <v/>
      </c>
      <c r="I74" s="684" t="str">
        <f>IF('Result data'!BO286=".","",'Result data'!BO286)</f>
        <v/>
      </c>
      <c r="J74" s="684" t="str">
        <f>IF('Result data'!BP286=".","",'Result data'!BP286)</f>
        <v/>
      </c>
      <c r="K74" s="684" t="str">
        <f>IF('Result data'!BQ286=".","",'Result data'!BQ286)</f>
        <v/>
      </c>
    </row>
    <row r="75" spans="1:11" x14ac:dyDescent="0.3">
      <c r="A75" s="213" t="str">
        <f>IF('Result data'!BG287="","",INDEX(Language!$C$149:$C$308,MATCH('Result data'!BG287,Language!$B$149:$B$308,0)))</f>
        <v/>
      </c>
      <c r="B75" s="685" t="str">
        <f>IF('Result data'!BH287=".","",'Result data'!BH287)</f>
        <v/>
      </c>
      <c r="C75" s="685" t="str">
        <f>IF('Result data'!BI287=".","",'Result data'!BI287)</f>
        <v/>
      </c>
      <c r="D75" s="685" t="str">
        <f>IF('Result data'!BJ287=".","",'Result data'!BJ287)</f>
        <v/>
      </c>
      <c r="E75" s="685" t="str">
        <f>IF('Result data'!BK287=".","",'Result data'!BK287)</f>
        <v/>
      </c>
      <c r="F75" s="685" t="str">
        <f>IF('Result data'!BL287=".","",'Result data'!BL287)</f>
        <v/>
      </c>
      <c r="G75" s="685" t="str">
        <f>IF('Result data'!BM287=".","",'Result data'!BM287)</f>
        <v/>
      </c>
      <c r="H75" s="685" t="str">
        <f>IF('Result data'!BN287=".","",'Result data'!BN287)</f>
        <v/>
      </c>
      <c r="I75" s="685" t="str">
        <f>IF('Result data'!BO287=".","",'Result data'!BO287)</f>
        <v/>
      </c>
      <c r="J75" s="685" t="str">
        <f>IF('Result data'!BP287=".","",'Result data'!BP287)</f>
        <v/>
      </c>
      <c r="K75" s="685" t="str">
        <f>IF('Result data'!BQ287=".","",'Result data'!BQ287)</f>
        <v/>
      </c>
    </row>
    <row r="76" spans="1:11" x14ac:dyDescent="0.3">
      <c r="A76" s="181" t="str">
        <f>IF('Result data'!BG288="","",INDEX(Language!$C$149:$C$308,MATCH('Result data'!BG288,Language!$B$149:$B$308,0)))</f>
        <v/>
      </c>
      <c r="B76" s="684" t="str">
        <f>IF('Result data'!BH288=".","",'Result data'!BH288)</f>
        <v/>
      </c>
      <c r="C76" s="684" t="str">
        <f>IF('Result data'!BI288=".","",'Result data'!BI288)</f>
        <v/>
      </c>
      <c r="D76" s="684" t="str">
        <f>IF('Result data'!BJ288=".","",'Result data'!BJ288)</f>
        <v/>
      </c>
      <c r="E76" s="684" t="str">
        <f>IF('Result data'!BK288=".","",'Result data'!BK288)</f>
        <v/>
      </c>
      <c r="F76" s="684" t="str">
        <f>IF('Result data'!BL288=".","",'Result data'!BL288)</f>
        <v/>
      </c>
      <c r="G76" s="684" t="str">
        <f>IF('Result data'!BM288=".","",'Result data'!BM288)</f>
        <v/>
      </c>
      <c r="H76" s="684" t="str">
        <f>IF('Result data'!BN288=".","",'Result data'!BN288)</f>
        <v/>
      </c>
      <c r="I76" s="684" t="str">
        <f>IF('Result data'!BO288=".","",'Result data'!BO288)</f>
        <v/>
      </c>
      <c r="J76" s="684" t="str">
        <f>IF('Result data'!BP288=".","",'Result data'!BP288)</f>
        <v/>
      </c>
      <c r="K76" s="684" t="str">
        <f>IF('Result data'!BQ288=".","",'Result data'!BQ288)</f>
        <v/>
      </c>
    </row>
    <row r="77" spans="1:11" x14ac:dyDescent="0.3">
      <c r="A77" s="213" t="str">
        <f>IF('Result data'!BG289="","",INDEX(Language!$C$149:$C$308,MATCH('Result data'!BG289,Language!$B$149:$B$308,0)))</f>
        <v/>
      </c>
      <c r="B77" s="685" t="str">
        <f>IF('Result data'!BH289=".","",'Result data'!BH289)</f>
        <v/>
      </c>
      <c r="C77" s="685" t="str">
        <f>IF('Result data'!BI289=".","",'Result data'!BI289)</f>
        <v/>
      </c>
      <c r="D77" s="685" t="str">
        <f>IF('Result data'!BJ289=".","",'Result data'!BJ289)</f>
        <v/>
      </c>
      <c r="E77" s="685" t="str">
        <f>IF('Result data'!BK289=".","",'Result data'!BK289)</f>
        <v/>
      </c>
      <c r="F77" s="685" t="str">
        <f>IF('Result data'!BL289=".","",'Result data'!BL289)</f>
        <v/>
      </c>
      <c r="G77" s="685" t="str">
        <f>IF('Result data'!BM289=".","",'Result data'!BM289)</f>
        <v/>
      </c>
      <c r="H77" s="685" t="str">
        <f>IF('Result data'!BN289=".","",'Result data'!BN289)</f>
        <v/>
      </c>
      <c r="I77" s="685" t="str">
        <f>IF('Result data'!BO289=".","",'Result data'!BO289)</f>
        <v/>
      </c>
      <c r="J77" s="685" t="str">
        <f>IF('Result data'!BP289=".","",'Result data'!BP289)</f>
        <v/>
      </c>
      <c r="K77" s="685" t="str">
        <f>IF('Result data'!BQ289=".","",'Result data'!BQ289)</f>
        <v/>
      </c>
    </row>
    <row r="78" spans="1:11" x14ac:dyDescent="0.3">
      <c r="A78" s="181" t="str">
        <f>IF('Result data'!BG290="","",INDEX(Language!$C$149:$C$308,MATCH('Result data'!BG290,Language!$B$149:$B$308,0)))</f>
        <v/>
      </c>
      <c r="B78" s="684" t="str">
        <f>IF('Result data'!BH290=".","",'Result data'!BH290)</f>
        <v/>
      </c>
      <c r="C78" s="684" t="str">
        <f>IF('Result data'!BI290=".","",'Result data'!BI290)</f>
        <v/>
      </c>
      <c r="D78" s="684" t="str">
        <f>IF('Result data'!BJ290=".","",'Result data'!BJ290)</f>
        <v/>
      </c>
      <c r="E78" s="684" t="str">
        <f>IF('Result data'!BK290=".","",'Result data'!BK290)</f>
        <v/>
      </c>
      <c r="F78" s="684" t="str">
        <f>IF('Result data'!BL290=".","",'Result data'!BL290)</f>
        <v/>
      </c>
      <c r="G78" s="684" t="str">
        <f>IF('Result data'!BM290=".","",'Result data'!BM290)</f>
        <v/>
      </c>
      <c r="H78" s="684" t="str">
        <f>IF('Result data'!BN290=".","",'Result data'!BN290)</f>
        <v/>
      </c>
      <c r="I78" s="684" t="str">
        <f>IF('Result data'!BO290=".","",'Result data'!BO290)</f>
        <v/>
      </c>
      <c r="J78" s="684" t="str">
        <f>IF('Result data'!BP290=".","",'Result data'!BP290)</f>
        <v/>
      </c>
      <c r="K78" s="684" t="str">
        <f>IF('Result data'!BQ290=".","",'Result data'!BQ290)</f>
        <v/>
      </c>
    </row>
    <row r="79" spans="1:11" x14ac:dyDescent="0.3">
      <c r="A79" s="213" t="str">
        <f>IF('Result data'!BG291="","",INDEX(Language!$C$149:$C$308,MATCH('Result data'!BG291,Language!$B$149:$B$308,0)))</f>
        <v/>
      </c>
      <c r="B79" s="685" t="str">
        <f>IF('Result data'!BH291=".","",'Result data'!BH291)</f>
        <v/>
      </c>
      <c r="C79" s="685" t="str">
        <f>IF('Result data'!BI291=".","",'Result data'!BI291)</f>
        <v/>
      </c>
      <c r="D79" s="685" t="str">
        <f>IF('Result data'!BJ291=".","",'Result data'!BJ291)</f>
        <v/>
      </c>
      <c r="E79" s="685" t="str">
        <f>IF('Result data'!BK291=".","",'Result data'!BK291)</f>
        <v/>
      </c>
      <c r="F79" s="685" t="str">
        <f>IF('Result data'!BL291=".","",'Result data'!BL291)</f>
        <v/>
      </c>
      <c r="G79" s="685" t="str">
        <f>IF('Result data'!BM291=".","",'Result data'!BM291)</f>
        <v/>
      </c>
      <c r="H79" s="685" t="str">
        <f>IF('Result data'!BN291=".","",'Result data'!BN291)</f>
        <v/>
      </c>
      <c r="I79" s="685" t="str">
        <f>IF('Result data'!BO291=".","",'Result data'!BO291)</f>
        <v/>
      </c>
      <c r="J79" s="685" t="str">
        <f>IF('Result data'!BP291=".","",'Result data'!BP291)</f>
        <v/>
      </c>
      <c r="K79" s="685" t="str">
        <f>IF('Result data'!BQ291=".","",'Result data'!BQ291)</f>
        <v/>
      </c>
    </row>
    <row r="80" spans="1:11" x14ac:dyDescent="0.3">
      <c r="A80" s="181" t="str">
        <f>IF('Result data'!BG292="","",INDEX(Language!$C$149:$C$308,MATCH('Result data'!BG292,Language!$B$149:$B$308,0)))</f>
        <v/>
      </c>
      <c r="B80" s="684" t="str">
        <f>IF('Result data'!BH292=".","",'Result data'!BH292)</f>
        <v/>
      </c>
      <c r="C80" s="684" t="str">
        <f>IF('Result data'!BI292=".","",'Result data'!BI292)</f>
        <v/>
      </c>
      <c r="D80" s="684" t="str">
        <f>IF('Result data'!BJ292=".","",'Result data'!BJ292)</f>
        <v/>
      </c>
      <c r="E80" s="684" t="str">
        <f>IF('Result data'!BK292=".","",'Result data'!BK292)</f>
        <v/>
      </c>
      <c r="F80" s="684" t="str">
        <f>IF('Result data'!BL292=".","",'Result data'!BL292)</f>
        <v/>
      </c>
      <c r="G80" s="684" t="str">
        <f>IF('Result data'!BM292=".","",'Result data'!BM292)</f>
        <v/>
      </c>
      <c r="H80" s="684" t="str">
        <f>IF('Result data'!BN292=".","",'Result data'!BN292)</f>
        <v/>
      </c>
      <c r="I80" s="684" t="str">
        <f>IF('Result data'!BO292=".","",'Result data'!BO292)</f>
        <v/>
      </c>
      <c r="J80" s="684" t="str">
        <f>IF('Result data'!BP292=".","",'Result data'!BP292)</f>
        <v/>
      </c>
      <c r="K80" s="684" t="str">
        <f>IF('Result data'!BQ292=".","",'Result data'!BQ292)</f>
        <v/>
      </c>
    </row>
    <row r="81" spans="1:11" x14ac:dyDescent="0.3">
      <c r="A81" s="213" t="str">
        <f>IF('Result data'!BG293="","",INDEX(Language!$C$149:$C$308,MATCH('Result data'!BG293,Language!$B$149:$B$308,0)))</f>
        <v/>
      </c>
      <c r="B81" s="685" t="str">
        <f>IF('Result data'!BH293=".","",'Result data'!BH293)</f>
        <v/>
      </c>
      <c r="C81" s="685" t="str">
        <f>IF('Result data'!BI293=".","",'Result data'!BI293)</f>
        <v/>
      </c>
      <c r="D81" s="685" t="str">
        <f>IF('Result data'!BJ293=".","",'Result data'!BJ293)</f>
        <v/>
      </c>
      <c r="E81" s="685" t="str">
        <f>IF('Result data'!BK293=".","",'Result data'!BK293)</f>
        <v/>
      </c>
      <c r="F81" s="685" t="str">
        <f>IF('Result data'!BL293=".","",'Result data'!BL293)</f>
        <v/>
      </c>
      <c r="G81" s="685" t="str">
        <f>IF('Result data'!BM293=".","",'Result data'!BM293)</f>
        <v/>
      </c>
      <c r="H81" s="685" t="str">
        <f>IF('Result data'!BN293=".","",'Result data'!BN293)</f>
        <v/>
      </c>
      <c r="I81" s="685" t="str">
        <f>IF('Result data'!BO293=".","",'Result data'!BO293)</f>
        <v/>
      </c>
      <c r="J81" s="685" t="str">
        <f>IF('Result data'!BP293=".","",'Result data'!BP293)</f>
        <v/>
      </c>
      <c r="K81" s="685" t="str">
        <f>IF('Result data'!BQ293=".","",'Result data'!BQ293)</f>
        <v/>
      </c>
    </row>
    <row r="82" spans="1:11" x14ac:dyDescent="0.3">
      <c r="A82" s="181" t="str">
        <f>IF('Result data'!BG294="","",INDEX(Language!$C$149:$C$308,MATCH('Result data'!BG294,Language!$B$149:$B$308,0)))</f>
        <v/>
      </c>
      <c r="B82" s="684" t="str">
        <f>IF('Result data'!BH294=".","",'Result data'!BH294)</f>
        <v/>
      </c>
      <c r="C82" s="684" t="str">
        <f>IF('Result data'!BI294=".","",'Result data'!BI294)</f>
        <v/>
      </c>
      <c r="D82" s="684" t="str">
        <f>IF('Result data'!BJ294=".","",'Result data'!BJ294)</f>
        <v/>
      </c>
      <c r="E82" s="684" t="str">
        <f>IF('Result data'!BK294=".","",'Result data'!BK294)</f>
        <v/>
      </c>
      <c r="F82" s="684" t="str">
        <f>IF('Result data'!BL294=".","",'Result data'!BL294)</f>
        <v/>
      </c>
      <c r="G82" s="684" t="str">
        <f>IF('Result data'!BM294=".","",'Result data'!BM294)</f>
        <v/>
      </c>
      <c r="H82" s="684" t="str">
        <f>IF('Result data'!BN294=".","",'Result data'!BN294)</f>
        <v/>
      </c>
      <c r="I82" s="684" t="str">
        <f>IF('Result data'!BO294=".","",'Result data'!BO294)</f>
        <v/>
      </c>
      <c r="J82" s="684" t="str">
        <f>IF('Result data'!BP294=".","",'Result data'!BP294)</f>
        <v/>
      </c>
      <c r="K82" s="684" t="str">
        <f>IF('Result data'!BQ294=".","",'Result data'!BQ294)</f>
        <v/>
      </c>
    </row>
    <row r="83" spans="1:11" x14ac:dyDescent="0.3">
      <c r="A83" s="213" t="str">
        <f>IF('Result data'!BG295="","",INDEX(Language!$C$149:$C$308,MATCH('Result data'!BG295,Language!$B$149:$B$308,0)))</f>
        <v/>
      </c>
      <c r="B83" s="685" t="str">
        <f>IF('Result data'!BH295=".","",'Result data'!BH295)</f>
        <v/>
      </c>
      <c r="C83" s="685" t="str">
        <f>IF('Result data'!BI295=".","",'Result data'!BI295)</f>
        <v/>
      </c>
      <c r="D83" s="685" t="str">
        <f>IF('Result data'!BJ295=".","",'Result data'!BJ295)</f>
        <v/>
      </c>
      <c r="E83" s="685" t="str">
        <f>IF('Result data'!BK295=".","",'Result data'!BK295)</f>
        <v/>
      </c>
      <c r="F83" s="685" t="str">
        <f>IF('Result data'!BL295=".","",'Result data'!BL295)</f>
        <v/>
      </c>
      <c r="G83" s="685" t="str">
        <f>IF('Result data'!BM295=".","",'Result data'!BM295)</f>
        <v/>
      </c>
      <c r="H83" s="685" t="str">
        <f>IF('Result data'!BN295=".","",'Result data'!BN295)</f>
        <v/>
      </c>
      <c r="I83" s="685" t="str">
        <f>IF('Result data'!BO295=".","",'Result data'!BO295)</f>
        <v/>
      </c>
      <c r="J83" s="685" t="str">
        <f>IF('Result data'!BP295=".","",'Result data'!BP295)</f>
        <v/>
      </c>
      <c r="K83" s="685" t="str">
        <f>IF('Result data'!BQ295=".","",'Result data'!BQ295)</f>
        <v/>
      </c>
    </row>
    <row r="84" spans="1:11" x14ac:dyDescent="0.3">
      <c r="A84" s="181" t="str">
        <f>IF('Result data'!BG296="","",INDEX(Language!$C$149:$C$308,MATCH('Result data'!BG296,Language!$B$149:$B$308,0)))</f>
        <v/>
      </c>
      <c r="B84" s="684" t="str">
        <f>IF('Result data'!BH296=".","",'Result data'!BH296)</f>
        <v/>
      </c>
      <c r="C84" s="684" t="str">
        <f>IF('Result data'!BI296=".","",'Result data'!BI296)</f>
        <v/>
      </c>
      <c r="D84" s="684" t="str">
        <f>IF('Result data'!BJ296=".","",'Result data'!BJ296)</f>
        <v/>
      </c>
      <c r="E84" s="684" t="str">
        <f>IF('Result data'!BK296=".","",'Result data'!BK296)</f>
        <v/>
      </c>
      <c r="F84" s="684" t="str">
        <f>IF('Result data'!BL296=".","",'Result data'!BL296)</f>
        <v/>
      </c>
      <c r="G84" s="684" t="str">
        <f>IF('Result data'!BM296=".","",'Result data'!BM296)</f>
        <v/>
      </c>
      <c r="H84" s="684" t="str">
        <f>IF('Result data'!BN296=".","",'Result data'!BN296)</f>
        <v/>
      </c>
      <c r="I84" s="684" t="str">
        <f>IF('Result data'!BO296=".","",'Result data'!BO296)</f>
        <v/>
      </c>
      <c r="J84" s="684" t="str">
        <f>IF('Result data'!BP296=".","",'Result data'!BP296)</f>
        <v/>
      </c>
      <c r="K84" s="684" t="str">
        <f>IF('Result data'!BQ296=".","",'Result data'!BQ296)</f>
        <v/>
      </c>
    </row>
    <row r="85" spans="1:11" x14ac:dyDescent="0.3">
      <c r="A85" s="213" t="str">
        <f>IF('Result data'!BG297="","",INDEX(Language!$C$149:$C$308,MATCH('Result data'!BG297,Language!$B$149:$B$308,0)))</f>
        <v/>
      </c>
      <c r="B85" s="685" t="str">
        <f>IF('Result data'!BH297=".","",'Result data'!BH297)</f>
        <v/>
      </c>
      <c r="C85" s="685" t="str">
        <f>IF('Result data'!BI297=".","",'Result data'!BI297)</f>
        <v/>
      </c>
      <c r="D85" s="685" t="str">
        <f>IF('Result data'!BJ297=".","",'Result data'!BJ297)</f>
        <v/>
      </c>
      <c r="E85" s="685" t="str">
        <f>IF('Result data'!BK297=".","",'Result data'!BK297)</f>
        <v/>
      </c>
      <c r="F85" s="685" t="str">
        <f>IF('Result data'!BL297=".","",'Result data'!BL297)</f>
        <v/>
      </c>
      <c r="G85" s="685" t="str">
        <f>IF('Result data'!BM297=".","",'Result data'!BM297)</f>
        <v/>
      </c>
      <c r="H85" s="685" t="str">
        <f>IF('Result data'!BN297=".","",'Result data'!BN297)</f>
        <v/>
      </c>
      <c r="I85" s="685" t="str">
        <f>IF('Result data'!BO297=".","",'Result data'!BO297)</f>
        <v/>
      </c>
      <c r="J85" s="685" t="str">
        <f>IF('Result data'!BP297=".","",'Result data'!BP297)</f>
        <v/>
      </c>
      <c r="K85" s="685" t="str">
        <f>IF('Result data'!BQ297=".","",'Result data'!BQ297)</f>
        <v/>
      </c>
    </row>
    <row r="86" spans="1:11" x14ac:dyDescent="0.3">
      <c r="A86" s="181" t="str">
        <f>IF('Result data'!BG298="","",INDEX(Language!$C$149:$C$308,MATCH('Result data'!BG298,Language!$B$149:$B$308,0)))</f>
        <v/>
      </c>
      <c r="B86" s="684" t="str">
        <f>IF('Result data'!BH298=".","",'Result data'!BH298)</f>
        <v/>
      </c>
      <c r="C86" s="684" t="str">
        <f>IF('Result data'!BI298=".","",'Result data'!BI298)</f>
        <v/>
      </c>
      <c r="D86" s="684" t="str">
        <f>IF('Result data'!BJ298=".","",'Result data'!BJ298)</f>
        <v/>
      </c>
      <c r="E86" s="684" t="str">
        <f>IF('Result data'!BK298=".","",'Result data'!BK298)</f>
        <v/>
      </c>
      <c r="F86" s="684" t="str">
        <f>IF('Result data'!BL298=".","",'Result data'!BL298)</f>
        <v/>
      </c>
      <c r="G86" s="684" t="str">
        <f>IF('Result data'!BM298=".","",'Result data'!BM298)</f>
        <v/>
      </c>
      <c r="H86" s="684" t="str">
        <f>IF('Result data'!BN298=".","",'Result data'!BN298)</f>
        <v/>
      </c>
      <c r="I86" s="684" t="str">
        <f>IF('Result data'!BO298=".","",'Result data'!BO298)</f>
        <v/>
      </c>
      <c r="J86" s="684" t="str">
        <f>IF('Result data'!BP298=".","",'Result data'!BP298)</f>
        <v/>
      </c>
      <c r="K86" s="684" t="str">
        <f>IF('Result data'!BQ298=".","",'Result data'!BQ298)</f>
        <v/>
      </c>
    </row>
    <row r="87" spans="1:11" x14ac:dyDescent="0.3">
      <c r="A87" s="213" t="str">
        <f>IF('Result data'!BG299="","",INDEX(Language!$C$149:$C$308,MATCH('Result data'!BG299,Language!$B$149:$B$308,0)))</f>
        <v/>
      </c>
      <c r="B87" s="685" t="str">
        <f>IF('Result data'!BH299=".","",'Result data'!BH299)</f>
        <v/>
      </c>
      <c r="C87" s="685" t="str">
        <f>IF('Result data'!BI299=".","",'Result data'!BI299)</f>
        <v/>
      </c>
      <c r="D87" s="685" t="str">
        <f>IF('Result data'!BJ299=".","",'Result data'!BJ299)</f>
        <v/>
      </c>
      <c r="E87" s="685" t="str">
        <f>IF('Result data'!BK299=".","",'Result data'!BK299)</f>
        <v/>
      </c>
      <c r="F87" s="685" t="str">
        <f>IF('Result data'!BL299=".","",'Result data'!BL299)</f>
        <v/>
      </c>
      <c r="G87" s="685" t="str">
        <f>IF('Result data'!BM299=".","",'Result data'!BM299)</f>
        <v/>
      </c>
      <c r="H87" s="685" t="str">
        <f>IF('Result data'!BN299=".","",'Result data'!BN299)</f>
        <v/>
      </c>
      <c r="I87" s="685" t="str">
        <f>IF('Result data'!BO299=".","",'Result data'!BO299)</f>
        <v/>
      </c>
      <c r="J87" s="685" t="str">
        <f>IF('Result data'!BP299=".","",'Result data'!BP299)</f>
        <v/>
      </c>
      <c r="K87" s="685" t="str">
        <f>IF('Result data'!BQ299=".","",'Result data'!BQ299)</f>
        <v/>
      </c>
    </row>
    <row r="88" spans="1:11" x14ac:dyDescent="0.3">
      <c r="A88" s="181" t="str">
        <f>IF('Result data'!BG300="","",INDEX(Language!$C$149:$C$308,MATCH('Result data'!BG300,Language!$B$149:$B$308,0)))</f>
        <v/>
      </c>
      <c r="B88" s="684" t="str">
        <f>IF('Result data'!BH300=".","",'Result data'!BH300)</f>
        <v/>
      </c>
      <c r="C88" s="684" t="str">
        <f>IF('Result data'!BI300=".","",'Result data'!BI300)</f>
        <v/>
      </c>
      <c r="D88" s="684" t="str">
        <f>IF('Result data'!BJ300=".","",'Result data'!BJ300)</f>
        <v/>
      </c>
      <c r="E88" s="684" t="str">
        <f>IF('Result data'!BK300=".","",'Result data'!BK300)</f>
        <v/>
      </c>
      <c r="F88" s="684" t="str">
        <f>IF('Result data'!BL300=".","",'Result data'!BL300)</f>
        <v/>
      </c>
      <c r="G88" s="684" t="str">
        <f>IF('Result data'!BM300=".","",'Result data'!BM300)</f>
        <v/>
      </c>
      <c r="H88" s="684" t="str">
        <f>IF('Result data'!BN300=".","",'Result data'!BN300)</f>
        <v/>
      </c>
      <c r="I88" s="684" t="str">
        <f>IF('Result data'!BO300=".","",'Result data'!BO300)</f>
        <v/>
      </c>
      <c r="J88" s="684" t="str">
        <f>IF('Result data'!BP300=".","",'Result data'!BP300)</f>
        <v/>
      </c>
      <c r="K88" s="684" t="str">
        <f>IF('Result data'!BQ300=".","",'Result data'!BQ300)</f>
        <v/>
      </c>
    </row>
    <row r="89" spans="1:11" x14ac:dyDescent="0.3">
      <c r="A89" s="213" t="str">
        <f>IF('Result data'!BG301="","",INDEX(Language!$C$149:$C$308,MATCH('Result data'!BG301,Language!$B$149:$B$308,0)))</f>
        <v/>
      </c>
      <c r="B89" s="685" t="str">
        <f>IF('Result data'!BH301=".","",'Result data'!BH301)</f>
        <v/>
      </c>
      <c r="C89" s="685" t="str">
        <f>IF('Result data'!BI301=".","",'Result data'!BI301)</f>
        <v/>
      </c>
      <c r="D89" s="685" t="str">
        <f>IF('Result data'!BJ301=".","",'Result data'!BJ301)</f>
        <v/>
      </c>
      <c r="E89" s="685" t="str">
        <f>IF('Result data'!BK301=".","",'Result data'!BK301)</f>
        <v/>
      </c>
      <c r="F89" s="685" t="str">
        <f>IF('Result data'!BL301=".","",'Result data'!BL301)</f>
        <v/>
      </c>
      <c r="G89" s="685" t="str">
        <f>IF('Result data'!BM301=".","",'Result data'!BM301)</f>
        <v/>
      </c>
      <c r="H89" s="685" t="str">
        <f>IF('Result data'!BN301=".","",'Result data'!BN301)</f>
        <v/>
      </c>
      <c r="I89" s="685" t="str">
        <f>IF('Result data'!BO301=".","",'Result data'!BO301)</f>
        <v/>
      </c>
      <c r="J89" s="685" t="str">
        <f>IF('Result data'!BP301=".","",'Result data'!BP301)</f>
        <v/>
      </c>
      <c r="K89" s="685" t="str">
        <f>IF('Result data'!BQ301=".","",'Result data'!BQ301)</f>
        <v/>
      </c>
    </row>
    <row r="90" spans="1:11" x14ac:dyDescent="0.3">
      <c r="A90" s="181" t="str">
        <f>IF('Result data'!BG302="","",INDEX(Language!$C$149:$C$308,MATCH('Result data'!BG302,Language!$B$149:$B$308,0)))</f>
        <v/>
      </c>
      <c r="B90" s="684" t="str">
        <f>IF('Result data'!BH302=".","",'Result data'!BH302)</f>
        <v/>
      </c>
      <c r="C90" s="684" t="str">
        <f>IF('Result data'!BI302=".","",'Result data'!BI302)</f>
        <v/>
      </c>
      <c r="D90" s="684" t="str">
        <f>IF('Result data'!BJ302=".","",'Result data'!BJ302)</f>
        <v/>
      </c>
      <c r="E90" s="684" t="str">
        <f>IF('Result data'!BK302=".","",'Result data'!BK302)</f>
        <v/>
      </c>
      <c r="F90" s="684" t="str">
        <f>IF('Result data'!BL302=".","",'Result data'!BL302)</f>
        <v/>
      </c>
      <c r="G90" s="684" t="str">
        <f>IF('Result data'!BM302=".","",'Result data'!BM302)</f>
        <v/>
      </c>
      <c r="H90" s="684" t="str">
        <f>IF('Result data'!BN302=".","",'Result data'!BN302)</f>
        <v/>
      </c>
      <c r="I90" s="684" t="str">
        <f>IF('Result data'!BO302=".","",'Result data'!BO302)</f>
        <v/>
      </c>
      <c r="J90" s="684" t="str">
        <f>IF('Result data'!BP302=".","",'Result data'!BP302)</f>
        <v/>
      </c>
      <c r="K90" s="684" t="str">
        <f>IF('Result data'!BQ302=".","",'Result data'!BQ302)</f>
        <v/>
      </c>
    </row>
    <row r="91" spans="1:11" x14ac:dyDescent="0.3">
      <c r="A91" s="213" t="str">
        <f>IF('Result data'!BG303="","",INDEX(Language!$C$149:$C$308,MATCH('Result data'!BG303,Language!$B$149:$B$308,0)))</f>
        <v/>
      </c>
      <c r="B91" s="685" t="str">
        <f>IF('Result data'!BH303=".","",'Result data'!BH303)</f>
        <v/>
      </c>
      <c r="C91" s="685" t="str">
        <f>IF('Result data'!BI303=".","",'Result data'!BI303)</f>
        <v/>
      </c>
      <c r="D91" s="685" t="str">
        <f>IF('Result data'!BJ303=".","",'Result data'!BJ303)</f>
        <v/>
      </c>
      <c r="E91" s="685" t="str">
        <f>IF('Result data'!BK303=".","",'Result data'!BK303)</f>
        <v/>
      </c>
      <c r="F91" s="685" t="str">
        <f>IF('Result data'!BL303=".","",'Result data'!BL303)</f>
        <v/>
      </c>
      <c r="G91" s="685" t="str">
        <f>IF('Result data'!BM303=".","",'Result data'!BM303)</f>
        <v/>
      </c>
      <c r="H91" s="685" t="str">
        <f>IF('Result data'!BN303=".","",'Result data'!BN303)</f>
        <v/>
      </c>
      <c r="I91" s="685" t="str">
        <f>IF('Result data'!BO303=".","",'Result data'!BO303)</f>
        <v/>
      </c>
      <c r="J91" s="685" t="str">
        <f>IF('Result data'!BP303=".","",'Result data'!BP303)</f>
        <v/>
      </c>
      <c r="K91" s="685" t="str">
        <f>IF('Result data'!BQ303=".","",'Result data'!BQ303)</f>
        <v/>
      </c>
    </row>
    <row r="92" spans="1:11" x14ac:dyDescent="0.3">
      <c r="A92" s="181" t="str">
        <f>IF('Result data'!BG304="","",INDEX(Language!$C$149:$C$308,MATCH('Result data'!BG304,Language!$B$149:$B$308,0)))</f>
        <v/>
      </c>
      <c r="B92" s="684" t="str">
        <f>IF('Result data'!BH304=".","",'Result data'!BH304)</f>
        <v/>
      </c>
      <c r="C92" s="684" t="str">
        <f>IF('Result data'!BI304=".","",'Result data'!BI304)</f>
        <v/>
      </c>
      <c r="D92" s="684" t="str">
        <f>IF('Result data'!BJ304=".","",'Result data'!BJ304)</f>
        <v/>
      </c>
      <c r="E92" s="684" t="str">
        <f>IF('Result data'!BK304=".","",'Result data'!BK304)</f>
        <v/>
      </c>
      <c r="F92" s="684" t="str">
        <f>IF('Result data'!BL304=".","",'Result data'!BL304)</f>
        <v/>
      </c>
      <c r="G92" s="684" t="str">
        <f>IF('Result data'!BM304=".","",'Result data'!BM304)</f>
        <v/>
      </c>
      <c r="H92" s="684" t="str">
        <f>IF('Result data'!BN304=".","",'Result data'!BN304)</f>
        <v/>
      </c>
      <c r="I92" s="684" t="str">
        <f>IF('Result data'!BO304=".","",'Result data'!BO304)</f>
        <v/>
      </c>
      <c r="J92" s="684" t="str">
        <f>IF('Result data'!BP304=".","",'Result data'!BP304)</f>
        <v/>
      </c>
      <c r="K92" s="684" t="str">
        <f>IF('Result data'!BQ304=".","",'Result data'!BQ304)</f>
        <v/>
      </c>
    </row>
    <row r="93" spans="1:11" x14ac:dyDescent="0.3">
      <c r="A93" s="213" t="str">
        <f>IF('Result data'!BG305="","",INDEX(Language!$C$149:$C$308,MATCH('Result data'!BG305,Language!$B$149:$B$308,0)))</f>
        <v/>
      </c>
      <c r="B93" s="685" t="str">
        <f>IF('Result data'!BH305=".","",'Result data'!BH305)</f>
        <v/>
      </c>
      <c r="C93" s="685" t="str">
        <f>IF('Result data'!BI305=".","",'Result data'!BI305)</f>
        <v/>
      </c>
      <c r="D93" s="685" t="str">
        <f>IF('Result data'!BJ305=".","",'Result data'!BJ305)</f>
        <v/>
      </c>
      <c r="E93" s="685" t="str">
        <f>IF('Result data'!BK305=".","",'Result data'!BK305)</f>
        <v/>
      </c>
      <c r="F93" s="685" t="str">
        <f>IF('Result data'!BL305=".","",'Result data'!BL305)</f>
        <v/>
      </c>
      <c r="G93" s="685" t="str">
        <f>IF('Result data'!BM305=".","",'Result data'!BM305)</f>
        <v/>
      </c>
      <c r="H93" s="685" t="str">
        <f>IF('Result data'!BN305=".","",'Result data'!BN305)</f>
        <v/>
      </c>
      <c r="I93" s="685" t="str">
        <f>IF('Result data'!BO305=".","",'Result data'!BO305)</f>
        <v/>
      </c>
      <c r="J93" s="685" t="str">
        <f>IF('Result data'!BP305=".","",'Result data'!BP305)</f>
        <v/>
      </c>
      <c r="K93" s="685" t="str">
        <f>IF('Result data'!BQ305=".","",'Result data'!BQ305)</f>
        <v/>
      </c>
    </row>
    <row r="94" spans="1:11" x14ac:dyDescent="0.3">
      <c r="A94" s="181" t="str">
        <f>IF('Result data'!BG306="","",INDEX(Language!$C$149:$C$308,MATCH('Result data'!BG306,Language!$B$149:$B$308,0)))</f>
        <v/>
      </c>
      <c r="B94" s="684" t="str">
        <f>IF('Result data'!BH306=".","",'Result data'!BH306)</f>
        <v/>
      </c>
      <c r="C94" s="684" t="str">
        <f>IF('Result data'!BI306=".","",'Result data'!BI306)</f>
        <v/>
      </c>
      <c r="D94" s="684" t="str">
        <f>IF('Result data'!BJ306=".","",'Result data'!BJ306)</f>
        <v/>
      </c>
      <c r="E94" s="684" t="str">
        <f>IF('Result data'!BK306=".","",'Result data'!BK306)</f>
        <v/>
      </c>
      <c r="F94" s="684" t="str">
        <f>IF('Result data'!BL306=".","",'Result data'!BL306)</f>
        <v/>
      </c>
      <c r="G94" s="684" t="str">
        <f>IF('Result data'!BM306=".","",'Result data'!BM306)</f>
        <v/>
      </c>
      <c r="H94" s="684" t="str">
        <f>IF('Result data'!BN306=".","",'Result data'!BN306)</f>
        <v/>
      </c>
      <c r="I94" s="684" t="str">
        <f>IF('Result data'!BO306=".","",'Result data'!BO306)</f>
        <v/>
      </c>
      <c r="J94" s="684" t="str">
        <f>IF('Result data'!BP306=".","",'Result data'!BP306)</f>
        <v/>
      </c>
      <c r="K94" s="684" t="str">
        <f>IF('Result data'!BQ306=".","",'Result data'!BQ306)</f>
        <v/>
      </c>
    </row>
    <row r="95" spans="1:11" x14ac:dyDescent="0.3">
      <c r="A95" s="213" t="str">
        <f>IF('Result data'!BG307="","",INDEX(Language!$C$149:$C$308,MATCH('Result data'!BG307,Language!$B$149:$B$308,0)))</f>
        <v/>
      </c>
      <c r="B95" s="685" t="str">
        <f>IF('Result data'!BH307=".","",'Result data'!BH307)</f>
        <v/>
      </c>
      <c r="C95" s="685" t="str">
        <f>IF('Result data'!BI307=".","",'Result data'!BI307)</f>
        <v/>
      </c>
      <c r="D95" s="685" t="str">
        <f>IF('Result data'!BJ307=".","",'Result data'!BJ307)</f>
        <v/>
      </c>
      <c r="E95" s="685" t="str">
        <f>IF('Result data'!BK307=".","",'Result data'!BK307)</f>
        <v/>
      </c>
      <c r="F95" s="685" t="str">
        <f>IF('Result data'!BL307=".","",'Result data'!BL307)</f>
        <v/>
      </c>
      <c r="G95" s="685" t="str">
        <f>IF('Result data'!BM307=".","",'Result data'!BM307)</f>
        <v/>
      </c>
      <c r="H95" s="685" t="str">
        <f>IF('Result data'!BN307=".","",'Result data'!BN307)</f>
        <v/>
      </c>
      <c r="I95" s="685" t="str">
        <f>IF('Result data'!BO307=".","",'Result data'!BO307)</f>
        <v/>
      </c>
      <c r="J95" s="685" t="str">
        <f>IF('Result data'!BP307=".","",'Result data'!BP307)</f>
        <v/>
      </c>
      <c r="K95" s="685" t="str">
        <f>IF('Result data'!BQ307=".","",'Result data'!BQ307)</f>
        <v/>
      </c>
    </row>
    <row r="96" spans="1:11" x14ac:dyDescent="0.3">
      <c r="A96" s="181" t="str">
        <f>IF('Result data'!BG308="","",INDEX(Language!$C$149:$C$308,MATCH('Result data'!BG308,Language!$B$149:$B$308,0)))</f>
        <v/>
      </c>
      <c r="B96" s="684" t="str">
        <f>IF('Result data'!BH308=".","",'Result data'!BH308)</f>
        <v/>
      </c>
      <c r="C96" s="684" t="str">
        <f>IF('Result data'!BI308=".","",'Result data'!BI308)</f>
        <v/>
      </c>
      <c r="D96" s="684" t="str">
        <f>IF('Result data'!BJ308=".","",'Result data'!BJ308)</f>
        <v/>
      </c>
      <c r="E96" s="684" t="str">
        <f>IF('Result data'!BK308=".","",'Result data'!BK308)</f>
        <v/>
      </c>
      <c r="F96" s="684" t="str">
        <f>IF('Result data'!BL308=".","",'Result data'!BL308)</f>
        <v/>
      </c>
      <c r="G96" s="684" t="str">
        <f>IF('Result data'!BM308=".","",'Result data'!BM308)</f>
        <v/>
      </c>
      <c r="H96" s="684" t="str">
        <f>IF('Result data'!BN308=".","",'Result data'!BN308)</f>
        <v/>
      </c>
      <c r="I96" s="684" t="str">
        <f>IF('Result data'!BO308=".","",'Result data'!BO308)</f>
        <v/>
      </c>
      <c r="J96" s="684" t="str">
        <f>IF('Result data'!BP308=".","",'Result data'!BP308)</f>
        <v/>
      </c>
      <c r="K96" s="684" t="str">
        <f>IF('Result data'!BQ308=".","",'Result data'!BQ308)</f>
        <v/>
      </c>
    </row>
    <row r="97" spans="1:11" x14ac:dyDescent="0.3">
      <c r="A97" s="213" t="str">
        <f>IF('Result data'!BG309="","",INDEX(Language!$C$149:$C$308,MATCH('Result data'!BG309,Language!$B$149:$B$308,0)))</f>
        <v/>
      </c>
      <c r="B97" s="685" t="str">
        <f>IF('Result data'!BH309=".","",'Result data'!BH309)</f>
        <v/>
      </c>
      <c r="C97" s="685" t="str">
        <f>IF('Result data'!BI309=".","",'Result data'!BI309)</f>
        <v/>
      </c>
      <c r="D97" s="685" t="str">
        <f>IF('Result data'!BJ309=".","",'Result data'!BJ309)</f>
        <v/>
      </c>
      <c r="E97" s="685" t="str">
        <f>IF('Result data'!BK309=".","",'Result data'!BK309)</f>
        <v/>
      </c>
      <c r="F97" s="685" t="str">
        <f>IF('Result data'!BL309=".","",'Result data'!BL309)</f>
        <v/>
      </c>
      <c r="G97" s="685" t="str">
        <f>IF('Result data'!BM309=".","",'Result data'!BM309)</f>
        <v/>
      </c>
      <c r="H97" s="685" t="str">
        <f>IF('Result data'!BN309=".","",'Result data'!BN309)</f>
        <v/>
      </c>
      <c r="I97" s="685" t="str">
        <f>IF('Result data'!BO309=".","",'Result data'!BO309)</f>
        <v/>
      </c>
      <c r="J97" s="685" t="str">
        <f>IF('Result data'!BP309=".","",'Result data'!BP309)</f>
        <v/>
      </c>
      <c r="K97" s="685" t="str">
        <f>IF('Result data'!BQ309=".","",'Result data'!BQ309)</f>
        <v/>
      </c>
    </row>
    <row r="98" spans="1:11" x14ac:dyDescent="0.3">
      <c r="A98" s="181" t="str">
        <f>IF('Result data'!BG310="","",INDEX(Language!$C$149:$C$308,MATCH('Result data'!BG310,Language!$B$149:$B$308,0)))</f>
        <v/>
      </c>
      <c r="B98" s="684" t="str">
        <f>IF('Result data'!BH310=".","",'Result data'!BH310)</f>
        <v/>
      </c>
      <c r="C98" s="684" t="str">
        <f>IF('Result data'!BI310=".","",'Result data'!BI310)</f>
        <v/>
      </c>
      <c r="D98" s="684" t="str">
        <f>IF('Result data'!BJ310=".","",'Result data'!BJ310)</f>
        <v/>
      </c>
      <c r="E98" s="684" t="str">
        <f>IF('Result data'!BK310=".","",'Result data'!BK310)</f>
        <v/>
      </c>
      <c r="F98" s="684" t="str">
        <f>IF('Result data'!BL310=".","",'Result data'!BL310)</f>
        <v/>
      </c>
      <c r="G98" s="684" t="str">
        <f>IF('Result data'!BM310=".","",'Result data'!BM310)</f>
        <v/>
      </c>
      <c r="H98" s="684" t="str">
        <f>IF('Result data'!BN310=".","",'Result data'!BN310)</f>
        <v/>
      </c>
      <c r="I98" s="684" t="str">
        <f>IF('Result data'!BO310=".","",'Result data'!BO310)</f>
        <v/>
      </c>
      <c r="J98" s="684" t="str">
        <f>IF('Result data'!BP310=".","",'Result data'!BP310)</f>
        <v/>
      </c>
      <c r="K98" s="684" t="str">
        <f>IF('Result data'!BQ310=".","",'Result data'!BQ310)</f>
        <v/>
      </c>
    </row>
    <row r="99" spans="1:11" x14ac:dyDescent="0.3">
      <c r="A99" s="213" t="str">
        <f>IF('Result data'!BG311="","",INDEX(Language!$C$149:$C$308,MATCH('Result data'!BG311,Language!$B$149:$B$308,0)))</f>
        <v/>
      </c>
      <c r="B99" s="685" t="str">
        <f>IF('Result data'!BH311=".","",'Result data'!BH311)</f>
        <v/>
      </c>
      <c r="C99" s="685" t="str">
        <f>IF('Result data'!BI311=".","",'Result data'!BI311)</f>
        <v/>
      </c>
      <c r="D99" s="685" t="str">
        <f>IF('Result data'!BJ311=".","",'Result data'!BJ311)</f>
        <v/>
      </c>
      <c r="E99" s="685" t="str">
        <f>IF('Result data'!BK311=".","",'Result data'!BK311)</f>
        <v/>
      </c>
      <c r="F99" s="685" t="str">
        <f>IF('Result data'!BL311=".","",'Result data'!BL311)</f>
        <v/>
      </c>
      <c r="G99" s="685" t="str">
        <f>IF('Result data'!BM311=".","",'Result data'!BM311)</f>
        <v/>
      </c>
      <c r="H99" s="685" t="str">
        <f>IF('Result data'!BN311=".","",'Result data'!BN311)</f>
        <v/>
      </c>
      <c r="I99" s="685" t="str">
        <f>IF('Result data'!BO311=".","",'Result data'!BO311)</f>
        <v/>
      </c>
      <c r="J99" s="685" t="str">
        <f>IF('Result data'!BP311=".","",'Result data'!BP311)</f>
        <v/>
      </c>
      <c r="K99" s="685" t="str">
        <f>IF('Result data'!BQ311=".","",'Result data'!BQ311)</f>
        <v/>
      </c>
    </row>
    <row r="100" spans="1:11" x14ac:dyDescent="0.3">
      <c r="A100" s="181" t="str">
        <f>IF('Result data'!BG312="","",INDEX(Language!$C$149:$C$308,MATCH('Result data'!BG312,Language!$B$149:$B$308,0)))</f>
        <v/>
      </c>
      <c r="B100" s="684" t="str">
        <f>IF('Result data'!BH312=".","",'Result data'!BH312)</f>
        <v/>
      </c>
      <c r="C100" s="684" t="str">
        <f>IF('Result data'!BI312=".","",'Result data'!BI312)</f>
        <v/>
      </c>
      <c r="D100" s="684" t="str">
        <f>IF('Result data'!BJ312=".","",'Result data'!BJ312)</f>
        <v/>
      </c>
      <c r="E100" s="684" t="str">
        <f>IF('Result data'!BK312=".","",'Result data'!BK312)</f>
        <v/>
      </c>
      <c r="F100" s="684" t="str">
        <f>IF('Result data'!BL312=".","",'Result data'!BL312)</f>
        <v/>
      </c>
      <c r="G100" s="684" t="str">
        <f>IF('Result data'!BM312=".","",'Result data'!BM312)</f>
        <v/>
      </c>
      <c r="H100" s="684" t="str">
        <f>IF('Result data'!BN312=".","",'Result data'!BN312)</f>
        <v/>
      </c>
      <c r="I100" s="684" t="str">
        <f>IF('Result data'!BO312=".","",'Result data'!BO312)</f>
        <v/>
      </c>
      <c r="J100" s="684" t="str">
        <f>IF('Result data'!BP312=".","",'Result data'!BP312)</f>
        <v/>
      </c>
      <c r="K100" s="684" t="str">
        <f>IF('Result data'!BQ312=".","",'Result data'!BQ312)</f>
        <v/>
      </c>
    </row>
    <row r="101" spans="1:11" x14ac:dyDescent="0.3">
      <c r="A101" s="213" t="str">
        <f>IF('Result data'!BG313="","",INDEX(Language!$C$149:$C$308,MATCH('Result data'!BG313,Language!$B$149:$B$308,0)))</f>
        <v/>
      </c>
      <c r="B101" s="685" t="str">
        <f>IF('Result data'!BH313=".","",'Result data'!BH313)</f>
        <v/>
      </c>
      <c r="C101" s="685" t="str">
        <f>IF('Result data'!BI313=".","",'Result data'!BI313)</f>
        <v/>
      </c>
      <c r="D101" s="685" t="str">
        <f>IF('Result data'!BJ313=".","",'Result data'!BJ313)</f>
        <v/>
      </c>
      <c r="E101" s="685" t="str">
        <f>IF('Result data'!BK313=".","",'Result data'!BK313)</f>
        <v/>
      </c>
      <c r="F101" s="685" t="str">
        <f>IF('Result data'!BL313=".","",'Result data'!BL313)</f>
        <v/>
      </c>
      <c r="G101" s="685" t="str">
        <f>IF('Result data'!BM313=".","",'Result data'!BM313)</f>
        <v/>
      </c>
      <c r="H101" s="685" t="str">
        <f>IF('Result data'!BN313=".","",'Result data'!BN313)</f>
        <v/>
      </c>
      <c r="I101" s="685" t="str">
        <f>IF('Result data'!BO313=".","",'Result data'!BO313)</f>
        <v/>
      </c>
      <c r="J101" s="685" t="str">
        <f>IF('Result data'!BP313=".","",'Result data'!BP313)</f>
        <v/>
      </c>
      <c r="K101" s="685" t="str">
        <f>IF('Result data'!BQ313=".","",'Result data'!BQ313)</f>
        <v/>
      </c>
    </row>
    <row r="102" spans="1:11" x14ac:dyDescent="0.3">
      <c r="A102" s="181" t="str">
        <f>IF('Result data'!BG314="","",'Result data'!BG314)</f>
        <v/>
      </c>
      <c r="B102" s="684" t="str">
        <f>IF('Result data'!BH314=".","",'Result data'!BH314)</f>
        <v/>
      </c>
      <c r="C102" s="684" t="str">
        <f>IF('Result data'!BI314=".","",'Result data'!BI314)</f>
        <v/>
      </c>
      <c r="D102" s="684" t="str">
        <f>IF('Result data'!BJ314=".","",'Result data'!BJ314)</f>
        <v/>
      </c>
      <c r="E102" s="684" t="str">
        <f>IF('Result data'!BK314=".","",'Result data'!BK314)</f>
        <v/>
      </c>
      <c r="F102" s="684" t="str">
        <f>IF('Result data'!BL314=".","",'Result data'!BL314)</f>
        <v/>
      </c>
      <c r="G102" s="684" t="str">
        <f>IF('Result data'!BM314=".","",'Result data'!BM314)</f>
        <v/>
      </c>
      <c r="H102" s="684" t="str">
        <f>IF('Result data'!BN314=".","",'Result data'!BN314)</f>
        <v/>
      </c>
      <c r="I102" s="684" t="str">
        <f>IF('Result data'!BO314=".","",'Result data'!BO314)</f>
        <v/>
      </c>
      <c r="J102" s="684" t="str">
        <f>IF('Result data'!BP314=".","",'Result data'!BP314)</f>
        <v/>
      </c>
      <c r="K102" s="684" t="str">
        <f>IF('Result data'!BQ314=".","",'Result data'!BQ314)</f>
        <v/>
      </c>
    </row>
    <row r="103" spans="1:11" hidden="1" x14ac:dyDescent="0.3">
      <c r="B103" s="686"/>
      <c r="C103" s="686"/>
      <c r="D103" s="686"/>
      <c r="E103" s="686"/>
      <c r="F103" s="686"/>
      <c r="G103" s="686"/>
      <c r="H103" s="686"/>
      <c r="I103" s="686"/>
      <c r="J103" s="686"/>
      <c r="K103" s="686"/>
    </row>
    <row r="238" spans="1:16384" ht="14.45" customHeight="1" x14ac:dyDescent="0.3">
      <c r="A238" s="880" t="s">
        <v>1454</v>
      </c>
      <c r="B238" s="880"/>
      <c r="C238" s="880"/>
      <c r="D238" s="880"/>
      <c r="E238" s="880"/>
      <c r="F238" s="880"/>
      <c r="G238" s="880"/>
      <c r="H238" s="880"/>
      <c r="I238" s="880"/>
      <c r="J238" s="880"/>
      <c r="K238" s="880"/>
    </row>
    <row r="239" spans="1:16384" x14ac:dyDescent="0.3">
      <c r="A239" s="880"/>
      <c r="B239" s="880"/>
      <c r="C239" s="880"/>
      <c r="D239" s="880"/>
      <c r="E239" s="880"/>
      <c r="F239" s="880"/>
      <c r="G239" s="880"/>
      <c r="H239" s="880"/>
      <c r="I239" s="880"/>
      <c r="J239" s="880"/>
      <c r="K239" s="880"/>
    </row>
    <row r="240" spans="1:16384" x14ac:dyDescent="0.3">
      <c r="A240" s="883" t="str">
        <f>A2</f>
        <v>Países</v>
      </c>
      <c r="B240" s="701">
        <v>2011</v>
      </c>
      <c r="C240" s="701">
        <v>2012</v>
      </c>
      <c r="D240" s="701">
        <v>2013</v>
      </c>
      <c r="E240" s="701">
        <v>2014</v>
      </c>
      <c r="F240" s="701">
        <v>2015</v>
      </c>
      <c r="G240" s="701">
        <v>2016</v>
      </c>
      <c r="H240" s="701">
        <v>2017</v>
      </c>
      <c r="I240" s="701">
        <v>2018</v>
      </c>
      <c r="J240" s="701">
        <v>2019</v>
      </c>
      <c r="K240" s="701">
        <v>2020</v>
      </c>
      <c r="L240" s="181">
        <v>2021</v>
      </c>
      <c r="M240" s="181">
        <v>2022</v>
      </c>
      <c r="N240" s="181">
        <v>2023</v>
      </c>
      <c r="O240" s="181">
        <v>2024</v>
      </c>
      <c r="P240" s="181">
        <v>2025</v>
      </c>
      <c r="Q240" s="181">
        <v>2026</v>
      </c>
      <c r="R240" s="181">
        <v>2027</v>
      </c>
      <c r="S240" s="181">
        <v>2028</v>
      </c>
      <c r="T240" s="181">
        <v>2029</v>
      </c>
      <c r="U240" s="181">
        <v>2030</v>
      </c>
      <c r="V240" s="181">
        <v>2031</v>
      </c>
      <c r="W240" s="181">
        <v>2032</v>
      </c>
      <c r="X240" s="181">
        <v>2033</v>
      </c>
      <c r="Y240" s="181">
        <v>2034</v>
      </c>
      <c r="Z240" s="181">
        <v>2035</v>
      </c>
      <c r="AA240" s="181">
        <v>2036</v>
      </c>
      <c r="AB240" s="181">
        <v>2037</v>
      </c>
      <c r="AC240" s="181">
        <v>2038</v>
      </c>
      <c r="AD240" s="181">
        <v>2039</v>
      </c>
      <c r="AE240" s="181">
        <v>2040</v>
      </c>
      <c r="AF240" s="181">
        <v>2041</v>
      </c>
      <c r="AG240" s="181">
        <v>2042</v>
      </c>
      <c r="AH240" s="181">
        <v>2043</v>
      </c>
      <c r="AI240" s="181">
        <v>2044</v>
      </c>
      <c r="AJ240" s="181">
        <v>2045</v>
      </c>
      <c r="AK240" s="181">
        <v>2046</v>
      </c>
      <c r="AL240" s="181">
        <v>2047</v>
      </c>
      <c r="AM240" s="181">
        <v>2048</v>
      </c>
      <c r="AN240" s="181">
        <v>2049</v>
      </c>
      <c r="AO240" s="181">
        <v>2050</v>
      </c>
      <c r="AP240" s="181">
        <v>2051</v>
      </c>
      <c r="AQ240" s="181">
        <v>2052</v>
      </c>
      <c r="AR240" s="181">
        <v>2053</v>
      </c>
      <c r="AS240" s="181">
        <v>2054</v>
      </c>
      <c r="AT240" s="181">
        <v>2055</v>
      </c>
      <c r="AU240" s="181">
        <v>2056</v>
      </c>
      <c r="AV240" s="181">
        <v>2057</v>
      </c>
      <c r="AW240" s="181">
        <v>2058</v>
      </c>
      <c r="AX240" s="181">
        <v>2059</v>
      </c>
      <c r="AY240" s="181">
        <v>2060</v>
      </c>
      <c r="AZ240" s="181">
        <v>2061</v>
      </c>
      <c r="BA240" s="181">
        <v>2062</v>
      </c>
      <c r="BB240" s="181">
        <v>2063</v>
      </c>
      <c r="BC240" s="181">
        <v>2064</v>
      </c>
      <c r="BD240" s="181">
        <v>2065</v>
      </c>
      <c r="BE240" s="181">
        <v>2066</v>
      </c>
      <c r="BF240" s="181">
        <v>2067</v>
      </c>
      <c r="BG240" s="181">
        <v>2068</v>
      </c>
      <c r="BH240" s="181">
        <v>2069</v>
      </c>
      <c r="BI240" s="181">
        <v>2070</v>
      </c>
      <c r="BJ240" s="181">
        <v>2071</v>
      </c>
      <c r="BK240" s="181">
        <v>2072</v>
      </c>
      <c r="BL240" s="181">
        <v>2073</v>
      </c>
      <c r="BM240" s="181">
        <v>2074</v>
      </c>
      <c r="BN240" s="181">
        <v>2075</v>
      </c>
      <c r="BO240" s="181">
        <v>2076</v>
      </c>
      <c r="BP240" s="181">
        <v>2077</v>
      </c>
      <c r="BQ240" s="181">
        <v>2078</v>
      </c>
      <c r="BR240" s="181">
        <v>2079</v>
      </c>
      <c r="BS240" s="181">
        <v>2080</v>
      </c>
      <c r="BT240" s="181">
        <v>2081</v>
      </c>
      <c r="BU240" s="181">
        <v>2082</v>
      </c>
      <c r="BV240" s="181">
        <v>2083</v>
      </c>
      <c r="BW240" s="181">
        <v>2084</v>
      </c>
      <c r="BX240" s="181">
        <v>2085</v>
      </c>
      <c r="BY240" s="181">
        <v>2086</v>
      </c>
      <c r="BZ240" s="181">
        <v>2087</v>
      </c>
      <c r="CA240" s="181">
        <v>2088</v>
      </c>
      <c r="CB240" s="181">
        <v>2089</v>
      </c>
      <c r="CC240" s="181">
        <v>2090</v>
      </c>
      <c r="CD240" s="181">
        <v>2091</v>
      </c>
      <c r="CE240" s="181">
        <v>2092</v>
      </c>
      <c r="CF240" s="181">
        <v>2093</v>
      </c>
      <c r="CG240" s="181">
        <v>2094</v>
      </c>
      <c r="CH240" s="181">
        <v>2095</v>
      </c>
      <c r="CI240" s="181">
        <v>2096</v>
      </c>
      <c r="CJ240" s="181">
        <v>2097</v>
      </c>
      <c r="CK240" s="181">
        <v>2098</v>
      </c>
      <c r="CL240" s="181">
        <v>2099</v>
      </c>
      <c r="CM240" s="181">
        <v>2100</v>
      </c>
      <c r="CN240" s="181">
        <v>2101</v>
      </c>
      <c r="CO240" s="181">
        <v>2102</v>
      </c>
      <c r="CP240" s="181">
        <v>2103</v>
      </c>
      <c r="CQ240" s="181">
        <v>2104</v>
      </c>
      <c r="CR240" s="181">
        <v>2105</v>
      </c>
      <c r="CS240" s="181">
        <v>2106</v>
      </c>
      <c r="CT240" s="181">
        <v>2107</v>
      </c>
      <c r="CU240" s="181">
        <v>2108</v>
      </c>
      <c r="CV240" s="181">
        <v>2109</v>
      </c>
      <c r="CW240" s="181">
        <v>2110</v>
      </c>
      <c r="CX240" s="181">
        <v>2111</v>
      </c>
      <c r="CY240" s="181">
        <v>2112</v>
      </c>
      <c r="CZ240" s="181">
        <v>2113</v>
      </c>
      <c r="DA240" s="181">
        <v>2114</v>
      </c>
      <c r="DB240" s="181">
        <v>2115</v>
      </c>
      <c r="DC240" s="181">
        <v>2116</v>
      </c>
      <c r="DD240" s="181">
        <v>2117</v>
      </c>
      <c r="DE240" s="181">
        <v>2118</v>
      </c>
      <c r="DF240" s="181">
        <v>2119</v>
      </c>
      <c r="DG240" s="181">
        <v>2120</v>
      </c>
      <c r="DH240" s="181">
        <v>2121</v>
      </c>
      <c r="DI240" s="181">
        <v>2122</v>
      </c>
      <c r="DJ240" s="181">
        <v>2123</v>
      </c>
      <c r="DK240" s="181">
        <v>2124</v>
      </c>
      <c r="DL240" s="181">
        <v>2125</v>
      </c>
      <c r="DM240" s="181">
        <v>2126</v>
      </c>
      <c r="DN240" s="181">
        <v>2127</v>
      </c>
      <c r="DO240" s="181">
        <v>2128</v>
      </c>
      <c r="DP240" s="181">
        <v>2129</v>
      </c>
      <c r="DQ240" s="181">
        <v>2130</v>
      </c>
      <c r="DR240" s="181">
        <v>2131</v>
      </c>
      <c r="DS240" s="181">
        <v>2132</v>
      </c>
      <c r="DT240" s="181">
        <v>2133</v>
      </c>
      <c r="DU240" s="181">
        <v>2134</v>
      </c>
      <c r="DV240" s="181">
        <v>2135</v>
      </c>
      <c r="DW240" s="181">
        <v>2136</v>
      </c>
      <c r="DX240" s="181">
        <v>2137</v>
      </c>
      <c r="DY240" s="181">
        <v>2138</v>
      </c>
      <c r="DZ240" s="181">
        <v>2139</v>
      </c>
      <c r="EA240" s="181">
        <v>2140</v>
      </c>
      <c r="EB240" s="181">
        <v>2141</v>
      </c>
      <c r="EC240" s="181">
        <v>2142</v>
      </c>
      <c r="ED240" s="181">
        <v>2143</v>
      </c>
      <c r="EE240" s="181">
        <v>2144</v>
      </c>
      <c r="EF240" s="181">
        <v>2145</v>
      </c>
      <c r="EG240" s="181">
        <v>2146</v>
      </c>
      <c r="EH240" s="181">
        <v>2147</v>
      </c>
      <c r="EI240" s="181">
        <v>2148</v>
      </c>
      <c r="EJ240" s="181">
        <v>2149</v>
      </c>
      <c r="EK240" s="181">
        <v>2150</v>
      </c>
      <c r="EL240" s="181">
        <v>2151</v>
      </c>
      <c r="EM240" s="181">
        <v>2152</v>
      </c>
      <c r="EN240" s="181">
        <v>2153</v>
      </c>
      <c r="EO240" s="181">
        <v>2154</v>
      </c>
      <c r="EP240" s="181">
        <v>2155</v>
      </c>
      <c r="EQ240" s="181">
        <v>2156</v>
      </c>
      <c r="ER240" s="181">
        <v>2157</v>
      </c>
      <c r="ES240" s="181">
        <v>2158</v>
      </c>
      <c r="ET240" s="181">
        <v>2159</v>
      </c>
      <c r="EU240" s="181">
        <v>2160</v>
      </c>
      <c r="EV240" s="181">
        <v>2161</v>
      </c>
      <c r="EW240" s="181">
        <v>2162</v>
      </c>
      <c r="EX240" s="181">
        <v>2163</v>
      </c>
      <c r="EY240" s="181">
        <v>2164</v>
      </c>
      <c r="EZ240" s="181">
        <v>2165</v>
      </c>
      <c r="FA240" s="181">
        <v>2166</v>
      </c>
      <c r="FB240" s="181">
        <v>2167</v>
      </c>
      <c r="FC240" s="181">
        <v>2168</v>
      </c>
      <c r="FD240" s="181">
        <v>2169</v>
      </c>
      <c r="FE240" s="181">
        <v>2170</v>
      </c>
      <c r="FF240" s="181">
        <v>2171</v>
      </c>
      <c r="FG240" s="181">
        <v>2172</v>
      </c>
      <c r="FH240" s="181">
        <v>2173</v>
      </c>
      <c r="FI240" s="181">
        <v>2174</v>
      </c>
      <c r="FJ240" s="181">
        <v>2175</v>
      </c>
      <c r="FK240" s="181">
        <v>2176</v>
      </c>
      <c r="FL240" s="181">
        <v>2177</v>
      </c>
      <c r="FM240" s="181">
        <v>2178</v>
      </c>
      <c r="FN240" s="181">
        <v>2179</v>
      </c>
      <c r="FO240" s="181">
        <v>2180</v>
      </c>
      <c r="FP240" s="181">
        <v>2181</v>
      </c>
      <c r="FQ240" s="181">
        <v>2182</v>
      </c>
      <c r="FR240" s="181">
        <v>2183</v>
      </c>
      <c r="FS240" s="181">
        <v>2184</v>
      </c>
      <c r="FT240" s="181">
        <v>2185</v>
      </c>
      <c r="FU240" s="181">
        <v>2186</v>
      </c>
      <c r="FV240" s="181">
        <v>2187</v>
      </c>
      <c r="FW240" s="181">
        <v>2188</v>
      </c>
      <c r="FX240" s="181">
        <v>2189</v>
      </c>
      <c r="FY240" s="181">
        <v>2190</v>
      </c>
      <c r="FZ240" s="181">
        <v>2191</v>
      </c>
      <c r="GA240" s="181">
        <v>2192</v>
      </c>
      <c r="GB240" s="181">
        <v>2193</v>
      </c>
      <c r="GC240" s="181">
        <v>2194</v>
      </c>
      <c r="GD240" s="181">
        <v>2195</v>
      </c>
      <c r="GE240" s="181">
        <v>2196</v>
      </c>
      <c r="GF240" s="181">
        <v>2197</v>
      </c>
      <c r="GG240" s="181">
        <v>2198</v>
      </c>
      <c r="GH240" s="181">
        <v>2199</v>
      </c>
      <c r="GI240" s="181">
        <v>2200</v>
      </c>
      <c r="GJ240" s="181">
        <v>2201</v>
      </c>
      <c r="GK240" s="181">
        <v>2202</v>
      </c>
      <c r="GL240" s="181">
        <v>2203</v>
      </c>
      <c r="GM240" s="181">
        <v>2204</v>
      </c>
      <c r="GN240" s="181">
        <v>2205</v>
      </c>
      <c r="GO240" s="181">
        <v>2206</v>
      </c>
      <c r="GP240" s="181">
        <v>2207</v>
      </c>
      <c r="GQ240" s="181">
        <v>2208</v>
      </c>
      <c r="GR240" s="181">
        <v>2209</v>
      </c>
      <c r="GS240" s="181">
        <v>2210</v>
      </c>
      <c r="GT240" s="181">
        <v>2211</v>
      </c>
      <c r="GU240" s="181">
        <v>2212</v>
      </c>
      <c r="GV240" s="181">
        <v>2213</v>
      </c>
      <c r="GW240" s="181">
        <v>2214</v>
      </c>
      <c r="GX240" s="181">
        <v>2215</v>
      </c>
      <c r="GY240" s="181">
        <v>2216</v>
      </c>
      <c r="GZ240" s="181">
        <v>2217</v>
      </c>
      <c r="HA240" s="181">
        <v>2218</v>
      </c>
      <c r="HB240" s="181">
        <v>2219</v>
      </c>
      <c r="HC240" s="181">
        <v>2220</v>
      </c>
      <c r="HD240" s="181">
        <v>2221</v>
      </c>
      <c r="HE240" s="181">
        <v>2222</v>
      </c>
      <c r="HF240" s="181">
        <v>2223</v>
      </c>
      <c r="HG240" s="181">
        <v>2224</v>
      </c>
      <c r="HH240" s="181">
        <v>2225</v>
      </c>
      <c r="HI240" s="181">
        <v>2226</v>
      </c>
      <c r="HJ240" s="181">
        <v>2227</v>
      </c>
      <c r="HK240" s="181">
        <v>2228</v>
      </c>
      <c r="HL240" s="181">
        <v>2229</v>
      </c>
      <c r="HM240" s="181">
        <v>2230</v>
      </c>
      <c r="HN240" s="181">
        <v>2231</v>
      </c>
      <c r="HO240" s="181">
        <v>2232</v>
      </c>
      <c r="HP240" s="181">
        <v>2233</v>
      </c>
      <c r="HQ240" s="181">
        <v>2234</v>
      </c>
      <c r="HR240" s="181">
        <v>2235</v>
      </c>
      <c r="HS240" s="181">
        <v>2236</v>
      </c>
      <c r="HT240" s="181">
        <v>2237</v>
      </c>
      <c r="HU240" s="181">
        <v>2238</v>
      </c>
      <c r="HV240" s="181">
        <v>2239</v>
      </c>
      <c r="HW240" s="181">
        <v>2240</v>
      </c>
      <c r="HX240" s="181">
        <v>2241</v>
      </c>
      <c r="HY240" s="181">
        <v>2242</v>
      </c>
      <c r="HZ240" s="181">
        <v>2243</v>
      </c>
      <c r="IA240" s="181">
        <v>2244</v>
      </c>
      <c r="IB240" s="181">
        <v>2245</v>
      </c>
      <c r="IC240" s="181">
        <v>2246</v>
      </c>
      <c r="ID240" s="181">
        <v>2247</v>
      </c>
      <c r="IE240" s="181">
        <v>2248</v>
      </c>
      <c r="IF240" s="181">
        <v>2249</v>
      </c>
      <c r="IG240" s="181">
        <v>2250</v>
      </c>
      <c r="IH240" s="181">
        <v>2251</v>
      </c>
      <c r="II240" s="181">
        <v>2252</v>
      </c>
      <c r="IJ240" s="181">
        <v>2253</v>
      </c>
      <c r="IK240" s="181">
        <v>2254</v>
      </c>
      <c r="IL240" s="181">
        <v>2255</v>
      </c>
      <c r="IM240" s="181">
        <v>2256</v>
      </c>
      <c r="IN240" s="181">
        <v>2257</v>
      </c>
      <c r="IO240" s="181">
        <v>2258</v>
      </c>
      <c r="IP240" s="181">
        <v>2259</v>
      </c>
      <c r="IQ240" s="181">
        <v>2260</v>
      </c>
      <c r="IR240" s="181">
        <v>2261</v>
      </c>
      <c r="IS240" s="181">
        <v>2262</v>
      </c>
      <c r="IT240" s="181">
        <v>2263</v>
      </c>
      <c r="IU240" s="181">
        <v>2264</v>
      </c>
      <c r="IV240" s="181">
        <v>2265</v>
      </c>
      <c r="IW240" s="181">
        <v>2266</v>
      </c>
      <c r="IX240" s="181">
        <v>2267</v>
      </c>
      <c r="IY240" s="181">
        <v>2268</v>
      </c>
      <c r="IZ240" s="181">
        <v>2269</v>
      </c>
      <c r="JA240" s="181">
        <v>2270</v>
      </c>
      <c r="JB240" s="181">
        <v>2271</v>
      </c>
      <c r="JC240" s="181">
        <v>2272</v>
      </c>
      <c r="JD240" s="181">
        <v>2273</v>
      </c>
      <c r="JE240" s="181">
        <v>2274</v>
      </c>
      <c r="JF240" s="181">
        <v>2275</v>
      </c>
      <c r="JG240" s="181">
        <v>2276</v>
      </c>
      <c r="JH240" s="181">
        <v>2277</v>
      </c>
      <c r="JI240" s="181">
        <v>2278</v>
      </c>
      <c r="JJ240" s="181">
        <v>2279</v>
      </c>
      <c r="JK240" s="181">
        <v>2280</v>
      </c>
      <c r="JL240" s="181">
        <v>2281</v>
      </c>
      <c r="JM240" s="181">
        <v>2282</v>
      </c>
      <c r="JN240" s="181">
        <v>2283</v>
      </c>
      <c r="JO240" s="181">
        <v>2284</v>
      </c>
      <c r="JP240" s="181">
        <v>2285</v>
      </c>
      <c r="JQ240" s="181">
        <v>2286</v>
      </c>
      <c r="JR240" s="181">
        <v>2287</v>
      </c>
      <c r="JS240" s="181">
        <v>2288</v>
      </c>
      <c r="JT240" s="181">
        <v>2289</v>
      </c>
      <c r="JU240" s="181">
        <v>2290</v>
      </c>
      <c r="JV240" s="181">
        <v>2291</v>
      </c>
      <c r="JW240" s="181">
        <v>2292</v>
      </c>
      <c r="JX240" s="181">
        <v>2293</v>
      </c>
      <c r="JY240" s="181">
        <v>2294</v>
      </c>
      <c r="JZ240" s="181">
        <v>2295</v>
      </c>
      <c r="KA240" s="181">
        <v>2296</v>
      </c>
      <c r="KB240" s="181">
        <v>2297</v>
      </c>
      <c r="KC240" s="181">
        <v>2298</v>
      </c>
      <c r="KD240" s="181">
        <v>2299</v>
      </c>
      <c r="KE240" s="181">
        <v>2300</v>
      </c>
      <c r="KF240" s="181">
        <v>2301</v>
      </c>
      <c r="KG240" s="181">
        <v>2302</v>
      </c>
      <c r="KH240" s="181">
        <v>2303</v>
      </c>
      <c r="KI240" s="181">
        <v>2304</v>
      </c>
      <c r="KJ240" s="181">
        <v>2305</v>
      </c>
      <c r="KK240" s="181">
        <v>2306</v>
      </c>
      <c r="KL240" s="181">
        <v>2307</v>
      </c>
      <c r="KM240" s="181">
        <v>2308</v>
      </c>
      <c r="KN240" s="181">
        <v>2309</v>
      </c>
      <c r="KO240" s="181">
        <v>2310</v>
      </c>
      <c r="KP240" s="181">
        <v>2311</v>
      </c>
      <c r="KQ240" s="181">
        <v>2312</v>
      </c>
      <c r="KR240" s="181">
        <v>2313</v>
      </c>
      <c r="KS240" s="181">
        <v>2314</v>
      </c>
      <c r="KT240" s="181">
        <v>2315</v>
      </c>
      <c r="KU240" s="181">
        <v>2316</v>
      </c>
      <c r="KV240" s="181">
        <v>2317</v>
      </c>
      <c r="KW240" s="181">
        <v>2318</v>
      </c>
      <c r="KX240" s="181">
        <v>2319</v>
      </c>
      <c r="KY240" s="181">
        <v>2320</v>
      </c>
      <c r="KZ240" s="181">
        <v>2321</v>
      </c>
      <c r="LA240" s="181">
        <v>2322</v>
      </c>
      <c r="LB240" s="181">
        <v>2323</v>
      </c>
      <c r="LC240" s="181">
        <v>2324</v>
      </c>
      <c r="LD240" s="181">
        <v>2325</v>
      </c>
      <c r="LE240" s="181">
        <v>2326</v>
      </c>
      <c r="LF240" s="181">
        <v>2327</v>
      </c>
      <c r="LG240" s="181">
        <v>2328</v>
      </c>
      <c r="LH240" s="181">
        <v>2329</v>
      </c>
      <c r="LI240" s="181">
        <v>2330</v>
      </c>
      <c r="LJ240" s="181">
        <v>2331</v>
      </c>
      <c r="LK240" s="181">
        <v>2332</v>
      </c>
      <c r="LL240" s="181">
        <v>2333</v>
      </c>
      <c r="LM240" s="181">
        <v>2334</v>
      </c>
      <c r="LN240" s="181">
        <v>2335</v>
      </c>
      <c r="LO240" s="181">
        <v>2336</v>
      </c>
      <c r="LP240" s="181">
        <v>2337</v>
      </c>
      <c r="LQ240" s="181">
        <v>2338</v>
      </c>
      <c r="LR240" s="181">
        <v>2339</v>
      </c>
      <c r="LS240" s="181">
        <v>2340</v>
      </c>
      <c r="LT240" s="181">
        <v>2341</v>
      </c>
      <c r="LU240" s="181">
        <v>2342</v>
      </c>
      <c r="LV240" s="181">
        <v>2343</v>
      </c>
      <c r="LW240" s="181">
        <v>2344</v>
      </c>
      <c r="LX240" s="181">
        <v>2345</v>
      </c>
      <c r="LY240" s="181">
        <v>2346</v>
      </c>
      <c r="LZ240" s="181">
        <v>2347</v>
      </c>
      <c r="MA240" s="181">
        <v>2348</v>
      </c>
      <c r="MB240" s="181">
        <v>2349</v>
      </c>
      <c r="MC240" s="181">
        <v>2350</v>
      </c>
      <c r="MD240" s="181">
        <v>2351</v>
      </c>
      <c r="ME240" s="181">
        <v>2352</v>
      </c>
      <c r="MF240" s="181">
        <v>2353</v>
      </c>
      <c r="MG240" s="181">
        <v>2354</v>
      </c>
      <c r="MH240" s="181">
        <v>2355</v>
      </c>
      <c r="MI240" s="181">
        <v>2356</v>
      </c>
      <c r="MJ240" s="181">
        <v>2357</v>
      </c>
      <c r="MK240" s="181">
        <v>2358</v>
      </c>
      <c r="ML240" s="181">
        <v>2359</v>
      </c>
      <c r="MM240" s="181">
        <v>2360</v>
      </c>
      <c r="MN240" s="181">
        <v>2361</v>
      </c>
      <c r="MO240" s="181">
        <v>2362</v>
      </c>
      <c r="MP240" s="181">
        <v>2363</v>
      </c>
      <c r="MQ240" s="181">
        <v>2364</v>
      </c>
      <c r="MR240" s="181">
        <v>2365</v>
      </c>
      <c r="MS240" s="181">
        <v>2366</v>
      </c>
      <c r="MT240" s="181">
        <v>2367</v>
      </c>
      <c r="MU240" s="181">
        <v>2368</v>
      </c>
      <c r="MV240" s="181">
        <v>2369</v>
      </c>
      <c r="MW240" s="181">
        <v>2370</v>
      </c>
      <c r="MX240" s="181">
        <v>2371</v>
      </c>
      <c r="MY240" s="181">
        <v>2372</v>
      </c>
      <c r="MZ240" s="181">
        <v>2373</v>
      </c>
      <c r="NA240" s="181">
        <v>2374</v>
      </c>
      <c r="NB240" s="181">
        <v>2375</v>
      </c>
      <c r="NC240" s="181">
        <v>2376</v>
      </c>
      <c r="ND240" s="181">
        <v>2377</v>
      </c>
      <c r="NE240" s="181">
        <v>2378</v>
      </c>
      <c r="NF240" s="181">
        <v>2379</v>
      </c>
      <c r="NG240" s="181">
        <v>2380</v>
      </c>
      <c r="NH240" s="181">
        <v>2381</v>
      </c>
      <c r="NI240" s="181">
        <v>2382</v>
      </c>
      <c r="NJ240" s="181">
        <v>2383</v>
      </c>
      <c r="NK240" s="181">
        <v>2384</v>
      </c>
      <c r="NL240" s="181">
        <v>2385</v>
      </c>
      <c r="NM240" s="181">
        <v>2386</v>
      </c>
      <c r="NN240" s="181">
        <v>2387</v>
      </c>
      <c r="NO240" s="181">
        <v>2388</v>
      </c>
      <c r="NP240" s="181">
        <v>2389</v>
      </c>
      <c r="NQ240" s="181">
        <v>2390</v>
      </c>
      <c r="NR240" s="181">
        <v>2391</v>
      </c>
      <c r="NS240" s="181">
        <v>2392</v>
      </c>
      <c r="NT240" s="181">
        <v>2393</v>
      </c>
      <c r="NU240" s="181">
        <v>2394</v>
      </c>
      <c r="NV240" s="181">
        <v>2395</v>
      </c>
      <c r="NW240" s="181">
        <v>2396</v>
      </c>
      <c r="NX240" s="181">
        <v>2397</v>
      </c>
      <c r="NY240" s="181">
        <v>2398</v>
      </c>
      <c r="NZ240" s="181">
        <v>2399</v>
      </c>
      <c r="OA240" s="181">
        <v>2400</v>
      </c>
      <c r="OB240" s="181">
        <v>2401</v>
      </c>
      <c r="OC240" s="181">
        <v>2402</v>
      </c>
      <c r="OD240" s="181">
        <v>2403</v>
      </c>
      <c r="OE240" s="181">
        <v>2404</v>
      </c>
      <c r="OF240" s="181">
        <v>2405</v>
      </c>
      <c r="OG240" s="181">
        <v>2406</v>
      </c>
      <c r="OH240" s="181">
        <v>2407</v>
      </c>
      <c r="OI240" s="181">
        <v>2408</v>
      </c>
      <c r="OJ240" s="181">
        <v>2409</v>
      </c>
      <c r="OK240" s="181">
        <v>2410</v>
      </c>
      <c r="OL240" s="181">
        <v>2411</v>
      </c>
      <c r="OM240" s="181">
        <v>2412</v>
      </c>
      <c r="ON240" s="181">
        <v>2413</v>
      </c>
      <c r="OO240" s="181">
        <v>2414</v>
      </c>
      <c r="OP240" s="181">
        <v>2415</v>
      </c>
      <c r="OQ240" s="181">
        <v>2416</v>
      </c>
      <c r="OR240" s="181">
        <v>2417</v>
      </c>
      <c r="OS240" s="181">
        <v>2418</v>
      </c>
      <c r="OT240" s="181">
        <v>2419</v>
      </c>
      <c r="OU240" s="181">
        <v>2420</v>
      </c>
      <c r="OV240" s="181">
        <v>2421</v>
      </c>
      <c r="OW240" s="181">
        <v>2422</v>
      </c>
      <c r="OX240" s="181">
        <v>2423</v>
      </c>
      <c r="OY240" s="181">
        <v>2424</v>
      </c>
      <c r="OZ240" s="181">
        <v>2425</v>
      </c>
      <c r="PA240" s="181">
        <v>2426</v>
      </c>
      <c r="PB240" s="181">
        <v>2427</v>
      </c>
      <c r="PC240" s="181">
        <v>2428</v>
      </c>
      <c r="PD240" s="181">
        <v>2429</v>
      </c>
      <c r="PE240" s="181">
        <v>2430</v>
      </c>
      <c r="PF240" s="181">
        <v>2431</v>
      </c>
      <c r="PG240" s="181">
        <v>2432</v>
      </c>
      <c r="PH240" s="181">
        <v>2433</v>
      </c>
      <c r="PI240" s="181">
        <v>2434</v>
      </c>
      <c r="PJ240" s="181">
        <v>2435</v>
      </c>
      <c r="PK240" s="181">
        <v>2436</v>
      </c>
      <c r="PL240" s="181">
        <v>2437</v>
      </c>
      <c r="PM240" s="181">
        <v>2438</v>
      </c>
      <c r="PN240" s="181">
        <v>2439</v>
      </c>
      <c r="PO240" s="181">
        <v>2440</v>
      </c>
      <c r="PP240" s="181">
        <v>2441</v>
      </c>
      <c r="PQ240" s="181">
        <v>2442</v>
      </c>
      <c r="PR240" s="181">
        <v>2443</v>
      </c>
      <c r="PS240" s="181">
        <v>2444</v>
      </c>
      <c r="PT240" s="181">
        <v>2445</v>
      </c>
      <c r="PU240" s="181">
        <v>2446</v>
      </c>
      <c r="PV240" s="181">
        <v>2447</v>
      </c>
      <c r="PW240" s="181">
        <v>2448</v>
      </c>
      <c r="PX240" s="181">
        <v>2449</v>
      </c>
      <c r="PY240" s="181">
        <v>2450</v>
      </c>
      <c r="PZ240" s="181">
        <v>2451</v>
      </c>
      <c r="QA240" s="181">
        <v>2452</v>
      </c>
      <c r="QB240" s="181">
        <v>2453</v>
      </c>
      <c r="QC240" s="181">
        <v>2454</v>
      </c>
      <c r="QD240" s="181">
        <v>2455</v>
      </c>
      <c r="QE240" s="181">
        <v>2456</v>
      </c>
      <c r="QF240" s="181">
        <v>2457</v>
      </c>
      <c r="QG240" s="181">
        <v>2458</v>
      </c>
      <c r="QH240" s="181">
        <v>2459</v>
      </c>
      <c r="QI240" s="181">
        <v>2460</v>
      </c>
      <c r="QJ240" s="181">
        <v>2461</v>
      </c>
      <c r="QK240" s="181">
        <v>2462</v>
      </c>
      <c r="QL240" s="181">
        <v>2463</v>
      </c>
      <c r="QM240" s="181">
        <v>2464</v>
      </c>
      <c r="QN240" s="181">
        <v>2465</v>
      </c>
      <c r="QO240" s="181">
        <v>2466</v>
      </c>
      <c r="QP240" s="181">
        <v>2467</v>
      </c>
      <c r="QQ240" s="181">
        <v>2468</v>
      </c>
      <c r="QR240" s="181">
        <v>2469</v>
      </c>
      <c r="QS240" s="181">
        <v>2470</v>
      </c>
      <c r="QT240" s="181">
        <v>2471</v>
      </c>
      <c r="QU240" s="181">
        <v>2472</v>
      </c>
      <c r="QV240" s="181">
        <v>2473</v>
      </c>
      <c r="QW240" s="181">
        <v>2474</v>
      </c>
      <c r="QX240" s="181">
        <v>2475</v>
      </c>
      <c r="QY240" s="181">
        <v>2476</v>
      </c>
      <c r="QZ240" s="181">
        <v>2477</v>
      </c>
      <c r="RA240" s="181">
        <v>2478</v>
      </c>
      <c r="RB240" s="181">
        <v>2479</v>
      </c>
      <c r="RC240" s="181">
        <v>2480</v>
      </c>
      <c r="RD240" s="181">
        <v>2481</v>
      </c>
      <c r="RE240" s="181">
        <v>2482</v>
      </c>
      <c r="RF240" s="181">
        <v>2483</v>
      </c>
      <c r="RG240" s="181">
        <v>2484</v>
      </c>
      <c r="RH240" s="181">
        <v>2485</v>
      </c>
      <c r="RI240" s="181">
        <v>2486</v>
      </c>
      <c r="RJ240" s="181">
        <v>2487</v>
      </c>
      <c r="RK240" s="181">
        <v>2488</v>
      </c>
      <c r="RL240" s="181">
        <v>2489</v>
      </c>
      <c r="RM240" s="181">
        <v>2490</v>
      </c>
      <c r="RN240" s="181">
        <v>2491</v>
      </c>
      <c r="RO240" s="181">
        <v>2492</v>
      </c>
      <c r="RP240" s="181">
        <v>2493</v>
      </c>
      <c r="RQ240" s="181">
        <v>2494</v>
      </c>
      <c r="RR240" s="181">
        <v>2495</v>
      </c>
      <c r="RS240" s="181">
        <v>2496</v>
      </c>
      <c r="RT240" s="181">
        <v>2497</v>
      </c>
      <c r="RU240" s="181">
        <v>2498</v>
      </c>
      <c r="RV240" s="181">
        <v>2499</v>
      </c>
      <c r="RW240" s="181">
        <v>2500</v>
      </c>
      <c r="RX240" s="181">
        <v>2501</v>
      </c>
      <c r="RY240" s="181">
        <v>2502</v>
      </c>
      <c r="RZ240" s="181">
        <v>2503</v>
      </c>
      <c r="SA240" s="181">
        <v>2504</v>
      </c>
      <c r="SB240" s="181">
        <v>2505</v>
      </c>
      <c r="SC240" s="181">
        <v>2506</v>
      </c>
      <c r="SD240" s="181">
        <v>2507</v>
      </c>
      <c r="SE240" s="181">
        <v>2508</v>
      </c>
      <c r="SF240" s="181">
        <v>2509</v>
      </c>
      <c r="SG240" s="181">
        <v>2510</v>
      </c>
      <c r="SH240" s="181">
        <v>2511</v>
      </c>
      <c r="SI240" s="181">
        <v>2512</v>
      </c>
      <c r="SJ240" s="181">
        <v>2513</v>
      </c>
      <c r="SK240" s="181">
        <v>2514</v>
      </c>
      <c r="SL240" s="181">
        <v>2515</v>
      </c>
      <c r="SM240" s="181">
        <v>2516</v>
      </c>
      <c r="SN240" s="181">
        <v>2517</v>
      </c>
      <c r="SO240" s="181">
        <v>2518</v>
      </c>
      <c r="SP240" s="181">
        <v>2519</v>
      </c>
      <c r="SQ240" s="181">
        <v>2520</v>
      </c>
      <c r="SR240" s="181">
        <v>2521</v>
      </c>
      <c r="SS240" s="181">
        <v>2522</v>
      </c>
      <c r="ST240" s="181">
        <v>2523</v>
      </c>
      <c r="SU240" s="181">
        <v>2524</v>
      </c>
      <c r="SV240" s="181">
        <v>2525</v>
      </c>
      <c r="SW240" s="181">
        <v>2526</v>
      </c>
      <c r="SX240" s="181">
        <v>2527</v>
      </c>
      <c r="SY240" s="181">
        <v>2528</v>
      </c>
      <c r="SZ240" s="181">
        <v>2529</v>
      </c>
      <c r="TA240" s="181">
        <v>2530</v>
      </c>
      <c r="TB240" s="181">
        <v>2531</v>
      </c>
      <c r="TC240" s="181">
        <v>2532</v>
      </c>
      <c r="TD240" s="181">
        <v>2533</v>
      </c>
      <c r="TE240" s="181">
        <v>2534</v>
      </c>
      <c r="TF240" s="181">
        <v>2535</v>
      </c>
      <c r="TG240" s="181">
        <v>2536</v>
      </c>
      <c r="TH240" s="181">
        <v>2537</v>
      </c>
      <c r="TI240" s="181">
        <v>2538</v>
      </c>
      <c r="TJ240" s="181">
        <v>2539</v>
      </c>
      <c r="TK240" s="181">
        <v>2540</v>
      </c>
      <c r="TL240" s="181">
        <v>2541</v>
      </c>
      <c r="TM240" s="181">
        <v>2542</v>
      </c>
      <c r="TN240" s="181">
        <v>2543</v>
      </c>
      <c r="TO240" s="181">
        <v>2544</v>
      </c>
      <c r="TP240" s="181">
        <v>2545</v>
      </c>
      <c r="TQ240" s="181">
        <v>2546</v>
      </c>
      <c r="TR240" s="181">
        <v>2547</v>
      </c>
      <c r="TS240" s="181">
        <v>2548</v>
      </c>
      <c r="TT240" s="181">
        <v>2549</v>
      </c>
      <c r="TU240" s="181">
        <v>2550</v>
      </c>
      <c r="TV240" s="181">
        <v>2551</v>
      </c>
      <c r="TW240" s="181">
        <v>2552</v>
      </c>
      <c r="TX240" s="181">
        <v>2553</v>
      </c>
      <c r="TY240" s="181">
        <v>2554</v>
      </c>
      <c r="TZ240" s="181">
        <v>2555</v>
      </c>
      <c r="UA240" s="181">
        <v>2556</v>
      </c>
      <c r="UB240" s="181">
        <v>2557</v>
      </c>
      <c r="UC240" s="181">
        <v>2558</v>
      </c>
      <c r="UD240" s="181">
        <v>2559</v>
      </c>
      <c r="UE240" s="181">
        <v>2560</v>
      </c>
      <c r="UF240" s="181">
        <v>2561</v>
      </c>
      <c r="UG240" s="181">
        <v>2562</v>
      </c>
      <c r="UH240" s="181">
        <v>2563</v>
      </c>
      <c r="UI240" s="181">
        <v>2564</v>
      </c>
      <c r="UJ240" s="181">
        <v>2565</v>
      </c>
      <c r="UK240" s="181">
        <v>2566</v>
      </c>
      <c r="UL240" s="181">
        <v>2567</v>
      </c>
      <c r="UM240" s="181">
        <v>2568</v>
      </c>
      <c r="UN240" s="181">
        <v>2569</v>
      </c>
      <c r="UO240" s="181">
        <v>2570</v>
      </c>
      <c r="UP240" s="181">
        <v>2571</v>
      </c>
      <c r="UQ240" s="181">
        <v>2572</v>
      </c>
      <c r="UR240" s="181">
        <v>2573</v>
      </c>
      <c r="US240" s="181">
        <v>2574</v>
      </c>
      <c r="UT240" s="181">
        <v>2575</v>
      </c>
      <c r="UU240" s="181">
        <v>2576</v>
      </c>
      <c r="UV240" s="181">
        <v>2577</v>
      </c>
      <c r="UW240" s="181">
        <v>2578</v>
      </c>
      <c r="UX240" s="181">
        <v>2579</v>
      </c>
      <c r="UY240" s="181">
        <v>2580</v>
      </c>
      <c r="UZ240" s="181">
        <v>2581</v>
      </c>
      <c r="VA240" s="181">
        <v>2582</v>
      </c>
      <c r="VB240" s="181">
        <v>2583</v>
      </c>
      <c r="VC240" s="181">
        <v>2584</v>
      </c>
      <c r="VD240" s="181">
        <v>2585</v>
      </c>
      <c r="VE240" s="181">
        <v>2586</v>
      </c>
      <c r="VF240" s="181">
        <v>2587</v>
      </c>
      <c r="VG240" s="181">
        <v>2588</v>
      </c>
      <c r="VH240" s="181">
        <v>2589</v>
      </c>
      <c r="VI240" s="181">
        <v>2590</v>
      </c>
      <c r="VJ240" s="181">
        <v>2591</v>
      </c>
      <c r="VK240" s="181">
        <v>2592</v>
      </c>
      <c r="VL240" s="181">
        <v>2593</v>
      </c>
      <c r="VM240" s="181">
        <v>2594</v>
      </c>
      <c r="VN240" s="181">
        <v>2595</v>
      </c>
      <c r="VO240" s="181">
        <v>2596</v>
      </c>
      <c r="VP240" s="181">
        <v>2597</v>
      </c>
      <c r="VQ240" s="181">
        <v>2598</v>
      </c>
      <c r="VR240" s="181">
        <v>2599</v>
      </c>
      <c r="VS240" s="181">
        <v>2600</v>
      </c>
      <c r="VT240" s="181">
        <v>2601</v>
      </c>
      <c r="VU240" s="181">
        <v>2602</v>
      </c>
      <c r="VV240" s="181">
        <v>2603</v>
      </c>
      <c r="VW240" s="181">
        <v>2604</v>
      </c>
      <c r="VX240" s="181">
        <v>2605</v>
      </c>
      <c r="VY240" s="181">
        <v>2606</v>
      </c>
      <c r="VZ240" s="181">
        <v>2607</v>
      </c>
      <c r="WA240" s="181">
        <v>2608</v>
      </c>
      <c r="WB240" s="181">
        <v>2609</v>
      </c>
      <c r="WC240" s="181">
        <v>2610</v>
      </c>
      <c r="WD240" s="181">
        <v>2611</v>
      </c>
      <c r="WE240" s="181">
        <v>2612</v>
      </c>
      <c r="WF240" s="181">
        <v>2613</v>
      </c>
      <c r="WG240" s="181">
        <v>2614</v>
      </c>
      <c r="WH240" s="181">
        <v>2615</v>
      </c>
      <c r="WI240" s="181">
        <v>2616</v>
      </c>
      <c r="WJ240" s="181">
        <v>2617</v>
      </c>
      <c r="WK240" s="181">
        <v>2618</v>
      </c>
      <c r="WL240" s="181">
        <v>2619</v>
      </c>
      <c r="WM240" s="181">
        <v>2620</v>
      </c>
      <c r="WN240" s="181">
        <v>2621</v>
      </c>
      <c r="WO240" s="181">
        <v>2622</v>
      </c>
      <c r="WP240" s="181">
        <v>2623</v>
      </c>
      <c r="WQ240" s="181">
        <v>2624</v>
      </c>
      <c r="WR240" s="181">
        <v>2625</v>
      </c>
      <c r="WS240" s="181">
        <v>2626</v>
      </c>
      <c r="WT240" s="181">
        <v>2627</v>
      </c>
      <c r="WU240" s="181">
        <v>2628</v>
      </c>
      <c r="WV240" s="181">
        <v>2629</v>
      </c>
      <c r="WW240" s="181">
        <v>2630</v>
      </c>
      <c r="WX240" s="181">
        <v>2631</v>
      </c>
      <c r="WY240" s="181">
        <v>2632</v>
      </c>
      <c r="WZ240" s="181">
        <v>2633</v>
      </c>
      <c r="XA240" s="181">
        <v>2634</v>
      </c>
      <c r="XB240" s="181">
        <v>2635</v>
      </c>
      <c r="XC240" s="181">
        <v>2636</v>
      </c>
      <c r="XD240" s="181">
        <v>2637</v>
      </c>
      <c r="XE240" s="181">
        <v>2638</v>
      </c>
      <c r="XF240" s="181">
        <v>2639</v>
      </c>
      <c r="XG240" s="181">
        <v>2640</v>
      </c>
      <c r="XH240" s="181">
        <v>2641</v>
      </c>
      <c r="XI240" s="181">
        <v>2642</v>
      </c>
      <c r="XJ240" s="181">
        <v>2643</v>
      </c>
      <c r="XK240" s="181">
        <v>2644</v>
      </c>
      <c r="XL240" s="181">
        <v>2645</v>
      </c>
      <c r="XM240" s="181">
        <v>2646</v>
      </c>
      <c r="XN240" s="181">
        <v>2647</v>
      </c>
      <c r="XO240" s="181">
        <v>2648</v>
      </c>
      <c r="XP240" s="181">
        <v>2649</v>
      </c>
      <c r="XQ240" s="181">
        <v>2650</v>
      </c>
      <c r="XR240" s="181">
        <v>2651</v>
      </c>
      <c r="XS240" s="181">
        <v>2652</v>
      </c>
      <c r="XT240" s="181">
        <v>2653</v>
      </c>
      <c r="XU240" s="181">
        <v>2654</v>
      </c>
      <c r="XV240" s="181">
        <v>2655</v>
      </c>
      <c r="XW240" s="181">
        <v>2656</v>
      </c>
      <c r="XX240" s="181">
        <v>2657</v>
      </c>
      <c r="XY240" s="181">
        <v>2658</v>
      </c>
      <c r="XZ240" s="181">
        <v>2659</v>
      </c>
      <c r="YA240" s="181">
        <v>2660</v>
      </c>
      <c r="YB240" s="181">
        <v>2661</v>
      </c>
      <c r="YC240" s="181">
        <v>2662</v>
      </c>
      <c r="YD240" s="181">
        <v>2663</v>
      </c>
      <c r="YE240" s="181">
        <v>2664</v>
      </c>
      <c r="YF240" s="181">
        <v>2665</v>
      </c>
      <c r="YG240" s="181">
        <v>2666</v>
      </c>
      <c r="YH240" s="181">
        <v>2667</v>
      </c>
      <c r="YI240" s="181">
        <v>2668</v>
      </c>
      <c r="YJ240" s="181">
        <v>2669</v>
      </c>
      <c r="YK240" s="181">
        <v>2670</v>
      </c>
      <c r="YL240" s="181">
        <v>2671</v>
      </c>
      <c r="YM240" s="181">
        <v>2672</v>
      </c>
      <c r="YN240" s="181">
        <v>2673</v>
      </c>
      <c r="YO240" s="181">
        <v>2674</v>
      </c>
      <c r="YP240" s="181">
        <v>2675</v>
      </c>
      <c r="YQ240" s="181">
        <v>2676</v>
      </c>
      <c r="YR240" s="181">
        <v>2677</v>
      </c>
      <c r="YS240" s="181">
        <v>2678</v>
      </c>
      <c r="YT240" s="181">
        <v>2679</v>
      </c>
      <c r="YU240" s="181">
        <v>2680</v>
      </c>
      <c r="YV240" s="181">
        <v>2681</v>
      </c>
      <c r="YW240" s="181">
        <v>2682</v>
      </c>
      <c r="YX240" s="181">
        <v>2683</v>
      </c>
      <c r="YY240" s="181">
        <v>2684</v>
      </c>
      <c r="YZ240" s="181">
        <v>2685</v>
      </c>
      <c r="ZA240" s="181">
        <v>2686</v>
      </c>
      <c r="ZB240" s="181">
        <v>2687</v>
      </c>
      <c r="ZC240" s="181">
        <v>2688</v>
      </c>
      <c r="ZD240" s="181">
        <v>2689</v>
      </c>
      <c r="ZE240" s="181">
        <v>2690</v>
      </c>
      <c r="ZF240" s="181">
        <v>2691</v>
      </c>
      <c r="ZG240" s="181">
        <v>2692</v>
      </c>
      <c r="ZH240" s="181">
        <v>2693</v>
      </c>
      <c r="ZI240" s="181">
        <v>2694</v>
      </c>
      <c r="ZJ240" s="181">
        <v>2695</v>
      </c>
      <c r="ZK240" s="181">
        <v>2696</v>
      </c>
      <c r="ZL240" s="181">
        <v>2697</v>
      </c>
      <c r="ZM240" s="181">
        <v>2698</v>
      </c>
      <c r="ZN240" s="181">
        <v>2699</v>
      </c>
      <c r="ZO240" s="181">
        <v>2700</v>
      </c>
      <c r="ZP240" s="181">
        <v>2701</v>
      </c>
      <c r="ZQ240" s="181">
        <v>2702</v>
      </c>
      <c r="ZR240" s="181">
        <v>2703</v>
      </c>
      <c r="ZS240" s="181">
        <v>2704</v>
      </c>
      <c r="ZT240" s="181">
        <v>2705</v>
      </c>
      <c r="ZU240" s="181">
        <v>2706</v>
      </c>
      <c r="ZV240" s="181">
        <v>2707</v>
      </c>
      <c r="ZW240" s="181">
        <v>2708</v>
      </c>
      <c r="ZX240" s="181">
        <v>2709</v>
      </c>
      <c r="ZY240" s="181">
        <v>2710</v>
      </c>
      <c r="ZZ240" s="181">
        <v>2711</v>
      </c>
      <c r="AAA240" s="181">
        <v>2712</v>
      </c>
      <c r="AAB240" s="181">
        <v>2713</v>
      </c>
      <c r="AAC240" s="181">
        <v>2714</v>
      </c>
      <c r="AAD240" s="181">
        <v>2715</v>
      </c>
      <c r="AAE240" s="181">
        <v>2716</v>
      </c>
      <c r="AAF240" s="181">
        <v>2717</v>
      </c>
      <c r="AAG240" s="181">
        <v>2718</v>
      </c>
      <c r="AAH240" s="181">
        <v>2719</v>
      </c>
      <c r="AAI240" s="181">
        <v>2720</v>
      </c>
      <c r="AAJ240" s="181">
        <v>2721</v>
      </c>
      <c r="AAK240" s="181">
        <v>2722</v>
      </c>
      <c r="AAL240" s="181">
        <v>2723</v>
      </c>
      <c r="AAM240" s="181">
        <v>2724</v>
      </c>
      <c r="AAN240" s="181">
        <v>2725</v>
      </c>
      <c r="AAO240" s="181">
        <v>2726</v>
      </c>
      <c r="AAP240" s="181">
        <v>2727</v>
      </c>
      <c r="AAQ240" s="181">
        <v>2728</v>
      </c>
      <c r="AAR240" s="181">
        <v>2729</v>
      </c>
      <c r="AAS240" s="181">
        <v>2730</v>
      </c>
      <c r="AAT240" s="181">
        <v>2731</v>
      </c>
      <c r="AAU240" s="181">
        <v>2732</v>
      </c>
      <c r="AAV240" s="181">
        <v>2733</v>
      </c>
      <c r="AAW240" s="181">
        <v>2734</v>
      </c>
      <c r="AAX240" s="181">
        <v>2735</v>
      </c>
      <c r="AAY240" s="181">
        <v>2736</v>
      </c>
      <c r="AAZ240" s="181">
        <v>2737</v>
      </c>
      <c r="ABA240" s="181">
        <v>2738</v>
      </c>
      <c r="ABB240" s="181">
        <v>2739</v>
      </c>
      <c r="ABC240" s="181">
        <v>2740</v>
      </c>
      <c r="ABD240" s="181">
        <v>2741</v>
      </c>
      <c r="ABE240" s="181">
        <v>2742</v>
      </c>
      <c r="ABF240" s="181">
        <v>2743</v>
      </c>
      <c r="ABG240" s="181">
        <v>2744</v>
      </c>
      <c r="ABH240" s="181">
        <v>2745</v>
      </c>
      <c r="ABI240" s="181">
        <v>2746</v>
      </c>
      <c r="ABJ240" s="181">
        <v>2747</v>
      </c>
      <c r="ABK240" s="181">
        <v>2748</v>
      </c>
      <c r="ABL240" s="181">
        <v>2749</v>
      </c>
      <c r="ABM240" s="181">
        <v>2750</v>
      </c>
      <c r="ABN240" s="181">
        <v>2751</v>
      </c>
      <c r="ABO240" s="181">
        <v>2752</v>
      </c>
      <c r="ABP240" s="181">
        <v>2753</v>
      </c>
      <c r="ABQ240" s="181">
        <v>2754</v>
      </c>
      <c r="ABR240" s="181">
        <v>2755</v>
      </c>
      <c r="ABS240" s="181">
        <v>2756</v>
      </c>
      <c r="ABT240" s="181">
        <v>2757</v>
      </c>
      <c r="ABU240" s="181">
        <v>2758</v>
      </c>
      <c r="ABV240" s="181">
        <v>2759</v>
      </c>
      <c r="ABW240" s="181">
        <v>2760</v>
      </c>
      <c r="ABX240" s="181">
        <v>2761</v>
      </c>
      <c r="ABY240" s="181">
        <v>2762</v>
      </c>
      <c r="ABZ240" s="181">
        <v>2763</v>
      </c>
      <c r="ACA240" s="181">
        <v>2764</v>
      </c>
      <c r="ACB240" s="181">
        <v>2765</v>
      </c>
      <c r="ACC240" s="181">
        <v>2766</v>
      </c>
      <c r="ACD240" s="181">
        <v>2767</v>
      </c>
      <c r="ACE240" s="181">
        <v>2768</v>
      </c>
      <c r="ACF240" s="181">
        <v>2769</v>
      </c>
      <c r="ACG240" s="181">
        <v>2770</v>
      </c>
      <c r="ACH240" s="181">
        <v>2771</v>
      </c>
      <c r="ACI240" s="181">
        <v>2772</v>
      </c>
      <c r="ACJ240" s="181">
        <v>2773</v>
      </c>
      <c r="ACK240" s="181">
        <v>2774</v>
      </c>
      <c r="ACL240" s="181">
        <v>2775</v>
      </c>
      <c r="ACM240" s="181">
        <v>2776</v>
      </c>
      <c r="ACN240" s="181">
        <v>2777</v>
      </c>
      <c r="ACO240" s="181">
        <v>2778</v>
      </c>
      <c r="ACP240" s="181">
        <v>2779</v>
      </c>
      <c r="ACQ240" s="181">
        <v>2780</v>
      </c>
      <c r="ACR240" s="181">
        <v>2781</v>
      </c>
      <c r="ACS240" s="181">
        <v>2782</v>
      </c>
      <c r="ACT240" s="181">
        <v>2783</v>
      </c>
      <c r="ACU240" s="181">
        <v>2784</v>
      </c>
      <c r="ACV240" s="181">
        <v>2785</v>
      </c>
      <c r="ACW240" s="181">
        <v>2786</v>
      </c>
      <c r="ACX240" s="181">
        <v>2787</v>
      </c>
      <c r="ACY240" s="181">
        <v>2788</v>
      </c>
      <c r="ACZ240" s="181">
        <v>2789</v>
      </c>
      <c r="ADA240" s="181">
        <v>2790</v>
      </c>
      <c r="ADB240" s="181">
        <v>2791</v>
      </c>
      <c r="ADC240" s="181">
        <v>2792</v>
      </c>
      <c r="ADD240" s="181">
        <v>2793</v>
      </c>
      <c r="ADE240" s="181">
        <v>2794</v>
      </c>
      <c r="ADF240" s="181">
        <v>2795</v>
      </c>
      <c r="ADG240" s="181">
        <v>2796</v>
      </c>
      <c r="ADH240" s="181">
        <v>2797</v>
      </c>
      <c r="ADI240" s="181">
        <v>2798</v>
      </c>
      <c r="ADJ240" s="181">
        <v>2799</v>
      </c>
      <c r="ADK240" s="181">
        <v>2800</v>
      </c>
      <c r="ADL240" s="181">
        <v>2801</v>
      </c>
      <c r="ADM240" s="181">
        <v>2802</v>
      </c>
      <c r="ADN240" s="181">
        <v>2803</v>
      </c>
      <c r="ADO240" s="181">
        <v>2804</v>
      </c>
      <c r="ADP240" s="181">
        <v>2805</v>
      </c>
      <c r="ADQ240" s="181">
        <v>2806</v>
      </c>
      <c r="ADR240" s="181">
        <v>2807</v>
      </c>
      <c r="ADS240" s="181">
        <v>2808</v>
      </c>
      <c r="ADT240" s="181">
        <v>2809</v>
      </c>
      <c r="ADU240" s="181">
        <v>2810</v>
      </c>
      <c r="ADV240" s="181">
        <v>2811</v>
      </c>
      <c r="ADW240" s="181">
        <v>2812</v>
      </c>
      <c r="ADX240" s="181">
        <v>2813</v>
      </c>
      <c r="ADY240" s="181">
        <v>2814</v>
      </c>
      <c r="ADZ240" s="181">
        <v>2815</v>
      </c>
      <c r="AEA240" s="181">
        <v>2816</v>
      </c>
      <c r="AEB240" s="181">
        <v>2817</v>
      </c>
      <c r="AEC240" s="181">
        <v>2818</v>
      </c>
      <c r="AED240" s="181">
        <v>2819</v>
      </c>
      <c r="AEE240" s="181">
        <v>2820</v>
      </c>
      <c r="AEF240" s="181">
        <v>2821</v>
      </c>
      <c r="AEG240" s="181">
        <v>2822</v>
      </c>
      <c r="AEH240" s="181">
        <v>2823</v>
      </c>
      <c r="AEI240" s="181">
        <v>2824</v>
      </c>
      <c r="AEJ240" s="181">
        <v>2825</v>
      </c>
      <c r="AEK240" s="181">
        <v>2826</v>
      </c>
      <c r="AEL240" s="181">
        <v>2827</v>
      </c>
      <c r="AEM240" s="181">
        <v>2828</v>
      </c>
      <c r="AEN240" s="181">
        <v>2829</v>
      </c>
      <c r="AEO240" s="181">
        <v>2830</v>
      </c>
      <c r="AEP240" s="181">
        <v>2831</v>
      </c>
      <c r="AEQ240" s="181">
        <v>2832</v>
      </c>
      <c r="AER240" s="181">
        <v>2833</v>
      </c>
      <c r="AES240" s="181">
        <v>2834</v>
      </c>
      <c r="AET240" s="181">
        <v>2835</v>
      </c>
      <c r="AEU240" s="181">
        <v>2836</v>
      </c>
      <c r="AEV240" s="181">
        <v>2837</v>
      </c>
      <c r="AEW240" s="181">
        <v>2838</v>
      </c>
      <c r="AEX240" s="181">
        <v>2839</v>
      </c>
      <c r="AEY240" s="181">
        <v>2840</v>
      </c>
      <c r="AEZ240" s="181">
        <v>2841</v>
      </c>
      <c r="AFA240" s="181">
        <v>2842</v>
      </c>
      <c r="AFB240" s="181">
        <v>2843</v>
      </c>
      <c r="AFC240" s="181">
        <v>2844</v>
      </c>
      <c r="AFD240" s="181">
        <v>2845</v>
      </c>
      <c r="AFE240" s="181">
        <v>2846</v>
      </c>
      <c r="AFF240" s="181">
        <v>2847</v>
      </c>
      <c r="AFG240" s="181">
        <v>2848</v>
      </c>
      <c r="AFH240" s="181">
        <v>2849</v>
      </c>
      <c r="AFI240" s="181">
        <v>2850</v>
      </c>
      <c r="AFJ240" s="181">
        <v>2851</v>
      </c>
      <c r="AFK240" s="181">
        <v>2852</v>
      </c>
      <c r="AFL240" s="181">
        <v>2853</v>
      </c>
      <c r="AFM240" s="181">
        <v>2854</v>
      </c>
      <c r="AFN240" s="181">
        <v>2855</v>
      </c>
      <c r="AFO240" s="181">
        <v>2856</v>
      </c>
      <c r="AFP240" s="181">
        <v>2857</v>
      </c>
      <c r="AFQ240" s="181">
        <v>2858</v>
      </c>
      <c r="AFR240" s="181">
        <v>2859</v>
      </c>
      <c r="AFS240" s="181">
        <v>2860</v>
      </c>
      <c r="AFT240" s="181">
        <v>2861</v>
      </c>
      <c r="AFU240" s="181">
        <v>2862</v>
      </c>
      <c r="AFV240" s="181">
        <v>2863</v>
      </c>
      <c r="AFW240" s="181">
        <v>2864</v>
      </c>
      <c r="AFX240" s="181">
        <v>2865</v>
      </c>
      <c r="AFY240" s="181">
        <v>2866</v>
      </c>
      <c r="AFZ240" s="181">
        <v>2867</v>
      </c>
      <c r="AGA240" s="181">
        <v>2868</v>
      </c>
      <c r="AGB240" s="181">
        <v>2869</v>
      </c>
      <c r="AGC240" s="181">
        <v>2870</v>
      </c>
      <c r="AGD240" s="181">
        <v>2871</v>
      </c>
      <c r="AGE240" s="181">
        <v>2872</v>
      </c>
      <c r="AGF240" s="181">
        <v>2873</v>
      </c>
      <c r="AGG240" s="181">
        <v>2874</v>
      </c>
      <c r="AGH240" s="181">
        <v>2875</v>
      </c>
      <c r="AGI240" s="181">
        <v>2876</v>
      </c>
      <c r="AGJ240" s="181">
        <v>2877</v>
      </c>
      <c r="AGK240" s="181">
        <v>2878</v>
      </c>
      <c r="AGL240" s="181">
        <v>2879</v>
      </c>
      <c r="AGM240" s="181">
        <v>2880</v>
      </c>
      <c r="AGN240" s="181">
        <v>2881</v>
      </c>
      <c r="AGO240" s="181">
        <v>2882</v>
      </c>
      <c r="AGP240" s="181">
        <v>2883</v>
      </c>
      <c r="AGQ240" s="181">
        <v>2884</v>
      </c>
      <c r="AGR240" s="181">
        <v>2885</v>
      </c>
      <c r="AGS240" s="181">
        <v>2886</v>
      </c>
      <c r="AGT240" s="181">
        <v>2887</v>
      </c>
      <c r="AGU240" s="181">
        <v>2888</v>
      </c>
      <c r="AGV240" s="181">
        <v>2889</v>
      </c>
      <c r="AGW240" s="181">
        <v>2890</v>
      </c>
      <c r="AGX240" s="181">
        <v>2891</v>
      </c>
      <c r="AGY240" s="181">
        <v>2892</v>
      </c>
      <c r="AGZ240" s="181">
        <v>2893</v>
      </c>
      <c r="AHA240" s="181">
        <v>2894</v>
      </c>
      <c r="AHB240" s="181">
        <v>2895</v>
      </c>
      <c r="AHC240" s="181">
        <v>2896</v>
      </c>
      <c r="AHD240" s="181">
        <v>2897</v>
      </c>
      <c r="AHE240" s="181">
        <v>2898</v>
      </c>
      <c r="AHF240" s="181">
        <v>2899</v>
      </c>
      <c r="AHG240" s="181">
        <v>2900</v>
      </c>
      <c r="AHH240" s="181">
        <v>2901</v>
      </c>
      <c r="AHI240" s="181">
        <v>2902</v>
      </c>
      <c r="AHJ240" s="181">
        <v>2903</v>
      </c>
      <c r="AHK240" s="181">
        <v>2904</v>
      </c>
      <c r="AHL240" s="181">
        <v>2905</v>
      </c>
      <c r="AHM240" s="181">
        <v>2906</v>
      </c>
      <c r="AHN240" s="181">
        <v>2907</v>
      </c>
      <c r="AHO240" s="181">
        <v>2908</v>
      </c>
      <c r="AHP240" s="181">
        <v>2909</v>
      </c>
      <c r="AHQ240" s="181">
        <v>2910</v>
      </c>
      <c r="AHR240" s="181">
        <v>2911</v>
      </c>
      <c r="AHS240" s="181">
        <v>2912</v>
      </c>
      <c r="AHT240" s="181">
        <v>2913</v>
      </c>
      <c r="AHU240" s="181">
        <v>2914</v>
      </c>
      <c r="AHV240" s="181">
        <v>2915</v>
      </c>
      <c r="AHW240" s="181">
        <v>2916</v>
      </c>
      <c r="AHX240" s="181">
        <v>2917</v>
      </c>
      <c r="AHY240" s="181">
        <v>2918</v>
      </c>
      <c r="AHZ240" s="181">
        <v>2919</v>
      </c>
      <c r="AIA240" s="181">
        <v>2920</v>
      </c>
      <c r="AIB240" s="181">
        <v>2921</v>
      </c>
      <c r="AIC240" s="181">
        <v>2922</v>
      </c>
      <c r="AID240" s="181">
        <v>2923</v>
      </c>
      <c r="AIE240" s="181">
        <v>2924</v>
      </c>
      <c r="AIF240" s="181">
        <v>2925</v>
      </c>
      <c r="AIG240" s="181">
        <v>2926</v>
      </c>
      <c r="AIH240" s="181">
        <v>2927</v>
      </c>
      <c r="AII240" s="181">
        <v>2928</v>
      </c>
      <c r="AIJ240" s="181">
        <v>2929</v>
      </c>
      <c r="AIK240" s="181">
        <v>2930</v>
      </c>
      <c r="AIL240" s="181">
        <v>2931</v>
      </c>
      <c r="AIM240" s="181">
        <v>2932</v>
      </c>
      <c r="AIN240" s="181">
        <v>2933</v>
      </c>
      <c r="AIO240" s="181">
        <v>2934</v>
      </c>
      <c r="AIP240" s="181">
        <v>2935</v>
      </c>
      <c r="AIQ240" s="181">
        <v>2936</v>
      </c>
      <c r="AIR240" s="181">
        <v>2937</v>
      </c>
      <c r="AIS240" s="181">
        <v>2938</v>
      </c>
      <c r="AIT240" s="181">
        <v>2939</v>
      </c>
      <c r="AIU240" s="181">
        <v>2940</v>
      </c>
      <c r="AIV240" s="181">
        <v>2941</v>
      </c>
      <c r="AIW240" s="181">
        <v>2942</v>
      </c>
      <c r="AIX240" s="181">
        <v>2943</v>
      </c>
      <c r="AIY240" s="181">
        <v>2944</v>
      </c>
      <c r="AIZ240" s="181">
        <v>2945</v>
      </c>
      <c r="AJA240" s="181">
        <v>2946</v>
      </c>
      <c r="AJB240" s="181">
        <v>2947</v>
      </c>
      <c r="AJC240" s="181">
        <v>2948</v>
      </c>
      <c r="AJD240" s="181">
        <v>2949</v>
      </c>
      <c r="AJE240" s="181">
        <v>2950</v>
      </c>
      <c r="AJF240" s="181">
        <v>2951</v>
      </c>
      <c r="AJG240" s="181">
        <v>2952</v>
      </c>
      <c r="AJH240" s="181">
        <v>2953</v>
      </c>
      <c r="AJI240" s="181">
        <v>2954</v>
      </c>
      <c r="AJJ240" s="181">
        <v>2955</v>
      </c>
      <c r="AJK240" s="181">
        <v>2956</v>
      </c>
      <c r="AJL240" s="181">
        <v>2957</v>
      </c>
      <c r="AJM240" s="181">
        <v>2958</v>
      </c>
      <c r="AJN240" s="181">
        <v>2959</v>
      </c>
      <c r="AJO240" s="181">
        <v>2960</v>
      </c>
      <c r="AJP240" s="181">
        <v>2961</v>
      </c>
      <c r="AJQ240" s="181">
        <v>2962</v>
      </c>
      <c r="AJR240" s="181">
        <v>2963</v>
      </c>
      <c r="AJS240" s="181">
        <v>2964</v>
      </c>
      <c r="AJT240" s="181">
        <v>2965</v>
      </c>
      <c r="AJU240" s="181">
        <v>2966</v>
      </c>
      <c r="AJV240" s="181">
        <v>2967</v>
      </c>
      <c r="AJW240" s="181">
        <v>2968</v>
      </c>
      <c r="AJX240" s="181">
        <v>2969</v>
      </c>
      <c r="AJY240" s="181">
        <v>2970</v>
      </c>
      <c r="AJZ240" s="181">
        <v>2971</v>
      </c>
      <c r="AKA240" s="181">
        <v>2972</v>
      </c>
      <c r="AKB240" s="181">
        <v>2973</v>
      </c>
      <c r="AKC240" s="181">
        <v>2974</v>
      </c>
      <c r="AKD240" s="181">
        <v>2975</v>
      </c>
      <c r="AKE240" s="181">
        <v>2976</v>
      </c>
      <c r="AKF240" s="181">
        <v>2977</v>
      </c>
      <c r="AKG240" s="181">
        <v>2978</v>
      </c>
      <c r="AKH240" s="181">
        <v>2979</v>
      </c>
      <c r="AKI240" s="181">
        <v>2980</v>
      </c>
      <c r="AKJ240" s="181">
        <v>2981</v>
      </c>
      <c r="AKK240" s="181">
        <v>2982</v>
      </c>
      <c r="AKL240" s="181">
        <v>2983</v>
      </c>
      <c r="AKM240" s="181">
        <v>2984</v>
      </c>
      <c r="AKN240" s="181">
        <v>2985</v>
      </c>
      <c r="AKO240" s="181">
        <v>2986</v>
      </c>
      <c r="AKP240" s="181">
        <v>2987</v>
      </c>
      <c r="AKQ240" s="181">
        <v>2988</v>
      </c>
      <c r="AKR240" s="181">
        <v>2989</v>
      </c>
      <c r="AKS240" s="181">
        <v>2990</v>
      </c>
      <c r="AKT240" s="181">
        <v>2991</v>
      </c>
      <c r="AKU240" s="181">
        <v>2992</v>
      </c>
      <c r="AKV240" s="181">
        <v>2993</v>
      </c>
      <c r="AKW240" s="181">
        <v>2994</v>
      </c>
      <c r="AKX240" s="181">
        <v>2995</v>
      </c>
      <c r="AKY240" s="181">
        <v>2996</v>
      </c>
      <c r="AKZ240" s="181">
        <v>2997</v>
      </c>
      <c r="ALA240" s="181">
        <v>2998</v>
      </c>
      <c r="ALB240" s="181">
        <v>2999</v>
      </c>
      <c r="ALC240" s="181">
        <v>3000</v>
      </c>
      <c r="ALD240" s="181">
        <v>3001</v>
      </c>
      <c r="ALE240" s="181">
        <v>3002</v>
      </c>
      <c r="ALF240" s="181">
        <v>3003</v>
      </c>
      <c r="ALG240" s="181">
        <v>3004</v>
      </c>
      <c r="ALH240" s="181">
        <v>3005</v>
      </c>
      <c r="ALI240" s="181">
        <v>3006</v>
      </c>
      <c r="ALJ240" s="181">
        <v>3007</v>
      </c>
      <c r="ALK240" s="181">
        <v>3008</v>
      </c>
      <c r="ALL240" s="181">
        <v>3009</v>
      </c>
      <c r="ALM240" s="181">
        <v>3010</v>
      </c>
      <c r="ALN240" s="181">
        <v>3011</v>
      </c>
      <c r="ALO240" s="181">
        <v>3012</v>
      </c>
      <c r="ALP240" s="181">
        <v>3013</v>
      </c>
      <c r="ALQ240" s="181">
        <v>3014</v>
      </c>
      <c r="ALR240" s="181">
        <v>3015</v>
      </c>
      <c r="ALS240" s="181">
        <v>3016</v>
      </c>
      <c r="ALT240" s="181">
        <v>3017</v>
      </c>
      <c r="ALU240" s="181">
        <v>3018</v>
      </c>
      <c r="ALV240" s="181">
        <v>3019</v>
      </c>
      <c r="ALW240" s="181">
        <v>3020</v>
      </c>
      <c r="ALX240" s="181">
        <v>3021</v>
      </c>
      <c r="ALY240" s="181">
        <v>3022</v>
      </c>
      <c r="ALZ240" s="181">
        <v>3023</v>
      </c>
      <c r="AMA240" s="181">
        <v>3024</v>
      </c>
      <c r="AMB240" s="181">
        <v>3025</v>
      </c>
      <c r="AMC240" s="181">
        <v>3026</v>
      </c>
      <c r="AMD240" s="181">
        <v>3027</v>
      </c>
      <c r="AME240" s="181">
        <v>3028</v>
      </c>
      <c r="AMF240" s="181">
        <v>3029</v>
      </c>
      <c r="AMG240" s="181">
        <v>3030</v>
      </c>
      <c r="AMH240" s="181">
        <v>3031</v>
      </c>
      <c r="AMI240" s="181">
        <v>3032</v>
      </c>
      <c r="AMJ240" s="181">
        <v>3033</v>
      </c>
      <c r="AMK240" s="181">
        <v>3034</v>
      </c>
      <c r="AML240" s="181">
        <v>3035</v>
      </c>
      <c r="AMM240" s="181">
        <v>3036</v>
      </c>
      <c r="AMN240" s="181">
        <v>3037</v>
      </c>
      <c r="AMO240" s="181">
        <v>3038</v>
      </c>
      <c r="AMP240" s="181">
        <v>3039</v>
      </c>
      <c r="AMQ240" s="181">
        <v>3040</v>
      </c>
      <c r="AMR240" s="181">
        <v>3041</v>
      </c>
      <c r="AMS240" s="181">
        <v>3042</v>
      </c>
      <c r="AMT240" s="181">
        <v>3043</v>
      </c>
      <c r="AMU240" s="181">
        <v>3044</v>
      </c>
      <c r="AMV240" s="181">
        <v>3045</v>
      </c>
      <c r="AMW240" s="181">
        <v>3046</v>
      </c>
      <c r="AMX240" s="181">
        <v>3047</v>
      </c>
      <c r="AMY240" s="181">
        <v>3048</v>
      </c>
      <c r="AMZ240" s="181">
        <v>3049</v>
      </c>
      <c r="ANA240" s="181">
        <v>3050</v>
      </c>
      <c r="ANB240" s="181">
        <v>3051</v>
      </c>
      <c r="ANC240" s="181">
        <v>3052</v>
      </c>
      <c r="AND240" s="181">
        <v>3053</v>
      </c>
      <c r="ANE240" s="181">
        <v>3054</v>
      </c>
      <c r="ANF240" s="181">
        <v>3055</v>
      </c>
      <c r="ANG240" s="181">
        <v>3056</v>
      </c>
      <c r="ANH240" s="181">
        <v>3057</v>
      </c>
      <c r="ANI240" s="181">
        <v>3058</v>
      </c>
      <c r="ANJ240" s="181">
        <v>3059</v>
      </c>
      <c r="ANK240" s="181">
        <v>3060</v>
      </c>
      <c r="ANL240" s="181">
        <v>3061</v>
      </c>
      <c r="ANM240" s="181">
        <v>3062</v>
      </c>
      <c r="ANN240" s="181">
        <v>3063</v>
      </c>
      <c r="ANO240" s="181">
        <v>3064</v>
      </c>
      <c r="ANP240" s="181">
        <v>3065</v>
      </c>
      <c r="ANQ240" s="181">
        <v>3066</v>
      </c>
      <c r="ANR240" s="181">
        <v>3067</v>
      </c>
      <c r="ANS240" s="181">
        <v>3068</v>
      </c>
      <c r="ANT240" s="181">
        <v>3069</v>
      </c>
      <c r="ANU240" s="181">
        <v>3070</v>
      </c>
      <c r="ANV240" s="181">
        <v>3071</v>
      </c>
      <c r="ANW240" s="181">
        <v>3072</v>
      </c>
      <c r="ANX240" s="181">
        <v>3073</v>
      </c>
      <c r="ANY240" s="181">
        <v>3074</v>
      </c>
      <c r="ANZ240" s="181">
        <v>3075</v>
      </c>
      <c r="AOA240" s="181">
        <v>3076</v>
      </c>
      <c r="AOB240" s="181">
        <v>3077</v>
      </c>
      <c r="AOC240" s="181">
        <v>3078</v>
      </c>
      <c r="AOD240" s="181">
        <v>3079</v>
      </c>
      <c r="AOE240" s="181">
        <v>3080</v>
      </c>
      <c r="AOF240" s="181">
        <v>3081</v>
      </c>
      <c r="AOG240" s="181">
        <v>3082</v>
      </c>
      <c r="AOH240" s="181">
        <v>3083</v>
      </c>
      <c r="AOI240" s="181">
        <v>3084</v>
      </c>
      <c r="AOJ240" s="181">
        <v>3085</v>
      </c>
      <c r="AOK240" s="181">
        <v>3086</v>
      </c>
      <c r="AOL240" s="181">
        <v>3087</v>
      </c>
      <c r="AOM240" s="181">
        <v>3088</v>
      </c>
      <c r="AON240" s="181">
        <v>3089</v>
      </c>
      <c r="AOO240" s="181">
        <v>3090</v>
      </c>
      <c r="AOP240" s="181">
        <v>3091</v>
      </c>
      <c r="AOQ240" s="181">
        <v>3092</v>
      </c>
      <c r="AOR240" s="181">
        <v>3093</v>
      </c>
      <c r="AOS240" s="181">
        <v>3094</v>
      </c>
      <c r="AOT240" s="181">
        <v>3095</v>
      </c>
      <c r="AOU240" s="181">
        <v>3096</v>
      </c>
      <c r="AOV240" s="181">
        <v>3097</v>
      </c>
      <c r="AOW240" s="181">
        <v>3098</v>
      </c>
      <c r="AOX240" s="181">
        <v>3099</v>
      </c>
      <c r="AOY240" s="181">
        <v>3100</v>
      </c>
      <c r="AOZ240" s="181">
        <v>3101</v>
      </c>
      <c r="APA240" s="181">
        <v>3102</v>
      </c>
      <c r="APB240" s="181">
        <v>3103</v>
      </c>
      <c r="APC240" s="181">
        <v>3104</v>
      </c>
      <c r="APD240" s="181">
        <v>3105</v>
      </c>
      <c r="APE240" s="181">
        <v>3106</v>
      </c>
      <c r="APF240" s="181">
        <v>3107</v>
      </c>
      <c r="APG240" s="181">
        <v>3108</v>
      </c>
      <c r="APH240" s="181">
        <v>3109</v>
      </c>
      <c r="API240" s="181">
        <v>3110</v>
      </c>
      <c r="APJ240" s="181">
        <v>3111</v>
      </c>
      <c r="APK240" s="181">
        <v>3112</v>
      </c>
      <c r="APL240" s="181">
        <v>3113</v>
      </c>
      <c r="APM240" s="181">
        <v>3114</v>
      </c>
      <c r="APN240" s="181">
        <v>3115</v>
      </c>
      <c r="APO240" s="181">
        <v>3116</v>
      </c>
      <c r="APP240" s="181">
        <v>3117</v>
      </c>
      <c r="APQ240" s="181">
        <v>3118</v>
      </c>
      <c r="APR240" s="181">
        <v>3119</v>
      </c>
      <c r="APS240" s="181">
        <v>3120</v>
      </c>
      <c r="APT240" s="181">
        <v>3121</v>
      </c>
      <c r="APU240" s="181">
        <v>3122</v>
      </c>
      <c r="APV240" s="181">
        <v>3123</v>
      </c>
      <c r="APW240" s="181">
        <v>3124</v>
      </c>
      <c r="APX240" s="181">
        <v>3125</v>
      </c>
      <c r="APY240" s="181">
        <v>3126</v>
      </c>
      <c r="APZ240" s="181">
        <v>3127</v>
      </c>
      <c r="AQA240" s="181">
        <v>3128</v>
      </c>
      <c r="AQB240" s="181">
        <v>3129</v>
      </c>
      <c r="AQC240" s="181">
        <v>3130</v>
      </c>
      <c r="AQD240" s="181">
        <v>3131</v>
      </c>
      <c r="AQE240" s="181">
        <v>3132</v>
      </c>
      <c r="AQF240" s="181">
        <v>3133</v>
      </c>
      <c r="AQG240" s="181">
        <v>3134</v>
      </c>
      <c r="AQH240" s="181">
        <v>3135</v>
      </c>
      <c r="AQI240" s="181">
        <v>3136</v>
      </c>
      <c r="AQJ240" s="181">
        <v>3137</v>
      </c>
      <c r="AQK240" s="181">
        <v>3138</v>
      </c>
      <c r="AQL240" s="181">
        <v>3139</v>
      </c>
      <c r="AQM240" s="181">
        <v>3140</v>
      </c>
      <c r="AQN240" s="181">
        <v>3141</v>
      </c>
      <c r="AQO240" s="181">
        <v>3142</v>
      </c>
      <c r="AQP240" s="181">
        <v>3143</v>
      </c>
      <c r="AQQ240" s="181">
        <v>3144</v>
      </c>
      <c r="AQR240" s="181">
        <v>3145</v>
      </c>
      <c r="AQS240" s="181">
        <v>3146</v>
      </c>
      <c r="AQT240" s="181">
        <v>3147</v>
      </c>
      <c r="AQU240" s="181">
        <v>3148</v>
      </c>
      <c r="AQV240" s="181">
        <v>3149</v>
      </c>
      <c r="AQW240" s="181">
        <v>3150</v>
      </c>
      <c r="AQX240" s="181">
        <v>3151</v>
      </c>
      <c r="AQY240" s="181">
        <v>3152</v>
      </c>
      <c r="AQZ240" s="181">
        <v>3153</v>
      </c>
      <c r="ARA240" s="181">
        <v>3154</v>
      </c>
      <c r="ARB240" s="181">
        <v>3155</v>
      </c>
      <c r="ARC240" s="181">
        <v>3156</v>
      </c>
      <c r="ARD240" s="181">
        <v>3157</v>
      </c>
      <c r="ARE240" s="181">
        <v>3158</v>
      </c>
      <c r="ARF240" s="181">
        <v>3159</v>
      </c>
      <c r="ARG240" s="181">
        <v>3160</v>
      </c>
      <c r="ARH240" s="181">
        <v>3161</v>
      </c>
      <c r="ARI240" s="181">
        <v>3162</v>
      </c>
      <c r="ARJ240" s="181">
        <v>3163</v>
      </c>
      <c r="ARK240" s="181">
        <v>3164</v>
      </c>
      <c r="ARL240" s="181">
        <v>3165</v>
      </c>
      <c r="ARM240" s="181">
        <v>3166</v>
      </c>
      <c r="ARN240" s="181">
        <v>3167</v>
      </c>
      <c r="ARO240" s="181">
        <v>3168</v>
      </c>
      <c r="ARP240" s="181">
        <v>3169</v>
      </c>
      <c r="ARQ240" s="181">
        <v>3170</v>
      </c>
      <c r="ARR240" s="181">
        <v>3171</v>
      </c>
      <c r="ARS240" s="181">
        <v>3172</v>
      </c>
      <c r="ART240" s="181">
        <v>3173</v>
      </c>
      <c r="ARU240" s="181">
        <v>3174</v>
      </c>
      <c r="ARV240" s="181">
        <v>3175</v>
      </c>
      <c r="ARW240" s="181">
        <v>3176</v>
      </c>
      <c r="ARX240" s="181">
        <v>3177</v>
      </c>
      <c r="ARY240" s="181">
        <v>3178</v>
      </c>
      <c r="ARZ240" s="181">
        <v>3179</v>
      </c>
      <c r="ASA240" s="181">
        <v>3180</v>
      </c>
      <c r="ASB240" s="181">
        <v>3181</v>
      </c>
      <c r="ASC240" s="181">
        <v>3182</v>
      </c>
      <c r="ASD240" s="181">
        <v>3183</v>
      </c>
      <c r="ASE240" s="181">
        <v>3184</v>
      </c>
      <c r="ASF240" s="181">
        <v>3185</v>
      </c>
      <c r="ASG240" s="181">
        <v>3186</v>
      </c>
      <c r="ASH240" s="181">
        <v>3187</v>
      </c>
      <c r="ASI240" s="181">
        <v>3188</v>
      </c>
      <c r="ASJ240" s="181">
        <v>3189</v>
      </c>
      <c r="ASK240" s="181">
        <v>3190</v>
      </c>
      <c r="ASL240" s="181">
        <v>3191</v>
      </c>
      <c r="ASM240" s="181">
        <v>3192</v>
      </c>
      <c r="ASN240" s="181">
        <v>3193</v>
      </c>
      <c r="ASO240" s="181">
        <v>3194</v>
      </c>
      <c r="ASP240" s="181">
        <v>3195</v>
      </c>
      <c r="ASQ240" s="181">
        <v>3196</v>
      </c>
      <c r="ASR240" s="181">
        <v>3197</v>
      </c>
      <c r="ASS240" s="181">
        <v>3198</v>
      </c>
      <c r="AST240" s="181">
        <v>3199</v>
      </c>
      <c r="ASU240" s="181">
        <v>3200</v>
      </c>
      <c r="ASV240" s="181">
        <v>3201</v>
      </c>
      <c r="ASW240" s="181">
        <v>3202</v>
      </c>
      <c r="ASX240" s="181">
        <v>3203</v>
      </c>
      <c r="ASY240" s="181">
        <v>3204</v>
      </c>
      <c r="ASZ240" s="181">
        <v>3205</v>
      </c>
      <c r="ATA240" s="181">
        <v>3206</v>
      </c>
      <c r="ATB240" s="181">
        <v>3207</v>
      </c>
      <c r="ATC240" s="181">
        <v>3208</v>
      </c>
      <c r="ATD240" s="181">
        <v>3209</v>
      </c>
      <c r="ATE240" s="181">
        <v>3210</v>
      </c>
      <c r="ATF240" s="181">
        <v>3211</v>
      </c>
      <c r="ATG240" s="181">
        <v>3212</v>
      </c>
      <c r="ATH240" s="181">
        <v>3213</v>
      </c>
      <c r="ATI240" s="181">
        <v>3214</v>
      </c>
      <c r="ATJ240" s="181">
        <v>3215</v>
      </c>
      <c r="ATK240" s="181">
        <v>3216</v>
      </c>
      <c r="ATL240" s="181">
        <v>3217</v>
      </c>
      <c r="ATM240" s="181">
        <v>3218</v>
      </c>
      <c r="ATN240" s="181">
        <v>3219</v>
      </c>
      <c r="ATO240" s="181">
        <v>3220</v>
      </c>
      <c r="ATP240" s="181">
        <v>3221</v>
      </c>
      <c r="ATQ240" s="181">
        <v>3222</v>
      </c>
      <c r="ATR240" s="181">
        <v>3223</v>
      </c>
      <c r="ATS240" s="181">
        <v>3224</v>
      </c>
      <c r="ATT240" s="181">
        <v>3225</v>
      </c>
      <c r="ATU240" s="181">
        <v>3226</v>
      </c>
      <c r="ATV240" s="181">
        <v>3227</v>
      </c>
      <c r="ATW240" s="181">
        <v>3228</v>
      </c>
      <c r="ATX240" s="181">
        <v>3229</v>
      </c>
      <c r="ATY240" s="181">
        <v>3230</v>
      </c>
      <c r="ATZ240" s="181">
        <v>3231</v>
      </c>
      <c r="AUA240" s="181">
        <v>3232</v>
      </c>
      <c r="AUB240" s="181">
        <v>3233</v>
      </c>
      <c r="AUC240" s="181">
        <v>3234</v>
      </c>
      <c r="AUD240" s="181">
        <v>3235</v>
      </c>
      <c r="AUE240" s="181">
        <v>3236</v>
      </c>
      <c r="AUF240" s="181">
        <v>3237</v>
      </c>
      <c r="AUG240" s="181">
        <v>3238</v>
      </c>
      <c r="AUH240" s="181">
        <v>3239</v>
      </c>
      <c r="AUI240" s="181">
        <v>3240</v>
      </c>
      <c r="AUJ240" s="181">
        <v>3241</v>
      </c>
      <c r="AUK240" s="181">
        <v>3242</v>
      </c>
      <c r="AUL240" s="181">
        <v>3243</v>
      </c>
      <c r="AUM240" s="181">
        <v>3244</v>
      </c>
      <c r="AUN240" s="181">
        <v>3245</v>
      </c>
      <c r="AUO240" s="181">
        <v>3246</v>
      </c>
      <c r="AUP240" s="181">
        <v>3247</v>
      </c>
      <c r="AUQ240" s="181">
        <v>3248</v>
      </c>
      <c r="AUR240" s="181">
        <v>3249</v>
      </c>
      <c r="AUS240" s="181">
        <v>3250</v>
      </c>
      <c r="AUT240" s="181">
        <v>3251</v>
      </c>
      <c r="AUU240" s="181">
        <v>3252</v>
      </c>
      <c r="AUV240" s="181">
        <v>3253</v>
      </c>
      <c r="AUW240" s="181">
        <v>3254</v>
      </c>
      <c r="AUX240" s="181">
        <v>3255</v>
      </c>
      <c r="AUY240" s="181">
        <v>3256</v>
      </c>
      <c r="AUZ240" s="181">
        <v>3257</v>
      </c>
      <c r="AVA240" s="181">
        <v>3258</v>
      </c>
      <c r="AVB240" s="181">
        <v>3259</v>
      </c>
      <c r="AVC240" s="181">
        <v>3260</v>
      </c>
      <c r="AVD240" s="181">
        <v>3261</v>
      </c>
      <c r="AVE240" s="181">
        <v>3262</v>
      </c>
      <c r="AVF240" s="181">
        <v>3263</v>
      </c>
      <c r="AVG240" s="181">
        <v>3264</v>
      </c>
      <c r="AVH240" s="181">
        <v>3265</v>
      </c>
      <c r="AVI240" s="181">
        <v>3266</v>
      </c>
      <c r="AVJ240" s="181">
        <v>3267</v>
      </c>
      <c r="AVK240" s="181">
        <v>3268</v>
      </c>
      <c r="AVL240" s="181">
        <v>3269</v>
      </c>
      <c r="AVM240" s="181">
        <v>3270</v>
      </c>
      <c r="AVN240" s="181">
        <v>3271</v>
      </c>
      <c r="AVO240" s="181">
        <v>3272</v>
      </c>
      <c r="AVP240" s="181">
        <v>3273</v>
      </c>
      <c r="AVQ240" s="181">
        <v>3274</v>
      </c>
      <c r="AVR240" s="181">
        <v>3275</v>
      </c>
      <c r="AVS240" s="181">
        <v>3276</v>
      </c>
      <c r="AVT240" s="181">
        <v>3277</v>
      </c>
      <c r="AVU240" s="181">
        <v>3278</v>
      </c>
      <c r="AVV240" s="181">
        <v>3279</v>
      </c>
      <c r="AVW240" s="181">
        <v>3280</v>
      </c>
      <c r="AVX240" s="181">
        <v>3281</v>
      </c>
      <c r="AVY240" s="181">
        <v>3282</v>
      </c>
      <c r="AVZ240" s="181">
        <v>3283</v>
      </c>
      <c r="AWA240" s="181">
        <v>3284</v>
      </c>
      <c r="AWB240" s="181">
        <v>3285</v>
      </c>
      <c r="AWC240" s="181">
        <v>3286</v>
      </c>
      <c r="AWD240" s="181">
        <v>3287</v>
      </c>
      <c r="AWE240" s="181">
        <v>3288</v>
      </c>
      <c r="AWF240" s="181">
        <v>3289</v>
      </c>
      <c r="AWG240" s="181">
        <v>3290</v>
      </c>
      <c r="AWH240" s="181">
        <v>3291</v>
      </c>
      <c r="AWI240" s="181">
        <v>3292</v>
      </c>
      <c r="AWJ240" s="181">
        <v>3293</v>
      </c>
      <c r="AWK240" s="181">
        <v>3294</v>
      </c>
      <c r="AWL240" s="181">
        <v>3295</v>
      </c>
      <c r="AWM240" s="181">
        <v>3296</v>
      </c>
      <c r="AWN240" s="181">
        <v>3297</v>
      </c>
      <c r="AWO240" s="181">
        <v>3298</v>
      </c>
      <c r="AWP240" s="181">
        <v>3299</v>
      </c>
      <c r="AWQ240" s="181">
        <v>3300</v>
      </c>
      <c r="AWR240" s="181">
        <v>3301</v>
      </c>
      <c r="AWS240" s="181">
        <v>3302</v>
      </c>
      <c r="AWT240" s="181">
        <v>3303</v>
      </c>
      <c r="AWU240" s="181">
        <v>3304</v>
      </c>
      <c r="AWV240" s="181">
        <v>3305</v>
      </c>
      <c r="AWW240" s="181">
        <v>3306</v>
      </c>
      <c r="AWX240" s="181">
        <v>3307</v>
      </c>
      <c r="AWY240" s="181">
        <v>3308</v>
      </c>
      <c r="AWZ240" s="181">
        <v>3309</v>
      </c>
      <c r="AXA240" s="181">
        <v>3310</v>
      </c>
      <c r="AXB240" s="181">
        <v>3311</v>
      </c>
      <c r="AXC240" s="181">
        <v>3312</v>
      </c>
      <c r="AXD240" s="181">
        <v>3313</v>
      </c>
      <c r="AXE240" s="181">
        <v>3314</v>
      </c>
      <c r="AXF240" s="181">
        <v>3315</v>
      </c>
      <c r="AXG240" s="181">
        <v>3316</v>
      </c>
      <c r="AXH240" s="181">
        <v>3317</v>
      </c>
      <c r="AXI240" s="181">
        <v>3318</v>
      </c>
      <c r="AXJ240" s="181">
        <v>3319</v>
      </c>
      <c r="AXK240" s="181">
        <v>3320</v>
      </c>
      <c r="AXL240" s="181">
        <v>3321</v>
      </c>
      <c r="AXM240" s="181">
        <v>3322</v>
      </c>
      <c r="AXN240" s="181">
        <v>3323</v>
      </c>
      <c r="AXO240" s="181">
        <v>3324</v>
      </c>
      <c r="AXP240" s="181">
        <v>3325</v>
      </c>
      <c r="AXQ240" s="181">
        <v>3326</v>
      </c>
      <c r="AXR240" s="181">
        <v>3327</v>
      </c>
      <c r="AXS240" s="181">
        <v>3328</v>
      </c>
      <c r="AXT240" s="181">
        <v>3329</v>
      </c>
      <c r="AXU240" s="181">
        <v>3330</v>
      </c>
      <c r="AXV240" s="181">
        <v>3331</v>
      </c>
      <c r="AXW240" s="181">
        <v>3332</v>
      </c>
      <c r="AXX240" s="181">
        <v>3333</v>
      </c>
      <c r="AXY240" s="181">
        <v>3334</v>
      </c>
      <c r="AXZ240" s="181">
        <v>3335</v>
      </c>
      <c r="AYA240" s="181">
        <v>3336</v>
      </c>
      <c r="AYB240" s="181">
        <v>3337</v>
      </c>
      <c r="AYC240" s="181">
        <v>3338</v>
      </c>
      <c r="AYD240" s="181">
        <v>3339</v>
      </c>
      <c r="AYE240" s="181">
        <v>3340</v>
      </c>
      <c r="AYF240" s="181">
        <v>3341</v>
      </c>
      <c r="AYG240" s="181">
        <v>3342</v>
      </c>
      <c r="AYH240" s="181">
        <v>3343</v>
      </c>
      <c r="AYI240" s="181">
        <v>3344</v>
      </c>
      <c r="AYJ240" s="181">
        <v>3345</v>
      </c>
      <c r="AYK240" s="181">
        <v>3346</v>
      </c>
      <c r="AYL240" s="181">
        <v>3347</v>
      </c>
      <c r="AYM240" s="181">
        <v>3348</v>
      </c>
      <c r="AYN240" s="181">
        <v>3349</v>
      </c>
      <c r="AYO240" s="181">
        <v>3350</v>
      </c>
      <c r="AYP240" s="181">
        <v>3351</v>
      </c>
      <c r="AYQ240" s="181">
        <v>3352</v>
      </c>
      <c r="AYR240" s="181">
        <v>3353</v>
      </c>
      <c r="AYS240" s="181">
        <v>3354</v>
      </c>
      <c r="AYT240" s="181">
        <v>3355</v>
      </c>
      <c r="AYU240" s="181">
        <v>3356</v>
      </c>
      <c r="AYV240" s="181">
        <v>3357</v>
      </c>
      <c r="AYW240" s="181">
        <v>3358</v>
      </c>
      <c r="AYX240" s="181">
        <v>3359</v>
      </c>
      <c r="AYY240" s="181">
        <v>3360</v>
      </c>
      <c r="AYZ240" s="181">
        <v>3361</v>
      </c>
      <c r="AZA240" s="181">
        <v>3362</v>
      </c>
      <c r="AZB240" s="181">
        <v>3363</v>
      </c>
      <c r="AZC240" s="181">
        <v>3364</v>
      </c>
      <c r="AZD240" s="181">
        <v>3365</v>
      </c>
      <c r="AZE240" s="181">
        <v>3366</v>
      </c>
      <c r="AZF240" s="181">
        <v>3367</v>
      </c>
      <c r="AZG240" s="181">
        <v>3368</v>
      </c>
      <c r="AZH240" s="181">
        <v>3369</v>
      </c>
      <c r="AZI240" s="181">
        <v>3370</v>
      </c>
      <c r="AZJ240" s="181">
        <v>3371</v>
      </c>
      <c r="AZK240" s="181">
        <v>3372</v>
      </c>
      <c r="AZL240" s="181">
        <v>3373</v>
      </c>
      <c r="AZM240" s="181">
        <v>3374</v>
      </c>
      <c r="AZN240" s="181">
        <v>3375</v>
      </c>
      <c r="AZO240" s="181">
        <v>3376</v>
      </c>
      <c r="AZP240" s="181">
        <v>3377</v>
      </c>
      <c r="AZQ240" s="181">
        <v>3378</v>
      </c>
      <c r="AZR240" s="181">
        <v>3379</v>
      </c>
      <c r="AZS240" s="181">
        <v>3380</v>
      </c>
      <c r="AZT240" s="181">
        <v>3381</v>
      </c>
      <c r="AZU240" s="181">
        <v>3382</v>
      </c>
      <c r="AZV240" s="181">
        <v>3383</v>
      </c>
      <c r="AZW240" s="181">
        <v>3384</v>
      </c>
      <c r="AZX240" s="181">
        <v>3385</v>
      </c>
      <c r="AZY240" s="181">
        <v>3386</v>
      </c>
      <c r="AZZ240" s="181">
        <v>3387</v>
      </c>
      <c r="BAA240" s="181">
        <v>3388</v>
      </c>
      <c r="BAB240" s="181">
        <v>3389</v>
      </c>
      <c r="BAC240" s="181">
        <v>3390</v>
      </c>
      <c r="BAD240" s="181">
        <v>3391</v>
      </c>
      <c r="BAE240" s="181">
        <v>3392</v>
      </c>
      <c r="BAF240" s="181">
        <v>3393</v>
      </c>
      <c r="BAG240" s="181">
        <v>3394</v>
      </c>
      <c r="BAH240" s="181">
        <v>3395</v>
      </c>
      <c r="BAI240" s="181">
        <v>3396</v>
      </c>
      <c r="BAJ240" s="181">
        <v>3397</v>
      </c>
      <c r="BAK240" s="181">
        <v>3398</v>
      </c>
      <c r="BAL240" s="181">
        <v>3399</v>
      </c>
      <c r="BAM240" s="181">
        <v>3400</v>
      </c>
      <c r="BAN240" s="181">
        <v>3401</v>
      </c>
      <c r="BAO240" s="181">
        <v>3402</v>
      </c>
      <c r="BAP240" s="181">
        <v>3403</v>
      </c>
      <c r="BAQ240" s="181">
        <v>3404</v>
      </c>
      <c r="BAR240" s="181">
        <v>3405</v>
      </c>
      <c r="BAS240" s="181">
        <v>3406</v>
      </c>
      <c r="BAT240" s="181">
        <v>3407</v>
      </c>
      <c r="BAU240" s="181">
        <v>3408</v>
      </c>
      <c r="BAV240" s="181">
        <v>3409</v>
      </c>
      <c r="BAW240" s="181">
        <v>3410</v>
      </c>
      <c r="BAX240" s="181">
        <v>3411</v>
      </c>
      <c r="BAY240" s="181">
        <v>3412</v>
      </c>
      <c r="BAZ240" s="181">
        <v>3413</v>
      </c>
      <c r="BBA240" s="181">
        <v>3414</v>
      </c>
      <c r="BBB240" s="181">
        <v>3415</v>
      </c>
      <c r="BBC240" s="181">
        <v>3416</v>
      </c>
      <c r="BBD240" s="181">
        <v>3417</v>
      </c>
      <c r="BBE240" s="181">
        <v>3418</v>
      </c>
      <c r="BBF240" s="181">
        <v>3419</v>
      </c>
      <c r="BBG240" s="181">
        <v>3420</v>
      </c>
      <c r="BBH240" s="181">
        <v>3421</v>
      </c>
      <c r="BBI240" s="181">
        <v>3422</v>
      </c>
      <c r="BBJ240" s="181">
        <v>3423</v>
      </c>
      <c r="BBK240" s="181">
        <v>3424</v>
      </c>
      <c r="BBL240" s="181">
        <v>3425</v>
      </c>
      <c r="BBM240" s="181">
        <v>3426</v>
      </c>
      <c r="BBN240" s="181">
        <v>3427</v>
      </c>
      <c r="BBO240" s="181">
        <v>3428</v>
      </c>
      <c r="BBP240" s="181">
        <v>3429</v>
      </c>
      <c r="BBQ240" s="181">
        <v>3430</v>
      </c>
      <c r="BBR240" s="181">
        <v>3431</v>
      </c>
      <c r="BBS240" s="181">
        <v>3432</v>
      </c>
      <c r="BBT240" s="181">
        <v>3433</v>
      </c>
      <c r="BBU240" s="181">
        <v>3434</v>
      </c>
      <c r="BBV240" s="181">
        <v>3435</v>
      </c>
      <c r="BBW240" s="181">
        <v>3436</v>
      </c>
      <c r="BBX240" s="181">
        <v>3437</v>
      </c>
      <c r="BBY240" s="181">
        <v>3438</v>
      </c>
      <c r="BBZ240" s="181">
        <v>3439</v>
      </c>
      <c r="BCA240" s="181">
        <v>3440</v>
      </c>
      <c r="BCB240" s="181">
        <v>3441</v>
      </c>
      <c r="BCC240" s="181">
        <v>3442</v>
      </c>
      <c r="BCD240" s="181">
        <v>3443</v>
      </c>
      <c r="BCE240" s="181">
        <v>3444</v>
      </c>
      <c r="BCF240" s="181">
        <v>3445</v>
      </c>
      <c r="BCG240" s="181">
        <v>3446</v>
      </c>
      <c r="BCH240" s="181">
        <v>3447</v>
      </c>
      <c r="BCI240" s="181">
        <v>3448</v>
      </c>
      <c r="BCJ240" s="181">
        <v>3449</v>
      </c>
      <c r="BCK240" s="181">
        <v>3450</v>
      </c>
      <c r="BCL240" s="181">
        <v>3451</v>
      </c>
      <c r="BCM240" s="181">
        <v>3452</v>
      </c>
      <c r="BCN240" s="181">
        <v>3453</v>
      </c>
      <c r="BCO240" s="181">
        <v>3454</v>
      </c>
      <c r="BCP240" s="181">
        <v>3455</v>
      </c>
      <c r="BCQ240" s="181">
        <v>3456</v>
      </c>
      <c r="BCR240" s="181">
        <v>3457</v>
      </c>
      <c r="BCS240" s="181">
        <v>3458</v>
      </c>
      <c r="BCT240" s="181">
        <v>3459</v>
      </c>
      <c r="BCU240" s="181">
        <v>3460</v>
      </c>
      <c r="BCV240" s="181">
        <v>3461</v>
      </c>
      <c r="BCW240" s="181">
        <v>3462</v>
      </c>
      <c r="BCX240" s="181">
        <v>3463</v>
      </c>
      <c r="BCY240" s="181">
        <v>3464</v>
      </c>
      <c r="BCZ240" s="181">
        <v>3465</v>
      </c>
      <c r="BDA240" s="181">
        <v>3466</v>
      </c>
      <c r="BDB240" s="181">
        <v>3467</v>
      </c>
      <c r="BDC240" s="181">
        <v>3468</v>
      </c>
      <c r="BDD240" s="181">
        <v>3469</v>
      </c>
      <c r="BDE240" s="181">
        <v>3470</v>
      </c>
      <c r="BDF240" s="181">
        <v>3471</v>
      </c>
      <c r="BDG240" s="181">
        <v>3472</v>
      </c>
      <c r="BDH240" s="181">
        <v>3473</v>
      </c>
      <c r="BDI240" s="181">
        <v>3474</v>
      </c>
      <c r="BDJ240" s="181">
        <v>3475</v>
      </c>
      <c r="BDK240" s="181">
        <v>3476</v>
      </c>
      <c r="BDL240" s="181">
        <v>3477</v>
      </c>
      <c r="BDM240" s="181">
        <v>3478</v>
      </c>
      <c r="BDN240" s="181">
        <v>3479</v>
      </c>
      <c r="BDO240" s="181">
        <v>3480</v>
      </c>
      <c r="BDP240" s="181">
        <v>3481</v>
      </c>
      <c r="BDQ240" s="181">
        <v>3482</v>
      </c>
      <c r="BDR240" s="181">
        <v>3483</v>
      </c>
      <c r="BDS240" s="181">
        <v>3484</v>
      </c>
      <c r="BDT240" s="181">
        <v>3485</v>
      </c>
      <c r="BDU240" s="181">
        <v>3486</v>
      </c>
      <c r="BDV240" s="181">
        <v>3487</v>
      </c>
      <c r="BDW240" s="181">
        <v>3488</v>
      </c>
      <c r="BDX240" s="181">
        <v>3489</v>
      </c>
      <c r="BDY240" s="181">
        <v>3490</v>
      </c>
      <c r="BDZ240" s="181">
        <v>3491</v>
      </c>
      <c r="BEA240" s="181">
        <v>3492</v>
      </c>
      <c r="BEB240" s="181">
        <v>3493</v>
      </c>
      <c r="BEC240" s="181">
        <v>3494</v>
      </c>
      <c r="BED240" s="181">
        <v>3495</v>
      </c>
      <c r="BEE240" s="181">
        <v>3496</v>
      </c>
      <c r="BEF240" s="181">
        <v>3497</v>
      </c>
      <c r="BEG240" s="181">
        <v>3498</v>
      </c>
      <c r="BEH240" s="181">
        <v>3499</v>
      </c>
      <c r="BEI240" s="181">
        <v>3500</v>
      </c>
      <c r="BEJ240" s="181">
        <v>3501</v>
      </c>
      <c r="BEK240" s="181">
        <v>3502</v>
      </c>
      <c r="BEL240" s="181">
        <v>3503</v>
      </c>
      <c r="BEM240" s="181">
        <v>3504</v>
      </c>
      <c r="BEN240" s="181">
        <v>3505</v>
      </c>
      <c r="BEO240" s="181">
        <v>3506</v>
      </c>
      <c r="BEP240" s="181">
        <v>3507</v>
      </c>
      <c r="BEQ240" s="181">
        <v>3508</v>
      </c>
      <c r="BER240" s="181">
        <v>3509</v>
      </c>
      <c r="BES240" s="181">
        <v>3510</v>
      </c>
      <c r="BET240" s="181">
        <v>3511</v>
      </c>
      <c r="BEU240" s="181">
        <v>3512</v>
      </c>
      <c r="BEV240" s="181">
        <v>3513</v>
      </c>
      <c r="BEW240" s="181">
        <v>3514</v>
      </c>
      <c r="BEX240" s="181">
        <v>3515</v>
      </c>
      <c r="BEY240" s="181">
        <v>3516</v>
      </c>
      <c r="BEZ240" s="181">
        <v>3517</v>
      </c>
      <c r="BFA240" s="181">
        <v>3518</v>
      </c>
      <c r="BFB240" s="181">
        <v>3519</v>
      </c>
      <c r="BFC240" s="181">
        <v>3520</v>
      </c>
      <c r="BFD240" s="181">
        <v>3521</v>
      </c>
      <c r="BFE240" s="181">
        <v>3522</v>
      </c>
      <c r="BFF240" s="181">
        <v>3523</v>
      </c>
      <c r="BFG240" s="181">
        <v>3524</v>
      </c>
      <c r="BFH240" s="181">
        <v>3525</v>
      </c>
      <c r="BFI240" s="181">
        <v>3526</v>
      </c>
      <c r="BFJ240" s="181">
        <v>3527</v>
      </c>
      <c r="BFK240" s="181">
        <v>3528</v>
      </c>
      <c r="BFL240" s="181">
        <v>3529</v>
      </c>
      <c r="BFM240" s="181">
        <v>3530</v>
      </c>
      <c r="BFN240" s="181">
        <v>3531</v>
      </c>
      <c r="BFO240" s="181">
        <v>3532</v>
      </c>
      <c r="BFP240" s="181">
        <v>3533</v>
      </c>
      <c r="BFQ240" s="181">
        <v>3534</v>
      </c>
      <c r="BFR240" s="181">
        <v>3535</v>
      </c>
      <c r="BFS240" s="181">
        <v>3536</v>
      </c>
      <c r="BFT240" s="181">
        <v>3537</v>
      </c>
      <c r="BFU240" s="181">
        <v>3538</v>
      </c>
      <c r="BFV240" s="181">
        <v>3539</v>
      </c>
      <c r="BFW240" s="181">
        <v>3540</v>
      </c>
      <c r="BFX240" s="181">
        <v>3541</v>
      </c>
      <c r="BFY240" s="181">
        <v>3542</v>
      </c>
      <c r="BFZ240" s="181">
        <v>3543</v>
      </c>
      <c r="BGA240" s="181">
        <v>3544</v>
      </c>
      <c r="BGB240" s="181">
        <v>3545</v>
      </c>
      <c r="BGC240" s="181">
        <v>3546</v>
      </c>
      <c r="BGD240" s="181">
        <v>3547</v>
      </c>
      <c r="BGE240" s="181">
        <v>3548</v>
      </c>
      <c r="BGF240" s="181">
        <v>3549</v>
      </c>
      <c r="BGG240" s="181">
        <v>3550</v>
      </c>
      <c r="BGH240" s="181">
        <v>3551</v>
      </c>
      <c r="BGI240" s="181">
        <v>3552</v>
      </c>
      <c r="BGJ240" s="181">
        <v>3553</v>
      </c>
      <c r="BGK240" s="181">
        <v>3554</v>
      </c>
      <c r="BGL240" s="181">
        <v>3555</v>
      </c>
      <c r="BGM240" s="181">
        <v>3556</v>
      </c>
      <c r="BGN240" s="181">
        <v>3557</v>
      </c>
      <c r="BGO240" s="181">
        <v>3558</v>
      </c>
      <c r="BGP240" s="181">
        <v>3559</v>
      </c>
      <c r="BGQ240" s="181">
        <v>3560</v>
      </c>
      <c r="BGR240" s="181">
        <v>3561</v>
      </c>
      <c r="BGS240" s="181">
        <v>3562</v>
      </c>
      <c r="BGT240" s="181">
        <v>3563</v>
      </c>
      <c r="BGU240" s="181">
        <v>3564</v>
      </c>
      <c r="BGV240" s="181">
        <v>3565</v>
      </c>
      <c r="BGW240" s="181">
        <v>3566</v>
      </c>
      <c r="BGX240" s="181">
        <v>3567</v>
      </c>
      <c r="BGY240" s="181">
        <v>3568</v>
      </c>
      <c r="BGZ240" s="181">
        <v>3569</v>
      </c>
      <c r="BHA240" s="181">
        <v>3570</v>
      </c>
      <c r="BHB240" s="181">
        <v>3571</v>
      </c>
      <c r="BHC240" s="181">
        <v>3572</v>
      </c>
      <c r="BHD240" s="181">
        <v>3573</v>
      </c>
      <c r="BHE240" s="181">
        <v>3574</v>
      </c>
      <c r="BHF240" s="181">
        <v>3575</v>
      </c>
      <c r="BHG240" s="181">
        <v>3576</v>
      </c>
      <c r="BHH240" s="181">
        <v>3577</v>
      </c>
      <c r="BHI240" s="181">
        <v>3578</v>
      </c>
      <c r="BHJ240" s="181">
        <v>3579</v>
      </c>
      <c r="BHK240" s="181">
        <v>3580</v>
      </c>
      <c r="BHL240" s="181">
        <v>3581</v>
      </c>
      <c r="BHM240" s="181">
        <v>3582</v>
      </c>
      <c r="BHN240" s="181">
        <v>3583</v>
      </c>
      <c r="BHO240" s="181">
        <v>3584</v>
      </c>
      <c r="BHP240" s="181">
        <v>3585</v>
      </c>
      <c r="BHQ240" s="181">
        <v>3586</v>
      </c>
      <c r="BHR240" s="181">
        <v>3587</v>
      </c>
      <c r="BHS240" s="181">
        <v>3588</v>
      </c>
      <c r="BHT240" s="181">
        <v>3589</v>
      </c>
      <c r="BHU240" s="181">
        <v>3590</v>
      </c>
      <c r="BHV240" s="181">
        <v>3591</v>
      </c>
      <c r="BHW240" s="181">
        <v>3592</v>
      </c>
      <c r="BHX240" s="181">
        <v>3593</v>
      </c>
      <c r="BHY240" s="181">
        <v>3594</v>
      </c>
      <c r="BHZ240" s="181">
        <v>3595</v>
      </c>
      <c r="BIA240" s="181">
        <v>3596</v>
      </c>
      <c r="BIB240" s="181">
        <v>3597</v>
      </c>
      <c r="BIC240" s="181">
        <v>3598</v>
      </c>
      <c r="BID240" s="181">
        <v>3599</v>
      </c>
      <c r="BIE240" s="181">
        <v>3600</v>
      </c>
      <c r="BIF240" s="181">
        <v>3601</v>
      </c>
      <c r="BIG240" s="181">
        <v>3602</v>
      </c>
      <c r="BIH240" s="181">
        <v>3603</v>
      </c>
      <c r="BII240" s="181">
        <v>3604</v>
      </c>
      <c r="BIJ240" s="181">
        <v>3605</v>
      </c>
      <c r="BIK240" s="181">
        <v>3606</v>
      </c>
      <c r="BIL240" s="181">
        <v>3607</v>
      </c>
      <c r="BIM240" s="181">
        <v>3608</v>
      </c>
      <c r="BIN240" s="181">
        <v>3609</v>
      </c>
      <c r="BIO240" s="181">
        <v>3610</v>
      </c>
      <c r="BIP240" s="181">
        <v>3611</v>
      </c>
      <c r="BIQ240" s="181">
        <v>3612</v>
      </c>
      <c r="BIR240" s="181">
        <v>3613</v>
      </c>
      <c r="BIS240" s="181">
        <v>3614</v>
      </c>
      <c r="BIT240" s="181">
        <v>3615</v>
      </c>
      <c r="BIU240" s="181">
        <v>3616</v>
      </c>
      <c r="BIV240" s="181">
        <v>3617</v>
      </c>
      <c r="BIW240" s="181">
        <v>3618</v>
      </c>
      <c r="BIX240" s="181">
        <v>3619</v>
      </c>
      <c r="BIY240" s="181">
        <v>3620</v>
      </c>
      <c r="BIZ240" s="181">
        <v>3621</v>
      </c>
      <c r="BJA240" s="181">
        <v>3622</v>
      </c>
      <c r="BJB240" s="181">
        <v>3623</v>
      </c>
      <c r="BJC240" s="181">
        <v>3624</v>
      </c>
      <c r="BJD240" s="181">
        <v>3625</v>
      </c>
      <c r="BJE240" s="181">
        <v>3626</v>
      </c>
      <c r="BJF240" s="181">
        <v>3627</v>
      </c>
      <c r="BJG240" s="181">
        <v>3628</v>
      </c>
      <c r="BJH240" s="181">
        <v>3629</v>
      </c>
      <c r="BJI240" s="181">
        <v>3630</v>
      </c>
      <c r="BJJ240" s="181">
        <v>3631</v>
      </c>
      <c r="BJK240" s="181">
        <v>3632</v>
      </c>
      <c r="BJL240" s="181">
        <v>3633</v>
      </c>
      <c r="BJM240" s="181">
        <v>3634</v>
      </c>
      <c r="BJN240" s="181">
        <v>3635</v>
      </c>
      <c r="BJO240" s="181">
        <v>3636</v>
      </c>
      <c r="BJP240" s="181">
        <v>3637</v>
      </c>
      <c r="BJQ240" s="181">
        <v>3638</v>
      </c>
      <c r="BJR240" s="181">
        <v>3639</v>
      </c>
      <c r="BJS240" s="181">
        <v>3640</v>
      </c>
      <c r="BJT240" s="181">
        <v>3641</v>
      </c>
      <c r="BJU240" s="181">
        <v>3642</v>
      </c>
      <c r="BJV240" s="181">
        <v>3643</v>
      </c>
      <c r="BJW240" s="181">
        <v>3644</v>
      </c>
      <c r="BJX240" s="181">
        <v>3645</v>
      </c>
      <c r="BJY240" s="181">
        <v>3646</v>
      </c>
      <c r="BJZ240" s="181">
        <v>3647</v>
      </c>
      <c r="BKA240" s="181">
        <v>3648</v>
      </c>
      <c r="BKB240" s="181">
        <v>3649</v>
      </c>
      <c r="BKC240" s="181">
        <v>3650</v>
      </c>
      <c r="BKD240" s="181">
        <v>3651</v>
      </c>
      <c r="BKE240" s="181">
        <v>3652</v>
      </c>
      <c r="BKF240" s="181">
        <v>3653</v>
      </c>
      <c r="BKG240" s="181">
        <v>3654</v>
      </c>
      <c r="BKH240" s="181">
        <v>3655</v>
      </c>
      <c r="BKI240" s="181">
        <v>3656</v>
      </c>
      <c r="BKJ240" s="181">
        <v>3657</v>
      </c>
      <c r="BKK240" s="181">
        <v>3658</v>
      </c>
      <c r="BKL240" s="181">
        <v>3659</v>
      </c>
      <c r="BKM240" s="181">
        <v>3660</v>
      </c>
      <c r="BKN240" s="181">
        <v>3661</v>
      </c>
      <c r="BKO240" s="181">
        <v>3662</v>
      </c>
      <c r="BKP240" s="181">
        <v>3663</v>
      </c>
      <c r="BKQ240" s="181">
        <v>3664</v>
      </c>
      <c r="BKR240" s="181">
        <v>3665</v>
      </c>
      <c r="BKS240" s="181">
        <v>3666</v>
      </c>
      <c r="BKT240" s="181">
        <v>3667</v>
      </c>
      <c r="BKU240" s="181">
        <v>3668</v>
      </c>
      <c r="BKV240" s="181">
        <v>3669</v>
      </c>
      <c r="BKW240" s="181">
        <v>3670</v>
      </c>
      <c r="BKX240" s="181">
        <v>3671</v>
      </c>
      <c r="BKY240" s="181">
        <v>3672</v>
      </c>
      <c r="BKZ240" s="181">
        <v>3673</v>
      </c>
      <c r="BLA240" s="181">
        <v>3674</v>
      </c>
      <c r="BLB240" s="181">
        <v>3675</v>
      </c>
      <c r="BLC240" s="181">
        <v>3676</v>
      </c>
      <c r="BLD240" s="181">
        <v>3677</v>
      </c>
      <c r="BLE240" s="181">
        <v>3678</v>
      </c>
      <c r="BLF240" s="181">
        <v>3679</v>
      </c>
      <c r="BLG240" s="181">
        <v>3680</v>
      </c>
      <c r="BLH240" s="181">
        <v>3681</v>
      </c>
      <c r="BLI240" s="181">
        <v>3682</v>
      </c>
      <c r="BLJ240" s="181">
        <v>3683</v>
      </c>
      <c r="BLK240" s="181">
        <v>3684</v>
      </c>
      <c r="BLL240" s="181">
        <v>3685</v>
      </c>
      <c r="BLM240" s="181">
        <v>3686</v>
      </c>
      <c r="BLN240" s="181">
        <v>3687</v>
      </c>
      <c r="BLO240" s="181">
        <v>3688</v>
      </c>
      <c r="BLP240" s="181">
        <v>3689</v>
      </c>
      <c r="BLQ240" s="181">
        <v>3690</v>
      </c>
      <c r="BLR240" s="181">
        <v>3691</v>
      </c>
      <c r="BLS240" s="181">
        <v>3692</v>
      </c>
      <c r="BLT240" s="181">
        <v>3693</v>
      </c>
      <c r="BLU240" s="181">
        <v>3694</v>
      </c>
      <c r="BLV240" s="181">
        <v>3695</v>
      </c>
      <c r="BLW240" s="181">
        <v>3696</v>
      </c>
      <c r="BLX240" s="181">
        <v>3697</v>
      </c>
      <c r="BLY240" s="181">
        <v>3698</v>
      </c>
      <c r="BLZ240" s="181">
        <v>3699</v>
      </c>
      <c r="BMA240" s="181">
        <v>3700</v>
      </c>
      <c r="BMB240" s="181">
        <v>3701</v>
      </c>
      <c r="BMC240" s="181">
        <v>3702</v>
      </c>
      <c r="BMD240" s="181">
        <v>3703</v>
      </c>
      <c r="BME240" s="181">
        <v>3704</v>
      </c>
      <c r="BMF240" s="181">
        <v>3705</v>
      </c>
      <c r="BMG240" s="181">
        <v>3706</v>
      </c>
      <c r="BMH240" s="181">
        <v>3707</v>
      </c>
      <c r="BMI240" s="181">
        <v>3708</v>
      </c>
      <c r="BMJ240" s="181">
        <v>3709</v>
      </c>
      <c r="BMK240" s="181">
        <v>3710</v>
      </c>
      <c r="BML240" s="181">
        <v>3711</v>
      </c>
      <c r="BMM240" s="181">
        <v>3712</v>
      </c>
      <c r="BMN240" s="181">
        <v>3713</v>
      </c>
      <c r="BMO240" s="181">
        <v>3714</v>
      </c>
      <c r="BMP240" s="181">
        <v>3715</v>
      </c>
      <c r="BMQ240" s="181">
        <v>3716</v>
      </c>
      <c r="BMR240" s="181">
        <v>3717</v>
      </c>
      <c r="BMS240" s="181">
        <v>3718</v>
      </c>
      <c r="BMT240" s="181">
        <v>3719</v>
      </c>
      <c r="BMU240" s="181">
        <v>3720</v>
      </c>
      <c r="BMV240" s="181">
        <v>3721</v>
      </c>
      <c r="BMW240" s="181">
        <v>3722</v>
      </c>
      <c r="BMX240" s="181">
        <v>3723</v>
      </c>
      <c r="BMY240" s="181">
        <v>3724</v>
      </c>
      <c r="BMZ240" s="181">
        <v>3725</v>
      </c>
      <c r="BNA240" s="181">
        <v>3726</v>
      </c>
      <c r="BNB240" s="181">
        <v>3727</v>
      </c>
      <c r="BNC240" s="181">
        <v>3728</v>
      </c>
      <c r="BND240" s="181">
        <v>3729</v>
      </c>
      <c r="BNE240" s="181">
        <v>3730</v>
      </c>
      <c r="BNF240" s="181">
        <v>3731</v>
      </c>
      <c r="BNG240" s="181">
        <v>3732</v>
      </c>
      <c r="BNH240" s="181">
        <v>3733</v>
      </c>
      <c r="BNI240" s="181">
        <v>3734</v>
      </c>
      <c r="BNJ240" s="181">
        <v>3735</v>
      </c>
      <c r="BNK240" s="181">
        <v>3736</v>
      </c>
      <c r="BNL240" s="181">
        <v>3737</v>
      </c>
      <c r="BNM240" s="181">
        <v>3738</v>
      </c>
      <c r="BNN240" s="181">
        <v>3739</v>
      </c>
      <c r="BNO240" s="181">
        <v>3740</v>
      </c>
      <c r="BNP240" s="181">
        <v>3741</v>
      </c>
      <c r="BNQ240" s="181">
        <v>3742</v>
      </c>
      <c r="BNR240" s="181">
        <v>3743</v>
      </c>
      <c r="BNS240" s="181">
        <v>3744</v>
      </c>
      <c r="BNT240" s="181">
        <v>3745</v>
      </c>
      <c r="BNU240" s="181">
        <v>3746</v>
      </c>
      <c r="BNV240" s="181">
        <v>3747</v>
      </c>
      <c r="BNW240" s="181">
        <v>3748</v>
      </c>
      <c r="BNX240" s="181">
        <v>3749</v>
      </c>
      <c r="BNY240" s="181">
        <v>3750</v>
      </c>
      <c r="BNZ240" s="181">
        <v>3751</v>
      </c>
      <c r="BOA240" s="181">
        <v>3752</v>
      </c>
      <c r="BOB240" s="181">
        <v>3753</v>
      </c>
      <c r="BOC240" s="181">
        <v>3754</v>
      </c>
      <c r="BOD240" s="181">
        <v>3755</v>
      </c>
      <c r="BOE240" s="181">
        <v>3756</v>
      </c>
      <c r="BOF240" s="181">
        <v>3757</v>
      </c>
      <c r="BOG240" s="181">
        <v>3758</v>
      </c>
      <c r="BOH240" s="181">
        <v>3759</v>
      </c>
      <c r="BOI240" s="181">
        <v>3760</v>
      </c>
      <c r="BOJ240" s="181">
        <v>3761</v>
      </c>
      <c r="BOK240" s="181">
        <v>3762</v>
      </c>
      <c r="BOL240" s="181">
        <v>3763</v>
      </c>
      <c r="BOM240" s="181">
        <v>3764</v>
      </c>
      <c r="BON240" s="181">
        <v>3765</v>
      </c>
      <c r="BOO240" s="181">
        <v>3766</v>
      </c>
      <c r="BOP240" s="181">
        <v>3767</v>
      </c>
      <c r="BOQ240" s="181">
        <v>3768</v>
      </c>
      <c r="BOR240" s="181">
        <v>3769</v>
      </c>
      <c r="BOS240" s="181">
        <v>3770</v>
      </c>
      <c r="BOT240" s="181">
        <v>3771</v>
      </c>
      <c r="BOU240" s="181">
        <v>3772</v>
      </c>
      <c r="BOV240" s="181">
        <v>3773</v>
      </c>
      <c r="BOW240" s="181">
        <v>3774</v>
      </c>
      <c r="BOX240" s="181">
        <v>3775</v>
      </c>
      <c r="BOY240" s="181">
        <v>3776</v>
      </c>
      <c r="BOZ240" s="181">
        <v>3777</v>
      </c>
      <c r="BPA240" s="181">
        <v>3778</v>
      </c>
      <c r="BPB240" s="181">
        <v>3779</v>
      </c>
      <c r="BPC240" s="181">
        <v>3780</v>
      </c>
      <c r="BPD240" s="181">
        <v>3781</v>
      </c>
      <c r="BPE240" s="181">
        <v>3782</v>
      </c>
      <c r="BPF240" s="181">
        <v>3783</v>
      </c>
      <c r="BPG240" s="181">
        <v>3784</v>
      </c>
      <c r="BPH240" s="181">
        <v>3785</v>
      </c>
      <c r="BPI240" s="181">
        <v>3786</v>
      </c>
      <c r="BPJ240" s="181">
        <v>3787</v>
      </c>
      <c r="BPK240" s="181">
        <v>3788</v>
      </c>
      <c r="BPL240" s="181">
        <v>3789</v>
      </c>
      <c r="BPM240" s="181">
        <v>3790</v>
      </c>
      <c r="BPN240" s="181">
        <v>3791</v>
      </c>
      <c r="BPO240" s="181">
        <v>3792</v>
      </c>
      <c r="BPP240" s="181">
        <v>3793</v>
      </c>
      <c r="BPQ240" s="181">
        <v>3794</v>
      </c>
      <c r="BPR240" s="181">
        <v>3795</v>
      </c>
      <c r="BPS240" s="181">
        <v>3796</v>
      </c>
      <c r="BPT240" s="181">
        <v>3797</v>
      </c>
      <c r="BPU240" s="181">
        <v>3798</v>
      </c>
      <c r="BPV240" s="181">
        <v>3799</v>
      </c>
      <c r="BPW240" s="181">
        <v>3800</v>
      </c>
      <c r="BPX240" s="181">
        <v>3801</v>
      </c>
      <c r="BPY240" s="181">
        <v>3802</v>
      </c>
      <c r="BPZ240" s="181">
        <v>3803</v>
      </c>
      <c r="BQA240" s="181">
        <v>3804</v>
      </c>
      <c r="BQB240" s="181">
        <v>3805</v>
      </c>
      <c r="BQC240" s="181">
        <v>3806</v>
      </c>
      <c r="BQD240" s="181">
        <v>3807</v>
      </c>
      <c r="BQE240" s="181">
        <v>3808</v>
      </c>
      <c r="BQF240" s="181">
        <v>3809</v>
      </c>
      <c r="BQG240" s="181">
        <v>3810</v>
      </c>
      <c r="BQH240" s="181">
        <v>3811</v>
      </c>
      <c r="BQI240" s="181">
        <v>3812</v>
      </c>
      <c r="BQJ240" s="181">
        <v>3813</v>
      </c>
      <c r="BQK240" s="181">
        <v>3814</v>
      </c>
      <c r="BQL240" s="181">
        <v>3815</v>
      </c>
      <c r="BQM240" s="181">
        <v>3816</v>
      </c>
      <c r="BQN240" s="181">
        <v>3817</v>
      </c>
      <c r="BQO240" s="181">
        <v>3818</v>
      </c>
      <c r="BQP240" s="181">
        <v>3819</v>
      </c>
      <c r="BQQ240" s="181">
        <v>3820</v>
      </c>
      <c r="BQR240" s="181">
        <v>3821</v>
      </c>
      <c r="BQS240" s="181">
        <v>3822</v>
      </c>
      <c r="BQT240" s="181">
        <v>3823</v>
      </c>
      <c r="BQU240" s="181">
        <v>3824</v>
      </c>
      <c r="BQV240" s="181">
        <v>3825</v>
      </c>
      <c r="BQW240" s="181">
        <v>3826</v>
      </c>
      <c r="BQX240" s="181">
        <v>3827</v>
      </c>
      <c r="BQY240" s="181">
        <v>3828</v>
      </c>
      <c r="BQZ240" s="181">
        <v>3829</v>
      </c>
      <c r="BRA240" s="181">
        <v>3830</v>
      </c>
      <c r="BRB240" s="181">
        <v>3831</v>
      </c>
      <c r="BRC240" s="181">
        <v>3832</v>
      </c>
      <c r="BRD240" s="181">
        <v>3833</v>
      </c>
      <c r="BRE240" s="181">
        <v>3834</v>
      </c>
      <c r="BRF240" s="181">
        <v>3835</v>
      </c>
      <c r="BRG240" s="181">
        <v>3836</v>
      </c>
      <c r="BRH240" s="181">
        <v>3837</v>
      </c>
      <c r="BRI240" s="181">
        <v>3838</v>
      </c>
      <c r="BRJ240" s="181">
        <v>3839</v>
      </c>
      <c r="BRK240" s="181">
        <v>3840</v>
      </c>
      <c r="BRL240" s="181">
        <v>3841</v>
      </c>
      <c r="BRM240" s="181">
        <v>3842</v>
      </c>
      <c r="BRN240" s="181">
        <v>3843</v>
      </c>
      <c r="BRO240" s="181">
        <v>3844</v>
      </c>
      <c r="BRP240" s="181">
        <v>3845</v>
      </c>
      <c r="BRQ240" s="181">
        <v>3846</v>
      </c>
      <c r="BRR240" s="181">
        <v>3847</v>
      </c>
      <c r="BRS240" s="181">
        <v>3848</v>
      </c>
      <c r="BRT240" s="181">
        <v>3849</v>
      </c>
      <c r="BRU240" s="181">
        <v>3850</v>
      </c>
      <c r="BRV240" s="181">
        <v>3851</v>
      </c>
      <c r="BRW240" s="181">
        <v>3852</v>
      </c>
      <c r="BRX240" s="181">
        <v>3853</v>
      </c>
      <c r="BRY240" s="181">
        <v>3854</v>
      </c>
      <c r="BRZ240" s="181">
        <v>3855</v>
      </c>
      <c r="BSA240" s="181">
        <v>3856</v>
      </c>
      <c r="BSB240" s="181">
        <v>3857</v>
      </c>
      <c r="BSC240" s="181">
        <v>3858</v>
      </c>
      <c r="BSD240" s="181">
        <v>3859</v>
      </c>
      <c r="BSE240" s="181">
        <v>3860</v>
      </c>
      <c r="BSF240" s="181">
        <v>3861</v>
      </c>
      <c r="BSG240" s="181">
        <v>3862</v>
      </c>
      <c r="BSH240" s="181">
        <v>3863</v>
      </c>
      <c r="BSI240" s="181">
        <v>3864</v>
      </c>
      <c r="BSJ240" s="181">
        <v>3865</v>
      </c>
      <c r="BSK240" s="181">
        <v>3866</v>
      </c>
      <c r="BSL240" s="181">
        <v>3867</v>
      </c>
      <c r="BSM240" s="181">
        <v>3868</v>
      </c>
      <c r="BSN240" s="181">
        <v>3869</v>
      </c>
      <c r="BSO240" s="181">
        <v>3870</v>
      </c>
      <c r="BSP240" s="181">
        <v>3871</v>
      </c>
      <c r="BSQ240" s="181">
        <v>3872</v>
      </c>
      <c r="BSR240" s="181">
        <v>3873</v>
      </c>
      <c r="BSS240" s="181">
        <v>3874</v>
      </c>
      <c r="BST240" s="181">
        <v>3875</v>
      </c>
      <c r="BSU240" s="181">
        <v>3876</v>
      </c>
      <c r="BSV240" s="181">
        <v>3877</v>
      </c>
      <c r="BSW240" s="181">
        <v>3878</v>
      </c>
      <c r="BSX240" s="181">
        <v>3879</v>
      </c>
      <c r="BSY240" s="181">
        <v>3880</v>
      </c>
      <c r="BSZ240" s="181">
        <v>3881</v>
      </c>
      <c r="BTA240" s="181">
        <v>3882</v>
      </c>
      <c r="BTB240" s="181">
        <v>3883</v>
      </c>
      <c r="BTC240" s="181">
        <v>3884</v>
      </c>
      <c r="BTD240" s="181">
        <v>3885</v>
      </c>
      <c r="BTE240" s="181">
        <v>3886</v>
      </c>
      <c r="BTF240" s="181">
        <v>3887</v>
      </c>
      <c r="BTG240" s="181">
        <v>3888</v>
      </c>
      <c r="BTH240" s="181">
        <v>3889</v>
      </c>
      <c r="BTI240" s="181">
        <v>3890</v>
      </c>
      <c r="BTJ240" s="181">
        <v>3891</v>
      </c>
      <c r="BTK240" s="181">
        <v>3892</v>
      </c>
      <c r="BTL240" s="181">
        <v>3893</v>
      </c>
      <c r="BTM240" s="181">
        <v>3894</v>
      </c>
      <c r="BTN240" s="181">
        <v>3895</v>
      </c>
      <c r="BTO240" s="181">
        <v>3896</v>
      </c>
      <c r="BTP240" s="181">
        <v>3897</v>
      </c>
      <c r="BTQ240" s="181">
        <v>3898</v>
      </c>
      <c r="BTR240" s="181">
        <v>3899</v>
      </c>
      <c r="BTS240" s="181">
        <v>3900</v>
      </c>
      <c r="BTT240" s="181">
        <v>3901</v>
      </c>
      <c r="BTU240" s="181">
        <v>3902</v>
      </c>
      <c r="BTV240" s="181">
        <v>3903</v>
      </c>
      <c r="BTW240" s="181">
        <v>3904</v>
      </c>
      <c r="BTX240" s="181">
        <v>3905</v>
      </c>
      <c r="BTY240" s="181">
        <v>3906</v>
      </c>
      <c r="BTZ240" s="181">
        <v>3907</v>
      </c>
      <c r="BUA240" s="181">
        <v>3908</v>
      </c>
      <c r="BUB240" s="181">
        <v>3909</v>
      </c>
      <c r="BUC240" s="181">
        <v>3910</v>
      </c>
      <c r="BUD240" s="181">
        <v>3911</v>
      </c>
      <c r="BUE240" s="181">
        <v>3912</v>
      </c>
      <c r="BUF240" s="181">
        <v>3913</v>
      </c>
      <c r="BUG240" s="181">
        <v>3914</v>
      </c>
      <c r="BUH240" s="181">
        <v>3915</v>
      </c>
      <c r="BUI240" s="181">
        <v>3916</v>
      </c>
      <c r="BUJ240" s="181">
        <v>3917</v>
      </c>
      <c r="BUK240" s="181">
        <v>3918</v>
      </c>
      <c r="BUL240" s="181">
        <v>3919</v>
      </c>
      <c r="BUM240" s="181">
        <v>3920</v>
      </c>
      <c r="BUN240" s="181">
        <v>3921</v>
      </c>
      <c r="BUO240" s="181">
        <v>3922</v>
      </c>
      <c r="BUP240" s="181">
        <v>3923</v>
      </c>
      <c r="BUQ240" s="181">
        <v>3924</v>
      </c>
      <c r="BUR240" s="181">
        <v>3925</v>
      </c>
      <c r="BUS240" s="181">
        <v>3926</v>
      </c>
      <c r="BUT240" s="181">
        <v>3927</v>
      </c>
      <c r="BUU240" s="181">
        <v>3928</v>
      </c>
      <c r="BUV240" s="181">
        <v>3929</v>
      </c>
      <c r="BUW240" s="181">
        <v>3930</v>
      </c>
      <c r="BUX240" s="181">
        <v>3931</v>
      </c>
      <c r="BUY240" s="181">
        <v>3932</v>
      </c>
      <c r="BUZ240" s="181">
        <v>3933</v>
      </c>
      <c r="BVA240" s="181">
        <v>3934</v>
      </c>
      <c r="BVB240" s="181">
        <v>3935</v>
      </c>
      <c r="BVC240" s="181">
        <v>3936</v>
      </c>
      <c r="BVD240" s="181">
        <v>3937</v>
      </c>
      <c r="BVE240" s="181">
        <v>3938</v>
      </c>
      <c r="BVF240" s="181">
        <v>3939</v>
      </c>
      <c r="BVG240" s="181">
        <v>3940</v>
      </c>
      <c r="BVH240" s="181">
        <v>3941</v>
      </c>
      <c r="BVI240" s="181">
        <v>3942</v>
      </c>
      <c r="BVJ240" s="181">
        <v>3943</v>
      </c>
      <c r="BVK240" s="181">
        <v>3944</v>
      </c>
      <c r="BVL240" s="181">
        <v>3945</v>
      </c>
      <c r="BVM240" s="181">
        <v>3946</v>
      </c>
      <c r="BVN240" s="181">
        <v>3947</v>
      </c>
      <c r="BVO240" s="181">
        <v>3948</v>
      </c>
      <c r="BVP240" s="181">
        <v>3949</v>
      </c>
      <c r="BVQ240" s="181">
        <v>3950</v>
      </c>
      <c r="BVR240" s="181">
        <v>3951</v>
      </c>
      <c r="BVS240" s="181">
        <v>3952</v>
      </c>
      <c r="BVT240" s="181">
        <v>3953</v>
      </c>
      <c r="BVU240" s="181">
        <v>3954</v>
      </c>
      <c r="BVV240" s="181">
        <v>3955</v>
      </c>
      <c r="BVW240" s="181">
        <v>3956</v>
      </c>
      <c r="BVX240" s="181">
        <v>3957</v>
      </c>
      <c r="BVY240" s="181">
        <v>3958</v>
      </c>
      <c r="BVZ240" s="181">
        <v>3959</v>
      </c>
      <c r="BWA240" s="181">
        <v>3960</v>
      </c>
      <c r="BWB240" s="181">
        <v>3961</v>
      </c>
      <c r="BWC240" s="181">
        <v>3962</v>
      </c>
      <c r="BWD240" s="181">
        <v>3963</v>
      </c>
      <c r="BWE240" s="181">
        <v>3964</v>
      </c>
      <c r="BWF240" s="181">
        <v>3965</v>
      </c>
      <c r="BWG240" s="181">
        <v>3966</v>
      </c>
      <c r="BWH240" s="181">
        <v>3967</v>
      </c>
      <c r="BWI240" s="181">
        <v>3968</v>
      </c>
      <c r="BWJ240" s="181">
        <v>3969</v>
      </c>
      <c r="BWK240" s="181">
        <v>3970</v>
      </c>
      <c r="BWL240" s="181">
        <v>3971</v>
      </c>
      <c r="BWM240" s="181">
        <v>3972</v>
      </c>
      <c r="BWN240" s="181">
        <v>3973</v>
      </c>
      <c r="BWO240" s="181">
        <v>3974</v>
      </c>
      <c r="BWP240" s="181">
        <v>3975</v>
      </c>
      <c r="BWQ240" s="181">
        <v>3976</v>
      </c>
      <c r="BWR240" s="181">
        <v>3977</v>
      </c>
      <c r="BWS240" s="181">
        <v>3978</v>
      </c>
      <c r="BWT240" s="181">
        <v>3979</v>
      </c>
      <c r="BWU240" s="181">
        <v>3980</v>
      </c>
      <c r="BWV240" s="181">
        <v>3981</v>
      </c>
      <c r="BWW240" s="181">
        <v>3982</v>
      </c>
      <c r="BWX240" s="181">
        <v>3983</v>
      </c>
      <c r="BWY240" s="181">
        <v>3984</v>
      </c>
      <c r="BWZ240" s="181">
        <v>3985</v>
      </c>
      <c r="BXA240" s="181">
        <v>3986</v>
      </c>
      <c r="BXB240" s="181">
        <v>3987</v>
      </c>
      <c r="BXC240" s="181">
        <v>3988</v>
      </c>
      <c r="BXD240" s="181">
        <v>3989</v>
      </c>
      <c r="BXE240" s="181">
        <v>3990</v>
      </c>
      <c r="BXF240" s="181">
        <v>3991</v>
      </c>
      <c r="BXG240" s="181">
        <v>3992</v>
      </c>
      <c r="BXH240" s="181">
        <v>3993</v>
      </c>
      <c r="BXI240" s="181">
        <v>3994</v>
      </c>
      <c r="BXJ240" s="181">
        <v>3995</v>
      </c>
      <c r="BXK240" s="181">
        <v>3996</v>
      </c>
      <c r="BXL240" s="181">
        <v>3997</v>
      </c>
      <c r="BXM240" s="181">
        <v>3998</v>
      </c>
      <c r="BXN240" s="181">
        <v>3999</v>
      </c>
      <c r="BXO240" s="181">
        <v>4000</v>
      </c>
      <c r="BXP240" s="181">
        <v>4001</v>
      </c>
      <c r="BXQ240" s="181">
        <v>4002</v>
      </c>
      <c r="BXR240" s="181">
        <v>4003</v>
      </c>
      <c r="BXS240" s="181">
        <v>4004</v>
      </c>
      <c r="BXT240" s="181">
        <v>4005</v>
      </c>
      <c r="BXU240" s="181">
        <v>4006</v>
      </c>
      <c r="BXV240" s="181">
        <v>4007</v>
      </c>
      <c r="BXW240" s="181">
        <v>4008</v>
      </c>
      <c r="BXX240" s="181">
        <v>4009</v>
      </c>
      <c r="BXY240" s="181">
        <v>4010</v>
      </c>
      <c r="BXZ240" s="181">
        <v>4011</v>
      </c>
      <c r="BYA240" s="181">
        <v>4012</v>
      </c>
      <c r="BYB240" s="181">
        <v>4013</v>
      </c>
      <c r="BYC240" s="181">
        <v>4014</v>
      </c>
      <c r="BYD240" s="181">
        <v>4015</v>
      </c>
      <c r="BYE240" s="181">
        <v>4016</v>
      </c>
      <c r="BYF240" s="181">
        <v>4017</v>
      </c>
      <c r="BYG240" s="181">
        <v>4018</v>
      </c>
      <c r="BYH240" s="181">
        <v>4019</v>
      </c>
      <c r="BYI240" s="181">
        <v>4020</v>
      </c>
      <c r="BYJ240" s="181">
        <v>4021</v>
      </c>
      <c r="BYK240" s="181">
        <v>4022</v>
      </c>
      <c r="BYL240" s="181">
        <v>4023</v>
      </c>
      <c r="BYM240" s="181">
        <v>4024</v>
      </c>
      <c r="BYN240" s="181">
        <v>4025</v>
      </c>
      <c r="BYO240" s="181">
        <v>4026</v>
      </c>
      <c r="BYP240" s="181">
        <v>4027</v>
      </c>
      <c r="BYQ240" s="181">
        <v>4028</v>
      </c>
      <c r="BYR240" s="181">
        <v>4029</v>
      </c>
      <c r="BYS240" s="181">
        <v>4030</v>
      </c>
      <c r="BYT240" s="181">
        <v>4031</v>
      </c>
      <c r="BYU240" s="181">
        <v>4032</v>
      </c>
      <c r="BYV240" s="181">
        <v>4033</v>
      </c>
      <c r="BYW240" s="181">
        <v>4034</v>
      </c>
      <c r="BYX240" s="181">
        <v>4035</v>
      </c>
      <c r="BYY240" s="181">
        <v>4036</v>
      </c>
      <c r="BYZ240" s="181">
        <v>4037</v>
      </c>
      <c r="BZA240" s="181">
        <v>4038</v>
      </c>
      <c r="BZB240" s="181">
        <v>4039</v>
      </c>
      <c r="BZC240" s="181">
        <v>4040</v>
      </c>
      <c r="BZD240" s="181">
        <v>4041</v>
      </c>
      <c r="BZE240" s="181">
        <v>4042</v>
      </c>
      <c r="BZF240" s="181">
        <v>4043</v>
      </c>
      <c r="BZG240" s="181">
        <v>4044</v>
      </c>
      <c r="BZH240" s="181">
        <v>4045</v>
      </c>
      <c r="BZI240" s="181">
        <v>4046</v>
      </c>
      <c r="BZJ240" s="181">
        <v>4047</v>
      </c>
      <c r="BZK240" s="181">
        <v>4048</v>
      </c>
      <c r="BZL240" s="181">
        <v>4049</v>
      </c>
      <c r="BZM240" s="181">
        <v>4050</v>
      </c>
      <c r="BZN240" s="181">
        <v>4051</v>
      </c>
      <c r="BZO240" s="181">
        <v>4052</v>
      </c>
      <c r="BZP240" s="181">
        <v>4053</v>
      </c>
      <c r="BZQ240" s="181">
        <v>4054</v>
      </c>
      <c r="BZR240" s="181">
        <v>4055</v>
      </c>
      <c r="BZS240" s="181">
        <v>4056</v>
      </c>
      <c r="BZT240" s="181">
        <v>4057</v>
      </c>
      <c r="BZU240" s="181">
        <v>4058</v>
      </c>
      <c r="BZV240" s="181">
        <v>4059</v>
      </c>
      <c r="BZW240" s="181">
        <v>4060</v>
      </c>
      <c r="BZX240" s="181">
        <v>4061</v>
      </c>
      <c r="BZY240" s="181">
        <v>4062</v>
      </c>
      <c r="BZZ240" s="181">
        <v>4063</v>
      </c>
      <c r="CAA240" s="181">
        <v>4064</v>
      </c>
      <c r="CAB240" s="181">
        <v>4065</v>
      </c>
      <c r="CAC240" s="181">
        <v>4066</v>
      </c>
      <c r="CAD240" s="181">
        <v>4067</v>
      </c>
      <c r="CAE240" s="181">
        <v>4068</v>
      </c>
      <c r="CAF240" s="181">
        <v>4069</v>
      </c>
      <c r="CAG240" s="181">
        <v>4070</v>
      </c>
      <c r="CAH240" s="181">
        <v>4071</v>
      </c>
      <c r="CAI240" s="181">
        <v>4072</v>
      </c>
      <c r="CAJ240" s="181">
        <v>4073</v>
      </c>
      <c r="CAK240" s="181">
        <v>4074</v>
      </c>
      <c r="CAL240" s="181">
        <v>4075</v>
      </c>
      <c r="CAM240" s="181">
        <v>4076</v>
      </c>
      <c r="CAN240" s="181">
        <v>4077</v>
      </c>
      <c r="CAO240" s="181">
        <v>4078</v>
      </c>
      <c r="CAP240" s="181">
        <v>4079</v>
      </c>
      <c r="CAQ240" s="181">
        <v>4080</v>
      </c>
      <c r="CAR240" s="181">
        <v>4081</v>
      </c>
      <c r="CAS240" s="181">
        <v>4082</v>
      </c>
      <c r="CAT240" s="181">
        <v>4083</v>
      </c>
      <c r="CAU240" s="181">
        <v>4084</v>
      </c>
      <c r="CAV240" s="181">
        <v>4085</v>
      </c>
      <c r="CAW240" s="181">
        <v>4086</v>
      </c>
      <c r="CAX240" s="181">
        <v>4087</v>
      </c>
      <c r="CAY240" s="181">
        <v>4088</v>
      </c>
      <c r="CAZ240" s="181">
        <v>4089</v>
      </c>
      <c r="CBA240" s="181">
        <v>4090</v>
      </c>
      <c r="CBB240" s="181">
        <v>4091</v>
      </c>
      <c r="CBC240" s="181">
        <v>4092</v>
      </c>
      <c r="CBD240" s="181">
        <v>4093</v>
      </c>
      <c r="CBE240" s="181">
        <v>4094</v>
      </c>
      <c r="CBF240" s="181">
        <v>4095</v>
      </c>
      <c r="CBG240" s="181">
        <v>4096</v>
      </c>
      <c r="CBH240" s="181">
        <v>4097</v>
      </c>
      <c r="CBI240" s="181">
        <v>4098</v>
      </c>
      <c r="CBJ240" s="181">
        <v>4099</v>
      </c>
      <c r="CBK240" s="181">
        <v>4100</v>
      </c>
      <c r="CBL240" s="181">
        <v>4101</v>
      </c>
      <c r="CBM240" s="181">
        <v>4102</v>
      </c>
      <c r="CBN240" s="181">
        <v>4103</v>
      </c>
      <c r="CBO240" s="181">
        <v>4104</v>
      </c>
      <c r="CBP240" s="181">
        <v>4105</v>
      </c>
      <c r="CBQ240" s="181">
        <v>4106</v>
      </c>
      <c r="CBR240" s="181">
        <v>4107</v>
      </c>
      <c r="CBS240" s="181">
        <v>4108</v>
      </c>
      <c r="CBT240" s="181">
        <v>4109</v>
      </c>
      <c r="CBU240" s="181">
        <v>4110</v>
      </c>
      <c r="CBV240" s="181">
        <v>4111</v>
      </c>
      <c r="CBW240" s="181">
        <v>4112</v>
      </c>
      <c r="CBX240" s="181">
        <v>4113</v>
      </c>
      <c r="CBY240" s="181">
        <v>4114</v>
      </c>
      <c r="CBZ240" s="181">
        <v>4115</v>
      </c>
      <c r="CCA240" s="181">
        <v>4116</v>
      </c>
      <c r="CCB240" s="181">
        <v>4117</v>
      </c>
      <c r="CCC240" s="181">
        <v>4118</v>
      </c>
      <c r="CCD240" s="181">
        <v>4119</v>
      </c>
      <c r="CCE240" s="181">
        <v>4120</v>
      </c>
      <c r="CCF240" s="181">
        <v>4121</v>
      </c>
      <c r="CCG240" s="181">
        <v>4122</v>
      </c>
      <c r="CCH240" s="181">
        <v>4123</v>
      </c>
      <c r="CCI240" s="181">
        <v>4124</v>
      </c>
      <c r="CCJ240" s="181">
        <v>4125</v>
      </c>
      <c r="CCK240" s="181">
        <v>4126</v>
      </c>
      <c r="CCL240" s="181">
        <v>4127</v>
      </c>
      <c r="CCM240" s="181">
        <v>4128</v>
      </c>
      <c r="CCN240" s="181">
        <v>4129</v>
      </c>
      <c r="CCO240" s="181">
        <v>4130</v>
      </c>
      <c r="CCP240" s="181">
        <v>4131</v>
      </c>
      <c r="CCQ240" s="181">
        <v>4132</v>
      </c>
      <c r="CCR240" s="181">
        <v>4133</v>
      </c>
      <c r="CCS240" s="181">
        <v>4134</v>
      </c>
      <c r="CCT240" s="181">
        <v>4135</v>
      </c>
      <c r="CCU240" s="181">
        <v>4136</v>
      </c>
      <c r="CCV240" s="181">
        <v>4137</v>
      </c>
      <c r="CCW240" s="181">
        <v>4138</v>
      </c>
      <c r="CCX240" s="181">
        <v>4139</v>
      </c>
      <c r="CCY240" s="181">
        <v>4140</v>
      </c>
      <c r="CCZ240" s="181">
        <v>4141</v>
      </c>
      <c r="CDA240" s="181">
        <v>4142</v>
      </c>
      <c r="CDB240" s="181">
        <v>4143</v>
      </c>
      <c r="CDC240" s="181">
        <v>4144</v>
      </c>
      <c r="CDD240" s="181">
        <v>4145</v>
      </c>
      <c r="CDE240" s="181">
        <v>4146</v>
      </c>
      <c r="CDF240" s="181">
        <v>4147</v>
      </c>
      <c r="CDG240" s="181">
        <v>4148</v>
      </c>
      <c r="CDH240" s="181">
        <v>4149</v>
      </c>
      <c r="CDI240" s="181">
        <v>4150</v>
      </c>
      <c r="CDJ240" s="181">
        <v>4151</v>
      </c>
      <c r="CDK240" s="181">
        <v>4152</v>
      </c>
      <c r="CDL240" s="181">
        <v>4153</v>
      </c>
      <c r="CDM240" s="181">
        <v>4154</v>
      </c>
      <c r="CDN240" s="181">
        <v>4155</v>
      </c>
      <c r="CDO240" s="181">
        <v>4156</v>
      </c>
      <c r="CDP240" s="181">
        <v>4157</v>
      </c>
      <c r="CDQ240" s="181">
        <v>4158</v>
      </c>
      <c r="CDR240" s="181">
        <v>4159</v>
      </c>
      <c r="CDS240" s="181">
        <v>4160</v>
      </c>
      <c r="CDT240" s="181">
        <v>4161</v>
      </c>
      <c r="CDU240" s="181">
        <v>4162</v>
      </c>
      <c r="CDV240" s="181">
        <v>4163</v>
      </c>
      <c r="CDW240" s="181">
        <v>4164</v>
      </c>
      <c r="CDX240" s="181">
        <v>4165</v>
      </c>
      <c r="CDY240" s="181">
        <v>4166</v>
      </c>
      <c r="CDZ240" s="181">
        <v>4167</v>
      </c>
      <c r="CEA240" s="181">
        <v>4168</v>
      </c>
      <c r="CEB240" s="181">
        <v>4169</v>
      </c>
      <c r="CEC240" s="181">
        <v>4170</v>
      </c>
      <c r="CED240" s="181">
        <v>4171</v>
      </c>
      <c r="CEE240" s="181">
        <v>4172</v>
      </c>
      <c r="CEF240" s="181">
        <v>4173</v>
      </c>
      <c r="CEG240" s="181">
        <v>4174</v>
      </c>
      <c r="CEH240" s="181">
        <v>4175</v>
      </c>
      <c r="CEI240" s="181">
        <v>4176</v>
      </c>
      <c r="CEJ240" s="181">
        <v>4177</v>
      </c>
      <c r="CEK240" s="181">
        <v>4178</v>
      </c>
      <c r="CEL240" s="181">
        <v>4179</v>
      </c>
      <c r="CEM240" s="181">
        <v>4180</v>
      </c>
      <c r="CEN240" s="181">
        <v>4181</v>
      </c>
      <c r="CEO240" s="181">
        <v>4182</v>
      </c>
      <c r="CEP240" s="181">
        <v>4183</v>
      </c>
      <c r="CEQ240" s="181">
        <v>4184</v>
      </c>
      <c r="CER240" s="181">
        <v>4185</v>
      </c>
      <c r="CES240" s="181">
        <v>4186</v>
      </c>
      <c r="CET240" s="181">
        <v>4187</v>
      </c>
      <c r="CEU240" s="181">
        <v>4188</v>
      </c>
      <c r="CEV240" s="181">
        <v>4189</v>
      </c>
      <c r="CEW240" s="181">
        <v>4190</v>
      </c>
      <c r="CEX240" s="181">
        <v>4191</v>
      </c>
      <c r="CEY240" s="181">
        <v>4192</v>
      </c>
      <c r="CEZ240" s="181">
        <v>4193</v>
      </c>
      <c r="CFA240" s="181">
        <v>4194</v>
      </c>
      <c r="CFB240" s="181">
        <v>4195</v>
      </c>
      <c r="CFC240" s="181">
        <v>4196</v>
      </c>
      <c r="CFD240" s="181">
        <v>4197</v>
      </c>
      <c r="CFE240" s="181">
        <v>4198</v>
      </c>
      <c r="CFF240" s="181">
        <v>4199</v>
      </c>
      <c r="CFG240" s="181">
        <v>4200</v>
      </c>
      <c r="CFH240" s="181">
        <v>4201</v>
      </c>
      <c r="CFI240" s="181">
        <v>4202</v>
      </c>
      <c r="CFJ240" s="181">
        <v>4203</v>
      </c>
      <c r="CFK240" s="181">
        <v>4204</v>
      </c>
      <c r="CFL240" s="181">
        <v>4205</v>
      </c>
      <c r="CFM240" s="181">
        <v>4206</v>
      </c>
      <c r="CFN240" s="181">
        <v>4207</v>
      </c>
      <c r="CFO240" s="181">
        <v>4208</v>
      </c>
      <c r="CFP240" s="181">
        <v>4209</v>
      </c>
      <c r="CFQ240" s="181">
        <v>4210</v>
      </c>
      <c r="CFR240" s="181">
        <v>4211</v>
      </c>
      <c r="CFS240" s="181">
        <v>4212</v>
      </c>
      <c r="CFT240" s="181">
        <v>4213</v>
      </c>
      <c r="CFU240" s="181">
        <v>4214</v>
      </c>
      <c r="CFV240" s="181">
        <v>4215</v>
      </c>
      <c r="CFW240" s="181">
        <v>4216</v>
      </c>
      <c r="CFX240" s="181">
        <v>4217</v>
      </c>
      <c r="CFY240" s="181">
        <v>4218</v>
      </c>
      <c r="CFZ240" s="181">
        <v>4219</v>
      </c>
      <c r="CGA240" s="181">
        <v>4220</v>
      </c>
      <c r="CGB240" s="181">
        <v>4221</v>
      </c>
      <c r="CGC240" s="181">
        <v>4222</v>
      </c>
      <c r="CGD240" s="181">
        <v>4223</v>
      </c>
      <c r="CGE240" s="181">
        <v>4224</v>
      </c>
      <c r="CGF240" s="181">
        <v>4225</v>
      </c>
      <c r="CGG240" s="181">
        <v>4226</v>
      </c>
      <c r="CGH240" s="181">
        <v>4227</v>
      </c>
      <c r="CGI240" s="181">
        <v>4228</v>
      </c>
      <c r="CGJ240" s="181">
        <v>4229</v>
      </c>
      <c r="CGK240" s="181">
        <v>4230</v>
      </c>
      <c r="CGL240" s="181">
        <v>4231</v>
      </c>
      <c r="CGM240" s="181">
        <v>4232</v>
      </c>
      <c r="CGN240" s="181">
        <v>4233</v>
      </c>
      <c r="CGO240" s="181">
        <v>4234</v>
      </c>
      <c r="CGP240" s="181">
        <v>4235</v>
      </c>
      <c r="CGQ240" s="181">
        <v>4236</v>
      </c>
      <c r="CGR240" s="181">
        <v>4237</v>
      </c>
      <c r="CGS240" s="181">
        <v>4238</v>
      </c>
      <c r="CGT240" s="181">
        <v>4239</v>
      </c>
      <c r="CGU240" s="181">
        <v>4240</v>
      </c>
      <c r="CGV240" s="181">
        <v>4241</v>
      </c>
      <c r="CGW240" s="181">
        <v>4242</v>
      </c>
      <c r="CGX240" s="181">
        <v>4243</v>
      </c>
      <c r="CGY240" s="181">
        <v>4244</v>
      </c>
      <c r="CGZ240" s="181">
        <v>4245</v>
      </c>
      <c r="CHA240" s="181">
        <v>4246</v>
      </c>
      <c r="CHB240" s="181">
        <v>4247</v>
      </c>
      <c r="CHC240" s="181">
        <v>4248</v>
      </c>
      <c r="CHD240" s="181">
        <v>4249</v>
      </c>
      <c r="CHE240" s="181">
        <v>4250</v>
      </c>
      <c r="CHF240" s="181">
        <v>4251</v>
      </c>
      <c r="CHG240" s="181">
        <v>4252</v>
      </c>
      <c r="CHH240" s="181">
        <v>4253</v>
      </c>
      <c r="CHI240" s="181">
        <v>4254</v>
      </c>
      <c r="CHJ240" s="181">
        <v>4255</v>
      </c>
      <c r="CHK240" s="181">
        <v>4256</v>
      </c>
      <c r="CHL240" s="181">
        <v>4257</v>
      </c>
      <c r="CHM240" s="181">
        <v>4258</v>
      </c>
      <c r="CHN240" s="181">
        <v>4259</v>
      </c>
      <c r="CHO240" s="181">
        <v>4260</v>
      </c>
      <c r="CHP240" s="181">
        <v>4261</v>
      </c>
      <c r="CHQ240" s="181">
        <v>4262</v>
      </c>
      <c r="CHR240" s="181">
        <v>4263</v>
      </c>
      <c r="CHS240" s="181">
        <v>4264</v>
      </c>
      <c r="CHT240" s="181">
        <v>4265</v>
      </c>
      <c r="CHU240" s="181">
        <v>4266</v>
      </c>
      <c r="CHV240" s="181">
        <v>4267</v>
      </c>
      <c r="CHW240" s="181">
        <v>4268</v>
      </c>
      <c r="CHX240" s="181">
        <v>4269</v>
      </c>
      <c r="CHY240" s="181">
        <v>4270</v>
      </c>
      <c r="CHZ240" s="181">
        <v>4271</v>
      </c>
      <c r="CIA240" s="181">
        <v>4272</v>
      </c>
      <c r="CIB240" s="181">
        <v>4273</v>
      </c>
      <c r="CIC240" s="181">
        <v>4274</v>
      </c>
      <c r="CID240" s="181">
        <v>4275</v>
      </c>
      <c r="CIE240" s="181">
        <v>4276</v>
      </c>
      <c r="CIF240" s="181">
        <v>4277</v>
      </c>
      <c r="CIG240" s="181">
        <v>4278</v>
      </c>
      <c r="CIH240" s="181">
        <v>4279</v>
      </c>
      <c r="CII240" s="181">
        <v>4280</v>
      </c>
      <c r="CIJ240" s="181">
        <v>4281</v>
      </c>
      <c r="CIK240" s="181">
        <v>4282</v>
      </c>
      <c r="CIL240" s="181">
        <v>4283</v>
      </c>
      <c r="CIM240" s="181">
        <v>4284</v>
      </c>
      <c r="CIN240" s="181">
        <v>4285</v>
      </c>
      <c r="CIO240" s="181">
        <v>4286</v>
      </c>
      <c r="CIP240" s="181">
        <v>4287</v>
      </c>
      <c r="CIQ240" s="181">
        <v>4288</v>
      </c>
      <c r="CIR240" s="181">
        <v>4289</v>
      </c>
      <c r="CIS240" s="181">
        <v>4290</v>
      </c>
      <c r="CIT240" s="181">
        <v>4291</v>
      </c>
      <c r="CIU240" s="181">
        <v>4292</v>
      </c>
      <c r="CIV240" s="181">
        <v>4293</v>
      </c>
      <c r="CIW240" s="181">
        <v>4294</v>
      </c>
      <c r="CIX240" s="181">
        <v>4295</v>
      </c>
      <c r="CIY240" s="181">
        <v>4296</v>
      </c>
      <c r="CIZ240" s="181">
        <v>4297</v>
      </c>
      <c r="CJA240" s="181">
        <v>4298</v>
      </c>
      <c r="CJB240" s="181">
        <v>4299</v>
      </c>
      <c r="CJC240" s="181">
        <v>4300</v>
      </c>
      <c r="CJD240" s="181">
        <v>4301</v>
      </c>
      <c r="CJE240" s="181">
        <v>4302</v>
      </c>
      <c r="CJF240" s="181">
        <v>4303</v>
      </c>
      <c r="CJG240" s="181">
        <v>4304</v>
      </c>
      <c r="CJH240" s="181">
        <v>4305</v>
      </c>
      <c r="CJI240" s="181">
        <v>4306</v>
      </c>
      <c r="CJJ240" s="181">
        <v>4307</v>
      </c>
      <c r="CJK240" s="181">
        <v>4308</v>
      </c>
      <c r="CJL240" s="181">
        <v>4309</v>
      </c>
      <c r="CJM240" s="181">
        <v>4310</v>
      </c>
      <c r="CJN240" s="181">
        <v>4311</v>
      </c>
      <c r="CJO240" s="181">
        <v>4312</v>
      </c>
      <c r="CJP240" s="181">
        <v>4313</v>
      </c>
      <c r="CJQ240" s="181">
        <v>4314</v>
      </c>
      <c r="CJR240" s="181">
        <v>4315</v>
      </c>
      <c r="CJS240" s="181">
        <v>4316</v>
      </c>
      <c r="CJT240" s="181">
        <v>4317</v>
      </c>
      <c r="CJU240" s="181">
        <v>4318</v>
      </c>
      <c r="CJV240" s="181">
        <v>4319</v>
      </c>
      <c r="CJW240" s="181">
        <v>4320</v>
      </c>
      <c r="CJX240" s="181">
        <v>4321</v>
      </c>
      <c r="CJY240" s="181">
        <v>4322</v>
      </c>
      <c r="CJZ240" s="181">
        <v>4323</v>
      </c>
      <c r="CKA240" s="181">
        <v>4324</v>
      </c>
      <c r="CKB240" s="181">
        <v>4325</v>
      </c>
      <c r="CKC240" s="181">
        <v>4326</v>
      </c>
      <c r="CKD240" s="181">
        <v>4327</v>
      </c>
      <c r="CKE240" s="181">
        <v>4328</v>
      </c>
      <c r="CKF240" s="181">
        <v>4329</v>
      </c>
      <c r="CKG240" s="181">
        <v>4330</v>
      </c>
      <c r="CKH240" s="181">
        <v>4331</v>
      </c>
      <c r="CKI240" s="181">
        <v>4332</v>
      </c>
      <c r="CKJ240" s="181">
        <v>4333</v>
      </c>
      <c r="CKK240" s="181">
        <v>4334</v>
      </c>
      <c r="CKL240" s="181">
        <v>4335</v>
      </c>
      <c r="CKM240" s="181">
        <v>4336</v>
      </c>
      <c r="CKN240" s="181">
        <v>4337</v>
      </c>
      <c r="CKO240" s="181">
        <v>4338</v>
      </c>
      <c r="CKP240" s="181">
        <v>4339</v>
      </c>
      <c r="CKQ240" s="181">
        <v>4340</v>
      </c>
      <c r="CKR240" s="181">
        <v>4341</v>
      </c>
      <c r="CKS240" s="181">
        <v>4342</v>
      </c>
      <c r="CKT240" s="181">
        <v>4343</v>
      </c>
      <c r="CKU240" s="181">
        <v>4344</v>
      </c>
      <c r="CKV240" s="181">
        <v>4345</v>
      </c>
      <c r="CKW240" s="181">
        <v>4346</v>
      </c>
      <c r="CKX240" s="181">
        <v>4347</v>
      </c>
      <c r="CKY240" s="181">
        <v>4348</v>
      </c>
      <c r="CKZ240" s="181">
        <v>4349</v>
      </c>
      <c r="CLA240" s="181">
        <v>4350</v>
      </c>
      <c r="CLB240" s="181">
        <v>4351</v>
      </c>
      <c r="CLC240" s="181">
        <v>4352</v>
      </c>
      <c r="CLD240" s="181">
        <v>4353</v>
      </c>
      <c r="CLE240" s="181">
        <v>4354</v>
      </c>
      <c r="CLF240" s="181">
        <v>4355</v>
      </c>
      <c r="CLG240" s="181">
        <v>4356</v>
      </c>
      <c r="CLH240" s="181">
        <v>4357</v>
      </c>
      <c r="CLI240" s="181">
        <v>4358</v>
      </c>
      <c r="CLJ240" s="181">
        <v>4359</v>
      </c>
      <c r="CLK240" s="181">
        <v>4360</v>
      </c>
      <c r="CLL240" s="181">
        <v>4361</v>
      </c>
      <c r="CLM240" s="181">
        <v>4362</v>
      </c>
      <c r="CLN240" s="181">
        <v>4363</v>
      </c>
      <c r="CLO240" s="181">
        <v>4364</v>
      </c>
      <c r="CLP240" s="181">
        <v>4365</v>
      </c>
      <c r="CLQ240" s="181">
        <v>4366</v>
      </c>
      <c r="CLR240" s="181">
        <v>4367</v>
      </c>
      <c r="CLS240" s="181">
        <v>4368</v>
      </c>
      <c r="CLT240" s="181">
        <v>4369</v>
      </c>
      <c r="CLU240" s="181">
        <v>4370</v>
      </c>
      <c r="CLV240" s="181">
        <v>4371</v>
      </c>
      <c r="CLW240" s="181">
        <v>4372</v>
      </c>
      <c r="CLX240" s="181">
        <v>4373</v>
      </c>
      <c r="CLY240" s="181">
        <v>4374</v>
      </c>
      <c r="CLZ240" s="181">
        <v>4375</v>
      </c>
      <c r="CMA240" s="181">
        <v>4376</v>
      </c>
      <c r="CMB240" s="181">
        <v>4377</v>
      </c>
      <c r="CMC240" s="181">
        <v>4378</v>
      </c>
      <c r="CMD240" s="181">
        <v>4379</v>
      </c>
      <c r="CME240" s="181">
        <v>4380</v>
      </c>
      <c r="CMF240" s="181">
        <v>4381</v>
      </c>
      <c r="CMG240" s="181">
        <v>4382</v>
      </c>
      <c r="CMH240" s="181">
        <v>4383</v>
      </c>
      <c r="CMI240" s="181">
        <v>4384</v>
      </c>
      <c r="CMJ240" s="181">
        <v>4385</v>
      </c>
      <c r="CMK240" s="181">
        <v>4386</v>
      </c>
      <c r="CML240" s="181">
        <v>4387</v>
      </c>
      <c r="CMM240" s="181">
        <v>4388</v>
      </c>
      <c r="CMN240" s="181">
        <v>4389</v>
      </c>
      <c r="CMO240" s="181">
        <v>4390</v>
      </c>
      <c r="CMP240" s="181">
        <v>4391</v>
      </c>
      <c r="CMQ240" s="181">
        <v>4392</v>
      </c>
      <c r="CMR240" s="181">
        <v>4393</v>
      </c>
      <c r="CMS240" s="181">
        <v>4394</v>
      </c>
      <c r="CMT240" s="181">
        <v>4395</v>
      </c>
      <c r="CMU240" s="181">
        <v>4396</v>
      </c>
      <c r="CMV240" s="181">
        <v>4397</v>
      </c>
      <c r="CMW240" s="181">
        <v>4398</v>
      </c>
      <c r="CMX240" s="181">
        <v>4399</v>
      </c>
      <c r="CMY240" s="181">
        <v>4400</v>
      </c>
      <c r="CMZ240" s="181">
        <v>4401</v>
      </c>
      <c r="CNA240" s="181">
        <v>4402</v>
      </c>
      <c r="CNB240" s="181">
        <v>4403</v>
      </c>
      <c r="CNC240" s="181">
        <v>4404</v>
      </c>
      <c r="CND240" s="181">
        <v>4405</v>
      </c>
      <c r="CNE240" s="181">
        <v>4406</v>
      </c>
      <c r="CNF240" s="181">
        <v>4407</v>
      </c>
      <c r="CNG240" s="181">
        <v>4408</v>
      </c>
      <c r="CNH240" s="181">
        <v>4409</v>
      </c>
      <c r="CNI240" s="181">
        <v>4410</v>
      </c>
      <c r="CNJ240" s="181">
        <v>4411</v>
      </c>
      <c r="CNK240" s="181">
        <v>4412</v>
      </c>
      <c r="CNL240" s="181">
        <v>4413</v>
      </c>
      <c r="CNM240" s="181">
        <v>4414</v>
      </c>
      <c r="CNN240" s="181">
        <v>4415</v>
      </c>
      <c r="CNO240" s="181">
        <v>4416</v>
      </c>
      <c r="CNP240" s="181">
        <v>4417</v>
      </c>
      <c r="CNQ240" s="181">
        <v>4418</v>
      </c>
      <c r="CNR240" s="181">
        <v>4419</v>
      </c>
      <c r="CNS240" s="181">
        <v>4420</v>
      </c>
      <c r="CNT240" s="181">
        <v>4421</v>
      </c>
      <c r="CNU240" s="181">
        <v>4422</v>
      </c>
      <c r="CNV240" s="181">
        <v>4423</v>
      </c>
      <c r="CNW240" s="181">
        <v>4424</v>
      </c>
      <c r="CNX240" s="181">
        <v>4425</v>
      </c>
      <c r="CNY240" s="181">
        <v>4426</v>
      </c>
      <c r="CNZ240" s="181">
        <v>4427</v>
      </c>
      <c r="COA240" s="181">
        <v>4428</v>
      </c>
      <c r="COB240" s="181">
        <v>4429</v>
      </c>
      <c r="COC240" s="181">
        <v>4430</v>
      </c>
      <c r="COD240" s="181">
        <v>4431</v>
      </c>
      <c r="COE240" s="181">
        <v>4432</v>
      </c>
      <c r="COF240" s="181">
        <v>4433</v>
      </c>
      <c r="COG240" s="181">
        <v>4434</v>
      </c>
      <c r="COH240" s="181">
        <v>4435</v>
      </c>
      <c r="COI240" s="181">
        <v>4436</v>
      </c>
      <c r="COJ240" s="181">
        <v>4437</v>
      </c>
      <c r="COK240" s="181">
        <v>4438</v>
      </c>
      <c r="COL240" s="181">
        <v>4439</v>
      </c>
      <c r="COM240" s="181">
        <v>4440</v>
      </c>
      <c r="CON240" s="181">
        <v>4441</v>
      </c>
      <c r="COO240" s="181">
        <v>4442</v>
      </c>
      <c r="COP240" s="181">
        <v>4443</v>
      </c>
      <c r="COQ240" s="181">
        <v>4444</v>
      </c>
      <c r="COR240" s="181">
        <v>4445</v>
      </c>
      <c r="COS240" s="181">
        <v>4446</v>
      </c>
      <c r="COT240" s="181">
        <v>4447</v>
      </c>
      <c r="COU240" s="181">
        <v>4448</v>
      </c>
      <c r="COV240" s="181">
        <v>4449</v>
      </c>
      <c r="COW240" s="181">
        <v>4450</v>
      </c>
      <c r="COX240" s="181">
        <v>4451</v>
      </c>
      <c r="COY240" s="181">
        <v>4452</v>
      </c>
      <c r="COZ240" s="181">
        <v>4453</v>
      </c>
      <c r="CPA240" s="181">
        <v>4454</v>
      </c>
      <c r="CPB240" s="181">
        <v>4455</v>
      </c>
      <c r="CPC240" s="181">
        <v>4456</v>
      </c>
      <c r="CPD240" s="181">
        <v>4457</v>
      </c>
      <c r="CPE240" s="181">
        <v>4458</v>
      </c>
      <c r="CPF240" s="181">
        <v>4459</v>
      </c>
      <c r="CPG240" s="181">
        <v>4460</v>
      </c>
      <c r="CPH240" s="181">
        <v>4461</v>
      </c>
      <c r="CPI240" s="181">
        <v>4462</v>
      </c>
      <c r="CPJ240" s="181">
        <v>4463</v>
      </c>
      <c r="CPK240" s="181">
        <v>4464</v>
      </c>
      <c r="CPL240" s="181">
        <v>4465</v>
      </c>
      <c r="CPM240" s="181">
        <v>4466</v>
      </c>
      <c r="CPN240" s="181">
        <v>4467</v>
      </c>
      <c r="CPO240" s="181">
        <v>4468</v>
      </c>
      <c r="CPP240" s="181">
        <v>4469</v>
      </c>
      <c r="CPQ240" s="181">
        <v>4470</v>
      </c>
      <c r="CPR240" s="181">
        <v>4471</v>
      </c>
      <c r="CPS240" s="181">
        <v>4472</v>
      </c>
      <c r="CPT240" s="181">
        <v>4473</v>
      </c>
      <c r="CPU240" s="181">
        <v>4474</v>
      </c>
      <c r="CPV240" s="181">
        <v>4475</v>
      </c>
      <c r="CPW240" s="181">
        <v>4476</v>
      </c>
      <c r="CPX240" s="181">
        <v>4477</v>
      </c>
      <c r="CPY240" s="181">
        <v>4478</v>
      </c>
      <c r="CPZ240" s="181">
        <v>4479</v>
      </c>
      <c r="CQA240" s="181">
        <v>4480</v>
      </c>
      <c r="CQB240" s="181">
        <v>4481</v>
      </c>
      <c r="CQC240" s="181">
        <v>4482</v>
      </c>
      <c r="CQD240" s="181">
        <v>4483</v>
      </c>
      <c r="CQE240" s="181">
        <v>4484</v>
      </c>
      <c r="CQF240" s="181">
        <v>4485</v>
      </c>
      <c r="CQG240" s="181">
        <v>4486</v>
      </c>
      <c r="CQH240" s="181">
        <v>4487</v>
      </c>
      <c r="CQI240" s="181">
        <v>4488</v>
      </c>
      <c r="CQJ240" s="181">
        <v>4489</v>
      </c>
      <c r="CQK240" s="181">
        <v>4490</v>
      </c>
      <c r="CQL240" s="181">
        <v>4491</v>
      </c>
      <c r="CQM240" s="181">
        <v>4492</v>
      </c>
      <c r="CQN240" s="181">
        <v>4493</v>
      </c>
      <c r="CQO240" s="181">
        <v>4494</v>
      </c>
      <c r="CQP240" s="181">
        <v>4495</v>
      </c>
      <c r="CQQ240" s="181">
        <v>4496</v>
      </c>
      <c r="CQR240" s="181">
        <v>4497</v>
      </c>
      <c r="CQS240" s="181">
        <v>4498</v>
      </c>
      <c r="CQT240" s="181">
        <v>4499</v>
      </c>
      <c r="CQU240" s="181">
        <v>4500</v>
      </c>
      <c r="CQV240" s="181">
        <v>4501</v>
      </c>
      <c r="CQW240" s="181">
        <v>4502</v>
      </c>
      <c r="CQX240" s="181">
        <v>4503</v>
      </c>
      <c r="CQY240" s="181">
        <v>4504</v>
      </c>
      <c r="CQZ240" s="181">
        <v>4505</v>
      </c>
      <c r="CRA240" s="181">
        <v>4506</v>
      </c>
      <c r="CRB240" s="181">
        <v>4507</v>
      </c>
      <c r="CRC240" s="181">
        <v>4508</v>
      </c>
      <c r="CRD240" s="181">
        <v>4509</v>
      </c>
      <c r="CRE240" s="181">
        <v>4510</v>
      </c>
      <c r="CRF240" s="181">
        <v>4511</v>
      </c>
      <c r="CRG240" s="181">
        <v>4512</v>
      </c>
      <c r="CRH240" s="181">
        <v>4513</v>
      </c>
      <c r="CRI240" s="181">
        <v>4514</v>
      </c>
      <c r="CRJ240" s="181">
        <v>4515</v>
      </c>
      <c r="CRK240" s="181">
        <v>4516</v>
      </c>
      <c r="CRL240" s="181">
        <v>4517</v>
      </c>
      <c r="CRM240" s="181">
        <v>4518</v>
      </c>
      <c r="CRN240" s="181">
        <v>4519</v>
      </c>
      <c r="CRO240" s="181">
        <v>4520</v>
      </c>
      <c r="CRP240" s="181">
        <v>4521</v>
      </c>
      <c r="CRQ240" s="181">
        <v>4522</v>
      </c>
      <c r="CRR240" s="181">
        <v>4523</v>
      </c>
      <c r="CRS240" s="181">
        <v>4524</v>
      </c>
      <c r="CRT240" s="181">
        <v>4525</v>
      </c>
      <c r="CRU240" s="181">
        <v>4526</v>
      </c>
      <c r="CRV240" s="181">
        <v>4527</v>
      </c>
      <c r="CRW240" s="181">
        <v>4528</v>
      </c>
      <c r="CRX240" s="181">
        <v>4529</v>
      </c>
      <c r="CRY240" s="181">
        <v>4530</v>
      </c>
      <c r="CRZ240" s="181">
        <v>4531</v>
      </c>
      <c r="CSA240" s="181">
        <v>4532</v>
      </c>
      <c r="CSB240" s="181">
        <v>4533</v>
      </c>
      <c r="CSC240" s="181">
        <v>4534</v>
      </c>
      <c r="CSD240" s="181">
        <v>4535</v>
      </c>
      <c r="CSE240" s="181">
        <v>4536</v>
      </c>
      <c r="CSF240" s="181">
        <v>4537</v>
      </c>
      <c r="CSG240" s="181">
        <v>4538</v>
      </c>
      <c r="CSH240" s="181">
        <v>4539</v>
      </c>
      <c r="CSI240" s="181">
        <v>4540</v>
      </c>
      <c r="CSJ240" s="181">
        <v>4541</v>
      </c>
      <c r="CSK240" s="181">
        <v>4542</v>
      </c>
      <c r="CSL240" s="181">
        <v>4543</v>
      </c>
      <c r="CSM240" s="181">
        <v>4544</v>
      </c>
      <c r="CSN240" s="181">
        <v>4545</v>
      </c>
      <c r="CSO240" s="181">
        <v>4546</v>
      </c>
      <c r="CSP240" s="181">
        <v>4547</v>
      </c>
      <c r="CSQ240" s="181">
        <v>4548</v>
      </c>
      <c r="CSR240" s="181">
        <v>4549</v>
      </c>
      <c r="CSS240" s="181">
        <v>4550</v>
      </c>
      <c r="CST240" s="181">
        <v>4551</v>
      </c>
      <c r="CSU240" s="181">
        <v>4552</v>
      </c>
      <c r="CSV240" s="181">
        <v>4553</v>
      </c>
      <c r="CSW240" s="181">
        <v>4554</v>
      </c>
      <c r="CSX240" s="181">
        <v>4555</v>
      </c>
      <c r="CSY240" s="181">
        <v>4556</v>
      </c>
      <c r="CSZ240" s="181">
        <v>4557</v>
      </c>
      <c r="CTA240" s="181">
        <v>4558</v>
      </c>
      <c r="CTB240" s="181">
        <v>4559</v>
      </c>
      <c r="CTC240" s="181">
        <v>4560</v>
      </c>
      <c r="CTD240" s="181">
        <v>4561</v>
      </c>
      <c r="CTE240" s="181">
        <v>4562</v>
      </c>
      <c r="CTF240" s="181">
        <v>4563</v>
      </c>
      <c r="CTG240" s="181">
        <v>4564</v>
      </c>
      <c r="CTH240" s="181">
        <v>4565</v>
      </c>
      <c r="CTI240" s="181">
        <v>4566</v>
      </c>
      <c r="CTJ240" s="181">
        <v>4567</v>
      </c>
      <c r="CTK240" s="181">
        <v>4568</v>
      </c>
      <c r="CTL240" s="181">
        <v>4569</v>
      </c>
      <c r="CTM240" s="181">
        <v>4570</v>
      </c>
      <c r="CTN240" s="181">
        <v>4571</v>
      </c>
      <c r="CTO240" s="181">
        <v>4572</v>
      </c>
      <c r="CTP240" s="181">
        <v>4573</v>
      </c>
      <c r="CTQ240" s="181">
        <v>4574</v>
      </c>
      <c r="CTR240" s="181">
        <v>4575</v>
      </c>
      <c r="CTS240" s="181">
        <v>4576</v>
      </c>
      <c r="CTT240" s="181">
        <v>4577</v>
      </c>
      <c r="CTU240" s="181">
        <v>4578</v>
      </c>
      <c r="CTV240" s="181">
        <v>4579</v>
      </c>
      <c r="CTW240" s="181">
        <v>4580</v>
      </c>
      <c r="CTX240" s="181">
        <v>4581</v>
      </c>
      <c r="CTY240" s="181">
        <v>4582</v>
      </c>
      <c r="CTZ240" s="181">
        <v>4583</v>
      </c>
      <c r="CUA240" s="181">
        <v>4584</v>
      </c>
      <c r="CUB240" s="181">
        <v>4585</v>
      </c>
      <c r="CUC240" s="181">
        <v>4586</v>
      </c>
      <c r="CUD240" s="181">
        <v>4587</v>
      </c>
      <c r="CUE240" s="181">
        <v>4588</v>
      </c>
      <c r="CUF240" s="181">
        <v>4589</v>
      </c>
      <c r="CUG240" s="181">
        <v>4590</v>
      </c>
      <c r="CUH240" s="181">
        <v>4591</v>
      </c>
      <c r="CUI240" s="181">
        <v>4592</v>
      </c>
      <c r="CUJ240" s="181">
        <v>4593</v>
      </c>
      <c r="CUK240" s="181">
        <v>4594</v>
      </c>
      <c r="CUL240" s="181">
        <v>4595</v>
      </c>
      <c r="CUM240" s="181">
        <v>4596</v>
      </c>
      <c r="CUN240" s="181">
        <v>4597</v>
      </c>
      <c r="CUO240" s="181">
        <v>4598</v>
      </c>
      <c r="CUP240" s="181">
        <v>4599</v>
      </c>
      <c r="CUQ240" s="181">
        <v>4600</v>
      </c>
      <c r="CUR240" s="181">
        <v>4601</v>
      </c>
      <c r="CUS240" s="181">
        <v>4602</v>
      </c>
      <c r="CUT240" s="181">
        <v>4603</v>
      </c>
      <c r="CUU240" s="181">
        <v>4604</v>
      </c>
      <c r="CUV240" s="181">
        <v>4605</v>
      </c>
      <c r="CUW240" s="181">
        <v>4606</v>
      </c>
      <c r="CUX240" s="181">
        <v>4607</v>
      </c>
      <c r="CUY240" s="181">
        <v>4608</v>
      </c>
      <c r="CUZ240" s="181">
        <v>4609</v>
      </c>
      <c r="CVA240" s="181">
        <v>4610</v>
      </c>
      <c r="CVB240" s="181">
        <v>4611</v>
      </c>
      <c r="CVC240" s="181">
        <v>4612</v>
      </c>
      <c r="CVD240" s="181">
        <v>4613</v>
      </c>
      <c r="CVE240" s="181">
        <v>4614</v>
      </c>
      <c r="CVF240" s="181">
        <v>4615</v>
      </c>
      <c r="CVG240" s="181">
        <v>4616</v>
      </c>
      <c r="CVH240" s="181">
        <v>4617</v>
      </c>
      <c r="CVI240" s="181">
        <v>4618</v>
      </c>
      <c r="CVJ240" s="181">
        <v>4619</v>
      </c>
      <c r="CVK240" s="181">
        <v>4620</v>
      </c>
      <c r="CVL240" s="181">
        <v>4621</v>
      </c>
      <c r="CVM240" s="181">
        <v>4622</v>
      </c>
      <c r="CVN240" s="181">
        <v>4623</v>
      </c>
      <c r="CVO240" s="181">
        <v>4624</v>
      </c>
      <c r="CVP240" s="181">
        <v>4625</v>
      </c>
      <c r="CVQ240" s="181">
        <v>4626</v>
      </c>
      <c r="CVR240" s="181">
        <v>4627</v>
      </c>
      <c r="CVS240" s="181">
        <v>4628</v>
      </c>
      <c r="CVT240" s="181">
        <v>4629</v>
      </c>
      <c r="CVU240" s="181">
        <v>4630</v>
      </c>
      <c r="CVV240" s="181">
        <v>4631</v>
      </c>
      <c r="CVW240" s="181">
        <v>4632</v>
      </c>
      <c r="CVX240" s="181">
        <v>4633</v>
      </c>
      <c r="CVY240" s="181">
        <v>4634</v>
      </c>
      <c r="CVZ240" s="181">
        <v>4635</v>
      </c>
      <c r="CWA240" s="181">
        <v>4636</v>
      </c>
      <c r="CWB240" s="181">
        <v>4637</v>
      </c>
      <c r="CWC240" s="181">
        <v>4638</v>
      </c>
      <c r="CWD240" s="181">
        <v>4639</v>
      </c>
      <c r="CWE240" s="181">
        <v>4640</v>
      </c>
      <c r="CWF240" s="181">
        <v>4641</v>
      </c>
      <c r="CWG240" s="181">
        <v>4642</v>
      </c>
      <c r="CWH240" s="181">
        <v>4643</v>
      </c>
      <c r="CWI240" s="181">
        <v>4644</v>
      </c>
      <c r="CWJ240" s="181">
        <v>4645</v>
      </c>
      <c r="CWK240" s="181">
        <v>4646</v>
      </c>
      <c r="CWL240" s="181">
        <v>4647</v>
      </c>
      <c r="CWM240" s="181">
        <v>4648</v>
      </c>
      <c r="CWN240" s="181">
        <v>4649</v>
      </c>
      <c r="CWO240" s="181">
        <v>4650</v>
      </c>
      <c r="CWP240" s="181">
        <v>4651</v>
      </c>
      <c r="CWQ240" s="181">
        <v>4652</v>
      </c>
      <c r="CWR240" s="181">
        <v>4653</v>
      </c>
      <c r="CWS240" s="181">
        <v>4654</v>
      </c>
      <c r="CWT240" s="181">
        <v>4655</v>
      </c>
      <c r="CWU240" s="181">
        <v>4656</v>
      </c>
      <c r="CWV240" s="181">
        <v>4657</v>
      </c>
      <c r="CWW240" s="181">
        <v>4658</v>
      </c>
      <c r="CWX240" s="181">
        <v>4659</v>
      </c>
      <c r="CWY240" s="181">
        <v>4660</v>
      </c>
      <c r="CWZ240" s="181">
        <v>4661</v>
      </c>
      <c r="CXA240" s="181">
        <v>4662</v>
      </c>
      <c r="CXB240" s="181">
        <v>4663</v>
      </c>
      <c r="CXC240" s="181">
        <v>4664</v>
      </c>
      <c r="CXD240" s="181">
        <v>4665</v>
      </c>
      <c r="CXE240" s="181">
        <v>4666</v>
      </c>
      <c r="CXF240" s="181">
        <v>4667</v>
      </c>
      <c r="CXG240" s="181">
        <v>4668</v>
      </c>
      <c r="CXH240" s="181">
        <v>4669</v>
      </c>
      <c r="CXI240" s="181">
        <v>4670</v>
      </c>
      <c r="CXJ240" s="181">
        <v>4671</v>
      </c>
      <c r="CXK240" s="181">
        <v>4672</v>
      </c>
      <c r="CXL240" s="181">
        <v>4673</v>
      </c>
      <c r="CXM240" s="181">
        <v>4674</v>
      </c>
      <c r="CXN240" s="181">
        <v>4675</v>
      </c>
      <c r="CXO240" s="181">
        <v>4676</v>
      </c>
      <c r="CXP240" s="181">
        <v>4677</v>
      </c>
      <c r="CXQ240" s="181">
        <v>4678</v>
      </c>
      <c r="CXR240" s="181">
        <v>4679</v>
      </c>
      <c r="CXS240" s="181">
        <v>4680</v>
      </c>
      <c r="CXT240" s="181">
        <v>4681</v>
      </c>
      <c r="CXU240" s="181">
        <v>4682</v>
      </c>
      <c r="CXV240" s="181">
        <v>4683</v>
      </c>
      <c r="CXW240" s="181">
        <v>4684</v>
      </c>
      <c r="CXX240" s="181">
        <v>4685</v>
      </c>
      <c r="CXY240" s="181">
        <v>4686</v>
      </c>
      <c r="CXZ240" s="181">
        <v>4687</v>
      </c>
      <c r="CYA240" s="181">
        <v>4688</v>
      </c>
      <c r="CYB240" s="181">
        <v>4689</v>
      </c>
      <c r="CYC240" s="181">
        <v>4690</v>
      </c>
      <c r="CYD240" s="181">
        <v>4691</v>
      </c>
      <c r="CYE240" s="181">
        <v>4692</v>
      </c>
      <c r="CYF240" s="181">
        <v>4693</v>
      </c>
      <c r="CYG240" s="181">
        <v>4694</v>
      </c>
      <c r="CYH240" s="181">
        <v>4695</v>
      </c>
      <c r="CYI240" s="181">
        <v>4696</v>
      </c>
      <c r="CYJ240" s="181">
        <v>4697</v>
      </c>
      <c r="CYK240" s="181">
        <v>4698</v>
      </c>
      <c r="CYL240" s="181">
        <v>4699</v>
      </c>
      <c r="CYM240" s="181">
        <v>4700</v>
      </c>
      <c r="CYN240" s="181">
        <v>4701</v>
      </c>
      <c r="CYO240" s="181">
        <v>4702</v>
      </c>
      <c r="CYP240" s="181">
        <v>4703</v>
      </c>
      <c r="CYQ240" s="181">
        <v>4704</v>
      </c>
      <c r="CYR240" s="181">
        <v>4705</v>
      </c>
      <c r="CYS240" s="181">
        <v>4706</v>
      </c>
      <c r="CYT240" s="181">
        <v>4707</v>
      </c>
      <c r="CYU240" s="181">
        <v>4708</v>
      </c>
      <c r="CYV240" s="181">
        <v>4709</v>
      </c>
      <c r="CYW240" s="181">
        <v>4710</v>
      </c>
      <c r="CYX240" s="181">
        <v>4711</v>
      </c>
      <c r="CYY240" s="181">
        <v>4712</v>
      </c>
      <c r="CYZ240" s="181">
        <v>4713</v>
      </c>
      <c r="CZA240" s="181">
        <v>4714</v>
      </c>
      <c r="CZB240" s="181">
        <v>4715</v>
      </c>
      <c r="CZC240" s="181">
        <v>4716</v>
      </c>
      <c r="CZD240" s="181">
        <v>4717</v>
      </c>
      <c r="CZE240" s="181">
        <v>4718</v>
      </c>
      <c r="CZF240" s="181">
        <v>4719</v>
      </c>
      <c r="CZG240" s="181">
        <v>4720</v>
      </c>
      <c r="CZH240" s="181">
        <v>4721</v>
      </c>
      <c r="CZI240" s="181">
        <v>4722</v>
      </c>
      <c r="CZJ240" s="181">
        <v>4723</v>
      </c>
      <c r="CZK240" s="181">
        <v>4724</v>
      </c>
      <c r="CZL240" s="181">
        <v>4725</v>
      </c>
      <c r="CZM240" s="181">
        <v>4726</v>
      </c>
      <c r="CZN240" s="181">
        <v>4727</v>
      </c>
      <c r="CZO240" s="181">
        <v>4728</v>
      </c>
      <c r="CZP240" s="181">
        <v>4729</v>
      </c>
      <c r="CZQ240" s="181">
        <v>4730</v>
      </c>
      <c r="CZR240" s="181">
        <v>4731</v>
      </c>
      <c r="CZS240" s="181">
        <v>4732</v>
      </c>
      <c r="CZT240" s="181">
        <v>4733</v>
      </c>
      <c r="CZU240" s="181">
        <v>4734</v>
      </c>
      <c r="CZV240" s="181">
        <v>4735</v>
      </c>
      <c r="CZW240" s="181">
        <v>4736</v>
      </c>
      <c r="CZX240" s="181">
        <v>4737</v>
      </c>
      <c r="CZY240" s="181">
        <v>4738</v>
      </c>
      <c r="CZZ240" s="181">
        <v>4739</v>
      </c>
      <c r="DAA240" s="181">
        <v>4740</v>
      </c>
      <c r="DAB240" s="181">
        <v>4741</v>
      </c>
      <c r="DAC240" s="181">
        <v>4742</v>
      </c>
      <c r="DAD240" s="181">
        <v>4743</v>
      </c>
      <c r="DAE240" s="181">
        <v>4744</v>
      </c>
      <c r="DAF240" s="181">
        <v>4745</v>
      </c>
      <c r="DAG240" s="181">
        <v>4746</v>
      </c>
      <c r="DAH240" s="181">
        <v>4747</v>
      </c>
      <c r="DAI240" s="181">
        <v>4748</v>
      </c>
      <c r="DAJ240" s="181">
        <v>4749</v>
      </c>
      <c r="DAK240" s="181">
        <v>4750</v>
      </c>
      <c r="DAL240" s="181">
        <v>4751</v>
      </c>
      <c r="DAM240" s="181">
        <v>4752</v>
      </c>
      <c r="DAN240" s="181">
        <v>4753</v>
      </c>
      <c r="DAO240" s="181">
        <v>4754</v>
      </c>
      <c r="DAP240" s="181">
        <v>4755</v>
      </c>
      <c r="DAQ240" s="181">
        <v>4756</v>
      </c>
      <c r="DAR240" s="181">
        <v>4757</v>
      </c>
      <c r="DAS240" s="181">
        <v>4758</v>
      </c>
      <c r="DAT240" s="181">
        <v>4759</v>
      </c>
      <c r="DAU240" s="181">
        <v>4760</v>
      </c>
      <c r="DAV240" s="181">
        <v>4761</v>
      </c>
      <c r="DAW240" s="181">
        <v>4762</v>
      </c>
      <c r="DAX240" s="181">
        <v>4763</v>
      </c>
      <c r="DAY240" s="181">
        <v>4764</v>
      </c>
      <c r="DAZ240" s="181">
        <v>4765</v>
      </c>
      <c r="DBA240" s="181">
        <v>4766</v>
      </c>
      <c r="DBB240" s="181">
        <v>4767</v>
      </c>
      <c r="DBC240" s="181">
        <v>4768</v>
      </c>
      <c r="DBD240" s="181">
        <v>4769</v>
      </c>
      <c r="DBE240" s="181">
        <v>4770</v>
      </c>
      <c r="DBF240" s="181">
        <v>4771</v>
      </c>
      <c r="DBG240" s="181">
        <v>4772</v>
      </c>
      <c r="DBH240" s="181">
        <v>4773</v>
      </c>
      <c r="DBI240" s="181">
        <v>4774</v>
      </c>
      <c r="DBJ240" s="181">
        <v>4775</v>
      </c>
      <c r="DBK240" s="181">
        <v>4776</v>
      </c>
      <c r="DBL240" s="181">
        <v>4777</v>
      </c>
      <c r="DBM240" s="181">
        <v>4778</v>
      </c>
      <c r="DBN240" s="181">
        <v>4779</v>
      </c>
      <c r="DBO240" s="181">
        <v>4780</v>
      </c>
      <c r="DBP240" s="181">
        <v>4781</v>
      </c>
      <c r="DBQ240" s="181">
        <v>4782</v>
      </c>
      <c r="DBR240" s="181">
        <v>4783</v>
      </c>
      <c r="DBS240" s="181">
        <v>4784</v>
      </c>
      <c r="DBT240" s="181">
        <v>4785</v>
      </c>
      <c r="DBU240" s="181">
        <v>4786</v>
      </c>
      <c r="DBV240" s="181">
        <v>4787</v>
      </c>
      <c r="DBW240" s="181">
        <v>4788</v>
      </c>
      <c r="DBX240" s="181">
        <v>4789</v>
      </c>
      <c r="DBY240" s="181">
        <v>4790</v>
      </c>
      <c r="DBZ240" s="181">
        <v>4791</v>
      </c>
      <c r="DCA240" s="181">
        <v>4792</v>
      </c>
      <c r="DCB240" s="181">
        <v>4793</v>
      </c>
      <c r="DCC240" s="181">
        <v>4794</v>
      </c>
      <c r="DCD240" s="181">
        <v>4795</v>
      </c>
      <c r="DCE240" s="181">
        <v>4796</v>
      </c>
      <c r="DCF240" s="181">
        <v>4797</v>
      </c>
      <c r="DCG240" s="181">
        <v>4798</v>
      </c>
      <c r="DCH240" s="181">
        <v>4799</v>
      </c>
      <c r="DCI240" s="181">
        <v>4800</v>
      </c>
      <c r="DCJ240" s="181">
        <v>4801</v>
      </c>
      <c r="DCK240" s="181">
        <v>4802</v>
      </c>
      <c r="DCL240" s="181">
        <v>4803</v>
      </c>
      <c r="DCM240" s="181">
        <v>4804</v>
      </c>
      <c r="DCN240" s="181">
        <v>4805</v>
      </c>
      <c r="DCO240" s="181">
        <v>4806</v>
      </c>
      <c r="DCP240" s="181">
        <v>4807</v>
      </c>
      <c r="DCQ240" s="181">
        <v>4808</v>
      </c>
      <c r="DCR240" s="181">
        <v>4809</v>
      </c>
      <c r="DCS240" s="181">
        <v>4810</v>
      </c>
      <c r="DCT240" s="181">
        <v>4811</v>
      </c>
      <c r="DCU240" s="181">
        <v>4812</v>
      </c>
      <c r="DCV240" s="181">
        <v>4813</v>
      </c>
      <c r="DCW240" s="181">
        <v>4814</v>
      </c>
      <c r="DCX240" s="181">
        <v>4815</v>
      </c>
      <c r="DCY240" s="181">
        <v>4816</v>
      </c>
      <c r="DCZ240" s="181">
        <v>4817</v>
      </c>
      <c r="DDA240" s="181">
        <v>4818</v>
      </c>
      <c r="DDB240" s="181">
        <v>4819</v>
      </c>
      <c r="DDC240" s="181">
        <v>4820</v>
      </c>
      <c r="DDD240" s="181">
        <v>4821</v>
      </c>
      <c r="DDE240" s="181">
        <v>4822</v>
      </c>
      <c r="DDF240" s="181">
        <v>4823</v>
      </c>
      <c r="DDG240" s="181">
        <v>4824</v>
      </c>
      <c r="DDH240" s="181">
        <v>4825</v>
      </c>
      <c r="DDI240" s="181">
        <v>4826</v>
      </c>
      <c r="DDJ240" s="181">
        <v>4827</v>
      </c>
      <c r="DDK240" s="181">
        <v>4828</v>
      </c>
      <c r="DDL240" s="181">
        <v>4829</v>
      </c>
      <c r="DDM240" s="181">
        <v>4830</v>
      </c>
      <c r="DDN240" s="181">
        <v>4831</v>
      </c>
      <c r="DDO240" s="181">
        <v>4832</v>
      </c>
      <c r="DDP240" s="181">
        <v>4833</v>
      </c>
      <c r="DDQ240" s="181">
        <v>4834</v>
      </c>
      <c r="DDR240" s="181">
        <v>4835</v>
      </c>
      <c r="DDS240" s="181">
        <v>4836</v>
      </c>
      <c r="DDT240" s="181">
        <v>4837</v>
      </c>
      <c r="DDU240" s="181">
        <v>4838</v>
      </c>
      <c r="DDV240" s="181">
        <v>4839</v>
      </c>
      <c r="DDW240" s="181">
        <v>4840</v>
      </c>
      <c r="DDX240" s="181">
        <v>4841</v>
      </c>
      <c r="DDY240" s="181">
        <v>4842</v>
      </c>
      <c r="DDZ240" s="181">
        <v>4843</v>
      </c>
      <c r="DEA240" s="181">
        <v>4844</v>
      </c>
      <c r="DEB240" s="181">
        <v>4845</v>
      </c>
      <c r="DEC240" s="181">
        <v>4846</v>
      </c>
      <c r="DED240" s="181">
        <v>4847</v>
      </c>
      <c r="DEE240" s="181">
        <v>4848</v>
      </c>
      <c r="DEF240" s="181">
        <v>4849</v>
      </c>
      <c r="DEG240" s="181">
        <v>4850</v>
      </c>
      <c r="DEH240" s="181">
        <v>4851</v>
      </c>
      <c r="DEI240" s="181">
        <v>4852</v>
      </c>
      <c r="DEJ240" s="181">
        <v>4853</v>
      </c>
      <c r="DEK240" s="181">
        <v>4854</v>
      </c>
      <c r="DEL240" s="181">
        <v>4855</v>
      </c>
      <c r="DEM240" s="181">
        <v>4856</v>
      </c>
      <c r="DEN240" s="181">
        <v>4857</v>
      </c>
      <c r="DEO240" s="181">
        <v>4858</v>
      </c>
      <c r="DEP240" s="181">
        <v>4859</v>
      </c>
      <c r="DEQ240" s="181">
        <v>4860</v>
      </c>
      <c r="DER240" s="181">
        <v>4861</v>
      </c>
      <c r="DES240" s="181">
        <v>4862</v>
      </c>
      <c r="DET240" s="181">
        <v>4863</v>
      </c>
      <c r="DEU240" s="181">
        <v>4864</v>
      </c>
      <c r="DEV240" s="181">
        <v>4865</v>
      </c>
      <c r="DEW240" s="181">
        <v>4866</v>
      </c>
      <c r="DEX240" s="181">
        <v>4867</v>
      </c>
      <c r="DEY240" s="181">
        <v>4868</v>
      </c>
      <c r="DEZ240" s="181">
        <v>4869</v>
      </c>
      <c r="DFA240" s="181">
        <v>4870</v>
      </c>
      <c r="DFB240" s="181">
        <v>4871</v>
      </c>
      <c r="DFC240" s="181">
        <v>4872</v>
      </c>
      <c r="DFD240" s="181">
        <v>4873</v>
      </c>
      <c r="DFE240" s="181">
        <v>4874</v>
      </c>
      <c r="DFF240" s="181">
        <v>4875</v>
      </c>
      <c r="DFG240" s="181">
        <v>4876</v>
      </c>
      <c r="DFH240" s="181">
        <v>4877</v>
      </c>
      <c r="DFI240" s="181">
        <v>4878</v>
      </c>
      <c r="DFJ240" s="181">
        <v>4879</v>
      </c>
      <c r="DFK240" s="181">
        <v>4880</v>
      </c>
      <c r="DFL240" s="181">
        <v>4881</v>
      </c>
      <c r="DFM240" s="181">
        <v>4882</v>
      </c>
      <c r="DFN240" s="181">
        <v>4883</v>
      </c>
      <c r="DFO240" s="181">
        <v>4884</v>
      </c>
      <c r="DFP240" s="181">
        <v>4885</v>
      </c>
      <c r="DFQ240" s="181">
        <v>4886</v>
      </c>
      <c r="DFR240" s="181">
        <v>4887</v>
      </c>
      <c r="DFS240" s="181">
        <v>4888</v>
      </c>
      <c r="DFT240" s="181">
        <v>4889</v>
      </c>
      <c r="DFU240" s="181">
        <v>4890</v>
      </c>
      <c r="DFV240" s="181">
        <v>4891</v>
      </c>
      <c r="DFW240" s="181">
        <v>4892</v>
      </c>
      <c r="DFX240" s="181">
        <v>4893</v>
      </c>
      <c r="DFY240" s="181">
        <v>4894</v>
      </c>
      <c r="DFZ240" s="181">
        <v>4895</v>
      </c>
      <c r="DGA240" s="181">
        <v>4896</v>
      </c>
      <c r="DGB240" s="181">
        <v>4897</v>
      </c>
      <c r="DGC240" s="181">
        <v>4898</v>
      </c>
      <c r="DGD240" s="181">
        <v>4899</v>
      </c>
      <c r="DGE240" s="181">
        <v>4900</v>
      </c>
      <c r="DGF240" s="181">
        <v>4901</v>
      </c>
      <c r="DGG240" s="181">
        <v>4902</v>
      </c>
      <c r="DGH240" s="181">
        <v>4903</v>
      </c>
      <c r="DGI240" s="181">
        <v>4904</v>
      </c>
      <c r="DGJ240" s="181">
        <v>4905</v>
      </c>
      <c r="DGK240" s="181">
        <v>4906</v>
      </c>
      <c r="DGL240" s="181">
        <v>4907</v>
      </c>
      <c r="DGM240" s="181">
        <v>4908</v>
      </c>
      <c r="DGN240" s="181">
        <v>4909</v>
      </c>
      <c r="DGO240" s="181">
        <v>4910</v>
      </c>
      <c r="DGP240" s="181">
        <v>4911</v>
      </c>
      <c r="DGQ240" s="181">
        <v>4912</v>
      </c>
      <c r="DGR240" s="181">
        <v>4913</v>
      </c>
      <c r="DGS240" s="181">
        <v>4914</v>
      </c>
      <c r="DGT240" s="181">
        <v>4915</v>
      </c>
      <c r="DGU240" s="181">
        <v>4916</v>
      </c>
      <c r="DGV240" s="181">
        <v>4917</v>
      </c>
      <c r="DGW240" s="181">
        <v>4918</v>
      </c>
      <c r="DGX240" s="181">
        <v>4919</v>
      </c>
      <c r="DGY240" s="181">
        <v>4920</v>
      </c>
      <c r="DGZ240" s="181">
        <v>4921</v>
      </c>
      <c r="DHA240" s="181">
        <v>4922</v>
      </c>
      <c r="DHB240" s="181">
        <v>4923</v>
      </c>
      <c r="DHC240" s="181">
        <v>4924</v>
      </c>
      <c r="DHD240" s="181">
        <v>4925</v>
      </c>
      <c r="DHE240" s="181">
        <v>4926</v>
      </c>
      <c r="DHF240" s="181">
        <v>4927</v>
      </c>
      <c r="DHG240" s="181">
        <v>4928</v>
      </c>
      <c r="DHH240" s="181">
        <v>4929</v>
      </c>
      <c r="DHI240" s="181">
        <v>4930</v>
      </c>
      <c r="DHJ240" s="181">
        <v>4931</v>
      </c>
      <c r="DHK240" s="181">
        <v>4932</v>
      </c>
      <c r="DHL240" s="181">
        <v>4933</v>
      </c>
      <c r="DHM240" s="181">
        <v>4934</v>
      </c>
      <c r="DHN240" s="181">
        <v>4935</v>
      </c>
      <c r="DHO240" s="181">
        <v>4936</v>
      </c>
      <c r="DHP240" s="181">
        <v>4937</v>
      </c>
      <c r="DHQ240" s="181">
        <v>4938</v>
      </c>
      <c r="DHR240" s="181">
        <v>4939</v>
      </c>
      <c r="DHS240" s="181">
        <v>4940</v>
      </c>
      <c r="DHT240" s="181">
        <v>4941</v>
      </c>
      <c r="DHU240" s="181">
        <v>4942</v>
      </c>
      <c r="DHV240" s="181">
        <v>4943</v>
      </c>
      <c r="DHW240" s="181">
        <v>4944</v>
      </c>
      <c r="DHX240" s="181">
        <v>4945</v>
      </c>
      <c r="DHY240" s="181">
        <v>4946</v>
      </c>
      <c r="DHZ240" s="181">
        <v>4947</v>
      </c>
      <c r="DIA240" s="181">
        <v>4948</v>
      </c>
      <c r="DIB240" s="181">
        <v>4949</v>
      </c>
      <c r="DIC240" s="181">
        <v>4950</v>
      </c>
      <c r="DID240" s="181">
        <v>4951</v>
      </c>
      <c r="DIE240" s="181">
        <v>4952</v>
      </c>
      <c r="DIF240" s="181">
        <v>4953</v>
      </c>
      <c r="DIG240" s="181">
        <v>4954</v>
      </c>
      <c r="DIH240" s="181">
        <v>4955</v>
      </c>
      <c r="DII240" s="181">
        <v>4956</v>
      </c>
      <c r="DIJ240" s="181">
        <v>4957</v>
      </c>
      <c r="DIK240" s="181">
        <v>4958</v>
      </c>
      <c r="DIL240" s="181">
        <v>4959</v>
      </c>
      <c r="DIM240" s="181">
        <v>4960</v>
      </c>
      <c r="DIN240" s="181">
        <v>4961</v>
      </c>
      <c r="DIO240" s="181">
        <v>4962</v>
      </c>
      <c r="DIP240" s="181">
        <v>4963</v>
      </c>
      <c r="DIQ240" s="181">
        <v>4964</v>
      </c>
      <c r="DIR240" s="181">
        <v>4965</v>
      </c>
      <c r="DIS240" s="181">
        <v>4966</v>
      </c>
      <c r="DIT240" s="181">
        <v>4967</v>
      </c>
      <c r="DIU240" s="181">
        <v>4968</v>
      </c>
      <c r="DIV240" s="181">
        <v>4969</v>
      </c>
      <c r="DIW240" s="181">
        <v>4970</v>
      </c>
      <c r="DIX240" s="181">
        <v>4971</v>
      </c>
      <c r="DIY240" s="181">
        <v>4972</v>
      </c>
      <c r="DIZ240" s="181">
        <v>4973</v>
      </c>
      <c r="DJA240" s="181">
        <v>4974</v>
      </c>
      <c r="DJB240" s="181">
        <v>4975</v>
      </c>
      <c r="DJC240" s="181">
        <v>4976</v>
      </c>
      <c r="DJD240" s="181">
        <v>4977</v>
      </c>
      <c r="DJE240" s="181">
        <v>4978</v>
      </c>
      <c r="DJF240" s="181">
        <v>4979</v>
      </c>
      <c r="DJG240" s="181">
        <v>4980</v>
      </c>
      <c r="DJH240" s="181">
        <v>4981</v>
      </c>
      <c r="DJI240" s="181">
        <v>4982</v>
      </c>
      <c r="DJJ240" s="181">
        <v>4983</v>
      </c>
      <c r="DJK240" s="181">
        <v>4984</v>
      </c>
      <c r="DJL240" s="181">
        <v>4985</v>
      </c>
      <c r="DJM240" s="181">
        <v>4986</v>
      </c>
      <c r="DJN240" s="181">
        <v>4987</v>
      </c>
      <c r="DJO240" s="181">
        <v>4988</v>
      </c>
      <c r="DJP240" s="181">
        <v>4989</v>
      </c>
      <c r="DJQ240" s="181">
        <v>4990</v>
      </c>
      <c r="DJR240" s="181">
        <v>4991</v>
      </c>
      <c r="DJS240" s="181">
        <v>4992</v>
      </c>
      <c r="DJT240" s="181">
        <v>4993</v>
      </c>
      <c r="DJU240" s="181">
        <v>4994</v>
      </c>
      <c r="DJV240" s="181">
        <v>4995</v>
      </c>
      <c r="DJW240" s="181">
        <v>4996</v>
      </c>
      <c r="DJX240" s="181">
        <v>4997</v>
      </c>
      <c r="DJY240" s="181">
        <v>4998</v>
      </c>
      <c r="DJZ240" s="181">
        <v>4999</v>
      </c>
      <c r="DKA240" s="181">
        <v>5000</v>
      </c>
      <c r="DKB240" s="181">
        <v>5001</v>
      </c>
      <c r="DKC240" s="181">
        <v>5002</v>
      </c>
      <c r="DKD240" s="181">
        <v>5003</v>
      </c>
      <c r="DKE240" s="181">
        <v>5004</v>
      </c>
      <c r="DKF240" s="181">
        <v>5005</v>
      </c>
      <c r="DKG240" s="181">
        <v>5006</v>
      </c>
      <c r="DKH240" s="181">
        <v>5007</v>
      </c>
      <c r="DKI240" s="181">
        <v>5008</v>
      </c>
      <c r="DKJ240" s="181">
        <v>5009</v>
      </c>
      <c r="DKK240" s="181">
        <v>5010</v>
      </c>
      <c r="DKL240" s="181">
        <v>5011</v>
      </c>
      <c r="DKM240" s="181">
        <v>5012</v>
      </c>
      <c r="DKN240" s="181">
        <v>5013</v>
      </c>
      <c r="DKO240" s="181">
        <v>5014</v>
      </c>
      <c r="DKP240" s="181">
        <v>5015</v>
      </c>
      <c r="DKQ240" s="181">
        <v>5016</v>
      </c>
      <c r="DKR240" s="181">
        <v>5017</v>
      </c>
      <c r="DKS240" s="181">
        <v>5018</v>
      </c>
      <c r="DKT240" s="181">
        <v>5019</v>
      </c>
      <c r="DKU240" s="181">
        <v>5020</v>
      </c>
      <c r="DKV240" s="181">
        <v>5021</v>
      </c>
      <c r="DKW240" s="181">
        <v>5022</v>
      </c>
      <c r="DKX240" s="181">
        <v>5023</v>
      </c>
      <c r="DKY240" s="181">
        <v>5024</v>
      </c>
      <c r="DKZ240" s="181">
        <v>5025</v>
      </c>
      <c r="DLA240" s="181">
        <v>5026</v>
      </c>
      <c r="DLB240" s="181">
        <v>5027</v>
      </c>
      <c r="DLC240" s="181">
        <v>5028</v>
      </c>
      <c r="DLD240" s="181">
        <v>5029</v>
      </c>
      <c r="DLE240" s="181">
        <v>5030</v>
      </c>
      <c r="DLF240" s="181">
        <v>5031</v>
      </c>
      <c r="DLG240" s="181">
        <v>5032</v>
      </c>
      <c r="DLH240" s="181">
        <v>5033</v>
      </c>
      <c r="DLI240" s="181">
        <v>5034</v>
      </c>
      <c r="DLJ240" s="181">
        <v>5035</v>
      </c>
      <c r="DLK240" s="181">
        <v>5036</v>
      </c>
      <c r="DLL240" s="181">
        <v>5037</v>
      </c>
      <c r="DLM240" s="181">
        <v>5038</v>
      </c>
      <c r="DLN240" s="181">
        <v>5039</v>
      </c>
      <c r="DLO240" s="181">
        <v>5040</v>
      </c>
      <c r="DLP240" s="181">
        <v>5041</v>
      </c>
      <c r="DLQ240" s="181">
        <v>5042</v>
      </c>
      <c r="DLR240" s="181">
        <v>5043</v>
      </c>
      <c r="DLS240" s="181">
        <v>5044</v>
      </c>
      <c r="DLT240" s="181">
        <v>5045</v>
      </c>
      <c r="DLU240" s="181">
        <v>5046</v>
      </c>
      <c r="DLV240" s="181">
        <v>5047</v>
      </c>
      <c r="DLW240" s="181">
        <v>5048</v>
      </c>
      <c r="DLX240" s="181">
        <v>5049</v>
      </c>
      <c r="DLY240" s="181">
        <v>5050</v>
      </c>
      <c r="DLZ240" s="181">
        <v>5051</v>
      </c>
      <c r="DMA240" s="181">
        <v>5052</v>
      </c>
      <c r="DMB240" s="181">
        <v>5053</v>
      </c>
      <c r="DMC240" s="181">
        <v>5054</v>
      </c>
      <c r="DMD240" s="181">
        <v>5055</v>
      </c>
      <c r="DME240" s="181">
        <v>5056</v>
      </c>
      <c r="DMF240" s="181">
        <v>5057</v>
      </c>
      <c r="DMG240" s="181">
        <v>5058</v>
      </c>
      <c r="DMH240" s="181">
        <v>5059</v>
      </c>
      <c r="DMI240" s="181">
        <v>5060</v>
      </c>
      <c r="DMJ240" s="181">
        <v>5061</v>
      </c>
      <c r="DMK240" s="181">
        <v>5062</v>
      </c>
      <c r="DML240" s="181">
        <v>5063</v>
      </c>
      <c r="DMM240" s="181">
        <v>5064</v>
      </c>
      <c r="DMN240" s="181">
        <v>5065</v>
      </c>
      <c r="DMO240" s="181">
        <v>5066</v>
      </c>
      <c r="DMP240" s="181">
        <v>5067</v>
      </c>
      <c r="DMQ240" s="181">
        <v>5068</v>
      </c>
      <c r="DMR240" s="181">
        <v>5069</v>
      </c>
      <c r="DMS240" s="181">
        <v>5070</v>
      </c>
      <c r="DMT240" s="181">
        <v>5071</v>
      </c>
      <c r="DMU240" s="181">
        <v>5072</v>
      </c>
      <c r="DMV240" s="181">
        <v>5073</v>
      </c>
      <c r="DMW240" s="181">
        <v>5074</v>
      </c>
      <c r="DMX240" s="181">
        <v>5075</v>
      </c>
      <c r="DMY240" s="181">
        <v>5076</v>
      </c>
      <c r="DMZ240" s="181">
        <v>5077</v>
      </c>
      <c r="DNA240" s="181">
        <v>5078</v>
      </c>
      <c r="DNB240" s="181">
        <v>5079</v>
      </c>
      <c r="DNC240" s="181">
        <v>5080</v>
      </c>
      <c r="DND240" s="181">
        <v>5081</v>
      </c>
      <c r="DNE240" s="181">
        <v>5082</v>
      </c>
      <c r="DNF240" s="181">
        <v>5083</v>
      </c>
      <c r="DNG240" s="181">
        <v>5084</v>
      </c>
      <c r="DNH240" s="181">
        <v>5085</v>
      </c>
      <c r="DNI240" s="181">
        <v>5086</v>
      </c>
      <c r="DNJ240" s="181">
        <v>5087</v>
      </c>
      <c r="DNK240" s="181">
        <v>5088</v>
      </c>
      <c r="DNL240" s="181">
        <v>5089</v>
      </c>
      <c r="DNM240" s="181">
        <v>5090</v>
      </c>
      <c r="DNN240" s="181">
        <v>5091</v>
      </c>
      <c r="DNO240" s="181">
        <v>5092</v>
      </c>
      <c r="DNP240" s="181">
        <v>5093</v>
      </c>
      <c r="DNQ240" s="181">
        <v>5094</v>
      </c>
      <c r="DNR240" s="181">
        <v>5095</v>
      </c>
      <c r="DNS240" s="181">
        <v>5096</v>
      </c>
      <c r="DNT240" s="181">
        <v>5097</v>
      </c>
      <c r="DNU240" s="181">
        <v>5098</v>
      </c>
      <c r="DNV240" s="181">
        <v>5099</v>
      </c>
      <c r="DNW240" s="181">
        <v>5100</v>
      </c>
      <c r="DNX240" s="181">
        <v>5101</v>
      </c>
      <c r="DNY240" s="181">
        <v>5102</v>
      </c>
      <c r="DNZ240" s="181">
        <v>5103</v>
      </c>
      <c r="DOA240" s="181">
        <v>5104</v>
      </c>
      <c r="DOB240" s="181">
        <v>5105</v>
      </c>
      <c r="DOC240" s="181">
        <v>5106</v>
      </c>
      <c r="DOD240" s="181">
        <v>5107</v>
      </c>
      <c r="DOE240" s="181">
        <v>5108</v>
      </c>
      <c r="DOF240" s="181">
        <v>5109</v>
      </c>
      <c r="DOG240" s="181">
        <v>5110</v>
      </c>
      <c r="DOH240" s="181">
        <v>5111</v>
      </c>
      <c r="DOI240" s="181">
        <v>5112</v>
      </c>
      <c r="DOJ240" s="181">
        <v>5113</v>
      </c>
      <c r="DOK240" s="181">
        <v>5114</v>
      </c>
      <c r="DOL240" s="181">
        <v>5115</v>
      </c>
      <c r="DOM240" s="181">
        <v>5116</v>
      </c>
      <c r="DON240" s="181">
        <v>5117</v>
      </c>
      <c r="DOO240" s="181">
        <v>5118</v>
      </c>
      <c r="DOP240" s="181">
        <v>5119</v>
      </c>
      <c r="DOQ240" s="181">
        <v>5120</v>
      </c>
      <c r="DOR240" s="181">
        <v>5121</v>
      </c>
      <c r="DOS240" s="181">
        <v>5122</v>
      </c>
      <c r="DOT240" s="181">
        <v>5123</v>
      </c>
      <c r="DOU240" s="181">
        <v>5124</v>
      </c>
      <c r="DOV240" s="181">
        <v>5125</v>
      </c>
      <c r="DOW240" s="181">
        <v>5126</v>
      </c>
      <c r="DOX240" s="181">
        <v>5127</v>
      </c>
      <c r="DOY240" s="181">
        <v>5128</v>
      </c>
      <c r="DOZ240" s="181">
        <v>5129</v>
      </c>
      <c r="DPA240" s="181">
        <v>5130</v>
      </c>
      <c r="DPB240" s="181">
        <v>5131</v>
      </c>
      <c r="DPC240" s="181">
        <v>5132</v>
      </c>
      <c r="DPD240" s="181">
        <v>5133</v>
      </c>
      <c r="DPE240" s="181">
        <v>5134</v>
      </c>
      <c r="DPF240" s="181">
        <v>5135</v>
      </c>
      <c r="DPG240" s="181">
        <v>5136</v>
      </c>
      <c r="DPH240" s="181">
        <v>5137</v>
      </c>
      <c r="DPI240" s="181">
        <v>5138</v>
      </c>
      <c r="DPJ240" s="181">
        <v>5139</v>
      </c>
      <c r="DPK240" s="181">
        <v>5140</v>
      </c>
      <c r="DPL240" s="181">
        <v>5141</v>
      </c>
      <c r="DPM240" s="181">
        <v>5142</v>
      </c>
      <c r="DPN240" s="181">
        <v>5143</v>
      </c>
      <c r="DPO240" s="181">
        <v>5144</v>
      </c>
      <c r="DPP240" s="181">
        <v>5145</v>
      </c>
      <c r="DPQ240" s="181">
        <v>5146</v>
      </c>
      <c r="DPR240" s="181">
        <v>5147</v>
      </c>
      <c r="DPS240" s="181">
        <v>5148</v>
      </c>
      <c r="DPT240" s="181">
        <v>5149</v>
      </c>
      <c r="DPU240" s="181">
        <v>5150</v>
      </c>
      <c r="DPV240" s="181">
        <v>5151</v>
      </c>
      <c r="DPW240" s="181">
        <v>5152</v>
      </c>
      <c r="DPX240" s="181">
        <v>5153</v>
      </c>
      <c r="DPY240" s="181">
        <v>5154</v>
      </c>
      <c r="DPZ240" s="181">
        <v>5155</v>
      </c>
      <c r="DQA240" s="181">
        <v>5156</v>
      </c>
      <c r="DQB240" s="181">
        <v>5157</v>
      </c>
      <c r="DQC240" s="181">
        <v>5158</v>
      </c>
      <c r="DQD240" s="181">
        <v>5159</v>
      </c>
      <c r="DQE240" s="181">
        <v>5160</v>
      </c>
      <c r="DQF240" s="181">
        <v>5161</v>
      </c>
      <c r="DQG240" s="181">
        <v>5162</v>
      </c>
      <c r="DQH240" s="181">
        <v>5163</v>
      </c>
      <c r="DQI240" s="181">
        <v>5164</v>
      </c>
      <c r="DQJ240" s="181">
        <v>5165</v>
      </c>
      <c r="DQK240" s="181">
        <v>5166</v>
      </c>
      <c r="DQL240" s="181">
        <v>5167</v>
      </c>
      <c r="DQM240" s="181">
        <v>5168</v>
      </c>
      <c r="DQN240" s="181">
        <v>5169</v>
      </c>
      <c r="DQO240" s="181">
        <v>5170</v>
      </c>
      <c r="DQP240" s="181">
        <v>5171</v>
      </c>
      <c r="DQQ240" s="181">
        <v>5172</v>
      </c>
      <c r="DQR240" s="181">
        <v>5173</v>
      </c>
      <c r="DQS240" s="181">
        <v>5174</v>
      </c>
      <c r="DQT240" s="181">
        <v>5175</v>
      </c>
      <c r="DQU240" s="181">
        <v>5176</v>
      </c>
      <c r="DQV240" s="181">
        <v>5177</v>
      </c>
      <c r="DQW240" s="181">
        <v>5178</v>
      </c>
      <c r="DQX240" s="181">
        <v>5179</v>
      </c>
      <c r="DQY240" s="181">
        <v>5180</v>
      </c>
      <c r="DQZ240" s="181">
        <v>5181</v>
      </c>
      <c r="DRA240" s="181">
        <v>5182</v>
      </c>
      <c r="DRB240" s="181">
        <v>5183</v>
      </c>
      <c r="DRC240" s="181">
        <v>5184</v>
      </c>
      <c r="DRD240" s="181">
        <v>5185</v>
      </c>
      <c r="DRE240" s="181">
        <v>5186</v>
      </c>
      <c r="DRF240" s="181">
        <v>5187</v>
      </c>
      <c r="DRG240" s="181">
        <v>5188</v>
      </c>
      <c r="DRH240" s="181">
        <v>5189</v>
      </c>
      <c r="DRI240" s="181">
        <v>5190</v>
      </c>
      <c r="DRJ240" s="181">
        <v>5191</v>
      </c>
      <c r="DRK240" s="181">
        <v>5192</v>
      </c>
      <c r="DRL240" s="181">
        <v>5193</v>
      </c>
      <c r="DRM240" s="181">
        <v>5194</v>
      </c>
      <c r="DRN240" s="181">
        <v>5195</v>
      </c>
      <c r="DRO240" s="181">
        <v>5196</v>
      </c>
      <c r="DRP240" s="181">
        <v>5197</v>
      </c>
      <c r="DRQ240" s="181">
        <v>5198</v>
      </c>
      <c r="DRR240" s="181">
        <v>5199</v>
      </c>
      <c r="DRS240" s="181">
        <v>5200</v>
      </c>
      <c r="DRT240" s="181">
        <v>5201</v>
      </c>
      <c r="DRU240" s="181">
        <v>5202</v>
      </c>
      <c r="DRV240" s="181">
        <v>5203</v>
      </c>
      <c r="DRW240" s="181">
        <v>5204</v>
      </c>
      <c r="DRX240" s="181">
        <v>5205</v>
      </c>
      <c r="DRY240" s="181">
        <v>5206</v>
      </c>
      <c r="DRZ240" s="181">
        <v>5207</v>
      </c>
      <c r="DSA240" s="181">
        <v>5208</v>
      </c>
      <c r="DSB240" s="181">
        <v>5209</v>
      </c>
      <c r="DSC240" s="181">
        <v>5210</v>
      </c>
      <c r="DSD240" s="181">
        <v>5211</v>
      </c>
      <c r="DSE240" s="181">
        <v>5212</v>
      </c>
      <c r="DSF240" s="181">
        <v>5213</v>
      </c>
      <c r="DSG240" s="181">
        <v>5214</v>
      </c>
      <c r="DSH240" s="181">
        <v>5215</v>
      </c>
      <c r="DSI240" s="181">
        <v>5216</v>
      </c>
      <c r="DSJ240" s="181">
        <v>5217</v>
      </c>
      <c r="DSK240" s="181">
        <v>5218</v>
      </c>
      <c r="DSL240" s="181">
        <v>5219</v>
      </c>
      <c r="DSM240" s="181">
        <v>5220</v>
      </c>
      <c r="DSN240" s="181">
        <v>5221</v>
      </c>
      <c r="DSO240" s="181">
        <v>5222</v>
      </c>
      <c r="DSP240" s="181">
        <v>5223</v>
      </c>
      <c r="DSQ240" s="181">
        <v>5224</v>
      </c>
      <c r="DSR240" s="181">
        <v>5225</v>
      </c>
      <c r="DSS240" s="181">
        <v>5226</v>
      </c>
      <c r="DST240" s="181">
        <v>5227</v>
      </c>
      <c r="DSU240" s="181">
        <v>5228</v>
      </c>
      <c r="DSV240" s="181">
        <v>5229</v>
      </c>
      <c r="DSW240" s="181">
        <v>5230</v>
      </c>
      <c r="DSX240" s="181">
        <v>5231</v>
      </c>
      <c r="DSY240" s="181">
        <v>5232</v>
      </c>
      <c r="DSZ240" s="181">
        <v>5233</v>
      </c>
      <c r="DTA240" s="181">
        <v>5234</v>
      </c>
      <c r="DTB240" s="181">
        <v>5235</v>
      </c>
      <c r="DTC240" s="181">
        <v>5236</v>
      </c>
      <c r="DTD240" s="181">
        <v>5237</v>
      </c>
      <c r="DTE240" s="181">
        <v>5238</v>
      </c>
      <c r="DTF240" s="181">
        <v>5239</v>
      </c>
      <c r="DTG240" s="181">
        <v>5240</v>
      </c>
      <c r="DTH240" s="181">
        <v>5241</v>
      </c>
      <c r="DTI240" s="181">
        <v>5242</v>
      </c>
      <c r="DTJ240" s="181">
        <v>5243</v>
      </c>
      <c r="DTK240" s="181">
        <v>5244</v>
      </c>
      <c r="DTL240" s="181">
        <v>5245</v>
      </c>
      <c r="DTM240" s="181">
        <v>5246</v>
      </c>
      <c r="DTN240" s="181">
        <v>5247</v>
      </c>
      <c r="DTO240" s="181">
        <v>5248</v>
      </c>
      <c r="DTP240" s="181">
        <v>5249</v>
      </c>
      <c r="DTQ240" s="181">
        <v>5250</v>
      </c>
      <c r="DTR240" s="181">
        <v>5251</v>
      </c>
      <c r="DTS240" s="181">
        <v>5252</v>
      </c>
      <c r="DTT240" s="181">
        <v>5253</v>
      </c>
      <c r="DTU240" s="181">
        <v>5254</v>
      </c>
      <c r="DTV240" s="181">
        <v>5255</v>
      </c>
      <c r="DTW240" s="181">
        <v>5256</v>
      </c>
      <c r="DTX240" s="181">
        <v>5257</v>
      </c>
      <c r="DTY240" s="181">
        <v>5258</v>
      </c>
      <c r="DTZ240" s="181">
        <v>5259</v>
      </c>
      <c r="DUA240" s="181">
        <v>5260</v>
      </c>
      <c r="DUB240" s="181">
        <v>5261</v>
      </c>
      <c r="DUC240" s="181">
        <v>5262</v>
      </c>
      <c r="DUD240" s="181">
        <v>5263</v>
      </c>
      <c r="DUE240" s="181">
        <v>5264</v>
      </c>
      <c r="DUF240" s="181">
        <v>5265</v>
      </c>
      <c r="DUG240" s="181">
        <v>5266</v>
      </c>
      <c r="DUH240" s="181">
        <v>5267</v>
      </c>
      <c r="DUI240" s="181">
        <v>5268</v>
      </c>
      <c r="DUJ240" s="181">
        <v>5269</v>
      </c>
      <c r="DUK240" s="181">
        <v>5270</v>
      </c>
      <c r="DUL240" s="181">
        <v>5271</v>
      </c>
      <c r="DUM240" s="181">
        <v>5272</v>
      </c>
      <c r="DUN240" s="181">
        <v>5273</v>
      </c>
      <c r="DUO240" s="181">
        <v>5274</v>
      </c>
      <c r="DUP240" s="181">
        <v>5275</v>
      </c>
      <c r="DUQ240" s="181">
        <v>5276</v>
      </c>
      <c r="DUR240" s="181">
        <v>5277</v>
      </c>
      <c r="DUS240" s="181">
        <v>5278</v>
      </c>
      <c r="DUT240" s="181">
        <v>5279</v>
      </c>
      <c r="DUU240" s="181">
        <v>5280</v>
      </c>
      <c r="DUV240" s="181">
        <v>5281</v>
      </c>
      <c r="DUW240" s="181">
        <v>5282</v>
      </c>
      <c r="DUX240" s="181">
        <v>5283</v>
      </c>
      <c r="DUY240" s="181">
        <v>5284</v>
      </c>
      <c r="DUZ240" s="181">
        <v>5285</v>
      </c>
      <c r="DVA240" s="181">
        <v>5286</v>
      </c>
      <c r="DVB240" s="181">
        <v>5287</v>
      </c>
      <c r="DVC240" s="181">
        <v>5288</v>
      </c>
      <c r="DVD240" s="181">
        <v>5289</v>
      </c>
      <c r="DVE240" s="181">
        <v>5290</v>
      </c>
      <c r="DVF240" s="181">
        <v>5291</v>
      </c>
      <c r="DVG240" s="181">
        <v>5292</v>
      </c>
      <c r="DVH240" s="181">
        <v>5293</v>
      </c>
      <c r="DVI240" s="181">
        <v>5294</v>
      </c>
      <c r="DVJ240" s="181">
        <v>5295</v>
      </c>
      <c r="DVK240" s="181">
        <v>5296</v>
      </c>
      <c r="DVL240" s="181">
        <v>5297</v>
      </c>
      <c r="DVM240" s="181">
        <v>5298</v>
      </c>
      <c r="DVN240" s="181">
        <v>5299</v>
      </c>
      <c r="DVO240" s="181">
        <v>5300</v>
      </c>
      <c r="DVP240" s="181">
        <v>5301</v>
      </c>
      <c r="DVQ240" s="181">
        <v>5302</v>
      </c>
      <c r="DVR240" s="181">
        <v>5303</v>
      </c>
      <c r="DVS240" s="181">
        <v>5304</v>
      </c>
      <c r="DVT240" s="181">
        <v>5305</v>
      </c>
      <c r="DVU240" s="181">
        <v>5306</v>
      </c>
      <c r="DVV240" s="181">
        <v>5307</v>
      </c>
      <c r="DVW240" s="181">
        <v>5308</v>
      </c>
      <c r="DVX240" s="181">
        <v>5309</v>
      </c>
      <c r="DVY240" s="181">
        <v>5310</v>
      </c>
      <c r="DVZ240" s="181">
        <v>5311</v>
      </c>
      <c r="DWA240" s="181">
        <v>5312</v>
      </c>
      <c r="DWB240" s="181">
        <v>5313</v>
      </c>
      <c r="DWC240" s="181">
        <v>5314</v>
      </c>
      <c r="DWD240" s="181">
        <v>5315</v>
      </c>
      <c r="DWE240" s="181">
        <v>5316</v>
      </c>
      <c r="DWF240" s="181">
        <v>5317</v>
      </c>
      <c r="DWG240" s="181">
        <v>5318</v>
      </c>
      <c r="DWH240" s="181">
        <v>5319</v>
      </c>
      <c r="DWI240" s="181">
        <v>5320</v>
      </c>
      <c r="DWJ240" s="181">
        <v>5321</v>
      </c>
      <c r="DWK240" s="181">
        <v>5322</v>
      </c>
      <c r="DWL240" s="181">
        <v>5323</v>
      </c>
      <c r="DWM240" s="181">
        <v>5324</v>
      </c>
      <c r="DWN240" s="181">
        <v>5325</v>
      </c>
      <c r="DWO240" s="181">
        <v>5326</v>
      </c>
      <c r="DWP240" s="181">
        <v>5327</v>
      </c>
      <c r="DWQ240" s="181">
        <v>5328</v>
      </c>
      <c r="DWR240" s="181">
        <v>5329</v>
      </c>
      <c r="DWS240" s="181">
        <v>5330</v>
      </c>
      <c r="DWT240" s="181">
        <v>5331</v>
      </c>
      <c r="DWU240" s="181">
        <v>5332</v>
      </c>
      <c r="DWV240" s="181">
        <v>5333</v>
      </c>
      <c r="DWW240" s="181">
        <v>5334</v>
      </c>
      <c r="DWX240" s="181">
        <v>5335</v>
      </c>
      <c r="DWY240" s="181">
        <v>5336</v>
      </c>
      <c r="DWZ240" s="181">
        <v>5337</v>
      </c>
      <c r="DXA240" s="181">
        <v>5338</v>
      </c>
      <c r="DXB240" s="181">
        <v>5339</v>
      </c>
      <c r="DXC240" s="181">
        <v>5340</v>
      </c>
      <c r="DXD240" s="181">
        <v>5341</v>
      </c>
      <c r="DXE240" s="181">
        <v>5342</v>
      </c>
      <c r="DXF240" s="181">
        <v>5343</v>
      </c>
      <c r="DXG240" s="181">
        <v>5344</v>
      </c>
      <c r="DXH240" s="181">
        <v>5345</v>
      </c>
      <c r="DXI240" s="181">
        <v>5346</v>
      </c>
      <c r="DXJ240" s="181">
        <v>5347</v>
      </c>
      <c r="DXK240" s="181">
        <v>5348</v>
      </c>
      <c r="DXL240" s="181">
        <v>5349</v>
      </c>
      <c r="DXM240" s="181">
        <v>5350</v>
      </c>
      <c r="DXN240" s="181">
        <v>5351</v>
      </c>
      <c r="DXO240" s="181">
        <v>5352</v>
      </c>
      <c r="DXP240" s="181">
        <v>5353</v>
      </c>
      <c r="DXQ240" s="181">
        <v>5354</v>
      </c>
      <c r="DXR240" s="181">
        <v>5355</v>
      </c>
      <c r="DXS240" s="181">
        <v>5356</v>
      </c>
      <c r="DXT240" s="181">
        <v>5357</v>
      </c>
      <c r="DXU240" s="181">
        <v>5358</v>
      </c>
      <c r="DXV240" s="181">
        <v>5359</v>
      </c>
      <c r="DXW240" s="181">
        <v>5360</v>
      </c>
      <c r="DXX240" s="181">
        <v>5361</v>
      </c>
      <c r="DXY240" s="181">
        <v>5362</v>
      </c>
      <c r="DXZ240" s="181">
        <v>5363</v>
      </c>
      <c r="DYA240" s="181">
        <v>5364</v>
      </c>
      <c r="DYB240" s="181">
        <v>5365</v>
      </c>
      <c r="DYC240" s="181">
        <v>5366</v>
      </c>
      <c r="DYD240" s="181">
        <v>5367</v>
      </c>
      <c r="DYE240" s="181">
        <v>5368</v>
      </c>
      <c r="DYF240" s="181">
        <v>5369</v>
      </c>
      <c r="DYG240" s="181">
        <v>5370</v>
      </c>
      <c r="DYH240" s="181">
        <v>5371</v>
      </c>
      <c r="DYI240" s="181">
        <v>5372</v>
      </c>
      <c r="DYJ240" s="181">
        <v>5373</v>
      </c>
      <c r="DYK240" s="181">
        <v>5374</v>
      </c>
      <c r="DYL240" s="181">
        <v>5375</v>
      </c>
      <c r="DYM240" s="181">
        <v>5376</v>
      </c>
      <c r="DYN240" s="181">
        <v>5377</v>
      </c>
      <c r="DYO240" s="181">
        <v>5378</v>
      </c>
      <c r="DYP240" s="181">
        <v>5379</v>
      </c>
      <c r="DYQ240" s="181">
        <v>5380</v>
      </c>
      <c r="DYR240" s="181">
        <v>5381</v>
      </c>
      <c r="DYS240" s="181">
        <v>5382</v>
      </c>
      <c r="DYT240" s="181">
        <v>5383</v>
      </c>
      <c r="DYU240" s="181">
        <v>5384</v>
      </c>
      <c r="DYV240" s="181">
        <v>5385</v>
      </c>
      <c r="DYW240" s="181">
        <v>5386</v>
      </c>
      <c r="DYX240" s="181">
        <v>5387</v>
      </c>
      <c r="DYY240" s="181">
        <v>5388</v>
      </c>
      <c r="DYZ240" s="181">
        <v>5389</v>
      </c>
      <c r="DZA240" s="181">
        <v>5390</v>
      </c>
      <c r="DZB240" s="181">
        <v>5391</v>
      </c>
      <c r="DZC240" s="181">
        <v>5392</v>
      </c>
      <c r="DZD240" s="181">
        <v>5393</v>
      </c>
      <c r="DZE240" s="181">
        <v>5394</v>
      </c>
      <c r="DZF240" s="181">
        <v>5395</v>
      </c>
      <c r="DZG240" s="181">
        <v>5396</v>
      </c>
      <c r="DZH240" s="181">
        <v>5397</v>
      </c>
      <c r="DZI240" s="181">
        <v>5398</v>
      </c>
      <c r="DZJ240" s="181">
        <v>5399</v>
      </c>
      <c r="DZK240" s="181">
        <v>5400</v>
      </c>
      <c r="DZL240" s="181">
        <v>5401</v>
      </c>
      <c r="DZM240" s="181">
        <v>5402</v>
      </c>
      <c r="DZN240" s="181">
        <v>5403</v>
      </c>
      <c r="DZO240" s="181">
        <v>5404</v>
      </c>
      <c r="DZP240" s="181">
        <v>5405</v>
      </c>
      <c r="DZQ240" s="181">
        <v>5406</v>
      </c>
      <c r="DZR240" s="181">
        <v>5407</v>
      </c>
      <c r="DZS240" s="181">
        <v>5408</v>
      </c>
      <c r="DZT240" s="181">
        <v>5409</v>
      </c>
      <c r="DZU240" s="181">
        <v>5410</v>
      </c>
      <c r="DZV240" s="181">
        <v>5411</v>
      </c>
      <c r="DZW240" s="181">
        <v>5412</v>
      </c>
      <c r="DZX240" s="181">
        <v>5413</v>
      </c>
      <c r="DZY240" s="181">
        <v>5414</v>
      </c>
      <c r="DZZ240" s="181">
        <v>5415</v>
      </c>
      <c r="EAA240" s="181">
        <v>5416</v>
      </c>
      <c r="EAB240" s="181">
        <v>5417</v>
      </c>
      <c r="EAC240" s="181">
        <v>5418</v>
      </c>
      <c r="EAD240" s="181">
        <v>5419</v>
      </c>
      <c r="EAE240" s="181">
        <v>5420</v>
      </c>
      <c r="EAF240" s="181">
        <v>5421</v>
      </c>
      <c r="EAG240" s="181">
        <v>5422</v>
      </c>
      <c r="EAH240" s="181">
        <v>5423</v>
      </c>
      <c r="EAI240" s="181">
        <v>5424</v>
      </c>
      <c r="EAJ240" s="181">
        <v>5425</v>
      </c>
      <c r="EAK240" s="181">
        <v>5426</v>
      </c>
      <c r="EAL240" s="181">
        <v>5427</v>
      </c>
      <c r="EAM240" s="181">
        <v>5428</v>
      </c>
      <c r="EAN240" s="181">
        <v>5429</v>
      </c>
      <c r="EAO240" s="181">
        <v>5430</v>
      </c>
      <c r="EAP240" s="181">
        <v>5431</v>
      </c>
      <c r="EAQ240" s="181">
        <v>5432</v>
      </c>
      <c r="EAR240" s="181">
        <v>5433</v>
      </c>
      <c r="EAS240" s="181">
        <v>5434</v>
      </c>
      <c r="EAT240" s="181">
        <v>5435</v>
      </c>
      <c r="EAU240" s="181">
        <v>5436</v>
      </c>
      <c r="EAV240" s="181">
        <v>5437</v>
      </c>
      <c r="EAW240" s="181">
        <v>5438</v>
      </c>
      <c r="EAX240" s="181">
        <v>5439</v>
      </c>
      <c r="EAY240" s="181">
        <v>5440</v>
      </c>
      <c r="EAZ240" s="181">
        <v>5441</v>
      </c>
      <c r="EBA240" s="181">
        <v>5442</v>
      </c>
      <c r="EBB240" s="181">
        <v>5443</v>
      </c>
      <c r="EBC240" s="181">
        <v>5444</v>
      </c>
      <c r="EBD240" s="181">
        <v>5445</v>
      </c>
      <c r="EBE240" s="181">
        <v>5446</v>
      </c>
      <c r="EBF240" s="181">
        <v>5447</v>
      </c>
      <c r="EBG240" s="181">
        <v>5448</v>
      </c>
      <c r="EBH240" s="181">
        <v>5449</v>
      </c>
      <c r="EBI240" s="181">
        <v>5450</v>
      </c>
      <c r="EBJ240" s="181">
        <v>5451</v>
      </c>
      <c r="EBK240" s="181">
        <v>5452</v>
      </c>
      <c r="EBL240" s="181">
        <v>5453</v>
      </c>
      <c r="EBM240" s="181">
        <v>5454</v>
      </c>
      <c r="EBN240" s="181">
        <v>5455</v>
      </c>
      <c r="EBO240" s="181">
        <v>5456</v>
      </c>
      <c r="EBP240" s="181">
        <v>5457</v>
      </c>
      <c r="EBQ240" s="181">
        <v>5458</v>
      </c>
      <c r="EBR240" s="181">
        <v>5459</v>
      </c>
      <c r="EBS240" s="181">
        <v>5460</v>
      </c>
      <c r="EBT240" s="181">
        <v>5461</v>
      </c>
      <c r="EBU240" s="181">
        <v>5462</v>
      </c>
      <c r="EBV240" s="181">
        <v>5463</v>
      </c>
      <c r="EBW240" s="181">
        <v>5464</v>
      </c>
      <c r="EBX240" s="181">
        <v>5465</v>
      </c>
      <c r="EBY240" s="181">
        <v>5466</v>
      </c>
      <c r="EBZ240" s="181">
        <v>5467</v>
      </c>
      <c r="ECA240" s="181">
        <v>5468</v>
      </c>
      <c r="ECB240" s="181">
        <v>5469</v>
      </c>
      <c r="ECC240" s="181">
        <v>5470</v>
      </c>
      <c r="ECD240" s="181">
        <v>5471</v>
      </c>
      <c r="ECE240" s="181">
        <v>5472</v>
      </c>
      <c r="ECF240" s="181">
        <v>5473</v>
      </c>
      <c r="ECG240" s="181">
        <v>5474</v>
      </c>
      <c r="ECH240" s="181">
        <v>5475</v>
      </c>
      <c r="ECI240" s="181">
        <v>5476</v>
      </c>
      <c r="ECJ240" s="181">
        <v>5477</v>
      </c>
      <c r="ECK240" s="181">
        <v>5478</v>
      </c>
      <c r="ECL240" s="181">
        <v>5479</v>
      </c>
      <c r="ECM240" s="181">
        <v>5480</v>
      </c>
      <c r="ECN240" s="181">
        <v>5481</v>
      </c>
      <c r="ECO240" s="181">
        <v>5482</v>
      </c>
      <c r="ECP240" s="181">
        <v>5483</v>
      </c>
      <c r="ECQ240" s="181">
        <v>5484</v>
      </c>
      <c r="ECR240" s="181">
        <v>5485</v>
      </c>
      <c r="ECS240" s="181">
        <v>5486</v>
      </c>
      <c r="ECT240" s="181">
        <v>5487</v>
      </c>
      <c r="ECU240" s="181">
        <v>5488</v>
      </c>
      <c r="ECV240" s="181">
        <v>5489</v>
      </c>
      <c r="ECW240" s="181">
        <v>5490</v>
      </c>
      <c r="ECX240" s="181">
        <v>5491</v>
      </c>
      <c r="ECY240" s="181">
        <v>5492</v>
      </c>
      <c r="ECZ240" s="181">
        <v>5493</v>
      </c>
      <c r="EDA240" s="181">
        <v>5494</v>
      </c>
      <c r="EDB240" s="181">
        <v>5495</v>
      </c>
      <c r="EDC240" s="181">
        <v>5496</v>
      </c>
      <c r="EDD240" s="181">
        <v>5497</v>
      </c>
      <c r="EDE240" s="181">
        <v>5498</v>
      </c>
      <c r="EDF240" s="181">
        <v>5499</v>
      </c>
      <c r="EDG240" s="181">
        <v>5500</v>
      </c>
      <c r="EDH240" s="181">
        <v>5501</v>
      </c>
      <c r="EDI240" s="181">
        <v>5502</v>
      </c>
      <c r="EDJ240" s="181">
        <v>5503</v>
      </c>
      <c r="EDK240" s="181">
        <v>5504</v>
      </c>
      <c r="EDL240" s="181">
        <v>5505</v>
      </c>
      <c r="EDM240" s="181">
        <v>5506</v>
      </c>
      <c r="EDN240" s="181">
        <v>5507</v>
      </c>
      <c r="EDO240" s="181">
        <v>5508</v>
      </c>
      <c r="EDP240" s="181">
        <v>5509</v>
      </c>
      <c r="EDQ240" s="181">
        <v>5510</v>
      </c>
      <c r="EDR240" s="181">
        <v>5511</v>
      </c>
      <c r="EDS240" s="181">
        <v>5512</v>
      </c>
      <c r="EDT240" s="181">
        <v>5513</v>
      </c>
      <c r="EDU240" s="181">
        <v>5514</v>
      </c>
      <c r="EDV240" s="181">
        <v>5515</v>
      </c>
      <c r="EDW240" s="181">
        <v>5516</v>
      </c>
      <c r="EDX240" s="181">
        <v>5517</v>
      </c>
      <c r="EDY240" s="181">
        <v>5518</v>
      </c>
      <c r="EDZ240" s="181">
        <v>5519</v>
      </c>
      <c r="EEA240" s="181">
        <v>5520</v>
      </c>
      <c r="EEB240" s="181">
        <v>5521</v>
      </c>
      <c r="EEC240" s="181">
        <v>5522</v>
      </c>
      <c r="EED240" s="181">
        <v>5523</v>
      </c>
      <c r="EEE240" s="181">
        <v>5524</v>
      </c>
      <c r="EEF240" s="181">
        <v>5525</v>
      </c>
      <c r="EEG240" s="181">
        <v>5526</v>
      </c>
      <c r="EEH240" s="181">
        <v>5527</v>
      </c>
      <c r="EEI240" s="181">
        <v>5528</v>
      </c>
      <c r="EEJ240" s="181">
        <v>5529</v>
      </c>
      <c r="EEK240" s="181">
        <v>5530</v>
      </c>
      <c r="EEL240" s="181">
        <v>5531</v>
      </c>
      <c r="EEM240" s="181">
        <v>5532</v>
      </c>
      <c r="EEN240" s="181">
        <v>5533</v>
      </c>
      <c r="EEO240" s="181">
        <v>5534</v>
      </c>
      <c r="EEP240" s="181">
        <v>5535</v>
      </c>
      <c r="EEQ240" s="181">
        <v>5536</v>
      </c>
      <c r="EER240" s="181">
        <v>5537</v>
      </c>
      <c r="EES240" s="181">
        <v>5538</v>
      </c>
      <c r="EET240" s="181">
        <v>5539</v>
      </c>
      <c r="EEU240" s="181">
        <v>5540</v>
      </c>
      <c r="EEV240" s="181">
        <v>5541</v>
      </c>
      <c r="EEW240" s="181">
        <v>5542</v>
      </c>
      <c r="EEX240" s="181">
        <v>5543</v>
      </c>
      <c r="EEY240" s="181">
        <v>5544</v>
      </c>
      <c r="EEZ240" s="181">
        <v>5545</v>
      </c>
      <c r="EFA240" s="181">
        <v>5546</v>
      </c>
      <c r="EFB240" s="181">
        <v>5547</v>
      </c>
      <c r="EFC240" s="181">
        <v>5548</v>
      </c>
      <c r="EFD240" s="181">
        <v>5549</v>
      </c>
      <c r="EFE240" s="181">
        <v>5550</v>
      </c>
      <c r="EFF240" s="181">
        <v>5551</v>
      </c>
      <c r="EFG240" s="181">
        <v>5552</v>
      </c>
      <c r="EFH240" s="181">
        <v>5553</v>
      </c>
      <c r="EFI240" s="181">
        <v>5554</v>
      </c>
      <c r="EFJ240" s="181">
        <v>5555</v>
      </c>
      <c r="EFK240" s="181">
        <v>5556</v>
      </c>
      <c r="EFL240" s="181">
        <v>5557</v>
      </c>
      <c r="EFM240" s="181">
        <v>5558</v>
      </c>
      <c r="EFN240" s="181">
        <v>5559</v>
      </c>
      <c r="EFO240" s="181">
        <v>5560</v>
      </c>
      <c r="EFP240" s="181">
        <v>5561</v>
      </c>
      <c r="EFQ240" s="181">
        <v>5562</v>
      </c>
      <c r="EFR240" s="181">
        <v>5563</v>
      </c>
      <c r="EFS240" s="181">
        <v>5564</v>
      </c>
      <c r="EFT240" s="181">
        <v>5565</v>
      </c>
      <c r="EFU240" s="181">
        <v>5566</v>
      </c>
      <c r="EFV240" s="181">
        <v>5567</v>
      </c>
      <c r="EFW240" s="181">
        <v>5568</v>
      </c>
      <c r="EFX240" s="181">
        <v>5569</v>
      </c>
      <c r="EFY240" s="181">
        <v>5570</v>
      </c>
      <c r="EFZ240" s="181">
        <v>5571</v>
      </c>
      <c r="EGA240" s="181">
        <v>5572</v>
      </c>
      <c r="EGB240" s="181">
        <v>5573</v>
      </c>
      <c r="EGC240" s="181">
        <v>5574</v>
      </c>
      <c r="EGD240" s="181">
        <v>5575</v>
      </c>
      <c r="EGE240" s="181">
        <v>5576</v>
      </c>
      <c r="EGF240" s="181">
        <v>5577</v>
      </c>
      <c r="EGG240" s="181">
        <v>5578</v>
      </c>
      <c r="EGH240" s="181">
        <v>5579</v>
      </c>
      <c r="EGI240" s="181">
        <v>5580</v>
      </c>
      <c r="EGJ240" s="181">
        <v>5581</v>
      </c>
      <c r="EGK240" s="181">
        <v>5582</v>
      </c>
      <c r="EGL240" s="181">
        <v>5583</v>
      </c>
      <c r="EGM240" s="181">
        <v>5584</v>
      </c>
      <c r="EGN240" s="181">
        <v>5585</v>
      </c>
      <c r="EGO240" s="181">
        <v>5586</v>
      </c>
      <c r="EGP240" s="181">
        <v>5587</v>
      </c>
      <c r="EGQ240" s="181">
        <v>5588</v>
      </c>
      <c r="EGR240" s="181">
        <v>5589</v>
      </c>
      <c r="EGS240" s="181">
        <v>5590</v>
      </c>
      <c r="EGT240" s="181">
        <v>5591</v>
      </c>
      <c r="EGU240" s="181">
        <v>5592</v>
      </c>
      <c r="EGV240" s="181">
        <v>5593</v>
      </c>
      <c r="EGW240" s="181">
        <v>5594</v>
      </c>
      <c r="EGX240" s="181">
        <v>5595</v>
      </c>
      <c r="EGY240" s="181">
        <v>5596</v>
      </c>
      <c r="EGZ240" s="181">
        <v>5597</v>
      </c>
      <c r="EHA240" s="181">
        <v>5598</v>
      </c>
      <c r="EHB240" s="181">
        <v>5599</v>
      </c>
      <c r="EHC240" s="181">
        <v>5600</v>
      </c>
      <c r="EHD240" s="181">
        <v>5601</v>
      </c>
      <c r="EHE240" s="181">
        <v>5602</v>
      </c>
      <c r="EHF240" s="181">
        <v>5603</v>
      </c>
      <c r="EHG240" s="181">
        <v>5604</v>
      </c>
      <c r="EHH240" s="181">
        <v>5605</v>
      </c>
      <c r="EHI240" s="181">
        <v>5606</v>
      </c>
      <c r="EHJ240" s="181">
        <v>5607</v>
      </c>
      <c r="EHK240" s="181">
        <v>5608</v>
      </c>
      <c r="EHL240" s="181">
        <v>5609</v>
      </c>
      <c r="EHM240" s="181">
        <v>5610</v>
      </c>
      <c r="EHN240" s="181">
        <v>5611</v>
      </c>
      <c r="EHO240" s="181">
        <v>5612</v>
      </c>
      <c r="EHP240" s="181">
        <v>5613</v>
      </c>
      <c r="EHQ240" s="181">
        <v>5614</v>
      </c>
      <c r="EHR240" s="181">
        <v>5615</v>
      </c>
      <c r="EHS240" s="181">
        <v>5616</v>
      </c>
      <c r="EHT240" s="181">
        <v>5617</v>
      </c>
      <c r="EHU240" s="181">
        <v>5618</v>
      </c>
      <c r="EHV240" s="181">
        <v>5619</v>
      </c>
      <c r="EHW240" s="181">
        <v>5620</v>
      </c>
      <c r="EHX240" s="181">
        <v>5621</v>
      </c>
      <c r="EHY240" s="181">
        <v>5622</v>
      </c>
      <c r="EHZ240" s="181">
        <v>5623</v>
      </c>
      <c r="EIA240" s="181">
        <v>5624</v>
      </c>
      <c r="EIB240" s="181">
        <v>5625</v>
      </c>
      <c r="EIC240" s="181">
        <v>5626</v>
      </c>
      <c r="EID240" s="181">
        <v>5627</v>
      </c>
      <c r="EIE240" s="181">
        <v>5628</v>
      </c>
      <c r="EIF240" s="181">
        <v>5629</v>
      </c>
      <c r="EIG240" s="181">
        <v>5630</v>
      </c>
      <c r="EIH240" s="181">
        <v>5631</v>
      </c>
      <c r="EII240" s="181">
        <v>5632</v>
      </c>
      <c r="EIJ240" s="181">
        <v>5633</v>
      </c>
      <c r="EIK240" s="181">
        <v>5634</v>
      </c>
      <c r="EIL240" s="181">
        <v>5635</v>
      </c>
      <c r="EIM240" s="181">
        <v>5636</v>
      </c>
      <c r="EIN240" s="181">
        <v>5637</v>
      </c>
      <c r="EIO240" s="181">
        <v>5638</v>
      </c>
      <c r="EIP240" s="181">
        <v>5639</v>
      </c>
      <c r="EIQ240" s="181">
        <v>5640</v>
      </c>
      <c r="EIR240" s="181">
        <v>5641</v>
      </c>
      <c r="EIS240" s="181">
        <v>5642</v>
      </c>
      <c r="EIT240" s="181">
        <v>5643</v>
      </c>
      <c r="EIU240" s="181">
        <v>5644</v>
      </c>
      <c r="EIV240" s="181">
        <v>5645</v>
      </c>
      <c r="EIW240" s="181">
        <v>5646</v>
      </c>
      <c r="EIX240" s="181">
        <v>5647</v>
      </c>
      <c r="EIY240" s="181">
        <v>5648</v>
      </c>
      <c r="EIZ240" s="181">
        <v>5649</v>
      </c>
      <c r="EJA240" s="181">
        <v>5650</v>
      </c>
      <c r="EJB240" s="181">
        <v>5651</v>
      </c>
      <c r="EJC240" s="181">
        <v>5652</v>
      </c>
      <c r="EJD240" s="181">
        <v>5653</v>
      </c>
      <c r="EJE240" s="181">
        <v>5654</v>
      </c>
      <c r="EJF240" s="181">
        <v>5655</v>
      </c>
      <c r="EJG240" s="181">
        <v>5656</v>
      </c>
      <c r="EJH240" s="181">
        <v>5657</v>
      </c>
      <c r="EJI240" s="181">
        <v>5658</v>
      </c>
      <c r="EJJ240" s="181">
        <v>5659</v>
      </c>
      <c r="EJK240" s="181">
        <v>5660</v>
      </c>
      <c r="EJL240" s="181">
        <v>5661</v>
      </c>
      <c r="EJM240" s="181">
        <v>5662</v>
      </c>
      <c r="EJN240" s="181">
        <v>5663</v>
      </c>
      <c r="EJO240" s="181">
        <v>5664</v>
      </c>
      <c r="EJP240" s="181">
        <v>5665</v>
      </c>
      <c r="EJQ240" s="181">
        <v>5666</v>
      </c>
      <c r="EJR240" s="181">
        <v>5667</v>
      </c>
      <c r="EJS240" s="181">
        <v>5668</v>
      </c>
      <c r="EJT240" s="181">
        <v>5669</v>
      </c>
      <c r="EJU240" s="181">
        <v>5670</v>
      </c>
      <c r="EJV240" s="181">
        <v>5671</v>
      </c>
      <c r="EJW240" s="181">
        <v>5672</v>
      </c>
      <c r="EJX240" s="181">
        <v>5673</v>
      </c>
      <c r="EJY240" s="181">
        <v>5674</v>
      </c>
      <c r="EJZ240" s="181">
        <v>5675</v>
      </c>
      <c r="EKA240" s="181">
        <v>5676</v>
      </c>
      <c r="EKB240" s="181">
        <v>5677</v>
      </c>
      <c r="EKC240" s="181">
        <v>5678</v>
      </c>
      <c r="EKD240" s="181">
        <v>5679</v>
      </c>
      <c r="EKE240" s="181">
        <v>5680</v>
      </c>
      <c r="EKF240" s="181">
        <v>5681</v>
      </c>
      <c r="EKG240" s="181">
        <v>5682</v>
      </c>
      <c r="EKH240" s="181">
        <v>5683</v>
      </c>
      <c r="EKI240" s="181">
        <v>5684</v>
      </c>
      <c r="EKJ240" s="181">
        <v>5685</v>
      </c>
      <c r="EKK240" s="181">
        <v>5686</v>
      </c>
      <c r="EKL240" s="181">
        <v>5687</v>
      </c>
      <c r="EKM240" s="181">
        <v>5688</v>
      </c>
      <c r="EKN240" s="181">
        <v>5689</v>
      </c>
      <c r="EKO240" s="181">
        <v>5690</v>
      </c>
      <c r="EKP240" s="181">
        <v>5691</v>
      </c>
      <c r="EKQ240" s="181">
        <v>5692</v>
      </c>
      <c r="EKR240" s="181">
        <v>5693</v>
      </c>
      <c r="EKS240" s="181">
        <v>5694</v>
      </c>
      <c r="EKT240" s="181">
        <v>5695</v>
      </c>
      <c r="EKU240" s="181">
        <v>5696</v>
      </c>
      <c r="EKV240" s="181">
        <v>5697</v>
      </c>
      <c r="EKW240" s="181">
        <v>5698</v>
      </c>
      <c r="EKX240" s="181">
        <v>5699</v>
      </c>
      <c r="EKY240" s="181">
        <v>5700</v>
      </c>
      <c r="EKZ240" s="181">
        <v>5701</v>
      </c>
      <c r="ELA240" s="181">
        <v>5702</v>
      </c>
      <c r="ELB240" s="181">
        <v>5703</v>
      </c>
      <c r="ELC240" s="181">
        <v>5704</v>
      </c>
      <c r="ELD240" s="181">
        <v>5705</v>
      </c>
      <c r="ELE240" s="181">
        <v>5706</v>
      </c>
      <c r="ELF240" s="181">
        <v>5707</v>
      </c>
      <c r="ELG240" s="181">
        <v>5708</v>
      </c>
      <c r="ELH240" s="181">
        <v>5709</v>
      </c>
      <c r="ELI240" s="181">
        <v>5710</v>
      </c>
      <c r="ELJ240" s="181">
        <v>5711</v>
      </c>
      <c r="ELK240" s="181">
        <v>5712</v>
      </c>
      <c r="ELL240" s="181">
        <v>5713</v>
      </c>
      <c r="ELM240" s="181">
        <v>5714</v>
      </c>
      <c r="ELN240" s="181">
        <v>5715</v>
      </c>
      <c r="ELO240" s="181">
        <v>5716</v>
      </c>
      <c r="ELP240" s="181">
        <v>5717</v>
      </c>
      <c r="ELQ240" s="181">
        <v>5718</v>
      </c>
      <c r="ELR240" s="181">
        <v>5719</v>
      </c>
      <c r="ELS240" s="181">
        <v>5720</v>
      </c>
      <c r="ELT240" s="181">
        <v>5721</v>
      </c>
      <c r="ELU240" s="181">
        <v>5722</v>
      </c>
      <c r="ELV240" s="181">
        <v>5723</v>
      </c>
      <c r="ELW240" s="181">
        <v>5724</v>
      </c>
      <c r="ELX240" s="181">
        <v>5725</v>
      </c>
      <c r="ELY240" s="181">
        <v>5726</v>
      </c>
      <c r="ELZ240" s="181">
        <v>5727</v>
      </c>
      <c r="EMA240" s="181">
        <v>5728</v>
      </c>
      <c r="EMB240" s="181">
        <v>5729</v>
      </c>
      <c r="EMC240" s="181">
        <v>5730</v>
      </c>
      <c r="EMD240" s="181">
        <v>5731</v>
      </c>
      <c r="EME240" s="181">
        <v>5732</v>
      </c>
      <c r="EMF240" s="181">
        <v>5733</v>
      </c>
      <c r="EMG240" s="181">
        <v>5734</v>
      </c>
      <c r="EMH240" s="181">
        <v>5735</v>
      </c>
      <c r="EMI240" s="181">
        <v>5736</v>
      </c>
      <c r="EMJ240" s="181">
        <v>5737</v>
      </c>
      <c r="EMK240" s="181">
        <v>5738</v>
      </c>
      <c r="EML240" s="181">
        <v>5739</v>
      </c>
      <c r="EMM240" s="181">
        <v>5740</v>
      </c>
      <c r="EMN240" s="181">
        <v>5741</v>
      </c>
      <c r="EMO240" s="181">
        <v>5742</v>
      </c>
      <c r="EMP240" s="181">
        <v>5743</v>
      </c>
      <c r="EMQ240" s="181">
        <v>5744</v>
      </c>
      <c r="EMR240" s="181">
        <v>5745</v>
      </c>
      <c r="EMS240" s="181">
        <v>5746</v>
      </c>
      <c r="EMT240" s="181">
        <v>5747</v>
      </c>
      <c r="EMU240" s="181">
        <v>5748</v>
      </c>
      <c r="EMV240" s="181">
        <v>5749</v>
      </c>
      <c r="EMW240" s="181">
        <v>5750</v>
      </c>
      <c r="EMX240" s="181">
        <v>5751</v>
      </c>
      <c r="EMY240" s="181">
        <v>5752</v>
      </c>
      <c r="EMZ240" s="181">
        <v>5753</v>
      </c>
      <c r="ENA240" s="181">
        <v>5754</v>
      </c>
      <c r="ENB240" s="181">
        <v>5755</v>
      </c>
      <c r="ENC240" s="181">
        <v>5756</v>
      </c>
      <c r="END240" s="181">
        <v>5757</v>
      </c>
      <c r="ENE240" s="181">
        <v>5758</v>
      </c>
      <c r="ENF240" s="181">
        <v>5759</v>
      </c>
      <c r="ENG240" s="181">
        <v>5760</v>
      </c>
      <c r="ENH240" s="181">
        <v>5761</v>
      </c>
      <c r="ENI240" s="181">
        <v>5762</v>
      </c>
      <c r="ENJ240" s="181">
        <v>5763</v>
      </c>
      <c r="ENK240" s="181">
        <v>5764</v>
      </c>
      <c r="ENL240" s="181">
        <v>5765</v>
      </c>
      <c r="ENM240" s="181">
        <v>5766</v>
      </c>
      <c r="ENN240" s="181">
        <v>5767</v>
      </c>
      <c r="ENO240" s="181">
        <v>5768</v>
      </c>
      <c r="ENP240" s="181">
        <v>5769</v>
      </c>
      <c r="ENQ240" s="181">
        <v>5770</v>
      </c>
      <c r="ENR240" s="181">
        <v>5771</v>
      </c>
      <c r="ENS240" s="181">
        <v>5772</v>
      </c>
      <c r="ENT240" s="181">
        <v>5773</v>
      </c>
      <c r="ENU240" s="181">
        <v>5774</v>
      </c>
      <c r="ENV240" s="181">
        <v>5775</v>
      </c>
      <c r="ENW240" s="181">
        <v>5776</v>
      </c>
      <c r="ENX240" s="181">
        <v>5777</v>
      </c>
      <c r="ENY240" s="181">
        <v>5778</v>
      </c>
      <c r="ENZ240" s="181">
        <v>5779</v>
      </c>
      <c r="EOA240" s="181">
        <v>5780</v>
      </c>
      <c r="EOB240" s="181">
        <v>5781</v>
      </c>
      <c r="EOC240" s="181">
        <v>5782</v>
      </c>
      <c r="EOD240" s="181">
        <v>5783</v>
      </c>
      <c r="EOE240" s="181">
        <v>5784</v>
      </c>
      <c r="EOF240" s="181">
        <v>5785</v>
      </c>
      <c r="EOG240" s="181">
        <v>5786</v>
      </c>
      <c r="EOH240" s="181">
        <v>5787</v>
      </c>
      <c r="EOI240" s="181">
        <v>5788</v>
      </c>
      <c r="EOJ240" s="181">
        <v>5789</v>
      </c>
      <c r="EOK240" s="181">
        <v>5790</v>
      </c>
      <c r="EOL240" s="181">
        <v>5791</v>
      </c>
      <c r="EOM240" s="181">
        <v>5792</v>
      </c>
      <c r="EON240" s="181">
        <v>5793</v>
      </c>
      <c r="EOO240" s="181">
        <v>5794</v>
      </c>
      <c r="EOP240" s="181">
        <v>5795</v>
      </c>
      <c r="EOQ240" s="181">
        <v>5796</v>
      </c>
      <c r="EOR240" s="181">
        <v>5797</v>
      </c>
      <c r="EOS240" s="181">
        <v>5798</v>
      </c>
      <c r="EOT240" s="181">
        <v>5799</v>
      </c>
      <c r="EOU240" s="181">
        <v>5800</v>
      </c>
      <c r="EOV240" s="181">
        <v>5801</v>
      </c>
      <c r="EOW240" s="181">
        <v>5802</v>
      </c>
      <c r="EOX240" s="181">
        <v>5803</v>
      </c>
      <c r="EOY240" s="181">
        <v>5804</v>
      </c>
      <c r="EOZ240" s="181">
        <v>5805</v>
      </c>
      <c r="EPA240" s="181">
        <v>5806</v>
      </c>
      <c r="EPB240" s="181">
        <v>5807</v>
      </c>
      <c r="EPC240" s="181">
        <v>5808</v>
      </c>
      <c r="EPD240" s="181">
        <v>5809</v>
      </c>
      <c r="EPE240" s="181">
        <v>5810</v>
      </c>
      <c r="EPF240" s="181">
        <v>5811</v>
      </c>
      <c r="EPG240" s="181">
        <v>5812</v>
      </c>
      <c r="EPH240" s="181">
        <v>5813</v>
      </c>
      <c r="EPI240" s="181">
        <v>5814</v>
      </c>
      <c r="EPJ240" s="181">
        <v>5815</v>
      </c>
      <c r="EPK240" s="181">
        <v>5816</v>
      </c>
      <c r="EPL240" s="181">
        <v>5817</v>
      </c>
      <c r="EPM240" s="181">
        <v>5818</v>
      </c>
      <c r="EPN240" s="181">
        <v>5819</v>
      </c>
      <c r="EPO240" s="181">
        <v>5820</v>
      </c>
      <c r="EPP240" s="181">
        <v>5821</v>
      </c>
      <c r="EPQ240" s="181">
        <v>5822</v>
      </c>
      <c r="EPR240" s="181">
        <v>5823</v>
      </c>
      <c r="EPS240" s="181">
        <v>5824</v>
      </c>
      <c r="EPT240" s="181">
        <v>5825</v>
      </c>
      <c r="EPU240" s="181">
        <v>5826</v>
      </c>
      <c r="EPV240" s="181">
        <v>5827</v>
      </c>
      <c r="EPW240" s="181">
        <v>5828</v>
      </c>
      <c r="EPX240" s="181">
        <v>5829</v>
      </c>
      <c r="EPY240" s="181">
        <v>5830</v>
      </c>
      <c r="EPZ240" s="181">
        <v>5831</v>
      </c>
      <c r="EQA240" s="181">
        <v>5832</v>
      </c>
      <c r="EQB240" s="181">
        <v>5833</v>
      </c>
      <c r="EQC240" s="181">
        <v>5834</v>
      </c>
      <c r="EQD240" s="181">
        <v>5835</v>
      </c>
      <c r="EQE240" s="181">
        <v>5836</v>
      </c>
      <c r="EQF240" s="181">
        <v>5837</v>
      </c>
      <c r="EQG240" s="181">
        <v>5838</v>
      </c>
      <c r="EQH240" s="181">
        <v>5839</v>
      </c>
      <c r="EQI240" s="181">
        <v>5840</v>
      </c>
      <c r="EQJ240" s="181">
        <v>5841</v>
      </c>
      <c r="EQK240" s="181">
        <v>5842</v>
      </c>
      <c r="EQL240" s="181">
        <v>5843</v>
      </c>
      <c r="EQM240" s="181">
        <v>5844</v>
      </c>
      <c r="EQN240" s="181">
        <v>5845</v>
      </c>
      <c r="EQO240" s="181">
        <v>5846</v>
      </c>
      <c r="EQP240" s="181">
        <v>5847</v>
      </c>
      <c r="EQQ240" s="181">
        <v>5848</v>
      </c>
      <c r="EQR240" s="181">
        <v>5849</v>
      </c>
      <c r="EQS240" s="181">
        <v>5850</v>
      </c>
      <c r="EQT240" s="181">
        <v>5851</v>
      </c>
      <c r="EQU240" s="181">
        <v>5852</v>
      </c>
      <c r="EQV240" s="181">
        <v>5853</v>
      </c>
      <c r="EQW240" s="181">
        <v>5854</v>
      </c>
      <c r="EQX240" s="181">
        <v>5855</v>
      </c>
      <c r="EQY240" s="181">
        <v>5856</v>
      </c>
      <c r="EQZ240" s="181">
        <v>5857</v>
      </c>
      <c r="ERA240" s="181">
        <v>5858</v>
      </c>
      <c r="ERB240" s="181">
        <v>5859</v>
      </c>
      <c r="ERC240" s="181">
        <v>5860</v>
      </c>
      <c r="ERD240" s="181">
        <v>5861</v>
      </c>
      <c r="ERE240" s="181">
        <v>5862</v>
      </c>
      <c r="ERF240" s="181">
        <v>5863</v>
      </c>
      <c r="ERG240" s="181">
        <v>5864</v>
      </c>
      <c r="ERH240" s="181">
        <v>5865</v>
      </c>
      <c r="ERI240" s="181">
        <v>5866</v>
      </c>
      <c r="ERJ240" s="181">
        <v>5867</v>
      </c>
      <c r="ERK240" s="181">
        <v>5868</v>
      </c>
      <c r="ERL240" s="181">
        <v>5869</v>
      </c>
      <c r="ERM240" s="181">
        <v>5870</v>
      </c>
      <c r="ERN240" s="181">
        <v>5871</v>
      </c>
      <c r="ERO240" s="181">
        <v>5872</v>
      </c>
      <c r="ERP240" s="181">
        <v>5873</v>
      </c>
      <c r="ERQ240" s="181">
        <v>5874</v>
      </c>
      <c r="ERR240" s="181">
        <v>5875</v>
      </c>
      <c r="ERS240" s="181">
        <v>5876</v>
      </c>
      <c r="ERT240" s="181">
        <v>5877</v>
      </c>
      <c r="ERU240" s="181">
        <v>5878</v>
      </c>
      <c r="ERV240" s="181">
        <v>5879</v>
      </c>
      <c r="ERW240" s="181">
        <v>5880</v>
      </c>
      <c r="ERX240" s="181">
        <v>5881</v>
      </c>
      <c r="ERY240" s="181">
        <v>5882</v>
      </c>
      <c r="ERZ240" s="181">
        <v>5883</v>
      </c>
      <c r="ESA240" s="181">
        <v>5884</v>
      </c>
      <c r="ESB240" s="181">
        <v>5885</v>
      </c>
      <c r="ESC240" s="181">
        <v>5886</v>
      </c>
      <c r="ESD240" s="181">
        <v>5887</v>
      </c>
      <c r="ESE240" s="181">
        <v>5888</v>
      </c>
      <c r="ESF240" s="181">
        <v>5889</v>
      </c>
      <c r="ESG240" s="181">
        <v>5890</v>
      </c>
      <c r="ESH240" s="181">
        <v>5891</v>
      </c>
      <c r="ESI240" s="181">
        <v>5892</v>
      </c>
      <c r="ESJ240" s="181">
        <v>5893</v>
      </c>
      <c r="ESK240" s="181">
        <v>5894</v>
      </c>
      <c r="ESL240" s="181">
        <v>5895</v>
      </c>
      <c r="ESM240" s="181">
        <v>5896</v>
      </c>
      <c r="ESN240" s="181">
        <v>5897</v>
      </c>
      <c r="ESO240" s="181">
        <v>5898</v>
      </c>
      <c r="ESP240" s="181">
        <v>5899</v>
      </c>
      <c r="ESQ240" s="181">
        <v>5900</v>
      </c>
      <c r="ESR240" s="181">
        <v>5901</v>
      </c>
      <c r="ESS240" s="181">
        <v>5902</v>
      </c>
      <c r="EST240" s="181">
        <v>5903</v>
      </c>
      <c r="ESU240" s="181">
        <v>5904</v>
      </c>
      <c r="ESV240" s="181">
        <v>5905</v>
      </c>
      <c r="ESW240" s="181">
        <v>5906</v>
      </c>
      <c r="ESX240" s="181">
        <v>5907</v>
      </c>
      <c r="ESY240" s="181">
        <v>5908</v>
      </c>
      <c r="ESZ240" s="181">
        <v>5909</v>
      </c>
      <c r="ETA240" s="181">
        <v>5910</v>
      </c>
      <c r="ETB240" s="181">
        <v>5911</v>
      </c>
      <c r="ETC240" s="181">
        <v>5912</v>
      </c>
      <c r="ETD240" s="181">
        <v>5913</v>
      </c>
      <c r="ETE240" s="181">
        <v>5914</v>
      </c>
      <c r="ETF240" s="181">
        <v>5915</v>
      </c>
      <c r="ETG240" s="181">
        <v>5916</v>
      </c>
      <c r="ETH240" s="181">
        <v>5917</v>
      </c>
      <c r="ETI240" s="181">
        <v>5918</v>
      </c>
      <c r="ETJ240" s="181">
        <v>5919</v>
      </c>
      <c r="ETK240" s="181">
        <v>5920</v>
      </c>
      <c r="ETL240" s="181">
        <v>5921</v>
      </c>
      <c r="ETM240" s="181">
        <v>5922</v>
      </c>
      <c r="ETN240" s="181">
        <v>5923</v>
      </c>
      <c r="ETO240" s="181">
        <v>5924</v>
      </c>
      <c r="ETP240" s="181">
        <v>5925</v>
      </c>
      <c r="ETQ240" s="181">
        <v>5926</v>
      </c>
      <c r="ETR240" s="181">
        <v>5927</v>
      </c>
      <c r="ETS240" s="181">
        <v>5928</v>
      </c>
      <c r="ETT240" s="181">
        <v>5929</v>
      </c>
      <c r="ETU240" s="181">
        <v>5930</v>
      </c>
      <c r="ETV240" s="181">
        <v>5931</v>
      </c>
      <c r="ETW240" s="181">
        <v>5932</v>
      </c>
      <c r="ETX240" s="181">
        <v>5933</v>
      </c>
      <c r="ETY240" s="181">
        <v>5934</v>
      </c>
      <c r="ETZ240" s="181">
        <v>5935</v>
      </c>
      <c r="EUA240" s="181">
        <v>5936</v>
      </c>
      <c r="EUB240" s="181">
        <v>5937</v>
      </c>
      <c r="EUC240" s="181">
        <v>5938</v>
      </c>
      <c r="EUD240" s="181">
        <v>5939</v>
      </c>
      <c r="EUE240" s="181">
        <v>5940</v>
      </c>
      <c r="EUF240" s="181">
        <v>5941</v>
      </c>
      <c r="EUG240" s="181">
        <v>5942</v>
      </c>
      <c r="EUH240" s="181">
        <v>5943</v>
      </c>
      <c r="EUI240" s="181">
        <v>5944</v>
      </c>
      <c r="EUJ240" s="181">
        <v>5945</v>
      </c>
      <c r="EUK240" s="181">
        <v>5946</v>
      </c>
      <c r="EUL240" s="181">
        <v>5947</v>
      </c>
      <c r="EUM240" s="181">
        <v>5948</v>
      </c>
      <c r="EUN240" s="181">
        <v>5949</v>
      </c>
      <c r="EUO240" s="181">
        <v>5950</v>
      </c>
      <c r="EUP240" s="181">
        <v>5951</v>
      </c>
      <c r="EUQ240" s="181">
        <v>5952</v>
      </c>
      <c r="EUR240" s="181">
        <v>5953</v>
      </c>
      <c r="EUS240" s="181">
        <v>5954</v>
      </c>
      <c r="EUT240" s="181">
        <v>5955</v>
      </c>
      <c r="EUU240" s="181">
        <v>5956</v>
      </c>
      <c r="EUV240" s="181">
        <v>5957</v>
      </c>
      <c r="EUW240" s="181">
        <v>5958</v>
      </c>
      <c r="EUX240" s="181">
        <v>5959</v>
      </c>
      <c r="EUY240" s="181">
        <v>5960</v>
      </c>
      <c r="EUZ240" s="181">
        <v>5961</v>
      </c>
      <c r="EVA240" s="181">
        <v>5962</v>
      </c>
      <c r="EVB240" s="181">
        <v>5963</v>
      </c>
      <c r="EVC240" s="181">
        <v>5964</v>
      </c>
      <c r="EVD240" s="181">
        <v>5965</v>
      </c>
      <c r="EVE240" s="181">
        <v>5966</v>
      </c>
      <c r="EVF240" s="181">
        <v>5967</v>
      </c>
      <c r="EVG240" s="181">
        <v>5968</v>
      </c>
      <c r="EVH240" s="181">
        <v>5969</v>
      </c>
      <c r="EVI240" s="181">
        <v>5970</v>
      </c>
      <c r="EVJ240" s="181">
        <v>5971</v>
      </c>
      <c r="EVK240" s="181">
        <v>5972</v>
      </c>
      <c r="EVL240" s="181">
        <v>5973</v>
      </c>
      <c r="EVM240" s="181">
        <v>5974</v>
      </c>
      <c r="EVN240" s="181">
        <v>5975</v>
      </c>
      <c r="EVO240" s="181">
        <v>5976</v>
      </c>
      <c r="EVP240" s="181">
        <v>5977</v>
      </c>
      <c r="EVQ240" s="181">
        <v>5978</v>
      </c>
      <c r="EVR240" s="181">
        <v>5979</v>
      </c>
      <c r="EVS240" s="181">
        <v>5980</v>
      </c>
      <c r="EVT240" s="181">
        <v>5981</v>
      </c>
      <c r="EVU240" s="181">
        <v>5982</v>
      </c>
      <c r="EVV240" s="181">
        <v>5983</v>
      </c>
      <c r="EVW240" s="181">
        <v>5984</v>
      </c>
      <c r="EVX240" s="181">
        <v>5985</v>
      </c>
      <c r="EVY240" s="181">
        <v>5986</v>
      </c>
      <c r="EVZ240" s="181">
        <v>5987</v>
      </c>
      <c r="EWA240" s="181">
        <v>5988</v>
      </c>
      <c r="EWB240" s="181">
        <v>5989</v>
      </c>
      <c r="EWC240" s="181">
        <v>5990</v>
      </c>
      <c r="EWD240" s="181">
        <v>5991</v>
      </c>
      <c r="EWE240" s="181">
        <v>5992</v>
      </c>
      <c r="EWF240" s="181">
        <v>5993</v>
      </c>
      <c r="EWG240" s="181">
        <v>5994</v>
      </c>
      <c r="EWH240" s="181">
        <v>5995</v>
      </c>
      <c r="EWI240" s="181">
        <v>5996</v>
      </c>
      <c r="EWJ240" s="181">
        <v>5997</v>
      </c>
      <c r="EWK240" s="181">
        <v>5998</v>
      </c>
      <c r="EWL240" s="181">
        <v>5999</v>
      </c>
      <c r="EWM240" s="181">
        <v>6000</v>
      </c>
      <c r="EWN240" s="181">
        <v>6001</v>
      </c>
      <c r="EWO240" s="181">
        <v>6002</v>
      </c>
      <c r="EWP240" s="181">
        <v>6003</v>
      </c>
      <c r="EWQ240" s="181">
        <v>6004</v>
      </c>
      <c r="EWR240" s="181">
        <v>6005</v>
      </c>
      <c r="EWS240" s="181">
        <v>6006</v>
      </c>
      <c r="EWT240" s="181">
        <v>6007</v>
      </c>
      <c r="EWU240" s="181">
        <v>6008</v>
      </c>
      <c r="EWV240" s="181">
        <v>6009</v>
      </c>
      <c r="EWW240" s="181">
        <v>6010</v>
      </c>
      <c r="EWX240" s="181">
        <v>6011</v>
      </c>
      <c r="EWY240" s="181">
        <v>6012</v>
      </c>
      <c r="EWZ240" s="181">
        <v>6013</v>
      </c>
      <c r="EXA240" s="181">
        <v>6014</v>
      </c>
      <c r="EXB240" s="181">
        <v>6015</v>
      </c>
      <c r="EXC240" s="181">
        <v>6016</v>
      </c>
      <c r="EXD240" s="181">
        <v>6017</v>
      </c>
      <c r="EXE240" s="181">
        <v>6018</v>
      </c>
      <c r="EXF240" s="181">
        <v>6019</v>
      </c>
      <c r="EXG240" s="181">
        <v>6020</v>
      </c>
      <c r="EXH240" s="181">
        <v>6021</v>
      </c>
      <c r="EXI240" s="181">
        <v>6022</v>
      </c>
      <c r="EXJ240" s="181">
        <v>6023</v>
      </c>
      <c r="EXK240" s="181">
        <v>6024</v>
      </c>
      <c r="EXL240" s="181">
        <v>6025</v>
      </c>
      <c r="EXM240" s="181">
        <v>6026</v>
      </c>
      <c r="EXN240" s="181">
        <v>6027</v>
      </c>
      <c r="EXO240" s="181">
        <v>6028</v>
      </c>
      <c r="EXP240" s="181">
        <v>6029</v>
      </c>
      <c r="EXQ240" s="181">
        <v>6030</v>
      </c>
      <c r="EXR240" s="181">
        <v>6031</v>
      </c>
      <c r="EXS240" s="181">
        <v>6032</v>
      </c>
      <c r="EXT240" s="181">
        <v>6033</v>
      </c>
      <c r="EXU240" s="181">
        <v>6034</v>
      </c>
      <c r="EXV240" s="181">
        <v>6035</v>
      </c>
      <c r="EXW240" s="181">
        <v>6036</v>
      </c>
      <c r="EXX240" s="181">
        <v>6037</v>
      </c>
      <c r="EXY240" s="181">
        <v>6038</v>
      </c>
      <c r="EXZ240" s="181">
        <v>6039</v>
      </c>
      <c r="EYA240" s="181">
        <v>6040</v>
      </c>
      <c r="EYB240" s="181">
        <v>6041</v>
      </c>
      <c r="EYC240" s="181">
        <v>6042</v>
      </c>
      <c r="EYD240" s="181">
        <v>6043</v>
      </c>
      <c r="EYE240" s="181">
        <v>6044</v>
      </c>
      <c r="EYF240" s="181">
        <v>6045</v>
      </c>
      <c r="EYG240" s="181">
        <v>6046</v>
      </c>
      <c r="EYH240" s="181">
        <v>6047</v>
      </c>
      <c r="EYI240" s="181">
        <v>6048</v>
      </c>
      <c r="EYJ240" s="181">
        <v>6049</v>
      </c>
      <c r="EYK240" s="181">
        <v>6050</v>
      </c>
      <c r="EYL240" s="181">
        <v>6051</v>
      </c>
      <c r="EYM240" s="181">
        <v>6052</v>
      </c>
      <c r="EYN240" s="181">
        <v>6053</v>
      </c>
      <c r="EYO240" s="181">
        <v>6054</v>
      </c>
      <c r="EYP240" s="181">
        <v>6055</v>
      </c>
      <c r="EYQ240" s="181">
        <v>6056</v>
      </c>
      <c r="EYR240" s="181">
        <v>6057</v>
      </c>
      <c r="EYS240" s="181">
        <v>6058</v>
      </c>
      <c r="EYT240" s="181">
        <v>6059</v>
      </c>
      <c r="EYU240" s="181">
        <v>6060</v>
      </c>
      <c r="EYV240" s="181">
        <v>6061</v>
      </c>
      <c r="EYW240" s="181">
        <v>6062</v>
      </c>
      <c r="EYX240" s="181">
        <v>6063</v>
      </c>
      <c r="EYY240" s="181">
        <v>6064</v>
      </c>
      <c r="EYZ240" s="181">
        <v>6065</v>
      </c>
      <c r="EZA240" s="181">
        <v>6066</v>
      </c>
      <c r="EZB240" s="181">
        <v>6067</v>
      </c>
      <c r="EZC240" s="181">
        <v>6068</v>
      </c>
      <c r="EZD240" s="181">
        <v>6069</v>
      </c>
      <c r="EZE240" s="181">
        <v>6070</v>
      </c>
      <c r="EZF240" s="181">
        <v>6071</v>
      </c>
      <c r="EZG240" s="181">
        <v>6072</v>
      </c>
      <c r="EZH240" s="181">
        <v>6073</v>
      </c>
      <c r="EZI240" s="181">
        <v>6074</v>
      </c>
      <c r="EZJ240" s="181">
        <v>6075</v>
      </c>
      <c r="EZK240" s="181">
        <v>6076</v>
      </c>
      <c r="EZL240" s="181">
        <v>6077</v>
      </c>
      <c r="EZM240" s="181">
        <v>6078</v>
      </c>
      <c r="EZN240" s="181">
        <v>6079</v>
      </c>
      <c r="EZO240" s="181">
        <v>6080</v>
      </c>
      <c r="EZP240" s="181">
        <v>6081</v>
      </c>
      <c r="EZQ240" s="181">
        <v>6082</v>
      </c>
      <c r="EZR240" s="181">
        <v>6083</v>
      </c>
      <c r="EZS240" s="181">
        <v>6084</v>
      </c>
      <c r="EZT240" s="181">
        <v>6085</v>
      </c>
      <c r="EZU240" s="181">
        <v>6086</v>
      </c>
      <c r="EZV240" s="181">
        <v>6087</v>
      </c>
      <c r="EZW240" s="181">
        <v>6088</v>
      </c>
      <c r="EZX240" s="181">
        <v>6089</v>
      </c>
      <c r="EZY240" s="181">
        <v>6090</v>
      </c>
      <c r="EZZ240" s="181">
        <v>6091</v>
      </c>
      <c r="FAA240" s="181">
        <v>6092</v>
      </c>
      <c r="FAB240" s="181">
        <v>6093</v>
      </c>
      <c r="FAC240" s="181">
        <v>6094</v>
      </c>
      <c r="FAD240" s="181">
        <v>6095</v>
      </c>
      <c r="FAE240" s="181">
        <v>6096</v>
      </c>
      <c r="FAF240" s="181">
        <v>6097</v>
      </c>
      <c r="FAG240" s="181">
        <v>6098</v>
      </c>
      <c r="FAH240" s="181">
        <v>6099</v>
      </c>
      <c r="FAI240" s="181">
        <v>6100</v>
      </c>
      <c r="FAJ240" s="181">
        <v>6101</v>
      </c>
      <c r="FAK240" s="181">
        <v>6102</v>
      </c>
      <c r="FAL240" s="181">
        <v>6103</v>
      </c>
      <c r="FAM240" s="181">
        <v>6104</v>
      </c>
      <c r="FAN240" s="181">
        <v>6105</v>
      </c>
      <c r="FAO240" s="181">
        <v>6106</v>
      </c>
      <c r="FAP240" s="181">
        <v>6107</v>
      </c>
      <c r="FAQ240" s="181">
        <v>6108</v>
      </c>
      <c r="FAR240" s="181">
        <v>6109</v>
      </c>
      <c r="FAS240" s="181">
        <v>6110</v>
      </c>
      <c r="FAT240" s="181">
        <v>6111</v>
      </c>
      <c r="FAU240" s="181">
        <v>6112</v>
      </c>
      <c r="FAV240" s="181">
        <v>6113</v>
      </c>
      <c r="FAW240" s="181">
        <v>6114</v>
      </c>
      <c r="FAX240" s="181">
        <v>6115</v>
      </c>
      <c r="FAY240" s="181">
        <v>6116</v>
      </c>
      <c r="FAZ240" s="181">
        <v>6117</v>
      </c>
      <c r="FBA240" s="181">
        <v>6118</v>
      </c>
      <c r="FBB240" s="181">
        <v>6119</v>
      </c>
      <c r="FBC240" s="181">
        <v>6120</v>
      </c>
      <c r="FBD240" s="181">
        <v>6121</v>
      </c>
      <c r="FBE240" s="181">
        <v>6122</v>
      </c>
      <c r="FBF240" s="181">
        <v>6123</v>
      </c>
      <c r="FBG240" s="181">
        <v>6124</v>
      </c>
      <c r="FBH240" s="181">
        <v>6125</v>
      </c>
      <c r="FBI240" s="181">
        <v>6126</v>
      </c>
      <c r="FBJ240" s="181">
        <v>6127</v>
      </c>
      <c r="FBK240" s="181">
        <v>6128</v>
      </c>
      <c r="FBL240" s="181">
        <v>6129</v>
      </c>
      <c r="FBM240" s="181">
        <v>6130</v>
      </c>
      <c r="FBN240" s="181">
        <v>6131</v>
      </c>
      <c r="FBO240" s="181">
        <v>6132</v>
      </c>
      <c r="FBP240" s="181">
        <v>6133</v>
      </c>
      <c r="FBQ240" s="181">
        <v>6134</v>
      </c>
      <c r="FBR240" s="181">
        <v>6135</v>
      </c>
      <c r="FBS240" s="181">
        <v>6136</v>
      </c>
      <c r="FBT240" s="181">
        <v>6137</v>
      </c>
      <c r="FBU240" s="181">
        <v>6138</v>
      </c>
      <c r="FBV240" s="181">
        <v>6139</v>
      </c>
      <c r="FBW240" s="181">
        <v>6140</v>
      </c>
      <c r="FBX240" s="181">
        <v>6141</v>
      </c>
      <c r="FBY240" s="181">
        <v>6142</v>
      </c>
      <c r="FBZ240" s="181">
        <v>6143</v>
      </c>
      <c r="FCA240" s="181">
        <v>6144</v>
      </c>
      <c r="FCB240" s="181">
        <v>6145</v>
      </c>
      <c r="FCC240" s="181">
        <v>6146</v>
      </c>
      <c r="FCD240" s="181">
        <v>6147</v>
      </c>
      <c r="FCE240" s="181">
        <v>6148</v>
      </c>
      <c r="FCF240" s="181">
        <v>6149</v>
      </c>
      <c r="FCG240" s="181">
        <v>6150</v>
      </c>
      <c r="FCH240" s="181">
        <v>6151</v>
      </c>
      <c r="FCI240" s="181">
        <v>6152</v>
      </c>
      <c r="FCJ240" s="181">
        <v>6153</v>
      </c>
      <c r="FCK240" s="181">
        <v>6154</v>
      </c>
      <c r="FCL240" s="181">
        <v>6155</v>
      </c>
      <c r="FCM240" s="181">
        <v>6156</v>
      </c>
      <c r="FCN240" s="181">
        <v>6157</v>
      </c>
      <c r="FCO240" s="181">
        <v>6158</v>
      </c>
      <c r="FCP240" s="181">
        <v>6159</v>
      </c>
      <c r="FCQ240" s="181">
        <v>6160</v>
      </c>
      <c r="FCR240" s="181">
        <v>6161</v>
      </c>
      <c r="FCS240" s="181">
        <v>6162</v>
      </c>
      <c r="FCT240" s="181">
        <v>6163</v>
      </c>
      <c r="FCU240" s="181">
        <v>6164</v>
      </c>
      <c r="FCV240" s="181">
        <v>6165</v>
      </c>
      <c r="FCW240" s="181">
        <v>6166</v>
      </c>
      <c r="FCX240" s="181">
        <v>6167</v>
      </c>
      <c r="FCY240" s="181">
        <v>6168</v>
      </c>
      <c r="FCZ240" s="181">
        <v>6169</v>
      </c>
      <c r="FDA240" s="181">
        <v>6170</v>
      </c>
      <c r="FDB240" s="181">
        <v>6171</v>
      </c>
      <c r="FDC240" s="181">
        <v>6172</v>
      </c>
      <c r="FDD240" s="181">
        <v>6173</v>
      </c>
      <c r="FDE240" s="181">
        <v>6174</v>
      </c>
      <c r="FDF240" s="181">
        <v>6175</v>
      </c>
      <c r="FDG240" s="181">
        <v>6176</v>
      </c>
      <c r="FDH240" s="181">
        <v>6177</v>
      </c>
      <c r="FDI240" s="181">
        <v>6178</v>
      </c>
      <c r="FDJ240" s="181">
        <v>6179</v>
      </c>
      <c r="FDK240" s="181">
        <v>6180</v>
      </c>
      <c r="FDL240" s="181">
        <v>6181</v>
      </c>
      <c r="FDM240" s="181">
        <v>6182</v>
      </c>
      <c r="FDN240" s="181">
        <v>6183</v>
      </c>
      <c r="FDO240" s="181">
        <v>6184</v>
      </c>
      <c r="FDP240" s="181">
        <v>6185</v>
      </c>
      <c r="FDQ240" s="181">
        <v>6186</v>
      </c>
      <c r="FDR240" s="181">
        <v>6187</v>
      </c>
      <c r="FDS240" s="181">
        <v>6188</v>
      </c>
      <c r="FDT240" s="181">
        <v>6189</v>
      </c>
      <c r="FDU240" s="181">
        <v>6190</v>
      </c>
      <c r="FDV240" s="181">
        <v>6191</v>
      </c>
      <c r="FDW240" s="181">
        <v>6192</v>
      </c>
      <c r="FDX240" s="181">
        <v>6193</v>
      </c>
      <c r="FDY240" s="181">
        <v>6194</v>
      </c>
      <c r="FDZ240" s="181">
        <v>6195</v>
      </c>
      <c r="FEA240" s="181">
        <v>6196</v>
      </c>
      <c r="FEB240" s="181">
        <v>6197</v>
      </c>
      <c r="FEC240" s="181">
        <v>6198</v>
      </c>
      <c r="FED240" s="181">
        <v>6199</v>
      </c>
      <c r="FEE240" s="181">
        <v>6200</v>
      </c>
      <c r="FEF240" s="181">
        <v>6201</v>
      </c>
      <c r="FEG240" s="181">
        <v>6202</v>
      </c>
      <c r="FEH240" s="181">
        <v>6203</v>
      </c>
      <c r="FEI240" s="181">
        <v>6204</v>
      </c>
      <c r="FEJ240" s="181">
        <v>6205</v>
      </c>
      <c r="FEK240" s="181">
        <v>6206</v>
      </c>
      <c r="FEL240" s="181">
        <v>6207</v>
      </c>
      <c r="FEM240" s="181">
        <v>6208</v>
      </c>
      <c r="FEN240" s="181">
        <v>6209</v>
      </c>
      <c r="FEO240" s="181">
        <v>6210</v>
      </c>
      <c r="FEP240" s="181">
        <v>6211</v>
      </c>
      <c r="FEQ240" s="181">
        <v>6212</v>
      </c>
      <c r="FER240" s="181">
        <v>6213</v>
      </c>
      <c r="FES240" s="181">
        <v>6214</v>
      </c>
      <c r="FET240" s="181">
        <v>6215</v>
      </c>
      <c r="FEU240" s="181">
        <v>6216</v>
      </c>
      <c r="FEV240" s="181">
        <v>6217</v>
      </c>
      <c r="FEW240" s="181">
        <v>6218</v>
      </c>
      <c r="FEX240" s="181">
        <v>6219</v>
      </c>
      <c r="FEY240" s="181">
        <v>6220</v>
      </c>
      <c r="FEZ240" s="181">
        <v>6221</v>
      </c>
      <c r="FFA240" s="181">
        <v>6222</v>
      </c>
      <c r="FFB240" s="181">
        <v>6223</v>
      </c>
      <c r="FFC240" s="181">
        <v>6224</v>
      </c>
      <c r="FFD240" s="181">
        <v>6225</v>
      </c>
      <c r="FFE240" s="181">
        <v>6226</v>
      </c>
      <c r="FFF240" s="181">
        <v>6227</v>
      </c>
      <c r="FFG240" s="181">
        <v>6228</v>
      </c>
      <c r="FFH240" s="181">
        <v>6229</v>
      </c>
      <c r="FFI240" s="181">
        <v>6230</v>
      </c>
      <c r="FFJ240" s="181">
        <v>6231</v>
      </c>
      <c r="FFK240" s="181">
        <v>6232</v>
      </c>
      <c r="FFL240" s="181">
        <v>6233</v>
      </c>
      <c r="FFM240" s="181">
        <v>6234</v>
      </c>
      <c r="FFN240" s="181">
        <v>6235</v>
      </c>
      <c r="FFO240" s="181">
        <v>6236</v>
      </c>
      <c r="FFP240" s="181">
        <v>6237</v>
      </c>
      <c r="FFQ240" s="181">
        <v>6238</v>
      </c>
      <c r="FFR240" s="181">
        <v>6239</v>
      </c>
      <c r="FFS240" s="181">
        <v>6240</v>
      </c>
      <c r="FFT240" s="181">
        <v>6241</v>
      </c>
      <c r="FFU240" s="181">
        <v>6242</v>
      </c>
      <c r="FFV240" s="181">
        <v>6243</v>
      </c>
      <c r="FFW240" s="181">
        <v>6244</v>
      </c>
      <c r="FFX240" s="181">
        <v>6245</v>
      </c>
      <c r="FFY240" s="181">
        <v>6246</v>
      </c>
      <c r="FFZ240" s="181">
        <v>6247</v>
      </c>
      <c r="FGA240" s="181">
        <v>6248</v>
      </c>
      <c r="FGB240" s="181">
        <v>6249</v>
      </c>
      <c r="FGC240" s="181">
        <v>6250</v>
      </c>
      <c r="FGD240" s="181">
        <v>6251</v>
      </c>
      <c r="FGE240" s="181">
        <v>6252</v>
      </c>
      <c r="FGF240" s="181">
        <v>6253</v>
      </c>
      <c r="FGG240" s="181">
        <v>6254</v>
      </c>
      <c r="FGH240" s="181">
        <v>6255</v>
      </c>
      <c r="FGI240" s="181">
        <v>6256</v>
      </c>
      <c r="FGJ240" s="181">
        <v>6257</v>
      </c>
      <c r="FGK240" s="181">
        <v>6258</v>
      </c>
      <c r="FGL240" s="181">
        <v>6259</v>
      </c>
      <c r="FGM240" s="181">
        <v>6260</v>
      </c>
      <c r="FGN240" s="181">
        <v>6261</v>
      </c>
      <c r="FGO240" s="181">
        <v>6262</v>
      </c>
      <c r="FGP240" s="181">
        <v>6263</v>
      </c>
      <c r="FGQ240" s="181">
        <v>6264</v>
      </c>
      <c r="FGR240" s="181">
        <v>6265</v>
      </c>
      <c r="FGS240" s="181">
        <v>6266</v>
      </c>
      <c r="FGT240" s="181">
        <v>6267</v>
      </c>
      <c r="FGU240" s="181">
        <v>6268</v>
      </c>
      <c r="FGV240" s="181">
        <v>6269</v>
      </c>
      <c r="FGW240" s="181">
        <v>6270</v>
      </c>
      <c r="FGX240" s="181">
        <v>6271</v>
      </c>
      <c r="FGY240" s="181">
        <v>6272</v>
      </c>
      <c r="FGZ240" s="181">
        <v>6273</v>
      </c>
      <c r="FHA240" s="181">
        <v>6274</v>
      </c>
      <c r="FHB240" s="181">
        <v>6275</v>
      </c>
      <c r="FHC240" s="181">
        <v>6276</v>
      </c>
      <c r="FHD240" s="181">
        <v>6277</v>
      </c>
      <c r="FHE240" s="181">
        <v>6278</v>
      </c>
      <c r="FHF240" s="181">
        <v>6279</v>
      </c>
      <c r="FHG240" s="181">
        <v>6280</v>
      </c>
      <c r="FHH240" s="181">
        <v>6281</v>
      </c>
      <c r="FHI240" s="181">
        <v>6282</v>
      </c>
      <c r="FHJ240" s="181">
        <v>6283</v>
      </c>
      <c r="FHK240" s="181">
        <v>6284</v>
      </c>
      <c r="FHL240" s="181">
        <v>6285</v>
      </c>
      <c r="FHM240" s="181">
        <v>6286</v>
      </c>
      <c r="FHN240" s="181">
        <v>6287</v>
      </c>
      <c r="FHO240" s="181">
        <v>6288</v>
      </c>
      <c r="FHP240" s="181">
        <v>6289</v>
      </c>
      <c r="FHQ240" s="181">
        <v>6290</v>
      </c>
      <c r="FHR240" s="181">
        <v>6291</v>
      </c>
      <c r="FHS240" s="181">
        <v>6292</v>
      </c>
      <c r="FHT240" s="181">
        <v>6293</v>
      </c>
      <c r="FHU240" s="181">
        <v>6294</v>
      </c>
      <c r="FHV240" s="181">
        <v>6295</v>
      </c>
      <c r="FHW240" s="181">
        <v>6296</v>
      </c>
      <c r="FHX240" s="181">
        <v>6297</v>
      </c>
      <c r="FHY240" s="181">
        <v>6298</v>
      </c>
      <c r="FHZ240" s="181">
        <v>6299</v>
      </c>
      <c r="FIA240" s="181">
        <v>6300</v>
      </c>
      <c r="FIB240" s="181">
        <v>6301</v>
      </c>
      <c r="FIC240" s="181">
        <v>6302</v>
      </c>
      <c r="FID240" s="181">
        <v>6303</v>
      </c>
      <c r="FIE240" s="181">
        <v>6304</v>
      </c>
      <c r="FIF240" s="181">
        <v>6305</v>
      </c>
      <c r="FIG240" s="181">
        <v>6306</v>
      </c>
      <c r="FIH240" s="181">
        <v>6307</v>
      </c>
      <c r="FII240" s="181">
        <v>6308</v>
      </c>
      <c r="FIJ240" s="181">
        <v>6309</v>
      </c>
      <c r="FIK240" s="181">
        <v>6310</v>
      </c>
      <c r="FIL240" s="181">
        <v>6311</v>
      </c>
      <c r="FIM240" s="181">
        <v>6312</v>
      </c>
      <c r="FIN240" s="181">
        <v>6313</v>
      </c>
      <c r="FIO240" s="181">
        <v>6314</v>
      </c>
      <c r="FIP240" s="181">
        <v>6315</v>
      </c>
      <c r="FIQ240" s="181">
        <v>6316</v>
      </c>
      <c r="FIR240" s="181">
        <v>6317</v>
      </c>
      <c r="FIS240" s="181">
        <v>6318</v>
      </c>
      <c r="FIT240" s="181">
        <v>6319</v>
      </c>
      <c r="FIU240" s="181">
        <v>6320</v>
      </c>
      <c r="FIV240" s="181">
        <v>6321</v>
      </c>
      <c r="FIW240" s="181">
        <v>6322</v>
      </c>
      <c r="FIX240" s="181">
        <v>6323</v>
      </c>
      <c r="FIY240" s="181">
        <v>6324</v>
      </c>
      <c r="FIZ240" s="181">
        <v>6325</v>
      </c>
      <c r="FJA240" s="181">
        <v>6326</v>
      </c>
      <c r="FJB240" s="181">
        <v>6327</v>
      </c>
      <c r="FJC240" s="181">
        <v>6328</v>
      </c>
      <c r="FJD240" s="181">
        <v>6329</v>
      </c>
      <c r="FJE240" s="181">
        <v>6330</v>
      </c>
      <c r="FJF240" s="181">
        <v>6331</v>
      </c>
      <c r="FJG240" s="181">
        <v>6332</v>
      </c>
      <c r="FJH240" s="181">
        <v>6333</v>
      </c>
      <c r="FJI240" s="181">
        <v>6334</v>
      </c>
      <c r="FJJ240" s="181">
        <v>6335</v>
      </c>
      <c r="FJK240" s="181">
        <v>6336</v>
      </c>
      <c r="FJL240" s="181">
        <v>6337</v>
      </c>
      <c r="FJM240" s="181">
        <v>6338</v>
      </c>
      <c r="FJN240" s="181">
        <v>6339</v>
      </c>
      <c r="FJO240" s="181">
        <v>6340</v>
      </c>
      <c r="FJP240" s="181">
        <v>6341</v>
      </c>
      <c r="FJQ240" s="181">
        <v>6342</v>
      </c>
      <c r="FJR240" s="181">
        <v>6343</v>
      </c>
      <c r="FJS240" s="181">
        <v>6344</v>
      </c>
      <c r="FJT240" s="181">
        <v>6345</v>
      </c>
      <c r="FJU240" s="181">
        <v>6346</v>
      </c>
      <c r="FJV240" s="181">
        <v>6347</v>
      </c>
      <c r="FJW240" s="181">
        <v>6348</v>
      </c>
      <c r="FJX240" s="181">
        <v>6349</v>
      </c>
      <c r="FJY240" s="181">
        <v>6350</v>
      </c>
      <c r="FJZ240" s="181">
        <v>6351</v>
      </c>
      <c r="FKA240" s="181">
        <v>6352</v>
      </c>
      <c r="FKB240" s="181">
        <v>6353</v>
      </c>
      <c r="FKC240" s="181">
        <v>6354</v>
      </c>
      <c r="FKD240" s="181">
        <v>6355</v>
      </c>
      <c r="FKE240" s="181">
        <v>6356</v>
      </c>
      <c r="FKF240" s="181">
        <v>6357</v>
      </c>
      <c r="FKG240" s="181">
        <v>6358</v>
      </c>
      <c r="FKH240" s="181">
        <v>6359</v>
      </c>
      <c r="FKI240" s="181">
        <v>6360</v>
      </c>
      <c r="FKJ240" s="181">
        <v>6361</v>
      </c>
      <c r="FKK240" s="181">
        <v>6362</v>
      </c>
      <c r="FKL240" s="181">
        <v>6363</v>
      </c>
      <c r="FKM240" s="181">
        <v>6364</v>
      </c>
      <c r="FKN240" s="181">
        <v>6365</v>
      </c>
      <c r="FKO240" s="181">
        <v>6366</v>
      </c>
      <c r="FKP240" s="181">
        <v>6367</v>
      </c>
      <c r="FKQ240" s="181">
        <v>6368</v>
      </c>
      <c r="FKR240" s="181">
        <v>6369</v>
      </c>
      <c r="FKS240" s="181">
        <v>6370</v>
      </c>
      <c r="FKT240" s="181">
        <v>6371</v>
      </c>
      <c r="FKU240" s="181">
        <v>6372</v>
      </c>
      <c r="FKV240" s="181">
        <v>6373</v>
      </c>
      <c r="FKW240" s="181">
        <v>6374</v>
      </c>
      <c r="FKX240" s="181">
        <v>6375</v>
      </c>
      <c r="FKY240" s="181">
        <v>6376</v>
      </c>
      <c r="FKZ240" s="181">
        <v>6377</v>
      </c>
      <c r="FLA240" s="181">
        <v>6378</v>
      </c>
      <c r="FLB240" s="181">
        <v>6379</v>
      </c>
      <c r="FLC240" s="181">
        <v>6380</v>
      </c>
      <c r="FLD240" s="181">
        <v>6381</v>
      </c>
      <c r="FLE240" s="181">
        <v>6382</v>
      </c>
      <c r="FLF240" s="181">
        <v>6383</v>
      </c>
      <c r="FLG240" s="181">
        <v>6384</v>
      </c>
      <c r="FLH240" s="181">
        <v>6385</v>
      </c>
      <c r="FLI240" s="181">
        <v>6386</v>
      </c>
      <c r="FLJ240" s="181">
        <v>6387</v>
      </c>
      <c r="FLK240" s="181">
        <v>6388</v>
      </c>
      <c r="FLL240" s="181">
        <v>6389</v>
      </c>
      <c r="FLM240" s="181">
        <v>6390</v>
      </c>
      <c r="FLN240" s="181">
        <v>6391</v>
      </c>
      <c r="FLO240" s="181">
        <v>6392</v>
      </c>
      <c r="FLP240" s="181">
        <v>6393</v>
      </c>
      <c r="FLQ240" s="181">
        <v>6394</v>
      </c>
      <c r="FLR240" s="181">
        <v>6395</v>
      </c>
      <c r="FLS240" s="181">
        <v>6396</v>
      </c>
      <c r="FLT240" s="181">
        <v>6397</v>
      </c>
      <c r="FLU240" s="181">
        <v>6398</v>
      </c>
      <c r="FLV240" s="181">
        <v>6399</v>
      </c>
      <c r="FLW240" s="181">
        <v>6400</v>
      </c>
      <c r="FLX240" s="181">
        <v>6401</v>
      </c>
      <c r="FLY240" s="181">
        <v>6402</v>
      </c>
      <c r="FLZ240" s="181">
        <v>6403</v>
      </c>
      <c r="FMA240" s="181">
        <v>6404</v>
      </c>
      <c r="FMB240" s="181">
        <v>6405</v>
      </c>
      <c r="FMC240" s="181">
        <v>6406</v>
      </c>
      <c r="FMD240" s="181">
        <v>6407</v>
      </c>
      <c r="FME240" s="181">
        <v>6408</v>
      </c>
      <c r="FMF240" s="181">
        <v>6409</v>
      </c>
      <c r="FMG240" s="181">
        <v>6410</v>
      </c>
      <c r="FMH240" s="181">
        <v>6411</v>
      </c>
      <c r="FMI240" s="181">
        <v>6412</v>
      </c>
      <c r="FMJ240" s="181">
        <v>6413</v>
      </c>
      <c r="FMK240" s="181">
        <v>6414</v>
      </c>
      <c r="FML240" s="181">
        <v>6415</v>
      </c>
      <c r="FMM240" s="181">
        <v>6416</v>
      </c>
      <c r="FMN240" s="181">
        <v>6417</v>
      </c>
      <c r="FMO240" s="181">
        <v>6418</v>
      </c>
      <c r="FMP240" s="181">
        <v>6419</v>
      </c>
      <c r="FMQ240" s="181">
        <v>6420</v>
      </c>
      <c r="FMR240" s="181">
        <v>6421</v>
      </c>
      <c r="FMS240" s="181">
        <v>6422</v>
      </c>
      <c r="FMT240" s="181">
        <v>6423</v>
      </c>
      <c r="FMU240" s="181">
        <v>6424</v>
      </c>
      <c r="FMV240" s="181">
        <v>6425</v>
      </c>
      <c r="FMW240" s="181">
        <v>6426</v>
      </c>
      <c r="FMX240" s="181">
        <v>6427</v>
      </c>
      <c r="FMY240" s="181">
        <v>6428</v>
      </c>
      <c r="FMZ240" s="181">
        <v>6429</v>
      </c>
      <c r="FNA240" s="181">
        <v>6430</v>
      </c>
      <c r="FNB240" s="181">
        <v>6431</v>
      </c>
      <c r="FNC240" s="181">
        <v>6432</v>
      </c>
      <c r="FND240" s="181">
        <v>6433</v>
      </c>
      <c r="FNE240" s="181">
        <v>6434</v>
      </c>
      <c r="FNF240" s="181">
        <v>6435</v>
      </c>
      <c r="FNG240" s="181">
        <v>6436</v>
      </c>
      <c r="FNH240" s="181">
        <v>6437</v>
      </c>
      <c r="FNI240" s="181">
        <v>6438</v>
      </c>
      <c r="FNJ240" s="181">
        <v>6439</v>
      </c>
      <c r="FNK240" s="181">
        <v>6440</v>
      </c>
      <c r="FNL240" s="181">
        <v>6441</v>
      </c>
      <c r="FNM240" s="181">
        <v>6442</v>
      </c>
      <c r="FNN240" s="181">
        <v>6443</v>
      </c>
      <c r="FNO240" s="181">
        <v>6444</v>
      </c>
      <c r="FNP240" s="181">
        <v>6445</v>
      </c>
      <c r="FNQ240" s="181">
        <v>6446</v>
      </c>
      <c r="FNR240" s="181">
        <v>6447</v>
      </c>
      <c r="FNS240" s="181">
        <v>6448</v>
      </c>
      <c r="FNT240" s="181">
        <v>6449</v>
      </c>
      <c r="FNU240" s="181">
        <v>6450</v>
      </c>
      <c r="FNV240" s="181">
        <v>6451</v>
      </c>
      <c r="FNW240" s="181">
        <v>6452</v>
      </c>
      <c r="FNX240" s="181">
        <v>6453</v>
      </c>
      <c r="FNY240" s="181">
        <v>6454</v>
      </c>
      <c r="FNZ240" s="181">
        <v>6455</v>
      </c>
      <c r="FOA240" s="181">
        <v>6456</v>
      </c>
      <c r="FOB240" s="181">
        <v>6457</v>
      </c>
      <c r="FOC240" s="181">
        <v>6458</v>
      </c>
      <c r="FOD240" s="181">
        <v>6459</v>
      </c>
      <c r="FOE240" s="181">
        <v>6460</v>
      </c>
      <c r="FOF240" s="181">
        <v>6461</v>
      </c>
      <c r="FOG240" s="181">
        <v>6462</v>
      </c>
      <c r="FOH240" s="181">
        <v>6463</v>
      </c>
      <c r="FOI240" s="181">
        <v>6464</v>
      </c>
      <c r="FOJ240" s="181">
        <v>6465</v>
      </c>
      <c r="FOK240" s="181">
        <v>6466</v>
      </c>
      <c r="FOL240" s="181">
        <v>6467</v>
      </c>
      <c r="FOM240" s="181">
        <v>6468</v>
      </c>
      <c r="FON240" s="181">
        <v>6469</v>
      </c>
      <c r="FOO240" s="181">
        <v>6470</v>
      </c>
      <c r="FOP240" s="181">
        <v>6471</v>
      </c>
      <c r="FOQ240" s="181">
        <v>6472</v>
      </c>
      <c r="FOR240" s="181">
        <v>6473</v>
      </c>
      <c r="FOS240" s="181">
        <v>6474</v>
      </c>
      <c r="FOT240" s="181">
        <v>6475</v>
      </c>
      <c r="FOU240" s="181">
        <v>6476</v>
      </c>
      <c r="FOV240" s="181">
        <v>6477</v>
      </c>
      <c r="FOW240" s="181">
        <v>6478</v>
      </c>
      <c r="FOX240" s="181">
        <v>6479</v>
      </c>
      <c r="FOY240" s="181">
        <v>6480</v>
      </c>
      <c r="FOZ240" s="181">
        <v>6481</v>
      </c>
      <c r="FPA240" s="181">
        <v>6482</v>
      </c>
      <c r="FPB240" s="181">
        <v>6483</v>
      </c>
      <c r="FPC240" s="181">
        <v>6484</v>
      </c>
      <c r="FPD240" s="181">
        <v>6485</v>
      </c>
      <c r="FPE240" s="181">
        <v>6486</v>
      </c>
      <c r="FPF240" s="181">
        <v>6487</v>
      </c>
      <c r="FPG240" s="181">
        <v>6488</v>
      </c>
      <c r="FPH240" s="181">
        <v>6489</v>
      </c>
      <c r="FPI240" s="181">
        <v>6490</v>
      </c>
      <c r="FPJ240" s="181">
        <v>6491</v>
      </c>
      <c r="FPK240" s="181">
        <v>6492</v>
      </c>
      <c r="FPL240" s="181">
        <v>6493</v>
      </c>
      <c r="FPM240" s="181">
        <v>6494</v>
      </c>
      <c r="FPN240" s="181">
        <v>6495</v>
      </c>
      <c r="FPO240" s="181">
        <v>6496</v>
      </c>
      <c r="FPP240" s="181">
        <v>6497</v>
      </c>
      <c r="FPQ240" s="181">
        <v>6498</v>
      </c>
      <c r="FPR240" s="181">
        <v>6499</v>
      </c>
      <c r="FPS240" s="181">
        <v>6500</v>
      </c>
      <c r="FPT240" s="181">
        <v>6501</v>
      </c>
      <c r="FPU240" s="181">
        <v>6502</v>
      </c>
      <c r="FPV240" s="181">
        <v>6503</v>
      </c>
      <c r="FPW240" s="181">
        <v>6504</v>
      </c>
      <c r="FPX240" s="181">
        <v>6505</v>
      </c>
      <c r="FPY240" s="181">
        <v>6506</v>
      </c>
      <c r="FPZ240" s="181">
        <v>6507</v>
      </c>
      <c r="FQA240" s="181">
        <v>6508</v>
      </c>
      <c r="FQB240" s="181">
        <v>6509</v>
      </c>
      <c r="FQC240" s="181">
        <v>6510</v>
      </c>
      <c r="FQD240" s="181">
        <v>6511</v>
      </c>
      <c r="FQE240" s="181">
        <v>6512</v>
      </c>
      <c r="FQF240" s="181">
        <v>6513</v>
      </c>
      <c r="FQG240" s="181">
        <v>6514</v>
      </c>
      <c r="FQH240" s="181">
        <v>6515</v>
      </c>
      <c r="FQI240" s="181">
        <v>6516</v>
      </c>
      <c r="FQJ240" s="181">
        <v>6517</v>
      </c>
      <c r="FQK240" s="181">
        <v>6518</v>
      </c>
      <c r="FQL240" s="181">
        <v>6519</v>
      </c>
      <c r="FQM240" s="181">
        <v>6520</v>
      </c>
      <c r="FQN240" s="181">
        <v>6521</v>
      </c>
      <c r="FQO240" s="181">
        <v>6522</v>
      </c>
      <c r="FQP240" s="181">
        <v>6523</v>
      </c>
      <c r="FQQ240" s="181">
        <v>6524</v>
      </c>
      <c r="FQR240" s="181">
        <v>6525</v>
      </c>
      <c r="FQS240" s="181">
        <v>6526</v>
      </c>
      <c r="FQT240" s="181">
        <v>6527</v>
      </c>
      <c r="FQU240" s="181">
        <v>6528</v>
      </c>
      <c r="FQV240" s="181">
        <v>6529</v>
      </c>
      <c r="FQW240" s="181">
        <v>6530</v>
      </c>
      <c r="FQX240" s="181">
        <v>6531</v>
      </c>
      <c r="FQY240" s="181">
        <v>6532</v>
      </c>
      <c r="FQZ240" s="181">
        <v>6533</v>
      </c>
      <c r="FRA240" s="181">
        <v>6534</v>
      </c>
      <c r="FRB240" s="181">
        <v>6535</v>
      </c>
      <c r="FRC240" s="181">
        <v>6536</v>
      </c>
      <c r="FRD240" s="181">
        <v>6537</v>
      </c>
      <c r="FRE240" s="181">
        <v>6538</v>
      </c>
      <c r="FRF240" s="181">
        <v>6539</v>
      </c>
      <c r="FRG240" s="181">
        <v>6540</v>
      </c>
      <c r="FRH240" s="181">
        <v>6541</v>
      </c>
      <c r="FRI240" s="181">
        <v>6542</v>
      </c>
      <c r="FRJ240" s="181">
        <v>6543</v>
      </c>
      <c r="FRK240" s="181">
        <v>6544</v>
      </c>
      <c r="FRL240" s="181">
        <v>6545</v>
      </c>
      <c r="FRM240" s="181">
        <v>6546</v>
      </c>
      <c r="FRN240" s="181">
        <v>6547</v>
      </c>
      <c r="FRO240" s="181">
        <v>6548</v>
      </c>
      <c r="FRP240" s="181">
        <v>6549</v>
      </c>
      <c r="FRQ240" s="181">
        <v>6550</v>
      </c>
      <c r="FRR240" s="181">
        <v>6551</v>
      </c>
      <c r="FRS240" s="181">
        <v>6552</v>
      </c>
      <c r="FRT240" s="181">
        <v>6553</v>
      </c>
      <c r="FRU240" s="181">
        <v>6554</v>
      </c>
      <c r="FRV240" s="181">
        <v>6555</v>
      </c>
      <c r="FRW240" s="181">
        <v>6556</v>
      </c>
      <c r="FRX240" s="181">
        <v>6557</v>
      </c>
      <c r="FRY240" s="181">
        <v>6558</v>
      </c>
      <c r="FRZ240" s="181">
        <v>6559</v>
      </c>
      <c r="FSA240" s="181">
        <v>6560</v>
      </c>
      <c r="FSB240" s="181">
        <v>6561</v>
      </c>
      <c r="FSC240" s="181">
        <v>6562</v>
      </c>
      <c r="FSD240" s="181">
        <v>6563</v>
      </c>
      <c r="FSE240" s="181">
        <v>6564</v>
      </c>
      <c r="FSF240" s="181">
        <v>6565</v>
      </c>
      <c r="FSG240" s="181">
        <v>6566</v>
      </c>
      <c r="FSH240" s="181">
        <v>6567</v>
      </c>
      <c r="FSI240" s="181">
        <v>6568</v>
      </c>
      <c r="FSJ240" s="181">
        <v>6569</v>
      </c>
      <c r="FSK240" s="181">
        <v>6570</v>
      </c>
      <c r="FSL240" s="181">
        <v>6571</v>
      </c>
      <c r="FSM240" s="181">
        <v>6572</v>
      </c>
      <c r="FSN240" s="181">
        <v>6573</v>
      </c>
      <c r="FSO240" s="181">
        <v>6574</v>
      </c>
      <c r="FSP240" s="181">
        <v>6575</v>
      </c>
      <c r="FSQ240" s="181">
        <v>6576</v>
      </c>
      <c r="FSR240" s="181">
        <v>6577</v>
      </c>
      <c r="FSS240" s="181">
        <v>6578</v>
      </c>
      <c r="FST240" s="181">
        <v>6579</v>
      </c>
      <c r="FSU240" s="181">
        <v>6580</v>
      </c>
      <c r="FSV240" s="181">
        <v>6581</v>
      </c>
      <c r="FSW240" s="181">
        <v>6582</v>
      </c>
      <c r="FSX240" s="181">
        <v>6583</v>
      </c>
      <c r="FSY240" s="181">
        <v>6584</v>
      </c>
      <c r="FSZ240" s="181">
        <v>6585</v>
      </c>
      <c r="FTA240" s="181">
        <v>6586</v>
      </c>
      <c r="FTB240" s="181">
        <v>6587</v>
      </c>
      <c r="FTC240" s="181">
        <v>6588</v>
      </c>
      <c r="FTD240" s="181">
        <v>6589</v>
      </c>
      <c r="FTE240" s="181">
        <v>6590</v>
      </c>
      <c r="FTF240" s="181">
        <v>6591</v>
      </c>
      <c r="FTG240" s="181">
        <v>6592</v>
      </c>
      <c r="FTH240" s="181">
        <v>6593</v>
      </c>
      <c r="FTI240" s="181">
        <v>6594</v>
      </c>
      <c r="FTJ240" s="181">
        <v>6595</v>
      </c>
      <c r="FTK240" s="181">
        <v>6596</v>
      </c>
      <c r="FTL240" s="181">
        <v>6597</v>
      </c>
      <c r="FTM240" s="181">
        <v>6598</v>
      </c>
      <c r="FTN240" s="181">
        <v>6599</v>
      </c>
      <c r="FTO240" s="181">
        <v>6600</v>
      </c>
      <c r="FTP240" s="181">
        <v>6601</v>
      </c>
      <c r="FTQ240" s="181">
        <v>6602</v>
      </c>
      <c r="FTR240" s="181">
        <v>6603</v>
      </c>
      <c r="FTS240" s="181">
        <v>6604</v>
      </c>
      <c r="FTT240" s="181">
        <v>6605</v>
      </c>
      <c r="FTU240" s="181">
        <v>6606</v>
      </c>
      <c r="FTV240" s="181">
        <v>6607</v>
      </c>
      <c r="FTW240" s="181">
        <v>6608</v>
      </c>
      <c r="FTX240" s="181">
        <v>6609</v>
      </c>
      <c r="FTY240" s="181">
        <v>6610</v>
      </c>
      <c r="FTZ240" s="181">
        <v>6611</v>
      </c>
      <c r="FUA240" s="181">
        <v>6612</v>
      </c>
      <c r="FUB240" s="181">
        <v>6613</v>
      </c>
      <c r="FUC240" s="181">
        <v>6614</v>
      </c>
      <c r="FUD240" s="181">
        <v>6615</v>
      </c>
      <c r="FUE240" s="181">
        <v>6616</v>
      </c>
      <c r="FUF240" s="181">
        <v>6617</v>
      </c>
      <c r="FUG240" s="181">
        <v>6618</v>
      </c>
      <c r="FUH240" s="181">
        <v>6619</v>
      </c>
      <c r="FUI240" s="181">
        <v>6620</v>
      </c>
      <c r="FUJ240" s="181">
        <v>6621</v>
      </c>
      <c r="FUK240" s="181">
        <v>6622</v>
      </c>
      <c r="FUL240" s="181">
        <v>6623</v>
      </c>
      <c r="FUM240" s="181">
        <v>6624</v>
      </c>
      <c r="FUN240" s="181">
        <v>6625</v>
      </c>
      <c r="FUO240" s="181">
        <v>6626</v>
      </c>
      <c r="FUP240" s="181">
        <v>6627</v>
      </c>
      <c r="FUQ240" s="181">
        <v>6628</v>
      </c>
      <c r="FUR240" s="181">
        <v>6629</v>
      </c>
      <c r="FUS240" s="181">
        <v>6630</v>
      </c>
      <c r="FUT240" s="181">
        <v>6631</v>
      </c>
      <c r="FUU240" s="181">
        <v>6632</v>
      </c>
      <c r="FUV240" s="181">
        <v>6633</v>
      </c>
      <c r="FUW240" s="181">
        <v>6634</v>
      </c>
      <c r="FUX240" s="181">
        <v>6635</v>
      </c>
      <c r="FUY240" s="181">
        <v>6636</v>
      </c>
      <c r="FUZ240" s="181">
        <v>6637</v>
      </c>
      <c r="FVA240" s="181">
        <v>6638</v>
      </c>
      <c r="FVB240" s="181">
        <v>6639</v>
      </c>
      <c r="FVC240" s="181">
        <v>6640</v>
      </c>
      <c r="FVD240" s="181">
        <v>6641</v>
      </c>
      <c r="FVE240" s="181">
        <v>6642</v>
      </c>
      <c r="FVF240" s="181">
        <v>6643</v>
      </c>
      <c r="FVG240" s="181">
        <v>6644</v>
      </c>
      <c r="FVH240" s="181">
        <v>6645</v>
      </c>
      <c r="FVI240" s="181">
        <v>6646</v>
      </c>
      <c r="FVJ240" s="181">
        <v>6647</v>
      </c>
      <c r="FVK240" s="181">
        <v>6648</v>
      </c>
      <c r="FVL240" s="181">
        <v>6649</v>
      </c>
      <c r="FVM240" s="181">
        <v>6650</v>
      </c>
      <c r="FVN240" s="181">
        <v>6651</v>
      </c>
      <c r="FVO240" s="181">
        <v>6652</v>
      </c>
      <c r="FVP240" s="181">
        <v>6653</v>
      </c>
      <c r="FVQ240" s="181">
        <v>6654</v>
      </c>
      <c r="FVR240" s="181">
        <v>6655</v>
      </c>
      <c r="FVS240" s="181">
        <v>6656</v>
      </c>
      <c r="FVT240" s="181">
        <v>6657</v>
      </c>
      <c r="FVU240" s="181">
        <v>6658</v>
      </c>
      <c r="FVV240" s="181">
        <v>6659</v>
      </c>
      <c r="FVW240" s="181">
        <v>6660</v>
      </c>
      <c r="FVX240" s="181">
        <v>6661</v>
      </c>
      <c r="FVY240" s="181">
        <v>6662</v>
      </c>
      <c r="FVZ240" s="181">
        <v>6663</v>
      </c>
      <c r="FWA240" s="181">
        <v>6664</v>
      </c>
      <c r="FWB240" s="181">
        <v>6665</v>
      </c>
      <c r="FWC240" s="181">
        <v>6666</v>
      </c>
      <c r="FWD240" s="181">
        <v>6667</v>
      </c>
      <c r="FWE240" s="181">
        <v>6668</v>
      </c>
      <c r="FWF240" s="181">
        <v>6669</v>
      </c>
      <c r="FWG240" s="181">
        <v>6670</v>
      </c>
      <c r="FWH240" s="181">
        <v>6671</v>
      </c>
      <c r="FWI240" s="181">
        <v>6672</v>
      </c>
      <c r="FWJ240" s="181">
        <v>6673</v>
      </c>
      <c r="FWK240" s="181">
        <v>6674</v>
      </c>
      <c r="FWL240" s="181">
        <v>6675</v>
      </c>
      <c r="FWM240" s="181">
        <v>6676</v>
      </c>
      <c r="FWN240" s="181">
        <v>6677</v>
      </c>
      <c r="FWO240" s="181">
        <v>6678</v>
      </c>
      <c r="FWP240" s="181">
        <v>6679</v>
      </c>
      <c r="FWQ240" s="181">
        <v>6680</v>
      </c>
      <c r="FWR240" s="181">
        <v>6681</v>
      </c>
      <c r="FWS240" s="181">
        <v>6682</v>
      </c>
      <c r="FWT240" s="181">
        <v>6683</v>
      </c>
      <c r="FWU240" s="181">
        <v>6684</v>
      </c>
      <c r="FWV240" s="181">
        <v>6685</v>
      </c>
      <c r="FWW240" s="181">
        <v>6686</v>
      </c>
      <c r="FWX240" s="181">
        <v>6687</v>
      </c>
      <c r="FWY240" s="181">
        <v>6688</v>
      </c>
      <c r="FWZ240" s="181">
        <v>6689</v>
      </c>
      <c r="FXA240" s="181">
        <v>6690</v>
      </c>
      <c r="FXB240" s="181">
        <v>6691</v>
      </c>
      <c r="FXC240" s="181">
        <v>6692</v>
      </c>
      <c r="FXD240" s="181">
        <v>6693</v>
      </c>
      <c r="FXE240" s="181">
        <v>6694</v>
      </c>
      <c r="FXF240" s="181">
        <v>6695</v>
      </c>
      <c r="FXG240" s="181">
        <v>6696</v>
      </c>
      <c r="FXH240" s="181">
        <v>6697</v>
      </c>
      <c r="FXI240" s="181">
        <v>6698</v>
      </c>
      <c r="FXJ240" s="181">
        <v>6699</v>
      </c>
      <c r="FXK240" s="181">
        <v>6700</v>
      </c>
      <c r="FXL240" s="181">
        <v>6701</v>
      </c>
      <c r="FXM240" s="181">
        <v>6702</v>
      </c>
      <c r="FXN240" s="181">
        <v>6703</v>
      </c>
      <c r="FXO240" s="181">
        <v>6704</v>
      </c>
      <c r="FXP240" s="181">
        <v>6705</v>
      </c>
      <c r="FXQ240" s="181">
        <v>6706</v>
      </c>
      <c r="FXR240" s="181">
        <v>6707</v>
      </c>
      <c r="FXS240" s="181">
        <v>6708</v>
      </c>
      <c r="FXT240" s="181">
        <v>6709</v>
      </c>
      <c r="FXU240" s="181">
        <v>6710</v>
      </c>
      <c r="FXV240" s="181">
        <v>6711</v>
      </c>
      <c r="FXW240" s="181">
        <v>6712</v>
      </c>
      <c r="FXX240" s="181">
        <v>6713</v>
      </c>
      <c r="FXY240" s="181">
        <v>6714</v>
      </c>
      <c r="FXZ240" s="181">
        <v>6715</v>
      </c>
      <c r="FYA240" s="181">
        <v>6716</v>
      </c>
      <c r="FYB240" s="181">
        <v>6717</v>
      </c>
      <c r="FYC240" s="181">
        <v>6718</v>
      </c>
      <c r="FYD240" s="181">
        <v>6719</v>
      </c>
      <c r="FYE240" s="181">
        <v>6720</v>
      </c>
      <c r="FYF240" s="181">
        <v>6721</v>
      </c>
      <c r="FYG240" s="181">
        <v>6722</v>
      </c>
      <c r="FYH240" s="181">
        <v>6723</v>
      </c>
      <c r="FYI240" s="181">
        <v>6724</v>
      </c>
      <c r="FYJ240" s="181">
        <v>6725</v>
      </c>
      <c r="FYK240" s="181">
        <v>6726</v>
      </c>
      <c r="FYL240" s="181">
        <v>6727</v>
      </c>
      <c r="FYM240" s="181">
        <v>6728</v>
      </c>
      <c r="FYN240" s="181">
        <v>6729</v>
      </c>
      <c r="FYO240" s="181">
        <v>6730</v>
      </c>
      <c r="FYP240" s="181">
        <v>6731</v>
      </c>
      <c r="FYQ240" s="181">
        <v>6732</v>
      </c>
      <c r="FYR240" s="181">
        <v>6733</v>
      </c>
      <c r="FYS240" s="181">
        <v>6734</v>
      </c>
      <c r="FYT240" s="181">
        <v>6735</v>
      </c>
      <c r="FYU240" s="181">
        <v>6736</v>
      </c>
      <c r="FYV240" s="181">
        <v>6737</v>
      </c>
      <c r="FYW240" s="181">
        <v>6738</v>
      </c>
      <c r="FYX240" s="181">
        <v>6739</v>
      </c>
      <c r="FYY240" s="181">
        <v>6740</v>
      </c>
      <c r="FYZ240" s="181">
        <v>6741</v>
      </c>
      <c r="FZA240" s="181">
        <v>6742</v>
      </c>
      <c r="FZB240" s="181">
        <v>6743</v>
      </c>
      <c r="FZC240" s="181">
        <v>6744</v>
      </c>
      <c r="FZD240" s="181">
        <v>6745</v>
      </c>
      <c r="FZE240" s="181">
        <v>6746</v>
      </c>
      <c r="FZF240" s="181">
        <v>6747</v>
      </c>
      <c r="FZG240" s="181">
        <v>6748</v>
      </c>
      <c r="FZH240" s="181">
        <v>6749</v>
      </c>
      <c r="FZI240" s="181">
        <v>6750</v>
      </c>
      <c r="FZJ240" s="181">
        <v>6751</v>
      </c>
      <c r="FZK240" s="181">
        <v>6752</v>
      </c>
      <c r="FZL240" s="181">
        <v>6753</v>
      </c>
      <c r="FZM240" s="181">
        <v>6754</v>
      </c>
      <c r="FZN240" s="181">
        <v>6755</v>
      </c>
      <c r="FZO240" s="181">
        <v>6756</v>
      </c>
      <c r="FZP240" s="181">
        <v>6757</v>
      </c>
      <c r="FZQ240" s="181">
        <v>6758</v>
      </c>
      <c r="FZR240" s="181">
        <v>6759</v>
      </c>
      <c r="FZS240" s="181">
        <v>6760</v>
      </c>
      <c r="FZT240" s="181">
        <v>6761</v>
      </c>
      <c r="FZU240" s="181">
        <v>6762</v>
      </c>
      <c r="FZV240" s="181">
        <v>6763</v>
      </c>
      <c r="FZW240" s="181">
        <v>6764</v>
      </c>
      <c r="FZX240" s="181">
        <v>6765</v>
      </c>
      <c r="FZY240" s="181">
        <v>6766</v>
      </c>
      <c r="FZZ240" s="181">
        <v>6767</v>
      </c>
      <c r="GAA240" s="181">
        <v>6768</v>
      </c>
      <c r="GAB240" s="181">
        <v>6769</v>
      </c>
      <c r="GAC240" s="181">
        <v>6770</v>
      </c>
      <c r="GAD240" s="181">
        <v>6771</v>
      </c>
      <c r="GAE240" s="181">
        <v>6772</v>
      </c>
      <c r="GAF240" s="181">
        <v>6773</v>
      </c>
      <c r="GAG240" s="181">
        <v>6774</v>
      </c>
      <c r="GAH240" s="181">
        <v>6775</v>
      </c>
      <c r="GAI240" s="181">
        <v>6776</v>
      </c>
      <c r="GAJ240" s="181">
        <v>6777</v>
      </c>
      <c r="GAK240" s="181">
        <v>6778</v>
      </c>
      <c r="GAL240" s="181">
        <v>6779</v>
      </c>
      <c r="GAM240" s="181">
        <v>6780</v>
      </c>
      <c r="GAN240" s="181">
        <v>6781</v>
      </c>
      <c r="GAO240" s="181">
        <v>6782</v>
      </c>
      <c r="GAP240" s="181">
        <v>6783</v>
      </c>
      <c r="GAQ240" s="181">
        <v>6784</v>
      </c>
      <c r="GAR240" s="181">
        <v>6785</v>
      </c>
      <c r="GAS240" s="181">
        <v>6786</v>
      </c>
      <c r="GAT240" s="181">
        <v>6787</v>
      </c>
      <c r="GAU240" s="181">
        <v>6788</v>
      </c>
      <c r="GAV240" s="181">
        <v>6789</v>
      </c>
      <c r="GAW240" s="181">
        <v>6790</v>
      </c>
      <c r="GAX240" s="181">
        <v>6791</v>
      </c>
      <c r="GAY240" s="181">
        <v>6792</v>
      </c>
      <c r="GAZ240" s="181">
        <v>6793</v>
      </c>
      <c r="GBA240" s="181">
        <v>6794</v>
      </c>
      <c r="GBB240" s="181">
        <v>6795</v>
      </c>
      <c r="GBC240" s="181">
        <v>6796</v>
      </c>
      <c r="GBD240" s="181">
        <v>6797</v>
      </c>
      <c r="GBE240" s="181">
        <v>6798</v>
      </c>
      <c r="GBF240" s="181">
        <v>6799</v>
      </c>
      <c r="GBG240" s="181">
        <v>6800</v>
      </c>
      <c r="GBH240" s="181">
        <v>6801</v>
      </c>
      <c r="GBI240" s="181">
        <v>6802</v>
      </c>
      <c r="GBJ240" s="181">
        <v>6803</v>
      </c>
      <c r="GBK240" s="181">
        <v>6804</v>
      </c>
      <c r="GBL240" s="181">
        <v>6805</v>
      </c>
      <c r="GBM240" s="181">
        <v>6806</v>
      </c>
      <c r="GBN240" s="181">
        <v>6807</v>
      </c>
      <c r="GBO240" s="181">
        <v>6808</v>
      </c>
      <c r="GBP240" s="181">
        <v>6809</v>
      </c>
      <c r="GBQ240" s="181">
        <v>6810</v>
      </c>
      <c r="GBR240" s="181">
        <v>6811</v>
      </c>
      <c r="GBS240" s="181">
        <v>6812</v>
      </c>
      <c r="GBT240" s="181">
        <v>6813</v>
      </c>
      <c r="GBU240" s="181">
        <v>6814</v>
      </c>
      <c r="GBV240" s="181">
        <v>6815</v>
      </c>
      <c r="GBW240" s="181">
        <v>6816</v>
      </c>
      <c r="GBX240" s="181">
        <v>6817</v>
      </c>
      <c r="GBY240" s="181">
        <v>6818</v>
      </c>
      <c r="GBZ240" s="181">
        <v>6819</v>
      </c>
      <c r="GCA240" s="181">
        <v>6820</v>
      </c>
      <c r="GCB240" s="181">
        <v>6821</v>
      </c>
      <c r="GCC240" s="181">
        <v>6822</v>
      </c>
      <c r="GCD240" s="181">
        <v>6823</v>
      </c>
      <c r="GCE240" s="181">
        <v>6824</v>
      </c>
      <c r="GCF240" s="181">
        <v>6825</v>
      </c>
      <c r="GCG240" s="181">
        <v>6826</v>
      </c>
      <c r="GCH240" s="181">
        <v>6827</v>
      </c>
      <c r="GCI240" s="181">
        <v>6828</v>
      </c>
      <c r="GCJ240" s="181">
        <v>6829</v>
      </c>
      <c r="GCK240" s="181">
        <v>6830</v>
      </c>
      <c r="GCL240" s="181">
        <v>6831</v>
      </c>
      <c r="GCM240" s="181">
        <v>6832</v>
      </c>
      <c r="GCN240" s="181">
        <v>6833</v>
      </c>
      <c r="GCO240" s="181">
        <v>6834</v>
      </c>
      <c r="GCP240" s="181">
        <v>6835</v>
      </c>
      <c r="GCQ240" s="181">
        <v>6836</v>
      </c>
      <c r="GCR240" s="181">
        <v>6837</v>
      </c>
      <c r="GCS240" s="181">
        <v>6838</v>
      </c>
      <c r="GCT240" s="181">
        <v>6839</v>
      </c>
      <c r="GCU240" s="181">
        <v>6840</v>
      </c>
      <c r="GCV240" s="181">
        <v>6841</v>
      </c>
      <c r="GCW240" s="181">
        <v>6842</v>
      </c>
      <c r="GCX240" s="181">
        <v>6843</v>
      </c>
      <c r="GCY240" s="181">
        <v>6844</v>
      </c>
      <c r="GCZ240" s="181">
        <v>6845</v>
      </c>
      <c r="GDA240" s="181">
        <v>6846</v>
      </c>
      <c r="GDB240" s="181">
        <v>6847</v>
      </c>
      <c r="GDC240" s="181">
        <v>6848</v>
      </c>
      <c r="GDD240" s="181">
        <v>6849</v>
      </c>
      <c r="GDE240" s="181">
        <v>6850</v>
      </c>
      <c r="GDF240" s="181">
        <v>6851</v>
      </c>
      <c r="GDG240" s="181">
        <v>6852</v>
      </c>
      <c r="GDH240" s="181">
        <v>6853</v>
      </c>
      <c r="GDI240" s="181">
        <v>6854</v>
      </c>
      <c r="GDJ240" s="181">
        <v>6855</v>
      </c>
      <c r="GDK240" s="181">
        <v>6856</v>
      </c>
      <c r="GDL240" s="181">
        <v>6857</v>
      </c>
      <c r="GDM240" s="181">
        <v>6858</v>
      </c>
      <c r="GDN240" s="181">
        <v>6859</v>
      </c>
      <c r="GDO240" s="181">
        <v>6860</v>
      </c>
      <c r="GDP240" s="181">
        <v>6861</v>
      </c>
      <c r="GDQ240" s="181">
        <v>6862</v>
      </c>
      <c r="GDR240" s="181">
        <v>6863</v>
      </c>
      <c r="GDS240" s="181">
        <v>6864</v>
      </c>
      <c r="GDT240" s="181">
        <v>6865</v>
      </c>
      <c r="GDU240" s="181">
        <v>6866</v>
      </c>
      <c r="GDV240" s="181">
        <v>6867</v>
      </c>
      <c r="GDW240" s="181">
        <v>6868</v>
      </c>
      <c r="GDX240" s="181">
        <v>6869</v>
      </c>
      <c r="GDY240" s="181">
        <v>6870</v>
      </c>
      <c r="GDZ240" s="181">
        <v>6871</v>
      </c>
      <c r="GEA240" s="181">
        <v>6872</v>
      </c>
      <c r="GEB240" s="181">
        <v>6873</v>
      </c>
      <c r="GEC240" s="181">
        <v>6874</v>
      </c>
      <c r="GED240" s="181">
        <v>6875</v>
      </c>
      <c r="GEE240" s="181">
        <v>6876</v>
      </c>
      <c r="GEF240" s="181">
        <v>6877</v>
      </c>
      <c r="GEG240" s="181">
        <v>6878</v>
      </c>
      <c r="GEH240" s="181">
        <v>6879</v>
      </c>
      <c r="GEI240" s="181">
        <v>6880</v>
      </c>
      <c r="GEJ240" s="181">
        <v>6881</v>
      </c>
      <c r="GEK240" s="181">
        <v>6882</v>
      </c>
      <c r="GEL240" s="181">
        <v>6883</v>
      </c>
      <c r="GEM240" s="181">
        <v>6884</v>
      </c>
      <c r="GEN240" s="181">
        <v>6885</v>
      </c>
      <c r="GEO240" s="181">
        <v>6886</v>
      </c>
      <c r="GEP240" s="181">
        <v>6887</v>
      </c>
      <c r="GEQ240" s="181">
        <v>6888</v>
      </c>
      <c r="GER240" s="181">
        <v>6889</v>
      </c>
      <c r="GES240" s="181">
        <v>6890</v>
      </c>
      <c r="GET240" s="181">
        <v>6891</v>
      </c>
      <c r="GEU240" s="181">
        <v>6892</v>
      </c>
      <c r="GEV240" s="181">
        <v>6893</v>
      </c>
      <c r="GEW240" s="181">
        <v>6894</v>
      </c>
      <c r="GEX240" s="181">
        <v>6895</v>
      </c>
      <c r="GEY240" s="181">
        <v>6896</v>
      </c>
      <c r="GEZ240" s="181">
        <v>6897</v>
      </c>
      <c r="GFA240" s="181">
        <v>6898</v>
      </c>
      <c r="GFB240" s="181">
        <v>6899</v>
      </c>
      <c r="GFC240" s="181">
        <v>6900</v>
      </c>
      <c r="GFD240" s="181">
        <v>6901</v>
      </c>
      <c r="GFE240" s="181">
        <v>6902</v>
      </c>
      <c r="GFF240" s="181">
        <v>6903</v>
      </c>
      <c r="GFG240" s="181">
        <v>6904</v>
      </c>
      <c r="GFH240" s="181">
        <v>6905</v>
      </c>
      <c r="GFI240" s="181">
        <v>6906</v>
      </c>
      <c r="GFJ240" s="181">
        <v>6907</v>
      </c>
      <c r="GFK240" s="181">
        <v>6908</v>
      </c>
      <c r="GFL240" s="181">
        <v>6909</v>
      </c>
      <c r="GFM240" s="181">
        <v>6910</v>
      </c>
      <c r="GFN240" s="181">
        <v>6911</v>
      </c>
      <c r="GFO240" s="181">
        <v>6912</v>
      </c>
      <c r="GFP240" s="181">
        <v>6913</v>
      </c>
      <c r="GFQ240" s="181">
        <v>6914</v>
      </c>
      <c r="GFR240" s="181">
        <v>6915</v>
      </c>
      <c r="GFS240" s="181">
        <v>6916</v>
      </c>
      <c r="GFT240" s="181">
        <v>6917</v>
      </c>
      <c r="GFU240" s="181">
        <v>6918</v>
      </c>
      <c r="GFV240" s="181">
        <v>6919</v>
      </c>
      <c r="GFW240" s="181">
        <v>6920</v>
      </c>
      <c r="GFX240" s="181">
        <v>6921</v>
      </c>
      <c r="GFY240" s="181">
        <v>6922</v>
      </c>
      <c r="GFZ240" s="181">
        <v>6923</v>
      </c>
      <c r="GGA240" s="181">
        <v>6924</v>
      </c>
      <c r="GGB240" s="181">
        <v>6925</v>
      </c>
      <c r="GGC240" s="181">
        <v>6926</v>
      </c>
      <c r="GGD240" s="181">
        <v>6927</v>
      </c>
      <c r="GGE240" s="181">
        <v>6928</v>
      </c>
      <c r="GGF240" s="181">
        <v>6929</v>
      </c>
      <c r="GGG240" s="181">
        <v>6930</v>
      </c>
      <c r="GGH240" s="181">
        <v>6931</v>
      </c>
      <c r="GGI240" s="181">
        <v>6932</v>
      </c>
      <c r="GGJ240" s="181">
        <v>6933</v>
      </c>
      <c r="GGK240" s="181">
        <v>6934</v>
      </c>
      <c r="GGL240" s="181">
        <v>6935</v>
      </c>
      <c r="GGM240" s="181">
        <v>6936</v>
      </c>
      <c r="GGN240" s="181">
        <v>6937</v>
      </c>
      <c r="GGO240" s="181">
        <v>6938</v>
      </c>
      <c r="GGP240" s="181">
        <v>6939</v>
      </c>
      <c r="GGQ240" s="181">
        <v>6940</v>
      </c>
      <c r="GGR240" s="181">
        <v>6941</v>
      </c>
      <c r="GGS240" s="181">
        <v>6942</v>
      </c>
      <c r="GGT240" s="181">
        <v>6943</v>
      </c>
      <c r="GGU240" s="181">
        <v>6944</v>
      </c>
      <c r="GGV240" s="181">
        <v>6945</v>
      </c>
      <c r="GGW240" s="181">
        <v>6946</v>
      </c>
      <c r="GGX240" s="181">
        <v>6947</v>
      </c>
      <c r="GGY240" s="181">
        <v>6948</v>
      </c>
      <c r="GGZ240" s="181">
        <v>6949</v>
      </c>
      <c r="GHA240" s="181">
        <v>6950</v>
      </c>
      <c r="GHB240" s="181">
        <v>6951</v>
      </c>
      <c r="GHC240" s="181">
        <v>6952</v>
      </c>
      <c r="GHD240" s="181">
        <v>6953</v>
      </c>
      <c r="GHE240" s="181">
        <v>6954</v>
      </c>
      <c r="GHF240" s="181">
        <v>6955</v>
      </c>
      <c r="GHG240" s="181">
        <v>6956</v>
      </c>
      <c r="GHH240" s="181">
        <v>6957</v>
      </c>
      <c r="GHI240" s="181">
        <v>6958</v>
      </c>
      <c r="GHJ240" s="181">
        <v>6959</v>
      </c>
      <c r="GHK240" s="181">
        <v>6960</v>
      </c>
      <c r="GHL240" s="181">
        <v>6961</v>
      </c>
      <c r="GHM240" s="181">
        <v>6962</v>
      </c>
      <c r="GHN240" s="181">
        <v>6963</v>
      </c>
      <c r="GHO240" s="181">
        <v>6964</v>
      </c>
      <c r="GHP240" s="181">
        <v>6965</v>
      </c>
      <c r="GHQ240" s="181">
        <v>6966</v>
      </c>
      <c r="GHR240" s="181">
        <v>6967</v>
      </c>
      <c r="GHS240" s="181">
        <v>6968</v>
      </c>
      <c r="GHT240" s="181">
        <v>6969</v>
      </c>
      <c r="GHU240" s="181">
        <v>6970</v>
      </c>
      <c r="GHV240" s="181">
        <v>6971</v>
      </c>
      <c r="GHW240" s="181">
        <v>6972</v>
      </c>
      <c r="GHX240" s="181">
        <v>6973</v>
      </c>
      <c r="GHY240" s="181">
        <v>6974</v>
      </c>
      <c r="GHZ240" s="181">
        <v>6975</v>
      </c>
      <c r="GIA240" s="181">
        <v>6976</v>
      </c>
      <c r="GIB240" s="181">
        <v>6977</v>
      </c>
      <c r="GIC240" s="181">
        <v>6978</v>
      </c>
      <c r="GID240" s="181">
        <v>6979</v>
      </c>
      <c r="GIE240" s="181">
        <v>6980</v>
      </c>
      <c r="GIF240" s="181">
        <v>6981</v>
      </c>
      <c r="GIG240" s="181">
        <v>6982</v>
      </c>
      <c r="GIH240" s="181">
        <v>6983</v>
      </c>
      <c r="GII240" s="181">
        <v>6984</v>
      </c>
      <c r="GIJ240" s="181">
        <v>6985</v>
      </c>
      <c r="GIK240" s="181">
        <v>6986</v>
      </c>
      <c r="GIL240" s="181">
        <v>6987</v>
      </c>
      <c r="GIM240" s="181">
        <v>6988</v>
      </c>
      <c r="GIN240" s="181">
        <v>6989</v>
      </c>
      <c r="GIO240" s="181">
        <v>6990</v>
      </c>
      <c r="GIP240" s="181">
        <v>6991</v>
      </c>
      <c r="GIQ240" s="181">
        <v>6992</v>
      </c>
      <c r="GIR240" s="181">
        <v>6993</v>
      </c>
      <c r="GIS240" s="181">
        <v>6994</v>
      </c>
      <c r="GIT240" s="181">
        <v>6995</v>
      </c>
      <c r="GIU240" s="181">
        <v>6996</v>
      </c>
      <c r="GIV240" s="181">
        <v>6997</v>
      </c>
      <c r="GIW240" s="181">
        <v>6998</v>
      </c>
      <c r="GIX240" s="181">
        <v>6999</v>
      </c>
      <c r="GIY240" s="181">
        <v>7000</v>
      </c>
      <c r="GIZ240" s="181">
        <v>7001</v>
      </c>
      <c r="GJA240" s="181">
        <v>7002</v>
      </c>
      <c r="GJB240" s="181">
        <v>7003</v>
      </c>
      <c r="GJC240" s="181">
        <v>7004</v>
      </c>
      <c r="GJD240" s="181">
        <v>7005</v>
      </c>
      <c r="GJE240" s="181">
        <v>7006</v>
      </c>
      <c r="GJF240" s="181">
        <v>7007</v>
      </c>
      <c r="GJG240" s="181">
        <v>7008</v>
      </c>
      <c r="GJH240" s="181">
        <v>7009</v>
      </c>
      <c r="GJI240" s="181">
        <v>7010</v>
      </c>
      <c r="GJJ240" s="181">
        <v>7011</v>
      </c>
      <c r="GJK240" s="181">
        <v>7012</v>
      </c>
      <c r="GJL240" s="181">
        <v>7013</v>
      </c>
      <c r="GJM240" s="181">
        <v>7014</v>
      </c>
      <c r="GJN240" s="181">
        <v>7015</v>
      </c>
      <c r="GJO240" s="181">
        <v>7016</v>
      </c>
      <c r="GJP240" s="181">
        <v>7017</v>
      </c>
      <c r="GJQ240" s="181">
        <v>7018</v>
      </c>
      <c r="GJR240" s="181">
        <v>7019</v>
      </c>
      <c r="GJS240" s="181">
        <v>7020</v>
      </c>
      <c r="GJT240" s="181">
        <v>7021</v>
      </c>
      <c r="GJU240" s="181">
        <v>7022</v>
      </c>
      <c r="GJV240" s="181">
        <v>7023</v>
      </c>
      <c r="GJW240" s="181">
        <v>7024</v>
      </c>
      <c r="GJX240" s="181">
        <v>7025</v>
      </c>
      <c r="GJY240" s="181">
        <v>7026</v>
      </c>
      <c r="GJZ240" s="181">
        <v>7027</v>
      </c>
      <c r="GKA240" s="181">
        <v>7028</v>
      </c>
      <c r="GKB240" s="181">
        <v>7029</v>
      </c>
      <c r="GKC240" s="181">
        <v>7030</v>
      </c>
      <c r="GKD240" s="181">
        <v>7031</v>
      </c>
      <c r="GKE240" s="181">
        <v>7032</v>
      </c>
      <c r="GKF240" s="181">
        <v>7033</v>
      </c>
      <c r="GKG240" s="181">
        <v>7034</v>
      </c>
      <c r="GKH240" s="181">
        <v>7035</v>
      </c>
      <c r="GKI240" s="181">
        <v>7036</v>
      </c>
      <c r="GKJ240" s="181">
        <v>7037</v>
      </c>
      <c r="GKK240" s="181">
        <v>7038</v>
      </c>
      <c r="GKL240" s="181">
        <v>7039</v>
      </c>
      <c r="GKM240" s="181">
        <v>7040</v>
      </c>
      <c r="GKN240" s="181">
        <v>7041</v>
      </c>
      <c r="GKO240" s="181">
        <v>7042</v>
      </c>
      <c r="GKP240" s="181">
        <v>7043</v>
      </c>
      <c r="GKQ240" s="181">
        <v>7044</v>
      </c>
      <c r="GKR240" s="181">
        <v>7045</v>
      </c>
      <c r="GKS240" s="181">
        <v>7046</v>
      </c>
      <c r="GKT240" s="181">
        <v>7047</v>
      </c>
      <c r="GKU240" s="181">
        <v>7048</v>
      </c>
      <c r="GKV240" s="181">
        <v>7049</v>
      </c>
      <c r="GKW240" s="181">
        <v>7050</v>
      </c>
      <c r="GKX240" s="181">
        <v>7051</v>
      </c>
      <c r="GKY240" s="181">
        <v>7052</v>
      </c>
      <c r="GKZ240" s="181">
        <v>7053</v>
      </c>
      <c r="GLA240" s="181">
        <v>7054</v>
      </c>
      <c r="GLB240" s="181">
        <v>7055</v>
      </c>
      <c r="GLC240" s="181">
        <v>7056</v>
      </c>
      <c r="GLD240" s="181">
        <v>7057</v>
      </c>
      <c r="GLE240" s="181">
        <v>7058</v>
      </c>
      <c r="GLF240" s="181">
        <v>7059</v>
      </c>
      <c r="GLG240" s="181">
        <v>7060</v>
      </c>
      <c r="GLH240" s="181">
        <v>7061</v>
      </c>
      <c r="GLI240" s="181">
        <v>7062</v>
      </c>
      <c r="GLJ240" s="181">
        <v>7063</v>
      </c>
      <c r="GLK240" s="181">
        <v>7064</v>
      </c>
      <c r="GLL240" s="181">
        <v>7065</v>
      </c>
      <c r="GLM240" s="181">
        <v>7066</v>
      </c>
      <c r="GLN240" s="181">
        <v>7067</v>
      </c>
      <c r="GLO240" s="181">
        <v>7068</v>
      </c>
      <c r="GLP240" s="181">
        <v>7069</v>
      </c>
      <c r="GLQ240" s="181">
        <v>7070</v>
      </c>
      <c r="GLR240" s="181">
        <v>7071</v>
      </c>
      <c r="GLS240" s="181">
        <v>7072</v>
      </c>
      <c r="GLT240" s="181">
        <v>7073</v>
      </c>
      <c r="GLU240" s="181">
        <v>7074</v>
      </c>
      <c r="GLV240" s="181">
        <v>7075</v>
      </c>
      <c r="GLW240" s="181">
        <v>7076</v>
      </c>
      <c r="GLX240" s="181">
        <v>7077</v>
      </c>
      <c r="GLY240" s="181">
        <v>7078</v>
      </c>
      <c r="GLZ240" s="181">
        <v>7079</v>
      </c>
      <c r="GMA240" s="181">
        <v>7080</v>
      </c>
      <c r="GMB240" s="181">
        <v>7081</v>
      </c>
      <c r="GMC240" s="181">
        <v>7082</v>
      </c>
      <c r="GMD240" s="181">
        <v>7083</v>
      </c>
      <c r="GME240" s="181">
        <v>7084</v>
      </c>
      <c r="GMF240" s="181">
        <v>7085</v>
      </c>
      <c r="GMG240" s="181">
        <v>7086</v>
      </c>
      <c r="GMH240" s="181">
        <v>7087</v>
      </c>
      <c r="GMI240" s="181">
        <v>7088</v>
      </c>
      <c r="GMJ240" s="181">
        <v>7089</v>
      </c>
      <c r="GMK240" s="181">
        <v>7090</v>
      </c>
      <c r="GML240" s="181">
        <v>7091</v>
      </c>
      <c r="GMM240" s="181">
        <v>7092</v>
      </c>
      <c r="GMN240" s="181">
        <v>7093</v>
      </c>
      <c r="GMO240" s="181">
        <v>7094</v>
      </c>
      <c r="GMP240" s="181">
        <v>7095</v>
      </c>
      <c r="GMQ240" s="181">
        <v>7096</v>
      </c>
      <c r="GMR240" s="181">
        <v>7097</v>
      </c>
      <c r="GMS240" s="181">
        <v>7098</v>
      </c>
      <c r="GMT240" s="181">
        <v>7099</v>
      </c>
      <c r="GMU240" s="181">
        <v>7100</v>
      </c>
      <c r="GMV240" s="181">
        <v>7101</v>
      </c>
      <c r="GMW240" s="181">
        <v>7102</v>
      </c>
      <c r="GMX240" s="181">
        <v>7103</v>
      </c>
      <c r="GMY240" s="181">
        <v>7104</v>
      </c>
      <c r="GMZ240" s="181">
        <v>7105</v>
      </c>
      <c r="GNA240" s="181">
        <v>7106</v>
      </c>
      <c r="GNB240" s="181">
        <v>7107</v>
      </c>
      <c r="GNC240" s="181">
        <v>7108</v>
      </c>
      <c r="GND240" s="181">
        <v>7109</v>
      </c>
      <c r="GNE240" s="181">
        <v>7110</v>
      </c>
      <c r="GNF240" s="181">
        <v>7111</v>
      </c>
      <c r="GNG240" s="181">
        <v>7112</v>
      </c>
      <c r="GNH240" s="181">
        <v>7113</v>
      </c>
      <c r="GNI240" s="181">
        <v>7114</v>
      </c>
      <c r="GNJ240" s="181">
        <v>7115</v>
      </c>
      <c r="GNK240" s="181">
        <v>7116</v>
      </c>
      <c r="GNL240" s="181">
        <v>7117</v>
      </c>
      <c r="GNM240" s="181">
        <v>7118</v>
      </c>
      <c r="GNN240" s="181">
        <v>7119</v>
      </c>
      <c r="GNO240" s="181">
        <v>7120</v>
      </c>
      <c r="GNP240" s="181">
        <v>7121</v>
      </c>
      <c r="GNQ240" s="181">
        <v>7122</v>
      </c>
      <c r="GNR240" s="181">
        <v>7123</v>
      </c>
      <c r="GNS240" s="181">
        <v>7124</v>
      </c>
      <c r="GNT240" s="181">
        <v>7125</v>
      </c>
      <c r="GNU240" s="181">
        <v>7126</v>
      </c>
      <c r="GNV240" s="181">
        <v>7127</v>
      </c>
      <c r="GNW240" s="181">
        <v>7128</v>
      </c>
      <c r="GNX240" s="181">
        <v>7129</v>
      </c>
      <c r="GNY240" s="181">
        <v>7130</v>
      </c>
      <c r="GNZ240" s="181">
        <v>7131</v>
      </c>
      <c r="GOA240" s="181">
        <v>7132</v>
      </c>
      <c r="GOB240" s="181">
        <v>7133</v>
      </c>
      <c r="GOC240" s="181">
        <v>7134</v>
      </c>
      <c r="GOD240" s="181">
        <v>7135</v>
      </c>
      <c r="GOE240" s="181">
        <v>7136</v>
      </c>
      <c r="GOF240" s="181">
        <v>7137</v>
      </c>
      <c r="GOG240" s="181">
        <v>7138</v>
      </c>
      <c r="GOH240" s="181">
        <v>7139</v>
      </c>
      <c r="GOI240" s="181">
        <v>7140</v>
      </c>
      <c r="GOJ240" s="181">
        <v>7141</v>
      </c>
      <c r="GOK240" s="181">
        <v>7142</v>
      </c>
      <c r="GOL240" s="181">
        <v>7143</v>
      </c>
      <c r="GOM240" s="181">
        <v>7144</v>
      </c>
      <c r="GON240" s="181">
        <v>7145</v>
      </c>
      <c r="GOO240" s="181">
        <v>7146</v>
      </c>
      <c r="GOP240" s="181">
        <v>7147</v>
      </c>
      <c r="GOQ240" s="181">
        <v>7148</v>
      </c>
      <c r="GOR240" s="181">
        <v>7149</v>
      </c>
      <c r="GOS240" s="181">
        <v>7150</v>
      </c>
      <c r="GOT240" s="181">
        <v>7151</v>
      </c>
      <c r="GOU240" s="181">
        <v>7152</v>
      </c>
      <c r="GOV240" s="181">
        <v>7153</v>
      </c>
      <c r="GOW240" s="181">
        <v>7154</v>
      </c>
      <c r="GOX240" s="181">
        <v>7155</v>
      </c>
      <c r="GOY240" s="181">
        <v>7156</v>
      </c>
      <c r="GOZ240" s="181">
        <v>7157</v>
      </c>
      <c r="GPA240" s="181">
        <v>7158</v>
      </c>
      <c r="GPB240" s="181">
        <v>7159</v>
      </c>
      <c r="GPC240" s="181">
        <v>7160</v>
      </c>
      <c r="GPD240" s="181">
        <v>7161</v>
      </c>
      <c r="GPE240" s="181">
        <v>7162</v>
      </c>
      <c r="GPF240" s="181">
        <v>7163</v>
      </c>
      <c r="GPG240" s="181">
        <v>7164</v>
      </c>
      <c r="GPH240" s="181">
        <v>7165</v>
      </c>
      <c r="GPI240" s="181">
        <v>7166</v>
      </c>
      <c r="GPJ240" s="181">
        <v>7167</v>
      </c>
      <c r="GPK240" s="181">
        <v>7168</v>
      </c>
      <c r="GPL240" s="181">
        <v>7169</v>
      </c>
      <c r="GPM240" s="181">
        <v>7170</v>
      </c>
      <c r="GPN240" s="181">
        <v>7171</v>
      </c>
      <c r="GPO240" s="181">
        <v>7172</v>
      </c>
      <c r="GPP240" s="181">
        <v>7173</v>
      </c>
      <c r="GPQ240" s="181">
        <v>7174</v>
      </c>
      <c r="GPR240" s="181">
        <v>7175</v>
      </c>
      <c r="GPS240" s="181">
        <v>7176</v>
      </c>
      <c r="GPT240" s="181">
        <v>7177</v>
      </c>
      <c r="GPU240" s="181">
        <v>7178</v>
      </c>
      <c r="GPV240" s="181">
        <v>7179</v>
      </c>
      <c r="GPW240" s="181">
        <v>7180</v>
      </c>
      <c r="GPX240" s="181">
        <v>7181</v>
      </c>
      <c r="GPY240" s="181">
        <v>7182</v>
      </c>
      <c r="GPZ240" s="181">
        <v>7183</v>
      </c>
      <c r="GQA240" s="181">
        <v>7184</v>
      </c>
      <c r="GQB240" s="181">
        <v>7185</v>
      </c>
      <c r="GQC240" s="181">
        <v>7186</v>
      </c>
      <c r="GQD240" s="181">
        <v>7187</v>
      </c>
      <c r="GQE240" s="181">
        <v>7188</v>
      </c>
      <c r="GQF240" s="181">
        <v>7189</v>
      </c>
      <c r="GQG240" s="181">
        <v>7190</v>
      </c>
      <c r="GQH240" s="181">
        <v>7191</v>
      </c>
      <c r="GQI240" s="181">
        <v>7192</v>
      </c>
      <c r="GQJ240" s="181">
        <v>7193</v>
      </c>
      <c r="GQK240" s="181">
        <v>7194</v>
      </c>
      <c r="GQL240" s="181">
        <v>7195</v>
      </c>
      <c r="GQM240" s="181">
        <v>7196</v>
      </c>
      <c r="GQN240" s="181">
        <v>7197</v>
      </c>
      <c r="GQO240" s="181">
        <v>7198</v>
      </c>
      <c r="GQP240" s="181">
        <v>7199</v>
      </c>
      <c r="GQQ240" s="181">
        <v>7200</v>
      </c>
      <c r="GQR240" s="181">
        <v>7201</v>
      </c>
      <c r="GQS240" s="181">
        <v>7202</v>
      </c>
      <c r="GQT240" s="181">
        <v>7203</v>
      </c>
      <c r="GQU240" s="181">
        <v>7204</v>
      </c>
      <c r="GQV240" s="181">
        <v>7205</v>
      </c>
      <c r="GQW240" s="181">
        <v>7206</v>
      </c>
      <c r="GQX240" s="181">
        <v>7207</v>
      </c>
      <c r="GQY240" s="181">
        <v>7208</v>
      </c>
      <c r="GQZ240" s="181">
        <v>7209</v>
      </c>
      <c r="GRA240" s="181">
        <v>7210</v>
      </c>
      <c r="GRB240" s="181">
        <v>7211</v>
      </c>
      <c r="GRC240" s="181">
        <v>7212</v>
      </c>
      <c r="GRD240" s="181">
        <v>7213</v>
      </c>
      <c r="GRE240" s="181">
        <v>7214</v>
      </c>
      <c r="GRF240" s="181">
        <v>7215</v>
      </c>
      <c r="GRG240" s="181">
        <v>7216</v>
      </c>
      <c r="GRH240" s="181">
        <v>7217</v>
      </c>
      <c r="GRI240" s="181">
        <v>7218</v>
      </c>
      <c r="GRJ240" s="181">
        <v>7219</v>
      </c>
      <c r="GRK240" s="181">
        <v>7220</v>
      </c>
      <c r="GRL240" s="181">
        <v>7221</v>
      </c>
      <c r="GRM240" s="181">
        <v>7222</v>
      </c>
      <c r="GRN240" s="181">
        <v>7223</v>
      </c>
      <c r="GRO240" s="181">
        <v>7224</v>
      </c>
      <c r="GRP240" s="181">
        <v>7225</v>
      </c>
      <c r="GRQ240" s="181">
        <v>7226</v>
      </c>
      <c r="GRR240" s="181">
        <v>7227</v>
      </c>
      <c r="GRS240" s="181">
        <v>7228</v>
      </c>
      <c r="GRT240" s="181">
        <v>7229</v>
      </c>
      <c r="GRU240" s="181">
        <v>7230</v>
      </c>
      <c r="GRV240" s="181">
        <v>7231</v>
      </c>
      <c r="GRW240" s="181">
        <v>7232</v>
      </c>
      <c r="GRX240" s="181">
        <v>7233</v>
      </c>
      <c r="GRY240" s="181">
        <v>7234</v>
      </c>
      <c r="GRZ240" s="181">
        <v>7235</v>
      </c>
      <c r="GSA240" s="181">
        <v>7236</v>
      </c>
      <c r="GSB240" s="181">
        <v>7237</v>
      </c>
      <c r="GSC240" s="181">
        <v>7238</v>
      </c>
      <c r="GSD240" s="181">
        <v>7239</v>
      </c>
      <c r="GSE240" s="181">
        <v>7240</v>
      </c>
      <c r="GSF240" s="181">
        <v>7241</v>
      </c>
      <c r="GSG240" s="181">
        <v>7242</v>
      </c>
      <c r="GSH240" s="181">
        <v>7243</v>
      </c>
      <c r="GSI240" s="181">
        <v>7244</v>
      </c>
      <c r="GSJ240" s="181">
        <v>7245</v>
      </c>
      <c r="GSK240" s="181">
        <v>7246</v>
      </c>
      <c r="GSL240" s="181">
        <v>7247</v>
      </c>
      <c r="GSM240" s="181">
        <v>7248</v>
      </c>
      <c r="GSN240" s="181">
        <v>7249</v>
      </c>
      <c r="GSO240" s="181">
        <v>7250</v>
      </c>
      <c r="GSP240" s="181">
        <v>7251</v>
      </c>
      <c r="GSQ240" s="181">
        <v>7252</v>
      </c>
      <c r="GSR240" s="181">
        <v>7253</v>
      </c>
      <c r="GSS240" s="181">
        <v>7254</v>
      </c>
      <c r="GST240" s="181">
        <v>7255</v>
      </c>
      <c r="GSU240" s="181">
        <v>7256</v>
      </c>
      <c r="GSV240" s="181">
        <v>7257</v>
      </c>
      <c r="GSW240" s="181">
        <v>7258</v>
      </c>
      <c r="GSX240" s="181">
        <v>7259</v>
      </c>
      <c r="GSY240" s="181">
        <v>7260</v>
      </c>
      <c r="GSZ240" s="181">
        <v>7261</v>
      </c>
      <c r="GTA240" s="181">
        <v>7262</v>
      </c>
      <c r="GTB240" s="181">
        <v>7263</v>
      </c>
      <c r="GTC240" s="181">
        <v>7264</v>
      </c>
      <c r="GTD240" s="181">
        <v>7265</v>
      </c>
      <c r="GTE240" s="181">
        <v>7266</v>
      </c>
      <c r="GTF240" s="181">
        <v>7267</v>
      </c>
      <c r="GTG240" s="181">
        <v>7268</v>
      </c>
      <c r="GTH240" s="181">
        <v>7269</v>
      </c>
      <c r="GTI240" s="181">
        <v>7270</v>
      </c>
      <c r="GTJ240" s="181">
        <v>7271</v>
      </c>
      <c r="GTK240" s="181">
        <v>7272</v>
      </c>
      <c r="GTL240" s="181">
        <v>7273</v>
      </c>
      <c r="GTM240" s="181">
        <v>7274</v>
      </c>
      <c r="GTN240" s="181">
        <v>7275</v>
      </c>
      <c r="GTO240" s="181">
        <v>7276</v>
      </c>
      <c r="GTP240" s="181">
        <v>7277</v>
      </c>
      <c r="GTQ240" s="181">
        <v>7278</v>
      </c>
      <c r="GTR240" s="181">
        <v>7279</v>
      </c>
      <c r="GTS240" s="181">
        <v>7280</v>
      </c>
      <c r="GTT240" s="181">
        <v>7281</v>
      </c>
      <c r="GTU240" s="181">
        <v>7282</v>
      </c>
      <c r="GTV240" s="181">
        <v>7283</v>
      </c>
      <c r="GTW240" s="181">
        <v>7284</v>
      </c>
      <c r="GTX240" s="181">
        <v>7285</v>
      </c>
      <c r="GTY240" s="181">
        <v>7286</v>
      </c>
      <c r="GTZ240" s="181">
        <v>7287</v>
      </c>
      <c r="GUA240" s="181">
        <v>7288</v>
      </c>
      <c r="GUB240" s="181">
        <v>7289</v>
      </c>
      <c r="GUC240" s="181">
        <v>7290</v>
      </c>
      <c r="GUD240" s="181">
        <v>7291</v>
      </c>
      <c r="GUE240" s="181">
        <v>7292</v>
      </c>
      <c r="GUF240" s="181">
        <v>7293</v>
      </c>
      <c r="GUG240" s="181">
        <v>7294</v>
      </c>
      <c r="GUH240" s="181">
        <v>7295</v>
      </c>
      <c r="GUI240" s="181">
        <v>7296</v>
      </c>
      <c r="GUJ240" s="181">
        <v>7297</v>
      </c>
      <c r="GUK240" s="181">
        <v>7298</v>
      </c>
      <c r="GUL240" s="181">
        <v>7299</v>
      </c>
      <c r="GUM240" s="181">
        <v>7300</v>
      </c>
      <c r="GUN240" s="181">
        <v>7301</v>
      </c>
      <c r="GUO240" s="181">
        <v>7302</v>
      </c>
      <c r="GUP240" s="181">
        <v>7303</v>
      </c>
      <c r="GUQ240" s="181">
        <v>7304</v>
      </c>
      <c r="GUR240" s="181">
        <v>7305</v>
      </c>
      <c r="GUS240" s="181">
        <v>7306</v>
      </c>
      <c r="GUT240" s="181">
        <v>7307</v>
      </c>
      <c r="GUU240" s="181">
        <v>7308</v>
      </c>
      <c r="GUV240" s="181">
        <v>7309</v>
      </c>
      <c r="GUW240" s="181">
        <v>7310</v>
      </c>
      <c r="GUX240" s="181">
        <v>7311</v>
      </c>
      <c r="GUY240" s="181">
        <v>7312</v>
      </c>
      <c r="GUZ240" s="181">
        <v>7313</v>
      </c>
      <c r="GVA240" s="181">
        <v>7314</v>
      </c>
      <c r="GVB240" s="181">
        <v>7315</v>
      </c>
      <c r="GVC240" s="181">
        <v>7316</v>
      </c>
      <c r="GVD240" s="181">
        <v>7317</v>
      </c>
      <c r="GVE240" s="181">
        <v>7318</v>
      </c>
      <c r="GVF240" s="181">
        <v>7319</v>
      </c>
      <c r="GVG240" s="181">
        <v>7320</v>
      </c>
      <c r="GVH240" s="181">
        <v>7321</v>
      </c>
      <c r="GVI240" s="181">
        <v>7322</v>
      </c>
      <c r="GVJ240" s="181">
        <v>7323</v>
      </c>
      <c r="GVK240" s="181">
        <v>7324</v>
      </c>
      <c r="GVL240" s="181">
        <v>7325</v>
      </c>
      <c r="GVM240" s="181">
        <v>7326</v>
      </c>
      <c r="GVN240" s="181">
        <v>7327</v>
      </c>
      <c r="GVO240" s="181">
        <v>7328</v>
      </c>
      <c r="GVP240" s="181">
        <v>7329</v>
      </c>
      <c r="GVQ240" s="181">
        <v>7330</v>
      </c>
      <c r="GVR240" s="181">
        <v>7331</v>
      </c>
      <c r="GVS240" s="181">
        <v>7332</v>
      </c>
      <c r="GVT240" s="181">
        <v>7333</v>
      </c>
      <c r="GVU240" s="181">
        <v>7334</v>
      </c>
      <c r="GVV240" s="181">
        <v>7335</v>
      </c>
      <c r="GVW240" s="181">
        <v>7336</v>
      </c>
      <c r="GVX240" s="181">
        <v>7337</v>
      </c>
      <c r="GVY240" s="181">
        <v>7338</v>
      </c>
      <c r="GVZ240" s="181">
        <v>7339</v>
      </c>
      <c r="GWA240" s="181">
        <v>7340</v>
      </c>
      <c r="GWB240" s="181">
        <v>7341</v>
      </c>
      <c r="GWC240" s="181">
        <v>7342</v>
      </c>
      <c r="GWD240" s="181">
        <v>7343</v>
      </c>
      <c r="GWE240" s="181">
        <v>7344</v>
      </c>
      <c r="GWF240" s="181">
        <v>7345</v>
      </c>
      <c r="GWG240" s="181">
        <v>7346</v>
      </c>
      <c r="GWH240" s="181">
        <v>7347</v>
      </c>
      <c r="GWI240" s="181">
        <v>7348</v>
      </c>
      <c r="GWJ240" s="181">
        <v>7349</v>
      </c>
      <c r="GWK240" s="181">
        <v>7350</v>
      </c>
      <c r="GWL240" s="181">
        <v>7351</v>
      </c>
      <c r="GWM240" s="181">
        <v>7352</v>
      </c>
      <c r="GWN240" s="181">
        <v>7353</v>
      </c>
      <c r="GWO240" s="181">
        <v>7354</v>
      </c>
      <c r="GWP240" s="181">
        <v>7355</v>
      </c>
      <c r="GWQ240" s="181">
        <v>7356</v>
      </c>
      <c r="GWR240" s="181">
        <v>7357</v>
      </c>
      <c r="GWS240" s="181">
        <v>7358</v>
      </c>
      <c r="GWT240" s="181">
        <v>7359</v>
      </c>
      <c r="GWU240" s="181">
        <v>7360</v>
      </c>
      <c r="GWV240" s="181">
        <v>7361</v>
      </c>
      <c r="GWW240" s="181">
        <v>7362</v>
      </c>
      <c r="GWX240" s="181">
        <v>7363</v>
      </c>
      <c r="GWY240" s="181">
        <v>7364</v>
      </c>
      <c r="GWZ240" s="181">
        <v>7365</v>
      </c>
      <c r="GXA240" s="181">
        <v>7366</v>
      </c>
      <c r="GXB240" s="181">
        <v>7367</v>
      </c>
      <c r="GXC240" s="181">
        <v>7368</v>
      </c>
      <c r="GXD240" s="181">
        <v>7369</v>
      </c>
      <c r="GXE240" s="181">
        <v>7370</v>
      </c>
      <c r="GXF240" s="181">
        <v>7371</v>
      </c>
      <c r="GXG240" s="181">
        <v>7372</v>
      </c>
      <c r="GXH240" s="181">
        <v>7373</v>
      </c>
      <c r="GXI240" s="181">
        <v>7374</v>
      </c>
      <c r="GXJ240" s="181">
        <v>7375</v>
      </c>
      <c r="GXK240" s="181">
        <v>7376</v>
      </c>
      <c r="GXL240" s="181">
        <v>7377</v>
      </c>
      <c r="GXM240" s="181">
        <v>7378</v>
      </c>
      <c r="GXN240" s="181">
        <v>7379</v>
      </c>
      <c r="GXO240" s="181">
        <v>7380</v>
      </c>
      <c r="GXP240" s="181">
        <v>7381</v>
      </c>
      <c r="GXQ240" s="181">
        <v>7382</v>
      </c>
      <c r="GXR240" s="181">
        <v>7383</v>
      </c>
      <c r="GXS240" s="181">
        <v>7384</v>
      </c>
      <c r="GXT240" s="181">
        <v>7385</v>
      </c>
      <c r="GXU240" s="181">
        <v>7386</v>
      </c>
      <c r="GXV240" s="181">
        <v>7387</v>
      </c>
      <c r="GXW240" s="181">
        <v>7388</v>
      </c>
      <c r="GXX240" s="181">
        <v>7389</v>
      </c>
      <c r="GXY240" s="181">
        <v>7390</v>
      </c>
      <c r="GXZ240" s="181">
        <v>7391</v>
      </c>
      <c r="GYA240" s="181">
        <v>7392</v>
      </c>
      <c r="GYB240" s="181">
        <v>7393</v>
      </c>
      <c r="GYC240" s="181">
        <v>7394</v>
      </c>
      <c r="GYD240" s="181">
        <v>7395</v>
      </c>
      <c r="GYE240" s="181">
        <v>7396</v>
      </c>
      <c r="GYF240" s="181">
        <v>7397</v>
      </c>
      <c r="GYG240" s="181">
        <v>7398</v>
      </c>
      <c r="GYH240" s="181">
        <v>7399</v>
      </c>
      <c r="GYI240" s="181">
        <v>7400</v>
      </c>
      <c r="GYJ240" s="181">
        <v>7401</v>
      </c>
      <c r="GYK240" s="181">
        <v>7402</v>
      </c>
      <c r="GYL240" s="181">
        <v>7403</v>
      </c>
      <c r="GYM240" s="181">
        <v>7404</v>
      </c>
      <c r="GYN240" s="181">
        <v>7405</v>
      </c>
      <c r="GYO240" s="181">
        <v>7406</v>
      </c>
      <c r="GYP240" s="181">
        <v>7407</v>
      </c>
      <c r="GYQ240" s="181">
        <v>7408</v>
      </c>
      <c r="GYR240" s="181">
        <v>7409</v>
      </c>
      <c r="GYS240" s="181">
        <v>7410</v>
      </c>
      <c r="GYT240" s="181">
        <v>7411</v>
      </c>
      <c r="GYU240" s="181">
        <v>7412</v>
      </c>
      <c r="GYV240" s="181">
        <v>7413</v>
      </c>
      <c r="GYW240" s="181">
        <v>7414</v>
      </c>
      <c r="GYX240" s="181">
        <v>7415</v>
      </c>
      <c r="GYY240" s="181">
        <v>7416</v>
      </c>
      <c r="GYZ240" s="181">
        <v>7417</v>
      </c>
      <c r="GZA240" s="181">
        <v>7418</v>
      </c>
      <c r="GZB240" s="181">
        <v>7419</v>
      </c>
      <c r="GZC240" s="181">
        <v>7420</v>
      </c>
      <c r="GZD240" s="181">
        <v>7421</v>
      </c>
      <c r="GZE240" s="181">
        <v>7422</v>
      </c>
      <c r="GZF240" s="181">
        <v>7423</v>
      </c>
      <c r="GZG240" s="181">
        <v>7424</v>
      </c>
      <c r="GZH240" s="181">
        <v>7425</v>
      </c>
      <c r="GZI240" s="181">
        <v>7426</v>
      </c>
      <c r="GZJ240" s="181">
        <v>7427</v>
      </c>
      <c r="GZK240" s="181">
        <v>7428</v>
      </c>
      <c r="GZL240" s="181">
        <v>7429</v>
      </c>
      <c r="GZM240" s="181">
        <v>7430</v>
      </c>
      <c r="GZN240" s="181">
        <v>7431</v>
      </c>
      <c r="GZO240" s="181">
        <v>7432</v>
      </c>
      <c r="GZP240" s="181">
        <v>7433</v>
      </c>
      <c r="GZQ240" s="181">
        <v>7434</v>
      </c>
      <c r="GZR240" s="181">
        <v>7435</v>
      </c>
      <c r="GZS240" s="181">
        <v>7436</v>
      </c>
      <c r="GZT240" s="181">
        <v>7437</v>
      </c>
      <c r="GZU240" s="181">
        <v>7438</v>
      </c>
      <c r="GZV240" s="181">
        <v>7439</v>
      </c>
      <c r="GZW240" s="181">
        <v>7440</v>
      </c>
      <c r="GZX240" s="181">
        <v>7441</v>
      </c>
      <c r="GZY240" s="181">
        <v>7442</v>
      </c>
      <c r="GZZ240" s="181">
        <v>7443</v>
      </c>
      <c r="HAA240" s="181">
        <v>7444</v>
      </c>
      <c r="HAB240" s="181">
        <v>7445</v>
      </c>
      <c r="HAC240" s="181">
        <v>7446</v>
      </c>
      <c r="HAD240" s="181">
        <v>7447</v>
      </c>
      <c r="HAE240" s="181">
        <v>7448</v>
      </c>
      <c r="HAF240" s="181">
        <v>7449</v>
      </c>
      <c r="HAG240" s="181">
        <v>7450</v>
      </c>
      <c r="HAH240" s="181">
        <v>7451</v>
      </c>
      <c r="HAI240" s="181">
        <v>7452</v>
      </c>
      <c r="HAJ240" s="181">
        <v>7453</v>
      </c>
      <c r="HAK240" s="181">
        <v>7454</v>
      </c>
      <c r="HAL240" s="181">
        <v>7455</v>
      </c>
      <c r="HAM240" s="181">
        <v>7456</v>
      </c>
      <c r="HAN240" s="181">
        <v>7457</v>
      </c>
      <c r="HAO240" s="181">
        <v>7458</v>
      </c>
      <c r="HAP240" s="181">
        <v>7459</v>
      </c>
      <c r="HAQ240" s="181">
        <v>7460</v>
      </c>
      <c r="HAR240" s="181">
        <v>7461</v>
      </c>
      <c r="HAS240" s="181">
        <v>7462</v>
      </c>
      <c r="HAT240" s="181">
        <v>7463</v>
      </c>
      <c r="HAU240" s="181">
        <v>7464</v>
      </c>
      <c r="HAV240" s="181">
        <v>7465</v>
      </c>
      <c r="HAW240" s="181">
        <v>7466</v>
      </c>
      <c r="HAX240" s="181">
        <v>7467</v>
      </c>
      <c r="HAY240" s="181">
        <v>7468</v>
      </c>
      <c r="HAZ240" s="181">
        <v>7469</v>
      </c>
      <c r="HBA240" s="181">
        <v>7470</v>
      </c>
      <c r="HBB240" s="181">
        <v>7471</v>
      </c>
      <c r="HBC240" s="181">
        <v>7472</v>
      </c>
      <c r="HBD240" s="181">
        <v>7473</v>
      </c>
      <c r="HBE240" s="181">
        <v>7474</v>
      </c>
      <c r="HBF240" s="181">
        <v>7475</v>
      </c>
      <c r="HBG240" s="181">
        <v>7476</v>
      </c>
      <c r="HBH240" s="181">
        <v>7477</v>
      </c>
      <c r="HBI240" s="181">
        <v>7478</v>
      </c>
      <c r="HBJ240" s="181">
        <v>7479</v>
      </c>
      <c r="HBK240" s="181">
        <v>7480</v>
      </c>
      <c r="HBL240" s="181">
        <v>7481</v>
      </c>
      <c r="HBM240" s="181">
        <v>7482</v>
      </c>
      <c r="HBN240" s="181">
        <v>7483</v>
      </c>
      <c r="HBO240" s="181">
        <v>7484</v>
      </c>
      <c r="HBP240" s="181">
        <v>7485</v>
      </c>
      <c r="HBQ240" s="181">
        <v>7486</v>
      </c>
      <c r="HBR240" s="181">
        <v>7487</v>
      </c>
      <c r="HBS240" s="181">
        <v>7488</v>
      </c>
      <c r="HBT240" s="181">
        <v>7489</v>
      </c>
      <c r="HBU240" s="181">
        <v>7490</v>
      </c>
      <c r="HBV240" s="181">
        <v>7491</v>
      </c>
      <c r="HBW240" s="181">
        <v>7492</v>
      </c>
      <c r="HBX240" s="181">
        <v>7493</v>
      </c>
      <c r="HBY240" s="181">
        <v>7494</v>
      </c>
      <c r="HBZ240" s="181">
        <v>7495</v>
      </c>
      <c r="HCA240" s="181">
        <v>7496</v>
      </c>
      <c r="HCB240" s="181">
        <v>7497</v>
      </c>
      <c r="HCC240" s="181">
        <v>7498</v>
      </c>
      <c r="HCD240" s="181">
        <v>7499</v>
      </c>
      <c r="HCE240" s="181">
        <v>7500</v>
      </c>
      <c r="HCF240" s="181">
        <v>7501</v>
      </c>
      <c r="HCG240" s="181">
        <v>7502</v>
      </c>
      <c r="HCH240" s="181">
        <v>7503</v>
      </c>
      <c r="HCI240" s="181">
        <v>7504</v>
      </c>
      <c r="HCJ240" s="181">
        <v>7505</v>
      </c>
      <c r="HCK240" s="181">
        <v>7506</v>
      </c>
      <c r="HCL240" s="181">
        <v>7507</v>
      </c>
      <c r="HCM240" s="181">
        <v>7508</v>
      </c>
      <c r="HCN240" s="181">
        <v>7509</v>
      </c>
      <c r="HCO240" s="181">
        <v>7510</v>
      </c>
      <c r="HCP240" s="181">
        <v>7511</v>
      </c>
      <c r="HCQ240" s="181">
        <v>7512</v>
      </c>
      <c r="HCR240" s="181">
        <v>7513</v>
      </c>
      <c r="HCS240" s="181">
        <v>7514</v>
      </c>
      <c r="HCT240" s="181">
        <v>7515</v>
      </c>
      <c r="HCU240" s="181">
        <v>7516</v>
      </c>
      <c r="HCV240" s="181">
        <v>7517</v>
      </c>
      <c r="HCW240" s="181">
        <v>7518</v>
      </c>
      <c r="HCX240" s="181">
        <v>7519</v>
      </c>
      <c r="HCY240" s="181">
        <v>7520</v>
      </c>
      <c r="HCZ240" s="181">
        <v>7521</v>
      </c>
      <c r="HDA240" s="181">
        <v>7522</v>
      </c>
      <c r="HDB240" s="181">
        <v>7523</v>
      </c>
      <c r="HDC240" s="181">
        <v>7524</v>
      </c>
      <c r="HDD240" s="181">
        <v>7525</v>
      </c>
      <c r="HDE240" s="181">
        <v>7526</v>
      </c>
      <c r="HDF240" s="181">
        <v>7527</v>
      </c>
      <c r="HDG240" s="181">
        <v>7528</v>
      </c>
      <c r="HDH240" s="181">
        <v>7529</v>
      </c>
      <c r="HDI240" s="181">
        <v>7530</v>
      </c>
      <c r="HDJ240" s="181">
        <v>7531</v>
      </c>
      <c r="HDK240" s="181">
        <v>7532</v>
      </c>
      <c r="HDL240" s="181">
        <v>7533</v>
      </c>
      <c r="HDM240" s="181">
        <v>7534</v>
      </c>
      <c r="HDN240" s="181">
        <v>7535</v>
      </c>
      <c r="HDO240" s="181">
        <v>7536</v>
      </c>
      <c r="HDP240" s="181">
        <v>7537</v>
      </c>
      <c r="HDQ240" s="181">
        <v>7538</v>
      </c>
      <c r="HDR240" s="181">
        <v>7539</v>
      </c>
      <c r="HDS240" s="181">
        <v>7540</v>
      </c>
      <c r="HDT240" s="181">
        <v>7541</v>
      </c>
      <c r="HDU240" s="181">
        <v>7542</v>
      </c>
      <c r="HDV240" s="181">
        <v>7543</v>
      </c>
      <c r="HDW240" s="181">
        <v>7544</v>
      </c>
      <c r="HDX240" s="181">
        <v>7545</v>
      </c>
      <c r="HDY240" s="181">
        <v>7546</v>
      </c>
      <c r="HDZ240" s="181">
        <v>7547</v>
      </c>
      <c r="HEA240" s="181">
        <v>7548</v>
      </c>
      <c r="HEB240" s="181">
        <v>7549</v>
      </c>
      <c r="HEC240" s="181">
        <v>7550</v>
      </c>
      <c r="HED240" s="181">
        <v>7551</v>
      </c>
      <c r="HEE240" s="181">
        <v>7552</v>
      </c>
      <c r="HEF240" s="181">
        <v>7553</v>
      </c>
      <c r="HEG240" s="181">
        <v>7554</v>
      </c>
      <c r="HEH240" s="181">
        <v>7555</v>
      </c>
      <c r="HEI240" s="181">
        <v>7556</v>
      </c>
      <c r="HEJ240" s="181">
        <v>7557</v>
      </c>
      <c r="HEK240" s="181">
        <v>7558</v>
      </c>
      <c r="HEL240" s="181">
        <v>7559</v>
      </c>
      <c r="HEM240" s="181">
        <v>7560</v>
      </c>
      <c r="HEN240" s="181">
        <v>7561</v>
      </c>
      <c r="HEO240" s="181">
        <v>7562</v>
      </c>
      <c r="HEP240" s="181">
        <v>7563</v>
      </c>
      <c r="HEQ240" s="181">
        <v>7564</v>
      </c>
      <c r="HER240" s="181">
        <v>7565</v>
      </c>
      <c r="HES240" s="181">
        <v>7566</v>
      </c>
      <c r="HET240" s="181">
        <v>7567</v>
      </c>
      <c r="HEU240" s="181">
        <v>7568</v>
      </c>
      <c r="HEV240" s="181">
        <v>7569</v>
      </c>
      <c r="HEW240" s="181">
        <v>7570</v>
      </c>
      <c r="HEX240" s="181">
        <v>7571</v>
      </c>
      <c r="HEY240" s="181">
        <v>7572</v>
      </c>
      <c r="HEZ240" s="181">
        <v>7573</v>
      </c>
      <c r="HFA240" s="181">
        <v>7574</v>
      </c>
      <c r="HFB240" s="181">
        <v>7575</v>
      </c>
      <c r="HFC240" s="181">
        <v>7576</v>
      </c>
      <c r="HFD240" s="181">
        <v>7577</v>
      </c>
      <c r="HFE240" s="181">
        <v>7578</v>
      </c>
      <c r="HFF240" s="181">
        <v>7579</v>
      </c>
      <c r="HFG240" s="181">
        <v>7580</v>
      </c>
      <c r="HFH240" s="181">
        <v>7581</v>
      </c>
      <c r="HFI240" s="181">
        <v>7582</v>
      </c>
      <c r="HFJ240" s="181">
        <v>7583</v>
      </c>
      <c r="HFK240" s="181">
        <v>7584</v>
      </c>
      <c r="HFL240" s="181">
        <v>7585</v>
      </c>
      <c r="HFM240" s="181">
        <v>7586</v>
      </c>
      <c r="HFN240" s="181">
        <v>7587</v>
      </c>
      <c r="HFO240" s="181">
        <v>7588</v>
      </c>
      <c r="HFP240" s="181">
        <v>7589</v>
      </c>
      <c r="HFQ240" s="181">
        <v>7590</v>
      </c>
      <c r="HFR240" s="181">
        <v>7591</v>
      </c>
      <c r="HFS240" s="181">
        <v>7592</v>
      </c>
      <c r="HFT240" s="181">
        <v>7593</v>
      </c>
      <c r="HFU240" s="181">
        <v>7594</v>
      </c>
      <c r="HFV240" s="181">
        <v>7595</v>
      </c>
      <c r="HFW240" s="181">
        <v>7596</v>
      </c>
      <c r="HFX240" s="181">
        <v>7597</v>
      </c>
      <c r="HFY240" s="181">
        <v>7598</v>
      </c>
      <c r="HFZ240" s="181">
        <v>7599</v>
      </c>
      <c r="HGA240" s="181">
        <v>7600</v>
      </c>
      <c r="HGB240" s="181">
        <v>7601</v>
      </c>
      <c r="HGC240" s="181">
        <v>7602</v>
      </c>
      <c r="HGD240" s="181">
        <v>7603</v>
      </c>
      <c r="HGE240" s="181">
        <v>7604</v>
      </c>
      <c r="HGF240" s="181">
        <v>7605</v>
      </c>
      <c r="HGG240" s="181">
        <v>7606</v>
      </c>
      <c r="HGH240" s="181">
        <v>7607</v>
      </c>
      <c r="HGI240" s="181">
        <v>7608</v>
      </c>
      <c r="HGJ240" s="181">
        <v>7609</v>
      </c>
      <c r="HGK240" s="181">
        <v>7610</v>
      </c>
      <c r="HGL240" s="181">
        <v>7611</v>
      </c>
      <c r="HGM240" s="181">
        <v>7612</v>
      </c>
      <c r="HGN240" s="181">
        <v>7613</v>
      </c>
      <c r="HGO240" s="181">
        <v>7614</v>
      </c>
      <c r="HGP240" s="181">
        <v>7615</v>
      </c>
      <c r="HGQ240" s="181">
        <v>7616</v>
      </c>
      <c r="HGR240" s="181">
        <v>7617</v>
      </c>
      <c r="HGS240" s="181">
        <v>7618</v>
      </c>
      <c r="HGT240" s="181">
        <v>7619</v>
      </c>
      <c r="HGU240" s="181">
        <v>7620</v>
      </c>
      <c r="HGV240" s="181">
        <v>7621</v>
      </c>
      <c r="HGW240" s="181">
        <v>7622</v>
      </c>
      <c r="HGX240" s="181">
        <v>7623</v>
      </c>
      <c r="HGY240" s="181">
        <v>7624</v>
      </c>
      <c r="HGZ240" s="181">
        <v>7625</v>
      </c>
      <c r="HHA240" s="181">
        <v>7626</v>
      </c>
      <c r="HHB240" s="181">
        <v>7627</v>
      </c>
      <c r="HHC240" s="181">
        <v>7628</v>
      </c>
      <c r="HHD240" s="181">
        <v>7629</v>
      </c>
      <c r="HHE240" s="181">
        <v>7630</v>
      </c>
      <c r="HHF240" s="181">
        <v>7631</v>
      </c>
      <c r="HHG240" s="181">
        <v>7632</v>
      </c>
      <c r="HHH240" s="181">
        <v>7633</v>
      </c>
      <c r="HHI240" s="181">
        <v>7634</v>
      </c>
      <c r="HHJ240" s="181">
        <v>7635</v>
      </c>
      <c r="HHK240" s="181">
        <v>7636</v>
      </c>
      <c r="HHL240" s="181">
        <v>7637</v>
      </c>
      <c r="HHM240" s="181">
        <v>7638</v>
      </c>
      <c r="HHN240" s="181">
        <v>7639</v>
      </c>
      <c r="HHO240" s="181">
        <v>7640</v>
      </c>
      <c r="HHP240" s="181">
        <v>7641</v>
      </c>
      <c r="HHQ240" s="181">
        <v>7642</v>
      </c>
      <c r="HHR240" s="181">
        <v>7643</v>
      </c>
      <c r="HHS240" s="181">
        <v>7644</v>
      </c>
      <c r="HHT240" s="181">
        <v>7645</v>
      </c>
      <c r="HHU240" s="181">
        <v>7646</v>
      </c>
      <c r="HHV240" s="181">
        <v>7647</v>
      </c>
      <c r="HHW240" s="181">
        <v>7648</v>
      </c>
      <c r="HHX240" s="181">
        <v>7649</v>
      </c>
      <c r="HHY240" s="181">
        <v>7650</v>
      </c>
      <c r="HHZ240" s="181">
        <v>7651</v>
      </c>
      <c r="HIA240" s="181">
        <v>7652</v>
      </c>
      <c r="HIB240" s="181">
        <v>7653</v>
      </c>
      <c r="HIC240" s="181">
        <v>7654</v>
      </c>
      <c r="HID240" s="181">
        <v>7655</v>
      </c>
      <c r="HIE240" s="181">
        <v>7656</v>
      </c>
      <c r="HIF240" s="181">
        <v>7657</v>
      </c>
      <c r="HIG240" s="181">
        <v>7658</v>
      </c>
      <c r="HIH240" s="181">
        <v>7659</v>
      </c>
      <c r="HII240" s="181">
        <v>7660</v>
      </c>
      <c r="HIJ240" s="181">
        <v>7661</v>
      </c>
      <c r="HIK240" s="181">
        <v>7662</v>
      </c>
      <c r="HIL240" s="181">
        <v>7663</v>
      </c>
      <c r="HIM240" s="181">
        <v>7664</v>
      </c>
      <c r="HIN240" s="181">
        <v>7665</v>
      </c>
      <c r="HIO240" s="181">
        <v>7666</v>
      </c>
      <c r="HIP240" s="181">
        <v>7667</v>
      </c>
      <c r="HIQ240" s="181">
        <v>7668</v>
      </c>
      <c r="HIR240" s="181">
        <v>7669</v>
      </c>
      <c r="HIS240" s="181">
        <v>7670</v>
      </c>
      <c r="HIT240" s="181">
        <v>7671</v>
      </c>
      <c r="HIU240" s="181">
        <v>7672</v>
      </c>
      <c r="HIV240" s="181">
        <v>7673</v>
      </c>
      <c r="HIW240" s="181">
        <v>7674</v>
      </c>
      <c r="HIX240" s="181">
        <v>7675</v>
      </c>
      <c r="HIY240" s="181">
        <v>7676</v>
      </c>
      <c r="HIZ240" s="181">
        <v>7677</v>
      </c>
      <c r="HJA240" s="181">
        <v>7678</v>
      </c>
      <c r="HJB240" s="181">
        <v>7679</v>
      </c>
      <c r="HJC240" s="181">
        <v>7680</v>
      </c>
      <c r="HJD240" s="181">
        <v>7681</v>
      </c>
      <c r="HJE240" s="181">
        <v>7682</v>
      </c>
      <c r="HJF240" s="181">
        <v>7683</v>
      </c>
      <c r="HJG240" s="181">
        <v>7684</v>
      </c>
      <c r="HJH240" s="181">
        <v>7685</v>
      </c>
      <c r="HJI240" s="181">
        <v>7686</v>
      </c>
      <c r="HJJ240" s="181">
        <v>7687</v>
      </c>
      <c r="HJK240" s="181">
        <v>7688</v>
      </c>
      <c r="HJL240" s="181">
        <v>7689</v>
      </c>
      <c r="HJM240" s="181">
        <v>7690</v>
      </c>
      <c r="HJN240" s="181">
        <v>7691</v>
      </c>
      <c r="HJO240" s="181">
        <v>7692</v>
      </c>
      <c r="HJP240" s="181">
        <v>7693</v>
      </c>
      <c r="HJQ240" s="181">
        <v>7694</v>
      </c>
      <c r="HJR240" s="181">
        <v>7695</v>
      </c>
      <c r="HJS240" s="181">
        <v>7696</v>
      </c>
      <c r="HJT240" s="181">
        <v>7697</v>
      </c>
      <c r="HJU240" s="181">
        <v>7698</v>
      </c>
      <c r="HJV240" s="181">
        <v>7699</v>
      </c>
      <c r="HJW240" s="181">
        <v>7700</v>
      </c>
      <c r="HJX240" s="181">
        <v>7701</v>
      </c>
      <c r="HJY240" s="181">
        <v>7702</v>
      </c>
      <c r="HJZ240" s="181">
        <v>7703</v>
      </c>
      <c r="HKA240" s="181">
        <v>7704</v>
      </c>
      <c r="HKB240" s="181">
        <v>7705</v>
      </c>
      <c r="HKC240" s="181">
        <v>7706</v>
      </c>
      <c r="HKD240" s="181">
        <v>7707</v>
      </c>
      <c r="HKE240" s="181">
        <v>7708</v>
      </c>
      <c r="HKF240" s="181">
        <v>7709</v>
      </c>
      <c r="HKG240" s="181">
        <v>7710</v>
      </c>
      <c r="HKH240" s="181">
        <v>7711</v>
      </c>
      <c r="HKI240" s="181">
        <v>7712</v>
      </c>
      <c r="HKJ240" s="181">
        <v>7713</v>
      </c>
      <c r="HKK240" s="181">
        <v>7714</v>
      </c>
      <c r="HKL240" s="181">
        <v>7715</v>
      </c>
      <c r="HKM240" s="181">
        <v>7716</v>
      </c>
      <c r="HKN240" s="181">
        <v>7717</v>
      </c>
      <c r="HKO240" s="181">
        <v>7718</v>
      </c>
      <c r="HKP240" s="181">
        <v>7719</v>
      </c>
      <c r="HKQ240" s="181">
        <v>7720</v>
      </c>
      <c r="HKR240" s="181">
        <v>7721</v>
      </c>
      <c r="HKS240" s="181">
        <v>7722</v>
      </c>
      <c r="HKT240" s="181">
        <v>7723</v>
      </c>
      <c r="HKU240" s="181">
        <v>7724</v>
      </c>
      <c r="HKV240" s="181">
        <v>7725</v>
      </c>
      <c r="HKW240" s="181">
        <v>7726</v>
      </c>
      <c r="HKX240" s="181">
        <v>7727</v>
      </c>
      <c r="HKY240" s="181">
        <v>7728</v>
      </c>
      <c r="HKZ240" s="181">
        <v>7729</v>
      </c>
      <c r="HLA240" s="181">
        <v>7730</v>
      </c>
      <c r="HLB240" s="181">
        <v>7731</v>
      </c>
      <c r="HLC240" s="181">
        <v>7732</v>
      </c>
      <c r="HLD240" s="181">
        <v>7733</v>
      </c>
      <c r="HLE240" s="181">
        <v>7734</v>
      </c>
      <c r="HLF240" s="181">
        <v>7735</v>
      </c>
      <c r="HLG240" s="181">
        <v>7736</v>
      </c>
      <c r="HLH240" s="181">
        <v>7737</v>
      </c>
      <c r="HLI240" s="181">
        <v>7738</v>
      </c>
      <c r="HLJ240" s="181">
        <v>7739</v>
      </c>
      <c r="HLK240" s="181">
        <v>7740</v>
      </c>
      <c r="HLL240" s="181">
        <v>7741</v>
      </c>
      <c r="HLM240" s="181">
        <v>7742</v>
      </c>
      <c r="HLN240" s="181">
        <v>7743</v>
      </c>
      <c r="HLO240" s="181">
        <v>7744</v>
      </c>
      <c r="HLP240" s="181">
        <v>7745</v>
      </c>
      <c r="HLQ240" s="181">
        <v>7746</v>
      </c>
      <c r="HLR240" s="181">
        <v>7747</v>
      </c>
      <c r="HLS240" s="181">
        <v>7748</v>
      </c>
      <c r="HLT240" s="181">
        <v>7749</v>
      </c>
      <c r="HLU240" s="181">
        <v>7750</v>
      </c>
      <c r="HLV240" s="181">
        <v>7751</v>
      </c>
      <c r="HLW240" s="181">
        <v>7752</v>
      </c>
      <c r="HLX240" s="181">
        <v>7753</v>
      </c>
      <c r="HLY240" s="181">
        <v>7754</v>
      </c>
      <c r="HLZ240" s="181">
        <v>7755</v>
      </c>
      <c r="HMA240" s="181">
        <v>7756</v>
      </c>
      <c r="HMB240" s="181">
        <v>7757</v>
      </c>
      <c r="HMC240" s="181">
        <v>7758</v>
      </c>
      <c r="HMD240" s="181">
        <v>7759</v>
      </c>
      <c r="HME240" s="181">
        <v>7760</v>
      </c>
      <c r="HMF240" s="181">
        <v>7761</v>
      </c>
      <c r="HMG240" s="181">
        <v>7762</v>
      </c>
      <c r="HMH240" s="181">
        <v>7763</v>
      </c>
      <c r="HMI240" s="181">
        <v>7764</v>
      </c>
      <c r="HMJ240" s="181">
        <v>7765</v>
      </c>
      <c r="HMK240" s="181">
        <v>7766</v>
      </c>
      <c r="HML240" s="181">
        <v>7767</v>
      </c>
      <c r="HMM240" s="181">
        <v>7768</v>
      </c>
      <c r="HMN240" s="181">
        <v>7769</v>
      </c>
      <c r="HMO240" s="181">
        <v>7770</v>
      </c>
      <c r="HMP240" s="181">
        <v>7771</v>
      </c>
      <c r="HMQ240" s="181">
        <v>7772</v>
      </c>
      <c r="HMR240" s="181">
        <v>7773</v>
      </c>
      <c r="HMS240" s="181">
        <v>7774</v>
      </c>
      <c r="HMT240" s="181">
        <v>7775</v>
      </c>
      <c r="HMU240" s="181">
        <v>7776</v>
      </c>
      <c r="HMV240" s="181">
        <v>7777</v>
      </c>
      <c r="HMW240" s="181">
        <v>7778</v>
      </c>
      <c r="HMX240" s="181">
        <v>7779</v>
      </c>
      <c r="HMY240" s="181">
        <v>7780</v>
      </c>
      <c r="HMZ240" s="181">
        <v>7781</v>
      </c>
      <c r="HNA240" s="181">
        <v>7782</v>
      </c>
      <c r="HNB240" s="181">
        <v>7783</v>
      </c>
      <c r="HNC240" s="181">
        <v>7784</v>
      </c>
      <c r="HND240" s="181">
        <v>7785</v>
      </c>
      <c r="HNE240" s="181">
        <v>7786</v>
      </c>
      <c r="HNF240" s="181">
        <v>7787</v>
      </c>
      <c r="HNG240" s="181">
        <v>7788</v>
      </c>
      <c r="HNH240" s="181">
        <v>7789</v>
      </c>
      <c r="HNI240" s="181">
        <v>7790</v>
      </c>
      <c r="HNJ240" s="181">
        <v>7791</v>
      </c>
      <c r="HNK240" s="181">
        <v>7792</v>
      </c>
      <c r="HNL240" s="181">
        <v>7793</v>
      </c>
      <c r="HNM240" s="181">
        <v>7794</v>
      </c>
      <c r="HNN240" s="181">
        <v>7795</v>
      </c>
      <c r="HNO240" s="181">
        <v>7796</v>
      </c>
      <c r="HNP240" s="181">
        <v>7797</v>
      </c>
      <c r="HNQ240" s="181">
        <v>7798</v>
      </c>
      <c r="HNR240" s="181">
        <v>7799</v>
      </c>
      <c r="HNS240" s="181">
        <v>7800</v>
      </c>
      <c r="HNT240" s="181">
        <v>7801</v>
      </c>
      <c r="HNU240" s="181">
        <v>7802</v>
      </c>
      <c r="HNV240" s="181">
        <v>7803</v>
      </c>
      <c r="HNW240" s="181">
        <v>7804</v>
      </c>
      <c r="HNX240" s="181">
        <v>7805</v>
      </c>
      <c r="HNY240" s="181">
        <v>7806</v>
      </c>
      <c r="HNZ240" s="181">
        <v>7807</v>
      </c>
      <c r="HOA240" s="181">
        <v>7808</v>
      </c>
      <c r="HOB240" s="181">
        <v>7809</v>
      </c>
      <c r="HOC240" s="181">
        <v>7810</v>
      </c>
      <c r="HOD240" s="181">
        <v>7811</v>
      </c>
      <c r="HOE240" s="181">
        <v>7812</v>
      </c>
      <c r="HOF240" s="181">
        <v>7813</v>
      </c>
      <c r="HOG240" s="181">
        <v>7814</v>
      </c>
      <c r="HOH240" s="181">
        <v>7815</v>
      </c>
      <c r="HOI240" s="181">
        <v>7816</v>
      </c>
      <c r="HOJ240" s="181">
        <v>7817</v>
      </c>
      <c r="HOK240" s="181">
        <v>7818</v>
      </c>
      <c r="HOL240" s="181">
        <v>7819</v>
      </c>
      <c r="HOM240" s="181">
        <v>7820</v>
      </c>
      <c r="HON240" s="181">
        <v>7821</v>
      </c>
      <c r="HOO240" s="181">
        <v>7822</v>
      </c>
      <c r="HOP240" s="181">
        <v>7823</v>
      </c>
      <c r="HOQ240" s="181">
        <v>7824</v>
      </c>
      <c r="HOR240" s="181">
        <v>7825</v>
      </c>
      <c r="HOS240" s="181">
        <v>7826</v>
      </c>
      <c r="HOT240" s="181">
        <v>7827</v>
      </c>
      <c r="HOU240" s="181">
        <v>7828</v>
      </c>
      <c r="HOV240" s="181">
        <v>7829</v>
      </c>
      <c r="HOW240" s="181">
        <v>7830</v>
      </c>
      <c r="HOX240" s="181">
        <v>7831</v>
      </c>
      <c r="HOY240" s="181">
        <v>7832</v>
      </c>
      <c r="HOZ240" s="181">
        <v>7833</v>
      </c>
      <c r="HPA240" s="181">
        <v>7834</v>
      </c>
      <c r="HPB240" s="181">
        <v>7835</v>
      </c>
      <c r="HPC240" s="181">
        <v>7836</v>
      </c>
      <c r="HPD240" s="181">
        <v>7837</v>
      </c>
      <c r="HPE240" s="181">
        <v>7838</v>
      </c>
      <c r="HPF240" s="181">
        <v>7839</v>
      </c>
      <c r="HPG240" s="181">
        <v>7840</v>
      </c>
      <c r="HPH240" s="181">
        <v>7841</v>
      </c>
      <c r="HPI240" s="181">
        <v>7842</v>
      </c>
      <c r="HPJ240" s="181">
        <v>7843</v>
      </c>
      <c r="HPK240" s="181">
        <v>7844</v>
      </c>
      <c r="HPL240" s="181">
        <v>7845</v>
      </c>
      <c r="HPM240" s="181">
        <v>7846</v>
      </c>
      <c r="HPN240" s="181">
        <v>7847</v>
      </c>
      <c r="HPO240" s="181">
        <v>7848</v>
      </c>
      <c r="HPP240" s="181">
        <v>7849</v>
      </c>
      <c r="HPQ240" s="181">
        <v>7850</v>
      </c>
      <c r="HPR240" s="181">
        <v>7851</v>
      </c>
      <c r="HPS240" s="181">
        <v>7852</v>
      </c>
      <c r="HPT240" s="181">
        <v>7853</v>
      </c>
      <c r="HPU240" s="181">
        <v>7854</v>
      </c>
      <c r="HPV240" s="181">
        <v>7855</v>
      </c>
      <c r="HPW240" s="181">
        <v>7856</v>
      </c>
      <c r="HPX240" s="181">
        <v>7857</v>
      </c>
      <c r="HPY240" s="181">
        <v>7858</v>
      </c>
      <c r="HPZ240" s="181">
        <v>7859</v>
      </c>
      <c r="HQA240" s="181">
        <v>7860</v>
      </c>
      <c r="HQB240" s="181">
        <v>7861</v>
      </c>
      <c r="HQC240" s="181">
        <v>7862</v>
      </c>
      <c r="HQD240" s="181">
        <v>7863</v>
      </c>
      <c r="HQE240" s="181">
        <v>7864</v>
      </c>
      <c r="HQF240" s="181">
        <v>7865</v>
      </c>
      <c r="HQG240" s="181">
        <v>7866</v>
      </c>
      <c r="HQH240" s="181">
        <v>7867</v>
      </c>
      <c r="HQI240" s="181">
        <v>7868</v>
      </c>
      <c r="HQJ240" s="181">
        <v>7869</v>
      </c>
      <c r="HQK240" s="181">
        <v>7870</v>
      </c>
      <c r="HQL240" s="181">
        <v>7871</v>
      </c>
      <c r="HQM240" s="181">
        <v>7872</v>
      </c>
      <c r="HQN240" s="181">
        <v>7873</v>
      </c>
      <c r="HQO240" s="181">
        <v>7874</v>
      </c>
      <c r="HQP240" s="181">
        <v>7875</v>
      </c>
      <c r="HQQ240" s="181">
        <v>7876</v>
      </c>
      <c r="HQR240" s="181">
        <v>7877</v>
      </c>
      <c r="HQS240" s="181">
        <v>7878</v>
      </c>
      <c r="HQT240" s="181">
        <v>7879</v>
      </c>
      <c r="HQU240" s="181">
        <v>7880</v>
      </c>
      <c r="HQV240" s="181">
        <v>7881</v>
      </c>
      <c r="HQW240" s="181">
        <v>7882</v>
      </c>
      <c r="HQX240" s="181">
        <v>7883</v>
      </c>
      <c r="HQY240" s="181">
        <v>7884</v>
      </c>
      <c r="HQZ240" s="181">
        <v>7885</v>
      </c>
      <c r="HRA240" s="181">
        <v>7886</v>
      </c>
      <c r="HRB240" s="181">
        <v>7887</v>
      </c>
      <c r="HRC240" s="181">
        <v>7888</v>
      </c>
      <c r="HRD240" s="181">
        <v>7889</v>
      </c>
      <c r="HRE240" s="181">
        <v>7890</v>
      </c>
      <c r="HRF240" s="181">
        <v>7891</v>
      </c>
      <c r="HRG240" s="181">
        <v>7892</v>
      </c>
      <c r="HRH240" s="181">
        <v>7893</v>
      </c>
      <c r="HRI240" s="181">
        <v>7894</v>
      </c>
      <c r="HRJ240" s="181">
        <v>7895</v>
      </c>
      <c r="HRK240" s="181">
        <v>7896</v>
      </c>
      <c r="HRL240" s="181">
        <v>7897</v>
      </c>
      <c r="HRM240" s="181">
        <v>7898</v>
      </c>
      <c r="HRN240" s="181">
        <v>7899</v>
      </c>
      <c r="HRO240" s="181">
        <v>7900</v>
      </c>
      <c r="HRP240" s="181">
        <v>7901</v>
      </c>
      <c r="HRQ240" s="181">
        <v>7902</v>
      </c>
      <c r="HRR240" s="181">
        <v>7903</v>
      </c>
      <c r="HRS240" s="181">
        <v>7904</v>
      </c>
      <c r="HRT240" s="181">
        <v>7905</v>
      </c>
      <c r="HRU240" s="181">
        <v>7906</v>
      </c>
      <c r="HRV240" s="181">
        <v>7907</v>
      </c>
      <c r="HRW240" s="181">
        <v>7908</v>
      </c>
      <c r="HRX240" s="181">
        <v>7909</v>
      </c>
      <c r="HRY240" s="181">
        <v>7910</v>
      </c>
      <c r="HRZ240" s="181">
        <v>7911</v>
      </c>
      <c r="HSA240" s="181">
        <v>7912</v>
      </c>
      <c r="HSB240" s="181">
        <v>7913</v>
      </c>
      <c r="HSC240" s="181">
        <v>7914</v>
      </c>
      <c r="HSD240" s="181">
        <v>7915</v>
      </c>
      <c r="HSE240" s="181">
        <v>7916</v>
      </c>
      <c r="HSF240" s="181">
        <v>7917</v>
      </c>
      <c r="HSG240" s="181">
        <v>7918</v>
      </c>
      <c r="HSH240" s="181">
        <v>7919</v>
      </c>
      <c r="HSI240" s="181">
        <v>7920</v>
      </c>
      <c r="HSJ240" s="181">
        <v>7921</v>
      </c>
      <c r="HSK240" s="181">
        <v>7922</v>
      </c>
      <c r="HSL240" s="181">
        <v>7923</v>
      </c>
      <c r="HSM240" s="181">
        <v>7924</v>
      </c>
      <c r="HSN240" s="181">
        <v>7925</v>
      </c>
      <c r="HSO240" s="181">
        <v>7926</v>
      </c>
      <c r="HSP240" s="181">
        <v>7927</v>
      </c>
      <c r="HSQ240" s="181">
        <v>7928</v>
      </c>
      <c r="HSR240" s="181">
        <v>7929</v>
      </c>
      <c r="HSS240" s="181">
        <v>7930</v>
      </c>
      <c r="HST240" s="181">
        <v>7931</v>
      </c>
      <c r="HSU240" s="181">
        <v>7932</v>
      </c>
      <c r="HSV240" s="181">
        <v>7933</v>
      </c>
      <c r="HSW240" s="181">
        <v>7934</v>
      </c>
      <c r="HSX240" s="181">
        <v>7935</v>
      </c>
      <c r="HSY240" s="181">
        <v>7936</v>
      </c>
      <c r="HSZ240" s="181">
        <v>7937</v>
      </c>
      <c r="HTA240" s="181">
        <v>7938</v>
      </c>
      <c r="HTB240" s="181">
        <v>7939</v>
      </c>
      <c r="HTC240" s="181">
        <v>7940</v>
      </c>
      <c r="HTD240" s="181">
        <v>7941</v>
      </c>
      <c r="HTE240" s="181">
        <v>7942</v>
      </c>
      <c r="HTF240" s="181">
        <v>7943</v>
      </c>
      <c r="HTG240" s="181">
        <v>7944</v>
      </c>
      <c r="HTH240" s="181">
        <v>7945</v>
      </c>
      <c r="HTI240" s="181">
        <v>7946</v>
      </c>
      <c r="HTJ240" s="181">
        <v>7947</v>
      </c>
      <c r="HTK240" s="181">
        <v>7948</v>
      </c>
      <c r="HTL240" s="181">
        <v>7949</v>
      </c>
      <c r="HTM240" s="181">
        <v>7950</v>
      </c>
      <c r="HTN240" s="181">
        <v>7951</v>
      </c>
      <c r="HTO240" s="181">
        <v>7952</v>
      </c>
      <c r="HTP240" s="181">
        <v>7953</v>
      </c>
      <c r="HTQ240" s="181">
        <v>7954</v>
      </c>
      <c r="HTR240" s="181">
        <v>7955</v>
      </c>
      <c r="HTS240" s="181">
        <v>7956</v>
      </c>
      <c r="HTT240" s="181">
        <v>7957</v>
      </c>
      <c r="HTU240" s="181">
        <v>7958</v>
      </c>
      <c r="HTV240" s="181">
        <v>7959</v>
      </c>
      <c r="HTW240" s="181">
        <v>7960</v>
      </c>
      <c r="HTX240" s="181">
        <v>7961</v>
      </c>
      <c r="HTY240" s="181">
        <v>7962</v>
      </c>
      <c r="HTZ240" s="181">
        <v>7963</v>
      </c>
      <c r="HUA240" s="181">
        <v>7964</v>
      </c>
      <c r="HUB240" s="181">
        <v>7965</v>
      </c>
      <c r="HUC240" s="181">
        <v>7966</v>
      </c>
      <c r="HUD240" s="181">
        <v>7967</v>
      </c>
      <c r="HUE240" s="181">
        <v>7968</v>
      </c>
      <c r="HUF240" s="181">
        <v>7969</v>
      </c>
      <c r="HUG240" s="181">
        <v>7970</v>
      </c>
      <c r="HUH240" s="181">
        <v>7971</v>
      </c>
      <c r="HUI240" s="181">
        <v>7972</v>
      </c>
      <c r="HUJ240" s="181">
        <v>7973</v>
      </c>
      <c r="HUK240" s="181">
        <v>7974</v>
      </c>
      <c r="HUL240" s="181">
        <v>7975</v>
      </c>
      <c r="HUM240" s="181">
        <v>7976</v>
      </c>
      <c r="HUN240" s="181">
        <v>7977</v>
      </c>
      <c r="HUO240" s="181">
        <v>7978</v>
      </c>
      <c r="HUP240" s="181">
        <v>7979</v>
      </c>
      <c r="HUQ240" s="181">
        <v>7980</v>
      </c>
      <c r="HUR240" s="181">
        <v>7981</v>
      </c>
      <c r="HUS240" s="181">
        <v>7982</v>
      </c>
      <c r="HUT240" s="181">
        <v>7983</v>
      </c>
      <c r="HUU240" s="181">
        <v>7984</v>
      </c>
      <c r="HUV240" s="181">
        <v>7985</v>
      </c>
      <c r="HUW240" s="181">
        <v>7986</v>
      </c>
      <c r="HUX240" s="181">
        <v>7987</v>
      </c>
      <c r="HUY240" s="181">
        <v>7988</v>
      </c>
      <c r="HUZ240" s="181">
        <v>7989</v>
      </c>
      <c r="HVA240" s="181">
        <v>7990</v>
      </c>
      <c r="HVB240" s="181">
        <v>7991</v>
      </c>
      <c r="HVC240" s="181">
        <v>7992</v>
      </c>
      <c r="HVD240" s="181">
        <v>7993</v>
      </c>
      <c r="HVE240" s="181">
        <v>7994</v>
      </c>
      <c r="HVF240" s="181">
        <v>7995</v>
      </c>
      <c r="HVG240" s="181">
        <v>7996</v>
      </c>
      <c r="HVH240" s="181">
        <v>7997</v>
      </c>
      <c r="HVI240" s="181">
        <v>7998</v>
      </c>
      <c r="HVJ240" s="181">
        <v>7999</v>
      </c>
      <c r="HVK240" s="181">
        <v>8000</v>
      </c>
      <c r="HVL240" s="181">
        <v>8001</v>
      </c>
      <c r="HVM240" s="181">
        <v>8002</v>
      </c>
      <c r="HVN240" s="181">
        <v>8003</v>
      </c>
      <c r="HVO240" s="181">
        <v>8004</v>
      </c>
      <c r="HVP240" s="181">
        <v>8005</v>
      </c>
      <c r="HVQ240" s="181">
        <v>8006</v>
      </c>
      <c r="HVR240" s="181">
        <v>8007</v>
      </c>
      <c r="HVS240" s="181">
        <v>8008</v>
      </c>
      <c r="HVT240" s="181">
        <v>8009</v>
      </c>
      <c r="HVU240" s="181">
        <v>8010</v>
      </c>
      <c r="HVV240" s="181">
        <v>8011</v>
      </c>
      <c r="HVW240" s="181">
        <v>8012</v>
      </c>
      <c r="HVX240" s="181">
        <v>8013</v>
      </c>
      <c r="HVY240" s="181">
        <v>8014</v>
      </c>
      <c r="HVZ240" s="181">
        <v>8015</v>
      </c>
      <c r="HWA240" s="181">
        <v>8016</v>
      </c>
      <c r="HWB240" s="181">
        <v>8017</v>
      </c>
      <c r="HWC240" s="181">
        <v>8018</v>
      </c>
      <c r="HWD240" s="181">
        <v>8019</v>
      </c>
      <c r="HWE240" s="181">
        <v>8020</v>
      </c>
      <c r="HWF240" s="181">
        <v>8021</v>
      </c>
      <c r="HWG240" s="181">
        <v>8022</v>
      </c>
      <c r="HWH240" s="181">
        <v>8023</v>
      </c>
      <c r="HWI240" s="181">
        <v>8024</v>
      </c>
      <c r="HWJ240" s="181">
        <v>8025</v>
      </c>
      <c r="HWK240" s="181">
        <v>8026</v>
      </c>
      <c r="HWL240" s="181">
        <v>8027</v>
      </c>
      <c r="HWM240" s="181">
        <v>8028</v>
      </c>
      <c r="HWN240" s="181">
        <v>8029</v>
      </c>
      <c r="HWO240" s="181">
        <v>8030</v>
      </c>
      <c r="HWP240" s="181">
        <v>8031</v>
      </c>
      <c r="HWQ240" s="181">
        <v>8032</v>
      </c>
      <c r="HWR240" s="181">
        <v>8033</v>
      </c>
      <c r="HWS240" s="181">
        <v>8034</v>
      </c>
      <c r="HWT240" s="181">
        <v>8035</v>
      </c>
      <c r="HWU240" s="181">
        <v>8036</v>
      </c>
      <c r="HWV240" s="181">
        <v>8037</v>
      </c>
      <c r="HWW240" s="181">
        <v>8038</v>
      </c>
      <c r="HWX240" s="181">
        <v>8039</v>
      </c>
      <c r="HWY240" s="181">
        <v>8040</v>
      </c>
      <c r="HWZ240" s="181">
        <v>8041</v>
      </c>
      <c r="HXA240" s="181">
        <v>8042</v>
      </c>
      <c r="HXB240" s="181">
        <v>8043</v>
      </c>
      <c r="HXC240" s="181">
        <v>8044</v>
      </c>
      <c r="HXD240" s="181">
        <v>8045</v>
      </c>
      <c r="HXE240" s="181">
        <v>8046</v>
      </c>
      <c r="HXF240" s="181">
        <v>8047</v>
      </c>
      <c r="HXG240" s="181">
        <v>8048</v>
      </c>
      <c r="HXH240" s="181">
        <v>8049</v>
      </c>
      <c r="HXI240" s="181">
        <v>8050</v>
      </c>
      <c r="HXJ240" s="181">
        <v>8051</v>
      </c>
      <c r="HXK240" s="181">
        <v>8052</v>
      </c>
      <c r="HXL240" s="181">
        <v>8053</v>
      </c>
      <c r="HXM240" s="181">
        <v>8054</v>
      </c>
      <c r="HXN240" s="181">
        <v>8055</v>
      </c>
      <c r="HXO240" s="181">
        <v>8056</v>
      </c>
      <c r="HXP240" s="181">
        <v>8057</v>
      </c>
      <c r="HXQ240" s="181">
        <v>8058</v>
      </c>
      <c r="HXR240" s="181">
        <v>8059</v>
      </c>
      <c r="HXS240" s="181">
        <v>8060</v>
      </c>
      <c r="HXT240" s="181">
        <v>8061</v>
      </c>
      <c r="HXU240" s="181">
        <v>8062</v>
      </c>
      <c r="HXV240" s="181">
        <v>8063</v>
      </c>
      <c r="HXW240" s="181">
        <v>8064</v>
      </c>
      <c r="HXX240" s="181">
        <v>8065</v>
      </c>
      <c r="HXY240" s="181">
        <v>8066</v>
      </c>
      <c r="HXZ240" s="181">
        <v>8067</v>
      </c>
      <c r="HYA240" s="181">
        <v>8068</v>
      </c>
      <c r="HYB240" s="181">
        <v>8069</v>
      </c>
      <c r="HYC240" s="181">
        <v>8070</v>
      </c>
      <c r="HYD240" s="181">
        <v>8071</v>
      </c>
      <c r="HYE240" s="181">
        <v>8072</v>
      </c>
      <c r="HYF240" s="181">
        <v>8073</v>
      </c>
      <c r="HYG240" s="181">
        <v>8074</v>
      </c>
      <c r="HYH240" s="181">
        <v>8075</v>
      </c>
      <c r="HYI240" s="181">
        <v>8076</v>
      </c>
      <c r="HYJ240" s="181">
        <v>8077</v>
      </c>
      <c r="HYK240" s="181">
        <v>8078</v>
      </c>
      <c r="HYL240" s="181">
        <v>8079</v>
      </c>
      <c r="HYM240" s="181">
        <v>8080</v>
      </c>
      <c r="HYN240" s="181">
        <v>8081</v>
      </c>
      <c r="HYO240" s="181">
        <v>8082</v>
      </c>
      <c r="HYP240" s="181">
        <v>8083</v>
      </c>
      <c r="HYQ240" s="181">
        <v>8084</v>
      </c>
      <c r="HYR240" s="181">
        <v>8085</v>
      </c>
      <c r="HYS240" s="181">
        <v>8086</v>
      </c>
      <c r="HYT240" s="181">
        <v>8087</v>
      </c>
      <c r="HYU240" s="181">
        <v>8088</v>
      </c>
      <c r="HYV240" s="181">
        <v>8089</v>
      </c>
      <c r="HYW240" s="181">
        <v>8090</v>
      </c>
      <c r="HYX240" s="181">
        <v>8091</v>
      </c>
      <c r="HYY240" s="181">
        <v>8092</v>
      </c>
      <c r="HYZ240" s="181">
        <v>8093</v>
      </c>
      <c r="HZA240" s="181">
        <v>8094</v>
      </c>
      <c r="HZB240" s="181">
        <v>8095</v>
      </c>
      <c r="HZC240" s="181">
        <v>8096</v>
      </c>
      <c r="HZD240" s="181">
        <v>8097</v>
      </c>
      <c r="HZE240" s="181">
        <v>8098</v>
      </c>
      <c r="HZF240" s="181">
        <v>8099</v>
      </c>
      <c r="HZG240" s="181">
        <v>8100</v>
      </c>
      <c r="HZH240" s="181">
        <v>8101</v>
      </c>
      <c r="HZI240" s="181">
        <v>8102</v>
      </c>
      <c r="HZJ240" s="181">
        <v>8103</v>
      </c>
      <c r="HZK240" s="181">
        <v>8104</v>
      </c>
      <c r="HZL240" s="181">
        <v>8105</v>
      </c>
      <c r="HZM240" s="181">
        <v>8106</v>
      </c>
      <c r="HZN240" s="181">
        <v>8107</v>
      </c>
      <c r="HZO240" s="181">
        <v>8108</v>
      </c>
      <c r="HZP240" s="181">
        <v>8109</v>
      </c>
      <c r="HZQ240" s="181">
        <v>8110</v>
      </c>
      <c r="HZR240" s="181">
        <v>8111</v>
      </c>
      <c r="HZS240" s="181">
        <v>8112</v>
      </c>
      <c r="HZT240" s="181">
        <v>8113</v>
      </c>
      <c r="HZU240" s="181">
        <v>8114</v>
      </c>
      <c r="HZV240" s="181">
        <v>8115</v>
      </c>
      <c r="HZW240" s="181">
        <v>8116</v>
      </c>
      <c r="HZX240" s="181">
        <v>8117</v>
      </c>
      <c r="HZY240" s="181">
        <v>8118</v>
      </c>
      <c r="HZZ240" s="181">
        <v>8119</v>
      </c>
      <c r="IAA240" s="181">
        <v>8120</v>
      </c>
      <c r="IAB240" s="181">
        <v>8121</v>
      </c>
      <c r="IAC240" s="181">
        <v>8122</v>
      </c>
      <c r="IAD240" s="181">
        <v>8123</v>
      </c>
      <c r="IAE240" s="181">
        <v>8124</v>
      </c>
      <c r="IAF240" s="181">
        <v>8125</v>
      </c>
      <c r="IAG240" s="181">
        <v>8126</v>
      </c>
      <c r="IAH240" s="181">
        <v>8127</v>
      </c>
      <c r="IAI240" s="181">
        <v>8128</v>
      </c>
      <c r="IAJ240" s="181">
        <v>8129</v>
      </c>
      <c r="IAK240" s="181">
        <v>8130</v>
      </c>
      <c r="IAL240" s="181">
        <v>8131</v>
      </c>
      <c r="IAM240" s="181">
        <v>8132</v>
      </c>
      <c r="IAN240" s="181">
        <v>8133</v>
      </c>
      <c r="IAO240" s="181">
        <v>8134</v>
      </c>
      <c r="IAP240" s="181">
        <v>8135</v>
      </c>
      <c r="IAQ240" s="181">
        <v>8136</v>
      </c>
      <c r="IAR240" s="181">
        <v>8137</v>
      </c>
      <c r="IAS240" s="181">
        <v>8138</v>
      </c>
      <c r="IAT240" s="181">
        <v>8139</v>
      </c>
      <c r="IAU240" s="181">
        <v>8140</v>
      </c>
      <c r="IAV240" s="181">
        <v>8141</v>
      </c>
      <c r="IAW240" s="181">
        <v>8142</v>
      </c>
      <c r="IAX240" s="181">
        <v>8143</v>
      </c>
      <c r="IAY240" s="181">
        <v>8144</v>
      </c>
      <c r="IAZ240" s="181">
        <v>8145</v>
      </c>
      <c r="IBA240" s="181">
        <v>8146</v>
      </c>
      <c r="IBB240" s="181">
        <v>8147</v>
      </c>
      <c r="IBC240" s="181">
        <v>8148</v>
      </c>
      <c r="IBD240" s="181">
        <v>8149</v>
      </c>
      <c r="IBE240" s="181">
        <v>8150</v>
      </c>
      <c r="IBF240" s="181">
        <v>8151</v>
      </c>
      <c r="IBG240" s="181">
        <v>8152</v>
      </c>
      <c r="IBH240" s="181">
        <v>8153</v>
      </c>
      <c r="IBI240" s="181">
        <v>8154</v>
      </c>
      <c r="IBJ240" s="181">
        <v>8155</v>
      </c>
      <c r="IBK240" s="181">
        <v>8156</v>
      </c>
      <c r="IBL240" s="181">
        <v>8157</v>
      </c>
      <c r="IBM240" s="181">
        <v>8158</v>
      </c>
      <c r="IBN240" s="181">
        <v>8159</v>
      </c>
      <c r="IBO240" s="181">
        <v>8160</v>
      </c>
      <c r="IBP240" s="181">
        <v>8161</v>
      </c>
      <c r="IBQ240" s="181">
        <v>8162</v>
      </c>
      <c r="IBR240" s="181">
        <v>8163</v>
      </c>
      <c r="IBS240" s="181">
        <v>8164</v>
      </c>
      <c r="IBT240" s="181">
        <v>8165</v>
      </c>
      <c r="IBU240" s="181">
        <v>8166</v>
      </c>
      <c r="IBV240" s="181">
        <v>8167</v>
      </c>
      <c r="IBW240" s="181">
        <v>8168</v>
      </c>
      <c r="IBX240" s="181">
        <v>8169</v>
      </c>
      <c r="IBY240" s="181">
        <v>8170</v>
      </c>
      <c r="IBZ240" s="181">
        <v>8171</v>
      </c>
      <c r="ICA240" s="181">
        <v>8172</v>
      </c>
      <c r="ICB240" s="181">
        <v>8173</v>
      </c>
      <c r="ICC240" s="181">
        <v>8174</v>
      </c>
      <c r="ICD240" s="181">
        <v>8175</v>
      </c>
      <c r="ICE240" s="181">
        <v>8176</v>
      </c>
      <c r="ICF240" s="181">
        <v>8177</v>
      </c>
      <c r="ICG240" s="181">
        <v>8178</v>
      </c>
      <c r="ICH240" s="181">
        <v>8179</v>
      </c>
      <c r="ICI240" s="181">
        <v>8180</v>
      </c>
      <c r="ICJ240" s="181">
        <v>8181</v>
      </c>
      <c r="ICK240" s="181">
        <v>8182</v>
      </c>
      <c r="ICL240" s="181">
        <v>8183</v>
      </c>
      <c r="ICM240" s="181">
        <v>8184</v>
      </c>
      <c r="ICN240" s="181">
        <v>8185</v>
      </c>
      <c r="ICO240" s="181">
        <v>8186</v>
      </c>
      <c r="ICP240" s="181">
        <v>8187</v>
      </c>
      <c r="ICQ240" s="181">
        <v>8188</v>
      </c>
      <c r="ICR240" s="181">
        <v>8189</v>
      </c>
      <c r="ICS240" s="181">
        <v>8190</v>
      </c>
      <c r="ICT240" s="181">
        <v>8191</v>
      </c>
      <c r="ICU240" s="181">
        <v>8192</v>
      </c>
      <c r="ICV240" s="181">
        <v>8193</v>
      </c>
      <c r="ICW240" s="181">
        <v>8194</v>
      </c>
      <c r="ICX240" s="181">
        <v>8195</v>
      </c>
      <c r="ICY240" s="181">
        <v>8196</v>
      </c>
      <c r="ICZ240" s="181">
        <v>8197</v>
      </c>
      <c r="IDA240" s="181">
        <v>8198</v>
      </c>
      <c r="IDB240" s="181">
        <v>8199</v>
      </c>
      <c r="IDC240" s="181">
        <v>8200</v>
      </c>
      <c r="IDD240" s="181">
        <v>8201</v>
      </c>
      <c r="IDE240" s="181">
        <v>8202</v>
      </c>
      <c r="IDF240" s="181">
        <v>8203</v>
      </c>
      <c r="IDG240" s="181">
        <v>8204</v>
      </c>
      <c r="IDH240" s="181">
        <v>8205</v>
      </c>
      <c r="IDI240" s="181">
        <v>8206</v>
      </c>
      <c r="IDJ240" s="181">
        <v>8207</v>
      </c>
      <c r="IDK240" s="181">
        <v>8208</v>
      </c>
      <c r="IDL240" s="181">
        <v>8209</v>
      </c>
      <c r="IDM240" s="181">
        <v>8210</v>
      </c>
      <c r="IDN240" s="181">
        <v>8211</v>
      </c>
      <c r="IDO240" s="181">
        <v>8212</v>
      </c>
      <c r="IDP240" s="181">
        <v>8213</v>
      </c>
      <c r="IDQ240" s="181">
        <v>8214</v>
      </c>
      <c r="IDR240" s="181">
        <v>8215</v>
      </c>
      <c r="IDS240" s="181">
        <v>8216</v>
      </c>
      <c r="IDT240" s="181">
        <v>8217</v>
      </c>
      <c r="IDU240" s="181">
        <v>8218</v>
      </c>
      <c r="IDV240" s="181">
        <v>8219</v>
      </c>
      <c r="IDW240" s="181">
        <v>8220</v>
      </c>
      <c r="IDX240" s="181">
        <v>8221</v>
      </c>
      <c r="IDY240" s="181">
        <v>8222</v>
      </c>
      <c r="IDZ240" s="181">
        <v>8223</v>
      </c>
      <c r="IEA240" s="181">
        <v>8224</v>
      </c>
      <c r="IEB240" s="181">
        <v>8225</v>
      </c>
      <c r="IEC240" s="181">
        <v>8226</v>
      </c>
      <c r="IED240" s="181">
        <v>8227</v>
      </c>
      <c r="IEE240" s="181">
        <v>8228</v>
      </c>
      <c r="IEF240" s="181">
        <v>8229</v>
      </c>
      <c r="IEG240" s="181">
        <v>8230</v>
      </c>
      <c r="IEH240" s="181">
        <v>8231</v>
      </c>
      <c r="IEI240" s="181">
        <v>8232</v>
      </c>
      <c r="IEJ240" s="181">
        <v>8233</v>
      </c>
      <c r="IEK240" s="181">
        <v>8234</v>
      </c>
      <c r="IEL240" s="181">
        <v>8235</v>
      </c>
      <c r="IEM240" s="181">
        <v>8236</v>
      </c>
      <c r="IEN240" s="181">
        <v>8237</v>
      </c>
      <c r="IEO240" s="181">
        <v>8238</v>
      </c>
      <c r="IEP240" s="181">
        <v>8239</v>
      </c>
      <c r="IEQ240" s="181">
        <v>8240</v>
      </c>
      <c r="IER240" s="181">
        <v>8241</v>
      </c>
      <c r="IES240" s="181">
        <v>8242</v>
      </c>
      <c r="IET240" s="181">
        <v>8243</v>
      </c>
      <c r="IEU240" s="181">
        <v>8244</v>
      </c>
      <c r="IEV240" s="181">
        <v>8245</v>
      </c>
      <c r="IEW240" s="181">
        <v>8246</v>
      </c>
      <c r="IEX240" s="181">
        <v>8247</v>
      </c>
      <c r="IEY240" s="181">
        <v>8248</v>
      </c>
      <c r="IEZ240" s="181">
        <v>8249</v>
      </c>
      <c r="IFA240" s="181">
        <v>8250</v>
      </c>
      <c r="IFB240" s="181">
        <v>8251</v>
      </c>
      <c r="IFC240" s="181">
        <v>8252</v>
      </c>
      <c r="IFD240" s="181">
        <v>8253</v>
      </c>
      <c r="IFE240" s="181">
        <v>8254</v>
      </c>
      <c r="IFF240" s="181">
        <v>8255</v>
      </c>
      <c r="IFG240" s="181">
        <v>8256</v>
      </c>
      <c r="IFH240" s="181">
        <v>8257</v>
      </c>
      <c r="IFI240" s="181">
        <v>8258</v>
      </c>
      <c r="IFJ240" s="181">
        <v>8259</v>
      </c>
      <c r="IFK240" s="181">
        <v>8260</v>
      </c>
      <c r="IFL240" s="181">
        <v>8261</v>
      </c>
      <c r="IFM240" s="181">
        <v>8262</v>
      </c>
      <c r="IFN240" s="181">
        <v>8263</v>
      </c>
      <c r="IFO240" s="181">
        <v>8264</v>
      </c>
      <c r="IFP240" s="181">
        <v>8265</v>
      </c>
      <c r="IFQ240" s="181">
        <v>8266</v>
      </c>
      <c r="IFR240" s="181">
        <v>8267</v>
      </c>
      <c r="IFS240" s="181">
        <v>8268</v>
      </c>
      <c r="IFT240" s="181">
        <v>8269</v>
      </c>
      <c r="IFU240" s="181">
        <v>8270</v>
      </c>
      <c r="IFV240" s="181">
        <v>8271</v>
      </c>
      <c r="IFW240" s="181">
        <v>8272</v>
      </c>
      <c r="IFX240" s="181">
        <v>8273</v>
      </c>
      <c r="IFY240" s="181">
        <v>8274</v>
      </c>
      <c r="IFZ240" s="181">
        <v>8275</v>
      </c>
      <c r="IGA240" s="181">
        <v>8276</v>
      </c>
      <c r="IGB240" s="181">
        <v>8277</v>
      </c>
      <c r="IGC240" s="181">
        <v>8278</v>
      </c>
      <c r="IGD240" s="181">
        <v>8279</v>
      </c>
      <c r="IGE240" s="181">
        <v>8280</v>
      </c>
      <c r="IGF240" s="181">
        <v>8281</v>
      </c>
      <c r="IGG240" s="181">
        <v>8282</v>
      </c>
      <c r="IGH240" s="181">
        <v>8283</v>
      </c>
      <c r="IGI240" s="181">
        <v>8284</v>
      </c>
      <c r="IGJ240" s="181">
        <v>8285</v>
      </c>
      <c r="IGK240" s="181">
        <v>8286</v>
      </c>
      <c r="IGL240" s="181">
        <v>8287</v>
      </c>
      <c r="IGM240" s="181">
        <v>8288</v>
      </c>
      <c r="IGN240" s="181">
        <v>8289</v>
      </c>
      <c r="IGO240" s="181">
        <v>8290</v>
      </c>
      <c r="IGP240" s="181">
        <v>8291</v>
      </c>
      <c r="IGQ240" s="181">
        <v>8292</v>
      </c>
      <c r="IGR240" s="181">
        <v>8293</v>
      </c>
      <c r="IGS240" s="181">
        <v>8294</v>
      </c>
      <c r="IGT240" s="181">
        <v>8295</v>
      </c>
      <c r="IGU240" s="181">
        <v>8296</v>
      </c>
      <c r="IGV240" s="181">
        <v>8297</v>
      </c>
      <c r="IGW240" s="181">
        <v>8298</v>
      </c>
      <c r="IGX240" s="181">
        <v>8299</v>
      </c>
      <c r="IGY240" s="181">
        <v>8300</v>
      </c>
      <c r="IGZ240" s="181">
        <v>8301</v>
      </c>
      <c r="IHA240" s="181">
        <v>8302</v>
      </c>
      <c r="IHB240" s="181">
        <v>8303</v>
      </c>
      <c r="IHC240" s="181">
        <v>8304</v>
      </c>
      <c r="IHD240" s="181">
        <v>8305</v>
      </c>
      <c r="IHE240" s="181">
        <v>8306</v>
      </c>
      <c r="IHF240" s="181">
        <v>8307</v>
      </c>
      <c r="IHG240" s="181">
        <v>8308</v>
      </c>
      <c r="IHH240" s="181">
        <v>8309</v>
      </c>
      <c r="IHI240" s="181">
        <v>8310</v>
      </c>
      <c r="IHJ240" s="181">
        <v>8311</v>
      </c>
      <c r="IHK240" s="181">
        <v>8312</v>
      </c>
      <c r="IHL240" s="181">
        <v>8313</v>
      </c>
      <c r="IHM240" s="181">
        <v>8314</v>
      </c>
      <c r="IHN240" s="181">
        <v>8315</v>
      </c>
      <c r="IHO240" s="181">
        <v>8316</v>
      </c>
      <c r="IHP240" s="181">
        <v>8317</v>
      </c>
      <c r="IHQ240" s="181">
        <v>8318</v>
      </c>
      <c r="IHR240" s="181">
        <v>8319</v>
      </c>
      <c r="IHS240" s="181">
        <v>8320</v>
      </c>
      <c r="IHT240" s="181">
        <v>8321</v>
      </c>
      <c r="IHU240" s="181">
        <v>8322</v>
      </c>
      <c r="IHV240" s="181">
        <v>8323</v>
      </c>
      <c r="IHW240" s="181">
        <v>8324</v>
      </c>
      <c r="IHX240" s="181">
        <v>8325</v>
      </c>
      <c r="IHY240" s="181">
        <v>8326</v>
      </c>
      <c r="IHZ240" s="181">
        <v>8327</v>
      </c>
      <c r="IIA240" s="181">
        <v>8328</v>
      </c>
      <c r="IIB240" s="181">
        <v>8329</v>
      </c>
      <c r="IIC240" s="181">
        <v>8330</v>
      </c>
      <c r="IID240" s="181">
        <v>8331</v>
      </c>
      <c r="IIE240" s="181">
        <v>8332</v>
      </c>
      <c r="IIF240" s="181">
        <v>8333</v>
      </c>
      <c r="IIG240" s="181">
        <v>8334</v>
      </c>
      <c r="IIH240" s="181">
        <v>8335</v>
      </c>
      <c r="III240" s="181">
        <v>8336</v>
      </c>
      <c r="IIJ240" s="181">
        <v>8337</v>
      </c>
      <c r="IIK240" s="181">
        <v>8338</v>
      </c>
      <c r="IIL240" s="181">
        <v>8339</v>
      </c>
      <c r="IIM240" s="181">
        <v>8340</v>
      </c>
      <c r="IIN240" s="181">
        <v>8341</v>
      </c>
      <c r="IIO240" s="181">
        <v>8342</v>
      </c>
      <c r="IIP240" s="181">
        <v>8343</v>
      </c>
      <c r="IIQ240" s="181">
        <v>8344</v>
      </c>
      <c r="IIR240" s="181">
        <v>8345</v>
      </c>
      <c r="IIS240" s="181">
        <v>8346</v>
      </c>
      <c r="IIT240" s="181">
        <v>8347</v>
      </c>
      <c r="IIU240" s="181">
        <v>8348</v>
      </c>
      <c r="IIV240" s="181">
        <v>8349</v>
      </c>
      <c r="IIW240" s="181">
        <v>8350</v>
      </c>
      <c r="IIX240" s="181">
        <v>8351</v>
      </c>
      <c r="IIY240" s="181">
        <v>8352</v>
      </c>
      <c r="IIZ240" s="181">
        <v>8353</v>
      </c>
      <c r="IJA240" s="181">
        <v>8354</v>
      </c>
      <c r="IJB240" s="181">
        <v>8355</v>
      </c>
      <c r="IJC240" s="181">
        <v>8356</v>
      </c>
      <c r="IJD240" s="181">
        <v>8357</v>
      </c>
      <c r="IJE240" s="181">
        <v>8358</v>
      </c>
      <c r="IJF240" s="181">
        <v>8359</v>
      </c>
      <c r="IJG240" s="181">
        <v>8360</v>
      </c>
      <c r="IJH240" s="181">
        <v>8361</v>
      </c>
      <c r="IJI240" s="181">
        <v>8362</v>
      </c>
      <c r="IJJ240" s="181">
        <v>8363</v>
      </c>
      <c r="IJK240" s="181">
        <v>8364</v>
      </c>
      <c r="IJL240" s="181">
        <v>8365</v>
      </c>
      <c r="IJM240" s="181">
        <v>8366</v>
      </c>
      <c r="IJN240" s="181">
        <v>8367</v>
      </c>
      <c r="IJO240" s="181">
        <v>8368</v>
      </c>
      <c r="IJP240" s="181">
        <v>8369</v>
      </c>
      <c r="IJQ240" s="181">
        <v>8370</v>
      </c>
      <c r="IJR240" s="181">
        <v>8371</v>
      </c>
      <c r="IJS240" s="181">
        <v>8372</v>
      </c>
      <c r="IJT240" s="181">
        <v>8373</v>
      </c>
      <c r="IJU240" s="181">
        <v>8374</v>
      </c>
      <c r="IJV240" s="181">
        <v>8375</v>
      </c>
      <c r="IJW240" s="181">
        <v>8376</v>
      </c>
      <c r="IJX240" s="181">
        <v>8377</v>
      </c>
      <c r="IJY240" s="181">
        <v>8378</v>
      </c>
      <c r="IJZ240" s="181">
        <v>8379</v>
      </c>
      <c r="IKA240" s="181">
        <v>8380</v>
      </c>
      <c r="IKB240" s="181">
        <v>8381</v>
      </c>
      <c r="IKC240" s="181">
        <v>8382</v>
      </c>
      <c r="IKD240" s="181">
        <v>8383</v>
      </c>
      <c r="IKE240" s="181">
        <v>8384</v>
      </c>
      <c r="IKF240" s="181">
        <v>8385</v>
      </c>
      <c r="IKG240" s="181">
        <v>8386</v>
      </c>
      <c r="IKH240" s="181">
        <v>8387</v>
      </c>
      <c r="IKI240" s="181">
        <v>8388</v>
      </c>
      <c r="IKJ240" s="181">
        <v>8389</v>
      </c>
      <c r="IKK240" s="181">
        <v>8390</v>
      </c>
      <c r="IKL240" s="181">
        <v>8391</v>
      </c>
      <c r="IKM240" s="181">
        <v>8392</v>
      </c>
      <c r="IKN240" s="181">
        <v>8393</v>
      </c>
      <c r="IKO240" s="181">
        <v>8394</v>
      </c>
      <c r="IKP240" s="181">
        <v>8395</v>
      </c>
      <c r="IKQ240" s="181">
        <v>8396</v>
      </c>
      <c r="IKR240" s="181">
        <v>8397</v>
      </c>
      <c r="IKS240" s="181">
        <v>8398</v>
      </c>
      <c r="IKT240" s="181">
        <v>8399</v>
      </c>
      <c r="IKU240" s="181">
        <v>8400</v>
      </c>
      <c r="IKV240" s="181">
        <v>8401</v>
      </c>
      <c r="IKW240" s="181">
        <v>8402</v>
      </c>
      <c r="IKX240" s="181">
        <v>8403</v>
      </c>
      <c r="IKY240" s="181">
        <v>8404</v>
      </c>
      <c r="IKZ240" s="181">
        <v>8405</v>
      </c>
      <c r="ILA240" s="181">
        <v>8406</v>
      </c>
      <c r="ILB240" s="181">
        <v>8407</v>
      </c>
      <c r="ILC240" s="181">
        <v>8408</v>
      </c>
      <c r="ILD240" s="181">
        <v>8409</v>
      </c>
      <c r="ILE240" s="181">
        <v>8410</v>
      </c>
      <c r="ILF240" s="181">
        <v>8411</v>
      </c>
      <c r="ILG240" s="181">
        <v>8412</v>
      </c>
      <c r="ILH240" s="181">
        <v>8413</v>
      </c>
      <c r="ILI240" s="181">
        <v>8414</v>
      </c>
      <c r="ILJ240" s="181">
        <v>8415</v>
      </c>
      <c r="ILK240" s="181">
        <v>8416</v>
      </c>
      <c r="ILL240" s="181">
        <v>8417</v>
      </c>
      <c r="ILM240" s="181">
        <v>8418</v>
      </c>
      <c r="ILN240" s="181">
        <v>8419</v>
      </c>
      <c r="ILO240" s="181">
        <v>8420</v>
      </c>
      <c r="ILP240" s="181">
        <v>8421</v>
      </c>
      <c r="ILQ240" s="181">
        <v>8422</v>
      </c>
      <c r="ILR240" s="181">
        <v>8423</v>
      </c>
      <c r="ILS240" s="181">
        <v>8424</v>
      </c>
      <c r="ILT240" s="181">
        <v>8425</v>
      </c>
      <c r="ILU240" s="181">
        <v>8426</v>
      </c>
      <c r="ILV240" s="181">
        <v>8427</v>
      </c>
      <c r="ILW240" s="181">
        <v>8428</v>
      </c>
      <c r="ILX240" s="181">
        <v>8429</v>
      </c>
      <c r="ILY240" s="181">
        <v>8430</v>
      </c>
      <c r="ILZ240" s="181">
        <v>8431</v>
      </c>
      <c r="IMA240" s="181">
        <v>8432</v>
      </c>
      <c r="IMB240" s="181">
        <v>8433</v>
      </c>
      <c r="IMC240" s="181">
        <v>8434</v>
      </c>
      <c r="IMD240" s="181">
        <v>8435</v>
      </c>
      <c r="IME240" s="181">
        <v>8436</v>
      </c>
      <c r="IMF240" s="181">
        <v>8437</v>
      </c>
      <c r="IMG240" s="181">
        <v>8438</v>
      </c>
      <c r="IMH240" s="181">
        <v>8439</v>
      </c>
      <c r="IMI240" s="181">
        <v>8440</v>
      </c>
      <c r="IMJ240" s="181">
        <v>8441</v>
      </c>
      <c r="IMK240" s="181">
        <v>8442</v>
      </c>
      <c r="IML240" s="181">
        <v>8443</v>
      </c>
      <c r="IMM240" s="181">
        <v>8444</v>
      </c>
      <c r="IMN240" s="181">
        <v>8445</v>
      </c>
      <c r="IMO240" s="181">
        <v>8446</v>
      </c>
      <c r="IMP240" s="181">
        <v>8447</v>
      </c>
      <c r="IMQ240" s="181">
        <v>8448</v>
      </c>
      <c r="IMR240" s="181">
        <v>8449</v>
      </c>
      <c r="IMS240" s="181">
        <v>8450</v>
      </c>
      <c r="IMT240" s="181">
        <v>8451</v>
      </c>
      <c r="IMU240" s="181">
        <v>8452</v>
      </c>
      <c r="IMV240" s="181">
        <v>8453</v>
      </c>
      <c r="IMW240" s="181">
        <v>8454</v>
      </c>
      <c r="IMX240" s="181">
        <v>8455</v>
      </c>
      <c r="IMY240" s="181">
        <v>8456</v>
      </c>
      <c r="IMZ240" s="181">
        <v>8457</v>
      </c>
      <c r="INA240" s="181">
        <v>8458</v>
      </c>
      <c r="INB240" s="181">
        <v>8459</v>
      </c>
      <c r="INC240" s="181">
        <v>8460</v>
      </c>
      <c r="IND240" s="181">
        <v>8461</v>
      </c>
      <c r="INE240" s="181">
        <v>8462</v>
      </c>
      <c r="INF240" s="181">
        <v>8463</v>
      </c>
      <c r="ING240" s="181">
        <v>8464</v>
      </c>
      <c r="INH240" s="181">
        <v>8465</v>
      </c>
      <c r="INI240" s="181">
        <v>8466</v>
      </c>
      <c r="INJ240" s="181">
        <v>8467</v>
      </c>
      <c r="INK240" s="181">
        <v>8468</v>
      </c>
      <c r="INL240" s="181">
        <v>8469</v>
      </c>
      <c r="INM240" s="181">
        <v>8470</v>
      </c>
      <c r="INN240" s="181">
        <v>8471</v>
      </c>
      <c r="INO240" s="181">
        <v>8472</v>
      </c>
      <c r="INP240" s="181">
        <v>8473</v>
      </c>
      <c r="INQ240" s="181">
        <v>8474</v>
      </c>
      <c r="INR240" s="181">
        <v>8475</v>
      </c>
      <c r="INS240" s="181">
        <v>8476</v>
      </c>
      <c r="INT240" s="181">
        <v>8477</v>
      </c>
      <c r="INU240" s="181">
        <v>8478</v>
      </c>
      <c r="INV240" s="181">
        <v>8479</v>
      </c>
      <c r="INW240" s="181">
        <v>8480</v>
      </c>
      <c r="INX240" s="181">
        <v>8481</v>
      </c>
      <c r="INY240" s="181">
        <v>8482</v>
      </c>
      <c r="INZ240" s="181">
        <v>8483</v>
      </c>
      <c r="IOA240" s="181">
        <v>8484</v>
      </c>
      <c r="IOB240" s="181">
        <v>8485</v>
      </c>
      <c r="IOC240" s="181">
        <v>8486</v>
      </c>
      <c r="IOD240" s="181">
        <v>8487</v>
      </c>
      <c r="IOE240" s="181">
        <v>8488</v>
      </c>
      <c r="IOF240" s="181">
        <v>8489</v>
      </c>
      <c r="IOG240" s="181">
        <v>8490</v>
      </c>
      <c r="IOH240" s="181">
        <v>8491</v>
      </c>
      <c r="IOI240" s="181">
        <v>8492</v>
      </c>
      <c r="IOJ240" s="181">
        <v>8493</v>
      </c>
      <c r="IOK240" s="181">
        <v>8494</v>
      </c>
      <c r="IOL240" s="181">
        <v>8495</v>
      </c>
      <c r="IOM240" s="181">
        <v>8496</v>
      </c>
      <c r="ION240" s="181">
        <v>8497</v>
      </c>
      <c r="IOO240" s="181">
        <v>8498</v>
      </c>
      <c r="IOP240" s="181">
        <v>8499</v>
      </c>
      <c r="IOQ240" s="181">
        <v>8500</v>
      </c>
      <c r="IOR240" s="181">
        <v>8501</v>
      </c>
      <c r="IOS240" s="181">
        <v>8502</v>
      </c>
      <c r="IOT240" s="181">
        <v>8503</v>
      </c>
      <c r="IOU240" s="181">
        <v>8504</v>
      </c>
      <c r="IOV240" s="181">
        <v>8505</v>
      </c>
      <c r="IOW240" s="181">
        <v>8506</v>
      </c>
      <c r="IOX240" s="181">
        <v>8507</v>
      </c>
      <c r="IOY240" s="181">
        <v>8508</v>
      </c>
      <c r="IOZ240" s="181">
        <v>8509</v>
      </c>
      <c r="IPA240" s="181">
        <v>8510</v>
      </c>
      <c r="IPB240" s="181">
        <v>8511</v>
      </c>
      <c r="IPC240" s="181">
        <v>8512</v>
      </c>
      <c r="IPD240" s="181">
        <v>8513</v>
      </c>
      <c r="IPE240" s="181">
        <v>8514</v>
      </c>
      <c r="IPF240" s="181">
        <v>8515</v>
      </c>
      <c r="IPG240" s="181">
        <v>8516</v>
      </c>
      <c r="IPH240" s="181">
        <v>8517</v>
      </c>
      <c r="IPI240" s="181">
        <v>8518</v>
      </c>
      <c r="IPJ240" s="181">
        <v>8519</v>
      </c>
      <c r="IPK240" s="181">
        <v>8520</v>
      </c>
      <c r="IPL240" s="181">
        <v>8521</v>
      </c>
      <c r="IPM240" s="181">
        <v>8522</v>
      </c>
      <c r="IPN240" s="181">
        <v>8523</v>
      </c>
      <c r="IPO240" s="181">
        <v>8524</v>
      </c>
      <c r="IPP240" s="181">
        <v>8525</v>
      </c>
      <c r="IPQ240" s="181">
        <v>8526</v>
      </c>
      <c r="IPR240" s="181">
        <v>8527</v>
      </c>
      <c r="IPS240" s="181">
        <v>8528</v>
      </c>
      <c r="IPT240" s="181">
        <v>8529</v>
      </c>
      <c r="IPU240" s="181">
        <v>8530</v>
      </c>
      <c r="IPV240" s="181">
        <v>8531</v>
      </c>
      <c r="IPW240" s="181">
        <v>8532</v>
      </c>
      <c r="IPX240" s="181">
        <v>8533</v>
      </c>
      <c r="IPY240" s="181">
        <v>8534</v>
      </c>
      <c r="IPZ240" s="181">
        <v>8535</v>
      </c>
      <c r="IQA240" s="181">
        <v>8536</v>
      </c>
      <c r="IQB240" s="181">
        <v>8537</v>
      </c>
      <c r="IQC240" s="181">
        <v>8538</v>
      </c>
      <c r="IQD240" s="181">
        <v>8539</v>
      </c>
      <c r="IQE240" s="181">
        <v>8540</v>
      </c>
      <c r="IQF240" s="181">
        <v>8541</v>
      </c>
      <c r="IQG240" s="181">
        <v>8542</v>
      </c>
      <c r="IQH240" s="181">
        <v>8543</v>
      </c>
      <c r="IQI240" s="181">
        <v>8544</v>
      </c>
      <c r="IQJ240" s="181">
        <v>8545</v>
      </c>
      <c r="IQK240" s="181">
        <v>8546</v>
      </c>
      <c r="IQL240" s="181">
        <v>8547</v>
      </c>
      <c r="IQM240" s="181">
        <v>8548</v>
      </c>
      <c r="IQN240" s="181">
        <v>8549</v>
      </c>
      <c r="IQO240" s="181">
        <v>8550</v>
      </c>
      <c r="IQP240" s="181">
        <v>8551</v>
      </c>
      <c r="IQQ240" s="181">
        <v>8552</v>
      </c>
      <c r="IQR240" s="181">
        <v>8553</v>
      </c>
      <c r="IQS240" s="181">
        <v>8554</v>
      </c>
      <c r="IQT240" s="181">
        <v>8555</v>
      </c>
      <c r="IQU240" s="181">
        <v>8556</v>
      </c>
      <c r="IQV240" s="181">
        <v>8557</v>
      </c>
      <c r="IQW240" s="181">
        <v>8558</v>
      </c>
      <c r="IQX240" s="181">
        <v>8559</v>
      </c>
      <c r="IQY240" s="181">
        <v>8560</v>
      </c>
      <c r="IQZ240" s="181">
        <v>8561</v>
      </c>
      <c r="IRA240" s="181">
        <v>8562</v>
      </c>
      <c r="IRB240" s="181">
        <v>8563</v>
      </c>
      <c r="IRC240" s="181">
        <v>8564</v>
      </c>
      <c r="IRD240" s="181">
        <v>8565</v>
      </c>
      <c r="IRE240" s="181">
        <v>8566</v>
      </c>
      <c r="IRF240" s="181">
        <v>8567</v>
      </c>
      <c r="IRG240" s="181">
        <v>8568</v>
      </c>
      <c r="IRH240" s="181">
        <v>8569</v>
      </c>
      <c r="IRI240" s="181">
        <v>8570</v>
      </c>
      <c r="IRJ240" s="181">
        <v>8571</v>
      </c>
      <c r="IRK240" s="181">
        <v>8572</v>
      </c>
      <c r="IRL240" s="181">
        <v>8573</v>
      </c>
      <c r="IRM240" s="181">
        <v>8574</v>
      </c>
      <c r="IRN240" s="181">
        <v>8575</v>
      </c>
      <c r="IRO240" s="181">
        <v>8576</v>
      </c>
      <c r="IRP240" s="181">
        <v>8577</v>
      </c>
      <c r="IRQ240" s="181">
        <v>8578</v>
      </c>
      <c r="IRR240" s="181">
        <v>8579</v>
      </c>
      <c r="IRS240" s="181">
        <v>8580</v>
      </c>
      <c r="IRT240" s="181">
        <v>8581</v>
      </c>
      <c r="IRU240" s="181">
        <v>8582</v>
      </c>
      <c r="IRV240" s="181">
        <v>8583</v>
      </c>
      <c r="IRW240" s="181">
        <v>8584</v>
      </c>
      <c r="IRX240" s="181">
        <v>8585</v>
      </c>
      <c r="IRY240" s="181">
        <v>8586</v>
      </c>
      <c r="IRZ240" s="181">
        <v>8587</v>
      </c>
      <c r="ISA240" s="181">
        <v>8588</v>
      </c>
      <c r="ISB240" s="181">
        <v>8589</v>
      </c>
      <c r="ISC240" s="181">
        <v>8590</v>
      </c>
      <c r="ISD240" s="181">
        <v>8591</v>
      </c>
      <c r="ISE240" s="181">
        <v>8592</v>
      </c>
      <c r="ISF240" s="181">
        <v>8593</v>
      </c>
      <c r="ISG240" s="181">
        <v>8594</v>
      </c>
      <c r="ISH240" s="181">
        <v>8595</v>
      </c>
      <c r="ISI240" s="181">
        <v>8596</v>
      </c>
      <c r="ISJ240" s="181">
        <v>8597</v>
      </c>
      <c r="ISK240" s="181">
        <v>8598</v>
      </c>
      <c r="ISL240" s="181">
        <v>8599</v>
      </c>
      <c r="ISM240" s="181">
        <v>8600</v>
      </c>
      <c r="ISN240" s="181">
        <v>8601</v>
      </c>
      <c r="ISO240" s="181">
        <v>8602</v>
      </c>
      <c r="ISP240" s="181">
        <v>8603</v>
      </c>
      <c r="ISQ240" s="181">
        <v>8604</v>
      </c>
      <c r="ISR240" s="181">
        <v>8605</v>
      </c>
      <c r="ISS240" s="181">
        <v>8606</v>
      </c>
      <c r="IST240" s="181">
        <v>8607</v>
      </c>
      <c r="ISU240" s="181">
        <v>8608</v>
      </c>
      <c r="ISV240" s="181">
        <v>8609</v>
      </c>
      <c r="ISW240" s="181">
        <v>8610</v>
      </c>
      <c r="ISX240" s="181">
        <v>8611</v>
      </c>
      <c r="ISY240" s="181">
        <v>8612</v>
      </c>
      <c r="ISZ240" s="181">
        <v>8613</v>
      </c>
      <c r="ITA240" s="181">
        <v>8614</v>
      </c>
      <c r="ITB240" s="181">
        <v>8615</v>
      </c>
      <c r="ITC240" s="181">
        <v>8616</v>
      </c>
      <c r="ITD240" s="181">
        <v>8617</v>
      </c>
      <c r="ITE240" s="181">
        <v>8618</v>
      </c>
      <c r="ITF240" s="181">
        <v>8619</v>
      </c>
      <c r="ITG240" s="181">
        <v>8620</v>
      </c>
      <c r="ITH240" s="181">
        <v>8621</v>
      </c>
      <c r="ITI240" s="181">
        <v>8622</v>
      </c>
      <c r="ITJ240" s="181">
        <v>8623</v>
      </c>
      <c r="ITK240" s="181">
        <v>8624</v>
      </c>
      <c r="ITL240" s="181">
        <v>8625</v>
      </c>
      <c r="ITM240" s="181">
        <v>8626</v>
      </c>
      <c r="ITN240" s="181">
        <v>8627</v>
      </c>
      <c r="ITO240" s="181">
        <v>8628</v>
      </c>
      <c r="ITP240" s="181">
        <v>8629</v>
      </c>
      <c r="ITQ240" s="181">
        <v>8630</v>
      </c>
      <c r="ITR240" s="181">
        <v>8631</v>
      </c>
      <c r="ITS240" s="181">
        <v>8632</v>
      </c>
      <c r="ITT240" s="181">
        <v>8633</v>
      </c>
      <c r="ITU240" s="181">
        <v>8634</v>
      </c>
      <c r="ITV240" s="181">
        <v>8635</v>
      </c>
      <c r="ITW240" s="181">
        <v>8636</v>
      </c>
      <c r="ITX240" s="181">
        <v>8637</v>
      </c>
      <c r="ITY240" s="181">
        <v>8638</v>
      </c>
      <c r="ITZ240" s="181">
        <v>8639</v>
      </c>
      <c r="IUA240" s="181">
        <v>8640</v>
      </c>
      <c r="IUB240" s="181">
        <v>8641</v>
      </c>
      <c r="IUC240" s="181">
        <v>8642</v>
      </c>
      <c r="IUD240" s="181">
        <v>8643</v>
      </c>
      <c r="IUE240" s="181">
        <v>8644</v>
      </c>
      <c r="IUF240" s="181">
        <v>8645</v>
      </c>
      <c r="IUG240" s="181">
        <v>8646</v>
      </c>
      <c r="IUH240" s="181">
        <v>8647</v>
      </c>
      <c r="IUI240" s="181">
        <v>8648</v>
      </c>
      <c r="IUJ240" s="181">
        <v>8649</v>
      </c>
      <c r="IUK240" s="181">
        <v>8650</v>
      </c>
      <c r="IUL240" s="181">
        <v>8651</v>
      </c>
      <c r="IUM240" s="181">
        <v>8652</v>
      </c>
      <c r="IUN240" s="181">
        <v>8653</v>
      </c>
      <c r="IUO240" s="181">
        <v>8654</v>
      </c>
      <c r="IUP240" s="181">
        <v>8655</v>
      </c>
      <c r="IUQ240" s="181">
        <v>8656</v>
      </c>
      <c r="IUR240" s="181">
        <v>8657</v>
      </c>
      <c r="IUS240" s="181">
        <v>8658</v>
      </c>
      <c r="IUT240" s="181">
        <v>8659</v>
      </c>
      <c r="IUU240" s="181">
        <v>8660</v>
      </c>
      <c r="IUV240" s="181">
        <v>8661</v>
      </c>
      <c r="IUW240" s="181">
        <v>8662</v>
      </c>
      <c r="IUX240" s="181">
        <v>8663</v>
      </c>
      <c r="IUY240" s="181">
        <v>8664</v>
      </c>
      <c r="IUZ240" s="181">
        <v>8665</v>
      </c>
      <c r="IVA240" s="181">
        <v>8666</v>
      </c>
      <c r="IVB240" s="181">
        <v>8667</v>
      </c>
      <c r="IVC240" s="181">
        <v>8668</v>
      </c>
      <c r="IVD240" s="181">
        <v>8669</v>
      </c>
      <c r="IVE240" s="181">
        <v>8670</v>
      </c>
      <c r="IVF240" s="181">
        <v>8671</v>
      </c>
      <c r="IVG240" s="181">
        <v>8672</v>
      </c>
      <c r="IVH240" s="181">
        <v>8673</v>
      </c>
      <c r="IVI240" s="181">
        <v>8674</v>
      </c>
      <c r="IVJ240" s="181">
        <v>8675</v>
      </c>
      <c r="IVK240" s="181">
        <v>8676</v>
      </c>
      <c r="IVL240" s="181">
        <v>8677</v>
      </c>
      <c r="IVM240" s="181">
        <v>8678</v>
      </c>
      <c r="IVN240" s="181">
        <v>8679</v>
      </c>
      <c r="IVO240" s="181">
        <v>8680</v>
      </c>
      <c r="IVP240" s="181">
        <v>8681</v>
      </c>
      <c r="IVQ240" s="181">
        <v>8682</v>
      </c>
      <c r="IVR240" s="181">
        <v>8683</v>
      </c>
      <c r="IVS240" s="181">
        <v>8684</v>
      </c>
      <c r="IVT240" s="181">
        <v>8685</v>
      </c>
      <c r="IVU240" s="181">
        <v>8686</v>
      </c>
      <c r="IVV240" s="181">
        <v>8687</v>
      </c>
      <c r="IVW240" s="181">
        <v>8688</v>
      </c>
      <c r="IVX240" s="181">
        <v>8689</v>
      </c>
      <c r="IVY240" s="181">
        <v>8690</v>
      </c>
      <c r="IVZ240" s="181">
        <v>8691</v>
      </c>
      <c r="IWA240" s="181">
        <v>8692</v>
      </c>
      <c r="IWB240" s="181">
        <v>8693</v>
      </c>
      <c r="IWC240" s="181">
        <v>8694</v>
      </c>
      <c r="IWD240" s="181">
        <v>8695</v>
      </c>
      <c r="IWE240" s="181">
        <v>8696</v>
      </c>
      <c r="IWF240" s="181">
        <v>8697</v>
      </c>
      <c r="IWG240" s="181">
        <v>8698</v>
      </c>
      <c r="IWH240" s="181">
        <v>8699</v>
      </c>
      <c r="IWI240" s="181">
        <v>8700</v>
      </c>
      <c r="IWJ240" s="181">
        <v>8701</v>
      </c>
      <c r="IWK240" s="181">
        <v>8702</v>
      </c>
      <c r="IWL240" s="181">
        <v>8703</v>
      </c>
      <c r="IWM240" s="181">
        <v>8704</v>
      </c>
      <c r="IWN240" s="181">
        <v>8705</v>
      </c>
      <c r="IWO240" s="181">
        <v>8706</v>
      </c>
      <c r="IWP240" s="181">
        <v>8707</v>
      </c>
      <c r="IWQ240" s="181">
        <v>8708</v>
      </c>
      <c r="IWR240" s="181">
        <v>8709</v>
      </c>
      <c r="IWS240" s="181">
        <v>8710</v>
      </c>
      <c r="IWT240" s="181">
        <v>8711</v>
      </c>
      <c r="IWU240" s="181">
        <v>8712</v>
      </c>
      <c r="IWV240" s="181">
        <v>8713</v>
      </c>
      <c r="IWW240" s="181">
        <v>8714</v>
      </c>
      <c r="IWX240" s="181">
        <v>8715</v>
      </c>
      <c r="IWY240" s="181">
        <v>8716</v>
      </c>
      <c r="IWZ240" s="181">
        <v>8717</v>
      </c>
      <c r="IXA240" s="181">
        <v>8718</v>
      </c>
      <c r="IXB240" s="181">
        <v>8719</v>
      </c>
      <c r="IXC240" s="181">
        <v>8720</v>
      </c>
      <c r="IXD240" s="181">
        <v>8721</v>
      </c>
      <c r="IXE240" s="181">
        <v>8722</v>
      </c>
      <c r="IXF240" s="181">
        <v>8723</v>
      </c>
      <c r="IXG240" s="181">
        <v>8724</v>
      </c>
      <c r="IXH240" s="181">
        <v>8725</v>
      </c>
      <c r="IXI240" s="181">
        <v>8726</v>
      </c>
      <c r="IXJ240" s="181">
        <v>8727</v>
      </c>
      <c r="IXK240" s="181">
        <v>8728</v>
      </c>
      <c r="IXL240" s="181">
        <v>8729</v>
      </c>
      <c r="IXM240" s="181">
        <v>8730</v>
      </c>
      <c r="IXN240" s="181">
        <v>8731</v>
      </c>
      <c r="IXO240" s="181">
        <v>8732</v>
      </c>
      <c r="IXP240" s="181">
        <v>8733</v>
      </c>
      <c r="IXQ240" s="181">
        <v>8734</v>
      </c>
      <c r="IXR240" s="181">
        <v>8735</v>
      </c>
      <c r="IXS240" s="181">
        <v>8736</v>
      </c>
      <c r="IXT240" s="181">
        <v>8737</v>
      </c>
      <c r="IXU240" s="181">
        <v>8738</v>
      </c>
      <c r="IXV240" s="181">
        <v>8739</v>
      </c>
      <c r="IXW240" s="181">
        <v>8740</v>
      </c>
      <c r="IXX240" s="181">
        <v>8741</v>
      </c>
      <c r="IXY240" s="181">
        <v>8742</v>
      </c>
      <c r="IXZ240" s="181">
        <v>8743</v>
      </c>
      <c r="IYA240" s="181">
        <v>8744</v>
      </c>
      <c r="IYB240" s="181">
        <v>8745</v>
      </c>
      <c r="IYC240" s="181">
        <v>8746</v>
      </c>
      <c r="IYD240" s="181">
        <v>8747</v>
      </c>
      <c r="IYE240" s="181">
        <v>8748</v>
      </c>
      <c r="IYF240" s="181">
        <v>8749</v>
      </c>
      <c r="IYG240" s="181">
        <v>8750</v>
      </c>
      <c r="IYH240" s="181">
        <v>8751</v>
      </c>
      <c r="IYI240" s="181">
        <v>8752</v>
      </c>
      <c r="IYJ240" s="181">
        <v>8753</v>
      </c>
      <c r="IYK240" s="181">
        <v>8754</v>
      </c>
      <c r="IYL240" s="181">
        <v>8755</v>
      </c>
      <c r="IYM240" s="181">
        <v>8756</v>
      </c>
      <c r="IYN240" s="181">
        <v>8757</v>
      </c>
      <c r="IYO240" s="181">
        <v>8758</v>
      </c>
      <c r="IYP240" s="181">
        <v>8759</v>
      </c>
      <c r="IYQ240" s="181">
        <v>8760</v>
      </c>
      <c r="IYR240" s="181">
        <v>8761</v>
      </c>
      <c r="IYS240" s="181">
        <v>8762</v>
      </c>
      <c r="IYT240" s="181">
        <v>8763</v>
      </c>
      <c r="IYU240" s="181">
        <v>8764</v>
      </c>
      <c r="IYV240" s="181">
        <v>8765</v>
      </c>
      <c r="IYW240" s="181">
        <v>8766</v>
      </c>
      <c r="IYX240" s="181">
        <v>8767</v>
      </c>
      <c r="IYY240" s="181">
        <v>8768</v>
      </c>
      <c r="IYZ240" s="181">
        <v>8769</v>
      </c>
      <c r="IZA240" s="181">
        <v>8770</v>
      </c>
      <c r="IZB240" s="181">
        <v>8771</v>
      </c>
      <c r="IZC240" s="181">
        <v>8772</v>
      </c>
      <c r="IZD240" s="181">
        <v>8773</v>
      </c>
      <c r="IZE240" s="181">
        <v>8774</v>
      </c>
      <c r="IZF240" s="181">
        <v>8775</v>
      </c>
      <c r="IZG240" s="181">
        <v>8776</v>
      </c>
      <c r="IZH240" s="181">
        <v>8777</v>
      </c>
      <c r="IZI240" s="181">
        <v>8778</v>
      </c>
      <c r="IZJ240" s="181">
        <v>8779</v>
      </c>
      <c r="IZK240" s="181">
        <v>8780</v>
      </c>
      <c r="IZL240" s="181">
        <v>8781</v>
      </c>
      <c r="IZM240" s="181">
        <v>8782</v>
      </c>
      <c r="IZN240" s="181">
        <v>8783</v>
      </c>
      <c r="IZO240" s="181">
        <v>8784</v>
      </c>
      <c r="IZP240" s="181">
        <v>8785</v>
      </c>
      <c r="IZQ240" s="181">
        <v>8786</v>
      </c>
      <c r="IZR240" s="181">
        <v>8787</v>
      </c>
      <c r="IZS240" s="181">
        <v>8788</v>
      </c>
      <c r="IZT240" s="181">
        <v>8789</v>
      </c>
      <c r="IZU240" s="181">
        <v>8790</v>
      </c>
      <c r="IZV240" s="181">
        <v>8791</v>
      </c>
      <c r="IZW240" s="181">
        <v>8792</v>
      </c>
      <c r="IZX240" s="181">
        <v>8793</v>
      </c>
      <c r="IZY240" s="181">
        <v>8794</v>
      </c>
      <c r="IZZ240" s="181">
        <v>8795</v>
      </c>
      <c r="JAA240" s="181">
        <v>8796</v>
      </c>
      <c r="JAB240" s="181">
        <v>8797</v>
      </c>
      <c r="JAC240" s="181">
        <v>8798</v>
      </c>
      <c r="JAD240" s="181">
        <v>8799</v>
      </c>
      <c r="JAE240" s="181">
        <v>8800</v>
      </c>
      <c r="JAF240" s="181">
        <v>8801</v>
      </c>
      <c r="JAG240" s="181">
        <v>8802</v>
      </c>
      <c r="JAH240" s="181">
        <v>8803</v>
      </c>
      <c r="JAI240" s="181">
        <v>8804</v>
      </c>
      <c r="JAJ240" s="181">
        <v>8805</v>
      </c>
      <c r="JAK240" s="181">
        <v>8806</v>
      </c>
      <c r="JAL240" s="181">
        <v>8807</v>
      </c>
      <c r="JAM240" s="181">
        <v>8808</v>
      </c>
      <c r="JAN240" s="181">
        <v>8809</v>
      </c>
      <c r="JAO240" s="181">
        <v>8810</v>
      </c>
      <c r="JAP240" s="181">
        <v>8811</v>
      </c>
      <c r="JAQ240" s="181">
        <v>8812</v>
      </c>
      <c r="JAR240" s="181">
        <v>8813</v>
      </c>
      <c r="JAS240" s="181">
        <v>8814</v>
      </c>
      <c r="JAT240" s="181">
        <v>8815</v>
      </c>
      <c r="JAU240" s="181">
        <v>8816</v>
      </c>
      <c r="JAV240" s="181">
        <v>8817</v>
      </c>
      <c r="JAW240" s="181">
        <v>8818</v>
      </c>
      <c r="JAX240" s="181">
        <v>8819</v>
      </c>
      <c r="JAY240" s="181">
        <v>8820</v>
      </c>
      <c r="JAZ240" s="181">
        <v>8821</v>
      </c>
      <c r="JBA240" s="181">
        <v>8822</v>
      </c>
      <c r="JBB240" s="181">
        <v>8823</v>
      </c>
      <c r="JBC240" s="181">
        <v>8824</v>
      </c>
      <c r="JBD240" s="181">
        <v>8825</v>
      </c>
      <c r="JBE240" s="181">
        <v>8826</v>
      </c>
      <c r="JBF240" s="181">
        <v>8827</v>
      </c>
      <c r="JBG240" s="181">
        <v>8828</v>
      </c>
      <c r="JBH240" s="181">
        <v>8829</v>
      </c>
      <c r="JBI240" s="181">
        <v>8830</v>
      </c>
      <c r="JBJ240" s="181">
        <v>8831</v>
      </c>
      <c r="JBK240" s="181">
        <v>8832</v>
      </c>
      <c r="JBL240" s="181">
        <v>8833</v>
      </c>
      <c r="JBM240" s="181">
        <v>8834</v>
      </c>
      <c r="JBN240" s="181">
        <v>8835</v>
      </c>
      <c r="JBO240" s="181">
        <v>8836</v>
      </c>
      <c r="JBP240" s="181">
        <v>8837</v>
      </c>
      <c r="JBQ240" s="181">
        <v>8838</v>
      </c>
      <c r="JBR240" s="181">
        <v>8839</v>
      </c>
      <c r="JBS240" s="181">
        <v>8840</v>
      </c>
      <c r="JBT240" s="181">
        <v>8841</v>
      </c>
      <c r="JBU240" s="181">
        <v>8842</v>
      </c>
      <c r="JBV240" s="181">
        <v>8843</v>
      </c>
      <c r="JBW240" s="181">
        <v>8844</v>
      </c>
      <c r="JBX240" s="181">
        <v>8845</v>
      </c>
      <c r="JBY240" s="181">
        <v>8846</v>
      </c>
      <c r="JBZ240" s="181">
        <v>8847</v>
      </c>
      <c r="JCA240" s="181">
        <v>8848</v>
      </c>
      <c r="JCB240" s="181">
        <v>8849</v>
      </c>
      <c r="JCC240" s="181">
        <v>8850</v>
      </c>
      <c r="JCD240" s="181">
        <v>8851</v>
      </c>
      <c r="JCE240" s="181">
        <v>8852</v>
      </c>
      <c r="JCF240" s="181">
        <v>8853</v>
      </c>
      <c r="JCG240" s="181">
        <v>8854</v>
      </c>
      <c r="JCH240" s="181">
        <v>8855</v>
      </c>
      <c r="JCI240" s="181">
        <v>8856</v>
      </c>
      <c r="JCJ240" s="181">
        <v>8857</v>
      </c>
      <c r="JCK240" s="181">
        <v>8858</v>
      </c>
      <c r="JCL240" s="181">
        <v>8859</v>
      </c>
      <c r="JCM240" s="181">
        <v>8860</v>
      </c>
      <c r="JCN240" s="181">
        <v>8861</v>
      </c>
      <c r="JCO240" s="181">
        <v>8862</v>
      </c>
      <c r="JCP240" s="181">
        <v>8863</v>
      </c>
      <c r="JCQ240" s="181">
        <v>8864</v>
      </c>
      <c r="JCR240" s="181">
        <v>8865</v>
      </c>
      <c r="JCS240" s="181">
        <v>8866</v>
      </c>
      <c r="JCT240" s="181">
        <v>8867</v>
      </c>
      <c r="JCU240" s="181">
        <v>8868</v>
      </c>
      <c r="JCV240" s="181">
        <v>8869</v>
      </c>
      <c r="JCW240" s="181">
        <v>8870</v>
      </c>
      <c r="JCX240" s="181">
        <v>8871</v>
      </c>
      <c r="JCY240" s="181">
        <v>8872</v>
      </c>
      <c r="JCZ240" s="181">
        <v>8873</v>
      </c>
      <c r="JDA240" s="181">
        <v>8874</v>
      </c>
      <c r="JDB240" s="181">
        <v>8875</v>
      </c>
      <c r="JDC240" s="181">
        <v>8876</v>
      </c>
      <c r="JDD240" s="181">
        <v>8877</v>
      </c>
      <c r="JDE240" s="181">
        <v>8878</v>
      </c>
      <c r="JDF240" s="181">
        <v>8879</v>
      </c>
      <c r="JDG240" s="181">
        <v>8880</v>
      </c>
      <c r="JDH240" s="181">
        <v>8881</v>
      </c>
      <c r="JDI240" s="181">
        <v>8882</v>
      </c>
      <c r="JDJ240" s="181">
        <v>8883</v>
      </c>
      <c r="JDK240" s="181">
        <v>8884</v>
      </c>
      <c r="JDL240" s="181">
        <v>8885</v>
      </c>
      <c r="JDM240" s="181">
        <v>8886</v>
      </c>
      <c r="JDN240" s="181">
        <v>8887</v>
      </c>
      <c r="JDO240" s="181">
        <v>8888</v>
      </c>
      <c r="JDP240" s="181">
        <v>8889</v>
      </c>
      <c r="JDQ240" s="181">
        <v>8890</v>
      </c>
      <c r="JDR240" s="181">
        <v>8891</v>
      </c>
      <c r="JDS240" s="181">
        <v>8892</v>
      </c>
      <c r="JDT240" s="181">
        <v>8893</v>
      </c>
      <c r="JDU240" s="181">
        <v>8894</v>
      </c>
      <c r="JDV240" s="181">
        <v>8895</v>
      </c>
      <c r="JDW240" s="181">
        <v>8896</v>
      </c>
      <c r="JDX240" s="181">
        <v>8897</v>
      </c>
      <c r="JDY240" s="181">
        <v>8898</v>
      </c>
      <c r="JDZ240" s="181">
        <v>8899</v>
      </c>
      <c r="JEA240" s="181">
        <v>8900</v>
      </c>
      <c r="JEB240" s="181">
        <v>8901</v>
      </c>
      <c r="JEC240" s="181">
        <v>8902</v>
      </c>
      <c r="JED240" s="181">
        <v>8903</v>
      </c>
      <c r="JEE240" s="181">
        <v>8904</v>
      </c>
      <c r="JEF240" s="181">
        <v>8905</v>
      </c>
      <c r="JEG240" s="181">
        <v>8906</v>
      </c>
      <c r="JEH240" s="181">
        <v>8907</v>
      </c>
      <c r="JEI240" s="181">
        <v>8908</v>
      </c>
      <c r="JEJ240" s="181">
        <v>8909</v>
      </c>
      <c r="JEK240" s="181">
        <v>8910</v>
      </c>
      <c r="JEL240" s="181">
        <v>8911</v>
      </c>
      <c r="JEM240" s="181">
        <v>8912</v>
      </c>
      <c r="JEN240" s="181">
        <v>8913</v>
      </c>
      <c r="JEO240" s="181">
        <v>8914</v>
      </c>
      <c r="JEP240" s="181">
        <v>8915</v>
      </c>
      <c r="JEQ240" s="181">
        <v>8916</v>
      </c>
      <c r="JER240" s="181">
        <v>8917</v>
      </c>
      <c r="JES240" s="181">
        <v>8918</v>
      </c>
      <c r="JET240" s="181">
        <v>8919</v>
      </c>
      <c r="JEU240" s="181">
        <v>8920</v>
      </c>
      <c r="JEV240" s="181">
        <v>8921</v>
      </c>
      <c r="JEW240" s="181">
        <v>8922</v>
      </c>
      <c r="JEX240" s="181">
        <v>8923</v>
      </c>
      <c r="JEY240" s="181">
        <v>8924</v>
      </c>
      <c r="JEZ240" s="181">
        <v>8925</v>
      </c>
      <c r="JFA240" s="181">
        <v>8926</v>
      </c>
      <c r="JFB240" s="181">
        <v>8927</v>
      </c>
      <c r="JFC240" s="181">
        <v>8928</v>
      </c>
      <c r="JFD240" s="181">
        <v>8929</v>
      </c>
      <c r="JFE240" s="181">
        <v>8930</v>
      </c>
      <c r="JFF240" s="181">
        <v>8931</v>
      </c>
      <c r="JFG240" s="181">
        <v>8932</v>
      </c>
      <c r="JFH240" s="181">
        <v>8933</v>
      </c>
      <c r="JFI240" s="181">
        <v>8934</v>
      </c>
      <c r="JFJ240" s="181">
        <v>8935</v>
      </c>
      <c r="JFK240" s="181">
        <v>8936</v>
      </c>
      <c r="JFL240" s="181">
        <v>8937</v>
      </c>
      <c r="JFM240" s="181">
        <v>8938</v>
      </c>
      <c r="JFN240" s="181">
        <v>8939</v>
      </c>
      <c r="JFO240" s="181">
        <v>8940</v>
      </c>
      <c r="JFP240" s="181">
        <v>8941</v>
      </c>
      <c r="JFQ240" s="181">
        <v>8942</v>
      </c>
      <c r="JFR240" s="181">
        <v>8943</v>
      </c>
      <c r="JFS240" s="181">
        <v>8944</v>
      </c>
      <c r="JFT240" s="181">
        <v>8945</v>
      </c>
      <c r="JFU240" s="181">
        <v>8946</v>
      </c>
      <c r="JFV240" s="181">
        <v>8947</v>
      </c>
      <c r="JFW240" s="181">
        <v>8948</v>
      </c>
      <c r="JFX240" s="181">
        <v>8949</v>
      </c>
      <c r="JFY240" s="181">
        <v>8950</v>
      </c>
      <c r="JFZ240" s="181">
        <v>8951</v>
      </c>
      <c r="JGA240" s="181">
        <v>8952</v>
      </c>
      <c r="JGB240" s="181">
        <v>8953</v>
      </c>
      <c r="JGC240" s="181">
        <v>8954</v>
      </c>
      <c r="JGD240" s="181">
        <v>8955</v>
      </c>
      <c r="JGE240" s="181">
        <v>8956</v>
      </c>
      <c r="JGF240" s="181">
        <v>8957</v>
      </c>
      <c r="JGG240" s="181">
        <v>8958</v>
      </c>
      <c r="JGH240" s="181">
        <v>8959</v>
      </c>
      <c r="JGI240" s="181">
        <v>8960</v>
      </c>
      <c r="JGJ240" s="181">
        <v>8961</v>
      </c>
      <c r="JGK240" s="181">
        <v>8962</v>
      </c>
      <c r="JGL240" s="181">
        <v>8963</v>
      </c>
      <c r="JGM240" s="181">
        <v>8964</v>
      </c>
      <c r="JGN240" s="181">
        <v>8965</v>
      </c>
      <c r="JGO240" s="181">
        <v>8966</v>
      </c>
      <c r="JGP240" s="181">
        <v>8967</v>
      </c>
      <c r="JGQ240" s="181">
        <v>8968</v>
      </c>
      <c r="JGR240" s="181">
        <v>8969</v>
      </c>
      <c r="JGS240" s="181">
        <v>8970</v>
      </c>
      <c r="JGT240" s="181">
        <v>8971</v>
      </c>
      <c r="JGU240" s="181">
        <v>8972</v>
      </c>
      <c r="JGV240" s="181">
        <v>8973</v>
      </c>
      <c r="JGW240" s="181">
        <v>8974</v>
      </c>
      <c r="JGX240" s="181">
        <v>8975</v>
      </c>
      <c r="JGY240" s="181">
        <v>8976</v>
      </c>
      <c r="JGZ240" s="181">
        <v>8977</v>
      </c>
      <c r="JHA240" s="181">
        <v>8978</v>
      </c>
      <c r="JHB240" s="181">
        <v>8979</v>
      </c>
      <c r="JHC240" s="181">
        <v>8980</v>
      </c>
      <c r="JHD240" s="181">
        <v>8981</v>
      </c>
      <c r="JHE240" s="181">
        <v>8982</v>
      </c>
      <c r="JHF240" s="181">
        <v>8983</v>
      </c>
      <c r="JHG240" s="181">
        <v>8984</v>
      </c>
      <c r="JHH240" s="181">
        <v>8985</v>
      </c>
      <c r="JHI240" s="181">
        <v>8986</v>
      </c>
      <c r="JHJ240" s="181">
        <v>8987</v>
      </c>
      <c r="JHK240" s="181">
        <v>8988</v>
      </c>
      <c r="JHL240" s="181">
        <v>8989</v>
      </c>
      <c r="JHM240" s="181">
        <v>8990</v>
      </c>
      <c r="JHN240" s="181">
        <v>8991</v>
      </c>
      <c r="JHO240" s="181">
        <v>8992</v>
      </c>
      <c r="JHP240" s="181">
        <v>8993</v>
      </c>
      <c r="JHQ240" s="181">
        <v>8994</v>
      </c>
      <c r="JHR240" s="181">
        <v>8995</v>
      </c>
      <c r="JHS240" s="181">
        <v>8996</v>
      </c>
      <c r="JHT240" s="181">
        <v>8997</v>
      </c>
      <c r="JHU240" s="181">
        <v>8998</v>
      </c>
      <c r="JHV240" s="181">
        <v>8999</v>
      </c>
      <c r="JHW240" s="181">
        <v>9000</v>
      </c>
      <c r="JHX240" s="181">
        <v>9001</v>
      </c>
      <c r="JHY240" s="181">
        <v>9002</v>
      </c>
      <c r="JHZ240" s="181">
        <v>9003</v>
      </c>
      <c r="JIA240" s="181">
        <v>9004</v>
      </c>
      <c r="JIB240" s="181">
        <v>9005</v>
      </c>
      <c r="JIC240" s="181">
        <v>9006</v>
      </c>
      <c r="JID240" s="181">
        <v>9007</v>
      </c>
      <c r="JIE240" s="181">
        <v>9008</v>
      </c>
      <c r="JIF240" s="181">
        <v>9009</v>
      </c>
      <c r="JIG240" s="181">
        <v>9010</v>
      </c>
      <c r="JIH240" s="181">
        <v>9011</v>
      </c>
      <c r="JII240" s="181">
        <v>9012</v>
      </c>
      <c r="JIJ240" s="181">
        <v>9013</v>
      </c>
      <c r="JIK240" s="181">
        <v>9014</v>
      </c>
      <c r="JIL240" s="181">
        <v>9015</v>
      </c>
      <c r="JIM240" s="181">
        <v>9016</v>
      </c>
      <c r="JIN240" s="181">
        <v>9017</v>
      </c>
      <c r="JIO240" s="181">
        <v>9018</v>
      </c>
      <c r="JIP240" s="181">
        <v>9019</v>
      </c>
      <c r="JIQ240" s="181">
        <v>9020</v>
      </c>
      <c r="JIR240" s="181">
        <v>9021</v>
      </c>
      <c r="JIS240" s="181">
        <v>9022</v>
      </c>
      <c r="JIT240" s="181">
        <v>9023</v>
      </c>
      <c r="JIU240" s="181">
        <v>9024</v>
      </c>
      <c r="JIV240" s="181">
        <v>9025</v>
      </c>
      <c r="JIW240" s="181">
        <v>9026</v>
      </c>
      <c r="JIX240" s="181">
        <v>9027</v>
      </c>
      <c r="JIY240" s="181">
        <v>9028</v>
      </c>
      <c r="JIZ240" s="181">
        <v>9029</v>
      </c>
      <c r="JJA240" s="181">
        <v>9030</v>
      </c>
      <c r="JJB240" s="181">
        <v>9031</v>
      </c>
      <c r="JJC240" s="181">
        <v>9032</v>
      </c>
      <c r="JJD240" s="181">
        <v>9033</v>
      </c>
      <c r="JJE240" s="181">
        <v>9034</v>
      </c>
      <c r="JJF240" s="181">
        <v>9035</v>
      </c>
      <c r="JJG240" s="181">
        <v>9036</v>
      </c>
      <c r="JJH240" s="181">
        <v>9037</v>
      </c>
      <c r="JJI240" s="181">
        <v>9038</v>
      </c>
      <c r="JJJ240" s="181">
        <v>9039</v>
      </c>
      <c r="JJK240" s="181">
        <v>9040</v>
      </c>
      <c r="JJL240" s="181">
        <v>9041</v>
      </c>
      <c r="JJM240" s="181">
        <v>9042</v>
      </c>
      <c r="JJN240" s="181">
        <v>9043</v>
      </c>
      <c r="JJO240" s="181">
        <v>9044</v>
      </c>
      <c r="JJP240" s="181">
        <v>9045</v>
      </c>
      <c r="JJQ240" s="181">
        <v>9046</v>
      </c>
      <c r="JJR240" s="181">
        <v>9047</v>
      </c>
      <c r="JJS240" s="181">
        <v>9048</v>
      </c>
      <c r="JJT240" s="181">
        <v>9049</v>
      </c>
      <c r="JJU240" s="181">
        <v>9050</v>
      </c>
      <c r="JJV240" s="181">
        <v>9051</v>
      </c>
      <c r="JJW240" s="181">
        <v>9052</v>
      </c>
      <c r="JJX240" s="181">
        <v>9053</v>
      </c>
      <c r="JJY240" s="181">
        <v>9054</v>
      </c>
      <c r="JJZ240" s="181">
        <v>9055</v>
      </c>
      <c r="JKA240" s="181">
        <v>9056</v>
      </c>
      <c r="JKB240" s="181">
        <v>9057</v>
      </c>
      <c r="JKC240" s="181">
        <v>9058</v>
      </c>
      <c r="JKD240" s="181">
        <v>9059</v>
      </c>
      <c r="JKE240" s="181">
        <v>9060</v>
      </c>
      <c r="JKF240" s="181">
        <v>9061</v>
      </c>
      <c r="JKG240" s="181">
        <v>9062</v>
      </c>
      <c r="JKH240" s="181">
        <v>9063</v>
      </c>
      <c r="JKI240" s="181">
        <v>9064</v>
      </c>
      <c r="JKJ240" s="181">
        <v>9065</v>
      </c>
      <c r="JKK240" s="181">
        <v>9066</v>
      </c>
      <c r="JKL240" s="181">
        <v>9067</v>
      </c>
      <c r="JKM240" s="181">
        <v>9068</v>
      </c>
      <c r="JKN240" s="181">
        <v>9069</v>
      </c>
      <c r="JKO240" s="181">
        <v>9070</v>
      </c>
      <c r="JKP240" s="181">
        <v>9071</v>
      </c>
      <c r="JKQ240" s="181">
        <v>9072</v>
      </c>
      <c r="JKR240" s="181">
        <v>9073</v>
      </c>
      <c r="JKS240" s="181">
        <v>9074</v>
      </c>
      <c r="JKT240" s="181">
        <v>9075</v>
      </c>
      <c r="JKU240" s="181">
        <v>9076</v>
      </c>
      <c r="JKV240" s="181">
        <v>9077</v>
      </c>
      <c r="JKW240" s="181">
        <v>9078</v>
      </c>
      <c r="JKX240" s="181">
        <v>9079</v>
      </c>
      <c r="JKY240" s="181">
        <v>9080</v>
      </c>
      <c r="JKZ240" s="181">
        <v>9081</v>
      </c>
      <c r="JLA240" s="181">
        <v>9082</v>
      </c>
      <c r="JLB240" s="181">
        <v>9083</v>
      </c>
      <c r="JLC240" s="181">
        <v>9084</v>
      </c>
      <c r="JLD240" s="181">
        <v>9085</v>
      </c>
      <c r="JLE240" s="181">
        <v>9086</v>
      </c>
      <c r="JLF240" s="181">
        <v>9087</v>
      </c>
      <c r="JLG240" s="181">
        <v>9088</v>
      </c>
      <c r="JLH240" s="181">
        <v>9089</v>
      </c>
      <c r="JLI240" s="181">
        <v>9090</v>
      </c>
      <c r="JLJ240" s="181">
        <v>9091</v>
      </c>
      <c r="JLK240" s="181">
        <v>9092</v>
      </c>
      <c r="JLL240" s="181">
        <v>9093</v>
      </c>
      <c r="JLM240" s="181">
        <v>9094</v>
      </c>
      <c r="JLN240" s="181">
        <v>9095</v>
      </c>
      <c r="JLO240" s="181">
        <v>9096</v>
      </c>
      <c r="JLP240" s="181">
        <v>9097</v>
      </c>
      <c r="JLQ240" s="181">
        <v>9098</v>
      </c>
      <c r="JLR240" s="181">
        <v>9099</v>
      </c>
      <c r="JLS240" s="181">
        <v>9100</v>
      </c>
      <c r="JLT240" s="181">
        <v>9101</v>
      </c>
      <c r="JLU240" s="181">
        <v>9102</v>
      </c>
      <c r="JLV240" s="181">
        <v>9103</v>
      </c>
      <c r="JLW240" s="181">
        <v>9104</v>
      </c>
      <c r="JLX240" s="181">
        <v>9105</v>
      </c>
      <c r="JLY240" s="181">
        <v>9106</v>
      </c>
      <c r="JLZ240" s="181">
        <v>9107</v>
      </c>
      <c r="JMA240" s="181">
        <v>9108</v>
      </c>
      <c r="JMB240" s="181">
        <v>9109</v>
      </c>
      <c r="JMC240" s="181">
        <v>9110</v>
      </c>
      <c r="JMD240" s="181">
        <v>9111</v>
      </c>
      <c r="JME240" s="181">
        <v>9112</v>
      </c>
      <c r="JMF240" s="181">
        <v>9113</v>
      </c>
      <c r="JMG240" s="181">
        <v>9114</v>
      </c>
      <c r="JMH240" s="181">
        <v>9115</v>
      </c>
      <c r="JMI240" s="181">
        <v>9116</v>
      </c>
      <c r="JMJ240" s="181">
        <v>9117</v>
      </c>
      <c r="JMK240" s="181">
        <v>9118</v>
      </c>
      <c r="JML240" s="181">
        <v>9119</v>
      </c>
      <c r="JMM240" s="181">
        <v>9120</v>
      </c>
      <c r="JMN240" s="181">
        <v>9121</v>
      </c>
      <c r="JMO240" s="181">
        <v>9122</v>
      </c>
      <c r="JMP240" s="181">
        <v>9123</v>
      </c>
      <c r="JMQ240" s="181">
        <v>9124</v>
      </c>
      <c r="JMR240" s="181">
        <v>9125</v>
      </c>
      <c r="JMS240" s="181">
        <v>9126</v>
      </c>
      <c r="JMT240" s="181">
        <v>9127</v>
      </c>
      <c r="JMU240" s="181">
        <v>9128</v>
      </c>
      <c r="JMV240" s="181">
        <v>9129</v>
      </c>
      <c r="JMW240" s="181">
        <v>9130</v>
      </c>
      <c r="JMX240" s="181">
        <v>9131</v>
      </c>
      <c r="JMY240" s="181">
        <v>9132</v>
      </c>
      <c r="JMZ240" s="181">
        <v>9133</v>
      </c>
      <c r="JNA240" s="181">
        <v>9134</v>
      </c>
      <c r="JNB240" s="181">
        <v>9135</v>
      </c>
      <c r="JNC240" s="181">
        <v>9136</v>
      </c>
      <c r="JND240" s="181">
        <v>9137</v>
      </c>
      <c r="JNE240" s="181">
        <v>9138</v>
      </c>
      <c r="JNF240" s="181">
        <v>9139</v>
      </c>
      <c r="JNG240" s="181">
        <v>9140</v>
      </c>
      <c r="JNH240" s="181">
        <v>9141</v>
      </c>
      <c r="JNI240" s="181">
        <v>9142</v>
      </c>
      <c r="JNJ240" s="181">
        <v>9143</v>
      </c>
      <c r="JNK240" s="181">
        <v>9144</v>
      </c>
      <c r="JNL240" s="181">
        <v>9145</v>
      </c>
      <c r="JNM240" s="181">
        <v>9146</v>
      </c>
      <c r="JNN240" s="181">
        <v>9147</v>
      </c>
      <c r="JNO240" s="181">
        <v>9148</v>
      </c>
      <c r="JNP240" s="181">
        <v>9149</v>
      </c>
      <c r="JNQ240" s="181">
        <v>9150</v>
      </c>
      <c r="JNR240" s="181">
        <v>9151</v>
      </c>
      <c r="JNS240" s="181">
        <v>9152</v>
      </c>
      <c r="JNT240" s="181">
        <v>9153</v>
      </c>
      <c r="JNU240" s="181">
        <v>9154</v>
      </c>
      <c r="JNV240" s="181">
        <v>9155</v>
      </c>
      <c r="JNW240" s="181">
        <v>9156</v>
      </c>
      <c r="JNX240" s="181">
        <v>9157</v>
      </c>
      <c r="JNY240" s="181">
        <v>9158</v>
      </c>
      <c r="JNZ240" s="181">
        <v>9159</v>
      </c>
      <c r="JOA240" s="181">
        <v>9160</v>
      </c>
      <c r="JOB240" s="181">
        <v>9161</v>
      </c>
      <c r="JOC240" s="181">
        <v>9162</v>
      </c>
      <c r="JOD240" s="181">
        <v>9163</v>
      </c>
      <c r="JOE240" s="181">
        <v>9164</v>
      </c>
      <c r="JOF240" s="181">
        <v>9165</v>
      </c>
      <c r="JOG240" s="181">
        <v>9166</v>
      </c>
      <c r="JOH240" s="181">
        <v>9167</v>
      </c>
      <c r="JOI240" s="181">
        <v>9168</v>
      </c>
      <c r="JOJ240" s="181">
        <v>9169</v>
      </c>
      <c r="JOK240" s="181">
        <v>9170</v>
      </c>
      <c r="JOL240" s="181">
        <v>9171</v>
      </c>
      <c r="JOM240" s="181">
        <v>9172</v>
      </c>
      <c r="JON240" s="181">
        <v>9173</v>
      </c>
      <c r="JOO240" s="181">
        <v>9174</v>
      </c>
      <c r="JOP240" s="181">
        <v>9175</v>
      </c>
      <c r="JOQ240" s="181">
        <v>9176</v>
      </c>
      <c r="JOR240" s="181">
        <v>9177</v>
      </c>
      <c r="JOS240" s="181">
        <v>9178</v>
      </c>
      <c r="JOT240" s="181">
        <v>9179</v>
      </c>
      <c r="JOU240" s="181">
        <v>9180</v>
      </c>
      <c r="JOV240" s="181">
        <v>9181</v>
      </c>
      <c r="JOW240" s="181">
        <v>9182</v>
      </c>
      <c r="JOX240" s="181">
        <v>9183</v>
      </c>
      <c r="JOY240" s="181">
        <v>9184</v>
      </c>
      <c r="JOZ240" s="181">
        <v>9185</v>
      </c>
      <c r="JPA240" s="181">
        <v>9186</v>
      </c>
      <c r="JPB240" s="181">
        <v>9187</v>
      </c>
      <c r="JPC240" s="181">
        <v>9188</v>
      </c>
      <c r="JPD240" s="181">
        <v>9189</v>
      </c>
      <c r="JPE240" s="181">
        <v>9190</v>
      </c>
      <c r="JPF240" s="181">
        <v>9191</v>
      </c>
      <c r="JPG240" s="181">
        <v>9192</v>
      </c>
      <c r="JPH240" s="181">
        <v>9193</v>
      </c>
      <c r="JPI240" s="181">
        <v>9194</v>
      </c>
      <c r="JPJ240" s="181">
        <v>9195</v>
      </c>
      <c r="JPK240" s="181">
        <v>9196</v>
      </c>
      <c r="JPL240" s="181">
        <v>9197</v>
      </c>
      <c r="JPM240" s="181">
        <v>9198</v>
      </c>
      <c r="JPN240" s="181">
        <v>9199</v>
      </c>
      <c r="JPO240" s="181">
        <v>9200</v>
      </c>
      <c r="JPP240" s="181">
        <v>9201</v>
      </c>
      <c r="JPQ240" s="181">
        <v>9202</v>
      </c>
      <c r="JPR240" s="181">
        <v>9203</v>
      </c>
      <c r="JPS240" s="181">
        <v>9204</v>
      </c>
      <c r="JPT240" s="181">
        <v>9205</v>
      </c>
      <c r="JPU240" s="181">
        <v>9206</v>
      </c>
      <c r="JPV240" s="181">
        <v>9207</v>
      </c>
      <c r="JPW240" s="181">
        <v>9208</v>
      </c>
      <c r="JPX240" s="181">
        <v>9209</v>
      </c>
      <c r="JPY240" s="181">
        <v>9210</v>
      </c>
      <c r="JPZ240" s="181">
        <v>9211</v>
      </c>
      <c r="JQA240" s="181">
        <v>9212</v>
      </c>
      <c r="JQB240" s="181">
        <v>9213</v>
      </c>
      <c r="JQC240" s="181">
        <v>9214</v>
      </c>
      <c r="JQD240" s="181">
        <v>9215</v>
      </c>
      <c r="JQE240" s="181">
        <v>9216</v>
      </c>
      <c r="JQF240" s="181">
        <v>9217</v>
      </c>
      <c r="JQG240" s="181">
        <v>9218</v>
      </c>
      <c r="JQH240" s="181">
        <v>9219</v>
      </c>
      <c r="JQI240" s="181">
        <v>9220</v>
      </c>
      <c r="JQJ240" s="181">
        <v>9221</v>
      </c>
      <c r="JQK240" s="181">
        <v>9222</v>
      </c>
      <c r="JQL240" s="181">
        <v>9223</v>
      </c>
      <c r="JQM240" s="181">
        <v>9224</v>
      </c>
      <c r="JQN240" s="181">
        <v>9225</v>
      </c>
      <c r="JQO240" s="181">
        <v>9226</v>
      </c>
      <c r="JQP240" s="181">
        <v>9227</v>
      </c>
      <c r="JQQ240" s="181">
        <v>9228</v>
      </c>
      <c r="JQR240" s="181">
        <v>9229</v>
      </c>
      <c r="JQS240" s="181">
        <v>9230</v>
      </c>
      <c r="JQT240" s="181">
        <v>9231</v>
      </c>
      <c r="JQU240" s="181">
        <v>9232</v>
      </c>
      <c r="JQV240" s="181">
        <v>9233</v>
      </c>
      <c r="JQW240" s="181">
        <v>9234</v>
      </c>
      <c r="JQX240" s="181">
        <v>9235</v>
      </c>
      <c r="JQY240" s="181">
        <v>9236</v>
      </c>
      <c r="JQZ240" s="181">
        <v>9237</v>
      </c>
      <c r="JRA240" s="181">
        <v>9238</v>
      </c>
      <c r="JRB240" s="181">
        <v>9239</v>
      </c>
      <c r="JRC240" s="181">
        <v>9240</v>
      </c>
      <c r="JRD240" s="181">
        <v>9241</v>
      </c>
      <c r="JRE240" s="181">
        <v>9242</v>
      </c>
      <c r="JRF240" s="181">
        <v>9243</v>
      </c>
      <c r="JRG240" s="181">
        <v>9244</v>
      </c>
      <c r="JRH240" s="181">
        <v>9245</v>
      </c>
      <c r="JRI240" s="181">
        <v>9246</v>
      </c>
      <c r="JRJ240" s="181">
        <v>9247</v>
      </c>
      <c r="JRK240" s="181">
        <v>9248</v>
      </c>
      <c r="JRL240" s="181">
        <v>9249</v>
      </c>
      <c r="JRM240" s="181">
        <v>9250</v>
      </c>
      <c r="JRN240" s="181">
        <v>9251</v>
      </c>
      <c r="JRO240" s="181">
        <v>9252</v>
      </c>
      <c r="JRP240" s="181">
        <v>9253</v>
      </c>
      <c r="JRQ240" s="181">
        <v>9254</v>
      </c>
      <c r="JRR240" s="181">
        <v>9255</v>
      </c>
      <c r="JRS240" s="181">
        <v>9256</v>
      </c>
      <c r="JRT240" s="181">
        <v>9257</v>
      </c>
      <c r="JRU240" s="181">
        <v>9258</v>
      </c>
      <c r="JRV240" s="181">
        <v>9259</v>
      </c>
      <c r="JRW240" s="181">
        <v>9260</v>
      </c>
      <c r="JRX240" s="181">
        <v>9261</v>
      </c>
      <c r="JRY240" s="181">
        <v>9262</v>
      </c>
      <c r="JRZ240" s="181">
        <v>9263</v>
      </c>
      <c r="JSA240" s="181">
        <v>9264</v>
      </c>
      <c r="JSB240" s="181">
        <v>9265</v>
      </c>
      <c r="JSC240" s="181">
        <v>9266</v>
      </c>
      <c r="JSD240" s="181">
        <v>9267</v>
      </c>
      <c r="JSE240" s="181">
        <v>9268</v>
      </c>
      <c r="JSF240" s="181">
        <v>9269</v>
      </c>
      <c r="JSG240" s="181">
        <v>9270</v>
      </c>
      <c r="JSH240" s="181">
        <v>9271</v>
      </c>
      <c r="JSI240" s="181">
        <v>9272</v>
      </c>
      <c r="JSJ240" s="181">
        <v>9273</v>
      </c>
      <c r="JSK240" s="181">
        <v>9274</v>
      </c>
      <c r="JSL240" s="181">
        <v>9275</v>
      </c>
      <c r="JSM240" s="181">
        <v>9276</v>
      </c>
      <c r="JSN240" s="181">
        <v>9277</v>
      </c>
      <c r="JSO240" s="181">
        <v>9278</v>
      </c>
      <c r="JSP240" s="181">
        <v>9279</v>
      </c>
      <c r="JSQ240" s="181">
        <v>9280</v>
      </c>
      <c r="JSR240" s="181">
        <v>9281</v>
      </c>
      <c r="JSS240" s="181">
        <v>9282</v>
      </c>
      <c r="JST240" s="181">
        <v>9283</v>
      </c>
      <c r="JSU240" s="181">
        <v>9284</v>
      </c>
      <c r="JSV240" s="181">
        <v>9285</v>
      </c>
      <c r="JSW240" s="181">
        <v>9286</v>
      </c>
      <c r="JSX240" s="181">
        <v>9287</v>
      </c>
      <c r="JSY240" s="181">
        <v>9288</v>
      </c>
      <c r="JSZ240" s="181">
        <v>9289</v>
      </c>
      <c r="JTA240" s="181">
        <v>9290</v>
      </c>
      <c r="JTB240" s="181">
        <v>9291</v>
      </c>
      <c r="JTC240" s="181">
        <v>9292</v>
      </c>
      <c r="JTD240" s="181">
        <v>9293</v>
      </c>
      <c r="JTE240" s="181">
        <v>9294</v>
      </c>
      <c r="JTF240" s="181">
        <v>9295</v>
      </c>
      <c r="JTG240" s="181">
        <v>9296</v>
      </c>
      <c r="JTH240" s="181">
        <v>9297</v>
      </c>
      <c r="JTI240" s="181">
        <v>9298</v>
      </c>
      <c r="JTJ240" s="181">
        <v>9299</v>
      </c>
      <c r="JTK240" s="181">
        <v>9300</v>
      </c>
      <c r="JTL240" s="181">
        <v>9301</v>
      </c>
      <c r="JTM240" s="181">
        <v>9302</v>
      </c>
      <c r="JTN240" s="181">
        <v>9303</v>
      </c>
      <c r="JTO240" s="181">
        <v>9304</v>
      </c>
      <c r="JTP240" s="181">
        <v>9305</v>
      </c>
      <c r="JTQ240" s="181">
        <v>9306</v>
      </c>
      <c r="JTR240" s="181">
        <v>9307</v>
      </c>
      <c r="JTS240" s="181">
        <v>9308</v>
      </c>
      <c r="JTT240" s="181">
        <v>9309</v>
      </c>
      <c r="JTU240" s="181">
        <v>9310</v>
      </c>
      <c r="JTV240" s="181">
        <v>9311</v>
      </c>
      <c r="JTW240" s="181">
        <v>9312</v>
      </c>
      <c r="JTX240" s="181">
        <v>9313</v>
      </c>
      <c r="JTY240" s="181">
        <v>9314</v>
      </c>
      <c r="JTZ240" s="181">
        <v>9315</v>
      </c>
      <c r="JUA240" s="181">
        <v>9316</v>
      </c>
      <c r="JUB240" s="181">
        <v>9317</v>
      </c>
      <c r="JUC240" s="181">
        <v>9318</v>
      </c>
      <c r="JUD240" s="181">
        <v>9319</v>
      </c>
      <c r="JUE240" s="181">
        <v>9320</v>
      </c>
      <c r="JUF240" s="181">
        <v>9321</v>
      </c>
      <c r="JUG240" s="181">
        <v>9322</v>
      </c>
      <c r="JUH240" s="181">
        <v>9323</v>
      </c>
      <c r="JUI240" s="181">
        <v>9324</v>
      </c>
      <c r="JUJ240" s="181">
        <v>9325</v>
      </c>
      <c r="JUK240" s="181">
        <v>9326</v>
      </c>
      <c r="JUL240" s="181">
        <v>9327</v>
      </c>
      <c r="JUM240" s="181">
        <v>9328</v>
      </c>
      <c r="JUN240" s="181">
        <v>9329</v>
      </c>
      <c r="JUO240" s="181">
        <v>9330</v>
      </c>
      <c r="JUP240" s="181">
        <v>9331</v>
      </c>
      <c r="JUQ240" s="181">
        <v>9332</v>
      </c>
      <c r="JUR240" s="181">
        <v>9333</v>
      </c>
      <c r="JUS240" s="181">
        <v>9334</v>
      </c>
      <c r="JUT240" s="181">
        <v>9335</v>
      </c>
      <c r="JUU240" s="181">
        <v>9336</v>
      </c>
      <c r="JUV240" s="181">
        <v>9337</v>
      </c>
      <c r="JUW240" s="181">
        <v>9338</v>
      </c>
      <c r="JUX240" s="181">
        <v>9339</v>
      </c>
      <c r="JUY240" s="181">
        <v>9340</v>
      </c>
      <c r="JUZ240" s="181">
        <v>9341</v>
      </c>
      <c r="JVA240" s="181">
        <v>9342</v>
      </c>
      <c r="JVB240" s="181">
        <v>9343</v>
      </c>
      <c r="JVC240" s="181">
        <v>9344</v>
      </c>
      <c r="JVD240" s="181">
        <v>9345</v>
      </c>
      <c r="JVE240" s="181">
        <v>9346</v>
      </c>
      <c r="JVF240" s="181">
        <v>9347</v>
      </c>
      <c r="JVG240" s="181">
        <v>9348</v>
      </c>
      <c r="JVH240" s="181">
        <v>9349</v>
      </c>
      <c r="JVI240" s="181">
        <v>9350</v>
      </c>
      <c r="JVJ240" s="181">
        <v>9351</v>
      </c>
      <c r="JVK240" s="181">
        <v>9352</v>
      </c>
      <c r="JVL240" s="181">
        <v>9353</v>
      </c>
      <c r="JVM240" s="181">
        <v>9354</v>
      </c>
      <c r="JVN240" s="181">
        <v>9355</v>
      </c>
      <c r="JVO240" s="181">
        <v>9356</v>
      </c>
      <c r="JVP240" s="181">
        <v>9357</v>
      </c>
      <c r="JVQ240" s="181">
        <v>9358</v>
      </c>
      <c r="JVR240" s="181">
        <v>9359</v>
      </c>
      <c r="JVS240" s="181">
        <v>9360</v>
      </c>
      <c r="JVT240" s="181">
        <v>9361</v>
      </c>
      <c r="JVU240" s="181">
        <v>9362</v>
      </c>
      <c r="JVV240" s="181">
        <v>9363</v>
      </c>
      <c r="JVW240" s="181">
        <v>9364</v>
      </c>
      <c r="JVX240" s="181">
        <v>9365</v>
      </c>
      <c r="JVY240" s="181">
        <v>9366</v>
      </c>
      <c r="JVZ240" s="181">
        <v>9367</v>
      </c>
      <c r="JWA240" s="181">
        <v>9368</v>
      </c>
      <c r="JWB240" s="181">
        <v>9369</v>
      </c>
      <c r="JWC240" s="181">
        <v>9370</v>
      </c>
      <c r="JWD240" s="181">
        <v>9371</v>
      </c>
      <c r="JWE240" s="181">
        <v>9372</v>
      </c>
      <c r="JWF240" s="181">
        <v>9373</v>
      </c>
      <c r="JWG240" s="181">
        <v>9374</v>
      </c>
      <c r="JWH240" s="181">
        <v>9375</v>
      </c>
      <c r="JWI240" s="181">
        <v>9376</v>
      </c>
      <c r="JWJ240" s="181">
        <v>9377</v>
      </c>
      <c r="JWK240" s="181">
        <v>9378</v>
      </c>
      <c r="JWL240" s="181">
        <v>9379</v>
      </c>
      <c r="JWM240" s="181">
        <v>9380</v>
      </c>
      <c r="JWN240" s="181">
        <v>9381</v>
      </c>
      <c r="JWO240" s="181">
        <v>9382</v>
      </c>
      <c r="JWP240" s="181">
        <v>9383</v>
      </c>
      <c r="JWQ240" s="181">
        <v>9384</v>
      </c>
      <c r="JWR240" s="181">
        <v>9385</v>
      </c>
      <c r="JWS240" s="181">
        <v>9386</v>
      </c>
      <c r="JWT240" s="181">
        <v>9387</v>
      </c>
      <c r="JWU240" s="181">
        <v>9388</v>
      </c>
      <c r="JWV240" s="181">
        <v>9389</v>
      </c>
      <c r="JWW240" s="181">
        <v>9390</v>
      </c>
      <c r="JWX240" s="181">
        <v>9391</v>
      </c>
      <c r="JWY240" s="181">
        <v>9392</v>
      </c>
      <c r="JWZ240" s="181">
        <v>9393</v>
      </c>
      <c r="JXA240" s="181">
        <v>9394</v>
      </c>
      <c r="JXB240" s="181">
        <v>9395</v>
      </c>
      <c r="JXC240" s="181">
        <v>9396</v>
      </c>
      <c r="JXD240" s="181">
        <v>9397</v>
      </c>
      <c r="JXE240" s="181">
        <v>9398</v>
      </c>
      <c r="JXF240" s="181">
        <v>9399</v>
      </c>
      <c r="JXG240" s="181">
        <v>9400</v>
      </c>
      <c r="JXH240" s="181">
        <v>9401</v>
      </c>
      <c r="JXI240" s="181">
        <v>9402</v>
      </c>
      <c r="JXJ240" s="181">
        <v>9403</v>
      </c>
      <c r="JXK240" s="181">
        <v>9404</v>
      </c>
      <c r="JXL240" s="181">
        <v>9405</v>
      </c>
      <c r="JXM240" s="181">
        <v>9406</v>
      </c>
      <c r="JXN240" s="181">
        <v>9407</v>
      </c>
      <c r="JXO240" s="181">
        <v>9408</v>
      </c>
      <c r="JXP240" s="181">
        <v>9409</v>
      </c>
      <c r="JXQ240" s="181">
        <v>9410</v>
      </c>
      <c r="JXR240" s="181">
        <v>9411</v>
      </c>
      <c r="JXS240" s="181">
        <v>9412</v>
      </c>
      <c r="JXT240" s="181">
        <v>9413</v>
      </c>
      <c r="JXU240" s="181">
        <v>9414</v>
      </c>
      <c r="JXV240" s="181">
        <v>9415</v>
      </c>
      <c r="JXW240" s="181">
        <v>9416</v>
      </c>
      <c r="JXX240" s="181">
        <v>9417</v>
      </c>
      <c r="JXY240" s="181">
        <v>9418</v>
      </c>
      <c r="JXZ240" s="181">
        <v>9419</v>
      </c>
      <c r="JYA240" s="181">
        <v>9420</v>
      </c>
      <c r="JYB240" s="181">
        <v>9421</v>
      </c>
      <c r="JYC240" s="181">
        <v>9422</v>
      </c>
      <c r="JYD240" s="181">
        <v>9423</v>
      </c>
      <c r="JYE240" s="181">
        <v>9424</v>
      </c>
      <c r="JYF240" s="181">
        <v>9425</v>
      </c>
      <c r="JYG240" s="181">
        <v>9426</v>
      </c>
      <c r="JYH240" s="181">
        <v>9427</v>
      </c>
      <c r="JYI240" s="181">
        <v>9428</v>
      </c>
      <c r="JYJ240" s="181">
        <v>9429</v>
      </c>
      <c r="JYK240" s="181">
        <v>9430</v>
      </c>
      <c r="JYL240" s="181">
        <v>9431</v>
      </c>
      <c r="JYM240" s="181">
        <v>9432</v>
      </c>
      <c r="JYN240" s="181">
        <v>9433</v>
      </c>
      <c r="JYO240" s="181">
        <v>9434</v>
      </c>
      <c r="JYP240" s="181">
        <v>9435</v>
      </c>
      <c r="JYQ240" s="181">
        <v>9436</v>
      </c>
      <c r="JYR240" s="181">
        <v>9437</v>
      </c>
      <c r="JYS240" s="181">
        <v>9438</v>
      </c>
      <c r="JYT240" s="181">
        <v>9439</v>
      </c>
      <c r="JYU240" s="181">
        <v>9440</v>
      </c>
      <c r="JYV240" s="181">
        <v>9441</v>
      </c>
      <c r="JYW240" s="181">
        <v>9442</v>
      </c>
      <c r="JYX240" s="181">
        <v>9443</v>
      </c>
      <c r="JYY240" s="181">
        <v>9444</v>
      </c>
      <c r="JYZ240" s="181">
        <v>9445</v>
      </c>
      <c r="JZA240" s="181">
        <v>9446</v>
      </c>
      <c r="JZB240" s="181">
        <v>9447</v>
      </c>
      <c r="JZC240" s="181">
        <v>9448</v>
      </c>
      <c r="JZD240" s="181">
        <v>9449</v>
      </c>
      <c r="JZE240" s="181">
        <v>9450</v>
      </c>
      <c r="JZF240" s="181">
        <v>9451</v>
      </c>
      <c r="JZG240" s="181">
        <v>9452</v>
      </c>
      <c r="JZH240" s="181">
        <v>9453</v>
      </c>
      <c r="JZI240" s="181">
        <v>9454</v>
      </c>
      <c r="JZJ240" s="181">
        <v>9455</v>
      </c>
      <c r="JZK240" s="181">
        <v>9456</v>
      </c>
      <c r="JZL240" s="181">
        <v>9457</v>
      </c>
      <c r="JZM240" s="181">
        <v>9458</v>
      </c>
      <c r="JZN240" s="181">
        <v>9459</v>
      </c>
      <c r="JZO240" s="181">
        <v>9460</v>
      </c>
      <c r="JZP240" s="181">
        <v>9461</v>
      </c>
      <c r="JZQ240" s="181">
        <v>9462</v>
      </c>
      <c r="JZR240" s="181">
        <v>9463</v>
      </c>
      <c r="JZS240" s="181">
        <v>9464</v>
      </c>
      <c r="JZT240" s="181">
        <v>9465</v>
      </c>
      <c r="JZU240" s="181">
        <v>9466</v>
      </c>
      <c r="JZV240" s="181">
        <v>9467</v>
      </c>
      <c r="JZW240" s="181">
        <v>9468</v>
      </c>
      <c r="JZX240" s="181">
        <v>9469</v>
      </c>
      <c r="JZY240" s="181">
        <v>9470</v>
      </c>
      <c r="JZZ240" s="181">
        <v>9471</v>
      </c>
      <c r="KAA240" s="181">
        <v>9472</v>
      </c>
      <c r="KAB240" s="181">
        <v>9473</v>
      </c>
      <c r="KAC240" s="181">
        <v>9474</v>
      </c>
      <c r="KAD240" s="181">
        <v>9475</v>
      </c>
      <c r="KAE240" s="181">
        <v>9476</v>
      </c>
      <c r="KAF240" s="181">
        <v>9477</v>
      </c>
      <c r="KAG240" s="181">
        <v>9478</v>
      </c>
      <c r="KAH240" s="181">
        <v>9479</v>
      </c>
      <c r="KAI240" s="181">
        <v>9480</v>
      </c>
      <c r="KAJ240" s="181">
        <v>9481</v>
      </c>
      <c r="KAK240" s="181">
        <v>9482</v>
      </c>
      <c r="KAL240" s="181">
        <v>9483</v>
      </c>
      <c r="KAM240" s="181">
        <v>9484</v>
      </c>
      <c r="KAN240" s="181">
        <v>9485</v>
      </c>
      <c r="KAO240" s="181">
        <v>9486</v>
      </c>
      <c r="KAP240" s="181">
        <v>9487</v>
      </c>
      <c r="KAQ240" s="181">
        <v>9488</v>
      </c>
      <c r="KAR240" s="181">
        <v>9489</v>
      </c>
      <c r="KAS240" s="181">
        <v>9490</v>
      </c>
      <c r="KAT240" s="181">
        <v>9491</v>
      </c>
      <c r="KAU240" s="181">
        <v>9492</v>
      </c>
      <c r="KAV240" s="181">
        <v>9493</v>
      </c>
      <c r="KAW240" s="181">
        <v>9494</v>
      </c>
      <c r="KAX240" s="181">
        <v>9495</v>
      </c>
      <c r="KAY240" s="181">
        <v>9496</v>
      </c>
      <c r="KAZ240" s="181">
        <v>9497</v>
      </c>
      <c r="KBA240" s="181">
        <v>9498</v>
      </c>
      <c r="KBB240" s="181">
        <v>9499</v>
      </c>
      <c r="KBC240" s="181">
        <v>9500</v>
      </c>
      <c r="KBD240" s="181">
        <v>9501</v>
      </c>
      <c r="KBE240" s="181">
        <v>9502</v>
      </c>
      <c r="KBF240" s="181">
        <v>9503</v>
      </c>
      <c r="KBG240" s="181">
        <v>9504</v>
      </c>
      <c r="KBH240" s="181">
        <v>9505</v>
      </c>
      <c r="KBI240" s="181">
        <v>9506</v>
      </c>
      <c r="KBJ240" s="181">
        <v>9507</v>
      </c>
      <c r="KBK240" s="181">
        <v>9508</v>
      </c>
      <c r="KBL240" s="181">
        <v>9509</v>
      </c>
      <c r="KBM240" s="181">
        <v>9510</v>
      </c>
      <c r="KBN240" s="181">
        <v>9511</v>
      </c>
      <c r="KBO240" s="181">
        <v>9512</v>
      </c>
      <c r="KBP240" s="181">
        <v>9513</v>
      </c>
      <c r="KBQ240" s="181">
        <v>9514</v>
      </c>
      <c r="KBR240" s="181">
        <v>9515</v>
      </c>
      <c r="KBS240" s="181">
        <v>9516</v>
      </c>
      <c r="KBT240" s="181">
        <v>9517</v>
      </c>
      <c r="KBU240" s="181">
        <v>9518</v>
      </c>
      <c r="KBV240" s="181">
        <v>9519</v>
      </c>
      <c r="KBW240" s="181">
        <v>9520</v>
      </c>
      <c r="KBX240" s="181">
        <v>9521</v>
      </c>
      <c r="KBY240" s="181">
        <v>9522</v>
      </c>
      <c r="KBZ240" s="181">
        <v>9523</v>
      </c>
      <c r="KCA240" s="181">
        <v>9524</v>
      </c>
      <c r="KCB240" s="181">
        <v>9525</v>
      </c>
      <c r="KCC240" s="181">
        <v>9526</v>
      </c>
      <c r="KCD240" s="181">
        <v>9527</v>
      </c>
      <c r="KCE240" s="181">
        <v>9528</v>
      </c>
      <c r="KCF240" s="181">
        <v>9529</v>
      </c>
      <c r="KCG240" s="181">
        <v>9530</v>
      </c>
      <c r="KCH240" s="181">
        <v>9531</v>
      </c>
      <c r="KCI240" s="181">
        <v>9532</v>
      </c>
      <c r="KCJ240" s="181">
        <v>9533</v>
      </c>
      <c r="KCK240" s="181">
        <v>9534</v>
      </c>
      <c r="KCL240" s="181">
        <v>9535</v>
      </c>
      <c r="KCM240" s="181">
        <v>9536</v>
      </c>
      <c r="KCN240" s="181">
        <v>9537</v>
      </c>
      <c r="KCO240" s="181">
        <v>9538</v>
      </c>
      <c r="KCP240" s="181">
        <v>9539</v>
      </c>
      <c r="KCQ240" s="181">
        <v>9540</v>
      </c>
      <c r="KCR240" s="181">
        <v>9541</v>
      </c>
      <c r="KCS240" s="181">
        <v>9542</v>
      </c>
      <c r="KCT240" s="181">
        <v>9543</v>
      </c>
      <c r="KCU240" s="181">
        <v>9544</v>
      </c>
      <c r="KCV240" s="181">
        <v>9545</v>
      </c>
      <c r="KCW240" s="181">
        <v>9546</v>
      </c>
      <c r="KCX240" s="181">
        <v>9547</v>
      </c>
      <c r="KCY240" s="181">
        <v>9548</v>
      </c>
      <c r="KCZ240" s="181">
        <v>9549</v>
      </c>
      <c r="KDA240" s="181">
        <v>9550</v>
      </c>
      <c r="KDB240" s="181">
        <v>9551</v>
      </c>
      <c r="KDC240" s="181">
        <v>9552</v>
      </c>
      <c r="KDD240" s="181">
        <v>9553</v>
      </c>
      <c r="KDE240" s="181">
        <v>9554</v>
      </c>
      <c r="KDF240" s="181">
        <v>9555</v>
      </c>
      <c r="KDG240" s="181">
        <v>9556</v>
      </c>
      <c r="KDH240" s="181">
        <v>9557</v>
      </c>
      <c r="KDI240" s="181">
        <v>9558</v>
      </c>
      <c r="KDJ240" s="181">
        <v>9559</v>
      </c>
      <c r="KDK240" s="181">
        <v>9560</v>
      </c>
      <c r="KDL240" s="181">
        <v>9561</v>
      </c>
      <c r="KDM240" s="181">
        <v>9562</v>
      </c>
      <c r="KDN240" s="181">
        <v>9563</v>
      </c>
      <c r="KDO240" s="181">
        <v>9564</v>
      </c>
      <c r="KDP240" s="181">
        <v>9565</v>
      </c>
      <c r="KDQ240" s="181">
        <v>9566</v>
      </c>
      <c r="KDR240" s="181">
        <v>9567</v>
      </c>
      <c r="KDS240" s="181">
        <v>9568</v>
      </c>
      <c r="KDT240" s="181">
        <v>9569</v>
      </c>
      <c r="KDU240" s="181">
        <v>9570</v>
      </c>
      <c r="KDV240" s="181">
        <v>9571</v>
      </c>
      <c r="KDW240" s="181">
        <v>9572</v>
      </c>
      <c r="KDX240" s="181">
        <v>9573</v>
      </c>
      <c r="KDY240" s="181">
        <v>9574</v>
      </c>
      <c r="KDZ240" s="181">
        <v>9575</v>
      </c>
      <c r="KEA240" s="181">
        <v>9576</v>
      </c>
      <c r="KEB240" s="181">
        <v>9577</v>
      </c>
      <c r="KEC240" s="181">
        <v>9578</v>
      </c>
      <c r="KED240" s="181">
        <v>9579</v>
      </c>
      <c r="KEE240" s="181">
        <v>9580</v>
      </c>
      <c r="KEF240" s="181">
        <v>9581</v>
      </c>
      <c r="KEG240" s="181">
        <v>9582</v>
      </c>
      <c r="KEH240" s="181">
        <v>9583</v>
      </c>
      <c r="KEI240" s="181">
        <v>9584</v>
      </c>
      <c r="KEJ240" s="181">
        <v>9585</v>
      </c>
      <c r="KEK240" s="181">
        <v>9586</v>
      </c>
      <c r="KEL240" s="181">
        <v>9587</v>
      </c>
      <c r="KEM240" s="181">
        <v>9588</v>
      </c>
      <c r="KEN240" s="181">
        <v>9589</v>
      </c>
      <c r="KEO240" s="181">
        <v>9590</v>
      </c>
      <c r="KEP240" s="181">
        <v>9591</v>
      </c>
      <c r="KEQ240" s="181">
        <v>9592</v>
      </c>
      <c r="KER240" s="181">
        <v>9593</v>
      </c>
      <c r="KES240" s="181">
        <v>9594</v>
      </c>
      <c r="KET240" s="181">
        <v>9595</v>
      </c>
      <c r="KEU240" s="181">
        <v>9596</v>
      </c>
      <c r="KEV240" s="181">
        <v>9597</v>
      </c>
      <c r="KEW240" s="181">
        <v>9598</v>
      </c>
      <c r="KEX240" s="181">
        <v>9599</v>
      </c>
      <c r="KEY240" s="181">
        <v>9600</v>
      </c>
      <c r="KEZ240" s="181">
        <v>9601</v>
      </c>
      <c r="KFA240" s="181">
        <v>9602</v>
      </c>
      <c r="KFB240" s="181">
        <v>9603</v>
      </c>
      <c r="KFC240" s="181">
        <v>9604</v>
      </c>
      <c r="KFD240" s="181">
        <v>9605</v>
      </c>
      <c r="KFE240" s="181">
        <v>9606</v>
      </c>
      <c r="KFF240" s="181">
        <v>9607</v>
      </c>
      <c r="KFG240" s="181">
        <v>9608</v>
      </c>
      <c r="KFH240" s="181">
        <v>9609</v>
      </c>
      <c r="KFI240" s="181">
        <v>9610</v>
      </c>
      <c r="KFJ240" s="181">
        <v>9611</v>
      </c>
      <c r="KFK240" s="181">
        <v>9612</v>
      </c>
      <c r="KFL240" s="181">
        <v>9613</v>
      </c>
      <c r="KFM240" s="181">
        <v>9614</v>
      </c>
      <c r="KFN240" s="181">
        <v>9615</v>
      </c>
      <c r="KFO240" s="181">
        <v>9616</v>
      </c>
      <c r="KFP240" s="181">
        <v>9617</v>
      </c>
      <c r="KFQ240" s="181">
        <v>9618</v>
      </c>
      <c r="KFR240" s="181">
        <v>9619</v>
      </c>
      <c r="KFS240" s="181">
        <v>9620</v>
      </c>
      <c r="KFT240" s="181">
        <v>9621</v>
      </c>
      <c r="KFU240" s="181">
        <v>9622</v>
      </c>
      <c r="KFV240" s="181">
        <v>9623</v>
      </c>
      <c r="KFW240" s="181">
        <v>9624</v>
      </c>
      <c r="KFX240" s="181">
        <v>9625</v>
      </c>
      <c r="KFY240" s="181">
        <v>9626</v>
      </c>
      <c r="KFZ240" s="181">
        <v>9627</v>
      </c>
      <c r="KGA240" s="181">
        <v>9628</v>
      </c>
      <c r="KGB240" s="181">
        <v>9629</v>
      </c>
      <c r="KGC240" s="181">
        <v>9630</v>
      </c>
      <c r="KGD240" s="181">
        <v>9631</v>
      </c>
      <c r="KGE240" s="181">
        <v>9632</v>
      </c>
      <c r="KGF240" s="181">
        <v>9633</v>
      </c>
      <c r="KGG240" s="181">
        <v>9634</v>
      </c>
      <c r="KGH240" s="181">
        <v>9635</v>
      </c>
      <c r="KGI240" s="181">
        <v>9636</v>
      </c>
      <c r="KGJ240" s="181">
        <v>9637</v>
      </c>
      <c r="KGK240" s="181">
        <v>9638</v>
      </c>
      <c r="KGL240" s="181">
        <v>9639</v>
      </c>
      <c r="KGM240" s="181">
        <v>9640</v>
      </c>
      <c r="KGN240" s="181">
        <v>9641</v>
      </c>
      <c r="KGO240" s="181">
        <v>9642</v>
      </c>
      <c r="KGP240" s="181">
        <v>9643</v>
      </c>
      <c r="KGQ240" s="181">
        <v>9644</v>
      </c>
      <c r="KGR240" s="181">
        <v>9645</v>
      </c>
      <c r="KGS240" s="181">
        <v>9646</v>
      </c>
      <c r="KGT240" s="181">
        <v>9647</v>
      </c>
      <c r="KGU240" s="181">
        <v>9648</v>
      </c>
      <c r="KGV240" s="181">
        <v>9649</v>
      </c>
      <c r="KGW240" s="181">
        <v>9650</v>
      </c>
      <c r="KGX240" s="181">
        <v>9651</v>
      </c>
      <c r="KGY240" s="181">
        <v>9652</v>
      </c>
      <c r="KGZ240" s="181">
        <v>9653</v>
      </c>
      <c r="KHA240" s="181">
        <v>9654</v>
      </c>
      <c r="KHB240" s="181">
        <v>9655</v>
      </c>
      <c r="KHC240" s="181">
        <v>9656</v>
      </c>
      <c r="KHD240" s="181">
        <v>9657</v>
      </c>
      <c r="KHE240" s="181">
        <v>9658</v>
      </c>
      <c r="KHF240" s="181">
        <v>9659</v>
      </c>
      <c r="KHG240" s="181">
        <v>9660</v>
      </c>
      <c r="KHH240" s="181">
        <v>9661</v>
      </c>
      <c r="KHI240" s="181">
        <v>9662</v>
      </c>
      <c r="KHJ240" s="181">
        <v>9663</v>
      </c>
      <c r="KHK240" s="181">
        <v>9664</v>
      </c>
      <c r="KHL240" s="181">
        <v>9665</v>
      </c>
      <c r="KHM240" s="181">
        <v>9666</v>
      </c>
      <c r="KHN240" s="181">
        <v>9667</v>
      </c>
      <c r="KHO240" s="181">
        <v>9668</v>
      </c>
      <c r="KHP240" s="181">
        <v>9669</v>
      </c>
      <c r="KHQ240" s="181">
        <v>9670</v>
      </c>
      <c r="KHR240" s="181">
        <v>9671</v>
      </c>
      <c r="KHS240" s="181">
        <v>9672</v>
      </c>
      <c r="KHT240" s="181">
        <v>9673</v>
      </c>
      <c r="KHU240" s="181">
        <v>9674</v>
      </c>
      <c r="KHV240" s="181">
        <v>9675</v>
      </c>
      <c r="KHW240" s="181">
        <v>9676</v>
      </c>
      <c r="KHX240" s="181">
        <v>9677</v>
      </c>
      <c r="KHY240" s="181">
        <v>9678</v>
      </c>
      <c r="KHZ240" s="181">
        <v>9679</v>
      </c>
      <c r="KIA240" s="181">
        <v>9680</v>
      </c>
      <c r="KIB240" s="181">
        <v>9681</v>
      </c>
      <c r="KIC240" s="181">
        <v>9682</v>
      </c>
      <c r="KID240" s="181">
        <v>9683</v>
      </c>
      <c r="KIE240" s="181">
        <v>9684</v>
      </c>
      <c r="KIF240" s="181">
        <v>9685</v>
      </c>
      <c r="KIG240" s="181">
        <v>9686</v>
      </c>
      <c r="KIH240" s="181">
        <v>9687</v>
      </c>
      <c r="KII240" s="181">
        <v>9688</v>
      </c>
      <c r="KIJ240" s="181">
        <v>9689</v>
      </c>
      <c r="KIK240" s="181">
        <v>9690</v>
      </c>
      <c r="KIL240" s="181">
        <v>9691</v>
      </c>
      <c r="KIM240" s="181">
        <v>9692</v>
      </c>
      <c r="KIN240" s="181">
        <v>9693</v>
      </c>
      <c r="KIO240" s="181">
        <v>9694</v>
      </c>
      <c r="KIP240" s="181">
        <v>9695</v>
      </c>
      <c r="KIQ240" s="181">
        <v>9696</v>
      </c>
      <c r="KIR240" s="181">
        <v>9697</v>
      </c>
      <c r="KIS240" s="181">
        <v>9698</v>
      </c>
      <c r="KIT240" s="181">
        <v>9699</v>
      </c>
      <c r="KIU240" s="181">
        <v>9700</v>
      </c>
      <c r="KIV240" s="181">
        <v>9701</v>
      </c>
      <c r="KIW240" s="181">
        <v>9702</v>
      </c>
      <c r="KIX240" s="181">
        <v>9703</v>
      </c>
      <c r="KIY240" s="181">
        <v>9704</v>
      </c>
      <c r="KIZ240" s="181">
        <v>9705</v>
      </c>
      <c r="KJA240" s="181">
        <v>9706</v>
      </c>
      <c r="KJB240" s="181">
        <v>9707</v>
      </c>
      <c r="KJC240" s="181">
        <v>9708</v>
      </c>
      <c r="KJD240" s="181">
        <v>9709</v>
      </c>
      <c r="KJE240" s="181">
        <v>9710</v>
      </c>
      <c r="KJF240" s="181">
        <v>9711</v>
      </c>
      <c r="KJG240" s="181">
        <v>9712</v>
      </c>
      <c r="KJH240" s="181">
        <v>9713</v>
      </c>
      <c r="KJI240" s="181">
        <v>9714</v>
      </c>
      <c r="KJJ240" s="181">
        <v>9715</v>
      </c>
      <c r="KJK240" s="181">
        <v>9716</v>
      </c>
      <c r="KJL240" s="181">
        <v>9717</v>
      </c>
      <c r="KJM240" s="181">
        <v>9718</v>
      </c>
      <c r="KJN240" s="181">
        <v>9719</v>
      </c>
      <c r="KJO240" s="181">
        <v>9720</v>
      </c>
      <c r="KJP240" s="181">
        <v>9721</v>
      </c>
      <c r="KJQ240" s="181">
        <v>9722</v>
      </c>
      <c r="KJR240" s="181">
        <v>9723</v>
      </c>
      <c r="KJS240" s="181">
        <v>9724</v>
      </c>
      <c r="KJT240" s="181">
        <v>9725</v>
      </c>
      <c r="KJU240" s="181">
        <v>9726</v>
      </c>
      <c r="KJV240" s="181">
        <v>9727</v>
      </c>
      <c r="KJW240" s="181">
        <v>9728</v>
      </c>
      <c r="KJX240" s="181">
        <v>9729</v>
      </c>
      <c r="KJY240" s="181">
        <v>9730</v>
      </c>
      <c r="KJZ240" s="181">
        <v>9731</v>
      </c>
      <c r="KKA240" s="181">
        <v>9732</v>
      </c>
      <c r="KKB240" s="181">
        <v>9733</v>
      </c>
      <c r="KKC240" s="181">
        <v>9734</v>
      </c>
      <c r="KKD240" s="181">
        <v>9735</v>
      </c>
      <c r="KKE240" s="181">
        <v>9736</v>
      </c>
      <c r="KKF240" s="181">
        <v>9737</v>
      </c>
      <c r="KKG240" s="181">
        <v>9738</v>
      </c>
      <c r="KKH240" s="181">
        <v>9739</v>
      </c>
      <c r="KKI240" s="181">
        <v>9740</v>
      </c>
      <c r="KKJ240" s="181">
        <v>9741</v>
      </c>
      <c r="KKK240" s="181">
        <v>9742</v>
      </c>
      <c r="KKL240" s="181">
        <v>9743</v>
      </c>
      <c r="KKM240" s="181">
        <v>9744</v>
      </c>
      <c r="KKN240" s="181">
        <v>9745</v>
      </c>
      <c r="KKO240" s="181">
        <v>9746</v>
      </c>
      <c r="KKP240" s="181">
        <v>9747</v>
      </c>
      <c r="KKQ240" s="181">
        <v>9748</v>
      </c>
      <c r="KKR240" s="181">
        <v>9749</v>
      </c>
      <c r="KKS240" s="181">
        <v>9750</v>
      </c>
      <c r="KKT240" s="181">
        <v>9751</v>
      </c>
      <c r="KKU240" s="181">
        <v>9752</v>
      </c>
      <c r="KKV240" s="181">
        <v>9753</v>
      </c>
      <c r="KKW240" s="181">
        <v>9754</v>
      </c>
      <c r="KKX240" s="181">
        <v>9755</v>
      </c>
      <c r="KKY240" s="181">
        <v>9756</v>
      </c>
      <c r="KKZ240" s="181">
        <v>9757</v>
      </c>
      <c r="KLA240" s="181">
        <v>9758</v>
      </c>
      <c r="KLB240" s="181">
        <v>9759</v>
      </c>
      <c r="KLC240" s="181">
        <v>9760</v>
      </c>
      <c r="KLD240" s="181">
        <v>9761</v>
      </c>
      <c r="KLE240" s="181">
        <v>9762</v>
      </c>
      <c r="KLF240" s="181">
        <v>9763</v>
      </c>
      <c r="KLG240" s="181">
        <v>9764</v>
      </c>
      <c r="KLH240" s="181">
        <v>9765</v>
      </c>
      <c r="KLI240" s="181">
        <v>9766</v>
      </c>
      <c r="KLJ240" s="181">
        <v>9767</v>
      </c>
      <c r="KLK240" s="181">
        <v>9768</v>
      </c>
      <c r="KLL240" s="181">
        <v>9769</v>
      </c>
      <c r="KLM240" s="181">
        <v>9770</v>
      </c>
      <c r="KLN240" s="181">
        <v>9771</v>
      </c>
      <c r="KLO240" s="181">
        <v>9772</v>
      </c>
      <c r="KLP240" s="181">
        <v>9773</v>
      </c>
      <c r="KLQ240" s="181">
        <v>9774</v>
      </c>
      <c r="KLR240" s="181">
        <v>9775</v>
      </c>
      <c r="KLS240" s="181">
        <v>9776</v>
      </c>
      <c r="KLT240" s="181">
        <v>9777</v>
      </c>
      <c r="KLU240" s="181">
        <v>9778</v>
      </c>
      <c r="KLV240" s="181">
        <v>9779</v>
      </c>
      <c r="KLW240" s="181">
        <v>9780</v>
      </c>
      <c r="KLX240" s="181">
        <v>9781</v>
      </c>
      <c r="KLY240" s="181">
        <v>9782</v>
      </c>
      <c r="KLZ240" s="181">
        <v>9783</v>
      </c>
      <c r="KMA240" s="181">
        <v>9784</v>
      </c>
      <c r="KMB240" s="181">
        <v>9785</v>
      </c>
      <c r="KMC240" s="181">
        <v>9786</v>
      </c>
      <c r="KMD240" s="181">
        <v>9787</v>
      </c>
      <c r="KME240" s="181">
        <v>9788</v>
      </c>
      <c r="KMF240" s="181">
        <v>9789</v>
      </c>
      <c r="KMG240" s="181">
        <v>9790</v>
      </c>
      <c r="KMH240" s="181">
        <v>9791</v>
      </c>
      <c r="KMI240" s="181">
        <v>9792</v>
      </c>
      <c r="KMJ240" s="181">
        <v>9793</v>
      </c>
      <c r="KMK240" s="181">
        <v>9794</v>
      </c>
      <c r="KML240" s="181">
        <v>9795</v>
      </c>
      <c r="KMM240" s="181">
        <v>9796</v>
      </c>
      <c r="KMN240" s="181">
        <v>9797</v>
      </c>
      <c r="KMO240" s="181">
        <v>9798</v>
      </c>
      <c r="KMP240" s="181">
        <v>9799</v>
      </c>
      <c r="KMQ240" s="181">
        <v>9800</v>
      </c>
      <c r="KMR240" s="181">
        <v>9801</v>
      </c>
      <c r="KMS240" s="181">
        <v>9802</v>
      </c>
      <c r="KMT240" s="181">
        <v>9803</v>
      </c>
      <c r="KMU240" s="181">
        <v>9804</v>
      </c>
      <c r="KMV240" s="181">
        <v>9805</v>
      </c>
      <c r="KMW240" s="181">
        <v>9806</v>
      </c>
      <c r="KMX240" s="181">
        <v>9807</v>
      </c>
      <c r="KMY240" s="181">
        <v>9808</v>
      </c>
      <c r="KMZ240" s="181">
        <v>9809</v>
      </c>
      <c r="KNA240" s="181">
        <v>9810</v>
      </c>
      <c r="KNB240" s="181">
        <v>9811</v>
      </c>
      <c r="KNC240" s="181">
        <v>9812</v>
      </c>
      <c r="KND240" s="181">
        <v>9813</v>
      </c>
      <c r="KNE240" s="181">
        <v>9814</v>
      </c>
      <c r="KNF240" s="181">
        <v>9815</v>
      </c>
      <c r="KNG240" s="181">
        <v>9816</v>
      </c>
      <c r="KNH240" s="181">
        <v>9817</v>
      </c>
      <c r="KNI240" s="181">
        <v>9818</v>
      </c>
      <c r="KNJ240" s="181">
        <v>9819</v>
      </c>
      <c r="KNK240" s="181">
        <v>9820</v>
      </c>
      <c r="KNL240" s="181">
        <v>9821</v>
      </c>
      <c r="KNM240" s="181">
        <v>9822</v>
      </c>
      <c r="KNN240" s="181">
        <v>9823</v>
      </c>
      <c r="KNO240" s="181">
        <v>9824</v>
      </c>
      <c r="KNP240" s="181">
        <v>9825</v>
      </c>
      <c r="KNQ240" s="181">
        <v>9826</v>
      </c>
      <c r="KNR240" s="181">
        <v>9827</v>
      </c>
      <c r="KNS240" s="181">
        <v>9828</v>
      </c>
      <c r="KNT240" s="181">
        <v>9829</v>
      </c>
      <c r="KNU240" s="181">
        <v>9830</v>
      </c>
      <c r="KNV240" s="181">
        <v>9831</v>
      </c>
      <c r="KNW240" s="181">
        <v>9832</v>
      </c>
      <c r="KNX240" s="181">
        <v>9833</v>
      </c>
      <c r="KNY240" s="181">
        <v>9834</v>
      </c>
      <c r="KNZ240" s="181">
        <v>9835</v>
      </c>
      <c r="KOA240" s="181">
        <v>9836</v>
      </c>
      <c r="KOB240" s="181">
        <v>9837</v>
      </c>
      <c r="KOC240" s="181">
        <v>9838</v>
      </c>
      <c r="KOD240" s="181">
        <v>9839</v>
      </c>
      <c r="KOE240" s="181">
        <v>9840</v>
      </c>
      <c r="KOF240" s="181">
        <v>9841</v>
      </c>
      <c r="KOG240" s="181">
        <v>9842</v>
      </c>
      <c r="KOH240" s="181">
        <v>9843</v>
      </c>
      <c r="KOI240" s="181">
        <v>9844</v>
      </c>
      <c r="KOJ240" s="181">
        <v>9845</v>
      </c>
      <c r="KOK240" s="181">
        <v>9846</v>
      </c>
      <c r="KOL240" s="181">
        <v>9847</v>
      </c>
      <c r="KOM240" s="181">
        <v>9848</v>
      </c>
      <c r="KON240" s="181">
        <v>9849</v>
      </c>
      <c r="KOO240" s="181">
        <v>9850</v>
      </c>
      <c r="KOP240" s="181">
        <v>9851</v>
      </c>
      <c r="KOQ240" s="181">
        <v>9852</v>
      </c>
      <c r="KOR240" s="181">
        <v>9853</v>
      </c>
      <c r="KOS240" s="181">
        <v>9854</v>
      </c>
      <c r="KOT240" s="181">
        <v>9855</v>
      </c>
      <c r="KOU240" s="181">
        <v>9856</v>
      </c>
      <c r="KOV240" s="181">
        <v>9857</v>
      </c>
      <c r="KOW240" s="181">
        <v>9858</v>
      </c>
      <c r="KOX240" s="181">
        <v>9859</v>
      </c>
      <c r="KOY240" s="181">
        <v>9860</v>
      </c>
      <c r="KOZ240" s="181">
        <v>9861</v>
      </c>
      <c r="KPA240" s="181">
        <v>9862</v>
      </c>
      <c r="KPB240" s="181">
        <v>9863</v>
      </c>
      <c r="KPC240" s="181">
        <v>9864</v>
      </c>
      <c r="KPD240" s="181">
        <v>9865</v>
      </c>
      <c r="KPE240" s="181">
        <v>9866</v>
      </c>
      <c r="KPF240" s="181">
        <v>9867</v>
      </c>
      <c r="KPG240" s="181">
        <v>9868</v>
      </c>
      <c r="KPH240" s="181">
        <v>9869</v>
      </c>
      <c r="KPI240" s="181">
        <v>9870</v>
      </c>
      <c r="KPJ240" s="181">
        <v>9871</v>
      </c>
      <c r="KPK240" s="181">
        <v>9872</v>
      </c>
      <c r="KPL240" s="181">
        <v>9873</v>
      </c>
      <c r="KPM240" s="181">
        <v>9874</v>
      </c>
      <c r="KPN240" s="181">
        <v>9875</v>
      </c>
      <c r="KPO240" s="181">
        <v>9876</v>
      </c>
      <c r="KPP240" s="181">
        <v>9877</v>
      </c>
      <c r="KPQ240" s="181">
        <v>9878</v>
      </c>
      <c r="KPR240" s="181">
        <v>9879</v>
      </c>
      <c r="KPS240" s="181">
        <v>9880</v>
      </c>
      <c r="KPT240" s="181">
        <v>9881</v>
      </c>
      <c r="KPU240" s="181">
        <v>9882</v>
      </c>
      <c r="KPV240" s="181">
        <v>9883</v>
      </c>
      <c r="KPW240" s="181">
        <v>9884</v>
      </c>
      <c r="KPX240" s="181">
        <v>9885</v>
      </c>
      <c r="KPY240" s="181">
        <v>9886</v>
      </c>
      <c r="KPZ240" s="181">
        <v>9887</v>
      </c>
      <c r="KQA240" s="181">
        <v>9888</v>
      </c>
      <c r="KQB240" s="181">
        <v>9889</v>
      </c>
      <c r="KQC240" s="181">
        <v>9890</v>
      </c>
      <c r="KQD240" s="181">
        <v>9891</v>
      </c>
      <c r="KQE240" s="181">
        <v>9892</v>
      </c>
      <c r="KQF240" s="181">
        <v>9893</v>
      </c>
      <c r="KQG240" s="181">
        <v>9894</v>
      </c>
      <c r="KQH240" s="181">
        <v>9895</v>
      </c>
      <c r="KQI240" s="181">
        <v>9896</v>
      </c>
      <c r="KQJ240" s="181">
        <v>9897</v>
      </c>
      <c r="KQK240" s="181">
        <v>9898</v>
      </c>
      <c r="KQL240" s="181">
        <v>9899</v>
      </c>
      <c r="KQM240" s="181">
        <v>9900</v>
      </c>
      <c r="KQN240" s="181">
        <v>9901</v>
      </c>
      <c r="KQO240" s="181">
        <v>9902</v>
      </c>
      <c r="KQP240" s="181">
        <v>9903</v>
      </c>
      <c r="KQQ240" s="181">
        <v>9904</v>
      </c>
      <c r="KQR240" s="181">
        <v>9905</v>
      </c>
      <c r="KQS240" s="181">
        <v>9906</v>
      </c>
      <c r="KQT240" s="181">
        <v>9907</v>
      </c>
      <c r="KQU240" s="181">
        <v>9908</v>
      </c>
      <c r="KQV240" s="181">
        <v>9909</v>
      </c>
      <c r="KQW240" s="181">
        <v>9910</v>
      </c>
      <c r="KQX240" s="181">
        <v>9911</v>
      </c>
      <c r="KQY240" s="181">
        <v>9912</v>
      </c>
      <c r="KQZ240" s="181">
        <v>9913</v>
      </c>
      <c r="KRA240" s="181">
        <v>9914</v>
      </c>
      <c r="KRB240" s="181">
        <v>9915</v>
      </c>
      <c r="KRC240" s="181">
        <v>9916</v>
      </c>
      <c r="KRD240" s="181">
        <v>9917</v>
      </c>
      <c r="KRE240" s="181">
        <v>9918</v>
      </c>
      <c r="KRF240" s="181">
        <v>9919</v>
      </c>
      <c r="KRG240" s="181">
        <v>9920</v>
      </c>
      <c r="KRH240" s="181">
        <v>9921</v>
      </c>
      <c r="KRI240" s="181">
        <v>9922</v>
      </c>
      <c r="KRJ240" s="181">
        <v>9923</v>
      </c>
      <c r="KRK240" s="181">
        <v>9924</v>
      </c>
      <c r="KRL240" s="181">
        <v>9925</v>
      </c>
      <c r="KRM240" s="181">
        <v>9926</v>
      </c>
      <c r="KRN240" s="181">
        <v>9927</v>
      </c>
      <c r="KRO240" s="181">
        <v>9928</v>
      </c>
      <c r="KRP240" s="181">
        <v>9929</v>
      </c>
      <c r="KRQ240" s="181">
        <v>9930</v>
      </c>
      <c r="KRR240" s="181">
        <v>9931</v>
      </c>
      <c r="KRS240" s="181">
        <v>9932</v>
      </c>
      <c r="KRT240" s="181">
        <v>9933</v>
      </c>
      <c r="KRU240" s="181">
        <v>9934</v>
      </c>
      <c r="KRV240" s="181">
        <v>9935</v>
      </c>
      <c r="KRW240" s="181">
        <v>9936</v>
      </c>
      <c r="KRX240" s="181">
        <v>9937</v>
      </c>
      <c r="KRY240" s="181">
        <v>9938</v>
      </c>
      <c r="KRZ240" s="181">
        <v>9939</v>
      </c>
      <c r="KSA240" s="181">
        <v>9940</v>
      </c>
      <c r="KSB240" s="181">
        <v>9941</v>
      </c>
      <c r="KSC240" s="181">
        <v>9942</v>
      </c>
      <c r="KSD240" s="181">
        <v>9943</v>
      </c>
      <c r="KSE240" s="181">
        <v>9944</v>
      </c>
      <c r="KSF240" s="181">
        <v>9945</v>
      </c>
      <c r="KSG240" s="181">
        <v>9946</v>
      </c>
      <c r="KSH240" s="181">
        <v>9947</v>
      </c>
      <c r="KSI240" s="181">
        <v>9948</v>
      </c>
      <c r="KSJ240" s="181">
        <v>9949</v>
      </c>
      <c r="KSK240" s="181">
        <v>9950</v>
      </c>
      <c r="KSL240" s="181">
        <v>9951</v>
      </c>
      <c r="KSM240" s="181">
        <v>9952</v>
      </c>
      <c r="KSN240" s="181">
        <v>9953</v>
      </c>
      <c r="KSO240" s="181">
        <v>9954</v>
      </c>
      <c r="KSP240" s="181">
        <v>9955</v>
      </c>
      <c r="KSQ240" s="181">
        <v>9956</v>
      </c>
      <c r="KSR240" s="181">
        <v>9957</v>
      </c>
      <c r="KSS240" s="181">
        <v>9958</v>
      </c>
      <c r="KST240" s="181">
        <v>9959</v>
      </c>
      <c r="KSU240" s="181">
        <v>9960</v>
      </c>
      <c r="KSV240" s="181">
        <v>9961</v>
      </c>
      <c r="KSW240" s="181">
        <v>9962</v>
      </c>
      <c r="KSX240" s="181">
        <v>9963</v>
      </c>
      <c r="KSY240" s="181">
        <v>9964</v>
      </c>
      <c r="KSZ240" s="181">
        <v>9965</v>
      </c>
      <c r="KTA240" s="181">
        <v>9966</v>
      </c>
      <c r="KTB240" s="181">
        <v>9967</v>
      </c>
      <c r="KTC240" s="181">
        <v>9968</v>
      </c>
      <c r="KTD240" s="181">
        <v>9969</v>
      </c>
      <c r="KTE240" s="181">
        <v>9970</v>
      </c>
      <c r="KTF240" s="181">
        <v>9971</v>
      </c>
      <c r="KTG240" s="181">
        <v>9972</v>
      </c>
      <c r="KTH240" s="181">
        <v>9973</v>
      </c>
      <c r="KTI240" s="181">
        <v>9974</v>
      </c>
      <c r="KTJ240" s="181">
        <v>9975</v>
      </c>
      <c r="KTK240" s="181">
        <v>9976</v>
      </c>
      <c r="KTL240" s="181">
        <v>9977</v>
      </c>
      <c r="KTM240" s="181">
        <v>9978</v>
      </c>
      <c r="KTN240" s="181">
        <v>9979</v>
      </c>
      <c r="KTO240" s="181">
        <v>9980</v>
      </c>
      <c r="KTP240" s="181">
        <v>9981</v>
      </c>
      <c r="KTQ240" s="181">
        <v>9982</v>
      </c>
      <c r="KTR240" s="181">
        <v>9983</v>
      </c>
      <c r="KTS240" s="181">
        <v>9984</v>
      </c>
      <c r="KTT240" s="181">
        <v>9985</v>
      </c>
      <c r="KTU240" s="181">
        <v>9986</v>
      </c>
      <c r="KTV240" s="181">
        <v>9987</v>
      </c>
      <c r="KTW240" s="181">
        <v>9988</v>
      </c>
      <c r="KTX240" s="181">
        <v>9989</v>
      </c>
      <c r="KTY240" s="181">
        <v>9990</v>
      </c>
      <c r="KTZ240" s="181">
        <v>9991</v>
      </c>
      <c r="KUA240" s="181">
        <v>9992</v>
      </c>
      <c r="KUB240" s="181">
        <v>9993</v>
      </c>
      <c r="KUC240" s="181">
        <v>9994</v>
      </c>
      <c r="KUD240" s="181">
        <v>9995</v>
      </c>
      <c r="KUE240" s="181">
        <v>9996</v>
      </c>
      <c r="KUF240" s="181">
        <v>9997</v>
      </c>
      <c r="KUG240" s="181">
        <v>9998</v>
      </c>
      <c r="KUH240" s="181">
        <v>9999</v>
      </c>
      <c r="KUI240" s="181">
        <v>10000</v>
      </c>
      <c r="KUJ240" s="181">
        <v>10001</v>
      </c>
      <c r="KUK240" s="181">
        <v>10002</v>
      </c>
      <c r="KUL240" s="181">
        <v>10003</v>
      </c>
      <c r="KUM240" s="181">
        <v>10004</v>
      </c>
      <c r="KUN240" s="181">
        <v>10005</v>
      </c>
      <c r="KUO240" s="181">
        <v>10006</v>
      </c>
      <c r="KUP240" s="181">
        <v>10007</v>
      </c>
      <c r="KUQ240" s="181">
        <v>10008</v>
      </c>
      <c r="KUR240" s="181">
        <v>10009</v>
      </c>
      <c r="KUS240" s="181">
        <v>10010</v>
      </c>
      <c r="KUT240" s="181">
        <v>10011</v>
      </c>
      <c r="KUU240" s="181">
        <v>10012</v>
      </c>
      <c r="KUV240" s="181">
        <v>10013</v>
      </c>
      <c r="KUW240" s="181">
        <v>10014</v>
      </c>
      <c r="KUX240" s="181">
        <v>10015</v>
      </c>
      <c r="KUY240" s="181">
        <v>10016</v>
      </c>
      <c r="KUZ240" s="181">
        <v>10017</v>
      </c>
      <c r="KVA240" s="181">
        <v>10018</v>
      </c>
      <c r="KVB240" s="181">
        <v>10019</v>
      </c>
      <c r="KVC240" s="181">
        <v>10020</v>
      </c>
      <c r="KVD240" s="181">
        <v>10021</v>
      </c>
      <c r="KVE240" s="181">
        <v>10022</v>
      </c>
      <c r="KVF240" s="181">
        <v>10023</v>
      </c>
      <c r="KVG240" s="181">
        <v>10024</v>
      </c>
      <c r="KVH240" s="181">
        <v>10025</v>
      </c>
      <c r="KVI240" s="181">
        <v>10026</v>
      </c>
      <c r="KVJ240" s="181">
        <v>10027</v>
      </c>
      <c r="KVK240" s="181">
        <v>10028</v>
      </c>
      <c r="KVL240" s="181">
        <v>10029</v>
      </c>
      <c r="KVM240" s="181">
        <v>10030</v>
      </c>
      <c r="KVN240" s="181">
        <v>10031</v>
      </c>
      <c r="KVO240" s="181">
        <v>10032</v>
      </c>
      <c r="KVP240" s="181">
        <v>10033</v>
      </c>
      <c r="KVQ240" s="181">
        <v>10034</v>
      </c>
      <c r="KVR240" s="181">
        <v>10035</v>
      </c>
      <c r="KVS240" s="181">
        <v>10036</v>
      </c>
      <c r="KVT240" s="181">
        <v>10037</v>
      </c>
      <c r="KVU240" s="181">
        <v>10038</v>
      </c>
      <c r="KVV240" s="181">
        <v>10039</v>
      </c>
      <c r="KVW240" s="181">
        <v>10040</v>
      </c>
      <c r="KVX240" s="181">
        <v>10041</v>
      </c>
      <c r="KVY240" s="181">
        <v>10042</v>
      </c>
      <c r="KVZ240" s="181">
        <v>10043</v>
      </c>
      <c r="KWA240" s="181">
        <v>10044</v>
      </c>
      <c r="KWB240" s="181">
        <v>10045</v>
      </c>
      <c r="KWC240" s="181">
        <v>10046</v>
      </c>
      <c r="KWD240" s="181">
        <v>10047</v>
      </c>
      <c r="KWE240" s="181">
        <v>10048</v>
      </c>
      <c r="KWF240" s="181">
        <v>10049</v>
      </c>
      <c r="KWG240" s="181">
        <v>10050</v>
      </c>
      <c r="KWH240" s="181">
        <v>10051</v>
      </c>
      <c r="KWI240" s="181">
        <v>10052</v>
      </c>
      <c r="KWJ240" s="181">
        <v>10053</v>
      </c>
      <c r="KWK240" s="181">
        <v>10054</v>
      </c>
      <c r="KWL240" s="181">
        <v>10055</v>
      </c>
      <c r="KWM240" s="181">
        <v>10056</v>
      </c>
      <c r="KWN240" s="181">
        <v>10057</v>
      </c>
      <c r="KWO240" s="181">
        <v>10058</v>
      </c>
      <c r="KWP240" s="181">
        <v>10059</v>
      </c>
      <c r="KWQ240" s="181">
        <v>10060</v>
      </c>
      <c r="KWR240" s="181">
        <v>10061</v>
      </c>
      <c r="KWS240" s="181">
        <v>10062</v>
      </c>
      <c r="KWT240" s="181">
        <v>10063</v>
      </c>
      <c r="KWU240" s="181">
        <v>10064</v>
      </c>
      <c r="KWV240" s="181">
        <v>10065</v>
      </c>
      <c r="KWW240" s="181">
        <v>10066</v>
      </c>
      <c r="KWX240" s="181">
        <v>10067</v>
      </c>
      <c r="KWY240" s="181">
        <v>10068</v>
      </c>
      <c r="KWZ240" s="181">
        <v>10069</v>
      </c>
      <c r="KXA240" s="181">
        <v>10070</v>
      </c>
      <c r="KXB240" s="181">
        <v>10071</v>
      </c>
      <c r="KXC240" s="181">
        <v>10072</v>
      </c>
      <c r="KXD240" s="181">
        <v>10073</v>
      </c>
      <c r="KXE240" s="181">
        <v>10074</v>
      </c>
      <c r="KXF240" s="181">
        <v>10075</v>
      </c>
      <c r="KXG240" s="181">
        <v>10076</v>
      </c>
      <c r="KXH240" s="181">
        <v>10077</v>
      </c>
      <c r="KXI240" s="181">
        <v>10078</v>
      </c>
      <c r="KXJ240" s="181">
        <v>10079</v>
      </c>
      <c r="KXK240" s="181">
        <v>10080</v>
      </c>
      <c r="KXL240" s="181">
        <v>10081</v>
      </c>
      <c r="KXM240" s="181">
        <v>10082</v>
      </c>
      <c r="KXN240" s="181">
        <v>10083</v>
      </c>
      <c r="KXO240" s="181">
        <v>10084</v>
      </c>
      <c r="KXP240" s="181">
        <v>10085</v>
      </c>
      <c r="KXQ240" s="181">
        <v>10086</v>
      </c>
      <c r="KXR240" s="181">
        <v>10087</v>
      </c>
      <c r="KXS240" s="181">
        <v>10088</v>
      </c>
      <c r="KXT240" s="181">
        <v>10089</v>
      </c>
      <c r="KXU240" s="181">
        <v>10090</v>
      </c>
      <c r="KXV240" s="181">
        <v>10091</v>
      </c>
      <c r="KXW240" s="181">
        <v>10092</v>
      </c>
      <c r="KXX240" s="181">
        <v>10093</v>
      </c>
      <c r="KXY240" s="181">
        <v>10094</v>
      </c>
      <c r="KXZ240" s="181">
        <v>10095</v>
      </c>
      <c r="KYA240" s="181">
        <v>10096</v>
      </c>
      <c r="KYB240" s="181">
        <v>10097</v>
      </c>
      <c r="KYC240" s="181">
        <v>10098</v>
      </c>
      <c r="KYD240" s="181">
        <v>10099</v>
      </c>
      <c r="KYE240" s="181">
        <v>10100</v>
      </c>
      <c r="KYF240" s="181">
        <v>10101</v>
      </c>
      <c r="KYG240" s="181">
        <v>10102</v>
      </c>
      <c r="KYH240" s="181">
        <v>10103</v>
      </c>
      <c r="KYI240" s="181">
        <v>10104</v>
      </c>
      <c r="KYJ240" s="181">
        <v>10105</v>
      </c>
      <c r="KYK240" s="181">
        <v>10106</v>
      </c>
      <c r="KYL240" s="181">
        <v>10107</v>
      </c>
      <c r="KYM240" s="181">
        <v>10108</v>
      </c>
      <c r="KYN240" s="181">
        <v>10109</v>
      </c>
      <c r="KYO240" s="181">
        <v>10110</v>
      </c>
      <c r="KYP240" s="181">
        <v>10111</v>
      </c>
      <c r="KYQ240" s="181">
        <v>10112</v>
      </c>
      <c r="KYR240" s="181">
        <v>10113</v>
      </c>
      <c r="KYS240" s="181">
        <v>10114</v>
      </c>
      <c r="KYT240" s="181">
        <v>10115</v>
      </c>
      <c r="KYU240" s="181">
        <v>10116</v>
      </c>
      <c r="KYV240" s="181">
        <v>10117</v>
      </c>
      <c r="KYW240" s="181">
        <v>10118</v>
      </c>
      <c r="KYX240" s="181">
        <v>10119</v>
      </c>
      <c r="KYY240" s="181">
        <v>10120</v>
      </c>
      <c r="KYZ240" s="181">
        <v>10121</v>
      </c>
      <c r="KZA240" s="181">
        <v>10122</v>
      </c>
      <c r="KZB240" s="181">
        <v>10123</v>
      </c>
      <c r="KZC240" s="181">
        <v>10124</v>
      </c>
      <c r="KZD240" s="181">
        <v>10125</v>
      </c>
      <c r="KZE240" s="181">
        <v>10126</v>
      </c>
      <c r="KZF240" s="181">
        <v>10127</v>
      </c>
      <c r="KZG240" s="181">
        <v>10128</v>
      </c>
      <c r="KZH240" s="181">
        <v>10129</v>
      </c>
      <c r="KZI240" s="181">
        <v>10130</v>
      </c>
      <c r="KZJ240" s="181">
        <v>10131</v>
      </c>
      <c r="KZK240" s="181">
        <v>10132</v>
      </c>
      <c r="KZL240" s="181">
        <v>10133</v>
      </c>
      <c r="KZM240" s="181">
        <v>10134</v>
      </c>
      <c r="KZN240" s="181">
        <v>10135</v>
      </c>
      <c r="KZO240" s="181">
        <v>10136</v>
      </c>
      <c r="KZP240" s="181">
        <v>10137</v>
      </c>
      <c r="KZQ240" s="181">
        <v>10138</v>
      </c>
      <c r="KZR240" s="181">
        <v>10139</v>
      </c>
      <c r="KZS240" s="181">
        <v>10140</v>
      </c>
      <c r="KZT240" s="181">
        <v>10141</v>
      </c>
      <c r="KZU240" s="181">
        <v>10142</v>
      </c>
      <c r="KZV240" s="181">
        <v>10143</v>
      </c>
      <c r="KZW240" s="181">
        <v>10144</v>
      </c>
      <c r="KZX240" s="181">
        <v>10145</v>
      </c>
      <c r="KZY240" s="181">
        <v>10146</v>
      </c>
      <c r="KZZ240" s="181">
        <v>10147</v>
      </c>
      <c r="LAA240" s="181">
        <v>10148</v>
      </c>
      <c r="LAB240" s="181">
        <v>10149</v>
      </c>
      <c r="LAC240" s="181">
        <v>10150</v>
      </c>
      <c r="LAD240" s="181">
        <v>10151</v>
      </c>
      <c r="LAE240" s="181">
        <v>10152</v>
      </c>
      <c r="LAF240" s="181">
        <v>10153</v>
      </c>
      <c r="LAG240" s="181">
        <v>10154</v>
      </c>
      <c r="LAH240" s="181">
        <v>10155</v>
      </c>
      <c r="LAI240" s="181">
        <v>10156</v>
      </c>
      <c r="LAJ240" s="181">
        <v>10157</v>
      </c>
      <c r="LAK240" s="181">
        <v>10158</v>
      </c>
      <c r="LAL240" s="181">
        <v>10159</v>
      </c>
      <c r="LAM240" s="181">
        <v>10160</v>
      </c>
      <c r="LAN240" s="181">
        <v>10161</v>
      </c>
      <c r="LAO240" s="181">
        <v>10162</v>
      </c>
      <c r="LAP240" s="181">
        <v>10163</v>
      </c>
      <c r="LAQ240" s="181">
        <v>10164</v>
      </c>
      <c r="LAR240" s="181">
        <v>10165</v>
      </c>
      <c r="LAS240" s="181">
        <v>10166</v>
      </c>
      <c r="LAT240" s="181">
        <v>10167</v>
      </c>
      <c r="LAU240" s="181">
        <v>10168</v>
      </c>
      <c r="LAV240" s="181">
        <v>10169</v>
      </c>
      <c r="LAW240" s="181">
        <v>10170</v>
      </c>
      <c r="LAX240" s="181">
        <v>10171</v>
      </c>
      <c r="LAY240" s="181">
        <v>10172</v>
      </c>
      <c r="LAZ240" s="181">
        <v>10173</v>
      </c>
      <c r="LBA240" s="181">
        <v>10174</v>
      </c>
      <c r="LBB240" s="181">
        <v>10175</v>
      </c>
      <c r="LBC240" s="181">
        <v>10176</v>
      </c>
      <c r="LBD240" s="181">
        <v>10177</v>
      </c>
      <c r="LBE240" s="181">
        <v>10178</v>
      </c>
      <c r="LBF240" s="181">
        <v>10179</v>
      </c>
      <c r="LBG240" s="181">
        <v>10180</v>
      </c>
      <c r="LBH240" s="181">
        <v>10181</v>
      </c>
      <c r="LBI240" s="181">
        <v>10182</v>
      </c>
      <c r="LBJ240" s="181">
        <v>10183</v>
      </c>
      <c r="LBK240" s="181">
        <v>10184</v>
      </c>
      <c r="LBL240" s="181">
        <v>10185</v>
      </c>
      <c r="LBM240" s="181">
        <v>10186</v>
      </c>
      <c r="LBN240" s="181">
        <v>10187</v>
      </c>
      <c r="LBO240" s="181">
        <v>10188</v>
      </c>
      <c r="LBP240" s="181">
        <v>10189</v>
      </c>
      <c r="LBQ240" s="181">
        <v>10190</v>
      </c>
      <c r="LBR240" s="181">
        <v>10191</v>
      </c>
      <c r="LBS240" s="181">
        <v>10192</v>
      </c>
      <c r="LBT240" s="181">
        <v>10193</v>
      </c>
      <c r="LBU240" s="181">
        <v>10194</v>
      </c>
      <c r="LBV240" s="181">
        <v>10195</v>
      </c>
      <c r="LBW240" s="181">
        <v>10196</v>
      </c>
      <c r="LBX240" s="181">
        <v>10197</v>
      </c>
      <c r="LBY240" s="181">
        <v>10198</v>
      </c>
      <c r="LBZ240" s="181">
        <v>10199</v>
      </c>
      <c r="LCA240" s="181">
        <v>10200</v>
      </c>
      <c r="LCB240" s="181">
        <v>10201</v>
      </c>
      <c r="LCC240" s="181">
        <v>10202</v>
      </c>
      <c r="LCD240" s="181">
        <v>10203</v>
      </c>
      <c r="LCE240" s="181">
        <v>10204</v>
      </c>
      <c r="LCF240" s="181">
        <v>10205</v>
      </c>
      <c r="LCG240" s="181">
        <v>10206</v>
      </c>
      <c r="LCH240" s="181">
        <v>10207</v>
      </c>
      <c r="LCI240" s="181">
        <v>10208</v>
      </c>
      <c r="LCJ240" s="181">
        <v>10209</v>
      </c>
      <c r="LCK240" s="181">
        <v>10210</v>
      </c>
      <c r="LCL240" s="181">
        <v>10211</v>
      </c>
      <c r="LCM240" s="181">
        <v>10212</v>
      </c>
      <c r="LCN240" s="181">
        <v>10213</v>
      </c>
      <c r="LCO240" s="181">
        <v>10214</v>
      </c>
      <c r="LCP240" s="181">
        <v>10215</v>
      </c>
      <c r="LCQ240" s="181">
        <v>10216</v>
      </c>
      <c r="LCR240" s="181">
        <v>10217</v>
      </c>
      <c r="LCS240" s="181">
        <v>10218</v>
      </c>
      <c r="LCT240" s="181">
        <v>10219</v>
      </c>
      <c r="LCU240" s="181">
        <v>10220</v>
      </c>
      <c r="LCV240" s="181">
        <v>10221</v>
      </c>
      <c r="LCW240" s="181">
        <v>10222</v>
      </c>
      <c r="LCX240" s="181">
        <v>10223</v>
      </c>
      <c r="LCY240" s="181">
        <v>10224</v>
      </c>
      <c r="LCZ240" s="181">
        <v>10225</v>
      </c>
      <c r="LDA240" s="181">
        <v>10226</v>
      </c>
      <c r="LDB240" s="181">
        <v>10227</v>
      </c>
      <c r="LDC240" s="181">
        <v>10228</v>
      </c>
      <c r="LDD240" s="181">
        <v>10229</v>
      </c>
      <c r="LDE240" s="181">
        <v>10230</v>
      </c>
      <c r="LDF240" s="181">
        <v>10231</v>
      </c>
      <c r="LDG240" s="181">
        <v>10232</v>
      </c>
      <c r="LDH240" s="181">
        <v>10233</v>
      </c>
      <c r="LDI240" s="181">
        <v>10234</v>
      </c>
      <c r="LDJ240" s="181">
        <v>10235</v>
      </c>
      <c r="LDK240" s="181">
        <v>10236</v>
      </c>
      <c r="LDL240" s="181">
        <v>10237</v>
      </c>
      <c r="LDM240" s="181">
        <v>10238</v>
      </c>
      <c r="LDN240" s="181">
        <v>10239</v>
      </c>
      <c r="LDO240" s="181">
        <v>10240</v>
      </c>
      <c r="LDP240" s="181">
        <v>10241</v>
      </c>
      <c r="LDQ240" s="181">
        <v>10242</v>
      </c>
      <c r="LDR240" s="181">
        <v>10243</v>
      </c>
      <c r="LDS240" s="181">
        <v>10244</v>
      </c>
      <c r="LDT240" s="181">
        <v>10245</v>
      </c>
      <c r="LDU240" s="181">
        <v>10246</v>
      </c>
      <c r="LDV240" s="181">
        <v>10247</v>
      </c>
      <c r="LDW240" s="181">
        <v>10248</v>
      </c>
      <c r="LDX240" s="181">
        <v>10249</v>
      </c>
      <c r="LDY240" s="181">
        <v>10250</v>
      </c>
      <c r="LDZ240" s="181">
        <v>10251</v>
      </c>
      <c r="LEA240" s="181">
        <v>10252</v>
      </c>
      <c r="LEB240" s="181">
        <v>10253</v>
      </c>
      <c r="LEC240" s="181">
        <v>10254</v>
      </c>
      <c r="LED240" s="181">
        <v>10255</v>
      </c>
      <c r="LEE240" s="181">
        <v>10256</v>
      </c>
      <c r="LEF240" s="181">
        <v>10257</v>
      </c>
      <c r="LEG240" s="181">
        <v>10258</v>
      </c>
      <c r="LEH240" s="181">
        <v>10259</v>
      </c>
      <c r="LEI240" s="181">
        <v>10260</v>
      </c>
      <c r="LEJ240" s="181">
        <v>10261</v>
      </c>
      <c r="LEK240" s="181">
        <v>10262</v>
      </c>
      <c r="LEL240" s="181">
        <v>10263</v>
      </c>
      <c r="LEM240" s="181">
        <v>10264</v>
      </c>
      <c r="LEN240" s="181">
        <v>10265</v>
      </c>
      <c r="LEO240" s="181">
        <v>10266</v>
      </c>
      <c r="LEP240" s="181">
        <v>10267</v>
      </c>
      <c r="LEQ240" s="181">
        <v>10268</v>
      </c>
      <c r="LER240" s="181">
        <v>10269</v>
      </c>
      <c r="LES240" s="181">
        <v>10270</v>
      </c>
      <c r="LET240" s="181">
        <v>10271</v>
      </c>
      <c r="LEU240" s="181">
        <v>10272</v>
      </c>
      <c r="LEV240" s="181">
        <v>10273</v>
      </c>
      <c r="LEW240" s="181">
        <v>10274</v>
      </c>
      <c r="LEX240" s="181">
        <v>10275</v>
      </c>
      <c r="LEY240" s="181">
        <v>10276</v>
      </c>
      <c r="LEZ240" s="181">
        <v>10277</v>
      </c>
      <c r="LFA240" s="181">
        <v>10278</v>
      </c>
      <c r="LFB240" s="181">
        <v>10279</v>
      </c>
      <c r="LFC240" s="181">
        <v>10280</v>
      </c>
      <c r="LFD240" s="181">
        <v>10281</v>
      </c>
      <c r="LFE240" s="181">
        <v>10282</v>
      </c>
      <c r="LFF240" s="181">
        <v>10283</v>
      </c>
      <c r="LFG240" s="181">
        <v>10284</v>
      </c>
      <c r="LFH240" s="181">
        <v>10285</v>
      </c>
      <c r="LFI240" s="181">
        <v>10286</v>
      </c>
      <c r="LFJ240" s="181">
        <v>10287</v>
      </c>
      <c r="LFK240" s="181">
        <v>10288</v>
      </c>
      <c r="LFL240" s="181">
        <v>10289</v>
      </c>
      <c r="LFM240" s="181">
        <v>10290</v>
      </c>
      <c r="LFN240" s="181">
        <v>10291</v>
      </c>
      <c r="LFO240" s="181">
        <v>10292</v>
      </c>
      <c r="LFP240" s="181">
        <v>10293</v>
      </c>
      <c r="LFQ240" s="181">
        <v>10294</v>
      </c>
      <c r="LFR240" s="181">
        <v>10295</v>
      </c>
      <c r="LFS240" s="181">
        <v>10296</v>
      </c>
      <c r="LFT240" s="181">
        <v>10297</v>
      </c>
      <c r="LFU240" s="181">
        <v>10298</v>
      </c>
      <c r="LFV240" s="181">
        <v>10299</v>
      </c>
      <c r="LFW240" s="181">
        <v>10300</v>
      </c>
      <c r="LFX240" s="181">
        <v>10301</v>
      </c>
      <c r="LFY240" s="181">
        <v>10302</v>
      </c>
      <c r="LFZ240" s="181">
        <v>10303</v>
      </c>
      <c r="LGA240" s="181">
        <v>10304</v>
      </c>
      <c r="LGB240" s="181">
        <v>10305</v>
      </c>
      <c r="LGC240" s="181">
        <v>10306</v>
      </c>
      <c r="LGD240" s="181">
        <v>10307</v>
      </c>
      <c r="LGE240" s="181">
        <v>10308</v>
      </c>
      <c r="LGF240" s="181">
        <v>10309</v>
      </c>
      <c r="LGG240" s="181">
        <v>10310</v>
      </c>
      <c r="LGH240" s="181">
        <v>10311</v>
      </c>
      <c r="LGI240" s="181">
        <v>10312</v>
      </c>
      <c r="LGJ240" s="181">
        <v>10313</v>
      </c>
      <c r="LGK240" s="181">
        <v>10314</v>
      </c>
      <c r="LGL240" s="181">
        <v>10315</v>
      </c>
      <c r="LGM240" s="181">
        <v>10316</v>
      </c>
      <c r="LGN240" s="181">
        <v>10317</v>
      </c>
      <c r="LGO240" s="181">
        <v>10318</v>
      </c>
      <c r="LGP240" s="181">
        <v>10319</v>
      </c>
      <c r="LGQ240" s="181">
        <v>10320</v>
      </c>
      <c r="LGR240" s="181">
        <v>10321</v>
      </c>
      <c r="LGS240" s="181">
        <v>10322</v>
      </c>
      <c r="LGT240" s="181">
        <v>10323</v>
      </c>
      <c r="LGU240" s="181">
        <v>10324</v>
      </c>
      <c r="LGV240" s="181">
        <v>10325</v>
      </c>
      <c r="LGW240" s="181">
        <v>10326</v>
      </c>
      <c r="LGX240" s="181">
        <v>10327</v>
      </c>
      <c r="LGY240" s="181">
        <v>10328</v>
      </c>
      <c r="LGZ240" s="181">
        <v>10329</v>
      </c>
      <c r="LHA240" s="181">
        <v>10330</v>
      </c>
      <c r="LHB240" s="181">
        <v>10331</v>
      </c>
      <c r="LHC240" s="181">
        <v>10332</v>
      </c>
      <c r="LHD240" s="181">
        <v>10333</v>
      </c>
      <c r="LHE240" s="181">
        <v>10334</v>
      </c>
      <c r="LHF240" s="181">
        <v>10335</v>
      </c>
      <c r="LHG240" s="181">
        <v>10336</v>
      </c>
      <c r="LHH240" s="181">
        <v>10337</v>
      </c>
      <c r="LHI240" s="181">
        <v>10338</v>
      </c>
      <c r="LHJ240" s="181">
        <v>10339</v>
      </c>
      <c r="LHK240" s="181">
        <v>10340</v>
      </c>
      <c r="LHL240" s="181">
        <v>10341</v>
      </c>
      <c r="LHM240" s="181">
        <v>10342</v>
      </c>
      <c r="LHN240" s="181">
        <v>10343</v>
      </c>
      <c r="LHO240" s="181">
        <v>10344</v>
      </c>
      <c r="LHP240" s="181">
        <v>10345</v>
      </c>
      <c r="LHQ240" s="181">
        <v>10346</v>
      </c>
      <c r="LHR240" s="181">
        <v>10347</v>
      </c>
      <c r="LHS240" s="181">
        <v>10348</v>
      </c>
      <c r="LHT240" s="181">
        <v>10349</v>
      </c>
      <c r="LHU240" s="181">
        <v>10350</v>
      </c>
      <c r="LHV240" s="181">
        <v>10351</v>
      </c>
      <c r="LHW240" s="181">
        <v>10352</v>
      </c>
      <c r="LHX240" s="181">
        <v>10353</v>
      </c>
      <c r="LHY240" s="181">
        <v>10354</v>
      </c>
      <c r="LHZ240" s="181">
        <v>10355</v>
      </c>
      <c r="LIA240" s="181">
        <v>10356</v>
      </c>
      <c r="LIB240" s="181">
        <v>10357</v>
      </c>
      <c r="LIC240" s="181">
        <v>10358</v>
      </c>
      <c r="LID240" s="181">
        <v>10359</v>
      </c>
      <c r="LIE240" s="181">
        <v>10360</v>
      </c>
      <c r="LIF240" s="181">
        <v>10361</v>
      </c>
      <c r="LIG240" s="181">
        <v>10362</v>
      </c>
      <c r="LIH240" s="181">
        <v>10363</v>
      </c>
      <c r="LII240" s="181">
        <v>10364</v>
      </c>
      <c r="LIJ240" s="181">
        <v>10365</v>
      </c>
      <c r="LIK240" s="181">
        <v>10366</v>
      </c>
      <c r="LIL240" s="181">
        <v>10367</v>
      </c>
      <c r="LIM240" s="181">
        <v>10368</v>
      </c>
      <c r="LIN240" s="181">
        <v>10369</v>
      </c>
      <c r="LIO240" s="181">
        <v>10370</v>
      </c>
      <c r="LIP240" s="181">
        <v>10371</v>
      </c>
      <c r="LIQ240" s="181">
        <v>10372</v>
      </c>
      <c r="LIR240" s="181">
        <v>10373</v>
      </c>
      <c r="LIS240" s="181">
        <v>10374</v>
      </c>
      <c r="LIT240" s="181">
        <v>10375</v>
      </c>
      <c r="LIU240" s="181">
        <v>10376</v>
      </c>
      <c r="LIV240" s="181">
        <v>10377</v>
      </c>
      <c r="LIW240" s="181">
        <v>10378</v>
      </c>
      <c r="LIX240" s="181">
        <v>10379</v>
      </c>
      <c r="LIY240" s="181">
        <v>10380</v>
      </c>
      <c r="LIZ240" s="181">
        <v>10381</v>
      </c>
      <c r="LJA240" s="181">
        <v>10382</v>
      </c>
      <c r="LJB240" s="181">
        <v>10383</v>
      </c>
      <c r="LJC240" s="181">
        <v>10384</v>
      </c>
      <c r="LJD240" s="181">
        <v>10385</v>
      </c>
      <c r="LJE240" s="181">
        <v>10386</v>
      </c>
      <c r="LJF240" s="181">
        <v>10387</v>
      </c>
      <c r="LJG240" s="181">
        <v>10388</v>
      </c>
      <c r="LJH240" s="181">
        <v>10389</v>
      </c>
      <c r="LJI240" s="181">
        <v>10390</v>
      </c>
      <c r="LJJ240" s="181">
        <v>10391</v>
      </c>
      <c r="LJK240" s="181">
        <v>10392</v>
      </c>
      <c r="LJL240" s="181">
        <v>10393</v>
      </c>
      <c r="LJM240" s="181">
        <v>10394</v>
      </c>
      <c r="LJN240" s="181">
        <v>10395</v>
      </c>
      <c r="LJO240" s="181">
        <v>10396</v>
      </c>
      <c r="LJP240" s="181">
        <v>10397</v>
      </c>
      <c r="LJQ240" s="181">
        <v>10398</v>
      </c>
      <c r="LJR240" s="181">
        <v>10399</v>
      </c>
      <c r="LJS240" s="181">
        <v>10400</v>
      </c>
      <c r="LJT240" s="181">
        <v>10401</v>
      </c>
      <c r="LJU240" s="181">
        <v>10402</v>
      </c>
      <c r="LJV240" s="181">
        <v>10403</v>
      </c>
      <c r="LJW240" s="181">
        <v>10404</v>
      </c>
      <c r="LJX240" s="181">
        <v>10405</v>
      </c>
      <c r="LJY240" s="181">
        <v>10406</v>
      </c>
      <c r="LJZ240" s="181">
        <v>10407</v>
      </c>
      <c r="LKA240" s="181">
        <v>10408</v>
      </c>
      <c r="LKB240" s="181">
        <v>10409</v>
      </c>
      <c r="LKC240" s="181">
        <v>10410</v>
      </c>
      <c r="LKD240" s="181">
        <v>10411</v>
      </c>
      <c r="LKE240" s="181">
        <v>10412</v>
      </c>
      <c r="LKF240" s="181">
        <v>10413</v>
      </c>
      <c r="LKG240" s="181">
        <v>10414</v>
      </c>
      <c r="LKH240" s="181">
        <v>10415</v>
      </c>
      <c r="LKI240" s="181">
        <v>10416</v>
      </c>
      <c r="LKJ240" s="181">
        <v>10417</v>
      </c>
      <c r="LKK240" s="181">
        <v>10418</v>
      </c>
      <c r="LKL240" s="181">
        <v>10419</v>
      </c>
      <c r="LKM240" s="181">
        <v>10420</v>
      </c>
      <c r="LKN240" s="181">
        <v>10421</v>
      </c>
      <c r="LKO240" s="181">
        <v>10422</v>
      </c>
      <c r="LKP240" s="181">
        <v>10423</v>
      </c>
      <c r="LKQ240" s="181">
        <v>10424</v>
      </c>
      <c r="LKR240" s="181">
        <v>10425</v>
      </c>
      <c r="LKS240" s="181">
        <v>10426</v>
      </c>
      <c r="LKT240" s="181">
        <v>10427</v>
      </c>
      <c r="LKU240" s="181">
        <v>10428</v>
      </c>
      <c r="LKV240" s="181">
        <v>10429</v>
      </c>
      <c r="LKW240" s="181">
        <v>10430</v>
      </c>
      <c r="LKX240" s="181">
        <v>10431</v>
      </c>
      <c r="LKY240" s="181">
        <v>10432</v>
      </c>
      <c r="LKZ240" s="181">
        <v>10433</v>
      </c>
      <c r="LLA240" s="181">
        <v>10434</v>
      </c>
      <c r="LLB240" s="181">
        <v>10435</v>
      </c>
      <c r="LLC240" s="181">
        <v>10436</v>
      </c>
      <c r="LLD240" s="181">
        <v>10437</v>
      </c>
      <c r="LLE240" s="181">
        <v>10438</v>
      </c>
      <c r="LLF240" s="181">
        <v>10439</v>
      </c>
      <c r="LLG240" s="181">
        <v>10440</v>
      </c>
      <c r="LLH240" s="181">
        <v>10441</v>
      </c>
      <c r="LLI240" s="181">
        <v>10442</v>
      </c>
      <c r="LLJ240" s="181">
        <v>10443</v>
      </c>
      <c r="LLK240" s="181">
        <v>10444</v>
      </c>
      <c r="LLL240" s="181">
        <v>10445</v>
      </c>
      <c r="LLM240" s="181">
        <v>10446</v>
      </c>
      <c r="LLN240" s="181">
        <v>10447</v>
      </c>
      <c r="LLO240" s="181">
        <v>10448</v>
      </c>
      <c r="LLP240" s="181">
        <v>10449</v>
      </c>
      <c r="LLQ240" s="181">
        <v>10450</v>
      </c>
      <c r="LLR240" s="181">
        <v>10451</v>
      </c>
      <c r="LLS240" s="181">
        <v>10452</v>
      </c>
      <c r="LLT240" s="181">
        <v>10453</v>
      </c>
      <c r="LLU240" s="181">
        <v>10454</v>
      </c>
      <c r="LLV240" s="181">
        <v>10455</v>
      </c>
      <c r="LLW240" s="181">
        <v>10456</v>
      </c>
      <c r="LLX240" s="181">
        <v>10457</v>
      </c>
      <c r="LLY240" s="181">
        <v>10458</v>
      </c>
      <c r="LLZ240" s="181">
        <v>10459</v>
      </c>
      <c r="LMA240" s="181">
        <v>10460</v>
      </c>
      <c r="LMB240" s="181">
        <v>10461</v>
      </c>
      <c r="LMC240" s="181">
        <v>10462</v>
      </c>
      <c r="LMD240" s="181">
        <v>10463</v>
      </c>
      <c r="LME240" s="181">
        <v>10464</v>
      </c>
      <c r="LMF240" s="181">
        <v>10465</v>
      </c>
      <c r="LMG240" s="181">
        <v>10466</v>
      </c>
      <c r="LMH240" s="181">
        <v>10467</v>
      </c>
      <c r="LMI240" s="181">
        <v>10468</v>
      </c>
      <c r="LMJ240" s="181">
        <v>10469</v>
      </c>
      <c r="LMK240" s="181">
        <v>10470</v>
      </c>
      <c r="LML240" s="181">
        <v>10471</v>
      </c>
      <c r="LMM240" s="181">
        <v>10472</v>
      </c>
      <c r="LMN240" s="181">
        <v>10473</v>
      </c>
      <c r="LMO240" s="181">
        <v>10474</v>
      </c>
      <c r="LMP240" s="181">
        <v>10475</v>
      </c>
      <c r="LMQ240" s="181">
        <v>10476</v>
      </c>
      <c r="LMR240" s="181">
        <v>10477</v>
      </c>
      <c r="LMS240" s="181">
        <v>10478</v>
      </c>
      <c r="LMT240" s="181">
        <v>10479</v>
      </c>
      <c r="LMU240" s="181">
        <v>10480</v>
      </c>
      <c r="LMV240" s="181">
        <v>10481</v>
      </c>
      <c r="LMW240" s="181">
        <v>10482</v>
      </c>
      <c r="LMX240" s="181">
        <v>10483</v>
      </c>
      <c r="LMY240" s="181">
        <v>10484</v>
      </c>
      <c r="LMZ240" s="181">
        <v>10485</v>
      </c>
      <c r="LNA240" s="181">
        <v>10486</v>
      </c>
      <c r="LNB240" s="181">
        <v>10487</v>
      </c>
      <c r="LNC240" s="181">
        <v>10488</v>
      </c>
      <c r="LND240" s="181">
        <v>10489</v>
      </c>
      <c r="LNE240" s="181">
        <v>10490</v>
      </c>
      <c r="LNF240" s="181">
        <v>10491</v>
      </c>
      <c r="LNG240" s="181">
        <v>10492</v>
      </c>
      <c r="LNH240" s="181">
        <v>10493</v>
      </c>
      <c r="LNI240" s="181">
        <v>10494</v>
      </c>
      <c r="LNJ240" s="181">
        <v>10495</v>
      </c>
      <c r="LNK240" s="181">
        <v>10496</v>
      </c>
      <c r="LNL240" s="181">
        <v>10497</v>
      </c>
      <c r="LNM240" s="181">
        <v>10498</v>
      </c>
      <c r="LNN240" s="181">
        <v>10499</v>
      </c>
      <c r="LNO240" s="181">
        <v>10500</v>
      </c>
      <c r="LNP240" s="181">
        <v>10501</v>
      </c>
      <c r="LNQ240" s="181">
        <v>10502</v>
      </c>
      <c r="LNR240" s="181">
        <v>10503</v>
      </c>
      <c r="LNS240" s="181">
        <v>10504</v>
      </c>
      <c r="LNT240" s="181">
        <v>10505</v>
      </c>
      <c r="LNU240" s="181">
        <v>10506</v>
      </c>
      <c r="LNV240" s="181">
        <v>10507</v>
      </c>
      <c r="LNW240" s="181">
        <v>10508</v>
      </c>
      <c r="LNX240" s="181">
        <v>10509</v>
      </c>
      <c r="LNY240" s="181">
        <v>10510</v>
      </c>
      <c r="LNZ240" s="181">
        <v>10511</v>
      </c>
      <c r="LOA240" s="181">
        <v>10512</v>
      </c>
      <c r="LOB240" s="181">
        <v>10513</v>
      </c>
      <c r="LOC240" s="181">
        <v>10514</v>
      </c>
      <c r="LOD240" s="181">
        <v>10515</v>
      </c>
      <c r="LOE240" s="181">
        <v>10516</v>
      </c>
      <c r="LOF240" s="181">
        <v>10517</v>
      </c>
      <c r="LOG240" s="181">
        <v>10518</v>
      </c>
      <c r="LOH240" s="181">
        <v>10519</v>
      </c>
      <c r="LOI240" s="181">
        <v>10520</v>
      </c>
      <c r="LOJ240" s="181">
        <v>10521</v>
      </c>
      <c r="LOK240" s="181">
        <v>10522</v>
      </c>
      <c r="LOL240" s="181">
        <v>10523</v>
      </c>
      <c r="LOM240" s="181">
        <v>10524</v>
      </c>
      <c r="LON240" s="181">
        <v>10525</v>
      </c>
      <c r="LOO240" s="181">
        <v>10526</v>
      </c>
      <c r="LOP240" s="181">
        <v>10527</v>
      </c>
      <c r="LOQ240" s="181">
        <v>10528</v>
      </c>
      <c r="LOR240" s="181">
        <v>10529</v>
      </c>
      <c r="LOS240" s="181">
        <v>10530</v>
      </c>
      <c r="LOT240" s="181">
        <v>10531</v>
      </c>
      <c r="LOU240" s="181">
        <v>10532</v>
      </c>
      <c r="LOV240" s="181">
        <v>10533</v>
      </c>
      <c r="LOW240" s="181">
        <v>10534</v>
      </c>
      <c r="LOX240" s="181">
        <v>10535</v>
      </c>
      <c r="LOY240" s="181">
        <v>10536</v>
      </c>
      <c r="LOZ240" s="181">
        <v>10537</v>
      </c>
      <c r="LPA240" s="181">
        <v>10538</v>
      </c>
      <c r="LPB240" s="181">
        <v>10539</v>
      </c>
      <c r="LPC240" s="181">
        <v>10540</v>
      </c>
      <c r="LPD240" s="181">
        <v>10541</v>
      </c>
      <c r="LPE240" s="181">
        <v>10542</v>
      </c>
      <c r="LPF240" s="181">
        <v>10543</v>
      </c>
      <c r="LPG240" s="181">
        <v>10544</v>
      </c>
      <c r="LPH240" s="181">
        <v>10545</v>
      </c>
      <c r="LPI240" s="181">
        <v>10546</v>
      </c>
      <c r="LPJ240" s="181">
        <v>10547</v>
      </c>
      <c r="LPK240" s="181">
        <v>10548</v>
      </c>
      <c r="LPL240" s="181">
        <v>10549</v>
      </c>
      <c r="LPM240" s="181">
        <v>10550</v>
      </c>
      <c r="LPN240" s="181">
        <v>10551</v>
      </c>
      <c r="LPO240" s="181">
        <v>10552</v>
      </c>
      <c r="LPP240" s="181">
        <v>10553</v>
      </c>
      <c r="LPQ240" s="181">
        <v>10554</v>
      </c>
      <c r="LPR240" s="181">
        <v>10555</v>
      </c>
      <c r="LPS240" s="181">
        <v>10556</v>
      </c>
      <c r="LPT240" s="181">
        <v>10557</v>
      </c>
      <c r="LPU240" s="181">
        <v>10558</v>
      </c>
      <c r="LPV240" s="181">
        <v>10559</v>
      </c>
      <c r="LPW240" s="181">
        <v>10560</v>
      </c>
      <c r="LPX240" s="181">
        <v>10561</v>
      </c>
      <c r="LPY240" s="181">
        <v>10562</v>
      </c>
      <c r="LPZ240" s="181">
        <v>10563</v>
      </c>
      <c r="LQA240" s="181">
        <v>10564</v>
      </c>
      <c r="LQB240" s="181">
        <v>10565</v>
      </c>
      <c r="LQC240" s="181">
        <v>10566</v>
      </c>
      <c r="LQD240" s="181">
        <v>10567</v>
      </c>
      <c r="LQE240" s="181">
        <v>10568</v>
      </c>
      <c r="LQF240" s="181">
        <v>10569</v>
      </c>
      <c r="LQG240" s="181">
        <v>10570</v>
      </c>
      <c r="LQH240" s="181">
        <v>10571</v>
      </c>
      <c r="LQI240" s="181">
        <v>10572</v>
      </c>
      <c r="LQJ240" s="181">
        <v>10573</v>
      </c>
      <c r="LQK240" s="181">
        <v>10574</v>
      </c>
      <c r="LQL240" s="181">
        <v>10575</v>
      </c>
      <c r="LQM240" s="181">
        <v>10576</v>
      </c>
      <c r="LQN240" s="181">
        <v>10577</v>
      </c>
      <c r="LQO240" s="181">
        <v>10578</v>
      </c>
      <c r="LQP240" s="181">
        <v>10579</v>
      </c>
      <c r="LQQ240" s="181">
        <v>10580</v>
      </c>
      <c r="LQR240" s="181">
        <v>10581</v>
      </c>
      <c r="LQS240" s="181">
        <v>10582</v>
      </c>
      <c r="LQT240" s="181">
        <v>10583</v>
      </c>
      <c r="LQU240" s="181">
        <v>10584</v>
      </c>
      <c r="LQV240" s="181">
        <v>10585</v>
      </c>
      <c r="LQW240" s="181">
        <v>10586</v>
      </c>
      <c r="LQX240" s="181">
        <v>10587</v>
      </c>
      <c r="LQY240" s="181">
        <v>10588</v>
      </c>
      <c r="LQZ240" s="181">
        <v>10589</v>
      </c>
      <c r="LRA240" s="181">
        <v>10590</v>
      </c>
      <c r="LRB240" s="181">
        <v>10591</v>
      </c>
      <c r="LRC240" s="181">
        <v>10592</v>
      </c>
      <c r="LRD240" s="181">
        <v>10593</v>
      </c>
      <c r="LRE240" s="181">
        <v>10594</v>
      </c>
      <c r="LRF240" s="181">
        <v>10595</v>
      </c>
      <c r="LRG240" s="181">
        <v>10596</v>
      </c>
      <c r="LRH240" s="181">
        <v>10597</v>
      </c>
      <c r="LRI240" s="181">
        <v>10598</v>
      </c>
      <c r="LRJ240" s="181">
        <v>10599</v>
      </c>
      <c r="LRK240" s="181">
        <v>10600</v>
      </c>
      <c r="LRL240" s="181">
        <v>10601</v>
      </c>
      <c r="LRM240" s="181">
        <v>10602</v>
      </c>
      <c r="LRN240" s="181">
        <v>10603</v>
      </c>
      <c r="LRO240" s="181">
        <v>10604</v>
      </c>
      <c r="LRP240" s="181">
        <v>10605</v>
      </c>
      <c r="LRQ240" s="181">
        <v>10606</v>
      </c>
      <c r="LRR240" s="181">
        <v>10607</v>
      </c>
      <c r="LRS240" s="181">
        <v>10608</v>
      </c>
      <c r="LRT240" s="181">
        <v>10609</v>
      </c>
      <c r="LRU240" s="181">
        <v>10610</v>
      </c>
      <c r="LRV240" s="181">
        <v>10611</v>
      </c>
      <c r="LRW240" s="181">
        <v>10612</v>
      </c>
      <c r="LRX240" s="181">
        <v>10613</v>
      </c>
      <c r="LRY240" s="181">
        <v>10614</v>
      </c>
      <c r="LRZ240" s="181">
        <v>10615</v>
      </c>
      <c r="LSA240" s="181">
        <v>10616</v>
      </c>
      <c r="LSB240" s="181">
        <v>10617</v>
      </c>
      <c r="LSC240" s="181">
        <v>10618</v>
      </c>
      <c r="LSD240" s="181">
        <v>10619</v>
      </c>
      <c r="LSE240" s="181">
        <v>10620</v>
      </c>
      <c r="LSF240" s="181">
        <v>10621</v>
      </c>
      <c r="LSG240" s="181">
        <v>10622</v>
      </c>
      <c r="LSH240" s="181">
        <v>10623</v>
      </c>
      <c r="LSI240" s="181">
        <v>10624</v>
      </c>
      <c r="LSJ240" s="181">
        <v>10625</v>
      </c>
      <c r="LSK240" s="181">
        <v>10626</v>
      </c>
      <c r="LSL240" s="181">
        <v>10627</v>
      </c>
      <c r="LSM240" s="181">
        <v>10628</v>
      </c>
      <c r="LSN240" s="181">
        <v>10629</v>
      </c>
      <c r="LSO240" s="181">
        <v>10630</v>
      </c>
      <c r="LSP240" s="181">
        <v>10631</v>
      </c>
      <c r="LSQ240" s="181">
        <v>10632</v>
      </c>
      <c r="LSR240" s="181">
        <v>10633</v>
      </c>
      <c r="LSS240" s="181">
        <v>10634</v>
      </c>
      <c r="LST240" s="181">
        <v>10635</v>
      </c>
      <c r="LSU240" s="181">
        <v>10636</v>
      </c>
      <c r="LSV240" s="181">
        <v>10637</v>
      </c>
      <c r="LSW240" s="181">
        <v>10638</v>
      </c>
      <c r="LSX240" s="181">
        <v>10639</v>
      </c>
      <c r="LSY240" s="181">
        <v>10640</v>
      </c>
      <c r="LSZ240" s="181">
        <v>10641</v>
      </c>
      <c r="LTA240" s="181">
        <v>10642</v>
      </c>
      <c r="LTB240" s="181">
        <v>10643</v>
      </c>
      <c r="LTC240" s="181">
        <v>10644</v>
      </c>
      <c r="LTD240" s="181">
        <v>10645</v>
      </c>
      <c r="LTE240" s="181">
        <v>10646</v>
      </c>
      <c r="LTF240" s="181">
        <v>10647</v>
      </c>
      <c r="LTG240" s="181">
        <v>10648</v>
      </c>
      <c r="LTH240" s="181">
        <v>10649</v>
      </c>
      <c r="LTI240" s="181">
        <v>10650</v>
      </c>
      <c r="LTJ240" s="181">
        <v>10651</v>
      </c>
      <c r="LTK240" s="181">
        <v>10652</v>
      </c>
      <c r="LTL240" s="181">
        <v>10653</v>
      </c>
      <c r="LTM240" s="181">
        <v>10654</v>
      </c>
      <c r="LTN240" s="181">
        <v>10655</v>
      </c>
      <c r="LTO240" s="181">
        <v>10656</v>
      </c>
      <c r="LTP240" s="181">
        <v>10657</v>
      </c>
      <c r="LTQ240" s="181">
        <v>10658</v>
      </c>
      <c r="LTR240" s="181">
        <v>10659</v>
      </c>
      <c r="LTS240" s="181">
        <v>10660</v>
      </c>
      <c r="LTT240" s="181">
        <v>10661</v>
      </c>
      <c r="LTU240" s="181">
        <v>10662</v>
      </c>
      <c r="LTV240" s="181">
        <v>10663</v>
      </c>
      <c r="LTW240" s="181">
        <v>10664</v>
      </c>
      <c r="LTX240" s="181">
        <v>10665</v>
      </c>
      <c r="LTY240" s="181">
        <v>10666</v>
      </c>
      <c r="LTZ240" s="181">
        <v>10667</v>
      </c>
      <c r="LUA240" s="181">
        <v>10668</v>
      </c>
      <c r="LUB240" s="181">
        <v>10669</v>
      </c>
      <c r="LUC240" s="181">
        <v>10670</v>
      </c>
      <c r="LUD240" s="181">
        <v>10671</v>
      </c>
      <c r="LUE240" s="181">
        <v>10672</v>
      </c>
      <c r="LUF240" s="181">
        <v>10673</v>
      </c>
      <c r="LUG240" s="181">
        <v>10674</v>
      </c>
      <c r="LUH240" s="181">
        <v>10675</v>
      </c>
      <c r="LUI240" s="181">
        <v>10676</v>
      </c>
      <c r="LUJ240" s="181">
        <v>10677</v>
      </c>
      <c r="LUK240" s="181">
        <v>10678</v>
      </c>
      <c r="LUL240" s="181">
        <v>10679</v>
      </c>
      <c r="LUM240" s="181">
        <v>10680</v>
      </c>
      <c r="LUN240" s="181">
        <v>10681</v>
      </c>
      <c r="LUO240" s="181">
        <v>10682</v>
      </c>
      <c r="LUP240" s="181">
        <v>10683</v>
      </c>
      <c r="LUQ240" s="181">
        <v>10684</v>
      </c>
      <c r="LUR240" s="181">
        <v>10685</v>
      </c>
      <c r="LUS240" s="181">
        <v>10686</v>
      </c>
      <c r="LUT240" s="181">
        <v>10687</v>
      </c>
      <c r="LUU240" s="181">
        <v>10688</v>
      </c>
      <c r="LUV240" s="181">
        <v>10689</v>
      </c>
      <c r="LUW240" s="181">
        <v>10690</v>
      </c>
      <c r="LUX240" s="181">
        <v>10691</v>
      </c>
      <c r="LUY240" s="181">
        <v>10692</v>
      </c>
      <c r="LUZ240" s="181">
        <v>10693</v>
      </c>
      <c r="LVA240" s="181">
        <v>10694</v>
      </c>
      <c r="LVB240" s="181">
        <v>10695</v>
      </c>
      <c r="LVC240" s="181">
        <v>10696</v>
      </c>
      <c r="LVD240" s="181">
        <v>10697</v>
      </c>
      <c r="LVE240" s="181">
        <v>10698</v>
      </c>
      <c r="LVF240" s="181">
        <v>10699</v>
      </c>
      <c r="LVG240" s="181">
        <v>10700</v>
      </c>
      <c r="LVH240" s="181">
        <v>10701</v>
      </c>
      <c r="LVI240" s="181">
        <v>10702</v>
      </c>
      <c r="LVJ240" s="181">
        <v>10703</v>
      </c>
      <c r="LVK240" s="181">
        <v>10704</v>
      </c>
      <c r="LVL240" s="181">
        <v>10705</v>
      </c>
      <c r="LVM240" s="181">
        <v>10706</v>
      </c>
      <c r="LVN240" s="181">
        <v>10707</v>
      </c>
      <c r="LVO240" s="181">
        <v>10708</v>
      </c>
      <c r="LVP240" s="181">
        <v>10709</v>
      </c>
      <c r="LVQ240" s="181">
        <v>10710</v>
      </c>
      <c r="LVR240" s="181">
        <v>10711</v>
      </c>
      <c r="LVS240" s="181">
        <v>10712</v>
      </c>
      <c r="LVT240" s="181">
        <v>10713</v>
      </c>
      <c r="LVU240" s="181">
        <v>10714</v>
      </c>
      <c r="LVV240" s="181">
        <v>10715</v>
      </c>
      <c r="LVW240" s="181">
        <v>10716</v>
      </c>
      <c r="LVX240" s="181">
        <v>10717</v>
      </c>
      <c r="LVY240" s="181">
        <v>10718</v>
      </c>
      <c r="LVZ240" s="181">
        <v>10719</v>
      </c>
      <c r="LWA240" s="181">
        <v>10720</v>
      </c>
      <c r="LWB240" s="181">
        <v>10721</v>
      </c>
      <c r="LWC240" s="181">
        <v>10722</v>
      </c>
      <c r="LWD240" s="181">
        <v>10723</v>
      </c>
      <c r="LWE240" s="181">
        <v>10724</v>
      </c>
      <c r="LWF240" s="181">
        <v>10725</v>
      </c>
      <c r="LWG240" s="181">
        <v>10726</v>
      </c>
      <c r="LWH240" s="181">
        <v>10727</v>
      </c>
      <c r="LWI240" s="181">
        <v>10728</v>
      </c>
      <c r="LWJ240" s="181">
        <v>10729</v>
      </c>
      <c r="LWK240" s="181">
        <v>10730</v>
      </c>
      <c r="LWL240" s="181">
        <v>10731</v>
      </c>
      <c r="LWM240" s="181">
        <v>10732</v>
      </c>
      <c r="LWN240" s="181">
        <v>10733</v>
      </c>
      <c r="LWO240" s="181">
        <v>10734</v>
      </c>
      <c r="LWP240" s="181">
        <v>10735</v>
      </c>
      <c r="LWQ240" s="181">
        <v>10736</v>
      </c>
      <c r="LWR240" s="181">
        <v>10737</v>
      </c>
      <c r="LWS240" s="181">
        <v>10738</v>
      </c>
      <c r="LWT240" s="181">
        <v>10739</v>
      </c>
      <c r="LWU240" s="181">
        <v>10740</v>
      </c>
      <c r="LWV240" s="181">
        <v>10741</v>
      </c>
      <c r="LWW240" s="181">
        <v>10742</v>
      </c>
      <c r="LWX240" s="181">
        <v>10743</v>
      </c>
      <c r="LWY240" s="181">
        <v>10744</v>
      </c>
      <c r="LWZ240" s="181">
        <v>10745</v>
      </c>
      <c r="LXA240" s="181">
        <v>10746</v>
      </c>
      <c r="LXB240" s="181">
        <v>10747</v>
      </c>
      <c r="LXC240" s="181">
        <v>10748</v>
      </c>
      <c r="LXD240" s="181">
        <v>10749</v>
      </c>
      <c r="LXE240" s="181">
        <v>10750</v>
      </c>
      <c r="LXF240" s="181">
        <v>10751</v>
      </c>
      <c r="LXG240" s="181">
        <v>10752</v>
      </c>
      <c r="LXH240" s="181">
        <v>10753</v>
      </c>
      <c r="LXI240" s="181">
        <v>10754</v>
      </c>
      <c r="LXJ240" s="181">
        <v>10755</v>
      </c>
      <c r="LXK240" s="181">
        <v>10756</v>
      </c>
      <c r="LXL240" s="181">
        <v>10757</v>
      </c>
      <c r="LXM240" s="181">
        <v>10758</v>
      </c>
      <c r="LXN240" s="181">
        <v>10759</v>
      </c>
      <c r="LXO240" s="181">
        <v>10760</v>
      </c>
      <c r="LXP240" s="181">
        <v>10761</v>
      </c>
      <c r="LXQ240" s="181">
        <v>10762</v>
      </c>
      <c r="LXR240" s="181">
        <v>10763</v>
      </c>
      <c r="LXS240" s="181">
        <v>10764</v>
      </c>
      <c r="LXT240" s="181">
        <v>10765</v>
      </c>
      <c r="LXU240" s="181">
        <v>10766</v>
      </c>
      <c r="LXV240" s="181">
        <v>10767</v>
      </c>
      <c r="LXW240" s="181">
        <v>10768</v>
      </c>
      <c r="LXX240" s="181">
        <v>10769</v>
      </c>
      <c r="LXY240" s="181">
        <v>10770</v>
      </c>
      <c r="LXZ240" s="181">
        <v>10771</v>
      </c>
      <c r="LYA240" s="181">
        <v>10772</v>
      </c>
      <c r="LYB240" s="181">
        <v>10773</v>
      </c>
      <c r="LYC240" s="181">
        <v>10774</v>
      </c>
      <c r="LYD240" s="181">
        <v>10775</v>
      </c>
      <c r="LYE240" s="181">
        <v>10776</v>
      </c>
      <c r="LYF240" s="181">
        <v>10777</v>
      </c>
      <c r="LYG240" s="181">
        <v>10778</v>
      </c>
      <c r="LYH240" s="181">
        <v>10779</v>
      </c>
      <c r="LYI240" s="181">
        <v>10780</v>
      </c>
      <c r="LYJ240" s="181">
        <v>10781</v>
      </c>
      <c r="LYK240" s="181">
        <v>10782</v>
      </c>
      <c r="LYL240" s="181">
        <v>10783</v>
      </c>
      <c r="LYM240" s="181">
        <v>10784</v>
      </c>
      <c r="LYN240" s="181">
        <v>10785</v>
      </c>
      <c r="LYO240" s="181">
        <v>10786</v>
      </c>
      <c r="LYP240" s="181">
        <v>10787</v>
      </c>
      <c r="LYQ240" s="181">
        <v>10788</v>
      </c>
      <c r="LYR240" s="181">
        <v>10789</v>
      </c>
      <c r="LYS240" s="181">
        <v>10790</v>
      </c>
      <c r="LYT240" s="181">
        <v>10791</v>
      </c>
      <c r="LYU240" s="181">
        <v>10792</v>
      </c>
      <c r="LYV240" s="181">
        <v>10793</v>
      </c>
      <c r="LYW240" s="181">
        <v>10794</v>
      </c>
      <c r="LYX240" s="181">
        <v>10795</v>
      </c>
      <c r="LYY240" s="181">
        <v>10796</v>
      </c>
      <c r="LYZ240" s="181">
        <v>10797</v>
      </c>
      <c r="LZA240" s="181">
        <v>10798</v>
      </c>
      <c r="LZB240" s="181">
        <v>10799</v>
      </c>
      <c r="LZC240" s="181">
        <v>10800</v>
      </c>
      <c r="LZD240" s="181">
        <v>10801</v>
      </c>
      <c r="LZE240" s="181">
        <v>10802</v>
      </c>
      <c r="LZF240" s="181">
        <v>10803</v>
      </c>
      <c r="LZG240" s="181">
        <v>10804</v>
      </c>
      <c r="LZH240" s="181">
        <v>10805</v>
      </c>
      <c r="LZI240" s="181">
        <v>10806</v>
      </c>
      <c r="LZJ240" s="181">
        <v>10807</v>
      </c>
      <c r="LZK240" s="181">
        <v>10808</v>
      </c>
      <c r="LZL240" s="181">
        <v>10809</v>
      </c>
      <c r="LZM240" s="181">
        <v>10810</v>
      </c>
      <c r="LZN240" s="181">
        <v>10811</v>
      </c>
      <c r="LZO240" s="181">
        <v>10812</v>
      </c>
      <c r="LZP240" s="181">
        <v>10813</v>
      </c>
      <c r="LZQ240" s="181">
        <v>10814</v>
      </c>
      <c r="LZR240" s="181">
        <v>10815</v>
      </c>
      <c r="LZS240" s="181">
        <v>10816</v>
      </c>
      <c r="LZT240" s="181">
        <v>10817</v>
      </c>
      <c r="LZU240" s="181">
        <v>10818</v>
      </c>
      <c r="LZV240" s="181">
        <v>10819</v>
      </c>
      <c r="LZW240" s="181">
        <v>10820</v>
      </c>
      <c r="LZX240" s="181">
        <v>10821</v>
      </c>
      <c r="LZY240" s="181">
        <v>10822</v>
      </c>
      <c r="LZZ240" s="181">
        <v>10823</v>
      </c>
      <c r="MAA240" s="181">
        <v>10824</v>
      </c>
      <c r="MAB240" s="181">
        <v>10825</v>
      </c>
      <c r="MAC240" s="181">
        <v>10826</v>
      </c>
      <c r="MAD240" s="181">
        <v>10827</v>
      </c>
      <c r="MAE240" s="181">
        <v>10828</v>
      </c>
      <c r="MAF240" s="181">
        <v>10829</v>
      </c>
      <c r="MAG240" s="181">
        <v>10830</v>
      </c>
      <c r="MAH240" s="181">
        <v>10831</v>
      </c>
      <c r="MAI240" s="181">
        <v>10832</v>
      </c>
      <c r="MAJ240" s="181">
        <v>10833</v>
      </c>
      <c r="MAK240" s="181">
        <v>10834</v>
      </c>
      <c r="MAL240" s="181">
        <v>10835</v>
      </c>
      <c r="MAM240" s="181">
        <v>10836</v>
      </c>
      <c r="MAN240" s="181">
        <v>10837</v>
      </c>
      <c r="MAO240" s="181">
        <v>10838</v>
      </c>
      <c r="MAP240" s="181">
        <v>10839</v>
      </c>
      <c r="MAQ240" s="181">
        <v>10840</v>
      </c>
      <c r="MAR240" s="181">
        <v>10841</v>
      </c>
      <c r="MAS240" s="181">
        <v>10842</v>
      </c>
      <c r="MAT240" s="181">
        <v>10843</v>
      </c>
      <c r="MAU240" s="181">
        <v>10844</v>
      </c>
      <c r="MAV240" s="181">
        <v>10845</v>
      </c>
      <c r="MAW240" s="181">
        <v>10846</v>
      </c>
      <c r="MAX240" s="181">
        <v>10847</v>
      </c>
      <c r="MAY240" s="181">
        <v>10848</v>
      </c>
      <c r="MAZ240" s="181">
        <v>10849</v>
      </c>
      <c r="MBA240" s="181">
        <v>10850</v>
      </c>
      <c r="MBB240" s="181">
        <v>10851</v>
      </c>
      <c r="MBC240" s="181">
        <v>10852</v>
      </c>
      <c r="MBD240" s="181">
        <v>10853</v>
      </c>
      <c r="MBE240" s="181">
        <v>10854</v>
      </c>
      <c r="MBF240" s="181">
        <v>10855</v>
      </c>
      <c r="MBG240" s="181">
        <v>10856</v>
      </c>
      <c r="MBH240" s="181">
        <v>10857</v>
      </c>
      <c r="MBI240" s="181">
        <v>10858</v>
      </c>
      <c r="MBJ240" s="181">
        <v>10859</v>
      </c>
      <c r="MBK240" s="181">
        <v>10860</v>
      </c>
      <c r="MBL240" s="181">
        <v>10861</v>
      </c>
      <c r="MBM240" s="181">
        <v>10862</v>
      </c>
      <c r="MBN240" s="181">
        <v>10863</v>
      </c>
      <c r="MBO240" s="181">
        <v>10864</v>
      </c>
      <c r="MBP240" s="181">
        <v>10865</v>
      </c>
      <c r="MBQ240" s="181">
        <v>10866</v>
      </c>
      <c r="MBR240" s="181">
        <v>10867</v>
      </c>
      <c r="MBS240" s="181">
        <v>10868</v>
      </c>
      <c r="MBT240" s="181">
        <v>10869</v>
      </c>
      <c r="MBU240" s="181">
        <v>10870</v>
      </c>
      <c r="MBV240" s="181">
        <v>10871</v>
      </c>
      <c r="MBW240" s="181">
        <v>10872</v>
      </c>
      <c r="MBX240" s="181">
        <v>10873</v>
      </c>
      <c r="MBY240" s="181">
        <v>10874</v>
      </c>
      <c r="MBZ240" s="181">
        <v>10875</v>
      </c>
      <c r="MCA240" s="181">
        <v>10876</v>
      </c>
      <c r="MCB240" s="181">
        <v>10877</v>
      </c>
      <c r="MCC240" s="181">
        <v>10878</v>
      </c>
      <c r="MCD240" s="181">
        <v>10879</v>
      </c>
      <c r="MCE240" s="181">
        <v>10880</v>
      </c>
      <c r="MCF240" s="181">
        <v>10881</v>
      </c>
      <c r="MCG240" s="181">
        <v>10882</v>
      </c>
      <c r="MCH240" s="181">
        <v>10883</v>
      </c>
      <c r="MCI240" s="181">
        <v>10884</v>
      </c>
      <c r="MCJ240" s="181">
        <v>10885</v>
      </c>
      <c r="MCK240" s="181">
        <v>10886</v>
      </c>
      <c r="MCL240" s="181">
        <v>10887</v>
      </c>
      <c r="MCM240" s="181">
        <v>10888</v>
      </c>
      <c r="MCN240" s="181">
        <v>10889</v>
      </c>
      <c r="MCO240" s="181">
        <v>10890</v>
      </c>
      <c r="MCP240" s="181">
        <v>10891</v>
      </c>
      <c r="MCQ240" s="181">
        <v>10892</v>
      </c>
      <c r="MCR240" s="181">
        <v>10893</v>
      </c>
      <c r="MCS240" s="181">
        <v>10894</v>
      </c>
      <c r="MCT240" s="181">
        <v>10895</v>
      </c>
      <c r="MCU240" s="181">
        <v>10896</v>
      </c>
      <c r="MCV240" s="181">
        <v>10897</v>
      </c>
      <c r="MCW240" s="181">
        <v>10898</v>
      </c>
      <c r="MCX240" s="181">
        <v>10899</v>
      </c>
      <c r="MCY240" s="181">
        <v>10900</v>
      </c>
      <c r="MCZ240" s="181">
        <v>10901</v>
      </c>
      <c r="MDA240" s="181">
        <v>10902</v>
      </c>
      <c r="MDB240" s="181">
        <v>10903</v>
      </c>
      <c r="MDC240" s="181">
        <v>10904</v>
      </c>
      <c r="MDD240" s="181">
        <v>10905</v>
      </c>
      <c r="MDE240" s="181">
        <v>10906</v>
      </c>
      <c r="MDF240" s="181">
        <v>10907</v>
      </c>
      <c r="MDG240" s="181">
        <v>10908</v>
      </c>
      <c r="MDH240" s="181">
        <v>10909</v>
      </c>
      <c r="MDI240" s="181">
        <v>10910</v>
      </c>
      <c r="MDJ240" s="181">
        <v>10911</v>
      </c>
      <c r="MDK240" s="181">
        <v>10912</v>
      </c>
      <c r="MDL240" s="181">
        <v>10913</v>
      </c>
      <c r="MDM240" s="181">
        <v>10914</v>
      </c>
      <c r="MDN240" s="181">
        <v>10915</v>
      </c>
      <c r="MDO240" s="181">
        <v>10916</v>
      </c>
      <c r="MDP240" s="181">
        <v>10917</v>
      </c>
      <c r="MDQ240" s="181">
        <v>10918</v>
      </c>
      <c r="MDR240" s="181">
        <v>10919</v>
      </c>
      <c r="MDS240" s="181">
        <v>10920</v>
      </c>
      <c r="MDT240" s="181">
        <v>10921</v>
      </c>
      <c r="MDU240" s="181">
        <v>10922</v>
      </c>
      <c r="MDV240" s="181">
        <v>10923</v>
      </c>
      <c r="MDW240" s="181">
        <v>10924</v>
      </c>
      <c r="MDX240" s="181">
        <v>10925</v>
      </c>
      <c r="MDY240" s="181">
        <v>10926</v>
      </c>
      <c r="MDZ240" s="181">
        <v>10927</v>
      </c>
      <c r="MEA240" s="181">
        <v>10928</v>
      </c>
      <c r="MEB240" s="181">
        <v>10929</v>
      </c>
      <c r="MEC240" s="181">
        <v>10930</v>
      </c>
      <c r="MED240" s="181">
        <v>10931</v>
      </c>
      <c r="MEE240" s="181">
        <v>10932</v>
      </c>
      <c r="MEF240" s="181">
        <v>10933</v>
      </c>
      <c r="MEG240" s="181">
        <v>10934</v>
      </c>
      <c r="MEH240" s="181">
        <v>10935</v>
      </c>
      <c r="MEI240" s="181">
        <v>10936</v>
      </c>
      <c r="MEJ240" s="181">
        <v>10937</v>
      </c>
      <c r="MEK240" s="181">
        <v>10938</v>
      </c>
      <c r="MEL240" s="181">
        <v>10939</v>
      </c>
      <c r="MEM240" s="181">
        <v>10940</v>
      </c>
      <c r="MEN240" s="181">
        <v>10941</v>
      </c>
      <c r="MEO240" s="181">
        <v>10942</v>
      </c>
      <c r="MEP240" s="181">
        <v>10943</v>
      </c>
      <c r="MEQ240" s="181">
        <v>10944</v>
      </c>
      <c r="MER240" s="181">
        <v>10945</v>
      </c>
      <c r="MES240" s="181">
        <v>10946</v>
      </c>
      <c r="MET240" s="181">
        <v>10947</v>
      </c>
      <c r="MEU240" s="181">
        <v>10948</v>
      </c>
      <c r="MEV240" s="181">
        <v>10949</v>
      </c>
      <c r="MEW240" s="181">
        <v>10950</v>
      </c>
      <c r="MEX240" s="181">
        <v>10951</v>
      </c>
      <c r="MEY240" s="181">
        <v>10952</v>
      </c>
      <c r="MEZ240" s="181">
        <v>10953</v>
      </c>
      <c r="MFA240" s="181">
        <v>10954</v>
      </c>
      <c r="MFB240" s="181">
        <v>10955</v>
      </c>
      <c r="MFC240" s="181">
        <v>10956</v>
      </c>
      <c r="MFD240" s="181">
        <v>10957</v>
      </c>
      <c r="MFE240" s="181">
        <v>10958</v>
      </c>
      <c r="MFF240" s="181">
        <v>10959</v>
      </c>
      <c r="MFG240" s="181">
        <v>10960</v>
      </c>
      <c r="MFH240" s="181">
        <v>10961</v>
      </c>
      <c r="MFI240" s="181">
        <v>10962</v>
      </c>
      <c r="MFJ240" s="181">
        <v>10963</v>
      </c>
      <c r="MFK240" s="181">
        <v>10964</v>
      </c>
      <c r="MFL240" s="181">
        <v>10965</v>
      </c>
      <c r="MFM240" s="181">
        <v>10966</v>
      </c>
      <c r="MFN240" s="181">
        <v>10967</v>
      </c>
      <c r="MFO240" s="181">
        <v>10968</v>
      </c>
      <c r="MFP240" s="181">
        <v>10969</v>
      </c>
      <c r="MFQ240" s="181">
        <v>10970</v>
      </c>
      <c r="MFR240" s="181">
        <v>10971</v>
      </c>
      <c r="MFS240" s="181">
        <v>10972</v>
      </c>
      <c r="MFT240" s="181">
        <v>10973</v>
      </c>
      <c r="MFU240" s="181">
        <v>10974</v>
      </c>
      <c r="MFV240" s="181">
        <v>10975</v>
      </c>
      <c r="MFW240" s="181">
        <v>10976</v>
      </c>
      <c r="MFX240" s="181">
        <v>10977</v>
      </c>
      <c r="MFY240" s="181">
        <v>10978</v>
      </c>
      <c r="MFZ240" s="181">
        <v>10979</v>
      </c>
      <c r="MGA240" s="181">
        <v>10980</v>
      </c>
      <c r="MGB240" s="181">
        <v>10981</v>
      </c>
      <c r="MGC240" s="181">
        <v>10982</v>
      </c>
      <c r="MGD240" s="181">
        <v>10983</v>
      </c>
      <c r="MGE240" s="181">
        <v>10984</v>
      </c>
      <c r="MGF240" s="181">
        <v>10985</v>
      </c>
      <c r="MGG240" s="181">
        <v>10986</v>
      </c>
      <c r="MGH240" s="181">
        <v>10987</v>
      </c>
      <c r="MGI240" s="181">
        <v>10988</v>
      </c>
      <c r="MGJ240" s="181">
        <v>10989</v>
      </c>
      <c r="MGK240" s="181">
        <v>10990</v>
      </c>
      <c r="MGL240" s="181">
        <v>10991</v>
      </c>
      <c r="MGM240" s="181">
        <v>10992</v>
      </c>
      <c r="MGN240" s="181">
        <v>10993</v>
      </c>
      <c r="MGO240" s="181">
        <v>10994</v>
      </c>
      <c r="MGP240" s="181">
        <v>10995</v>
      </c>
      <c r="MGQ240" s="181">
        <v>10996</v>
      </c>
      <c r="MGR240" s="181">
        <v>10997</v>
      </c>
      <c r="MGS240" s="181">
        <v>10998</v>
      </c>
      <c r="MGT240" s="181">
        <v>10999</v>
      </c>
      <c r="MGU240" s="181">
        <v>11000</v>
      </c>
      <c r="MGV240" s="181">
        <v>11001</v>
      </c>
      <c r="MGW240" s="181">
        <v>11002</v>
      </c>
      <c r="MGX240" s="181">
        <v>11003</v>
      </c>
      <c r="MGY240" s="181">
        <v>11004</v>
      </c>
      <c r="MGZ240" s="181">
        <v>11005</v>
      </c>
      <c r="MHA240" s="181">
        <v>11006</v>
      </c>
      <c r="MHB240" s="181">
        <v>11007</v>
      </c>
      <c r="MHC240" s="181">
        <v>11008</v>
      </c>
      <c r="MHD240" s="181">
        <v>11009</v>
      </c>
      <c r="MHE240" s="181">
        <v>11010</v>
      </c>
      <c r="MHF240" s="181">
        <v>11011</v>
      </c>
      <c r="MHG240" s="181">
        <v>11012</v>
      </c>
      <c r="MHH240" s="181">
        <v>11013</v>
      </c>
      <c r="MHI240" s="181">
        <v>11014</v>
      </c>
      <c r="MHJ240" s="181">
        <v>11015</v>
      </c>
      <c r="MHK240" s="181">
        <v>11016</v>
      </c>
      <c r="MHL240" s="181">
        <v>11017</v>
      </c>
      <c r="MHM240" s="181">
        <v>11018</v>
      </c>
      <c r="MHN240" s="181">
        <v>11019</v>
      </c>
      <c r="MHO240" s="181">
        <v>11020</v>
      </c>
      <c r="MHP240" s="181">
        <v>11021</v>
      </c>
      <c r="MHQ240" s="181">
        <v>11022</v>
      </c>
      <c r="MHR240" s="181">
        <v>11023</v>
      </c>
      <c r="MHS240" s="181">
        <v>11024</v>
      </c>
      <c r="MHT240" s="181">
        <v>11025</v>
      </c>
      <c r="MHU240" s="181">
        <v>11026</v>
      </c>
      <c r="MHV240" s="181">
        <v>11027</v>
      </c>
      <c r="MHW240" s="181">
        <v>11028</v>
      </c>
      <c r="MHX240" s="181">
        <v>11029</v>
      </c>
      <c r="MHY240" s="181">
        <v>11030</v>
      </c>
      <c r="MHZ240" s="181">
        <v>11031</v>
      </c>
      <c r="MIA240" s="181">
        <v>11032</v>
      </c>
      <c r="MIB240" s="181">
        <v>11033</v>
      </c>
      <c r="MIC240" s="181">
        <v>11034</v>
      </c>
      <c r="MID240" s="181">
        <v>11035</v>
      </c>
      <c r="MIE240" s="181">
        <v>11036</v>
      </c>
      <c r="MIF240" s="181">
        <v>11037</v>
      </c>
      <c r="MIG240" s="181">
        <v>11038</v>
      </c>
      <c r="MIH240" s="181">
        <v>11039</v>
      </c>
      <c r="MII240" s="181">
        <v>11040</v>
      </c>
      <c r="MIJ240" s="181">
        <v>11041</v>
      </c>
      <c r="MIK240" s="181">
        <v>11042</v>
      </c>
      <c r="MIL240" s="181">
        <v>11043</v>
      </c>
      <c r="MIM240" s="181">
        <v>11044</v>
      </c>
      <c r="MIN240" s="181">
        <v>11045</v>
      </c>
      <c r="MIO240" s="181">
        <v>11046</v>
      </c>
      <c r="MIP240" s="181">
        <v>11047</v>
      </c>
      <c r="MIQ240" s="181">
        <v>11048</v>
      </c>
      <c r="MIR240" s="181">
        <v>11049</v>
      </c>
      <c r="MIS240" s="181">
        <v>11050</v>
      </c>
      <c r="MIT240" s="181">
        <v>11051</v>
      </c>
      <c r="MIU240" s="181">
        <v>11052</v>
      </c>
      <c r="MIV240" s="181">
        <v>11053</v>
      </c>
      <c r="MIW240" s="181">
        <v>11054</v>
      </c>
      <c r="MIX240" s="181">
        <v>11055</v>
      </c>
      <c r="MIY240" s="181">
        <v>11056</v>
      </c>
      <c r="MIZ240" s="181">
        <v>11057</v>
      </c>
      <c r="MJA240" s="181">
        <v>11058</v>
      </c>
      <c r="MJB240" s="181">
        <v>11059</v>
      </c>
      <c r="MJC240" s="181">
        <v>11060</v>
      </c>
      <c r="MJD240" s="181">
        <v>11061</v>
      </c>
      <c r="MJE240" s="181">
        <v>11062</v>
      </c>
      <c r="MJF240" s="181">
        <v>11063</v>
      </c>
      <c r="MJG240" s="181">
        <v>11064</v>
      </c>
      <c r="MJH240" s="181">
        <v>11065</v>
      </c>
      <c r="MJI240" s="181">
        <v>11066</v>
      </c>
      <c r="MJJ240" s="181">
        <v>11067</v>
      </c>
      <c r="MJK240" s="181">
        <v>11068</v>
      </c>
      <c r="MJL240" s="181">
        <v>11069</v>
      </c>
      <c r="MJM240" s="181">
        <v>11070</v>
      </c>
      <c r="MJN240" s="181">
        <v>11071</v>
      </c>
      <c r="MJO240" s="181">
        <v>11072</v>
      </c>
      <c r="MJP240" s="181">
        <v>11073</v>
      </c>
      <c r="MJQ240" s="181">
        <v>11074</v>
      </c>
      <c r="MJR240" s="181">
        <v>11075</v>
      </c>
      <c r="MJS240" s="181">
        <v>11076</v>
      </c>
      <c r="MJT240" s="181">
        <v>11077</v>
      </c>
      <c r="MJU240" s="181">
        <v>11078</v>
      </c>
      <c r="MJV240" s="181">
        <v>11079</v>
      </c>
      <c r="MJW240" s="181">
        <v>11080</v>
      </c>
      <c r="MJX240" s="181">
        <v>11081</v>
      </c>
      <c r="MJY240" s="181">
        <v>11082</v>
      </c>
      <c r="MJZ240" s="181">
        <v>11083</v>
      </c>
      <c r="MKA240" s="181">
        <v>11084</v>
      </c>
      <c r="MKB240" s="181">
        <v>11085</v>
      </c>
      <c r="MKC240" s="181">
        <v>11086</v>
      </c>
      <c r="MKD240" s="181">
        <v>11087</v>
      </c>
      <c r="MKE240" s="181">
        <v>11088</v>
      </c>
      <c r="MKF240" s="181">
        <v>11089</v>
      </c>
      <c r="MKG240" s="181">
        <v>11090</v>
      </c>
      <c r="MKH240" s="181">
        <v>11091</v>
      </c>
      <c r="MKI240" s="181">
        <v>11092</v>
      </c>
      <c r="MKJ240" s="181">
        <v>11093</v>
      </c>
      <c r="MKK240" s="181">
        <v>11094</v>
      </c>
      <c r="MKL240" s="181">
        <v>11095</v>
      </c>
      <c r="MKM240" s="181">
        <v>11096</v>
      </c>
      <c r="MKN240" s="181">
        <v>11097</v>
      </c>
      <c r="MKO240" s="181">
        <v>11098</v>
      </c>
      <c r="MKP240" s="181">
        <v>11099</v>
      </c>
      <c r="MKQ240" s="181">
        <v>11100</v>
      </c>
      <c r="MKR240" s="181">
        <v>11101</v>
      </c>
      <c r="MKS240" s="181">
        <v>11102</v>
      </c>
      <c r="MKT240" s="181">
        <v>11103</v>
      </c>
      <c r="MKU240" s="181">
        <v>11104</v>
      </c>
      <c r="MKV240" s="181">
        <v>11105</v>
      </c>
      <c r="MKW240" s="181">
        <v>11106</v>
      </c>
      <c r="MKX240" s="181">
        <v>11107</v>
      </c>
      <c r="MKY240" s="181">
        <v>11108</v>
      </c>
      <c r="MKZ240" s="181">
        <v>11109</v>
      </c>
      <c r="MLA240" s="181">
        <v>11110</v>
      </c>
      <c r="MLB240" s="181">
        <v>11111</v>
      </c>
      <c r="MLC240" s="181">
        <v>11112</v>
      </c>
      <c r="MLD240" s="181">
        <v>11113</v>
      </c>
      <c r="MLE240" s="181">
        <v>11114</v>
      </c>
      <c r="MLF240" s="181">
        <v>11115</v>
      </c>
      <c r="MLG240" s="181">
        <v>11116</v>
      </c>
      <c r="MLH240" s="181">
        <v>11117</v>
      </c>
      <c r="MLI240" s="181">
        <v>11118</v>
      </c>
      <c r="MLJ240" s="181">
        <v>11119</v>
      </c>
      <c r="MLK240" s="181">
        <v>11120</v>
      </c>
      <c r="MLL240" s="181">
        <v>11121</v>
      </c>
      <c r="MLM240" s="181">
        <v>11122</v>
      </c>
      <c r="MLN240" s="181">
        <v>11123</v>
      </c>
      <c r="MLO240" s="181">
        <v>11124</v>
      </c>
      <c r="MLP240" s="181">
        <v>11125</v>
      </c>
      <c r="MLQ240" s="181">
        <v>11126</v>
      </c>
      <c r="MLR240" s="181">
        <v>11127</v>
      </c>
      <c r="MLS240" s="181">
        <v>11128</v>
      </c>
      <c r="MLT240" s="181">
        <v>11129</v>
      </c>
      <c r="MLU240" s="181">
        <v>11130</v>
      </c>
      <c r="MLV240" s="181">
        <v>11131</v>
      </c>
      <c r="MLW240" s="181">
        <v>11132</v>
      </c>
      <c r="MLX240" s="181">
        <v>11133</v>
      </c>
      <c r="MLY240" s="181">
        <v>11134</v>
      </c>
      <c r="MLZ240" s="181">
        <v>11135</v>
      </c>
      <c r="MMA240" s="181">
        <v>11136</v>
      </c>
      <c r="MMB240" s="181">
        <v>11137</v>
      </c>
      <c r="MMC240" s="181">
        <v>11138</v>
      </c>
      <c r="MMD240" s="181">
        <v>11139</v>
      </c>
      <c r="MME240" s="181">
        <v>11140</v>
      </c>
      <c r="MMF240" s="181">
        <v>11141</v>
      </c>
      <c r="MMG240" s="181">
        <v>11142</v>
      </c>
      <c r="MMH240" s="181">
        <v>11143</v>
      </c>
      <c r="MMI240" s="181">
        <v>11144</v>
      </c>
      <c r="MMJ240" s="181">
        <v>11145</v>
      </c>
      <c r="MMK240" s="181">
        <v>11146</v>
      </c>
      <c r="MML240" s="181">
        <v>11147</v>
      </c>
      <c r="MMM240" s="181">
        <v>11148</v>
      </c>
      <c r="MMN240" s="181">
        <v>11149</v>
      </c>
      <c r="MMO240" s="181">
        <v>11150</v>
      </c>
      <c r="MMP240" s="181">
        <v>11151</v>
      </c>
      <c r="MMQ240" s="181">
        <v>11152</v>
      </c>
      <c r="MMR240" s="181">
        <v>11153</v>
      </c>
      <c r="MMS240" s="181">
        <v>11154</v>
      </c>
      <c r="MMT240" s="181">
        <v>11155</v>
      </c>
      <c r="MMU240" s="181">
        <v>11156</v>
      </c>
      <c r="MMV240" s="181">
        <v>11157</v>
      </c>
      <c r="MMW240" s="181">
        <v>11158</v>
      </c>
      <c r="MMX240" s="181">
        <v>11159</v>
      </c>
      <c r="MMY240" s="181">
        <v>11160</v>
      </c>
      <c r="MMZ240" s="181">
        <v>11161</v>
      </c>
      <c r="MNA240" s="181">
        <v>11162</v>
      </c>
      <c r="MNB240" s="181">
        <v>11163</v>
      </c>
      <c r="MNC240" s="181">
        <v>11164</v>
      </c>
      <c r="MND240" s="181">
        <v>11165</v>
      </c>
      <c r="MNE240" s="181">
        <v>11166</v>
      </c>
      <c r="MNF240" s="181">
        <v>11167</v>
      </c>
      <c r="MNG240" s="181">
        <v>11168</v>
      </c>
      <c r="MNH240" s="181">
        <v>11169</v>
      </c>
      <c r="MNI240" s="181">
        <v>11170</v>
      </c>
      <c r="MNJ240" s="181">
        <v>11171</v>
      </c>
      <c r="MNK240" s="181">
        <v>11172</v>
      </c>
      <c r="MNL240" s="181">
        <v>11173</v>
      </c>
      <c r="MNM240" s="181">
        <v>11174</v>
      </c>
      <c r="MNN240" s="181">
        <v>11175</v>
      </c>
      <c r="MNO240" s="181">
        <v>11176</v>
      </c>
      <c r="MNP240" s="181">
        <v>11177</v>
      </c>
      <c r="MNQ240" s="181">
        <v>11178</v>
      </c>
      <c r="MNR240" s="181">
        <v>11179</v>
      </c>
      <c r="MNS240" s="181">
        <v>11180</v>
      </c>
      <c r="MNT240" s="181">
        <v>11181</v>
      </c>
      <c r="MNU240" s="181">
        <v>11182</v>
      </c>
      <c r="MNV240" s="181">
        <v>11183</v>
      </c>
      <c r="MNW240" s="181">
        <v>11184</v>
      </c>
      <c r="MNX240" s="181">
        <v>11185</v>
      </c>
      <c r="MNY240" s="181">
        <v>11186</v>
      </c>
      <c r="MNZ240" s="181">
        <v>11187</v>
      </c>
      <c r="MOA240" s="181">
        <v>11188</v>
      </c>
      <c r="MOB240" s="181">
        <v>11189</v>
      </c>
      <c r="MOC240" s="181">
        <v>11190</v>
      </c>
      <c r="MOD240" s="181">
        <v>11191</v>
      </c>
      <c r="MOE240" s="181">
        <v>11192</v>
      </c>
      <c r="MOF240" s="181">
        <v>11193</v>
      </c>
      <c r="MOG240" s="181">
        <v>11194</v>
      </c>
      <c r="MOH240" s="181">
        <v>11195</v>
      </c>
      <c r="MOI240" s="181">
        <v>11196</v>
      </c>
      <c r="MOJ240" s="181">
        <v>11197</v>
      </c>
      <c r="MOK240" s="181">
        <v>11198</v>
      </c>
      <c r="MOL240" s="181">
        <v>11199</v>
      </c>
      <c r="MOM240" s="181">
        <v>11200</v>
      </c>
      <c r="MON240" s="181">
        <v>11201</v>
      </c>
      <c r="MOO240" s="181">
        <v>11202</v>
      </c>
      <c r="MOP240" s="181">
        <v>11203</v>
      </c>
      <c r="MOQ240" s="181">
        <v>11204</v>
      </c>
      <c r="MOR240" s="181">
        <v>11205</v>
      </c>
      <c r="MOS240" s="181">
        <v>11206</v>
      </c>
      <c r="MOT240" s="181">
        <v>11207</v>
      </c>
      <c r="MOU240" s="181">
        <v>11208</v>
      </c>
      <c r="MOV240" s="181">
        <v>11209</v>
      </c>
      <c r="MOW240" s="181">
        <v>11210</v>
      </c>
      <c r="MOX240" s="181">
        <v>11211</v>
      </c>
      <c r="MOY240" s="181">
        <v>11212</v>
      </c>
      <c r="MOZ240" s="181">
        <v>11213</v>
      </c>
      <c r="MPA240" s="181">
        <v>11214</v>
      </c>
      <c r="MPB240" s="181">
        <v>11215</v>
      </c>
      <c r="MPC240" s="181">
        <v>11216</v>
      </c>
      <c r="MPD240" s="181">
        <v>11217</v>
      </c>
      <c r="MPE240" s="181">
        <v>11218</v>
      </c>
      <c r="MPF240" s="181">
        <v>11219</v>
      </c>
      <c r="MPG240" s="181">
        <v>11220</v>
      </c>
      <c r="MPH240" s="181">
        <v>11221</v>
      </c>
      <c r="MPI240" s="181">
        <v>11222</v>
      </c>
      <c r="MPJ240" s="181">
        <v>11223</v>
      </c>
      <c r="MPK240" s="181">
        <v>11224</v>
      </c>
      <c r="MPL240" s="181">
        <v>11225</v>
      </c>
      <c r="MPM240" s="181">
        <v>11226</v>
      </c>
      <c r="MPN240" s="181">
        <v>11227</v>
      </c>
      <c r="MPO240" s="181">
        <v>11228</v>
      </c>
      <c r="MPP240" s="181">
        <v>11229</v>
      </c>
      <c r="MPQ240" s="181">
        <v>11230</v>
      </c>
      <c r="MPR240" s="181">
        <v>11231</v>
      </c>
      <c r="MPS240" s="181">
        <v>11232</v>
      </c>
      <c r="MPT240" s="181">
        <v>11233</v>
      </c>
      <c r="MPU240" s="181">
        <v>11234</v>
      </c>
      <c r="MPV240" s="181">
        <v>11235</v>
      </c>
      <c r="MPW240" s="181">
        <v>11236</v>
      </c>
      <c r="MPX240" s="181">
        <v>11237</v>
      </c>
      <c r="MPY240" s="181">
        <v>11238</v>
      </c>
      <c r="MPZ240" s="181">
        <v>11239</v>
      </c>
      <c r="MQA240" s="181">
        <v>11240</v>
      </c>
      <c r="MQB240" s="181">
        <v>11241</v>
      </c>
      <c r="MQC240" s="181">
        <v>11242</v>
      </c>
      <c r="MQD240" s="181">
        <v>11243</v>
      </c>
      <c r="MQE240" s="181">
        <v>11244</v>
      </c>
      <c r="MQF240" s="181">
        <v>11245</v>
      </c>
      <c r="MQG240" s="181">
        <v>11246</v>
      </c>
      <c r="MQH240" s="181">
        <v>11247</v>
      </c>
      <c r="MQI240" s="181">
        <v>11248</v>
      </c>
      <c r="MQJ240" s="181">
        <v>11249</v>
      </c>
      <c r="MQK240" s="181">
        <v>11250</v>
      </c>
      <c r="MQL240" s="181">
        <v>11251</v>
      </c>
      <c r="MQM240" s="181">
        <v>11252</v>
      </c>
      <c r="MQN240" s="181">
        <v>11253</v>
      </c>
      <c r="MQO240" s="181">
        <v>11254</v>
      </c>
      <c r="MQP240" s="181">
        <v>11255</v>
      </c>
      <c r="MQQ240" s="181">
        <v>11256</v>
      </c>
      <c r="MQR240" s="181">
        <v>11257</v>
      </c>
      <c r="MQS240" s="181">
        <v>11258</v>
      </c>
      <c r="MQT240" s="181">
        <v>11259</v>
      </c>
      <c r="MQU240" s="181">
        <v>11260</v>
      </c>
      <c r="MQV240" s="181">
        <v>11261</v>
      </c>
      <c r="MQW240" s="181">
        <v>11262</v>
      </c>
      <c r="MQX240" s="181">
        <v>11263</v>
      </c>
      <c r="MQY240" s="181">
        <v>11264</v>
      </c>
      <c r="MQZ240" s="181">
        <v>11265</v>
      </c>
      <c r="MRA240" s="181">
        <v>11266</v>
      </c>
      <c r="MRB240" s="181">
        <v>11267</v>
      </c>
      <c r="MRC240" s="181">
        <v>11268</v>
      </c>
      <c r="MRD240" s="181">
        <v>11269</v>
      </c>
      <c r="MRE240" s="181">
        <v>11270</v>
      </c>
      <c r="MRF240" s="181">
        <v>11271</v>
      </c>
      <c r="MRG240" s="181">
        <v>11272</v>
      </c>
      <c r="MRH240" s="181">
        <v>11273</v>
      </c>
      <c r="MRI240" s="181">
        <v>11274</v>
      </c>
      <c r="MRJ240" s="181">
        <v>11275</v>
      </c>
      <c r="MRK240" s="181">
        <v>11276</v>
      </c>
      <c r="MRL240" s="181">
        <v>11277</v>
      </c>
      <c r="MRM240" s="181">
        <v>11278</v>
      </c>
      <c r="MRN240" s="181">
        <v>11279</v>
      </c>
      <c r="MRO240" s="181">
        <v>11280</v>
      </c>
      <c r="MRP240" s="181">
        <v>11281</v>
      </c>
      <c r="MRQ240" s="181">
        <v>11282</v>
      </c>
      <c r="MRR240" s="181">
        <v>11283</v>
      </c>
      <c r="MRS240" s="181">
        <v>11284</v>
      </c>
      <c r="MRT240" s="181">
        <v>11285</v>
      </c>
      <c r="MRU240" s="181">
        <v>11286</v>
      </c>
      <c r="MRV240" s="181">
        <v>11287</v>
      </c>
      <c r="MRW240" s="181">
        <v>11288</v>
      </c>
      <c r="MRX240" s="181">
        <v>11289</v>
      </c>
      <c r="MRY240" s="181">
        <v>11290</v>
      </c>
      <c r="MRZ240" s="181">
        <v>11291</v>
      </c>
      <c r="MSA240" s="181">
        <v>11292</v>
      </c>
      <c r="MSB240" s="181">
        <v>11293</v>
      </c>
      <c r="MSC240" s="181">
        <v>11294</v>
      </c>
      <c r="MSD240" s="181">
        <v>11295</v>
      </c>
      <c r="MSE240" s="181">
        <v>11296</v>
      </c>
      <c r="MSF240" s="181">
        <v>11297</v>
      </c>
      <c r="MSG240" s="181">
        <v>11298</v>
      </c>
      <c r="MSH240" s="181">
        <v>11299</v>
      </c>
      <c r="MSI240" s="181">
        <v>11300</v>
      </c>
      <c r="MSJ240" s="181">
        <v>11301</v>
      </c>
      <c r="MSK240" s="181">
        <v>11302</v>
      </c>
      <c r="MSL240" s="181">
        <v>11303</v>
      </c>
      <c r="MSM240" s="181">
        <v>11304</v>
      </c>
      <c r="MSN240" s="181">
        <v>11305</v>
      </c>
      <c r="MSO240" s="181">
        <v>11306</v>
      </c>
      <c r="MSP240" s="181">
        <v>11307</v>
      </c>
      <c r="MSQ240" s="181">
        <v>11308</v>
      </c>
      <c r="MSR240" s="181">
        <v>11309</v>
      </c>
      <c r="MSS240" s="181">
        <v>11310</v>
      </c>
      <c r="MST240" s="181">
        <v>11311</v>
      </c>
      <c r="MSU240" s="181">
        <v>11312</v>
      </c>
      <c r="MSV240" s="181">
        <v>11313</v>
      </c>
      <c r="MSW240" s="181">
        <v>11314</v>
      </c>
      <c r="MSX240" s="181">
        <v>11315</v>
      </c>
      <c r="MSY240" s="181">
        <v>11316</v>
      </c>
      <c r="MSZ240" s="181">
        <v>11317</v>
      </c>
      <c r="MTA240" s="181">
        <v>11318</v>
      </c>
      <c r="MTB240" s="181">
        <v>11319</v>
      </c>
      <c r="MTC240" s="181">
        <v>11320</v>
      </c>
      <c r="MTD240" s="181">
        <v>11321</v>
      </c>
      <c r="MTE240" s="181">
        <v>11322</v>
      </c>
      <c r="MTF240" s="181">
        <v>11323</v>
      </c>
      <c r="MTG240" s="181">
        <v>11324</v>
      </c>
      <c r="MTH240" s="181">
        <v>11325</v>
      </c>
      <c r="MTI240" s="181">
        <v>11326</v>
      </c>
      <c r="MTJ240" s="181">
        <v>11327</v>
      </c>
      <c r="MTK240" s="181">
        <v>11328</v>
      </c>
      <c r="MTL240" s="181">
        <v>11329</v>
      </c>
      <c r="MTM240" s="181">
        <v>11330</v>
      </c>
      <c r="MTN240" s="181">
        <v>11331</v>
      </c>
      <c r="MTO240" s="181">
        <v>11332</v>
      </c>
      <c r="MTP240" s="181">
        <v>11333</v>
      </c>
      <c r="MTQ240" s="181">
        <v>11334</v>
      </c>
      <c r="MTR240" s="181">
        <v>11335</v>
      </c>
      <c r="MTS240" s="181">
        <v>11336</v>
      </c>
      <c r="MTT240" s="181">
        <v>11337</v>
      </c>
      <c r="MTU240" s="181">
        <v>11338</v>
      </c>
      <c r="MTV240" s="181">
        <v>11339</v>
      </c>
      <c r="MTW240" s="181">
        <v>11340</v>
      </c>
      <c r="MTX240" s="181">
        <v>11341</v>
      </c>
      <c r="MTY240" s="181">
        <v>11342</v>
      </c>
      <c r="MTZ240" s="181">
        <v>11343</v>
      </c>
      <c r="MUA240" s="181">
        <v>11344</v>
      </c>
      <c r="MUB240" s="181">
        <v>11345</v>
      </c>
      <c r="MUC240" s="181">
        <v>11346</v>
      </c>
      <c r="MUD240" s="181">
        <v>11347</v>
      </c>
      <c r="MUE240" s="181">
        <v>11348</v>
      </c>
      <c r="MUF240" s="181">
        <v>11349</v>
      </c>
      <c r="MUG240" s="181">
        <v>11350</v>
      </c>
      <c r="MUH240" s="181">
        <v>11351</v>
      </c>
      <c r="MUI240" s="181">
        <v>11352</v>
      </c>
      <c r="MUJ240" s="181">
        <v>11353</v>
      </c>
      <c r="MUK240" s="181">
        <v>11354</v>
      </c>
      <c r="MUL240" s="181">
        <v>11355</v>
      </c>
      <c r="MUM240" s="181">
        <v>11356</v>
      </c>
      <c r="MUN240" s="181">
        <v>11357</v>
      </c>
      <c r="MUO240" s="181">
        <v>11358</v>
      </c>
      <c r="MUP240" s="181">
        <v>11359</v>
      </c>
      <c r="MUQ240" s="181">
        <v>11360</v>
      </c>
      <c r="MUR240" s="181">
        <v>11361</v>
      </c>
      <c r="MUS240" s="181">
        <v>11362</v>
      </c>
      <c r="MUT240" s="181">
        <v>11363</v>
      </c>
      <c r="MUU240" s="181">
        <v>11364</v>
      </c>
      <c r="MUV240" s="181">
        <v>11365</v>
      </c>
      <c r="MUW240" s="181">
        <v>11366</v>
      </c>
      <c r="MUX240" s="181">
        <v>11367</v>
      </c>
      <c r="MUY240" s="181">
        <v>11368</v>
      </c>
      <c r="MUZ240" s="181">
        <v>11369</v>
      </c>
      <c r="MVA240" s="181">
        <v>11370</v>
      </c>
      <c r="MVB240" s="181">
        <v>11371</v>
      </c>
      <c r="MVC240" s="181">
        <v>11372</v>
      </c>
      <c r="MVD240" s="181">
        <v>11373</v>
      </c>
      <c r="MVE240" s="181">
        <v>11374</v>
      </c>
      <c r="MVF240" s="181">
        <v>11375</v>
      </c>
      <c r="MVG240" s="181">
        <v>11376</v>
      </c>
      <c r="MVH240" s="181">
        <v>11377</v>
      </c>
      <c r="MVI240" s="181">
        <v>11378</v>
      </c>
      <c r="MVJ240" s="181">
        <v>11379</v>
      </c>
      <c r="MVK240" s="181">
        <v>11380</v>
      </c>
      <c r="MVL240" s="181">
        <v>11381</v>
      </c>
      <c r="MVM240" s="181">
        <v>11382</v>
      </c>
      <c r="MVN240" s="181">
        <v>11383</v>
      </c>
      <c r="MVO240" s="181">
        <v>11384</v>
      </c>
      <c r="MVP240" s="181">
        <v>11385</v>
      </c>
      <c r="MVQ240" s="181">
        <v>11386</v>
      </c>
      <c r="MVR240" s="181">
        <v>11387</v>
      </c>
      <c r="MVS240" s="181">
        <v>11388</v>
      </c>
      <c r="MVT240" s="181">
        <v>11389</v>
      </c>
      <c r="MVU240" s="181">
        <v>11390</v>
      </c>
      <c r="MVV240" s="181">
        <v>11391</v>
      </c>
      <c r="MVW240" s="181">
        <v>11392</v>
      </c>
      <c r="MVX240" s="181">
        <v>11393</v>
      </c>
      <c r="MVY240" s="181">
        <v>11394</v>
      </c>
      <c r="MVZ240" s="181">
        <v>11395</v>
      </c>
      <c r="MWA240" s="181">
        <v>11396</v>
      </c>
      <c r="MWB240" s="181">
        <v>11397</v>
      </c>
      <c r="MWC240" s="181">
        <v>11398</v>
      </c>
      <c r="MWD240" s="181">
        <v>11399</v>
      </c>
      <c r="MWE240" s="181">
        <v>11400</v>
      </c>
      <c r="MWF240" s="181">
        <v>11401</v>
      </c>
      <c r="MWG240" s="181">
        <v>11402</v>
      </c>
      <c r="MWH240" s="181">
        <v>11403</v>
      </c>
      <c r="MWI240" s="181">
        <v>11404</v>
      </c>
      <c r="MWJ240" s="181">
        <v>11405</v>
      </c>
      <c r="MWK240" s="181">
        <v>11406</v>
      </c>
      <c r="MWL240" s="181">
        <v>11407</v>
      </c>
      <c r="MWM240" s="181">
        <v>11408</v>
      </c>
      <c r="MWN240" s="181">
        <v>11409</v>
      </c>
      <c r="MWO240" s="181">
        <v>11410</v>
      </c>
      <c r="MWP240" s="181">
        <v>11411</v>
      </c>
      <c r="MWQ240" s="181">
        <v>11412</v>
      </c>
      <c r="MWR240" s="181">
        <v>11413</v>
      </c>
      <c r="MWS240" s="181">
        <v>11414</v>
      </c>
      <c r="MWT240" s="181">
        <v>11415</v>
      </c>
      <c r="MWU240" s="181">
        <v>11416</v>
      </c>
      <c r="MWV240" s="181">
        <v>11417</v>
      </c>
      <c r="MWW240" s="181">
        <v>11418</v>
      </c>
      <c r="MWX240" s="181">
        <v>11419</v>
      </c>
      <c r="MWY240" s="181">
        <v>11420</v>
      </c>
      <c r="MWZ240" s="181">
        <v>11421</v>
      </c>
      <c r="MXA240" s="181">
        <v>11422</v>
      </c>
      <c r="MXB240" s="181">
        <v>11423</v>
      </c>
      <c r="MXC240" s="181">
        <v>11424</v>
      </c>
      <c r="MXD240" s="181">
        <v>11425</v>
      </c>
      <c r="MXE240" s="181">
        <v>11426</v>
      </c>
      <c r="MXF240" s="181">
        <v>11427</v>
      </c>
      <c r="MXG240" s="181">
        <v>11428</v>
      </c>
      <c r="MXH240" s="181">
        <v>11429</v>
      </c>
      <c r="MXI240" s="181">
        <v>11430</v>
      </c>
      <c r="MXJ240" s="181">
        <v>11431</v>
      </c>
      <c r="MXK240" s="181">
        <v>11432</v>
      </c>
      <c r="MXL240" s="181">
        <v>11433</v>
      </c>
      <c r="MXM240" s="181">
        <v>11434</v>
      </c>
      <c r="MXN240" s="181">
        <v>11435</v>
      </c>
      <c r="MXO240" s="181">
        <v>11436</v>
      </c>
      <c r="MXP240" s="181">
        <v>11437</v>
      </c>
      <c r="MXQ240" s="181">
        <v>11438</v>
      </c>
      <c r="MXR240" s="181">
        <v>11439</v>
      </c>
      <c r="MXS240" s="181">
        <v>11440</v>
      </c>
      <c r="MXT240" s="181">
        <v>11441</v>
      </c>
      <c r="MXU240" s="181">
        <v>11442</v>
      </c>
      <c r="MXV240" s="181">
        <v>11443</v>
      </c>
      <c r="MXW240" s="181">
        <v>11444</v>
      </c>
      <c r="MXX240" s="181">
        <v>11445</v>
      </c>
      <c r="MXY240" s="181">
        <v>11446</v>
      </c>
      <c r="MXZ240" s="181">
        <v>11447</v>
      </c>
      <c r="MYA240" s="181">
        <v>11448</v>
      </c>
      <c r="MYB240" s="181">
        <v>11449</v>
      </c>
      <c r="MYC240" s="181">
        <v>11450</v>
      </c>
      <c r="MYD240" s="181">
        <v>11451</v>
      </c>
      <c r="MYE240" s="181">
        <v>11452</v>
      </c>
      <c r="MYF240" s="181">
        <v>11453</v>
      </c>
      <c r="MYG240" s="181">
        <v>11454</v>
      </c>
      <c r="MYH240" s="181">
        <v>11455</v>
      </c>
      <c r="MYI240" s="181">
        <v>11456</v>
      </c>
      <c r="MYJ240" s="181">
        <v>11457</v>
      </c>
      <c r="MYK240" s="181">
        <v>11458</v>
      </c>
      <c r="MYL240" s="181">
        <v>11459</v>
      </c>
      <c r="MYM240" s="181">
        <v>11460</v>
      </c>
      <c r="MYN240" s="181">
        <v>11461</v>
      </c>
      <c r="MYO240" s="181">
        <v>11462</v>
      </c>
      <c r="MYP240" s="181">
        <v>11463</v>
      </c>
      <c r="MYQ240" s="181">
        <v>11464</v>
      </c>
      <c r="MYR240" s="181">
        <v>11465</v>
      </c>
      <c r="MYS240" s="181">
        <v>11466</v>
      </c>
      <c r="MYT240" s="181">
        <v>11467</v>
      </c>
      <c r="MYU240" s="181">
        <v>11468</v>
      </c>
      <c r="MYV240" s="181">
        <v>11469</v>
      </c>
      <c r="MYW240" s="181">
        <v>11470</v>
      </c>
      <c r="MYX240" s="181">
        <v>11471</v>
      </c>
      <c r="MYY240" s="181">
        <v>11472</v>
      </c>
      <c r="MYZ240" s="181">
        <v>11473</v>
      </c>
      <c r="MZA240" s="181">
        <v>11474</v>
      </c>
      <c r="MZB240" s="181">
        <v>11475</v>
      </c>
      <c r="MZC240" s="181">
        <v>11476</v>
      </c>
      <c r="MZD240" s="181">
        <v>11477</v>
      </c>
      <c r="MZE240" s="181">
        <v>11478</v>
      </c>
      <c r="MZF240" s="181">
        <v>11479</v>
      </c>
      <c r="MZG240" s="181">
        <v>11480</v>
      </c>
      <c r="MZH240" s="181">
        <v>11481</v>
      </c>
      <c r="MZI240" s="181">
        <v>11482</v>
      </c>
      <c r="MZJ240" s="181">
        <v>11483</v>
      </c>
      <c r="MZK240" s="181">
        <v>11484</v>
      </c>
      <c r="MZL240" s="181">
        <v>11485</v>
      </c>
      <c r="MZM240" s="181">
        <v>11486</v>
      </c>
      <c r="MZN240" s="181">
        <v>11487</v>
      </c>
      <c r="MZO240" s="181">
        <v>11488</v>
      </c>
      <c r="MZP240" s="181">
        <v>11489</v>
      </c>
      <c r="MZQ240" s="181">
        <v>11490</v>
      </c>
      <c r="MZR240" s="181">
        <v>11491</v>
      </c>
      <c r="MZS240" s="181">
        <v>11492</v>
      </c>
      <c r="MZT240" s="181">
        <v>11493</v>
      </c>
      <c r="MZU240" s="181">
        <v>11494</v>
      </c>
      <c r="MZV240" s="181">
        <v>11495</v>
      </c>
      <c r="MZW240" s="181">
        <v>11496</v>
      </c>
      <c r="MZX240" s="181">
        <v>11497</v>
      </c>
      <c r="MZY240" s="181">
        <v>11498</v>
      </c>
      <c r="MZZ240" s="181">
        <v>11499</v>
      </c>
      <c r="NAA240" s="181">
        <v>11500</v>
      </c>
      <c r="NAB240" s="181">
        <v>11501</v>
      </c>
      <c r="NAC240" s="181">
        <v>11502</v>
      </c>
      <c r="NAD240" s="181">
        <v>11503</v>
      </c>
      <c r="NAE240" s="181">
        <v>11504</v>
      </c>
      <c r="NAF240" s="181">
        <v>11505</v>
      </c>
      <c r="NAG240" s="181">
        <v>11506</v>
      </c>
      <c r="NAH240" s="181">
        <v>11507</v>
      </c>
      <c r="NAI240" s="181">
        <v>11508</v>
      </c>
      <c r="NAJ240" s="181">
        <v>11509</v>
      </c>
      <c r="NAK240" s="181">
        <v>11510</v>
      </c>
      <c r="NAL240" s="181">
        <v>11511</v>
      </c>
      <c r="NAM240" s="181">
        <v>11512</v>
      </c>
      <c r="NAN240" s="181">
        <v>11513</v>
      </c>
      <c r="NAO240" s="181">
        <v>11514</v>
      </c>
      <c r="NAP240" s="181">
        <v>11515</v>
      </c>
      <c r="NAQ240" s="181">
        <v>11516</v>
      </c>
      <c r="NAR240" s="181">
        <v>11517</v>
      </c>
      <c r="NAS240" s="181">
        <v>11518</v>
      </c>
      <c r="NAT240" s="181">
        <v>11519</v>
      </c>
      <c r="NAU240" s="181">
        <v>11520</v>
      </c>
      <c r="NAV240" s="181">
        <v>11521</v>
      </c>
      <c r="NAW240" s="181">
        <v>11522</v>
      </c>
      <c r="NAX240" s="181">
        <v>11523</v>
      </c>
      <c r="NAY240" s="181">
        <v>11524</v>
      </c>
      <c r="NAZ240" s="181">
        <v>11525</v>
      </c>
      <c r="NBA240" s="181">
        <v>11526</v>
      </c>
      <c r="NBB240" s="181">
        <v>11527</v>
      </c>
      <c r="NBC240" s="181">
        <v>11528</v>
      </c>
      <c r="NBD240" s="181">
        <v>11529</v>
      </c>
      <c r="NBE240" s="181">
        <v>11530</v>
      </c>
      <c r="NBF240" s="181">
        <v>11531</v>
      </c>
      <c r="NBG240" s="181">
        <v>11532</v>
      </c>
      <c r="NBH240" s="181">
        <v>11533</v>
      </c>
      <c r="NBI240" s="181">
        <v>11534</v>
      </c>
      <c r="NBJ240" s="181">
        <v>11535</v>
      </c>
      <c r="NBK240" s="181">
        <v>11536</v>
      </c>
      <c r="NBL240" s="181">
        <v>11537</v>
      </c>
      <c r="NBM240" s="181">
        <v>11538</v>
      </c>
      <c r="NBN240" s="181">
        <v>11539</v>
      </c>
      <c r="NBO240" s="181">
        <v>11540</v>
      </c>
      <c r="NBP240" s="181">
        <v>11541</v>
      </c>
      <c r="NBQ240" s="181">
        <v>11542</v>
      </c>
      <c r="NBR240" s="181">
        <v>11543</v>
      </c>
      <c r="NBS240" s="181">
        <v>11544</v>
      </c>
      <c r="NBT240" s="181">
        <v>11545</v>
      </c>
      <c r="NBU240" s="181">
        <v>11546</v>
      </c>
      <c r="NBV240" s="181">
        <v>11547</v>
      </c>
      <c r="NBW240" s="181">
        <v>11548</v>
      </c>
      <c r="NBX240" s="181">
        <v>11549</v>
      </c>
      <c r="NBY240" s="181">
        <v>11550</v>
      </c>
      <c r="NBZ240" s="181">
        <v>11551</v>
      </c>
      <c r="NCA240" s="181">
        <v>11552</v>
      </c>
      <c r="NCB240" s="181">
        <v>11553</v>
      </c>
      <c r="NCC240" s="181">
        <v>11554</v>
      </c>
      <c r="NCD240" s="181">
        <v>11555</v>
      </c>
      <c r="NCE240" s="181">
        <v>11556</v>
      </c>
      <c r="NCF240" s="181">
        <v>11557</v>
      </c>
      <c r="NCG240" s="181">
        <v>11558</v>
      </c>
      <c r="NCH240" s="181">
        <v>11559</v>
      </c>
      <c r="NCI240" s="181">
        <v>11560</v>
      </c>
      <c r="NCJ240" s="181">
        <v>11561</v>
      </c>
      <c r="NCK240" s="181">
        <v>11562</v>
      </c>
      <c r="NCL240" s="181">
        <v>11563</v>
      </c>
      <c r="NCM240" s="181">
        <v>11564</v>
      </c>
      <c r="NCN240" s="181">
        <v>11565</v>
      </c>
      <c r="NCO240" s="181">
        <v>11566</v>
      </c>
      <c r="NCP240" s="181">
        <v>11567</v>
      </c>
      <c r="NCQ240" s="181">
        <v>11568</v>
      </c>
      <c r="NCR240" s="181">
        <v>11569</v>
      </c>
      <c r="NCS240" s="181">
        <v>11570</v>
      </c>
      <c r="NCT240" s="181">
        <v>11571</v>
      </c>
      <c r="NCU240" s="181">
        <v>11572</v>
      </c>
      <c r="NCV240" s="181">
        <v>11573</v>
      </c>
      <c r="NCW240" s="181">
        <v>11574</v>
      </c>
      <c r="NCX240" s="181">
        <v>11575</v>
      </c>
      <c r="NCY240" s="181">
        <v>11576</v>
      </c>
      <c r="NCZ240" s="181">
        <v>11577</v>
      </c>
      <c r="NDA240" s="181">
        <v>11578</v>
      </c>
      <c r="NDB240" s="181">
        <v>11579</v>
      </c>
      <c r="NDC240" s="181">
        <v>11580</v>
      </c>
      <c r="NDD240" s="181">
        <v>11581</v>
      </c>
      <c r="NDE240" s="181">
        <v>11582</v>
      </c>
      <c r="NDF240" s="181">
        <v>11583</v>
      </c>
      <c r="NDG240" s="181">
        <v>11584</v>
      </c>
      <c r="NDH240" s="181">
        <v>11585</v>
      </c>
      <c r="NDI240" s="181">
        <v>11586</v>
      </c>
      <c r="NDJ240" s="181">
        <v>11587</v>
      </c>
      <c r="NDK240" s="181">
        <v>11588</v>
      </c>
      <c r="NDL240" s="181">
        <v>11589</v>
      </c>
      <c r="NDM240" s="181">
        <v>11590</v>
      </c>
      <c r="NDN240" s="181">
        <v>11591</v>
      </c>
      <c r="NDO240" s="181">
        <v>11592</v>
      </c>
      <c r="NDP240" s="181">
        <v>11593</v>
      </c>
      <c r="NDQ240" s="181">
        <v>11594</v>
      </c>
      <c r="NDR240" s="181">
        <v>11595</v>
      </c>
      <c r="NDS240" s="181">
        <v>11596</v>
      </c>
      <c r="NDT240" s="181">
        <v>11597</v>
      </c>
      <c r="NDU240" s="181">
        <v>11598</v>
      </c>
      <c r="NDV240" s="181">
        <v>11599</v>
      </c>
      <c r="NDW240" s="181">
        <v>11600</v>
      </c>
      <c r="NDX240" s="181">
        <v>11601</v>
      </c>
      <c r="NDY240" s="181">
        <v>11602</v>
      </c>
      <c r="NDZ240" s="181">
        <v>11603</v>
      </c>
      <c r="NEA240" s="181">
        <v>11604</v>
      </c>
      <c r="NEB240" s="181">
        <v>11605</v>
      </c>
      <c r="NEC240" s="181">
        <v>11606</v>
      </c>
      <c r="NED240" s="181">
        <v>11607</v>
      </c>
      <c r="NEE240" s="181">
        <v>11608</v>
      </c>
      <c r="NEF240" s="181">
        <v>11609</v>
      </c>
      <c r="NEG240" s="181">
        <v>11610</v>
      </c>
      <c r="NEH240" s="181">
        <v>11611</v>
      </c>
      <c r="NEI240" s="181">
        <v>11612</v>
      </c>
      <c r="NEJ240" s="181">
        <v>11613</v>
      </c>
      <c r="NEK240" s="181">
        <v>11614</v>
      </c>
      <c r="NEL240" s="181">
        <v>11615</v>
      </c>
      <c r="NEM240" s="181">
        <v>11616</v>
      </c>
      <c r="NEN240" s="181">
        <v>11617</v>
      </c>
      <c r="NEO240" s="181">
        <v>11618</v>
      </c>
      <c r="NEP240" s="181">
        <v>11619</v>
      </c>
      <c r="NEQ240" s="181">
        <v>11620</v>
      </c>
      <c r="NER240" s="181">
        <v>11621</v>
      </c>
      <c r="NES240" s="181">
        <v>11622</v>
      </c>
      <c r="NET240" s="181">
        <v>11623</v>
      </c>
      <c r="NEU240" s="181">
        <v>11624</v>
      </c>
      <c r="NEV240" s="181">
        <v>11625</v>
      </c>
      <c r="NEW240" s="181">
        <v>11626</v>
      </c>
      <c r="NEX240" s="181">
        <v>11627</v>
      </c>
      <c r="NEY240" s="181">
        <v>11628</v>
      </c>
      <c r="NEZ240" s="181">
        <v>11629</v>
      </c>
      <c r="NFA240" s="181">
        <v>11630</v>
      </c>
      <c r="NFB240" s="181">
        <v>11631</v>
      </c>
      <c r="NFC240" s="181">
        <v>11632</v>
      </c>
      <c r="NFD240" s="181">
        <v>11633</v>
      </c>
      <c r="NFE240" s="181">
        <v>11634</v>
      </c>
      <c r="NFF240" s="181">
        <v>11635</v>
      </c>
      <c r="NFG240" s="181">
        <v>11636</v>
      </c>
      <c r="NFH240" s="181">
        <v>11637</v>
      </c>
      <c r="NFI240" s="181">
        <v>11638</v>
      </c>
      <c r="NFJ240" s="181">
        <v>11639</v>
      </c>
      <c r="NFK240" s="181">
        <v>11640</v>
      </c>
      <c r="NFL240" s="181">
        <v>11641</v>
      </c>
      <c r="NFM240" s="181">
        <v>11642</v>
      </c>
      <c r="NFN240" s="181">
        <v>11643</v>
      </c>
      <c r="NFO240" s="181">
        <v>11644</v>
      </c>
      <c r="NFP240" s="181">
        <v>11645</v>
      </c>
      <c r="NFQ240" s="181">
        <v>11646</v>
      </c>
      <c r="NFR240" s="181">
        <v>11647</v>
      </c>
      <c r="NFS240" s="181">
        <v>11648</v>
      </c>
      <c r="NFT240" s="181">
        <v>11649</v>
      </c>
      <c r="NFU240" s="181">
        <v>11650</v>
      </c>
      <c r="NFV240" s="181">
        <v>11651</v>
      </c>
      <c r="NFW240" s="181">
        <v>11652</v>
      </c>
      <c r="NFX240" s="181">
        <v>11653</v>
      </c>
      <c r="NFY240" s="181">
        <v>11654</v>
      </c>
      <c r="NFZ240" s="181">
        <v>11655</v>
      </c>
      <c r="NGA240" s="181">
        <v>11656</v>
      </c>
      <c r="NGB240" s="181">
        <v>11657</v>
      </c>
      <c r="NGC240" s="181">
        <v>11658</v>
      </c>
      <c r="NGD240" s="181">
        <v>11659</v>
      </c>
      <c r="NGE240" s="181">
        <v>11660</v>
      </c>
      <c r="NGF240" s="181">
        <v>11661</v>
      </c>
      <c r="NGG240" s="181">
        <v>11662</v>
      </c>
      <c r="NGH240" s="181">
        <v>11663</v>
      </c>
      <c r="NGI240" s="181">
        <v>11664</v>
      </c>
      <c r="NGJ240" s="181">
        <v>11665</v>
      </c>
      <c r="NGK240" s="181">
        <v>11666</v>
      </c>
      <c r="NGL240" s="181">
        <v>11667</v>
      </c>
      <c r="NGM240" s="181">
        <v>11668</v>
      </c>
      <c r="NGN240" s="181">
        <v>11669</v>
      </c>
      <c r="NGO240" s="181">
        <v>11670</v>
      </c>
      <c r="NGP240" s="181">
        <v>11671</v>
      </c>
      <c r="NGQ240" s="181">
        <v>11672</v>
      </c>
      <c r="NGR240" s="181">
        <v>11673</v>
      </c>
      <c r="NGS240" s="181">
        <v>11674</v>
      </c>
      <c r="NGT240" s="181">
        <v>11675</v>
      </c>
      <c r="NGU240" s="181">
        <v>11676</v>
      </c>
      <c r="NGV240" s="181">
        <v>11677</v>
      </c>
      <c r="NGW240" s="181">
        <v>11678</v>
      </c>
      <c r="NGX240" s="181">
        <v>11679</v>
      </c>
      <c r="NGY240" s="181">
        <v>11680</v>
      </c>
      <c r="NGZ240" s="181">
        <v>11681</v>
      </c>
      <c r="NHA240" s="181">
        <v>11682</v>
      </c>
      <c r="NHB240" s="181">
        <v>11683</v>
      </c>
      <c r="NHC240" s="181">
        <v>11684</v>
      </c>
      <c r="NHD240" s="181">
        <v>11685</v>
      </c>
      <c r="NHE240" s="181">
        <v>11686</v>
      </c>
      <c r="NHF240" s="181">
        <v>11687</v>
      </c>
      <c r="NHG240" s="181">
        <v>11688</v>
      </c>
      <c r="NHH240" s="181">
        <v>11689</v>
      </c>
      <c r="NHI240" s="181">
        <v>11690</v>
      </c>
      <c r="NHJ240" s="181">
        <v>11691</v>
      </c>
      <c r="NHK240" s="181">
        <v>11692</v>
      </c>
      <c r="NHL240" s="181">
        <v>11693</v>
      </c>
      <c r="NHM240" s="181">
        <v>11694</v>
      </c>
      <c r="NHN240" s="181">
        <v>11695</v>
      </c>
      <c r="NHO240" s="181">
        <v>11696</v>
      </c>
      <c r="NHP240" s="181">
        <v>11697</v>
      </c>
      <c r="NHQ240" s="181">
        <v>11698</v>
      </c>
      <c r="NHR240" s="181">
        <v>11699</v>
      </c>
      <c r="NHS240" s="181">
        <v>11700</v>
      </c>
      <c r="NHT240" s="181">
        <v>11701</v>
      </c>
      <c r="NHU240" s="181">
        <v>11702</v>
      </c>
      <c r="NHV240" s="181">
        <v>11703</v>
      </c>
      <c r="NHW240" s="181">
        <v>11704</v>
      </c>
      <c r="NHX240" s="181">
        <v>11705</v>
      </c>
      <c r="NHY240" s="181">
        <v>11706</v>
      </c>
      <c r="NHZ240" s="181">
        <v>11707</v>
      </c>
      <c r="NIA240" s="181">
        <v>11708</v>
      </c>
      <c r="NIB240" s="181">
        <v>11709</v>
      </c>
      <c r="NIC240" s="181">
        <v>11710</v>
      </c>
      <c r="NID240" s="181">
        <v>11711</v>
      </c>
      <c r="NIE240" s="181">
        <v>11712</v>
      </c>
      <c r="NIF240" s="181">
        <v>11713</v>
      </c>
      <c r="NIG240" s="181">
        <v>11714</v>
      </c>
      <c r="NIH240" s="181">
        <v>11715</v>
      </c>
      <c r="NII240" s="181">
        <v>11716</v>
      </c>
      <c r="NIJ240" s="181">
        <v>11717</v>
      </c>
      <c r="NIK240" s="181">
        <v>11718</v>
      </c>
      <c r="NIL240" s="181">
        <v>11719</v>
      </c>
      <c r="NIM240" s="181">
        <v>11720</v>
      </c>
      <c r="NIN240" s="181">
        <v>11721</v>
      </c>
      <c r="NIO240" s="181">
        <v>11722</v>
      </c>
      <c r="NIP240" s="181">
        <v>11723</v>
      </c>
      <c r="NIQ240" s="181">
        <v>11724</v>
      </c>
      <c r="NIR240" s="181">
        <v>11725</v>
      </c>
      <c r="NIS240" s="181">
        <v>11726</v>
      </c>
      <c r="NIT240" s="181">
        <v>11727</v>
      </c>
      <c r="NIU240" s="181">
        <v>11728</v>
      </c>
      <c r="NIV240" s="181">
        <v>11729</v>
      </c>
      <c r="NIW240" s="181">
        <v>11730</v>
      </c>
      <c r="NIX240" s="181">
        <v>11731</v>
      </c>
      <c r="NIY240" s="181">
        <v>11732</v>
      </c>
      <c r="NIZ240" s="181">
        <v>11733</v>
      </c>
      <c r="NJA240" s="181">
        <v>11734</v>
      </c>
      <c r="NJB240" s="181">
        <v>11735</v>
      </c>
      <c r="NJC240" s="181">
        <v>11736</v>
      </c>
      <c r="NJD240" s="181">
        <v>11737</v>
      </c>
      <c r="NJE240" s="181">
        <v>11738</v>
      </c>
      <c r="NJF240" s="181">
        <v>11739</v>
      </c>
      <c r="NJG240" s="181">
        <v>11740</v>
      </c>
      <c r="NJH240" s="181">
        <v>11741</v>
      </c>
      <c r="NJI240" s="181">
        <v>11742</v>
      </c>
      <c r="NJJ240" s="181">
        <v>11743</v>
      </c>
      <c r="NJK240" s="181">
        <v>11744</v>
      </c>
      <c r="NJL240" s="181">
        <v>11745</v>
      </c>
      <c r="NJM240" s="181">
        <v>11746</v>
      </c>
      <c r="NJN240" s="181">
        <v>11747</v>
      </c>
      <c r="NJO240" s="181">
        <v>11748</v>
      </c>
      <c r="NJP240" s="181">
        <v>11749</v>
      </c>
      <c r="NJQ240" s="181">
        <v>11750</v>
      </c>
      <c r="NJR240" s="181">
        <v>11751</v>
      </c>
      <c r="NJS240" s="181">
        <v>11752</v>
      </c>
      <c r="NJT240" s="181">
        <v>11753</v>
      </c>
      <c r="NJU240" s="181">
        <v>11754</v>
      </c>
      <c r="NJV240" s="181">
        <v>11755</v>
      </c>
      <c r="NJW240" s="181">
        <v>11756</v>
      </c>
      <c r="NJX240" s="181">
        <v>11757</v>
      </c>
      <c r="NJY240" s="181">
        <v>11758</v>
      </c>
      <c r="NJZ240" s="181">
        <v>11759</v>
      </c>
      <c r="NKA240" s="181">
        <v>11760</v>
      </c>
      <c r="NKB240" s="181">
        <v>11761</v>
      </c>
      <c r="NKC240" s="181">
        <v>11762</v>
      </c>
      <c r="NKD240" s="181">
        <v>11763</v>
      </c>
      <c r="NKE240" s="181">
        <v>11764</v>
      </c>
      <c r="NKF240" s="181">
        <v>11765</v>
      </c>
      <c r="NKG240" s="181">
        <v>11766</v>
      </c>
      <c r="NKH240" s="181">
        <v>11767</v>
      </c>
      <c r="NKI240" s="181">
        <v>11768</v>
      </c>
      <c r="NKJ240" s="181">
        <v>11769</v>
      </c>
      <c r="NKK240" s="181">
        <v>11770</v>
      </c>
      <c r="NKL240" s="181">
        <v>11771</v>
      </c>
      <c r="NKM240" s="181">
        <v>11772</v>
      </c>
      <c r="NKN240" s="181">
        <v>11773</v>
      </c>
      <c r="NKO240" s="181">
        <v>11774</v>
      </c>
      <c r="NKP240" s="181">
        <v>11775</v>
      </c>
      <c r="NKQ240" s="181">
        <v>11776</v>
      </c>
      <c r="NKR240" s="181">
        <v>11777</v>
      </c>
      <c r="NKS240" s="181">
        <v>11778</v>
      </c>
      <c r="NKT240" s="181">
        <v>11779</v>
      </c>
      <c r="NKU240" s="181">
        <v>11780</v>
      </c>
      <c r="NKV240" s="181">
        <v>11781</v>
      </c>
      <c r="NKW240" s="181">
        <v>11782</v>
      </c>
      <c r="NKX240" s="181">
        <v>11783</v>
      </c>
      <c r="NKY240" s="181">
        <v>11784</v>
      </c>
      <c r="NKZ240" s="181">
        <v>11785</v>
      </c>
      <c r="NLA240" s="181">
        <v>11786</v>
      </c>
      <c r="NLB240" s="181">
        <v>11787</v>
      </c>
      <c r="NLC240" s="181">
        <v>11788</v>
      </c>
      <c r="NLD240" s="181">
        <v>11789</v>
      </c>
      <c r="NLE240" s="181">
        <v>11790</v>
      </c>
      <c r="NLF240" s="181">
        <v>11791</v>
      </c>
      <c r="NLG240" s="181">
        <v>11792</v>
      </c>
      <c r="NLH240" s="181">
        <v>11793</v>
      </c>
      <c r="NLI240" s="181">
        <v>11794</v>
      </c>
      <c r="NLJ240" s="181">
        <v>11795</v>
      </c>
      <c r="NLK240" s="181">
        <v>11796</v>
      </c>
      <c r="NLL240" s="181">
        <v>11797</v>
      </c>
      <c r="NLM240" s="181">
        <v>11798</v>
      </c>
      <c r="NLN240" s="181">
        <v>11799</v>
      </c>
      <c r="NLO240" s="181">
        <v>11800</v>
      </c>
      <c r="NLP240" s="181">
        <v>11801</v>
      </c>
      <c r="NLQ240" s="181">
        <v>11802</v>
      </c>
      <c r="NLR240" s="181">
        <v>11803</v>
      </c>
      <c r="NLS240" s="181">
        <v>11804</v>
      </c>
      <c r="NLT240" s="181">
        <v>11805</v>
      </c>
      <c r="NLU240" s="181">
        <v>11806</v>
      </c>
      <c r="NLV240" s="181">
        <v>11807</v>
      </c>
      <c r="NLW240" s="181">
        <v>11808</v>
      </c>
      <c r="NLX240" s="181">
        <v>11809</v>
      </c>
      <c r="NLY240" s="181">
        <v>11810</v>
      </c>
      <c r="NLZ240" s="181">
        <v>11811</v>
      </c>
      <c r="NMA240" s="181">
        <v>11812</v>
      </c>
      <c r="NMB240" s="181">
        <v>11813</v>
      </c>
      <c r="NMC240" s="181">
        <v>11814</v>
      </c>
      <c r="NMD240" s="181">
        <v>11815</v>
      </c>
      <c r="NME240" s="181">
        <v>11816</v>
      </c>
      <c r="NMF240" s="181">
        <v>11817</v>
      </c>
      <c r="NMG240" s="181">
        <v>11818</v>
      </c>
      <c r="NMH240" s="181">
        <v>11819</v>
      </c>
      <c r="NMI240" s="181">
        <v>11820</v>
      </c>
      <c r="NMJ240" s="181">
        <v>11821</v>
      </c>
      <c r="NMK240" s="181">
        <v>11822</v>
      </c>
      <c r="NML240" s="181">
        <v>11823</v>
      </c>
      <c r="NMM240" s="181">
        <v>11824</v>
      </c>
      <c r="NMN240" s="181">
        <v>11825</v>
      </c>
      <c r="NMO240" s="181">
        <v>11826</v>
      </c>
      <c r="NMP240" s="181">
        <v>11827</v>
      </c>
      <c r="NMQ240" s="181">
        <v>11828</v>
      </c>
      <c r="NMR240" s="181">
        <v>11829</v>
      </c>
      <c r="NMS240" s="181">
        <v>11830</v>
      </c>
      <c r="NMT240" s="181">
        <v>11831</v>
      </c>
      <c r="NMU240" s="181">
        <v>11832</v>
      </c>
      <c r="NMV240" s="181">
        <v>11833</v>
      </c>
      <c r="NMW240" s="181">
        <v>11834</v>
      </c>
      <c r="NMX240" s="181">
        <v>11835</v>
      </c>
      <c r="NMY240" s="181">
        <v>11836</v>
      </c>
      <c r="NMZ240" s="181">
        <v>11837</v>
      </c>
      <c r="NNA240" s="181">
        <v>11838</v>
      </c>
      <c r="NNB240" s="181">
        <v>11839</v>
      </c>
      <c r="NNC240" s="181">
        <v>11840</v>
      </c>
      <c r="NND240" s="181">
        <v>11841</v>
      </c>
      <c r="NNE240" s="181">
        <v>11842</v>
      </c>
      <c r="NNF240" s="181">
        <v>11843</v>
      </c>
      <c r="NNG240" s="181">
        <v>11844</v>
      </c>
      <c r="NNH240" s="181">
        <v>11845</v>
      </c>
      <c r="NNI240" s="181">
        <v>11846</v>
      </c>
      <c r="NNJ240" s="181">
        <v>11847</v>
      </c>
      <c r="NNK240" s="181">
        <v>11848</v>
      </c>
      <c r="NNL240" s="181">
        <v>11849</v>
      </c>
      <c r="NNM240" s="181">
        <v>11850</v>
      </c>
      <c r="NNN240" s="181">
        <v>11851</v>
      </c>
      <c r="NNO240" s="181">
        <v>11852</v>
      </c>
      <c r="NNP240" s="181">
        <v>11853</v>
      </c>
      <c r="NNQ240" s="181">
        <v>11854</v>
      </c>
      <c r="NNR240" s="181">
        <v>11855</v>
      </c>
      <c r="NNS240" s="181">
        <v>11856</v>
      </c>
      <c r="NNT240" s="181">
        <v>11857</v>
      </c>
      <c r="NNU240" s="181">
        <v>11858</v>
      </c>
      <c r="NNV240" s="181">
        <v>11859</v>
      </c>
      <c r="NNW240" s="181">
        <v>11860</v>
      </c>
      <c r="NNX240" s="181">
        <v>11861</v>
      </c>
      <c r="NNY240" s="181">
        <v>11862</v>
      </c>
      <c r="NNZ240" s="181">
        <v>11863</v>
      </c>
      <c r="NOA240" s="181">
        <v>11864</v>
      </c>
      <c r="NOB240" s="181">
        <v>11865</v>
      </c>
      <c r="NOC240" s="181">
        <v>11866</v>
      </c>
      <c r="NOD240" s="181">
        <v>11867</v>
      </c>
      <c r="NOE240" s="181">
        <v>11868</v>
      </c>
      <c r="NOF240" s="181">
        <v>11869</v>
      </c>
      <c r="NOG240" s="181">
        <v>11870</v>
      </c>
      <c r="NOH240" s="181">
        <v>11871</v>
      </c>
      <c r="NOI240" s="181">
        <v>11872</v>
      </c>
      <c r="NOJ240" s="181">
        <v>11873</v>
      </c>
      <c r="NOK240" s="181">
        <v>11874</v>
      </c>
      <c r="NOL240" s="181">
        <v>11875</v>
      </c>
      <c r="NOM240" s="181">
        <v>11876</v>
      </c>
      <c r="NON240" s="181">
        <v>11877</v>
      </c>
      <c r="NOO240" s="181">
        <v>11878</v>
      </c>
      <c r="NOP240" s="181">
        <v>11879</v>
      </c>
      <c r="NOQ240" s="181">
        <v>11880</v>
      </c>
      <c r="NOR240" s="181">
        <v>11881</v>
      </c>
      <c r="NOS240" s="181">
        <v>11882</v>
      </c>
      <c r="NOT240" s="181">
        <v>11883</v>
      </c>
      <c r="NOU240" s="181">
        <v>11884</v>
      </c>
      <c r="NOV240" s="181">
        <v>11885</v>
      </c>
      <c r="NOW240" s="181">
        <v>11886</v>
      </c>
      <c r="NOX240" s="181">
        <v>11887</v>
      </c>
      <c r="NOY240" s="181">
        <v>11888</v>
      </c>
      <c r="NOZ240" s="181">
        <v>11889</v>
      </c>
      <c r="NPA240" s="181">
        <v>11890</v>
      </c>
      <c r="NPB240" s="181">
        <v>11891</v>
      </c>
      <c r="NPC240" s="181">
        <v>11892</v>
      </c>
      <c r="NPD240" s="181">
        <v>11893</v>
      </c>
      <c r="NPE240" s="181">
        <v>11894</v>
      </c>
      <c r="NPF240" s="181">
        <v>11895</v>
      </c>
      <c r="NPG240" s="181">
        <v>11896</v>
      </c>
      <c r="NPH240" s="181">
        <v>11897</v>
      </c>
      <c r="NPI240" s="181">
        <v>11898</v>
      </c>
      <c r="NPJ240" s="181">
        <v>11899</v>
      </c>
      <c r="NPK240" s="181">
        <v>11900</v>
      </c>
      <c r="NPL240" s="181">
        <v>11901</v>
      </c>
      <c r="NPM240" s="181">
        <v>11902</v>
      </c>
      <c r="NPN240" s="181">
        <v>11903</v>
      </c>
      <c r="NPO240" s="181">
        <v>11904</v>
      </c>
      <c r="NPP240" s="181">
        <v>11905</v>
      </c>
      <c r="NPQ240" s="181">
        <v>11906</v>
      </c>
      <c r="NPR240" s="181">
        <v>11907</v>
      </c>
      <c r="NPS240" s="181">
        <v>11908</v>
      </c>
      <c r="NPT240" s="181">
        <v>11909</v>
      </c>
      <c r="NPU240" s="181">
        <v>11910</v>
      </c>
      <c r="NPV240" s="181">
        <v>11911</v>
      </c>
      <c r="NPW240" s="181">
        <v>11912</v>
      </c>
      <c r="NPX240" s="181">
        <v>11913</v>
      </c>
      <c r="NPY240" s="181">
        <v>11914</v>
      </c>
      <c r="NPZ240" s="181">
        <v>11915</v>
      </c>
      <c r="NQA240" s="181">
        <v>11916</v>
      </c>
      <c r="NQB240" s="181">
        <v>11917</v>
      </c>
      <c r="NQC240" s="181">
        <v>11918</v>
      </c>
      <c r="NQD240" s="181">
        <v>11919</v>
      </c>
      <c r="NQE240" s="181">
        <v>11920</v>
      </c>
      <c r="NQF240" s="181">
        <v>11921</v>
      </c>
      <c r="NQG240" s="181">
        <v>11922</v>
      </c>
      <c r="NQH240" s="181">
        <v>11923</v>
      </c>
      <c r="NQI240" s="181">
        <v>11924</v>
      </c>
      <c r="NQJ240" s="181">
        <v>11925</v>
      </c>
      <c r="NQK240" s="181">
        <v>11926</v>
      </c>
      <c r="NQL240" s="181">
        <v>11927</v>
      </c>
      <c r="NQM240" s="181">
        <v>11928</v>
      </c>
      <c r="NQN240" s="181">
        <v>11929</v>
      </c>
      <c r="NQO240" s="181">
        <v>11930</v>
      </c>
      <c r="NQP240" s="181">
        <v>11931</v>
      </c>
      <c r="NQQ240" s="181">
        <v>11932</v>
      </c>
      <c r="NQR240" s="181">
        <v>11933</v>
      </c>
      <c r="NQS240" s="181">
        <v>11934</v>
      </c>
      <c r="NQT240" s="181">
        <v>11935</v>
      </c>
      <c r="NQU240" s="181">
        <v>11936</v>
      </c>
      <c r="NQV240" s="181">
        <v>11937</v>
      </c>
      <c r="NQW240" s="181">
        <v>11938</v>
      </c>
      <c r="NQX240" s="181">
        <v>11939</v>
      </c>
      <c r="NQY240" s="181">
        <v>11940</v>
      </c>
      <c r="NQZ240" s="181">
        <v>11941</v>
      </c>
      <c r="NRA240" s="181">
        <v>11942</v>
      </c>
      <c r="NRB240" s="181">
        <v>11943</v>
      </c>
      <c r="NRC240" s="181">
        <v>11944</v>
      </c>
      <c r="NRD240" s="181">
        <v>11945</v>
      </c>
      <c r="NRE240" s="181">
        <v>11946</v>
      </c>
      <c r="NRF240" s="181">
        <v>11947</v>
      </c>
      <c r="NRG240" s="181">
        <v>11948</v>
      </c>
      <c r="NRH240" s="181">
        <v>11949</v>
      </c>
      <c r="NRI240" s="181">
        <v>11950</v>
      </c>
      <c r="NRJ240" s="181">
        <v>11951</v>
      </c>
      <c r="NRK240" s="181">
        <v>11952</v>
      </c>
      <c r="NRL240" s="181">
        <v>11953</v>
      </c>
      <c r="NRM240" s="181">
        <v>11954</v>
      </c>
      <c r="NRN240" s="181">
        <v>11955</v>
      </c>
      <c r="NRO240" s="181">
        <v>11956</v>
      </c>
      <c r="NRP240" s="181">
        <v>11957</v>
      </c>
      <c r="NRQ240" s="181">
        <v>11958</v>
      </c>
      <c r="NRR240" s="181">
        <v>11959</v>
      </c>
      <c r="NRS240" s="181">
        <v>11960</v>
      </c>
      <c r="NRT240" s="181">
        <v>11961</v>
      </c>
      <c r="NRU240" s="181">
        <v>11962</v>
      </c>
      <c r="NRV240" s="181">
        <v>11963</v>
      </c>
      <c r="NRW240" s="181">
        <v>11964</v>
      </c>
      <c r="NRX240" s="181">
        <v>11965</v>
      </c>
      <c r="NRY240" s="181">
        <v>11966</v>
      </c>
      <c r="NRZ240" s="181">
        <v>11967</v>
      </c>
      <c r="NSA240" s="181">
        <v>11968</v>
      </c>
      <c r="NSB240" s="181">
        <v>11969</v>
      </c>
      <c r="NSC240" s="181">
        <v>11970</v>
      </c>
      <c r="NSD240" s="181">
        <v>11971</v>
      </c>
      <c r="NSE240" s="181">
        <v>11972</v>
      </c>
      <c r="NSF240" s="181">
        <v>11973</v>
      </c>
      <c r="NSG240" s="181">
        <v>11974</v>
      </c>
      <c r="NSH240" s="181">
        <v>11975</v>
      </c>
      <c r="NSI240" s="181">
        <v>11976</v>
      </c>
      <c r="NSJ240" s="181">
        <v>11977</v>
      </c>
      <c r="NSK240" s="181">
        <v>11978</v>
      </c>
      <c r="NSL240" s="181">
        <v>11979</v>
      </c>
      <c r="NSM240" s="181">
        <v>11980</v>
      </c>
      <c r="NSN240" s="181">
        <v>11981</v>
      </c>
      <c r="NSO240" s="181">
        <v>11982</v>
      </c>
      <c r="NSP240" s="181">
        <v>11983</v>
      </c>
      <c r="NSQ240" s="181">
        <v>11984</v>
      </c>
      <c r="NSR240" s="181">
        <v>11985</v>
      </c>
      <c r="NSS240" s="181">
        <v>11986</v>
      </c>
      <c r="NST240" s="181">
        <v>11987</v>
      </c>
      <c r="NSU240" s="181">
        <v>11988</v>
      </c>
      <c r="NSV240" s="181">
        <v>11989</v>
      </c>
      <c r="NSW240" s="181">
        <v>11990</v>
      </c>
      <c r="NSX240" s="181">
        <v>11991</v>
      </c>
      <c r="NSY240" s="181">
        <v>11992</v>
      </c>
      <c r="NSZ240" s="181">
        <v>11993</v>
      </c>
      <c r="NTA240" s="181">
        <v>11994</v>
      </c>
      <c r="NTB240" s="181">
        <v>11995</v>
      </c>
      <c r="NTC240" s="181">
        <v>11996</v>
      </c>
      <c r="NTD240" s="181">
        <v>11997</v>
      </c>
      <c r="NTE240" s="181">
        <v>11998</v>
      </c>
      <c r="NTF240" s="181">
        <v>11999</v>
      </c>
      <c r="NTG240" s="181">
        <v>12000</v>
      </c>
      <c r="NTH240" s="181">
        <v>12001</v>
      </c>
      <c r="NTI240" s="181">
        <v>12002</v>
      </c>
      <c r="NTJ240" s="181">
        <v>12003</v>
      </c>
      <c r="NTK240" s="181">
        <v>12004</v>
      </c>
      <c r="NTL240" s="181">
        <v>12005</v>
      </c>
      <c r="NTM240" s="181">
        <v>12006</v>
      </c>
      <c r="NTN240" s="181">
        <v>12007</v>
      </c>
      <c r="NTO240" s="181">
        <v>12008</v>
      </c>
      <c r="NTP240" s="181">
        <v>12009</v>
      </c>
      <c r="NTQ240" s="181">
        <v>12010</v>
      </c>
      <c r="NTR240" s="181">
        <v>12011</v>
      </c>
      <c r="NTS240" s="181">
        <v>12012</v>
      </c>
      <c r="NTT240" s="181">
        <v>12013</v>
      </c>
      <c r="NTU240" s="181">
        <v>12014</v>
      </c>
      <c r="NTV240" s="181">
        <v>12015</v>
      </c>
      <c r="NTW240" s="181">
        <v>12016</v>
      </c>
      <c r="NTX240" s="181">
        <v>12017</v>
      </c>
      <c r="NTY240" s="181">
        <v>12018</v>
      </c>
      <c r="NTZ240" s="181">
        <v>12019</v>
      </c>
      <c r="NUA240" s="181">
        <v>12020</v>
      </c>
      <c r="NUB240" s="181">
        <v>12021</v>
      </c>
      <c r="NUC240" s="181">
        <v>12022</v>
      </c>
      <c r="NUD240" s="181">
        <v>12023</v>
      </c>
      <c r="NUE240" s="181">
        <v>12024</v>
      </c>
      <c r="NUF240" s="181">
        <v>12025</v>
      </c>
      <c r="NUG240" s="181">
        <v>12026</v>
      </c>
      <c r="NUH240" s="181">
        <v>12027</v>
      </c>
      <c r="NUI240" s="181">
        <v>12028</v>
      </c>
      <c r="NUJ240" s="181">
        <v>12029</v>
      </c>
      <c r="NUK240" s="181">
        <v>12030</v>
      </c>
      <c r="NUL240" s="181">
        <v>12031</v>
      </c>
      <c r="NUM240" s="181">
        <v>12032</v>
      </c>
      <c r="NUN240" s="181">
        <v>12033</v>
      </c>
      <c r="NUO240" s="181">
        <v>12034</v>
      </c>
      <c r="NUP240" s="181">
        <v>12035</v>
      </c>
      <c r="NUQ240" s="181">
        <v>12036</v>
      </c>
      <c r="NUR240" s="181">
        <v>12037</v>
      </c>
      <c r="NUS240" s="181">
        <v>12038</v>
      </c>
      <c r="NUT240" s="181">
        <v>12039</v>
      </c>
      <c r="NUU240" s="181">
        <v>12040</v>
      </c>
      <c r="NUV240" s="181">
        <v>12041</v>
      </c>
      <c r="NUW240" s="181">
        <v>12042</v>
      </c>
      <c r="NUX240" s="181">
        <v>12043</v>
      </c>
      <c r="NUY240" s="181">
        <v>12044</v>
      </c>
      <c r="NUZ240" s="181">
        <v>12045</v>
      </c>
      <c r="NVA240" s="181">
        <v>12046</v>
      </c>
      <c r="NVB240" s="181">
        <v>12047</v>
      </c>
      <c r="NVC240" s="181">
        <v>12048</v>
      </c>
      <c r="NVD240" s="181">
        <v>12049</v>
      </c>
      <c r="NVE240" s="181">
        <v>12050</v>
      </c>
      <c r="NVF240" s="181">
        <v>12051</v>
      </c>
      <c r="NVG240" s="181">
        <v>12052</v>
      </c>
      <c r="NVH240" s="181">
        <v>12053</v>
      </c>
      <c r="NVI240" s="181">
        <v>12054</v>
      </c>
      <c r="NVJ240" s="181">
        <v>12055</v>
      </c>
      <c r="NVK240" s="181">
        <v>12056</v>
      </c>
      <c r="NVL240" s="181">
        <v>12057</v>
      </c>
      <c r="NVM240" s="181">
        <v>12058</v>
      </c>
      <c r="NVN240" s="181">
        <v>12059</v>
      </c>
      <c r="NVO240" s="181">
        <v>12060</v>
      </c>
      <c r="NVP240" s="181">
        <v>12061</v>
      </c>
      <c r="NVQ240" s="181">
        <v>12062</v>
      </c>
      <c r="NVR240" s="181">
        <v>12063</v>
      </c>
      <c r="NVS240" s="181">
        <v>12064</v>
      </c>
      <c r="NVT240" s="181">
        <v>12065</v>
      </c>
      <c r="NVU240" s="181">
        <v>12066</v>
      </c>
      <c r="NVV240" s="181">
        <v>12067</v>
      </c>
      <c r="NVW240" s="181">
        <v>12068</v>
      </c>
      <c r="NVX240" s="181">
        <v>12069</v>
      </c>
      <c r="NVY240" s="181">
        <v>12070</v>
      </c>
      <c r="NVZ240" s="181">
        <v>12071</v>
      </c>
      <c r="NWA240" s="181">
        <v>12072</v>
      </c>
      <c r="NWB240" s="181">
        <v>12073</v>
      </c>
      <c r="NWC240" s="181">
        <v>12074</v>
      </c>
      <c r="NWD240" s="181">
        <v>12075</v>
      </c>
      <c r="NWE240" s="181">
        <v>12076</v>
      </c>
      <c r="NWF240" s="181">
        <v>12077</v>
      </c>
      <c r="NWG240" s="181">
        <v>12078</v>
      </c>
      <c r="NWH240" s="181">
        <v>12079</v>
      </c>
      <c r="NWI240" s="181">
        <v>12080</v>
      </c>
      <c r="NWJ240" s="181">
        <v>12081</v>
      </c>
      <c r="NWK240" s="181">
        <v>12082</v>
      </c>
      <c r="NWL240" s="181">
        <v>12083</v>
      </c>
      <c r="NWM240" s="181">
        <v>12084</v>
      </c>
      <c r="NWN240" s="181">
        <v>12085</v>
      </c>
      <c r="NWO240" s="181">
        <v>12086</v>
      </c>
      <c r="NWP240" s="181">
        <v>12087</v>
      </c>
      <c r="NWQ240" s="181">
        <v>12088</v>
      </c>
      <c r="NWR240" s="181">
        <v>12089</v>
      </c>
      <c r="NWS240" s="181">
        <v>12090</v>
      </c>
      <c r="NWT240" s="181">
        <v>12091</v>
      </c>
      <c r="NWU240" s="181">
        <v>12092</v>
      </c>
      <c r="NWV240" s="181">
        <v>12093</v>
      </c>
      <c r="NWW240" s="181">
        <v>12094</v>
      </c>
      <c r="NWX240" s="181">
        <v>12095</v>
      </c>
      <c r="NWY240" s="181">
        <v>12096</v>
      </c>
      <c r="NWZ240" s="181">
        <v>12097</v>
      </c>
      <c r="NXA240" s="181">
        <v>12098</v>
      </c>
      <c r="NXB240" s="181">
        <v>12099</v>
      </c>
      <c r="NXC240" s="181">
        <v>12100</v>
      </c>
      <c r="NXD240" s="181">
        <v>12101</v>
      </c>
      <c r="NXE240" s="181">
        <v>12102</v>
      </c>
      <c r="NXF240" s="181">
        <v>12103</v>
      </c>
      <c r="NXG240" s="181">
        <v>12104</v>
      </c>
      <c r="NXH240" s="181">
        <v>12105</v>
      </c>
      <c r="NXI240" s="181">
        <v>12106</v>
      </c>
      <c r="NXJ240" s="181">
        <v>12107</v>
      </c>
      <c r="NXK240" s="181">
        <v>12108</v>
      </c>
      <c r="NXL240" s="181">
        <v>12109</v>
      </c>
      <c r="NXM240" s="181">
        <v>12110</v>
      </c>
      <c r="NXN240" s="181">
        <v>12111</v>
      </c>
      <c r="NXO240" s="181">
        <v>12112</v>
      </c>
      <c r="NXP240" s="181">
        <v>12113</v>
      </c>
      <c r="NXQ240" s="181">
        <v>12114</v>
      </c>
      <c r="NXR240" s="181">
        <v>12115</v>
      </c>
      <c r="NXS240" s="181">
        <v>12116</v>
      </c>
      <c r="NXT240" s="181">
        <v>12117</v>
      </c>
      <c r="NXU240" s="181">
        <v>12118</v>
      </c>
      <c r="NXV240" s="181">
        <v>12119</v>
      </c>
      <c r="NXW240" s="181">
        <v>12120</v>
      </c>
      <c r="NXX240" s="181">
        <v>12121</v>
      </c>
      <c r="NXY240" s="181">
        <v>12122</v>
      </c>
      <c r="NXZ240" s="181">
        <v>12123</v>
      </c>
      <c r="NYA240" s="181">
        <v>12124</v>
      </c>
      <c r="NYB240" s="181">
        <v>12125</v>
      </c>
      <c r="NYC240" s="181">
        <v>12126</v>
      </c>
      <c r="NYD240" s="181">
        <v>12127</v>
      </c>
      <c r="NYE240" s="181">
        <v>12128</v>
      </c>
      <c r="NYF240" s="181">
        <v>12129</v>
      </c>
      <c r="NYG240" s="181">
        <v>12130</v>
      </c>
      <c r="NYH240" s="181">
        <v>12131</v>
      </c>
      <c r="NYI240" s="181">
        <v>12132</v>
      </c>
      <c r="NYJ240" s="181">
        <v>12133</v>
      </c>
      <c r="NYK240" s="181">
        <v>12134</v>
      </c>
      <c r="NYL240" s="181">
        <v>12135</v>
      </c>
      <c r="NYM240" s="181">
        <v>12136</v>
      </c>
      <c r="NYN240" s="181">
        <v>12137</v>
      </c>
      <c r="NYO240" s="181">
        <v>12138</v>
      </c>
      <c r="NYP240" s="181">
        <v>12139</v>
      </c>
      <c r="NYQ240" s="181">
        <v>12140</v>
      </c>
      <c r="NYR240" s="181">
        <v>12141</v>
      </c>
      <c r="NYS240" s="181">
        <v>12142</v>
      </c>
      <c r="NYT240" s="181">
        <v>12143</v>
      </c>
      <c r="NYU240" s="181">
        <v>12144</v>
      </c>
      <c r="NYV240" s="181">
        <v>12145</v>
      </c>
      <c r="NYW240" s="181">
        <v>12146</v>
      </c>
      <c r="NYX240" s="181">
        <v>12147</v>
      </c>
      <c r="NYY240" s="181">
        <v>12148</v>
      </c>
      <c r="NYZ240" s="181">
        <v>12149</v>
      </c>
      <c r="NZA240" s="181">
        <v>12150</v>
      </c>
      <c r="NZB240" s="181">
        <v>12151</v>
      </c>
      <c r="NZC240" s="181">
        <v>12152</v>
      </c>
      <c r="NZD240" s="181">
        <v>12153</v>
      </c>
      <c r="NZE240" s="181">
        <v>12154</v>
      </c>
      <c r="NZF240" s="181">
        <v>12155</v>
      </c>
      <c r="NZG240" s="181">
        <v>12156</v>
      </c>
      <c r="NZH240" s="181">
        <v>12157</v>
      </c>
      <c r="NZI240" s="181">
        <v>12158</v>
      </c>
      <c r="NZJ240" s="181">
        <v>12159</v>
      </c>
      <c r="NZK240" s="181">
        <v>12160</v>
      </c>
      <c r="NZL240" s="181">
        <v>12161</v>
      </c>
      <c r="NZM240" s="181">
        <v>12162</v>
      </c>
      <c r="NZN240" s="181">
        <v>12163</v>
      </c>
      <c r="NZO240" s="181">
        <v>12164</v>
      </c>
      <c r="NZP240" s="181">
        <v>12165</v>
      </c>
      <c r="NZQ240" s="181">
        <v>12166</v>
      </c>
      <c r="NZR240" s="181">
        <v>12167</v>
      </c>
      <c r="NZS240" s="181">
        <v>12168</v>
      </c>
      <c r="NZT240" s="181">
        <v>12169</v>
      </c>
      <c r="NZU240" s="181">
        <v>12170</v>
      </c>
      <c r="NZV240" s="181">
        <v>12171</v>
      </c>
      <c r="NZW240" s="181">
        <v>12172</v>
      </c>
      <c r="NZX240" s="181">
        <v>12173</v>
      </c>
      <c r="NZY240" s="181">
        <v>12174</v>
      </c>
      <c r="NZZ240" s="181">
        <v>12175</v>
      </c>
      <c r="OAA240" s="181">
        <v>12176</v>
      </c>
      <c r="OAB240" s="181">
        <v>12177</v>
      </c>
      <c r="OAC240" s="181">
        <v>12178</v>
      </c>
      <c r="OAD240" s="181">
        <v>12179</v>
      </c>
      <c r="OAE240" s="181">
        <v>12180</v>
      </c>
      <c r="OAF240" s="181">
        <v>12181</v>
      </c>
      <c r="OAG240" s="181">
        <v>12182</v>
      </c>
      <c r="OAH240" s="181">
        <v>12183</v>
      </c>
      <c r="OAI240" s="181">
        <v>12184</v>
      </c>
      <c r="OAJ240" s="181">
        <v>12185</v>
      </c>
      <c r="OAK240" s="181">
        <v>12186</v>
      </c>
      <c r="OAL240" s="181">
        <v>12187</v>
      </c>
      <c r="OAM240" s="181">
        <v>12188</v>
      </c>
      <c r="OAN240" s="181">
        <v>12189</v>
      </c>
      <c r="OAO240" s="181">
        <v>12190</v>
      </c>
      <c r="OAP240" s="181">
        <v>12191</v>
      </c>
      <c r="OAQ240" s="181">
        <v>12192</v>
      </c>
      <c r="OAR240" s="181">
        <v>12193</v>
      </c>
      <c r="OAS240" s="181">
        <v>12194</v>
      </c>
      <c r="OAT240" s="181">
        <v>12195</v>
      </c>
      <c r="OAU240" s="181">
        <v>12196</v>
      </c>
      <c r="OAV240" s="181">
        <v>12197</v>
      </c>
      <c r="OAW240" s="181">
        <v>12198</v>
      </c>
      <c r="OAX240" s="181">
        <v>12199</v>
      </c>
      <c r="OAY240" s="181">
        <v>12200</v>
      </c>
      <c r="OAZ240" s="181">
        <v>12201</v>
      </c>
      <c r="OBA240" s="181">
        <v>12202</v>
      </c>
      <c r="OBB240" s="181">
        <v>12203</v>
      </c>
      <c r="OBC240" s="181">
        <v>12204</v>
      </c>
      <c r="OBD240" s="181">
        <v>12205</v>
      </c>
      <c r="OBE240" s="181">
        <v>12206</v>
      </c>
      <c r="OBF240" s="181">
        <v>12207</v>
      </c>
      <c r="OBG240" s="181">
        <v>12208</v>
      </c>
      <c r="OBH240" s="181">
        <v>12209</v>
      </c>
      <c r="OBI240" s="181">
        <v>12210</v>
      </c>
      <c r="OBJ240" s="181">
        <v>12211</v>
      </c>
      <c r="OBK240" s="181">
        <v>12212</v>
      </c>
      <c r="OBL240" s="181">
        <v>12213</v>
      </c>
      <c r="OBM240" s="181">
        <v>12214</v>
      </c>
      <c r="OBN240" s="181">
        <v>12215</v>
      </c>
      <c r="OBO240" s="181">
        <v>12216</v>
      </c>
      <c r="OBP240" s="181">
        <v>12217</v>
      </c>
      <c r="OBQ240" s="181">
        <v>12218</v>
      </c>
      <c r="OBR240" s="181">
        <v>12219</v>
      </c>
      <c r="OBS240" s="181">
        <v>12220</v>
      </c>
      <c r="OBT240" s="181">
        <v>12221</v>
      </c>
      <c r="OBU240" s="181">
        <v>12222</v>
      </c>
      <c r="OBV240" s="181">
        <v>12223</v>
      </c>
      <c r="OBW240" s="181">
        <v>12224</v>
      </c>
      <c r="OBX240" s="181">
        <v>12225</v>
      </c>
      <c r="OBY240" s="181">
        <v>12226</v>
      </c>
      <c r="OBZ240" s="181">
        <v>12227</v>
      </c>
      <c r="OCA240" s="181">
        <v>12228</v>
      </c>
      <c r="OCB240" s="181">
        <v>12229</v>
      </c>
      <c r="OCC240" s="181">
        <v>12230</v>
      </c>
      <c r="OCD240" s="181">
        <v>12231</v>
      </c>
      <c r="OCE240" s="181">
        <v>12232</v>
      </c>
      <c r="OCF240" s="181">
        <v>12233</v>
      </c>
      <c r="OCG240" s="181">
        <v>12234</v>
      </c>
      <c r="OCH240" s="181">
        <v>12235</v>
      </c>
      <c r="OCI240" s="181">
        <v>12236</v>
      </c>
      <c r="OCJ240" s="181">
        <v>12237</v>
      </c>
      <c r="OCK240" s="181">
        <v>12238</v>
      </c>
      <c r="OCL240" s="181">
        <v>12239</v>
      </c>
      <c r="OCM240" s="181">
        <v>12240</v>
      </c>
      <c r="OCN240" s="181">
        <v>12241</v>
      </c>
      <c r="OCO240" s="181">
        <v>12242</v>
      </c>
      <c r="OCP240" s="181">
        <v>12243</v>
      </c>
      <c r="OCQ240" s="181">
        <v>12244</v>
      </c>
      <c r="OCR240" s="181">
        <v>12245</v>
      </c>
      <c r="OCS240" s="181">
        <v>12246</v>
      </c>
      <c r="OCT240" s="181">
        <v>12247</v>
      </c>
      <c r="OCU240" s="181">
        <v>12248</v>
      </c>
      <c r="OCV240" s="181">
        <v>12249</v>
      </c>
      <c r="OCW240" s="181">
        <v>12250</v>
      </c>
      <c r="OCX240" s="181">
        <v>12251</v>
      </c>
      <c r="OCY240" s="181">
        <v>12252</v>
      </c>
      <c r="OCZ240" s="181">
        <v>12253</v>
      </c>
      <c r="ODA240" s="181">
        <v>12254</v>
      </c>
      <c r="ODB240" s="181">
        <v>12255</v>
      </c>
      <c r="ODC240" s="181">
        <v>12256</v>
      </c>
      <c r="ODD240" s="181">
        <v>12257</v>
      </c>
      <c r="ODE240" s="181">
        <v>12258</v>
      </c>
      <c r="ODF240" s="181">
        <v>12259</v>
      </c>
      <c r="ODG240" s="181">
        <v>12260</v>
      </c>
      <c r="ODH240" s="181">
        <v>12261</v>
      </c>
      <c r="ODI240" s="181">
        <v>12262</v>
      </c>
      <c r="ODJ240" s="181">
        <v>12263</v>
      </c>
      <c r="ODK240" s="181">
        <v>12264</v>
      </c>
      <c r="ODL240" s="181">
        <v>12265</v>
      </c>
      <c r="ODM240" s="181">
        <v>12266</v>
      </c>
      <c r="ODN240" s="181">
        <v>12267</v>
      </c>
      <c r="ODO240" s="181">
        <v>12268</v>
      </c>
      <c r="ODP240" s="181">
        <v>12269</v>
      </c>
      <c r="ODQ240" s="181">
        <v>12270</v>
      </c>
      <c r="ODR240" s="181">
        <v>12271</v>
      </c>
      <c r="ODS240" s="181">
        <v>12272</v>
      </c>
      <c r="ODT240" s="181">
        <v>12273</v>
      </c>
      <c r="ODU240" s="181">
        <v>12274</v>
      </c>
      <c r="ODV240" s="181">
        <v>12275</v>
      </c>
      <c r="ODW240" s="181">
        <v>12276</v>
      </c>
      <c r="ODX240" s="181">
        <v>12277</v>
      </c>
      <c r="ODY240" s="181">
        <v>12278</v>
      </c>
      <c r="ODZ240" s="181">
        <v>12279</v>
      </c>
      <c r="OEA240" s="181">
        <v>12280</v>
      </c>
      <c r="OEB240" s="181">
        <v>12281</v>
      </c>
      <c r="OEC240" s="181">
        <v>12282</v>
      </c>
      <c r="OED240" s="181">
        <v>12283</v>
      </c>
      <c r="OEE240" s="181">
        <v>12284</v>
      </c>
      <c r="OEF240" s="181">
        <v>12285</v>
      </c>
      <c r="OEG240" s="181">
        <v>12286</v>
      </c>
      <c r="OEH240" s="181">
        <v>12287</v>
      </c>
      <c r="OEI240" s="181">
        <v>12288</v>
      </c>
      <c r="OEJ240" s="181">
        <v>12289</v>
      </c>
      <c r="OEK240" s="181">
        <v>12290</v>
      </c>
      <c r="OEL240" s="181">
        <v>12291</v>
      </c>
      <c r="OEM240" s="181">
        <v>12292</v>
      </c>
      <c r="OEN240" s="181">
        <v>12293</v>
      </c>
      <c r="OEO240" s="181">
        <v>12294</v>
      </c>
      <c r="OEP240" s="181">
        <v>12295</v>
      </c>
      <c r="OEQ240" s="181">
        <v>12296</v>
      </c>
      <c r="OER240" s="181">
        <v>12297</v>
      </c>
      <c r="OES240" s="181">
        <v>12298</v>
      </c>
      <c r="OET240" s="181">
        <v>12299</v>
      </c>
      <c r="OEU240" s="181">
        <v>12300</v>
      </c>
      <c r="OEV240" s="181">
        <v>12301</v>
      </c>
      <c r="OEW240" s="181">
        <v>12302</v>
      </c>
      <c r="OEX240" s="181">
        <v>12303</v>
      </c>
      <c r="OEY240" s="181">
        <v>12304</v>
      </c>
      <c r="OEZ240" s="181">
        <v>12305</v>
      </c>
      <c r="OFA240" s="181">
        <v>12306</v>
      </c>
      <c r="OFB240" s="181">
        <v>12307</v>
      </c>
      <c r="OFC240" s="181">
        <v>12308</v>
      </c>
      <c r="OFD240" s="181">
        <v>12309</v>
      </c>
      <c r="OFE240" s="181">
        <v>12310</v>
      </c>
      <c r="OFF240" s="181">
        <v>12311</v>
      </c>
      <c r="OFG240" s="181">
        <v>12312</v>
      </c>
      <c r="OFH240" s="181">
        <v>12313</v>
      </c>
      <c r="OFI240" s="181">
        <v>12314</v>
      </c>
      <c r="OFJ240" s="181">
        <v>12315</v>
      </c>
      <c r="OFK240" s="181">
        <v>12316</v>
      </c>
      <c r="OFL240" s="181">
        <v>12317</v>
      </c>
      <c r="OFM240" s="181">
        <v>12318</v>
      </c>
      <c r="OFN240" s="181">
        <v>12319</v>
      </c>
      <c r="OFO240" s="181">
        <v>12320</v>
      </c>
      <c r="OFP240" s="181">
        <v>12321</v>
      </c>
      <c r="OFQ240" s="181">
        <v>12322</v>
      </c>
      <c r="OFR240" s="181">
        <v>12323</v>
      </c>
      <c r="OFS240" s="181">
        <v>12324</v>
      </c>
      <c r="OFT240" s="181">
        <v>12325</v>
      </c>
      <c r="OFU240" s="181">
        <v>12326</v>
      </c>
      <c r="OFV240" s="181">
        <v>12327</v>
      </c>
      <c r="OFW240" s="181">
        <v>12328</v>
      </c>
      <c r="OFX240" s="181">
        <v>12329</v>
      </c>
      <c r="OFY240" s="181">
        <v>12330</v>
      </c>
      <c r="OFZ240" s="181">
        <v>12331</v>
      </c>
      <c r="OGA240" s="181">
        <v>12332</v>
      </c>
      <c r="OGB240" s="181">
        <v>12333</v>
      </c>
      <c r="OGC240" s="181">
        <v>12334</v>
      </c>
      <c r="OGD240" s="181">
        <v>12335</v>
      </c>
      <c r="OGE240" s="181">
        <v>12336</v>
      </c>
      <c r="OGF240" s="181">
        <v>12337</v>
      </c>
      <c r="OGG240" s="181">
        <v>12338</v>
      </c>
      <c r="OGH240" s="181">
        <v>12339</v>
      </c>
      <c r="OGI240" s="181">
        <v>12340</v>
      </c>
      <c r="OGJ240" s="181">
        <v>12341</v>
      </c>
      <c r="OGK240" s="181">
        <v>12342</v>
      </c>
      <c r="OGL240" s="181">
        <v>12343</v>
      </c>
      <c r="OGM240" s="181">
        <v>12344</v>
      </c>
      <c r="OGN240" s="181">
        <v>12345</v>
      </c>
      <c r="OGO240" s="181">
        <v>12346</v>
      </c>
      <c r="OGP240" s="181">
        <v>12347</v>
      </c>
      <c r="OGQ240" s="181">
        <v>12348</v>
      </c>
      <c r="OGR240" s="181">
        <v>12349</v>
      </c>
      <c r="OGS240" s="181">
        <v>12350</v>
      </c>
      <c r="OGT240" s="181">
        <v>12351</v>
      </c>
      <c r="OGU240" s="181">
        <v>12352</v>
      </c>
      <c r="OGV240" s="181">
        <v>12353</v>
      </c>
      <c r="OGW240" s="181">
        <v>12354</v>
      </c>
      <c r="OGX240" s="181">
        <v>12355</v>
      </c>
      <c r="OGY240" s="181">
        <v>12356</v>
      </c>
      <c r="OGZ240" s="181">
        <v>12357</v>
      </c>
      <c r="OHA240" s="181">
        <v>12358</v>
      </c>
      <c r="OHB240" s="181">
        <v>12359</v>
      </c>
      <c r="OHC240" s="181">
        <v>12360</v>
      </c>
      <c r="OHD240" s="181">
        <v>12361</v>
      </c>
      <c r="OHE240" s="181">
        <v>12362</v>
      </c>
      <c r="OHF240" s="181">
        <v>12363</v>
      </c>
      <c r="OHG240" s="181">
        <v>12364</v>
      </c>
      <c r="OHH240" s="181">
        <v>12365</v>
      </c>
      <c r="OHI240" s="181">
        <v>12366</v>
      </c>
      <c r="OHJ240" s="181">
        <v>12367</v>
      </c>
      <c r="OHK240" s="181">
        <v>12368</v>
      </c>
      <c r="OHL240" s="181">
        <v>12369</v>
      </c>
      <c r="OHM240" s="181">
        <v>12370</v>
      </c>
      <c r="OHN240" s="181">
        <v>12371</v>
      </c>
      <c r="OHO240" s="181">
        <v>12372</v>
      </c>
      <c r="OHP240" s="181">
        <v>12373</v>
      </c>
      <c r="OHQ240" s="181">
        <v>12374</v>
      </c>
      <c r="OHR240" s="181">
        <v>12375</v>
      </c>
      <c r="OHS240" s="181">
        <v>12376</v>
      </c>
      <c r="OHT240" s="181">
        <v>12377</v>
      </c>
      <c r="OHU240" s="181">
        <v>12378</v>
      </c>
      <c r="OHV240" s="181">
        <v>12379</v>
      </c>
      <c r="OHW240" s="181">
        <v>12380</v>
      </c>
      <c r="OHX240" s="181">
        <v>12381</v>
      </c>
      <c r="OHY240" s="181">
        <v>12382</v>
      </c>
      <c r="OHZ240" s="181">
        <v>12383</v>
      </c>
      <c r="OIA240" s="181">
        <v>12384</v>
      </c>
      <c r="OIB240" s="181">
        <v>12385</v>
      </c>
      <c r="OIC240" s="181">
        <v>12386</v>
      </c>
      <c r="OID240" s="181">
        <v>12387</v>
      </c>
      <c r="OIE240" s="181">
        <v>12388</v>
      </c>
      <c r="OIF240" s="181">
        <v>12389</v>
      </c>
      <c r="OIG240" s="181">
        <v>12390</v>
      </c>
      <c r="OIH240" s="181">
        <v>12391</v>
      </c>
      <c r="OII240" s="181">
        <v>12392</v>
      </c>
      <c r="OIJ240" s="181">
        <v>12393</v>
      </c>
      <c r="OIK240" s="181">
        <v>12394</v>
      </c>
      <c r="OIL240" s="181">
        <v>12395</v>
      </c>
      <c r="OIM240" s="181">
        <v>12396</v>
      </c>
      <c r="OIN240" s="181">
        <v>12397</v>
      </c>
      <c r="OIO240" s="181">
        <v>12398</v>
      </c>
      <c r="OIP240" s="181">
        <v>12399</v>
      </c>
      <c r="OIQ240" s="181">
        <v>12400</v>
      </c>
      <c r="OIR240" s="181">
        <v>12401</v>
      </c>
      <c r="OIS240" s="181">
        <v>12402</v>
      </c>
      <c r="OIT240" s="181">
        <v>12403</v>
      </c>
      <c r="OIU240" s="181">
        <v>12404</v>
      </c>
      <c r="OIV240" s="181">
        <v>12405</v>
      </c>
      <c r="OIW240" s="181">
        <v>12406</v>
      </c>
      <c r="OIX240" s="181">
        <v>12407</v>
      </c>
      <c r="OIY240" s="181">
        <v>12408</v>
      </c>
      <c r="OIZ240" s="181">
        <v>12409</v>
      </c>
      <c r="OJA240" s="181">
        <v>12410</v>
      </c>
      <c r="OJB240" s="181">
        <v>12411</v>
      </c>
      <c r="OJC240" s="181">
        <v>12412</v>
      </c>
      <c r="OJD240" s="181">
        <v>12413</v>
      </c>
      <c r="OJE240" s="181">
        <v>12414</v>
      </c>
      <c r="OJF240" s="181">
        <v>12415</v>
      </c>
      <c r="OJG240" s="181">
        <v>12416</v>
      </c>
      <c r="OJH240" s="181">
        <v>12417</v>
      </c>
      <c r="OJI240" s="181">
        <v>12418</v>
      </c>
      <c r="OJJ240" s="181">
        <v>12419</v>
      </c>
      <c r="OJK240" s="181">
        <v>12420</v>
      </c>
      <c r="OJL240" s="181">
        <v>12421</v>
      </c>
      <c r="OJM240" s="181">
        <v>12422</v>
      </c>
      <c r="OJN240" s="181">
        <v>12423</v>
      </c>
      <c r="OJO240" s="181">
        <v>12424</v>
      </c>
      <c r="OJP240" s="181">
        <v>12425</v>
      </c>
      <c r="OJQ240" s="181">
        <v>12426</v>
      </c>
      <c r="OJR240" s="181">
        <v>12427</v>
      </c>
      <c r="OJS240" s="181">
        <v>12428</v>
      </c>
      <c r="OJT240" s="181">
        <v>12429</v>
      </c>
      <c r="OJU240" s="181">
        <v>12430</v>
      </c>
      <c r="OJV240" s="181">
        <v>12431</v>
      </c>
      <c r="OJW240" s="181">
        <v>12432</v>
      </c>
      <c r="OJX240" s="181">
        <v>12433</v>
      </c>
      <c r="OJY240" s="181">
        <v>12434</v>
      </c>
      <c r="OJZ240" s="181">
        <v>12435</v>
      </c>
      <c r="OKA240" s="181">
        <v>12436</v>
      </c>
      <c r="OKB240" s="181">
        <v>12437</v>
      </c>
      <c r="OKC240" s="181">
        <v>12438</v>
      </c>
      <c r="OKD240" s="181">
        <v>12439</v>
      </c>
      <c r="OKE240" s="181">
        <v>12440</v>
      </c>
      <c r="OKF240" s="181">
        <v>12441</v>
      </c>
      <c r="OKG240" s="181">
        <v>12442</v>
      </c>
      <c r="OKH240" s="181">
        <v>12443</v>
      </c>
      <c r="OKI240" s="181">
        <v>12444</v>
      </c>
      <c r="OKJ240" s="181">
        <v>12445</v>
      </c>
      <c r="OKK240" s="181">
        <v>12446</v>
      </c>
      <c r="OKL240" s="181">
        <v>12447</v>
      </c>
      <c r="OKM240" s="181">
        <v>12448</v>
      </c>
      <c r="OKN240" s="181">
        <v>12449</v>
      </c>
      <c r="OKO240" s="181">
        <v>12450</v>
      </c>
      <c r="OKP240" s="181">
        <v>12451</v>
      </c>
      <c r="OKQ240" s="181">
        <v>12452</v>
      </c>
      <c r="OKR240" s="181">
        <v>12453</v>
      </c>
      <c r="OKS240" s="181">
        <v>12454</v>
      </c>
      <c r="OKT240" s="181">
        <v>12455</v>
      </c>
      <c r="OKU240" s="181">
        <v>12456</v>
      </c>
      <c r="OKV240" s="181">
        <v>12457</v>
      </c>
      <c r="OKW240" s="181">
        <v>12458</v>
      </c>
      <c r="OKX240" s="181">
        <v>12459</v>
      </c>
      <c r="OKY240" s="181">
        <v>12460</v>
      </c>
      <c r="OKZ240" s="181">
        <v>12461</v>
      </c>
      <c r="OLA240" s="181">
        <v>12462</v>
      </c>
      <c r="OLB240" s="181">
        <v>12463</v>
      </c>
      <c r="OLC240" s="181">
        <v>12464</v>
      </c>
      <c r="OLD240" s="181">
        <v>12465</v>
      </c>
      <c r="OLE240" s="181">
        <v>12466</v>
      </c>
      <c r="OLF240" s="181">
        <v>12467</v>
      </c>
      <c r="OLG240" s="181">
        <v>12468</v>
      </c>
      <c r="OLH240" s="181">
        <v>12469</v>
      </c>
      <c r="OLI240" s="181">
        <v>12470</v>
      </c>
      <c r="OLJ240" s="181">
        <v>12471</v>
      </c>
      <c r="OLK240" s="181">
        <v>12472</v>
      </c>
      <c r="OLL240" s="181">
        <v>12473</v>
      </c>
      <c r="OLM240" s="181">
        <v>12474</v>
      </c>
      <c r="OLN240" s="181">
        <v>12475</v>
      </c>
      <c r="OLO240" s="181">
        <v>12476</v>
      </c>
      <c r="OLP240" s="181">
        <v>12477</v>
      </c>
      <c r="OLQ240" s="181">
        <v>12478</v>
      </c>
      <c r="OLR240" s="181">
        <v>12479</v>
      </c>
      <c r="OLS240" s="181">
        <v>12480</v>
      </c>
      <c r="OLT240" s="181">
        <v>12481</v>
      </c>
      <c r="OLU240" s="181">
        <v>12482</v>
      </c>
      <c r="OLV240" s="181">
        <v>12483</v>
      </c>
      <c r="OLW240" s="181">
        <v>12484</v>
      </c>
      <c r="OLX240" s="181">
        <v>12485</v>
      </c>
      <c r="OLY240" s="181">
        <v>12486</v>
      </c>
      <c r="OLZ240" s="181">
        <v>12487</v>
      </c>
      <c r="OMA240" s="181">
        <v>12488</v>
      </c>
      <c r="OMB240" s="181">
        <v>12489</v>
      </c>
      <c r="OMC240" s="181">
        <v>12490</v>
      </c>
      <c r="OMD240" s="181">
        <v>12491</v>
      </c>
      <c r="OME240" s="181">
        <v>12492</v>
      </c>
      <c r="OMF240" s="181">
        <v>12493</v>
      </c>
      <c r="OMG240" s="181">
        <v>12494</v>
      </c>
      <c r="OMH240" s="181">
        <v>12495</v>
      </c>
      <c r="OMI240" s="181">
        <v>12496</v>
      </c>
      <c r="OMJ240" s="181">
        <v>12497</v>
      </c>
      <c r="OMK240" s="181">
        <v>12498</v>
      </c>
      <c r="OML240" s="181">
        <v>12499</v>
      </c>
      <c r="OMM240" s="181">
        <v>12500</v>
      </c>
      <c r="OMN240" s="181">
        <v>12501</v>
      </c>
      <c r="OMO240" s="181">
        <v>12502</v>
      </c>
      <c r="OMP240" s="181">
        <v>12503</v>
      </c>
      <c r="OMQ240" s="181">
        <v>12504</v>
      </c>
      <c r="OMR240" s="181">
        <v>12505</v>
      </c>
      <c r="OMS240" s="181">
        <v>12506</v>
      </c>
      <c r="OMT240" s="181">
        <v>12507</v>
      </c>
      <c r="OMU240" s="181">
        <v>12508</v>
      </c>
      <c r="OMV240" s="181">
        <v>12509</v>
      </c>
      <c r="OMW240" s="181">
        <v>12510</v>
      </c>
      <c r="OMX240" s="181">
        <v>12511</v>
      </c>
      <c r="OMY240" s="181">
        <v>12512</v>
      </c>
      <c r="OMZ240" s="181">
        <v>12513</v>
      </c>
      <c r="ONA240" s="181">
        <v>12514</v>
      </c>
      <c r="ONB240" s="181">
        <v>12515</v>
      </c>
      <c r="ONC240" s="181">
        <v>12516</v>
      </c>
      <c r="OND240" s="181">
        <v>12517</v>
      </c>
      <c r="ONE240" s="181">
        <v>12518</v>
      </c>
      <c r="ONF240" s="181">
        <v>12519</v>
      </c>
      <c r="ONG240" s="181">
        <v>12520</v>
      </c>
      <c r="ONH240" s="181">
        <v>12521</v>
      </c>
      <c r="ONI240" s="181">
        <v>12522</v>
      </c>
      <c r="ONJ240" s="181">
        <v>12523</v>
      </c>
      <c r="ONK240" s="181">
        <v>12524</v>
      </c>
      <c r="ONL240" s="181">
        <v>12525</v>
      </c>
      <c r="ONM240" s="181">
        <v>12526</v>
      </c>
      <c r="ONN240" s="181">
        <v>12527</v>
      </c>
      <c r="ONO240" s="181">
        <v>12528</v>
      </c>
      <c r="ONP240" s="181">
        <v>12529</v>
      </c>
      <c r="ONQ240" s="181">
        <v>12530</v>
      </c>
      <c r="ONR240" s="181">
        <v>12531</v>
      </c>
      <c r="ONS240" s="181">
        <v>12532</v>
      </c>
      <c r="ONT240" s="181">
        <v>12533</v>
      </c>
      <c r="ONU240" s="181">
        <v>12534</v>
      </c>
      <c r="ONV240" s="181">
        <v>12535</v>
      </c>
      <c r="ONW240" s="181">
        <v>12536</v>
      </c>
      <c r="ONX240" s="181">
        <v>12537</v>
      </c>
      <c r="ONY240" s="181">
        <v>12538</v>
      </c>
      <c r="ONZ240" s="181">
        <v>12539</v>
      </c>
      <c r="OOA240" s="181">
        <v>12540</v>
      </c>
      <c r="OOB240" s="181">
        <v>12541</v>
      </c>
      <c r="OOC240" s="181">
        <v>12542</v>
      </c>
      <c r="OOD240" s="181">
        <v>12543</v>
      </c>
      <c r="OOE240" s="181">
        <v>12544</v>
      </c>
      <c r="OOF240" s="181">
        <v>12545</v>
      </c>
      <c r="OOG240" s="181">
        <v>12546</v>
      </c>
      <c r="OOH240" s="181">
        <v>12547</v>
      </c>
      <c r="OOI240" s="181">
        <v>12548</v>
      </c>
      <c r="OOJ240" s="181">
        <v>12549</v>
      </c>
      <c r="OOK240" s="181">
        <v>12550</v>
      </c>
      <c r="OOL240" s="181">
        <v>12551</v>
      </c>
      <c r="OOM240" s="181">
        <v>12552</v>
      </c>
      <c r="OON240" s="181">
        <v>12553</v>
      </c>
      <c r="OOO240" s="181">
        <v>12554</v>
      </c>
      <c r="OOP240" s="181">
        <v>12555</v>
      </c>
      <c r="OOQ240" s="181">
        <v>12556</v>
      </c>
      <c r="OOR240" s="181">
        <v>12557</v>
      </c>
      <c r="OOS240" s="181">
        <v>12558</v>
      </c>
      <c r="OOT240" s="181">
        <v>12559</v>
      </c>
      <c r="OOU240" s="181">
        <v>12560</v>
      </c>
      <c r="OOV240" s="181">
        <v>12561</v>
      </c>
      <c r="OOW240" s="181">
        <v>12562</v>
      </c>
      <c r="OOX240" s="181">
        <v>12563</v>
      </c>
      <c r="OOY240" s="181">
        <v>12564</v>
      </c>
      <c r="OOZ240" s="181">
        <v>12565</v>
      </c>
      <c r="OPA240" s="181">
        <v>12566</v>
      </c>
      <c r="OPB240" s="181">
        <v>12567</v>
      </c>
      <c r="OPC240" s="181">
        <v>12568</v>
      </c>
      <c r="OPD240" s="181">
        <v>12569</v>
      </c>
      <c r="OPE240" s="181">
        <v>12570</v>
      </c>
      <c r="OPF240" s="181">
        <v>12571</v>
      </c>
      <c r="OPG240" s="181">
        <v>12572</v>
      </c>
      <c r="OPH240" s="181">
        <v>12573</v>
      </c>
      <c r="OPI240" s="181">
        <v>12574</v>
      </c>
      <c r="OPJ240" s="181">
        <v>12575</v>
      </c>
      <c r="OPK240" s="181">
        <v>12576</v>
      </c>
      <c r="OPL240" s="181">
        <v>12577</v>
      </c>
      <c r="OPM240" s="181">
        <v>12578</v>
      </c>
      <c r="OPN240" s="181">
        <v>12579</v>
      </c>
      <c r="OPO240" s="181">
        <v>12580</v>
      </c>
      <c r="OPP240" s="181">
        <v>12581</v>
      </c>
      <c r="OPQ240" s="181">
        <v>12582</v>
      </c>
      <c r="OPR240" s="181">
        <v>12583</v>
      </c>
      <c r="OPS240" s="181">
        <v>12584</v>
      </c>
      <c r="OPT240" s="181">
        <v>12585</v>
      </c>
      <c r="OPU240" s="181">
        <v>12586</v>
      </c>
      <c r="OPV240" s="181">
        <v>12587</v>
      </c>
      <c r="OPW240" s="181">
        <v>12588</v>
      </c>
      <c r="OPX240" s="181">
        <v>12589</v>
      </c>
      <c r="OPY240" s="181">
        <v>12590</v>
      </c>
      <c r="OPZ240" s="181">
        <v>12591</v>
      </c>
      <c r="OQA240" s="181">
        <v>12592</v>
      </c>
      <c r="OQB240" s="181">
        <v>12593</v>
      </c>
      <c r="OQC240" s="181">
        <v>12594</v>
      </c>
      <c r="OQD240" s="181">
        <v>12595</v>
      </c>
      <c r="OQE240" s="181">
        <v>12596</v>
      </c>
      <c r="OQF240" s="181">
        <v>12597</v>
      </c>
      <c r="OQG240" s="181">
        <v>12598</v>
      </c>
      <c r="OQH240" s="181">
        <v>12599</v>
      </c>
      <c r="OQI240" s="181">
        <v>12600</v>
      </c>
      <c r="OQJ240" s="181">
        <v>12601</v>
      </c>
      <c r="OQK240" s="181">
        <v>12602</v>
      </c>
      <c r="OQL240" s="181">
        <v>12603</v>
      </c>
      <c r="OQM240" s="181">
        <v>12604</v>
      </c>
      <c r="OQN240" s="181">
        <v>12605</v>
      </c>
      <c r="OQO240" s="181">
        <v>12606</v>
      </c>
      <c r="OQP240" s="181">
        <v>12607</v>
      </c>
      <c r="OQQ240" s="181">
        <v>12608</v>
      </c>
      <c r="OQR240" s="181">
        <v>12609</v>
      </c>
      <c r="OQS240" s="181">
        <v>12610</v>
      </c>
      <c r="OQT240" s="181">
        <v>12611</v>
      </c>
      <c r="OQU240" s="181">
        <v>12612</v>
      </c>
      <c r="OQV240" s="181">
        <v>12613</v>
      </c>
      <c r="OQW240" s="181">
        <v>12614</v>
      </c>
      <c r="OQX240" s="181">
        <v>12615</v>
      </c>
      <c r="OQY240" s="181">
        <v>12616</v>
      </c>
      <c r="OQZ240" s="181">
        <v>12617</v>
      </c>
      <c r="ORA240" s="181">
        <v>12618</v>
      </c>
      <c r="ORB240" s="181">
        <v>12619</v>
      </c>
      <c r="ORC240" s="181">
        <v>12620</v>
      </c>
      <c r="ORD240" s="181">
        <v>12621</v>
      </c>
      <c r="ORE240" s="181">
        <v>12622</v>
      </c>
      <c r="ORF240" s="181">
        <v>12623</v>
      </c>
      <c r="ORG240" s="181">
        <v>12624</v>
      </c>
      <c r="ORH240" s="181">
        <v>12625</v>
      </c>
      <c r="ORI240" s="181">
        <v>12626</v>
      </c>
      <c r="ORJ240" s="181">
        <v>12627</v>
      </c>
      <c r="ORK240" s="181">
        <v>12628</v>
      </c>
      <c r="ORL240" s="181">
        <v>12629</v>
      </c>
      <c r="ORM240" s="181">
        <v>12630</v>
      </c>
      <c r="ORN240" s="181">
        <v>12631</v>
      </c>
      <c r="ORO240" s="181">
        <v>12632</v>
      </c>
      <c r="ORP240" s="181">
        <v>12633</v>
      </c>
      <c r="ORQ240" s="181">
        <v>12634</v>
      </c>
      <c r="ORR240" s="181">
        <v>12635</v>
      </c>
      <c r="ORS240" s="181">
        <v>12636</v>
      </c>
      <c r="ORT240" s="181">
        <v>12637</v>
      </c>
      <c r="ORU240" s="181">
        <v>12638</v>
      </c>
      <c r="ORV240" s="181">
        <v>12639</v>
      </c>
      <c r="ORW240" s="181">
        <v>12640</v>
      </c>
      <c r="ORX240" s="181">
        <v>12641</v>
      </c>
      <c r="ORY240" s="181">
        <v>12642</v>
      </c>
      <c r="ORZ240" s="181">
        <v>12643</v>
      </c>
      <c r="OSA240" s="181">
        <v>12644</v>
      </c>
      <c r="OSB240" s="181">
        <v>12645</v>
      </c>
      <c r="OSC240" s="181">
        <v>12646</v>
      </c>
      <c r="OSD240" s="181">
        <v>12647</v>
      </c>
      <c r="OSE240" s="181">
        <v>12648</v>
      </c>
      <c r="OSF240" s="181">
        <v>12649</v>
      </c>
      <c r="OSG240" s="181">
        <v>12650</v>
      </c>
      <c r="OSH240" s="181">
        <v>12651</v>
      </c>
      <c r="OSI240" s="181">
        <v>12652</v>
      </c>
      <c r="OSJ240" s="181">
        <v>12653</v>
      </c>
      <c r="OSK240" s="181">
        <v>12654</v>
      </c>
      <c r="OSL240" s="181">
        <v>12655</v>
      </c>
      <c r="OSM240" s="181">
        <v>12656</v>
      </c>
      <c r="OSN240" s="181">
        <v>12657</v>
      </c>
      <c r="OSO240" s="181">
        <v>12658</v>
      </c>
      <c r="OSP240" s="181">
        <v>12659</v>
      </c>
      <c r="OSQ240" s="181">
        <v>12660</v>
      </c>
      <c r="OSR240" s="181">
        <v>12661</v>
      </c>
      <c r="OSS240" s="181">
        <v>12662</v>
      </c>
      <c r="OST240" s="181">
        <v>12663</v>
      </c>
      <c r="OSU240" s="181">
        <v>12664</v>
      </c>
      <c r="OSV240" s="181">
        <v>12665</v>
      </c>
      <c r="OSW240" s="181">
        <v>12666</v>
      </c>
      <c r="OSX240" s="181">
        <v>12667</v>
      </c>
      <c r="OSY240" s="181">
        <v>12668</v>
      </c>
      <c r="OSZ240" s="181">
        <v>12669</v>
      </c>
      <c r="OTA240" s="181">
        <v>12670</v>
      </c>
      <c r="OTB240" s="181">
        <v>12671</v>
      </c>
      <c r="OTC240" s="181">
        <v>12672</v>
      </c>
      <c r="OTD240" s="181">
        <v>12673</v>
      </c>
      <c r="OTE240" s="181">
        <v>12674</v>
      </c>
      <c r="OTF240" s="181">
        <v>12675</v>
      </c>
      <c r="OTG240" s="181">
        <v>12676</v>
      </c>
      <c r="OTH240" s="181">
        <v>12677</v>
      </c>
      <c r="OTI240" s="181">
        <v>12678</v>
      </c>
      <c r="OTJ240" s="181">
        <v>12679</v>
      </c>
      <c r="OTK240" s="181">
        <v>12680</v>
      </c>
      <c r="OTL240" s="181">
        <v>12681</v>
      </c>
      <c r="OTM240" s="181">
        <v>12682</v>
      </c>
      <c r="OTN240" s="181">
        <v>12683</v>
      </c>
      <c r="OTO240" s="181">
        <v>12684</v>
      </c>
      <c r="OTP240" s="181">
        <v>12685</v>
      </c>
      <c r="OTQ240" s="181">
        <v>12686</v>
      </c>
      <c r="OTR240" s="181">
        <v>12687</v>
      </c>
      <c r="OTS240" s="181">
        <v>12688</v>
      </c>
      <c r="OTT240" s="181">
        <v>12689</v>
      </c>
      <c r="OTU240" s="181">
        <v>12690</v>
      </c>
      <c r="OTV240" s="181">
        <v>12691</v>
      </c>
      <c r="OTW240" s="181">
        <v>12692</v>
      </c>
      <c r="OTX240" s="181">
        <v>12693</v>
      </c>
      <c r="OTY240" s="181">
        <v>12694</v>
      </c>
      <c r="OTZ240" s="181">
        <v>12695</v>
      </c>
      <c r="OUA240" s="181">
        <v>12696</v>
      </c>
      <c r="OUB240" s="181">
        <v>12697</v>
      </c>
      <c r="OUC240" s="181">
        <v>12698</v>
      </c>
      <c r="OUD240" s="181">
        <v>12699</v>
      </c>
      <c r="OUE240" s="181">
        <v>12700</v>
      </c>
      <c r="OUF240" s="181">
        <v>12701</v>
      </c>
      <c r="OUG240" s="181">
        <v>12702</v>
      </c>
      <c r="OUH240" s="181">
        <v>12703</v>
      </c>
      <c r="OUI240" s="181">
        <v>12704</v>
      </c>
      <c r="OUJ240" s="181">
        <v>12705</v>
      </c>
      <c r="OUK240" s="181">
        <v>12706</v>
      </c>
      <c r="OUL240" s="181">
        <v>12707</v>
      </c>
      <c r="OUM240" s="181">
        <v>12708</v>
      </c>
      <c r="OUN240" s="181">
        <v>12709</v>
      </c>
      <c r="OUO240" s="181">
        <v>12710</v>
      </c>
      <c r="OUP240" s="181">
        <v>12711</v>
      </c>
      <c r="OUQ240" s="181">
        <v>12712</v>
      </c>
      <c r="OUR240" s="181">
        <v>12713</v>
      </c>
      <c r="OUS240" s="181">
        <v>12714</v>
      </c>
      <c r="OUT240" s="181">
        <v>12715</v>
      </c>
      <c r="OUU240" s="181">
        <v>12716</v>
      </c>
      <c r="OUV240" s="181">
        <v>12717</v>
      </c>
      <c r="OUW240" s="181">
        <v>12718</v>
      </c>
      <c r="OUX240" s="181">
        <v>12719</v>
      </c>
      <c r="OUY240" s="181">
        <v>12720</v>
      </c>
      <c r="OUZ240" s="181">
        <v>12721</v>
      </c>
      <c r="OVA240" s="181">
        <v>12722</v>
      </c>
      <c r="OVB240" s="181">
        <v>12723</v>
      </c>
      <c r="OVC240" s="181">
        <v>12724</v>
      </c>
      <c r="OVD240" s="181">
        <v>12725</v>
      </c>
      <c r="OVE240" s="181">
        <v>12726</v>
      </c>
      <c r="OVF240" s="181">
        <v>12727</v>
      </c>
      <c r="OVG240" s="181">
        <v>12728</v>
      </c>
      <c r="OVH240" s="181">
        <v>12729</v>
      </c>
      <c r="OVI240" s="181">
        <v>12730</v>
      </c>
      <c r="OVJ240" s="181">
        <v>12731</v>
      </c>
      <c r="OVK240" s="181">
        <v>12732</v>
      </c>
      <c r="OVL240" s="181">
        <v>12733</v>
      </c>
      <c r="OVM240" s="181">
        <v>12734</v>
      </c>
      <c r="OVN240" s="181">
        <v>12735</v>
      </c>
      <c r="OVO240" s="181">
        <v>12736</v>
      </c>
      <c r="OVP240" s="181">
        <v>12737</v>
      </c>
      <c r="OVQ240" s="181">
        <v>12738</v>
      </c>
      <c r="OVR240" s="181">
        <v>12739</v>
      </c>
      <c r="OVS240" s="181">
        <v>12740</v>
      </c>
      <c r="OVT240" s="181">
        <v>12741</v>
      </c>
      <c r="OVU240" s="181">
        <v>12742</v>
      </c>
      <c r="OVV240" s="181">
        <v>12743</v>
      </c>
      <c r="OVW240" s="181">
        <v>12744</v>
      </c>
      <c r="OVX240" s="181">
        <v>12745</v>
      </c>
      <c r="OVY240" s="181">
        <v>12746</v>
      </c>
      <c r="OVZ240" s="181">
        <v>12747</v>
      </c>
      <c r="OWA240" s="181">
        <v>12748</v>
      </c>
      <c r="OWB240" s="181">
        <v>12749</v>
      </c>
      <c r="OWC240" s="181">
        <v>12750</v>
      </c>
      <c r="OWD240" s="181">
        <v>12751</v>
      </c>
      <c r="OWE240" s="181">
        <v>12752</v>
      </c>
      <c r="OWF240" s="181">
        <v>12753</v>
      </c>
      <c r="OWG240" s="181">
        <v>12754</v>
      </c>
      <c r="OWH240" s="181">
        <v>12755</v>
      </c>
      <c r="OWI240" s="181">
        <v>12756</v>
      </c>
      <c r="OWJ240" s="181">
        <v>12757</v>
      </c>
      <c r="OWK240" s="181">
        <v>12758</v>
      </c>
      <c r="OWL240" s="181">
        <v>12759</v>
      </c>
      <c r="OWM240" s="181">
        <v>12760</v>
      </c>
      <c r="OWN240" s="181">
        <v>12761</v>
      </c>
      <c r="OWO240" s="181">
        <v>12762</v>
      </c>
      <c r="OWP240" s="181">
        <v>12763</v>
      </c>
      <c r="OWQ240" s="181">
        <v>12764</v>
      </c>
      <c r="OWR240" s="181">
        <v>12765</v>
      </c>
      <c r="OWS240" s="181">
        <v>12766</v>
      </c>
      <c r="OWT240" s="181">
        <v>12767</v>
      </c>
      <c r="OWU240" s="181">
        <v>12768</v>
      </c>
      <c r="OWV240" s="181">
        <v>12769</v>
      </c>
      <c r="OWW240" s="181">
        <v>12770</v>
      </c>
      <c r="OWX240" s="181">
        <v>12771</v>
      </c>
      <c r="OWY240" s="181">
        <v>12772</v>
      </c>
      <c r="OWZ240" s="181">
        <v>12773</v>
      </c>
      <c r="OXA240" s="181">
        <v>12774</v>
      </c>
      <c r="OXB240" s="181">
        <v>12775</v>
      </c>
      <c r="OXC240" s="181">
        <v>12776</v>
      </c>
      <c r="OXD240" s="181">
        <v>12777</v>
      </c>
      <c r="OXE240" s="181">
        <v>12778</v>
      </c>
      <c r="OXF240" s="181">
        <v>12779</v>
      </c>
      <c r="OXG240" s="181">
        <v>12780</v>
      </c>
      <c r="OXH240" s="181">
        <v>12781</v>
      </c>
      <c r="OXI240" s="181">
        <v>12782</v>
      </c>
      <c r="OXJ240" s="181">
        <v>12783</v>
      </c>
      <c r="OXK240" s="181">
        <v>12784</v>
      </c>
      <c r="OXL240" s="181">
        <v>12785</v>
      </c>
      <c r="OXM240" s="181">
        <v>12786</v>
      </c>
      <c r="OXN240" s="181">
        <v>12787</v>
      </c>
      <c r="OXO240" s="181">
        <v>12788</v>
      </c>
      <c r="OXP240" s="181">
        <v>12789</v>
      </c>
      <c r="OXQ240" s="181">
        <v>12790</v>
      </c>
      <c r="OXR240" s="181">
        <v>12791</v>
      </c>
      <c r="OXS240" s="181">
        <v>12792</v>
      </c>
      <c r="OXT240" s="181">
        <v>12793</v>
      </c>
      <c r="OXU240" s="181">
        <v>12794</v>
      </c>
      <c r="OXV240" s="181">
        <v>12795</v>
      </c>
      <c r="OXW240" s="181">
        <v>12796</v>
      </c>
      <c r="OXX240" s="181">
        <v>12797</v>
      </c>
      <c r="OXY240" s="181">
        <v>12798</v>
      </c>
      <c r="OXZ240" s="181">
        <v>12799</v>
      </c>
      <c r="OYA240" s="181">
        <v>12800</v>
      </c>
      <c r="OYB240" s="181">
        <v>12801</v>
      </c>
      <c r="OYC240" s="181">
        <v>12802</v>
      </c>
      <c r="OYD240" s="181">
        <v>12803</v>
      </c>
      <c r="OYE240" s="181">
        <v>12804</v>
      </c>
      <c r="OYF240" s="181">
        <v>12805</v>
      </c>
      <c r="OYG240" s="181">
        <v>12806</v>
      </c>
      <c r="OYH240" s="181">
        <v>12807</v>
      </c>
      <c r="OYI240" s="181">
        <v>12808</v>
      </c>
      <c r="OYJ240" s="181">
        <v>12809</v>
      </c>
      <c r="OYK240" s="181">
        <v>12810</v>
      </c>
      <c r="OYL240" s="181">
        <v>12811</v>
      </c>
      <c r="OYM240" s="181">
        <v>12812</v>
      </c>
      <c r="OYN240" s="181">
        <v>12813</v>
      </c>
      <c r="OYO240" s="181">
        <v>12814</v>
      </c>
      <c r="OYP240" s="181">
        <v>12815</v>
      </c>
      <c r="OYQ240" s="181">
        <v>12816</v>
      </c>
      <c r="OYR240" s="181">
        <v>12817</v>
      </c>
      <c r="OYS240" s="181">
        <v>12818</v>
      </c>
      <c r="OYT240" s="181">
        <v>12819</v>
      </c>
      <c r="OYU240" s="181">
        <v>12820</v>
      </c>
      <c r="OYV240" s="181">
        <v>12821</v>
      </c>
      <c r="OYW240" s="181">
        <v>12822</v>
      </c>
      <c r="OYX240" s="181">
        <v>12823</v>
      </c>
      <c r="OYY240" s="181">
        <v>12824</v>
      </c>
      <c r="OYZ240" s="181">
        <v>12825</v>
      </c>
      <c r="OZA240" s="181">
        <v>12826</v>
      </c>
      <c r="OZB240" s="181">
        <v>12827</v>
      </c>
      <c r="OZC240" s="181">
        <v>12828</v>
      </c>
      <c r="OZD240" s="181">
        <v>12829</v>
      </c>
      <c r="OZE240" s="181">
        <v>12830</v>
      </c>
      <c r="OZF240" s="181">
        <v>12831</v>
      </c>
      <c r="OZG240" s="181">
        <v>12832</v>
      </c>
      <c r="OZH240" s="181">
        <v>12833</v>
      </c>
      <c r="OZI240" s="181">
        <v>12834</v>
      </c>
      <c r="OZJ240" s="181">
        <v>12835</v>
      </c>
      <c r="OZK240" s="181">
        <v>12836</v>
      </c>
      <c r="OZL240" s="181">
        <v>12837</v>
      </c>
      <c r="OZM240" s="181">
        <v>12838</v>
      </c>
      <c r="OZN240" s="181">
        <v>12839</v>
      </c>
      <c r="OZO240" s="181">
        <v>12840</v>
      </c>
      <c r="OZP240" s="181">
        <v>12841</v>
      </c>
      <c r="OZQ240" s="181">
        <v>12842</v>
      </c>
      <c r="OZR240" s="181">
        <v>12843</v>
      </c>
      <c r="OZS240" s="181">
        <v>12844</v>
      </c>
      <c r="OZT240" s="181">
        <v>12845</v>
      </c>
      <c r="OZU240" s="181">
        <v>12846</v>
      </c>
      <c r="OZV240" s="181">
        <v>12847</v>
      </c>
      <c r="OZW240" s="181">
        <v>12848</v>
      </c>
      <c r="OZX240" s="181">
        <v>12849</v>
      </c>
      <c r="OZY240" s="181">
        <v>12850</v>
      </c>
      <c r="OZZ240" s="181">
        <v>12851</v>
      </c>
      <c r="PAA240" s="181">
        <v>12852</v>
      </c>
      <c r="PAB240" s="181">
        <v>12853</v>
      </c>
      <c r="PAC240" s="181">
        <v>12854</v>
      </c>
      <c r="PAD240" s="181">
        <v>12855</v>
      </c>
      <c r="PAE240" s="181">
        <v>12856</v>
      </c>
      <c r="PAF240" s="181">
        <v>12857</v>
      </c>
      <c r="PAG240" s="181">
        <v>12858</v>
      </c>
      <c r="PAH240" s="181">
        <v>12859</v>
      </c>
      <c r="PAI240" s="181">
        <v>12860</v>
      </c>
      <c r="PAJ240" s="181">
        <v>12861</v>
      </c>
      <c r="PAK240" s="181">
        <v>12862</v>
      </c>
      <c r="PAL240" s="181">
        <v>12863</v>
      </c>
      <c r="PAM240" s="181">
        <v>12864</v>
      </c>
      <c r="PAN240" s="181">
        <v>12865</v>
      </c>
      <c r="PAO240" s="181">
        <v>12866</v>
      </c>
      <c r="PAP240" s="181">
        <v>12867</v>
      </c>
      <c r="PAQ240" s="181">
        <v>12868</v>
      </c>
      <c r="PAR240" s="181">
        <v>12869</v>
      </c>
      <c r="PAS240" s="181">
        <v>12870</v>
      </c>
      <c r="PAT240" s="181">
        <v>12871</v>
      </c>
      <c r="PAU240" s="181">
        <v>12872</v>
      </c>
      <c r="PAV240" s="181">
        <v>12873</v>
      </c>
      <c r="PAW240" s="181">
        <v>12874</v>
      </c>
      <c r="PAX240" s="181">
        <v>12875</v>
      </c>
      <c r="PAY240" s="181">
        <v>12876</v>
      </c>
      <c r="PAZ240" s="181">
        <v>12877</v>
      </c>
      <c r="PBA240" s="181">
        <v>12878</v>
      </c>
      <c r="PBB240" s="181">
        <v>12879</v>
      </c>
      <c r="PBC240" s="181">
        <v>12880</v>
      </c>
      <c r="PBD240" s="181">
        <v>12881</v>
      </c>
      <c r="PBE240" s="181">
        <v>12882</v>
      </c>
      <c r="PBF240" s="181">
        <v>12883</v>
      </c>
      <c r="PBG240" s="181">
        <v>12884</v>
      </c>
      <c r="PBH240" s="181">
        <v>12885</v>
      </c>
      <c r="PBI240" s="181">
        <v>12886</v>
      </c>
      <c r="PBJ240" s="181">
        <v>12887</v>
      </c>
      <c r="PBK240" s="181">
        <v>12888</v>
      </c>
      <c r="PBL240" s="181">
        <v>12889</v>
      </c>
      <c r="PBM240" s="181">
        <v>12890</v>
      </c>
      <c r="PBN240" s="181">
        <v>12891</v>
      </c>
      <c r="PBO240" s="181">
        <v>12892</v>
      </c>
      <c r="PBP240" s="181">
        <v>12893</v>
      </c>
      <c r="PBQ240" s="181">
        <v>12894</v>
      </c>
      <c r="PBR240" s="181">
        <v>12895</v>
      </c>
      <c r="PBS240" s="181">
        <v>12896</v>
      </c>
      <c r="PBT240" s="181">
        <v>12897</v>
      </c>
      <c r="PBU240" s="181">
        <v>12898</v>
      </c>
      <c r="PBV240" s="181">
        <v>12899</v>
      </c>
      <c r="PBW240" s="181">
        <v>12900</v>
      </c>
      <c r="PBX240" s="181">
        <v>12901</v>
      </c>
      <c r="PBY240" s="181">
        <v>12902</v>
      </c>
      <c r="PBZ240" s="181">
        <v>12903</v>
      </c>
      <c r="PCA240" s="181">
        <v>12904</v>
      </c>
      <c r="PCB240" s="181">
        <v>12905</v>
      </c>
      <c r="PCC240" s="181">
        <v>12906</v>
      </c>
      <c r="PCD240" s="181">
        <v>12907</v>
      </c>
      <c r="PCE240" s="181">
        <v>12908</v>
      </c>
      <c r="PCF240" s="181">
        <v>12909</v>
      </c>
      <c r="PCG240" s="181">
        <v>12910</v>
      </c>
      <c r="PCH240" s="181">
        <v>12911</v>
      </c>
      <c r="PCI240" s="181">
        <v>12912</v>
      </c>
      <c r="PCJ240" s="181">
        <v>12913</v>
      </c>
      <c r="PCK240" s="181">
        <v>12914</v>
      </c>
      <c r="PCL240" s="181">
        <v>12915</v>
      </c>
      <c r="PCM240" s="181">
        <v>12916</v>
      </c>
      <c r="PCN240" s="181">
        <v>12917</v>
      </c>
      <c r="PCO240" s="181">
        <v>12918</v>
      </c>
      <c r="PCP240" s="181">
        <v>12919</v>
      </c>
      <c r="PCQ240" s="181">
        <v>12920</v>
      </c>
      <c r="PCR240" s="181">
        <v>12921</v>
      </c>
      <c r="PCS240" s="181">
        <v>12922</v>
      </c>
      <c r="PCT240" s="181">
        <v>12923</v>
      </c>
      <c r="PCU240" s="181">
        <v>12924</v>
      </c>
      <c r="PCV240" s="181">
        <v>12925</v>
      </c>
      <c r="PCW240" s="181">
        <v>12926</v>
      </c>
      <c r="PCX240" s="181">
        <v>12927</v>
      </c>
      <c r="PCY240" s="181">
        <v>12928</v>
      </c>
      <c r="PCZ240" s="181">
        <v>12929</v>
      </c>
      <c r="PDA240" s="181">
        <v>12930</v>
      </c>
      <c r="PDB240" s="181">
        <v>12931</v>
      </c>
      <c r="PDC240" s="181">
        <v>12932</v>
      </c>
      <c r="PDD240" s="181">
        <v>12933</v>
      </c>
      <c r="PDE240" s="181">
        <v>12934</v>
      </c>
      <c r="PDF240" s="181">
        <v>12935</v>
      </c>
      <c r="PDG240" s="181">
        <v>12936</v>
      </c>
      <c r="PDH240" s="181">
        <v>12937</v>
      </c>
      <c r="PDI240" s="181">
        <v>12938</v>
      </c>
      <c r="PDJ240" s="181">
        <v>12939</v>
      </c>
      <c r="PDK240" s="181">
        <v>12940</v>
      </c>
      <c r="PDL240" s="181">
        <v>12941</v>
      </c>
      <c r="PDM240" s="181">
        <v>12942</v>
      </c>
      <c r="PDN240" s="181">
        <v>12943</v>
      </c>
      <c r="PDO240" s="181">
        <v>12944</v>
      </c>
      <c r="PDP240" s="181">
        <v>12945</v>
      </c>
      <c r="PDQ240" s="181">
        <v>12946</v>
      </c>
      <c r="PDR240" s="181">
        <v>12947</v>
      </c>
      <c r="PDS240" s="181">
        <v>12948</v>
      </c>
      <c r="PDT240" s="181">
        <v>12949</v>
      </c>
      <c r="PDU240" s="181">
        <v>12950</v>
      </c>
      <c r="PDV240" s="181">
        <v>12951</v>
      </c>
      <c r="PDW240" s="181">
        <v>12952</v>
      </c>
      <c r="PDX240" s="181">
        <v>12953</v>
      </c>
      <c r="PDY240" s="181">
        <v>12954</v>
      </c>
      <c r="PDZ240" s="181">
        <v>12955</v>
      </c>
      <c r="PEA240" s="181">
        <v>12956</v>
      </c>
      <c r="PEB240" s="181">
        <v>12957</v>
      </c>
      <c r="PEC240" s="181">
        <v>12958</v>
      </c>
      <c r="PED240" s="181">
        <v>12959</v>
      </c>
      <c r="PEE240" s="181">
        <v>12960</v>
      </c>
      <c r="PEF240" s="181">
        <v>12961</v>
      </c>
      <c r="PEG240" s="181">
        <v>12962</v>
      </c>
      <c r="PEH240" s="181">
        <v>12963</v>
      </c>
      <c r="PEI240" s="181">
        <v>12964</v>
      </c>
      <c r="PEJ240" s="181">
        <v>12965</v>
      </c>
      <c r="PEK240" s="181">
        <v>12966</v>
      </c>
      <c r="PEL240" s="181">
        <v>12967</v>
      </c>
      <c r="PEM240" s="181">
        <v>12968</v>
      </c>
      <c r="PEN240" s="181">
        <v>12969</v>
      </c>
      <c r="PEO240" s="181">
        <v>12970</v>
      </c>
      <c r="PEP240" s="181">
        <v>12971</v>
      </c>
      <c r="PEQ240" s="181">
        <v>12972</v>
      </c>
      <c r="PER240" s="181">
        <v>12973</v>
      </c>
      <c r="PES240" s="181">
        <v>12974</v>
      </c>
      <c r="PET240" s="181">
        <v>12975</v>
      </c>
      <c r="PEU240" s="181">
        <v>12976</v>
      </c>
      <c r="PEV240" s="181">
        <v>12977</v>
      </c>
      <c r="PEW240" s="181">
        <v>12978</v>
      </c>
      <c r="PEX240" s="181">
        <v>12979</v>
      </c>
      <c r="PEY240" s="181">
        <v>12980</v>
      </c>
      <c r="PEZ240" s="181">
        <v>12981</v>
      </c>
      <c r="PFA240" s="181">
        <v>12982</v>
      </c>
      <c r="PFB240" s="181">
        <v>12983</v>
      </c>
      <c r="PFC240" s="181">
        <v>12984</v>
      </c>
      <c r="PFD240" s="181">
        <v>12985</v>
      </c>
      <c r="PFE240" s="181">
        <v>12986</v>
      </c>
      <c r="PFF240" s="181">
        <v>12987</v>
      </c>
      <c r="PFG240" s="181">
        <v>12988</v>
      </c>
      <c r="PFH240" s="181">
        <v>12989</v>
      </c>
      <c r="PFI240" s="181">
        <v>12990</v>
      </c>
      <c r="PFJ240" s="181">
        <v>12991</v>
      </c>
      <c r="PFK240" s="181">
        <v>12992</v>
      </c>
      <c r="PFL240" s="181">
        <v>12993</v>
      </c>
      <c r="PFM240" s="181">
        <v>12994</v>
      </c>
      <c r="PFN240" s="181">
        <v>12995</v>
      </c>
      <c r="PFO240" s="181">
        <v>12996</v>
      </c>
      <c r="PFP240" s="181">
        <v>12997</v>
      </c>
      <c r="PFQ240" s="181">
        <v>12998</v>
      </c>
      <c r="PFR240" s="181">
        <v>12999</v>
      </c>
      <c r="PFS240" s="181">
        <v>13000</v>
      </c>
      <c r="PFT240" s="181">
        <v>13001</v>
      </c>
      <c r="PFU240" s="181">
        <v>13002</v>
      </c>
      <c r="PFV240" s="181">
        <v>13003</v>
      </c>
      <c r="PFW240" s="181">
        <v>13004</v>
      </c>
      <c r="PFX240" s="181">
        <v>13005</v>
      </c>
      <c r="PFY240" s="181">
        <v>13006</v>
      </c>
      <c r="PFZ240" s="181">
        <v>13007</v>
      </c>
      <c r="PGA240" s="181">
        <v>13008</v>
      </c>
      <c r="PGB240" s="181">
        <v>13009</v>
      </c>
      <c r="PGC240" s="181">
        <v>13010</v>
      </c>
      <c r="PGD240" s="181">
        <v>13011</v>
      </c>
      <c r="PGE240" s="181">
        <v>13012</v>
      </c>
      <c r="PGF240" s="181">
        <v>13013</v>
      </c>
      <c r="PGG240" s="181">
        <v>13014</v>
      </c>
      <c r="PGH240" s="181">
        <v>13015</v>
      </c>
      <c r="PGI240" s="181">
        <v>13016</v>
      </c>
      <c r="PGJ240" s="181">
        <v>13017</v>
      </c>
      <c r="PGK240" s="181">
        <v>13018</v>
      </c>
      <c r="PGL240" s="181">
        <v>13019</v>
      </c>
      <c r="PGM240" s="181">
        <v>13020</v>
      </c>
      <c r="PGN240" s="181">
        <v>13021</v>
      </c>
      <c r="PGO240" s="181">
        <v>13022</v>
      </c>
      <c r="PGP240" s="181">
        <v>13023</v>
      </c>
      <c r="PGQ240" s="181">
        <v>13024</v>
      </c>
      <c r="PGR240" s="181">
        <v>13025</v>
      </c>
      <c r="PGS240" s="181">
        <v>13026</v>
      </c>
      <c r="PGT240" s="181">
        <v>13027</v>
      </c>
      <c r="PGU240" s="181">
        <v>13028</v>
      </c>
      <c r="PGV240" s="181">
        <v>13029</v>
      </c>
      <c r="PGW240" s="181">
        <v>13030</v>
      </c>
      <c r="PGX240" s="181">
        <v>13031</v>
      </c>
      <c r="PGY240" s="181">
        <v>13032</v>
      </c>
      <c r="PGZ240" s="181">
        <v>13033</v>
      </c>
      <c r="PHA240" s="181">
        <v>13034</v>
      </c>
      <c r="PHB240" s="181">
        <v>13035</v>
      </c>
      <c r="PHC240" s="181">
        <v>13036</v>
      </c>
      <c r="PHD240" s="181">
        <v>13037</v>
      </c>
      <c r="PHE240" s="181">
        <v>13038</v>
      </c>
      <c r="PHF240" s="181">
        <v>13039</v>
      </c>
      <c r="PHG240" s="181">
        <v>13040</v>
      </c>
      <c r="PHH240" s="181">
        <v>13041</v>
      </c>
      <c r="PHI240" s="181">
        <v>13042</v>
      </c>
      <c r="PHJ240" s="181">
        <v>13043</v>
      </c>
      <c r="PHK240" s="181">
        <v>13044</v>
      </c>
      <c r="PHL240" s="181">
        <v>13045</v>
      </c>
      <c r="PHM240" s="181">
        <v>13046</v>
      </c>
      <c r="PHN240" s="181">
        <v>13047</v>
      </c>
      <c r="PHO240" s="181">
        <v>13048</v>
      </c>
      <c r="PHP240" s="181">
        <v>13049</v>
      </c>
      <c r="PHQ240" s="181">
        <v>13050</v>
      </c>
      <c r="PHR240" s="181">
        <v>13051</v>
      </c>
      <c r="PHS240" s="181">
        <v>13052</v>
      </c>
      <c r="PHT240" s="181">
        <v>13053</v>
      </c>
      <c r="PHU240" s="181">
        <v>13054</v>
      </c>
      <c r="PHV240" s="181">
        <v>13055</v>
      </c>
      <c r="PHW240" s="181">
        <v>13056</v>
      </c>
      <c r="PHX240" s="181">
        <v>13057</v>
      </c>
      <c r="PHY240" s="181">
        <v>13058</v>
      </c>
      <c r="PHZ240" s="181">
        <v>13059</v>
      </c>
      <c r="PIA240" s="181">
        <v>13060</v>
      </c>
      <c r="PIB240" s="181">
        <v>13061</v>
      </c>
      <c r="PIC240" s="181">
        <v>13062</v>
      </c>
      <c r="PID240" s="181">
        <v>13063</v>
      </c>
      <c r="PIE240" s="181">
        <v>13064</v>
      </c>
      <c r="PIF240" s="181">
        <v>13065</v>
      </c>
      <c r="PIG240" s="181">
        <v>13066</v>
      </c>
      <c r="PIH240" s="181">
        <v>13067</v>
      </c>
      <c r="PII240" s="181">
        <v>13068</v>
      </c>
      <c r="PIJ240" s="181">
        <v>13069</v>
      </c>
      <c r="PIK240" s="181">
        <v>13070</v>
      </c>
      <c r="PIL240" s="181">
        <v>13071</v>
      </c>
      <c r="PIM240" s="181">
        <v>13072</v>
      </c>
      <c r="PIN240" s="181">
        <v>13073</v>
      </c>
      <c r="PIO240" s="181">
        <v>13074</v>
      </c>
      <c r="PIP240" s="181">
        <v>13075</v>
      </c>
      <c r="PIQ240" s="181">
        <v>13076</v>
      </c>
      <c r="PIR240" s="181">
        <v>13077</v>
      </c>
      <c r="PIS240" s="181">
        <v>13078</v>
      </c>
      <c r="PIT240" s="181">
        <v>13079</v>
      </c>
      <c r="PIU240" s="181">
        <v>13080</v>
      </c>
      <c r="PIV240" s="181">
        <v>13081</v>
      </c>
      <c r="PIW240" s="181">
        <v>13082</v>
      </c>
      <c r="PIX240" s="181">
        <v>13083</v>
      </c>
      <c r="PIY240" s="181">
        <v>13084</v>
      </c>
      <c r="PIZ240" s="181">
        <v>13085</v>
      </c>
      <c r="PJA240" s="181">
        <v>13086</v>
      </c>
      <c r="PJB240" s="181">
        <v>13087</v>
      </c>
      <c r="PJC240" s="181">
        <v>13088</v>
      </c>
      <c r="PJD240" s="181">
        <v>13089</v>
      </c>
      <c r="PJE240" s="181">
        <v>13090</v>
      </c>
      <c r="PJF240" s="181">
        <v>13091</v>
      </c>
      <c r="PJG240" s="181">
        <v>13092</v>
      </c>
      <c r="PJH240" s="181">
        <v>13093</v>
      </c>
      <c r="PJI240" s="181">
        <v>13094</v>
      </c>
      <c r="PJJ240" s="181">
        <v>13095</v>
      </c>
      <c r="PJK240" s="181">
        <v>13096</v>
      </c>
      <c r="PJL240" s="181">
        <v>13097</v>
      </c>
      <c r="PJM240" s="181">
        <v>13098</v>
      </c>
      <c r="PJN240" s="181">
        <v>13099</v>
      </c>
      <c r="PJO240" s="181">
        <v>13100</v>
      </c>
      <c r="PJP240" s="181">
        <v>13101</v>
      </c>
      <c r="PJQ240" s="181">
        <v>13102</v>
      </c>
      <c r="PJR240" s="181">
        <v>13103</v>
      </c>
      <c r="PJS240" s="181">
        <v>13104</v>
      </c>
      <c r="PJT240" s="181">
        <v>13105</v>
      </c>
      <c r="PJU240" s="181">
        <v>13106</v>
      </c>
      <c r="PJV240" s="181">
        <v>13107</v>
      </c>
      <c r="PJW240" s="181">
        <v>13108</v>
      </c>
      <c r="PJX240" s="181">
        <v>13109</v>
      </c>
      <c r="PJY240" s="181">
        <v>13110</v>
      </c>
      <c r="PJZ240" s="181">
        <v>13111</v>
      </c>
      <c r="PKA240" s="181">
        <v>13112</v>
      </c>
      <c r="PKB240" s="181">
        <v>13113</v>
      </c>
      <c r="PKC240" s="181">
        <v>13114</v>
      </c>
      <c r="PKD240" s="181">
        <v>13115</v>
      </c>
      <c r="PKE240" s="181">
        <v>13116</v>
      </c>
      <c r="PKF240" s="181">
        <v>13117</v>
      </c>
      <c r="PKG240" s="181">
        <v>13118</v>
      </c>
      <c r="PKH240" s="181">
        <v>13119</v>
      </c>
      <c r="PKI240" s="181">
        <v>13120</v>
      </c>
      <c r="PKJ240" s="181">
        <v>13121</v>
      </c>
      <c r="PKK240" s="181">
        <v>13122</v>
      </c>
      <c r="PKL240" s="181">
        <v>13123</v>
      </c>
      <c r="PKM240" s="181">
        <v>13124</v>
      </c>
      <c r="PKN240" s="181">
        <v>13125</v>
      </c>
      <c r="PKO240" s="181">
        <v>13126</v>
      </c>
      <c r="PKP240" s="181">
        <v>13127</v>
      </c>
      <c r="PKQ240" s="181">
        <v>13128</v>
      </c>
      <c r="PKR240" s="181">
        <v>13129</v>
      </c>
      <c r="PKS240" s="181">
        <v>13130</v>
      </c>
      <c r="PKT240" s="181">
        <v>13131</v>
      </c>
      <c r="PKU240" s="181">
        <v>13132</v>
      </c>
      <c r="PKV240" s="181">
        <v>13133</v>
      </c>
      <c r="PKW240" s="181">
        <v>13134</v>
      </c>
      <c r="PKX240" s="181">
        <v>13135</v>
      </c>
      <c r="PKY240" s="181">
        <v>13136</v>
      </c>
      <c r="PKZ240" s="181">
        <v>13137</v>
      </c>
      <c r="PLA240" s="181">
        <v>13138</v>
      </c>
      <c r="PLB240" s="181">
        <v>13139</v>
      </c>
      <c r="PLC240" s="181">
        <v>13140</v>
      </c>
      <c r="PLD240" s="181">
        <v>13141</v>
      </c>
      <c r="PLE240" s="181">
        <v>13142</v>
      </c>
      <c r="PLF240" s="181">
        <v>13143</v>
      </c>
      <c r="PLG240" s="181">
        <v>13144</v>
      </c>
      <c r="PLH240" s="181">
        <v>13145</v>
      </c>
      <c r="PLI240" s="181">
        <v>13146</v>
      </c>
      <c r="PLJ240" s="181">
        <v>13147</v>
      </c>
      <c r="PLK240" s="181">
        <v>13148</v>
      </c>
      <c r="PLL240" s="181">
        <v>13149</v>
      </c>
      <c r="PLM240" s="181">
        <v>13150</v>
      </c>
      <c r="PLN240" s="181">
        <v>13151</v>
      </c>
      <c r="PLO240" s="181">
        <v>13152</v>
      </c>
      <c r="PLP240" s="181">
        <v>13153</v>
      </c>
      <c r="PLQ240" s="181">
        <v>13154</v>
      </c>
      <c r="PLR240" s="181">
        <v>13155</v>
      </c>
      <c r="PLS240" s="181">
        <v>13156</v>
      </c>
      <c r="PLT240" s="181">
        <v>13157</v>
      </c>
      <c r="PLU240" s="181">
        <v>13158</v>
      </c>
      <c r="PLV240" s="181">
        <v>13159</v>
      </c>
      <c r="PLW240" s="181">
        <v>13160</v>
      </c>
      <c r="PLX240" s="181">
        <v>13161</v>
      </c>
      <c r="PLY240" s="181">
        <v>13162</v>
      </c>
      <c r="PLZ240" s="181">
        <v>13163</v>
      </c>
      <c r="PMA240" s="181">
        <v>13164</v>
      </c>
      <c r="PMB240" s="181">
        <v>13165</v>
      </c>
      <c r="PMC240" s="181">
        <v>13166</v>
      </c>
      <c r="PMD240" s="181">
        <v>13167</v>
      </c>
      <c r="PME240" s="181">
        <v>13168</v>
      </c>
      <c r="PMF240" s="181">
        <v>13169</v>
      </c>
      <c r="PMG240" s="181">
        <v>13170</v>
      </c>
      <c r="PMH240" s="181">
        <v>13171</v>
      </c>
      <c r="PMI240" s="181">
        <v>13172</v>
      </c>
      <c r="PMJ240" s="181">
        <v>13173</v>
      </c>
      <c r="PMK240" s="181">
        <v>13174</v>
      </c>
      <c r="PML240" s="181">
        <v>13175</v>
      </c>
      <c r="PMM240" s="181">
        <v>13176</v>
      </c>
      <c r="PMN240" s="181">
        <v>13177</v>
      </c>
      <c r="PMO240" s="181">
        <v>13178</v>
      </c>
      <c r="PMP240" s="181">
        <v>13179</v>
      </c>
      <c r="PMQ240" s="181">
        <v>13180</v>
      </c>
      <c r="PMR240" s="181">
        <v>13181</v>
      </c>
      <c r="PMS240" s="181">
        <v>13182</v>
      </c>
      <c r="PMT240" s="181">
        <v>13183</v>
      </c>
      <c r="PMU240" s="181">
        <v>13184</v>
      </c>
      <c r="PMV240" s="181">
        <v>13185</v>
      </c>
      <c r="PMW240" s="181">
        <v>13186</v>
      </c>
      <c r="PMX240" s="181">
        <v>13187</v>
      </c>
      <c r="PMY240" s="181">
        <v>13188</v>
      </c>
      <c r="PMZ240" s="181">
        <v>13189</v>
      </c>
      <c r="PNA240" s="181">
        <v>13190</v>
      </c>
      <c r="PNB240" s="181">
        <v>13191</v>
      </c>
      <c r="PNC240" s="181">
        <v>13192</v>
      </c>
      <c r="PND240" s="181">
        <v>13193</v>
      </c>
      <c r="PNE240" s="181">
        <v>13194</v>
      </c>
      <c r="PNF240" s="181">
        <v>13195</v>
      </c>
      <c r="PNG240" s="181">
        <v>13196</v>
      </c>
      <c r="PNH240" s="181">
        <v>13197</v>
      </c>
      <c r="PNI240" s="181">
        <v>13198</v>
      </c>
      <c r="PNJ240" s="181">
        <v>13199</v>
      </c>
      <c r="PNK240" s="181">
        <v>13200</v>
      </c>
      <c r="PNL240" s="181">
        <v>13201</v>
      </c>
      <c r="PNM240" s="181">
        <v>13202</v>
      </c>
      <c r="PNN240" s="181">
        <v>13203</v>
      </c>
      <c r="PNO240" s="181">
        <v>13204</v>
      </c>
      <c r="PNP240" s="181">
        <v>13205</v>
      </c>
      <c r="PNQ240" s="181">
        <v>13206</v>
      </c>
      <c r="PNR240" s="181">
        <v>13207</v>
      </c>
      <c r="PNS240" s="181">
        <v>13208</v>
      </c>
      <c r="PNT240" s="181">
        <v>13209</v>
      </c>
      <c r="PNU240" s="181">
        <v>13210</v>
      </c>
      <c r="PNV240" s="181">
        <v>13211</v>
      </c>
      <c r="PNW240" s="181">
        <v>13212</v>
      </c>
      <c r="PNX240" s="181">
        <v>13213</v>
      </c>
      <c r="PNY240" s="181">
        <v>13214</v>
      </c>
      <c r="PNZ240" s="181">
        <v>13215</v>
      </c>
      <c r="POA240" s="181">
        <v>13216</v>
      </c>
      <c r="POB240" s="181">
        <v>13217</v>
      </c>
      <c r="POC240" s="181">
        <v>13218</v>
      </c>
      <c r="POD240" s="181">
        <v>13219</v>
      </c>
      <c r="POE240" s="181">
        <v>13220</v>
      </c>
      <c r="POF240" s="181">
        <v>13221</v>
      </c>
      <c r="POG240" s="181">
        <v>13222</v>
      </c>
      <c r="POH240" s="181">
        <v>13223</v>
      </c>
      <c r="POI240" s="181">
        <v>13224</v>
      </c>
      <c r="POJ240" s="181">
        <v>13225</v>
      </c>
      <c r="POK240" s="181">
        <v>13226</v>
      </c>
      <c r="POL240" s="181">
        <v>13227</v>
      </c>
      <c r="POM240" s="181">
        <v>13228</v>
      </c>
      <c r="PON240" s="181">
        <v>13229</v>
      </c>
      <c r="POO240" s="181">
        <v>13230</v>
      </c>
      <c r="POP240" s="181">
        <v>13231</v>
      </c>
      <c r="POQ240" s="181">
        <v>13232</v>
      </c>
      <c r="POR240" s="181">
        <v>13233</v>
      </c>
      <c r="POS240" s="181">
        <v>13234</v>
      </c>
      <c r="POT240" s="181">
        <v>13235</v>
      </c>
      <c r="POU240" s="181">
        <v>13236</v>
      </c>
      <c r="POV240" s="181">
        <v>13237</v>
      </c>
      <c r="POW240" s="181">
        <v>13238</v>
      </c>
      <c r="POX240" s="181">
        <v>13239</v>
      </c>
      <c r="POY240" s="181">
        <v>13240</v>
      </c>
      <c r="POZ240" s="181">
        <v>13241</v>
      </c>
      <c r="PPA240" s="181">
        <v>13242</v>
      </c>
      <c r="PPB240" s="181">
        <v>13243</v>
      </c>
      <c r="PPC240" s="181">
        <v>13244</v>
      </c>
      <c r="PPD240" s="181">
        <v>13245</v>
      </c>
      <c r="PPE240" s="181">
        <v>13246</v>
      </c>
      <c r="PPF240" s="181">
        <v>13247</v>
      </c>
      <c r="PPG240" s="181">
        <v>13248</v>
      </c>
      <c r="PPH240" s="181">
        <v>13249</v>
      </c>
      <c r="PPI240" s="181">
        <v>13250</v>
      </c>
      <c r="PPJ240" s="181">
        <v>13251</v>
      </c>
      <c r="PPK240" s="181">
        <v>13252</v>
      </c>
      <c r="PPL240" s="181">
        <v>13253</v>
      </c>
      <c r="PPM240" s="181">
        <v>13254</v>
      </c>
      <c r="PPN240" s="181">
        <v>13255</v>
      </c>
      <c r="PPO240" s="181">
        <v>13256</v>
      </c>
      <c r="PPP240" s="181">
        <v>13257</v>
      </c>
      <c r="PPQ240" s="181">
        <v>13258</v>
      </c>
      <c r="PPR240" s="181">
        <v>13259</v>
      </c>
      <c r="PPS240" s="181">
        <v>13260</v>
      </c>
      <c r="PPT240" s="181">
        <v>13261</v>
      </c>
      <c r="PPU240" s="181">
        <v>13262</v>
      </c>
      <c r="PPV240" s="181">
        <v>13263</v>
      </c>
      <c r="PPW240" s="181">
        <v>13264</v>
      </c>
      <c r="PPX240" s="181">
        <v>13265</v>
      </c>
      <c r="PPY240" s="181">
        <v>13266</v>
      </c>
      <c r="PPZ240" s="181">
        <v>13267</v>
      </c>
      <c r="PQA240" s="181">
        <v>13268</v>
      </c>
      <c r="PQB240" s="181">
        <v>13269</v>
      </c>
      <c r="PQC240" s="181">
        <v>13270</v>
      </c>
      <c r="PQD240" s="181">
        <v>13271</v>
      </c>
      <c r="PQE240" s="181">
        <v>13272</v>
      </c>
      <c r="PQF240" s="181">
        <v>13273</v>
      </c>
      <c r="PQG240" s="181">
        <v>13274</v>
      </c>
      <c r="PQH240" s="181">
        <v>13275</v>
      </c>
      <c r="PQI240" s="181">
        <v>13276</v>
      </c>
      <c r="PQJ240" s="181">
        <v>13277</v>
      </c>
      <c r="PQK240" s="181">
        <v>13278</v>
      </c>
      <c r="PQL240" s="181">
        <v>13279</v>
      </c>
      <c r="PQM240" s="181">
        <v>13280</v>
      </c>
      <c r="PQN240" s="181">
        <v>13281</v>
      </c>
      <c r="PQO240" s="181">
        <v>13282</v>
      </c>
      <c r="PQP240" s="181">
        <v>13283</v>
      </c>
      <c r="PQQ240" s="181">
        <v>13284</v>
      </c>
      <c r="PQR240" s="181">
        <v>13285</v>
      </c>
      <c r="PQS240" s="181">
        <v>13286</v>
      </c>
      <c r="PQT240" s="181">
        <v>13287</v>
      </c>
      <c r="PQU240" s="181">
        <v>13288</v>
      </c>
      <c r="PQV240" s="181">
        <v>13289</v>
      </c>
      <c r="PQW240" s="181">
        <v>13290</v>
      </c>
      <c r="PQX240" s="181">
        <v>13291</v>
      </c>
      <c r="PQY240" s="181">
        <v>13292</v>
      </c>
      <c r="PQZ240" s="181">
        <v>13293</v>
      </c>
      <c r="PRA240" s="181">
        <v>13294</v>
      </c>
      <c r="PRB240" s="181">
        <v>13295</v>
      </c>
      <c r="PRC240" s="181">
        <v>13296</v>
      </c>
      <c r="PRD240" s="181">
        <v>13297</v>
      </c>
      <c r="PRE240" s="181">
        <v>13298</v>
      </c>
      <c r="PRF240" s="181">
        <v>13299</v>
      </c>
      <c r="PRG240" s="181">
        <v>13300</v>
      </c>
      <c r="PRH240" s="181">
        <v>13301</v>
      </c>
      <c r="PRI240" s="181">
        <v>13302</v>
      </c>
      <c r="PRJ240" s="181">
        <v>13303</v>
      </c>
      <c r="PRK240" s="181">
        <v>13304</v>
      </c>
      <c r="PRL240" s="181">
        <v>13305</v>
      </c>
      <c r="PRM240" s="181">
        <v>13306</v>
      </c>
      <c r="PRN240" s="181">
        <v>13307</v>
      </c>
      <c r="PRO240" s="181">
        <v>13308</v>
      </c>
      <c r="PRP240" s="181">
        <v>13309</v>
      </c>
      <c r="PRQ240" s="181">
        <v>13310</v>
      </c>
      <c r="PRR240" s="181">
        <v>13311</v>
      </c>
      <c r="PRS240" s="181">
        <v>13312</v>
      </c>
      <c r="PRT240" s="181">
        <v>13313</v>
      </c>
      <c r="PRU240" s="181">
        <v>13314</v>
      </c>
      <c r="PRV240" s="181">
        <v>13315</v>
      </c>
      <c r="PRW240" s="181">
        <v>13316</v>
      </c>
      <c r="PRX240" s="181">
        <v>13317</v>
      </c>
      <c r="PRY240" s="181">
        <v>13318</v>
      </c>
      <c r="PRZ240" s="181">
        <v>13319</v>
      </c>
      <c r="PSA240" s="181">
        <v>13320</v>
      </c>
      <c r="PSB240" s="181">
        <v>13321</v>
      </c>
      <c r="PSC240" s="181">
        <v>13322</v>
      </c>
      <c r="PSD240" s="181">
        <v>13323</v>
      </c>
      <c r="PSE240" s="181">
        <v>13324</v>
      </c>
      <c r="PSF240" s="181">
        <v>13325</v>
      </c>
      <c r="PSG240" s="181">
        <v>13326</v>
      </c>
      <c r="PSH240" s="181">
        <v>13327</v>
      </c>
      <c r="PSI240" s="181">
        <v>13328</v>
      </c>
      <c r="PSJ240" s="181">
        <v>13329</v>
      </c>
      <c r="PSK240" s="181">
        <v>13330</v>
      </c>
      <c r="PSL240" s="181">
        <v>13331</v>
      </c>
      <c r="PSM240" s="181">
        <v>13332</v>
      </c>
      <c r="PSN240" s="181">
        <v>13333</v>
      </c>
      <c r="PSO240" s="181">
        <v>13334</v>
      </c>
      <c r="PSP240" s="181">
        <v>13335</v>
      </c>
      <c r="PSQ240" s="181">
        <v>13336</v>
      </c>
      <c r="PSR240" s="181">
        <v>13337</v>
      </c>
      <c r="PSS240" s="181">
        <v>13338</v>
      </c>
      <c r="PST240" s="181">
        <v>13339</v>
      </c>
      <c r="PSU240" s="181">
        <v>13340</v>
      </c>
      <c r="PSV240" s="181">
        <v>13341</v>
      </c>
      <c r="PSW240" s="181">
        <v>13342</v>
      </c>
      <c r="PSX240" s="181">
        <v>13343</v>
      </c>
      <c r="PSY240" s="181">
        <v>13344</v>
      </c>
      <c r="PSZ240" s="181">
        <v>13345</v>
      </c>
      <c r="PTA240" s="181">
        <v>13346</v>
      </c>
      <c r="PTB240" s="181">
        <v>13347</v>
      </c>
      <c r="PTC240" s="181">
        <v>13348</v>
      </c>
      <c r="PTD240" s="181">
        <v>13349</v>
      </c>
      <c r="PTE240" s="181">
        <v>13350</v>
      </c>
      <c r="PTF240" s="181">
        <v>13351</v>
      </c>
      <c r="PTG240" s="181">
        <v>13352</v>
      </c>
      <c r="PTH240" s="181">
        <v>13353</v>
      </c>
      <c r="PTI240" s="181">
        <v>13354</v>
      </c>
      <c r="PTJ240" s="181">
        <v>13355</v>
      </c>
      <c r="PTK240" s="181">
        <v>13356</v>
      </c>
      <c r="PTL240" s="181">
        <v>13357</v>
      </c>
      <c r="PTM240" s="181">
        <v>13358</v>
      </c>
      <c r="PTN240" s="181">
        <v>13359</v>
      </c>
      <c r="PTO240" s="181">
        <v>13360</v>
      </c>
      <c r="PTP240" s="181">
        <v>13361</v>
      </c>
      <c r="PTQ240" s="181">
        <v>13362</v>
      </c>
      <c r="PTR240" s="181">
        <v>13363</v>
      </c>
      <c r="PTS240" s="181">
        <v>13364</v>
      </c>
      <c r="PTT240" s="181">
        <v>13365</v>
      </c>
      <c r="PTU240" s="181">
        <v>13366</v>
      </c>
      <c r="PTV240" s="181">
        <v>13367</v>
      </c>
      <c r="PTW240" s="181">
        <v>13368</v>
      </c>
      <c r="PTX240" s="181">
        <v>13369</v>
      </c>
      <c r="PTY240" s="181">
        <v>13370</v>
      </c>
      <c r="PTZ240" s="181">
        <v>13371</v>
      </c>
      <c r="PUA240" s="181">
        <v>13372</v>
      </c>
      <c r="PUB240" s="181">
        <v>13373</v>
      </c>
      <c r="PUC240" s="181">
        <v>13374</v>
      </c>
      <c r="PUD240" s="181">
        <v>13375</v>
      </c>
      <c r="PUE240" s="181">
        <v>13376</v>
      </c>
      <c r="PUF240" s="181">
        <v>13377</v>
      </c>
      <c r="PUG240" s="181">
        <v>13378</v>
      </c>
      <c r="PUH240" s="181">
        <v>13379</v>
      </c>
      <c r="PUI240" s="181">
        <v>13380</v>
      </c>
      <c r="PUJ240" s="181">
        <v>13381</v>
      </c>
      <c r="PUK240" s="181">
        <v>13382</v>
      </c>
      <c r="PUL240" s="181">
        <v>13383</v>
      </c>
      <c r="PUM240" s="181">
        <v>13384</v>
      </c>
      <c r="PUN240" s="181">
        <v>13385</v>
      </c>
      <c r="PUO240" s="181">
        <v>13386</v>
      </c>
      <c r="PUP240" s="181">
        <v>13387</v>
      </c>
      <c r="PUQ240" s="181">
        <v>13388</v>
      </c>
      <c r="PUR240" s="181">
        <v>13389</v>
      </c>
      <c r="PUS240" s="181">
        <v>13390</v>
      </c>
      <c r="PUT240" s="181">
        <v>13391</v>
      </c>
      <c r="PUU240" s="181">
        <v>13392</v>
      </c>
      <c r="PUV240" s="181">
        <v>13393</v>
      </c>
      <c r="PUW240" s="181">
        <v>13394</v>
      </c>
      <c r="PUX240" s="181">
        <v>13395</v>
      </c>
      <c r="PUY240" s="181">
        <v>13396</v>
      </c>
      <c r="PUZ240" s="181">
        <v>13397</v>
      </c>
      <c r="PVA240" s="181">
        <v>13398</v>
      </c>
      <c r="PVB240" s="181">
        <v>13399</v>
      </c>
      <c r="PVC240" s="181">
        <v>13400</v>
      </c>
      <c r="PVD240" s="181">
        <v>13401</v>
      </c>
      <c r="PVE240" s="181">
        <v>13402</v>
      </c>
      <c r="PVF240" s="181">
        <v>13403</v>
      </c>
      <c r="PVG240" s="181">
        <v>13404</v>
      </c>
      <c r="PVH240" s="181">
        <v>13405</v>
      </c>
      <c r="PVI240" s="181">
        <v>13406</v>
      </c>
      <c r="PVJ240" s="181">
        <v>13407</v>
      </c>
      <c r="PVK240" s="181">
        <v>13408</v>
      </c>
      <c r="PVL240" s="181">
        <v>13409</v>
      </c>
      <c r="PVM240" s="181">
        <v>13410</v>
      </c>
      <c r="PVN240" s="181">
        <v>13411</v>
      </c>
      <c r="PVO240" s="181">
        <v>13412</v>
      </c>
      <c r="PVP240" s="181">
        <v>13413</v>
      </c>
      <c r="PVQ240" s="181">
        <v>13414</v>
      </c>
      <c r="PVR240" s="181">
        <v>13415</v>
      </c>
      <c r="PVS240" s="181">
        <v>13416</v>
      </c>
      <c r="PVT240" s="181">
        <v>13417</v>
      </c>
      <c r="PVU240" s="181">
        <v>13418</v>
      </c>
      <c r="PVV240" s="181">
        <v>13419</v>
      </c>
      <c r="PVW240" s="181">
        <v>13420</v>
      </c>
      <c r="PVX240" s="181">
        <v>13421</v>
      </c>
      <c r="PVY240" s="181">
        <v>13422</v>
      </c>
      <c r="PVZ240" s="181">
        <v>13423</v>
      </c>
      <c r="PWA240" s="181">
        <v>13424</v>
      </c>
      <c r="PWB240" s="181">
        <v>13425</v>
      </c>
      <c r="PWC240" s="181">
        <v>13426</v>
      </c>
      <c r="PWD240" s="181">
        <v>13427</v>
      </c>
      <c r="PWE240" s="181">
        <v>13428</v>
      </c>
      <c r="PWF240" s="181">
        <v>13429</v>
      </c>
      <c r="PWG240" s="181">
        <v>13430</v>
      </c>
      <c r="PWH240" s="181">
        <v>13431</v>
      </c>
      <c r="PWI240" s="181">
        <v>13432</v>
      </c>
      <c r="PWJ240" s="181">
        <v>13433</v>
      </c>
      <c r="PWK240" s="181">
        <v>13434</v>
      </c>
      <c r="PWL240" s="181">
        <v>13435</v>
      </c>
      <c r="PWM240" s="181">
        <v>13436</v>
      </c>
      <c r="PWN240" s="181">
        <v>13437</v>
      </c>
      <c r="PWO240" s="181">
        <v>13438</v>
      </c>
      <c r="PWP240" s="181">
        <v>13439</v>
      </c>
      <c r="PWQ240" s="181">
        <v>13440</v>
      </c>
      <c r="PWR240" s="181">
        <v>13441</v>
      </c>
      <c r="PWS240" s="181">
        <v>13442</v>
      </c>
      <c r="PWT240" s="181">
        <v>13443</v>
      </c>
      <c r="PWU240" s="181">
        <v>13444</v>
      </c>
      <c r="PWV240" s="181">
        <v>13445</v>
      </c>
      <c r="PWW240" s="181">
        <v>13446</v>
      </c>
      <c r="PWX240" s="181">
        <v>13447</v>
      </c>
      <c r="PWY240" s="181">
        <v>13448</v>
      </c>
      <c r="PWZ240" s="181">
        <v>13449</v>
      </c>
      <c r="PXA240" s="181">
        <v>13450</v>
      </c>
      <c r="PXB240" s="181">
        <v>13451</v>
      </c>
      <c r="PXC240" s="181">
        <v>13452</v>
      </c>
      <c r="PXD240" s="181">
        <v>13453</v>
      </c>
      <c r="PXE240" s="181">
        <v>13454</v>
      </c>
      <c r="PXF240" s="181">
        <v>13455</v>
      </c>
      <c r="PXG240" s="181">
        <v>13456</v>
      </c>
      <c r="PXH240" s="181">
        <v>13457</v>
      </c>
      <c r="PXI240" s="181">
        <v>13458</v>
      </c>
      <c r="PXJ240" s="181">
        <v>13459</v>
      </c>
      <c r="PXK240" s="181">
        <v>13460</v>
      </c>
      <c r="PXL240" s="181">
        <v>13461</v>
      </c>
      <c r="PXM240" s="181">
        <v>13462</v>
      </c>
      <c r="PXN240" s="181">
        <v>13463</v>
      </c>
      <c r="PXO240" s="181">
        <v>13464</v>
      </c>
      <c r="PXP240" s="181">
        <v>13465</v>
      </c>
      <c r="PXQ240" s="181">
        <v>13466</v>
      </c>
      <c r="PXR240" s="181">
        <v>13467</v>
      </c>
      <c r="PXS240" s="181">
        <v>13468</v>
      </c>
      <c r="PXT240" s="181">
        <v>13469</v>
      </c>
      <c r="PXU240" s="181">
        <v>13470</v>
      </c>
      <c r="PXV240" s="181">
        <v>13471</v>
      </c>
      <c r="PXW240" s="181">
        <v>13472</v>
      </c>
      <c r="PXX240" s="181">
        <v>13473</v>
      </c>
      <c r="PXY240" s="181">
        <v>13474</v>
      </c>
      <c r="PXZ240" s="181">
        <v>13475</v>
      </c>
      <c r="PYA240" s="181">
        <v>13476</v>
      </c>
      <c r="PYB240" s="181">
        <v>13477</v>
      </c>
      <c r="PYC240" s="181">
        <v>13478</v>
      </c>
      <c r="PYD240" s="181">
        <v>13479</v>
      </c>
      <c r="PYE240" s="181">
        <v>13480</v>
      </c>
      <c r="PYF240" s="181">
        <v>13481</v>
      </c>
      <c r="PYG240" s="181">
        <v>13482</v>
      </c>
      <c r="PYH240" s="181">
        <v>13483</v>
      </c>
      <c r="PYI240" s="181">
        <v>13484</v>
      </c>
      <c r="PYJ240" s="181">
        <v>13485</v>
      </c>
      <c r="PYK240" s="181">
        <v>13486</v>
      </c>
      <c r="PYL240" s="181">
        <v>13487</v>
      </c>
      <c r="PYM240" s="181">
        <v>13488</v>
      </c>
      <c r="PYN240" s="181">
        <v>13489</v>
      </c>
      <c r="PYO240" s="181">
        <v>13490</v>
      </c>
      <c r="PYP240" s="181">
        <v>13491</v>
      </c>
      <c r="PYQ240" s="181">
        <v>13492</v>
      </c>
      <c r="PYR240" s="181">
        <v>13493</v>
      </c>
      <c r="PYS240" s="181">
        <v>13494</v>
      </c>
      <c r="PYT240" s="181">
        <v>13495</v>
      </c>
      <c r="PYU240" s="181">
        <v>13496</v>
      </c>
      <c r="PYV240" s="181">
        <v>13497</v>
      </c>
      <c r="PYW240" s="181">
        <v>13498</v>
      </c>
      <c r="PYX240" s="181">
        <v>13499</v>
      </c>
      <c r="PYY240" s="181">
        <v>13500</v>
      </c>
      <c r="PYZ240" s="181">
        <v>13501</v>
      </c>
      <c r="PZA240" s="181">
        <v>13502</v>
      </c>
      <c r="PZB240" s="181">
        <v>13503</v>
      </c>
      <c r="PZC240" s="181">
        <v>13504</v>
      </c>
      <c r="PZD240" s="181">
        <v>13505</v>
      </c>
      <c r="PZE240" s="181">
        <v>13506</v>
      </c>
      <c r="PZF240" s="181">
        <v>13507</v>
      </c>
      <c r="PZG240" s="181">
        <v>13508</v>
      </c>
      <c r="PZH240" s="181">
        <v>13509</v>
      </c>
      <c r="PZI240" s="181">
        <v>13510</v>
      </c>
      <c r="PZJ240" s="181">
        <v>13511</v>
      </c>
      <c r="PZK240" s="181">
        <v>13512</v>
      </c>
      <c r="PZL240" s="181">
        <v>13513</v>
      </c>
      <c r="PZM240" s="181">
        <v>13514</v>
      </c>
      <c r="PZN240" s="181">
        <v>13515</v>
      </c>
      <c r="PZO240" s="181">
        <v>13516</v>
      </c>
      <c r="PZP240" s="181">
        <v>13517</v>
      </c>
      <c r="PZQ240" s="181">
        <v>13518</v>
      </c>
      <c r="PZR240" s="181">
        <v>13519</v>
      </c>
      <c r="PZS240" s="181">
        <v>13520</v>
      </c>
      <c r="PZT240" s="181">
        <v>13521</v>
      </c>
      <c r="PZU240" s="181">
        <v>13522</v>
      </c>
      <c r="PZV240" s="181">
        <v>13523</v>
      </c>
      <c r="PZW240" s="181">
        <v>13524</v>
      </c>
      <c r="PZX240" s="181">
        <v>13525</v>
      </c>
      <c r="PZY240" s="181">
        <v>13526</v>
      </c>
      <c r="PZZ240" s="181">
        <v>13527</v>
      </c>
      <c r="QAA240" s="181">
        <v>13528</v>
      </c>
      <c r="QAB240" s="181">
        <v>13529</v>
      </c>
      <c r="QAC240" s="181">
        <v>13530</v>
      </c>
      <c r="QAD240" s="181">
        <v>13531</v>
      </c>
      <c r="QAE240" s="181">
        <v>13532</v>
      </c>
      <c r="QAF240" s="181">
        <v>13533</v>
      </c>
      <c r="QAG240" s="181">
        <v>13534</v>
      </c>
      <c r="QAH240" s="181">
        <v>13535</v>
      </c>
      <c r="QAI240" s="181">
        <v>13536</v>
      </c>
      <c r="QAJ240" s="181">
        <v>13537</v>
      </c>
      <c r="QAK240" s="181">
        <v>13538</v>
      </c>
      <c r="QAL240" s="181">
        <v>13539</v>
      </c>
      <c r="QAM240" s="181">
        <v>13540</v>
      </c>
      <c r="QAN240" s="181">
        <v>13541</v>
      </c>
      <c r="QAO240" s="181">
        <v>13542</v>
      </c>
      <c r="QAP240" s="181">
        <v>13543</v>
      </c>
      <c r="QAQ240" s="181">
        <v>13544</v>
      </c>
      <c r="QAR240" s="181">
        <v>13545</v>
      </c>
      <c r="QAS240" s="181">
        <v>13546</v>
      </c>
      <c r="QAT240" s="181">
        <v>13547</v>
      </c>
      <c r="QAU240" s="181">
        <v>13548</v>
      </c>
      <c r="QAV240" s="181">
        <v>13549</v>
      </c>
      <c r="QAW240" s="181">
        <v>13550</v>
      </c>
      <c r="QAX240" s="181">
        <v>13551</v>
      </c>
      <c r="QAY240" s="181">
        <v>13552</v>
      </c>
      <c r="QAZ240" s="181">
        <v>13553</v>
      </c>
      <c r="QBA240" s="181">
        <v>13554</v>
      </c>
      <c r="QBB240" s="181">
        <v>13555</v>
      </c>
      <c r="QBC240" s="181">
        <v>13556</v>
      </c>
      <c r="QBD240" s="181">
        <v>13557</v>
      </c>
      <c r="QBE240" s="181">
        <v>13558</v>
      </c>
      <c r="QBF240" s="181">
        <v>13559</v>
      </c>
      <c r="QBG240" s="181">
        <v>13560</v>
      </c>
      <c r="QBH240" s="181">
        <v>13561</v>
      </c>
      <c r="QBI240" s="181">
        <v>13562</v>
      </c>
      <c r="QBJ240" s="181">
        <v>13563</v>
      </c>
      <c r="QBK240" s="181">
        <v>13564</v>
      </c>
      <c r="QBL240" s="181">
        <v>13565</v>
      </c>
      <c r="QBM240" s="181">
        <v>13566</v>
      </c>
      <c r="QBN240" s="181">
        <v>13567</v>
      </c>
      <c r="QBO240" s="181">
        <v>13568</v>
      </c>
      <c r="QBP240" s="181">
        <v>13569</v>
      </c>
      <c r="QBQ240" s="181">
        <v>13570</v>
      </c>
      <c r="QBR240" s="181">
        <v>13571</v>
      </c>
      <c r="QBS240" s="181">
        <v>13572</v>
      </c>
      <c r="QBT240" s="181">
        <v>13573</v>
      </c>
      <c r="QBU240" s="181">
        <v>13574</v>
      </c>
      <c r="QBV240" s="181">
        <v>13575</v>
      </c>
      <c r="QBW240" s="181">
        <v>13576</v>
      </c>
      <c r="QBX240" s="181">
        <v>13577</v>
      </c>
      <c r="QBY240" s="181">
        <v>13578</v>
      </c>
      <c r="QBZ240" s="181">
        <v>13579</v>
      </c>
      <c r="QCA240" s="181">
        <v>13580</v>
      </c>
      <c r="QCB240" s="181">
        <v>13581</v>
      </c>
      <c r="QCC240" s="181">
        <v>13582</v>
      </c>
      <c r="QCD240" s="181">
        <v>13583</v>
      </c>
      <c r="QCE240" s="181">
        <v>13584</v>
      </c>
      <c r="QCF240" s="181">
        <v>13585</v>
      </c>
      <c r="QCG240" s="181">
        <v>13586</v>
      </c>
      <c r="QCH240" s="181">
        <v>13587</v>
      </c>
      <c r="QCI240" s="181">
        <v>13588</v>
      </c>
      <c r="QCJ240" s="181">
        <v>13589</v>
      </c>
      <c r="QCK240" s="181">
        <v>13590</v>
      </c>
      <c r="QCL240" s="181">
        <v>13591</v>
      </c>
      <c r="QCM240" s="181">
        <v>13592</v>
      </c>
      <c r="QCN240" s="181">
        <v>13593</v>
      </c>
      <c r="QCO240" s="181">
        <v>13594</v>
      </c>
      <c r="QCP240" s="181">
        <v>13595</v>
      </c>
      <c r="QCQ240" s="181">
        <v>13596</v>
      </c>
      <c r="QCR240" s="181">
        <v>13597</v>
      </c>
      <c r="QCS240" s="181">
        <v>13598</v>
      </c>
      <c r="QCT240" s="181">
        <v>13599</v>
      </c>
      <c r="QCU240" s="181">
        <v>13600</v>
      </c>
      <c r="QCV240" s="181">
        <v>13601</v>
      </c>
      <c r="QCW240" s="181">
        <v>13602</v>
      </c>
      <c r="QCX240" s="181">
        <v>13603</v>
      </c>
      <c r="QCY240" s="181">
        <v>13604</v>
      </c>
      <c r="QCZ240" s="181">
        <v>13605</v>
      </c>
      <c r="QDA240" s="181">
        <v>13606</v>
      </c>
      <c r="QDB240" s="181">
        <v>13607</v>
      </c>
      <c r="QDC240" s="181">
        <v>13608</v>
      </c>
      <c r="QDD240" s="181">
        <v>13609</v>
      </c>
      <c r="QDE240" s="181">
        <v>13610</v>
      </c>
      <c r="QDF240" s="181">
        <v>13611</v>
      </c>
      <c r="QDG240" s="181">
        <v>13612</v>
      </c>
      <c r="QDH240" s="181">
        <v>13613</v>
      </c>
      <c r="QDI240" s="181">
        <v>13614</v>
      </c>
      <c r="QDJ240" s="181">
        <v>13615</v>
      </c>
      <c r="QDK240" s="181">
        <v>13616</v>
      </c>
      <c r="QDL240" s="181">
        <v>13617</v>
      </c>
      <c r="QDM240" s="181">
        <v>13618</v>
      </c>
      <c r="QDN240" s="181">
        <v>13619</v>
      </c>
      <c r="QDO240" s="181">
        <v>13620</v>
      </c>
      <c r="QDP240" s="181">
        <v>13621</v>
      </c>
      <c r="QDQ240" s="181">
        <v>13622</v>
      </c>
      <c r="QDR240" s="181">
        <v>13623</v>
      </c>
      <c r="QDS240" s="181">
        <v>13624</v>
      </c>
      <c r="QDT240" s="181">
        <v>13625</v>
      </c>
      <c r="QDU240" s="181">
        <v>13626</v>
      </c>
      <c r="QDV240" s="181">
        <v>13627</v>
      </c>
      <c r="QDW240" s="181">
        <v>13628</v>
      </c>
      <c r="QDX240" s="181">
        <v>13629</v>
      </c>
      <c r="QDY240" s="181">
        <v>13630</v>
      </c>
      <c r="QDZ240" s="181">
        <v>13631</v>
      </c>
      <c r="QEA240" s="181">
        <v>13632</v>
      </c>
      <c r="QEB240" s="181">
        <v>13633</v>
      </c>
      <c r="QEC240" s="181">
        <v>13634</v>
      </c>
      <c r="QED240" s="181">
        <v>13635</v>
      </c>
      <c r="QEE240" s="181">
        <v>13636</v>
      </c>
      <c r="QEF240" s="181">
        <v>13637</v>
      </c>
      <c r="QEG240" s="181">
        <v>13638</v>
      </c>
      <c r="QEH240" s="181">
        <v>13639</v>
      </c>
      <c r="QEI240" s="181">
        <v>13640</v>
      </c>
      <c r="QEJ240" s="181">
        <v>13641</v>
      </c>
      <c r="QEK240" s="181">
        <v>13642</v>
      </c>
      <c r="QEL240" s="181">
        <v>13643</v>
      </c>
      <c r="QEM240" s="181">
        <v>13644</v>
      </c>
      <c r="QEN240" s="181">
        <v>13645</v>
      </c>
      <c r="QEO240" s="181">
        <v>13646</v>
      </c>
      <c r="QEP240" s="181">
        <v>13647</v>
      </c>
      <c r="QEQ240" s="181">
        <v>13648</v>
      </c>
      <c r="QER240" s="181">
        <v>13649</v>
      </c>
      <c r="QES240" s="181">
        <v>13650</v>
      </c>
      <c r="QET240" s="181">
        <v>13651</v>
      </c>
      <c r="QEU240" s="181">
        <v>13652</v>
      </c>
      <c r="QEV240" s="181">
        <v>13653</v>
      </c>
      <c r="QEW240" s="181">
        <v>13654</v>
      </c>
      <c r="QEX240" s="181">
        <v>13655</v>
      </c>
      <c r="QEY240" s="181">
        <v>13656</v>
      </c>
      <c r="QEZ240" s="181">
        <v>13657</v>
      </c>
      <c r="QFA240" s="181">
        <v>13658</v>
      </c>
      <c r="QFB240" s="181">
        <v>13659</v>
      </c>
      <c r="QFC240" s="181">
        <v>13660</v>
      </c>
      <c r="QFD240" s="181">
        <v>13661</v>
      </c>
      <c r="QFE240" s="181">
        <v>13662</v>
      </c>
      <c r="QFF240" s="181">
        <v>13663</v>
      </c>
      <c r="QFG240" s="181">
        <v>13664</v>
      </c>
      <c r="QFH240" s="181">
        <v>13665</v>
      </c>
      <c r="QFI240" s="181">
        <v>13666</v>
      </c>
      <c r="QFJ240" s="181">
        <v>13667</v>
      </c>
      <c r="QFK240" s="181">
        <v>13668</v>
      </c>
      <c r="QFL240" s="181">
        <v>13669</v>
      </c>
      <c r="QFM240" s="181">
        <v>13670</v>
      </c>
      <c r="QFN240" s="181">
        <v>13671</v>
      </c>
      <c r="QFO240" s="181">
        <v>13672</v>
      </c>
      <c r="QFP240" s="181">
        <v>13673</v>
      </c>
      <c r="QFQ240" s="181">
        <v>13674</v>
      </c>
      <c r="QFR240" s="181">
        <v>13675</v>
      </c>
      <c r="QFS240" s="181">
        <v>13676</v>
      </c>
      <c r="QFT240" s="181">
        <v>13677</v>
      </c>
      <c r="QFU240" s="181">
        <v>13678</v>
      </c>
      <c r="QFV240" s="181">
        <v>13679</v>
      </c>
      <c r="QFW240" s="181">
        <v>13680</v>
      </c>
      <c r="QFX240" s="181">
        <v>13681</v>
      </c>
      <c r="QFY240" s="181">
        <v>13682</v>
      </c>
      <c r="QFZ240" s="181">
        <v>13683</v>
      </c>
      <c r="QGA240" s="181">
        <v>13684</v>
      </c>
      <c r="QGB240" s="181">
        <v>13685</v>
      </c>
      <c r="QGC240" s="181">
        <v>13686</v>
      </c>
      <c r="QGD240" s="181">
        <v>13687</v>
      </c>
      <c r="QGE240" s="181">
        <v>13688</v>
      </c>
      <c r="QGF240" s="181">
        <v>13689</v>
      </c>
      <c r="QGG240" s="181">
        <v>13690</v>
      </c>
      <c r="QGH240" s="181">
        <v>13691</v>
      </c>
      <c r="QGI240" s="181">
        <v>13692</v>
      </c>
      <c r="QGJ240" s="181">
        <v>13693</v>
      </c>
      <c r="QGK240" s="181">
        <v>13694</v>
      </c>
      <c r="QGL240" s="181">
        <v>13695</v>
      </c>
      <c r="QGM240" s="181">
        <v>13696</v>
      </c>
      <c r="QGN240" s="181">
        <v>13697</v>
      </c>
      <c r="QGO240" s="181">
        <v>13698</v>
      </c>
      <c r="QGP240" s="181">
        <v>13699</v>
      </c>
      <c r="QGQ240" s="181">
        <v>13700</v>
      </c>
      <c r="QGR240" s="181">
        <v>13701</v>
      </c>
      <c r="QGS240" s="181">
        <v>13702</v>
      </c>
      <c r="QGT240" s="181">
        <v>13703</v>
      </c>
      <c r="QGU240" s="181">
        <v>13704</v>
      </c>
      <c r="QGV240" s="181">
        <v>13705</v>
      </c>
      <c r="QGW240" s="181">
        <v>13706</v>
      </c>
      <c r="QGX240" s="181">
        <v>13707</v>
      </c>
      <c r="QGY240" s="181">
        <v>13708</v>
      </c>
      <c r="QGZ240" s="181">
        <v>13709</v>
      </c>
      <c r="QHA240" s="181">
        <v>13710</v>
      </c>
      <c r="QHB240" s="181">
        <v>13711</v>
      </c>
      <c r="QHC240" s="181">
        <v>13712</v>
      </c>
      <c r="QHD240" s="181">
        <v>13713</v>
      </c>
      <c r="QHE240" s="181">
        <v>13714</v>
      </c>
      <c r="QHF240" s="181">
        <v>13715</v>
      </c>
      <c r="QHG240" s="181">
        <v>13716</v>
      </c>
      <c r="QHH240" s="181">
        <v>13717</v>
      </c>
      <c r="QHI240" s="181">
        <v>13718</v>
      </c>
      <c r="QHJ240" s="181">
        <v>13719</v>
      </c>
      <c r="QHK240" s="181">
        <v>13720</v>
      </c>
      <c r="QHL240" s="181">
        <v>13721</v>
      </c>
      <c r="QHM240" s="181">
        <v>13722</v>
      </c>
      <c r="QHN240" s="181">
        <v>13723</v>
      </c>
      <c r="QHO240" s="181">
        <v>13724</v>
      </c>
      <c r="QHP240" s="181">
        <v>13725</v>
      </c>
      <c r="QHQ240" s="181">
        <v>13726</v>
      </c>
      <c r="QHR240" s="181">
        <v>13727</v>
      </c>
      <c r="QHS240" s="181">
        <v>13728</v>
      </c>
      <c r="QHT240" s="181">
        <v>13729</v>
      </c>
      <c r="QHU240" s="181">
        <v>13730</v>
      </c>
      <c r="QHV240" s="181">
        <v>13731</v>
      </c>
      <c r="QHW240" s="181">
        <v>13732</v>
      </c>
      <c r="QHX240" s="181">
        <v>13733</v>
      </c>
      <c r="QHY240" s="181">
        <v>13734</v>
      </c>
      <c r="QHZ240" s="181">
        <v>13735</v>
      </c>
      <c r="QIA240" s="181">
        <v>13736</v>
      </c>
      <c r="QIB240" s="181">
        <v>13737</v>
      </c>
      <c r="QIC240" s="181">
        <v>13738</v>
      </c>
      <c r="QID240" s="181">
        <v>13739</v>
      </c>
      <c r="QIE240" s="181">
        <v>13740</v>
      </c>
      <c r="QIF240" s="181">
        <v>13741</v>
      </c>
      <c r="QIG240" s="181">
        <v>13742</v>
      </c>
      <c r="QIH240" s="181">
        <v>13743</v>
      </c>
      <c r="QII240" s="181">
        <v>13744</v>
      </c>
      <c r="QIJ240" s="181">
        <v>13745</v>
      </c>
      <c r="QIK240" s="181">
        <v>13746</v>
      </c>
      <c r="QIL240" s="181">
        <v>13747</v>
      </c>
      <c r="QIM240" s="181">
        <v>13748</v>
      </c>
      <c r="QIN240" s="181">
        <v>13749</v>
      </c>
      <c r="QIO240" s="181">
        <v>13750</v>
      </c>
      <c r="QIP240" s="181">
        <v>13751</v>
      </c>
      <c r="QIQ240" s="181">
        <v>13752</v>
      </c>
      <c r="QIR240" s="181">
        <v>13753</v>
      </c>
      <c r="QIS240" s="181">
        <v>13754</v>
      </c>
      <c r="QIT240" s="181">
        <v>13755</v>
      </c>
      <c r="QIU240" s="181">
        <v>13756</v>
      </c>
      <c r="QIV240" s="181">
        <v>13757</v>
      </c>
      <c r="QIW240" s="181">
        <v>13758</v>
      </c>
      <c r="QIX240" s="181">
        <v>13759</v>
      </c>
      <c r="QIY240" s="181">
        <v>13760</v>
      </c>
      <c r="QIZ240" s="181">
        <v>13761</v>
      </c>
      <c r="QJA240" s="181">
        <v>13762</v>
      </c>
      <c r="QJB240" s="181">
        <v>13763</v>
      </c>
      <c r="QJC240" s="181">
        <v>13764</v>
      </c>
      <c r="QJD240" s="181">
        <v>13765</v>
      </c>
      <c r="QJE240" s="181">
        <v>13766</v>
      </c>
      <c r="QJF240" s="181">
        <v>13767</v>
      </c>
      <c r="QJG240" s="181">
        <v>13768</v>
      </c>
      <c r="QJH240" s="181">
        <v>13769</v>
      </c>
      <c r="QJI240" s="181">
        <v>13770</v>
      </c>
      <c r="QJJ240" s="181">
        <v>13771</v>
      </c>
      <c r="QJK240" s="181">
        <v>13772</v>
      </c>
      <c r="QJL240" s="181">
        <v>13773</v>
      </c>
      <c r="QJM240" s="181">
        <v>13774</v>
      </c>
      <c r="QJN240" s="181">
        <v>13775</v>
      </c>
      <c r="QJO240" s="181">
        <v>13776</v>
      </c>
      <c r="QJP240" s="181">
        <v>13777</v>
      </c>
      <c r="QJQ240" s="181">
        <v>13778</v>
      </c>
      <c r="QJR240" s="181">
        <v>13779</v>
      </c>
      <c r="QJS240" s="181">
        <v>13780</v>
      </c>
      <c r="QJT240" s="181">
        <v>13781</v>
      </c>
      <c r="QJU240" s="181">
        <v>13782</v>
      </c>
      <c r="QJV240" s="181">
        <v>13783</v>
      </c>
      <c r="QJW240" s="181">
        <v>13784</v>
      </c>
      <c r="QJX240" s="181">
        <v>13785</v>
      </c>
      <c r="QJY240" s="181">
        <v>13786</v>
      </c>
      <c r="QJZ240" s="181">
        <v>13787</v>
      </c>
      <c r="QKA240" s="181">
        <v>13788</v>
      </c>
      <c r="QKB240" s="181">
        <v>13789</v>
      </c>
      <c r="QKC240" s="181">
        <v>13790</v>
      </c>
      <c r="QKD240" s="181">
        <v>13791</v>
      </c>
      <c r="QKE240" s="181">
        <v>13792</v>
      </c>
      <c r="QKF240" s="181">
        <v>13793</v>
      </c>
      <c r="QKG240" s="181">
        <v>13794</v>
      </c>
      <c r="QKH240" s="181">
        <v>13795</v>
      </c>
      <c r="QKI240" s="181">
        <v>13796</v>
      </c>
      <c r="QKJ240" s="181">
        <v>13797</v>
      </c>
      <c r="QKK240" s="181">
        <v>13798</v>
      </c>
      <c r="QKL240" s="181">
        <v>13799</v>
      </c>
      <c r="QKM240" s="181">
        <v>13800</v>
      </c>
      <c r="QKN240" s="181">
        <v>13801</v>
      </c>
      <c r="QKO240" s="181">
        <v>13802</v>
      </c>
      <c r="QKP240" s="181">
        <v>13803</v>
      </c>
      <c r="QKQ240" s="181">
        <v>13804</v>
      </c>
      <c r="QKR240" s="181">
        <v>13805</v>
      </c>
      <c r="QKS240" s="181">
        <v>13806</v>
      </c>
      <c r="QKT240" s="181">
        <v>13807</v>
      </c>
      <c r="QKU240" s="181">
        <v>13808</v>
      </c>
      <c r="QKV240" s="181">
        <v>13809</v>
      </c>
      <c r="QKW240" s="181">
        <v>13810</v>
      </c>
      <c r="QKX240" s="181">
        <v>13811</v>
      </c>
      <c r="QKY240" s="181">
        <v>13812</v>
      </c>
      <c r="QKZ240" s="181">
        <v>13813</v>
      </c>
      <c r="QLA240" s="181">
        <v>13814</v>
      </c>
      <c r="QLB240" s="181">
        <v>13815</v>
      </c>
      <c r="QLC240" s="181">
        <v>13816</v>
      </c>
      <c r="QLD240" s="181">
        <v>13817</v>
      </c>
      <c r="QLE240" s="181">
        <v>13818</v>
      </c>
      <c r="QLF240" s="181">
        <v>13819</v>
      </c>
      <c r="QLG240" s="181">
        <v>13820</v>
      </c>
      <c r="QLH240" s="181">
        <v>13821</v>
      </c>
      <c r="QLI240" s="181">
        <v>13822</v>
      </c>
      <c r="QLJ240" s="181">
        <v>13823</v>
      </c>
      <c r="QLK240" s="181">
        <v>13824</v>
      </c>
      <c r="QLL240" s="181">
        <v>13825</v>
      </c>
      <c r="QLM240" s="181">
        <v>13826</v>
      </c>
      <c r="QLN240" s="181">
        <v>13827</v>
      </c>
      <c r="QLO240" s="181">
        <v>13828</v>
      </c>
      <c r="QLP240" s="181">
        <v>13829</v>
      </c>
      <c r="QLQ240" s="181">
        <v>13830</v>
      </c>
      <c r="QLR240" s="181">
        <v>13831</v>
      </c>
      <c r="QLS240" s="181">
        <v>13832</v>
      </c>
      <c r="QLT240" s="181">
        <v>13833</v>
      </c>
      <c r="QLU240" s="181">
        <v>13834</v>
      </c>
      <c r="QLV240" s="181">
        <v>13835</v>
      </c>
      <c r="QLW240" s="181">
        <v>13836</v>
      </c>
      <c r="QLX240" s="181">
        <v>13837</v>
      </c>
      <c r="QLY240" s="181">
        <v>13838</v>
      </c>
      <c r="QLZ240" s="181">
        <v>13839</v>
      </c>
      <c r="QMA240" s="181">
        <v>13840</v>
      </c>
      <c r="QMB240" s="181">
        <v>13841</v>
      </c>
      <c r="QMC240" s="181">
        <v>13842</v>
      </c>
      <c r="QMD240" s="181">
        <v>13843</v>
      </c>
      <c r="QME240" s="181">
        <v>13844</v>
      </c>
      <c r="QMF240" s="181">
        <v>13845</v>
      </c>
      <c r="QMG240" s="181">
        <v>13846</v>
      </c>
      <c r="QMH240" s="181">
        <v>13847</v>
      </c>
      <c r="QMI240" s="181">
        <v>13848</v>
      </c>
      <c r="QMJ240" s="181">
        <v>13849</v>
      </c>
      <c r="QMK240" s="181">
        <v>13850</v>
      </c>
      <c r="QML240" s="181">
        <v>13851</v>
      </c>
      <c r="QMM240" s="181">
        <v>13852</v>
      </c>
      <c r="QMN240" s="181">
        <v>13853</v>
      </c>
      <c r="QMO240" s="181">
        <v>13854</v>
      </c>
      <c r="QMP240" s="181">
        <v>13855</v>
      </c>
      <c r="QMQ240" s="181">
        <v>13856</v>
      </c>
      <c r="QMR240" s="181">
        <v>13857</v>
      </c>
      <c r="QMS240" s="181">
        <v>13858</v>
      </c>
      <c r="QMT240" s="181">
        <v>13859</v>
      </c>
      <c r="QMU240" s="181">
        <v>13860</v>
      </c>
      <c r="QMV240" s="181">
        <v>13861</v>
      </c>
      <c r="QMW240" s="181">
        <v>13862</v>
      </c>
      <c r="QMX240" s="181">
        <v>13863</v>
      </c>
      <c r="QMY240" s="181">
        <v>13864</v>
      </c>
      <c r="QMZ240" s="181">
        <v>13865</v>
      </c>
      <c r="QNA240" s="181">
        <v>13866</v>
      </c>
      <c r="QNB240" s="181">
        <v>13867</v>
      </c>
      <c r="QNC240" s="181">
        <v>13868</v>
      </c>
      <c r="QND240" s="181">
        <v>13869</v>
      </c>
      <c r="QNE240" s="181">
        <v>13870</v>
      </c>
      <c r="QNF240" s="181">
        <v>13871</v>
      </c>
      <c r="QNG240" s="181">
        <v>13872</v>
      </c>
      <c r="QNH240" s="181">
        <v>13873</v>
      </c>
      <c r="QNI240" s="181">
        <v>13874</v>
      </c>
      <c r="QNJ240" s="181">
        <v>13875</v>
      </c>
      <c r="QNK240" s="181">
        <v>13876</v>
      </c>
      <c r="QNL240" s="181">
        <v>13877</v>
      </c>
      <c r="QNM240" s="181">
        <v>13878</v>
      </c>
      <c r="QNN240" s="181">
        <v>13879</v>
      </c>
      <c r="QNO240" s="181">
        <v>13880</v>
      </c>
      <c r="QNP240" s="181">
        <v>13881</v>
      </c>
      <c r="QNQ240" s="181">
        <v>13882</v>
      </c>
      <c r="QNR240" s="181">
        <v>13883</v>
      </c>
      <c r="QNS240" s="181">
        <v>13884</v>
      </c>
      <c r="QNT240" s="181">
        <v>13885</v>
      </c>
      <c r="QNU240" s="181">
        <v>13886</v>
      </c>
      <c r="QNV240" s="181">
        <v>13887</v>
      </c>
      <c r="QNW240" s="181">
        <v>13888</v>
      </c>
      <c r="QNX240" s="181">
        <v>13889</v>
      </c>
      <c r="QNY240" s="181">
        <v>13890</v>
      </c>
      <c r="QNZ240" s="181">
        <v>13891</v>
      </c>
      <c r="QOA240" s="181">
        <v>13892</v>
      </c>
      <c r="QOB240" s="181">
        <v>13893</v>
      </c>
      <c r="QOC240" s="181">
        <v>13894</v>
      </c>
      <c r="QOD240" s="181">
        <v>13895</v>
      </c>
      <c r="QOE240" s="181">
        <v>13896</v>
      </c>
      <c r="QOF240" s="181">
        <v>13897</v>
      </c>
      <c r="QOG240" s="181">
        <v>13898</v>
      </c>
      <c r="QOH240" s="181">
        <v>13899</v>
      </c>
      <c r="QOI240" s="181">
        <v>13900</v>
      </c>
      <c r="QOJ240" s="181">
        <v>13901</v>
      </c>
      <c r="QOK240" s="181">
        <v>13902</v>
      </c>
      <c r="QOL240" s="181">
        <v>13903</v>
      </c>
      <c r="QOM240" s="181">
        <v>13904</v>
      </c>
      <c r="QON240" s="181">
        <v>13905</v>
      </c>
      <c r="QOO240" s="181">
        <v>13906</v>
      </c>
      <c r="QOP240" s="181">
        <v>13907</v>
      </c>
      <c r="QOQ240" s="181">
        <v>13908</v>
      </c>
      <c r="QOR240" s="181">
        <v>13909</v>
      </c>
      <c r="QOS240" s="181">
        <v>13910</v>
      </c>
      <c r="QOT240" s="181">
        <v>13911</v>
      </c>
      <c r="QOU240" s="181">
        <v>13912</v>
      </c>
      <c r="QOV240" s="181">
        <v>13913</v>
      </c>
      <c r="QOW240" s="181">
        <v>13914</v>
      </c>
      <c r="QOX240" s="181">
        <v>13915</v>
      </c>
      <c r="QOY240" s="181">
        <v>13916</v>
      </c>
      <c r="QOZ240" s="181">
        <v>13917</v>
      </c>
      <c r="QPA240" s="181">
        <v>13918</v>
      </c>
      <c r="QPB240" s="181">
        <v>13919</v>
      </c>
      <c r="QPC240" s="181">
        <v>13920</v>
      </c>
      <c r="QPD240" s="181">
        <v>13921</v>
      </c>
      <c r="QPE240" s="181">
        <v>13922</v>
      </c>
      <c r="QPF240" s="181">
        <v>13923</v>
      </c>
      <c r="QPG240" s="181">
        <v>13924</v>
      </c>
      <c r="QPH240" s="181">
        <v>13925</v>
      </c>
      <c r="QPI240" s="181">
        <v>13926</v>
      </c>
      <c r="QPJ240" s="181">
        <v>13927</v>
      </c>
      <c r="QPK240" s="181">
        <v>13928</v>
      </c>
      <c r="QPL240" s="181">
        <v>13929</v>
      </c>
      <c r="QPM240" s="181">
        <v>13930</v>
      </c>
      <c r="QPN240" s="181">
        <v>13931</v>
      </c>
      <c r="QPO240" s="181">
        <v>13932</v>
      </c>
      <c r="QPP240" s="181">
        <v>13933</v>
      </c>
      <c r="QPQ240" s="181">
        <v>13934</v>
      </c>
      <c r="QPR240" s="181">
        <v>13935</v>
      </c>
      <c r="QPS240" s="181">
        <v>13936</v>
      </c>
      <c r="QPT240" s="181">
        <v>13937</v>
      </c>
      <c r="QPU240" s="181">
        <v>13938</v>
      </c>
      <c r="QPV240" s="181">
        <v>13939</v>
      </c>
      <c r="QPW240" s="181">
        <v>13940</v>
      </c>
      <c r="QPX240" s="181">
        <v>13941</v>
      </c>
      <c r="QPY240" s="181">
        <v>13942</v>
      </c>
      <c r="QPZ240" s="181">
        <v>13943</v>
      </c>
      <c r="QQA240" s="181">
        <v>13944</v>
      </c>
      <c r="QQB240" s="181">
        <v>13945</v>
      </c>
      <c r="QQC240" s="181">
        <v>13946</v>
      </c>
      <c r="QQD240" s="181">
        <v>13947</v>
      </c>
      <c r="QQE240" s="181">
        <v>13948</v>
      </c>
      <c r="QQF240" s="181">
        <v>13949</v>
      </c>
      <c r="QQG240" s="181">
        <v>13950</v>
      </c>
      <c r="QQH240" s="181">
        <v>13951</v>
      </c>
      <c r="QQI240" s="181">
        <v>13952</v>
      </c>
      <c r="QQJ240" s="181">
        <v>13953</v>
      </c>
      <c r="QQK240" s="181">
        <v>13954</v>
      </c>
      <c r="QQL240" s="181">
        <v>13955</v>
      </c>
      <c r="QQM240" s="181">
        <v>13956</v>
      </c>
      <c r="QQN240" s="181">
        <v>13957</v>
      </c>
      <c r="QQO240" s="181">
        <v>13958</v>
      </c>
      <c r="QQP240" s="181">
        <v>13959</v>
      </c>
      <c r="QQQ240" s="181">
        <v>13960</v>
      </c>
      <c r="QQR240" s="181">
        <v>13961</v>
      </c>
      <c r="QQS240" s="181">
        <v>13962</v>
      </c>
      <c r="QQT240" s="181">
        <v>13963</v>
      </c>
      <c r="QQU240" s="181">
        <v>13964</v>
      </c>
      <c r="QQV240" s="181">
        <v>13965</v>
      </c>
      <c r="QQW240" s="181">
        <v>13966</v>
      </c>
      <c r="QQX240" s="181">
        <v>13967</v>
      </c>
      <c r="QQY240" s="181">
        <v>13968</v>
      </c>
      <c r="QQZ240" s="181">
        <v>13969</v>
      </c>
      <c r="QRA240" s="181">
        <v>13970</v>
      </c>
      <c r="QRB240" s="181">
        <v>13971</v>
      </c>
      <c r="QRC240" s="181">
        <v>13972</v>
      </c>
      <c r="QRD240" s="181">
        <v>13973</v>
      </c>
      <c r="QRE240" s="181">
        <v>13974</v>
      </c>
      <c r="QRF240" s="181">
        <v>13975</v>
      </c>
      <c r="QRG240" s="181">
        <v>13976</v>
      </c>
      <c r="QRH240" s="181">
        <v>13977</v>
      </c>
      <c r="QRI240" s="181">
        <v>13978</v>
      </c>
      <c r="QRJ240" s="181">
        <v>13979</v>
      </c>
      <c r="QRK240" s="181">
        <v>13980</v>
      </c>
      <c r="QRL240" s="181">
        <v>13981</v>
      </c>
      <c r="QRM240" s="181">
        <v>13982</v>
      </c>
      <c r="QRN240" s="181">
        <v>13983</v>
      </c>
      <c r="QRO240" s="181">
        <v>13984</v>
      </c>
      <c r="QRP240" s="181">
        <v>13985</v>
      </c>
      <c r="QRQ240" s="181">
        <v>13986</v>
      </c>
      <c r="QRR240" s="181">
        <v>13987</v>
      </c>
      <c r="QRS240" s="181">
        <v>13988</v>
      </c>
      <c r="QRT240" s="181">
        <v>13989</v>
      </c>
      <c r="QRU240" s="181">
        <v>13990</v>
      </c>
      <c r="QRV240" s="181">
        <v>13991</v>
      </c>
      <c r="QRW240" s="181">
        <v>13992</v>
      </c>
      <c r="QRX240" s="181">
        <v>13993</v>
      </c>
      <c r="QRY240" s="181">
        <v>13994</v>
      </c>
      <c r="QRZ240" s="181">
        <v>13995</v>
      </c>
      <c r="QSA240" s="181">
        <v>13996</v>
      </c>
      <c r="QSB240" s="181">
        <v>13997</v>
      </c>
      <c r="QSC240" s="181">
        <v>13998</v>
      </c>
      <c r="QSD240" s="181">
        <v>13999</v>
      </c>
      <c r="QSE240" s="181">
        <v>14000</v>
      </c>
      <c r="QSF240" s="181">
        <v>14001</v>
      </c>
      <c r="QSG240" s="181">
        <v>14002</v>
      </c>
      <c r="QSH240" s="181">
        <v>14003</v>
      </c>
      <c r="QSI240" s="181">
        <v>14004</v>
      </c>
      <c r="QSJ240" s="181">
        <v>14005</v>
      </c>
      <c r="QSK240" s="181">
        <v>14006</v>
      </c>
      <c r="QSL240" s="181">
        <v>14007</v>
      </c>
      <c r="QSM240" s="181">
        <v>14008</v>
      </c>
      <c r="QSN240" s="181">
        <v>14009</v>
      </c>
      <c r="QSO240" s="181">
        <v>14010</v>
      </c>
      <c r="QSP240" s="181">
        <v>14011</v>
      </c>
      <c r="QSQ240" s="181">
        <v>14012</v>
      </c>
      <c r="QSR240" s="181">
        <v>14013</v>
      </c>
      <c r="QSS240" s="181">
        <v>14014</v>
      </c>
      <c r="QST240" s="181">
        <v>14015</v>
      </c>
      <c r="QSU240" s="181">
        <v>14016</v>
      </c>
      <c r="QSV240" s="181">
        <v>14017</v>
      </c>
      <c r="QSW240" s="181">
        <v>14018</v>
      </c>
      <c r="QSX240" s="181">
        <v>14019</v>
      </c>
      <c r="QSY240" s="181">
        <v>14020</v>
      </c>
      <c r="QSZ240" s="181">
        <v>14021</v>
      </c>
      <c r="QTA240" s="181">
        <v>14022</v>
      </c>
      <c r="QTB240" s="181">
        <v>14023</v>
      </c>
      <c r="QTC240" s="181">
        <v>14024</v>
      </c>
      <c r="QTD240" s="181">
        <v>14025</v>
      </c>
      <c r="QTE240" s="181">
        <v>14026</v>
      </c>
      <c r="QTF240" s="181">
        <v>14027</v>
      </c>
      <c r="QTG240" s="181">
        <v>14028</v>
      </c>
      <c r="QTH240" s="181">
        <v>14029</v>
      </c>
      <c r="QTI240" s="181">
        <v>14030</v>
      </c>
      <c r="QTJ240" s="181">
        <v>14031</v>
      </c>
      <c r="QTK240" s="181">
        <v>14032</v>
      </c>
      <c r="QTL240" s="181">
        <v>14033</v>
      </c>
      <c r="QTM240" s="181">
        <v>14034</v>
      </c>
      <c r="QTN240" s="181">
        <v>14035</v>
      </c>
      <c r="QTO240" s="181">
        <v>14036</v>
      </c>
      <c r="QTP240" s="181">
        <v>14037</v>
      </c>
      <c r="QTQ240" s="181">
        <v>14038</v>
      </c>
      <c r="QTR240" s="181">
        <v>14039</v>
      </c>
      <c r="QTS240" s="181">
        <v>14040</v>
      </c>
      <c r="QTT240" s="181">
        <v>14041</v>
      </c>
      <c r="QTU240" s="181">
        <v>14042</v>
      </c>
      <c r="QTV240" s="181">
        <v>14043</v>
      </c>
      <c r="QTW240" s="181">
        <v>14044</v>
      </c>
      <c r="QTX240" s="181">
        <v>14045</v>
      </c>
      <c r="QTY240" s="181">
        <v>14046</v>
      </c>
      <c r="QTZ240" s="181">
        <v>14047</v>
      </c>
      <c r="QUA240" s="181">
        <v>14048</v>
      </c>
      <c r="QUB240" s="181">
        <v>14049</v>
      </c>
      <c r="QUC240" s="181">
        <v>14050</v>
      </c>
      <c r="QUD240" s="181">
        <v>14051</v>
      </c>
      <c r="QUE240" s="181">
        <v>14052</v>
      </c>
      <c r="QUF240" s="181">
        <v>14053</v>
      </c>
      <c r="QUG240" s="181">
        <v>14054</v>
      </c>
      <c r="QUH240" s="181">
        <v>14055</v>
      </c>
      <c r="QUI240" s="181">
        <v>14056</v>
      </c>
      <c r="QUJ240" s="181">
        <v>14057</v>
      </c>
      <c r="QUK240" s="181">
        <v>14058</v>
      </c>
      <c r="QUL240" s="181">
        <v>14059</v>
      </c>
      <c r="QUM240" s="181">
        <v>14060</v>
      </c>
      <c r="QUN240" s="181">
        <v>14061</v>
      </c>
      <c r="QUO240" s="181">
        <v>14062</v>
      </c>
      <c r="QUP240" s="181">
        <v>14063</v>
      </c>
      <c r="QUQ240" s="181">
        <v>14064</v>
      </c>
      <c r="QUR240" s="181">
        <v>14065</v>
      </c>
      <c r="QUS240" s="181">
        <v>14066</v>
      </c>
      <c r="QUT240" s="181">
        <v>14067</v>
      </c>
      <c r="QUU240" s="181">
        <v>14068</v>
      </c>
      <c r="QUV240" s="181">
        <v>14069</v>
      </c>
      <c r="QUW240" s="181">
        <v>14070</v>
      </c>
      <c r="QUX240" s="181">
        <v>14071</v>
      </c>
      <c r="QUY240" s="181">
        <v>14072</v>
      </c>
      <c r="QUZ240" s="181">
        <v>14073</v>
      </c>
      <c r="QVA240" s="181">
        <v>14074</v>
      </c>
      <c r="QVB240" s="181">
        <v>14075</v>
      </c>
      <c r="QVC240" s="181">
        <v>14076</v>
      </c>
      <c r="QVD240" s="181">
        <v>14077</v>
      </c>
      <c r="QVE240" s="181">
        <v>14078</v>
      </c>
      <c r="QVF240" s="181">
        <v>14079</v>
      </c>
      <c r="QVG240" s="181">
        <v>14080</v>
      </c>
      <c r="QVH240" s="181">
        <v>14081</v>
      </c>
      <c r="QVI240" s="181">
        <v>14082</v>
      </c>
      <c r="QVJ240" s="181">
        <v>14083</v>
      </c>
      <c r="QVK240" s="181">
        <v>14084</v>
      </c>
      <c r="QVL240" s="181">
        <v>14085</v>
      </c>
      <c r="QVM240" s="181">
        <v>14086</v>
      </c>
      <c r="QVN240" s="181">
        <v>14087</v>
      </c>
      <c r="QVO240" s="181">
        <v>14088</v>
      </c>
      <c r="QVP240" s="181">
        <v>14089</v>
      </c>
      <c r="QVQ240" s="181">
        <v>14090</v>
      </c>
      <c r="QVR240" s="181">
        <v>14091</v>
      </c>
      <c r="QVS240" s="181">
        <v>14092</v>
      </c>
      <c r="QVT240" s="181">
        <v>14093</v>
      </c>
      <c r="QVU240" s="181">
        <v>14094</v>
      </c>
      <c r="QVV240" s="181">
        <v>14095</v>
      </c>
      <c r="QVW240" s="181">
        <v>14096</v>
      </c>
      <c r="QVX240" s="181">
        <v>14097</v>
      </c>
      <c r="QVY240" s="181">
        <v>14098</v>
      </c>
      <c r="QVZ240" s="181">
        <v>14099</v>
      </c>
      <c r="QWA240" s="181">
        <v>14100</v>
      </c>
      <c r="QWB240" s="181">
        <v>14101</v>
      </c>
      <c r="QWC240" s="181">
        <v>14102</v>
      </c>
      <c r="QWD240" s="181">
        <v>14103</v>
      </c>
      <c r="QWE240" s="181">
        <v>14104</v>
      </c>
      <c r="QWF240" s="181">
        <v>14105</v>
      </c>
      <c r="QWG240" s="181">
        <v>14106</v>
      </c>
      <c r="QWH240" s="181">
        <v>14107</v>
      </c>
      <c r="QWI240" s="181">
        <v>14108</v>
      </c>
      <c r="QWJ240" s="181">
        <v>14109</v>
      </c>
      <c r="QWK240" s="181">
        <v>14110</v>
      </c>
      <c r="QWL240" s="181">
        <v>14111</v>
      </c>
      <c r="QWM240" s="181">
        <v>14112</v>
      </c>
      <c r="QWN240" s="181">
        <v>14113</v>
      </c>
      <c r="QWO240" s="181">
        <v>14114</v>
      </c>
      <c r="QWP240" s="181">
        <v>14115</v>
      </c>
      <c r="QWQ240" s="181">
        <v>14116</v>
      </c>
      <c r="QWR240" s="181">
        <v>14117</v>
      </c>
      <c r="QWS240" s="181">
        <v>14118</v>
      </c>
      <c r="QWT240" s="181">
        <v>14119</v>
      </c>
      <c r="QWU240" s="181">
        <v>14120</v>
      </c>
      <c r="QWV240" s="181">
        <v>14121</v>
      </c>
      <c r="QWW240" s="181">
        <v>14122</v>
      </c>
      <c r="QWX240" s="181">
        <v>14123</v>
      </c>
      <c r="QWY240" s="181">
        <v>14124</v>
      </c>
      <c r="QWZ240" s="181">
        <v>14125</v>
      </c>
      <c r="QXA240" s="181">
        <v>14126</v>
      </c>
      <c r="QXB240" s="181">
        <v>14127</v>
      </c>
      <c r="QXC240" s="181">
        <v>14128</v>
      </c>
      <c r="QXD240" s="181">
        <v>14129</v>
      </c>
      <c r="QXE240" s="181">
        <v>14130</v>
      </c>
      <c r="QXF240" s="181">
        <v>14131</v>
      </c>
      <c r="QXG240" s="181">
        <v>14132</v>
      </c>
      <c r="QXH240" s="181">
        <v>14133</v>
      </c>
      <c r="QXI240" s="181">
        <v>14134</v>
      </c>
      <c r="QXJ240" s="181">
        <v>14135</v>
      </c>
      <c r="QXK240" s="181">
        <v>14136</v>
      </c>
      <c r="QXL240" s="181">
        <v>14137</v>
      </c>
      <c r="QXM240" s="181">
        <v>14138</v>
      </c>
      <c r="QXN240" s="181">
        <v>14139</v>
      </c>
      <c r="QXO240" s="181">
        <v>14140</v>
      </c>
      <c r="QXP240" s="181">
        <v>14141</v>
      </c>
      <c r="QXQ240" s="181">
        <v>14142</v>
      </c>
      <c r="QXR240" s="181">
        <v>14143</v>
      </c>
      <c r="QXS240" s="181">
        <v>14144</v>
      </c>
      <c r="QXT240" s="181">
        <v>14145</v>
      </c>
      <c r="QXU240" s="181">
        <v>14146</v>
      </c>
      <c r="QXV240" s="181">
        <v>14147</v>
      </c>
      <c r="QXW240" s="181">
        <v>14148</v>
      </c>
      <c r="QXX240" s="181">
        <v>14149</v>
      </c>
      <c r="QXY240" s="181">
        <v>14150</v>
      </c>
      <c r="QXZ240" s="181">
        <v>14151</v>
      </c>
      <c r="QYA240" s="181">
        <v>14152</v>
      </c>
      <c r="QYB240" s="181">
        <v>14153</v>
      </c>
      <c r="QYC240" s="181">
        <v>14154</v>
      </c>
      <c r="QYD240" s="181">
        <v>14155</v>
      </c>
      <c r="QYE240" s="181">
        <v>14156</v>
      </c>
      <c r="QYF240" s="181">
        <v>14157</v>
      </c>
      <c r="QYG240" s="181">
        <v>14158</v>
      </c>
      <c r="QYH240" s="181">
        <v>14159</v>
      </c>
      <c r="QYI240" s="181">
        <v>14160</v>
      </c>
      <c r="QYJ240" s="181">
        <v>14161</v>
      </c>
      <c r="QYK240" s="181">
        <v>14162</v>
      </c>
      <c r="QYL240" s="181">
        <v>14163</v>
      </c>
      <c r="QYM240" s="181">
        <v>14164</v>
      </c>
      <c r="QYN240" s="181">
        <v>14165</v>
      </c>
      <c r="QYO240" s="181">
        <v>14166</v>
      </c>
      <c r="QYP240" s="181">
        <v>14167</v>
      </c>
      <c r="QYQ240" s="181">
        <v>14168</v>
      </c>
      <c r="QYR240" s="181">
        <v>14169</v>
      </c>
      <c r="QYS240" s="181">
        <v>14170</v>
      </c>
      <c r="QYT240" s="181">
        <v>14171</v>
      </c>
      <c r="QYU240" s="181">
        <v>14172</v>
      </c>
      <c r="QYV240" s="181">
        <v>14173</v>
      </c>
      <c r="QYW240" s="181">
        <v>14174</v>
      </c>
      <c r="QYX240" s="181">
        <v>14175</v>
      </c>
      <c r="QYY240" s="181">
        <v>14176</v>
      </c>
      <c r="QYZ240" s="181">
        <v>14177</v>
      </c>
      <c r="QZA240" s="181">
        <v>14178</v>
      </c>
      <c r="QZB240" s="181">
        <v>14179</v>
      </c>
      <c r="QZC240" s="181">
        <v>14180</v>
      </c>
      <c r="QZD240" s="181">
        <v>14181</v>
      </c>
      <c r="QZE240" s="181">
        <v>14182</v>
      </c>
      <c r="QZF240" s="181">
        <v>14183</v>
      </c>
      <c r="QZG240" s="181">
        <v>14184</v>
      </c>
      <c r="QZH240" s="181">
        <v>14185</v>
      </c>
      <c r="QZI240" s="181">
        <v>14186</v>
      </c>
      <c r="QZJ240" s="181">
        <v>14187</v>
      </c>
      <c r="QZK240" s="181">
        <v>14188</v>
      </c>
      <c r="QZL240" s="181">
        <v>14189</v>
      </c>
      <c r="QZM240" s="181">
        <v>14190</v>
      </c>
      <c r="QZN240" s="181">
        <v>14191</v>
      </c>
      <c r="QZO240" s="181">
        <v>14192</v>
      </c>
      <c r="QZP240" s="181">
        <v>14193</v>
      </c>
      <c r="QZQ240" s="181">
        <v>14194</v>
      </c>
      <c r="QZR240" s="181">
        <v>14195</v>
      </c>
      <c r="QZS240" s="181">
        <v>14196</v>
      </c>
      <c r="QZT240" s="181">
        <v>14197</v>
      </c>
      <c r="QZU240" s="181">
        <v>14198</v>
      </c>
      <c r="QZV240" s="181">
        <v>14199</v>
      </c>
      <c r="QZW240" s="181">
        <v>14200</v>
      </c>
      <c r="QZX240" s="181">
        <v>14201</v>
      </c>
      <c r="QZY240" s="181">
        <v>14202</v>
      </c>
      <c r="QZZ240" s="181">
        <v>14203</v>
      </c>
      <c r="RAA240" s="181">
        <v>14204</v>
      </c>
      <c r="RAB240" s="181">
        <v>14205</v>
      </c>
      <c r="RAC240" s="181">
        <v>14206</v>
      </c>
      <c r="RAD240" s="181">
        <v>14207</v>
      </c>
      <c r="RAE240" s="181">
        <v>14208</v>
      </c>
      <c r="RAF240" s="181">
        <v>14209</v>
      </c>
      <c r="RAG240" s="181">
        <v>14210</v>
      </c>
      <c r="RAH240" s="181">
        <v>14211</v>
      </c>
      <c r="RAI240" s="181">
        <v>14212</v>
      </c>
      <c r="RAJ240" s="181">
        <v>14213</v>
      </c>
      <c r="RAK240" s="181">
        <v>14214</v>
      </c>
      <c r="RAL240" s="181">
        <v>14215</v>
      </c>
      <c r="RAM240" s="181">
        <v>14216</v>
      </c>
      <c r="RAN240" s="181">
        <v>14217</v>
      </c>
      <c r="RAO240" s="181">
        <v>14218</v>
      </c>
      <c r="RAP240" s="181">
        <v>14219</v>
      </c>
      <c r="RAQ240" s="181">
        <v>14220</v>
      </c>
      <c r="RAR240" s="181">
        <v>14221</v>
      </c>
      <c r="RAS240" s="181">
        <v>14222</v>
      </c>
      <c r="RAT240" s="181">
        <v>14223</v>
      </c>
      <c r="RAU240" s="181">
        <v>14224</v>
      </c>
      <c r="RAV240" s="181">
        <v>14225</v>
      </c>
      <c r="RAW240" s="181">
        <v>14226</v>
      </c>
      <c r="RAX240" s="181">
        <v>14227</v>
      </c>
      <c r="RAY240" s="181">
        <v>14228</v>
      </c>
      <c r="RAZ240" s="181">
        <v>14229</v>
      </c>
      <c r="RBA240" s="181">
        <v>14230</v>
      </c>
      <c r="RBB240" s="181">
        <v>14231</v>
      </c>
      <c r="RBC240" s="181">
        <v>14232</v>
      </c>
      <c r="RBD240" s="181">
        <v>14233</v>
      </c>
      <c r="RBE240" s="181">
        <v>14234</v>
      </c>
      <c r="RBF240" s="181">
        <v>14235</v>
      </c>
      <c r="RBG240" s="181">
        <v>14236</v>
      </c>
      <c r="RBH240" s="181">
        <v>14237</v>
      </c>
      <c r="RBI240" s="181">
        <v>14238</v>
      </c>
      <c r="RBJ240" s="181">
        <v>14239</v>
      </c>
      <c r="RBK240" s="181">
        <v>14240</v>
      </c>
      <c r="RBL240" s="181">
        <v>14241</v>
      </c>
      <c r="RBM240" s="181">
        <v>14242</v>
      </c>
      <c r="RBN240" s="181">
        <v>14243</v>
      </c>
      <c r="RBO240" s="181">
        <v>14244</v>
      </c>
      <c r="RBP240" s="181">
        <v>14245</v>
      </c>
      <c r="RBQ240" s="181">
        <v>14246</v>
      </c>
      <c r="RBR240" s="181">
        <v>14247</v>
      </c>
      <c r="RBS240" s="181">
        <v>14248</v>
      </c>
      <c r="RBT240" s="181">
        <v>14249</v>
      </c>
      <c r="RBU240" s="181">
        <v>14250</v>
      </c>
      <c r="RBV240" s="181">
        <v>14251</v>
      </c>
      <c r="RBW240" s="181">
        <v>14252</v>
      </c>
      <c r="RBX240" s="181">
        <v>14253</v>
      </c>
      <c r="RBY240" s="181">
        <v>14254</v>
      </c>
      <c r="RBZ240" s="181">
        <v>14255</v>
      </c>
      <c r="RCA240" s="181">
        <v>14256</v>
      </c>
      <c r="RCB240" s="181">
        <v>14257</v>
      </c>
      <c r="RCC240" s="181">
        <v>14258</v>
      </c>
      <c r="RCD240" s="181">
        <v>14259</v>
      </c>
      <c r="RCE240" s="181">
        <v>14260</v>
      </c>
      <c r="RCF240" s="181">
        <v>14261</v>
      </c>
      <c r="RCG240" s="181">
        <v>14262</v>
      </c>
      <c r="RCH240" s="181">
        <v>14263</v>
      </c>
      <c r="RCI240" s="181">
        <v>14264</v>
      </c>
      <c r="RCJ240" s="181">
        <v>14265</v>
      </c>
      <c r="RCK240" s="181">
        <v>14266</v>
      </c>
      <c r="RCL240" s="181">
        <v>14267</v>
      </c>
      <c r="RCM240" s="181">
        <v>14268</v>
      </c>
      <c r="RCN240" s="181">
        <v>14269</v>
      </c>
      <c r="RCO240" s="181">
        <v>14270</v>
      </c>
      <c r="RCP240" s="181">
        <v>14271</v>
      </c>
      <c r="RCQ240" s="181">
        <v>14272</v>
      </c>
      <c r="RCR240" s="181">
        <v>14273</v>
      </c>
      <c r="RCS240" s="181">
        <v>14274</v>
      </c>
      <c r="RCT240" s="181">
        <v>14275</v>
      </c>
      <c r="RCU240" s="181">
        <v>14276</v>
      </c>
      <c r="RCV240" s="181">
        <v>14277</v>
      </c>
      <c r="RCW240" s="181">
        <v>14278</v>
      </c>
      <c r="RCX240" s="181">
        <v>14279</v>
      </c>
      <c r="RCY240" s="181">
        <v>14280</v>
      </c>
      <c r="RCZ240" s="181">
        <v>14281</v>
      </c>
      <c r="RDA240" s="181">
        <v>14282</v>
      </c>
      <c r="RDB240" s="181">
        <v>14283</v>
      </c>
      <c r="RDC240" s="181">
        <v>14284</v>
      </c>
      <c r="RDD240" s="181">
        <v>14285</v>
      </c>
      <c r="RDE240" s="181">
        <v>14286</v>
      </c>
      <c r="RDF240" s="181">
        <v>14287</v>
      </c>
      <c r="RDG240" s="181">
        <v>14288</v>
      </c>
      <c r="RDH240" s="181">
        <v>14289</v>
      </c>
      <c r="RDI240" s="181">
        <v>14290</v>
      </c>
      <c r="RDJ240" s="181">
        <v>14291</v>
      </c>
      <c r="RDK240" s="181">
        <v>14292</v>
      </c>
      <c r="RDL240" s="181">
        <v>14293</v>
      </c>
      <c r="RDM240" s="181">
        <v>14294</v>
      </c>
      <c r="RDN240" s="181">
        <v>14295</v>
      </c>
      <c r="RDO240" s="181">
        <v>14296</v>
      </c>
      <c r="RDP240" s="181">
        <v>14297</v>
      </c>
      <c r="RDQ240" s="181">
        <v>14298</v>
      </c>
      <c r="RDR240" s="181">
        <v>14299</v>
      </c>
      <c r="RDS240" s="181">
        <v>14300</v>
      </c>
      <c r="RDT240" s="181">
        <v>14301</v>
      </c>
      <c r="RDU240" s="181">
        <v>14302</v>
      </c>
      <c r="RDV240" s="181">
        <v>14303</v>
      </c>
      <c r="RDW240" s="181">
        <v>14304</v>
      </c>
      <c r="RDX240" s="181">
        <v>14305</v>
      </c>
      <c r="RDY240" s="181">
        <v>14306</v>
      </c>
      <c r="RDZ240" s="181">
        <v>14307</v>
      </c>
      <c r="REA240" s="181">
        <v>14308</v>
      </c>
      <c r="REB240" s="181">
        <v>14309</v>
      </c>
      <c r="REC240" s="181">
        <v>14310</v>
      </c>
      <c r="RED240" s="181">
        <v>14311</v>
      </c>
      <c r="REE240" s="181">
        <v>14312</v>
      </c>
      <c r="REF240" s="181">
        <v>14313</v>
      </c>
      <c r="REG240" s="181">
        <v>14314</v>
      </c>
      <c r="REH240" s="181">
        <v>14315</v>
      </c>
      <c r="REI240" s="181">
        <v>14316</v>
      </c>
      <c r="REJ240" s="181">
        <v>14317</v>
      </c>
      <c r="REK240" s="181">
        <v>14318</v>
      </c>
      <c r="REL240" s="181">
        <v>14319</v>
      </c>
      <c r="REM240" s="181">
        <v>14320</v>
      </c>
      <c r="REN240" s="181">
        <v>14321</v>
      </c>
      <c r="REO240" s="181">
        <v>14322</v>
      </c>
      <c r="REP240" s="181">
        <v>14323</v>
      </c>
      <c r="REQ240" s="181">
        <v>14324</v>
      </c>
      <c r="RER240" s="181">
        <v>14325</v>
      </c>
      <c r="RES240" s="181">
        <v>14326</v>
      </c>
      <c r="RET240" s="181">
        <v>14327</v>
      </c>
      <c r="REU240" s="181">
        <v>14328</v>
      </c>
      <c r="REV240" s="181">
        <v>14329</v>
      </c>
      <c r="REW240" s="181">
        <v>14330</v>
      </c>
      <c r="REX240" s="181">
        <v>14331</v>
      </c>
      <c r="REY240" s="181">
        <v>14332</v>
      </c>
      <c r="REZ240" s="181">
        <v>14333</v>
      </c>
      <c r="RFA240" s="181">
        <v>14334</v>
      </c>
      <c r="RFB240" s="181">
        <v>14335</v>
      </c>
      <c r="RFC240" s="181">
        <v>14336</v>
      </c>
      <c r="RFD240" s="181">
        <v>14337</v>
      </c>
      <c r="RFE240" s="181">
        <v>14338</v>
      </c>
      <c r="RFF240" s="181">
        <v>14339</v>
      </c>
      <c r="RFG240" s="181">
        <v>14340</v>
      </c>
      <c r="RFH240" s="181">
        <v>14341</v>
      </c>
      <c r="RFI240" s="181">
        <v>14342</v>
      </c>
      <c r="RFJ240" s="181">
        <v>14343</v>
      </c>
      <c r="RFK240" s="181">
        <v>14344</v>
      </c>
      <c r="RFL240" s="181">
        <v>14345</v>
      </c>
      <c r="RFM240" s="181">
        <v>14346</v>
      </c>
      <c r="RFN240" s="181">
        <v>14347</v>
      </c>
      <c r="RFO240" s="181">
        <v>14348</v>
      </c>
      <c r="RFP240" s="181">
        <v>14349</v>
      </c>
      <c r="RFQ240" s="181">
        <v>14350</v>
      </c>
      <c r="RFR240" s="181">
        <v>14351</v>
      </c>
      <c r="RFS240" s="181">
        <v>14352</v>
      </c>
      <c r="RFT240" s="181">
        <v>14353</v>
      </c>
      <c r="RFU240" s="181">
        <v>14354</v>
      </c>
      <c r="RFV240" s="181">
        <v>14355</v>
      </c>
      <c r="RFW240" s="181">
        <v>14356</v>
      </c>
      <c r="RFX240" s="181">
        <v>14357</v>
      </c>
      <c r="RFY240" s="181">
        <v>14358</v>
      </c>
      <c r="RFZ240" s="181">
        <v>14359</v>
      </c>
      <c r="RGA240" s="181">
        <v>14360</v>
      </c>
      <c r="RGB240" s="181">
        <v>14361</v>
      </c>
      <c r="RGC240" s="181">
        <v>14362</v>
      </c>
      <c r="RGD240" s="181">
        <v>14363</v>
      </c>
      <c r="RGE240" s="181">
        <v>14364</v>
      </c>
      <c r="RGF240" s="181">
        <v>14365</v>
      </c>
      <c r="RGG240" s="181">
        <v>14366</v>
      </c>
      <c r="RGH240" s="181">
        <v>14367</v>
      </c>
      <c r="RGI240" s="181">
        <v>14368</v>
      </c>
      <c r="RGJ240" s="181">
        <v>14369</v>
      </c>
      <c r="RGK240" s="181">
        <v>14370</v>
      </c>
      <c r="RGL240" s="181">
        <v>14371</v>
      </c>
      <c r="RGM240" s="181">
        <v>14372</v>
      </c>
      <c r="RGN240" s="181">
        <v>14373</v>
      </c>
      <c r="RGO240" s="181">
        <v>14374</v>
      </c>
      <c r="RGP240" s="181">
        <v>14375</v>
      </c>
      <c r="RGQ240" s="181">
        <v>14376</v>
      </c>
      <c r="RGR240" s="181">
        <v>14377</v>
      </c>
      <c r="RGS240" s="181">
        <v>14378</v>
      </c>
      <c r="RGT240" s="181">
        <v>14379</v>
      </c>
      <c r="RGU240" s="181">
        <v>14380</v>
      </c>
      <c r="RGV240" s="181">
        <v>14381</v>
      </c>
      <c r="RGW240" s="181">
        <v>14382</v>
      </c>
      <c r="RGX240" s="181">
        <v>14383</v>
      </c>
      <c r="RGY240" s="181">
        <v>14384</v>
      </c>
      <c r="RGZ240" s="181">
        <v>14385</v>
      </c>
      <c r="RHA240" s="181">
        <v>14386</v>
      </c>
      <c r="RHB240" s="181">
        <v>14387</v>
      </c>
      <c r="RHC240" s="181">
        <v>14388</v>
      </c>
      <c r="RHD240" s="181">
        <v>14389</v>
      </c>
      <c r="RHE240" s="181">
        <v>14390</v>
      </c>
      <c r="RHF240" s="181">
        <v>14391</v>
      </c>
      <c r="RHG240" s="181">
        <v>14392</v>
      </c>
      <c r="RHH240" s="181">
        <v>14393</v>
      </c>
      <c r="RHI240" s="181">
        <v>14394</v>
      </c>
      <c r="RHJ240" s="181">
        <v>14395</v>
      </c>
      <c r="RHK240" s="181">
        <v>14396</v>
      </c>
      <c r="RHL240" s="181">
        <v>14397</v>
      </c>
      <c r="RHM240" s="181">
        <v>14398</v>
      </c>
      <c r="RHN240" s="181">
        <v>14399</v>
      </c>
      <c r="RHO240" s="181">
        <v>14400</v>
      </c>
      <c r="RHP240" s="181">
        <v>14401</v>
      </c>
      <c r="RHQ240" s="181">
        <v>14402</v>
      </c>
      <c r="RHR240" s="181">
        <v>14403</v>
      </c>
      <c r="RHS240" s="181">
        <v>14404</v>
      </c>
      <c r="RHT240" s="181">
        <v>14405</v>
      </c>
      <c r="RHU240" s="181">
        <v>14406</v>
      </c>
      <c r="RHV240" s="181">
        <v>14407</v>
      </c>
      <c r="RHW240" s="181">
        <v>14408</v>
      </c>
      <c r="RHX240" s="181">
        <v>14409</v>
      </c>
      <c r="RHY240" s="181">
        <v>14410</v>
      </c>
      <c r="RHZ240" s="181">
        <v>14411</v>
      </c>
      <c r="RIA240" s="181">
        <v>14412</v>
      </c>
      <c r="RIB240" s="181">
        <v>14413</v>
      </c>
      <c r="RIC240" s="181">
        <v>14414</v>
      </c>
      <c r="RID240" s="181">
        <v>14415</v>
      </c>
      <c r="RIE240" s="181">
        <v>14416</v>
      </c>
      <c r="RIF240" s="181">
        <v>14417</v>
      </c>
      <c r="RIG240" s="181">
        <v>14418</v>
      </c>
      <c r="RIH240" s="181">
        <v>14419</v>
      </c>
      <c r="RII240" s="181">
        <v>14420</v>
      </c>
      <c r="RIJ240" s="181">
        <v>14421</v>
      </c>
      <c r="RIK240" s="181">
        <v>14422</v>
      </c>
      <c r="RIL240" s="181">
        <v>14423</v>
      </c>
      <c r="RIM240" s="181">
        <v>14424</v>
      </c>
      <c r="RIN240" s="181">
        <v>14425</v>
      </c>
      <c r="RIO240" s="181">
        <v>14426</v>
      </c>
      <c r="RIP240" s="181">
        <v>14427</v>
      </c>
      <c r="RIQ240" s="181">
        <v>14428</v>
      </c>
      <c r="RIR240" s="181">
        <v>14429</v>
      </c>
      <c r="RIS240" s="181">
        <v>14430</v>
      </c>
      <c r="RIT240" s="181">
        <v>14431</v>
      </c>
      <c r="RIU240" s="181">
        <v>14432</v>
      </c>
      <c r="RIV240" s="181">
        <v>14433</v>
      </c>
      <c r="RIW240" s="181">
        <v>14434</v>
      </c>
      <c r="RIX240" s="181">
        <v>14435</v>
      </c>
      <c r="RIY240" s="181">
        <v>14436</v>
      </c>
      <c r="RIZ240" s="181">
        <v>14437</v>
      </c>
      <c r="RJA240" s="181">
        <v>14438</v>
      </c>
      <c r="RJB240" s="181">
        <v>14439</v>
      </c>
      <c r="RJC240" s="181">
        <v>14440</v>
      </c>
      <c r="RJD240" s="181">
        <v>14441</v>
      </c>
      <c r="RJE240" s="181">
        <v>14442</v>
      </c>
      <c r="RJF240" s="181">
        <v>14443</v>
      </c>
      <c r="RJG240" s="181">
        <v>14444</v>
      </c>
      <c r="RJH240" s="181">
        <v>14445</v>
      </c>
      <c r="RJI240" s="181">
        <v>14446</v>
      </c>
      <c r="RJJ240" s="181">
        <v>14447</v>
      </c>
      <c r="RJK240" s="181">
        <v>14448</v>
      </c>
      <c r="RJL240" s="181">
        <v>14449</v>
      </c>
      <c r="RJM240" s="181">
        <v>14450</v>
      </c>
      <c r="RJN240" s="181">
        <v>14451</v>
      </c>
      <c r="RJO240" s="181">
        <v>14452</v>
      </c>
      <c r="RJP240" s="181">
        <v>14453</v>
      </c>
      <c r="RJQ240" s="181">
        <v>14454</v>
      </c>
      <c r="RJR240" s="181">
        <v>14455</v>
      </c>
      <c r="RJS240" s="181">
        <v>14456</v>
      </c>
      <c r="RJT240" s="181">
        <v>14457</v>
      </c>
      <c r="RJU240" s="181">
        <v>14458</v>
      </c>
      <c r="RJV240" s="181">
        <v>14459</v>
      </c>
      <c r="RJW240" s="181">
        <v>14460</v>
      </c>
      <c r="RJX240" s="181">
        <v>14461</v>
      </c>
      <c r="RJY240" s="181">
        <v>14462</v>
      </c>
      <c r="RJZ240" s="181">
        <v>14463</v>
      </c>
      <c r="RKA240" s="181">
        <v>14464</v>
      </c>
      <c r="RKB240" s="181">
        <v>14465</v>
      </c>
      <c r="RKC240" s="181">
        <v>14466</v>
      </c>
      <c r="RKD240" s="181">
        <v>14467</v>
      </c>
      <c r="RKE240" s="181">
        <v>14468</v>
      </c>
      <c r="RKF240" s="181">
        <v>14469</v>
      </c>
      <c r="RKG240" s="181">
        <v>14470</v>
      </c>
      <c r="RKH240" s="181">
        <v>14471</v>
      </c>
      <c r="RKI240" s="181">
        <v>14472</v>
      </c>
      <c r="RKJ240" s="181">
        <v>14473</v>
      </c>
      <c r="RKK240" s="181">
        <v>14474</v>
      </c>
      <c r="RKL240" s="181">
        <v>14475</v>
      </c>
      <c r="RKM240" s="181">
        <v>14476</v>
      </c>
      <c r="RKN240" s="181">
        <v>14477</v>
      </c>
      <c r="RKO240" s="181">
        <v>14478</v>
      </c>
      <c r="RKP240" s="181">
        <v>14479</v>
      </c>
      <c r="RKQ240" s="181">
        <v>14480</v>
      </c>
      <c r="RKR240" s="181">
        <v>14481</v>
      </c>
      <c r="RKS240" s="181">
        <v>14482</v>
      </c>
      <c r="RKT240" s="181">
        <v>14483</v>
      </c>
      <c r="RKU240" s="181">
        <v>14484</v>
      </c>
      <c r="RKV240" s="181">
        <v>14485</v>
      </c>
      <c r="RKW240" s="181">
        <v>14486</v>
      </c>
      <c r="RKX240" s="181">
        <v>14487</v>
      </c>
      <c r="RKY240" s="181">
        <v>14488</v>
      </c>
      <c r="RKZ240" s="181">
        <v>14489</v>
      </c>
      <c r="RLA240" s="181">
        <v>14490</v>
      </c>
      <c r="RLB240" s="181">
        <v>14491</v>
      </c>
      <c r="RLC240" s="181">
        <v>14492</v>
      </c>
      <c r="RLD240" s="181">
        <v>14493</v>
      </c>
      <c r="RLE240" s="181">
        <v>14494</v>
      </c>
      <c r="RLF240" s="181">
        <v>14495</v>
      </c>
      <c r="RLG240" s="181">
        <v>14496</v>
      </c>
      <c r="RLH240" s="181">
        <v>14497</v>
      </c>
      <c r="RLI240" s="181">
        <v>14498</v>
      </c>
      <c r="RLJ240" s="181">
        <v>14499</v>
      </c>
      <c r="RLK240" s="181">
        <v>14500</v>
      </c>
      <c r="RLL240" s="181">
        <v>14501</v>
      </c>
      <c r="RLM240" s="181">
        <v>14502</v>
      </c>
      <c r="RLN240" s="181">
        <v>14503</v>
      </c>
      <c r="RLO240" s="181">
        <v>14504</v>
      </c>
      <c r="RLP240" s="181">
        <v>14505</v>
      </c>
      <c r="RLQ240" s="181">
        <v>14506</v>
      </c>
      <c r="RLR240" s="181">
        <v>14507</v>
      </c>
      <c r="RLS240" s="181">
        <v>14508</v>
      </c>
      <c r="RLT240" s="181">
        <v>14509</v>
      </c>
      <c r="RLU240" s="181">
        <v>14510</v>
      </c>
      <c r="RLV240" s="181">
        <v>14511</v>
      </c>
      <c r="RLW240" s="181">
        <v>14512</v>
      </c>
      <c r="RLX240" s="181">
        <v>14513</v>
      </c>
      <c r="RLY240" s="181">
        <v>14514</v>
      </c>
      <c r="RLZ240" s="181">
        <v>14515</v>
      </c>
      <c r="RMA240" s="181">
        <v>14516</v>
      </c>
      <c r="RMB240" s="181">
        <v>14517</v>
      </c>
      <c r="RMC240" s="181">
        <v>14518</v>
      </c>
      <c r="RMD240" s="181">
        <v>14519</v>
      </c>
      <c r="RME240" s="181">
        <v>14520</v>
      </c>
      <c r="RMF240" s="181">
        <v>14521</v>
      </c>
      <c r="RMG240" s="181">
        <v>14522</v>
      </c>
      <c r="RMH240" s="181">
        <v>14523</v>
      </c>
      <c r="RMI240" s="181">
        <v>14524</v>
      </c>
      <c r="RMJ240" s="181">
        <v>14525</v>
      </c>
      <c r="RMK240" s="181">
        <v>14526</v>
      </c>
      <c r="RML240" s="181">
        <v>14527</v>
      </c>
      <c r="RMM240" s="181">
        <v>14528</v>
      </c>
      <c r="RMN240" s="181">
        <v>14529</v>
      </c>
      <c r="RMO240" s="181">
        <v>14530</v>
      </c>
      <c r="RMP240" s="181">
        <v>14531</v>
      </c>
      <c r="RMQ240" s="181">
        <v>14532</v>
      </c>
      <c r="RMR240" s="181">
        <v>14533</v>
      </c>
      <c r="RMS240" s="181">
        <v>14534</v>
      </c>
      <c r="RMT240" s="181">
        <v>14535</v>
      </c>
      <c r="RMU240" s="181">
        <v>14536</v>
      </c>
      <c r="RMV240" s="181">
        <v>14537</v>
      </c>
      <c r="RMW240" s="181">
        <v>14538</v>
      </c>
      <c r="RMX240" s="181">
        <v>14539</v>
      </c>
      <c r="RMY240" s="181">
        <v>14540</v>
      </c>
      <c r="RMZ240" s="181">
        <v>14541</v>
      </c>
      <c r="RNA240" s="181">
        <v>14542</v>
      </c>
      <c r="RNB240" s="181">
        <v>14543</v>
      </c>
      <c r="RNC240" s="181">
        <v>14544</v>
      </c>
      <c r="RND240" s="181">
        <v>14545</v>
      </c>
      <c r="RNE240" s="181">
        <v>14546</v>
      </c>
      <c r="RNF240" s="181">
        <v>14547</v>
      </c>
      <c r="RNG240" s="181">
        <v>14548</v>
      </c>
      <c r="RNH240" s="181">
        <v>14549</v>
      </c>
      <c r="RNI240" s="181">
        <v>14550</v>
      </c>
      <c r="RNJ240" s="181">
        <v>14551</v>
      </c>
      <c r="RNK240" s="181">
        <v>14552</v>
      </c>
      <c r="RNL240" s="181">
        <v>14553</v>
      </c>
      <c r="RNM240" s="181">
        <v>14554</v>
      </c>
      <c r="RNN240" s="181">
        <v>14555</v>
      </c>
      <c r="RNO240" s="181">
        <v>14556</v>
      </c>
      <c r="RNP240" s="181">
        <v>14557</v>
      </c>
      <c r="RNQ240" s="181">
        <v>14558</v>
      </c>
      <c r="RNR240" s="181">
        <v>14559</v>
      </c>
      <c r="RNS240" s="181">
        <v>14560</v>
      </c>
      <c r="RNT240" s="181">
        <v>14561</v>
      </c>
      <c r="RNU240" s="181">
        <v>14562</v>
      </c>
      <c r="RNV240" s="181">
        <v>14563</v>
      </c>
      <c r="RNW240" s="181">
        <v>14564</v>
      </c>
      <c r="RNX240" s="181">
        <v>14565</v>
      </c>
      <c r="RNY240" s="181">
        <v>14566</v>
      </c>
      <c r="RNZ240" s="181">
        <v>14567</v>
      </c>
      <c r="ROA240" s="181">
        <v>14568</v>
      </c>
      <c r="ROB240" s="181">
        <v>14569</v>
      </c>
      <c r="ROC240" s="181">
        <v>14570</v>
      </c>
      <c r="ROD240" s="181">
        <v>14571</v>
      </c>
      <c r="ROE240" s="181">
        <v>14572</v>
      </c>
      <c r="ROF240" s="181">
        <v>14573</v>
      </c>
      <c r="ROG240" s="181">
        <v>14574</v>
      </c>
      <c r="ROH240" s="181">
        <v>14575</v>
      </c>
      <c r="ROI240" s="181">
        <v>14576</v>
      </c>
      <c r="ROJ240" s="181">
        <v>14577</v>
      </c>
      <c r="ROK240" s="181">
        <v>14578</v>
      </c>
      <c r="ROL240" s="181">
        <v>14579</v>
      </c>
      <c r="ROM240" s="181">
        <v>14580</v>
      </c>
      <c r="RON240" s="181">
        <v>14581</v>
      </c>
      <c r="ROO240" s="181">
        <v>14582</v>
      </c>
      <c r="ROP240" s="181">
        <v>14583</v>
      </c>
      <c r="ROQ240" s="181">
        <v>14584</v>
      </c>
      <c r="ROR240" s="181">
        <v>14585</v>
      </c>
      <c r="ROS240" s="181">
        <v>14586</v>
      </c>
      <c r="ROT240" s="181">
        <v>14587</v>
      </c>
      <c r="ROU240" s="181">
        <v>14588</v>
      </c>
      <c r="ROV240" s="181">
        <v>14589</v>
      </c>
      <c r="ROW240" s="181">
        <v>14590</v>
      </c>
      <c r="ROX240" s="181">
        <v>14591</v>
      </c>
      <c r="ROY240" s="181">
        <v>14592</v>
      </c>
      <c r="ROZ240" s="181">
        <v>14593</v>
      </c>
      <c r="RPA240" s="181">
        <v>14594</v>
      </c>
      <c r="RPB240" s="181">
        <v>14595</v>
      </c>
      <c r="RPC240" s="181">
        <v>14596</v>
      </c>
      <c r="RPD240" s="181">
        <v>14597</v>
      </c>
      <c r="RPE240" s="181">
        <v>14598</v>
      </c>
      <c r="RPF240" s="181">
        <v>14599</v>
      </c>
      <c r="RPG240" s="181">
        <v>14600</v>
      </c>
      <c r="RPH240" s="181">
        <v>14601</v>
      </c>
      <c r="RPI240" s="181">
        <v>14602</v>
      </c>
      <c r="RPJ240" s="181">
        <v>14603</v>
      </c>
      <c r="RPK240" s="181">
        <v>14604</v>
      </c>
      <c r="RPL240" s="181">
        <v>14605</v>
      </c>
      <c r="RPM240" s="181">
        <v>14606</v>
      </c>
      <c r="RPN240" s="181">
        <v>14607</v>
      </c>
      <c r="RPO240" s="181">
        <v>14608</v>
      </c>
      <c r="RPP240" s="181">
        <v>14609</v>
      </c>
      <c r="RPQ240" s="181">
        <v>14610</v>
      </c>
      <c r="RPR240" s="181">
        <v>14611</v>
      </c>
      <c r="RPS240" s="181">
        <v>14612</v>
      </c>
      <c r="RPT240" s="181">
        <v>14613</v>
      </c>
      <c r="RPU240" s="181">
        <v>14614</v>
      </c>
      <c r="RPV240" s="181">
        <v>14615</v>
      </c>
      <c r="RPW240" s="181">
        <v>14616</v>
      </c>
      <c r="RPX240" s="181">
        <v>14617</v>
      </c>
      <c r="RPY240" s="181">
        <v>14618</v>
      </c>
      <c r="RPZ240" s="181">
        <v>14619</v>
      </c>
      <c r="RQA240" s="181">
        <v>14620</v>
      </c>
      <c r="RQB240" s="181">
        <v>14621</v>
      </c>
      <c r="RQC240" s="181">
        <v>14622</v>
      </c>
      <c r="RQD240" s="181">
        <v>14623</v>
      </c>
      <c r="RQE240" s="181">
        <v>14624</v>
      </c>
      <c r="RQF240" s="181">
        <v>14625</v>
      </c>
      <c r="RQG240" s="181">
        <v>14626</v>
      </c>
      <c r="RQH240" s="181">
        <v>14627</v>
      </c>
      <c r="RQI240" s="181">
        <v>14628</v>
      </c>
      <c r="RQJ240" s="181">
        <v>14629</v>
      </c>
      <c r="RQK240" s="181">
        <v>14630</v>
      </c>
      <c r="RQL240" s="181">
        <v>14631</v>
      </c>
      <c r="RQM240" s="181">
        <v>14632</v>
      </c>
      <c r="RQN240" s="181">
        <v>14633</v>
      </c>
      <c r="RQO240" s="181">
        <v>14634</v>
      </c>
      <c r="RQP240" s="181">
        <v>14635</v>
      </c>
      <c r="RQQ240" s="181">
        <v>14636</v>
      </c>
      <c r="RQR240" s="181">
        <v>14637</v>
      </c>
      <c r="RQS240" s="181">
        <v>14638</v>
      </c>
      <c r="RQT240" s="181">
        <v>14639</v>
      </c>
      <c r="RQU240" s="181">
        <v>14640</v>
      </c>
      <c r="RQV240" s="181">
        <v>14641</v>
      </c>
      <c r="RQW240" s="181">
        <v>14642</v>
      </c>
      <c r="RQX240" s="181">
        <v>14643</v>
      </c>
      <c r="RQY240" s="181">
        <v>14644</v>
      </c>
      <c r="RQZ240" s="181">
        <v>14645</v>
      </c>
      <c r="RRA240" s="181">
        <v>14646</v>
      </c>
      <c r="RRB240" s="181">
        <v>14647</v>
      </c>
      <c r="RRC240" s="181">
        <v>14648</v>
      </c>
      <c r="RRD240" s="181">
        <v>14649</v>
      </c>
      <c r="RRE240" s="181">
        <v>14650</v>
      </c>
      <c r="RRF240" s="181">
        <v>14651</v>
      </c>
      <c r="RRG240" s="181">
        <v>14652</v>
      </c>
      <c r="RRH240" s="181">
        <v>14653</v>
      </c>
      <c r="RRI240" s="181">
        <v>14654</v>
      </c>
      <c r="RRJ240" s="181">
        <v>14655</v>
      </c>
      <c r="RRK240" s="181">
        <v>14656</v>
      </c>
      <c r="RRL240" s="181">
        <v>14657</v>
      </c>
      <c r="RRM240" s="181">
        <v>14658</v>
      </c>
      <c r="RRN240" s="181">
        <v>14659</v>
      </c>
      <c r="RRO240" s="181">
        <v>14660</v>
      </c>
      <c r="RRP240" s="181">
        <v>14661</v>
      </c>
      <c r="RRQ240" s="181">
        <v>14662</v>
      </c>
      <c r="RRR240" s="181">
        <v>14663</v>
      </c>
      <c r="RRS240" s="181">
        <v>14664</v>
      </c>
      <c r="RRT240" s="181">
        <v>14665</v>
      </c>
      <c r="RRU240" s="181">
        <v>14666</v>
      </c>
      <c r="RRV240" s="181">
        <v>14667</v>
      </c>
      <c r="RRW240" s="181">
        <v>14668</v>
      </c>
      <c r="RRX240" s="181">
        <v>14669</v>
      </c>
      <c r="RRY240" s="181">
        <v>14670</v>
      </c>
      <c r="RRZ240" s="181">
        <v>14671</v>
      </c>
      <c r="RSA240" s="181">
        <v>14672</v>
      </c>
      <c r="RSB240" s="181">
        <v>14673</v>
      </c>
      <c r="RSC240" s="181">
        <v>14674</v>
      </c>
      <c r="RSD240" s="181">
        <v>14675</v>
      </c>
      <c r="RSE240" s="181">
        <v>14676</v>
      </c>
      <c r="RSF240" s="181">
        <v>14677</v>
      </c>
      <c r="RSG240" s="181">
        <v>14678</v>
      </c>
      <c r="RSH240" s="181">
        <v>14679</v>
      </c>
      <c r="RSI240" s="181">
        <v>14680</v>
      </c>
      <c r="RSJ240" s="181">
        <v>14681</v>
      </c>
      <c r="RSK240" s="181">
        <v>14682</v>
      </c>
      <c r="RSL240" s="181">
        <v>14683</v>
      </c>
      <c r="RSM240" s="181">
        <v>14684</v>
      </c>
      <c r="RSN240" s="181">
        <v>14685</v>
      </c>
      <c r="RSO240" s="181">
        <v>14686</v>
      </c>
      <c r="RSP240" s="181">
        <v>14687</v>
      </c>
      <c r="RSQ240" s="181">
        <v>14688</v>
      </c>
      <c r="RSR240" s="181">
        <v>14689</v>
      </c>
      <c r="RSS240" s="181">
        <v>14690</v>
      </c>
      <c r="RST240" s="181">
        <v>14691</v>
      </c>
      <c r="RSU240" s="181">
        <v>14692</v>
      </c>
      <c r="RSV240" s="181">
        <v>14693</v>
      </c>
      <c r="RSW240" s="181">
        <v>14694</v>
      </c>
      <c r="RSX240" s="181">
        <v>14695</v>
      </c>
      <c r="RSY240" s="181">
        <v>14696</v>
      </c>
      <c r="RSZ240" s="181">
        <v>14697</v>
      </c>
      <c r="RTA240" s="181">
        <v>14698</v>
      </c>
      <c r="RTB240" s="181">
        <v>14699</v>
      </c>
      <c r="RTC240" s="181">
        <v>14700</v>
      </c>
      <c r="RTD240" s="181">
        <v>14701</v>
      </c>
      <c r="RTE240" s="181">
        <v>14702</v>
      </c>
      <c r="RTF240" s="181">
        <v>14703</v>
      </c>
      <c r="RTG240" s="181">
        <v>14704</v>
      </c>
      <c r="RTH240" s="181">
        <v>14705</v>
      </c>
      <c r="RTI240" s="181">
        <v>14706</v>
      </c>
      <c r="RTJ240" s="181">
        <v>14707</v>
      </c>
      <c r="RTK240" s="181">
        <v>14708</v>
      </c>
      <c r="RTL240" s="181">
        <v>14709</v>
      </c>
      <c r="RTM240" s="181">
        <v>14710</v>
      </c>
      <c r="RTN240" s="181">
        <v>14711</v>
      </c>
      <c r="RTO240" s="181">
        <v>14712</v>
      </c>
      <c r="RTP240" s="181">
        <v>14713</v>
      </c>
      <c r="RTQ240" s="181">
        <v>14714</v>
      </c>
      <c r="RTR240" s="181">
        <v>14715</v>
      </c>
      <c r="RTS240" s="181">
        <v>14716</v>
      </c>
      <c r="RTT240" s="181">
        <v>14717</v>
      </c>
      <c r="RTU240" s="181">
        <v>14718</v>
      </c>
      <c r="RTV240" s="181">
        <v>14719</v>
      </c>
      <c r="RTW240" s="181">
        <v>14720</v>
      </c>
      <c r="RTX240" s="181">
        <v>14721</v>
      </c>
      <c r="RTY240" s="181">
        <v>14722</v>
      </c>
      <c r="RTZ240" s="181">
        <v>14723</v>
      </c>
      <c r="RUA240" s="181">
        <v>14724</v>
      </c>
      <c r="RUB240" s="181">
        <v>14725</v>
      </c>
      <c r="RUC240" s="181">
        <v>14726</v>
      </c>
      <c r="RUD240" s="181">
        <v>14727</v>
      </c>
      <c r="RUE240" s="181">
        <v>14728</v>
      </c>
      <c r="RUF240" s="181">
        <v>14729</v>
      </c>
      <c r="RUG240" s="181">
        <v>14730</v>
      </c>
      <c r="RUH240" s="181">
        <v>14731</v>
      </c>
      <c r="RUI240" s="181">
        <v>14732</v>
      </c>
      <c r="RUJ240" s="181">
        <v>14733</v>
      </c>
      <c r="RUK240" s="181">
        <v>14734</v>
      </c>
      <c r="RUL240" s="181">
        <v>14735</v>
      </c>
      <c r="RUM240" s="181">
        <v>14736</v>
      </c>
      <c r="RUN240" s="181">
        <v>14737</v>
      </c>
      <c r="RUO240" s="181">
        <v>14738</v>
      </c>
      <c r="RUP240" s="181">
        <v>14739</v>
      </c>
      <c r="RUQ240" s="181">
        <v>14740</v>
      </c>
      <c r="RUR240" s="181">
        <v>14741</v>
      </c>
      <c r="RUS240" s="181">
        <v>14742</v>
      </c>
      <c r="RUT240" s="181">
        <v>14743</v>
      </c>
      <c r="RUU240" s="181">
        <v>14744</v>
      </c>
      <c r="RUV240" s="181">
        <v>14745</v>
      </c>
      <c r="RUW240" s="181">
        <v>14746</v>
      </c>
      <c r="RUX240" s="181">
        <v>14747</v>
      </c>
      <c r="RUY240" s="181">
        <v>14748</v>
      </c>
      <c r="RUZ240" s="181">
        <v>14749</v>
      </c>
      <c r="RVA240" s="181">
        <v>14750</v>
      </c>
      <c r="RVB240" s="181">
        <v>14751</v>
      </c>
      <c r="RVC240" s="181">
        <v>14752</v>
      </c>
      <c r="RVD240" s="181">
        <v>14753</v>
      </c>
      <c r="RVE240" s="181">
        <v>14754</v>
      </c>
      <c r="RVF240" s="181">
        <v>14755</v>
      </c>
      <c r="RVG240" s="181">
        <v>14756</v>
      </c>
      <c r="RVH240" s="181">
        <v>14757</v>
      </c>
      <c r="RVI240" s="181">
        <v>14758</v>
      </c>
      <c r="RVJ240" s="181">
        <v>14759</v>
      </c>
      <c r="RVK240" s="181">
        <v>14760</v>
      </c>
      <c r="RVL240" s="181">
        <v>14761</v>
      </c>
      <c r="RVM240" s="181">
        <v>14762</v>
      </c>
      <c r="RVN240" s="181">
        <v>14763</v>
      </c>
      <c r="RVO240" s="181">
        <v>14764</v>
      </c>
      <c r="RVP240" s="181">
        <v>14765</v>
      </c>
      <c r="RVQ240" s="181">
        <v>14766</v>
      </c>
      <c r="RVR240" s="181">
        <v>14767</v>
      </c>
      <c r="RVS240" s="181">
        <v>14768</v>
      </c>
      <c r="RVT240" s="181">
        <v>14769</v>
      </c>
      <c r="RVU240" s="181">
        <v>14770</v>
      </c>
      <c r="RVV240" s="181">
        <v>14771</v>
      </c>
      <c r="RVW240" s="181">
        <v>14772</v>
      </c>
      <c r="RVX240" s="181">
        <v>14773</v>
      </c>
      <c r="RVY240" s="181">
        <v>14774</v>
      </c>
      <c r="RVZ240" s="181">
        <v>14775</v>
      </c>
      <c r="RWA240" s="181">
        <v>14776</v>
      </c>
      <c r="RWB240" s="181">
        <v>14777</v>
      </c>
      <c r="RWC240" s="181">
        <v>14778</v>
      </c>
      <c r="RWD240" s="181">
        <v>14779</v>
      </c>
      <c r="RWE240" s="181">
        <v>14780</v>
      </c>
      <c r="RWF240" s="181">
        <v>14781</v>
      </c>
      <c r="RWG240" s="181">
        <v>14782</v>
      </c>
      <c r="RWH240" s="181">
        <v>14783</v>
      </c>
      <c r="RWI240" s="181">
        <v>14784</v>
      </c>
      <c r="RWJ240" s="181">
        <v>14785</v>
      </c>
      <c r="RWK240" s="181">
        <v>14786</v>
      </c>
      <c r="RWL240" s="181">
        <v>14787</v>
      </c>
      <c r="RWM240" s="181">
        <v>14788</v>
      </c>
      <c r="RWN240" s="181">
        <v>14789</v>
      </c>
      <c r="RWO240" s="181">
        <v>14790</v>
      </c>
      <c r="RWP240" s="181">
        <v>14791</v>
      </c>
      <c r="RWQ240" s="181">
        <v>14792</v>
      </c>
      <c r="RWR240" s="181">
        <v>14793</v>
      </c>
      <c r="RWS240" s="181">
        <v>14794</v>
      </c>
      <c r="RWT240" s="181">
        <v>14795</v>
      </c>
      <c r="RWU240" s="181">
        <v>14796</v>
      </c>
      <c r="RWV240" s="181">
        <v>14797</v>
      </c>
      <c r="RWW240" s="181">
        <v>14798</v>
      </c>
      <c r="RWX240" s="181">
        <v>14799</v>
      </c>
      <c r="RWY240" s="181">
        <v>14800</v>
      </c>
      <c r="RWZ240" s="181">
        <v>14801</v>
      </c>
      <c r="RXA240" s="181">
        <v>14802</v>
      </c>
      <c r="RXB240" s="181">
        <v>14803</v>
      </c>
      <c r="RXC240" s="181">
        <v>14804</v>
      </c>
      <c r="RXD240" s="181">
        <v>14805</v>
      </c>
      <c r="RXE240" s="181">
        <v>14806</v>
      </c>
      <c r="RXF240" s="181">
        <v>14807</v>
      </c>
      <c r="RXG240" s="181">
        <v>14808</v>
      </c>
      <c r="RXH240" s="181">
        <v>14809</v>
      </c>
      <c r="RXI240" s="181">
        <v>14810</v>
      </c>
      <c r="RXJ240" s="181">
        <v>14811</v>
      </c>
      <c r="RXK240" s="181">
        <v>14812</v>
      </c>
      <c r="RXL240" s="181">
        <v>14813</v>
      </c>
      <c r="RXM240" s="181">
        <v>14814</v>
      </c>
      <c r="RXN240" s="181">
        <v>14815</v>
      </c>
      <c r="RXO240" s="181">
        <v>14816</v>
      </c>
      <c r="RXP240" s="181">
        <v>14817</v>
      </c>
      <c r="RXQ240" s="181">
        <v>14818</v>
      </c>
      <c r="RXR240" s="181">
        <v>14819</v>
      </c>
      <c r="RXS240" s="181">
        <v>14820</v>
      </c>
      <c r="RXT240" s="181">
        <v>14821</v>
      </c>
      <c r="RXU240" s="181">
        <v>14822</v>
      </c>
      <c r="RXV240" s="181">
        <v>14823</v>
      </c>
      <c r="RXW240" s="181">
        <v>14824</v>
      </c>
      <c r="RXX240" s="181">
        <v>14825</v>
      </c>
      <c r="RXY240" s="181">
        <v>14826</v>
      </c>
      <c r="RXZ240" s="181">
        <v>14827</v>
      </c>
      <c r="RYA240" s="181">
        <v>14828</v>
      </c>
      <c r="RYB240" s="181">
        <v>14829</v>
      </c>
      <c r="RYC240" s="181">
        <v>14830</v>
      </c>
      <c r="RYD240" s="181">
        <v>14831</v>
      </c>
      <c r="RYE240" s="181">
        <v>14832</v>
      </c>
      <c r="RYF240" s="181">
        <v>14833</v>
      </c>
      <c r="RYG240" s="181">
        <v>14834</v>
      </c>
      <c r="RYH240" s="181">
        <v>14835</v>
      </c>
      <c r="RYI240" s="181">
        <v>14836</v>
      </c>
      <c r="RYJ240" s="181">
        <v>14837</v>
      </c>
      <c r="RYK240" s="181">
        <v>14838</v>
      </c>
      <c r="RYL240" s="181">
        <v>14839</v>
      </c>
      <c r="RYM240" s="181">
        <v>14840</v>
      </c>
      <c r="RYN240" s="181">
        <v>14841</v>
      </c>
      <c r="RYO240" s="181">
        <v>14842</v>
      </c>
      <c r="RYP240" s="181">
        <v>14843</v>
      </c>
      <c r="RYQ240" s="181">
        <v>14844</v>
      </c>
      <c r="RYR240" s="181">
        <v>14845</v>
      </c>
      <c r="RYS240" s="181">
        <v>14846</v>
      </c>
      <c r="RYT240" s="181">
        <v>14847</v>
      </c>
      <c r="RYU240" s="181">
        <v>14848</v>
      </c>
      <c r="RYV240" s="181">
        <v>14849</v>
      </c>
      <c r="RYW240" s="181">
        <v>14850</v>
      </c>
      <c r="RYX240" s="181">
        <v>14851</v>
      </c>
      <c r="RYY240" s="181">
        <v>14852</v>
      </c>
      <c r="RYZ240" s="181">
        <v>14853</v>
      </c>
      <c r="RZA240" s="181">
        <v>14854</v>
      </c>
      <c r="RZB240" s="181">
        <v>14855</v>
      </c>
      <c r="RZC240" s="181">
        <v>14856</v>
      </c>
      <c r="RZD240" s="181">
        <v>14857</v>
      </c>
      <c r="RZE240" s="181">
        <v>14858</v>
      </c>
      <c r="RZF240" s="181">
        <v>14859</v>
      </c>
      <c r="RZG240" s="181">
        <v>14860</v>
      </c>
      <c r="RZH240" s="181">
        <v>14861</v>
      </c>
      <c r="RZI240" s="181">
        <v>14862</v>
      </c>
      <c r="RZJ240" s="181">
        <v>14863</v>
      </c>
      <c r="RZK240" s="181">
        <v>14864</v>
      </c>
      <c r="RZL240" s="181">
        <v>14865</v>
      </c>
      <c r="RZM240" s="181">
        <v>14866</v>
      </c>
      <c r="RZN240" s="181">
        <v>14867</v>
      </c>
      <c r="RZO240" s="181">
        <v>14868</v>
      </c>
      <c r="RZP240" s="181">
        <v>14869</v>
      </c>
      <c r="RZQ240" s="181">
        <v>14870</v>
      </c>
      <c r="RZR240" s="181">
        <v>14871</v>
      </c>
      <c r="RZS240" s="181">
        <v>14872</v>
      </c>
      <c r="RZT240" s="181">
        <v>14873</v>
      </c>
      <c r="RZU240" s="181">
        <v>14874</v>
      </c>
      <c r="RZV240" s="181">
        <v>14875</v>
      </c>
      <c r="RZW240" s="181">
        <v>14876</v>
      </c>
      <c r="RZX240" s="181">
        <v>14877</v>
      </c>
      <c r="RZY240" s="181">
        <v>14878</v>
      </c>
      <c r="RZZ240" s="181">
        <v>14879</v>
      </c>
      <c r="SAA240" s="181">
        <v>14880</v>
      </c>
      <c r="SAB240" s="181">
        <v>14881</v>
      </c>
      <c r="SAC240" s="181">
        <v>14882</v>
      </c>
      <c r="SAD240" s="181">
        <v>14883</v>
      </c>
      <c r="SAE240" s="181">
        <v>14884</v>
      </c>
      <c r="SAF240" s="181">
        <v>14885</v>
      </c>
      <c r="SAG240" s="181">
        <v>14886</v>
      </c>
      <c r="SAH240" s="181">
        <v>14887</v>
      </c>
      <c r="SAI240" s="181">
        <v>14888</v>
      </c>
      <c r="SAJ240" s="181">
        <v>14889</v>
      </c>
      <c r="SAK240" s="181">
        <v>14890</v>
      </c>
      <c r="SAL240" s="181">
        <v>14891</v>
      </c>
      <c r="SAM240" s="181">
        <v>14892</v>
      </c>
      <c r="SAN240" s="181">
        <v>14893</v>
      </c>
      <c r="SAO240" s="181">
        <v>14894</v>
      </c>
      <c r="SAP240" s="181">
        <v>14895</v>
      </c>
      <c r="SAQ240" s="181">
        <v>14896</v>
      </c>
      <c r="SAR240" s="181">
        <v>14897</v>
      </c>
      <c r="SAS240" s="181">
        <v>14898</v>
      </c>
      <c r="SAT240" s="181">
        <v>14899</v>
      </c>
      <c r="SAU240" s="181">
        <v>14900</v>
      </c>
      <c r="SAV240" s="181">
        <v>14901</v>
      </c>
      <c r="SAW240" s="181">
        <v>14902</v>
      </c>
      <c r="SAX240" s="181">
        <v>14903</v>
      </c>
      <c r="SAY240" s="181">
        <v>14904</v>
      </c>
      <c r="SAZ240" s="181">
        <v>14905</v>
      </c>
      <c r="SBA240" s="181">
        <v>14906</v>
      </c>
      <c r="SBB240" s="181">
        <v>14907</v>
      </c>
      <c r="SBC240" s="181">
        <v>14908</v>
      </c>
      <c r="SBD240" s="181">
        <v>14909</v>
      </c>
      <c r="SBE240" s="181">
        <v>14910</v>
      </c>
      <c r="SBF240" s="181">
        <v>14911</v>
      </c>
      <c r="SBG240" s="181">
        <v>14912</v>
      </c>
      <c r="SBH240" s="181">
        <v>14913</v>
      </c>
      <c r="SBI240" s="181">
        <v>14914</v>
      </c>
      <c r="SBJ240" s="181">
        <v>14915</v>
      </c>
      <c r="SBK240" s="181">
        <v>14916</v>
      </c>
      <c r="SBL240" s="181">
        <v>14917</v>
      </c>
      <c r="SBM240" s="181">
        <v>14918</v>
      </c>
      <c r="SBN240" s="181">
        <v>14919</v>
      </c>
      <c r="SBO240" s="181">
        <v>14920</v>
      </c>
      <c r="SBP240" s="181">
        <v>14921</v>
      </c>
      <c r="SBQ240" s="181">
        <v>14922</v>
      </c>
      <c r="SBR240" s="181">
        <v>14923</v>
      </c>
      <c r="SBS240" s="181">
        <v>14924</v>
      </c>
      <c r="SBT240" s="181">
        <v>14925</v>
      </c>
      <c r="SBU240" s="181">
        <v>14926</v>
      </c>
      <c r="SBV240" s="181">
        <v>14927</v>
      </c>
      <c r="SBW240" s="181">
        <v>14928</v>
      </c>
      <c r="SBX240" s="181">
        <v>14929</v>
      </c>
      <c r="SBY240" s="181">
        <v>14930</v>
      </c>
      <c r="SBZ240" s="181">
        <v>14931</v>
      </c>
      <c r="SCA240" s="181">
        <v>14932</v>
      </c>
      <c r="SCB240" s="181">
        <v>14933</v>
      </c>
      <c r="SCC240" s="181">
        <v>14934</v>
      </c>
      <c r="SCD240" s="181">
        <v>14935</v>
      </c>
      <c r="SCE240" s="181">
        <v>14936</v>
      </c>
      <c r="SCF240" s="181">
        <v>14937</v>
      </c>
      <c r="SCG240" s="181">
        <v>14938</v>
      </c>
      <c r="SCH240" s="181">
        <v>14939</v>
      </c>
      <c r="SCI240" s="181">
        <v>14940</v>
      </c>
      <c r="SCJ240" s="181">
        <v>14941</v>
      </c>
      <c r="SCK240" s="181">
        <v>14942</v>
      </c>
      <c r="SCL240" s="181">
        <v>14943</v>
      </c>
      <c r="SCM240" s="181">
        <v>14944</v>
      </c>
      <c r="SCN240" s="181">
        <v>14945</v>
      </c>
      <c r="SCO240" s="181">
        <v>14946</v>
      </c>
      <c r="SCP240" s="181">
        <v>14947</v>
      </c>
      <c r="SCQ240" s="181">
        <v>14948</v>
      </c>
      <c r="SCR240" s="181">
        <v>14949</v>
      </c>
      <c r="SCS240" s="181">
        <v>14950</v>
      </c>
      <c r="SCT240" s="181">
        <v>14951</v>
      </c>
      <c r="SCU240" s="181">
        <v>14952</v>
      </c>
      <c r="SCV240" s="181">
        <v>14953</v>
      </c>
      <c r="SCW240" s="181">
        <v>14954</v>
      </c>
      <c r="SCX240" s="181">
        <v>14955</v>
      </c>
      <c r="SCY240" s="181">
        <v>14956</v>
      </c>
      <c r="SCZ240" s="181">
        <v>14957</v>
      </c>
      <c r="SDA240" s="181">
        <v>14958</v>
      </c>
      <c r="SDB240" s="181">
        <v>14959</v>
      </c>
      <c r="SDC240" s="181">
        <v>14960</v>
      </c>
      <c r="SDD240" s="181">
        <v>14961</v>
      </c>
      <c r="SDE240" s="181">
        <v>14962</v>
      </c>
      <c r="SDF240" s="181">
        <v>14963</v>
      </c>
      <c r="SDG240" s="181">
        <v>14964</v>
      </c>
      <c r="SDH240" s="181">
        <v>14965</v>
      </c>
      <c r="SDI240" s="181">
        <v>14966</v>
      </c>
      <c r="SDJ240" s="181">
        <v>14967</v>
      </c>
      <c r="SDK240" s="181">
        <v>14968</v>
      </c>
      <c r="SDL240" s="181">
        <v>14969</v>
      </c>
      <c r="SDM240" s="181">
        <v>14970</v>
      </c>
      <c r="SDN240" s="181">
        <v>14971</v>
      </c>
      <c r="SDO240" s="181">
        <v>14972</v>
      </c>
      <c r="SDP240" s="181">
        <v>14973</v>
      </c>
      <c r="SDQ240" s="181">
        <v>14974</v>
      </c>
      <c r="SDR240" s="181">
        <v>14975</v>
      </c>
      <c r="SDS240" s="181">
        <v>14976</v>
      </c>
      <c r="SDT240" s="181">
        <v>14977</v>
      </c>
      <c r="SDU240" s="181">
        <v>14978</v>
      </c>
      <c r="SDV240" s="181">
        <v>14979</v>
      </c>
      <c r="SDW240" s="181">
        <v>14980</v>
      </c>
      <c r="SDX240" s="181">
        <v>14981</v>
      </c>
      <c r="SDY240" s="181">
        <v>14982</v>
      </c>
      <c r="SDZ240" s="181">
        <v>14983</v>
      </c>
      <c r="SEA240" s="181">
        <v>14984</v>
      </c>
      <c r="SEB240" s="181">
        <v>14985</v>
      </c>
      <c r="SEC240" s="181">
        <v>14986</v>
      </c>
      <c r="SED240" s="181">
        <v>14987</v>
      </c>
      <c r="SEE240" s="181">
        <v>14988</v>
      </c>
      <c r="SEF240" s="181">
        <v>14989</v>
      </c>
      <c r="SEG240" s="181">
        <v>14990</v>
      </c>
      <c r="SEH240" s="181">
        <v>14991</v>
      </c>
      <c r="SEI240" s="181">
        <v>14992</v>
      </c>
      <c r="SEJ240" s="181">
        <v>14993</v>
      </c>
      <c r="SEK240" s="181">
        <v>14994</v>
      </c>
      <c r="SEL240" s="181">
        <v>14995</v>
      </c>
      <c r="SEM240" s="181">
        <v>14996</v>
      </c>
      <c r="SEN240" s="181">
        <v>14997</v>
      </c>
      <c r="SEO240" s="181">
        <v>14998</v>
      </c>
      <c r="SEP240" s="181">
        <v>14999</v>
      </c>
      <c r="SEQ240" s="181">
        <v>15000</v>
      </c>
      <c r="SER240" s="181">
        <v>15001</v>
      </c>
      <c r="SES240" s="181">
        <v>15002</v>
      </c>
      <c r="SET240" s="181">
        <v>15003</v>
      </c>
      <c r="SEU240" s="181">
        <v>15004</v>
      </c>
      <c r="SEV240" s="181">
        <v>15005</v>
      </c>
      <c r="SEW240" s="181">
        <v>15006</v>
      </c>
      <c r="SEX240" s="181">
        <v>15007</v>
      </c>
      <c r="SEY240" s="181">
        <v>15008</v>
      </c>
      <c r="SEZ240" s="181">
        <v>15009</v>
      </c>
      <c r="SFA240" s="181">
        <v>15010</v>
      </c>
      <c r="SFB240" s="181">
        <v>15011</v>
      </c>
      <c r="SFC240" s="181">
        <v>15012</v>
      </c>
      <c r="SFD240" s="181">
        <v>15013</v>
      </c>
      <c r="SFE240" s="181">
        <v>15014</v>
      </c>
      <c r="SFF240" s="181">
        <v>15015</v>
      </c>
      <c r="SFG240" s="181">
        <v>15016</v>
      </c>
      <c r="SFH240" s="181">
        <v>15017</v>
      </c>
      <c r="SFI240" s="181">
        <v>15018</v>
      </c>
      <c r="SFJ240" s="181">
        <v>15019</v>
      </c>
      <c r="SFK240" s="181">
        <v>15020</v>
      </c>
      <c r="SFL240" s="181">
        <v>15021</v>
      </c>
      <c r="SFM240" s="181">
        <v>15022</v>
      </c>
      <c r="SFN240" s="181">
        <v>15023</v>
      </c>
      <c r="SFO240" s="181">
        <v>15024</v>
      </c>
      <c r="SFP240" s="181">
        <v>15025</v>
      </c>
      <c r="SFQ240" s="181">
        <v>15026</v>
      </c>
      <c r="SFR240" s="181">
        <v>15027</v>
      </c>
      <c r="SFS240" s="181">
        <v>15028</v>
      </c>
      <c r="SFT240" s="181">
        <v>15029</v>
      </c>
      <c r="SFU240" s="181">
        <v>15030</v>
      </c>
      <c r="SFV240" s="181">
        <v>15031</v>
      </c>
      <c r="SFW240" s="181">
        <v>15032</v>
      </c>
      <c r="SFX240" s="181">
        <v>15033</v>
      </c>
      <c r="SFY240" s="181">
        <v>15034</v>
      </c>
      <c r="SFZ240" s="181">
        <v>15035</v>
      </c>
      <c r="SGA240" s="181">
        <v>15036</v>
      </c>
      <c r="SGB240" s="181">
        <v>15037</v>
      </c>
      <c r="SGC240" s="181">
        <v>15038</v>
      </c>
      <c r="SGD240" s="181">
        <v>15039</v>
      </c>
      <c r="SGE240" s="181">
        <v>15040</v>
      </c>
      <c r="SGF240" s="181">
        <v>15041</v>
      </c>
      <c r="SGG240" s="181">
        <v>15042</v>
      </c>
      <c r="SGH240" s="181">
        <v>15043</v>
      </c>
      <c r="SGI240" s="181">
        <v>15044</v>
      </c>
      <c r="SGJ240" s="181">
        <v>15045</v>
      </c>
      <c r="SGK240" s="181">
        <v>15046</v>
      </c>
      <c r="SGL240" s="181">
        <v>15047</v>
      </c>
      <c r="SGM240" s="181">
        <v>15048</v>
      </c>
      <c r="SGN240" s="181">
        <v>15049</v>
      </c>
      <c r="SGO240" s="181">
        <v>15050</v>
      </c>
      <c r="SGP240" s="181">
        <v>15051</v>
      </c>
      <c r="SGQ240" s="181">
        <v>15052</v>
      </c>
      <c r="SGR240" s="181">
        <v>15053</v>
      </c>
      <c r="SGS240" s="181">
        <v>15054</v>
      </c>
      <c r="SGT240" s="181">
        <v>15055</v>
      </c>
      <c r="SGU240" s="181">
        <v>15056</v>
      </c>
      <c r="SGV240" s="181">
        <v>15057</v>
      </c>
      <c r="SGW240" s="181">
        <v>15058</v>
      </c>
      <c r="SGX240" s="181">
        <v>15059</v>
      </c>
      <c r="SGY240" s="181">
        <v>15060</v>
      </c>
      <c r="SGZ240" s="181">
        <v>15061</v>
      </c>
      <c r="SHA240" s="181">
        <v>15062</v>
      </c>
      <c r="SHB240" s="181">
        <v>15063</v>
      </c>
      <c r="SHC240" s="181">
        <v>15064</v>
      </c>
      <c r="SHD240" s="181">
        <v>15065</v>
      </c>
      <c r="SHE240" s="181">
        <v>15066</v>
      </c>
      <c r="SHF240" s="181">
        <v>15067</v>
      </c>
      <c r="SHG240" s="181">
        <v>15068</v>
      </c>
      <c r="SHH240" s="181">
        <v>15069</v>
      </c>
      <c r="SHI240" s="181">
        <v>15070</v>
      </c>
      <c r="SHJ240" s="181">
        <v>15071</v>
      </c>
      <c r="SHK240" s="181">
        <v>15072</v>
      </c>
      <c r="SHL240" s="181">
        <v>15073</v>
      </c>
      <c r="SHM240" s="181">
        <v>15074</v>
      </c>
      <c r="SHN240" s="181">
        <v>15075</v>
      </c>
      <c r="SHO240" s="181">
        <v>15076</v>
      </c>
      <c r="SHP240" s="181">
        <v>15077</v>
      </c>
      <c r="SHQ240" s="181">
        <v>15078</v>
      </c>
      <c r="SHR240" s="181">
        <v>15079</v>
      </c>
      <c r="SHS240" s="181">
        <v>15080</v>
      </c>
      <c r="SHT240" s="181">
        <v>15081</v>
      </c>
      <c r="SHU240" s="181">
        <v>15082</v>
      </c>
      <c r="SHV240" s="181">
        <v>15083</v>
      </c>
      <c r="SHW240" s="181">
        <v>15084</v>
      </c>
      <c r="SHX240" s="181">
        <v>15085</v>
      </c>
      <c r="SHY240" s="181">
        <v>15086</v>
      </c>
      <c r="SHZ240" s="181">
        <v>15087</v>
      </c>
      <c r="SIA240" s="181">
        <v>15088</v>
      </c>
      <c r="SIB240" s="181">
        <v>15089</v>
      </c>
      <c r="SIC240" s="181">
        <v>15090</v>
      </c>
      <c r="SID240" s="181">
        <v>15091</v>
      </c>
      <c r="SIE240" s="181">
        <v>15092</v>
      </c>
      <c r="SIF240" s="181">
        <v>15093</v>
      </c>
      <c r="SIG240" s="181">
        <v>15094</v>
      </c>
      <c r="SIH240" s="181">
        <v>15095</v>
      </c>
      <c r="SII240" s="181">
        <v>15096</v>
      </c>
      <c r="SIJ240" s="181">
        <v>15097</v>
      </c>
      <c r="SIK240" s="181">
        <v>15098</v>
      </c>
      <c r="SIL240" s="181">
        <v>15099</v>
      </c>
      <c r="SIM240" s="181">
        <v>15100</v>
      </c>
      <c r="SIN240" s="181">
        <v>15101</v>
      </c>
      <c r="SIO240" s="181">
        <v>15102</v>
      </c>
      <c r="SIP240" s="181">
        <v>15103</v>
      </c>
      <c r="SIQ240" s="181">
        <v>15104</v>
      </c>
      <c r="SIR240" s="181">
        <v>15105</v>
      </c>
      <c r="SIS240" s="181">
        <v>15106</v>
      </c>
      <c r="SIT240" s="181">
        <v>15107</v>
      </c>
      <c r="SIU240" s="181">
        <v>15108</v>
      </c>
      <c r="SIV240" s="181">
        <v>15109</v>
      </c>
      <c r="SIW240" s="181">
        <v>15110</v>
      </c>
      <c r="SIX240" s="181">
        <v>15111</v>
      </c>
      <c r="SIY240" s="181">
        <v>15112</v>
      </c>
      <c r="SIZ240" s="181">
        <v>15113</v>
      </c>
      <c r="SJA240" s="181">
        <v>15114</v>
      </c>
      <c r="SJB240" s="181">
        <v>15115</v>
      </c>
      <c r="SJC240" s="181">
        <v>15116</v>
      </c>
      <c r="SJD240" s="181">
        <v>15117</v>
      </c>
      <c r="SJE240" s="181">
        <v>15118</v>
      </c>
      <c r="SJF240" s="181">
        <v>15119</v>
      </c>
      <c r="SJG240" s="181">
        <v>15120</v>
      </c>
      <c r="SJH240" s="181">
        <v>15121</v>
      </c>
      <c r="SJI240" s="181">
        <v>15122</v>
      </c>
      <c r="SJJ240" s="181">
        <v>15123</v>
      </c>
      <c r="SJK240" s="181">
        <v>15124</v>
      </c>
      <c r="SJL240" s="181">
        <v>15125</v>
      </c>
      <c r="SJM240" s="181">
        <v>15126</v>
      </c>
      <c r="SJN240" s="181">
        <v>15127</v>
      </c>
      <c r="SJO240" s="181">
        <v>15128</v>
      </c>
      <c r="SJP240" s="181">
        <v>15129</v>
      </c>
      <c r="SJQ240" s="181">
        <v>15130</v>
      </c>
      <c r="SJR240" s="181">
        <v>15131</v>
      </c>
      <c r="SJS240" s="181">
        <v>15132</v>
      </c>
      <c r="SJT240" s="181">
        <v>15133</v>
      </c>
      <c r="SJU240" s="181">
        <v>15134</v>
      </c>
      <c r="SJV240" s="181">
        <v>15135</v>
      </c>
      <c r="SJW240" s="181">
        <v>15136</v>
      </c>
      <c r="SJX240" s="181">
        <v>15137</v>
      </c>
      <c r="SJY240" s="181">
        <v>15138</v>
      </c>
      <c r="SJZ240" s="181">
        <v>15139</v>
      </c>
      <c r="SKA240" s="181">
        <v>15140</v>
      </c>
      <c r="SKB240" s="181">
        <v>15141</v>
      </c>
      <c r="SKC240" s="181">
        <v>15142</v>
      </c>
      <c r="SKD240" s="181">
        <v>15143</v>
      </c>
      <c r="SKE240" s="181">
        <v>15144</v>
      </c>
      <c r="SKF240" s="181">
        <v>15145</v>
      </c>
      <c r="SKG240" s="181">
        <v>15146</v>
      </c>
      <c r="SKH240" s="181">
        <v>15147</v>
      </c>
      <c r="SKI240" s="181">
        <v>15148</v>
      </c>
      <c r="SKJ240" s="181">
        <v>15149</v>
      </c>
      <c r="SKK240" s="181">
        <v>15150</v>
      </c>
      <c r="SKL240" s="181">
        <v>15151</v>
      </c>
      <c r="SKM240" s="181">
        <v>15152</v>
      </c>
      <c r="SKN240" s="181">
        <v>15153</v>
      </c>
      <c r="SKO240" s="181">
        <v>15154</v>
      </c>
      <c r="SKP240" s="181">
        <v>15155</v>
      </c>
      <c r="SKQ240" s="181">
        <v>15156</v>
      </c>
      <c r="SKR240" s="181">
        <v>15157</v>
      </c>
      <c r="SKS240" s="181">
        <v>15158</v>
      </c>
      <c r="SKT240" s="181">
        <v>15159</v>
      </c>
      <c r="SKU240" s="181">
        <v>15160</v>
      </c>
      <c r="SKV240" s="181">
        <v>15161</v>
      </c>
      <c r="SKW240" s="181">
        <v>15162</v>
      </c>
      <c r="SKX240" s="181">
        <v>15163</v>
      </c>
      <c r="SKY240" s="181">
        <v>15164</v>
      </c>
      <c r="SKZ240" s="181">
        <v>15165</v>
      </c>
      <c r="SLA240" s="181">
        <v>15166</v>
      </c>
      <c r="SLB240" s="181">
        <v>15167</v>
      </c>
      <c r="SLC240" s="181">
        <v>15168</v>
      </c>
      <c r="SLD240" s="181">
        <v>15169</v>
      </c>
      <c r="SLE240" s="181">
        <v>15170</v>
      </c>
      <c r="SLF240" s="181">
        <v>15171</v>
      </c>
      <c r="SLG240" s="181">
        <v>15172</v>
      </c>
      <c r="SLH240" s="181">
        <v>15173</v>
      </c>
      <c r="SLI240" s="181">
        <v>15174</v>
      </c>
      <c r="SLJ240" s="181">
        <v>15175</v>
      </c>
      <c r="SLK240" s="181">
        <v>15176</v>
      </c>
      <c r="SLL240" s="181">
        <v>15177</v>
      </c>
      <c r="SLM240" s="181">
        <v>15178</v>
      </c>
      <c r="SLN240" s="181">
        <v>15179</v>
      </c>
      <c r="SLO240" s="181">
        <v>15180</v>
      </c>
      <c r="SLP240" s="181">
        <v>15181</v>
      </c>
      <c r="SLQ240" s="181">
        <v>15182</v>
      </c>
      <c r="SLR240" s="181">
        <v>15183</v>
      </c>
      <c r="SLS240" s="181">
        <v>15184</v>
      </c>
      <c r="SLT240" s="181">
        <v>15185</v>
      </c>
      <c r="SLU240" s="181">
        <v>15186</v>
      </c>
      <c r="SLV240" s="181">
        <v>15187</v>
      </c>
      <c r="SLW240" s="181">
        <v>15188</v>
      </c>
      <c r="SLX240" s="181">
        <v>15189</v>
      </c>
      <c r="SLY240" s="181">
        <v>15190</v>
      </c>
      <c r="SLZ240" s="181">
        <v>15191</v>
      </c>
      <c r="SMA240" s="181">
        <v>15192</v>
      </c>
      <c r="SMB240" s="181">
        <v>15193</v>
      </c>
      <c r="SMC240" s="181">
        <v>15194</v>
      </c>
      <c r="SMD240" s="181">
        <v>15195</v>
      </c>
      <c r="SME240" s="181">
        <v>15196</v>
      </c>
      <c r="SMF240" s="181">
        <v>15197</v>
      </c>
      <c r="SMG240" s="181">
        <v>15198</v>
      </c>
      <c r="SMH240" s="181">
        <v>15199</v>
      </c>
      <c r="SMI240" s="181">
        <v>15200</v>
      </c>
      <c r="SMJ240" s="181">
        <v>15201</v>
      </c>
      <c r="SMK240" s="181">
        <v>15202</v>
      </c>
      <c r="SML240" s="181">
        <v>15203</v>
      </c>
      <c r="SMM240" s="181">
        <v>15204</v>
      </c>
      <c r="SMN240" s="181">
        <v>15205</v>
      </c>
      <c r="SMO240" s="181">
        <v>15206</v>
      </c>
      <c r="SMP240" s="181">
        <v>15207</v>
      </c>
      <c r="SMQ240" s="181">
        <v>15208</v>
      </c>
      <c r="SMR240" s="181">
        <v>15209</v>
      </c>
      <c r="SMS240" s="181">
        <v>15210</v>
      </c>
      <c r="SMT240" s="181">
        <v>15211</v>
      </c>
      <c r="SMU240" s="181">
        <v>15212</v>
      </c>
      <c r="SMV240" s="181">
        <v>15213</v>
      </c>
      <c r="SMW240" s="181">
        <v>15214</v>
      </c>
      <c r="SMX240" s="181">
        <v>15215</v>
      </c>
      <c r="SMY240" s="181">
        <v>15216</v>
      </c>
      <c r="SMZ240" s="181">
        <v>15217</v>
      </c>
      <c r="SNA240" s="181">
        <v>15218</v>
      </c>
      <c r="SNB240" s="181">
        <v>15219</v>
      </c>
      <c r="SNC240" s="181">
        <v>15220</v>
      </c>
      <c r="SND240" s="181">
        <v>15221</v>
      </c>
      <c r="SNE240" s="181">
        <v>15222</v>
      </c>
      <c r="SNF240" s="181">
        <v>15223</v>
      </c>
      <c r="SNG240" s="181">
        <v>15224</v>
      </c>
      <c r="SNH240" s="181">
        <v>15225</v>
      </c>
      <c r="SNI240" s="181">
        <v>15226</v>
      </c>
      <c r="SNJ240" s="181">
        <v>15227</v>
      </c>
      <c r="SNK240" s="181">
        <v>15228</v>
      </c>
      <c r="SNL240" s="181">
        <v>15229</v>
      </c>
      <c r="SNM240" s="181">
        <v>15230</v>
      </c>
      <c r="SNN240" s="181">
        <v>15231</v>
      </c>
      <c r="SNO240" s="181">
        <v>15232</v>
      </c>
      <c r="SNP240" s="181">
        <v>15233</v>
      </c>
      <c r="SNQ240" s="181">
        <v>15234</v>
      </c>
      <c r="SNR240" s="181">
        <v>15235</v>
      </c>
      <c r="SNS240" s="181">
        <v>15236</v>
      </c>
      <c r="SNT240" s="181">
        <v>15237</v>
      </c>
      <c r="SNU240" s="181">
        <v>15238</v>
      </c>
      <c r="SNV240" s="181">
        <v>15239</v>
      </c>
      <c r="SNW240" s="181">
        <v>15240</v>
      </c>
      <c r="SNX240" s="181">
        <v>15241</v>
      </c>
      <c r="SNY240" s="181">
        <v>15242</v>
      </c>
      <c r="SNZ240" s="181">
        <v>15243</v>
      </c>
      <c r="SOA240" s="181">
        <v>15244</v>
      </c>
      <c r="SOB240" s="181">
        <v>15245</v>
      </c>
      <c r="SOC240" s="181">
        <v>15246</v>
      </c>
      <c r="SOD240" s="181">
        <v>15247</v>
      </c>
      <c r="SOE240" s="181">
        <v>15248</v>
      </c>
      <c r="SOF240" s="181">
        <v>15249</v>
      </c>
      <c r="SOG240" s="181">
        <v>15250</v>
      </c>
      <c r="SOH240" s="181">
        <v>15251</v>
      </c>
      <c r="SOI240" s="181">
        <v>15252</v>
      </c>
      <c r="SOJ240" s="181">
        <v>15253</v>
      </c>
      <c r="SOK240" s="181">
        <v>15254</v>
      </c>
      <c r="SOL240" s="181">
        <v>15255</v>
      </c>
      <c r="SOM240" s="181">
        <v>15256</v>
      </c>
      <c r="SON240" s="181">
        <v>15257</v>
      </c>
      <c r="SOO240" s="181">
        <v>15258</v>
      </c>
      <c r="SOP240" s="181">
        <v>15259</v>
      </c>
      <c r="SOQ240" s="181">
        <v>15260</v>
      </c>
      <c r="SOR240" s="181">
        <v>15261</v>
      </c>
      <c r="SOS240" s="181">
        <v>15262</v>
      </c>
      <c r="SOT240" s="181">
        <v>15263</v>
      </c>
      <c r="SOU240" s="181">
        <v>15264</v>
      </c>
      <c r="SOV240" s="181">
        <v>15265</v>
      </c>
      <c r="SOW240" s="181">
        <v>15266</v>
      </c>
      <c r="SOX240" s="181">
        <v>15267</v>
      </c>
      <c r="SOY240" s="181">
        <v>15268</v>
      </c>
      <c r="SOZ240" s="181">
        <v>15269</v>
      </c>
      <c r="SPA240" s="181">
        <v>15270</v>
      </c>
      <c r="SPB240" s="181">
        <v>15271</v>
      </c>
      <c r="SPC240" s="181">
        <v>15272</v>
      </c>
      <c r="SPD240" s="181">
        <v>15273</v>
      </c>
      <c r="SPE240" s="181">
        <v>15274</v>
      </c>
      <c r="SPF240" s="181">
        <v>15275</v>
      </c>
      <c r="SPG240" s="181">
        <v>15276</v>
      </c>
      <c r="SPH240" s="181">
        <v>15277</v>
      </c>
      <c r="SPI240" s="181">
        <v>15278</v>
      </c>
      <c r="SPJ240" s="181">
        <v>15279</v>
      </c>
      <c r="SPK240" s="181">
        <v>15280</v>
      </c>
      <c r="SPL240" s="181">
        <v>15281</v>
      </c>
      <c r="SPM240" s="181">
        <v>15282</v>
      </c>
      <c r="SPN240" s="181">
        <v>15283</v>
      </c>
      <c r="SPO240" s="181">
        <v>15284</v>
      </c>
      <c r="SPP240" s="181">
        <v>15285</v>
      </c>
      <c r="SPQ240" s="181">
        <v>15286</v>
      </c>
      <c r="SPR240" s="181">
        <v>15287</v>
      </c>
      <c r="SPS240" s="181">
        <v>15288</v>
      </c>
      <c r="SPT240" s="181">
        <v>15289</v>
      </c>
      <c r="SPU240" s="181">
        <v>15290</v>
      </c>
      <c r="SPV240" s="181">
        <v>15291</v>
      </c>
      <c r="SPW240" s="181">
        <v>15292</v>
      </c>
      <c r="SPX240" s="181">
        <v>15293</v>
      </c>
      <c r="SPY240" s="181">
        <v>15294</v>
      </c>
      <c r="SPZ240" s="181">
        <v>15295</v>
      </c>
      <c r="SQA240" s="181">
        <v>15296</v>
      </c>
      <c r="SQB240" s="181">
        <v>15297</v>
      </c>
      <c r="SQC240" s="181">
        <v>15298</v>
      </c>
      <c r="SQD240" s="181">
        <v>15299</v>
      </c>
      <c r="SQE240" s="181">
        <v>15300</v>
      </c>
      <c r="SQF240" s="181">
        <v>15301</v>
      </c>
      <c r="SQG240" s="181">
        <v>15302</v>
      </c>
      <c r="SQH240" s="181">
        <v>15303</v>
      </c>
      <c r="SQI240" s="181">
        <v>15304</v>
      </c>
      <c r="SQJ240" s="181">
        <v>15305</v>
      </c>
      <c r="SQK240" s="181">
        <v>15306</v>
      </c>
      <c r="SQL240" s="181">
        <v>15307</v>
      </c>
      <c r="SQM240" s="181">
        <v>15308</v>
      </c>
      <c r="SQN240" s="181">
        <v>15309</v>
      </c>
      <c r="SQO240" s="181">
        <v>15310</v>
      </c>
      <c r="SQP240" s="181">
        <v>15311</v>
      </c>
      <c r="SQQ240" s="181">
        <v>15312</v>
      </c>
      <c r="SQR240" s="181">
        <v>15313</v>
      </c>
      <c r="SQS240" s="181">
        <v>15314</v>
      </c>
      <c r="SQT240" s="181">
        <v>15315</v>
      </c>
      <c r="SQU240" s="181">
        <v>15316</v>
      </c>
      <c r="SQV240" s="181">
        <v>15317</v>
      </c>
      <c r="SQW240" s="181">
        <v>15318</v>
      </c>
      <c r="SQX240" s="181">
        <v>15319</v>
      </c>
      <c r="SQY240" s="181">
        <v>15320</v>
      </c>
      <c r="SQZ240" s="181">
        <v>15321</v>
      </c>
      <c r="SRA240" s="181">
        <v>15322</v>
      </c>
      <c r="SRB240" s="181">
        <v>15323</v>
      </c>
      <c r="SRC240" s="181">
        <v>15324</v>
      </c>
      <c r="SRD240" s="181">
        <v>15325</v>
      </c>
      <c r="SRE240" s="181">
        <v>15326</v>
      </c>
      <c r="SRF240" s="181">
        <v>15327</v>
      </c>
      <c r="SRG240" s="181">
        <v>15328</v>
      </c>
      <c r="SRH240" s="181">
        <v>15329</v>
      </c>
      <c r="SRI240" s="181">
        <v>15330</v>
      </c>
      <c r="SRJ240" s="181">
        <v>15331</v>
      </c>
      <c r="SRK240" s="181">
        <v>15332</v>
      </c>
      <c r="SRL240" s="181">
        <v>15333</v>
      </c>
      <c r="SRM240" s="181">
        <v>15334</v>
      </c>
      <c r="SRN240" s="181">
        <v>15335</v>
      </c>
      <c r="SRO240" s="181">
        <v>15336</v>
      </c>
      <c r="SRP240" s="181">
        <v>15337</v>
      </c>
      <c r="SRQ240" s="181">
        <v>15338</v>
      </c>
      <c r="SRR240" s="181">
        <v>15339</v>
      </c>
      <c r="SRS240" s="181">
        <v>15340</v>
      </c>
      <c r="SRT240" s="181">
        <v>15341</v>
      </c>
      <c r="SRU240" s="181">
        <v>15342</v>
      </c>
      <c r="SRV240" s="181">
        <v>15343</v>
      </c>
      <c r="SRW240" s="181">
        <v>15344</v>
      </c>
      <c r="SRX240" s="181">
        <v>15345</v>
      </c>
      <c r="SRY240" s="181">
        <v>15346</v>
      </c>
      <c r="SRZ240" s="181">
        <v>15347</v>
      </c>
      <c r="SSA240" s="181">
        <v>15348</v>
      </c>
      <c r="SSB240" s="181">
        <v>15349</v>
      </c>
      <c r="SSC240" s="181">
        <v>15350</v>
      </c>
      <c r="SSD240" s="181">
        <v>15351</v>
      </c>
      <c r="SSE240" s="181">
        <v>15352</v>
      </c>
      <c r="SSF240" s="181">
        <v>15353</v>
      </c>
      <c r="SSG240" s="181">
        <v>15354</v>
      </c>
      <c r="SSH240" s="181">
        <v>15355</v>
      </c>
      <c r="SSI240" s="181">
        <v>15356</v>
      </c>
      <c r="SSJ240" s="181">
        <v>15357</v>
      </c>
      <c r="SSK240" s="181">
        <v>15358</v>
      </c>
      <c r="SSL240" s="181">
        <v>15359</v>
      </c>
      <c r="SSM240" s="181">
        <v>15360</v>
      </c>
      <c r="SSN240" s="181">
        <v>15361</v>
      </c>
      <c r="SSO240" s="181">
        <v>15362</v>
      </c>
      <c r="SSP240" s="181">
        <v>15363</v>
      </c>
      <c r="SSQ240" s="181">
        <v>15364</v>
      </c>
      <c r="SSR240" s="181">
        <v>15365</v>
      </c>
      <c r="SSS240" s="181">
        <v>15366</v>
      </c>
      <c r="SST240" s="181">
        <v>15367</v>
      </c>
      <c r="SSU240" s="181">
        <v>15368</v>
      </c>
      <c r="SSV240" s="181">
        <v>15369</v>
      </c>
      <c r="SSW240" s="181">
        <v>15370</v>
      </c>
      <c r="SSX240" s="181">
        <v>15371</v>
      </c>
      <c r="SSY240" s="181">
        <v>15372</v>
      </c>
      <c r="SSZ240" s="181">
        <v>15373</v>
      </c>
      <c r="STA240" s="181">
        <v>15374</v>
      </c>
      <c r="STB240" s="181">
        <v>15375</v>
      </c>
      <c r="STC240" s="181">
        <v>15376</v>
      </c>
      <c r="STD240" s="181">
        <v>15377</v>
      </c>
      <c r="STE240" s="181">
        <v>15378</v>
      </c>
      <c r="STF240" s="181">
        <v>15379</v>
      </c>
      <c r="STG240" s="181">
        <v>15380</v>
      </c>
      <c r="STH240" s="181">
        <v>15381</v>
      </c>
      <c r="STI240" s="181">
        <v>15382</v>
      </c>
      <c r="STJ240" s="181">
        <v>15383</v>
      </c>
      <c r="STK240" s="181">
        <v>15384</v>
      </c>
      <c r="STL240" s="181">
        <v>15385</v>
      </c>
      <c r="STM240" s="181">
        <v>15386</v>
      </c>
      <c r="STN240" s="181">
        <v>15387</v>
      </c>
      <c r="STO240" s="181">
        <v>15388</v>
      </c>
      <c r="STP240" s="181">
        <v>15389</v>
      </c>
      <c r="STQ240" s="181">
        <v>15390</v>
      </c>
      <c r="STR240" s="181">
        <v>15391</v>
      </c>
      <c r="STS240" s="181">
        <v>15392</v>
      </c>
      <c r="STT240" s="181">
        <v>15393</v>
      </c>
      <c r="STU240" s="181">
        <v>15394</v>
      </c>
      <c r="STV240" s="181">
        <v>15395</v>
      </c>
      <c r="STW240" s="181">
        <v>15396</v>
      </c>
      <c r="STX240" s="181">
        <v>15397</v>
      </c>
      <c r="STY240" s="181">
        <v>15398</v>
      </c>
      <c r="STZ240" s="181">
        <v>15399</v>
      </c>
      <c r="SUA240" s="181">
        <v>15400</v>
      </c>
      <c r="SUB240" s="181">
        <v>15401</v>
      </c>
      <c r="SUC240" s="181">
        <v>15402</v>
      </c>
      <c r="SUD240" s="181">
        <v>15403</v>
      </c>
      <c r="SUE240" s="181">
        <v>15404</v>
      </c>
      <c r="SUF240" s="181">
        <v>15405</v>
      </c>
      <c r="SUG240" s="181">
        <v>15406</v>
      </c>
      <c r="SUH240" s="181">
        <v>15407</v>
      </c>
      <c r="SUI240" s="181">
        <v>15408</v>
      </c>
      <c r="SUJ240" s="181">
        <v>15409</v>
      </c>
      <c r="SUK240" s="181">
        <v>15410</v>
      </c>
      <c r="SUL240" s="181">
        <v>15411</v>
      </c>
      <c r="SUM240" s="181">
        <v>15412</v>
      </c>
      <c r="SUN240" s="181">
        <v>15413</v>
      </c>
      <c r="SUO240" s="181">
        <v>15414</v>
      </c>
      <c r="SUP240" s="181">
        <v>15415</v>
      </c>
      <c r="SUQ240" s="181">
        <v>15416</v>
      </c>
      <c r="SUR240" s="181">
        <v>15417</v>
      </c>
      <c r="SUS240" s="181">
        <v>15418</v>
      </c>
      <c r="SUT240" s="181">
        <v>15419</v>
      </c>
      <c r="SUU240" s="181">
        <v>15420</v>
      </c>
      <c r="SUV240" s="181">
        <v>15421</v>
      </c>
      <c r="SUW240" s="181">
        <v>15422</v>
      </c>
      <c r="SUX240" s="181">
        <v>15423</v>
      </c>
      <c r="SUY240" s="181">
        <v>15424</v>
      </c>
      <c r="SUZ240" s="181">
        <v>15425</v>
      </c>
      <c r="SVA240" s="181">
        <v>15426</v>
      </c>
      <c r="SVB240" s="181">
        <v>15427</v>
      </c>
      <c r="SVC240" s="181">
        <v>15428</v>
      </c>
      <c r="SVD240" s="181">
        <v>15429</v>
      </c>
      <c r="SVE240" s="181">
        <v>15430</v>
      </c>
      <c r="SVF240" s="181">
        <v>15431</v>
      </c>
      <c r="SVG240" s="181">
        <v>15432</v>
      </c>
      <c r="SVH240" s="181">
        <v>15433</v>
      </c>
      <c r="SVI240" s="181">
        <v>15434</v>
      </c>
      <c r="SVJ240" s="181">
        <v>15435</v>
      </c>
      <c r="SVK240" s="181">
        <v>15436</v>
      </c>
      <c r="SVL240" s="181">
        <v>15437</v>
      </c>
      <c r="SVM240" s="181">
        <v>15438</v>
      </c>
      <c r="SVN240" s="181">
        <v>15439</v>
      </c>
      <c r="SVO240" s="181">
        <v>15440</v>
      </c>
      <c r="SVP240" s="181">
        <v>15441</v>
      </c>
      <c r="SVQ240" s="181">
        <v>15442</v>
      </c>
      <c r="SVR240" s="181">
        <v>15443</v>
      </c>
      <c r="SVS240" s="181">
        <v>15444</v>
      </c>
      <c r="SVT240" s="181">
        <v>15445</v>
      </c>
      <c r="SVU240" s="181">
        <v>15446</v>
      </c>
      <c r="SVV240" s="181">
        <v>15447</v>
      </c>
      <c r="SVW240" s="181">
        <v>15448</v>
      </c>
      <c r="SVX240" s="181">
        <v>15449</v>
      </c>
      <c r="SVY240" s="181">
        <v>15450</v>
      </c>
      <c r="SVZ240" s="181">
        <v>15451</v>
      </c>
      <c r="SWA240" s="181">
        <v>15452</v>
      </c>
      <c r="SWB240" s="181">
        <v>15453</v>
      </c>
      <c r="SWC240" s="181">
        <v>15454</v>
      </c>
      <c r="SWD240" s="181">
        <v>15455</v>
      </c>
      <c r="SWE240" s="181">
        <v>15456</v>
      </c>
      <c r="SWF240" s="181">
        <v>15457</v>
      </c>
      <c r="SWG240" s="181">
        <v>15458</v>
      </c>
      <c r="SWH240" s="181">
        <v>15459</v>
      </c>
      <c r="SWI240" s="181">
        <v>15460</v>
      </c>
      <c r="SWJ240" s="181">
        <v>15461</v>
      </c>
      <c r="SWK240" s="181">
        <v>15462</v>
      </c>
      <c r="SWL240" s="181">
        <v>15463</v>
      </c>
      <c r="SWM240" s="181">
        <v>15464</v>
      </c>
      <c r="SWN240" s="181">
        <v>15465</v>
      </c>
      <c r="SWO240" s="181">
        <v>15466</v>
      </c>
      <c r="SWP240" s="181">
        <v>15467</v>
      </c>
      <c r="SWQ240" s="181">
        <v>15468</v>
      </c>
      <c r="SWR240" s="181">
        <v>15469</v>
      </c>
      <c r="SWS240" s="181">
        <v>15470</v>
      </c>
      <c r="SWT240" s="181">
        <v>15471</v>
      </c>
      <c r="SWU240" s="181">
        <v>15472</v>
      </c>
      <c r="SWV240" s="181">
        <v>15473</v>
      </c>
      <c r="SWW240" s="181">
        <v>15474</v>
      </c>
      <c r="SWX240" s="181">
        <v>15475</v>
      </c>
      <c r="SWY240" s="181">
        <v>15476</v>
      </c>
      <c r="SWZ240" s="181">
        <v>15477</v>
      </c>
      <c r="SXA240" s="181">
        <v>15478</v>
      </c>
      <c r="SXB240" s="181">
        <v>15479</v>
      </c>
      <c r="SXC240" s="181">
        <v>15480</v>
      </c>
      <c r="SXD240" s="181">
        <v>15481</v>
      </c>
      <c r="SXE240" s="181">
        <v>15482</v>
      </c>
      <c r="SXF240" s="181">
        <v>15483</v>
      </c>
      <c r="SXG240" s="181">
        <v>15484</v>
      </c>
      <c r="SXH240" s="181">
        <v>15485</v>
      </c>
      <c r="SXI240" s="181">
        <v>15486</v>
      </c>
      <c r="SXJ240" s="181">
        <v>15487</v>
      </c>
      <c r="SXK240" s="181">
        <v>15488</v>
      </c>
      <c r="SXL240" s="181">
        <v>15489</v>
      </c>
      <c r="SXM240" s="181">
        <v>15490</v>
      </c>
      <c r="SXN240" s="181">
        <v>15491</v>
      </c>
      <c r="SXO240" s="181">
        <v>15492</v>
      </c>
      <c r="SXP240" s="181">
        <v>15493</v>
      </c>
      <c r="SXQ240" s="181">
        <v>15494</v>
      </c>
      <c r="SXR240" s="181">
        <v>15495</v>
      </c>
      <c r="SXS240" s="181">
        <v>15496</v>
      </c>
      <c r="SXT240" s="181">
        <v>15497</v>
      </c>
      <c r="SXU240" s="181">
        <v>15498</v>
      </c>
      <c r="SXV240" s="181">
        <v>15499</v>
      </c>
      <c r="SXW240" s="181">
        <v>15500</v>
      </c>
      <c r="SXX240" s="181">
        <v>15501</v>
      </c>
      <c r="SXY240" s="181">
        <v>15502</v>
      </c>
      <c r="SXZ240" s="181">
        <v>15503</v>
      </c>
      <c r="SYA240" s="181">
        <v>15504</v>
      </c>
      <c r="SYB240" s="181">
        <v>15505</v>
      </c>
      <c r="SYC240" s="181">
        <v>15506</v>
      </c>
      <c r="SYD240" s="181">
        <v>15507</v>
      </c>
      <c r="SYE240" s="181">
        <v>15508</v>
      </c>
      <c r="SYF240" s="181">
        <v>15509</v>
      </c>
      <c r="SYG240" s="181">
        <v>15510</v>
      </c>
      <c r="SYH240" s="181">
        <v>15511</v>
      </c>
      <c r="SYI240" s="181">
        <v>15512</v>
      </c>
      <c r="SYJ240" s="181">
        <v>15513</v>
      </c>
      <c r="SYK240" s="181">
        <v>15514</v>
      </c>
      <c r="SYL240" s="181">
        <v>15515</v>
      </c>
      <c r="SYM240" s="181">
        <v>15516</v>
      </c>
      <c r="SYN240" s="181">
        <v>15517</v>
      </c>
      <c r="SYO240" s="181">
        <v>15518</v>
      </c>
      <c r="SYP240" s="181">
        <v>15519</v>
      </c>
      <c r="SYQ240" s="181">
        <v>15520</v>
      </c>
      <c r="SYR240" s="181">
        <v>15521</v>
      </c>
      <c r="SYS240" s="181">
        <v>15522</v>
      </c>
      <c r="SYT240" s="181">
        <v>15523</v>
      </c>
      <c r="SYU240" s="181">
        <v>15524</v>
      </c>
      <c r="SYV240" s="181">
        <v>15525</v>
      </c>
      <c r="SYW240" s="181">
        <v>15526</v>
      </c>
      <c r="SYX240" s="181">
        <v>15527</v>
      </c>
      <c r="SYY240" s="181">
        <v>15528</v>
      </c>
      <c r="SYZ240" s="181">
        <v>15529</v>
      </c>
      <c r="SZA240" s="181">
        <v>15530</v>
      </c>
      <c r="SZB240" s="181">
        <v>15531</v>
      </c>
      <c r="SZC240" s="181">
        <v>15532</v>
      </c>
      <c r="SZD240" s="181">
        <v>15533</v>
      </c>
      <c r="SZE240" s="181">
        <v>15534</v>
      </c>
      <c r="SZF240" s="181">
        <v>15535</v>
      </c>
      <c r="SZG240" s="181">
        <v>15536</v>
      </c>
      <c r="SZH240" s="181">
        <v>15537</v>
      </c>
      <c r="SZI240" s="181">
        <v>15538</v>
      </c>
      <c r="SZJ240" s="181">
        <v>15539</v>
      </c>
      <c r="SZK240" s="181">
        <v>15540</v>
      </c>
      <c r="SZL240" s="181">
        <v>15541</v>
      </c>
      <c r="SZM240" s="181">
        <v>15542</v>
      </c>
      <c r="SZN240" s="181">
        <v>15543</v>
      </c>
      <c r="SZO240" s="181">
        <v>15544</v>
      </c>
      <c r="SZP240" s="181">
        <v>15545</v>
      </c>
      <c r="SZQ240" s="181">
        <v>15546</v>
      </c>
      <c r="SZR240" s="181">
        <v>15547</v>
      </c>
      <c r="SZS240" s="181">
        <v>15548</v>
      </c>
      <c r="SZT240" s="181">
        <v>15549</v>
      </c>
      <c r="SZU240" s="181">
        <v>15550</v>
      </c>
      <c r="SZV240" s="181">
        <v>15551</v>
      </c>
      <c r="SZW240" s="181">
        <v>15552</v>
      </c>
      <c r="SZX240" s="181">
        <v>15553</v>
      </c>
      <c r="SZY240" s="181">
        <v>15554</v>
      </c>
      <c r="SZZ240" s="181">
        <v>15555</v>
      </c>
      <c r="TAA240" s="181">
        <v>15556</v>
      </c>
      <c r="TAB240" s="181">
        <v>15557</v>
      </c>
      <c r="TAC240" s="181">
        <v>15558</v>
      </c>
      <c r="TAD240" s="181">
        <v>15559</v>
      </c>
      <c r="TAE240" s="181">
        <v>15560</v>
      </c>
      <c r="TAF240" s="181">
        <v>15561</v>
      </c>
      <c r="TAG240" s="181">
        <v>15562</v>
      </c>
      <c r="TAH240" s="181">
        <v>15563</v>
      </c>
      <c r="TAI240" s="181">
        <v>15564</v>
      </c>
      <c r="TAJ240" s="181">
        <v>15565</v>
      </c>
      <c r="TAK240" s="181">
        <v>15566</v>
      </c>
      <c r="TAL240" s="181">
        <v>15567</v>
      </c>
      <c r="TAM240" s="181">
        <v>15568</v>
      </c>
      <c r="TAN240" s="181">
        <v>15569</v>
      </c>
      <c r="TAO240" s="181">
        <v>15570</v>
      </c>
      <c r="TAP240" s="181">
        <v>15571</v>
      </c>
      <c r="TAQ240" s="181">
        <v>15572</v>
      </c>
      <c r="TAR240" s="181">
        <v>15573</v>
      </c>
      <c r="TAS240" s="181">
        <v>15574</v>
      </c>
      <c r="TAT240" s="181">
        <v>15575</v>
      </c>
      <c r="TAU240" s="181">
        <v>15576</v>
      </c>
      <c r="TAV240" s="181">
        <v>15577</v>
      </c>
      <c r="TAW240" s="181">
        <v>15578</v>
      </c>
      <c r="TAX240" s="181">
        <v>15579</v>
      </c>
      <c r="TAY240" s="181">
        <v>15580</v>
      </c>
      <c r="TAZ240" s="181">
        <v>15581</v>
      </c>
      <c r="TBA240" s="181">
        <v>15582</v>
      </c>
      <c r="TBB240" s="181">
        <v>15583</v>
      </c>
      <c r="TBC240" s="181">
        <v>15584</v>
      </c>
      <c r="TBD240" s="181">
        <v>15585</v>
      </c>
      <c r="TBE240" s="181">
        <v>15586</v>
      </c>
      <c r="TBF240" s="181">
        <v>15587</v>
      </c>
      <c r="TBG240" s="181">
        <v>15588</v>
      </c>
      <c r="TBH240" s="181">
        <v>15589</v>
      </c>
      <c r="TBI240" s="181">
        <v>15590</v>
      </c>
      <c r="TBJ240" s="181">
        <v>15591</v>
      </c>
      <c r="TBK240" s="181">
        <v>15592</v>
      </c>
      <c r="TBL240" s="181">
        <v>15593</v>
      </c>
      <c r="TBM240" s="181">
        <v>15594</v>
      </c>
      <c r="TBN240" s="181">
        <v>15595</v>
      </c>
      <c r="TBO240" s="181">
        <v>15596</v>
      </c>
      <c r="TBP240" s="181">
        <v>15597</v>
      </c>
      <c r="TBQ240" s="181">
        <v>15598</v>
      </c>
      <c r="TBR240" s="181">
        <v>15599</v>
      </c>
      <c r="TBS240" s="181">
        <v>15600</v>
      </c>
      <c r="TBT240" s="181">
        <v>15601</v>
      </c>
      <c r="TBU240" s="181">
        <v>15602</v>
      </c>
      <c r="TBV240" s="181">
        <v>15603</v>
      </c>
      <c r="TBW240" s="181">
        <v>15604</v>
      </c>
      <c r="TBX240" s="181">
        <v>15605</v>
      </c>
      <c r="TBY240" s="181">
        <v>15606</v>
      </c>
      <c r="TBZ240" s="181">
        <v>15607</v>
      </c>
      <c r="TCA240" s="181">
        <v>15608</v>
      </c>
      <c r="TCB240" s="181">
        <v>15609</v>
      </c>
      <c r="TCC240" s="181">
        <v>15610</v>
      </c>
      <c r="TCD240" s="181">
        <v>15611</v>
      </c>
      <c r="TCE240" s="181">
        <v>15612</v>
      </c>
      <c r="TCF240" s="181">
        <v>15613</v>
      </c>
      <c r="TCG240" s="181">
        <v>15614</v>
      </c>
      <c r="TCH240" s="181">
        <v>15615</v>
      </c>
      <c r="TCI240" s="181">
        <v>15616</v>
      </c>
      <c r="TCJ240" s="181">
        <v>15617</v>
      </c>
      <c r="TCK240" s="181">
        <v>15618</v>
      </c>
      <c r="TCL240" s="181">
        <v>15619</v>
      </c>
      <c r="TCM240" s="181">
        <v>15620</v>
      </c>
      <c r="TCN240" s="181">
        <v>15621</v>
      </c>
      <c r="TCO240" s="181">
        <v>15622</v>
      </c>
      <c r="TCP240" s="181">
        <v>15623</v>
      </c>
      <c r="TCQ240" s="181">
        <v>15624</v>
      </c>
      <c r="TCR240" s="181">
        <v>15625</v>
      </c>
      <c r="TCS240" s="181">
        <v>15626</v>
      </c>
      <c r="TCT240" s="181">
        <v>15627</v>
      </c>
      <c r="TCU240" s="181">
        <v>15628</v>
      </c>
      <c r="TCV240" s="181">
        <v>15629</v>
      </c>
      <c r="TCW240" s="181">
        <v>15630</v>
      </c>
      <c r="TCX240" s="181">
        <v>15631</v>
      </c>
      <c r="TCY240" s="181">
        <v>15632</v>
      </c>
      <c r="TCZ240" s="181">
        <v>15633</v>
      </c>
      <c r="TDA240" s="181">
        <v>15634</v>
      </c>
      <c r="TDB240" s="181">
        <v>15635</v>
      </c>
      <c r="TDC240" s="181">
        <v>15636</v>
      </c>
      <c r="TDD240" s="181">
        <v>15637</v>
      </c>
      <c r="TDE240" s="181">
        <v>15638</v>
      </c>
      <c r="TDF240" s="181">
        <v>15639</v>
      </c>
      <c r="TDG240" s="181">
        <v>15640</v>
      </c>
      <c r="TDH240" s="181">
        <v>15641</v>
      </c>
      <c r="TDI240" s="181">
        <v>15642</v>
      </c>
      <c r="TDJ240" s="181">
        <v>15643</v>
      </c>
      <c r="TDK240" s="181">
        <v>15644</v>
      </c>
      <c r="TDL240" s="181">
        <v>15645</v>
      </c>
      <c r="TDM240" s="181">
        <v>15646</v>
      </c>
      <c r="TDN240" s="181">
        <v>15647</v>
      </c>
      <c r="TDO240" s="181">
        <v>15648</v>
      </c>
      <c r="TDP240" s="181">
        <v>15649</v>
      </c>
      <c r="TDQ240" s="181">
        <v>15650</v>
      </c>
      <c r="TDR240" s="181">
        <v>15651</v>
      </c>
      <c r="TDS240" s="181">
        <v>15652</v>
      </c>
      <c r="TDT240" s="181">
        <v>15653</v>
      </c>
      <c r="TDU240" s="181">
        <v>15654</v>
      </c>
      <c r="TDV240" s="181">
        <v>15655</v>
      </c>
      <c r="TDW240" s="181">
        <v>15656</v>
      </c>
      <c r="TDX240" s="181">
        <v>15657</v>
      </c>
      <c r="TDY240" s="181">
        <v>15658</v>
      </c>
      <c r="TDZ240" s="181">
        <v>15659</v>
      </c>
      <c r="TEA240" s="181">
        <v>15660</v>
      </c>
      <c r="TEB240" s="181">
        <v>15661</v>
      </c>
      <c r="TEC240" s="181">
        <v>15662</v>
      </c>
      <c r="TED240" s="181">
        <v>15663</v>
      </c>
      <c r="TEE240" s="181">
        <v>15664</v>
      </c>
      <c r="TEF240" s="181">
        <v>15665</v>
      </c>
      <c r="TEG240" s="181">
        <v>15666</v>
      </c>
      <c r="TEH240" s="181">
        <v>15667</v>
      </c>
      <c r="TEI240" s="181">
        <v>15668</v>
      </c>
      <c r="TEJ240" s="181">
        <v>15669</v>
      </c>
      <c r="TEK240" s="181">
        <v>15670</v>
      </c>
      <c r="TEL240" s="181">
        <v>15671</v>
      </c>
      <c r="TEM240" s="181">
        <v>15672</v>
      </c>
      <c r="TEN240" s="181">
        <v>15673</v>
      </c>
      <c r="TEO240" s="181">
        <v>15674</v>
      </c>
      <c r="TEP240" s="181">
        <v>15675</v>
      </c>
      <c r="TEQ240" s="181">
        <v>15676</v>
      </c>
      <c r="TER240" s="181">
        <v>15677</v>
      </c>
      <c r="TES240" s="181">
        <v>15678</v>
      </c>
      <c r="TET240" s="181">
        <v>15679</v>
      </c>
      <c r="TEU240" s="181">
        <v>15680</v>
      </c>
      <c r="TEV240" s="181">
        <v>15681</v>
      </c>
      <c r="TEW240" s="181">
        <v>15682</v>
      </c>
      <c r="TEX240" s="181">
        <v>15683</v>
      </c>
      <c r="TEY240" s="181">
        <v>15684</v>
      </c>
      <c r="TEZ240" s="181">
        <v>15685</v>
      </c>
      <c r="TFA240" s="181">
        <v>15686</v>
      </c>
      <c r="TFB240" s="181">
        <v>15687</v>
      </c>
      <c r="TFC240" s="181">
        <v>15688</v>
      </c>
      <c r="TFD240" s="181">
        <v>15689</v>
      </c>
      <c r="TFE240" s="181">
        <v>15690</v>
      </c>
      <c r="TFF240" s="181">
        <v>15691</v>
      </c>
      <c r="TFG240" s="181">
        <v>15692</v>
      </c>
      <c r="TFH240" s="181">
        <v>15693</v>
      </c>
      <c r="TFI240" s="181">
        <v>15694</v>
      </c>
      <c r="TFJ240" s="181">
        <v>15695</v>
      </c>
      <c r="TFK240" s="181">
        <v>15696</v>
      </c>
      <c r="TFL240" s="181">
        <v>15697</v>
      </c>
      <c r="TFM240" s="181">
        <v>15698</v>
      </c>
      <c r="TFN240" s="181">
        <v>15699</v>
      </c>
      <c r="TFO240" s="181">
        <v>15700</v>
      </c>
      <c r="TFP240" s="181">
        <v>15701</v>
      </c>
      <c r="TFQ240" s="181">
        <v>15702</v>
      </c>
      <c r="TFR240" s="181">
        <v>15703</v>
      </c>
      <c r="TFS240" s="181">
        <v>15704</v>
      </c>
      <c r="TFT240" s="181">
        <v>15705</v>
      </c>
      <c r="TFU240" s="181">
        <v>15706</v>
      </c>
      <c r="TFV240" s="181">
        <v>15707</v>
      </c>
      <c r="TFW240" s="181">
        <v>15708</v>
      </c>
      <c r="TFX240" s="181">
        <v>15709</v>
      </c>
      <c r="TFY240" s="181">
        <v>15710</v>
      </c>
      <c r="TFZ240" s="181">
        <v>15711</v>
      </c>
      <c r="TGA240" s="181">
        <v>15712</v>
      </c>
      <c r="TGB240" s="181">
        <v>15713</v>
      </c>
      <c r="TGC240" s="181">
        <v>15714</v>
      </c>
      <c r="TGD240" s="181">
        <v>15715</v>
      </c>
      <c r="TGE240" s="181">
        <v>15716</v>
      </c>
      <c r="TGF240" s="181">
        <v>15717</v>
      </c>
      <c r="TGG240" s="181">
        <v>15718</v>
      </c>
      <c r="TGH240" s="181">
        <v>15719</v>
      </c>
      <c r="TGI240" s="181">
        <v>15720</v>
      </c>
      <c r="TGJ240" s="181">
        <v>15721</v>
      </c>
      <c r="TGK240" s="181">
        <v>15722</v>
      </c>
      <c r="TGL240" s="181">
        <v>15723</v>
      </c>
      <c r="TGM240" s="181">
        <v>15724</v>
      </c>
      <c r="TGN240" s="181">
        <v>15725</v>
      </c>
      <c r="TGO240" s="181">
        <v>15726</v>
      </c>
      <c r="TGP240" s="181">
        <v>15727</v>
      </c>
      <c r="TGQ240" s="181">
        <v>15728</v>
      </c>
      <c r="TGR240" s="181">
        <v>15729</v>
      </c>
      <c r="TGS240" s="181">
        <v>15730</v>
      </c>
      <c r="TGT240" s="181">
        <v>15731</v>
      </c>
      <c r="TGU240" s="181">
        <v>15732</v>
      </c>
      <c r="TGV240" s="181">
        <v>15733</v>
      </c>
      <c r="TGW240" s="181">
        <v>15734</v>
      </c>
      <c r="TGX240" s="181">
        <v>15735</v>
      </c>
      <c r="TGY240" s="181">
        <v>15736</v>
      </c>
      <c r="TGZ240" s="181">
        <v>15737</v>
      </c>
      <c r="THA240" s="181">
        <v>15738</v>
      </c>
      <c r="THB240" s="181">
        <v>15739</v>
      </c>
      <c r="THC240" s="181">
        <v>15740</v>
      </c>
      <c r="THD240" s="181">
        <v>15741</v>
      </c>
      <c r="THE240" s="181">
        <v>15742</v>
      </c>
      <c r="THF240" s="181">
        <v>15743</v>
      </c>
      <c r="THG240" s="181">
        <v>15744</v>
      </c>
      <c r="THH240" s="181">
        <v>15745</v>
      </c>
      <c r="THI240" s="181">
        <v>15746</v>
      </c>
      <c r="THJ240" s="181">
        <v>15747</v>
      </c>
      <c r="THK240" s="181">
        <v>15748</v>
      </c>
      <c r="THL240" s="181">
        <v>15749</v>
      </c>
      <c r="THM240" s="181">
        <v>15750</v>
      </c>
      <c r="THN240" s="181">
        <v>15751</v>
      </c>
      <c r="THO240" s="181">
        <v>15752</v>
      </c>
      <c r="THP240" s="181">
        <v>15753</v>
      </c>
      <c r="THQ240" s="181">
        <v>15754</v>
      </c>
      <c r="THR240" s="181">
        <v>15755</v>
      </c>
      <c r="THS240" s="181">
        <v>15756</v>
      </c>
      <c r="THT240" s="181">
        <v>15757</v>
      </c>
      <c r="THU240" s="181">
        <v>15758</v>
      </c>
      <c r="THV240" s="181">
        <v>15759</v>
      </c>
      <c r="THW240" s="181">
        <v>15760</v>
      </c>
      <c r="THX240" s="181">
        <v>15761</v>
      </c>
      <c r="THY240" s="181">
        <v>15762</v>
      </c>
      <c r="THZ240" s="181">
        <v>15763</v>
      </c>
      <c r="TIA240" s="181">
        <v>15764</v>
      </c>
      <c r="TIB240" s="181">
        <v>15765</v>
      </c>
      <c r="TIC240" s="181">
        <v>15766</v>
      </c>
      <c r="TID240" s="181">
        <v>15767</v>
      </c>
      <c r="TIE240" s="181">
        <v>15768</v>
      </c>
      <c r="TIF240" s="181">
        <v>15769</v>
      </c>
      <c r="TIG240" s="181">
        <v>15770</v>
      </c>
      <c r="TIH240" s="181">
        <v>15771</v>
      </c>
      <c r="TII240" s="181">
        <v>15772</v>
      </c>
      <c r="TIJ240" s="181">
        <v>15773</v>
      </c>
      <c r="TIK240" s="181">
        <v>15774</v>
      </c>
      <c r="TIL240" s="181">
        <v>15775</v>
      </c>
      <c r="TIM240" s="181">
        <v>15776</v>
      </c>
      <c r="TIN240" s="181">
        <v>15777</v>
      </c>
      <c r="TIO240" s="181">
        <v>15778</v>
      </c>
      <c r="TIP240" s="181">
        <v>15779</v>
      </c>
      <c r="TIQ240" s="181">
        <v>15780</v>
      </c>
      <c r="TIR240" s="181">
        <v>15781</v>
      </c>
      <c r="TIS240" s="181">
        <v>15782</v>
      </c>
      <c r="TIT240" s="181">
        <v>15783</v>
      </c>
      <c r="TIU240" s="181">
        <v>15784</v>
      </c>
      <c r="TIV240" s="181">
        <v>15785</v>
      </c>
      <c r="TIW240" s="181">
        <v>15786</v>
      </c>
      <c r="TIX240" s="181">
        <v>15787</v>
      </c>
      <c r="TIY240" s="181">
        <v>15788</v>
      </c>
      <c r="TIZ240" s="181">
        <v>15789</v>
      </c>
      <c r="TJA240" s="181">
        <v>15790</v>
      </c>
      <c r="TJB240" s="181">
        <v>15791</v>
      </c>
      <c r="TJC240" s="181">
        <v>15792</v>
      </c>
      <c r="TJD240" s="181">
        <v>15793</v>
      </c>
      <c r="TJE240" s="181">
        <v>15794</v>
      </c>
      <c r="TJF240" s="181">
        <v>15795</v>
      </c>
      <c r="TJG240" s="181">
        <v>15796</v>
      </c>
      <c r="TJH240" s="181">
        <v>15797</v>
      </c>
      <c r="TJI240" s="181">
        <v>15798</v>
      </c>
      <c r="TJJ240" s="181">
        <v>15799</v>
      </c>
      <c r="TJK240" s="181">
        <v>15800</v>
      </c>
      <c r="TJL240" s="181">
        <v>15801</v>
      </c>
      <c r="TJM240" s="181">
        <v>15802</v>
      </c>
      <c r="TJN240" s="181">
        <v>15803</v>
      </c>
      <c r="TJO240" s="181">
        <v>15804</v>
      </c>
      <c r="TJP240" s="181">
        <v>15805</v>
      </c>
      <c r="TJQ240" s="181">
        <v>15806</v>
      </c>
      <c r="TJR240" s="181">
        <v>15807</v>
      </c>
      <c r="TJS240" s="181">
        <v>15808</v>
      </c>
      <c r="TJT240" s="181">
        <v>15809</v>
      </c>
      <c r="TJU240" s="181">
        <v>15810</v>
      </c>
      <c r="TJV240" s="181">
        <v>15811</v>
      </c>
      <c r="TJW240" s="181">
        <v>15812</v>
      </c>
      <c r="TJX240" s="181">
        <v>15813</v>
      </c>
      <c r="TJY240" s="181">
        <v>15814</v>
      </c>
      <c r="TJZ240" s="181">
        <v>15815</v>
      </c>
      <c r="TKA240" s="181">
        <v>15816</v>
      </c>
      <c r="TKB240" s="181">
        <v>15817</v>
      </c>
      <c r="TKC240" s="181">
        <v>15818</v>
      </c>
      <c r="TKD240" s="181">
        <v>15819</v>
      </c>
      <c r="TKE240" s="181">
        <v>15820</v>
      </c>
      <c r="TKF240" s="181">
        <v>15821</v>
      </c>
      <c r="TKG240" s="181">
        <v>15822</v>
      </c>
      <c r="TKH240" s="181">
        <v>15823</v>
      </c>
      <c r="TKI240" s="181">
        <v>15824</v>
      </c>
      <c r="TKJ240" s="181">
        <v>15825</v>
      </c>
      <c r="TKK240" s="181">
        <v>15826</v>
      </c>
      <c r="TKL240" s="181">
        <v>15827</v>
      </c>
      <c r="TKM240" s="181">
        <v>15828</v>
      </c>
      <c r="TKN240" s="181">
        <v>15829</v>
      </c>
      <c r="TKO240" s="181">
        <v>15830</v>
      </c>
      <c r="TKP240" s="181">
        <v>15831</v>
      </c>
      <c r="TKQ240" s="181">
        <v>15832</v>
      </c>
      <c r="TKR240" s="181">
        <v>15833</v>
      </c>
      <c r="TKS240" s="181">
        <v>15834</v>
      </c>
      <c r="TKT240" s="181">
        <v>15835</v>
      </c>
      <c r="TKU240" s="181">
        <v>15836</v>
      </c>
      <c r="TKV240" s="181">
        <v>15837</v>
      </c>
      <c r="TKW240" s="181">
        <v>15838</v>
      </c>
      <c r="TKX240" s="181">
        <v>15839</v>
      </c>
      <c r="TKY240" s="181">
        <v>15840</v>
      </c>
      <c r="TKZ240" s="181">
        <v>15841</v>
      </c>
      <c r="TLA240" s="181">
        <v>15842</v>
      </c>
      <c r="TLB240" s="181">
        <v>15843</v>
      </c>
      <c r="TLC240" s="181">
        <v>15844</v>
      </c>
      <c r="TLD240" s="181">
        <v>15845</v>
      </c>
      <c r="TLE240" s="181">
        <v>15846</v>
      </c>
      <c r="TLF240" s="181">
        <v>15847</v>
      </c>
      <c r="TLG240" s="181">
        <v>15848</v>
      </c>
      <c r="TLH240" s="181">
        <v>15849</v>
      </c>
      <c r="TLI240" s="181">
        <v>15850</v>
      </c>
      <c r="TLJ240" s="181">
        <v>15851</v>
      </c>
      <c r="TLK240" s="181">
        <v>15852</v>
      </c>
      <c r="TLL240" s="181">
        <v>15853</v>
      </c>
      <c r="TLM240" s="181">
        <v>15854</v>
      </c>
      <c r="TLN240" s="181">
        <v>15855</v>
      </c>
      <c r="TLO240" s="181">
        <v>15856</v>
      </c>
      <c r="TLP240" s="181">
        <v>15857</v>
      </c>
      <c r="TLQ240" s="181">
        <v>15858</v>
      </c>
      <c r="TLR240" s="181">
        <v>15859</v>
      </c>
      <c r="TLS240" s="181">
        <v>15860</v>
      </c>
      <c r="TLT240" s="181">
        <v>15861</v>
      </c>
      <c r="TLU240" s="181">
        <v>15862</v>
      </c>
      <c r="TLV240" s="181">
        <v>15863</v>
      </c>
      <c r="TLW240" s="181">
        <v>15864</v>
      </c>
      <c r="TLX240" s="181">
        <v>15865</v>
      </c>
      <c r="TLY240" s="181">
        <v>15866</v>
      </c>
      <c r="TLZ240" s="181">
        <v>15867</v>
      </c>
      <c r="TMA240" s="181">
        <v>15868</v>
      </c>
      <c r="TMB240" s="181">
        <v>15869</v>
      </c>
      <c r="TMC240" s="181">
        <v>15870</v>
      </c>
      <c r="TMD240" s="181">
        <v>15871</v>
      </c>
      <c r="TME240" s="181">
        <v>15872</v>
      </c>
      <c r="TMF240" s="181">
        <v>15873</v>
      </c>
      <c r="TMG240" s="181">
        <v>15874</v>
      </c>
      <c r="TMH240" s="181">
        <v>15875</v>
      </c>
      <c r="TMI240" s="181">
        <v>15876</v>
      </c>
      <c r="TMJ240" s="181">
        <v>15877</v>
      </c>
      <c r="TMK240" s="181">
        <v>15878</v>
      </c>
      <c r="TML240" s="181">
        <v>15879</v>
      </c>
      <c r="TMM240" s="181">
        <v>15880</v>
      </c>
      <c r="TMN240" s="181">
        <v>15881</v>
      </c>
      <c r="TMO240" s="181">
        <v>15882</v>
      </c>
      <c r="TMP240" s="181">
        <v>15883</v>
      </c>
      <c r="TMQ240" s="181">
        <v>15884</v>
      </c>
      <c r="TMR240" s="181">
        <v>15885</v>
      </c>
      <c r="TMS240" s="181">
        <v>15886</v>
      </c>
      <c r="TMT240" s="181">
        <v>15887</v>
      </c>
      <c r="TMU240" s="181">
        <v>15888</v>
      </c>
      <c r="TMV240" s="181">
        <v>15889</v>
      </c>
      <c r="TMW240" s="181">
        <v>15890</v>
      </c>
      <c r="TMX240" s="181">
        <v>15891</v>
      </c>
      <c r="TMY240" s="181">
        <v>15892</v>
      </c>
      <c r="TMZ240" s="181">
        <v>15893</v>
      </c>
      <c r="TNA240" s="181">
        <v>15894</v>
      </c>
      <c r="TNB240" s="181">
        <v>15895</v>
      </c>
      <c r="TNC240" s="181">
        <v>15896</v>
      </c>
      <c r="TND240" s="181">
        <v>15897</v>
      </c>
      <c r="TNE240" s="181">
        <v>15898</v>
      </c>
      <c r="TNF240" s="181">
        <v>15899</v>
      </c>
      <c r="TNG240" s="181">
        <v>15900</v>
      </c>
      <c r="TNH240" s="181">
        <v>15901</v>
      </c>
      <c r="TNI240" s="181">
        <v>15902</v>
      </c>
      <c r="TNJ240" s="181">
        <v>15903</v>
      </c>
      <c r="TNK240" s="181">
        <v>15904</v>
      </c>
      <c r="TNL240" s="181">
        <v>15905</v>
      </c>
      <c r="TNM240" s="181">
        <v>15906</v>
      </c>
      <c r="TNN240" s="181">
        <v>15907</v>
      </c>
      <c r="TNO240" s="181">
        <v>15908</v>
      </c>
      <c r="TNP240" s="181">
        <v>15909</v>
      </c>
      <c r="TNQ240" s="181">
        <v>15910</v>
      </c>
      <c r="TNR240" s="181">
        <v>15911</v>
      </c>
      <c r="TNS240" s="181">
        <v>15912</v>
      </c>
      <c r="TNT240" s="181">
        <v>15913</v>
      </c>
      <c r="TNU240" s="181">
        <v>15914</v>
      </c>
      <c r="TNV240" s="181">
        <v>15915</v>
      </c>
      <c r="TNW240" s="181">
        <v>15916</v>
      </c>
      <c r="TNX240" s="181">
        <v>15917</v>
      </c>
      <c r="TNY240" s="181">
        <v>15918</v>
      </c>
      <c r="TNZ240" s="181">
        <v>15919</v>
      </c>
      <c r="TOA240" s="181">
        <v>15920</v>
      </c>
      <c r="TOB240" s="181">
        <v>15921</v>
      </c>
      <c r="TOC240" s="181">
        <v>15922</v>
      </c>
      <c r="TOD240" s="181">
        <v>15923</v>
      </c>
      <c r="TOE240" s="181">
        <v>15924</v>
      </c>
      <c r="TOF240" s="181">
        <v>15925</v>
      </c>
      <c r="TOG240" s="181">
        <v>15926</v>
      </c>
      <c r="TOH240" s="181">
        <v>15927</v>
      </c>
      <c r="TOI240" s="181">
        <v>15928</v>
      </c>
      <c r="TOJ240" s="181">
        <v>15929</v>
      </c>
      <c r="TOK240" s="181">
        <v>15930</v>
      </c>
      <c r="TOL240" s="181">
        <v>15931</v>
      </c>
      <c r="TOM240" s="181">
        <v>15932</v>
      </c>
      <c r="TON240" s="181">
        <v>15933</v>
      </c>
      <c r="TOO240" s="181">
        <v>15934</v>
      </c>
      <c r="TOP240" s="181">
        <v>15935</v>
      </c>
      <c r="TOQ240" s="181">
        <v>15936</v>
      </c>
      <c r="TOR240" s="181">
        <v>15937</v>
      </c>
      <c r="TOS240" s="181">
        <v>15938</v>
      </c>
      <c r="TOT240" s="181">
        <v>15939</v>
      </c>
      <c r="TOU240" s="181">
        <v>15940</v>
      </c>
      <c r="TOV240" s="181">
        <v>15941</v>
      </c>
      <c r="TOW240" s="181">
        <v>15942</v>
      </c>
      <c r="TOX240" s="181">
        <v>15943</v>
      </c>
      <c r="TOY240" s="181">
        <v>15944</v>
      </c>
      <c r="TOZ240" s="181">
        <v>15945</v>
      </c>
      <c r="TPA240" s="181">
        <v>15946</v>
      </c>
      <c r="TPB240" s="181">
        <v>15947</v>
      </c>
      <c r="TPC240" s="181">
        <v>15948</v>
      </c>
      <c r="TPD240" s="181">
        <v>15949</v>
      </c>
      <c r="TPE240" s="181">
        <v>15950</v>
      </c>
      <c r="TPF240" s="181">
        <v>15951</v>
      </c>
      <c r="TPG240" s="181">
        <v>15952</v>
      </c>
      <c r="TPH240" s="181">
        <v>15953</v>
      </c>
      <c r="TPI240" s="181">
        <v>15954</v>
      </c>
      <c r="TPJ240" s="181">
        <v>15955</v>
      </c>
      <c r="TPK240" s="181">
        <v>15956</v>
      </c>
      <c r="TPL240" s="181">
        <v>15957</v>
      </c>
      <c r="TPM240" s="181">
        <v>15958</v>
      </c>
      <c r="TPN240" s="181">
        <v>15959</v>
      </c>
      <c r="TPO240" s="181">
        <v>15960</v>
      </c>
      <c r="TPP240" s="181">
        <v>15961</v>
      </c>
      <c r="TPQ240" s="181">
        <v>15962</v>
      </c>
      <c r="TPR240" s="181">
        <v>15963</v>
      </c>
      <c r="TPS240" s="181">
        <v>15964</v>
      </c>
      <c r="TPT240" s="181">
        <v>15965</v>
      </c>
      <c r="TPU240" s="181">
        <v>15966</v>
      </c>
      <c r="TPV240" s="181">
        <v>15967</v>
      </c>
      <c r="TPW240" s="181">
        <v>15968</v>
      </c>
      <c r="TPX240" s="181">
        <v>15969</v>
      </c>
      <c r="TPY240" s="181">
        <v>15970</v>
      </c>
      <c r="TPZ240" s="181">
        <v>15971</v>
      </c>
      <c r="TQA240" s="181">
        <v>15972</v>
      </c>
      <c r="TQB240" s="181">
        <v>15973</v>
      </c>
      <c r="TQC240" s="181">
        <v>15974</v>
      </c>
      <c r="TQD240" s="181">
        <v>15975</v>
      </c>
      <c r="TQE240" s="181">
        <v>15976</v>
      </c>
      <c r="TQF240" s="181">
        <v>15977</v>
      </c>
      <c r="TQG240" s="181">
        <v>15978</v>
      </c>
      <c r="TQH240" s="181">
        <v>15979</v>
      </c>
      <c r="TQI240" s="181">
        <v>15980</v>
      </c>
      <c r="TQJ240" s="181">
        <v>15981</v>
      </c>
      <c r="TQK240" s="181">
        <v>15982</v>
      </c>
      <c r="TQL240" s="181">
        <v>15983</v>
      </c>
      <c r="TQM240" s="181">
        <v>15984</v>
      </c>
      <c r="TQN240" s="181">
        <v>15985</v>
      </c>
      <c r="TQO240" s="181">
        <v>15986</v>
      </c>
      <c r="TQP240" s="181">
        <v>15987</v>
      </c>
      <c r="TQQ240" s="181">
        <v>15988</v>
      </c>
      <c r="TQR240" s="181">
        <v>15989</v>
      </c>
      <c r="TQS240" s="181">
        <v>15990</v>
      </c>
      <c r="TQT240" s="181">
        <v>15991</v>
      </c>
      <c r="TQU240" s="181">
        <v>15992</v>
      </c>
      <c r="TQV240" s="181">
        <v>15993</v>
      </c>
      <c r="TQW240" s="181">
        <v>15994</v>
      </c>
      <c r="TQX240" s="181">
        <v>15995</v>
      </c>
      <c r="TQY240" s="181">
        <v>15996</v>
      </c>
      <c r="TQZ240" s="181">
        <v>15997</v>
      </c>
      <c r="TRA240" s="181">
        <v>15998</v>
      </c>
      <c r="TRB240" s="181">
        <v>15999</v>
      </c>
      <c r="TRC240" s="181">
        <v>16000</v>
      </c>
      <c r="TRD240" s="181">
        <v>16001</v>
      </c>
      <c r="TRE240" s="181">
        <v>16002</v>
      </c>
      <c r="TRF240" s="181">
        <v>16003</v>
      </c>
      <c r="TRG240" s="181">
        <v>16004</v>
      </c>
      <c r="TRH240" s="181">
        <v>16005</v>
      </c>
      <c r="TRI240" s="181">
        <v>16006</v>
      </c>
      <c r="TRJ240" s="181">
        <v>16007</v>
      </c>
      <c r="TRK240" s="181">
        <v>16008</v>
      </c>
      <c r="TRL240" s="181">
        <v>16009</v>
      </c>
      <c r="TRM240" s="181">
        <v>16010</v>
      </c>
      <c r="TRN240" s="181">
        <v>16011</v>
      </c>
      <c r="TRO240" s="181">
        <v>16012</v>
      </c>
      <c r="TRP240" s="181">
        <v>16013</v>
      </c>
      <c r="TRQ240" s="181">
        <v>16014</v>
      </c>
      <c r="TRR240" s="181">
        <v>16015</v>
      </c>
      <c r="TRS240" s="181">
        <v>16016</v>
      </c>
      <c r="TRT240" s="181">
        <v>16017</v>
      </c>
      <c r="TRU240" s="181">
        <v>16018</v>
      </c>
      <c r="TRV240" s="181">
        <v>16019</v>
      </c>
      <c r="TRW240" s="181">
        <v>16020</v>
      </c>
      <c r="TRX240" s="181">
        <v>16021</v>
      </c>
      <c r="TRY240" s="181">
        <v>16022</v>
      </c>
      <c r="TRZ240" s="181">
        <v>16023</v>
      </c>
      <c r="TSA240" s="181">
        <v>16024</v>
      </c>
      <c r="TSB240" s="181">
        <v>16025</v>
      </c>
      <c r="TSC240" s="181">
        <v>16026</v>
      </c>
      <c r="TSD240" s="181">
        <v>16027</v>
      </c>
      <c r="TSE240" s="181">
        <v>16028</v>
      </c>
      <c r="TSF240" s="181">
        <v>16029</v>
      </c>
      <c r="TSG240" s="181">
        <v>16030</v>
      </c>
      <c r="TSH240" s="181">
        <v>16031</v>
      </c>
      <c r="TSI240" s="181">
        <v>16032</v>
      </c>
      <c r="TSJ240" s="181">
        <v>16033</v>
      </c>
      <c r="TSK240" s="181">
        <v>16034</v>
      </c>
      <c r="TSL240" s="181">
        <v>16035</v>
      </c>
      <c r="TSM240" s="181">
        <v>16036</v>
      </c>
      <c r="TSN240" s="181">
        <v>16037</v>
      </c>
      <c r="TSO240" s="181">
        <v>16038</v>
      </c>
      <c r="TSP240" s="181">
        <v>16039</v>
      </c>
      <c r="TSQ240" s="181">
        <v>16040</v>
      </c>
      <c r="TSR240" s="181">
        <v>16041</v>
      </c>
      <c r="TSS240" s="181">
        <v>16042</v>
      </c>
      <c r="TST240" s="181">
        <v>16043</v>
      </c>
      <c r="TSU240" s="181">
        <v>16044</v>
      </c>
      <c r="TSV240" s="181">
        <v>16045</v>
      </c>
      <c r="TSW240" s="181">
        <v>16046</v>
      </c>
      <c r="TSX240" s="181">
        <v>16047</v>
      </c>
      <c r="TSY240" s="181">
        <v>16048</v>
      </c>
      <c r="TSZ240" s="181">
        <v>16049</v>
      </c>
      <c r="TTA240" s="181">
        <v>16050</v>
      </c>
      <c r="TTB240" s="181">
        <v>16051</v>
      </c>
      <c r="TTC240" s="181">
        <v>16052</v>
      </c>
      <c r="TTD240" s="181">
        <v>16053</v>
      </c>
      <c r="TTE240" s="181">
        <v>16054</v>
      </c>
      <c r="TTF240" s="181">
        <v>16055</v>
      </c>
      <c r="TTG240" s="181">
        <v>16056</v>
      </c>
      <c r="TTH240" s="181">
        <v>16057</v>
      </c>
      <c r="TTI240" s="181">
        <v>16058</v>
      </c>
      <c r="TTJ240" s="181">
        <v>16059</v>
      </c>
      <c r="TTK240" s="181">
        <v>16060</v>
      </c>
      <c r="TTL240" s="181">
        <v>16061</v>
      </c>
      <c r="TTM240" s="181">
        <v>16062</v>
      </c>
      <c r="TTN240" s="181">
        <v>16063</v>
      </c>
      <c r="TTO240" s="181">
        <v>16064</v>
      </c>
      <c r="TTP240" s="181">
        <v>16065</v>
      </c>
      <c r="TTQ240" s="181">
        <v>16066</v>
      </c>
      <c r="TTR240" s="181">
        <v>16067</v>
      </c>
      <c r="TTS240" s="181">
        <v>16068</v>
      </c>
      <c r="TTT240" s="181">
        <v>16069</v>
      </c>
      <c r="TTU240" s="181">
        <v>16070</v>
      </c>
      <c r="TTV240" s="181">
        <v>16071</v>
      </c>
      <c r="TTW240" s="181">
        <v>16072</v>
      </c>
      <c r="TTX240" s="181">
        <v>16073</v>
      </c>
      <c r="TTY240" s="181">
        <v>16074</v>
      </c>
      <c r="TTZ240" s="181">
        <v>16075</v>
      </c>
      <c r="TUA240" s="181">
        <v>16076</v>
      </c>
      <c r="TUB240" s="181">
        <v>16077</v>
      </c>
      <c r="TUC240" s="181">
        <v>16078</v>
      </c>
      <c r="TUD240" s="181">
        <v>16079</v>
      </c>
      <c r="TUE240" s="181">
        <v>16080</v>
      </c>
      <c r="TUF240" s="181">
        <v>16081</v>
      </c>
      <c r="TUG240" s="181">
        <v>16082</v>
      </c>
      <c r="TUH240" s="181">
        <v>16083</v>
      </c>
      <c r="TUI240" s="181">
        <v>16084</v>
      </c>
      <c r="TUJ240" s="181">
        <v>16085</v>
      </c>
      <c r="TUK240" s="181">
        <v>16086</v>
      </c>
      <c r="TUL240" s="181">
        <v>16087</v>
      </c>
      <c r="TUM240" s="181">
        <v>16088</v>
      </c>
      <c r="TUN240" s="181">
        <v>16089</v>
      </c>
      <c r="TUO240" s="181">
        <v>16090</v>
      </c>
      <c r="TUP240" s="181">
        <v>16091</v>
      </c>
      <c r="TUQ240" s="181">
        <v>16092</v>
      </c>
      <c r="TUR240" s="181">
        <v>16093</v>
      </c>
      <c r="TUS240" s="181">
        <v>16094</v>
      </c>
      <c r="TUT240" s="181">
        <v>16095</v>
      </c>
      <c r="TUU240" s="181">
        <v>16096</v>
      </c>
      <c r="TUV240" s="181">
        <v>16097</v>
      </c>
      <c r="TUW240" s="181">
        <v>16098</v>
      </c>
      <c r="TUX240" s="181">
        <v>16099</v>
      </c>
      <c r="TUY240" s="181">
        <v>16100</v>
      </c>
      <c r="TUZ240" s="181">
        <v>16101</v>
      </c>
      <c r="TVA240" s="181">
        <v>16102</v>
      </c>
      <c r="TVB240" s="181">
        <v>16103</v>
      </c>
      <c r="TVC240" s="181">
        <v>16104</v>
      </c>
      <c r="TVD240" s="181">
        <v>16105</v>
      </c>
      <c r="TVE240" s="181">
        <v>16106</v>
      </c>
      <c r="TVF240" s="181">
        <v>16107</v>
      </c>
      <c r="TVG240" s="181">
        <v>16108</v>
      </c>
      <c r="TVH240" s="181">
        <v>16109</v>
      </c>
      <c r="TVI240" s="181">
        <v>16110</v>
      </c>
      <c r="TVJ240" s="181">
        <v>16111</v>
      </c>
      <c r="TVK240" s="181">
        <v>16112</v>
      </c>
      <c r="TVL240" s="181">
        <v>16113</v>
      </c>
      <c r="TVM240" s="181">
        <v>16114</v>
      </c>
      <c r="TVN240" s="181">
        <v>16115</v>
      </c>
      <c r="TVO240" s="181">
        <v>16116</v>
      </c>
      <c r="TVP240" s="181">
        <v>16117</v>
      </c>
      <c r="TVQ240" s="181">
        <v>16118</v>
      </c>
      <c r="TVR240" s="181">
        <v>16119</v>
      </c>
      <c r="TVS240" s="181">
        <v>16120</v>
      </c>
      <c r="TVT240" s="181">
        <v>16121</v>
      </c>
      <c r="TVU240" s="181">
        <v>16122</v>
      </c>
      <c r="TVV240" s="181">
        <v>16123</v>
      </c>
      <c r="TVW240" s="181">
        <v>16124</v>
      </c>
      <c r="TVX240" s="181">
        <v>16125</v>
      </c>
      <c r="TVY240" s="181">
        <v>16126</v>
      </c>
      <c r="TVZ240" s="181">
        <v>16127</v>
      </c>
      <c r="TWA240" s="181">
        <v>16128</v>
      </c>
      <c r="TWB240" s="181">
        <v>16129</v>
      </c>
      <c r="TWC240" s="181">
        <v>16130</v>
      </c>
      <c r="TWD240" s="181">
        <v>16131</v>
      </c>
      <c r="TWE240" s="181">
        <v>16132</v>
      </c>
      <c r="TWF240" s="181">
        <v>16133</v>
      </c>
      <c r="TWG240" s="181">
        <v>16134</v>
      </c>
      <c r="TWH240" s="181">
        <v>16135</v>
      </c>
      <c r="TWI240" s="181">
        <v>16136</v>
      </c>
      <c r="TWJ240" s="181">
        <v>16137</v>
      </c>
      <c r="TWK240" s="181">
        <v>16138</v>
      </c>
      <c r="TWL240" s="181">
        <v>16139</v>
      </c>
      <c r="TWM240" s="181">
        <v>16140</v>
      </c>
      <c r="TWN240" s="181">
        <v>16141</v>
      </c>
      <c r="TWO240" s="181">
        <v>16142</v>
      </c>
      <c r="TWP240" s="181">
        <v>16143</v>
      </c>
      <c r="TWQ240" s="181">
        <v>16144</v>
      </c>
      <c r="TWR240" s="181">
        <v>16145</v>
      </c>
      <c r="TWS240" s="181">
        <v>16146</v>
      </c>
      <c r="TWT240" s="181">
        <v>16147</v>
      </c>
      <c r="TWU240" s="181">
        <v>16148</v>
      </c>
      <c r="TWV240" s="181">
        <v>16149</v>
      </c>
      <c r="TWW240" s="181">
        <v>16150</v>
      </c>
      <c r="TWX240" s="181">
        <v>16151</v>
      </c>
      <c r="TWY240" s="181">
        <v>16152</v>
      </c>
      <c r="TWZ240" s="181">
        <v>16153</v>
      </c>
      <c r="TXA240" s="181">
        <v>16154</v>
      </c>
      <c r="TXB240" s="181">
        <v>16155</v>
      </c>
      <c r="TXC240" s="181">
        <v>16156</v>
      </c>
      <c r="TXD240" s="181">
        <v>16157</v>
      </c>
      <c r="TXE240" s="181">
        <v>16158</v>
      </c>
      <c r="TXF240" s="181">
        <v>16159</v>
      </c>
      <c r="TXG240" s="181">
        <v>16160</v>
      </c>
      <c r="TXH240" s="181">
        <v>16161</v>
      </c>
      <c r="TXI240" s="181">
        <v>16162</v>
      </c>
      <c r="TXJ240" s="181">
        <v>16163</v>
      </c>
      <c r="TXK240" s="181">
        <v>16164</v>
      </c>
      <c r="TXL240" s="181">
        <v>16165</v>
      </c>
      <c r="TXM240" s="181">
        <v>16166</v>
      </c>
      <c r="TXN240" s="181">
        <v>16167</v>
      </c>
      <c r="TXO240" s="181">
        <v>16168</v>
      </c>
      <c r="TXP240" s="181">
        <v>16169</v>
      </c>
      <c r="TXQ240" s="181">
        <v>16170</v>
      </c>
      <c r="TXR240" s="181">
        <v>16171</v>
      </c>
      <c r="TXS240" s="181">
        <v>16172</v>
      </c>
      <c r="TXT240" s="181">
        <v>16173</v>
      </c>
      <c r="TXU240" s="181">
        <v>16174</v>
      </c>
      <c r="TXV240" s="181">
        <v>16175</v>
      </c>
      <c r="TXW240" s="181">
        <v>16176</v>
      </c>
      <c r="TXX240" s="181">
        <v>16177</v>
      </c>
      <c r="TXY240" s="181">
        <v>16178</v>
      </c>
      <c r="TXZ240" s="181">
        <v>16179</v>
      </c>
      <c r="TYA240" s="181">
        <v>16180</v>
      </c>
      <c r="TYB240" s="181">
        <v>16181</v>
      </c>
      <c r="TYC240" s="181">
        <v>16182</v>
      </c>
      <c r="TYD240" s="181">
        <v>16183</v>
      </c>
      <c r="TYE240" s="181">
        <v>16184</v>
      </c>
      <c r="TYF240" s="181">
        <v>16185</v>
      </c>
      <c r="TYG240" s="181">
        <v>16186</v>
      </c>
      <c r="TYH240" s="181">
        <v>16187</v>
      </c>
      <c r="TYI240" s="181">
        <v>16188</v>
      </c>
      <c r="TYJ240" s="181">
        <v>16189</v>
      </c>
      <c r="TYK240" s="181">
        <v>16190</v>
      </c>
      <c r="TYL240" s="181">
        <v>16191</v>
      </c>
      <c r="TYM240" s="181">
        <v>16192</v>
      </c>
      <c r="TYN240" s="181">
        <v>16193</v>
      </c>
      <c r="TYO240" s="181">
        <v>16194</v>
      </c>
      <c r="TYP240" s="181">
        <v>16195</v>
      </c>
      <c r="TYQ240" s="181">
        <v>16196</v>
      </c>
      <c r="TYR240" s="181">
        <v>16197</v>
      </c>
      <c r="TYS240" s="181">
        <v>16198</v>
      </c>
      <c r="TYT240" s="181">
        <v>16199</v>
      </c>
      <c r="TYU240" s="181">
        <v>16200</v>
      </c>
      <c r="TYV240" s="181">
        <v>16201</v>
      </c>
      <c r="TYW240" s="181">
        <v>16202</v>
      </c>
      <c r="TYX240" s="181">
        <v>16203</v>
      </c>
      <c r="TYY240" s="181">
        <v>16204</v>
      </c>
      <c r="TYZ240" s="181">
        <v>16205</v>
      </c>
      <c r="TZA240" s="181">
        <v>16206</v>
      </c>
      <c r="TZB240" s="181">
        <v>16207</v>
      </c>
      <c r="TZC240" s="181">
        <v>16208</v>
      </c>
      <c r="TZD240" s="181">
        <v>16209</v>
      </c>
      <c r="TZE240" s="181">
        <v>16210</v>
      </c>
      <c r="TZF240" s="181">
        <v>16211</v>
      </c>
      <c r="TZG240" s="181">
        <v>16212</v>
      </c>
      <c r="TZH240" s="181">
        <v>16213</v>
      </c>
      <c r="TZI240" s="181">
        <v>16214</v>
      </c>
      <c r="TZJ240" s="181">
        <v>16215</v>
      </c>
      <c r="TZK240" s="181">
        <v>16216</v>
      </c>
      <c r="TZL240" s="181">
        <v>16217</v>
      </c>
      <c r="TZM240" s="181">
        <v>16218</v>
      </c>
      <c r="TZN240" s="181">
        <v>16219</v>
      </c>
      <c r="TZO240" s="181">
        <v>16220</v>
      </c>
      <c r="TZP240" s="181">
        <v>16221</v>
      </c>
      <c r="TZQ240" s="181">
        <v>16222</v>
      </c>
      <c r="TZR240" s="181">
        <v>16223</v>
      </c>
      <c r="TZS240" s="181">
        <v>16224</v>
      </c>
      <c r="TZT240" s="181">
        <v>16225</v>
      </c>
      <c r="TZU240" s="181">
        <v>16226</v>
      </c>
      <c r="TZV240" s="181">
        <v>16227</v>
      </c>
      <c r="TZW240" s="181">
        <v>16228</v>
      </c>
      <c r="TZX240" s="181">
        <v>16229</v>
      </c>
      <c r="TZY240" s="181">
        <v>16230</v>
      </c>
      <c r="TZZ240" s="181">
        <v>16231</v>
      </c>
      <c r="UAA240" s="181">
        <v>16232</v>
      </c>
      <c r="UAB240" s="181">
        <v>16233</v>
      </c>
      <c r="UAC240" s="181">
        <v>16234</v>
      </c>
      <c r="UAD240" s="181">
        <v>16235</v>
      </c>
      <c r="UAE240" s="181">
        <v>16236</v>
      </c>
      <c r="UAF240" s="181">
        <v>16237</v>
      </c>
      <c r="UAG240" s="181">
        <v>16238</v>
      </c>
      <c r="UAH240" s="181">
        <v>16239</v>
      </c>
      <c r="UAI240" s="181">
        <v>16240</v>
      </c>
      <c r="UAJ240" s="181">
        <v>16241</v>
      </c>
      <c r="UAK240" s="181">
        <v>16242</v>
      </c>
      <c r="UAL240" s="181">
        <v>16243</v>
      </c>
      <c r="UAM240" s="181">
        <v>16244</v>
      </c>
      <c r="UAN240" s="181">
        <v>16245</v>
      </c>
      <c r="UAO240" s="181">
        <v>16246</v>
      </c>
      <c r="UAP240" s="181">
        <v>16247</v>
      </c>
      <c r="UAQ240" s="181">
        <v>16248</v>
      </c>
      <c r="UAR240" s="181">
        <v>16249</v>
      </c>
      <c r="UAS240" s="181">
        <v>16250</v>
      </c>
      <c r="UAT240" s="181">
        <v>16251</v>
      </c>
      <c r="UAU240" s="181">
        <v>16252</v>
      </c>
      <c r="UAV240" s="181">
        <v>16253</v>
      </c>
      <c r="UAW240" s="181">
        <v>16254</v>
      </c>
      <c r="UAX240" s="181">
        <v>16255</v>
      </c>
      <c r="UAY240" s="181">
        <v>16256</v>
      </c>
      <c r="UAZ240" s="181">
        <v>16257</v>
      </c>
      <c r="UBA240" s="181">
        <v>16258</v>
      </c>
      <c r="UBB240" s="181">
        <v>16259</v>
      </c>
      <c r="UBC240" s="181">
        <v>16260</v>
      </c>
      <c r="UBD240" s="181">
        <v>16261</v>
      </c>
      <c r="UBE240" s="181">
        <v>16262</v>
      </c>
      <c r="UBF240" s="181">
        <v>16263</v>
      </c>
      <c r="UBG240" s="181">
        <v>16264</v>
      </c>
      <c r="UBH240" s="181">
        <v>16265</v>
      </c>
      <c r="UBI240" s="181">
        <v>16266</v>
      </c>
      <c r="UBJ240" s="181">
        <v>16267</v>
      </c>
      <c r="UBK240" s="181">
        <v>16268</v>
      </c>
      <c r="UBL240" s="181">
        <v>16269</v>
      </c>
      <c r="UBM240" s="181">
        <v>16270</v>
      </c>
      <c r="UBN240" s="181">
        <v>16271</v>
      </c>
      <c r="UBO240" s="181">
        <v>16272</v>
      </c>
      <c r="UBP240" s="181">
        <v>16273</v>
      </c>
      <c r="UBQ240" s="181">
        <v>16274</v>
      </c>
      <c r="UBR240" s="181">
        <v>16275</v>
      </c>
      <c r="UBS240" s="181">
        <v>16276</v>
      </c>
      <c r="UBT240" s="181">
        <v>16277</v>
      </c>
      <c r="UBU240" s="181">
        <v>16278</v>
      </c>
      <c r="UBV240" s="181">
        <v>16279</v>
      </c>
      <c r="UBW240" s="181">
        <v>16280</v>
      </c>
      <c r="UBX240" s="181">
        <v>16281</v>
      </c>
      <c r="UBY240" s="181">
        <v>16282</v>
      </c>
      <c r="UBZ240" s="181">
        <v>16283</v>
      </c>
      <c r="UCA240" s="181">
        <v>16284</v>
      </c>
      <c r="UCB240" s="181">
        <v>16285</v>
      </c>
      <c r="UCC240" s="181">
        <v>16286</v>
      </c>
      <c r="UCD240" s="181">
        <v>16287</v>
      </c>
      <c r="UCE240" s="181">
        <v>16288</v>
      </c>
      <c r="UCF240" s="181">
        <v>16289</v>
      </c>
      <c r="UCG240" s="181">
        <v>16290</v>
      </c>
      <c r="UCH240" s="181">
        <v>16291</v>
      </c>
      <c r="UCI240" s="181">
        <v>16292</v>
      </c>
      <c r="UCJ240" s="181">
        <v>16293</v>
      </c>
      <c r="UCK240" s="181">
        <v>16294</v>
      </c>
      <c r="UCL240" s="181">
        <v>16295</v>
      </c>
      <c r="UCM240" s="181">
        <v>16296</v>
      </c>
      <c r="UCN240" s="181">
        <v>16297</v>
      </c>
      <c r="UCO240" s="181">
        <v>16298</v>
      </c>
      <c r="UCP240" s="181">
        <v>16299</v>
      </c>
      <c r="UCQ240" s="181">
        <v>16300</v>
      </c>
      <c r="UCR240" s="181">
        <v>16301</v>
      </c>
      <c r="UCS240" s="181">
        <v>16302</v>
      </c>
      <c r="UCT240" s="181">
        <v>16303</v>
      </c>
      <c r="UCU240" s="181">
        <v>16304</v>
      </c>
      <c r="UCV240" s="181">
        <v>16305</v>
      </c>
      <c r="UCW240" s="181">
        <v>16306</v>
      </c>
      <c r="UCX240" s="181">
        <v>16307</v>
      </c>
      <c r="UCY240" s="181">
        <v>16308</v>
      </c>
      <c r="UCZ240" s="181">
        <v>16309</v>
      </c>
      <c r="UDA240" s="181">
        <v>16310</v>
      </c>
      <c r="UDB240" s="181">
        <v>16311</v>
      </c>
      <c r="UDC240" s="181">
        <v>16312</v>
      </c>
      <c r="UDD240" s="181">
        <v>16313</v>
      </c>
      <c r="UDE240" s="181">
        <v>16314</v>
      </c>
      <c r="UDF240" s="181">
        <v>16315</v>
      </c>
      <c r="UDG240" s="181">
        <v>16316</v>
      </c>
      <c r="UDH240" s="181">
        <v>16317</v>
      </c>
      <c r="UDI240" s="181">
        <v>16318</v>
      </c>
      <c r="UDJ240" s="181">
        <v>16319</v>
      </c>
      <c r="UDK240" s="181">
        <v>16320</v>
      </c>
      <c r="UDL240" s="181">
        <v>16321</v>
      </c>
      <c r="UDM240" s="181">
        <v>16322</v>
      </c>
      <c r="UDN240" s="181">
        <v>16323</v>
      </c>
      <c r="UDO240" s="181">
        <v>16324</v>
      </c>
      <c r="UDP240" s="181">
        <v>16325</v>
      </c>
      <c r="UDQ240" s="181">
        <v>16326</v>
      </c>
      <c r="UDR240" s="181">
        <v>16327</v>
      </c>
      <c r="UDS240" s="181">
        <v>16328</v>
      </c>
      <c r="UDT240" s="181">
        <v>16329</v>
      </c>
      <c r="UDU240" s="181">
        <v>16330</v>
      </c>
      <c r="UDV240" s="181">
        <v>16331</v>
      </c>
      <c r="UDW240" s="181">
        <v>16332</v>
      </c>
      <c r="UDX240" s="181">
        <v>16333</v>
      </c>
      <c r="UDY240" s="181">
        <v>16334</v>
      </c>
      <c r="UDZ240" s="181">
        <v>16335</v>
      </c>
      <c r="UEA240" s="181">
        <v>16336</v>
      </c>
      <c r="UEB240" s="181">
        <v>16337</v>
      </c>
      <c r="UEC240" s="181">
        <v>16338</v>
      </c>
      <c r="UED240" s="181">
        <v>16339</v>
      </c>
      <c r="UEE240" s="181">
        <v>16340</v>
      </c>
      <c r="UEF240" s="181">
        <v>16341</v>
      </c>
      <c r="UEG240" s="181">
        <v>16342</v>
      </c>
      <c r="UEH240" s="181">
        <v>16343</v>
      </c>
      <c r="UEI240" s="181">
        <v>16344</v>
      </c>
      <c r="UEJ240" s="181">
        <v>16345</v>
      </c>
      <c r="UEK240" s="181">
        <v>16346</v>
      </c>
      <c r="UEL240" s="181">
        <v>16347</v>
      </c>
      <c r="UEM240" s="181">
        <v>16348</v>
      </c>
      <c r="UEN240" s="181">
        <v>16349</v>
      </c>
      <c r="UEO240" s="181">
        <v>16350</v>
      </c>
      <c r="UEP240" s="181">
        <v>16351</v>
      </c>
      <c r="UEQ240" s="181">
        <v>16352</v>
      </c>
      <c r="UER240" s="181">
        <v>16353</v>
      </c>
      <c r="UES240" s="181">
        <v>16354</v>
      </c>
      <c r="UET240" s="181">
        <v>16355</v>
      </c>
      <c r="UEU240" s="181">
        <v>16356</v>
      </c>
      <c r="UEV240" s="181">
        <v>16357</v>
      </c>
      <c r="UEW240" s="181">
        <v>16358</v>
      </c>
      <c r="UEX240" s="181">
        <v>16359</v>
      </c>
      <c r="UEY240" s="181">
        <v>16360</v>
      </c>
      <c r="UEZ240" s="181">
        <v>16361</v>
      </c>
      <c r="UFA240" s="181">
        <v>16362</v>
      </c>
      <c r="UFB240" s="181">
        <v>16363</v>
      </c>
      <c r="UFC240" s="181">
        <v>16364</v>
      </c>
      <c r="UFD240" s="181">
        <v>16365</v>
      </c>
      <c r="UFE240" s="181">
        <v>16366</v>
      </c>
      <c r="UFF240" s="181">
        <v>16367</v>
      </c>
      <c r="UFG240" s="181">
        <v>16368</v>
      </c>
      <c r="UFH240" s="181">
        <v>16369</v>
      </c>
      <c r="UFI240" s="181">
        <v>16370</v>
      </c>
      <c r="UFJ240" s="181">
        <v>16371</v>
      </c>
      <c r="UFK240" s="181">
        <v>16372</v>
      </c>
      <c r="UFL240" s="181">
        <v>16373</v>
      </c>
      <c r="UFM240" s="181">
        <v>16374</v>
      </c>
      <c r="UFN240" s="181">
        <v>16375</v>
      </c>
      <c r="UFO240" s="181">
        <v>16376</v>
      </c>
      <c r="UFP240" s="181">
        <v>16377</v>
      </c>
      <c r="UFQ240" s="181">
        <v>16378</v>
      </c>
      <c r="UFR240" s="181">
        <v>16379</v>
      </c>
      <c r="UFS240" s="181">
        <v>16380</v>
      </c>
      <c r="UFT240" s="181">
        <v>16381</v>
      </c>
      <c r="UFU240" s="181">
        <v>16382</v>
      </c>
      <c r="UFV240" s="181">
        <v>16383</v>
      </c>
      <c r="UFW240" s="181">
        <v>16384</v>
      </c>
      <c r="UFX240" s="181">
        <v>16385</v>
      </c>
      <c r="UFY240" s="181">
        <v>16386</v>
      </c>
      <c r="UFZ240" s="181">
        <v>16387</v>
      </c>
      <c r="UGA240" s="181">
        <v>16388</v>
      </c>
      <c r="UGB240" s="181">
        <v>16389</v>
      </c>
      <c r="UGC240" s="181">
        <v>16390</v>
      </c>
      <c r="UGD240" s="181">
        <v>16391</v>
      </c>
      <c r="UGE240" s="181">
        <v>16392</v>
      </c>
      <c r="UGF240" s="181">
        <v>16393</v>
      </c>
      <c r="UGG240" s="181">
        <v>16394</v>
      </c>
      <c r="UGH240" s="181">
        <v>16395</v>
      </c>
      <c r="UGI240" s="181">
        <v>16396</v>
      </c>
      <c r="UGJ240" s="181">
        <v>16397</v>
      </c>
      <c r="UGK240" s="181">
        <v>16398</v>
      </c>
      <c r="UGL240" s="181">
        <v>16399</v>
      </c>
      <c r="UGM240" s="181">
        <v>16400</v>
      </c>
      <c r="UGN240" s="181">
        <v>16401</v>
      </c>
      <c r="UGO240" s="181">
        <v>16402</v>
      </c>
      <c r="UGP240" s="181">
        <v>16403</v>
      </c>
      <c r="UGQ240" s="181">
        <v>16404</v>
      </c>
      <c r="UGR240" s="181">
        <v>16405</v>
      </c>
      <c r="UGS240" s="181">
        <v>16406</v>
      </c>
      <c r="UGT240" s="181">
        <v>16407</v>
      </c>
      <c r="UGU240" s="181">
        <v>16408</v>
      </c>
      <c r="UGV240" s="181">
        <v>16409</v>
      </c>
      <c r="UGW240" s="181">
        <v>16410</v>
      </c>
      <c r="UGX240" s="181">
        <v>16411</v>
      </c>
      <c r="UGY240" s="181">
        <v>16412</v>
      </c>
      <c r="UGZ240" s="181">
        <v>16413</v>
      </c>
      <c r="UHA240" s="181">
        <v>16414</v>
      </c>
      <c r="UHB240" s="181">
        <v>16415</v>
      </c>
      <c r="UHC240" s="181">
        <v>16416</v>
      </c>
      <c r="UHD240" s="181">
        <v>16417</v>
      </c>
      <c r="UHE240" s="181">
        <v>16418</v>
      </c>
      <c r="UHF240" s="181">
        <v>16419</v>
      </c>
      <c r="UHG240" s="181">
        <v>16420</v>
      </c>
      <c r="UHH240" s="181">
        <v>16421</v>
      </c>
      <c r="UHI240" s="181">
        <v>16422</v>
      </c>
      <c r="UHJ240" s="181">
        <v>16423</v>
      </c>
      <c r="UHK240" s="181">
        <v>16424</v>
      </c>
      <c r="UHL240" s="181">
        <v>16425</v>
      </c>
      <c r="UHM240" s="181">
        <v>16426</v>
      </c>
      <c r="UHN240" s="181">
        <v>16427</v>
      </c>
      <c r="UHO240" s="181">
        <v>16428</v>
      </c>
      <c r="UHP240" s="181">
        <v>16429</v>
      </c>
      <c r="UHQ240" s="181">
        <v>16430</v>
      </c>
      <c r="UHR240" s="181">
        <v>16431</v>
      </c>
      <c r="UHS240" s="181">
        <v>16432</v>
      </c>
      <c r="UHT240" s="181">
        <v>16433</v>
      </c>
      <c r="UHU240" s="181">
        <v>16434</v>
      </c>
      <c r="UHV240" s="181">
        <v>16435</v>
      </c>
      <c r="UHW240" s="181">
        <v>16436</v>
      </c>
      <c r="UHX240" s="181">
        <v>16437</v>
      </c>
      <c r="UHY240" s="181">
        <v>16438</v>
      </c>
      <c r="UHZ240" s="181">
        <v>16439</v>
      </c>
      <c r="UIA240" s="181">
        <v>16440</v>
      </c>
      <c r="UIB240" s="181">
        <v>16441</v>
      </c>
      <c r="UIC240" s="181">
        <v>16442</v>
      </c>
      <c r="UID240" s="181">
        <v>16443</v>
      </c>
      <c r="UIE240" s="181">
        <v>16444</v>
      </c>
      <c r="UIF240" s="181">
        <v>16445</v>
      </c>
      <c r="UIG240" s="181">
        <v>16446</v>
      </c>
      <c r="UIH240" s="181">
        <v>16447</v>
      </c>
      <c r="UII240" s="181">
        <v>16448</v>
      </c>
      <c r="UIJ240" s="181">
        <v>16449</v>
      </c>
      <c r="UIK240" s="181">
        <v>16450</v>
      </c>
      <c r="UIL240" s="181">
        <v>16451</v>
      </c>
      <c r="UIM240" s="181">
        <v>16452</v>
      </c>
      <c r="UIN240" s="181">
        <v>16453</v>
      </c>
      <c r="UIO240" s="181">
        <v>16454</v>
      </c>
      <c r="UIP240" s="181">
        <v>16455</v>
      </c>
      <c r="UIQ240" s="181">
        <v>16456</v>
      </c>
      <c r="UIR240" s="181">
        <v>16457</v>
      </c>
      <c r="UIS240" s="181">
        <v>16458</v>
      </c>
      <c r="UIT240" s="181">
        <v>16459</v>
      </c>
      <c r="UIU240" s="181">
        <v>16460</v>
      </c>
      <c r="UIV240" s="181">
        <v>16461</v>
      </c>
      <c r="UIW240" s="181">
        <v>16462</v>
      </c>
      <c r="UIX240" s="181">
        <v>16463</v>
      </c>
      <c r="UIY240" s="181">
        <v>16464</v>
      </c>
      <c r="UIZ240" s="181">
        <v>16465</v>
      </c>
      <c r="UJA240" s="181">
        <v>16466</v>
      </c>
      <c r="UJB240" s="181">
        <v>16467</v>
      </c>
      <c r="UJC240" s="181">
        <v>16468</v>
      </c>
      <c r="UJD240" s="181">
        <v>16469</v>
      </c>
      <c r="UJE240" s="181">
        <v>16470</v>
      </c>
      <c r="UJF240" s="181">
        <v>16471</v>
      </c>
      <c r="UJG240" s="181">
        <v>16472</v>
      </c>
      <c r="UJH240" s="181">
        <v>16473</v>
      </c>
      <c r="UJI240" s="181">
        <v>16474</v>
      </c>
      <c r="UJJ240" s="181">
        <v>16475</v>
      </c>
      <c r="UJK240" s="181">
        <v>16476</v>
      </c>
      <c r="UJL240" s="181">
        <v>16477</v>
      </c>
      <c r="UJM240" s="181">
        <v>16478</v>
      </c>
      <c r="UJN240" s="181">
        <v>16479</v>
      </c>
      <c r="UJO240" s="181">
        <v>16480</v>
      </c>
      <c r="UJP240" s="181">
        <v>16481</v>
      </c>
      <c r="UJQ240" s="181">
        <v>16482</v>
      </c>
      <c r="UJR240" s="181">
        <v>16483</v>
      </c>
      <c r="UJS240" s="181">
        <v>16484</v>
      </c>
      <c r="UJT240" s="181">
        <v>16485</v>
      </c>
      <c r="UJU240" s="181">
        <v>16486</v>
      </c>
      <c r="UJV240" s="181">
        <v>16487</v>
      </c>
      <c r="UJW240" s="181">
        <v>16488</v>
      </c>
      <c r="UJX240" s="181">
        <v>16489</v>
      </c>
      <c r="UJY240" s="181">
        <v>16490</v>
      </c>
      <c r="UJZ240" s="181">
        <v>16491</v>
      </c>
      <c r="UKA240" s="181">
        <v>16492</v>
      </c>
      <c r="UKB240" s="181">
        <v>16493</v>
      </c>
      <c r="UKC240" s="181">
        <v>16494</v>
      </c>
      <c r="UKD240" s="181">
        <v>16495</v>
      </c>
      <c r="UKE240" s="181">
        <v>16496</v>
      </c>
      <c r="UKF240" s="181">
        <v>16497</v>
      </c>
      <c r="UKG240" s="181">
        <v>16498</v>
      </c>
      <c r="UKH240" s="181">
        <v>16499</v>
      </c>
      <c r="UKI240" s="181">
        <v>16500</v>
      </c>
      <c r="UKJ240" s="181">
        <v>16501</v>
      </c>
      <c r="UKK240" s="181">
        <v>16502</v>
      </c>
      <c r="UKL240" s="181">
        <v>16503</v>
      </c>
      <c r="UKM240" s="181">
        <v>16504</v>
      </c>
      <c r="UKN240" s="181">
        <v>16505</v>
      </c>
      <c r="UKO240" s="181">
        <v>16506</v>
      </c>
      <c r="UKP240" s="181">
        <v>16507</v>
      </c>
      <c r="UKQ240" s="181">
        <v>16508</v>
      </c>
      <c r="UKR240" s="181">
        <v>16509</v>
      </c>
      <c r="UKS240" s="181">
        <v>16510</v>
      </c>
      <c r="UKT240" s="181">
        <v>16511</v>
      </c>
      <c r="UKU240" s="181">
        <v>16512</v>
      </c>
      <c r="UKV240" s="181">
        <v>16513</v>
      </c>
      <c r="UKW240" s="181">
        <v>16514</v>
      </c>
      <c r="UKX240" s="181">
        <v>16515</v>
      </c>
      <c r="UKY240" s="181">
        <v>16516</v>
      </c>
      <c r="UKZ240" s="181">
        <v>16517</v>
      </c>
      <c r="ULA240" s="181">
        <v>16518</v>
      </c>
      <c r="ULB240" s="181">
        <v>16519</v>
      </c>
      <c r="ULC240" s="181">
        <v>16520</v>
      </c>
      <c r="ULD240" s="181">
        <v>16521</v>
      </c>
      <c r="ULE240" s="181">
        <v>16522</v>
      </c>
      <c r="ULF240" s="181">
        <v>16523</v>
      </c>
      <c r="ULG240" s="181">
        <v>16524</v>
      </c>
      <c r="ULH240" s="181">
        <v>16525</v>
      </c>
      <c r="ULI240" s="181">
        <v>16526</v>
      </c>
      <c r="ULJ240" s="181">
        <v>16527</v>
      </c>
      <c r="ULK240" s="181">
        <v>16528</v>
      </c>
      <c r="ULL240" s="181">
        <v>16529</v>
      </c>
      <c r="ULM240" s="181">
        <v>16530</v>
      </c>
      <c r="ULN240" s="181">
        <v>16531</v>
      </c>
      <c r="ULO240" s="181">
        <v>16532</v>
      </c>
      <c r="ULP240" s="181">
        <v>16533</v>
      </c>
      <c r="ULQ240" s="181">
        <v>16534</v>
      </c>
      <c r="ULR240" s="181">
        <v>16535</v>
      </c>
      <c r="ULS240" s="181">
        <v>16536</v>
      </c>
      <c r="ULT240" s="181">
        <v>16537</v>
      </c>
      <c r="ULU240" s="181">
        <v>16538</v>
      </c>
      <c r="ULV240" s="181">
        <v>16539</v>
      </c>
      <c r="ULW240" s="181">
        <v>16540</v>
      </c>
      <c r="ULX240" s="181">
        <v>16541</v>
      </c>
      <c r="ULY240" s="181">
        <v>16542</v>
      </c>
      <c r="ULZ240" s="181">
        <v>16543</v>
      </c>
      <c r="UMA240" s="181">
        <v>16544</v>
      </c>
      <c r="UMB240" s="181">
        <v>16545</v>
      </c>
      <c r="UMC240" s="181">
        <v>16546</v>
      </c>
      <c r="UMD240" s="181">
        <v>16547</v>
      </c>
      <c r="UME240" s="181">
        <v>16548</v>
      </c>
      <c r="UMF240" s="181">
        <v>16549</v>
      </c>
      <c r="UMG240" s="181">
        <v>16550</v>
      </c>
      <c r="UMH240" s="181">
        <v>16551</v>
      </c>
      <c r="UMI240" s="181">
        <v>16552</v>
      </c>
      <c r="UMJ240" s="181">
        <v>16553</v>
      </c>
      <c r="UMK240" s="181">
        <v>16554</v>
      </c>
      <c r="UML240" s="181">
        <v>16555</v>
      </c>
      <c r="UMM240" s="181">
        <v>16556</v>
      </c>
      <c r="UMN240" s="181">
        <v>16557</v>
      </c>
      <c r="UMO240" s="181">
        <v>16558</v>
      </c>
      <c r="UMP240" s="181">
        <v>16559</v>
      </c>
      <c r="UMQ240" s="181">
        <v>16560</v>
      </c>
      <c r="UMR240" s="181">
        <v>16561</v>
      </c>
      <c r="UMS240" s="181">
        <v>16562</v>
      </c>
      <c r="UMT240" s="181">
        <v>16563</v>
      </c>
      <c r="UMU240" s="181">
        <v>16564</v>
      </c>
      <c r="UMV240" s="181">
        <v>16565</v>
      </c>
      <c r="UMW240" s="181">
        <v>16566</v>
      </c>
      <c r="UMX240" s="181">
        <v>16567</v>
      </c>
      <c r="UMY240" s="181">
        <v>16568</v>
      </c>
      <c r="UMZ240" s="181">
        <v>16569</v>
      </c>
      <c r="UNA240" s="181">
        <v>16570</v>
      </c>
      <c r="UNB240" s="181">
        <v>16571</v>
      </c>
      <c r="UNC240" s="181">
        <v>16572</v>
      </c>
      <c r="UND240" s="181">
        <v>16573</v>
      </c>
      <c r="UNE240" s="181">
        <v>16574</v>
      </c>
      <c r="UNF240" s="181">
        <v>16575</v>
      </c>
      <c r="UNG240" s="181">
        <v>16576</v>
      </c>
      <c r="UNH240" s="181">
        <v>16577</v>
      </c>
      <c r="UNI240" s="181">
        <v>16578</v>
      </c>
      <c r="UNJ240" s="181">
        <v>16579</v>
      </c>
      <c r="UNK240" s="181">
        <v>16580</v>
      </c>
      <c r="UNL240" s="181">
        <v>16581</v>
      </c>
      <c r="UNM240" s="181">
        <v>16582</v>
      </c>
      <c r="UNN240" s="181">
        <v>16583</v>
      </c>
      <c r="UNO240" s="181">
        <v>16584</v>
      </c>
      <c r="UNP240" s="181">
        <v>16585</v>
      </c>
      <c r="UNQ240" s="181">
        <v>16586</v>
      </c>
      <c r="UNR240" s="181">
        <v>16587</v>
      </c>
      <c r="UNS240" s="181">
        <v>16588</v>
      </c>
      <c r="UNT240" s="181">
        <v>16589</v>
      </c>
      <c r="UNU240" s="181">
        <v>16590</v>
      </c>
      <c r="UNV240" s="181">
        <v>16591</v>
      </c>
      <c r="UNW240" s="181">
        <v>16592</v>
      </c>
      <c r="UNX240" s="181">
        <v>16593</v>
      </c>
      <c r="UNY240" s="181">
        <v>16594</v>
      </c>
      <c r="UNZ240" s="181">
        <v>16595</v>
      </c>
      <c r="UOA240" s="181">
        <v>16596</v>
      </c>
      <c r="UOB240" s="181">
        <v>16597</v>
      </c>
      <c r="UOC240" s="181">
        <v>16598</v>
      </c>
      <c r="UOD240" s="181">
        <v>16599</v>
      </c>
      <c r="UOE240" s="181">
        <v>16600</v>
      </c>
      <c r="UOF240" s="181">
        <v>16601</v>
      </c>
      <c r="UOG240" s="181">
        <v>16602</v>
      </c>
      <c r="UOH240" s="181">
        <v>16603</v>
      </c>
      <c r="UOI240" s="181">
        <v>16604</v>
      </c>
      <c r="UOJ240" s="181">
        <v>16605</v>
      </c>
      <c r="UOK240" s="181">
        <v>16606</v>
      </c>
      <c r="UOL240" s="181">
        <v>16607</v>
      </c>
      <c r="UOM240" s="181">
        <v>16608</v>
      </c>
      <c r="UON240" s="181">
        <v>16609</v>
      </c>
      <c r="UOO240" s="181">
        <v>16610</v>
      </c>
      <c r="UOP240" s="181">
        <v>16611</v>
      </c>
      <c r="UOQ240" s="181">
        <v>16612</v>
      </c>
      <c r="UOR240" s="181">
        <v>16613</v>
      </c>
      <c r="UOS240" s="181">
        <v>16614</v>
      </c>
      <c r="UOT240" s="181">
        <v>16615</v>
      </c>
      <c r="UOU240" s="181">
        <v>16616</v>
      </c>
      <c r="UOV240" s="181">
        <v>16617</v>
      </c>
      <c r="UOW240" s="181">
        <v>16618</v>
      </c>
      <c r="UOX240" s="181">
        <v>16619</v>
      </c>
      <c r="UOY240" s="181">
        <v>16620</v>
      </c>
      <c r="UOZ240" s="181">
        <v>16621</v>
      </c>
      <c r="UPA240" s="181">
        <v>16622</v>
      </c>
      <c r="UPB240" s="181">
        <v>16623</v>
      </c>
      <c r="UPC240" s="181">
        <v>16624</v>
      </c>
      <c r="UPD240" s="181">
        <v>16625</v>
      </c>
      <c r="UPE240" s="181">
        <v>16626</v>
      </c>
      <c r="UPF240" s="181">
        <v>16627</v>
      </c>
      <c r="UPG240" s="181">
        <v>16628</v>
      </c>
      <c r="UPH240" s="181">
        <v>16629</v>
      </c>
      <c r="UPI240" s="181">
        <v>16630</v>
      </c>
      <c r="UPJ240" s="181">
        <v>16631</v>
      </c>
      <c r="UPK240" s="181">
        <v>16632</v>
      </c>
      <c r="UPL240" s="181">
        <v>16633</v>
      </c>
      <c r="UPM240" s="181">
        <v>16634</v>
      </c>
      <c r="UPN240" s="181">
        <v>16635</v>
      </c>
      <c r="UPO240" s="181">
        <v>16636</v>
      </c>
      <c r="UPP240" s="181">
        <v>16637</v>
      </c>
      <c r="UPQ240" s="181">
        <v>16638</v>
      </c>
      <c r="UPR240" s="181">
        <v>16639</v>
      </c>
      <c r="UPS240" s="181">
        <v>16640</v>
      </c>
      <c r="UPT240" s="181">
        <v>16641</v>
      </c>
      <c r="UPU240" s="181">
        <v>16642</v>
      </c>
      <c r="UPV240" s="181">
        <v>16643</v>
      </c>
      <c r="UPW240" s="181">
        <v>16644</v>
      </c>
      <c r="UPX240" s="181">
        <v>16645</v>
      </c>
      <c r="UPY240" s="181">
        <v>16646</v>
      </c>
      <c r="UPZ240" s="181">
        <v>16647</v>
      </c>
      <c r="UQA240" s="181">
        <v>16648</v>
      </c>
      <c r="UQB240" s="181">
        <v>16649</v>
      </c>
      <c r="UQC240" s="181">
        <v>16650</v>
      </c>
      <c r="UQD240" s="181">
        <v>16651</v>
      </c>
      <c r="UQE240" s="181">
        <v>16652</v>
      </c>
      <c r="UQF240" s="181">
        <v>16653</v>
      </c>
      <c r="UQG240" s="181">
        <v>16654</v>
      </c>
      <c r="UQH240" s="181">
        <v>16655</v>
      </c>
      <c r="UQI240" s="181">
        <v>16656</v>
      </c>
      <c r="UQJ240" s="181">
        <v>16657</v>
      </c>
      <c r="UQK240" s="181">
        <v>16658</v>
      </c>
      <c r="UQL240" s="181">
        <v>16659</v>
      </c>
      <c r="UQM240" s="181">
        <v>16660</v>
      </c>
      <c r="UQN240" s="181">
        <v>16661</v>
      </c>
      <c r="UQO240" s="181">
        <v>16662</v>
      </c>
      <c r="UQP240" s="181">
        <v>16663</v>
      </c>
      <c r="UQQ240" s="181">
        <v>16664</v>
      </c>
      <c r="UQR240" s="181">
        <v>16665</v>
      </c>
      <c r="UQS240" s="181">
        <v>16666</v>
      </c>
      <c r="UQT240" s="181">
        <v>16667</v>
      </c>
      <c r="UQU240" s="181">
        <v>16668</v>
      </c>
      <c r="UQV240" s="181">
        <v>16669</v>
      </c>
      <c r="UQW240" s="181">
        <v>16670</v>
      </c>
      <c r="UQX240" s="181">
        <v>16671</v>
      </c>
      <c r="UQY240" s="181">
        <v>16672</v>
      </c>
      <c r="UQZ240" s="181">
        <v>16673</v>
      </c>
      <c r="URA240" s="181">
        <v>16674</v>
      </c>
      <c r="URB240" s="181">
        <v>16675</v>
      </c>
      <c r="URC240" s="181">
        <v>16676</v>
      </c>
      <c r="URD240" s="181">
        <v>16677</v>
      </c>
      <c r="URE240" s="181">
        <v>16678</v>
      </c>
      <c r="URF240" s="181">
        <v>16679</v>
      </c>
      <c r="URG240" s="181">
        <v>16680</v>
      </c>
      <c r="URH240" s="181">
        <v>16681</v>
      </c>
      <c r="URI240" s="181">
        <v>16682</v>
      </c>
      <c r="URJ240" s="181">
        <v>16683</v>
      </c>
      <c r="URK240" s="181">
        <v>16684</v>
      </c>
      <c r="URL240" s="181">
        <v>16685</v>
      </c>
      <c r="URM240" s="181">
        <v>16686</v>
      </c>
      <c r="URN240" s="181">
        <v>16687</v>
      </c>
      <c r="URO240" s="181">
        <v>16688</v>
      </c>
      <c r="URP240" s="181">
        <v>16689</v>
      </c>
      <c r="URQ240" s="181">
        <v>16690</v>
      </c>
      <c r="URR240" s="181">
        <v>16691</v>
      </c>
      <c r="URS240" s="181">
        <v>16692</v>
      </c>
      <c r="URT240" s="181">
        <v>16693</v>
      </c>
      <c r="URU240" s="181">
        <v>16694</v>
      </c>
      <c r="URV240" s="181">
        <v>16695</v>
      </c>
      <c r="URW240" s="181">
        <v>16696</v>
      </c>
      <c r="URX240" s="181">
        <v>16697</v>
      </c>
      <c r="URY240" s="181">
        <v>16698</v>
      </c>
      <c r="URZ240" s="181">
        <v>16699</v>
      </c>
      <c r="USA240" s="181">
        <v>16700</v>
      </c>
      <c r="USB240" s="181">
        <v>16701</v>
      </c>
      <c r="USC240" s="181">
        <v>16702</v>
      </c>
      <c r="USD240" s="181">
        <v>16703</v>
      </c>
      <c r="USE240" s="181">
        <v>16704</v>
      </c>
      <c r="USF240" s="181">
        <v>16705</v>
      </c>
      <c r="USG240" s="181">
        <v>16706</v>
      </c>
      <c r="USH240" s="181">
        <v>16707</v>
      </c>
      <c r="USI240" s="181">
        <v>16708</v>
      </c>
      <c r="USJ240" s="181">
        <v>16709</v>
      </c>
      <c r="USK240" s="181">
        <v>16710</v>
      </c>
      <c r="USL240" s="181">
        <v>16711</v>
      </c>
      <c r="USM240" s="181">
        <v>16712</v>
      </c>
      <c r="USN240" s="181">
        <v>16713</v>
      </c>
      <c r="USO240" s="181">
        <v>16714</v>
      </c>
      <c r="USP240" s="181">
        <v>16715</v>
      </c>
      <c r="USQ240" s="181">
        <v>16716</v>
      </c>
      <c r="USR240" s="181">
        <v>16717</v>
      </c>
      <c r="USS240" s="181">
        <v>16718</v>
      </c>
      <c r="UST240" s="181">
        <v>16719</v>
      </c>
      <c r="USU240" s="181">
        <v>16720</v>
      </c>
      <c r="USV240" s="181">
        <v>16721</v>
      </c>
      <c r="USW240" s="181">
        <v>16722</v>
      </c>
      <c r="USX240" s="181">
        <v>16723</v>
      </c>
      <c r="USY240" s="181">
        <v>16724</v>
      </c>
      <c r="USZ240" s="181">
        <v>16725</v>
      </c>
      <c r="UTA240" s="181">
        <v>16726</v>
      </c>
      <c r="UTB240" s="181">
        <v>16727</v>
      </c>
      <c r="UTC240" s="181">
        <v>16728</v>
      </c>
      <c r="UTD240" s="181">
        <v>16729</v>
      </c>
      <c r="UTE240" s="181">
        <v>16730</v>
      </c>
      <c r="UTF240" s="181">
        <v>16731</v>
      </c>
      <c r="UTG240" s="181">
        <v>16732</v>
      </c>
      <c r="UTH240" s="181">
        <v>16733</v>
      </c>
      <c r="UTI240" s="181">
        <v>16734</v>
      </c>
      <c r="UTJ240" s="181">
        <v>16735</v>
      </c>
      <c r="UTK240" s="181">
        <v>16736</v>
      </c>
      <c r="UTL240" s="181">
        <v>16737</v>
      </c>
      <c r="UTM240" s="181">
        <v>16738</v>
      </c>
      <c r="UTN240" s="181">
        <v>16739</v>
      </c>
      <c r="UTO240" s="181">
        <v>16740</v>
      </c>
      <c r="UTP240" s="181">
        <v>16741</v>
      </c>
      <c r="UTQ240" s="181">
        <v>16742</v>
      </c>
      <c r="UTR240" s="181">
        <v>16743</v>
      </c>
      <c r="UTS240" s="181">
        <v>16744</v>
      </c>
      <c r="UTT240" s="181">
        <v>16745</v>
      </c>
      <c r="UTU240" s="181">
        <v>16746</v>
      </c>
      <c r="UTV240" s="181">
        <v>16747</v>
      </c>
      <c r="UTW240" s="181">
        <v>16748</v>
      </c>
      <c r="UTX240" s="181">
        <v>16749</v>
      </c>
      <c r="UTY240" s="181">
        <v>16750</v>
      </c>
      <c r="UTZ240" s="181">
        <v>16751</v>
      </c>
      <c r="UUA240" s="181">
        <v>16752</v>
      </c>
      <c r="UUB240" s="181">
        <v>16753</v>
      </c>
      <c r="UUC240" s="181">
        <v>16754</v>
      </c>
      <c r="UUD240" s="181">
        <v>16755</v>
      </c>
      <c r="UUE240" s="181">
        <v>16756</v>
      </c>
      <c r="UUF240" s="181">
        <v>16757</v>
      </c>
      <c r="UUG240" s="181">
        <v>16758</v>
      </c>
      <c r="UUH240" s="181">
        <v>16759</v>
      </c>
      <c r="UUI240" s="181">
        <v>16760</v>
      </c>
      <c r="UUJ240" s="181">
        <v>16761</v>
      </c>
      <c r="UUK240" s="181">
        <v>16762</v>
      </c>
      <c r="UUL240" s="181">
        <v>16763</v>
      </c>
      <c r="UUM240" s="181">
        <v>16764</v>
      </c>
      <c r="UUN240" s="181">
        <v>16765</v>
      </c>
      <c r="UUO240" s="181">
        <v>16766</v>
      </c>
      <c r="UUP240" s="181">
        <v>16767</v>
      </c>
      <c r="UUQ240" s="181">
        <v>16768</v>
      </c>
      <c r="UUR240" s="181">
        <v>16769</v>
      </c>
      <c r="UUS240" s="181">
        <v>16770</v>
      </c>
      <c r="UUT240" s="181">
        <v>16771</v>
      </c>
      <c r="UUU240" s="181">
        <v>16772</v>
      </c>
      <c r="UUV240" s="181">
        <v>16773</v>
      </c>
      <c r="UUW240" s="181">
        <v>16774</v>
      </c>
      <c r="UUX240" s="181">
        <v>16775</v>
      </c>
      <c r="UUY240" s="181">
        <v>16776</v>
      </c>
      <c r="UUZ240" s="181">
        <v>16777</v>
      </c>
      <c r="UVA240" s="181">
        <v>16778</v>
      </c>
      <c r="UVB240" s="181">
        <v>16779</v>
      </c>
      <c r="UVC240" s="181">
        <v>16780</v>
      </c>
      <c r="UVD240" s="181">
        <v>16781</v>
      </c>
      <c r="UVE240" s="181">
        <v>16782</v>
      </c>
      <c r="UVF240" s="181">
        <v>16783</v>
      </c>
      <c r="UVG240" s="181">
        <v>16784</v>
      </c>
      <c r="UVH240" s="181">
        <v>16785</v>
      </c>
      <c r="UVI240" s="181">
        <v>16786</v>
      </c>
      <c r="UVJ240" s="181">
        <v>16787</v>
      </c>
      <c r="UVK240" s="181">
        <v>16788</v>
      </c>
      <c r="UVL240" s="181">
        <v>16789</v>
      </c>
      <c r="UVM240" s="181">
        <v>16790</v>
      </c>
      <c r="UVN240" s="181">
        <v>16791</v>
      </c>
      <c r="UVO240" s="181">
        <v>16792</v>
      </c>
      <c r="UVP240" s="181">
        <v>16793</v>
      </c>
      <c r="UVQ240" s="181">
        <v>16794</v>
      </c>
      <c r="UVR240" s="181">
        <v>16795</v>
      </c>
      <c r="UVS240" s="181">
        <v>16796</v>
      </c>
      <c r="UVT240" s="181">
        <v>16797</v>
      </c>
      <c r="UVU240" s="181">
        <v>16798</v>
      </c>
      <c r="UVV240" s="181">
        <v>16799</v>
      </c>
      <c r="UVW240" s="181">
        <v>16800</v>
      </c>
      <c r="UVX240" s="181">
        <v>16801</v>
      </c>
      <c r="UVY240" s="181">
        <v>16802</v>
      </c>
      <c r="UVZ240" s="181">
        <v>16803</v>
      </c>
      <c r="UWA240" s="181">
        <v>16804</v>
      </c>
      <c r="UWB240" s="181">
        <v>16805</v>
      </c>
      <c r="UWC240" s="181">
        <v>16806</v>
      </c>
      <c r="UWD240" s="181">
        <v>16807</v>
      </c>
      <c r="UWE240" s="181">
        <v>16808</v>
      </c>
      <c r="UWF240" s="181">
        <v>16809</v>
      </c>
      <c r="UWG240" s="181">
        <v>16810</v>
      </c>
      <c r="UWH240" s="181">
        <v>16811</v>
      </c>
      <c r="UWI240" s="181">
        <v>16812</v>
      </c>
      <c r="UWJ240" s="181">
        <v>16813</v>
      </c>
      <c r="UWK240" s="181">
        <v>16814</v>
      </c>
      <c r="UWL240" s="181">
        <v>16815</v>
      </c>
      <c r="UWM240" s="181">
        <v>16816</v>
      </c>
      <c r="UWN240" s="181">
        <v>16817</v>
      </c>
      <c r="UWO240" s="181">
        <v>16818</v>
      </c>
      <c r="UWP240" s="181">
        <v>16819</v>
      </c>
      <c r="UWQ240" s="181">
        <v>16820</v>
      </c>
      <c r="UWR240" s="181">
        <v>16821</v>
      </c>
      <c r="UWS240" s="181">
        <v>16822</v>
      </c>
      <c r="UWT240" s="181">
        <v>16823</v>
      </c>
      <c r="UWU240" s="181">
        <v>16824</v>
      </c>
      <c r="UWV240" s="181">
        <v>16825</v>
      </c>
      <c r="UWW240" s="181">
        <v>16826</v>
      </c>
      <c r="UWX240" s="181">
        <v>16827</v>
      </c>
      <c r="UWY240" s="181">
        <v>16828</v>
      </c>
      <c r="UWZ240" s="181">
        <v>16829</v>
      </c>
      <c r="UXA240" s="181">
        <v>16830</v>
      </c>
      <c r="UXB240" s="181">
        <v>16831</v>
      </c>
      <c r="UXC240" s="181">
        <v>16832</v>
      </c>
      <c r="UXD240" s="181">
        <v>16833</v>
      </c>
      <c r="UXE240" s="181">
        <v>16834</v>
      </c>
      <c r="UXF240" s="181">
        <v>16835</v>
      </c>
      <c r="UXG240" s="181">
        <v>16836</v>
      </c>
      <c r="UXH240" s="181">
        <v>16837</v>
      </c>
      <c r="UXI240" s="181">
        <v>16838</v>
      </c>
      <c r="UXJ240" s="181">
        <v>16839</v>
      </c>
      <c r="UXK240" s="181">
        <v>16840</v>
      </c>
      <c r="UXL240" s="181">
        <v>16841</v>
      </c>
      <c r="UXM240" s="181">
        <v>16842</v>
      </c>
      <c r="UXN240" s="181">
        <v>16843</v>
      </c>
      <c r="UXO240" s="181">
        <v>16844</v>
      </c>
      <c r="UXP240" s="181">
        <v>16845</v>
      </c>
      <c r="UXQ240" s="181">
        <v>16846</v>
      </c>
      <c r="UXR240" s="181">
        <v>16847</v>
      </c>
      <c r="UXS240" s="181">
        <v>16848</v>
      </c>
      <c r="UXT240" s="181">
        <v>16849</v>
      </c>
      <c r="UXU240" s="181">
        <v>16850</v>
      </c>
      <c r="UXV240" s="181">
        <v>16851</v>
      </c>
      <c r="UXW240" s="181">
        <v>16852</v>
      </c>
      <c r="UXX240" s="181">
        <v>16853</v>
      </c>
      <c r="UXY240" s="181">
        <v>16854</v>
      </c>
      <c r="UXZ240" s="181">
        <v>16855</v>
      </c>
      <c r="UYA240" s="181">
        <v>16856</v>
      </c>
      <c r="UYB240" s="181">
        <v>16857</v>
      </c>
      <c r="UYC240" s="181">
        <v>16858</v>
      </c>
      <c r="UYD240" s="181">
        <v>16859</v>
      </c>
      <c r="UYE240" s="181">
        <v>16860</v>
      </c>
      <c r="UYF240" s="181">
        <v>16861</v>
      </c>
      <c r="UYG240" s="181">
        <v>16862</v>
      </c>
      <c r="UYH240" s="181">
        <v>16863</v>
      </c>
      <c r="UYI240" s="181">
        <v>16864</v>
      </c>
      <c r="UYJ240" s="181">
        <v>16865</v>
      </c>
      <c r="UYK240" s="181">
        <v>16866</v>
      </c>
      <c r="UYL240" s="181">
        <v>16867</v>
      </c>
      <c r="UYM240" s="181">
        <v>16868</v>
      </c>
      <c r="UYN240" s="181">
        <v>16869</v>
      </c>
      <c r="UYO240" s="181">
        <v>16870</v>
      </c>
      <c r="UYP240" s="181">
        <v>16871</v>
      </c>
      <c r="UYQ240" s="181">
        <v>16872</v>
      </c>
      <c r="UYR240" s="181">
        <v>16873</v>
      </c>
      <c r="UYS240" s="181">
        <v>16874</v>
      </c>
      <c r="UYT240" s="181">
        <v>16875</v>
      </c>
      <c r="UYU240" s="181">
        <v>16876</v>
      </c>
      <c r="UYV240" s="181">
        <v>16877</v>
      </c>
      <c r="UYW240" s="181">
        <v>16878</v>
      </c>
      <c r="UYX240" s="181">
        <v>16879</v>
      </c>
      <c r="UYY240" s="181">
        <v>16880</v>
      </c>
      <c r="UYZ240" s="181">
        <v>16881</v>
      </c>
      <c r="UZA240" s="181">
        <v>16882</v>
      </c>
      <c r="UZB240" s="181">
        <v>16883</v>
      </c>
      <c r="UZC240" s="181">
        <v>16884</v>
      </c>
      <c r="UZD240" s="181">
        <v>16885</v>
      </c>
      <c r="UZE240" s="181">
        <v>16886</v>
      </c>
      <c r="UZF240" s="181">
        <v>16887</v>
      </c>
      <c r="UZG240" s="181">
        <v>16888</v>
      </c>
      <c r="UZH240" s="181">
        <v>16889</v>
      </c>
      <c r="UZI240" s="181">
        <v>16890</v>
      </c>
      <c r="UZJ240" s="181">
        <v>16891</v>
      </c>
      <c r="UZK240" s="181">
        <v>16892</v>
      </c>
      <c r="UZL240" s="181">
        <v>16893</v>
      </c>
      <c r="UZM240" s="181">
        <v>16894</v>
      </c>
      <c r="UZN240" s="181">
        <v>16895</v>
      </c>
      <c r="UZO240" s="181">
        <v>16896</v>
      </c>
      <c r="UZP240" s="181">
        <v>16897</v>
      </c>
      <c r="UZQ240" s="181">
        <v>16898</v>
      </c>
      <c r="UZR240" s="181">
        <v>16899</v>
      </c>
      <c r="UZS240" s="181">
        <v>16900</v>
      </c>
      <c r="UZT240" s="181">
        <v>16901</v>
      </c>
      <c r="UZU240" s="181">
        <v>16902</v>
      </c>
      <c r="UZV240" s="181">
        <v>16903</v>
      </c>
      <c r="UZW240" s="181">
        <v>16904</v>
      </c>
      <c r="UZX240" s="181">
        <v>16905</v>
      </c>
      <c r="UZY240" s="181">
        <v>16906</v>
      </c>
      <c r="UZZ240" s="181">
        <v>16907</v>
      </c>
      <c r="VAA240" s="181">
        <v>16908</v>
      </c>
      <c r="VAB240" s="181">
        <v>16909</v>
      </c>
      <c r="VAC240" s="181">
        <v>16910</v>
      </c>
      <c r="VAD240" s="181">
        <v>16911</v>
      </c>
      <c r="VAE240" s="181">
        <v>16912</v>
      </c>
      <c r="VAF240" s="181">
        <v>16913</v>
      </c>
      <c r="VAG240" s="181">
        <v>16914</v>
      </c>
      <c r="VAH240" s="181">
        <v>16915</v>
      </c>
      <c r="VAI240" s="181">
        <v>16916</v>
      </c>
      <c r="VAJ240" s="181">
        <v>16917</v>
      </c>
      <c r="VAK240" s="181">
        <v>16918</v>
      </c>
      <c r="VAL240" s="181">
        <v>16919</v>
      </c>
      <c r="VAM240" s="181">
        <v>16920</v>
      </c>
      <c r="VAN240" s="181">
        <v>16921</v>
      </c>
      <c r="VAO240" s="181">
        <v>16922</v>
      </c>
      <c r="VAP240" s="181">
        <v>16923</v>
      </c>
      <c r="VAQ240" s="181">
        <v>16924</v>
      </c>
      <c r="VAR240" s="181">
        <v>16925</v>
      </c>
      <c r="VAS240" s="181">
        <v>16926</v>
      </c>
      <c r="VAT240" s="181">
        <v>16927</v>
      </c>
      <c r="VAU240" s="181">
        <v>16928</v>
      </c>
      <c r="VAV240" s="181">
        <v>16929</v>
      </c>
      <c r="VAW240" s="181">
        <v>16930</v>
      </c>
      <c r="VAX240" s="181">
        <v>16931</v>
      </c>
      <c r="VAY240" s="181">
        <v>16932</v>
      </c>
      <c r="VAZ240" s="181">
        <v>16933</v>
      </c>
      <c r="VBA240" s="181">
        <v>16934</v>
      </c>
      <c r="VBB240" s="181">
        <v>16935</v>
      </c>
      <c r="VBC240" s="181">
        <v>16936</v>
      </c>
      <c r="VBD240" s="181">
        <v>16937</v>
      </c>
      <c r="VBE240" s="181">
        <v>16938</v>
      </c>
      <c r="VBF240" s="181">
        <v>16939</v>
      </c>
      <c r="VBG240" s="181">
        <v>16940</v>
      </c>
      <c r="VBH240" s="181">
        <v>16941</v>
      </c>
      <c r="VBI240" s="181">
        <v>16942</v>
      </c>
      <c r="VBJ240" s="181">
        <v>16943</v>
      </c>
      <c r="VBK240" s="181">
        <v>16944</v>
      </c>
      <c r="VBL240" s="181">
        <v>16945</v>
      </c>
      <c r="VBM240" s="181">
        <v>16946</v>
      </c>
      <c r="VBN240" s="181">
        <v>16947</v>
      </c>
      <c r="VBO240" s="181">
        <v>16948</v>
      </c>
      <c r="VBP240" s="181">
        <v>16949</v>
      </c>
      <c r="VBQ240" s="181">
        <v>16950</v>
      </c>
      <c r="VBR240" s="181">
        <v>16951</v>
      </c>
      <c r="VBS240" s="181">
        <v>16952</v>
      </c>
      <c r="VBT240" s="181">
        <v>16953</v>
      </c>
      <c r="VBU240" s="181">
        <v>16954</v>
      </c>
      <c r="VBV240" s="181">
        <v>16955</v>
      </c>
      <c r="VBW240" s="181">
        <v>16956</v>
      </c>
      <c r="VBX240" s="181">
        <v>16957</v>
      </c>
      <c r="VBY240" s="181">
        <v>16958</v>
      </c>
      <c r="VBZ240" s="181">
        <v>16959</v>
      </c>
      <c r="VCA240" s="181">
        <v>16960</v>
      </c>
      <c r="VCB240" s="181">
        <v>16961</v>
      </c>
      <c r="VCC240" s="181">
        <v>16962</v>
      </c>
      <c r="VCD240" s="181">
        <v>16963</v>
      </c>
      <c r="VCE240" s="181">
        <v>16964</v>
      </c>
      <c r="VCF240" s="181">
        <v>16965</v>
      </c>
      <c r="VCG240" s="181">
        <v>16966</v>
      </c>
      <c r="VCH240" s="181">
        <v>16967</v>
      </c>
      <c r="VCI240" s="181">
        <v>16968</v>
      </c>
      <c r="VCJ240" s="181">
        <v>16969</v>
      </c>
      <c r="VCK240" s="181">
        <v>16970</v>
      </c>
      <c r="VCL240" s="181">
        <v>16971</v>
      </c>
      <c r="VCM240" s="181">
        <v>16972</v>
      </c>
      <c r="VCN240" s="181">
        <v>16973</v>
      </c>
      <c r="VCO240" s="181">
        <v>16974</v>
      </c>
      <c r="VCP240" s="181">
        <v>16975</v>
      </c>
      <c r="VCQ240" s="181">
        <v>16976</v>
      </c>
      <c r="VCR240" s="181">
        <v>16977</v>
      </c>
      <c r="VCS240" s="181">
        <v>16978</v>
      </c>
      <c r="VCT240" s="181">
        <v>16979</v>
      </c>
      <c r="VCU240" s="181">
        <v>16980</v>
      </c>
      <c r="VCV240" s="181">
        <v>16981</v>
      </c>
      <c r="VCW240" s="181">
        <v>16982</v>
      </c>
      <c r="VCX240" s="181">
        <v>16983</v>
      </c>
      <c r="VCY240" s="181">
        <v>16984</v>
      </c>
      <c r="VCZ240" s="181">
        <v>16985</v>
      </c>
      <c r="VDA240" s="181">
        <v>16986</v>
      </c>
      <c r="VDB240" s="181">
        <v>16987</v>
      </c>
      <c r="VDC240" s="181">
        <v>16988</v>
      </c>
      <c r="VDD240" s="181">
        <v>16989</v>
      </c>
      <c r="VDE240" s="181">
        <v>16990</v>
      </c>
      <c r="VDF240" s="181">
        <v>16991</v>
      </c>
      <c r="VDG240" s="181">
        <v>16992</v>
      </c>
      <c r="VDH240" s="181">
        <v>16993</v>
      </c>
      <c r="VDI240" s="181">
        <v>16994</v>
      </c>
      <c r="VDJ240" s="181">
        <v>16995</v>
      </c>
      <c r="VDK240" s="181">
        <v>16996</v>
      </c>
      <c r="VDL240" s="181">
        <v>16997</v>
      </c>
      <c r="VDM240" s="181">
        <v>16998</v>
      </c>
      <c r="VDN240" s="181">
        <v>16999</v>
      </c>
      <c r="VDO240" s="181">
        <v>17000</v>
      </c>
      <c r="VDP240" s="181">
        <v>17001</v>
      </c>
      <c r="VDQ240" s="181">
        <v>17002</v>
      </c>
      <c r="VDR240" s="181">
        <v>17003</v>
      </c>
      <c r="VDS240" s="181">
        <v>17004</v>
      </c>
      <c r="VDT240" s="181">
        <v>17005</v>
      </c>
      <c r="VDU240" s="181">
        <v>17006</v>
      </c>
      <c r="VDV240" s="181">
        <v>17007</v>
      </c>
      <c r="VDW240" s="181">
        <v>17008</v>
      </c>
      <c r="VDX240" s="181">
        <v>17009</v>
      </c>
      <c r="VDY240" s="181">
        <v>17010</v>
      </c>
      <c r="VDZ240" s="181">
        <v>17011</v>
      </c>
      <c r="VEA240" s="181">
        <v>17012</v>
      </c>
      <c r="VEB240" s="181">
        <v>17013</v>
      </c>
      <c r="VEC240" s="181">
        <v>17014</v>
      </c>
      <c r="VED240" s="181">
        <v>17015</v>
      </c>
      <c r="VEE240" s="181">
        <v>17016</v>
      </c>
      <c r="VEF240" s="181">
        <v>17017</v>
      </c>
      <c r="VEG240" s="181">
        <v>17018</v>
      </c>
      <c r="VEH240" s="181">
        <v>17019</v>
      </c>
      <c r="VEI240" s="181">
        <v>17020</v>
      </c>
      <c r="VEJ240" s="181">
        <v>17021</v>
      </c>
      <c r="VEK240" s="181">
        <v>17022</v>
      </c>
      <c r="VEL240" s="181">
        <v>17023</v>
      </c>
      <c r="VEM240" s="181">
        <v>17024</v>
      </c>
      <c r="VEN240" s="181">
        <v>17025</v>
      </c>
      <c r="VEO240" s="181">
        <v>17026</v>
      </c>
      <c r="VEP240" s="181">
        <v>17027</v>
      </c>
      <c r="VEQ240" s="181">
        <v>17028</v>
      </c>
      <c r="VER240" s="181">
        <v>17029</v>
      </c>
      <c r="VES240" s="181">
        <v>17030</v>
      </c>
      <c r="VET240" s="181">
        <v>17031</v>
      </c>
      <c r="VEU240" s="181">
        <v>17032</v>
      </c>
      <c r="VEV240" s="181">
        <v>17033</v>
      </c>
      <c r="VEW240" s="181">
        <v>17034</v>
      </c>
      <c r="VEX240" s="181">
        <v>17035</v>
      </c>
      <c r="VEY240" s="181">
        <v>17036</v>
      </c>
      <c r="VEZ240" s="181">
        <v>17037</v>
      </c>
      <c r="VFA240" s="181">
        <v>17038</v>
      </c>
      <c r="VFB240" s="181">
        <v>17039</v>
      </c>
      <c r="VFC240" s="181">
        <v>17040</v>
      </c>
      <c r="VFD240" s="181">
        <v>17041</v>
      </c>
      <c r="VFE240" s="181">
        <v>17042</v>
      </c>
      <c r="VFF240" s="181">
        <v>17043</v>
      </c>
      <c r="VFG240" s="181">
        <v>17044</v>
      </c>
      <c r="VFH240" s="181">
        <v>17045</v>
      </c>
      <c r="VFI240" s="181">
        <v>17046</v>
      </c>
      <c r="VFJ240" s="181">
        <v>17047</v>
      </c>
      <c r="VFK240" s="181">
        <v>17048</v>
      </c>
      <c r="VFL240" s="181">
        <v>17049</v>
      </c>
      <c r="VFM240" s="181">
        <v>17050</v>
      </c>
      <c r="VFN240" s="181">
        <v>17051</v>
      </c>
      <c r="VFO240" s="181">
        <v>17052</v>
      </c>
      <c r="VFP240" s="181">
        <v>17053</v>
      </c>
      <c r="VFQ240" s="181">
        <v>17054</v>
      </c>
      <c r="VFR240" s="181">
        <v>17055</v>
      </c>
      <c r="VFS240" s="181">
        <v>17056</v>
      </c>
      <c r="VFT240" s="181">
        <v>17057</v>
      </c>
      <c r="VFU240" s="181">
        <v>17058</v>
      </c>
      <c r="VFV240" s="181">
        <v>17059</v>
      </c>
      <c r="VFW240" s="181">
        <v>17060</v>
      </c>
      <c r="VFX240" s="181">
        <v>17061</v>
      </c>
      <c r="VFY240" s="181">
        <v>17062</v>
      </c>
      <c r="VFZ240" s="181">
        <v>17063</v>
      </c>
      <c r="VGA240" s="181">
        <v>17064</v>
      </c>
      <c r="VGB240" s="181">
        <v>17065</v>
      </c>
      <c r="VGC240" s="181">
        <v>17066</v>
      </c>
      <c r="VGD240" s="181">
        <v>17067</v>
      </c>
      <c r="VGE240" s="181">
        <v>17068</v>
      </c>
      <c r="VGF240" s="181">
        <v>17069</v>
      </c>
      <c r="VGG240" s="181">
        <v>17070</v>
      </c>
      <c r="VGH240" s="181">
        <v>17071</v>
      </c>
      <c r="VGI240" s="181">
        <v>17072</v>
      </c>
      <c r="VGJ240" s="181">
        <v>17073</v>
      </c>
      <c r="VGK240" s="181">
        <v>17074</v>
      </c>
      <c r="VGL240" s="181">
        <v>17075</v>
      </c>
      <c r="VGM240" s="181">
        <v>17076</v>
      </c>
      <c r="VGN240" s="181">
        <v>17077</v>
      </c>
      <c r="VGO240" s="181">
        <v>17078</v>
      </c>
      <c r="VGP240" s="181">
        <v>17079</v>
      </c>
      <c r="VGQ240" s="181">
        <v>17080</v>
      </c>
      <c r="VGR240" s="181">
        <v>17081</v>
      </c>
      <c r="VGS240" s="181">
        <v>17082</v>
      </c>
      <c r="VGT240" s="181">
        <v>17083</v>
      </c>
      <c r="VGU240" s="181">
        <v>17084</v>
      </c>
      <c r="VGV240" s="181">
        <v>17085</v>
      </c>
      <c r="VGW240" s="181">
        <v>17086</v>
      </c>
      <c r="VGX240" s="181">
        <v>17087</v>
      </c>
      <c r="VGY240" s="181">
        <v>17088</v>
      </c>
      <c r="VGZ240" s="181">
        <v>17089</v>
      </c>
      <c r="VHA240" s="181">
        <v>17090</v>
      </c>
      <c r="VHB240" s="181">
        <v>17091</v>
      </c>
      <c r="VHC240" s="181">
        <v>17092</v>
      </c>
      <c r="VHD240" s="181">
        <v>17093</v>
      </c>
      <c r="VHE240" s="181">
        <v>17094</v>
      </c>
      <c r="VHF240" s="181">
        <v>17095</v>
      </c>
      <c r="VHG240" s="181">
        <v>17096</v>
      </c>
      <c r="VHH240" s="181">
        <v>17097</v>
      </c>
      <c r="VHI240" s="181">
        <v>17098</v>
      </c>
      <c r="VHJ240" s="181">
        <v>17099</v>
      </c>
      <c r="VHK240" s="181">
        <v>17100</v>
      </c>
      <c r="VHL240" s="181">
        <v>17101</v>
      </c>
      <c r="VHM240" s="181">
        <v>17102</v>
      </c>
      <c r="VHN240" s="181">
        <v>17103</v>
      </c>
      <c r="VHO240" s="181">
        <v>17104</v>
      </c>
      <c r="VHP240" s="181">
        <v>17105</v>
      </c>
      <c r="VHQ240" s="181">
        <v>17106</v>
      </c>
      <c r="VHR240" s="181">
        <v>17107</v>
      </c>
      <c r="VHS240" s="181">
        <v>17108</v>
      </c>
      <c r="VHT240" s="181">
        <v>17109</v>
      </c>
      <c r="VHU240" s="181">
        <v>17110</v>
      </c>
      <c r="VHV240" s="181">
        <v>17111</v>
      </c>
      <c r="VHW240" s="181">
        <v>17112</v>
      </c>
      <c r="VHX240" s="181">
        <v>17113</v>
      </c>
      <c r="VHY240" s="181">
        <v>17114</v>
      </c>
      <c r="VHZ240" s="181">
        <v>17115</v>
      </c>
      <c r="VIA240" s="181">
        <v>17116</v>
      </c>
      <c r="VIB240" s="181">
        <v>17117</v>
      </c>
      <c r="VIC240" s="181">
        <v>17118</v>
      </c>
      <c r="VID240" s="181">
        <v>17119</v>
      </c>
      <c r="VIE240" s="181">
        <v>17120</v>
      </c>
      <c r="VIF240" s="181">
        <v>17121</v>
      </c>
      <c r="VIG240" s="181">
        <v>17122</v>
      </c>
      <c r="VIH240" s="181">
        <v>17123</v>
      </c>
      <c r="VII240" s="181">
        <v>17124</v>
      </c>
      <c r="VIJ240" s="181">
        <v>17125</v>
      </c>
      <c r="VIK240" s="181">
        <v>17126</v>
      </c>
      <c r="VIL240" s="181">
        <v>17127</v>
      </c>
      <c r="VIM240" s="181">
        <v>17128</v>
      </c>
      <c r="VIN240" s="181">
        <v>17129</v>
      </c>
      <c r="VIO240" s="181">
        <v>17130</v>
      </c>
      <c r="VIP240" s="181">
        <v>17131</v>
      </c>
      <c r="VIQ240" s="181">
        <v>17132</v>
      </c>
      <c r="VIR240" s="181">
        <v>17133</v>
      </c>
      <c r="VIS240" s="181">
        <v>17134</v>
      </c>
      <c r="VIT240" s="181">
        <v>17135</v>
      </c>
      <c r="VIU240" s="181">
        <v>17136</v>
      </c>
      <c r="VIV240" s="181">
        <v>17137</v>
      </c>
      <c r="VIW240" s="181">
        <v>17138</v>
      </c>
      <c r="VIX240" s="181">
        <v>17139</v>
      </c>
      <c r="VIY240" s="181">
        <v>17140</v>
      </c>
      <c r="VIZ240" s="181">
        <v>17141</v>
      </c>
      <c r="VJA240" s="181">
        <v>17142</v>
      </c>
      <c r="VJB240" s="181">
        <v>17143</v>
      </c>
      <c r="VJC240" s="181">
        <v>17144</v>
      </c>
      <c r="VJD240" s="181">
        <v>17145</v>
      </c>
      <c r="VJE240" s="181">
        <v>17146</v>
      </c>
      <c r="VJF240" s="181">
        <v>17147</v>
      </c>
      <c r="VJG240" s="181">
        <v>17148</v>
      </c>
      <c r="VJH240" s="181">
        <v>17149</v>
      </c>
      <c r="VJI240" s="181">
        <v>17150</v>
      </c>
      <c r="VJJ240" s="181">
        <v>17151</v>
      </c>
      <c r="VJK240" s="181">
        <v>17152</v>
      </c>
      <c r="VJL240" s="181">
        <v>17153</v>
      </c>
      <c r="VJM240" s="181">
        <v>17154</v>
      </c>
      <c r="VJN240" s="181">
        <v>17155</v>
      </c>
      <c r="VJO240" s="181">
        <v>17156</v>
      </c>
      <c r="VJP240" s="181">
        <v>17157</v>
      </c>
      <c r="VJQ240" s="181">
        <v>17158</v>
      </c>
      <c r="VJR240" s="181">
        <v>17159</v>
      </c>
      <c r="VJS240" s="181">
        <v>17160</v>
      </c>
      <c r="VJT240" s="181">
        <v>17161</v>
      </c>
      <c r="VJU240" s="181">
        <v>17162</v>
      </c>
      <c r="VJV240" s="181">
        <v>17163</v>
      </c>
      <c r="VJW240" s="181">
        <v>17164</v>
      </c>
      <c r="VJX240" s="181">
        <v>17165</v>
      </c>
      <c r="VJY240" s="181">
        <v>17166</v>
      </c>
      <c r="VJZ240" s="181">
        <v>17167</v>
      </c>
      <c r="VKA240" s="181">
        <v>17168</v>
      </c>
      <c r="VKB240" s="181">
        <v>17169</v>
      </c>
      <c r="VKC240" s="181">
        <v>17170</v>
      </c>
      <c r="VKD240" s="181">
        <v>17171</v>
      </c>
      <c r="VKE240" s="181">
        <v>17172</v>
      </c>
      <c r="VKF240" s="181">
        <v>17173</v>
      </c>
      <c r="VKG240" s="181">
        <v>17174</v>
      </c>
      <c r="VKH240" s="181">
        <v>17175</v>
      </c>
      <c r="VKI240" s="181">
        <v>17176</v>
      </c>
      <c r="VKJ240" s="181">
        <v>17177</v>
      </c>
      <c r="VKK240" s="181">
        <v>17178</v>
      </c>
      <c r="VKL240" s="181">
        <v>17179</v>
      </c>
      <c r="VKM240" s="181">
        <v>17180</v>
      </c>
      <c r="VKN240" s="181">
        <v>17181</v>
      </c>
      <c r="VKO240" s="181">
        <v>17182</v>
      </c>
      <c r="VKP240" s="181">
        <v>17183</v>
      </c>
      <c r="VKQ240" s="181">
        <v>17184</v>
      </c>
      <c r="VKR240" s="181">
        <v>17185</v>
      </c>
      <c r="VKS240" s="181">
        <v>17186</v>
      </c>
      <c r="VKT240" s="181">
        <v>17187</v>
      </c>
      <c r="VKU240" s="181">
        <v>17188</v>
      </c>
      <c r="VKV240" s="181">
        <v>17189</v>
      </c>
      <c r="VKW240" s="181">
        <v>17190</v>
      </c>
      <c r="VKX240" s="181">
        <v>17191</v>
      </c>
      <c r="VKY240" s="181">
        <v>17192</v>
      </c>
      <c r="VKZ240" s="181">
        <v>17193</v>
      </c>
      <c r="VLA240" s="181">
        <v>17194</v>
      </c>
      <c r="VLB240" s="181">
        <v>17195</v>
      </c>
      <c r="VLC240" s="181">
        <v>17196</v>
      </c>
      <c r="VLD240" s="181">
        <v>17197</v>
      </c>
      <c r="VLE240" s="181">
        <v>17198</v>
      </c>
      <c r="VLF240" s="181">
        <v>17199</v>
      </c>
      <c r="VLG240" s="181">
        <v>17200</v>
      </c>
      <c r="VLH240" s="181">
        <v>17201</v>
      </c>
      <c r="VLI240" s="181">
        <v>17202</v>
      </c>
      <c r="VLJ240" s="181">
        <v>17203</v>
      </c>
      <c r="VLK240" s="181">
        <v>17204</v>
      </c>
      <c r="VLL240" s="181">
        <v>17205</v>
      </c>
      <c r="VLM240" s="181">
        <v>17206</v>
      </c>
      <c r="VLN240" s="181">
        <v>17207</v>
      </c>
      <c r="VLO240" s="181">
        <v>17208</v>
      </c>
      <c r="VLP240" s="181">
        <v>17209</v>
      </c>
      <c r="VLQ240" s="181">
        <v>17210</v>
      </c>
      <c r="VLR240" s="181">
        <v>17211</v>
      </c>
      <c r="VLS240" s="181">
        <v>17212</v>
      </c>
      <c r="VLT240" s="181">
        <v>17213</v>
      </c>
      <c r="VLU240" s="181">
        <v>17214</v>
      </c>
      <c r="VLV240" s="181">
        <v>17215</v>
      </c>
      <c r="VLW240" s="181">
        <v>17216</v>
      </c>
      <c r="VLX240" s="181">
        <v>17217</v>
      </c>
      <c r="VLY240" s="181">
        <v>17218</v>
      </c>
      <c r="VLZ240" s="181">
        <v>17219</v>
      </c>
      <c r="VMA240" s="181">
        <v>17220</v>
      </c>
      <c r="VMB240" s="181">
        <v>17221</v>
      </c>
      <c r="VMC240" s="181">
        <v>17222</v>
      </c>
      <c r="VMD240" s="181">
        <v>17223</v>
      </c>
      <c r="VME240" s="181">
        <v>17224</v>
      </c>
      <c r="VMF240" s="181">
        <v>17225</v>
      </c>
      <c r="VMG240" s="181">
        <v>17226</v>
      </c>
      <c r="VMH240" s="181">
        <v>17227</v>
      </c>
      <c r="VMI240" s="181">
        <v>17228</v>
      </c>
      <c r="VMJ240" s="181">
        <v>17229</v>
      </c>
      <c r="VMK240" s="181">
        <v>17230</v>
      </c>
      <c r="VML240" s="181">
        <v>17231</v>
      </c>
      <c r="VMM240" s="181">
        <v>17232</v>
      </c>
      <c r="VMN240" s="181">
        <v>17233</v>
      </c>
      <c r="VMO240" s="181">
        <v>17234</v>
      </c>
      <c r="VMP240" s="181">
        <v>17235</v>
      </c>
      <c r="VMQ240" s="181">
        <v>17236</v>
      </c>
      <c r="VMR240" s="181">
        <v>17237</v>
      </c>
      <c r="VMS240" s="181">
        <v>17238</v>
      </c>
      <c r="VMT240" s="181">
        <v>17239</v>
      </c>
      <c r="VMU240" s="181">
        <v>17240</v>
      </c>
      <c r="VMV240" s="181">
        <v>17241</v>
      </c>
      <c r="VMW240" s="181">
        <v>17242</v>
      </c>
      <c r="VMX240" s="181">
        <v>17243</v>
      </c>
      <c r="VMY240" s="181">
        <v>17244</v>
      </c>
      <c r="VMZ240" s="181">
        <v>17245</v>
      </c>
      <c r="VNA240" s="181">
        <v>17246</v>
      </c>
      <c r="VNB240" s="181">
        <v>17247</v>
      </c>
      <c r="VNC240" s="181">
        <v>17248</v>
      </c>
      <c r="VND240" s="181">
        <v>17249</v>
      </c>
      <c r="VNE240" s="181">
        <v>17250</v>
      </c>
      <c r="VNF240" s="181">
        <v>17251</v>
      </c>
      <c r="VNG240" s="181">
        <v>17252</v>
      </c>
      <c r="VNH240" s="181">
        <v>17253</v>
      </c>
      <c r="VNI240" s="181">
        <v>17254</v>
      </c>
      <c r="VNJ240" s="181">
        <v>17255</v>
      </c>
      <c r="VNK240" s="181">
        <v>17256</v>
      </c>
      <c r="VNL240" s="181">
        <v>17257</v>
      </c>
      <c r="VNM240" s="181">
        <v>17258</v>
      </c>
      <c r="VNN240" s="181">
        <v>17259</v>
      </c>
      <c r="VNO240" s="181">
        <v>17260</v>
      </c>
      <c r="VNP240" s="181">
        <v>17261</v>
      </c>
      <c r="VNQ240" s="181">
        <v>17262</v>
      </c>
      <c r="VNR240" s="181">
        <v>17263</v>
      </c>
      <c r="VNS240" s="181">
        <v>17264</v>
      </c>
      <c r="VNT240" s="181">
        <v>17265</v>
      </c>
      <c r="VNU240" s="181">
        <v>17266</v>
      </c>
      <c r="VNV240" s="181">
        <v>17267</v>
      </c>
      <c r="VNW240" s="181">
        <v>17268</v>
      </c>
      <c r="VNX240" s="181">
        <v>17269</v>
      </c>
      <c r="VNY240" s="181">
        <v>17270</v>
      </c>
      <c r="VNZ240" s="181">
        <v>17271</v>
      </c>
      <c r="VOA240" s="181">
        <v>17272</v>
      </c>
      <c r="VOB240" s="181">
        <v>17273</v>
      </c>
      <c r="VOC240" s="181">
        <v>17274</v>
      </c>
      <c r="VOD240" s="181">
        <v>17275</v>
      </c>
      <c r="VOE240" s="181">
        <v>17276</v>
      </c>
      <c r="VOF240" s="181">
        <v>17277</v>
      </c>
      <c r="VOG240" s="181">
        <v>17278</v>
      </c>
      <c r="VOH240" s="181">
        <v>17279</v>
      </c>
      <c r="VOI240" s="181">
        <v>17280</v>
      </c>
      <c r="VOJ240" s="181">
        <v>17281</v>
      </c>
      <c r="VOK240" s="181">
        <v>17282</v>
      </c>
      <c r="VOL240" s="181">
        <v>17283</v>
      </c>
      <c r="VOM240" s="181">
        <v>17284</v>
      </c>
      <c r="VON240" s="181">
        <v>17285</v>
      </c>
      <c r="VOO240" s="181">
        <v>17286</v>
      </c>
      <c r="VOP240" s="181">
        <v>17287</v>
      </c>
      <c r="VOQ240" s="181">
        <v>17288</v>
      </c>
      <c r="VOR240" s="181">
        <v>17289</v>
      </c>
      <c r="VOS240" s="181">
        <v>17290</v>
      </c>
      <c r="VOT240" s="181">
        <v>17291</v>
      </c>
      <c r="VOU240" s="181">
        <v>17292</v>
      </c>
      <c r="VOV240" s="181">
        <v>17293</v>
      </c>
      <c r="VOW240" s="181">
        <v>17294</v>
      </c>
      <c r="VOX240" s="181">
        <v>17295</v>
      </c>
      <c r="VOY240" s="181">
        <v>17296</v>
      </c>
      <c r="VOZ240" s="181">
        <v>17297</v>
      </c>
      <c r="VPA240" s="181">
        <v>17298</v>
      </c>
      <c r="VPB240" s="181">
        <v>17299</v>
      </c>
      <c r="VPC240" s="181">
        <v>17300</v>
      </c>
      <c r="VPD240" s="181">
        <v>17301</v>
      </c>
      <c r="VPE240" s="181">
        <v>17302</v>
      </c>
      <c r="VPF240" s="181">
        <v>17303</v>
      </c>
      <c r="VPG240" s="181">
        <v>17304</v>
      </c>
      <c r="VPH240" s="181">
        <v>17305</v>
      </c>
      <c r="VPI240" s="181">
        <v>17306</v>
      </c>
      <c r="VPJ240" s="181">
        <v>17307</v>
      </c>
      <c r="VPK240" s="181">
        <v>17308</v>
      </c>
      <c r="VPL240" s="181">
        <v>17309</v>
      </c>
      <c r="VPM240" s="181">
        <v>17310</v>
      </c>
      <c r="VPN240" s="181">
        <v>17311</v>
      </c>
      <c r="VPO240" s="181">
        <v>17312</v>
      </c>
      <c r="VPP240" s="181">
        <v>17313</v>
      </c>
      <c r="VPQ240" s="181">
        <v>17314</v>
      </c>
      <c r="VPR240" s="181">
        <v>17315</v>
      </c>
      <c r="VPS240" s="181">
        <v>17316</v>
      </c>
      <c r="VPT240" s="181">
        <v>17317</v>
      </c>
      <c r="VPU240" s="181">
        <v>17318</v>
      </c>
      <c r="VPV240" s="181">
        <v>17319</v>
      </c>
      <c r="VPW240" s="181">
        <v>17320</v>
      </c>
      <c r="VPX240" s="181">
        <v>17321</v>
      </c>
      <c r="VPY240" s="181">
        <v>17322</v>
      </c>
      <c r="VPZ240" s="181">
        <v>17323</v>
      </c>
      <c r="VQA240" s="181">
        <v>17324</v>
      </c>
      <c r="VQB240" s="181">
        <v>17325</v>
      </c>
      <c r="VQC240" s="181">
        <v>17326</v>
      </c>
      <c r="VQD240" s="181">
        <v>17327</v>
      </c>
      <c r="VQE240" s="181">
        <v>17328</v>
      </c>
      <c r="VQF240" s="181">
        <v>17329</v>
      </c>
      <c r="VQG240" s="181">
        <v>17330</v>
      </c>
      <c r="VQH240" s="181">
        <v>17331</v>
      </c>
      <c r="VQI240" s="181">
        <v>17332</v>
      </c>
      <c r="VQJ240" s="181">
        <v>17333</v>
      </c>
      <c r="VQK240" s="181">
        <v>17334</v>
      </c>
      <c r="VQL240" s="181">
        <v>17335</v>
      </c>
      <c r="VQM240" s="181">
        <v>17336</v>
      </c>
      <c r="VQN240" s="181">
        <v>17337</v>
      </c>
      <c r="VQO240" s="181">
        <v>17338</v>
      </c>
      <c r="VQP240" s="181">
        <v>17339</v>
      </c>
      <c r="VQQ240" s="181">
        <v>17340</v>
      </c>
      <c r="VQR240" s="181">
        <v>17341</v>
      </c>
      <c r="VQS240" s="181">
        <v>17342</v>
      </c>
      <c r="VQT240" s="181">
        <v>17343</v>
      </c>
      <c r="VQU240" s="181">
        <v>17344</v>
      </c>
      <c r="VQV240" s="181">
        <v>17345</v>
      </c>
      <c r="VQW240" s="181">
        <v>17346</v>
      </c>
      <c r="VQX240" s="181">
        <v>17347</v>
      </c>
      <c r="VQY240" s="181">
        <v>17348</v>
      </c>
      <c r="VQZ240" s="181">
        <v>17349</v>
      </c>
      <c r="VRA240" s="181">
        <v>17350</v>
      </c>
      <c r="VRB240" s="181">
        <v>17351</v>
      </c>
      <c r="VRC240" s="181">
        <v>17352</v>
      </c>
      <c r="VRD240" s="181">
        <v>17353</v>
      </c>
      <c r="VRE240" s="181">
        <v>17354</v>
      </c>
      <c r="VRF240" s="181">
        <v>17355</v>
      </c>
      <c r="VRG240" s="181">
        <v>17356</v>
      </c>
      <c r="VRH240" s="181">
        <v>17357</v>
      </c>
      <c r="VRI240" s="181">
        <v>17358</v>
      </c>
      <c r="VRJ240" s="181">
        <v>17359</v>
      </c>
      <c r="VRK240" s="181">
        <v>17360</v>
      </c>
      <c r="VRL240" s="181">
        <v>17361</v>
      </c>
      <c r="VRM240" s="181">
        <v>17362</v>
      </c>
      <c r="VRN240" s="181">
        <v>17363</v>
      </c>
      <c r="VRO240" s="181">
        <v>17364</v>
      </c>
      <c r="VRP240" s="181">
        <v>17365</v>
      </c>
      <c r="VRQ240" s="181">
        <v>17366</v>
      </c>
      <c r="VRR240" s="181">
        <v>17367</v>
      </c>
      <c r="VRS240" s="181">
        <v>17368</v>
      </c>
      <c r="VRT240" s="181">
        <v>17369</v>
      </c>
      <c r="VRU240" s="181">
        <v>17370</v>
      </c>
      <c r="VRV240" s="181">
        <v>17371</v>
      </c>
      <c r="VRW240" s="181">
        <v>17372</v>
      </c>
      <c r="VRX240" s="181">
        <v>17373</v>
      </c>
      <c r="VRY240" s="181">
        <v>17374</v>
      </c>
      <c r="VRZ240" s="181">
        <v>17375</v>
      </c>
      <c r="VSA240" s="181">
        <v>17376</v>
      </c>
      <c r="VSB240" s="181">
        <v>17377</v>
      </c>
      <c r="VSC240" s="181">
        <v>17378</v>
      </c>
      <c r="VSD240" s="181">
        <v>17379</v>
      </c>
      <c r="VSE240" s="181">
        <v>17380</v>
      </c>
      <c r="VSF240" s="181">
        <v>17381</v>
      </c>
      <c r="VSG240" s="181">
        <v>17382</v>
      </c>
      <c r="VSH240" s="181">
        <v>17383</v>
      </c>
      <c r="VSI240" s="181">
        <v>17384</v>
      </c>
      <c r="VSJ240" s="181">
        <v>17385</v>
      </c>
      <c r="VSK240" s="181">
        <v>17386</v>
      </c>
      <c r="VSL240" s="181">
        <v>17387</v>
      </c>
      <c r="VSM240" s="181">
        <v>17388</v>
      </c>
      <c r="VSN240" s="181">
        <v>17389</v>
      </c>
      <c r="VSO240" s="181">
        <v>17390</v>
      </c>
      <c r="VSP240" s="181">
        <v>17391</v>
      </c>
      <c r="VSQ240" s="181">
        <v>17392</v>
      </c>
      <c r="VSR240" s="181">
        <v>17393</v>
      </c>
      <c r="VSS240" s="181">
        <v>17394</v>
      </c>
      <c r="VST240" s="181">
        <v>17395</v>
      </c>
      <c r="VSU240" s="181">
        <v>17396</v>
      </c>
      <c r="VSV240" s="181">
        <v>17397</v>
      </c>
      <c r="VSW240" s="181">
        <v>17398</v>
      </c>
      <c r="VSX240" s="181">
        <v>17399</v>
      </c>
      <c r="VSY240" s="181">
        <v>17400</v>
      </c>
      <c r="VSZ240" s="181">
        <v>17401</v>
      </c>
      <c r="VTA240" s="181">
        <v>17402</v>
      </c>
      <c r="VTB240" s="181">
        <v>17403</v>
      </c>
      <c r="VTC240" s="181">
        <v>17404</v>
      </c>
      <c r="VTD240" s="181">
        <v>17405</v>
      </c>
      <c r="VTE240" s="181">
        <v>17406</v>
      </c>
      <c r="VTF240" s="181">
        <v>17407</v>
      </c>
      <c r="VTG240" s="181">
        <v>17408</v>
      </c>
      <c r="VTH240" s="181">
        <v>17409</v>
      </c>
      <c r="VTI240" s="181">
        <v>17410</v>
      </c>
      <c r="VTJ240" s="181">
        <v>17411</v>
      </c>
      <c r="VTK240" s="181">
        <v>17412</v>
      </c>
      <c r="VTL240" s="181">
        <v>17413</v>
      </c>
      <c r="VTM240" s="181">
        <v>17414</v>
      </c>
      <c r="VTN240" s="181">
        <v>17415</v>
      </c>
      <c r="VTO240" s="181">
        <v>17416</v>
      </c>
      <c r="VTP240" s="181">
        <v>17417</v>
      </c>
      <c r="VTQ240" s="181">
        <v>17418</v>
      </c>
      <c r="VTR240" s="181">
        <v>17419</v>
      </c>
      <c r="VTS240" s="181">
        <v>17420</v>
      </c>
      <c r="VTT240" s="181">
        <v>17421</v>
      </c>
      <c r="VTU240" s="181">
        <v>17422</v>
      </c>
      <c r="VTV240" s="181">
        <v>17423</v>
      </c>
      <c r="VTW240" s="181">
        <v>17424</v>
      </c>
      <c r="VTX240" s="181">
        <v>17425</v>
      </c>
      <c r="VTY240" s="181">
        <v>17426</v>
      </c>
      <c r="VTZ240" s="181">
        <v>17427</v>
      </c>
      <c r="VUA240" s="181">
        <v>17428</v>
      </c>
      <c r="VUB240" s="181">
        <v>17429</v>
      </c>
      <c r="VUC240" s="181">
        <v>17430</v>
      </c>
      <c r="VUD240" s="181">
        <v>17431</v>
      </c>
      <c r="VUE240" s="181">
        <v>17432</v>
      </c>
      <c r="VUF240" s="181">
        <v>17433</v>
      </c>
      <c r="VUG240" s="181">
        <v>17434</v>
      </c>
      <c r="VUH240" s="181">
        <v>17435</v>
      </c>
      <c r="VUI240" s="181">
        <v>17436</v>
      </c>
      <c r="VUJ240" s="181">
        <v>17437</v>
      </c>
      <c r="VUK240" s="181">
        <v>17438</v>
      </c>
      <c r="VUL240" s="181">
        <v>17439</v>
      </c>
      <c r="VUM240" s="181">
        <v>17440</v>
      </c>
      <c r="VUN240" s="181">
        <v>17441</v>
      </c>
      <c r="VUO240" s="181">
        <v>17442</v>
      </c>
      <c r="VUP240" s="181">
        <v>17443</v>
      </c>
      <c r="VUQ240" s="181">
        <v>17444</v>
      </c>
      <c r="VUR240" s="181">
        <v>17445</v>
      </c>
      <c r="VUS240" s="181">
        <v>17446</v>
      </c>
      <c r="VUT240" s="181">
        <v>17447</v>
      </c>
      <c r="VUU240" s="181">
        <v>17448</v>
      </c>
      <c r="VUV240" s="181">
        <v>17449</v>
      </c>
      <c r="VUW240" s="181">
        <v>17450</v>
      </c>
      <c r="VUX240" s="181">
        <v>17451</v>
      </c>
      <c r="VUY240" s="181">
        <v>17452</v>
      </c>
      <c r="VUZ240" s="181">
        <v>17453</v>
      </c>
      <c r="VVA240" s="181">
        <v>17454</v>
      </c>
      <c r="VVB240" s="181">
        <v>17455</v>
      </c>
      <c r="VVC240" s="181">
        <v>17456</v>
      </c>
      <c r="VVD240" s="181">
        <v>17457</v>
      </c>
      <c r="VVE240" s="181">
        <v>17458</v>
      </c>
      <c r="VVF240" s="181">
        <v>17459</v>
      </c>
      <c r="VVG240" s="181">
        <v>17460</v>
      </c>
      <c r="VVH240" s="181">
        <v>17461</v>
      </c>
      <c r="VVI240" s="181">
        <v>17462</v>
      </c>
      <c r="VVJ240" s="181">
        <v>17463</v>
      </c>
      <c r="VVK240" s="181">
        <v>17464</v>
      </c>
      <c r="VVL240" s="181">
        <v>17465</v>
      </c>
      <c r="VVM240" s="181">
        <v>17466</v>
      </c>
      <c r="VVN240" s="181">
        <v>17467</v>
      </c>
      <c r="VVO240" s="181">
        <v>17468</v>
      </c>
      <c r="VVP240" s="181">
        <v>17469</v>
      </c>
      <c r="VVQ240" s="181">
        <v>17470</v>
      </c>
      <c r="VVR240" s="181">
        <v>17471</v>
      </c>
      <c r="VVS240" s="181">
        <v>17472</v>
      </c>
      <c r="VVT240" s="181">
        <v>17473</v>
      </c>
      <c r="VVU240" s="181">
        <v>17474</v>
      </c>
      <c r="VVV240" s="181">
        <v>17475</v>
      </c>
      <c r="VVW240" s="181">
        <v>17476</v>
      </c>
      <c r="VVX240" s="181">
        <v>17477</v>
      </c>
      <c r="VVY240" s="181">
        <v>17478</v>
      </c>
      <c r="VVZ240" s="181">
        <v>17479</v>
      </c>
      <c r="VWA240" s="181">
        <v>17480</v>
      </c>
      <c r="VWB240" s="181">
        <v>17481</v>
      </c>
      <c r="VWC240" s="181">
        <v>17482</v>
      </c>
      <c r="VWD240" s="181">
        <v>17483</v>
      </c>
      <c r="VWE240" s="181">
        <v>17484</v>
      </c>
      <c r="VWF240" s="181">
        <v>17485</v>
      </c>
      <c r="VWG240" s="181">
        <v>17486</v>
      </c>
      <c r="VWH240" s="181">
        <v>17487</v>
      </c>
      <c r="VWI240" s="181">
        <v>17488</v>
      </c>
      <c r="VWJ240" s="181">
        <v>17489</v>
      </c>
      <c r="VWK240" s="181">
        <v>17490</v>
      </c>
      <c r="VWL240" s="181">
        <v>17491</v>
      </c>
      <c r="VWM240" s="181">
        <v>17492</v>
      </c>
      <c r="VWN240" s="181">
        <v>17493</v>
      </c>
      <c r="VWO240" s="181">
        <v>17494</v>
      </c>
      <c r="VWP240" s="181">
        <v>17495</v>
      </c>
      <c r="VWQ240" s="181">
        <v>17496</v>
      </c>
      <c r="VWR240" s="181">
        <v>17497</v>
      </c>
      <c r="VWS240" s="181">
        <v>17498</v>
      </c>
      <c r="VWT240" s="181">
        <v>17499</v>
      </c>
      <c r="VWU240" s="181">
        <v>17500</v>
      </c>
      <c r="VWV240" s="181">
        <v>17501</v>
      </c>
      <c r="VWW240" s="181">
        <v>17502</v>
      </c>
      <c r="VWX240" s="181">
        <v>17503</v>
      </c>
      <c r="VWY240" s="181">
        <v>17504</v>
      </c>
      <c r="VWZ240" s="181">
        <v>17505</v>
      </c>
      <c r="VXA240" s="181">
        <v>17506</v>
      </c>
      <c r="VXB240" s="181">
        <v>17507</v>
      </c>
      <c r="VXC240" s="181">
        <v>17508</v>
      </c>
      <c r="VXD240" s="181">
        <v>17509</v>
      </c>
      <c r="VXE240" s="181">
        <v>17510</v>
      </c>
      <c r="VXF240" s="181">
        <v>17511</v>
      </c>
      <c r="VXG240" s="181">
        <v>17512</v>
      </c>
      <c r="VXH240" s="181">
        <v>17513</v>
      </c>
      <c r="VXI240" s="181">
        <v>17514</v>
      </c>
      <c r="VXJ240" s="181">
        <v>17515</v>
      </c>
      <c r="VXK240" s="181">
        <v>17516</v>
      </c>
      <c r="VXL240" s="181">
        <v>17517</v>
      </c>
      <c r="VXM240" s="181">
        <v>17518</v>
      </c>
      <c r="VXN240" s="181">
        <v>17519</v>
      </c>
      <c r="VXO240" s="181">
        <v>17520</v>
      </c>
      <c r="VXP240" s="181">
        <v>17521</v>
      </c>
      <c r="VXQ240" s="181">
        <v>17522</v>
      </c>
      <c r="VXR240" s="181">
        <v>17523</v>
      </c>
      <c r="VXS240" s="181">
        <v>17524</v>
      </c>
      <c r="VXT240" s="181">
        <v>17525</v>
      </c>
      <c r="VXU240" s="181">
        <v>17526</v>
      </c>
      <c r="VXV240" s="181">
        <v>17527</v>
      </c>
      <c r="VXW240" s="181">
        <v>17528</v>
      </c>
      <c r="VXX240" s="181">
        <v>17529</v>
      </c>
      <c r="VXY240" s="181">
        <v>17530</v>
      </c>
      <c r="VXZ240" s="181">
        <v>17531</v>
      </c>
      <c r="VYA240" s="181">
        <v>17532</v>
      </c>
      <c r="VYB240" s="181">
        <v>17533</v>
      </c>
      <c r="VYC240" s="181">
        <v>17534</v>
      </c>
      <c r="VYD240" s="181">
        <v>17535</v>
      </c>
      <c r="VYE240" s="181">
        <v>17536</v>
      </c>
      <c r="VYF240" s="181">
        <v>17537</v>
      </c>
      <c r="VYG240" s="181">
        <v>17538</v>
      </c>
      <c r="VYH240" s="181">
        <v>17539</v>
      </c>
      <c r="VYI240" s="181">
        <v>17540</v>
      </c>
      <c r="VYJ240" s="181">
        <v>17541</v>
      </c>
      <c r="VYK240" s="181">
        <v>17542</v>
      </c>
      <c r="VYL240" s="181">
        <v>17543</v>
      </c>
      <c r="VYM240" s="181">
        <v>17544</v>
      </c>
      <c r="VYN240" s="181">
        <v>17545</v>
      </c>
      <c r="VYO240" s="181">
        <v>17546</v>
      </c>
      <c r="VYP240" s="181">
        <v>17547</v>
      </c>
      <c r="VYQ240" s="181">
        <v>17548</v>
      </c>
      <c r="VYR240" s="181">
        <v>17549</v>
      </c>
      <c r="VYS240" s="181">
        <v>17550</v>
      </c>
      <c r="VYT240" s="181">
        <v>17551</v>
      </c>
      <c r="VYU240" s="181">
        <v>17552</v>
      </c>
      <c r="VYV240" s="181">
        <v>17553</v>
      </c>
      <c r="VYW240" s="181">
        <v>17554</v>
      </c>
      <c r="VYX240" s="181">
        <v>17555</v>
      </c>
      <c r="VYY240" s="181">
        <v>17556</v>
      </c>
      <c r="VYZ240" s="181">
        <v>17557</v>
      </c>
      <c r="VZA240" s="181">
        <v>17558</v>
      </c>
      <c r="VZB240" s="181">
        <v>17559</v>
      </c>
      <c r="VZC240" s="181">
        <v>17560</v>
      </c>
      <c r="VZD240" s="181">
        <v>17561</v>
      </c>
      <c r="VZE240" s="181">
        <v>17562</v>
      </c>
      <c r="VZF240" s="181">
        <v>17563</v>
      </c>
      <c r="VZG240" s="181">
        <v>17564</v>
      </c>
      <c r="VZH240" s="181">
        <v>17565</v>
      </c>
      <c r="VZI240" s="181">
        <v>17566</v>
      </c>
      <c r="VZJ240" s="181">
        <v>17567</v>
      </c>
      <c r="VZK240" s="181">
        <v>17568</v>
      </c>
      <c r="VZL240" s="181">
        <v>17569</v>
      </c>
      <c r="VZM240" s="181">
        <v>17570</v>
      </c>
      <c r="VZN240" s="181">
        <v>17571</v>
      </c>
      <c r="VZO240" s="181">
        <v>17572</v>
      </c>
      <c r="VZP240" s="181">
        <v>17573</v>
      </c>
      <c r="VZQ240" s="181">
        <v>17574</v>
      </c>
      <c r="VZR240" s="181">
        <v>17575</v>
      </c>
      <c r="VZS240" s="181">
        <v>17576</v>
      </c>
      <c r="VZT240" s="181">
        <v>17577</v>
      </c>
      <c r="VZU240" s="181">
        <v>17578</v>
      </c>
      <c r="VZV240" s="181">
        <v>17579</v>
      </c>
      <c r="VZW240" s="181">
        <v>17580</v>
      </c>
      <c r="VZX240" s="181">
        <v>17581</v>
      </c>
      <c r="VZY240" s="181">
        <v>17582</v>
      </c>
      <c r="VZZ240" s="181">
        <v>17583</v>
      </c>
      <c r="WAA240" s="181">
        <v>17584</v>
      </c>
      <c r="WAB240" s="181">
        <v>17585</v>
      </c>
      <c r="WAC240" s="181">
        <v>17586</v>
      </c>
      <c r="WAD240" s="181">
        <v>17587</v>
      </c>
      <c r="WAE240" s="181">
        <v>17588</v>
      </c>
      <c r="WAF240" s="181">
        <v>17589</v>
      </c>
      <c r="WAG240" s="181">
        <v>17590</v>
      </c>
      <c r="WAH240" s="181">
        <v>17591</v>
      </c>
      <c r="WAI240" s="181">
        <v>17592</v>
      </c>
      <c r="WAJ240" s="181">
        <v>17593</v>
      </c>
      <c r="WAK240" s="181">
        <v>17594</v>
      </c>
      <c r="WAL240" s="181">
        <v>17595</v>
      </c>
      <c r="WAM240" s="181">
        <v>17596</v>
      </c>
      <c r="WAN240" s="181">
        <v>17597</v>
      </c>
      <c r="WAO240" s="181">
        <v>17598</v>
      </c>
      <c r="WAP240" s="181">
        <v>17599</v>
      </c>
      <c r="WAQ240" s="181">
        <v>17600</v>
      </c>
      <c r="WAR240" s="181">
        <v>17601</v>
      </c>
      <c r="WAS240" s="181">
        <v>17602</v>
      </c>
      <c r="WAT240" s="181">
        <v>17603</v>
      </c>
      <c r="WAU240" s="181">
        <v>17604</v>
      </c>
      <c r="WAV240" s="181">
        <v>17605</v>
      </c>
      <c r="WAW240" s="181">
        <v>17606</v>
      </c>
      <c r="WAX240" s="181">
        <v>17607</v>
      </c>
      <c r="WAY240" s="181">
        <v>17608</v>
      </c>
      <c r="WAZ240" s="181">
        <v>17609</v>
      </c>
      <c r="WBA240" s="181">
        <v>17610</v>
      </c>
      <c r="WBB240" s="181">
        <v>17611</v>
      </c>
      <c r="WBC240" s="181">
        <v>17612</v>
      </c>
      <c r="WBD240" s="181">
        <v>17613</v>
      </c>
      <c r="WBE240" s="181">
        <v>17614</v>
      </c>
      <c r="WBF240" s="181">
        <v>17615</v>
      </c>
      <c r="WBG240" s="181">
        <v>17616</v>
      </c>
      <c r="WBH240" s="181">
        <v>17617</v>
      </c>
      <c r="WBI240" s="181">
        <v>17618</v>
      </c>
      <c r="WBJ240" s="181">
        <v>17619</v>
      </c>
      <c r="WBK240" s="181">
        <v>17620</v>
      </c>
      <c r="WBL240" s="181">
        <v>17621</v>
      </c>
      <c r="WBM240" s="181">
        <v>17622</v>
      </c>
      <c r="WBN240" s="181">
        <v>17623</v>
      </c>
      <c r="WBO240" s="181">
        <v>17624</v>
      </c>
      <c r="WBP240" s="181">
        <v>17625</v>
      </c>
      <c r="WBQ240" s="181">
        <v>17626</v>
      </c>
      <c r="WBR240" s="181">
        <v>17627</v>
      </c>
      <c r="WBS240" s="181">
        <v>17628</v>
      </c>
      <c r="WBT240" s="181">
        <v>17629</v>
      </c>
      <c r="WBU240" s="181">
        <v>17630</v>
      </c>
      <c r="WBV240" s="181">
        <v>17631</v>
      </c>
      <c r="WBW240" s="181">
        <v>17632</v>
      </c>
      <c r="WBX240" s="181">
        <v>17633</v>
      </c>
      <c r="WBY240" s="181">
        <v>17634</v>
      </c>
      <c r="WBZ240" s="181">
        <v>17635</v>
      </c>
      <c r="WCA240" s="181">
        <v>17636</v>
      </c>
      <c r="WCB240" s="181">
        <v>17637</v>
      </c>
      <c r="WCC240" s="181">
        <v>17638</v>
      </c>
      <c r="WCD240" s="181">
        <v>17639</v>
      </c>
      <c r="WCE240" s="181">
        <v>17640</v>
      </c>
      <c r="WCF240" s="181">
        <v>17641</v>
      </c>
      <c r="WCG240" s="181">
        <v>17642</v>
      </c>
      <c r="WCH240" s="181">
        <v>17643</v>
      </c>
      <c r="WCI240" s="181">
        <v>17644</v>
      </c>
      <c r="WCJ240" s="181">
        <v>17645</v>
      </c>
      <c r="WCK240" s="181">
        <v>17646</v>
      </c>
      <c r="WCL240" s="181">
        <v>17647</v>
      </c>
      <c r="WCM240" s="181">
        <v>17648</v>
      </c>
      <c r="WCN240" s="181">
        <v>17649</v>
      </c>
      <c r="WCO240" s="181">
        <v>17650</v>
      </c>
      <c r="WCP240" s="181">
        <v>17651</v>
      </c>
      <c r="WCQ240" s="181">
        <v>17652</v>
      </c>
      <c r="WCR240" s="181">
        <v>17653</v>
      </c>
      <c r="WCS240" s="181">
        <v>17654</v>
      </c>
      <c r="WCT240" s="181">
        <v>17655</v>
      </c>
      <c r="WCU240" s="181">
        <v>17656</v>
      </c>
      <c r="WCV240" s="181">
        <v>17657</v>
      </c>
      <c r="WCW240" s="181">
        <v>17658</v>
      </c>
      <c r="WCX240" s="181">
        <v>17659</v>
      </c>
      <c r="WCY240" s="181">
        <v>17660</v>
      </c>
      <c r="WCZ240" s="181">
        <v>17661</v>
      </c>
      <c r="WDA240" s="181">
        <v>17662</v>
      </c>
      <c r="WDB240" s="181">
        <v>17663</v>
      </c>
      <c r="WDC240" s="181">
        <v>17664</v>
      </c>
      <c r="WDD240" s="181">
        <v>17665</v>
      </c>
      <c r="WDE240" s="181">
        <v>17666</v>
      </c>
      <c r="WDF240" s="181">
        <v>17667</v>
      </c>
      <c r="WDG240" s="181">
        <v>17668</v>
      </c>
      <c r="WDH240" s="181">
        <v>17669</v>
      </c>
      <c r="WDI240" s="181">
        <v>17670</v>
      </c>
      <c r="WDJ240" s="181">
        <v>17671</v>
      </c>
      <c r="WDK240" s="181">
        <v>17672</v>
      </c>
      <c r="WDL240" s="181">
        <v>17673</v>
      </c>
      <c r="WDM240" s="181">
        <v>17674</v>
      </c>
      <c r="WDN240" s="181">
        <v>17675</v>
      </c>
      <c r="WDO240" s="181">
        <v>17676</v>
      </c>
      <c r="WDP240" s="181">
        <v>17677</v>
      </c>
      <c r="WDQ240" s="181">
        <v>17678</v>
      </c>
      <c r="WDR240" s="181">
        <v>17679</v>
      </c>
      <c r="WDS240" s="181">
        <v>17680</v>
      </c>
      <c r="WDT240" s="181">
        <v>17681</v>
      </c>
      <c r="WDU240" s="181">
        <v>17682</v>
      </c>
      <c r="WDV240" s="181">
        <v>17683</v>
      </c>
      <c r="WDW240" s="181">
        <v>17684</v>
      </c>
      <c r="WDX240" s="181">
        <v>17685</v>
      </c>
      <c r="WDY240" s="181">
        <v>17686</v>
      </c>
      <c r="WDZ240" s="181">
        <v>17687</v>
      </c>
      <c r="WEA240" s="181">
        <v>17688</v>
      </c>
      <c r="WEB240" s="181">
        <v>17689</v>
      </c>
      <c r="WEC240" s="181">
        <v>17690</v>
      </c>
      <c r="WED240" s="181">
        <v>17691</v>
      </c>
      <c r="WEE240" s="181">
        <v>17692</v>
      </c>
      <c r="WEF240" s="181">
        <v>17693</v>
      </c>
      <c r="WEG240" s="181">
        <v>17694</v>
      </c>
      <c r="WEH240" s="181">
        <v>17695</v>
      </c>
      <c r="WEI240" s="181">
        <v>17696</v>
      </c>
      <c r="WEJ240" s="181">
        <v>17697</v>
      </c>
      <c r="WEK240" s="181">
        <v>17698</v>
      </c>
      <c r="WEL240" s="181">
        <v>17699</v>
      </c>
      <c r="WEM240" s="181">
        <v>17700</v>
      </c>
      <c r="WEN240" s="181">
        <v>17701</v>
      </c>
      <c r="WEO240" s="181">
        <v>17702</v>
      </c>
      <c r="WEP240" s="181">
        <v>17703</v>
      </c>
      <c r="WEQ240" s="181">
        <v>17704</v>
      </c>
      <c r="WER240" s="181">
        <v>17705</v>
      </c>
      <c r="WES240" s="181">
        <v>17706</v>
      </c>
      <c r="WET240" s="181">
        <v>17707</v>
      </c>
      <c r="WEU240" s="181">
        <v>17708</v>
      </c>
      <c r="WEV240" s="181">
        <v>17709</v>
      </c>
      <c r="WEW240" s="181">
        <v>17710</v>
      </c>
      <c r="WEX240" s="181">
        <v>17711</v>
      </c>
      <c r="WEY240" s="181">
        <v>17712</v>
      </c>
      <c r="WEZ240" s="181">
        <v>17713</v>
      </c>
      <c r="WFA240" s="181">
        <v>17714</v>
      </c>
      <c r="WFB240" s="181">
        <v>17715</v>
      </c>
      <c r="WFC240" s="181">
        <v>17716</v>
      </c>
      <c r="WFD240" s="181">
        <v>17717</v>
      </c>
      <c r="WFE240" s="181">
        <v>17718</v>
      </c>
      <c r="WFF240" s="181">
        <v>17719</v>
      </c>
      <c r="WFG240" s="181">
        <v>17720</v>
      </c>
      <c r="WFH240" s="181">
        <v>17721</v>
      </c>
      <c r="WFI240" s="181">
        <v>17722</v>
      </c>
      <c r="WFJ240" s="181">
        <v>17723</v>
      </c>
      <c r="WFK240" s="181">
        <v>17724</v>
      </c>
      <c r="WFL240" s="181">
        <v>17725</v>
      </c>
      <c r="WFM240" s="181">
        <v>17726</v>
      </c>
      <c r="WFN240" s="181">
        <v>17727</v>
      </c>
      <c r="WFO240" s="181">
        <v>17728</v>
      </c>
      <c r="WFP240" s="181">
        <v>17729</v>
      </c>
      <c r="WFQ240" s="181">
        <v>17730</v>
      </c>
      <c r="WFR240" s="181">
        <v>17731</v>
      </c>
      <c r="WFS240" s="181">
        <v>17732</v>
      </c>
      <c r="WFT240" s="181">
        <v>17733</v>
      </c>
      <c r="WFU240" s="181">
        <v>17734</v>
      </c>
      <c r="WFV240" s="181">
        <v>17735</v>
      </c>
      <c r="WFW240" s="181">
        <v>17736</v>
      </c>
      <c r="WFX240" s="181">
        <v>17737</v>
      </c>
      <c r="WFY240" s="181">
        <v>17738</v>
      </c>
      <c r="WFZ240" s="181">
        <v>17739</v>
      </c>
      <c r="WGA240" s="181">
        <v>17740</v>
      </c>
      <c r="WGB240" s="181">
        <v>17741</v>
      </c>
      <c r="WGC240" s="181">
        <v>17742</v>
      </c>
      <c r="WGD240" s="181">
        <v>17743</v>
      </c>
      <c r="WGE240" s="181">
        <v>17744</v>
      </c>
      <c r="WGF240" s="181">
        <v>17745</v>
      </c>
      <c r="WGG240" s="181">
        <v>17746</v>
      </c>
      <c r="WGH240" s="181">
        <v>17747</v>
      </c>
      <c r="WGI240" s="181">
        <v>17748</v>
      </c>
      <c r="WGJ240" s="181">
        <v>17749</v>
      </c>
      <c r="WGK240" s="181">
        <v>17750</v>
      </c>
      <c r="WGL240" s="181">
        <v>17751</v>
      </c>
      <c r="WGM240" s="181">
        <v>17752</v>
      </c>
      <c r="WGN240" s="181">
        <v>17753</v>
      </c>
      <c r="WGO240" s="181">
        <v>17754</v>
      </c>
      <c r="WGP240" s="181">
        <v>17755</v>
      </c>
      <c r="WGQ240" s="181">
        <v>17756</v>
      </c>
      <c r="WGR240" s="181">
        <v>17757</v>
      </c>
      <c r="WGS240" s="181">
        <v>17758</v>
      </c>
      <c r="WGT240" s="181">
        <v>17759</v>
      </c>
      <c r="WGU240" s="181">
        <v>17760</v>
      </c>
      <c r="WGV240" s="181">
        <v>17761</v>
      </c>
      <c r="WGW240" s="181">
        <v>17762</v>
      </c>
      <c r="WGX240" s="181">
        <v>17763</v>
      </c>
      <c r="WGY240" s="181">
        <v>17764</v>
      </c>
      <c r="WGZ240" s="181">
        <v>17765</v>
      </c>
      <c r="WHA240" s="181">
        <v>17766</v>
      </c>
      <c r="WHB240" s="181">
        <v>17767</v>
      </c>
      <c r="WHC240" s="181">
        <v>17768</v>
      </c>
      <c r="WHD240" s="181">
        <v>17769</v>
      </c>
      <c r="WHE240" s="181">
        <v>17770</v>
      </c>
      <c r="WHF240" s="181">
        <v>17771</v>
      </c>
      <c r="WHG240" s="181">
        <v>17772</v>
      </c>
      <c r="WHH240" s="181">
        <v>17773</v>
      </c>
      <c r="WHI240" s="181">
        <v>17774</v>
      </c>
      <c r="WHJ240" s="181">
        <v>17775</v>
      </c>
      <c r="WHK240" s="181">
        <v>17776</v>
      </c>
      <c r="WHL240" s="181">
        <v>17777</v>
      </c>
      <c r="WHM240" s="181">
        <v>17778</v>
      </c>
      <c r="WHN240" s="181">
        <v>17779</v>
      </c>
      <c r="WHO240" s="181">
        <v>17780</v>
      </c>
      <c r="WHP240" s="181">
        <v>17781</v>
      </c>
      <c r="WHQ240" s="181">
        <v>17782</v>
      </c>
      <c r="WHR240" s="181">
        <v>17783</v>
      </c>
      <c r="WHS240" s="181">
        <v>17784</v>
      </c>
      <c r="WHT240" s="181">
        <v>17785</v>
      </c>
      <c r="WHU240" s="181">
        <v>17786</v>
      </c>
      <c r="WHV240" s="181">
        <v>17787</v>
      </c>
      <c r="WHW240" s="181">
        <v>17788</v>
      </c>
      <c r="WHX240" s="181">
        <v>17789</v>
      </c>
      <c r="WHY240" s="181">
        <v>17790</v>
      </c>
      <c r="WHZ240" s="181">
        <v>17791</v>
      </c>
      <c r="WIA240" s="181">
        <v>17792</v>
      </c>
      <c r="WIB240" s="181">
        <v>17793</v>
      </c>
      <c r="WIC240" s="181">
        <v>17794</v>
      </c>
      <c r="WID240" s="181">
        <v>17795</v>
      </c>
      <c r="WIE240" s="181">
        <v>17796</v>
      </c>
      <c r="WIF240" s="181">
        <v>17797</v>
      </c>
      <c r="WIG240" s="181">
        <v>17798</v>
      </c>
      <c r="WIH240" s="181">
        <v>17799</v>
      </c>
      <c r="WII240" s="181">
        <v>17800</v>
      </c>
      <c r="WIJ240" s="181">
        <v>17801</v>
      </c>
      <c r="WIK240" s="181">
        <v>17802</v>
      </c>
      <c r="WIL240" s="181">
        <v>17803</v>
      </c>
      <c r="WIM240" s="181">
        <v>17804</v>
      </c>
      <c r="WIN240" s="181">
        <v>17805</v>
      </c>
      <c r="WIO240" s="181">
        <v>17806</v>
      </c>
      <c r="WIP240" s="181">
        <v>17807</v>
      </c>
      <c r="WIQ240" s="181">
        <v>17808</v>
      </c>
      <c r="WIR240" s="181">
        <v>17809</v>
      </c>
      <c r="WIS240" s="181">
        <v>17810</v>
      </c>
      <c r="WIT240" s="181">
        <v>17811</v>
      </c>
      <c r="WIU240" s="181">
        <v>17812</v>
      </c>
      <c r="WIV240" s="181">
        <v>17813</v>
      </c>
      <c r="WIW240" s="181">
        <v>17814</v>
      </c>
      <c r="WIX240" s="181">
        <v>17815</v>
      </c>
      <c r="WIY240" s="181">
        <v>17816</v>
      </c>
      <c r="WIZ240" s="181">
        <v>17817</v>
      </c>
      <c r="WJA240" s="181">
        <v>17818</v>
      </c>
      <c r="WJB240" s="181">
        <v>17819</v>
      </c>
      <c r="WJC240" s="181">
        <v>17820</v>
      </c>
      <c r="WJD240" s="181">
        <v>17821</v>
      </c>
      <c r="WJE240" s="181">
        <v>17822</v>
      </c>
      <c r="WJF240" s="181">
        <v>17823</v>
      </c>
      <c r="WJG240" s="181">
        <v>17824</v>
      </c>
      <c r="WJH240" s="181">
        <v>17825</v>
      </c>
      <c r="WJI240" s="181">
        <v>17826</v>
      </c>
      <c r="WJJ240" s="181">
        <v>17827</v>
      </c>
      <c r="WJK240" s="181">
        <v>17828</v>
      </c>
      <c r="WJL240" s="181">
        <v>17829</v>
      </c>
      <c r="WJM240" s="181">
        <v>17830</v>
      </c>
      <c r="WJN240" s="181">
        <v>17831</v>
      </c>
      <c r="WJO240" s="181">
        <v>17832</v>
      </c>
      <c r="WJP240" s="181">
        <v>17833</v>
      </c>
      <c r="WJQ240" s="181">
        <v>17834</v>
      </c>
      <c r="WJR240" s="181">
        <v>17835</v>
      </c>
      <c r="WJS240" s="181">
        <v>17836</v>
      </c>
      <c r="WJT240" s="181">
        <v>17837</v>
      </c>
      <c r="WJU240" s="181">
        <v>17838</v>
      </c>
      <c r="WJV240" s="181">
        <v>17839</v>
      </c>
      <c r="WJW240" s="181">
        <v>17840</v>
      </c>
      <c r="WJX240" s="181">
        <v>17841</v>
      </c>
      <c r="WJY240" s="181">
        <v>17842</v>
      </c>
      <c r="WJZ240" s="181">
        <v>17843</v>
      </c>
      <c r="WKA240" s="181">
        <v>17844</v>
      </c>
      <c r="WKB240" s="181">
        <v>17845</v>
      </c>
      <c r="WKC240" s="181">
        <v>17846</v>
      </c>
      <c r="WKD240" s="181">
        <v>17847</v>
      </c>
      <c r="WKE240" s="181">
        <v>17848</v>
      </c>
      <c r="WKF240" s="181">
        <v>17849</v>
      </c>
      <c r="WKG240" s="181">
        <v>17850</v>
      </c>
      <c r="WKH240" s="181">
        <v>17851</v>
      </c>
      <c r="WKI240" s="181">
        <v>17852</v>
      </c>
      <c r="WKJ240" s="181">
        <v>17853</v>
      </c>
      <c r="WKK240" s="181">
        <v>17854</v>
      </c>
      <c r="WKL240" s="181">
        <v>17855</v>
      </c>
      <c r="WKM240" s="181">
        <v>17856</v>
      </c>
      <c r="WKN240" s="181">
        <v>17857</v>
      </c>
      <c r="WKO240" s="181">
        <v>17858</v>
      </c>
      <c r="WKP240" s="181">
        <v>17859</v>
      </c>
      <c r="WKQ240" s="181">
        <v>17860</v>
      </c>
      <c r="WKR240" s="181">
        <v>17861</v>
      </c>
      <c r="WKS240" s="181">
        <v>17862</v>
      </c>
      <c r="WKT240" s="181">
        <v>17863</v>
      </c>
      <c r="WKU240" s="181">
        <v>17864</v>
      </c>
      <c r="WKV240" s="181">
        <v>17865</v>
      </c>
      <c r="WKW240" s="181">
        <v>17866</v>
      </c>
      <c r="WKX240" s="181">
        <v>17867</v>
      </c>
      <c r="WKY240" s="181">
        <v>17868</v>
      </c>
      <c r="WKZ240" s="181">
        <v>17869</v>
      </c>
      <c r="WLA240" s="181">
        <v>17870</v>
      </c>
      <c r="WLB240" s="181">
        <v>17871</v>
      </c>
      <c r="WLC240" s="181">
        <v>17872</v>
      </c>
      <c r="WLD240" s="181">
        <v>17873</v>
      </c>
      <c r="WLE240" s="181">
        <v>17874</v>
      </c>
      <c r="WLF240" s="181">
        <v>17875</v>
      </c>
      <c r="WLG240" s="181">
        <v>17876</v>
      </c>
      <c r="WLH240" s="181">
        <v>17877</v>
      </c>
      <c r="WLI240" s="181">
        <v>17878</v>
      </c>
      <c r="WLJ240" s="181">
        <v>17879</v>
      </c>
      <c r="WLK240" s="181">
        <v>17880</v>
      </c>
      <c r="WLL240" s="181">
        <v>17881</v>
      </c>
      <c r="WLM240" s="181">
        <v>17882</v>
      </c>
      <c r="WLN240" s="181">
        <v>17883</v>
      </c>
      <c r="WLO240" s="181">
        <v>17884</v>
      </c>
      <c r="WLP240" s="181">
        <v>17885</v>
      </c>
      <c r="WLQ240" s="181">
        <v>17886</v>
      </c>
      <c r="WLR240" s="181">
        <v>17887</v>
      </c>
      <c r="WLS240" s="181">
        <v>17888</v>
      </c>
      <c r="WLT240" s="181">
        <v>17889</v>
      </c>
      <c r="WLU240" s="181">
        <v>17890</v>
      </c>
      <c r="WLV240" s="181">
        <v>17891</v>
      </c>
      <c r="WLW240" s="181">
        <v>17892</v>
      </c>
      <c r="WLX240" s="181">
        <v>17893</v>
      </c>
      <c r="WLY240" s="181">
        <v>17894</v>
      </c>
      <c r="WLZ240" s="181">
        <v>17895</v>
      </c>
      <c r="WMA240" s="181">
        <v>17896</v>
      </c>
      <c r="WMB240" s="181">
        <v>17897</v>
      </c>
      <c r="WMC240" s="181">
        <v>17898</v>
      </c>
      <c r="WMD240" s="181">
        <v>17899</v>
      </c>
      <c r="WME240" s="181">
        <v>17900</v>
      </c>
      <c r="WMF240" s="181">
        <v>17901</v>
      </c>
      <c r="WMG240" s="181">
        <v>17902</v>
      </c>
      <c r="WMH240" s="181">
        <v>17903</v>
      </c>
      <c r="WMI240" s="181">
        <v>17904</v>
      </c>
      <c r="WMJ240" s="181">
        <v>17905</v>
      </c>
      <c r="WMK240" s="181">
        <v>17906</v>
      </c>
      <c r="WML240" s="181">
        <v>17907</v>
      </c>
      <c r="WMM240" s="181">
        <v>17908</v>
      </c>
      <c r="WMN240" s="181">
        <v>17909</v>
      </c>
      <c r="WMO240" s="181">
        <v>17910</v>
      </c>
      <c r="WMP240" s="181">
        <v>17911</v>
      </c>
      <c r="WMQ240" s="181">
        <v>17912</v>
      </c>
      <c r="WMR240" s="181">
        <v>17913</v>
      </c>
      <c r="WMS240" s="181">
        <v>17914</v>
      </c>
      <c r="WMT240" s="181">
        <v>17915</v>
      </c>
      <c r="WMU240" s="181">
        <v>17916</v>
      </c>
      <c r="WMV240" s="181">
        <v>17917</v>
      </c>
      <c r="WMW240" s="181">
        <v>17918</v>
      </c>
      <c r="WMX240" s="181">
        <v>17919</v>
      </c>
      <c r="WMY240" s="181">
        <v>17920</v>
      </c>
      <c r="WMZ240" s="181">
        <v>17921</v>
      </c>
      <c r="WNA240" s="181">
        <v>17922</v>
      </c>
      <c r="WNB240" s="181">
        <v>17923</v>
      </c>
      <c r="WNC240" s="181">
        <v>17924</v>
      </c>
      <c r="WND240" s="181">
        <v>17925</v>
      </c>
      <c r="WNE240" s="181">
        <v>17926</v>
      </c>
      <c r="WNF240" s="181">
        <v>17927</v>
      </c>
      <c r="WNG240" s="181">
        <v>17928</v>
      </c>
      <c r="WNH240" s="181">
        <v>17929</v>
      </c>
      <c r="WNI240" s="181">
        <v>17930</v>
      </c>
      <c r="WNJ240" s="181">
        <v>17931</v>
      </c>
      <c r="WNK240" s="181">
        <v>17932</v>
      </c>
      <c r="WNL240" s="181">
        <v>17933</v>
      </c>
      <c r="WNM240" s="181">
        <v>17934</v>
      </c>
      <c r="WNN240" s="181">
        <v>17935</v>
      </c>
      <c r="WNO240" s="181">
        <v>17936</v>
      </c>
      <c r="WNP240" s="181">
        <v>17937</v>
      </c>
      <c r="WNQ240" s="181">
        <v>17938</v>
      </c>
      <c r="WNR240" s="181">
        <v>17939</v>
      </c>
      <c r="WNS240" s="181">
        <v>17940</v>
      </c>
      <c r="WNT240" s="181">
        <v>17941</v>
      </c>
      <c r="WNU240" s="181">
        <v>17942</v>
      </c>
      <c r="WNV240" s="181">
        <v>17943</v>
      </c>
      <c r="WNW240" s="181">
        <v>17944</v>
      </c>
      <c r="WNX240" s="181">
        <v>17945</v>
      </c>
      <c r="WNY240" s="181">
        <v>17946</v>
      </c>
      <c r="WNZ240" s="181">
        <v>17947</v>
      </c>
      <c r="WOA240" s="181">
        <v>17948</v>
      </c>
      <c r="WOB240" s="181">
        <v>17949</v>
      </c>
      <c r="WOC240" s="181">
        <v>17950</v>
      </c>
      <c r="WOD240" s="181">
        <v>17951</v>
      </c>
      <c r="WOE240" s="181">
        <v>17952</v>
      </c>
      <c r="WOF240" s="181">
        <v>17953</v>
      </c>
      <c r="WOG240" s="181">
        <v>17954</v>
      </c>
      <c r="WOH240" s="181">
        <v>17955</v>
      </c>
      <c r="WOI240" s="181">
        <v>17956</v>
      </c>
      <c r="WOJ240" s="181">
        <v>17957</v>
      </c>
      <c r="WOK240" s="181">
        <v>17958</v>
      </c>
      <c r="WOL240" s="181">
        <v>17959</v>
      </c>
      <c r="WOM240" s="181">
        <v>17960</v>
      </c>
      <c r="WON240" s="181">
        <v>17961</v>
      </c>
      <c r="WOO240" s="181">
        <v>17962</v>
      </c>
      <c r="WOP240" s="181">
        <v>17963</v>
      </c>
      <c r="WOQ240" s="181">
        <v>17964</v>
      </c>
      <c r="WOR240" s="181">
        <v>17965</v>
      </c>
      <c r="WOS240" s="181">
        <v>17966</v>
      </c>
      <c r="WOT240" s="181">
        <v>17967</v>
      </c>
      <c r="WOU240" s="181">
        <v>17968</v>
      </c>
      <c r="WOV240" s="181">
        <v>17969</v>
      </c>
      <c r="WOW240" s="181">
        <v>17970</v>
      </c>
      <c r="WOX240" s="181">
        <v>17971</v>
      </c>
      <c r="WOY240" s="181">
        <v>17972</v>
      </c>
      <c r="WOZ240" s="181">
        <v>17973</v>
      </c>
      <c r="WPA240" s="181">
        <v>17974</v>
      </c>
      <c r="WPB240" s="181">
        <v>17975</v>
      </c>
      <c r="WPC240" s="181">
        <v>17976</v>
      </c>
      <c r="WPD240" s="181">
        <v>17977</v>
      </c>
      <c r="WPE240" s="181">
        <v>17978</v>
      </c>
      <c r="WPF240" s="181">
        <v>17979</v>
      </c>
      <c r="WPG240" s="181">
        <v>17980</v>
      </c>
      <c r="WPH240" s="181">
        <v>17981</v>
      </c>
      <c r="WPI240" s="181">
        <v>17982</v>
      </c>
      <c r="WPJ240" s="181">
        <v>17983</v>
      </c>
      <c r="WPK240" s="181">
        <v>17984</v>
      </c>
      <c r="WPL240" s="181">
        <v>17985</v>
      </c>
      <c r="WPM240" s="181">
        <v>17986</v>
      </c>
      <c r="WPN240" s="181">
        <v>17987</v>
      </c>
      <c r="WPO240" s="181">
        <v>17988</v>
      </c>
      <c r="WPP240" s="181">
        <v>17989</v>
      </c>
      <c r="WPQ240" s="181">
        <v>17990</v>
      </c>
      <c r="WPR240" s="181">
        <v>17991</v>
      </c>
      <c r="WPS240" s="181">
        <v>17992</v>
      </c>
      <c r="WPT240" s="181">
        <v>17993</v>
      </c>
      <c r="WPU240" s="181">
        <v>17994</v>
      </c>
      <c r="WPV240" s="181">
        <v>17995</v>
      </c>
      <c r="WPW240" s="181">
        <v>17996</v>
      </c>
      <c r="WPX240" s="181">
        <v>17997</v>
      </c>
      <c r="WPY240" s="181">
        <v>17998</v>
      </c>
      <c r="WPZ240" s="181">
        <v>17999</v>
      </c>
      <c r="WQA240" s="181">
        <v>18000</v>
      </c>
      <c r="WQB240" s="181">
        <v>18001</v>
      </c>
      <c r="WQC240" s="181">
        <v>18002</v>
      </c>
      <c r="WQD240" s="181">
        <v>18003</v>
      </c>
      <c r="WQE240" s="181">
        <v>18004</v>
      </c>
      <c r="WQF240" s="181">
        <v>18005</v>
      </c>
      <c r="WQG240" s="181">
        <v>18006</v>
      </c>
      <c r="WQH240" s="181">
        <v>18007</v>
      </c>
      <c r="WQI240" s="181">
        <v>18008</v>
      </c>
      <c r="WQJ240" s="181">
        <v>18009</v>
      </c>
      <c r="WQK240" s="181">
        <v>18010</v>
      </c>
      <c r="WQL240" s="181">
        <v>18011</v>
      </c>
      <c r="WQM240" s="181">
        <v>18012</v>
      </c>
      <c r="WQN240" s="181">
        <v>18013</v>
      </c>
      <c r="WQO240" s="181">
        <v>18014</v>
      </c>
      <c r="WQP240" s="181">
        <v>18015</v>
      </c>
      <c r="WQQ240" s="181">
        <v>18016</v>
      </c>
      <c r="WQR240" s="181">
        <v>18017</v>
      </c>
      <c r="WQS240" s="181">
        <v>18018</v>
      </c>
      <c r="WQT240" s="181">
        <v>18019</v>
      </c>
      <c r="WQU240" s="181">
        <v>18020</v>
      </c>
      <c r="WQV240" s="181">
        <v>18021</v>
      </c>
      <c r="WQW240" s="181">
        <v>18022</v>
      </c>
      <c r="WQX240" s="181">
        <v>18023</v>
      </c>
      <c r="WQY240" s="181">
        <v>18024</v>
      </c>
      <c r="WQZ240" s="181">
        <v>18025</v>
      </c>
      <c r="WRA240" s="181">
        <v>18026</v>
      </c>
      <c r="WRB240" s="181">
        <v>18027</v>
      </c>
      <c r="WRC240" s="181">
        <v>18028</v>
      </c>
      <c r="WRD240" s="181">
        <v>18029</v>
      </c>
      <c r="WRE240" s="181">
        <v>18030</v>
      </c>
      <c r="WRF240" s="181">
        <v>18031</v>
      </c>
      <c r="WRG240" s="181">
        <v>18032</v>
      </c>
      <c r="WRH240" s="181">
        <v>18033</v>
      </c>
      <c r="WRI240" s="181">
        <v>18034</v>
      </c>
      <c r="WRJ240" s="181">
        <v>18035</v>
      </c>
      <c r="WRK240" s="181">
        <v>18036</v>
      </c>
      <c r="WRL240" s="181">
        <v>18037</v>
      </c>
      <c r="WRM240" s="181">
        <v>18038</v>
      </c>
      <c r="WRN240" s="181">
        <v>18039</v>
      </c>
      <c r="WRO240" s="181">
        <v>18040</v>
      </c>
      <c r="WRP240" s="181">
        <v>18041</v>
      </c>
      <c r="WRQ240" s="181">
        <v>18042</v>
      </c>
      <c r="WRR240" s="181">
        <v>18043</v>
      </c>
      <c r="WRS240" s="181">
        <v>18044</v>
      </c>
      <c r="WRT240" s="181">
        <v>18045</v>
      </c>
      <c r="WRU240" s="181">
        <v>18046</v>
      </c>
      <c r="WRV240" s="181">
        <v>18047</v>
      </c>
      <c r="WRW240" s="181">
        <v>18048</v>
      </c>
      <c r="WRX240" s="181">
        <v>18049</v>
      </c>
      <c r="WRY240" s="181">
        <v>18050</v>
      </c>
      <c r="WRZ240" s="181">
        <v>18051</v>
      </c>
      <c r="WSA240" s="181">
        <v>18052</v>
      </c>
      <c r="WSB240" s="181">
        <v>18053</v>
      </c>
      <c r="WSC240" s="181">
        <v>18054</v>
      </c>
      <c r="WSD240" s="181">
        <v>18055</v>
      </c>
      <c r="WSE240" s="181">
        <v>18056</v>
      </c>
      <c r="WSF240" s="181">
        <v>18057</v>
      </c>
      <c r="WSG240" s="181">
        <v>18058</v>
      </c>
      <c r="WSH240" s="181">
        <v>18059</v>
      </c>
      <c r="WSI240" s="181">
        <v>18060</v>
      </c>
      <c r="WSJ240" s="181">
        <v>18061</v>
      </c>
      <c r="WSK240" s="181">
        <v>18062</v>
      </c>
      <c r="WSL240" s="181">
        <v>18063</v>
      </c>
      <c r="WSM240" s="181">
        <v>18064</v>
      </c>
      <c r="WSN240" s="181">
        <v>18065</v>
      </c>
      <c r="WSO240" s="181">
        <v>18066</v>
      </c>
      <c r="WSP240" s="181">
        <v>18067</v>
      </c>
      <c r="WSQ240" s="181">
        <v>18068</v>
      </c>
      <c r="WSR240" s="181">
        <v>18069</v>
      </c>
      <c r="WSS240" s="181">
        <v>18070</v>
      </c>
      <c r="WST240" s="181">
        <v>18071</v>
      </c>
      <c r="WSU240" s="181">
        <v>18072</v>
      </c>
      <c r="WSV240" s="181">
        <v>18073</v>
      </c>
      <c r="WSW240" s="181">
        <v>18074</v>
      </c>
      <c r="WSX240" s="181">
        <v>18075</v>
      </c>
      <c r="WSY240" s="181">
        <v>18076</v>
      </c>
      <c r="WSZ240" s="181">
        <v>18077</v>
      </c>
      <c r="WTA240" s="181">
        <v>18078</v>
      </c>
      <c r="WTB240" s="181">
        <v>18079</v>
      </c>
      <c r="WTC240" s="181">
        <v>18080</v>
      </c>
      <c r="WTD240" s="181">
        <v>18081</v>
      </c>
      <c r="WTE240" s="181">
        <v>18082</v>
      </c>
      <c r="WTF240" s="181">
        <v>18083</v>
      </c>
      <c r="WTG240" s="181">
        <v>18084</v>
      </c>
      <c r="WTH240" s="181">
        <v>18085</v>
      </c>
      <c r="WTI240" s="181">
        <v>18086</v>
      </c>
      <c r="WTJ240" s="181">
        <v>18087</v>
      </c>
      <c r="WTK240" s="181">
        <v>18088</v>
      </c>
      <c r="WTL240" s="181">
        <v>18089</v>
      </c>
      <c r="WTM240" s="181">
        <v>18090</v>
      </c>
      <c r="WTN240" s="181">
        <v>18091</v>
      </c>
      <c r="WTO240" s="181">
        <v>18092</v>
      </c>
      <c r="WTP240" s="181">
        <v>18093</v>
      </c>
      <c r="WTQ240" s="181">
        <v>18094</v>
      </c>
      <c r="WTR240" s="181">
        <v>18095</v>
      </c>
      <c r="WTS240" s="181">
        <v>18096</v>
      </c>
      <c r="WTT240" s="181">
        <v>18097</v>
      </c>
      <c r="WTU240" s="181">
        <v>18098</v>
      </c>
      <c r="WTV240" s="181">
        <v>18099</v>
      </c>
      <c r="WTW240" s="181">
        <v>18100</v>
      </c>
      <c r="WTX240" s="181">
        <v>18101</v>
      </c>
      <c r="WTY240" s="181">
        <v>18102</v>
      </c>
      <c r="WTZ240" s="181">
        <v>18103</v>
      </c>
      <c r="WUA240" s="181">
        <v>18104</v>
      </c>
      <c r="WUB240" s="181">
        <v>18105</v>
      </c>
      <c r="WUC240" s="181">
        <v>18106</v>
      </c>
      <c r="WUD240" s="181">
        <v>18107</v>
      </c>
      <c r="WUE240" s="181">
        <v>18108</v>
      </c>
      <c r="WUF240" s="181">
        <v>18109</v>
      </c>
      <c r="WUG240" s="181">
        <v>18110</v>
      </c>
      <c r="WUH240" s="181">
        <v>18111</v>
      </c>
      <c r="WUI240" s="181">
        <v>18112</v>
      </c>
      <c r="WUJ240" s="181">
        <v>18113</v>
      </c>
      <c r="WUK240" s="181">
        <v>18114</v>
      </c>
      <c r="WUL240" s="181">
        <v>18115</v>
      </c>
      <c r="WUM240" s="181">
        <v>18116</v>
      </c>
      <c r="WUN240" s="181">
        <v>18117</v>
      </c>
      <c r="WUO240" s="181">
        <v>18118</v>
      </c>
      <c r="WUP240" s="181">
        <v>18119</v>
      </c>
      <c r="WUQ240" s="181">
        <v>18120</v>
      </c>
      <c r="WUR240" s="181">
        <v>18121</v>
      </c>
      <c r="WUS240" s="181">
        <v>18122</v>
      </c>
      <c r="WUT240" s="181">
        <v>18123</v>
      </c>
      <c r="WUU240" s="181">
        <v>18124</v>
      </c>
      <c r="WUV240" s="181">
        <v>18125</v>
      </c>
      <c r="WUW240" s="181">
        <v>18126</v>
      </c>
      <c r="WUX240" s="181">
        <v>18127</v>
      </c>
      <c r="WUY240" s="181">
        <v>18128</v>
      </c>
      <c r="WUZ240" s="181">
        <v>18129</v>
      </c>
      <c r="WVA240" s="181">
        <v>18130</v>
      </c>
      <c r="WVB240" s="181">
        <v>18131</v>
      </c>
      <c r="WVC240" s="181">
        <v>18132</v>
      </c>
      <c r="WVD240" s="181">
        <v>18133</v>
      </c>
      <c r="WVE240" s="181">
        <v>18134</v>
      </c>
      <c r="WVF240" s="181">
        <v>18135</v>
      </c>
      <c r="WVG240" s="181">
        <v>18136</v>
      </c>
      <c r="WVH240" s="181">
        <v>18137</v>
      </c>
      <c r="WVI240" s="181">
        <v>18138</v>
      </c>
      <c r="WVJ240" s="181">
        <v>18139</v>
      </c>
      <c r="WVK240" s="181">
        <v>18140</v>
      </c>
      <c r="WVL240" s="181">
        <v>18141</v>
      </c>
      <c r="WVM240" s="181">
        <v>18142</v>
      </c>
      <c r="WVN240" s="181">
        <v>18143</v>
      </c>
      <c r="WVO240" s="181">
        <v>18144</v>
      </c>
      <c r="WVP240" s="181">
        <v>18145</v>
      </c>
      <c r="WVQ240" s="181">
        <v>18146</v>
      </c>
      <c r="WVR240" s="181">
        <v>18147</v>
      </c>
      <c r="WVS240" s="181">
        <v>18148</v>
      </c>
      <c r="WVT240" s="181">
        <v>18149</v>
      </c>
      <c r="WVU240" s="181">
        <v>18150</v>
      </c>
      <c r="WVV240" s="181">
        <v>18151</v>
      </c>
      <c r="WVW240" s="181">
        <v>18152</v>
      </c>
      <c r="WVX240" s="181">
        <v>18153</v>
      </c>
      <c r="WVY240" s="181">
        <v>18154</v>
      </c>
      <c r="WVZ240" s="181">
        <v>18155</v>
      </c>
      <c r="WWA240" s="181">
        <v>18156</v>
      </c>
      <c r="WWB240" s="181">
        <v>18157</v>
      </c>
      <c r="WWC240" s="181">
        <v>18158</v>
      </c>
      <c r="WWD240" s="181">
        <v>18159</v>
      </c>
      <c r="WWE240" s="181">
        <v>18160</v>
      </c>
      <c r="WWF240" s="181">
        <v>18161</v>
      </c>
      <c r="WWG240" s="181">
        <v>18162</v>
      </c>
      <c r="WWH240" s="181">
        <v>18163</v>
      </c>
      <c r="WWI240" s="181">
        <v>18164</v>
      </c>
      <c r="WWJ240" s="181">
        <v>18165</v>
      </c>
      <c r="WWK240" s="181">
        <v>18166</v>
      </c>
      <c r="WWL240" s="181">
        <v>18167</v>
      </c>
      <c r="WWM240" s="181">
        <v>18168</v>
      </c>
      <c r="WWN240" s="181">
        <v>18169</v>
      </c>
      <c r="WWO240" s="181">
        <v>18170</v>
      </c>
      <c r="WWP240" s="181">
        <v>18171</v>
      </c>
      <c r="WWQ240" s="181">
        <v>18172</v>
      </c>
      <c r="WWR240" s="181">
        <v>18173</v>
      </c>
      <c r="WWS240" s="181">
        <v>18174</v>
      </c>
      <c r="WWT240" s="181">
        <v>18175</v>
      </c>
      <c r="WWU240" s="181">
        <v>18176</v>
      </c>
      <c r="WWV240" s="181">
        <v>18177</v>
      </c>
      <c r="WWW240" s="181">
        <v>18178</v>
      </c>
      <c r="WWX240" s="181">
        <v>18179</v>
      </c>
      <c r="WWY240" s="181">
        <v>18180</v>
      </c>
      <c r="WWZ240" s="181">
        <v>18181</v>
      </c>
      <c r="WXA240" s="181">
        <v>18182</v>
      </c>
      <c r="WXB240" s="181">
        <v>18183</v>
      </c>
      <c r="WXC240" s="181">
        <v>18184</v>
      </c>
      <c r="WXD240" s="181">
        <v>18185</v>
      </c>
      <c r="WXE240" s="181">
        <v>18186</v>
      </c>
      <c r="WXF240" s="181">
        <v>18187</v>
      </c>
      <c r="WXG240" s="181">
        <v>18188</v>
      </c>
      <c r="WXH240" s="181">
        <v>18189</v>
      </c>
      <c r="WXI240" s="181">
        <v>18190</v>
      </c>
      <c r="WXJ240" s="181">
        <v>18191</v>
      </c>
      <c r="WXK240" s="181">
        <v>18192</v>
      </c>
      <c r="WXL240" s="181">
        <v>18193</v>
      </c>
      <c r="WXM240" s="181">
        <v>18194</v>
      </c>
      <c r="WXN240" s="181">
        <v>18195</v>
      </c>
      <c r="WXO240" s="181">
        <v>18196</v>
      </c>
      <c r="WXP240" s="181">
        <v>18197</v>
      </c>
      <c r="WXQ240" s="181">
        <v>18198</v>
      </c>
      <c r="WXR240" s="181">
        <v>18199</v>
      </c>
      <c r="WXS240" s="181">
        <v>18200</v>
      </c>
      <c r="WXT240" s="181">
        <v>18201</v>
      </c>
      <c r="WXU240" s="181">
        <v>18202</v>
      </c>
      <c r="WXV240" s="181">
        <v>18203</v>
      </c>
      <c r="WXW240" s="181">
        <v>18204</v>
      </c>
      <c r="WXX240" s="181">
        <v>18205</v>
      </c>
      <c r="WXY240" s="181">
        <v>18206</v>
      </c>
      <c r="WXZ240" s="181">
        <v>18207</v>
      </c>
      <c r="WYA240" s="181">
        <v>18208</v>
      </c>
      <c r="WYB240" s="181">
        <v>18209</v>
      </c>
      <c r="WYC240" s="181">
        <v>18210</v>
      </c>
      <c r="WYD240" s="181">
        <v>18211</v>
      </c>
      <c r="WYE240" s="181">
        <v>18212</v>
      </c>
      <c r="WYF240" s="181">
        <v>18213</v>
      </c>
      <c r="WYG240" s="181">
        <v>18214</v>
      </c>
      <c r="WYH240" s="181">
        <v>18215</v>
      </c>
      <c r="WYI240" s="181">
        <v>18216</v>
      </c>
      <c r="WYJ240" s="181">
        <v>18217</v>
      </c>
      <c r="WYK240" s="181">
        <v>18218</v>
      </c>
      <c r="WYL240" s="181">
        <v>18219</v>
      </c>
      <c r="WYM240" s="181">
        <v>18220</v>
      </c>
      <c r="WYN240" s="181">
        <v>18221</v>
      </c>
      <c r="WYO240" s="181">
        <v>18222</v>
      </c>
      <c r="WYP240" s="181">
        <v>18223</v>
      </c>
      <c r="WYQ240" s="181">
        <v>18224</v>
      </c>
      <c r="WYR240" s="181">
        <v>18225</v>
      </c>
      <c r="WYS240" s="181">
        <v>18226</v>
      </c>
      <c r="WYT240" s="181">
        <v>18227</v>
      </c>
      <c r="WYU240" s="181">
        <v>18228</v>
      </c>
      <c r="WYV240" s="181">
        <v>18229</v>
      </c>
      <c r="WYW240" s="181">
        <v>18230</v>
      </c>
      <c r="WYX240" s="181">
        <v>18231</v>
      </c>
      <c r="WYY240" s="181">
        <v>18232</v>
      </c>
      <c r="WYZ240" s="181">
        <v>18233</v>
      </c>
      <c r="WZA240" s="181">
        <v>18234</v>
      </c>
      <c r="WZB240" s="181">
        <v>18235</v>
      </c>
      <c r="WZC240" s="181">
        <v>18236</v>
      </c>
      <c r="WZD240" s="181">
        <v>18237</v>
      </c>
      <c r="WZE240" s="181">
        <v>18238</v>
      </c>
      <c r="WZF240" s="181">
        <v>18239</v>
      </c>
      <c r="WZG240" s="181">
        <v>18240</v>
      </c>
      <c r="WZH240" s="181">
        <v>18241</v>
      </c>
      <c r="WZI240" s="181">
        <v>18242</v>
      </c>
      <c r="WZJ240" s="181">
        <v>18243</v>
      </c>
      <c r="WZK240" s="181">
        <v>18244</v>
      </c>
      <c r="WZL240" s="181">
        <v>18245</v>
      </c>
      <c r="WZM240" s="181">
        <v>18246</v>
      </c>
      <c r="WZN240" s="181">
        <v>18247</v>
      </c>
      <c r="WZO240" s="181">
        <v>18248</v>
      </c>
      <c r="WZP240" s="181">
        <v>18249</v>
      </c>
      <c r="WZQ240" s="181">
        <v>18250</v>
      </c>
      <c r="WZR240" s="181">
        <v>18251</v>
      </c>
      <c r="WZS240" s="181">
        <v>18252</v>
      </c>
      <c r="WZT240" s="181">
        <v>18253</v>
      </c>
      <c r="WZU240" s="181">
        <v>18254</v>
      </c>
      <c r="WZV240" s="181">
        <v>18255</v>
      </c>
      <c r="WZW240" s="181">
        <v>18256</v>
      </c>
      <c r="WZX240" s="181">
        <v>18257</v>
      </c>
      <c r="WZY240" s="181">
        <v>18258</v>
      </c>
      <c r="WZZ240" s="181">
        <v>18259</v>
      </c>
      <c r="XAA240" s="181">
        <v>18260</v>
      </c>
      <c r="XAB240" s="181">
        <v>18261</v>
      </c>
      <c r="XAC240" s="181">
        <v>18262</v>
      </c>
      <c r="XAD240" s="181">
        <v>18263</v>
      </c>
      <c r="XAE240" s="181">
        <v>18264</v>
      </c>
      <c r="XAF240" s="181">
        <v>18265</v>
      </c>
      <c r="XAG240" s="181">
        <v>18266</v>
      </c>
      <c r="XAH240" s="181">
        <v>18267</v>
      </c>
      <c r="XAI240" s="181">
        <v>18268</v>
      </c>
      <c r="XAJ240" s="181">
        <v>18269</v>
      </c>
      <c r="XAK240" s="181">
        <v>18270</v>
      </c>
      <c r="XAL240" s="181">
        <v>18271</v>
      </c>
      <c r="XAM240" s="181">
        <v>18272</v>
      </c>
      <c r="XAN240" s="181">
        <v>18273</v>
      </c>
      <c r="XAO240" s="181">
        <v>18274</v>
      </c>
      <c r="XAP240" s="181">
        <v>18275</v>
      </c>
      <c r="XAQ240" s="181">
        <v>18276</v>
      </c>
      <c r="XAR240" s="181">
        <v>18277</v>
      </c>
      <c r="XAS240" s="181">
        <v>18278</v>
      </c>
      <c r="XAT240" s="181">
        <v>18279</v>
      </c>
      <c r="XAU240" s="181">
        <v>18280</v>
      </c>
      <c r="XAV240" s="181">
        <v>18281</v>
      </c>
      <c r="XAW240" s="181">
        <v>18282</v>
      </c>
      <c r="XAX240" s="181">
        <v>18283</v>
      </c>
      <c r="XAY240" s="181">
        <v>18284</v>
      </c>
      <c r="XAZ240" s="181">
        <v>18285</v>
      </c>
      <c r="XBA240" s="181">
        <v>18286</v>
      </c>
      <c r="XBB240" s="181">
        <v>18287</v>
      </c>
      <c r="XBC240" s="181">
        <v>18288</v>
      </c>
      <c r="XBD240" s="181">
        <v>18289</v>
      </c>
      <c r="XBE240" s="181">
        <v>18290</v>
      </c>
      <c r="XBF240" s="181">
        <v>18291</v>
      </c>
      <c r="XBG240" s="181">
        <v>18292</v>
      </c>
      <c r="XBH240" s="181">
        <v>18293</v>
      </c>
      <c r="XBI240" s="181">
        <v>18294</v>
      </c>
      <c r="XBJ240" s="181">
        <v>18295</v>
      </c>
      <c r="XBK240" s="181">
        <v>18296</v>
      </c>
      <c r="XBL240" s="181">
        <v>18297</v>
      </c>
      <c r="XBM240" s="181">
        <v>18298</v>
      </c>
      <c r="XBN240" s="181">
        <v>18299</v>
      </c>
      <c r="XBO240" s="181">
        <v>18300</v>
      </c>
      <c r="XBP240" s="181">
        <v>18301</v>
      </c>
      <c r="XBQ240" s="181">
        <v>18302</v>
      </c>
      <c r="XBR240" s="181">
        <v>18303</v>
      </c>
      <c r="XBS240" s="181">
        <v>18304</v>
      </c>
      <c r="XBT240" s="181">
        <v>18305</v>
      </c>
      <c r="XBU240" s="181">
        <v>18306</v>
      </c>
      <c r="XBV240" s="181">
        <v>18307</v>
      </c>
      <c r="XBW240" s="181">
        <v>18308</v>
      </c>
      <c r="XBX240" s="181">
        <v>18309</v>
      </c>
      <c r="XBY240" s="181">
        <v>18310</v>
      </c>
      <c r="XBZ240" s="181">
        <v>18311</v>
      </c>
      <c r="XCA240" s="181">
        <v>18312</v>
      </c>
      <c r="XCB240" s="181">
        <v>18313</v>
      </c>
      <c r="XCC240" s="181">
        <v>18314</v>
      </c>
      <c r="XCD240" s="181">
        <v>18315</v>
      </c>
      <c r="XCE240" s="181">
        <v>18316</v>
      </c>
      <c r="XCF240" s="181">
        <v>18317</v>
      </c>
      <c r="XCG240" s="181">
        <v>18318</v>
      </c>
      <c r="XCH240" s="181">
        <v>18319</v>
      </c>
      <c r="XCI240" s="181">
        <v>18320</v>
      </c>
      <c r="XCJ240" s="181">
        <v>18321</v>
      </c>
      <c r="XCK240" s="181">
        <v>18322</v>
      </c>
      <c r="XCL240" s="181">
        <v>18323</v>
      </c>
      <c r="XCM240" s="181">
        <v>18324</v>
      </c>
      <c r="XCN240" s="181">
        <v>18325</v>
      </c>
      <c r="XCO240" s="181">
        <v>18326</v>
      </c>
      <c r="XCP240" s="181">
        <v>18327</v>
      </c>
      <c r="XCQ240" s="181">
        <v>18328</v>
      </c>
      <c r="XCR240" s="181">
        <v>18329</v>
      </c>
      <c r="XCS240" s="181">
        <v>18330</v>
      </c>
      <c r="XCT240" s="181">
        <v>18331</v>
      </c>
      <c r="XCU240" s="181">
        <v>18332</v>
      </c>
      <c r="XCV240" s="181">
        <v>18333</v>
      </c>
      <c r="XCW240" s="181">
        <v>18334</v>
      </c>
      <c r="XCX240" s="181">
        <v>18335</v>
      </c>
      <c r="XCY240" s="181">
        <v>18336</v>
      </c>
      <c r="XCZ240" s="181">
        <v>18337</v>
      </c>
      <c r="XDA240" s="181">
        <v>18338</v>
      </c>
      <c r="XDB240" s="181">
        <v>18339</v>
      </c>
      <c r="XDC240" s="181">
        <v>18340</v>
      </c>
      <c r="XDD240" s="181">
        <v>18341</v>
      </c>
      <c r="XDE240" s="181">
        <v>18342</v>
      </c>
      <c r="XDF240" s="181">
        <v>18343</v>
      </c>
      <c r="XDG240" s="181">
        <v>18344</v>
      </c>
      <c r="XDH240" s="181">
        <v>18345</v>
      </c>
      <c r="XDI240" s="181">
        <v>18346</v>
      </c>
      <c r="XDJ240" s="181">
        <v>18347</v>
      </c>
      <c r="XDK240" s="181">
        <v>18348</v>
      </c>
      <c r="XDL240" s="181">
        <v>18349</v>
      </c>
      <c r="XDM240" s="181">
        <v>18350</v>
      </c>
      <c r="XDN240" s="181">
        <v>18351</v>
      </c>
      <c r="XDO240" s="181">
        <v>18352</v>
      </c>
      <c r="XDP240" s="181">
        <v>18353</v>
      </c>
      <c r="XDQ240" s="181">
        <v>18354</v>
      </c>
      <c r="XDR240" s="181">
        <v>18355</v>
      </c>
      <c r="XDS240" s="181">
        <v>18356</v>
      </c>
      <c r="XDT240" s="181">
        <v>18357</v>
      </c>
      <c r="XDU240" s="181">
        <v>18358</v>
      </c>
      <c r="XDV240" s="181">
        <v>18359</v>
      </c>
      <c r="XDW240" s="181">
        <v>18360</v>
      </c>
      <c r="XDX240" s="181">
        <v>18361</v>
      </c>
      <c r="XDY240" s="181">
        <v>18362</v>
      </c>
      <c r="XDZ240" s="181">
        <v>18363</v>
      </c>
      <c r="XEA240" s="181">
        <v>18364</v>
      </c>
      <c r="XEB240" s="181">
        <v>18365</v>
      </c>
      <c r="XEC240" s="181">
        <v>18366</v>
      </c>
      <c r="XED240" s="181">
        <v>18367</v>
      </c>
      <c r="XEE240" s="181">
        <v>18368</v>
      </c>
      <c r="XEF240" s="181">
        <v>18369</v>
      </c>
      <c r="XEG240" s="181">
        <v>18370</v>
      </c>
      <c r="XEH240" s="181">
        <v>18371</v>
      </c>
      <c r="XEI240" s="181">
        <v>18372</v>
      </c>
      <c r="XEJ240" s="181">
        <v>18373</v>
      </c>
      <c r="XEK240" s="181">
        <v>18374</v>
      </c>
      <c r="XEL240" s="181">
        <v>18375</v>
      </c>
      <c r="XEM240" s="181">
        <v>18376</v>
      </c>
      <c r="XEN240" s="181">
        <v>18377</v>
      </c>
      <c r="XEO240" s="181">
        <v>18378</v>
      </c>
      <c r="XEP240" s="181">
        <v>18379</v>
      </c>
      <c r="XEQ240" s="181">
        <v>18380</v>
      </c>
      <c r="XER240" s="181">
        <v>18381</v>
      </c>
      <c r="XES240" s="181">
        <v>18382</v>
      </c>
      <c r="XET240" s="181">
        <v>18383</v>
      </c>
      <c r="XEU240" s="181">
        <v>18384</v>
      </c>
      <c r="XEV240" s="181">
        <v>18385</v>
      </c>
      <c r="XEW240" s="181">
        <v>18386</v>
      </c>
      <c r="XEX240" s="181">
        <v>18387</v>
      </c>
      <c r="XEY240" s="181">
        <v>18388</v>
      </c>
      <c r="XEZ240" s="181">
        <v>18389</v>
      </c>
      <c r="XFA240" s="181">
        <v>18390</v>
      </c>
      <c r="XFB240" s="181">
        <v>18391</v>
      </c>
      <c r="XFC240" s="181">
        <v>18392</v>
      </c>
      <c r="XFD240" s="181">
        <v>18393</v>
      </c>
    </row>
    <row r="241" spans="1:11" x14ac:dyDescent="0.3">
      <c r="A241" s="884"/>
      <c r="B241" s="883" t="str">
        <f>Language!C408</f>
        <v>Usuários Ativos por País</v>
      </c>
      <c r="C241" s="883"/>
      <c r="D241" s="883"/>
      <c r="E241" s="883"/>
      <c r="F241" s="883"/>
      <c r="G241" s="883"/>
      <c r="H241" s="883"/>
      <c r="I241" s="883"/>
      <c r="J241" s="883"/>
      <c r="K241" s="883"/>
    </row>
    <row r="242" spans="1:11" ht="17.25" x14ac:dyDescent="0.3">
      <c r="A242" s="339" t="s">
        <v>53</v>
      </c>
      <c r="B242" s="665" t="str">
        <f>IFERROR(IF(B$240&gt;'Config!'!$BA$15,ERROR.TYPE(7),IF(B253=".","",B253)),"")</f>
        <v/>
      </c>
      <c r="C242" s="665">
        <f>IFERROR(IF(C$240&gt;'Config!'!$BA$15,ERROR.TYPE(7),IF(C253=".","",C253)),"")</f>
        <v>6984322</v>
      </c>
      <c r="D242" s="665" t="str">
        <f>IFERROR(IF(D$240&gt;'Config!'!$BA$15,ERROR.TYPE(7),IF(D253=".","",D253)),"")</f>
        <v/>
      </c>
      <c r="E242" s="665" t="str">
        <f>IFERROR(IF(E$240&gt;'Config!'!$BA$15,ERROR.TYPE(7),IF(E253=".","",E253)),"")</f>
        <v/>
      </c>
      <c r="F242" s="665" t="str">
        <f>IFERROR(IF(F$240&gt;'Config!'!$BA$15,ERROR.TYPE(7),IF(F253=".","",F253)),"")</f>
        <v/>
      </c>
      <c r="G242" s="665" t="str">
        <f>IFERROR(IF(G$240&gt;'Config!'!$BA$15,ERROR.TYPE(7),IF(G253=".","",G253)),"")</f>
        <v/>
      </c>
      <c r="H242" s="665" t="str">
        <f>IFERROR(IF(H$240&gt;'Config!'!$BA$15,ERROR.TYPE(7),IF(H253=".","",H253)),"")</f>
        <v/>
      </c>
      <c r="I242" s="665" t="str">
        <f>IFERROR(IF(I$240&gt;'Config!'!$BA$15,ERROR.TYPE(7),IF(I253=".","",I253)),"")</f>
        <v/>
      </c>
      <c r="J242" s="665" t="str">
        <f>IFERROR(IF(J$240&gt;'Config!'!$BA$15,ERROR.TYPE(7),IF(J253=".","",J253)),"")</f>
        <v/>
      </c>
      <c r="K242" s="665" t="str">
        <f>IFERROR(IF(K$240&gt;'Config!'!$BA$15,ERROR.TYPE(7),IF(K253=".","",K253)),"")</f>
        <v/>
      </c>
    </row>
    <row r="243" spans="1:11" ht="17.25" x14ac:dyDescent="0.3">
      <c r="A243" s="339" t="s">
        <v>1203</v>
      </c>
      <c r="B243" s="665">
        <f>IFERROR(IF(B$240&gt;'Config!'!$BA$15,ERROR.TYPE(7),IF(B254=".","",B254)),"")</f>
        <v>3951022</v>
      </c>
      <c r="C243" s="665">
        <f>IFERROR(IF(C$240&gt;'Config!'!$BA$15,ERROR.TYPE(7),IF(C254=".","",C254)),"")</f>
        <v>8692541</v>
      </c>
      <c r="D243" s="665" t="str">
        <f>IFERROR(IF(D$240&gt;'Config!'!$BA$15,ERROR.TYPE(7),IF(D254=".","",D254)),"")</f>
        <v/>
      </c>
      <c r="E243" s="665" t="str">
        <f>IFERROR(IF(E$240&gt;'Config!'!$BA$15,ERROR.TYPE(7),IF(E254=".","",E254)),"")</f>
        <v/>
      </c>
      <c r="F243" s="665" t="str">
        <f>IFERROR(IF(F$240&gt;'Config!'!$BA$15,ERROR.TYPE(7),IF(F254=".","",F254)),"")</f>
        <v/>
      </c>
      <c r="G243" s="665" t="str">
        <f>IFERROR(IF(G$240&gt;'Config!'!$BA$15,ERROR.TYPE(7),IF(G254=".","",G254)),"")</f>
        <v/>
      </c>
      <c r="H243" s="665" t="str">
        <f>IFERROR(IF(H$240&gt;'Config!'!$BA$15,ERROR.TYPE(7),IF(H254=".","",H254)),"")</f>
        <v/>
      </c>
      <c r="I243" s="665" t="str">
        <f>IFERROR(IF(I$240&gt;'Config!'!$BA$15,ERROR.TYPE(7),IF(I254=".","",I254)),"")</f>
        <v/>
      </c>
      <c r="J243" s="665" t="str">
        <f>IFERROR(IF(J$240&gt;'Config!'!$BA$15,ERROR.TYPE(7),IF(J254=".","",J254)),"")</f>
        <v/>
      </c>
      <c r="K243" s="665" t="str">
        <f>IFERROR(IF(K$240&gt;'Config!'!$BA$15,ERROR.TYPE(7),IF(K254=".","",K254)),"")</f>
        <v/>
      </c>
    </row>
    <row r="244" spans="1:11" ht="17.25" x14ac:dyDescent="0.3">
      <c r="A244" s="339" t="s">
        <v>1135</v>
      </c>
      <c r="B244" s="665" t="str">
        <f>IFERROR(IF(B$240&gt;'Config!'!$BA$15,ERROR.TYPE(7),IF(B255=".","",B255)),"")</f>
        <v/>
      </c>
      <c r="C244" s="665" t="str">
        <f>IFERROR(IF(C$240&gt;'Config!'!$BA$15,ERROR.TYPE(7),IF(C255=".","",C255)),"")</f>
        <v/>
      </c>
      <c r="D244" s="665" t="str">
        <f>IFERROR(IF(D$240&gt;'Config!'!$BA$15,ERROR.TYPE(7),IF(D255=".","",D255)),"")</f>
        <v/>
      </c>
      <c r="E244" s="665" t="str">
        <f>IFERROR(IF(E$240&gt;'Config!'!$BA$15,ERROR.TYPE(7),IF(E255=".","",E255)),"")</f>
        <v/>
      </c>
      <c r="F244" s="665" t="str">
        <f>IFERROR(IF(F$240&gt;'Config!'!$BA$15,ERROR.TYPE(7),IF(F255=".","",F255)),"")</f>
        <v/>
      </c>
      <c r="G244" s="665" t="str">
        <f>IFERROR(IF(G$240&gt;'Config!'!$BA$15,ERROR.TYPE(7),IF(G255=".","",G255)),"")</f>
        <v/>
      </c>
      <c r="H244" s="665" t="str">
        <f>IFERROR(IF(H$240&gt;'Config!'!$BA$15,ERROR.TYPE(7),IF(H255=".","",H255)),"")</f>
        <v/>
      </c>
      <c r="I244" s="665" t="str">
        <f>IFERROR(IF(I$240&gt;'Config!'!$BA$15,ERROR.TYPE(7),IF(I255=".","",I255)),"")</f>
        <v/>
      </c>
      <c r="J244" s="665" t="str">
        <f>IFERROR(IF(J$240&gt;'Config!'!$BA$15,ERROR.TYPE(7),IF(J255=".","",J255)),"")</f>
        <v/>
      </c>
      <c r="K244" s="665" t="str">
        <f>IFERROR(IF(K$240&gt;'Config!'!$BA$15,ERROR.TYPE(7),IF(K255=".","",K255)),"")</f>
        <v/>
      </c>
    </row>
    <row r="245" spans="1:11" ht="17.25" x14ac:dyDescent="0.3">
      <c r="A245" s="339" t="s">
        <v>1141</v>
      </c>
      <c r="B245" s="665">
        <f>IFERROR(IF(B$240&gt;'Config!'!$BA$15,ERROR.TYPE(7),IF(B256=".","",B256)),"")</f>
        <v>1989857</v>
      </c>
      <c r="C245" s="665">
        <f>IFERROR(IF(C$240&gt;'Config!'!$BA$15,ERROR.TYPE(7),IF(C256=".","",C256)),"")</f>
        <v>4824346</v>
      </c>
      <c r="D245" s="665" t="str">
        <f>IFERROR(IF(D$240&gt;'Config!'!$BA$15,ERROR.TYPE(7),IF(D256=".","",D256)),"")</f>
        <v/>
      </c>
      <c r="E245" s="665" t="str">
        <f>IFERROR(IF(E$240&gt;'Config!'!$BA$15,ERROR.TYPE(7),IF(E256=".","",E256)),"")</f>
        <v/>
      </c>
      <c r="F245" s="665" t="str">
        <f>IFERROR(IF(F$240&gt;'Config!'!$BA$15,ERROR.TYPE(7),IF(F256=".","",F256)),"")</f>
        <v/>
      </c>
      <c r="G245" s="665" t="str">
        <f>IFERROR(IF(G$240&gt;'Config!'!$BA$15,ERROR.TYPE(7),IF(G256=".","",G256)),"")</f>
        <v/>
      </c>
      <c r="H245" s="665" t="str">
        <f>IFERROR(IF(H$240&gt;'Config!'!$BA$15,ERROR.TYPE(7),IF(H256=".","",H256)),"")</f>
        <v/>
      </c>
      <c r="I245" s="665" t="str">
        <f>IFERROR(IF(I$240&gt;'Config!'!$BA$15,ERROR.TYPE(7),IF(I256=".","",I256)),"")</f>
        <v/>
      </c>
      <c r="J245" s="665" t="str">
        <f>IFERROR(IF(J$240&gt;'Config!'!$BA$15,ERROR.TYPE(7),IF(J256=".","",J256)),"")</f>
        <v/>
      </c>
      <c r="K245" s="665" t="str">
        <f>IFERROR(IF(K$240&gt;'Config!'!$BA$15,ERROR.TYPE(7),IF(K256=".","",K256)),"")</f>
        <v/>
      </c>
    </row>
    <row r="246" spans="1:11" ht="17.25" x14ac:dyDescent="0.3">
      <c r="A246" s="339" t="s">
        <v>1202</v>
      </c>
      <c r="B246" s="665">
        <f>IFERROR(IF(B$240&gt;'Config!'!$BA$15,ERROR.TYPE(7),IF(B257=".","",B257)),"")</f>
        <v>1046665</v>
      </c>
      <c r="C246" s="665">
        <f>IFERROR(IF(C$240&gt;'Config!'!$BA$15,ERROR.TYPE(7),IF(C257=".","",C257)),"")</f>
        <v>2435826</v>
      </c>
      <c r="D246" s="665" t="str">
        <f>IFERROR(IF(D$240&gt;'Config!'!$BA$15,ERROR.TYPE(7),IF(D257=".","",D257)),"")</f>
        <v/>
      </c>
      <c r="E246" s="665" t="str">
        <f>IFERROR(IF(E$240&gt;'Config!'!$BA$15,ERROR.TYPE(7),IF(E257=".","",E257)),"")</f>
        <v/>
      </c>
      <c r="F246" s="665" t="str">
        <f>IFERROR(IF(F$240&gt;'Config!'!$BA$15,ERROR.TYPE(7),IF(F257=".","",F257)),"")</f>
        <v/>
      </c>
      <c r="G246" s="665" t="str">
        <f>IFERROR(IF(G$240&gt;'Config!'!$BA$15,ERROR.TYPE(7),IF(G257=".","",G257)),"")</f>
        <v/>
      </c>
      <c r="H246" s="665" t="str">
        <f>IFERROR(IF(H$240&gt;'Config!'!$BA$15,ERROR.TYPE(7),IF(H257=".","",H257)),"")</f>
        <v/>
      </c>
      <c r="I246" s="665" t="str">
        <f>IFERROR(IF(I$240&gt;'Config!'!$BA$15,ERROR.TYPE(7),IF(I257=".","",I257)),"")</f>
        <v/>
      </c>
      <c r="J246" s="665" t="str">
        <f>IFERROR(IF(J$240&gt;'Config!'!$BA$15,ERROR.TYPE(7),IF(J257=".","",J257)),"")</f>
        <v/>
      </c>
      <c r="K246" s="665" t="str">
        <f>IFERROR(IF(K$240&gt;'Config!'!$BA$15,ERROR.TYPE(7),IF(K257=".","",K257)),"")</f>
        <v/>
      </c>
    </row>
    <row r="247" spans="1:11" x14ac:dyDescent="0.3">
      <c r="A247" s="879" t="str">
        <f>Language!C409</f>
        <v>Demanda total</v>
      </c>
      <c r="B247" s="879"/>
      <c r="C247" s="879"/>
      <c r="D247" s="879"/>
      <c r="E247" s="879"/>
      <c r="F247" s="879"/>
      <c r="G247" s="879"/>
      <c r="H247" s="879"/>
      <c r="I247" s="879"/>
      <c r="J247" s="879"/>
      <c r="K247" s="879"/>
    </row>
    <row r="248" spans="1:11" ht="17.25" x14ac:dyDescent="0.3">
      <c r="A248" s="340" t="str">
        <f>IF(A242="","",A242)</f>
        <v>China</v>
      </c>
      <c r="B248" s="666" t="str">
        <f>IFERROR(IF(B$240&gt;'Config!'!$BA$15,"",IF(B258=0,"",B258)),"")</f>
        <v/>
      </c>
      <c r="C248" s="666">
        <f>IFERROR(IF(C$240&gt;'Config!'!$BA$15,"",IF(C258=0,"",C258)),"")</f>
        <v>53046231.355448335</v>
      </c>
      <c r="D248" s="666" t="str">
        <f>IFERROR(IF(D$240&gt;'Config!'!$BA$15,"",IF(D258=0,"",D258)),"")</f>
        <v/>
      </c>
      <c r="E248" s="666" t="str">
        <f>IFERROR(IF(E$240&gt;'Config!'!$BA$15,"",IF(E258=0,"",E258)),"")</f>
        <v/>
      </c>
      <c r="F248" s="666" t="str">
        <f>IFERROR(IF(F$240&gt;'Config!'!$BA$15,"",IF(F258=0,"",F258)),"")</f>
        <v/>
      </c>
      <c r="G248" s="666" t="str">
        <f>IFERROR(IF(G$240&gt;'Config!'!$BA$15,"",IF(G258=0,"",G258)),"")</f>
        <v/>
      </c>
      <c r="H248" s="666" t="str">
        <f>IFERROR(IF(H$240&gt;'Config!'!$BA$15,"",IF(H258=0,"",H258)),"")</f>
        <v/>
      </c>
      <c r="I248" s="666" t="str">
        <f>IFERROR(IF(I$240&gt;'Config!'!$BA$15,"",IF(I258=0,"",I258)),"")</f>
        <v/>
      </c>
      <c r="J248" s="666" t="str">
        <f>IFERROR(IF(J$240&gt;'Config!'!$BA$15,"",IF(J258=0,"",J258)),"")</f>
        <v/>
      </c>
      <c r="K248" s="666" t="str">
        <f>IFERROR(IF(K$240&gt;'Config!'!$BA$15,"",IF(K258=0,"",K258)),"")</f>
        <v/>
      </c>
    </row>
    <row r="249" spans="1:11" ht="17.25" x14ac:dyDescent="0.3">
      <c r="A249" s="340" t="str">
        <f t="shared" ref="A249:A252" si="0">IF(A243="","",A243)</f>
        <v>Estados Unidos</v>
      </c>
      <c r="B249" s="666">
        <f>IFERROR(IF(B$240&gt;'Config!'!$BA$15,"",IF(B259=0,"",B259)),"")</f>
        <v>87928377.951340854</v>
      </c>
      <c r="C249" s="666">
        <f>IFERROR(IF(C$240&gt;'Config!'!$BA$15,"",IF(C259=0,"",C259)),"")</f>
        <v>192274689.46289992</v>
      </c>
      <c r="D249" s="666" t="str">
        <f>IFERROR(IF(D$240&gt;'Config!'!$BA$15,"",IF(D259=0,"",D259)),"")</f>
        <v/>
      </c>
      <c r="E249" s="666" t="str">
        <f>IFERROR(IF(E$240&gt;'Config!'!$BA$15,"",IF(E259=0,"",E259)),"")</f>
        <v/>
      </c>
      <c r="F249" s="666" t="str">
        <f>IFERROR(IF(F$240&gt;'Config!'!$BA$15,"",IF(F259=0,"",F259)),"")</f>
        <v/>
      </c>
      <c r="G249" s="666" t="str">
        <f>IFERROR(IF(G$240&gt;'Config!'!$BA$15,"",IF(G259=0,"",G259)),"")</f>
        <v/>
      </c>
      <c r="H249" s="666" t="str">
        <f>IFERROR(IF(H$240&gt;'Config!'!$BA$15,"",IF(H259=0,"",H259)),"")</f>
        <v/>
      </c>
      <c r="I249" s="666" t="str">
        <f>IFERROR(IF(I$240&gt;'Config!'!$BA$15,"",IF(I259=0,"",I259)),"")</f>
        <v/>
      </c>
      <c r="J249" s="666" t="str">
        <f>IFERROR(IF(J$240&gt;'Config!'!$BA$15,"",IF(J259=0,"",J259)),"")</f>
        <v/>
      </c>
      <c r="K249" s="666" t="str">
        <f>IFERROR(IF(K$240&gt;'Config!'!$BA$15,"",IF(K259=0,"",K259)),"")</f>
        <v/>
      </c>
    </row>
    <row r="250" spans="1:11" ht="17.25" x14ac:dyDescent="0.3">
      <c r="A250" s="340" t="str">
        <f t="shared" si="0"/>
        <v>Índia</v>
      </c>
      <c r="B250" s="666" t="str">
        <f>IFERROR(IF(B$240&gt;'Config!'!$BA$15,"",IF(B260=0,"",B260)),"")</f>
        <v/>
      </c>
      <c r="C250" s="666" t="str">
        <f>IFERROR(IF(C$240&gt;'Config!'!$BA$15,"",IF(C260=0,"",C260)),"")</f>
        <v/>
      </c>
      <c r="D250" s="666" t="str">
        <f>IFERROR(IF(D$240&gt;'Config!'!$BA$15,"",IF(D260=0,"",D260)),"")</f>
        <v/>
      </c>
      <c r="E250" s="666" t="str">
        <f>IFERROR(IF(E$240&gt;'Config!'!$BA$15,"",IF(E260=0,"",E260)),"")</f>
        <v/>
      </c>
      <c r="F250" s="666" t="str">
        <f>IFERROR(IF(F$240&gt;'Config!'!$BA$15,"",IF(F260=0,"",F260)),"")</f>
        <v/>
      </c>
      <c r="G250" s="666" t="str">
        <f>IFERROR(IF(G$240&gt;'Config!'!$BA$15,"",IF(G260=0,"",G260)),"")</f>
        <v/>
      </c>
      <c r="H250" s="666" t="str">
        <f>IFERROR(IF(H$240&gt;'Config!'!$BA$15,"",IF(H260=0,"",H260)),"")</f>
        <v/>
      </c>
      <c r="I250" s="666" t="str">
        <f>IFERROR(IF(I$240&gt;'Config!'!$BA$15,"",IF(I260=0,"",I260)),"")</f>
        <v/>
      </c>
      <c r="J250" s="666" t="str">
        <f>IFERROR(IF(J$240&gt;'Config!'!$BA$15,"",IF(J260=0,"",J260)),"")</f>
        <v/>
      </c>
      <c r="K250" s="666" t="str">
        <f>IFERROR(IF(K$240&gt;'Config!'!$BA$15,"",IF(K260=0,"",K260)),"")</f>
        <v/>
      </c>
    </row>
    <row r="251" spans="1:11" ht="17.25" x14ac:dyDescent="0.3">
      <c r="A251" s="340" t="str">
        <f t="shared" si="0"/>
        <v>Japão</v>
      </c>
      <c r="B251" s="666">
        <f>IFERROR(IF(B$240&gt;'Config!'!$BA$15,"",IF(B261=0,"",B261)),"")</f>
        <v>38301631.486020893</v>
      </c>
      <c r="C251" s="666">
        <f>IFERROR(IF(C$240&gt;'Config!'!$BA$15,"",IF(C261=0,"",C261)),"")</f>
        <v>83859373.725545689</v>
      </c>
      <c r="D251" s="666" t="str">
        <f>IFERROR(IF(D$240&gt;'Config!'!$BA$15,"",IF(D261=0,"",D261)),"")</f>
        <v/>
      </c>
      <c r="E251" s="666" t="str">
        <f>IFERROR(IF(E$240&gt;'Config!'!$BA$15,"",IF(E261=0,"",E261)),"")</f>
        <v/>
      </c>
      <c r="F251" s="666" t="str">
        <f>IFERROR(IF(F$240&gt;'Config!'!$BA$15,"",IF(F261=0,"",F261)),"")</f>
        <v/>
      </c>
      <c r="G251" s="666" t="str">
        <f>IFERROR(IF(G$240&gt;'Config!'!$BA$15,"",IF(G261=0,"",G261)),"")</f>
        <v/>
      </c>
      <c r="H251" s="666" t="str">
        <f>IFERROR(IF(H$240&gt;'Config!'!$BA$15,"",IF(H261=0,"",H261)),"")</f>
        <v/>
      </c>
      <c r="I251" s="666" t="str">
        <f>IFERROR(IF(I$240&gt;'Config!'!$BA$15,"",IF(I261=0,"",I261)),"")</f>
        <v/>
      </c>
      <c r="J251" s="666" t="str">
        <f>IFERROR(IF(J$240&gt;'Config!'!$BA$15,"",IF(J261=0,"",J261)),"")</f>
        <v/>
      </c>
      <c r="K251" s="666" t="str">
        <f>IFERROR(IF(K$240&gt;'Config!'!$BA$15,"",IF(K261=0,"",K261)),"")</f>
        <v/>
      </c>
    </row>
    <row r="252" spans="1:11" ht="17.25" x14ac:dyDescent="0.3">
      <c r="A252" s="340" t="str">
        <f t="shared" si="0"/>
        <v>Reino Unido</v>
      </c>
      <c r="B252" s="666">
        <f>IFERROR(IF(B$240&gt;'Config!'!$BA$15,"",IF(B262=0,"",B262)),"")</f>
        <v>16429246.95789904</v>
      </c>
      <c r="C252" s="666">
        <f>IFERROR(IF(C$240&gt;'Config!'!$BA$15,"",IF(C262=0,"",C262)),"")</f>
        <v>34676442.718041174</v>
      </c>
      <c r="D252" s="666" t="str">
        <f>IFERROR(IF(D$240&gt;'Config!'!$BA$15,"",IF(D262=0,"",D262)),"")</f>
        <v/>
      </c>
      <c r="E252" s="666" t="str">
        <f>IFERROR(IF(E$240&gt;'Config!'!$BA$15,"",IF(E262=0,"",E262)),"")</f>
        <v/>
      </c>
      <c r="F252" s="666" t="str">
        <f>IFERROR(IF(F$240&gt;'Config!'!$BA$15,"",IF(F262=0,"",F262)),"")</f>
        <v/>
      </c>
      <c r="G252" s="666" t="str">
        <f>IFERROR(IF(G$240&gt;'Config!'!$BA$15,"",IF(G262=0,"",G262)),"")</f>
        <v/>
      </c>
      <c r="H252" s="666" t="str">
        <f>IFERROR(IF(H$240&gt;'Config!'!$BA$15,"",IF(H262=0,"",H262)),"")</f>
        <v/>
      </c>
      <c r="I252" s="666" t="str">
        <f>IFERROR(IF(I$240&gt;'Config!'!$BA$15,"",IF(I262=0,"",I262)),"")</f>
        <v/>
      </c>
      <c r="J252" s="666" t="str">
        <f>IFERROR(IF(J$240&gt;'Config!'!$BA$15,"",IF(J262=0,"",J262)),"")</f>
        <v/>
      </c>
      <c r="K252" s="666" t="str">
        <f>IFERROR(IF(K$240&gt;'Config!'!$BA$15,"",IF(K262=0,"",K262)),"")</f>
        <v/>
      </c>
    </row>
    <row r="253" spans="1:11" x14ac:dyDescent="0.3">
      <c r="A253" s="181">
        <f>IF(COUNTIF(Language!$A$149:$A$308,'Country Presence'!A242)=1,SUMIF(Language!$A$149:$A$308,'Country Presence'!A242,Language!$F$149:$F$308),SUMIF(Language!$B$149:$B$308,'Country Presence'!A242,Language!$F$149:$F$308))</f>
        <v>34</v>
      </c>
      <c r="B253" s="644" t="e" cm="1">
        <f t="array" ref="B253">IF(INDEX('Result data'!R$216:R$390,$A253,1)=".",ERROR.TYPE(7),IF(B$240&gt;'Config!'!$BA$15,ERROR.TYPE(7),INDEX('Result data'!R$216:R$390,$A253,1)))</f>
        <v>#N/A</v>
      </c>
      <c r="C253" s="644" cm="1">
        <f t="array" ref="C253">IF(INDEX('Result data'!S$216:S$390,$A253,1)=".",ERROR.TYPE(7),IF(C$240&gt;'Config!'!$BA$15,ERROR.TYPE(7),INDEX('Result data'!S$216:S$390,$A253,1)))</f>
        <v>6984322</v>
      </c>
      <c r="D253" s="644" t="e" cm="1">
        <f t="array" ref="D253">IF(INDEX('Result data'!T$216:T$390,$A253,1)=".",ERROR.TYPE(7),IF(D$240&gt;'Config!'!$BA$15,ERROR.TYPE(7),INDEX('Result data'!T$216:T$390,$A253,1)))</f>
        <v>#N/A</v>
      </c>
      <c r="E253" s="644" t="e" cm="1">
        <f t="array" ref="E253">IF(INDEX('Result data'!U$216:U$390,$A253,1)=".",ERROR.TYPE(7),IF(E$240&gt;'Config!'!$BA$15,ERROR.TYPE(7),INDEX('Result data'!U$216:U$390,$A253,1)))</f>
        <v>#N/A</v>
      </c>
      <c r="F253" s="644" t="e" cm="1">
        <f t="array" ref="F253">IF(INDEX('Result data'!V$216:V$390,$A253,1)=".",ERROR.TYPE(7),IF(F$240&gt;'Config!'!$BA$15,ERROR.TYPE(7),INDEX('Result data'!V$216:V$390,$A253,1)))</f>
        <v>#N/A</v>
      </c>
      <c r="G253" s="644" t="e" cm="1">
        <f t="array" ref="G253">IF(INDEX('Result data'!W$216:W$390,$A253,1)=".",ERROR.TYPE(7),IF(G$240&gt;'Config!'!$BA$15,ERROR.TYPE(7),INDEX('Result data'!W$216:W$390,$A253,1)))</f>
        <v>#N/A</v>
      </c>
      <c r="H253" s="644" t="e" cm="1">
        <f t="array" ref="H253">IF(INDEX('Result data'!X$216:X$390,$A253,1)=".",ERROR.TYPE(7),IF(H$240&gt;'Config!'!$BA$15,ERROR.TYPE(7),INDEX('Result data'!X$216:X$390,$A253,1)))</f>
        <v>#N/A</v>
      </c>
      <c r="I253" s="644" t="e" cm="1">
        <f t="array" ref="I253">IF(INDEX('Result data'!Y$216:Y$390,$A253,1)=".",ERROR.TYPE(7),IF(I$240&gt;'Config!'!$BA$15,ERROR.TYPE(7),INDEX('Result data'!Y$216:Y$390,$A253,1)))</f>
        <v>#N/A</v>
      </c>
      <c r="J253" s="644" t="e" cm="1">
        <f t="array" ref="J253">IF(INDEX('Result data'!Z$216:Z$390,$A253,1)=".",ERROR.TYPE(7),IF(J$240&gt;'Config!'!$BA$15,ERROR.TYPE(7),INDEX('Result data'!Z$216:Z$390,$A253,1)))</f>
        <v>#N/A</v>
      </c>
      <c r="K253" s="644" t="e" cm="1">
        <f t="array" ref="K253">IF(INDEX('Result data'!AA$216:AA$390,$A253,1)=".",ERROR.TYPE(7),IF(K$240&gt;'Config!'!$BA$15,ERROR.TYPE(7),INDEX('Result data'!AA$216:AA$390,$A253,1)))</f>
        <v>#N/A</v>
      </c>
    </row>
    <row r="254" spans="1:11" x14ac:dyDescent="0.3">
      <c r="A254" s="181">
        <f>IF(COUNTIF(Language!$A$149:$A$308,'Country Presence'!A243)=1,SUMIF(Language!$A$149:$A$308,'Country Presence'!A243,Language!$F$149:$F$308),SUMIF(Language!$B$149:$B$308,'Country Presence'!A243,Language!$F$149:$F$308))</f>
        <v>163</v>
      </c>
      <c r="B254" s="644" cm="1">
        <f t="array" ref="B254">IF(INDEX('Result data'!R$216:R$390,$A254,1)=".",ERROR.TYPE(7),IF(B$240&gt;'Config!'!$BA$15,ERROR.TYPE(7),INDEX('Result data'!R$216:R$390,$A254,1)))</f>
        <v>3951022</v>
      </c>
      <c r="C254" s="644" cm="1">
        <f t="array" ref="C254">IF(INDEX('Result data'!S$216:S$390,$A254,1)=".",ERROR.TYPE(7),IF(C$240&gt;'Config!'!$BA$15,ERROR.TYPE(7),INDEX('Result data'!S$216:S$390,$A254,1)))</f>
        <v>8692541</v>
      </c>
      <c r="D254" s="644" t="e" cm="1">
        <f t="array" ref="D254">IF(INDEX('Result data'!T$216:T$390,$A254,1)=".",ERROR.TYPE(7),IF(D$240&gt;'Config!'!$BA$15,ERROR.TYPE(7),INDEX('Result data'!T$216:T$390,$A254,1)))</f>
        <v>#N/A</v>
      </c>
      <c r="E254" s="644" t="e" cm="1">
        <f t="array" ref="E254">IF(INDEX('Result data'!U$216:U$390,$A254,1)=".",ERROR.TYPE(7),IF(E$240&gt;'Config!'!$BA$15,ERROR.TYPE(7),INDEX('Result data'!U$216:U$390,$A254,1)))</f>
        <v>#N/A</v>
      </c>
      <c r="F254" s="644" t="e" cm="1">
        <f t="array" ref="F254">IF(INDEX('Result data'!V$216:V$390,$A254,1)=".",ERROR.TYPE(7),IF(F$240&gt;'Config!'!$BA$15,ERROR.TYPE(7),INDEX('Result data'!V$216:V$390,$A254,1)))</f>
        <v>#N/A</v>
      </c>
      <c r="G254" s="644" t="e" cm="1">
        <f t="array" ref="G254">IF(INDEX('Result data'!W$216:W$390,$A254,1)=".",ERROR.TYPE(7),IF(G$240&gt;'Config!'!$BA$15,ERROR.TYPE(7),INDEX('Result data'!W$216:W$390,$A254,1)))</f>
        <v>#N/A</v>
      </c>
      <c r="H254" s="644" t="e" cm="1">
        <f t="array" ref="H254">IF(INDEX('Result data'!X$216:X$390,$A254,1)=".",ERROR.TYPE(7),IF(H$240&gt;'Config!'!$BA$15,ERROR.TYPE(7),INDEX('Result data'!X$216:X$390,$A254,1)))</f>
        <v>#N/A</v>
      </c>
      <c r="I254" s="644" t="e" cm="1">
        <f t="array" ref="I254">IF(INDEX('Result data'!Y$216:Y$390,$A254,1)=".",ERROR.TYPE(7),IF(I$240&gt;'Config!'!$BA$15,ERROR.TYPE(7),INDEX('Result data'!Y$216:Y$390,$A254,1)))</f>
        <v>#N/A</v>
      </c>
      <c r="J254" s="644" t="e" cm="1">
        <f t="array" ref="J254">IF(INDEX('Result data'!Z$216:Z$390,$A254,1)=".",ERROR.TYPE(7),IF(J$240&gt;'Config!'!$BA$15,ERROR.TYPE(7),INDEX('Result data'!Z$216:Z$390,$A254,1)))</f>
        <v>#N/A</v>
      </c>
      <c r="K254" s="644" t="e" cm="1">
        <f t="array" ref="K254">IF(INDEX('Result data'!AA$216:AA$390,$A254,1)=".",ERROR.TYPE(7),IF(K$240&gt;'Config!'!$BA$15,ERROR.TYPE(7),INDEX('Result data'!AA$216:AA$390,$A254,1)))</f>
        <v>#N/A</v>
      </c>
    </row>
    <row r="255" spans="1:11" x14ac:dyDescent="0.3">
      <c r="A255" s="181">
        <f>IF(COUNTIF(Language!$A$149:$A$308,'Country Presence'!A244)=1,SUMIF(Language!$A$149:$A$308,'Country Presence'!A244,Language!$F$149:$F$308),SUMIF(Language!$B$149:$B$308,'Country Presence'!A244,Language!$F$149:$F$308))</f>
        <v>71</v>
      </c>
      <c r="B255" s="644" t="e" cm="1">
        <f t="array" ref="B255">IF(INDEX('Result data'!R$216:R$390,$A255,1)=".",ERROR.TYPE(7),IF(B$240&gt;'Config!'!$BA$15,ERROR.TYPE(7),INDEX('Result data'!R$216:R$390,$A255,1)))</f>
        <v>#N/A</v>
      </c>
      <c r="C255" s="644" t="e" cm="1">
        <f t="array" ref="C255">IF(INDEX('Result data'!S$216:S$390,$A255,1)=".",ERROR.TYPE(7),IF(C$240&gt;'Config!'!$BA$15,ERROR.TYPE(7),INDEX('Result data'!S$216:S$390,$A255,1)))</f>
        <v>#N/A</v>
      </c>
      <c r="D255" s="644" t="e" cm="1">
        <f t="array" ref="D255">IF(INDEX('Result data'!T$216:T$390,$A255,1)=".",ERROR.TYPE(7),IF(D$240&gt;'Config!'!$BA$15,ERROR.TYPE(7),INDEX('Result data'!T$216:T$390,$A255,1)))</f>
        <v>#N/A</v>
      </c>
      <c r="E255" s="644" t="e" cm="1">
        <f t="array" ref="E255">IF(INDEX('Result data'!U$216:U$390,$A255,1)=".",ERROR.TYPE(7),IF(E$240&gt;'Config!'!$BA$15,ERROR.TYPE(7),INDEX('Result data'!U$216:U$390,$A255,1)))</f>
        <v>#N/A</v>
      </c>
      <c r="F255" s="644" t="e" cm="1">
        <f t="array" ref="F255">IF(INDEX('Result data'!V$216:V$390,$A255,1)=".",ERROR.TYPE(7),IF(F$240&gt;'Config!'!$BA$15,ERROR.TYPE(7),INDEX('Result data'!V$216:V$390,$A255,1)))</f>
        <v>#N/A</v>
      </c>
      <c r="G255" s="644" t="e" cm="1">
        <f t="array" ref="G255">IF(INDEX('Result data'!W$216:W$390,$A255,1)=".",ERROR.TYPE(7),IF(G$240&gt;'Config!'!$BA$15,ERROR.TYPE(7),INDEX('Result data'!W$216:W$390,$A255,1)))</f>
        <v>#N/A</v>
      </c>
      <c r="H255" s="644" t="e" cm="1">
        <f t="array" ref="H255">IF(INDEX('Result data'!X$216:X$390,$A255,1)=".",ERROR.TYPE(7),IF(H$240&gt;'Config!'!$BA$15,ERROR.TYPE(7),INDEX('Result data'!X$216:X$390,$A255,1)))</f>
        <v>#N/A</v>
      </c>
      <c r="I255" s="644" t="e" cm="1">
        <f t="array" ref="I255">IF(INDEX('Result data'!Y$216:Y$390,$A255,1)=".",ERROR.TYPE(7),IF(I$240&gt;'Config!'!$BA$15,ERROR.TYPE(7),INDEX('Result data'!Y$216:Y$390,$A255,1)))</f>
        <v>#N/A</v>
      </c>
      <c r="J255" s="644" t="e" cm="1">
        <f t="array" ref="J255">IF(INDEX('Result data'!Z$216:Z$390,$A255,1)=".",ERROR.TYPE(7),IF(J$240&gt;'Config!'!$BA$15,ERROR.TYPE(7),INDEX('Result data'!Z$216:Z$390,$A255,1)))</f>
        <v>#N/A</v>
      </c>
      <c r="K255" s="644" t="e" cm="1">
        <f t="array" ref="K255">IF(INDEX('Result data'!AA$216:AA$390,$A255,1)=".",ERROR.TYPE(7),IF(K$240&gt;'Config!'!$BA$15,ERROR.TYPE(7),INDEX('Result data'!AA$216:AA$390,$A255,1)))</f>
        <v>#N/A</v>
      </c>
    </row>
    <row r="256" spans="1:11" x14ac:dyDescent="0.3">
      <c r="A256" s="181">
        <f>IF(COUNTIF(Language!$A$149:$A$308,'Country Presence'!A245)=1,SUMIF(Language!$A$149:$A$308,'Country Presence'!A245,Language!$F$149:$F$308),SUMIF(Language!$B$149:$B$308,'Country Presence'!A245,Language!$F$149:$F$308))</f>
        <v>79</v>
      </c>
      <c r="B256" s="644" cm="1">
        <f t="array" ref="B256">IF(INDEX('Result data'!R$216:R$390,$A256,1)=".",ERROR.TYPE(7),IF(B$240&gt;'Config!'!$BA$15,ERROR.TYPE(7),INDEX('Result data'!R$216:R$390,$A256,1)))</f>
        <v>1989857</v>
      </c>
      <c r="C256" s="644" cm="1">
        <f t="array" ref="C256">IF(INDEX('Result data'!S$216:S$390,$A256,1)=".",ERROR.TYPE(7),IF(C$240&gt;'Config!'!$BA$15,ERROR.TYPE(7),INDEX('Result data'!S$216:S$390,$A256,1)))</f>
        <v>4824346</v>
      </c>
      <c r="D256" s="644" t="e" cm="1">
        <f t="array" ref="D256">IF(INDEX('Result data'!T$216:T$390,$A256,1)=".",ERROR.TYPE(7),IF(D$240&gt;'Config!'!$BA$15,ERROR.TYPE(7),INDEX('Result data'!T$216:T$390,$A256,1)))</f>
        <v>#N/A</v>
      </c>
      <c r="E256" s="644" t="e" cm="1">
        <f t="array" ref="E256">IF(INDEX('Result data'!U$216:U$390,$A256,1)=".",ERROR.TYPE(7),IF(E$240&gt;'Config!'!$BA$15,ERROR.TYPE(7),INDEX('Result data'!U$216:U$390,$A256,1)))</f>
        <v>#N/A</v>
      </c>
      <c r="F256" s="644" t="e" cm="1">
        <f t="array" ref="F256">IF(INDEX('Result data'!V$216:V$390,$A256,1)=".",ERROR.TYPE(7),IF(F$240&gt;'Config!'!$BA$15,ERROR.TYPE(7),INDEX('Result data'!V$216:V$390,$A256,1)))</f>
        <v>#N/A</v>
      </c>
      <c r="G256" s="644" t="e" cm="1">
        <f t="array" ref="G256">IF(INDEX('Result data'!W$216:W$390,$A256,1)=".",ERROR.TYPE(7),IF(G$240&gt;'Config!'!$BA$15,ERROR.TYPE(7),INDEX('Result data'!W$216:W$390,$A256,1)))</f>
        <v>#N/A</v>
      </c>
      <c r="H256" s="644" t="e" cm="1">
        <f t="array" ref="H256">IF(INDEX('Result data'!X$216:X$390,$A256,1)=".",ERROR.TYPE(7),IF(H$240&gt;'Config!'!$BA$15,ERROR.TYPE(7),INDEX('Result data'!X$216:X$390,$A256,1)))</f>
        <v>#N/A</v>
      </c>
      <c r="I256" s="644" t="e" cm="1">
        <f t="array" ref="I256">IF(INDEX('Result data'!Y$216:Y$390,$A256,1)=".",ERROR.TYPE(7),IF(I$240&gt;'Config!'!$BA$15,ERROR.TYPE(7),INDEX('Result data'!Y$216:Y$390,$A256,1)))</f>
        <v>#N/A</v>
      </c>
      <c r="J256" s="644" t="e" cm="1">
        <f t="array" ref="J256">IF(INDEX('Result data'!Z$216:Z$390,$A256,1)=".",ERROR.TYPE(7),IF(J$240&gt;'Config!'!$BA$15,ERROR.TYPE(7),INDEX('Result data'!Z$216:Z$390,$A256,1)))</f>
        <v>#N/A</v>
      </c>
      <c r="K256" s="644" t="e" cm="1">
        <f t="array" ref="K256">IF(INDEX('Result data'!AA$216:AA$390,$A256,1)=".",ERROR.TYPE(7),IF(K$240&gt;'Config!'!$BA$15,ERROR.TYPE(7),INDEX('Result data'!AA$216:AA$390,$A256,1)))</f>
        <v>#N/A</v>
      </c>
    </row>
    <row r="257" spans="1:11" x14ac:dyDescent="0.3">
      <c r="A257" s="181">
        <f>IF(COUNTIF(Language!$A$149:$A$308,'Country Presence'!A246)=1,SUMIF(Language!$A$149:$A$308,'Country Presence'!A246,Language!$F$149:$F$308),SUMIF(Language!$B$149:$B$308,'Country Presence'!A246,Language!$F$149:$F$308))</f>
        <v>175</v>
      </c>
      <c r="B257" s="644" cm="1">
        <f t="array" ref="B257">IF(INDEX('Result data'!R$216:R$390,$A257,1)=".",ERROR.TYPE(7),IF(B$240&gt;'Config!'!$BA$15,ERROR.TYPE(7),INDEX('Result data'!R$216:R$390,$A257,1)))</f>
        <v>1046665</v>
      </c>
      <c r="C257" s="644" cm="1">
        <f t="array" ref="C257">IF(INDEX('Result data'!S$216:S$390,$A257,1)=".",ERROR.TYPE(7),IF(C$240&gt;'Config!'!$BA$15,ERROR.TYPE(7),INDEX('Result data'!S$216:S$390,$A257,1)))</f>
        <v>2435826</v>
      </c>
      <c r="D257" s="644" t="e" cm="1">
        <f t="array" ref="D257">IF(INDEX('Result data'!T$216:T$390,$A257,1)=".",ERROR.TYPE(7),IF(D$240&gt;'Config!'!$BA$15,ERROR.TYPE(7),INDEX('Result data'!T$216:T$390,$A257,1)))</f>
        <v>#N/A</v>
      </c>
      <c r="E257" s="644" t="e" cm="1">
        <f t="array" ref="E257">IF(INDEX('Result data'!U$216:U$390,$A257,1)=".",ERROR.TYPE(7),IF(E$240&gt;'Config!'!$BA$15,ERROR.TYPE(7),INDEX('Result data'!U$216:U$390,$A257,1)))</f>
        <v>#N/A</v>
      </c>
      <c r="F257" s="644" t="e" cm="1">
        <f t="array" ref="F257">IF(INDEX('Result data'!V$216:V$390,$A257,1)=".",ERROR.TYPE(7),IF(F$240&gt;'Config!'!$BA$15,ERROR.TYPE(7),INDEX('Result data'!V$216:V$390,$A257,1)))</f>
        <v>#N/A</v>
      </c>
      <c r="G257" s="644" t="e" cm="1">
        <f t="array" ref="G257">IF(INDEX('Result data'!W$216:W$390,$A257,1)=".",ERROR.TYPE(7),IF(G$240&gt;'Config!'!$BA$15,ERROR.TYPE(7),INDEX('Result data'!W$216:W$390,$A257,1)))</f>
        <v>#N/A</v>
      </c>
      <c r="H257" s="644" t="e" cm="1">
        <f t="array" ref="H257">IF(INDEX('Result data'!X$216:X$390,$A257,1)=".",ERROR.TYPE(7),IF(H$240&gt;'Config!'!$BA$15,ERROR.TYPE(7),INDEX('Result data'!X$216:X$390,$A257,1)))</f>
        <v>#N/A</v>
      </c>
      <c r="I257" s="644" t="e" cm="1">
        <f t="array" ref="I257">IF(INDEX('Result data'!Y$216:Y$390,$A257,1)=".",ERROR.TYPE(7),IF(I$240&gt;'Config!'!$BA$15,ERROR.TYPE(7),INDEX('Result data'!Y$216:Y$390,$A257,1)))</f>
        <v>#N/A</v>
      </c>
      <c r="J257" s="644" t="e" cm="1">
        <f t="array" ref="J257">IF(INDEX('Result data'!Z$216:Z$390,$A257,1)=".",ERROR.TYPE(7),IF(J$240&gt;'Config!'!$BA$15,ERROR.TYPE(7),INDEX('Result data'!Z$216:Z$390,$A257,1)))</f>
        <v>#N/A</v>
      </c>
      <c r="K257" s="644" t="e" cm="1">
        <f t="array" ref="K257">IF(INDEX('Result data'!AA$216:AA$390,$A257,1)=".",ERROR.TYPE(7),IF(K$240&gt;'Config!'!$BA$15,ERROR.TYPE(7),INDEX('Result data'!AA$216:AA$390,$A257,1)))</f>
        <v>#N/A</v>
      </c>
    </row>
    <row r="258" spans="1:11" x14ac:dyDescent="0.3">
      <c r="B258" s="338" t="e" cm="1">
        <f t="array" ref="B258">IF(INDEX('Result data'!BS$216:BS$390,$A253,1)=0,ERROR.TYPE(7),IF(B$240&gt;'Config!'!$BA$15,ERROR.TYPE(7),INDEX('Result data'!BS$216:BS$390,$A253,1)))</f>
        <v>#N/A</v>
      </c>
      <c r="C258" s="338" cm="1">
        <f t="array" ref="C258">IF(INDEX('Result data'!BT$216:BT$390,$A253,1)=0,ERROR.TYPE(7),IF(C$240&gt;'Config!'!$BA$15,ERROR.TYPE(7),INDEX('Result data'!BT$216:BT$390,$A253,1)))</f>
        <v>53046231.355448335</v>
      </c>
      <c r="D258" s="338" t="e" cm="1">
        <f t="array" ref="D258">IF(INDEX('Result data'!BU$216:BU$390,$A253,1)=0,ERROR.TYPE(7),IF(D$240&gt;'Config!'!$BA$15,ERROR.TYPE(7),INDEX('Result data'!BU$216:BU$390,$A253,1)))</f>
        <v>#N/A</v>
      </c>
      <c r="E258" s="338" t="e" cm="1">
        <f t="array" ref="E258">IF(INDEX('Result data'!BV$216:BV$390,$A253,1)=0,ERROR.TYPE(7),IF(E$240&gt;'Config!'!$BA$15,ERROR.TYPE(7),INDEX('Result data'!BV$216:BV$390,$A253,1)))</f>
        <v>#N/A</v>
      </c>
      <c r="F258" s="338" t="e" cm="1">
        <f t="array" ref="F258">IF(INDEX('Result data'!BW$216:BW$390,$A253,1)=0,ERROR.TYPE(7),IF(F$240&gt;'Config!'!$BA$15,ERROR.TYPE(7),INDEX('Result data'!BW$216:BW$390,$A253,1)))</f>
        <v>#N/A</v>
      </c>
      <c r="G258" s="338" t="e" cm="1">
        <f t="array" ref="G258">IF(INDEX('Result data'!BX$216:BX$390,$A253,1)=0,ERROR.TYPE(7),IF(G$240&gt;'Config!'!$BA$15,ERROR.TYPE(7),INDEX('Result data'!BX$216:BX$390,$A253,1)))</f>
        <v>#N/A</v>
      </c>
      <c r="H258" s="338" t="e" cm="1">
        <f t="array" ref="H258">IF(INDEX('Result data'!BY$216:BY$390,$A253,1)=0,ERROR.TYPE(7),IF(H$240&gt;'Config!'!$BA$15,ERROR.TYPE(7),INDEX('Result data'!BY$216:BY$390,$A253,1)))</f>
        <v>#N/A</v>
      </c>
      <c r="I258" s="338" t="e" cm="1">
        <f t="array" ref="I258">IF(INDEX('Result data'!BZ$216:BZ$390,$A253,1)=0,ERROR.TYPE(7),IF(I$240&gt;'Config!'!$BA$15,ERROR.TYPE(7),INDEX('Result data'!BZ$216:BZ$390,$A253,1)))</f>
        <v>#N/A</v>
      </c>
      <c r="J258" s="338" t="e" cm="1">
        <f t="array" ref="J258">IF(INDEX('Result data'!CA$216:CA$390,$A253,1)=0,ERROR.TYPE(7),IF(J$240&gt;'Config!'!$BA$15,ERROR.TYPE(7),INDEX('Result data'!CA$216:CA$390,$A253,1)))</f>
        <v>#N/A</v>
      </c>
      <c r="K258" s="338" t="e" cm="1">
        <f t="array" ref="K258">IF(INDEX('Result data'!CB$216:CB$390,$A253,1)=0,ERROR.TYPE(7),IF(K$240&gt;'Config!'!$BA$15,ERROR.TYPE(7),INDEX('Result data'!CB$216:CB$390,$A253,1)))</f>
        <v>#N/A</v>
      </c>
    </row>
    <row r="259" spans="1:11" x14ac:dyDescent="0.3">
      <c r="B259" s="338" cm="1">
        <f t="array" ref="B259">IF(INDEX('Result data'!BS$216:BS$390,$A254,1)=0,ERROR.TYPE(7),IF(B$240&gt;'Config!'!$BA$15,ERROR.TYPE(7),INDEX('Result data'!BS$216:BS$390,$A254,1)))</f>
        <v>87928377.951340854</v>
      </c>
      <c r="C259" s="338" cm="1">
        <f t="array" ref="C259">IF(INDEX('Result data'!BT$216:BT$390,$A254,1)=0,ERROR.TYPE(7),IF(C$240&gt;'Config!'!$BA$15,ERROR.TYPE(7),INDEX('Result data'!BT$216:BT$390,$A254,1)))</f>
        <v>192274689.46289992</v>
      </c>
      <c r="D259" s="338" t="e" cm="1">
        <f t="array" ref="D259">IF(INDEX('Result data'!BU$216:BU$390,$A254,1)=0,ERROR.TYPE(7),IF(D$240&gt;'Config!'!$BA$15,ERROR.TYPE(7),INDEX('Result data'!BU$216:BU$390,$A254,1)))</f>
        <v>#N/A</v>
      </c>
      <c r="E259" s="338" t="e" cm="1">
        <f t="array" ref="E259">IF(INDEX('Result data'!BV$216:BV$390,$A254,1)=0,ERROR.TYPE(7),IF(E$240&gt;'Config!'!$BA$15,ERROR.TYPE(7),INDEX('Result data'!BV$216:BV$390,$A254,1)))</f>
        <v>#N/A</v>
      </c>
      <c r="F259" s="338" t="e" cm="1">
        <f t="array" ref="F259">IF(INDEX('Result data'!BW$216:BW$390,$A254,1)=0,ERROR.TYPE(7),IF(F$240&gt;'Config!'!$BA$15,ERROR.TYPE(7),INDEX('Result data'!BW$216:BW$390,$A254,1)))</f>
        <v>#N/A</v>
      </c>
      <c r="G259" s="338" t="e" cm="1">
        <f t="array" ref="G259">IF(INDEX('Result data'!BX$216:BX$390,$A254,1)=0,ERROR.TYPE(7),IF(G$240&gt;'Config!'!$BA$15,ERROR.TYPE(7),INDEX('Result data'!BX$216:BX$390,$A254,1)))</f>
        <v>#N/A</v>
      </c>
      <c r="H259" s="338" t="e" cm="1">
        <f t="array" ref="H259">IF(INDEX('Result data'!BY$216:BY$390,$A254,1)=0,ERROR.TYPE(7),IF(H$240&gt;'Config!'!$BA$15,ERROR.TYPE(7),INDEX('Result data'!BY$216:BY$390,$A254,1)))</f>
        <v>#N/A</v>
      </c>
      <c r="I259" s="338" t="e" cm="1">
        <f t="array" ref="I259">IF(INDEX('Result data'!BZ$216:BZ$390,$A254,1)=0,ERROR.TYPE(7),IF(I$240&gt;'Config!'!$BA$15,ERROR.TYPE(7),INDEX('Result data'!BZ$216:BZ$390,$A254,1)))</f>
        <v>#N/A</v>
      </c>
      <c r="J259" s="338" t="e" cm="1">
        <f t="array" ref="J259">IF(INDEX('Result data'!CA$216:CA$390,$A254,1)=0,ERROR.TYPE(7),IF(J$240&gt;'Config!'!$BA$15,ERROR.TYPE(7),INDEX('Result data'!CA$216:CA$390,$A254,1)))</f>
        <v>#N/A</v>
      </c>
      <c r="K259" s="338" t="e" cm="1">
        <f t="array" ref="K259">IF(INDEX('Result data'!CB$216:CB$390,$A254,1)=0,ERROR.TYPE(7),IF(K$240&gt;'Config!'!$BA$15,ERROR.TYPE(7),INDEX('Result data'!CB$216:CB$390,$A254,1)))</f>
        <v>#N/A</v>
      </c>
    </row>
    <row r="260" spans="1:11" x14ac:dyDescent="0.3">
      <c r="B260" s="338" t="e" cm="1">
        <f t="array" ref="B260">IF(INDEX('Result data'!BS$216:BS$390,$A255,1)=0,ERROR.TYPE(7),IF(B$240&gt;'Config!'!$BA$15,ERROR.TYPE(7),INDEX('Result data'!BS$216:BS$390,$A255,1)))</f>
        <v>#N/A</v>
      </c>
      <c r="C260" s="338" t="e" cm="1">
        <f t="array" ref="C260">IF(INDEX('Result data'!BT$216:BT$390,$A255,1)=0,ERROR.TYPE(7),IF(C$240&gt;'Config!'!$BA$15,ERROR.TYPE(7),INDEX('Result data'!BT$216:BT$390,$A255,1)))</f>
        <v>#N/A</v>
      </c>
      <c r="D260" s="338" t="e" cm="1">
        <f t="array" ref="D260">IF(INDEX('Result data'!BU$216:BU$390,$A255,1)=0,ERROR.TYPE(7),IF(D$240&gt;'Config!'!$BA$15,ERROR.TYPE(7),INDEX('Result data'!BU$216:BU$390,$A255,1)))</f>
        <v>#N/A</v>
      </c>
      <c r="E260" s="338" t="e" cm="1">
        <f t="array" ref="E260">IF(INDEX('Result data'!BV$216:BV$390,$A255,1)=0,ERROR.TYPE(7),IF(E$240&gt;'Config!'!$BA$15,ERROR.TYPE(7),INDEX('Result data'!BV$216:BV$390,$A255,1)))</f>
        <v>#N/A</v>
      </c>
      <c r="F260" s="338" t="e" cm="1">
        <f t="array" ref="F260">IF(INDEX('Result data'!BW$216:BW$390,$A255,1)=0,ERROR.TYPE(7),IF(F$240&gt;'Config!'!$BA$15,ERROR.TYPE(7),INDEX('Result data'!BW$216:BW$390,$A255,1)))</f>
        <v>#N/A</v>
      </c>
      <c r="G260" s="338" t="e" cm="1">
        <f t="array" ref="G260">IF(INDEX('Result data'!BX$216:BX$390,$A255,1)=0,ERROR.TYPE(7),IF(G$240&gt;'Config!'!$BA$15,ERROR.TYPE(7),INDEX('Result data'!BX$216:BX$390,$A255,1)))</f>
        <v>#N/A</v>
      </c>
      <c r="H260" s="338" t="e" cm="1">
        <f t="array" ref="H260">IF(INDEX('Result data'!BY$216:BY$390,$A255,1)=0,ERROR.TYPE(7),IF(H$240&gt;'Config!'!$BA$15,ERROR.TYPE(7),INDEX('Result data'!BY$216:BY$390,$A255,1)))</f>
        <v>#N/A</v>
      </c>
      <c r="I260" s="338" t="e" cm="1">
        <f t="array" ref="I260">IF(INDEX('Result data'!BZ$216:BZ$390,$A255,1)=0,ERROR.TYPE(7),IF(I$240&gt;'Config!'!$BA$15,ERROR.TYPE(7),INDEX('Result data'!BZ$216:BZ$390,$A255,1)))</f>
        <v>#N/A</v>
      </c>
      <c r="J260" s="338" t="e" cm="1">
        <f t="array" ref="J260">IF(INDEX('Result data'!CA$216:CA$390,$A255,1)=0,ERROR.TYPE(7),IF(J$240&gt;'Config!'!$BA$15,ERROR.TYPE(7),INDEX('Result data'!CA$216:CA$390,$A255,1)))</f>
        <v>#N/A</v>
      </c>
      <c r="K260" s="338" t="e" cm="1">
        <f t="array" ref="K260">IF(INDEX('Result data'!CB$216:CB$390,$A255,1)=0,ERROR.TYPE(7),IF(K$240&gt;'Config!'!$BA$15,ERROR.TYPE(7),INDEX('Result data'!CB$216:CB$390,$A255,1)))</f>
        <v>#N/A</v>
      </c>
    </row>
    <row r="261" spans="1:11" x14ac:dyDescent="0.3">
      <c r="B261" s="338" cm="1">
        <f t="array" ref="B261">IF(INDEX('Result data'!BS$216:BS$390,$A256,1)=0,ERROR.TYPE(7),IF(B$240&gt;'Config!'!$BA$15,ERROR.TYPE(7),INDEX('Result data'!BS$216:BS$390,$A256,1)))</f>
        <v>38301631.486020893</v>
      </c>
      <c r="C261" s="338" cm="1">
        <f t="array" ref="C261">IF(INDEX('Result data'!BT$216:BT$390,$A256,1)=0,ERROR.TYPE(7),IF(C$240&gt;'Config!'!$BA$15,ERROR.TYPE(7),INDEX('Result data'!BT$216:BT$390,$A256,1)))</f>
        <v>83859373.725545689</v>
      </c>
      <c r="D261" s="338" t="e" cm="1">
        <f t="array" ref="D261">IF(INDEX('Result data'!BU$216:BU$390,$A256,1)=0,ERROR.TYPE(7),IF(D$240&gt;'Config!'!$BA$15,ERROR.TYPE(7),INDEX('Result data'!BU$216:BU$390,$A256,1)))</f>
        <v>#N/A</v>
      </c>
      <c r="E261" s="338" t="e" cm="1">
        <f t="array" ref="E261">IF(INDEX('Result data'!BV$216:BV$390,$A256,1)=0,ERROR.TYPE(7),IF(E$240&gt;'Config!'!$BA$15,ERROR.TYPE(7),INDEX('Result data'!BV$216:BV$390,$A256,1)))</f>
        <v>#N/A</v>
      </c>
      <c r="F261" s="338" t="e" cm="1">
        <f t="array" ref="F261">IF(INDEX('Result data'!BW$216:BW$390,$A256,1)=0,ERROR.TYPE(7),IF(F$240&gt;'Config!'!$BA$15,ERROR.TYPE(7),INDEX('Result data'!BW$216:BW$390,$A256,1)))</f>
        <v>#N/A</v>
      </c>
      <c r="G261" s="338" t="e" cm="1">
        <f t="array" ref="G261">IF(INDEX('Result data'!BX$216:BX$390,$A256,1)=0,ERROR.TYPE(7),IF(G$240&gt;'Config!'!$BA$15,ERROR.TYPE(7),INDEX('Result data'!BX$216:BX$390,$A256,1)))</f>
        <v>#N/A</v>
      </c>
      <c r="H261" s="338" t="e" cm="1">
        <f t="array" ref="H261">IF(INDEX('Result data'!BY$216:BY$390,$A256,1)=0,ERROR.TYPE(7),IF(H$240&gt;'Config!'!$BA$15,ERROR.TYPE(7),INDEX('Result data'!BY$216:BY$390,$A256,1)))</f>
        <v>#N/A</v>
      </c>
      <c r="I261" s="338" t="e" cm="1">
        <f t="array" ref="I261">IF(INDEX('Result data'!BZ$216:BZ$390,$A256,1)=0,ERROR.TYPE(7),IF(I$240&gt;'Config!'!$BA$15,ERROR.TYPE(7),INDEX('Result data'!BZ$216:BZ$390,$A256,1)))</f>
        <v>#N/A</v>
      </c>
      <c r="J261" s="338" t="e" cm="1">
        <f t="array" ref="J261">IF(INDEX('Result data'!CA$216:CA$390,$A256,1)=0,ERROR.TYPE(7),IF(J$240&gt;'Config!'!$BA$15,ERROR.TYPE(7),INDEX('Result data'!CA$216:CA$390,$A256,1)))</f>
        <v>#N/A</v>
      </c>
      <c r="K261" s="338" t="e" cm="1">
        <f t="array" ref="K261">IF(INDEX('Result data'!CB$216:CB$390,$A256,1)=0,ERROR.TYPE(7),IF(K$240&gt;'Config!'!$BA$15,ERROR.TYPE(7),INDEX('Result data'!CB$216:CB$390,$A256,1)))</f>
        <v>#N/A</v>
      </c>
    </row>
    <row r="262" spans="1:11" x14ac:dyDescent="0.3">
      <c r="B262" s="338" cm="1">
        <f t="array" ref="B262">IF(INDEX('Result data'!BS$216:BS$390,$A257,1)=0,ERROR.TYPE(7),IF(B$240&gt;'Config!'!$BA$15,ERROR.TYPE(7),INDEX('Result data'!BS$216:BS$390,$A257,1)))</f>
        <v>16429246.95789904</v>
      </c>
      <c r="C262" s="338" cm="1">
        <f t="array" ref="C262">IF(INDEX('Result data'!BT$216:BT$390,$A257,1)=0,ERROR.TYPE(7),IF(C$240&gt;'Config!'!$BA$15,ERROR.TYPE(7),INDEX('Result data'!BT$216:BT$390,$A257,1)))</f>
        <v>34676442.718041174</v>
      </c>
      <c r="D262" s="338" t="e" cm="1">
        <f t="array" ref="D262">IF(INDEX('Result data'!BU$216:BU$390,$A257,1)=0,ERROR.TYPE(7),IF(D$240&gt;'Config!'!$BA$15,ERROR.TYPE(7),INDEX('Result data'!BU$216:BU$390,$A257,1)))</f>
        <v>#N/A</v>
      </c>
      <c r="E262" s="338" t="e" cm="1">
        <f t="array" ref="E262">IF(INDEX('Result data'!BV$216:BV$390,$A257,1)=0,ERROR.TYPE(7),IF(E$240&gt;'Config!'!$BA$15,ERROR.TYPE(7),INDEX('Result data'!BV$216:BV$390,$A257,1)))</f>
        <v>#N/A</v>
      </c>
      <c r="F262" s="338" t="e" cm="1">
        <f t="array" ref="F262">IF(INDEX('Result data'!BW$216:BW$390,$A257,1)=0,ERROR.TYPE(7),IF(F$240&gt;'Config!'!$BA$15,ERROR.TYPE(7),INDEX('Result data'!BW$216:BW$390,$A257,1)))</f>
        <v>#N/A</v>
      </c>
      <c r="G262" s="338" t="e" cm="1">
        <f t="array" ref="G262">IF(INDEX('Result data'!BX$216:BX$390,$A257,1)=0,ERROR.TYPE(7),IF(G$240&gt;'Config!'!$BA$15,ERROR.TYPE(7),INDEX('Result data'!BX$216:BX$390,$A257,1)))</f>
        <v>#N/A</v>
      </c>
      <c r="H262" s="338" t="e" cm="1">
        <f t="array" ref="H262">IF(INDEX('Result data'!BY$216:BY$390,$A257,1)=0,ERROR.TYPE(7),IF(H$240&gt;'Config!'!$BA$15,ERROR.TYPE(7),INDEX('Result data'!BY$216:BY$390,$A257,1)))</f>
        <v>#N/A</v>
      </c>
      <c r="I262" s="338" t="e" cm="1">
        <f t="array" ref="I262">IF(INDEX('Result data'!BZ$216:BZ$390,$A257,1)=0,ERROR.TYPE(7),IF(I$240&gt;'Config!'!$BA$15,ERROR.TYPE(7),INDEX('Result data'!BZ$216:BZ$390,$A257,1)))</f>
        <v>#N/A</v>
      </c>
      <c r="J262" s="338" t="e" cm="1">
        <f t="array" ref="J262">IF(INDEX('Result data'!CA$216:CA$390,$A257,1)=0,ERROR.TYPE(7),IF(J$240&gt;'Config!'!$BA$15,ERROR.TYPE(7),INDEX('Result data'!CA$216:CA$390,$A257,1)))</f>
        <v>#N/A</v>
      </c>
      <c r="K262" s="338" t="e" cm="1">
        <f t="array" ref="K262">IF(INDEX('Result data'!CB$216:CB$390,$A257,1)=0,ERROR.TYPE(7),IF(K$240&gt;'Config!'!$BA$15,ERROR.TYPE(7),INDEX('Result data'!CB$216:CB$390,$A257,1)))</f>
        <v>#N/A</v>
      </c>
    </row>
    <row r="263" spans="1:11" x14ac:dyDescent="0.3">
      <c r="B263" s="338"/>
      <c r="C263" s="338"/>
      <c r="D263" s="338"/>
      <c r="E263" s="338"/>
      <c r="F263" s="338"/>
      <c r="G263" s="338"/>
      <c r="H263" s="338"/>
      <c r="I263" s="338"/>
      <c r="J263" s="338"/>
      <c r="K263" s="338"/>
    </row>
    <row r="264" spans="1:11" x14ac:dyDescent="0.3">
      <c r="B264" s="338" t="e">
        <v>#N/A</v>
      </c>
      <c r="C264" s="338"/>
      <c r="D264" s="338"/>
      <c r="E264" s="338"/>
      <c r="F264" s="338"/>
      <c r="G264" s="338"/>
      <c r="H264" s="338"/>
      <c r="I264" s="338"/>
      <c r="J264" s="338"/>
      <c r="K264" s="338"/>
    </row>
    <row r="265" spans="1:11" x14ac:dyDescent="0.3">
      <c r="B265" s="338"/>
      <c r="C265" s="338"/>
      <c r="D265" s="338"/>
      <c r="E265" s="338"/>
      <c r="F265" s="338"/>
      <c r="G265" s="338"/>
      <c r="H265" s="338"/>
      <c r="I265" s="338"/>
      <c r="J265" s="338"/>
      <c r="K265" s="338"/>
    </row>
    <row r="266" spans="1:11" x14ac:dyDescent="0.3">
      <c r="B266" s="338"/>
      <c r="C266" s="338"/>
      <c r="D266" s="338"/>
      <c r="E266" s="338"/>
      <c r="F266" s="338"/>
      <c r="G266" s="338"/>
      <c r="H266" s="338"/>
      <c r="I266" s="338"/>
      <c r="J266" s="338"/>
      <c r="K266" s="338"/>
    </row>
    <row r="267" spans="1:11" x14ac:dyDescent="0.3">
      <c r="B267" s="338"/>
      <c r="C267" s="338"/>
      <c r="D267" s="338"/>
      <c r="E267" s="338"/>
      <c r="F267" s="338"/>
      <c r="G267" s="338"/>
      <c r="H267" s="338"/>
      <c r="I267" s="338"/>
      <c r="J267" s="338"/>
      <c r="K267" s="338"/>
    </row>
  </sheetData>
  <mergeCells count="6">
    <mergeCell ref="A247:K247"/>
    <mergeCell ref="A238:K239"/>
    <mergeCell ref="A2:A3"/>
    <mergeCell ref="A1:K1"/>
    <mergeCell ref="A240:A241"/>
    <mergeCell ref="B241:K241"/>
  </mergeCells>
  <conditionalFormatting sqref="B242:K246 B248:K252">
    <cfRule type="cellIs" dxfId="13" priority="1" operator="equal">
      <formula>$B$264</formula>
    </cfRule>
  </conditionalFormatting>
  <dataValidations count="1">
    <dataValidation type="list" allowBlank="1" showInputMessage="1" showErrorMessage="1" sqref="A242:A246" xr:uid="{00000000-0002-0000-0F00-000000000000}">
      <formula1>Countries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ilha23">
    <tabColor theme="8"/>
  </sheetPr>
  <dimension ref="A1:CZ96"/>
  <sheetViews>
    <sheetView showGridLines="0" zoomScale="85" zoomScaleNormal="85" workbookViewId="0">
      <selection activeCell="M2" sqref="M2:P2"/>
    </sheetView>
  </sheetViews>
  <sheetFormatPr defaultColWidth="0" defaultRowHeight="24" customHeight="1" zeroHeight="1" x14ac:dyDescent="0.35"/>
  <cols>
    <col min="1" max="1" width="20.5703125" style="651" customWidth="1"/>
    <col min="2" max="2" width="19.140625" style="651" customWidth="1"/>
    <col min="3" max="4" width="18.7109375" style="651" customWidth="1"/>
    <col min="5" max="5" width="10.7109375" style="651" customWidth="1"/>
    <col min="6" max="6" width="12.7109375" style="651" customWidth="1"/>
    <col min="7" max="7" width="22.42578125" style="651" customWidth="1"/>
    <col min="8" max="8" width="25.28515625" style="651" customWidth="1"/>
    <col min="9" max="9" width="18.140625" style="490" customWidth="1"/>
    <col min="10" max="10" width="24.5703125" style="490" customWidth="1"/>
    <col min="11" max="11" width="19.7109375" style="490" customWidth="1"/>
    <col min="12" max="12" width="26.85546875" style="490" customWidth="1"/>
    <col min="13" max="13" width="24.85546875" style="490" customWidth="1"/>
    <col min="14" max="14" width="13.7109375" style="490" customWidth="1"/>
    <col min="15" max="15" width="15.7109375" style="490" customWidth="1"/>
    <col min="16" max="16" width="13.7109375" style="490" customWidth="1"/>
    <col min="17" max="17" width="15.7109375" style="490" customWidth="1"/>
    <col min="18" max="20" width="0.28515625" style="490" customWidth="1"/>
    <col min="21" max="104" width="0.28515625" style="489" customWidth="1"/>
    <col min="105" max="16384" width="35.7109375" style="489" hidden="1"/>
  </cols>
  <sheetData>
    <row r="1" spans="1:32" s="332" customFormat="1" ht="76.5" customHeight="1" x14ac:dyDescent="0.25">
      <c r="A1" s="891" t="str">
        <f>IF($M$2&lt;&gt;"Ok",Language!C410,Language!C410&amp;X2)</f>
        <v>Visão geral de desempenho individual:</v>
      </c>
      <c r="B1" s="891"/>
      <c r="C1" s="891"/>
      <c r="D1" s="891"/>
      <c r="E1" s="891"/>
      <c r="F1" s="891"/>
      <c r="G1" s="891"/>
      <c r="H1" s="891"/>
      <c r="I1" s="891"/>
      <c r="J1" s="891"/>
      <c r="K1" s="674" t="str">
        <f>'General Report'!H1</f>
        <v>Ano-</v>
      </c>
      <c r="L1" s="675">
        <f>MAX(Tabela4[Ano])</f>
        <v>2012</v>
      </c>
      <c r="M1" s="675"/>
      <c r="N1" s="675"/>
      <c r="O1" s="675"/>
      <c r="P1" s="675"/>
      <c r="Q1" s="675"/>
      <c r="R1" s="319"/>
      <c r="V1" s="333" t="s">
        <v>380</v>
      </c>
      <c r="W1" s="333" t="s">
        <v>1455</v>
      </c>
      <c r="X1" s="333" t="s">
        <v>1</v>
      </c>
      <c r="Y1" s="333" t="s">
        <v>458</v>
      </c>
    </row>
    <row r="2" spans="1:32" s="334" customFormat="1" ht="30" customHeight="1" x14ac:dyDescent="0.25">
      <c r="A2" s="898" t="str">
        <f>Language!C411</f>
        <v>Digite seu e-mail registrado</v>
      </c>
      <c r="B2" s="898"/>
      <c r="C2" s="885" t="e">
        <f>INDEX('Config!'!BB3:BB12,MATCH('Individual Report'!L2,'Config!'!$AY$3:$AY$12,0))</f>
        <v>#N/A</v>
      </c>
      <c r="D2" s="885"/>
      <c r="E2" s="885"/>
      <c r="F2" s="885"/>
      <c r="G2" s="896" t="str">
        <f>Language!C412</f>
        <v>Coloque sua senha</v>
      </c>
      <c r="H2" s="896"/>
      <c r="I2" s="682"/>
      <c r="J2" s="896" t="str">
        <f>Language!C413</f>
        <v>Seu número de equipe</v>
      </c>
      <c r="K2" s="896"/>
      <c r="L2" s="430" t="s">
        <v>424</v>
      </c>
      <c r="M2" s="897" t="str">
        <f>IF(COUNTIF('Config!'!$BD$3:$BD$12,'Individual Report'!V2)=1,"Ok","Verify your data")</f>
        <v>Verify your data</v>
      </c>
      <c r="N2" s="897"/>
      <c r="O2" s="897"/>
      <c r="P2" s="897"/>
      <c r="Q2" s="705"/>
      <c r="R2" s="319"/>
      <c r="V2" s="333" t="e">
        <f>L2&amp;"_"&amp;C2&amp;"_"&amp;I2</f>
        <v>#N/A</v>
      </c>
      <c r="W2" s="333">
        <f>SUMIF('Config!'!$BD$3:$BD$12,'Individual Report'!V2,'Config!'!$BF$3:$BF$12)</f>
        <v>0</v>
      </c>
      <c r="X2" s="333" t="e">
        <f>INDEX('Config!'!$AZ$3:$AZ$12,W2,1)</f>
        <v>#VALUE!</v>
      </c>
      <c r="Y2" s="334">
        <f>'Config!'!BA15</f>
        <v>2012</v>
      </c>
    </row>
    <row r="3" spans="1:32" s="235" customFormat="1" ht="43.9" customHeight="1" x14ac:dyDescent="0.25">
      <c r="A3" s="893" t="str">
        <f>Language!C414</f>
        <v>Informações de uso e desempenho de marketing</v>
      </c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4"/>
      <c r="Q3" s="703"/>
      <c r="R3" s="236"/>
    </row>
    <row r="4" spans="1:32" s="235" customFormat="1" ht="59.25" customHeight="1" x14ac:dyDescent="0.25">
      <c r="A4" s="281" t="str" cm="1">
        <f t="array" ref="A4:D4">TRANSPOSE(Language!C415:'Language'!C418)</f>
        <v>Unidade</v>
      </c>
      <c r="B4" s="282" t="str">
        <v>País</v>
      </c>
      <c r="C4" s="282" t="str">
        <v>No mercado desde</v>
      </c>
      <c r="D4" s="282" t="str">
        <v>Usuários ativos (milhares)</v>
      </c>
      <c r="E4" s="916" t="str">
        <f>Language!C419</f>
        <v>Usuários: Crescimento e tendência</v>
      </c>
      <c r="F4" s="917"/>
      <c r="G4" s="282" t="str" cm="1">
        <f t="array" ref="G4:M4">TRANSPOSE(Language!C420:'Language'!C426)</f>
        <v>Número de corridas (milhares)</v>
      </c>
      <c r="H4" s="282" t="str">
        <v>Número médio de corridas por usuário</v>
      </c>
      <c r="I4" s="282" t="str">
        <v>Ticket médio por corrida</v>
      </c>
      <c r="J4" s="282" t="str">
        <v>Receita média por usuário
(ARPU)</v>
      </c>
      <c r="K4" s="282" t="str">
        <v>Número de concorrentes</v>
      </c>
      <c r="L4" s="282" t="str">
        <v>Penetração de mercado (sua empresa)</v>
      </c>
      <c r="M4" s="282" t="str">
        <v>Penetração de mercado (categoria)</v>
      </c>
      <c r="N4" s="922" t="str">
        <f>Language!C427</f>
        <v>Participação de mercado
(n. de corridas): valor e tendência</v>
      </c>
      <c r="O4" s="923"/>
      <c r="P4" s="931" t="str">
        <f>Language!C428</f>
        <v>Participação de mercado (Receitas): valor e tendência</v>
      </c>
      <c r="Q4" s="932"/>
      <c r="R4" s="236" t="str">
        <f>'Individual Report'!$D$4&amp;": "&amp;'Individual Report'!$L$1</f>
        <v>Usuários ativos (milhares): 2012</v>
      </c>
      <c r="AB4" s="543" t="s">
        <v>1456</v>
      </c>
      <c r="AC4" s="543" t="s">
        <v>1457</v>
      </c>
      <c r="AE4" s="328"/>
      <c r="AF4" s="543" t="s">
        <v>1458</v>
      </c>
    </row>
    <row r="5" spans="1:32" s="235" customFormat="1" ht="31.9" customHeight="1" x14ac:dyDescent="0.25">
      <c r="A5" s="323" t="str">
        <f>Language!C88</f>
        <v>Matriz</v>
      </c>
      <c r="B5" s="265" t="str">
        <f>IF($M$2&lt;&gt;"Ok","",IF(C5="","",INDEX('Result data'!$C216:$L216,1,$W$2)))</f>
        <v/>
      </c>
      <c r="C5" s="283" t="str">
        <f>IF($M$2&lt;&gt;"Ok","",INDEX('Result data'!$C228:$L228,1,$W$2))</f>
        <v/>
      </c>
      <c r="D5" s="496" t="str">
        <f>IF($M$2&lt;&gt;"Ok","",IF(INDEX('Result data'!$C300:$L300,1,$W$2)=1,"",IFERROR((IF(C5="","",INDEX('Result data'!$C300:$L300,1,$W$2))),"")))</f>
        <v/>
      </c>
      <c r="E5" s="505" t="str">
        <f>IF(D5="","",INDEX('Result data'!$DD$216:$DM$390,SUMIF('Result data'!$DC$216:$DC$390,'Individual Report'!B5,'Result data'!$DB$216:$DB$390),$W$2))</f>
        <v/>
      </c>
      <c r="F5" s="503"/>
      <c r="G5" s="499" t="str">
        <f>IF($M$2&lt;&gt;"Ok","",IF(INDEX('Result data'!$C324:$L324,1,$W$2)&lt;=1,0,IFERROR(INDEX('Result data'!$C324:$L324,1,$W$2),"")))</f>
        <v/>
      </c>
      <c r="H5" s="483" t="str">
        <f t="shared" ref="H5:H14" si="0">IF($M$2&lt;&gt;"Ok","",IF(B5="","",IF(G5=0,"",MAX(G5/D5,1))))</f>
        <v/>
      </c>
      <c r="I5" s="261" t="str">
        <f>IF($M$2&lt;&gt;"Ok","",IF(G5=0,"",IFERROR(INDEX('Result data'!$C360:$L360,1,$W$2)/(G5),"")))</f>
        <v/>
      </c>
      <c r="J5" s="261" t="str">
        <f>IF($M$2&lt;&gt;"Ok","",IF(G5=0,"",IFERROR(INDEX('Result data'!$C360:$L360,1,$W$2)/(D5),"")))</f>
        <v/>
      </c>
      <c r="K5" s="284" t="str">
        <f>IF(D5="","",IF($M$2&lt;&gt;"Ok","",INDEX('Result data'!$C264:$L264,1,$W$2)))</f>
        <v/>
      </c>
      <c r="L5" s="264" t="str">
        <f>IF($M$2&lt;&gt;"Ok","",IFERROR(D5/INDEX(Population!$BE$3:$BP$177,SUMIF(Population!$B$3:$B$177,B5,Population!$A$3:$A$177),$L$1-2010),"0,0%"))</f>
        <v/>
      </c>
      <c r="M5" s="508" t="str">
        <f>IF($M$2&lt;&gt;"Ok","",IFERROR(INDEX('Result data'!$R$216:$AC$390,SUMIF('Result data'!$O$216:$O$390,B5,'Result data'!$N$216:$N$390),$L$1-2010)/'Individual Report'!Y19,"0,0%"))</f>
        <v/>
      </c>
      <c r="N5" s="519" t="str">
        <f>IF($M$2&lt;&gt;"Ok","",INDEX('Result data'!$C336:$L336,1,$W$2))</f>
        <v/>
      </c>
      <c r="O5" s="514"/>
      <c r="P5" s="522" t="str">
        <f>IF($M$2&lt;&gt;"Ok","",INDEX('Result data'!$C348:$L348,1,$W$2))</f>
        <v/>
      </c>
      <c r="Q5" s="511"/>
      <c r="R5" s="236" t="str">
        <f>IFERROR(D5/$D$15,"")</f>
        <v/>
      </c>
      <c r="X5" s="235">
        <v>1</v>
      </c>
      <c r="AB5" s="544" t="str">
        <f>IF(B5="","",INDEX('Result data'!$R$216:$AC$390,SUMIF('Result data'!$O$216:$O$390,B5,'Result data'!$N$216:$N$390),$L$1-2010))</f>
        <v/>
      </c>
      <c r="AE5" s="328" t="str">
        <f>'Config!'!AY3</f>
        <v>Time 1</v>
      </c>
      <c r="AF5" s="545">
        <f>IFERROR('General Report'!B56/'General Report'!$B$66,"")</f>
        <v>6.2687591247504601E-2</v>
      </c>
    </row>
    <row r="6" spans="1:32" s="235" customFormat="1" ht="31.9" customHeight="1" x14ac:dyDescent="0.25">
      <c r="A6" s="324" t="str">
        <f>Language!C89</f>
        <v>Subsidiária 1</v>
      </c>
      <c r="B6" s="285" t="str">
        <f>IF($M$2&lt;&gt;"Ok","",IF(C6="","",INDEX('Result data'!$C217:$L217,1,$W$2)))</f>
        <v/>
      </c>
      <c r="C6" s="286" t="str">
        <f>IF($M$2&lt;&gt;"Ok","",INDEX('Result data'!$C229:$L229,1,$W$2))</f>
        <v/>
      </c>
      <c r="D6" s="497" t="str">
        <f>IF($M$2&lt;&gt;"Ok","",IF(INDEX('Result data'!$C301:$L301,1,$W$2)=1,"",IFERROR((IF(C6="","",INDEX('Result data'!$C301:$L301,1,$W$2))),"")))</f>
        <v/>
      </c>
      <c r="E6" s="506" t="str">
        <f>IF(D6="","",INDEX('Result data'!$DD$216:$DM$390,SUMIF('Result data'!$DC$216:$DC$390,'Individual Report'!B6,'Result data'!$DB$216:$DB$390),$W$2))</f>
        <v/>
      </c>
      <c r="F6" s="504"/>
      <c r="G6" s="500" t="str">
        <f>IF($M$2&lt;&gt;"Ok","",IF(INDEX('Result data'!$C325:$L325,1,$W$2)&lt;=1,0,IFERROR(INDEX('Result data'!$C325:$L325,1,$W$2),"")))</f>
        <v/>
      </c>
      <c r="H6" s="484" t="str">
        <f t="shared" si="0"/>
        <v/>
      </c>
      <c r="I6" s="287" t="str">
        <f>IF($M$2&lt;&gt;"Ok","",IF(G6=0,"",IFERROR(INDEX('Result data'!$C361:$L361,1,$W$2)/(G6),"")))</f>
        <v/>
      </c>
      <c r="J6" s="287" t="str">
        <f>IF($M$2&lt;&gt;"Ok","",IF(G6=0,"",IFERROR(INDEX('Result data'!$C361:$L361,1,$W$2)/(D6),"")))</f>
        <v/>
      </c>
      <c r="K6" s="288" t="str">
        <f>IF(D6="","",IF($M$2&lt;&gt;"Ok","",INDEX('Result data'!$C265:$L265,1,$W$2)))</f>
        <v/>
      </c>
      <c r="L6" s="289" t="str">
        <f>IF($M$2&lt;&gt;"Ok","",IFERROR(D6/INDEX(Population!$BE$3:$BP$177,SUMIF(Population!$B$3:$B$177,B6,Population!$A$3:$A$177),$L$1-2010),"0,0%"))</f>
        <v/>
      </c>
      <c r="M6" s="509" t="str">
        <f>IF($M$2&lt;&gt;"Ok","",IFERROR(INDEX('Result data'!$R$216:$AC$390,SUMIF('Result data'!$O$216:$O$390,B6,'Result data'!$N$216:$N$390),$L$1-2010)/'Individual Report'!Y20,"0,0%"))</f>
        <v/>
      </c>
      <c r="N6" s="520" t="str">
        <f>IF($M$2&lt;&gt;"Ok","",INDEX('Result data'!$C337:$L337,1,$W$2))</f>
        <v/>
      </c>
      <c r="O6" s="515"/>
      <c r="P6" s="523" t="str">
        <f>IF($M$2&lt;&gt;"Ok","",INDEX('Result data'!$C349:$L349,1,$W$2))</f>
        <v/>
      </c>
      <c r="Q6" s="512"/>
      <c r="R6" s="236" t="str">
        <f t="shared" ref="R6:R14" si="1">IFERROR(D6/$D$15,"")</f>
        <v/>
      </c>
      <c r="AB6" s="544" t="str">
        <f>IF(B6="","",INDEX('Result data'!$R$216:$AC$390,SUMIF('Result data'!$O$216:$O$390,B6,'Result data'!$N$216:$N$390),$L$1-2010))</f>
        <v/>
      </c>
      <c r="AE6" s="328" t="str">
        <f>'Config!'!AY4</f>
        <v>Time 2</v>
      </c>
      <c r="AF6" s="545">
        <f>IFERROR('General Report'!B57/'General Report'!$B$66,"")</f>
        <v>8.989495175730651E-2</v>
      </c>
    </row>
    <row r="7" spans="1:32" s="235" customFormat="1" ht="31.9" customHeight="1" x14ac:dyDescent="0.25">
      <c r="A7" s="323" t="str">
        <f>Language!C90</f>
        <v>Subsidiária 2</v>
      </c>
      <c r="B7" s="265" t="str">
        <f>IF($M$2&lt;&gt;"Ok","",IF(C7="","",INDEX('Result data'!$C218:$L218,1,$W$2)))</f>
        <v/>
      </c>
      <c r="C7" s="283" t="str">
        <f>IF($M$2&lt;&gt;"Ok","",INDEX('Result data'!$C230:$L230,1,$W$2))</f>
        <v/>
      </c>
      <c r="D7" s="496" t="str">
        <f>IF($M$2&lt;&gt;"Ok","",IF(INDEX('Result data'!$C302:$L302,1,$W$2)=1,"",IFERROR((IF(C7="","",INDEX('Result data'!$C302:$L302,1,$W$2))),"")))</f>
        <v/>
      </c>
      <c r="E7" s="505" t="str">
        <f>IF(D7="","",INDEX('Result data'!$DD$216:$DM$390,SUMIF('Result data'!$DC$216:$DC$390,'Individual Report'!B7,'Result data'!$DB$216:$DB$390),$W$2))</f>
        <v/>
      </c>
      <c r="F7" s="503"/>
      <c r="G7" s="499" t="str">
        <f>IF($M$2&lt;&gt;"Ok","",IF(INDEX('Result data'!$C326:$L326,1,$W$2)&lt;=1,0,IFERROR(INDEX('Result data'!$C326:$L326,1,$W$2),"")))</f>
        <v/>
      </c>
      <c r="H7" s="483" t="str">
        <f t="shared" si="0"/>
        <v/>
      </c>
      <c r="I7" s="261" t="str">
        <f>IF($M$2&lt;&gt;"Ok","",IF(G7=0,"",IFERROR(INDEX('Result data'!$C362:$L362,1,$W$2)/(G7),"")))</f>
        <v/>
      </c>
      <c r="J7" s="261" t="str">
        <f>IF($M$2&lt;&gt;"Ok","",IF(G7=0,"",IFERROR(INDEX('Result data'!$C362:$L362,1,$W$2)/(D7),"")))</f>
        <v/>
      </c>
      <c r="K7" s="284" t="str">
        <f>IF(D7="","",IF($M$2&lt;&gt;"Ok","",INDEX('Result data'!$C266:$L266,1,$W$2)))</f>
        <v/>
      </c>
      <c r="L7" s="264" t="str">
        <f>IF($M$2&lt;&gt;"Ok","",IFERROR(D7/INDEX(Population!$BE$3:$BP$177,SUMIF(Population!$B$3:$B$177,B7,Population!$A$3:$A$177),$L$1-2010),"0,0%"))</f>
        <v/>
      </c>
      <c r="M7" s="508" t="str">
        <f>IF($M$2&lt;&gt;"Ok","",IFERROR(INDEX('Result data'!$R$216:$AC$390,SUMIF('Result data'!$O$216:$O$390,B7,'Result data'!$N$216:$N$390),$L$1-2010)/'Individual Report'!Y21,"0,0%"))</f>
        <v/>
      </c>
      <c r="N7" s="519" t="str">
        <f>IF($M$2&lt;&gt;"Ok","",INDEX('Result data'!$C338:$L338,1,$W$2))</f>
        <v/>
      </c>
      <c r="O7" s="511"/>
      <c r="P7" s="522" t="str">
        <f>IF($M$2&lt;&gt;"Ok","",INDEX('Result data'!$C350:$L350,1,$W$2))</f>
        <v/>
      </c>
      <c r="Q7" s="511"/>
      <c r="R7" s="236" t="str">
        <f t="shared" si="1"/>
        <v/>
      </c>
      <c r="AB7" s="544" t="str">
        <f>IF(B7="","",INDEX('Result data'!$R$216:$AC$390,SUMIF('Result data'!$O$216:$O$390,B7,'Result data'!$N$216:$N$390),$L$1-2010))</f>
        <v/>
      </c>
      <c r="AE7" s="328" t="str">
        <f>'Config!'!AY5</f>
        <v>Time 3</v>
      </c>
      <c r="AF7" s="545">
        <f>IFERROR('General Report'!B58/'General Report'!$B$66,"")</f>
        <v>0.14937696267898426</v>
      </c>
    </row>
    <row r="8" spans="1:32" s="235" customFormat="1" ht="31.9" customHeight="1" x14ac:dyDescent="0.25">
      <c r="A8" s="324" t="str">
        <f>Language!C91</f>
        <v>Subsidiária 3</v>
      </c>
      <c r="B8" s="285" t="str">
        <f>IF($M$2&lt;&gt;"Ok","",IF(C8="","",INDEX('Result data'!$C219:$L219,1,$W$2)))</f>
        <v/>
      </c>
      <c r="C8" s="286" t="str">
        <f>IF($M$2&lt;&gt;"Ok","",INDEX('Result data'!$C231:$L231,1,$W$2))</f>
        <v/>
      </c>
      <c r="D8" s="497" t="str">
        <f>IF($M$2&lt;&gt;"Ok","",IF(INDEX('Result data'!$C303:$L303,1,$W$2)=1,"",IFERROR((IF(C8="","",INDEX('Result data'!$C303:$L303,1,$W$2))),"")))</f>
        <v/>
      </c>
      <c r="E8" s="506" t="str">
        <f>IF(D8="","",INDEX('Result data'!$DD$216:$DM$390,SUMIF('Result data'!$DC$216:$DC$390,'Individual Report'!B8,'Result data'!$DB$216:$DB$390),$W$2))</f>
        <v/>
      </c>
      <c r="F8" s="504"/>
      <c r="G8" s="500" t="str">
        <f>IF($M$2&lt;&gt;"Ok","",IF(INDEX('Result data'!$C327:$L327,1,$W$2)&lt;=1,0,IFERROR(INDEX('Result data'!$C327:$L327,1,$W$2),"")))</f>
        <v/>
      </c>
      <c r="H8" s="484" t="str">
        <f t="shared" si="0"/>
        <v/>
      </c>
      <c r="I8" s="287" t="str">
        <f>IF($M$2&lt;&gt;"Ok","",IF(G8=0,"",IFERROR(INDEX('Result data'!$C363:$L363,1,$W$2)/(G8),"")))</f>
        <v/>
      </c>
      <c r="J8" s="287" t="str">
        <f>IF($M$2&lt;&gt;"Ok","",IF(G8=0,"",IFERROR(INDEX('Result data'!$C363:$L363,1,$W$2)/(D8),"")))</f>
        <v/>
      </c>
      <c r="K8" s="288" t="str">
        <f>IF(D8="","",IF($M$2&lt;&gt;"Ok","",INDEX('Result data'!$C267:$L267,1,$W$2)))</f>
        <v/>
      </c>
      <c r="L8" s="289" t="str">
        <f>IF($M$2&lt;&gt;"Ok","",IFERROR(D8/INDEX(Population!$BE$3:$BP$177,SUMIF(Population!$B$3:$B$177,B8,Population!$A$3:$A$177),$L$1-2010),"0,0%"))</f>
        <v/>
      </c>
      <c r="M8" s="509" t="str">
        <f>IF($M$2&lt;&gt;"Ok","",IFERROR(INDEX('Result data'!$R$216:$AC$390,SUMIF('Result data'!$O$216:$O$390,B8,'Result data'!$N$216:$N$390),$L$1-2010)/'Individual Report'!Y22,"0,0%"))</f>
        <v/>
      </c>
      <c r="N8" s="520" t="str">
        <f>IF($M$2&lt;&gt;"Ok","",INDEX('Result data'!$C339:$L339,1,$W$2))</f>
        <v/>
      </c>
      <c r="O8" s="512"/>
      <c r="P8" s="523" t="str">
        <f>IF($M$2&lt;&gt;"Ok","",INDEX('Result data'!$C351:$L351,1,$W$2))</f>
        <v/>
      </c>
      <c r="Q8" s="512"/>
      <c r="R8" s="236" t="str">
        <f t="shared" si="1"/>
        <v/>
      </c>
      <c r="AB8" s="544" t="str">
        <f>IF(B8="","",INDEX('Result data'!$R$216:$AC$390,SUMIF('Result data'!$O$216:$O$390,B8,'Result data'!$N$216:$N$390),$L$1-2010))</f>
        <v/>
      </c>
      <c r="AE8" s="328" t="str">
        <f>'Config!'!AY6</f>
        <v>Time 4</v>
      </c>
      <c r="AF8" s="545">
        <f>IFERROR('General Report'!B59/'General Report'!$B$66,"")</f>
        <v>0.42573986094640132</v>
      </c>
    </row>
    <row r="9" spans="1:32" s="235" customFormat="1" ht="31.9" customHeight="1" x14ac:dyDescent="0.25">
      <c r="A9" s="323" t="str">
        <f>Language!C92</f>
        <v>Subsidiária 4</v>
      </c>
      <c r="B9" s="265" t="str">
        <f>IF($M$2&lt;&gt;"Ok","",IF(C9="","",INDEX('Result data'!$C220:$L220,1,$W$2)))</f>
        <v/>
      </c>
      <c r="C9" s="283" t="str">
        <f>IF($M$2&lt;&gt;"Ok","",INDEX('Result data'!$C232:$L232,1,$W$2))</f>
        <v/>
      </c>
      <c r="D9" s="496" t="str">
        <f>IF($M$2&lt;&gt;"Ok","",IF(INDEX('Result data'!$C304:$L304,1,$W$2)=1,"",IFERROR((IF(C9="","",INDEX('Result data'!$C304:$L304,1,$W$2))),"")))</f>
        <v/>
      </c>
      <c r="E9" s="505" t="str">
        <f>IF(D9="","",INDEX('Result data'!$DD$216:$DM$390,SUMIF('Result data'!$DC$216:$DC$390,'Individual Report'!B9,'Result data'!$DB$216:$DB$390),$W$2))</f>
        <v/>
      </c>
      <c r="F9" s="503"/>
      <c r="G9" s="499" t="str">
        <f>IF($M$2&lt;&gt;"Ok","",IF(INDEX('Result data'!$C328:$L328,1,$W$2)&lt;=1,0,IFERROR(INDEX('Result data'!$C328:$L328,1,$W$2),"")))</f>
        <v/>
      </c>
      <c r="H9" s="483" t="str">
        <f t="shared" si="0"/>
        <v/>
      </c>
      <c r="I9" s="261" t="str">
        <f>IF($M$2&lt;&gt;"Ok","",IF(G9=0,"",IFERROR(INDEX('Result data'!$C364:$L364,1,$W$2)/(G9),"")))</f>
        <v/>
      </c>
      <c r="J9" s="261" t="str">
        <f>IF($M$2&lt;&gt;"Ok","",IF(G9=0,"",IFERROR(INDEX('Result data'!$C364:$L364,1,$W$2)/(D9),"")))</f>
        <v/>
      </c>
      <c r="K9" s="284" t="str">
        <f>IF(D9="","",IF($M$2&lt;&gt;"Ok","",INDEX('Result data'!$C268:$L268,1,$W$2)))</f>
        <v/>
      </c>
      <c r="L9" s="264" t="str">
        <f>IF($M$2&lt;&gt;"Ok","",IFERROR(D9/INDEX(Population!$BE$3:$BP$177,SUMIF(Population!$B$3:$B$177,B9,Population!$A$3:$A$177),$L$1-2010),"0,0%"))</f>
        <v/>
      </c>
      <c r="M9" s="508" t="str">
        <f>IF($M$2&lt;&gt;"Ok","",IFERROR(INDEX('Result data'!$R$216:$AC$390,SUMIF('Result data'!$O$216:$O$390,B9,'Result data'!$N$216:$N$390),$L$1-2010)/'Individual Report'!Y23,"0,0%"))</f>
        <v/>
      </c>
      <c r="N9" s="519" t="str">
        <f>IF($M$2&lt;&gt;"Ok","",INDEX('Result data'!$C340:$L340,1,$W$2))</f>
        <v/>
      </c>
      <c r="O9" s="511"/>
      <c r="P9" s="522" t="str">
        <f>IF($M$2&lt;&gt;"Ok","",INDEX('Result data'!$C352:$L352,1,$W$2))</f>
        <v/>
      </c>
      <c r="Q9" s="511"/>
      <c r="R9" s="236" t="str">
        <f t="shared" si="1"/>
        <v/>
      </c>
      <c r="AB9" s="544" t="str">
        <f>IF(B9="","",INDEX('Result data'!$R$216:$AC$390,SUMIF('Result data'!$O$216:$O$390,B9,'Result data'!$N$216:$N$390),$L$1-2010))</f>
        <v/>
      </c>
      <c r="AE9" s="328" t="str">
        <f>'Config!'!AY7</f>
        <v>Time 5</v>
      </c>
      <c r="AF9" s="545">
        <f>IFERROR('General Report'!B60/'General Report'!$B$66,"")</f>
        <v>0.19692198931198573</v>
      </c>
    </row>
    <row r="10" spans="1:32" s="235" customFormat="1" ht="31.9" customHeight="1" x14ac:dyDescent="0.25">
      <c r="A10" s="324" t="str">
        <f>Language!C93</f>
        <v>Subsidiária 5</v>
      </c>
      <c r="B10" s="285" t="str">
        <f>IF($M$2&lt;&gt;"Ok","",IF(C10="","",INDEX('Result data'!$C221:$L221,1,$W$2)))</f>
        <v/>
      </c>
      <c r="C10" s="286" t="str">
        <f>IF($M$2&lt;&gt;"Ok","",INDEX('Result data'!$C233:$L233,1,$W$2))</f>
        <v/>
      </c>
      <c r="D10" s="497" t="str">
        <f>IF($M$2&lt;&gt;"Ok","",IF(INDEX('Result data'!$C305:$L305,1,$W$2)=1,"",IFERROR((IF(C10="","",INDEX('Result data'!$C305:$L305,1,$W$2))),"")))</f>
        <v/>
      </c>
      <c r="E10" s="506" t="str">
        <f>IF(D10="","",INDEX('Result data'!$DD$216:$DM$390,SUMIF('Result data'!$DC$216:$DC$390,'Individual Report'!B10,'Result data'!$DB$216:$DB$390),$W$2))</f>
        <v/>
      </c>
      <c r="F10" s="504"/>
      <c r="G10" s="500" t="str">
        <f>IF($M$2&lt;&gt;"Ok","",IF(INDEX('Result data'!$C329:$L329,1,$W$2)&lt;=1,0,IFERROR(INDEX('Result data'!$C329:$L329,1,$W$2),"")))</f>
        <v/>
      </c>
      <c r="H10" s="484" t="str">
        <f t="shared" si="0"/>
        <v/>
      </c>
      <c r="I10" s="287" t="str">
        <f>IF($M$2&lt;&gt;"Ok","",IF(G10=0,"",IFERROR(INDEX('Result data'!$C365:$L365,1,$W$2)/(G10),"")))</f>
        <v/>
      </c>
      <c r="J10" s="287" t="str">
        <f>IF($M$2&lt;&gt;"Ok","",IF(G10=0,"",IFERROR(INDEX('Result data'!$C365:$L365,1,$W$2)/(D10),"")))</f>
        <v/>
      </c>
      <c r="K10" s="288" t="str">
        <f>IF(D10="","",IF($M$2&lt;&gt;"Ok","",INDEX('Result data'!$C269:$L269,1,$W$2)))</f>
        <v/>
      </c>
      <c r="L10" s="289" t="str">
        <f>IF($M$2&lt;&gt;"Ok","",IFERROR(D10/INDEX(Population!$BE$3:$BP$177,SUMIF(Population!$B$3:$B$177,B10,Population!$A$3:$A$177),$L$1-2010),"0,0%"))</f>
        <v/>
      </c>
      <c r="M10" s="509" t="str">
        <f>IF($M$2&lt;&gt;"Ok","",IFERROR(INDEX('Result data'!$R$216:$AC$390,SUMIF('Result data'!$O$216:$O$390,B10,'Result data'!$N$216:$N$390),$L$1-2010)/'Individual Report'!Y24,"0,0%"))</f>
        <v/>
      </c>
      <c r="N10" s="520" t="str">
        <f>IF($M$2&lt;&gt;"Ok","",INDEX('Result data'!$C341:$L341,1,$W$2))</f>
        <v/>
      </c>
      <c r="O10" s="512"/>
      <c r="P10" s="523" t="str">
        <f>IF($M$2&lt;&gt;"Ok","",INDEX('Result data'!$C353:$L353,1,$W$2))</f>
        <v/>
      </c>
      <c r="Q10" s="512"/>
      <c r="R10" s="236" t="str">
        <f t="shared" si="1"/>
        <v/>
      </c>
      <c r="AB10" s="544" t="str">
        <f>IF(B10="","",INDEX('Result data'!$R$216:$AC$390,SUMIF('Result data'!$O$216:$O$390,B10,'Result data'!$N$216:$N$390),$L$1-2010))</f>
        <v/>
      </c>
      <c r="AE10" s="328" t="str">
        <f>'Config!'!AY8</f>
        <v>Time 6</v>
      </c>
      <c r="AF10" s="545">
        <f>IFERROR('General Report'!B61/'General Report'!$B$66,"")</f>
        <v>7.5378644057817551E-2</v>
      </c>
    </row>
    <row r="11" spans="1:32" s="235" customFormat="1" ht="31.9" customHeight="1" x14ac:dyDescent="0.25">
      <c r="A11" s="323" t="str">
        <f>Language!C94</f>
        <v>Subsidiária 6</v>
      </c>
      <c r="B11" s="265" t="str">
        <f>IF($M$2&lt;&gt;"Ok","",IF(C11="","",INDEX('Result data'!$C222:$L222,1,$W$2)))</f>
        <v/>
      </c>
      <c r="C11" s="283" t="str">
        <f>IF($M$2&lt;&gt;"Ok","",INDEX('Result data'!$C234:$L234,1,$W$2))</f>
        <v/>
      </c>
      <c r="D11" s="496" t="str">
        <f>IF($M$2&lt;&gt;"Ok","",IF(INDEX('Result data'!$C306:$L306,1,$W$2)=1,"",IFERROR((IF(C11="","",INDEX('Result data'!$C306:$L306,1,$W$2))),"")))</f>
        <v/>
      </c>
      <c r="E11" s="505" t="str">
        <f>IF(D11="","",INDEX('Result data'!$DD$216:$DM$390,SUMIF('Result data'!$DC$216:$DC$390,'Individual Report'!B11,'Result data'!$DB$216:$DB$390),$W$2))</f>
        <v/>
      </c>
      <c r="F11" s="503"/>
      <c r="G11" s="499" t="str">
        <f>IF($M$2&lt;&gt;"Ok","",IF(INDEX('Result data'!$C330:$L330,1,$W$2)&lt;=1,0,IFERROR(INDEX('Result data'!$C330:$L330,1,$W$2),"")))</f>
        <v/>
      </c>
      <c r="H11" s="483" t="str">
        <f t="shared" si="0"/>
        <v/>
      </c>
      <c r="I11" s="261" t="str">
        <f>IF($M$2&lt;&gt;"Ok","",IF(G11=0,"",IFERROR(INDEX('Result data'!$C366:$L366,1,$W$2)/(G11),"")))</f>
        <v/>
      </c>
      <c r="J11" s="261" t="str">
        <f>IF($M$2&lt;&gt;"Ok","",IF(G11=0,"",IFERROR(INDEX('Result data'!$C366:$L366,1,$W$2)/(D11),"")))</f>
        <v/>
      </c>
      <c r="K11" s="284" t="str">
        <f>IF(D11="","",IF($M$2&lt;&gt;"Ok","",INDEX('Result data'!$C270:$L270,1,$W$2)))</f>
        <v/>
      </c>
      <c r="L11" s="264" t="str">
        <f>IF($M$2&lt;&gt;"Ok","",IFERROR(D11/INDEX(Population!$BE$3:$BP$177,SUMIF(Population!$B$3:$B$177,B11,Population!$A$3:$A$177),$L$1-2010),"0,0%"))</f>
        <v/>
      </c>
      <c r="M11" s="508" t="str">
        <f>IF($M$2&lt;&gt;"Ok","",IFERROR(INDEX('Result data'!$R$216:$AC$390,SUMIF('Result data'!$O$216:$O$390,B11,'Result data'!$N$216:$N$390),$L$1-2010)/'Individual Report'!Y25,"0,0%"))</f>
        <v/>
      </c>
      <c r="N11" s="519" t="str">
        <f>IF($M$2&lt;&gt;"Ok","",INDEX('Result data'!$C342:$L342,1,$W$2))</f>
        <v/>
      </c>
      <c r="O11" s="511"/>
      <c r="P11" s="522" t="str">
        <f>IF($M$2&lt;&gt;"Ok","",INDEX('Result data'!$C354:$L354,1,$W$2))</f>
        <v/>
      </c>
      <c r="Q11" s="511"/>
      <c r="R11" s="236" t="str">
        <f t="shared" si="1"/>
        <v/>
      </c>
      <c r="AB11" s="544" t="str">
        <f>IF(B11="","",INDEX('Result data'!$R$216:$AC$390,SUMIF('Result data'!$O$216:$O$390,B11,'Result data'!$N$216:$N$390),$L$1-2010))</f>
        <v/>
      </c>
      <c r="AE11" s="328" t="str">
        <f>'Config!'!AY9</f>
        <v>Time 7</v>
      </c>
      <c r="AF11" s="545" t="str">
        <f>IFERROR('General Report'!B62/'General Report'!$B$66,"")</f>
        <v/>
      </c>
    </row>
    <row r="12" spans="1:32" s="235" customFormat="1" ht="31.9" customHeight="1" x14ac:dyDescent="0.25">
      <c r="A12" s="324" t="str">
        <f>Language!C95</f>
        <v>Subsidiária 7</v>
      </c>
      <c r="B12" s="285" t="str">
        <f>IF($M$2&lt;&gt;"Ok","",IF(C12="","",INDEX('Result data'!$C223:$L223,1,$W$2)))</f>
        <v/>
      </c>
      <c r="C12" s="286" t="str">
        <f>IF($M$2&lt;&gt;"Ok","",INDEX('Result data'!$C235:$L235,1,$W$2))</f>
        <v/>
      </c>
      <c r="D12" s="497" t="str">
        <f>IF($M$2&lt;&gt;"Ok","",IF(INDEX('Result data'!$C307:$L307,1,$W$2)=1,"",IFERROR((IF(C12="","",INDEX('Result data'!$C307:$L307,1,$W$2))),"")))</f>
        <v/>
      </c>
      <c r="E12" s="506" t="str">
        <f>IF(D12="","",INDEX('Result data'!$DD$216:$DM$390,SUMIF('Result data'!$DC$216:$DC$390,'Individual Report'!B12,'Result data'!$DB$216:$DB$390),$W$2))</f>
        <v/>
      </c>
      <c r="F12" s="504"/>
      <c r="G12" s="500" t="str">
        <f>IF($M$2&lt;&gt;"Ok","",IF(INDEX('Result data'!$C331:$L331,1,$W$2)&lt;=1,0,IFERROR(INDEX('Result data'!$C331:$L331,1,$W$2),"")))</f>
        <v/>
      </c>
      <c r="H12" s="484" t="str">
        <f t="shared" si="0"/>
        <v/>
      </c>
      <c r="I12" s="287" t="str">
        <f>IF($M$2&lt;&gt;"Ok","",IF(G12=0,"",IFERROR(INDEX('Result data'!$C367:$L367,1,$W$2)/(G12),"")))</f>
        <v/>
      </c>
      <c r="J12" s="287" t="str">
        <f>IF($M$2&lt;&gt;"Ok","",IF(G12=0,"",IFERROR(INDEX('Result data'!$C367:$L367,1,$W$2)/(D12),"")))</f>
        <v/>
      </c>
      <c r="K12" s="288" t="str">
        <f>IF(D12="","",IF($M$2&lt;&gt;"Ok","",INDEX('Result data'!$C271:$L271,1,$W$2)))</f>
        <v/>
      </c>
      <c r="L12" s="289" t="str">
        <f>IF($M$2&lt;&gt;"Ok","",IFERROR(D12/INDEX(Population!$BE$3:$BP$177,SUMIF(Population!$B$3:$B$177,B12,Population!$A$3:$A$177),$L$1-2010),"0,0%"))</f>
        <v/>
      </c>
      <c r="M12" s="509" t="str">
        <f>IF($M$2&lt;&gt;"Ok","",IFERROR(INDEX('Result data'!$R$216:$AC$390,SUMIF('Result data'!$O$216:$O$390,B12,'Result data'!$N$216:$N$390),$L$1-2010)/'Individual Report'!Y26,"0,0%"))</f>
        <v/>
      </c>
      <c r="N12" s="520" t="str">
        <f>IF($M$2&lt;&gt;"Ok","",INDEX('Result data'!$C343:$L343,1,$W$2))</f>
        <v/>
      </c>
      <c r="O12" s="512"/>
      <c r="P12" s="523" t="str">
        <f>IF($M$2&lt;&gt;"Ok","",INDEX('Result data'!$C355:$L355,1,$W$2))</f>
        <v/>
      </c>
      <c r="Q12" s="512"/>
      <c r="R12" s="236" t="str">
        <f t="shared" si="1"/>
        <v/>
      </c>
      <c r="AB12" s="544" t="str">
        <f>IF(B12="","",INDEX('Result data'!$R$216:$AC$390,SUMIF('Result data'!$O$216:$O$390,B12,'Result data'!$N$216:$N$390),$L$1-2010))</f>
        <v/>
      </c>
      <c r="AE12" s="328" t="str">
        <f>'Config!'!AY10</f>
        <v>Time 8</v>
      </c>
      <c r="AF12" s="545" t="str">
        <f>IFERROR('General Report'!B63/'General Report'!$B$66,"")</f>
        <v/>
      </c>
    </row>
    <row r="13" spans="1:32" s="235" customFormat="1" ht="31.9" customHeight="1" x14ac:dyDescent="0.25">
      <c r="A13" s="323" t="str">
        <f>Language!C96</f>
        <v>Subsidiária 8</v>
      </c>
      <c r="B13" s="265" t="str">
        <f>IF($M$2&lt;&gt;"Ok","",IF(C13="","",INDEX('Result data'!$C224:$L224,1,$W$2)))</f>
        <v/>
      </c>
      <c r="C13" s="283" t="str">
        <f>IF($M$2&lt;&gt;"Ok","",INDEX('Result data'!$C236:$L236,1,$W$2))</f>
        <v/>
      </c>
      <c r="D13" s="496" t="str">
        <f>IF($M$2&lt;&gt;"Ok","",IF(INDEX('Result data'!$C308:$L308,1,$W$2)=1,"",IFERROR((IF(C13="","",INDEX('Result data'!$C308:$L308,1,$W$2))),"")))</f>
        <v/>
      </c>
      <c r="E13" s="505" t="str">
        <f>IF(D13="","",INDEX('Result data'!$DD$216:$DM$390,SUMIF('Result data'!$DC$216:$DC$390,'Individual Report'!B13,'Result data'!$DB$216:$DB$390),$W$2))</f>
        <v/>
      </c>
      <c r="F13" s="503"/>
      <c r="G13" s="499" t="str">
        <f>IF($M$2&lt;&gt;"Ok","",IF(INDEX('Result data'!$C332:$L332,1,$W$2)&lt;=1,0,IFERROR(INDEX('Result data'!$C332:$L332,1,$W$2),"")))</f>
        <v/>
      </c>
      <c r="H13" s="483" t="str">
        <f t="shared" si="0"/>
        <v/>
      </c>
      <c r="I13" s="261" t="str">
        <f>IF($M$2&lt;&gt;"Ok","",IF(G13=0,"",IFERROR(INDEX('Result data'!$C368:$L368,1,$W$2)/(G13),"")))</f>
        <v/>
      </c>
      <c r="J13" s="261" t="str">
        <f>IF($M$2&lt;&gt;"Ok","",IF(G13=0,"",IFERROR(INDEX('Result data'!$C368:$L368,1,$W$2)/(D13),"")))</f>
        <v/>
      </c>
      <c r="K13" s="284" t="str">
        <f>IF(D13="","",IF($M$2&lt;&gt;"Ok","",INDEX('Result data'!$C272:$L272,1,$W$2)))</f>
        <v/>
      </c>
      <c r="L13" s="264" t="str">
        <f>IF($M$2&lt;&gt;"Ok","",IFERROR(D13/INDEX(Population!$BE$3:$BP$177,SUMIF(Population!$B$3:$B$177,B13,Population!$A$3:$A$177),$L$1-2010),"0,0%"))</f>
        <v/>
      </c>
      <c r="M13" s="508" t="str">
        <f>IF($M$2&lt;&gt;"Ok","",IFERROR(INDEX('Result data'!$R$216:$AC$390,SUMIF('Result data'!$O$216:$O$390,B13,'Result data'!$N$216:$N$390),$L$1-2010)/'Individual Report'!Y27,"0,0%"))</f>
        <v/>
      </c>
      <c r="N13" s="519" t="str">
        <f>IF($M$2&lt;&gt;"Ok","",INDEX('Result data'!$C344:$L344,1,$W$2))</f>
        <v/>
      </c>
      <c r="O13" s="511"/>
      <c r="P13" s="522" t="str">
        <f>IF($M$2&lt;&gt;"Ok","",INDEX('Result data'!$C356:$L356,1,$W$2))</f>
        <v/>
      </c>
      <c r="Q13" s="511"/>
      <c r="R13" s="236" t="str">
        <f t="shared" si="1"/>
        <v/>
      </c>
      <c r="AB13" s="544" t="str">
        <f>IF(B13="","",INDEX('Result data'!$R$216:$AC$390,SUMIF('Result data'!$O$216:$O$390,B13,'Result data'!$N$216:$N$390),$L$1-2010))</f>
        <v/>
      </c>
      <c r="AE13" s="328" t="str">
        <f>'Config!'!AY11</f>
        <v>Time 9</v>
      </c>
      <c r="AF13" s="545" t="str">
        <f>IFERROR('General Report'!B64/'General Report'!$B$66,"")</f>
        <v/>
      </c>
    </row>
    <row r="14" spans="1:32" s="235" customFormat="1" ht="31.9" customHeight="1" x14ac:dyDescent="0.25">
      <c r="A14" s="324" t="str">
        <f>Language!C97</f>
        <v>Subsidiária 9</v>
      </c>
      <c r="B14" s="285" t="str">
        <f>IF($M$2&lt;&gt;"Ok","",IF(C14="","",INDEX('Result data'!$C225:$L225,1,$W$2)))</f>
        <v/>
      </c>
      <c r="C14" s="286" t="str">
        <f>IF($M$2&lt;&gt;"Ok","",INDEX('Result data'!$C237:$L237,1,$W$2))</f>
        <v/>
      </c>
      <c r="D14" s="497" t="str">
        <f>IF($M$2&lt;&gt;"Ok","",IF(INDEX('Result data'!$C309:$L309,1,$W$2)=1,"",IFERROR((IF(C14="","",INDEX('Result data'!$C309:$L309,1,$W$2))),"")))</f>
        <v/>
      </c>
      <c r="E14" s="506" t="str">
        <f>IF(D14="","",INDEX('Result data'!$DD$216:$DM$390,SUMIF('Result data'!$DC$216:$DC$390,'Individual Report'!B14,'Result data'!$DB$216:$DB$390),$W$2))</f>
        <v/>
      </c>
      <c r="F14" s="504"/>
      <c r="G14" s="500" t="str">
        <f>IF($M$2&lt;&gt;"Ok","",IF(INDEX('Result data'!$C333:$L333,1,$W$2)&lt;=1,0,IFERROR(INDEX('Result data'!$C333:$L333,1,$W$2),"")))</f>
        <v/>
      </c>
      <c r="H14" s="484" t="str">
        <f t="shared" si="0"/>
        <v/>
      </c>
      <c r="I14" s="287" t="str">
        <f>IF($M$2&lt;&gt;"Ok","",IF(G14=0,"",IFERROR(INDEX('Result data'!$C369:$L369,1,$W$2)/(G14),"")))</f>
        <v/>
      </c>
      <c r="J14" s="287" t="str">
        <f>IF($M$2&lt;&gt;"Ok","",IF(G14=0,"",IFERROR(INDEX('Result data'!$C369:$L369,1,$W$2)/(D14),"")))</f>
        <v/>
      </c>
      <c r="K14" s="288" t="str">
        <f>IF(D14="","",IF($M$2&lt;&gt;"Ok","",INDEX('Result data'!$C273:$L273,1,$W$2)))</f>
        <v/>
      </c>
      <c r="L14" s="289" t="str">
        <f>IF($M$2&lt;&gt;"Ok","",IFERROR(D14/INDEX(Population!$BE$3:$BP$177,SUMIF(Population!$B$3:$B$177,B14,Population!$A$3:$A$177),$L$1-2010),"0,0%"))</f>
        <v/>
      </c>
      <c r="M14" s="509" t="str">
        <f>IF($M$2&lt;&gt;"Ok","",IFERROR(INDEX('Result data'!$R$216:$AC$390,SUMIF('Result data'!$O$216:$O$390,B14,'Result data'!$N$216:$N$390),$L$1-2010)/'Individual Report'!Y28,"0,0%"))</f>
        <v/>
      </c>
      <c r="N14" s="520" t="str">
        <f>IF($M$2&lt;&gt;"Ok","",INDEX('Result data'!$C345:$L345,1,$W$2))</f>
        <v/>
      </c>
      <c r="O14" s="512"/>
      <c r="P14" s="524" t="str">
        <f>IF($M$2&lt;&gt;"Ok","",INDEX('Result data'!$C357:$L357,1,$W$2))</f>
        <v/>
      </c>
      <c r="Q14" s="517"/>
      <c r="R14" s="236" t="str">
        <f t="shared" si="1"/>
        <v/>
      </c>
      <c r="AB14" s="544" t="str">
        <f>IF(B14="","",INDEX('Result data'!$R$216:$AC$390,SUMIF('Result data'!$O$216:$O$390,B14,'Result data'!$N$216:$N$390),$L$1-2010))</f>
        <v/>
      </c>
      <c r="AE14" s="328" t="str">
        <f>'Config!'!AY12</f>
        <v>Time 10</v>
      </c>
      <c r="AF14" s="545" t="str">
        <f>IFERROR('General Report'!B65/'General Report'!$B$66,"")</f>
        <v/>
      </c>
    </row>
    <row r="15" spans="1:32" s="235" customFormat="1" ht="40.15" customHeight="1" x14ac:dyDescent="0.25">
      <c r="A15" s="664" t="s">
        <v>559</v>
      </c>
      <c r="B15" s="290" t="str">
        <f>IF($M$2&lt;&gt;"Ok","",10-COUNTBLANK(B5:B14))</f>
        <v/>
      </c>
      <c r="C15" s="291" t="str">
        <f>IF($M$2&lt;&gt;"Ok","",MIN(C5:C14))</f>
        <v/>
      </c>
      <c r="D15" s="498" t="str">
        <f>IF(C15="","",SUM(D5:D14))</f>
        <v/>
      </c>
      <c r="E15" s="507" t="str">
        <f>IF(D15=0,"",IFERROR(INDEX('Result data'!$B$527:$K$536,W2,$L$1-2010),""))</f>
        <v/>
      </c>
      <c r="F15" s="502"/>
      <c r="G15" s="501" t="str">
        <f>IF(D15="","",SUM(G5:G14))</f>
        <v/>
      </c>
      <c r="H15" s="292" t="str">
        <f>IFERROR(IF(B15="","",G15/D15),"")</f>
        <v/>
      </c>
      <c r="I15" s="293" t="str">
        <f>IF($M$2&lt;&gt;"Ok","",INDEX('General Report'!$B$56:$B$65,W2,1)/(G15*1))</f>
        <v/>
      </c>
      <c r="J15" s="293" t="str">
        <f>IF($M$2&lt;&gt;"Ok","",INDEX('General Report'!$B$56:$B$65,W2,1)/(D15*1))</f>
        <v/>
      </c>
      <c r="K15" s="294" t="str">
        <f>IF($M$2&lt;&gt;"Ok","",SUM(K5:K14))</f>
        <v/>
      </c>
      <c r="L15" s="295" t="str">
        <f>IF($M$2&lt;&gt;"Ok","",IFERROR(D15/'Individual Report'!Y29,"0,0%"))</f>
        <v/>
      </c>
      <c r="M15" s="510" t="str">
        <f>IF($M$2&lt;&gt;"Ok","",IFERROR(AB15/'Individual Report'!Y29,"0,0%"))</f>
        <v/>
      </c>
      <c r="N15" s="521" t="str">
        <f>IF($M$2&lt;&gt;"Ok","",INDEX('General Report'!$E$68:$E$77,W2,1))</f>
        <v/>
      </c>
      <c r="O15" s="516"/>
      <c r="P15" s="518" t="str">
        <f>IF($M$2&lt;&gt;"Ok","",INDEX($AF$5:$AF$14,W2,1))</f>
        <v/>
      </c>
      <c r="Q15" s="513"/>
      <c r="R15" s="236" t="e">
        <f>D15/$D$15</f>
        <v>#VALUE!</v>
      </c>
      <c r="AB15" s="544">
        <f>SUM(AB5:AB14)</f>
        <v>0</v>
      </c>
      <c r="AE15" s="328"/>
      <c r="AF15" s="545">
        <f>IFERROR('General Report'!B66/'General Report'!$B$66,"")</f>
        <v>1</v>
      </c>
    </row>
    <row r="16" spans="1:32" s="235" customFormat="1" ht="43.9" customHeight="1" thickBot="1" x14ac:dyDescent="0.3">
      <c r="A16" s="905" t="str">
        <f>'Market Analyzes'!A44</f>
        <v>Análise de Preços</v>
      </c>
      <c r="B16" s="906"/>
      <c r="C16" s="906"/>
      <c r="D16" s="906"/>
      <c r="E16" s="907"/>
      <c r="F16" s="907"/>
      <c r="G16" s="906"/>
      <c r="H16" s="906"/>
      <c r="I16" s="906"/>
      <c r="J16" s="906"/>
      <c r="K16" s="906"/>
      <c r="L16" s="908"/>
      <c r="M16"/>
      <c r="N16"/>
      <c r="O16"/>
      <c r="P16"/>
      <c r="Q16"/>
      <c r="R16" s="236"/>
    </row>
    <row r="17" spans="1:104" s="235" customFormat="1" ht="31.9" customHeight="1" x14ac:dyDescent="0.25">
      <c r="A17" s="899" t="str">
        <f>A4</f>
        <v>Unidade</v>
      </c>
      <c r="B17" s="903" t="str">
        <f>B4</f>
        <v>País</v>
      </c>
      <c r="C17" s="886" t="str">
        <f>'Market Analyzes'!B53</f>
        <v>Preço por corrida de 5km</v>
      </c>
      <c r="D17" s="887"/>
      <c r="E17" s="887"/>
      <c r="F17" s="888"/>
      <c r="G17" s="899" t="str">
        <f>'Market Analyzes'!C53</f>
        <v>Custo unitário por 5km</v>
      </c>
      <c r="H17" s="900"/>
      <c r="I17" s="901"/>
      <c r="J17" s="909" t="str">
        <f>'Market Analyzes'!D53</f>
        <v>Margem percentual</v>
      </c>
      <c r="K17" s="903"/>
      <c r="L17"/>
      <c r="M17"/>
      <c r="N17"/>
      <c r="O17"/>
      <c r="P17"/>
      <c r="Q17"/>
      <c r="R17" s="236"/>
      <c r="Y17" s="933" t="s">
        <v>1459</v>
      </c>
      <c r="Z17" s="933"/>
      <c r="AA17" s="933"/>
      <c r="AB17" s="933"/>
      <c r="AC17" s="933"/>
      <c r="AD17" s="933"/>
      <c r="AE17" s="933"/>
      <c r="AF17" s="933"/>
      <c r="AG17" s="933"/>
      <c r="AH17" s="933"/>
      <c r="AI17" s="934" t="str">
        <f>'Individual Report'!D4</f>
        <v>Usuários ativos (milhares)</v>
      </c>
      <c r="AJ17" s="934"/>
      <c r="AK17" s="934"/>
      <c r="AL17" s="934"/>
      <c r="AM17" s="934"/>
      <c r="AN17" s="934"/>
      <c r="AO17" s="934"/>
      <c r="AP17" s="934"/>
      <c r="AQ17" s="934"/>
      <c r="AR17" s="934"/>
      <c r="AS17" s="934" t="s">
        <v>1460</v>
      </c>
      <c r="AT17" s="934"/>
      <c r="AU17" s="934"/>
      <c r="AV17" s="934"/>
      <c r="AW17" s="934"/>
      <c r="AX17" s="934"/>
      <c r="AY17" s="934"/>
      <c r="AZ17" s="934"/>
      <c r="BA17" s="934"/>
      <c r="BB17" s="934"/>
      <c r="BC17" s="933" t="s">
        <v>1461</v>
      </c>
      <c r="BD17" s="933"/>
      <c r="BE17" s="933"/>
      <c r="BF17" s="933"/>
      <c r="BG17" s="933"/>
      <c r="BH17" s="933"/>
      <c r="BI17" s="933"/>
      <c r="BJ17" s="933"/>
      <c r="BK17" s="933"/>
      <c r="BL17" s="933"/>
      <c r="BM17" s="934" t="str">
        <f>'Individual Report'!N4</f>
        <v>Participação de mercado
(n. de corridas): valor e tendência</v>
      </c>
      <c r="BN17" s="934"/>
      <c r="BO17" s="934"/>
      <c r="BP17" s="934"/>
      <c r="BQ17" s="934"/>
      <c r="BR17" s="934"/>
      <c r="BS17" s="934"/>
      <c r="BT17" s="934"/>
      <c r="BU17" s="934"/>
      <c r="BV17" s="934"/>
      <c r="BW17" s="933" t="s">
        <v>749</v>
      </c>
      <c r="BX17" s="933"/>
      <c r="BY17" s="933"/>
      <c r="BZ17" s="933"/>
      <c r="CA17" s="933"/>
      <c r="CB17" s="933"/>
      <c r="CC17" s="933"/>
      <c r="CD17" s="933"/>
      <c r="CE17" s="933"/>
      <c r="CF17" s="933"/>
      <c r="CG17" s="934" t="s">
        <v>1462</v>
      </c>
      <c r="CH17" s="934"/>
      <c r="CI17" s="934"/>
      <c r="CJ17" s="934"/>
      <c r="CK17" s="934"/>
      <c r="CL17" s="934"/>
      <c r="CM17" s="934"/>
      <c r="CN17" s="934"/>
      <c r="CO17" s="934"/>
      <c r="CP17" s="934"/>
      <c r="CQ17" s="934" t="str">
        <f>'Individual Report'!P4</f>
        <v>Participação de mercado (Receitas): valor e tendência</v>
      </c>
      <c r="CR17" s="934"/>
      <c r="CS17" s="934"/>
      <c r="CT17" s="934"/>
      <c r="CU17" s="934"/>
      <c r="CV17" s="934"/>
      <c r="CW17" s="934"/>
      <c r="CX17" s="934"/>
      <c r="CY17" s="934"/>
      <c r="CZ17" s="934"/>
    </row>
    <row r="18" spans="1:104" s="235" customFormat="1" ht="31.9" customHeight="1" x14ac:dyDescent="0.25">
      <c r="A18" s="902"/>
      <c r="B18" s="904"/>
      <c r="C18" s="269" t="str">
        <f>IF($M$2&lt;&gt;"Ok",Language!C430,X2)</f>
        <v>Sua empresa</v>
      </c>
      <c r="D18" s="260" t="str">
        <f>Language!C431</f>
        <v>Concorrentes</v>
      </c>
      <c r="E18" s="889" t="s">
        <v>1463</v>
      </c>
      <c r="F18" s="890"/>
      <c r="G18" s="274" t="str">
        <f>C18</f>
        <v>Sua empresa</v>
      </c>
      <c r="H18" s="263" t="str">
        <f>D18</f>
        <v>Concorrentes</v>
      </c>
      <c r="I18" s="296" t="s">
        <v>1463</v>
      </c>
      <c r="J18" s="269" t="str">
        <f>G18</f>
        <v>Sua empresa</v>
      </c>
      <c r="K18" s="297" t="str">
        <f>D18</f>
        <v>Concorrentes</v>
      </c>
      <c r="L18"/>
      <c r="M18"/>
      <c r="N18"/>
      <c r="O18"/>
      <c r="P18"/>
      <c r="Q18"/>
      <c r="R18" s="236"/>
      <c r="Y18" s="717">
        <v>2011</v>
      </c>
      <c r="Z18" s="717">
        <f>IF(MAX($Y18:Y18)=$L$1,"",'Individual Report'!Y18+1)</f>
        <v>2012</v>
      </c>
      <c r="AA18" s="717" t="str">
        <f>IF(MAX($Y18:Z18)=$L$1,"",'Individual Report'!Z18+1)</f>
        <v/>
      </c>
      <c r="AB18" s="717" t="str">
        <f>IF(MAX($Y18:AA18)=$L$1,"",'Individual Report'!AA18+1)</f>
        <v/>
      </c>
      <c r="AC18" s="717" t="str">
        <f>IF(MAX($Y18:AB18)=$L$1,"",'Individual Report'!AB18+1)</f>
        <v/>
      </c>
      <c r="AD18" s="717" t="str">
        <f>IF(MAX($Y18:AC18)=$L$1,"",'Individual Report'!AC18+1)</f>
        <v/>
      </c>
      <c r="AE18" s="717" t="str">
        <f>IF(MAX($Y18:AD18)=$L$1,"",'Individual Report'!AD18+1)</f>
        <v/>
      </c>
      <c r="AF18" s="717" t="str">
        <f>IF(MAX($Y18:AE18)=$L$1,"",'Individual Report'!AE18+1)</f>
        <v/>
      </c>
      <c r="AG18" s="717" t="str">
        <f>IF(MAX($Y18:AF18)=$L$1,"",'Individual Report'!AF18+1)</f>
        <v/>
      </c>
      <c r="AH18" s="717" t="str">
        <f>IF(MAX($Y18:AG18)=$L$1,"",'Individual Report'!AG18+1)</f>
        <v/>
      </c>
      <c r="AI18" s="718">
        <f t="shared" ref="AI18:BN18" si="2">Y18</f>
        <v>2011</v>
      </c>
      <c r="AJ18" s="718">
        <f t="shared" si="2"/>
        <v>2012</v>
      </c>
      <c r="AK18" s="718" t="str">
        <f t="shared" si="2"/>
        <v/>
      </c>
      <c r="AL18" s="718" t="str">
        <f t="shared" si="2"/>
        <v/>
      </c>
      <c r="AM18" s="718" t="str">
        <f t="shared" si="2"/>
        <v/>
      </c>
      <c r="AN18" s="718" t="str">
        <f t="shared" si="2"/>
        <v/>
      </c>
      <c r="AO18" s="718" t="str">
        <f t="shared" si="2"/>
        <v/>
      </c>
      <c r="AP18" s="718" t="str">
        <f t="shared" si="2"/>
        <v/>
      </c>
      <c r="AQ18" s="718" t="str">
        <f t="shared" si="2"/>
        <v/>
      </c>
      <c r="AR18" s="718" t="str">
        <f t="shared" si="2"/>
        <v/>
      </c>
      <c r="AS18" s="718">
        <f t="shared" si="2"/>
        <v>2011</v>
      </c>
      <c r="AT18" s="718">
        <f t="shared" si="2"/>
        <v>2012</v>
      </c>
      <c r="AU18" s="718" t="str">
        <f t="shared" si="2"/>
        <v/>
      </c>
      <c r="AV18" s="718" t="str">
        <f t="shared" si="2"/>
        <v/>
      </c>
      <c r="AW18" s="718" t="str">
        <f t="shared" si="2"/>
        <v/>
      </c>
      <c r="AX18" s="718" t="str">
        <f t="shared" si="2"/>
        <v/>
      </c>
      <c r="AY18" s="718" t="str">
        <f t="shared" si="2"/>
        <v/>
      </c>
      <c r="AZ18" s="718" t="str">
        <f t="shared" si="2"/>
        <v/>
      </c>
      <c r="BA18" s="718" t="str">
        <f t="shared" si="2"/>
        <v/>
      </c>
      <c r="BB18" s="718" t="str">
        <f t="shared" si="2"/>
        <v/>
      </c>
      <c r="BC18" s="717">
        <f t="shared" si="2"/>
        <v>2011</v>
      </c>
      <c r="BD18" s="717">
        <f t="shared" si="2"/>
        <v>2012</v>
      </c>
      <c r="BE18" s="717" t="str">
        <f t="shared" si="2"/>
        <v/>
      </c>
      <c r="BF18" s="717" t="str">
        <f t="shared" si="2"/>
        <v/>
      </c>
      <c r="BG18" s="717" t="str">
        <f t="shared" si="2"/>
        <v/>
      </c>
      <c r="BH18" s="717" t="str">
        <f t="shared" si="2"/>
        <v/>
      </c>
      <c r="BI18" s="717" t="str">
        <f t="shared" si="2"/>
        <v/>
      </c>
      <c r="BJ18" s="717" t="str">
        <f t="shared" si="2"/>
        <v/>
      </c>
      <c r="BK18" s="717" t="str">
        <f t="shared" si="2"/>
        <v/>
      </c>
      <c r="BL18" s="717" t="str">
        <f t="shared" si="2"/>
        <v/>
      </c>
      <c r="BM18" s="718">
        <f t="shared" si="2"/>
        <v>2011</v>
      </c>
      <c r="BN18" s="718">
        <f t="shared" si="2"/>
        <v>2012</v>
      </c>
      <c r="BO18" s="718" t="str">
        <f t="shared" ref="BO18:CT18" si="3">BE18</f>
        <v/>
      </c>
      <c r="BP18" s="718" t="str">
        <f t="shared" si="3"/>
        <v/>
      </c>
      <c r="BQ18" s="718" t="str">
        <f t="shared" si="3"/>
        <v/>
      </c>
      <c r="BR18" s="718" t="str">
        <f t="shared" si="3"/>
        <v/>
      </c>
      <c r="BS18" s="718" t="str">
        <f t="shared" si="3"/>
        <v/>
      </c>
      <c r="BT18" s="718" t="str">
        <f t="shared" si="3"/>
        <v/>
      </c>
      <c r="BU18" s="718" t="str">
        <f t="shared" si="3"/>
        <v/>
      </c>
      <c r="BV18" s="718" t="str">
        <f t="shared" si="3"/>
        <v/>
      </c>
      <c r="BW18" s="717">
        <f t="shared" si="3"/>
        <v>2011</v>
      </c>
      <c r="BX18" s="717">
        <f t="shared" si="3"/>
        <v>2012</v>
      </c>
      <c r="BY18" s="717" t="str">
        <f t="shared" si="3"/>
        <v/>
      </c>
      <c r="BZ18" s="717" t="str">
        <f t="shared" si="3"/>
        <v/>
      </c>
      <c r="CA18" s="717" t="str">
        <f t="shared" si="3"/>
        <v/>
      </c>
      <c r="CB18" s="717" t="str">
        <f t="shared" si="3"/>
        <v/>
      </c>
      <c r="CC18" s="717" t="str">
        <f t="shared" si="3"/>
        <v/>
      </c>
      <c r="CD18" s="717" t="str">
        <f t="shared" si="3"/>
        <v/>
      </c>
      <c r="CE18" s="717" t="str">
        <f t="shared" si="3"/>
        <v/>
      </c>
      <c r="CF18" s="717" t="str">
        <f t="shared" si="3"/>
        <v/>
      </c>
      <c r="CG18" s="718">
        <f t="shared" si="3"/>
        <v>2011</v>
      </c>
      <c r="CH18" s="718">
        <f t="shared" si="3"/>
        <v>2012</v>
      </c>
      <c r="CI18" s="718" t="str">
        <f t="shared" si="3"/>
        <v/>
      </c>
      <c r="CJ18" s="718" t="str">
        <f t="shared" si="3"/>
        <v/>
      </c>
      <c r="CK18" s="718" t="str">
        <f t="shared" si="3"/>
        <v/>
      </c>
      <c r="CL18" s="718" t="str">
        <f t="shared" si="3"/>
        <v/>
      </c>
      <c r="CM18" s="718" t="str">
        <f t="shared" si="3"/>
        <v/>
      </c>
      <c r="CN18" s="718" t="str">
        <f t="shared" si="3"/>
        <v/>
      </c>
      <c r="CO18" s="718" t="str">
        <f t="shared" si="3"/>
        <v/>
      </c>
      <c r="CP18" s="718" t="str">
        <f t="shared" si="3"/>
        <v/>
      </c>
      <c r="CQ18" s="718">
        <f t="shared" si="3"/>
        <v>2011</v>
      </c>
      <c r="CR18" s="718">
        <f t="shared" si="3"/>
        <v>2012</v>
      </c>
      <c r="CS18" s="718" t="str">
        <f t="shared" si="3"/>
        <v/>
      </c>
      <c r="CT18" s="718" t="str">
        <f t="shared" si="3"/>
        <v/>
      </c>
      <c r="CU18" s="718" t="str">
        <f t="shared" ref="CU18:CZ18" si="4">CK18</f>
        <v/>
      </c>
      <c r="CV18" s="718" t="str">
        <f t="shared" si="4"/>
        <v/>
      </c>
      <c r="CW18" s="718" t="str">
        <f t="shared" si="4"/>
        <v/>
      </c>
      <c r="CX18" s="718" t="str">
        <f t="shared" si="4"/>
        <v/>
      </c>
      <c r="CY18" s="718" t="str">
        <f t="shared" si="4"/>
        <v/>
      </c>
      <c r="CZ18" s="718" t="str">
        <f t="shared" si="4"/>
        <v/>
      </c>
    </row>
    <row r="19" spans="1:104" s="236" customFormat="1" ht="31.9" customHeight="1" x14ac:dyDescent="0.25">
      <c r="A19" s="325" t="str">
        <f t="shared" ref="A19:A28" si="5">A5</f>
        <v>Matriz</v>
      </c>
      <c r="B19" s="266" t="str">
        <f>IF($M$2&lt;&gt;"Ok","",B5)</f>
        <v/>
      </c>
      <c r="C19" s="270" t="str">
        <f>IF($M$2&lt;&gt;"Ok","",INDEX('Result data'!$C240:$L240,1,$W$2))</f>
        <v/>
      </c>
      <c r="D19" s="261" t="str">
        <f>IF($M$2&lt;&gt;"Ok","",INDEX('Result data'!$C252:$L252,1,$W$2))</f>
        <v/>
      </c>
      <c r="E19" s="910" t="str">
        <f>IF($M$2&lt;&gt;"Ok","",IF(D19="","",C19/D19-1))</f>
        <v/>
      </c>
      <c r="F19" s="911"/>
      <c r="G19" s="275" t="str">
        <f>IF($M$2&lt;&gt;"Ok","",INDEX('Result data'!$C276:$L276,1,$W$2))</f>
        <v/>
      </c>
      <c r="H19" s="261" t="str">
        <f>IF($M$2&lt;&gt;"Ok","",INDEX('Result data'!$C288:$L288,1,$W$2))</f>
        <v/>
      </c>
      <c r="I19" s="706" t="str">
        <f>IF($M$2&lt;&gt;"Ok","",IF(H19="","",G19/H19-1))</f>
        <v/>
      </c>
      <c r="J19" s="278" t="str">
        <f>IF($M$2&lt;&gt;"Ok","",IFERROR((C19-G19)/C19,""))</f>
        <v/>
      </c>
      <c r="K19" s="298" t="str">
        <f>IF($M$2&lt;&gt;"Ok","",IFERROR((D19-H19)/D19,""))</f>
        <v/>
      </c>
      <c r="L19"/>
      <c r="M19"/>
      <c r="N19"/>
      <c r="O19"/>
      <c r="P19"/>
      <c r="Q19"/>
      <c r="S19" s="235"/>
      <c r="T19" s="235"/>
      <c r="U19" s="235"/>
      <c r="V19" s="235"/>
      <c r="W19" s="235"/>
      <c r="Y19" s="546" t="str">
        <f>IF('Individual Report'!$B5="","",INDEX(Population!$BE$3:$BP$177,SUMIF(Population!$B$3:$B$177,'Individual Report'!$B5,Population!$A$3:$A$177),Y$18-2010))</f>
        <v/>
      </c>
      <c r="Z19" s="546" t="str">
        <f>IF('Individual Report'!$B5="","",INDEX(Population!$BE$3:$BP$177,SUMIF(Population!$B$3:$B$177,'Individual Report'!$B5,Population!$A$3:$A$177),Z$18-2010))</f>
        <v/>
      </c>
      <c r="AA19" s="546" t="str">
        <f>IF('Individual Report'!$B5="","",INDEX(Population!$BE$3:$BP$177,SUMIF(Population!$B$3:$B$177,'Individual Report'!$B5,Population!$A$3:$A$177),AA$18-2010))</f>
        <v/>
      </c>
      <c r="AB19" s="546" t="str">
        <f>IF('Individual Report'!$B5="","",INDEX(Population!$BE$3:$BP$177,SUMIF(Population!$B$3:$B$177,'Individual Report'!$B5,Population!$A$3:$A$177),AB$18-2010))</f>
        <v/>
      </c>
      <c r="AC19" s="546" t="str">
        <f>IF('Individual Report'!$B5="","",INDEX(Population!$BE$3:$BP$177,SUMIF(Population!$B$3:$B$177,'Individual Report'!$B5,Population!$A$3:$A$177),AC$18-2010))</f>
        <v/>
      </c>
      <c r="AD19" s="546" t="str">
        <f>IF('Individual Report'!$B5="","",INDEX(Population!$BE$3:$BP$177,SUMIF(Population!$B$3:$B$177,'Individual Report'!$B5,Population!$A$3:$A$177),AD$18-2010))</f>
        <v/>
      </c>
      <c r="AE19" s="546" t="str">
        <f>IF('Individual Report'!$B5="","",INDEX(Population!$BE$3:$BP$177,SUMIF(Population!$B$3:$B$177,'Individual Report'!$B5,Population!$A$3:$A$177),AE$18-2010))</f>
        <v/>
      </c>
      <c r="AF19" s="546" t="str">
        <f>IF('Individual Report'!$B5="","",INDEX(Population!$BE$3:$BP$177,SUMIF(Population!$B$3:$B$177,'Individual Report'!$B5,Population!$A$3:$A$177),AF$18-2010))</f>
        <v/>
      </c>
      <c r="AG19" s="546" t="str">
        <f>IF('Individual Report'!$B5="","",INDEX(Population!$BE$3:$BP$177,SUMIF(Population!$B$3:$B$177,'Individual Report'!$B5,Population!$A$3:$A$177),AG$18-2010))</f>
        <v/>
      </c>
      <c r="AH19" s="546" t="str">
        <f>IF('Individual Report'!$B5="","",INDEX(Population!$BE$3:$BP$177,SUMIF(Population!$B$3:$B$177,'Individual Report'!$B5,Population!$A$3:$A$177),AH$18-2010))</f>
        <v/>
      </c>
      <c r="AI19" s="547" t="str" cm="1">
        <f t="array" ref="AI19">IFERROR(IF(INDEX('Result data'!$B482:$DQ482,1,('Individual Report'!AI$18-2010)+('Individual Report'!$W$2-1)*12)=1,".",INDEX('Result data'!$B482:$DQ482,1,('Individual Report'!AI$18-2010)+('Individual Report'!$W$2-1)*12)),"")</f>
        <v/>
      </c>
      <c r="AJ19" s="547" t="str" cm="1">
        <f t="array" ref="AJ19">IFERROR(IF(INDEX('Result data'!$B482:$DQ482,1,('Individual Report'!AJ$18-2010)+('Individual Report'!$W$2-1)*12)=1,".",INDEX('Result data'!$B482:$DQ482,1,('Individual Report'!AJ$18-2010)+('Individual Report'!$W$2-1)*12)),"")</f>
        <v/>
      </c>
      <c r="AK19" s="547" t="str" cm="1">
        <f t="array" ref="AK19">IFERROR(IF(INDEX('Result data'!$B482:$DQ482,1,('Individual Report'!AK$18-2010)+('Individual Report'!$W$2-1)*12)=1,".",INDEX('Result data'!$B482:$DQ482,1,('Individual Report'!AK$18-2010)+('Individual Report'!$W$2-1)*12)),"")</f>
        <v/>
      </c>
      <c r="AL19" s="547" t="str" cm="1">
        <f t="array" ref="AL19">IFERROR(IF(INDEX('Result data'!$B482:$DQ482,1,('Individual Report'!AL$18-2010)+('Individual Report'!$W$2-1)*12)=1,".",INDEX('Result data'!$B482:$DQ482,1,('Individual Report'!AL$18-2010)+('Individual Report'!$W$2-1)*12)),"")</f>
        <v/>
      </c>
      <c r="AM19" s="547" t="str" cm="1">
        <f t="array" ref="AM19">IFERROR(IF(INDEX('Result data'!$B482:$DQ482,1,('Individual Report'!AM$18-2010)+('Individual Report'!$W$2-1)*12)=1,".",INDEX('Result data'!$B482:$DQ482,1,('Individual Report'!AM$18-2010)+('Individual Report'!$W$2-1)*12)),"")</f>
        <v/>
      </c>
      <c r="AN19" s="547" t="str" cm="1">
        <f t="array" ref="AN19">IFERROR(IF(INDEX('Result data'!$B482:$DQ482,1,('Individual Report'!AN$18-2010)+('Individual Report'!$W$2-1)*12)=1,".",INDEX('Result data'!$B482:$DQ482,1,('Individual Report'!AN$18-2010)+('Individual Report'!$W$2-1)*12)),"")</f>
        <v/>
      </c>
      <c r="AO19" s="547" t="str" cm="1">
        <f t="array" ref="AO19">IFERROR(IF(INDEX('Result data'!$B482:$DQ482,1,('Individual Report'!AO$18-2010)+('Individual Report'!$W$2-1)*12)=1,".",INDEX('Result data'!$B482:$DQ482,1,('Individual Report'!AO$18-2010)+('Individual Report'!$W$2-1)*12)),"")</f>
        <v/>
      </c>
      <c r="AP19" s="547" t="str" cm="1">
        <f t="array" ref="AP19">IFERROR(IF(INDEX('Result data'!$B482:$DQ482,1,('Individual Report'!AP$18-2010)+('Individual Report'!$W$2-1)*12)=1,".",INDEX('Result data'!$B482:$DQ482,1,('Individual Report'!AP$18-2010)+('Individual Report'!$W$2-1)*12)),"")</f>
        <v/>
      </c>
      <c r="AQ19" s="547" t="str" cm="1">
        <f t="array" ref="AQ19">IFERROR(IF(INDEX('Result data'!$B482:$DQ482,1,('Individual Report'!AQ$18-2010)+('Individual Report'!$W$2-1)*12)=1,".",INDEX('Result data'!$B482:$DQ482,1,('Individual Report'!AQ$18-2010)+('Individual Report'!$W$2-1)*12)),"")</f>
        <v/>
      </c>
      <c r="AR19" s="547" t="str" cm="1">
        <f t="array" ref="AR19">IFERROR(IF(INDEX('Result data'!$B482:$DQ482,1,('Individual Report'!AR$18-2010)+('Individual Report'!$W$2-1)*12)=1,".",INDEX('Result data'!$B482:$DQ482,1,('Individual Report'!AR$18-2010)+('Individual Report'!$W$2-1)*12)),"")</f>
        <v/>
      </c>
      <c r="AS19" s="547" t="str" cm="1">
        <f t="array" ref="AS19">IFERROR(INDEX('Result data'!$B493:$DQ493,1,('Individual Report'!AS$18-2010)+('Individual Report'!$W$2-1)*12),"")</f>
        <v/>
      </c>
      <c r="AT19" s="547" t="str" cm="1">
        <f t="array" ref="AT19">IFERROR(INDEX('Result data'!$B493:$DQ493,1,('Individual Report'!AT$18-2010)+('Individual Report'!$W$2-1)*12),"")</f>
        <v/>
      </c>
      <c r="AU19" s="547" t="str" cm="1">
        <f t="array" ref="AU19">IFERROR(INDEX('Result data'!$B493:$DQ493,1,('Individual Report'!AU$18-2010)+('Individual Report'!$W$2-1)*12),"")</f>
        <v/>
      </c>
      <c r="AV19" s="547" t="str" cm="1">
        <f t="array" ref="AV19">IFERROR(INDEX('Result data'!$B493:$DQ493,1,('Individual Report'!AV$18-2010)+('Individual Report'!$W$2-1)*12),"")</f>
        <v/>
      </c>
      <c r="AW19" s="547" t="str" cm="1">
        <f t="array" ref="AW19">IFERROR(INDEX('Result data'!$B493:$DQ493,1,('Individual Report'!AW$18-2010)+('Individual Report'!$W$2-1)*12),"")</f>
        <v/>
      </c>
      <c r="AX19" s="547" t="str" cm="1">
        <f t="array" ref="AX19">IFERROR(INDEX('Result data'!$B493:$DQ493,1,('Individual Report'!AX$18-2010)+('Individual Report'!$W$2-1)*12),"")</f>
        <v/>
      </c>
      <c r="AY19" s="547" t="str" cm="1">
        <f t="array" ref="AY19">IFERROR(INDEX('Result data'!$B493:$DQ493,1,('Individual Report'!AY$18-2010)+('Individual Report'!$W$2-1)*12),"")</f>
        <v/>
      </c>
      <c r="AZ19" s="547" t="str" cm="1">
        <f t="array" ref="AZ19">IFERROR(INDEX('Result data'!$B493:$DQ493,1,('Individual Report'!AZ$18-2010)+('Individual Report'!$W$2-1)*12),"")</f>
        <v/>
      </c>
      <c r="BA19" s="547" t="str" cm="1">
        <f t="array" ref="BA19">IFERROR(INDEX('Result data'!$B493:$DQ493,1,('Individual Report'!BA$18-2010)+('Individual Report'!$W$2-1)*12),"")</f>
        <v/>
      </c>
      <c r="BB19" s="547" t="str" cm="1">
        <f t="array" ref="BB19">IFERROR(INDEX('Result data'!$B493:$DQ493,1,('Individual Report'!BB$18-2010)+('Individual Report'!$W$2-1)*12),"")</f>
        <v/>
      </c>
      <c r="BC19" s="548" t="str" cm="1">
        <f t="array" ref="BC19">IF('Individual Report'!$B5="","",INDEX('Result data'!$FC$216:$FL$390,SUMIF(Population!$B$3:$B$177,'Individual Report'!$B5,Population!$A$3:$A$177),BC$18-2010))</f>
        <v/>
      </c>
      <c r="BD19" s="548" t="str" cm="1">
        <f t="array" ref="BD19">IF('Individual Report'!$B5="","",INDEX('Result data'!$FC$216:$FL$390,SUMIF(Population!$B$3:$B$177,'Individual Report'!$B5,Population!$A$3:$A$177),BD$18-2010))</f>
        <v/>
      </c>
      <c r="BE19" s="548" t="str" cm="1">
        <f t="array" ref="BE19">IF('Individual Report'!$B5="","",INDEX('Result data'!$FC$216:$FL$390,SUMIF(Population!$B$3:$B$177,'Individual Report'!$B5,Population!$A$3:$A$177),BE$18-2010))</f>
        <v/>
      </c>
      <c r="BF19" s="548" t="str" cm="1">
        <f t="array" ref="BF19">IF('Individual Report'!$B5="","",INDEX('Result data'!$FC$216:$FL$390,SUMIF(Population!$B$3:$B$177,'Individual Report'!$B5,Population!$A$3:$A$177),BF$18-2010))</f>
        <v/>
      </c>
      <c r="BG19" s="548" t="str" cm="1">
        <f t="array" ref="BG19">IF('Individual Report'!$B5="","",INDEX('Result data'!$FC$216:$FL$390,SUMIF(Population!$B$3:$B$177,'Individual Report'!$B5,Population!$A$3:$A$177),BG$18-2010))</f>
        <v/>
      </c>
      <c r="BH19" s="548" t="str" cm="1">
        <f t="array" ref="BH19">IF('Individual Report'!$B5="","",INDEX('Result data'!$FC$216:$FL$390,SUMIF(Population!$B$3:$B$177,'Individual Report'!$B5,Population!$A$3:$A$177),BH$18-2010))</f>
        <v/>
      </c>
      <c r="BI19" s="548" t="str" cm="1">
        <f t="array" ref="BI19">IF('Individual Report'!$B5="","",INDEX('Result data'!$FC$216:$FL$390,SUMIF(Population!$B$3:$B$177,'Individual Report'!$B5,Population!$A$3:$A$177),BI$18-2010))</f>
        <v/>
      </c>
      <c r="BJ19" s="548" t="str" cm="1">
        <f t="array" ref="BJ19">IF('Individual Report'!$B5="","",INDEX('Result data'!$FC$216:$FL$390,SUMIF(Population!$B$3:$B$177,'Individual Report'!$B5,Population!$A$3:$A$177),BJ$18-2010))</f>
        <v/>
      </c>
      <c r="BK19" s="548" t="str" cm="1">
        <f t="array" ref="BK19">IF('Individual Report'!$B5="","",INDEX('Result data'!$FC$216:$FL$390,SUMIF(Population!$B$3:$B$177,'Individual Report'!$B5,Population!$A$3:$A$177),BK$18-2010))</f>
        <v/>
      </c>
      <c r="BL19" s="548" t="str" cm="1">
        <f t="array" ref="BL19">IF('Individual Report'!$B5="","",INDEX('Result data'!$FC$216:$FL$390,SUMIF(Population!$B$3:$B$177,'Individual Report'!$B5,Population!$A$3:$A$177),BL$18-2010))</f>
        <v/>
      </c>
      <c r="BM19" s="303" t="str">
        <f t="shared" ref="BM19:BM28" si="6">IFERROR(AS19/BC19,"")</f>
        <v/>
      </c>
      <c r="BN19" s="303" t="str">
        <f t="shared" ref="BN19:BN28" si="7">IFERROR(AT19/BD19,"")</f>
        <v/>
      </c>
      <c r="BO19" s="303" t="str">
        <f t="shared" ref="BO19:BO28" si="8">IFERROR(AU19/BE19,"")</f>
        <v/>
      </c>
      <c r="BP19" s="303" t="str">
        <f t="shared" ref="BP19:BP28" si="9">IFERROR(AV19/BF19,"")</f>
        <v/>
      </c>
      <c r="BQ19" s="303" t="str">
        <f t="shared" ref="BQ19:BQ28" si="10">IFERROR(AW19/BG19,"")</f>
        <v/>
      </c>
      <c r="BR19" s="303" t="str">
        <f t="shared" ref="BR19:BR28" si="11">IFERROR(AX19/BH19,"")</f>
        <v/>
      </c>
      <c r="BS19" s="303" t="str">
        <f t="shared" ref="BS19:BS28" si="12">IFERROR(AY19/BI19,"")</f>
        <v/>
      </c>
      <c r="BT19" s="303" t="str">
        <f t="shared" ref="BT19:BT28" si="13">IFERROR(AZ19/BJ19,"")</f>
        <v/>
      </c>
      <c r="BU19" s="303" t="str">
        <f t="shared" ref="BU19:BU28" si="14">IFERROR(BA19/BK19,"")</f>
        <v/>
      </c>
      <c r="BV19" s="303" t="str">
        <f t="shared" ref="BV19:BV28" si="15">IFERROR(BB19/BL19,"")</f>
        <v/>
      </c>
      <c r="BW19" s="316">
        <f>SUMIF('Result data'!$O$216:$O$390,'Individual Report'!$B5,'Result data'!BS$216:BS$390)</f>
        <v>0</v>
      </c>
      <c r="BX19" s="316">
        <f>SUMIF('Result data'!$O$216:$O$390,'Individual Report'!$B5,'Result data'!BT$216:BT$390)</f>
        <v>0</v>
      </c>
      <c r="BY19" s="316">
        <f>SUMIF('Result data'!$O$216:$O$390,'Individual Report'!$B5,'Result data'!BU$216:BU$390)</f>
        <v>0</v>
      </c>
      <c r="BZ19" s="316">
        <f>SUMIF('Result data'!$O$216:$O$390,'Individual Report'!$B5,'Result data'!BV$216:BV$390)</f>
        <v>0</v>
      </c>
      <c r="CA19" s="316">
        <f>SUMIF('Result data'!$O$216:$O$390,'Individual Report'!$B5,'Result data'!BW$216:BW$390)</f>
        <v>0</v>
      </c>
      <c r="CB19" s="316">
        <f>SUMIF('Result data'!$O$216:$O$390,'Individual Report'!$B5,'Result data'!BX$216:BX$390)</f>
        <v>0</v>
      </c>
      <c r="CC19" s="316">
        <f>SUMIF('Result data'!$O$216:$O$390,'Individual Report'!$B5,'Result data'!BY$216:BY$390)</f>
        <v>0</v>
      </c>
      <c r="CD19" s="316">
        <f>SUMIF('Result data'!$O$216:$O$390,'Individual Report'!$B5,'Result data'!BZ$216:BZ$390)</f>
        <v>0</v>
      </c>
      <c r="CE19" s="316">
        <f>SUMIF('Result data'!$O$216:$O$390,'Individual Report'!$B5,'Result data'!CA$216:CA$390)</f>
        <v>0</v>
      </c>
      <c r="CF19" s="316">
        <f>SUMIF('Result data'!$O$216:$O$390,'Individual Report'!$B5,'Result data'!CB$216:CB$390)</f>
        <v>0</v>
      </c>
      <c r="CG19" s="315" t="str" cm="1">
        <f t="array" ref="CG19">IFERROR(IF(INDEX('Result data'!$B504:$DQ504,1,('Individual Report'!AS$18-2010)+('Individual Report'!$W$2-1)*12)=0,"",INDEX('Result data'!$B504:$DQ504,1,('Individual Report'!AS$18-2010)+('Individual Report'!$W$2-1)*12)),"")</f>
        <v/>
      </c>
      <c r="CH19" s="315" t="str" cm="1">
        <f t="array" ref="CH19">IFERROR(IF(INDEX('Result data'!$B504:$DQ504,1,('Individual Report'!AT$18-2010)+('Individual Report'!$W$2-1)*12)=0,"",INDEX('Result data'!$B504:$DQ504,1,('Individual Report'!AT$18-2010)+('Individual Report'!$W$2-1)*12)),"")</f>
        <v/>
      </c>
      <c r="CI19" s="315" t="str" cm="1">
        <f t="array" ref="CI19">IFERROR(IF(INDEX('Result data'!$B504:$DQ504,1,('Individual Report'!AU$18-2010)+('Individual Report'!$W$2-1)*12)=0,"",INDEX('Result data'!$B504:$DQ504,1,('Individual Report'!AU$18-2010)+('Individual Report'!$W$2-1)*12)),"")</f>
        <v/>
      </c>
      <c r="CJ19" s="315" t="str" cm="1">
        <f t="array" ref="CJ19">IFERROR(IF(INDEX('Result data'!$B504:$DQ504,1,('Individual Report'!AV$18-2010)+('Individual Report'!$W$2-1)*12)=0,"",INDEX('Result data'!$B504:$DQ504,1,('Individual Report'!AV$18-2010)+('Individual Report'!$W$2-1)*12)),"")</f>
        <v/>
      </c>
      <c r="CK19" s="315" t="str" cm="1">
        <f t="array" ref="CK19">IFERROR(IF(INDEX('Result data'!$B504:$DQ504,1,('Individual Report'!AW$18-2010)+('Individual Report'!$W$2-1)*12)=0,"",INDEX('Result data'!$B504:$DQ504,1,('Individual Report'!AW$18-2010)+('Individual Report'!$W$2-1)*12)),"")</f>
        <v/>
      </c>
      <c r="CL19" s="315" t="str" cm="1">
        <f t="array" ref="CL19">IFERROR(IF(INDEX('Result data'!$B504:$DQ504,1,('Individual Report'!AX$18-2010)+('Individual Report'!$W$2-1)*12)=0,"",INDEX('Result data'!$B504:$DQ504,1,('Individual Report'!AX$18-2010)+('Individual Report'!$W$2-1)*12)),"")</f>
        <v/>
      </c>
      <c r="CM19" s="315" t="str" cm="1">
        <f t="array" ref="CM19">IFERROR(IF(INDEX('Result data'!$B504:$DQ504,1,('Individual Report'!AY$18-2010)+('Individual Report'!$W$2-1)*12)=0,"",INDEX('Result data'!$B504:$DQ504,1,('Individual Report'!AY$18-2010)+('Individual Report'!$W$2-1)*12)),"")</f>
        <v/>
      </c>
      <c r="CN19" s="315" t="str" cm="1">
        <f t="array" ref="CN19">IFERROR(IF(INDEX('Result data'!$B504:$DQ504,1,('Individual Report'!AZ$18-2010)+('Individual Report'!$W$2-1)*12)=0,"",INDEX('Result data'!$B504:$DQ504,1,('Individual Report'!AZ$18-2010)+('Individual Report'!$W$2-1)*12)),"")</f>
        <v/>
      </c>
      <c r="CO19" s="315" t="str" cm="1">
        <f t="array" ref="CO19">IFERROR(IF(INDEX('Result data'!$B504:$DQ504,1,('Individual Report'!BA$18-2010)+('Individual Report'!$W$2-1)*12)=0,"",INDEX('Result data'!$B504:$DQ504,1,('Individual Report'!BA$18-2010)+('Individual Report'!$W$2-1)*12)),"")</f>
        <v/>
      </c>
      <c r="CP19" s="315" t="str" cm="1">
        <f t="array" ref="CP19">IFERROR(IF(INDEX('Result data'!$B504:$DQ504,1,('Individual Report'!BB$18-2010)+('Individual Report'!$W$2-1)*12)=0,"",INDEX('Result data'!$B504:$DQ504,1,('Individual Report'!BB$18-2010)+('Individual Report'!$W$2-1)*12)),"")</f>
        <v/>
      </c>
      <c r="CQ19" s="303" t="str">
        <f t="shared" ref="CQ19:CQ28" si="16">IFERROR(CG19/BW19,"")</f>
        <v/>
      </c>
      <c r="CR19" s="303" t="str">
        <f t="shared" ref="CR19:CR28" si="17">IFERROR(CH19/BX19,"")</f>
        <v/>
      </c>
      <c r="CS19" s="303" t="str">
        <f t="shared" ref="CS19:CS28" si="18">IFERROR(CI19/BY19,"")</f>
        <v/>
      </c>
      <c r="CT19" s="303" t="str">
        <f t="shared" ref="CT19:CT28" si="19">IFERROR(CJ19/BZ19,"")</f>
        <v/>
      </c>
      <c r="CU19" s="303" t="str">
        <f t="shared" ref="CU19:CU28" si="20">IFERROR(CK19/CA19,"")</f>
        <v/>
      </c>
      <c r="CV19" s="303" t="str">
        <f t="shared" ref="CV19:CV28" si="21">IFERROR(CL19/CB19,"")</f>
        <v/>
      </c>
      <c r="CW19" s="303" t="str">
        <f t="shared" ref="CW19:CW28" si="22">IFERROR(CM19/CC19,"")</f>
        <v/>
      </c>
      <c r="CX19" s="303" t="str">
        <f t="shared" ref="CX19:CX28" si="23">IFERROR(CN19/CD19,"")</f>
        <v/>
      </c>
      <c r="CY19" s="303" t="str">
        <f t="shared" ref="CY19:CY28" si="24">IFERROR(CO19/CE19,"")</f>
        <v/>
      </c>
      <c r="CZ19" s="303" t="str">
        <f t="shared" ref="CZ19:CZ28" si="25">IFERROR(CP19/CF19,"")</f>
        <v/>
      </c>
    </row>
    <row r="20" spans="1:104" s="236" customFormat="1" ht="31.9" customHeight="1" x14ac:dyDescent="0.25">
      <c r="A20" s="326" t="str">
        <f t="shared" si="5"/>
        <v>Subsidiária 1</v>
      </c>
      <c r="B20" s="267" t="str">
        <f t="shared" ref="B20:B28" si="26">IF($M$2&lt;&gt;"Ok","",B6)</f>
        <v/>
      </c>
      <c r="C20" s="271" t="str">
        <f>IF($M$2&lt;&gt;"Ok","",INDEX('Result data'!$C241:$L241,1,$W$2))</f>
        <v/>
      </c>
      <c r="D20" s="262" t="str">
        <f>IF($M$2&lt;&gt;"Ok","",INDEX('Result data'!$C253:$L253,1,$W$2))</f>
        <v/>
      </c>
      <c r="E20" s="912" t="str">
        <f t="shared" ref="E20:E28" si="27">IF($M$2&lt;&gt;"Ok","",IF(D20="","",C20/D20-1))</f>
        <v/>
      </c>
      <c r="F20" s="913"/>
      <c r="G20" s="276" t="str">
        <f>IF($M$2&lt;&gt;"Ok","",INDEX('Result data'!$C277:$L277,1,$W$2))</f>
        <v/>
      </c>
      <c r="H20" s="262" t="str">
        <f>IF($M$2&lt;&gt;"Ok","",INDEX('Result data'!$C289:$L289,1,$W$2))</f>
        <v/>
      </c>
      <c r="I20" s="707" t="str">
        <f t="shared" ref="I20:I28" si="28">IF($M$2&lt;&gt;"Ok","",IF(H20="","",G20/H20-1))</f>
        <v/>
      </c>
      <c r="J20" s="279" t="str">
        <f t="shared" ref="J20:J28" si="29">IF($M$2&lt;&gt;"Ok","",IFERROR((C20-G20)/C20,""))</f>
        <v/>
      </c>
      <c r="K20" s="299" t="str">
        <f t="shared" ref="K20:K28" si="30">IF($M$2&lt;&gt;"Ok","",IFERROR((D20-H20)/D20,""))</f>
        <v/>
      </c>
      <c r="L20"/>
      <c r="M20"/>
      <c r="N20"/>
      <c r="O20"/>
      <c r="P20"/>
      <c r="Q20"/>
      <c r="S20" s="235"/>
      <c r="T20" s="235"/>
      <c r="U20" s="235"/>
      <c r="V20" s="235"/>
      <c r="W20" s="235"/>
      <c r="Y20" s="546" t="str">
        <f>IF('Individual Report'!$B6="","",INDEX(Population!$BE$3:$BP$177,SUMIF(Population!$B$3:$B$177,'Individual Report'!$B6,Population!$A$3:$A$177),Y$18-2010))</f>
        <v/>
      </c>
      <c r="Z20" s="546" t="str">
        <f>IF('Individual Report'!$B6="","",INDEX(Population!$BE$3:$BP$177,SUMIF(Population!$B$3:$B$177,'Individual Report'!$B6,Population!$A$3:$A$177),Z$18-2010))</f>
        <v/>
      </c>
      <c r="AA20" s="546" t="str">
        <f>IF('Individual Report'!$B6="","",INDEX(Population!$BE$3:$BP$177,SUMIF(Population!$B$3:$B$177,'Individual Report'!$B6,Population!$A$3:$A$177),AA$18-2010))</f>
        <v/>
      </c>
      <c r="AB20" s="546" t="str">
        <f>IF('Individual Report'!$B6="","",INDEX(Population!$BE$3:$BP$177,SUMIF(Population!$B$3:$B$177,'Individual Report'!$B6,Population!$A$3:$A$177),AB$18-2010))</f>
        <v/>
      </c>
      <c r="AC20" s="546" t="str">
        <f>IF('Individual Report'!$B6="","",INDEX(Population!$BE$3:$BP$177,SUMIF(Population!$B$3:$B$177,'Individual Report'!$B6,Population!$A$3:$A$177),AC$18-2010))</f>
        <v/>
      </c>
      <c r="AD20" s="546" t="str">
        <f>IF('Individual Report'!$B6="","",INDEX(Population!$BE$3:$BP$177,SUMIF(Population!$B$3:$B$177,'Individual Report'!$B6,Population!$A$3:$A$177),AD$18-2010))</f>
        <v/>
      </c>
      <c r="AE20" s="546" t="str">
        <f>IF('Individual Report'!$B6="","",INDEX(Population!$BE$3:$BP$177,SUMIF(Population!$B$3:$B$177,'Individual Report'!$B6,Population!$A$3:$A$177),AE$18-2010))</f>
        <v/>
      </c>
      <c r="AF20" s="546" t="str">
        <f>IF('Individual Report'!$B6="","",INDEX(Population!$BE$3:$BP$177,SUMIF(Population!$B$3:$B$177,'Individual Report'!$B6,Population!$A$3:$A$177),AF$18-2010))</f>
        <v/>
      </c>
      <c r="AG20" s="546" t="str">
        <f>IF('Individual Report'!$B6="","",INDEX(Population!$BE$3:$BP$177,SUMIF(Population!$B$3:$B$177,'Individual Report'!$B6,Population!$A$3:$A$177),AG$18-2010))</f>
        <v/>
      </c>
      <c r="AH20" s="546" t="str">
        <f>IF('Individual Report'!$B6="","",INDEX(Population!$BE$3:$BP$177,SUMIF(Population!$B$3:$B$177,'Individual Report'!$B6,Population!$A$3:$A$177),AH$18-2010))</f>
        <v/>
      </c>
      <c r="AI20" s="547" t="str" cm="1">
        <f t="array" ref="AI20">IFERROR(IF(INDEX('Result data'!$B483:$DQ483,1,('Individual Report'!AI$18-2010)+('Individual Report'!$W$2-1)*12)=1,".",INDEX('Result data'!$B483:$DQ483,1,('Individual Report'!AI$18-2010)+('Individual Report'!$W$2-1)*12)),"")</f>
        <v/>
      </c>
      <c r="AJ20" s="547" t="str" cm="1">
        <f t="array" ref="AJ20">IFERROR(IF(INDEX('Result data'!$B483:$DQ483,1,('Individual Report'!AJ$18-2010)+('Individual Report'!$W$2-1)*12)=1,".",INDEX('Result data'!$B483:$DQ483,1,('Individual Report'!AJ$18-2010)+('Individual Report'!$W$2-1)*12)),"")</f>
        <v/>
      </c>
      <c r="AK20" s="547" t="str" cm="1">
        <f t="array" ref="AK20">IFERROR(IF(INDEX('Result data'!$B483:$DQ483,1,('Individual Report'!AK$18-2010)+('Individual Report'!$W$2-1)*12)=1,".",INDEX('Result data'!$B483:$DQ483,1,('Individual Report'!AK$18-2010)+('Individual Report'!$W$2-1)*12)),"")</f>
        <v/>
      </c>
      <c r="AL20" s="547" t="str" cm="1">
        <f t="array" ref="AL20">IFERROR(IF(INDEX('Result data'!$B483:$DQ483,1,('Individual Report'!AL$18-2010)+('Individual Report'!$W$2-1)*12)=1,".",INDEX('Result data'!$B483:$DQ483,1,('Individual Report'!AL$18-2010)+('Individual Report'!$W$2-1)*12)),"")</f>
        <v/>
      </c>
      <c r="AM20" s="547" t="str" cm="1">
        <f t="array" ref="AM20">IFERROR(IF(INDEX('Result data'!$B483:$DQ483,1,('Individual Report'!AM$18-2010)+('Individual Report'!$W$2-1)*12)=1,".",INDEX('Result data'!$B483:$DQ483,1,('Individual Report'!AM$18-2010)+('Individual Report'!$W$2-1)*12)),"")</f>
        <v/>
      </c>
      <c r="AN20" s="547" t="str" cm="1">
        <f t="array" ref="AN20">IFERROR(IF(INDEX('Result data'!$B483:$DQ483,1,('Individual Report'!AN$18-2010)+('Individual Report'!$W$2-1)*12)=1,".",INDEX('Result data'!$B483:$DQ483,1,('Individual Report'!AN$18-2010)+('Individual Report'!$W$2-1)*12)),"")</f>
        <v/>
      </c>
      <c r="AO20" s="547" t="str" cm="1">
        <f t="array" ref="AO20">IFERROR(IF(INDEX('Result data'!$B483:$DQ483,1,('Individual Report'!AO$18-2010)+('Individual Report'!$W$2-1)*12)=1,".",INDEX('Result data'!$B483:$DQ483,1,('Individual Report'!AO$18-2010)+('Individual Report'!$W$2-1)*12)),"")</f>
        <v/>
      </c>
      <c r="AP20" s="547" t="str" cm="1">
        <f t="array" ref="AP20">IFERROR(IF(INDEX('Result data'!$B483:$DQ483,1,('Individual Report'!AP$18-2010)+('Individual Report'!$W$2-1)*12)=1,".",INDEX('Result data'!$B483:$DQ483,1,('Individual Report'!AP$18-2010)+('Individual Report'!$W$2-1)*12)),"")</f>
        <v/>
      </c>
      <c r="AQ20" s="547" t="str" cm="1">
        <f t="array" ref="AQ20">IFERROR(IF(INDEX('Result data'!$B483:$DQ483,1,('Individual Report'!AQ$18-2010)+('Individual Report'!$W$2-1)*12)=1,".",INDEX('Result data'!$B483:$DQ483,1,('Individual Report'!AQ$18-2010)+('Individual Report'!$W$2-1)*12)),"")</f>
        <v/>
      </c>
      <c r="AR20" s="547" t="str" cm="1">
        <f t="array" ref="AR20">IFERROR(IF(INDEX('Result data'!$B483:$DQ483,1,('Individual Report'!AR$18-2010)+('Individual Report'!$W$2-1)*12)=1,".",INDEX('Result data'!$B483:$DQ483,1,('Individual Report'!AR$18-2010)+('Individual Report'!$W$2-1)*12)),"")</f>
        <v/>
      </c>
      <c r="AS20" s="547" t="str" cm="1">
        <f t="array" ref="AS20">IFERROR(INDEX('Result data'!$B494:$DQ494,1,('Individual Report'!AS$18-2010)+('Individual Report'!$W$2-1)*12),"")</f>
        <v/>
      </c>
      <c r="AT20" s="547" t="str" cm="1">
        <f t="array" ref="AT20">IFERROR(INDEX('Result data'!$B494:$DQ494,1,('Individual Report'!AT$18-2010)+('Individual Report'!$W$2-1)*12),"")</f>
        <v/>
      </c>
      <c r="AU20" s="547" t="str" cm="1">
        <f t="array" ref="AU20">IFERROR(INDEX('Result data'!$B494:$DQ494,1,('Individual Report'!AU$18-2010)+('Individual Report'!$W$2-1)*12),"")</f>
        <v/>
      </c>
      <c r="AV20" s="547" t="str" cm="1">
        <f t="array" ref="AV20">IFERROR(INDEX('Result data'!$B494:$DQ494,1,('Individual Report'!AV$18-2010)+('Individual Report'!$W$2-1)*12),"")</f>
        <v/>
      </c>
      <c r="AW20" s="547" t="str" cm="1">
        <f t="array" ref="AW20">IFERROR(INDEX('Result data'!$B494:$DQ494,1,('Individual Report'!AW$18-2010)+('Individual Report'!$W$2-1)*12),"")</f>
        <v/>
      </c>
      <c r="AX20" s="547" t="str" cm="1">
        <f t="array" ref="AX20">IFERROR(INDEX('Result data'!$B494:$DQ494,1,('Individual Report'!AX$18-2010)+('Individual Report'!$W$2-1)*12),"")</f>
        <v/>
      </c>
      <c r="AY20" s="547" t="str" cm="1">
        <f t="array" ref="AY20">IFERROR(INDEX('Result data'!$B494:$DQ494,1,('Individual Report'!AY$18-2010)+('Individual Report'!$W$2-1)*12),"")</f>
        <v/>
      </c>
      <c r="AZ20" s="547" t="str" cm="1">
        <f t="array" ref="AZ20">IFERROR(INDEX('Result data'!$B494:$DQ494,1,('Individual Report'!AZ$18-2010)+('Individual Report'!$W$2-1)*12),"")</f>
        <v/>
      </c>
      <c r="BA20" s="547" t="str" cm="1">
        <f t="array" ref="BA20">IFERROR(INDEX('Result data'!$B494:$DQ494,1,('Individual Report'!BA$18-2010)+('Individual Report'!$W$2-1)*12),"")</f>
        <v/>
      </c>
      <c r="BB20" s="547" t="str" cm="1">
        <f t="array" ref="BB20">IFERROR(INDEX('Result data'!$B494:$DQ494,1,('Individual Report'!BB$18-2010)+('Individual Report'!$W$2-1)*12),"")</f>
        <v/>
      </c>
      <c r="BC20" s="548" t="str" cm="1">
        <f t="array" ref="BC20">IF('Individual Report'!$B6="","",INDEX('Result data'!$FC$216:$FL$390,SUMIF(Population!$B$3:$B$177,'Individual Report'!$B6,Population!$A$3:$A$177),BC$18-2010))</f>
        <v/>
      </c>
      <c r="BD20" s="548" t="str" cm="1">
        <f t="array" ref="BD20">IF('Individual Report'!$B6="","",INDEX('Result data'!$FC$216:$FL$390,SUMIF(Population!$B$3:$B$177,'Individual Report'!$B6,Population!$A$3:$A$177),BD$18-2010))</f>
        <v/>
      </c>
      <c r="BE20" s="548" t="str" cm="1">
        <f t="array" ref="BE20">IF('Individual Report'!$B6="","",INDEX('Result data'!$FC$216:$FL$390,SUMIF(Population!$B$3:$B$177,'Individual Report'!$B6,Population!$A$3:$A$177),BE$18-2010))</f>
        <v/>
      </c>
      <c r="BF20" s="548" t="str" cm="1">
        <f t="array" ref="BF20">IF('Individual Report'!$B6="","",INDEX('Result data'!$FC$216:$FL$390,SUMIF(Population!$B$3:$B$177,'Individual Report'!$B6,Population!$A$3:$A$177),BF$18-2010))</f>
        <v/>
      </c>
      <c r="BG20" s="548" t="str" cm="1">
        <f t="array" ref="BG20">IF('Individual Report'!$B6="","",INDEX('Result data'!$FC$216:$FL$390,SUMIF(Population!$B$3:$B$177,'Individual Report'!$B6,Population!$A$3:$A$177),BG$18-2010))</f>
        <v/>
      </c>
      <c r="BH20" s="548" t="str" cm="1">
        <f t="array" ref="BH20">IF('Individual Report'!$B6="","",INDEX('Result data'!$FC$216:$FL$390,SUMIF(Population!$B$3:$B$177,'Individual Report'!$B6,Population!$A$3:$A$177),BH$18-2010))</f>
        <v/>
      </c>
      <c r="BI20" s="548" t="str" cm="1">
        <f t="array" ref="BI20">IF('Individual Report'!$B6="","",INDEX('Result data'!$FC$216:$FL$390,SUMIF(Population!$B$3:$B$177,'Individual Report'!$B6,Population!$A$3:$A$177),BI$18-2010))</f>
        <v/>
      </c>
      <c r="BJ20" s="548" t="str" cm="1">
        <f t="array" ref="BJ20">IF('Individual Report'!$B6="","",INDEX('Result data'!$FC$216:$FL$390,SUMIF(Population!$B$3:$B$177,'Individual Report'!$B6,Population!$A$3:$A$177),BJ$18-2010))</f>
        <v/>
      </c>
      <c r="BK20" s="548" t="str" cm="1">
        <f t="array" ref="BK20">IF('Individual Report'!$B6="","",INDEX('Result data'!$FC$216:$FL$390,SUMIF(Population!$B$3:$B$177,'Individual Report'!$B6,Population!$A$3:$A$177),BK$18-2010))</f>
        <v/>
      </c>
      <c r="BL20" s="548" t="str" cm="1">
        <f t="array" ref="BL20">IF('Individual Report'!$B6="","",INDEX('Result data'!$FC$216:$FL$390,SUMIF(Population!$B$3:$B$177,'Individual Report'!$B6,Population!$A$3:$A$177),BL$18-2010))</f>
        <v/>
      </c>
      <c r="BM20" s="303" t="str">
        <f t="shared" si="6"/>
        <v/>
      </c>
      <c r="BN20" s="303" t="str">
        <f t="shared" si="7"/>
        <v/>
      </c>
      <c r="BO20" s="303" t="str">
        <f t="shared" si="8"/>
        <v/>
      </c>
      <c r="BP20" s="303" t="str">
        <f t="shared" si="9"/>
        <v/>
      </c>
      <c r="BQ20" s="303" t="str">
        <f t="shared" si="10"/>
        <v/>
      </c>
      <c r="BR20" s="303" t="str">
        <f t="shared" si="11"/>
        <v/>
      </c>
      <c r="BS20" s="303" t="str">
        <f t="shared" si="12"/>
        <v/>
      </c>
      <c r="BT20" s="303" t="str">
        <f t="shared" si="13"/>
        <v/>
      </c>
      <c r="BU20" s="303" t="str">
        <f t="shared" si="14"/>
        <v/>
      </c>
      <c r="BV20" s="303" t="str">
        <f t="shared" si="15"/>
        <v/>
      </c>
      <c r="BW20" s="316">
        <f>SUMIF('Result data'!$O$216:$O$390,'Individual Report'!$B6,'Result data'!BS$216:BS$390)</f>
        <v>0</v>
      </c>
      <c r="BX20" s="316">
        <f>SUMIF('Result data'!$O$216:$O$390,'Individual Report'!$B6,'Result data'!BT$216:BT$390)</f>
        <v>0</v>
      </c>
      <c r="BY20" s="316">
        <f>SUMIF('Result data'!$O$216:$O$390,'Individual Report'!$B6,'Result data'!BU$216:BU$390)</f>
        <v>0</v>
      </c>
      <c r="BZ20" s="316">
        <f>SUMIF('Result data'!$O$216:$O$390,'Individual Report'!$B6,'Result data'!BV$216:BV$390)</f>
        <v>0</v>
      </c>
      <c r="CA20" s="316">
        <f>SUMIF('Result data'!$O$216:$O$390,'Individual Report'!$B6,'Result data'!BW$216:BW$390)</f>
        <v>0</v>
      </c>
      <c r="CB20" s="316">
        <f>SUMIF('Result data'!$O$216:$O$390,'Individual Report'!$B6,'Result data'!BX$216:BX$390)</f>
        <v>0</v>
      </c>
      <c r="CC20" s="316">
        <f>SUMIF('Result data'!$O$216:$O$390,'Individual Report'!$B6,'Result data'!BY$216:BY$390)</f>
        <v>0</v>
      </c>
      <c r="CD20" s="316">
        <f>SUMIF('Result data'!$O$216:$O$390,'Individual Report'!$B6,'Result data'!BZ$216:BZ$390)</f>
        <v>0</v>
      </c>
      <c r="CE20" s="316">
        <f>SUMIF('Result data'!$O$216:$O$390,'Individual Report'!$B6,'Result data'!CA$216:CA$390)</f>
        <v>0</v>
      </c>
      <c r="CF20" s="316">
        <f>SUMIF('Result data'!$O$216:$O$390,'Individual Report'!$B6,'Result data'!CB$216:CB$390)</f>
        <v>0</v>
      </c>
      <c r="CG20" s="315" t="str" cm="1">
        <f t="array" ref="CG20">IFERROR(IF(INDEX('Result data'!$B505:$DQ505,1,('Individual Report'!AS$18-2010)+('Individual Report'!$W$2-1)*12)=0,"",INDEX('Result data'!$B505:$DQ505,1,('Individual Report'!AS$18-2010)+('Individual Report'!$W$2-1)*12)),"")</f>
        <v/>
      </c>
      <c r="CH20" s="315" t="str" cm="1">
        <f t="array" ref="CH20">IFERROR(IF(INDEX('Result data'!$B505:$DQ505,1,('Individual Report'!AT$18-2010)+('Individual Report'!$W$2-1)*12)=0,"",INDEX('Result data'!$B505:$DQ505,1,('Individual Report'!AT$18-2010)+('Individual Report'!$W$2-1)*12)),"")</f>
        <v/>
      </c>
      <c r="CI20" s="315" t="str" cm="1">
        <f t="array" ref="CI20">IFERROR(IF(INDEX('Result data'!$B505:$DQ505,1,('Individual Report'!AU$18-2010)+('Individual Report'!$W$2-1)*12)=0,"",INDEX('Result data'!$B505:$DQ505,1,('Individual Report'!AU$18-2010)+('Individual Report'!$W$2-1)*12)),"")</f>
        <v/>
      </c>
      <c r="CJ20" s="315" t="str" cm="1">
        <f t="array" ref="CJ20">IFERROR(IF(INDEX('Result data'!$B505:$DQ505,1,('Individual Report'!AV$18-2010)+('Individual Report'!$W$2-1)*12)=0,"",INDEX('Result data'!$B505:$DQ505,1,('Individual Report'!AV$18-2010)+('Individual Report'!$W$2-1)*12)),"")</f>
        <v/>
      </c>
      <c r="CK20" s="315" t="str" cm="1">
        <f t="array" ref="CK20">IFERROR(IF(INDEX('Result data'!$B505:$DQ505,1,('Individual Report'!AW$18-2010)+('Individual Report'!$W$2-1)*12)=0,"",INDEX('Result data'!$B505:$DQ505,1,('Individual Report'!AW$18-2010)+('Individual Report'!$W$2-1)*12)),"")</f>
        <v/>
      </c>
      <c r="CL20" s="315" t="str" cm="1">
        <f t="array" ref="CL20">IFERROR(IF(INDEX('Result data'!$B505:$DQ505,1,('Individual Report'!AX$18-2010)+('Individual Report'!$W$2-1)*12)=0,"",INDEX('Result data'!$B505:$DQ505,1,('Individual Report'!AX$18-2010)+('Individual Report'!$W$2-1)*12)),"")</f>
        <v/>
      </c>
      <c r="CM20" s="315" t="str" cm="1">
        <f t="array" ref="CM20">IFERROR(IF(INDEX('Result data'!$B505:$DQ505,1,('Individual Report'!AY$18-2010)+('Individual Report'!$W$2-1)*12)=0,"",INDEX('Result data'!$B505:$DQ505,1,('Individual Report'!AY$18-2010)+('Individual Report'!$W$2-1)*12)),"")</f>
        <v/>
      </c>
      <c r="CN20" s="315" t="str" cm="1">
        <f t="array" ref="CN20">IFERROR(IF(INDEX('Result data'!$B505:$DQ505,1,('Individual Report'!AZ$18-2010)+('Individual Report'!$W$2-1)*12)=0,"",INDEX('Result data'!$B505:$DQ505,1,('Individual Report'!AZ$18-2010)+('Individual Report'!$W$2-1)*12)),"")</f>
        <v/>
      </c>
      <c r="CO20" s="315" t="str" cm="1">
        <f t="array" ref="CO20">IFERROR(IF(INDEX('Result data'!$B505:$DQ505,1,('Individual Report'!BA$18-2010)+('Individual Report'!$W$2-1)*12)=0,"",INDEX('Result data'!$B505:$DQ505,1,('Individual Report'!BA$18-2010)+('Individual Report'!$W$2-1)*12)),"")</f>
        <v/>
      </c>
      <c r="CP20" s="315" t="str" cm="1">
        <f t="array" ref="CP20">IFERROR(IF(INDEX('Result data'!$B505:$DQ505,1,('Individual Report'!BB$18-2010)+('Individual Report'!$W$2-1)*12)=0,"",INDEX('Result data'!$B505:$DQ505,1,('Individual Report'!BB$18-2010)+('Individual Report'!$W$2-1)*12)),"")</f>
        <v/>
      </c>
      <c r="CQ20" s="303" t="str">
        <f t="shared" si="16"/>
        <v/>
      </c>
      <c r="CR20" s="303" t="str">
        <f t="shared" si="17"/>
        <v/>
      </c>
      <c r="CS20" s="303" t="str">
        <f t="shared" si="18"/>
        <v/>
      </c>
      <c r="CT20" s="303" t="str">
        <f t="shared" si="19"/>
        <v/>
      </c>
      <c r="CU20" s="303" t="str">
        <f t="shared" si="20"/>
        <v/>
      </c>
      <c r="CV20" s="303" t="str">
        <f t="shared" si="21"/>
        <v/>
      </c>
      <c r="CW20" s="303" t="str">
        <f t="shared" si="22"/>
        <v/>
      </c>
      <c r="CX20" s="303" t="str">
        <f t="shared" si="23"/>
        <v/>
      </c>
      <c r="CY20" s="303" t="str">
        <f t="shared" si="24"/>
        <v/>
      </c>
      <c r="CZ20" s="303" t="str">
        <f t="shared" si="25"/>
        <v/>
      </c>
    </row>
    <row r="21" spans="1:104" s="236" customFormat="1" ht="31.9" customHeight="1" x14ac:dyDescent="0.25">
      <c r="A21" s="325" t="str">
        <f t="shared" si="5"/>
        <v>Subsidiária 2</v>
      </c>
      <c r="B21" s="266" t="str">
        <f t="shared" si="26"/>
        <v/>
      </c>
      <c r="C21" s="270" t="str">
        <f>IF($M$2&lt;&gt;"Ok","",INDEX('Result data'!$C242:$L242,1,$W$2))</f>
        <v/>
      </c>
      <c r="D21" s="261" t="str">
        <f>IF($M$2&lt;&gt;"Ok","",INDEX('Result data'!$C254:$L254,1,$W$2))</f>
        <v/>
      </c>
      <c r="E21" s="910" t="str">
        <f t="shared" si="27"/>
        <v/>
      </c>
      <c r="F21" s="911"/>
      <c r="G21" s="275" t="str">
        <f>IF($M$2&lt;&gt;"Ok","",INDEX('Result data'!$C278:$L278,1,$W$2))</f>
        <v/>
      </c>
      <c r="H21" s="261" t="str">
        <f>IF($M$2&lt;&gt;"Ok","",INDEX('Result data'!$C290:$L290,1,$W$2))</f>
        <v/>
      </c>
      <c r="I21" s="706" t="str">
        <f t="shared" si="28"/>
        <v/>
      </c>
      <c r="J21" s="278" t="str">
        <f t="shared" si="29"/>
        <v/>
      </c>
      <c r="K21" s="298" t="str">
        <f t="shared" si="30"/>
        <v/>
      </c>
      <c r="L21"/>
      <c r="M21"/>
      <c r="N21"/>
      <c r="O21"/>
      <c r="P21"/>
      <c r="Q21"/>
      <c r="S21" s="235"/>
      <c r="T21" s="235"/>
      <c r="U21" s="235"/>
      <c r="V21" s="235"/>
      <c r="W21" s="235"/>
      <c r="Y21" s="546" t="str">
        <f>IF('Individual Report'!$B7="","",INDEX(Population!$BE$3:$BP$177,SUMIF(Population!$B$3:$B$177,'Individual Report'!$B7,Population!$A$3:$A$177),Y$18-2010))</f>
        <v/>
      </c>
      <c r="Z21" s="546" t="str">
        <f>IF('Individual Report'!$B7="","",INDEX(Population!$BE$3:$BP$177,SUMIF(Population!$B$3:$B$177,'Individual Report'!$B7,Population!$A$3:$A$177),Z$18-2010))</f>
        <v/>
      </c>
      <c r="AA21" s="546" t="str">
        <f>IF('Individual Report'!$B7="","",INDEX(Population!$BE$3:$BP$177,SUMIF(Population!$B$3:$B$177,'Individual Report'!$B7,Population!$A$3:$A$177),AA$18-2010))</f>
        <v/>
      </c>
      <c r="AB21" s="546" t="str">
        <f>IF('Individual Report'!$B7="","",INDEX(Population!$BE$3:$BP$177,SUMIF(Population!$B$3:$B$177,'Individual Report'!$B7,Population!$A$3:$A$177),AB$18-2010))</f>
        <v/>
      </c>
      <c r="AC21" s="546" t="str">
        <f>IF('Individual Report'!$B7="","",INDEX(Population!$BE$3:$BP$177,SUMIF(Population!$B$3:$B$177,'Individual Report'!$B7,Population!$A$3:$A$177),AC$18-2010))</f>
        <v/>
      </c>
      <c r="AD21" s="546" t="str">
        <f>IF('Individual Report'!$B7="","",INDEX(Population!$BE$3:$BP$177,SUMIF(Population!$B$3:$B$177,'Individual Report'!$B7,Population!$A$3:$A$177),AD$18-2010))</f>
        <v/>
      </c>
      <c r="AE21" s="546" t="str">
        <f>IF('Individual Report'!$B7="","",INDEX(Population!$BE$3:$BP$177,SUMIF(Population!$B$3:$B$177,'Individual Report'!$B7,Population!$A$3:$A$177),AE$18-2010))</f>
        <v/>
      </c>
      <c r="AF21" s="546" t="str">
        <f>IF('Individual Report'!$B7="","",INDEX(Population!$BE$3:$BP$177,SUMIF(Population!$B$3:$B$177,'Individual Report'!$B7,Population!$A$3:$A$177),AF$18-2010))</f>
        <v/>
      </c>
      <c r="AG21" s="546" t="str">
        <f>IF('Individual Report'!$B7="","",INDEX(Population!$BE$3:$BP$177,SUMIF(Population!$B$3:$B$177,'Individual Report'!$B7,Population!$A$3:$A$177),AG$18-2010))</f>
        <v/>
      </c>
      <c r="AH21" s="546" t="str">
        <f>IF('Individual Report'!$B7="","",INDEX(Population!$BE$3:$BP$177,SUMIF(Population!$B$3:$B$177,'Individual Report'!$B7,Population!$A$3:$A$177),AH$18-2010))</f>
        <v/>
      </c>
      <c r="AI21" s="547" t="str" cm="1">
        <f t="array" ref="AI21">IFERROR(IF(INDEX('Result data'!$B484:$DQ484,1,('Individual Report'!AI$18-2010)+('Individual Report'!$W$2-1)*12)=1,".",INDEX('Result data'!$B484:$DQ484,1,('Individual Report'!AI$18-2010)+('Individual Report'!$W$2-1)*12)),"")</f>
        <v/>
      </c>
      <c r="AJ21" s="547" t="str" cm="1">
        <f t="array" ref="AJ21">IFERROR(IF(INDEX('Result data'!$B484:$DQ484,1,('Individual Report'!AJ$18-2010)+('Individual Report'!$W$2-1)*12)=1,".",INDEX('Result data'!$B484:$DQ484,1,('Individual Report'!AJ$18-2010)+('Individual Report'!$W$2-1)*12)),"")</f>
        <v/>
      </c>
      <c r="AK21" s="547" t="str" cm="1">
        <f t="array" ref="AK21">IFERROR(IF(INDEX('Result data'!$B484:$DQ484,1,('Individual Report'!AK$18-2010)+('Individual Report'!$W$2-1)*12)=1,".",INDEX('Result data'!$B484:$DQ484,1,('Individual Report'!AK$18-2010)+('Individual Report'!$W$2-1)*12)),"")</f>
        <v/>
      </c>
      <c r="AL21" s="547" t="str" cm="1">
        <f t="array" ref="AL21">IFERROR(IF(INDEX('Result data'!$B484:$DQ484,1,('Individual Report'!AL$18-2010)+('Individual Report'!$W$2-1)*12)=1,".",INDEX('Result data'!$B484:$DQ484,1,('Individual Report'!AL$18-2010)+('Individual Report'!$W$2-1)*12)),"")</f>
        <v/>
      </c>
      <c r="AM21" s="547" t="str" cm="1">
        <f t="array" ref="AM21">IFERROR(IF(INDEX('Result data'!$B484:$DQ484,1,('Individual Report'!AM$18-2010)+('Individual Report'!$W$2-1)*12)=1,".",INDEX('Result data'!$B484:$DQ484,1,('Individual Report'!AM$18-2010)+('Individual Report'!$W$2-1)*12)),"")</f>
        <v/>
      </c>
      <c r="AN21" s="547" t="str" cm="1">
        <f t="array" ref="AN21">IFERROR(IF(INDEX('Result data'!$B484:$DQ484,1,('Individual Report'!AN$18-2010)+('Individual Report'!$W$2-1)*12)=1,".",INDEX('Result data'!$B484:$DQ484,1,('Individual Report'!AN$18-2010)+('Individual Report'!$W$2-1)*12)),"")</f>
        <v/>
      </c>
      <c r="AO21" s="547" t="str" cm="1">
        <f t="array" ref="AO21">IFERROR(IF(INDEX('Result data'!$B484:$DQ484,1,('Individual Report'!AO$18-2010)+('Individual Report'!$W$2-1)*12)=1,".",INDEX('Result data'!$B484:$DQ484,1,('Individual Report'!AO$18-2010)+('Individual Report'!$W$2-1)*12)),"")</f>
        <v/>
      </c>
      <c r="AP21" s="547" t="str" cm="1">
        <f t="array" ref="AP21">IFERROR(IF(INDEX('Result data'!$B484:$DQ484,1,('Individual Report'!AP$18-2010)+('Individual Report'!$W$2-1)*12)=1,".",INDEX('Result data'!$B484:$DQ484,1,('Individual Report'!AP$18-2010)+('Individual Report'!$W$2-1)*12)),"")</f>
        <v/>
      </c>
      <c r="AQ21" s="547" t="str" cm="1">
        <f t="array" ref="AQ21">IFERROR(IF(INDEX('Result data'!$B484:$DQ484,1,('Individual Report'!AQ$18-2010)+('Individual Report'!$W$2-1)*12)=1,".",INDEX('Result data'!$B484:$DQ484,1,('Individual Report'!AQ$18-2010)+('Individual Report'!$W$2-1)*12)),"")</f>
        <v/>
      </c>
      <c r="AR21" s="547" t="str" cm="1">
        <f t="array" ref="AR21">IFERROR(IF(INDEX('Result data'!$B484:$DQ484,1,('Individual Report'!AR$18-2010)+('Individual Report'!$W$2-1)*12)=1,".",INDEX('Result data'!$B484:$DQ484,1,('Individual Report'!AR$18-2010)+('Individual Report'!$W$2-1)*12)),"")</f>
        <v/>
      </c>
      <c r="AS21" s="547" t="str" cm="1">
        <f t="array" ref="AS21">IFERROR(INDEX('Result data'!$B495:$DQ495,1,('Individual Report'!AS$18-2010)+('Individual Report'!$W$2-1)*12),"")</f>
        <v/>
      </c>
      <c r="AT21" s="547" t="str" cm="1">
        <f t="array" ref="AT21">IFERROR(INDEX('Result data'!$B495:$DQ495,1,('Individual Report'!AT$18-2010)+('Individual Report'!$W$2-1)*12),"")</f>
        <v/>
      </c>
      <c r="AU21" s="547" t="str" cm="1">
        <f t="array" ref="AU21">IFERROR(INDEX('Result data'!$B495:$DQ495,1,('Individual Report'!AU$18-2010)+('Individual Report'!$W$2-1)*12),"")</f>
        <v/>
      </c>
      <c r="AV21" s="547" t="str" cm="1">
        <f t="array" ref="AV21">IFERROR(INDEX('Result data'!$B495:$DQ495,1,('Individual Report'!AV$18-2010)+('Individual Report'!$W$2-1)*12),"")</f>
        <v/>
      </c>
      <c r="AW21" s="547" t="str" cm="1">
        <f t="array" ref="AW21">IFERROR(INDEX('Result data'!$B495:$DQ495,1,('Individual Report'!AW$18-2010)+('Individual Report'!$W$2-1)*12),"")</f>
        <v/>
      </c>
      <c r="AX21" s="547" t="str" cm="1">
        <f t="array" ref="AX21">IFERROR(INDEX('Result data'!$B495:$DQ495,1,('Individual Report'!AX$18-2010)+('Individual Report'!$W$2-1)*12),"")</f>
        <v/>
      </c>
      <c r="AY21" s="547" t="str" cm="1">
        <f t="array" ref="AY21">IFERROR(INDEX('Result data'!$B495:$DQ495,1,('Individual Report'!AY$18-2010)+('Individual Report'!$W$2-1)*12),"")</f>
        <v/>
      </c>
      <c r="AZ21" s="547" t="str" cm="1">
        <f t="array" ref="AZ21">IFERROR(INDEX('Result data'!$B495:$DQ495,1,('Individual Report'!AZ$18-2010)+('Individual Report'!$W$2-1)*12),"")</f>
        <v/>
      </c>
      <c r="BA21" s="547" t="str" cm="1">
        <f t="array" ref="BA21">IFERROR(INDEX('Result data'!$B495:$DQ495,1,('Individual Report'!BA$18-2010)+('Individual Report'!$W$2-1)*12),"")</f>
        <v/>
      </c>
      <c r="BB21" s="547" t="str" cm="1">
        <f t="array" ref="BB21">IFERROR(INDEX('Result data'!$B495:$DQ495,1,('Individual Report'!BB$18-2010)+('Individual Report'!$W$2-1)*12),"")</f>
        <v/>
      </c>
      <c r="BC21" s="548" t="str" cm="1">
        <f t="array" ref="BC21">IF('Individual Report'!$B7="","",INDEX('Result data'!$FC$216:$FL$390,SUMIF(Population!$B$3:$B$177,'Individual Report'!$B7,Population!$A$3:$A$177),BC$18-2010))</f>
        <v/>
      </c>
      <c r="BD21" s="548" t="str" cm="1">
        <f t="array" ref="BD21">IF('Individual Report'!$B7="","",INDEX('Result data'!$FC$216:$FL$390,SUMIF(Population!$B$3:$B$177,'Individual Report'!$B7,Population!$A$3:$A$177),BD$18-2010))</f>
        <v/>
      </c>
      <c r="BE21" s="548" t="str" cm="1">
        <f t="array" ref="BE21">IF('Individual Report'!$B7="","",INDEX('Result data'!$FC$216:$FL$390,SUMIF(Population!$B$3:$B$177,'Individual Report'!$B7,Population!$A$3:$A$177),BE$18-2010))</f>
        <v/>
      </c>
      <c r="BF21" s="548" t="str" cm="1">
        <f t="array" ref="BF21">IF('Individual Report'!$B7="","",INDEX('Result data'!$FC$216:$FL$390,SUMIF(Population!$B$3:$B$177,'Individual Report'!$B7,Population!$A$3:$A$177),BF$18-2010))</f>
        <v/>
      </c>
      <c r="BG21" s="548" t="str" cm="1">
        <f t="array" ref="BG21">IF('Individual Report'!$B7="","",INDEX('Result data'!$FC$216:$FL$390,SUMIF(Population!$B$3:$B$177,'Individual Report'!$B7,Population!$A$3:$A$177),BG$18-2010))</f>
        <v/>
      </c>
      <c r="BH21" s="548" t="str" cm="1">
        <f t="array" ref="BH21">IF('Individual Report'!$B7="","",INDEX('Result data'!$FC$216:$FL$390,SUMIF(Population!$B$3:$B$177,'Individual Report'!$B7,Population!$A$3:$A$177),BH$18-2010))</f>
        <v/>
      </c>
      <c r="BI21" s="548" t="str" cm="1">
        <f t="array" ref="BI21">IF('Individual Report'!$B7="","",INDEX('Result data'!$FC$216:$FL$390,SUMIF(Population!$B$3:$B$177,'Individual Report'!$B7,Population!$A$3:$A$177),BI$18-2010))</f>
        <v/>
      </c>
      <c r="BJ21" s="548" t="str" cm="1">
        <f t="array" ref="BJ21">IF('Individual Report'!$B7="","",INDEX('Result data'!$FC$216:$FL$390,SUMIF(Population!$B$3:$B$177,'Individual Report'!$B7,Population!$A$3:$A$177),BJ$18-2010))</f>
        <v/>
      </c>
      <c r="BK21" s="548" t="str" cm="1">
        <f t="array" ref="BK21">IF('Individual Report'!$B7="","",INDEX('Result data'!$FC$216:$FL$390,SUMIF(Population!$B$3:$B$177,'Individual Report'!$B7,Population!$A$3:$A$177),BK$18-2010))</f>
        <v/>
      </c>
      <c r="BL21" s="548" t="str" cm="1">
        <f t="array" ref="BL21">IF('Individual Report'!$B7="","",INDEX('Result data'!$FC$216:$FL$390,SUMIF(Population!$B$3:$B$177,'Individual Report'!$B7,Population!$A$3:$A$177),BL$18-2010))</f>
        <v/>
      </c>
      <c r="BM21" s="303" t="str">
        <f t="shared" si="6"/>
        <v/>
      </c>
      <c r="BN21" s="303" t="str">
        <f t="shared" si="7"/>
        <v/>
      </c>
      <c r="BO21" s="303" t="str">
        <f t="shared" si="8"/>
        <v/>
      </c>
      <c r="BP21" s="303" t="str">
        <f t="shared" si="9"/>
        <v/>
      </c>
      <c r="BQ21" s="303" t="str">
        <f t="shared" si="10"/>
        <v/>
      </c>
      <c r="BR21" s="303" t="str">
        <f t="shared" si="11"/>
        <v/>
      </c>
      <c r="BS21" s="303" t="str">
        <f t="shared" si="12"/>
        <v/>
      </c>
      <c r="BT21" s="303" t="str">
        <f t="shared" si="13"/>
        <v/>
      </c>
      <c r="BU21" s="303" t="str">
        <f t="shared" si="14"/>
        <v/>
      </c>
      <c r="BV21" s="303" t="str">
        <f t="shared" si="15"/>
        <v/>
      </c>
      <c r="BW21" s="316">
        <f>SUMIF('Result data'!$O$216:$O$390,'Individual Report'!$B7,'Result data'!BS$216:BS$390)</f>
        <v>0</v>
      </c>
      <c r="BX21" s="316">
        <f>SUMIF('Result data'!$O$216:$O$390,'Individual Report'!$B7,'Result data'!BT$216:BT$390)</f>
        <v>0</v>
      </c>
      <c r="BY21" s="316">
        <f>SUMIF('Result data'!$O$216:$O$390,'Individual Report'!$B7,'Result data'!BU$216:BU$390)</f>
        <v>0</v>
      </c>
      <c r="BZ21" s="316">
        <f>SUMIF('Result data'!$O$216:$O$390,'Individual Report'!$B7,'Result data'!BV$216:BV$390)</f>
        <v>0</v>
      </c>
      <c r="CA21" s="316">
        <f>SUMIF('Result data'!$O$216:$O$390,'Individual Report'!$B7,'Result data'!BW$216:BW$390)</f>
        <v>0</v>
      </c>
      <c r="CB21" s="316">
        <f>SUMIF('Result data'!$O$216:$O$390,'Individual Report'!$B7,'Result data'!BX$216:BX$390)</f>
        <v>0</v>
      </c>
      <c r="CC21" s="316">
        <f>SUMIF('Result data'!$O$216:$O$390,'Individual Report'!$B7,'Result data'!BY$216:BY$390)</f>
        <v>0</v>
      </c>
      <c r="CD21" s="316">
        <f>SUMIF('Result data'!$O$216:$O$390,'Individual Report'!$B7,'Result data'!BZ$216:BZ$390)</f>
        <v>0</v>
      </c>
      <c r="CE21" s="316">
        <f>SUMIF('Result data'!$O$216:$O$390,'Individual Report'!$B7,'Result data'!CA$216:CA$390)</f>
        <v>0</v>
      </c>
      <c r="CF21" s="316">
        <f>SUMIF('Result data'!$O$216:$O$390,'Individual Report'!$B7,'Result data'!CB$216:CB$390)</f>
        <v>0</v>
      </c>
      <c r="CG21" s="315" t="str" cm="1">
        <f t="array" ref="CG21">IFERROR(IF(INDEX('Result data'!$B506:$DQ506,1,('Individual Report'!AS$18-2010)+('Individual Report'!$W$2-1)*12)=0,"",INDEX('Result data'!$B506:$DQ506,1,('Individual Report'!AS$18-2010)+('Individual Report'!$W$2-1)*12)),"")</f>
        <v/>
      </c>
      <c r="CH21" s="315" t="str" cm="1">
        <f t="array" ref="CH21">IFERROR(IF(INDEX('Result data'!$B506:$DQ506,1,('Individual Report'!AT$18-2010)+('Individual Report'!$W$2-1)*12)=0,"",INDEX('Result data'!$B506:$DQ506,1,('Individual Report'!AT$18-2010)+('Individual Report'!$W$2-1)*12)),"")</f>
        <v/>
      </c>
      <c r="CI21" s="315" t="str" cm="1">
        <f t="array" ref="CI21">IFERROR(IF(INDEX('Result data'!$B506:$DQ506,1,('Individual Report'!AU$18-2010)+('Individual Report'!$W$2-1)*12)=0,"",INDEX('Result data'!$B506:$DQ506,1,('Individual Report'!AU$18-2010)+('Individual Report'!$W$2-1)*12)),"")</f>
        <v/>
      </c>
      <c r="CJ21" s="315" t="str" cm="1">
        <f t="array" ref="CJ21">IFERROR(IF(INDEX('Result data'!$B506:$DQ506,1,('Individual Report'!AV$18-2010)+('Individual Report'!$W$2-1)*12)=0,"",INDEX('Result data'!$B506:$DQ506,1,('Individual Report'!AV$18-2010)+('Individual Report'!$W$2-1)*12)),"")</f>
        <v/>
      </c>
      <c r="CK21" s="315" t="str" cm="1">
        <f t="array" ref="CK21">IFERROR(IF(INDEX('Result data'!$B506:$DQ506,1,('Individual Report'!AW$18-2010)+('Individual Report'!$W$2-1)*12)=0,"",INDEX('Result data'!$B506:$DQ506,1,('Individual Report'!AW$18-2010)+('Individual Report'!$W$2-1)*12)),"")</f>
        <v/>
      </c>
      <c r="CL21" s="315" t="str" cm="1">
        <f t="array" ref="CL21">IFERROR(IF(INDEX('Result data'!$B506:$DQ506,1,('Individual Report'!AX$18-2010)+('Individual Report'!$W$2-1)*12)=0,"",INDEX('Result data'!$B506:$DQ506,1,('Individual Report'!AX$18-2010)+('Individual Report'!$W$2-1)*12)),"")</f>
        <v/>
      </c>
      <c r="CM21" s="315" t="str" cm="1">
        <f t="array" ref="CM21">IFERROR(IF(INDEX('Result data'!$B506:$DQ506,1,('Individual Report'!AY$18-2010)+('Individual Report'!$W$2-1)*12)=0,"",INDEX('Result data'!$B506:$DQ506,1,('Individual Report'!AY$18-2010)+('Individual Report'!$W$2-1)*12)),"")</f>
        <v/>
      </c>
      <c r="CN21" s="315" t="str" cm="1">
        <f t="array" ref="CN21">IFERROR(IF(INDEX('Result data'!$B506:$DQ506,1,('Individual Report'!AZ$18-2010)+('Individual Report'!$W$2-1)*12)=0,"",INDEX('Result data'!$B506:$DQ506,1,('Individual Report'!AZ$18-2010)+('Individual Report'!$W$2-1)*12)),"")</f>
        <v/>
      </c>
      <c r="CO21" s="315" t="str" cm="1">
        <f t="array" ref="CO21">IFERROR(IF(INDEX('Result data'!$B506:$DQ506,1,('Individual Report'!BA$18-2010)+('Individual Report'!$W$2-1)*12)=0,"",INDEX('Result data'!$B506:$DQ506,1,('Individual Report'!BA$18-2010)+('Individual Report'!$W$2-1)*12)),"")</f>
        <v/>
      </c>
      <c r="CP21" s="315" t="str" cm="1">
        <f t="array" ref="CP21">IFERROR(IF(INDEX('Result data'!$B506:$DQ506,1,('Individual Report'!BB$18-2010)+('Individual Report'!$W$2-1)*12)=0,"",INDEX('Result data'!$B506:$DQ506,1,('Individual Report'!BB$18-2010)+('Individual Report'!$W$2-1)*12)),"")</f>
        <v/>
      </c>
      <c r="CQ21" s="303" t="str">
        <f t="shared" si="16"/>
        <v/>
      </c>
      <c r="CR21" s="303" t="str">
        <f t="shared" si="17"/>
        <v/>
      </c>
      <c r="CS21" s="303" t="str">
        <f t="shared" si="18"/>
        <v/>
      </c>
      <c r="CT21" s="303" t="str">
        <f t="shared" si="19"/>
        <v/>
      </c>
      <c r="CU21" s="303" t="str">
        <f t="shared" si="20"/>
        <v/>
      </c>
      <c r="CV21" s="303" t="str">
        <f t="shared" si="21"/>
        <v/>
      </c>
      <c r="CW21" s="303" t="str">
        <f t="shared" si="22"/>
        <v/>
      </c>
      <c r="CX21" s="303" t="str">
        <f t="shared" si="23"/>
        <v/>
      </c>
      <c r="CY21" s="303" t="str">
        <f t="shared" si="24"/>
        <v/>
      </c>
      <c r="CZ21" s="303" t="str">
        <f t="shared" si="25"/>
        <v/>
      </c>
    </row>
    <row r="22" spans="1:104" s="236" customFormat="1" ht="31.9" customHeight="1" x14ac:dyDescent="0.25">
      <c r="A22" s="326" t="str">
        <f t="shared" si="5"/>
        <v>Subsidiária 3</v>
      </c>
      <c r="B22" s="267" t="str">
        <f t="shared" si="26"/>
        <v/>
      </c>
      <c r="C22" s="271" t="str">
        <f>IF($M$2&lt;&gt;"Ok","",INDEX('Result data'!$C243:$L243,1,$W$2))</f>
        <v/>
      </c>
      <c r="D22" s="262" t="str">
        <f>IF($M$2&lt;&gt;"Ok","",INDEX('Result data'!$C255:$L255,1,$W$2))</f>
        <v/>
      </c>
      <c r="E22" s="912" t="str">
        <f t="shared" si="27"/>
        <v/>
      </c>
      <c r="F22" s="913"/>
      <c r="G22" s="276" t="str">
        <f>IF($M$2&lt;&gt;"Ok","",INDEX('Result data'!$C279:$L279,1,$W$2))</f>
        <v/>
      </c>
      <c r="H22" s="262" t="str">
        <f>IF($M$2&lt;&gt;"Ok","",INDEX('Result data'!$C291:$L291,1,$W$2))</f>
        <v/>
      </c>
      <c r="I22" s="707" t="str">
        <f t="shared" si="28"/>
        <v/>
      </c>
      <c r="J22" s="279" t="str">
        <f t="shared" si="29"/>
        <v/>
      </c>
      <c r="K22" s="299" t="str">
        <f t="shared" si="30"/>
        <v/>
      </c>
      <c r="L22"/>
      <c r="M22"/>
      <c r="N22"/>
      <c r="O22"/>
      <c r="P22"/>
      <c r="Q22"/>
      <c r="S22" s="235"/>
      <c r="T22" s="235"/>
      <c r="U22" s="235"/>
      <c r="V22" s="235"/>
      <c r="W22" s="235"/>
      <c r="Y22" s="546" t="str">
        <f>IF('Individual Report'!$B8="","",INDEX(Population!$BE$3:$BP$177,SUMIF(Population!$B$3:$B$177,'Individual Report'!$B8,Population!$A$3:$A$177),Y$18-2010))</f>
        <v/>
      </c>
      <c r="Z22" s="546" t="str">
        <f>IF('Individual Report'!$B8="","",INDEX(Population!$BE$3:$BP$177,SUMIF(Population!$B$3:$B$177,'Individual Report'!$B8,Population!$A$3:$A$177),Z$18-2010))</f>
        <v/>
      </c>
      <c r="AA22" s="546" t="str">
        <f>IF('Individual Report'!$B8="","",INDEX(Population!$BE$3:$BP$177,SUMIF(Population!$B$3:$B$177,'Individual Report'!$B8,Population!$A$3:$A$177),AA$18-2010))</f>
        <v/>
      </c>
      <c r="AB22" s="546" t="str">
        <f>IF('Individual Report'!$B8="","",INDEX(Population!$BE$3:$BP$177,SUMIF(Population!$B$3:$B$177,'Individual Report'!$B8,Population!$A$3:$A$177),AB$18-2010))</f>
        <v/>
      </c>
      <c r="AC22" s="546" t="str">
        <f>IF('Individual Report'!$B8="","",INDEX(Population!$BE$3:$BP$177,SUMIF(Population!$B$3:$B$177,'Individual Report'!$B8,Population!$A$3:$A$177),AC$18-2010))</f>
        <v/>
      </c>
      <c r="AD22" s="546" t="str">
        <f>IF('Individual Report'!$B8="","",INDEX(Population!$BE$3:$BP$177,SUMIF(Population!$B$3:$B$177,'Individual Report'!$B8,Population!$A$3:$A$177),AD$18-2010))</f>
        <v/>
      </c>
      <c r="AE22" s="546" t="str">
        <f>IF('Individual Report'!$B8="","",INDEX(Population!$BE$3:$BP$177,SUMIF(Population!$B$3:$B$177,'Individual Report'!$B8,Population!$A$3:$A$177),AE$18-2010))</f>
        <v/>
      </c>
      <c r="AF22" s="546" t="str">
        <f>IF('Individual Report'!$B8="","",INDEX(Population!$BE$3:$BP$177,SUMIF(Population!$B$3:$B$177,'Individual Report'!$B8,Population!$A$3:$A$177),AF$18-2010))</f>
        <v/>
      </c>
      <c r="AG22" s="546" t="str">
        <f>IF('Individual Report'!$B8="","",INDEX(Population!$BE$3:$BP$177,SUMIF(Population!$B$3:$B$177,'Individual Report'!$B8,Population!$A$3:$A$177),AG$18-2010))</f>
        <v/>
      </c>
      <c r="AH22" s="546" t="str">
        <f>IF('Individual Report'!$B8="","",INDEX(Population!$BE$3:$BP$177,SUMIF(Population!$B$3:$B$177,'Individual Report'!$B8,Population!$A$3:$A$177),AH$18-2010))</f>
        <v/>
      </c>
      <c r="AI22" s="547" t="str" cm="1">
        <f t="array" ref="AI22">IFERROR(IF(INDEX('Result data'!$B485:$DQ485,1,('Individual Report'!AI$18-2010)+('Individual Report'!$W$2-1)*12)=1,".",INDEX('Result data'!$B485:$DQ485,1,('Individual Report'!AI$18-2010)+('Individual Report'!$W$2-1)*12)),"")</f>
        <v/>
      </c>
      <c r="AJ22" s="547" t="str" cm="1">
        <f t="array" ref="AJ22">IFERROR(IF(INDEX('Result data'!$B485:$DQ485,1,('Individual Report'!AJ$18-2010)+('Individual Report'!$W$2-1)*12)=1,".",INDEX('Result data'!$B485:$DQ485,1,('Individual Report'!AJ$18-2010)+('Individual Report'!$W$2-1)*12)),"")</f>
        <v/>
      </c>
      <c r="AK22" s="547" t="str" cm="1">
        <f t="array" ref="AK22">IFERROR(IF(INDEX('Result data'!$B485:$DQ485,1,('Individual Report'!AK$18-2010)+('Individual Report'!$W$2-1)*12)=1,".",INDEX('Result data'!$B485:$DQ485,1,('Individual Report'!AK$18-2010)+('Individual Report'!$W$2-1)*12)),"")</f>
        <v/>
      </c>
      <c r="AL22" s="547" t="str" cm="1">
        <f t="array" ref="AL22">IFERROR(IF(INDEX('Result data'!$B485:$DQ485,1,('Individual Report'!AL$18-2010)+('Individual Report'!$W$2-1)*12)=1,".",INDEX('Result data'!$B485:$DQ485,1,('Individual Report'!AL$18-2010)+('Individual Report'!$W$2-1)*12)),"")</f>
        <v/>
      </c>
      <c r="AM22" s="547" t="str" cm="1">
        <f t="array" ref="AM22">IFERROR(IF(INDEX('Result data'!$B485:$DQ485,1,('Individual Report'!AM$18-2010)+('Individual Report'!$W$2-1)*12)=1,".",INDEX('Result data'!$B485:$DQ485,1,('Individual Report'!AM$18-2010)+('Individual Report'!$W$2-1)*12)),"")</f>
        <v/>
      </c>
      <c r="AN22" s="547" t="str" cm="1">
        <f t="array" ref="AN22">IFERROR(IF(INDEX('Result data'!$B485:$DQ485,1,('Individual Report'!AN$18-2010)+('Individual Report'!$W$2-1)*12)=1,".",INDEX('Result data'!$B485:$DQ485,1,('Individual Report'!AN$18-2010)+('Individual Report'!$W$2-1)*12)),"")</f>
        <v/>
      </c>
      <c r="AO22" s="547" t="str" cm="1">
        <f t="array" ref="AO22">IFERROR(IF(INDEX('Result data'!$B485:$DQ485,1,('Individual Report'!AO$18-2010)+('Individual Report'!$W$2-1)*12)=1,".",INDEX('Result data'!$B485:$DQ485,1,('Individual Report'!AO$18-2010)+('Individual Report'!$W$2-1)*12)),"")</f>
        <v/>
      </c>
      <c r="AP22" s="547" t="str" cm="1">
        <f t="array" ref="AP22">IFERROR(IF(INDEX('Result data'!$B485:$DQ485,1,('Individual Report'!AP$18-2010)+('Individual Report'!$W$2-1)*12)=1,".",INDEX('Result data'!$B485:$DQ485,1,('Individual Report'!AP$18-2010)+('Individual Report'!$W$2-1)*12)),"")</f>
        <v/>
      </c>
      <c r="AQ22" s="547" t="str" cm="1">
        <f t="array" ref="AQ22">IFERROR(IF(INDEX('Result data'!$B485:$DQ485,1,('Individual Report'!AQ$18-2010)+('Individual Report'!$W$2-1)*12)=1,".",INDEX('Result data'!$B485:$DQ485,1,('Individual Report'!AQ$18-2010)+('Individual Report'!$W$2-1)*12)),"")</f>
        <v/>
      </c>
      <c r="AR22" s="547" t="str" cm="1">
        <f t="array" ref="AR22">IFERROR(IF(INDEX('Result data'!$B485:$DQ485,1,('Individual Report'!AR$18-2010)+('Individual Report'!$W$2-1)*12)=1,".",INDEX('Result data'!$B485:$DQ485,1,('Individual Report'!AR$18-2010)+('Individual Report'!$W$2-1)*12)),"")</f>
        <v/>
      </c>
      <c r="AS22" s="547" t="str" cm="1">
        <f t="array" ref="AS22">IFERROR(INDEX('Result data'!$B496:$DQ496,1,('Individual Report'!AS$18-2010)+('Individual Report'!$W$2-1)*12),"")</f>
        <v/>
      </c>
      <c r="AT22" s="547" t="str" cm="1">
        <f t="array" ref="AT22">IFERROR(INDEX('Result data'!$B496:$DQ496,1,('Individual Report'!AT$18-2010)+('Individual Report'!$W$2-1)*12),"")</f>
        <v/>
      </c>
      <c r="AU22" s="547" t="str" cm="1">
        <f t="array" ref="AU22">IFERROR(INDEX('Result data'!$B496:$DQ496,1,('Individual Report'!AU$18-2010)+('Individual Report'!$W$2-1)*12),"")</f>
        <v/>
      </c>
      <c r="AV22" s="547" t="str" cm="1">
        <f t="array" ref="AV22">IFERROR(INDEX('Result data'!$B496:$DQ496,1,('Individual Report'!AV$18-2010)+('Individual Report'!$W$2-1)*12),"")</f>
        <v/>
      </c>
      <c r="AW22" s="547" t="str" cm="1">
        <f t="array" ref="AW22">IFERROR(INDEX('Result data'!$B496:$DQ496,1,('Individual Report'!AW$18-2010)+('Individual Report'!$W$2-1)*12),"")</f>
        <v/>
      </c>
      <c r="AX22" s="547" t="str" cm="1">
        <f t="array" ref="AX22">IFERROR(INDEX('Result data'!$B496:$DQ496,1,('Individual Report'!AX$18-2010)+('Individual Report'!$W$2-1)*12),"")</f>
        <v/>
      </c>
      <c r="AY22" s="547" t="str" cm="1">
        <f t="array" ref="AY22">IFERROR(INDEX('Result data'!$B496:$DQ496,1,('Individual Report'!AY$18-2010)+('Individual Report'!$W$2-1)*12),"")</f>
        <v/>
      </c>
      <c r="AZ22" s="547" t="str" cm="1">
        <f t="array" ref="AZ22">IFERROR(INDEX('Result data'!$B496:$DQ496,1,('Individual Report'!AZ$18-2010)+('Individual Report'!$W$2-1)*12),"")</f>
        <v/>
      </c>
      <c r="BA22" s="547" t="str" cm="1">
        <f t="array" ref="BA22">IFERROR(INDEX('Result data'!$B496:$DQ496,1,('Individual Report'!BA$18-2010)+('Individual Report'!$W$2-1)*12),"")</f>
        <v/>
      </c>
      <c r="BB22" s="547" t="str" cm="1">
        <f t="array" ref="BB22">IFERROR(INDEX('Result data'!$B496:$DQ496,1,('Individual Report'!BB$18-2010)+('Individual Report'!$W$2-1)*12),"")</f>
        <v/>
      </c>
      <c r="BC22" s="548" t="str" cm="1">
        <f t="array" ref="BC22">IF('Individual Report'!$B8="","",INDEX('Result data'!$FC$216:$FL$390,SUMIF(Population!$B$3:$B$177,'Individual Report'!$B8,Population!$A$3:$A$177),BC$18-2010))</f>
        <v/>
      </c>
      <c r="BD22" s="548" t="str" cm="1">
        <f t="array" ref="BD22">IF('Individual Report'!$B8="","",INDEX('Result data'!$FC$216:$FL$390,SUMIF(Population!$B$3:$B$177,'Individual Report'!$B8,Population!$A$3:$A$177),BD$18-2010))</f>
        <v/>
      </c>
      <c r="BE22" s="548" t="str" cm="1">
        <f t="array" ref="BE22">IF('Individual Report'!$B8="","",INDEX('Result data'!$FC$216:$FL$390,SUMIF(Population!$B$3:$B$177,'Individual Report'!$B8,Population!$A$3:$A$177),BE$18-2010))</f>
        <v/>
      </c>
      <c r="BF22" s="548" t="str" cm="1">
        <f t="array" ref="BF22">IF('Individual Report'!$B8="","",INDEX('Result data'!$FC$216:$FL$390,SUMIF(Population!$B$3:$B$177,'Individual Report'!$B8,Population!$A$3:$A$177),BF$18-2010))</f>
        <v/>
      </c>
      <c r="BG22" s="548" t="str" cm="1">
        <f t="array" ref="BG22">IF('Individual Report'!$B8="","",INDEX('Result data'!$FC$216:$FL$390,SUMIF(Population!$B$3:$B$177,'Individual Report'!$B8,Population!$A$3:$A$177),BG$18-2010))</f>
        <v/>
      </c>
      <c r="BH22" s="548" t="str" cm="1">
        <f t="array" ref="BH22">IF('Individual Report'!$B8="","",INDEX('Result data'!$FC$216:$FL$390,SUMIF(Population!$B$3:$B$177,'Individual Report'!$B8,Population!$A$3:$A$177),BH$18-2010))</f>
        <v/>
      </c>
      <c r="BI22" s="548" t="str" cm="1">
        <f t="array" ref="BI22">IF('Individual Report'!$B8="","",INDEX('Result data'!$FC$216:$FL$390,SUMIF(Population!$B$3:$B$177,'Individual Report'!$B8,Population!$A$3:$A$177),BI$18-2010))</f>
        <v/>
      </c>
      <c r="BJ22" s="548" t="str" cm="1">
        <f t="array" ref="BJ22">IF('Individual Report'!$B8="","",INDEX('Result data'!$FC$216:$FL$390,SUMIF(Population!$B$3:$B$177,'Individual Report'!$B8,Population!$A$3:$A$177),BJ$18-2010))</f>
        <v/>
      </c>
      <c r="BK22" s="548" t="str" cm="1">
        <f t="array" ref="BK22">IF('Individual Report'!$B8="","",INDEX('Result data'!$FC$216:$FL$390,SUMIF(Population!$B$3:$B$177,'Individual Report'!$B8,Population!$A$3:$A$177),BK$18-2010))</f>
        <v/>
      </c>
      <c r="BL22" s="548" t="str" cm="1">
        <f t="array" ref="BL22">IF('Individual Report'!$B8="","",INDEX('Result data'!$FC$216:$FL$390,SUMIF(Population!$B$3:$B$177,'Individual Report'!$B8,Population!$A$3:$A$177),BL$18-2010))</f>
        <v/>
      </c>
      <c r="BM22" s="303" t="str">
        <f t="shared" si="6"/>
        <v/>
      </c>
      <c r="BN22" s="303" t="str">
        <f t="shared" si="7"/>
        <v/>
      </c>
      <c r="BO22" s="303" t="str">
        <f t="shared" si="8"/>
        <v/>
      </c>
      <c r="BP22" s="303" t="str">
        <f t="shared" si="9"/>
        <v/>
      </c>
      <c r="BQ22" s="303" t="str">
        <f t="shared" si="10"/>
        <v/>
      </c>
      <c r="BR22" s="303" t="str">
        <f t="shared" si="11"/>
        <v/>
      </c>
      <c r="BS22" s="303" t="str">
        <f t="shared" si="12"/>
        <v/>
      </c>
      <c r="BT22" s="303" t="str">
        <f t="shared" si="13"/>
        <v/>
      </c>
      <c r="BU22" s="303" t="str">
        <f t="shared" si="14"/>
        <v/>
      </c>
      <c r="BV22" s="303" t="str">
        <f t="shared" si="15"/>
        <v/>
      </c>
      <c r="BW22" s="316">
        <f>SUMIF('Result data'!$O$216:$O$390,'Individual Report'!$B8,'Result data'!BS$216:BS$390)</f>
        <v>0</v>
      </c>
      <c r="BX22" s="316">
        <f>SUMIF('Result data'!$O$216:$O$390,'Individual Report'!$B8,'Result data'!BT$216:BT$390)</f>
        <v>0</v>
      </c>
      <c r="BY22" s="316">
        <f>SUMIF('Result data'!$O$216:$O$390,'Individual Report'!$B8,'Result data'!BU$216:BU$390)</f>
        <v>0</v>
      </c>
      <c r="BZ22" s="316">
        <f>SUMIF('Result data'!$O$216:$O$390,'Individual Report'!$B8,'Result data'!BV$216:BV$390)</f>
        <v>0</v>
      </c>
      <c r="CA22" s="316">
        <f>SUMIF('Result data'!$O$216:$O$390,'Individual Report'!$B8,'Result data'!BW$216:BW$390)</f>
        <v>0</v>
      </c>
      <c r="CB22" s="316">
        <f>SUMIF('Result data'!$O$216:$O$390,'Individual Report'!$B8,'Result data'!BX$216:BX$390)</f>
        <v>0</v>
      </c>
      <c r="CC22" s="316">
        <f>SUMIF('Result data'!$O$216:$O$390,'Individual Report'!$B8,'Result data'!BY$216:BY$390)</f>
        <v>0</v>
      </c>
      <c r="CD22" s="316">
        <f>SUMIF('Result data'!$O$216:$O$390,'Individual Report'!$B8,'Result data'!BZ$216:BZ$390)</f>
        <v>0</v>
      </c>
      <c r="CE22" s="316">
        <f>SUMIF('Result data'!$O$216:$O$390,'Individual Report'!$B8,'Result data'!CA$216:CA$390)</f>
        <v>0</v>
      </c>
      <c r="CF22" s="316">
        <f>SUMIF('Result data'!$O$216:$O$390,'Individual Report'!$B8,'Result data'!CB$216:CB$390)</f>
        <v>0</v>
      </c>
      <c r="CG22" s="315" t="str" cm="1">
        <f t="array" ref="CG22">IFERROR(IF(INDEX('Result data'!$B507:$DQ507,1,('Individual Report'!AS$18-2010)+('Individual Report'!$W$2-1)*12)=0,"",INDEX('Result data'!$B507:$DQ507,1,('Individual Report'!AS$18-2010)+('Individual Report'!$W$2-1)*12)),"")</f>
        <v/>
      </c>
      <c r="CH22" s="315" t="str" cm="1">
        <f t="array" ref="CH22">IFERROR(IF(INDEX('Result data'!$B507:$DQ507,1,('Individual Report'!AT$18-2010)+('Individual Report'!$W$2-1)*12)=0,"",INDEX('Result data'!$B507:$DQ507,1,('Individual Report'!AT$18-2010)+('Individual Report'!$W$2-1)*12)),"")</f>
        <v/>
      </c>
      <c r="CI22" s="315" t="str" cm="1">
        <f t="array" ref="CI22">IFERROR(IF(INDEX('Result data'!$B507:$DQ507,1,('Individual Report'!AU$18-2010)+('Individual Report'!$W$2-1)*12)=0,"",INDEX('Result data'!$B507:$DQ507,1,('Individual Report'!AU$18-2010)+('Individual Report'!$W$2-1)*12)),"")</f>
        <v/>
      </c>
      <c r="CJ22" s="315" t="str" cm="1">
        <f t="array" ref="CJ22">IFERROR(IF(INDEX('Result data'!$B507:$DQ507,1,('Individual Report'!AV$18-2010)+('Individual Report'!$W$2-1)*12)=0,"",INDEX('Result data'!$B507:$DQ507,1,('Individual Report'!AV$18-2010)+('Individual Report'!$W$2-1)*12)),"")</f>
        <v/>
      </c>
      <c r="CK22" s="315" t="str" cm="1">
        <f t="array" ref="CK22">IFERROR(IF(INDEX('Result data'!$B507:$DQ507,1,('Individual Report'!AW$18-2010)+('Individual Report'!$W$2-1)*12)=0,"",INDEX('Result data'!$B507:$DQ507,1,('Individual Report'!AW$18-2010)+('Individual Report'!$W$2-1)*12)),"")</f>
        <v/>
      </c>
      <c r="CL22" s="315" t="str" cm="1">
        <f t="array" ref="CL22">IFERROR(IF(INDEX('Result data'!$B507:$DQ507,1,('Individual Report'!AX$18-2010)+('Individual Report'!$W$2-1)*12)=0,"",INDEX('Result data'!$B507:$DQ507,1,('Individual Report'!AX$18-2010)+('Individual Report'!$W$2-1)*12)),"")</f>
        <v/>
      </c>
      <c r="CM22" s="315" t="str" cm="1">
        <f t="array" ref="CM22">IFERROR(IF(INDEX('Result data'!$B507:$DQ507,1,('Individual Report'!AY$18-2010)+('Individual Report'!$W$2-1)*12)=0,"",INDEX('Result data'!$B507:$DQ507,1,('Individual Report'!AY$18-2010)+('Individual Report'!$W$2-1)*12)),"")</f>
        <v/>
      </c>
      <c r="CN22" s="315" t="str" cm="1">
        <f t="array" ref="CN22">IFERROR(IF(INDEX('Result data'!$B507:$DQ507,1,('Individual Report'!AZ$18-2010)+('Individual Report'!$W$2-1)*12)=0,"",INDEX('Result data'!$B507:$DQ507,1,('Individual Report'!AZ$18-2010)+('Individual Report'!$W$2-1)*12)),"")</f>
        <v/>
      </c>
      <c r="CO22" s="315" t="str" cm="1">
        <f t="array" ref="CO22">IFERROR(IF(INDEX('Result data'!$B507:$DQ507,1,('Individual Report'!BA$18-2010)+('Individual Report'!$W$2-1)*12)=0,"",INDEX('Result data'!$B507:$DQ507,1,('Individual Report'!BA$18-2010)+('Individual Report'!$W$2-1)*12)),"")</f>
        <v/>
      </c>
      <c r="CP22" s="315" t="str" cm="1">
        <f t="array" ref="CP22">IFERROR(IF(INDEX('Result data'!$B507:$DQ507,1,('Individual Report'!BB$18-2010)+('Individual Report'!$W$2-1)*12)=0,"",INDEX('Result data'!$B507:$DQ507,1,('Individual Report'!BB$18-2010)+('Individual Report'!$W$2-1)*12)),"")</f>
        <v/>
      </c>
      <c r="CQ22" s="303" t="str">
        <f t="shared" si="16"/>
        <v/>
      </c>
      <c r="CR22" s="303" t="str">
        <f t="shared" si="17"/>
        <v/>
      </c>
      <c r="CS22" s="303" t="str">
        <f t="shared" si="18"/>
        <v/>
      </c>
      <c r="CT22" s="303" t="str">
        <f t="shared" si="19"/>
        <v/>
      </c>
      <c r="CU22" s="303" t="str">
        <f t="shared" si="20"/>
        <v/>
      </c>
      <c r="CV22" s="303" t="str">
        <f t="shared" si="21"/>
        <v/>
      </c>
      <c r="CW22" s="303" t="str">
        <f t="shared" si="22"/>
        <v/>
      </c>
      <c r="CX22" s="303" t="str">
        <f t="shared" si="23"/>
        <v/>
      </c>
      <c r="CY22" s="303" t="str">
        <f t="shared" si="24"/>
        <v/>
      </c>
      <c r="CZ22" s="303" t="str">
        <f t="shared" si="25"/>
        <v/>
      </c>
    </row>
    <row r="23" spans="1:104" s="236" customFormat="1" ht="31.9" customHeight="1" x14ac:dyDescent="0.25">
      <c r="A23" s="325" t="str">
        <f t="shared" si="5"/>
        <v>Subsidiária 4</v>
      </c>
      <c r="B23" s="266" t="str">
        <f t="shared" si="26"/>
        <v/>
      </c>
      <c r="C23" s="270" t="str">
        <f>IF($M$2&lt;&gt;"Ok","",INDEX('Result data'!$C244:$L244,1,$W$2))</f>
        <v/>
      </c>
      <c r="D23" s="261" t="str">
        <f>IF($M$2&lt;&gt;"Ok","",INDEX('Result data'!$C256:$L256,1,$W$2))</f>
        <v/>
      </c>
      <c r="E23" s="910" t="str">
        <f t="shared" si="27"/>
        <v/>
      </c>
      <c r="F23" s="911"/>
      <c r="G23" s="275" t="str">
        <f>IF($M$2&lt;&gt;"Ok","",INDEX('Result data'!$C280:$L280,1,$W$2))</f>
        <v/>
      </c>
      <c r="H23" s="261" t="str">
        <f>IF($M$2&lt;&gt;"Ok","",INDEX('Result data'!$C292:$L292,1,$W$2))</f>
        <v/>
      </c>
      <c r="I23" s="706" t="str">
        <f t="shared" si="28"/>
        <v/>
      </c>
      <c r="J23" s="278" t="str">
        <f t="shared" si="29"/>
        <v/>
      </c>
      <c r="K23" s="298" t="str">
        <f t="shared" si="30"/>
        <v/>
      </c>
      <c r="L23"/>
      <c r="M23"/>
      <c r="N23"/>
      <c r="O23"/>
      <c r="P23"/>
      <c r="Q23"/>
      <c r="S23" s="235"/>
      <c r="T23" s="235"/>
      <c r="U23" s="235"/>
      <c r="V23" s="235"/>
      <c r="W23" s="235"/>
      <c r="Y23" s="546" t="str">
        <f>IF('Individual Report'!$B9="","",INDEX(Population!$BE$3:$BP$177,SUMIF(Population!$B$3:$B$177,'Individual Report'!$B9,Population!$A$3:$A$177),Y$18-2010))</f>
        <v/>
      </c>
      <c r="Z23" s="546" t="str">
        <f>IF('Individual Report'!$B9="","",INDEX(Population!$BE$3:$BP$177,SUMIF(Population!$B$3:$B$177,'Individual Report'!$B9,Population!$A$3:$A$177),Z$18-2010))</f>
        <v/>
      </c>
      <c r="AA23" s="546" t="str">
        <f>IF('Individual Report'!$B9="","",INDEX(Population!$BE$3:$BP$177,SUMIF(Population!$B$3:$B$177,'Individual Report'!$B9,Population!$A$3:$A$177),AA$18-2010))</f>
        <v/>
      </c>
      <c r="AB23" s="546" t="str">
        <f>IF('Individual Report'!$B9="","",INDEX(Population!$BE$3:$BP$177,SUMIF(Population!$B$3:$B$177,'Individual Report'!$B9,Population!$A$3:$A$177),AB$18-2010))</f>
        <v/>
      </c>
      <c r="AC23" s="546" t="str">
        <f>IF('Individual Report'!$B9="","",INDEX(Population!$BE$3:$BP$177,SUMIF(Population!$B$3:$B$177,'Individual Report'!$B9,Population!$A$3:$A$177),AC$18-2010))</f>
        <v/>
      </c>
      <c r="AD23" s="546" t="str">
        <f>IF('Individual Report'!$B9="","",INDEX(Population!$BE$3:$BP$177,SUMIF(Population!$B$3:$B$177,'Individual Report'!$B9,Population!$A$3:$A$177),AD$18-2010))</f>
        <v/>
      </c>
      <c r="AE23" s="546" t="str">
        <f>IF('Individual Report'!$B9="","",INDEX(Population!$BE$3:$BP$177,SUMIF(Population!$B$3:$B$177,'Individual Report'!$B9,Population!$A$3:$A$177),AE$18-2010))</f>
        <v/>
      </c>
      <c r="AF23" s="546" t="str">
        <f>IF('Individual Report'!$B9="","",INDEX(Population!$BE$3:$BP$177,SUMIF(Population!$B$3:$B$177,'Individual Report'!$B9,Population!$A$3:$A$177),AF$18-2010))</f>
        <v/>
      </c>
      <c r="AG23" s="546" t="str">
        <f>IF('Individual Report'!$B9="","",INDEX(Population!$BE$3:$BP$177,SUMIF(Population!$B$3:$B$177,'Individual Report'!$B9,Population!$A$3:$A$177),AG$18-2010))</f>
        <v/>
      </c>
      <c r="AH23" s="546" t="str">
        <f>IF('Individual Report'!$B9="","",INDEX(Population!$BE$3:$BP$177,SUMIF(Population!$B$3:$B$177,'Individual Report'!$B9,Population!$A$3:$A$177),AH$18-2010))</f>
        <v/>
      </c>
      <c r="AI23" s="547" t="str" cm="1">
        <f t="array" ref="AI23">IFERROR(IF(INDEX('Result data'!$B486:$DQ486,1,('Individual Report'!AI$18-2010)+('Individual Report'!$W$2-1)*12)=1,".",INDEX('Result data'!$B486:$DQ486,1,('Individual Report'!AI$18-2010)+('Individual Report'!$W$2-1)*12)),"")</f>
        <v/>
      </c>
      <c r="AJ23" s="547" t="str" cm="1">
        <f t="array" ref="AJ23">IFERROR(IF(INDEX('Result data'!$B486:$DQ486,1,('Individual Report'!AJ$18-2010)+('Individual Report'!$W$2-1)*12)=1,".",INDEX('Result data'!$B486:$DQ486,1,('Individual Report'!AJ$18-2010)+('Individual Report'!$W$2-1)*12)),"")</f>
        <v/>
      </c>
      <c r="AK23" s="547" t="str" cm="1">
        <f t="array" ref="AK23">IFERROR(IF(INDEX('Result data'!$B486:$DQ486,1,('Individual Report'!AK$18-2010)+('Individual Report'!$W$2-1)*12)=1,".",INDEX('Result data'!$B486:$DQ486,1,('Individual Report'!AK$18-2010)+('Individual Report'!$W$2-1)*12)),"")</f>
        <v/>
      </c>
      <c r="AL23" s="547" t="str" cm="1">
        <f t="array" ref="AL23">IFERROR(IF(INDEX('Result data'!$B486:$DQ486,1,('Individual Report'!AL$18-2010)+('Individual Report'!$W$2-1)*12)=1,".",INDEX('Result data'!$B486:$DQ486,1,('Individual Report'!AL$18-2010)+('Individual Report'!$W$2-1)*12)),"")</f>
        <v/>
      </c>
      <c r="AM23" s="547" t="str" cm="1">
        <f t="array" ref="AM23">IFERROR(IF(INDEX('Result data'!$B486:$DQ486,1,('Individual Report'!AM$18-2010)+('Individual Report'!$W$2-1)*12)=1,".",INDEX('Result data'!$B486:$DQ486,1,('Individual Report'!AM$18-2010)+('Individual Report'!$W$2-1)*12)),"")</f>
        <v/>
      </c>
      <c r="AN23" s="547" t="str" cm="1">
        <f t="array" ref="AN23">IFERROR(IF(INDEX('Result data'!$B486:$DQ486,1,('Individual Report'!AN$18-2010)+('Individual Report'!$W$2-1)*12)=1,".",INDEX('Result data'!$B486:$DQ486,1,('Individual Report'!AN$18-2010)+('Individual Report'!$W$2-1)*12)),"")</f>
        <v/>
      </c>
      <c r="AO23" s="547" t="str" cm="1">
        <f t="array" ref="AO23">IFERROR(IF(INDEX('Result data'!$B486:$DQ486,1,('Individual Report'!AO$18-2010)+('Individual Report'!$W$2-1)*12)=1,".",INDEX('Result data'!$B486:$DQ486,1,('Individual Report'!AO$18-2010)+('Individual Report'!$W$2-1)*12)),"")</f>
        <v/>
      </c>
      <c r="AP23" s="547" t="str" cm="1">
        <f t="array" ref="AP23">IFERROR(IF(INDEX('Result data'!$B486:$DQ486,1,('Individual Report'!AP$18-2010)+('Individual Report'!$W$2-1)*12)=1,".",INDEX('Result data'!$B486:$DQ486,1,('Individual Report'!AP$18-2010)+('Individual Report'!$W$2-1)*12)),"")</f>
        <v/>
      </c>
      <c r="AQ23" s="547" t="str" cm="1">
        <f t="array" ref="AQ23">IFERROR(IF(INDEX('Result data'!$B486:$DQ486,1,('Individual Report'!AQ$18-2010)+('Individual Report'!$W$2-1)*12)=1,".",INDEX('Result data'!$B486:$DQ486,1,('Individual Report'!AQ$18-2010)+('Individual Report'!$W$2-1)*12)),"")</f>
        <v/>
      </c>
      <c r="AR23" s="547" t="str" cm="1">
        <f t="array" ref="AR23">IFERROR(IF(INDEX('Result data'!$B486:$DQ486,1,('Individual Report'!AR$18-2010)+('Individual Report'!$W$2-1)*12)=1,".",INDEX('Result data'!$B486:$DQ486,1,('Individual Report'!AR$18-2010)+('Individual Report'!$W$2-1)*12)),"")</f>
        <v/>
      </c>
      <c r="AS23" s="547" t="str" cm="1">
        <f t="array" ref="AS23">IFERROR(INDEX('Result data'!$B497:$DQ497,1,('Individual Report'!AS$18-2010)+('Individual Report'!$W$2-1)*12),"")</f>
        <v/>
      </c>
      <c r="AT23" s="547" t="str" cm="1">
        <f t="array" ref="AT23">IFERROR(INDEX('Result data'!$B497:$DQ497,1,('Individual Report'!AT$18-2010)+('Individual Report'!$W$2-1)*12),"")</f>
        <v/>
      </c>
      <c r="AU23" s="547" t="str" cm="1">
        <f t="array" ref="AU23">IFERROR(INDEX('Result data'!$B497:$DQ497,1,('Individual Report'!AU$18-2010)+('Individual Report'!$W$2-1)*12),"")</f>
        <v/>
      </c>
      <c r="AV23" s="547" t="str" cm="1">
        <f t="array" ref="AV23">IFERROR(INDEX('Result data'!$B497:$DQ497,1,('Individual Report'!AV$18-2010)+('Individual Report'!$W$2-1)*12),"")</f>
        <v/>
      </c>
      <c r="AW23" s="547" t="str" cm="1">
        <f t="array" ref="AW23">IFERROR(INDEX('Result data'!$B497:$DQ497,1,('Individual Report'!AW$18-2010)+('Individual Report'!$W$2-1)*12),"")</f>
        <v/>
      </c>
      <c r="AX23" s="547" t="str" cm="1">
        <f t="array" ref="AX23">IFERROR(INDEX('Result data'!$B497:$DQ497,1,('Individual Report'!AX$18-2010)+('Individual Report'!$W$2-1)*12),"")</f>
        <v/>
      </c>
      <c r="AY23" s="547" t="str" cm="1">
        <f t="array" ref="AY23">IFERROR(INDEX('Result data'!$B497:$DQ497,1,('Individual Report'!AY$18-2010)+('Individual Report'!$W$2-1)*12),"")</f>
        <v/>
      </c>
      <c r="AZ23" s="547" t="str" cm="1">
        <f t="array" ref="AZ23">IFERROR(INDEX('Result data'!$B497:$DQ497,1,('Individual Report'!AZ$18-2010)+('Individual Report'!$W$2-1)*12),"")</f>
        <v/>
      </c>
      <c r="BA23" s="547" t="str" cm="1">
        <f t="array" ref="BA23">IFERROR(INDEX('Result data'!$B497:$DQ497,1,('Individual Report'!BA$18-2010)+('Individual Report'!$W$2-1)*12),"")</f>
        <v/>
      </c>
      <c r="BB23" s="547" t="str" cm="1">
        <f t="array" ref="BB23">IFERROR(INDEX('Result data'!$B497:$DQ497,1,('Individual Report'!BB$18-2010)+('Individual Report'!$W$2-1)*12),"")</f>
        <v/>
      </c>
      <c r="BC23" s="548" t="str" cm="1">
        <f t="array" ref="BC23">IF('Individual Report'!$B9="","",INDEX('Result data'!$FC$216:$FL$390,SUMIF(Population!$B$3:$B$177,'Individual Report'!$B9,Population!$A$3:$A$177),BC$18-2010))</f>
        <v/>
      </c>
      <c r="BD23" s="548" t="str" cm="1">
        <f t="array" ref="BD23">IF('Individual Report'!$B9="","",INDEX('Result data'!$FC$216:$FL$390,SUMIF(Population!$B$3:$B$177,'Individual Report'!$B9,Population!$A$3:$A$177),BD$18-2010))</f>
        <v/>
      </c>
      <c r="BE23" s="548" t="str" cm="1">
        <f t="array" ref="BE23">IF('Individual Report'!$B9="","",INDEX('Result data'!$FC$216:$FL$390,SUMIF(Population!$B$3:$B$177,'Individual Report'!$B9,Population!$A$3:$A$177),BE$18-2010))</f>
        <v/>
      </c>
      <c r="BF23" s="548" t="str" cm="1">
        <f t="array" ref="BF23">IF('Individual Report'!$B9="","",INDEX('Result data'!$FC$216:$FL$390,SUMIF(Population!$B$3:$B$177,'Individual Report'!$B9,Population!$A$3:$A$177),BF$18-2010))</f>
        <v/>
      </c>
      <c r="BG23" s="548" t="str" cm="1">
        <f t="array" ref="BG23">IF('Individual Report'!$B9="","",INDEX('Result data'!$FC$216:$FL$390,SUMIF(Population!$B$3:$B$177,'Individual Report'!$B9,Population!$A$3:$A$177),BG$18-2010))</f>
        <v/>
      </c>
      <c r="BH23" s="548" t="str" cm="1">
        <f t="array" ref="BH23">IF('Individual Report'!$B9="","",INDEX('Result data'!$FC$216:$FL$390,SUMIF(Population!$B$3:$B$177,'Individual Report'!$B9,Population!$A$3:$A$177),BH$18-2010))</f>
        <v/>
      </c>
      <c r="BI23" s="548" t="str" cm="1">
        <f t="array" ref="BI23">IF('Individual Report'!$B9="","",INDEX('Result data'!$FC$216:$FL$390,SUMIF(Population!$B$3:$B$177,'Individual Report'!$B9,Population!$A$3:$A$177),BI$18-2010))</f>
        <v/>
      </c>
      <c r="BJ23" s="548" t="str" cm="1">
        <f t="array" ref="BJ23">IF('Individual Report'!$B9="","",INDEX('Result data'!$FC$216:$FL$390,SUMIF(Population!$B$3:$B$177,'Individual Report'!$B9,Population!$A$3:$A$177),BJ$18-2010))</f>
        <v/>
      </c>
      <c r="BK23" s="548" t="str" cm="1">
        <f t="array" ref="BK23">IF('Individual Report'!$B9="","",INDEX('Result data'!$FC$216:$FL$390,SUMIF(Population!$B$3:$B$177,'Individual Report'!$B9,Population!$A$3:$A$177),BK$18-2010))</f>
        <v/>
      </c>
      <c r="BL23" s="548" t="str" cm="1">
        <f t="array" ref="BL23">IF('Individual Report'!$B9="","",INDEX('Result data'!$FC$216:$FL$390,SUMIF(Population!$B$3:$B$177,'Individual Report'!$B9,Population!$A$3:$A$177),BL$18-2010))</f>
        <v/>
      </c>
      <c r="BM23" s="303" t="str">
        <f t="shared" si="6"/>
        <v/>
      </c>
      <c r="BN23" s="303" t="str">
        <f t="shared" si="7"/>
        <v/>
      </c>
      <c r="BO23" s="303" t="str">
        <f t="shared" si="8"/>
        <v/>
      </c>
      <c r="BP23" s="303" t="str">
        <f t="shared" si="9"/>
        <v/>
      </c>
      <c r="BQ23" s="303" t="str">
        <f t="shared" si="10"/>
        <v/>
      </c>
      <c r="BR23" s="303" t="str">
        <f t="shared" si="11"/>
        <v/>
      </c>
      <c r="BS23" s="303" t="str">
        <f t="shared" si="12"/>
        <v/>
      </c>
      <c r="BT23" s="303" t="str">
        <f t="shared" si="13"/>
        <v/>
      </c>
      <c r="BU23" s="303" t="str">
        <f t="shared" si="14"/>
        <v/>
      </c>
      <c r="BV23" s="303" t="str">
        <f t="shared" si="15"/>
        <v/>
      </c>
      <c r="BW23" s="316">
        <f>SUMIF('Result data'!$O$216:$O$390,'Individual Report'!$B9,'Result data'!BS$216:BS$390)</f>
        <v>0</v>
      </c>
      <c r="BX23" s="316">
        <f>SUMIF('Result data'!$O$216:$O$390,'Individual Report'!$B9,'Result data'!BT$216:BT$390)</f>
        <v>0</v>
      </c>
      <c r="BY23" s="316">
        <f>SUMIF('Result data'!$O$216:$O$390,'Individual Report'!$B9,'Result data'!BU$216:BU$390)</f>
        <v>0</v>
      </c>
      <c r="BZ23" s="316">
        <f>SUMIF('Result data'!$O$216:$O$390,'Individual Report'!$B9,'Result data'!BV$216:BV$390)</f>
        <v>0</v>
      </c>
      <c r="CA23" s="316">
        <f>SUMIF('Result data'!$O$216:$O$390,'Individual Report'!$B9,'Result data'!BW$216:BW$390)</f>
        <v>0</v>
      </c>
      <c r="CB23" s="316">
        <f>SUMIF('Result data'!$O$216:$O$390,'Individual Report'!$B9,'Result data'!BX$216:BX$390)</f>
        <v>0</v>
      </c>
      <c r="CC23" s="316">
        <f>SUMIF('Result data'!$O$216:$O$390,'Individual Report'!$B9,'Result data'!BY$216:BY$390)</f>
        <v>0</v>
      </c>
      <c r="CD23" s="316">
        <f>SUMIF('Result data'!$O$216:$O$390,'Individual Report'!$B9,'Result data'!BZ$216:BZ$390)</f>
        <v>0</v>
      </c>
      <c r="CE23" s="316">
        <f>SUMIF('Result data'!$O$216:$O$390,'Individual Report'!$B9,'Result data'!CA$216:CA$390)</f>
        <v>0</v>
      </c>
      <c r="CF23" s="316">
        <f>SUMIF('Result data'!$O$216:$O$390,'Individual Report'!$B9,'Result data'!CB$216:CB$390)</f>
        <v>0</v>
      </c>
      <c r="CG23" s="315" t="str" cm="1">
        <f t="array" ref="CG23">IFERROR(IF(INDEX('Result data'!$B508:$DQ508,1,('Individual Report'!AS$18-2010)+('Individual Report'!$W$2-1)*12)=0,"",INDEX('Result data'!$B508:$DQ508,1,('Individual Report'!AS$18-2010)+('Individual Report'!$W$2-1)*12)),"")</f>
        <v/>
      </c>
      <c r="CH23" s="315" t="str" cm="1">
        <f t="array" ref="CH23">IFERROR(IF(INDEX('Result data'!$B508:$DQ508,1,('Individual Report'!AT$18-2010)+('Individual Report'!$W$2-1)*12)=0,"",INDEX('Result data'!$B508:$DQ508,1,('Individual Report'!AT$18-2010)+('Individual Report'!$W$2-1)*12)),"")</f>
        <v/>
      </c>
      <c r="CI23" s="315" t="str" cm="1">
        <f t="array" ref="CI23">IFERROR(IF(INDEX('Result data'!$B508:$DQ508,1,('Individual Report'!AU$18-2010)+('Individual Report'!$W$2-1)*12)=0,"",INDEX('Result data'!$B508:$DQ508,1,('Individual Report'!AU$18-2010)+('Individual Report'!$W$2-1)*12)),"")</f>
        <v/>
      </c>
      <c r="CJ23" s="315" t="str" cm="1">
        <f t="array" ref="CJ23">IFERROR(IF(INDEX('Result data'!$B508:$DQ508,1,('Individual Report'!AV$18-2010)+('Individual Report'!$W$2-1)*12)=0,"",INDEX('Result data'!$B508:$DQ508,1,('Individual Report'!AV$18-2010)+('Individual Report'!$W$2-1)*12)),"")</f>
        <v/>
      </c>
      <c r="CK23" s="315" t="str" cm="1">
        <f t="array" ref="CK23">IFERROR(IF(INDEX('Result data'!$B508:$DQ508,1,('Individual Report'!AW$18-2010)+('Individual Report'!$W$2-1)*12)=0,"",INDEX('Result data'!$B508:$DQ508,1,('Individual Report'!AW$18-2010)+('Individual Report'!$W$2-1)*12)),"")</f>
        <v/>
      </c>
      <c r="CL23" s="315" t="str" cm="1">
        <f t="array" ref="CL23">IFERROR(IF(INDEX('Result data'!$B508:$DQ508,1,('Individual Report'!AX$18-2010)+('Individual Report'!$W$2-1)*12)=0,"",INDEX('Result data'!$B508:$DQ508,1,('Individual Report'!AX$18-2010)+('Individual Report'!$W$2-1)*12)),"")</f>
        <v/>
      </c>
      <c r="CM23" s="315" t="str" cm="1">
        <f t="array" ref="CM23">IFERROR(IF(INDEX('Result data'!$B508:$DQ508,1,('Individual Report'!AY$18-2010)+('Individual Report'!$W$2-1)*12)=0,"",INDEX('Result data'!$B508:$DQ508,1,('Individual Report'!AY$18-2010)+('Individual Report'!$W$2-1)*12)),"")</f>
        <v/>
      </c>
      <c r="CN23" s="315" t="str" cm="1">
        <f t="array" ref="CN23">IFERROR(IF(INDEX('Result data'!$B508:$DQ508,1,('Individual Report'!AZ$18-2010)+('Individual Report'!$W$2-1)*12)=0,"",INDEX('Result data'!$B508:$DQ508,1,('Individual Report'!AZ$18-2010)+('Individual Report'!$W$2-1)*12)),"")</f>
        <v/>
      </c>
      <c r="CO23" s="315" t="str" cm="1">
        <f t="array" ref="CO23">IFERROR(IF(INDEX('Result data'!$B508:$DQ508,1,('Individual Report'!BA$18-2010)+('Individual Report'!$W$2-1)*12)=0,"",INDEX('Result data'!$B508:$DQ508,1,('Individual Report'!BA$18-2010)+('Individual Report'!$W$2-1)*12)),"")</f>
        <v/>
      </c>
      <c r="CP23" s="315" t="str" cm="1">
        <f t="array" ref="CP23">IFERROR(IF(INDEX('Result data'!$B508:$DQ508,1,('Individual Report'!BB$18-2010)+('Individual Report'!$W$2-1)*12)=0,"",INDEX('Result data'!$B508:$DQ508,1,('Individual Report'!BB$18-2010)+('Individual Report'!$W$2-1)*12)),"")</f>
        <v/>
      </c>
      <c r="CQ23" s="303" t="str">
        <f t="shared" si="16"/>
        <v/>
      </c>
      <c r="CR23" s="303" t="str">
        <f t="shared" si="17"/>
        <v/>
      </c>
      <c r="CS23" s="303" t="str">
        <f t="shared" si="18"/>
        <v/>
      </c>
      <c r="CT23" s="303" t="str">
        <f t="shared" si="19"/>
        <v/>
      </c>
      <c r="CU23" s="303" t="str">
        <f t="shared" si="20"/>
        <v/>
      </c>
      <c r="CV23" s="303" t="str">
        <f t="shared" si="21"/>
        <v/>
      </c>
      <c r="CW23" s="303" t="str">
        <f t="shared" si="22"/>
        <v/>
      </c>
      <c r="CX23" s="303" t="str">
        <f t="shared" si="23"/>
        <v/>
      </c>
      <c r="CY23" s="303" t="str">
        <f t="shared" si="24"/>
        <v/>
      </c>
      <c r="CZ23" s="303" t="str">
        <f t="shared" si="25"/>
        <v/>
      </c>
    </row>
    <row r="24" spans="1:104" s="236" customFormat="1" ht="31.9" customHeight="1" x14ac:dyDescent="0.25">
      <c r="A24" s="326" t="str">
        <f t="shared" si="5"/>
        <v>Subsidiária 5</v>
      </c>
      <c r="B24" s="267" t="str">
        <f t="shared" si="26"/>
        <v/>
      </c>
      <c r="C24" s="271" t="str">
        <f>IF($M$2&lt;&gt;"Ok","",INDEX('Result data'!$C245:$L245,1,$W$2))</f>
        <v/>
      </c>
      <c r="D24" s="262" t="str">
        <f>IF($M$2&lt;&gt;"Ok","",INDEX('Result data'!$C257:$L257,1,$W$2))</f>
        <v/>
      </c>
      <c r="E24" s="912" t="str">
        <f t="shared" si="27"/>
        <v/>
      </c>
      <c r="F24" s="913"/>
      <c r="G24" s="276" t="str">
        <f>IF($M$2&lt;&gt;"Ok","",INDEX('Result data'!$C281:$L281,1,$W$2))</f>
        <v/>
      </c>
      <c r="H24" s="262" t="str">
        <f>IF($M$2&lt;&gt;"Ok","",INDEX('Result data'!$C293:$L293,1,$W$2))</f>
        <v/>
      </c>
      <c r="I24" s="707" t="str">
        <f t="shared" si="28"/>
        <v/>
      </c>
      <c r="J24" s="279" t="str">
        <f t="shared" si="29"/>
        <v/>
      </c>
      <c r="K24" s="299" t="str">
        <f t="shared" si="30"/>
        <v/>
      </c>
      <c r="L24"/>
      <c r="M24"/>
      <c r="N24"/>
      <c r="O24"/>
      <c r="P24"/>
      <c r="Q24"/>
      <c r="S24" s="235"/>
      <c r="T24" s="235"/>
      <c r="U24" s="235"/>
      <c r="V24" s="235"/>
      <c r="W24" s="235"/>
      <c r="Y24" s="546" t="str">
        <f>IF('Individual Report'!$B10="","",INDEX(Population!$BE$3:$BP$177,SUMIF(Population!$B$3:$B$177,'Individual Report'!$B10,Population!$A$3:$A$177),Y$18-2010))</f>
        <v/>
      </c>
      <c r="Z24" s="546" t="str">
        <f>IF('Individual Report'!$B10="","",INDEX(Population!$BE$3:$BP$177,SUMIF(Population!$B$3:$B$177,'Individual Report'!$B10,Population!$A$3:$A$177),Z$18-2010))</f>
        <v/>
      </c>
      <c r="AA24" s="546" t="str">
        <f>IF('Individual Report'!$B10="","",INDEX(Population!$BE$3:$BP$177,SUMIF(Population!$B$3:$B$177,'Individual Report'!$B10,Population!$A$3:$A$177),AA$18-2010))</f>
        <v/>
      </c>
      <c r="AB24" s="546" t="str">
        <f>IF('Individual Report'!$B10="","",INDEX(Population!$BE$3:$BP$177,SUMIF(Population!$B$3:$B$177,'Individual Report'!$B10,Population!$A$3:$A$177),AB$18-2010))</f>
        <v/>
      </c>
      <c r="AC24" s="546" t="str">
        <f>IF('Individual Report'!$B10="","",INDEX(Population!$BE$3:$BP$177,SUMIF(Population!$B$3:$B$177,'Individual Report'!$B10,Population!$A$3:$A$177),AC$18-2010))</f>
        <v/>
      </c>
      <c r="AD24" s="546" t="str">
        <f>IF('Individual Report'!$B10="","",INDEX(Population!$BE$3:$BP$177,SUMIF(Population!$B$3:$B$177,'Individual Report'!$B10,Population!$A$3:$A$177),AD$18-2010))</f>
        <v/>
      </c>
      <c r="AE24" s="546" t="str">
        <f>IF('Individual Report'!$B10="","",INDEX(Population!$BE$3:$BP$177,SUMIF(Population!$B$3:$B$177,'Individual Report'!$B10,Population!$A$3:$A$177),AE$18-2010))</f>
        <v/>
      </c>
      <c r="AF24" s="546" t="str">
        <f>IF('Individual Report'!$B10="","",INDEX(Population!$BE$3:$BP$177,SUMIF(Population!$B$3:$B$177,'Individual Report'!$B10,Population!$A$3:$A$177),AF$18-2010))</f>
        <v/>
      </c>
      <c r="AG24" s="546" t="str">
        <f>IF('Individual Report'!$B10="","",INDEX(Population!$BE$3:$BP$177,SUMIF(Population!$B$3:$B$177,'Individual Report'!$B10,Population!$A$3:$A$177),AG$18-2010))</f>
        <v/>
      </c>
      <c r="AH24" s="546" t="str">
        <f>IF('Individual Report'!$B10="","",INDEX(Population!$BE$3:$BP$177,SUMIF(Population!$B$3:$B$177,'Individual Report'!$B10,Population!$A$3:$A$177),AH$18-2010))</f>
        <v/>
      </c>
      <c r="AI24" s="547" t="str" cm="1">
        <f t="array" ref="AI24">IFERROR(IF(INDEX('Result data'!$B487:$DQ487,1,('Individual Report'!AI$18-2010)+('Individual Report'!$W$2-1)*12)=1,".",INDEX('Result data'!$B487:$DQ487,1,('Individual Report'!AI$18-2010)+('Individual Report'!$W$2-1)*12)),"")</f>
        <v/>
      </c>
      <c r="AJ24" s="547" t="str" cm="1">
        <f t="array" ref="AJ24">IFERROR(IF(INDEX('Result data'!$B487:$DQ487,1,('Individual Report'!AJ$18-2010)+('Individual Report'!$W$2-1)*12)=1,".",INDEX('Result data'!$B487:$DQ487,1,('Individual Report'!AJ$18-2010)+('Individual Report'!$W$2-1)*12)),"")</f>
        <v/>
      </c>
      <c r="AK24" s="547" t="str" cm="1">
        <f t="array" ref="AK24">IFERROR(IF(INDEX('Result data'!$B487:$DQ487,1,('Individual Report'!AK$18-2010)+('Individual Report'!$W$2-1)*12)=1,".",INDEX('Result data'!$B487:$DQ487,1,('Individual Report'!AK$18-2010)+('Individual Report'!$W$2-1)*12)),"")</f>
        <v/>
      </c>
      <c r="AL24" s="547" t="str" cm="1">
        <f t="array" ref="AL24">IFERROR(IF(INDEX('Result data'!$B487:$DQ487,1,('Individual Report'!AL$18-2010)+('Individual Report'!$W$2-1)*12)=1,".",INDEX('Result data'!$B487:$DQ487,1,('Individual Report'!AL$18-2010)+('Individual Report'!$W$2-1)*12)),"")</f>
        <v/>
      </c>
      <c r="AM24" s="547" t="str" cm="1">
        <f t="array" ref="AM24">IFERROR(IF(INDEX('Result data'!$B487:$DQ487,1,('Individual Report'!AM$18-2010)+('Individual Report'!$W$2-1)*12)=1,".",INDEX('Result data'!$B487:$DQ487,1,('Individual Report'!AM$18-2010)+('Individual Report'!$W$2-1)*12)),"")</f>
        <v/>
      </c>
      <c r="AN24" s="547" t="str" cm="1">
        <f t="array" ref="AN24">IFERROR(IF(INDEX('Result data'!$B487:$DQ487,1,('Individual Report'!AN$18-2010)+('Individual Report'!$W$2-1)*12)=1,".",INDEX('Result data'!$B487:$DQ487,1,('Individual Report'!AN$18-2010)+('Individual Report'!$W$2-1)*12)),"")</f>
        <v/>
      </c>
      <c r="AO24" s="547" t="str" cm="1">
        <f t="array" ref="AO24">IFERROR(IF(INDEX('Result data'!$B487:$DQ487,1,('Individual Report'!AO$18-2010)+('Individual Report'!$W$2-1)*12)=1,".",INDEX('Result data'!$B487:$DQ487,1,('Individual Report'!AO$18-2010)+('Individual Report'!$W$2-1)*12)),"")</f>
        <v/>
      </c>
      <c r="AP24" s="547" t="str" cm="1">
        <f t="array" ref="AP24">IFERROR(IF(INDEX('Result data'!$B487:$DQ487,1,('Individual Report'!AP$18-2010)+('Individual Report'!$W$2-1)*12)=1,".",INDEX('Result data'!$B487:$DQ487,1,('Individual Report'!AP$18-2010)+('Individual Report'!$W$2-1)*12)),"")</f>
        <v/>
      </c>
      <c r="AQ24" s="547" t="str" cm="1">
        <f t="array" ref="AQ24">IFERROR(IF(INDEX('Result data'!$B487:$DQ487,1,('Individual Report'!AQ$18-2010)+('Individual Report'!$W$2-1)*12)=1,".",INDEX('Result data'!$B487:$DQ487,1,('Individual Report'!AQ$18-2010)+('Individual Report'!$W$2-1)*12)),"")</f>
        <v/>
      </c>
      <c r="AR24" s="547" t="str" cm="1">
        <f t="array" ref="AR24">IFERROR(IF(INDEX('Result data'!$B487:$DQ487,1,('Individual Report'!AR$18-2010)+('Individual Report'!$W$2-1)*12)=1,".",INDEX('Result data'!$B487:$DQ487,1,('Individual Report'!AR$18-2010)+('Individual Report'!$W$2-1)*12)),"")</f>
        <v/>
      </c>
      <c r="AS24" s="547" t="str" cm="1">
        <f t="array" ref="AS24">IFERROR(INDEX('Result data'!$B498:$DQ498,1,('Individual Report'!AS$18-2010)+('Individual Report'!$W$2-1)*12),"")</f>
        <v/>
      </c>
      <c r="AT24" s="547" t="str" cm="1">
        <f t="array" ref="AT24">IFERROR(INDEX('Result data'!$B498:$DQ498,1,('Individual Report'!AT$18-2010)+('Individual Report'!$W$2-1)*12),"")</f>
        <v/>
      </c>
      <c r="AU24" s="547" t="str" cm="1">
        <f t="array" ref="AU24">IFERROR(INDEX('Result data'!$B498:$DQ498,1,('Individual Report'!AU$18-2010)+('Individual Report'!$W$2-1)*12),"")</f>
        <v/>
      </c>
      <c r="AV24" s="547" t="str" cm="1">
        <f t="array" ref="AV24">IFERROR(INDEX('Result data'!$B498:$DQ498,1,('Individual Report'!AV$18-2010)+('Individual Report'!$W$2-1)*12),"")</f>
        <v/>
      </c>
      <c r="AW24" s="547" t="str" cm="1">
        <f t="array" ref="AW24">IFERROR(INDEX('Result data'!$B498:$DQ498,1,('Individual Report'!AW$18-2010)+('Individual Report'!$W$2-1)*12),"")</f>
        <v/>
      </c>
      <c r="AX24" s="547" t="str" cm="1">
        <f t="array" ref="AX24">IFERROR(INDEX('Result data'!$B498:$DQ498,1,('Individual Report'!AX$18-2010)+('Individual Report'!$W$2-1)*12),"")</f>
        <v/>
      </c>
      <c r="AY24" s="547" t="str" cm="1">
        <f t="array" ref="AY24">IFERROR(INDEX('Result data'!$B498:$DQ498,1,('Individual Report'!AY$18-2010)+('Individual Report'!$W$2-1)*12),"")</f>
        <v/>
      </c>
      <c r="AZ24" s="547" t="str" cm="1">
        <f t="array" ref="AZ24">IFERROR(INDEX('Result data'!$B498:$DQ498,1,('Individual Report'!AZ$18-2010)+('Individual Report'!$W$2-1)*12),"")</f>
        <v/>
      </c>
      <c r="BA24" s="547" t="str" cm="1">
        <f t="array" ref="BA24">IFERROR(INDEX('Result data'!$B498:$DQ498,1,('Individual Report'!BA$18-2010)+('Individual Report'!$W$2-1)*12),"")</f>
        <v/>
      </c>
      <c r="BB24" s="547" t="str" cm="1">
        <f t="array" ref="BB24">IFERROR(INDEX('Result data'!$B498:$DQ498,1,('Individual Report'!BB$18-2010)+('Individual Report'!$W$2-1)*12),"")</f>
        <v/>
      </c>
      <c r="BC24" s="548" t="str" cm="1">
        <f t="array" ref="BC24">IF('Individual Report'!$B10="","",INDEX('Result data'!$FC$216:$FL$390,SUMIF(Population!$B$3:$B$177,'Individual Report'!$B10,Population!$A$3:$A$177),BC$18-2010))</f>
        <v/>
      </c>
      <c r="BD24" s="548" t="str" cm="1">
        <f t="array" ref="BD24">IF('Individual Report'!$B10="","",INDEX('Result data'!$FC$216:$FL$390,SUMIF(Population!$B$3:$B$177,'Individual Report'!$B10,Population!$A$3:$A$177),BD$18-2010))</f>
        <v/>
      </c>
      <c r="BE24" s="548" t="str" cm="1">
        <f t="array" ref="BE24">IF('Individual Report'!$B10="","",INDEX('Result data'!$FC$216:$FL$390,SUMIF(Population!$B$3:$B$177,'Individual Report'!$B10,Population!$A$3:$A$177),BE$18-2010))</f>
        <v/>
      </c>
      <c r="BF24" s="548" t="str" cm="1">
        <f t="array" ref="BF24">IF('Individual Report'!$B10="","",INDEX('Result data'!$FC$216:$FL$390,SUMIF(Population!$B$3:$B$177,'Individual Report'!$B10,Population!$A$3:$A$177),BF$18-2010))</f>
        <v/>
      </c>
      <c r="BG24" s="548" t="str" cm="1">
        <f t="array" ref="BG24">IF('Individual Report'!$B10="","",INDEX('Result data'!$FC$216:$FL$390,SUMIF(Population!$B$3:$B$177,'Individual Report'!$B10,Population!$A$3:$A$177),BG$18-2010))</f>
        <v/>
      </c>
      <c r="BH24" s="548" t="str" cm="1">
        <f t="array" ref="BH24">IF('Individual Report'!$B10="","",INDEX('Result data'!$FC$216:$FL$390,SUMIF(Population!$B$3:$B$177,'Individual Report'!$B10,Population!$A$3:$A$177),BH$18-2010))</f>
        <v/>
      </c>
      <c r="BI24" s="548" t="str" cm="1">
        <f t="array" ref="BI24">IF('Individual Report'!$B10="","",INDEX('Result data'!$FC$216:$FL$390,SUMIF(Population!$B$3:$B$177,'Individual Report'!$B10,Population!$A$3:$A$177),BI$18-2010))</f>
        <v/>
      </c>
      <c r="BJ24" s="548" t="str" cm="1">
        <f t="array" ref="BJ24">IF('Individual Report'!$B10="","",INDEX('Result data'!$FC$216:$FL$390,SUMIF(Population!$B$3:$B$177,'Individual Report'!$B10,Population!$A$3:$A$177),BJ$18-2010))</f>
        <v/>
      </c>
      <c r="BK24" s="548" t="str" cm="1">
        <f t="array" ref="BK24">IF('Individual Report'!$B10="","",INDEX('Result data'!$FC$216:$FL$390,SUMIF(Population!$B$3:$B$177,'Individual Report'!$B10,Population!$A$3:$A$177),BK$18-2010))</f>
        <v/>
      </c>
      <c r="BL24" s="548" t="str" cm="1">
        <f t="array" ref="BL24">IF('Individual Report'!$B10="","",INDEX('Result data'!$FC$216:$FL$390,SUMIF(Population!$B$3:$B$177,'Individual Report'!$B10,Population!$A$3:$A$177),BL$18-2010))</f>
        <v/>
      </c>
      <c r="BM24" s="303" t="str">
        <f t="shared" si="6"/>
        <v/>
      </c>
      <c r="BN24" s="303" t="str">
        <f t="shared" si="7"/>
        <v/>
      </c>
      <c r="BO24" s="303" t="str">
        <f t="shared" si="8"/>
        <v/>
      </c>
      <c r="BP24" s="303" t="str">
        <f t="shared" si="9"/>
        <v/>
      </c>
      <c r="BQ24" s="303" t="str">
        <f t="shared" si="10"/>
        <v/>
      </c>
      <c r="BR24" s="303" t="str">
        <f t="shared" si="11"/>
        <v/>
      </c>
      <c r="BS24" s="303" t="str">
        <f t="shared" si="12"/>
        <v/>
      </c>
      <c r="BT24" s="303" t="str">
        <f t="shared" si="13"/>
        <v/>
      </c>
      <c r="BU24" s="303" t="str">
        <f t="shared" si="14"/>
        <v/>
      </c>
      <c r="BV24" s="303" t="str">
        <f t="shared" si="15"/>
        <v/>
      </c>
      <c r="BW24" s="316">
        <f>SUMIF('Result data'!$O$216:$O$390,'Individual Report'!$B10,'Result data'!BS$216:BS$390)</f>
        <v>0</v>
      </c>
      <c r="BX24" s="316">
        <f>SUMIF('Result data'!$O$216:$O$390,'Individual Report'!$B10,'Result data'!BT$216:BT$390)</f>
        <v>0</v>
      </c>
      <c r="BY24" s="316">
        <f>SUMIF('Result data'!$O$216:$O$390,'Individual Report'!$B10,'Result data'!BU$216:BU$390)</f>
        <v>0</v>
      </c>
      <c r="BZ24" s="316">
        <f>SUMIF('Result data'!$O$216:$O$390,'Individual Report'!$B10,'Result data'!BV$216:BV$390)</f>
        <v>0</v>
      </c>
      <c r="CA24" s="316">
        <f>SUMIF('Result data'!$O$216:$O$390,'Individual Report'!$B10,'Result data'!BW$216:BW$390)</f>
        <v>0</v>
      </c>
      <c r="CB24" s="316">
        <f>SUMIF('Result data'!$O$216:$O$390,'Individual Report'!$B10,'Result data'!BX$216:BX$390)</f>
        <v>0</v>
      </c>
      <c r="CC24" s="316">
        <f>SUMIF('Result data'!$O$216:$O$390,'Individual Report'!$B10,'Result data'!BY$216:BY$390)</f>
        <v>0</v>
      </c>
      <c r="CD24" s="316">
        <f>SUMIF('Result data'!$O$216:$O$390,'Individual Report'!$B10,'Result data'!BZ$216:BZ$390)</f>
        <v>0</v>
      </c>
      <c r="CE24" s="316">
        <f>SUMIF('Result data'!$O$216:$O$390,'Individual Report'!$B10,'Result data'!CA$216:CA$390)</f>
        <v>0</v>
      </c>
      <c r="CF24" s="316">
        <f>SUMIF('Result data'!$O$216:$O$390,'Individual Report'!$B10,'Result data'!CB$216:CB$390)</f>
        <v>0</v>
      </c>
      <c r="CG24" s="315" t="str" cm="1">
        <f t="array" ref="CG24">IFERROR(IF(INDEX('Result data'!$B509:$DQ509,1,('Individual Report'!AS$18-2010)+('Individual Report'!$W$2-1)*12)=0,"",INDEX('Result data'!$B509:$DQ509,1,('Individual Report'!AS$18-2010)+('Individual Report'!$W$2-1)*12)),"")</f>
        <v/>
      </c>
      <c r="CH24" s="315" t="str" cm="1">
        <f t="array" ref="CH24">IFERROR(IF(INDEX('Result data'!$B509:$DQ509,1,('Individual Report'!AT$18-2010)+('Individual Report'!$W$2-1)*12)=0,"",INDEX('Result data'!$B509:$DQ509,1,('Individual Report'!AT$18-2010)+('Individual Report'!$W$2-1)*12)),"")</f>
        <v/>
      </c>
      <c r="CI24" s="315" t="str" cm="1">
        <f t="array" ref="CI24">IFERROR(IF(INDEX('Result data'!$B509:$DQ509,1,('Individual Report'!AU$18-2010)+('Individual Report'!$W$2-1)*12)=0,"",INDEX('Result data'!$B509:$DQ509,1,('Individual Report'!AU$18-2010)+('Individual Report'!$W$2-1)*12)),"")</f>
        <v/>
      </c>
      <c r="CJ24" s="315" t="str" cm="1">
        <f t="array" ref="CJ24">IFERROR(IF(INDEX('Result data'!$B509:$DQ509,1,('Individual Report'!AV$18-2010)+('Individual Report'!$W$2-1)*12)=0,"",INDEX('Result data'!$B509:$DQ509,1,('Individual Report'!AV$18-2010)+('Individual Report'!$W$2-1)*12)),"")</f>
        <v/>
      </c>
      <c r="CK24" s="315" t="str" cm="1">
        <f t="array" ref="CK24">IFERROR(IF(INDEX('Result data'!$B509:$DQ509,1,('Individual Report'!AW$18-2010)+('Individual Report'!$W$2-1)*12)=0,"",INDEX('Result data'!$B509:$DQ509,1,('Individual Report'!AW$18-2010)+('Individual Report'!$W$2-1)*12)),"")</f>
        <v/>
      </c>
      <c r="CL24" s="315" t="str" cm="1">
        <f t="array" ref="CL24">IFERROR(IF(INDEX('Result data'!$B509:$DQ509,1,('Individual Report'!AX$18-2010)+('Individual Report'!$W$2-1)*12)=0,"",INDEX('Result data'!$B509:$DQ509,1,('Individual Report'!AX$18-2010)+('Individual Report'!$W$2-1)*12)),"")</f>
        <v/>
      </c>
      <c r="CM24" s="315" t="str" cm="1">
        <f t="array" ref="CM24">IFERROR(IF(INDEX('Result data'!$B509:$DQ509,1,('Individual Report'!AY$18-2010)+('Individual Report'!$W$2-1)*12)=0,"",INDEX('Result data'!$B509:$DQ509,1,('Individual Report'!AY$18-2010)+('Individual Report'!$W$2-1)*12)),"")</f>
        <v/>
      </c>
      <c r="CN24" s="315" t="str" cm="1">
        <f t="array" ref="CN24">IFERROR(IF(INDEX('Result data'!$B509:$DQ509,1,('Individual Report'!AZ$18-2010)+('Individual Report'!$W$2-1)*12)=0,"",INDEX('Result data'!$B509:$DQ509,1,('Individual Report'!AZ$18-2010)+('Individual Report'!$W$2-1)*12)),"")</f>
        <v/>
      </c>
      <c r="CO24" s="315" t="str" cm="1">
        <f t="array" ref="CO24">IFERROR(IF(INDEX('Result data'!$B509:$DQ509,1,('Individual Report'!BA$18-2010)+('Individual Report'!$W$2-1)*12)=0,"",INDEX('Result data'!$B509:$DQ509,1,('Individual Report'!BA$18-2010)+('Individual Report'!$W$2-1)*12)),"")</f>
        <v/>
      </c>
      <c r="CP24" s="315" t="str" cm="1">
        <f t="array" ref="CP24">IFERROR(IF(INDEX('Result data'!$B509:$DQ509,1,('Individual Report'!BB$18-2010)+('Individual Report'!$W$2-1)*12)=0,"",INDEX('Result data'!$B509:$DQ509,1,('Individual Report'!BB$18-2010)+('Individual Report'!$W$2-1)*12)),"")</f>
        <v/>
      </c>
      <c r="CQ24" s="303" t="str">
        <f t="shared" si="16"/>
        <v/>
      </c>
      <c r="CR24" s="303" t="str">
        <f t="shared" si="17"/>
        <v/>
      </c>
      <c r="CS24" s="303" t="str">
        <f t="shared" si="18"/>
        <v/>
      </c>
      <c r="CT24" s="303" t="str">
        <f t="shared" si="19"/>
        <v/>
      </c>
      <c r="CU24" s="303" t="str">
        <f t="shared" si="20"/>
        <v/>
      </c>
      <c r="CV24" s="303" t="str">
        <f t="shared" si="21"/>
        <v/>
      </c>
      <c r="CW24" s="303" t="str">
        <f t="shared" si="22"/>
        <v/>
      </c>
      <c r="CX24" s="303" t="str">
        <f t="shared" si="23"/>
        <v/>
      </c>
      <c r="CY24" s="303" t="str">
        <f t="shared" si="24"/>
        <v/>
      </c>
      <c r="CZ24" s="303" t="str">
        <f t="shared" si="25"/>
        <v/>
      </c>
    </row>
    <row r="25" spans="1:104" s="236" customFormat="1" ht="31.9" customHeight="1" x14ac:dyDescent="0.25">
      <c r="A25" s="325" t="str">
        <f t="shared" si="5"/>
        <v>Subsidiária 6</v>
      </c>
      <c r="B25" s="266" t="str">
        <f t="shared" si="26"/>
        <v/>
      </c>
      <c r="C25" s="270" t="str">
        <f>IF($M$2&lt;&gt;"Ok","",INDEX('Result data'!$C246:$L246,1,$W$2))</f>
        <v/>
      </c>
      <c r="D25" s="261" t="str">
        <f>IF($M$2&lt;&gt;"Ok","",INDEX('Result data'!$C258:$L258,1,$W$2))</f>
        <v/>
      </c>
      <c r="E25" s="910" t="str">
        <f t="shared" si="27"/>
        <v/>
      </c>
      <c r="F25" s="911"/>
      <c r="G25" s="275" t="str">
        <f>IF($M$2&lt;&gt;"Ok","",INDEX('Result data'!$C282:$L282,1,$W$2))</f>
        <v/>
      </c>
      <c r="H25" s="261" t="str">
        <f>IF($M$2&lt;&gt;"Ok","",INDEX('Result data'!$C294:$L294,1,$W$2))</f>
        <v/>
      </c>
      <c r="I25" s="706" t="str">
        <f t="shared" si="28"/>
        <v/>
      </c>
      <c r="J25" s="278" t="str">
        <f t="shared" si="29"/>
        <v/>
      </c>
      <c r="K25" s="298" t="str">
        <f t="shared" si="30"/>
        <v/>
      </c>
      <c r="L25"/>
      <c r="M25"/>
      <c r="N25"/>
      <c r="O25"/>
      <c r="P25"/>
      <c r="Q25"/>
      <c r="S25" s="235"/>
      <c r="T25" s="235"/>
      <c r="U25" s="235"/>
      <c r="V25" s="235"/>
      <c r="W25" s="235"/>
      <c r="Y25" s="546" t="str">
        <f>IF('Individual Report'!$B11="","",INDEX(Population!$BE$3:$BP$177,SUMIF(Population!$B$3:$B$177,'Individual Report'!$B11,Population!$A$3:$A$177),Y$18-2010))</f>
        <v/>
      </c>
      <c r="Z25" s="546" t="str">
        <f>IF('Individual Report'!$B11="","",INDEX(Population!$BE$3:$BP$177,SUMIF(Population!$B$3:$B$177,'Individual Report'!$B11,Population!$A$3:$A$177),Z$18-2010))</f>
        <v/>
      </c>
      <c r="AA25" s="546" t="str">
        <f>IF('Individual Report'!$B11="","",INDEX(Population!$BE$3:$BP$177,SUMIF(Population!$B$3:$B$177,'Individual Report'!$B11,Population!$A$3:$A$177),AA$18-2010))</f>
        <v/>
      </c>
      <c r="AB25" s="546" t="str">
        <f>IF('Individual Report'!$B11="","",INDEX(Population!$BE$3:$BP$177,SUMIF(Population!$B$3:$B$177,'Individual Report'!$B11,Population!$A$3:$A$177),AB$18-2010))</f>
        <v/>
      </c>
      <c r="AC25" s="546" t="str">
        <f>IF('Individual Report'!$B11="","",INDEX(Population!$BE$3:$BP$177,SUMIF(Population!$B$3:$B$177,'Individual Report'!$B11,Population!$A$3:$A$177),AC$18-2010))</f>
        <v/>
      </c>
      <c r="AD25" s="546" t="str">
        <f>IF('Individual Report'!$B11="","",INDEX(Population!$BE$3:$BP$177,SUMIF(Population!$B$3:$B$177,'Individual Report'!$B11,Population!$A$3:$A$177),AD$18-2010))</f>
        <v/>
      </c>
      <c r="AE25" s="546" t="str">
        <f>IF('Individual Report'!$B11="","",INDEX(Population!$BE$3:$BP$177,SUMIF(Population!$B$3:$B$177,'Individual Report'!$B11,Population!$A$3:$A$177),AE$18-2010))</f>
        <v/>
      </c>
      <c r="AF25" s="546" t="str">
        <f>IF('Individual Report'!$B11="","",INDEX(Population!$BE$3:$BP$177,SUMIF(Population!$B$3:$B$177,'Individual Report'!$B11,Population!$A$3:$A$177),AF$18-2010))</f>
        <v/>
      </c>
      <c r="AG25" s="546" t="str">
        <f>IF('Individual Report'!$B11="","",INDEX(Population!$BE$3:$BP$177,SUMIF(Population!$B$3:$B$177,'Individual Report'!$B11,Population!$A$3:$A$177),AG$18-2010))</f>
        <v/>
      </c>
      <c r="AH25" s="546" t="str">
        <f>IF('Individual Report'!$B11="","",INDEX(Population!$BE$3:$BP$177,SUMIF(Population!$B$3:$B$177,'Individual Report'!$B11,Population!$A$3:$A$177),AH$18-2010))</f>
        <v/>
      </c>
      <c r="AI25" s="547" t="str" cm="1">
        <f t="array" ref="AI25">IFERROR(IF(INDEX('Result data'!$B488:$DQ488,1,('Individual Report'!AI$18-2010)+('Individual Report'!$W$2-1)*12)=1,".",INDEX('Result data'!$B488:$DQ488,1,('Individual Report'!AI$18-2010)+('Individual Report'!$W$2-1)*12)),"")</f>
        <v/>
      </c>
      <c r="AJ25" s="547" t="str" cm="1">
        <f t="array" ref="AJ25">IFERROR(IF(INDEX('Result data'!$B488:$DQ488,1,('Individual Report'!AJ$18-2010)+('Individual Report'!$W$2-1)*12)=1,".",INDEX('Result data'!$B488:$DQ488,1,('Individual Report'!AJ$18-2010)+('Individual Report'!$W$2-1)*12)),"")</f>
        <v/>
      </c>
      <c r="AK25" s="547" t="str" cm="1">
        <f t="array" ref="AK25">IFERROR(IF(INDEX('Result data'!$B488:$DQ488,1,('Individual Report'!AK$18-2010)+('Individual Report'!$W$2-1)*12)=1,".",INDEX('Result data'!$B488:$DQ488,1,('Individual Report'!AK$18-2010)+('Individual Report'!$W$2-1)*12)),"")</f>
        <v/>
      </c>
      <c r="AL25" s="547" t="str" cm="1">
        <f t="array" ref="AL25">IFERROR(IF(INDEX('Result data'!$B488:$DQ488,1,('Individual Report'!AL$18-2010)+('Individual Report'!$W$2-1)*12)=1,".",INDEX('Result data'!$B488:$DQ488,1,('Individual Report'!AL$18-2010)+('Individual Report'!$W$2-1)*12)),"")</f>
        <v/>
      </c>
      <c r="AM25" s="547" t="str" cm="1">
        <f t="array" ref="AM25">IFERROR(IF(INDEX('Result data'!$B488:$DQ488,1,('Individual Report'!AM$18-2010)+('Individual Report'!$W$2-1)*12)=1,".",INDEX('Result data'!$B488:$DQ488,1,('Individual Report'!AM$18-2010)+('Individual Report'!$W$2-1)*12)),"")</f>
        <v/>
      </c>
      <c r="AN25" s="547" t="str" cm="1">
        <f t="array" ref="AN25">IFERROR(IF(INDEX('Result data'!$B488:$DQ488,1,('Individual Report'!AN$18-2010)+('Individual Report'!$W$2-1)*12)=1,".",INDEX('Result data'!$B488:$DQ488,1,('Individual Report'!AN$18-2010)+('Individual Report'!$W$2-1)*12)),"")</f>
        <v/>
      </c>
      <c r="AO25" s="547" t="str" cm="1">
        <f t="array" ref="AO25">IFERROR(IF(INDEX('Result data'!$B488:$DQ488,1,('Individual Report'!AO$18-2010)+('Individual Report'!$W$2-1)*12)=1,".",INDEX('Result data'!$B488:$DQ488,1,('Individual Report'!AO$18-2010)+('Individual Report'!$W$2-1)*12)),"")</f>
        <v/>
      </c>
      <c r="AP25" s="547" t="str" cm="1">
        <f t="array" ref="AP25">IFERROR(IF(INDEX('Result data'!$B488:$DQ488,1,('Individual Report'!AP$18-2010)+('Individual Report'!$W$2-1)*12)=1,".",INDEX('Result data'!$B488:$DQ488,1,('Individual Report'!AP$18-2010)+('Individual Report'!$W$2-1)*12)),"")</f>
        <v/>
      </c>
      <c r="AQ25" s="547" t="str" cm="1">
        <f t="array" ref="AQ25">IFERROR(IF(INDEX('Result data'!$B488:$DQ488,1,('Individual Report'!AQ$18-2010)+('Individual Report'!$W$2-1)*12)=1,".",INDEX('Result data'!$B488:$DQ488,1,('Individual Report'!AQ$18-2010)+('Individual Report'!$W$2-1)*12)),"")</f>
        <v/>
      </c>
      <c r="AR25" s="547" t="str" cm="1">
        <f t="array" ref="AR25">IFERROR(IF(INDEX('Result data'!$B488:$DQ488,1,('Individual Report'!AR$18-2010)+('Individual Report'!$W$2-1)*12)=1,".",INDEX('Result data'!$B488:$DQ488,1,('Individual Report'!AR$18-2010)+('Individual Report'!$W$2-1)*12)),"")</f>
        <v/>
      </c>
      <c r="AS25" s="547" t="str" cm="1">
        <f t="array" ref="AS25">IFERROR(INDEX('Result data'!$B499:$DQ499,1,('Individual Report'!AS$18-2010)+('Individual Report'!$W$2-1)*12),"")</f>
        <v/>
      </c>
      <c r="AT25" s="547" t="str" cm="1">
        <f t="array" ref="AT25">IFERROR(INDEX('Result data'!$B499:$DQ499,1,('Individual Report'!AT$18-2010)+('Individual Report'!$W$2-1)*12),"")</f>
        <v/>
      </c>
      <c r="AU25" s="547" t="str" cm="1">
        <f t="array" ref="AU25">IFERROR(INDEX('Result data'!$B499:$DQ499,1,('Individual Report'!AU$18-2010)+('Individual Report'!$W$2-1)*12),"")</f>
        <v/>
      </c>
      <c r="AV25" s="547" t="str" cm="1">
        <f t="array" ref="AV25">IFERROR(INDEX('Result data'!$B499:$DQ499,1,('Individual Report'!AV$18-2010)+('Individual Report'!$W$2-1)*12),"")</f>
        <v/>
      </c>
      <c r="AW25" s="547" t="str" cm="1">
        <f t="array" ref="AW25">IFERROR(INDEX('Result data'!$B499:$DQ499,1,('Individual Report'!AW$18-2010)+('Individual Report'!$W$2-1)*12),"")</f>
        <v/>
      </c>
      <c r="AX25" s="547" t="str" cm="1">
        <f t="array" ref="AX25">IFERROR(INDEX('Result data'!$B499:$DQ499,1,('Individual Report'!AX$18-2010)+('Individual Report'!$W$2-1)*12),"")</f>
        <v/>
      </c>
      <c r="AY25" s="547" t="str" cm="1">
        <f t="array" ref="AY25">IFERROR(INDEX('Result data'!$B499:$DQ499,1,('Individual Report'!AY$18-2010)+('Individual Report'!$W$2-1)*12),"")</f>
        <v/>
      </c>
      <c r="AZ25" s="547" t="str" cm="1">
        <f t="array" ref="AZ25">IFERROR(INDEX('Result data'!$B499:$DQ499,1,('Individual Report'!AZ$18-2010)+('Individual Report'!$W$2-1)*12),"")</f>
        <v/>
      </c>
      <c r="BA25" s="547" t="str" cm="1">
        <f t="array" ref="BA25">IFERROR(INDEX('Result data'!$B499:$DQ499,1,('Individual Report'!BA$18-2010)+('Individual Report'!$W$2-1)*12),"")</f>
        <v/>
      </c>
      <c r="BB25" s="547" t="str" cm="1">
        <f t="array" ref="BB25">IFERROR(INDEX('Result data'!$B499:$DQ499,1,('Individual Report'!BB$18-2010)+('Individual Report'!$W$2-1)*12),"")</f>
        <v/>
      </c>
      <c r="BC25" s="548" t="str" cm="1">
        <f t="array" ref="BC25">IF('Individual Report'!$B11="","",INDEX('Result data'!$FC$216:$FL$390,SUMIF(Population!$B$3:$B$177,'Individual Report'!$B11,Population!$A$3:$A$177),BC$18-2010))</f>
        <v/>
      </c>
      <c r="BD25" s="548" t="str" cm="1">
        <f t="array" ref="BD25">IF('Individual Report'!$B11="","",INDEX('Result data'!$FC$216:$FL$390,SUMIF(Population!$B$3:$B$177,'Individual Report'!$B11,Population!$A$3:$A$177),BD$18-2010))</f>
        <v/>
      </c>
      <c r="BE25" s="548" t="str" cm="1">
        <f t="array" ref="BE25">IF('Individual Report'!$B11="","",INDEX('Result data'!$FC$216:$FL$390,SUMIF(Population!$B$3:$B$177,'Individual Report'!$B11,Population!$A$3:$A$177),BE$18-2010))</f>
        <v/>
      </c>
      <c r="BF25" s="548" t="str" cm="1">
        <f t="array" ref="BF25">IF('Individual Report'!$B11="","",INDEX('Result data'!$FC$216:$FL$390,SUMIF(Population!$B$3:$B$177,'Individual Report'!$B11,Population!$A$3:$A$177),BF$18-2010))</f>
        <v/>
      </c>
      <c r="BG25" s="548" t="str" cm="1">
        <f t="array" ref="BG25">IF('Individual Report'!$B11="","",INDEX('Result data'!$FC$216:$FL$390,SUMIF(Population!$B$3:$B$177,'Individual Report'!$B11,Population!$A$3:$A$177),BG$18-2010))</f>
        <v/>
      </c>
      <c r="BH25" s="548" t="str" cm="1">
        <f t="array" ref="BH25">IF('Individual Report'!$B11="","",INDEX('Result data'!$FC$216:$FL$390,SUMIF(Population!$B$3:$B$177,'Individual Report'!$B11,Population!$A$3:$A$177),BH$18-2010))</f>
        <v/>
      </c>
      <c r="BI25" s="548" t="str" cm="1">
        <f t="array" ref="BI25">IF('Individual Report'!$B11="","",INDEX('Result data'!$FC$216:$FL$390,SUMIF(Population!$B$3:$B$177,'Individual Report'!$B11,Population!$A$3:$A$177),BI$18-2010))</f>
        <v/>
      </c>
      <c r="BJ25" s="548" t="str" cm="1">
        <f t="array" ref="BJ25">IF('Individual Report'!$B11="","",INDEX('Result data'!$FC$216:$FL$390,SUMIF(Population!$B$3:$B$177,'Individual Report'!$B11,Population!$A$3:$A$177),BJ$18-2010))</f>
        <v/>
      </c>
      <c r="BK25" s="548" t="str" cm="1">
        <f t="array" ref="BK25">IF('Individual Report'!$B11="","",INDEX('Result data'!$FC$216:$FL$390,SUMIF(Population!$B$3:$B$177,'Individual Report'!$B11,Population!$A$3:$A$177),BK$18-2010))</f>
        <v/>
      </c>
      <c r="BL25" s="548" t="str" cm="1">
        <f t="array" ref="BL25">IF('Individual Report'!$B11="","",INDEX('Result data'!$FC$216:$FL$390,SUMIF(Population!$B$3:$B$177,'Individual Report'!$B11,Population!$A$3:$A$177),BL$18-2010))</f>
        <v/>
      </c>
      <c r="BM25" s="303" t="str">
        <f t="shared" si="6"/>
        <v/>
      </c>
      <c r="BN25" s="303" t="str">
        <f t="shared" si="7"/>
        <v/>
      </c>
      <c r="BO25" s="303" t="str">
        <f t="shared" si="8"/>
        <v/>
      </c>
      <c r="BP25" s="303" t="str">
        <f t="shared" si="9"/>
        <v/>
      </c>
      <c r="BQ25" s="303" t="str">
        <f t="shared" si="10"/>
        <v/>
      </c>
      <c r="BR25" s="303" t="str">
        <f t="shared" si="11"/>
        <v/>
      </c>
      <c r="BS25" s="303" t="str">
        <f t="shared" si="12"/>
        <v/>
      </c>
      <c r="BT25" s="303" t="str">
        <f t="shared" si="13"/>
        <v/>
      </c>
      <c r="BU25" s="303" t="str">
        <f t="shared" si="14"/>
        <v/>
      </c>
      <c r="BV25" s="303" t="str">
        <f t="shared" si="15"/>
        <v/>
      </c>
      <c r="BW25" s="316">
        <f>SUMIF('Result data'!$O$216:$O$390,'Individual Report'!$B11,'Result data'!BS$216:BS$390)</f>
        <v>0</v>
      </c>
      <c r="BX25" s="316">
        <f>SUMIF('Result data'!$O$216:$O$390,'Individual Report'!$B11,'Result data'!BT$216:BT$390)</f>
        <v>0</v>
      </c>
      <c r="BY25" s="316">
        <f>SUMIF('Result data'!$O$216:$O$390,'Individual Report'!$B11,'Result data'!BU$216:BU$390)</f>
        <v>0</v>
      </c>
      <c r="BZ25" s="316">
        <f>SUMIF('Result data'!$O$216:$O$390,'Individual Report'!$B11,'Result data'!BV$216:BV$390)</f>
        <v>0</v>
      </c>
      <c r="CA25" s="316">
        <f>SUMIF('Result data'!$O$216:$O$390,'Individual Report'!$B11,'Result data'!BW$216:BW$390)</f>
        <v>0</v>
      </c>
      <c r="CB25" s="316">
        <f>SUMIF('Result data'!$O$216:$O$390,'Individual Report'!$B11,'Result data'!BX$216:BX$390)</f>
        <v>0</v>
      </c>
      <c r="CC25" s="316">
        <f>SUMIF('Result data'!$O$216:$O$390,'Individual Report'!$B11,'Result data'!BY$216:BY$390)</f>
        <v>0</v>
      </c>
      <c r="CD25" s="316">
        <f>SUMIF('Result data'!$O$216:$O$390,'Individual Report'!$B11,'Result data'!BZ$216:BZ$390)</f>
        <v>0</v>
      </c>
      <c r="CE25" s="316">
        <f>SUMIF('Result data'!$O$216:$O$390,'Individual Report'!$B11,'Result data'!CA$216:CA$390)</f>
        <v>0</v>
      </c>
      <c r="CF25" s="316">
        <f>SUMIF('Result data'!$O$216:$O$390,'Individual Report'!$B11,'Result data'!CB$216:CB$390)</f>
        <v>0</v>
      </c>
      <c r="CG25" s="315" t="str" cm="1">
        <f t="array" ref="CG25">IFERROR(IF(INDEX('Result data'!$B510:$DQ510,1,('Individual Report'!AS$18-2010)+('Individual Report'!$W$2-1)*12)=0,"",INDEX('Result data'!$B510:$DQ510,1,('Individual Report'!AS$18-2010)+('Individual Report'!$W$2-1)*12)),"")</f>
        <v/>
      </c>
      <c r="CH25" s="315" t="str" cm="1">
        <f t="array" ref="CH25">IFERROR(IF(INDEX('Result data'!$B510:$DQ510,1,('Individual Report'!AT$18-2010)+('Individual Report'!$W$2-1)*12)=0,"",INDEX('Result data'!$B510:$DQ510,1,('Individual Report'!AT$18-2010)+('Individual Report'!$W$2-1)*12)),"")</f>
        <v/>
      </c>
      <c r="CI25" s="315" t="str" cm="1">
        <f t="array" ref="CI25">IFERROR(IF(INDEX('Result data'!$B510:$DQ510,1,('Individual Report'!AU$18-2010)+('Individual Report'!$W$2-1)*12)=0,"",INDEX('Result data'!$B510:$DQ510,1,('Individual Report'!AU$18-2010)+('Individual Report'!$W$2-1)*12)),"")</f>
        <v/>
      </c>
      <c r="CJ25" s="315" t="str" cm="1">
        <f t="array" ref="CJ25">IFERROR(IF(INDEX('Result data'!$B510:$DQ510,1,('Individual Report'!AV$18-2010)+('Individual Report'!$W$2-1)*12)=0,"",INDEX('Result data'!$B510:$DQ510,1,('Individual Report'!AV$18-2010)+('Individual Report'!$W$2-1)*12)),"")</f>
        <v/>
      </c>
      <c r="CK25" s="315" t="str" cm="1">
        <f t="array" ref="CK25">IFERROR(IF(INDEX('Result data'!$B510:$DQ510,1,('Individual Report'!AW$18-2010)+('Individual Report'!$W$2-1)*12)=0,"",INDEX('Result data'!$B510:$DQ510,1,('Individual Report'!AW$18-2010)+('Individual Report'!$W$2-1)*12)),"")</f>
        <v/>
      </c>
      <c r="CL25" s="315" t="str" cm="1">
        <f t="array" ref="CL25">IFERROR(IF(INDEX('Result data'!$B510:$DQ510,1,('Individual Report'!AX$18-2010)+('Individual Report'!$W$2-1)*12)=0,"",INDEX('Result data'!$B510:$DQ510,1,('Individual Report'!AX$18-2010)+('Individual Report'!$W$2-1)*12)),"")</f>
        <v/>
      </c>
      <c r="CM25" s="315" t="str" cm="1">
        <f t="array" ref="CM25">IFERROR(IF(INDEX('Result data'!$B510:$DQ510,1,('Individual Report'!AY$18-2010)+('Individual Report'!$W$2-1)*12)=0,"",INDEX('Result data'!$B510:$DQ510,1,('Individual Report'!AY$18-2010)+('Individual Report'!$W$2-1)*12)),"")</f>
        <v/>
      </c>
      <c r="CN25" s="315" t="str" cm="1">
        <f t="array" ref="CN25">IFERROR(IF(INDEX('Result data'!$B510:$DQ510,1,('Individual Report'!AZ$18-2010)+('Individual Report'!$W$2-1)*12)=0,"",INDEX('Result data'!$B510:$DQ510,1,('Individual Report'!AZ$18-2010)+('Individual Report'!$W$2-1)*12)),"")</f>
        <v/>
      </c>
      <c r="CO25" s="315" t="str" cm="1">
        <f t="array" ref="CO25">IFERROR(IF(INDEX('Result data'!$B510:$DQ510,1,('Individual Report'!BA$18-2010)+('Individual Report'!$W$2-1)*12)=0,"",INDEX('Result data'!$B510:$DQ510,1,('Individual Report'!BA$18-2010)+('Individual Report'!$W$2-1)*12)),"")</f>
        <v/>
      </c>
      <c r="CP25" s="315" t="str" cm="1">
        <f t="array" ref="CP25">IFERROR(IF(INDEX('Result data'!$B510:$DQ510,1,('Individual Report'!BB$18-2010)+('Individual Report'!$W$2-1)*12)=0,"",INDEX('Result data'!$B510:$DQ510,1,('Individual Report'!BB$18-2010)+('Individual Report'!$W$2-1)*12)),"")</f>
        <v/>
      </c>
      <c r="CQ25" s="303" t="str">
        <f t="shared" si="16"/>
        <v/>
      </c>
      <c r="CR25" s="303" t="str">
        <f t="shared" si="17"/>
        <v/>
      </c>
      <c r="CS25" s="303" t="str">
        <f t="shared" si="18"/>
        <v/>
      </c>
      <c r="CT25" s="303" t="str">
        <f t="shared" si="19"/>
        <v/>
      </c>
      <c r="CU25" s="303" t="str">
        <f t="shared" si="20"/>
        <v/>
      </c>
      <c r="CV25" s="303" t="str">
        <f t="shared" si="21"/>
        <v/>
      </c>
      <c r="CW25" s="303" t="str">
        <f t="shared" si="22"/>
        <v/>
      </c>
      <c r="CX25" s="303" t="str">
        <f t="shared" si="23"/>
        <v/>
      </c>
      <c r="CY25" s="303" t="str">
        <f t="shared" si="24"/>
        <v/>
      </c>
      <c r="CZ25" s="303" t="str">
        <f t="shared" si="25"/>
        <v/>
      </c>
    </row>
    <row r="26" spans="1:104" s="236" customFormat="1" ht="31.9" customHeight="1" x14ac:dyDescent="0.25">
      <c r="A26" s="326" t="str">
        <f t="shared" si="5"/>
        <v>Subsidiária 7</v>
      </c>
      <c r="B26" s="267" t="str">
        <f t="shared" si="26"/>
        <v/>
      </c>
      <c r="C26" s="271" t="str">
        <f>IF($M$2&lt;&gt;"Ok","",INDEX('Result data'!$C247:$L247,1,$W$2))</f>
        <v/>
      </c>
      <c r="D26" s="262" t="str">
        <f>IF($M$2&lt;&gt;"Ok","",INDEX('Result data'!$C259:$L259,1,$W$2))</f>
        <v/>
      </c>
      <c r="E26" s="912" t="str">
        <f t="shared" si="27"/>
        <v/>
      </c>
      <c r="F26" s="913"/>
      <c r="G26" s="276" t="str">
        <f>IF($M$2&lt;&gt;"Ok","",INDEX('Result data'!$C283:$L283,1,$W$2))</f>
        <v/>
      </c>
      <c r="H26" s="262" t="str">
        <f>IF($M$2&lt;&gt;"Ok","",INDEX('Result data'!$C295:$L295,1,$W$2))</f>
        <v/>
      </c>
      <c r="I26" s="707" t="str">
        <f t="shared" si="28"/>
        <v/>
      </c>
      <c r="J26" s="279" t="str">
        <f t="shared" si="29"/>
        <v/>
      </c>
      <c r="K26" s="299" t="str">
        <f t="shared" si="30"/>
        <v/>
      </c>
      <c r="L26"/>
      <c r="M26"/>
      <c r="N26"/>
      <c r="O26"/>
      <c r="P26"/>
      <c r="Q26"/>
      <c r="S26" s="235"/>
      <c r="T26" s="235"/>
      <c r="U26" s="235"/>
      <c r="V26" s="235"/>
      <c r="W26" s="235"/>
      <c r="Y26" s="546" t="str">
        <f>IF('Individual Report'!$B12="","",INDEX(Population!$BE$3:$BP$177,SUMIF(Population!$B$3:$B$177,'Individual Report'!$B12,Population!$A$3:$A$177),Y$18-2010))</f>
        <v/>
      </c>
      <c r="Z26" s="546" t="str">
        <f>IF('Individual Report'!$B12="","",INDEX(Population!$BE$3:$BP$177,SUMIF(Population!$B$3:$B$177,'Individual Report'!$B12,Population!$A$3:$A$177),Z$18-2010))</f>
        <v/>
      </c>
      <c r="AA26" s="546" t="str">
        <f>IF('Individual Report'!$B12="","",INDEX(Population!$BE$3:$BP$177,SUMIF(Population!$B$3:$B$177,'Individual Report'!$B12,Population!$A$3:$A$177),AA$18-2010))</f>
        <v/>
      </c>
      <c r="AB26" s="546" t="str">
        <f>IF('Individual Report'!$B12="","",INDEX(Population!$BE$3:$BP$177,SUMIF(Population!$B$3:$B$177,'Individual Report'!$B12,Population!$A$3:$A$177),AB$18-2010))</f>
        <v/>
      </c>
      <c r="AC26" s="546" t="str">
        <f>IF('Individual Report'!$B12="","",INDEX(Population!$BE$3:$BP$177,SUMIF(Population!$B$3:$B$177,'Individual Report'!$B12,Population!$A$3:$A$177),AC$18-2010))</f>
        <v/>
      </c>
      <c r="AD26" s="546" t="str">
        <f>IF('Individual Report'!$B12="","",INDEX(Population!$BE$3:$BP$177,SUMIF(Population!$B$3:$B$177,'Individual Report'!$B12,Population!$A$3:$A$177),AD$18-2010))</f>
        <v/>
      </c>
      <c r="AE26" s="546" t="str">
        <f>IF('Individual Report'!$B12="","",INDEX(Population!$BE$3:$BP$177,SUMIF(Population!$B$3:$B$177,'Individual Report'!$B12,Population!$A$3:$A$177),AE$18-2010))</f>
        <v/>
      </c>
      <c r="AF26" s="546" t="str">
        <f>IF('Individual Report'!$B12="","",INDEX(Population!$BE$3:$BP$177,SUMIF(Population!$B$3:$B$177,'Individual Report'!$B12,Population!$A$3:$A$177),AF$18-2010))</f>
        <v/>
      </c>
      <c r="AG26" s="546" t="str">
        <f>IF('Individual Report'!$B12="","",INDEX(Population!$BE$3:$BP$177,SUMIF(Population!$B$3:$B$177,'Individual Report'!$B12,Population!$A$3:$A$177),AG$18-2010))</f>
        <v/>
      </c>
      <c r="AH26" s="546" t="str">
        <f>IF('Individual Report'!$B12="","",INDEX(Population!$BE$3:$BP$177,SUMIF(Population!$B$3:$B$177,'Individual Report'!$B12,Population!$A$3:$A$177),AH$18-2010))</f>
        <v/>
      </c>
      <c r="AI26" s="547" t="str" cm="1">
        <f t="array" ref="AI26">IFERROR(IF(INDEX('Result data'!$B489:$DQ489,1,('Individual Report'!AI$18-2010)+('Individual Report'!$W$2-1)*12)=1,".",INDEX('Result data'!$B489:$DQ489,1,('Individual Report'!AI$18-2010)+('Individual Report'!$W$2-1)*12)),"")</f>
        <v/>
      </c>
      <c r="AJ26" s="547" t="str" cm="1">
        <f t="array" ref="AJ26">IFERROR(IF(INDEX('Result data'!$B489:$DQ489,1,('Individual Report'!AJ$18-2010)+('Individual Report'!$W$2-1)*12)=1,".",INDEX('Result data'!$B489:$DQ489,1,('Individual Report'!AJ$18-2010)+('Individual Report'!$W$2-1)*12)),"")</f>
        <v/>
      </c>
      <c r="AK26" s="547" t="str" cm="1">
        <f t="array" ref="AK26">IFERROR(IF(INDEX('Result data'!$B489:$DQ489,1,('Individual Report'!AK$18-2010)+('Individual Report'!$W$2-1)*12)=1,".",INDEX('Result data'!$B489:$DQ489,1,('Individual Report'!AK$18-2010)+('Individual Report'!$W$2-1)*12)),"")</f>
        <v/>
      </c>
      <c r="AL26" s="547" t="str" cm="1">
        <f t="array" ref="AL26">IFERROR(IF(INDEX('Result data'!$B489:$DQ489,1,('Individual Report'!AL$18-2010)+('Individual Report'!$W$2-1)*12)=1,".",INDEX('Result data'!$B489:$DQ489,1,('Individual Report'!AL$18-2010)+('Individual Report'!$W$2-1)*12)),"")</f>
        <v/>
      </c>
      <c r="AM26" s="547" t="str" cm="1">
        <f t="array" ref="AM26">IFERROR(IF(INDEX('Result data'!$B489:$DQ489,1,('Individual Report'!AM$18-2010)+('Individual Report'!$W$2-1)*12)=1,".",INDEX('Result data'!$B489:$DQ489,1,('Individual Report'!AM$18-2010)+('Individual Report'!$W$2-1)*12)),"")</f>
        <v/>
      </c>
      <c r="AN26" s="547" t="str" cm="1">
        <f t="array" ref="AN26">IFERROR(IF(INDEX('Result data'!$B489:$DQ489,1,('Individual Report'!AN$18-2010)+('Individual Report'!$W$2-1)*12)=1,".",INDEX('Result data'!$B489:$DQ489,1,('Individual Report'!AN$18-2010)+('Individual Report'!$W$2-1)*12)),"")</f>
        <v/>
      </c>
      <c r="AO26" s="547" t="str" cm="1">
        <f t="array" ref="AO26">IFERROR(IF(INDEX('Result data'!$B489:$DQ489,1,('Individual Report'!AO$18-2010)+('Individual Report'!$W$2-1)*12)=1,".",INDEX('Result data'!$B489:$DQ489,1,('Individual Report'!AO$18-2010)+('Individual Report'!$W$2-1)*12)),"")</f>
        <v/>
      </c>
      <c r="AP26" s="547" t="str" cm="1">
        <f t="array" ref="AP26">IFERROR(IF(INDEX('Result data'!$B489:$DQ489,1,('Individual Report'!AP$18-2010)+('Individual Report'!$W$2-1)*12)=1,".",INDEX('Result data'!$B489:$DQ489,1,('Individual Report'!AP$18-2010)+('Individual Report'!$W$2-1)*12)),"")</f>
        <v/>
      </c>
      <c r="AQ26" s="547" t="str" cm="1">
        <f t="array" ref="AQ26">IFERROR(IF(INDEX('Result data'!$B489:$DQ489,1,('Individual Report'!AQ$18-2010)+('Individual Report'!$W$2-1)*12)=1,".",INDEX('Result data'!$B489:$DQ489,1,('Individual Report'!AQ$18-2010)+('Individual Report'!$W$2-1)*12)),"")</f>
        <v/>
      </c>
      <c r="AR26" s="547" t="str" cm="1">
        <f t="array" ref="AR26">IFERROR(IF(INDEX('Result data'!$B489:$DQ489,1,('Individual Report'!AR$18-2010)+('Individual Report'!$W$2-1)*12)=1,".",INDEX('Result data'!$B489:$DQ489,1,('Individual Report'!AR$18-2010)+('Individual Report'!$W$2-1)*12)),"")</f>
        <v/>
      </c>
      <c r="AS26" s="547" t="str" cm="1">
        <f t="array" ref="AS26">IFERROR(INDEX('Result data'!$B500:$DQ500,1,('Individual Report'!AS$18-2010)+('Individual Report'!$W$2-1)*12),"")</f>
        <v/>
      </c>
      <c r="AT26" s="547" t="str" cm="1">
        <f t="array" ref="AT26">IFERROR(INDEX('Result data'!$B500:$DQ500,1,('Individual Report'!AT$18-2010)+('Individual Report'!$W$2-1)*12),"")</f>
        <v/>
      </c>
      <c r="AU26" s="547" t="str" cm="1">
        <f t="array" ref="AU26">IFERROR(INDEX('Result data'!$B500:$DQ500,1,('Individual Report'!AU$18-2010)+('Individual Report'!$W$2-1)*12),"")</f>
        <v/>
      </c>
      <c r="AV26" s="547" t="str" cm="1">
        <f t="array" ref="AV26">IFERROR(INDEX('Result data'!$B500:$DQ500,1,('Individual Report'!AV$18-2010)+('Individual Report'!$W$2-1)*12),"")</f>
        <v/>
      </c>
      <c r="AW26" s="547" t="str" cm="1">
        <f t="array" ref="AW26">IFERROR(INDEX('Result data'!$B500:$DQ500,1,('Individual Report'!AW$18-2010)+('Individual Report'!$W$2-1)*12),"")</f>
        <v/>
      </c>
      <c r="AX26" s="547" t="str" cm="1">
        <f t="array" ref="AX26">IFERROR(INDEX('Result data'!$B500:$DQ500,1,('Individual Report'!AX$18-2010)+('Individual Report'!$W$2-1)*12),"")</f>
        <v/>
      </c>
      <c r="AY26" s="547" t="str" cm="1">
        <f t="array" ref="AY26">IFERROR(INDEX('Result data'!$B500:$DQ500,1,('Individual Report'!AY$18-2010)+('Individual Report'!$W$2-1)*12),"")</f>
        <v/>
      </c>
      <c r="AZ26" s="547" t="str" cm="1">
        <f t="array" ref="AZ26">IFERROR(INDEX('Result data'!$B500:$DQ500,1,('Individual Report'!AZ$18-2010)+('Individual Report'!$W$2-1)*12),"")</f>
        <v/>
      </c>
      <c r="BA26" s="547" t="str" cm="1">
        <f t="array" ref="BA26">IFERROR(INDEX('Result data'!$B500:$DQ500,1,('Individual Report'!BA$18-2010)+('Individual Report'!$W$2-1)*12),"")</f>
        <v/>
      </c>
      <c r="BB26" s="547" t="str" cm="1">
        <f t="array" ref="BB26">IFERROR(INDEX('Result data'!$B500:$DQ500,1,('Individual Report'!BB$18-2010)+('Individual Report'!$W$2-1)*12),"")</f>
        <v/>
      </c>
      <c r="BC26" s="548" t="str" cm="1">
        <f t="array" ref="BC26">IF('Individual Report'!$B12="","",INDEX('Result data'!$FC$216:$FL$390,SUMIF(Population!$B$3:$B$177,'Individual Report'!$B12,Population!$A$3:$A$177),BC$18-2010))</f>
        <v/>
      </c>
      <c r="BD26" s="548" t="str" cm="1">
        <f t="array" ref="BD26">IF('Individual Report'!$B12="","",INDEX('Result data'!$FC$216:$FL$390,SUMIF(Population!$B$3:$B$177,'Individual Report'!$B12,Population!$A$3:$A$177),BD$18-2010))</f>
        <v/>
      </c>
      <c r="BE26" s="548" t="str" cm="1">
        <f t="array" ref="BE26">IF('Individual Report'!$B12="","",INDEX('Result data'!$FC$216:$FL$390,SUMIF(Population!$B$3:$B$177,'Individual Report'!$B12,Population!$A$3:$A$177),BE$18-2010))</f>
        <v/>
      </c>
      <c r="BF26" s="548" t="str" cm="1">
        <f t="array" ref="BF26">IF('Individual Report'!$B12="","",INDEX('Result data'!$FC$216:$FL$390,SUMIF(Population!$B$3:$B$177,'Individual Report'!$B12,Population!$A$3:$A$177),BF$18-2010))</f>
        <v/>
      </c>
      <c r="BG26" s="548" t="str" cm="1">
        <f t="array" ref="BG26">IF('Individual Report'!$B12="","",INDEX('Result data'!$FC$216:$FL$390,SUMIF(Population!$B$3:$B$177,'Individual Report'!$B12,Population!$A$3:$A$177),BG$18-2010))</f>
        <v/>
      </c>
      <c r="BH26" s="548" t="str" cm="1">
        <f t="array" ref="BH26">IF('Individual Report'!$B12="","",INDEX('Result data'!$FC$216:$FL$390,SUMIF(Population!$B$3:$B$177,'Individual Report'!$B12,Population!$A$3:$A$177),BH$18-2010))</f>
        <v/>
      </c>
      <c r="BI26" s="548" t="str" cm="1">
        <f t="array" ref="BI26">IF('Individual Report'!$B12="","",INDEX('Result data'!$FC$216:$FL$390,SUMIF(Population!$B$3:$B$177,'Individual Report'!$B12,Population!$A$3:$A$177),BI$18-2010))</f>
        <v/>
      </c>
      <c r="BJ26" s="548" t="str" cm="1">
        <f t="array" ref="BJ26">IF('Individual Report'!$B12="","",INDEX('Result data'!$FC$216:$FL$390,SUMIF(Population!$B$3:$B$177,'Individual Report'!$B12,Population!$A$3:$A$177),BJ$18-2010))</f>
        <v/>
      </c>
      <c r="BK26" s="548" t="str" cm="1">
        <f t="array" ref="BK26">IF('Individual Report'!$B12="","",INDEX('Result data'!$FC$216:$FL$390,SUMIF(Population!$B$3:$B$177,'Individual Report'!$B12,Population!$A$3:$A$177),BK$18-2010))</f>
        <v/>
      </c>
      <c r="BL26" s="548" t="str" cm="1">
        <f t="array" ref="BL26">IF('Individual Report'!$B12="","",INDEX('Result data'!$FC$216:$FL$390,SUMIF(Population!$B$3:$B$177,'Individual Report'!$B12,Population!$A$3:$A$177),BL$18-2010))</f>
        <v/>
      </c>
      <c r="BM26" s="303" t="str">
        <f t="shared" si="6"/>
        <v/>
      </c>
      <c r="BN26" s="303" t="str">
        <f t="shared" si="7"/>
        <v/>
      </c>
      <c r="BO26" s="303" t="str">
        <f t="shared" si="8"/>
        <v/>
      </c>
      <c r="BP26" s="303" t="str">
        <f t="shared" si="9"/>
        <v/>
      </c>
      <c r="BQ26" s="303" t="str">
        <f t="shared" si="10"/>
        <v/>
      </c>
      <c r="BR26" s="303" t="str">
        <f t="shared" si="11"/>
        <v/>
      </c>
      <c r="BS26" s="303" t="str">
        <f t="shared" si="12"/>
        <v/>
      </c>
      <c r="BT26" s="303" t="str">
        <f t="shared" si="13"/>
        <v/>
      </c>
      <c r="BU26" s="303" t="str">
        <f t="shared" si="14"/>
        <v/>
      </c>
      <c r="BV26" s="303" t="str">
        <f t="shared" si="15"/>
        <v/>
      </c>
      <c r="BW26" s="316">
        <f>SUMIF('Result data'!$O$216:$O$390,'Individual Report'!$B12,'Result data'!BS$216:BS$390)</f>
        <v>0</v>
      </c>
      <c r="BX26" s="316">
        <f>SUMIF('Result data'!$O$216:$O$390,'Individual Report'!$B12,'Result data'!BT$216:BT$390)</f>
        <v>0</v>
      </c>
      <c r="BY26" s="316">
        <f>SUMIF('Result data'!$O$216:$O$390,'Individual Report'!$B12,'Result data'!BU$216:BU$390)</f>
        <v>0</v>
      </c>
      <c r="BZ26" s="316">
        <f>SUMIF('Result data'!$O$216:$O$390,'Individual Report'!$B12,'Result data'!BV$216:BV$390)</f>
        <v>0</v>
      </c>
      <c r="CA26" s="316">
        <f>SUMIF('Result data'!$O$216:$O$390,'Individual Report'!$B12,'Result data'!BW$216:BW$390)</f>
        <v>0</v>
      </c>
      <c r="CB26" s="316">
        <f>SUMIF('Result data'!$O$216:$O$390,'Individual Report'!$B12,'Result data'!BX$216:BX$390)</f>
        <v>0</v>
      </c>
      <c r="CC26" s="316">
        <f>SUMIF('Result data'!$O$216:$O$390,'Individual Report'!$B12,'Result data'!BY$216:BY$390)</f>
        <v>0</v>
      </c>
      <c r="CD26" s="316">
        <f>SUMIF('Result data'!$O$216:$O$390,'Individual Report'!$B12,'Result data'!BZ$216:BZ$390)</f>
        <v>0</v>
      </c>
      <c r="CE26" s="316">
        <f>SUMIF('Result data'!$O$216:$O$390,'Individual Report'!$B12,'Result data'!CA$216:CA$390)</f>
        <v>0</v>
      </c>
      <c r="CF26" s="316">
        <f>SUMIF('Result data'!$O$216:$O$390,'Individual Report'!$B12,'Result data'!CB$216:CB$390)</f>
        <v>0</v>
      </c>
      <c r="CG26" s="315" t="str" cm="1">
        <f t="array" ref="CG26">IFERROR(IF(INDEX('Result data'!$B511:$DQ511,1,('Individual Report'!AS$18-2010)+('Individual Report'!$W$2-1)*12)=0,"",INDEX('Result data'!$B511:$DQ511,1,('Individual Report'!AS$18-2010)+('Individual Report'!$W$2-1)*12)),"")</f>
        <v/>
      </c>
      <c r="CH26" s="315" t="str" cm="1">
        <f t="array" ref="CH26">IFERROR(IF(INDEX('Result data'!$B511:$DQ511,1,('Individual Report'!AT$18-2010)+('Individual Report'!$W$2-1)*12)=0,"",INDEX('Result data'!$B511:$DQ511,1,('Individual Report'!AT$18-2010)+('Individual Report'!$W$2-1)*12)),"")</f>
        <v/>
      </c>
      <c r="CI26" s="315" t="str" cm="1">
        <f t="array" ref="CI26">IFERROR(IF(INDEX('Result data'!$B511:$DQ511,1,('Individual Report'!AU$18-2010)+('Individual Report'!$W$2-1)*12)=0,"",INDEX('Result data'!$B511:$DQ511,1,('Individual Report'!AU$18-2010)+('Individual Report'!$W$2-1)*12)),"")</f>
        <v/>
      </c>
      <c r="CJ26" s="315" t="str" cm="1">
        <f t="array" ref="CJ26">IFERROR(IF(INDEX('Result data'!$B511:$DQ511,1,('Individual Report'!AV$18-2010)+('Individual Report'!$W$2-1)*12)=0,"",INDEX('Result data'!$B511:$DQ511,1,('Individual Report'!AV$18-2010)+('Individual Report'!$W$2-1)*12)),"")</f>
        <v/>
      </c>
      <c r="CK26" s="315" t="str" cm="1">
        <f t="array" ref="CK26">IFERROR(IF(INDEX('Result data'!$B511:$DQ511,1,('Individual Report'!AW$18-2010)+('Individual Report'!$W$2-1)*12)=0,"",INDEX('Result data'!$B511:$DQ511,1,('Individual Report'!AW$18-2010)+('Individual Report'!$W$2-1)*12)),"")</f>
        <v/>
      </c>
      <c r="CL26" s="315" t="str" cm="1">
        <f t="array" ref="CL26">IFERROR(IF(INDEX('Result data'!$B511:$DQ511,1,('Individual Report'!AX$18-2010)+('Individual Report'!$W$2-1)*12)=0,"",INDEX('Result data'!$B511:$DQ511,1,('Individual Report'!AX$18-2010)+('Individual Report'!$W$2-1)*12)),"")</f>
        <v/>
      </c>
      <c r="CM26" s="315" t="str" cm="1">
        <f t="array" ref="CM26">IFERROR(IF(INDEX('Result data'!$B511:$DQ511,1,('Individual Report'!AY$18-2010)+('Individual Report'!$W$2-1)*12)=0,"",INDEX('Result data'!$B511:$DQ511,1,('Individual Report'!AY$18-2010)+('Individual Report'!$W$2-1)*12)),"")</f>
        <v/>
      </c>
      <c r="CN26" s="315" t="str" cm="1">
        <f t="array" ref="CN26">IFERROR(IF(INDEX('Result data'!$B511:$DQ511,1,('Individual Report'!AZ$18-2010)+('Individual Report'!$W$2-1)*12)=0,"",INDEX('Result data'!$B511:$DQ511,1,('Individual Report'!AZ$18-2010)+('Individual Report'!$W$2-1)*12)),"")</f>
        <v/>
      </c>
      <c r="CO26" s="315" t="str" cm="1">
        <f t="array" ref="CO26">IFERROR(IF(INDEX('Result data'!$B511:$DQ511,1,('Individual Report'!BA$18-2010)+('Individual Report'!$W$2-1)*12)=0,"",INDEX('Result data'!$B511:$DQ511,1,('Individual Report'!BA$18-2010)+('Individual Report'!$W$2-1)*12)),"")</f>
        <v/>
      </c>
      <c r="CP26" s="315" t="str" cm="1">
        <f t="array" ref="CP26">IFERROR(IF(INDEX('Result data'!$B511:$DQ511,1,('Individual Report'!BB$18-2010)+('Individual Report'!$W$2-1)*12)=0,"",INDEX('Result data'!$B511:$DQ511,1,('Individual Report'!BB$18-2010)+('Individual Report'!$W$2-1)*12)),"")</f>
        <v/>
      </c>
      <c r="CQ26" s="303" t="str">
        <f t="shared" si="16"/>
        <v/>
      </c>
      <c r="CR26" s="303" t="str">
        <f t="shared" si="17"/>
        <v/>
      </c>
      <c r="CS26" s="303" t="str">
        <f t="shared" si="18"/>
        <v/>
      </c>
      <c r="CT26" s="303" t="str">
        <f t="shared" si="19"/>
        <v/>
      </c>
      <c r="CU26" s="303" t="str">
        <f t="shared" si="20"/>
        <v/>
      </c>
      <c r="CV26" s="303" t="str">
        <f t="shared" si="21"/>
        <v/>
      </c>
      <c r="CW26" s="303" t="str">
        <f t="shared" si="22"/>
        <v/>
      </c>
      <c r="CX26" s="303" t="str">
        <f t="shared" si="23"/>
        <v/>
      </c>
      <c r="CY26" s="303" t="str">
        <f t="shared" si="24"/>
        <v/>
      </c>
      <c r="CZ26" s="303" t="str">
        <f t="shared" si="25"/>
        <v/>
      </c>
    </row>
    <row r="27" spans="1:104" s="236" customFormat="1" ht="31.9" customHeight="1" x14ac:dyDescent="0.25">
      <c r="A27" s="325" t="str">
        <f t="shared" si="5"/>
        <v>Subsidiária 8</v>
      </c>
      <c r="B27" s="266" t="str">
        <f t="shared" si="26"/>
        <v/>
      </c>
      <c r="C27" s="270" t="str">
        <f>IF($M$2&lt;&gt;"Ok","",INDEX('Result data'!$C248:$L248,1,$W$2))</f>
        <v/>
      </c>
      <c r="D27" s="261" t="str">
        <f>IF($M$2&lt;&gt;"Ok","",INDEX('Result data'!$C260:$L260,1,$W$2))</f>
        <v/>
      </c>
      <c r="E27" s="910" t="str">
        <f t="shared" si="27"/>
        <v/>
      </c>
      <c r="F27" s="911"/>
      <c r="G27" s="275" t="str">
        <f>IF($M$2&lt;&gt;"Ok","",INDEX('Result data'!$C284:$L284,1,$W$2))</f>
        <v/>
      </c>
      <c r="H27" s="261" t="str">
        <f>IF($M$2&lt;&gt;"Ok","",INDEX('Result data'!$C296:$L296,1,$W$2))</f>
        <v/>
      </c>
      <c r="I27" s="706" t="str">
        <f t="shared" si="28"/>
        <v/>
      </c>
      <c r="J27" s="278" t="str">
        <f t="shared" si="29"/>
        <v/>
      </c>
      <c r="K27" s="298" t="str">
        <f t="shared" si="30"/>
        <v/>
      </c>
      <c r="L27"/>
      <c r="M27"/>
      <c r="N27"/>
      <c r="O27"/>
      <c r="P27"/>
      <c r="Q27"/>
      <c r="S27" s="235"/>
      <c r="T27" s="235"/>
      <c r="U27" s="235"/>
      <c r="V27" s="235"/>
      <c r="W27" s="235"/>
      <c r="Y27" s="546" t="str">
        <f>IF('Individual Report'!$B13="","",INDEX(Population!$BE$3:$BP$177,SUMIF(Population!$B$3:$B$177,'Individual Report'!$B13,Population!$A$3:$A$177),Y$18-2010))</f>
        <v/>
      </c>
      <c r="Z27" s="546" t="str">
        <f>IF('Individual Report'!$B13="","",INDEX(Population!$BE$3:$BP$177,SUMIF(Population!$B$3:$B$177,'Individual Report'!$B13,Population!$A$3:$A$177),Z$18-2010))</f>
        <v/>
      </c>
      <c r="AA27" s="546" t="str">
        <f>IF('Individual Report'!$B13="","",INDEX(Population!$BE$3:$BP$177,SUMIF(Population!$B$3:$B$177,'Individual Report'!$B13,Population!$A$3:$A$177),AA$18-2010))</f>
        <v/>
      </c>
      <c r="AB27" s="546" t="str">
        <f>IF('Individual Report'!$B13="","",INDEX(Population!$BE$3:$BP$177,SUMIF(Population!$B$3:$B$177,'Individual Report'!$B13,Population!$A$3:$A$177),AB$18-2010))</f>
        <v/>
      </c>
      <c r="AC27" s="546" t="str">
        <f>IF('Individual Report'!$B13="","",INDEX(Population!$BE$3:$BP$177,SUMIF(Population!$B$3:$B$177,'Individual Report'!$B13,Population!$A$3:$A$177),AC$18-2010))</f>
        <v/>
      </c>
      <c r="AD27" s="546" t="str">
        <f>IF('Individual Report'!$B13="","",INDEX(Population!$BE$3:$BP$177,SUMIF(Population!$B$3:$B$177,'Individual Report'!$B13,Population!$A$3:$A$177),AD$18-2010))</f>
        <v/>
      </c>
      <c r="AE27" s="546" t="str">
        <f>IF('Individual Report'!$B13="","",INDEX(Population!$BE$3:$BP$177,SUMIF(Population!$B$3:$B$177,'Individual Report'!$B13,Population!$A$3:$A$177),AE$18-2010))</f>
        <v/>
      </c>
      <c r="AF27" s="546" t="str">
        <f>IF('Individual Report'!$B13="","",INDEX(Population!$BE$3:$BP$177,SUMIF(Population!$B$3:$B$177,'Individual Report'!$B13,Population!$A$3:$A$177),AF$18-2010))</f>
        <v/>
      </c>
      <c r="AG27" s="546" t="str">
        <f>IF('Individual Report'!$B13="","",INDEX(Population!$BE$3:$BP$177,SUMIF(Population!$B$3:$B$177,'Individual Report'!$B13,Population!$A$3:$A$177),AG$18-2010))</f>
        <v/>
      </c>
      <c r="AH27" s="546" t="str">
        <f>IF('Individual Report'!$B13="","",INDEX(Population!$BE$3:$BP$177,SUMIF(Population!$B$3:$B$177,'Individual Report'!$B13,Population!$A$3:$A$177),AH$18-2010))</f>
        <v/>
      </c>
      <c r="AI27" s="547" t="str" cm="1">
        <f t="array" ref="AI27">IFERROR(IF(INDEX('Result data'!$B490:$DQ490,1,('Individual Report'!AI$18-2010)+('Individual Report'!$W$2-1)*12)=1,".",INDEX('Result data'!$B490:$DQ490,1,('Individual Report'!AI$18-2010)+('Individual Report'!$W$2-1)*12)),"")</f>
        <v/>
      </c>
      <c r="AJ27" s="547" t="str" cm="1">
        <f t="array" ref="AJ27">IFERROR(IF(INDEX('Result data'!$B490:$DQ490,1,('Individual Report'!AJ$18-2010)+('Individual Report'!$W$2-1)*12)=1,".",INDEX('Result data'!$B490:$DQ490,1,('Individual Report'!AJ$18-2010)+('Individual Report'!$W$2-1)*12)),"")</f>
        <v/>
      </c>
      <c r="AK27" s="547" t="str" cm="1">
        <f t="array" ref="AK27">IFERROR(IF(INDEX('Result data'!$B490:$DQ490,1,('Individual Report'!AK$18-2010)+('Individual Report'!$W$2-1)*12)=1,".",INDEX('Result data'!$B490:$DQ490,1,('Individual Report'!AK$18-2010)+('Individual Report'!$W$2-1)*12)),"")</f>
        <v/>
      </c>
      <c r="AL27" s="547" t="str" cm="1">
        <f t="array" ref="AL27">IFERROR(IF(INDEX('Result data'!$B490:$DQ490,1,('Individual Report'!AL$18-2010)+('Individual Report'!$W$2-1)*12)=1,".",INDEX('Result data'!$B490:$DQ490,1,('Individual Report'!AL$18-2010)+('Individual Report'!$W$2-1)*12)),"")</f>
        <v/>
      </c>
      <c r="AM27" s="547" t="str" cm="1">
        <f t="array" ref="AM27">IFERROR(IF(INDEX('Result data'!$B490:$DQ490,1,('Individual Report'!AM$18-2010)+('Individual Report'!$W$2-1)*12)=1,".",INDEX('Result data'!$B490:$DQ490,1,('Individual Report'!AM$18-2010)+('Individual Report'!$W$2-1)*12)),"")</f>
        <v/>
      </c>
      <c r="AN27" s="547" t="str" cm="1">
        <f t="array" ref="AN27">IFERROR(IF(INDEX('Result data'!$B490:$DQ490,1,('Individual Report'!AN$18-2010)+('Individual Report'!$W$2-1)*12)=1,".",INDEX('Result data'!$B490:$DQ490,1,('Individual Report'!AN$18-2010)+('Individual Report'!$W$2-1)*12)),"")</f>
        <v/>
      </c>
      <c r="AO27" s="547" t="str" cm="1">
        <f t="array" ref="AO27">IFERROR(IF(INDEX('Result data'!$B490:$DQ490,1,('Individual Report'!AO$18-2010)+('Individual Report'!$W$2-1)*12)=1,".",INDEX('Result data'!$B490:$DQ490,1,('Individual Report'!AO$18-2010)+('Individual Report'!$W$2-1)*12)),"")</f>
        <v/>
      </c>
      <c r="AP27" s="547" t="str" cm="1">
        <f t="array" ref="AP27">IFERROR(IF(INDEX('Result data'!$B490:$DQ490,1,('Individual Report'!AP$18-2010)+('Individual Report'!$W$2-1)*12)=1,".",INDEX('Result data'!$B490:$DQ490,1,('Individual Report'!AP$18-2010)+('Individual Report'!$W$2-1)*12)),"")</f>
        <v/>
      </c>
      <c r="AQ27" s="547" t="str" cm="1">
        <f t="array" ref="AQ27">IFERROR(IF(INDEX('Result data'!$B490:$DQ490,1,('Individual Report'!AQ$18-2010)+('Individual Report'!$W$2-1)*12)=1,".",INDEX('Result data'!$B490:$DQ490,1,('Individual Report'!AQ$18-2010)+('Individual Report'!$W$2-1)*12)),"")</f>
        <v/>
      </c>
      <c r="AR27" s="547" t="str" cm="1">
        <f t="array" ref="AR27">IFERROR(IF(INDEX('Result data'!$B490:$DQ490,1,('Individual Report'!AR$18-2010)+('Individual Report'!$W$2-1)*12)=1,".",INDEX('Result data'!$B490:$DQ490,1,('Individual Report'!AR$18-2010)+('Individual Report'!$W$2-1)*12)),"")</f>
        <v/>
      </c>
      <c r="AS27" s="547" t="str" cm="1">
        <f t="array" ref="AS27">IFERROR(INDEX('Result data'!$B501:$DQ501,1,('Individual Report'!AS$18-2010)+('Individual Report'!$W$2-1)*12),"")</f>
        <v/>
      </c>
      <c r="AT27" s="547" t="str" cm="1">
        <f t="array" ref="AT27">IFERROR(INDEX('Result data'!$B501:$DQ501,1,('Individual Report'!AT$18-2010)+('Individual Report'!$W$2-1)*12),"")</f>
        <v/>
      </c>
      <c r="AU27" s="547" t="str" cm="1">
        <f t="array" ref="AU27">IFERROR(INDEX('Result data'!$B501:$DQ501,1,('Individual Report'!AU$18-2010)+('Individual Report'!$W$2-1)*12),"")</f>
        <v/>
      </c>
      <c r="AV27" s="547" t="str" cm="1">
        <f t="array" ref="AV27">IFERROR(INDEX('Result data'!$B501:$DQ501,1,('Individual Report'!AV$18-2010)+('Individual Report'!$W$2-1)*12),"")</f>
        <v/>
      </c>
      <c r="AW27" s="547" t="str" cm="1">
        <f t="array" ref="AW27">IFERROR(INDEX('Result data'!$B501:$DQ501,1,('Individual Report'!AW$18-2010)+('Individual Report'!$W$2-1)*12),"")</f>
        <v/>
      </c>
      <c r="AX27" s="547" t="str" cm="1">
        <f t="array" ref="AX27">IFERROR(INDEX('Result data'!$B501:$DQ501,1,('Individual Report'!AX$18-2010)+('Individual Report'!$W$2-1)*12),"")</f>
        <v/>
      </c>
      <c r="AY27" s="547" t="str" cm="1">
        <f t="array" ref="AY27">IFERROR(INDEX('Result data'!$B501:$DQ501,1,('Individual Report'!AY$18-2010)+('Individual Report'!$W$2-1)*12),"")</f>
        <v/>
      </c>
      <c r="AZ27" s="547" t="str" cm="1">
        <f t="array" ref="AZ27">IFERROR(INDEX('Result data'!$B501:$DQ501,1,('Individual Report'!AZ$18-2010)+('Individual Report'!$W$2-1)*12),"")</f>
        <v/>
      </c>
      <c r="BA27" s="547" t="str" cm="1">
        <f t="array" ref="BA27">IFERROR(INDEX('Result data'!$B501:$DQ501,1,('Individual Report'!BA$18-2010)+('Individual Report'!$W$2-1)*12),"")</f>
        <v/>
      </c>
      <c r="BB27" s="547" t="str" cm="1">
        <f t="array" ref="BB27">IFERROR(INDEX('Result data'!$B501:$DQ501,1,('Individual Report'!BB$18-2010)+('Individual Report'!$W$2-1)*12),"")</f>
        <v/>
      </c>
      <c r="BC27" s="548" t="str" cm="1">
        <f t="array" ref="BC27">IF('Individual Report'!$B13="","",INDEX('Result data'!$FC$216:$FL$390,SUMIF(Population!$B$3:$B$177,'Individual Report'!$B13,Population!$A$3:$A$177),BC$18-2010))</f>
        <v/>
      </c>
      <c r="BD27" s="548" t="str" cm="1">
        <f t="array" ref="BD27">IF('Individual Report'!$B13="","",INDEX('Result data'!$FC$216:$FL$390,SUMIF(Population!$B$3:$B$177,'Individual Report'!$B13,Population!$A$3:$A$177),BD$18-2010))</f>
        <v/>
      </c>
      <c r="BE27" s="548" t="str" cm="1">
        <f t="array" ref="BE27">IF('Individual Report'!$B13="","",INDEX('Result data'!$FC$216:$FL$390,SUMIF(Population!$B$3:$B$177,'Individual Report'!$B13,Population!$A$3:$A$177),BE$18-2010))</f>
        <v/>
      </c>
      <c r="BF27" s="548" t="str" cm="1">
        <f t="array" ref="BF27">IF('Individual Report'!$B13="","",INDEX('Result data'!$FC$216:$FL$390,SUMIF(Population!$B$3:$B$177,'Individual Report'!$B13,Population!$A$3:$A$177),BF$18-2010))</f>
        <v/>
      </c>
      <c r="BG27" s="548" t="str" cm="1">
        <f t="array" ref="BG27">IF('Individual Report'!$B13="","",INDEX('Result data'!$FC$216:$FL$390,SUMIF(Population!$B$3:$B$177,'Individual Report'!$B13,Population!$A$3:$A$177),BG$18-2010))</f>
        <v/>
      </c>
      <c r="BH27" s="548" t="str" cm="1">
        <f t="array" ref="BH27">IF('Individual Report'!$B13="","",INDEX('Result data'!$FC$216:$FL$390,SUMIF(Population!$B$3:$B$177,'Individual Report'!$B13,Population!$A$3:$A$177),BH$18-2010))</f>
        <v/>
      </c>
      <c r="BI27" s="548" t="str" cm="1">
        <f t="array" ref="BI27">IF('Individual Report'!$B13="","",INDEX('Result data'!$FC$216:$FL$390,SUMIF(Population!$B$3:$B$177,'Individual Report'!$B13,Population!$A$3:$A$177),BI$18-2010))</f>
        <v/>
      </c>
      <c r="BJ27" s="548" t="str" cm="1">
        <f t="array" ref="BJ27">IF('Individual Report'!$B13="","",INDEX('Result data'!$FC$216:$FL$390,SUMIF(Population!$B$3:$B$177,'Individual Report'!$B13,Population!$A$3:$A$177),BJ$18-2010))</f>
        <v/>
      </c>
      <c r="BK27" s="548" t="str" cm="1">
        <f t="array" ref="BK27">IF('Individual Report'!$B13="","",INDEX('Result data'!$FC$216:$FL$390,SUMIF(Population!$B$3:$B$177,'Individual Report'!$B13,Population!$A$3:$A$177),BK$18-2010))</f>
        <v/>
      </c>
      <c r="BL27" s="548" t="str" cm="1">
        <f t="array" ref="BL27">IF('Individual Report'!$B13="","",INDEX('Result data'!$FC$216:$FL$390,SUMIF(Population!$B$3:$B$177,'Individual Report'!$B13,Population!$A$3:$A$177),BL$18-2010))</f>
        <v/>
      </c>
      <c r="BM27" s="303" t="str">
        <f t="shared" si="6"/>
        <v/>
      </c>
      <c r="BN27" s="303" t="str">
        <f t="shared" si="7"/>
        <v/>
      </c>
      <c r="BO27" s="303" t="str">
        <f t="shared" si="8"/>
        <v/>
      </c>
      <c r="BP27" s="303" t="str">
        <f t="shared" si="9"/>
        <v/>
      </c>
      <c r="BQ27" s="303" t="str">
        <f t="shared" si="10"/>
        <v/>
      </c>
      <c r="BR27" s="303" t="str">
        <f t="shared" si="11"/>
        <v/>
      </c>
      <c r="BS27" s="303" t="str">
        <f t="shared" si="12"/>
        <v/>
      </c>
      <c r="BT27" s="303" t="str">
        <f t="shared" si="13"/>
        <v/>
      </c>
      <c r="BU27" s="303" t="str">
        <f t="shared" si="14"/>
        <v/>
      </c>
      <c r="BV27" s="303" t="str">
        <f t="shared" si="15"/>
        <v/>
      </c>
      <c r="BW27" s="316">
        <f>SUMIF('Result data'!$O$216:$O$390,'Individual Report'!$B13,'Result data'!BS$216:BS$390)</f>
        <v>0</v>
      </c>
      <c r="BX27" s="316">
        <f>SUMIF('Result data'!$O$216:$O$390,'Individual Report'!$B13,'Result data'!BT$216:BT$390)</f>
        <v>0</v>
      </c>
      <c r="BY27" s="316">
        <f>SUMIF('Result data'!$O$216:$O$390,'Individual Report'!$B13,'Result data'!BU$216:BU$390)</f>
        <v>0</v>
      </c>
      <c r="BZ27" s="316">
        <f>SUMIF('Result data'!$O$216:$O$390,'Individual Report'!$B13,'Result data'!BV$216:BV$390)</f>
        <v>0</v>
      </c>
      <c r="CA27" s="316">
        <f>SUMIF('Result data'!$O$216:$O$390,'Individual Report'!$B13,'Result data'!BW$216:BW$390)</f>
        <v>0</v>
      </c>
      <c r="CB27" s="316">
        <f>SUMIF('Result data'!$O$216:$O$390,'Individual Report'!$B13,'Result data'!BX$216:BX$390)</f>
        <v>0</v>
      </c>
      <c r="CC27" s="316">
        <f>SUMIF('Result data'!$O$216:$O$390,'Individual Report'!$B13,'Result data'!BY$216:BY$390)</f>
        <v>0</v>
      </c>
      <c r="CD27" s="316">
        <f>SUMIF('Result data'!$O$216:$O$390,'Individual Report'!$B13,'Result data'!BZ$216:BZ$390)</f>
        <v>0</v>
      </c>
      <c r="CE27" s="316">
        <f>SUMIF('Result data'!$O$216:$O$390,'Individual Report'!$B13,'Result data'!CA$216:CA$390)</f>
        <v>0</v>
      </c>
      <c r="CF27" s="316">
        <f>SUMIF('Result data'!$O$216:$O$390,'Individual Report'!$B13,'Result data'!CB$216:CB$390)</f>
        <v>0</v>
      </c>
      <c r="CG27" s="315" t="str" cm="1">
        <f t="array" ref="CG27">IFERROR(IF(INDEX('Result data'!$B512:$DQ512,1,('Individual Report'!AS$18-2010)+('Individual Report'!$W$2-1)*12)=0,"",INDEX('Result data'!$B512:$DQ512,1,('Individual Report'!AS$18-2010)+('Individual Report'!$W$2-1)*12)),"")</f>
        <v/>
      </c>
      <c r="CH27" s="315" t="str" cm="1">
        <f t="array" ref="CH27">IFERROR(IF(INDEX('Result data'!$B512:$DQ512,1,('Individual Report'!AT$18-2010)+('Individual Report'!$W$2-1)*12)=0,"",INDEX('Result data'!$B512:$DQ512,1,('Individual Report'!AT$18-2010)+('Individual Report'!$W$2-1)*12)),"")</f>
        <v/>
      </c>
      <c r="CI27" s="315" t="str" cm="1">
        <f t="array" ref="CI27">IFERROR(IF(INDEX('Result data'!$B512:$DQ512,1,('Individual Report'!AU$18-2010)+('Individual Report'!$W$2-1)*12)=0,"",INDEX('Result data'!$B512:$DQ512,1,('Individual Report'!AU$18-2010)+('Individual Report'!$W$2-1)*12)),"")</f>
        <v/>
      </c>
      <c r="CJ27" s="315" t="str" cm="1">
        <f t="array" ref="CJ27">IFERROR(IF(INDEX('Result data'!$B512:$DQ512,1,('Individual Report'!AV$18-2010)+('Individual Report'!$W$2-1)*12)=0,"",INDEX('Result data'!$B512:$DQ512,1,('Individual Report'!AV$18-2010)+('Individual Report'!$W$2-1)*12)),"")</f>
        <v/>
      </c>
      <c r="CK27" s="315" t="str" cm="1">
        <f t="array" ref="CK27">IFERROR(IF(INDEX('Result data'!$B512:$DQ512,1,('Individual Report'!AW$18-2010)+('Individual Report'!$W$2-1)*12)=0,"",INDEX('Result data'!$B512:$DQ512,1,('Individual Report'!AW$18-2010)+('Individual Report'!$W$2-1)*12)),"")</f>
        <v/>
      </c>
      <c r="CL27" s="315" t="str" cm="1">
        <f t="array" ref="CL27">IFERROR(IF(INDEX('Result data'!$B512:$DQ512,1,('Individual Report'!AX$18-2010)+('Individual Report'!$W$2-1)*12)=0,"",INDEX('Result data'!$B512:$DQ512,1,('Individual Report'!AX$18-2010)+('Individual Report'!$W$2-1)*12)),"")</f>
        <v/>
      </c>
      <c r="CM27" s="315" t="str" cm="1">
        <f t="array" ref="CM27">IFERROR(IF(INDEX('Result data'!$B512:$DQ512,1,('Individual Report'!AY$18-2010)+('Individual Report'!$W$2-1)*12)=0,"",INDEX('Result data'!$B512:$DQ512,1,('Individual Report'!AY$18-2010)+('Individual Report'!$W$2-1)*12)),"")</f>
        <v/>
      </c>
      <c r="CN27" s="315" t="str" cm="1">
        <f t="array" ref="CN27">IFERROR(IF(INDEX('Result data'!$B512:$DQ512,1,('Individual Report'!AZ$18-2010)+('Individual Report'!$W$2-1)*12)=0,"",INDEX('Result data'!$B512:$DQ512,1,('Individual Report'!AZ$18-2010)+('Individual Report'!$W$2-1)*12)),"")</f>
        <v/>
      </c>
      <c r="CO27" s="315" t="str" cm="1">
        <f t="array" ref="CO27">IFERROR(IF(INDEX('Result data'!$B512:$DQ512,1,('Individual Report'!BA$18-2010)+('Individual Report'!$W$2-1)*12)=0,"",INDEX('Result data'!$B512:$DQ512,1,('Individual Report'!BA$18-2010)+('Individual Report'!$W$2-1)*12)),"")</f>
        <v/>
      </c>
      <c r="CP27" s="315" t="str" cm="1">
        <f t="array" ref="CP27">IFERROR(IF(INDEX('Result data'!$B512:$DQ512,1,('Individual Report'!BB$18-2010)+('Individual Report'!$W$2-1)*12)=0,"",INDEX('Result data'!$B512:$DQ512,1,('Individual Report'!BB$18-2010)+('Individual Report'!$W$2-1)*12)),"")</f>
        <v/>
      </c>
      <c r="CQ27" s="303" t="str">
        <f t="shared" si="16"/>
        <v/>
      </c>
      <c r="CR27" s="303" t="str">
        <f t="shared" si="17"/>
        <v/>
      </c>
      <c r="CS27" s="303" t="str">
        <f t="shared" si="18"/>
        <v/>
      </c>
      <c r="CT27" s="303" t="str">
        <f t="shared" si="19"/>
        <v/>
      </c>
      <c r="CU27" s="303" t="str">
        <f t="shared" si="20"/>
        <v/>
      </c>
      <c r="CV27" s="303" t="str">
        <f t="shared" si="21"/>
        <v/>
      </c>
      <c r="CW27" s="303" t="str">
        <f t="shared" si="22"/>
        <v/>
      </c>
      <c r="CX27" s="303" t="str">
        <f t="shared" si="23"/>
        <v/>
      </c>
      <c r="CY27" s="303" t="str">
        <f t="shared" si="24"/>
        <v/>
      </c>
      <c r="CZ27" s="303" t="str">
        <f t="shared" si="25"/>
        <v/>
      </c>
    </row>
    <row r="28" spans="1:104" s="236" customFormat="1" ht="31.9" customHeight="1" thickBot="1" x14ac:dyDescent="0.3">
      <c r="A28" s="327" t="str">
        <f t="shared" si="5"/>
        <v>Subsidiária 9</v>
      </c>
      <c r="B28" s="268" t="str">
        <f t="shared" si="26"/>
        <v/>
      </c>
      <c r="C28" s="272" t="str">
        <f>IF($M$2&lt;&gt;"Ok","",INDEX('Result data'!$C249:$L249,1,$W$2))</f>
        <v/>
      </c>
      <c r="D28" s="273" t="str">
        <f>IF($M$2&lt;&gt;"Ok","",INDEX('Result data'!$C261:$L261,1,$W$2))</f>
        <v/>
      </c>
      <c r="E28" s="914" t="str">
        <f t="shared" si="27"/>
        <v/>
      </c>
      <c r="F28" s="915"/>
      <c r="G28" s="277" t="str">
        <f>IF($M$2&lt;&gt;"Ok","",INDEX('Result data'!$C285:$L285,1,$W$2))</f>
        <v/>
      </c>
      <c r="H28" s="273" t="str">
        <f>IF($M$2&lt;&gt;"Ok","",INDEX('Result data'!$C297:$L297,1,$W$2))</f>
        <v/>
      </c>
      <c r="I28" s="708" t="str">
        <f t="shared" si="28"/>
        <v/>
      </c>
      <c r="J28" s="280" t="str">
        <f t="shared" si="29"/>
        <v/>
      </c>
      <c r="K28" s="300" t="str">
        <f t="shared" si="30"/>
        <v/>
      </c>
      <c r="L28"/>
      <c r="M28"/>
      <c r="N28"/>
      <c r="O28"/>
      <c r="P28"/>
      <c r="Q28"/>
      <c r="S28" s="235"/>
      <c r="T28" s="235"/>
      <c r="U28" s="235"/>
      <c r="V28" s="235"/>
      <c r="W28" s="235"/>
      <c r="Y28" s="546" t="str">
        <f>IF('Individual Report'!$B14="","",INDEX(Population!$BE$3:$BP$177,SUMIF(Population!$B$3:$B$177,'Individual Report'!$B14,Population!$A$3:$A$177),Y$18-2010))</f>
        <v/>
      </c>
      <c r="Z28" s="546" t="str">
        <f>IF('Individual Report'!$B14="","",INDEX(Population!$BE$3:$BP$177,SUMIF(Population!$B$3:$B$177,'Individual Report'!$B14,Population!$A$3:$A$177),Z$18-2010))</f>
        <v/>
      </c>
      <c r="AA28" s="546" t="str">
        <f>IF('Individual Report'!$B14="","",INDEX(Population!$BE$3:$BP$177,SUMIF(Population!$B$3:$B$177,'Individual Report'!$B14,Population!$A$3:$A$177),AA$18-2010))</f>
        <v/>
      </c>
      <c r="AB28" s="546" t="str">
        <f>IF('Individual Report'!$B14="","",INDEX(Population!$BE$3:$BP$177,SUMIF(Population!$B$3:$B$177,'Individual Report'!$B14,Population!$A$3:$A$177),AB$18-2010))</f>
        <v/>
      </c>
      <c r="AC28" s="546" t="str">
        <f>IF('Individual Report'!$B14="","",INDEX(Population!$BE$3:$BP$177,SUMIF(Population!$B$3:$B$177,'Individual Report'!$B14,Population!$A$3:$A$177),AC$18-2010))</f>
        <v/>
      </c>
      <c r="AD28" s="546" t="str">
        <f>IF('Individual Report'!$B14="","",INDEX(Population!$BE$3:$BP$177,SUMIF(Population!$B$3:$B$177,'Individual Report'!$B14,Population!$A$3:$A$177),AD$18-2010))</f>
        <v/>
      </c>
      <c r="AE28" s="546" t="str">
        <f>IF('Individual Report'!$B14="","",INDEX(Population!$BE$3:$BP$177,SUMIF(Population!$B$3:$B$177,'Individual Report'!$B14,Population!$A$3:$A$177),AE$18-2010))</f>
        <v/>
      </c>
      <c r="AF28" s="546" t="str">
        <f>IF('Individual Report'!$B14="","",INDEX(Population!$BE$3:$BP$177,SUMIF(Population!$B$3:$B$177,'Individual Report'!$B14,Population!$A$3:$A$177),AF$18-2010))</f>
        <v/>
      </c>
      <c r="AG28" s="546" t="str">
        <f>IF('Individual Report'!$B14="","",INDEX(Population!$BE$3:$BP$177,SUMIF(Population!$B$3:$B$177,'Individual Report'!$B14,Population!$A$3:$A$177),AG$18-2010))</f>
        <v/>
      </c>
      <c r="AH28" s="546" t="str">
        <f>IF('Individual Report'!$B14="","",INDEX(Population!$BE$3:$BP$177,SUMIF(Population!$B$3:$B$177,'Individual Report'!$B14,Population!$A$3:$A$177),AH$18-2010))</f>
        <v/>
      </c>
      <c r="AI28" s="547" t="str" cm="1">
        <f t="array" ref="AI28">IFERROR(IF(INDEX('Result data'!$B491:$DQ491,1,('Individual Report'!AI$18-2010)+('Individual Report'!$W$2-1)*12)=1,".",INDEX('Result data'!$B491:$DQ491,1,('Individual Report'!AI$18-2010)+('Individual Report'!$W$2-1)*12)),"")</f>
        <v/>
      </c>
      <c r="AJ28" s="547" t="str" cm="1">
        <f t="array" ref="AJ28">IFERROR(IF(INDEX('Result data'!$B491:$DQ491,1,('Individual Report'!AJ$18-2010)+('Individual Report'!$W$2-1)*12)=1,".",INDEX('Result data'!$B491:$DQ491,1,('Individual Report'!AJ$18-2010)+('Individual Report'!$W$2-1)*12)),"")</f>
        <v/>
      </c>
      <c r="AK28" s="547" t="str" cm="1">
        <f t="array" ref="AK28">IFERROR(IF(INDEX('Result data'!$B491:$DQ491,1,('Individual Report'!AK$18-2010)+('Individual Report'!$W$2-1)*12)=1,".",INDEX('Result data'!$B491:$DQ491,1,('Individual Report'!AK$18-2010)+('Individual Report'!$W$2-1)*12)),"")</f>
        <v/>
      </c>
      <c r="AL28" s="547" t="str" cm="1">
        <f t="array" ref="AL28">IFERROR(IF(INDEX('Result data'!$B491:$DQ491,1,('Individual Report'!AL$18-2010)+('Individual Report'!$W$2-1)*12)=1,".",INDEX('Result data'!$B491:$DQ491,1,('Individual Report'!AL$18-2010)+('Individual Report'!$W$2-1)*12)),"")</f>
        <v/>
      </c>
      <c r="AM28" s="547" t="str" cm="1">
        <f t="array" ref="AM28">IFERROR(IF(INDEX('Result data'!$B491:$DQ491,1,('Individual Report'!AM$18-2010)+('Individual Report'!$W$2-1)*12)=1,".",INDEX('Result data'!$B491:$DQ491,1,('Individual Report'!AM$18-2010)+('Individual Report'!$W$2-1)*12)),"")</f>
        <v/>
      </c>
      <c r="AN28" s="547" t="str" cm="1">
        <f t="array" ref="AN28">IFERROR(IF(INDEX('Result data'!$B491:$DQ491,1,('Individual Report'!AN$18-2010)+('Individual Report'!$W$2-1)*12)=1,".",INDEX('Result data'!$B491:$DQ491,1,('Individual Report'!AN$18-2010)+('Individual Report'!$W$2-1)*12)),"")</f>
        <v/>
      </c>
      <c r="AO28" s="547" t="str" cm="1">
        <f t="array" ref="AO28">IFERROR(IF(INDEX('Result data'!$B491:$DQ491,1,('Individual Report'!AO$18-2010)+('Individual Report'!$W$2-1)*12)=1,".",INDEX('Result data'!$B491:$DQ491,1,('Individual Report'!AO$18-2010)+('Individual Report'!$W$2-1)*12)),"")</f>
        <v/>
      </c>
      <c r="AP28" s="547" t="str" cm="1">
        <f t="array" ref="AP28">IFERROR(IF(INDEX('Result data'!$B491:$DQ491,1,('Individual Report'!AP$18-2010)+('Individual Report'!$W$2-1)*12)=1,".",INDEX('Result data'!$B491:$DQ491,1,('Individual Report'!AP$18-2010)+('Individual Report'!$W$2-1)*12)),"")</f>
        <v/>
      </c>
      <c r="AQ28" s="547" t="str" cm="1">
        <f t="array" ref="AQ28">IFERROR(IF(INDEX('Result data'!$B491:$DQ491,1,('Individual Report'!AQ$18-2010)+('Individual Report'!$W$2-1)*12)=1,".",INDEX('Result data'!$B491:$DQ491,1,('Individual Report'!AQ$18-2010)+('Individual Report'!$W$2-1)*12)),"")</f>
        <v/>
      </c>
      <c r="AR28" s="547" t="str" cm="1">
        <f t="array" ref="AR28">IFERROR(IF(INDEX('Result data'!$B491:$DQ491,1,('Individual Report'!AR$18-2010)+('Individual Report'!$W$2-1)*12)=1,".",INDEX('Result data'!$B491:$DQ491,1,('Individual Report'!AR$18-2010)+('Individual Report'!$W$2-1)*12)),"")</f>
        <v/>
      </c>
      <c r="AS28" s="547" t="str" cm="1">
        <f t="array" ref="AS28">IFERROR(INDEX('Result data'!$B502:$DQ502,1,('Individual Report'!AS$18-2010)+('Individual Report'!$W$2-1)*12),"")</f>
        <v/>
      </c>
      <c r="AT28" s="547" t="str" cm="1">
        <f t="array" ref="AT28">IFERROR(INDEX('Result data'!$B502:$DQ502,1,('Individual Report'!AT$18-2010)+('Individual Report'!$W$2-1)*12),"")</f>
        <v/>
      </c>
      <c r="AU28" s="547" t="str" cm="1">
        <f t="array" ref="AU28">IFERROR(INDEX('Result data'!$B502:$DQ502,1,('Individual Report'!AU$18-2010)+('Individual Report'!$W$2-1)*12),"")</f>
        <v/>
      </c>
      <c r="AV28" s="547" t="str" cm="1">
        <f t="array" ref="AV28">IFERROR(INDEX('Result data'!$B502:$DQ502,1,('Individual Report'!AV$18-2010)+('Individual Report'!$W$2-1)*12),"")</f>
        <v/>
      </c>
      <c r="AW28" s="547" t="str" cm="1">
        <f t="array" ref="AW28">IFERROR(INDEX('Result data'!$B502:$DQ502,1,('Individual Report'!AW$18-2010)+('Individual Report'!$W$2-1)*12),"")</f>
        <v/>
      </c>
      <c r="AX28" s="547" t="str" cm="1">
        <f t="array" ref="AX28">IFERROR(INDEX('Result data'!$B502:$DQ502,1,('Individual Report'!AX$18-2010)+('Individual Report'!$W$2-1)*12),"")</f>
        <v/>
      </c>
      <c r="AY28" s="547" t="str" cm="1">
        <f t="array" ref="AY28">IFERROR(INDEX('Result data'!$B502:$DQ502,1,('Individual Report'!AY$18-2010)+('Individual Report'!$W$2-1)*12),"")</f>
        <v/>
      </c>
      <c r="AZ28" s="547" t="str" cm="1">
        <f t="array" ref="AZ28">IFERROR(INDEX('Result data'!$B502:$DQ502,1,('Individual Report'!AZ$18-2010)+('Individual Report'!$W$2-1)*12),"")</f>
        <v/>
      </c>
      <c r="BA28" s="547" t="str" cm="1">
        <f t="array" ref="BA28">IFERROR(INDEX('Result data'!$B502:$DQ502,1,('Individual Report'!BA$18-2010)+('Individual Report'!$W$2-1)*12),"")</f>
        <v/>
      </c>
      <c r="BB28" s="547" t="str" cm="1">
        <f t="array" ref="BB28">IFERROR(INDEX('Result data'!$B502:$DQ502,1,('Individual Report'!BB$18-2010)+('Individual Report'!$W$2-1)*12),"")</f>
        <v/>
      </c>
      <c r="BC28" s="548" t="str" cm="1">
        <f t="array" ref="BC28">IF('Individual Report'!$B14="","",INDEX('Result data'!$FC$216:$FL$390,SUMIF(Population!$B$3:$B$177,'Individual Report'!$B14,Population!$A$3:$A$177),BC$18-2010))</f>
        <v/>
      </c>
      <c r="BD28" s="548" t="str" cm="1">
        <f t="array" ref="BD28">IF('Individual Report'!$B14="","",INDEX('Result data'!$FC$216:$FL$390,SUMIF(Population!$B$3:$B$177,'Individual Report'!$B14,Population!$A$3:$A$177),BD$18-2010))</f>
        <v/>
      </c>
      <c r="BE28" s="548" t="str" cm="1">
        <f t="array" ref="BE28">IF('Individual Report'!$B14="","",INDEX('Result data'!$FC$216:$FL$390,SUMIF(Population!$B$3:$B$177,'Individual Report'!$B14,Population!$A$3:$A$177),BE$18-2010))</f>
        <v/>
      </c>
      <c r="BF28" s="548" t="str" cm="1">
        <f t="array" ref="BF28">IF('Individual Report'!$B14="","",INDEX('Result data'!$FC$216:$FL$390,SUMIF(Population!$B$3:$B$177,'Individual Report'!$B14,Population!$A$3:$A$177),BF$18-2010))</f>
        <v/>
      </c>
      <c r="BG28" s="548" t="str" cm="1">
        <f t="array" ref="BG28">IF('Individual Report'!$B14="","",INDEX('Result data'!$FC$216:$FL$390,SUMIF(Population!$B$3:$B$177,'Individual Report'!$B14,Population!$A$3:$A$177),BG$18-2010))</f>
        <v/>
      </c>
      <c r="BH28" s="548" t="str" cm="1">
        <f t="array" ref="BH28">IF('Individual Report'!$B14="","",INDEX('Result data'!$FC$216:$FL$390,SUMIF(Population!$B$3:$B$177,'Individual Report'!$B14,Population!$A$3:$A$177),BH$18-2010))</f>
        <v/>
      </c>
      <c r="BI28" s="548" t="str" cm="1">
        <f t="array" ref="BI28">IF('Individual Report'!$B14="","",INDEX('Result data'!$FC$216:$FL$390,SUMIF(Population!$B$3:$B$177,'Individual Report'!$B14,Population!$A$3:$A$177),BI$18-2010))</f>
        <v/>
      </c>
      <c r="BJ28" s="548" t="str" cm="1">
        <f t="array" ref="BJ28">IF('Individual Report'!$B14="","",INDEX('Result data'!$FC$216:$FL$390,SUMIF(Population!$B$3:$B$177,'Individual Report'!$B14,Population!$A$3:$A$177),BJ$18-2010))</f>
        <v/>
      </c>
      <c r="BK28" s="548" t="str" cm="1">
        <f t="array" ref="BK28">IF('Individual Report'!$B14="","",INDEX('Result data'!$FC$216:$FL$390,SUMIF(Population!$B$3:$B$177,'Individual Report'!$B14,Population!$A$3:$A$177),BK$18-2010))</f>
        <v/>
      </c>
      <c r="BL28" s="548" t="str" cm="1">
        <f t="array" ref="BL28">IF('Individual Report'!$B14="","",INDEX('Result data'!$FC$216:$FL$390,SUMIF(Population!$B$3:$B$177,'Individual Report'!$B14,Population!$A$3:$A$177),BL$18-2010))</f>
        <v/>
      </c>
      <c r="BM28" s="303" t="str">
        <f t="shared" si="6"/>
        <v/>
      </c>
      <c r="BN28" s="303" t="str">
        <f t="shared" si="7"/>
        <v/>
      </c>
      <c r="BO28" s="303" t="str">
        <f t="shared" si="8"/>
        <v/>
      </c>
      <c r="BP28" s="303" t="str">
        <f t="shared" si="9"/>
        <v/>
      </c>
      <c r="BQ28" s="303" t="str">
        <f t="shared" si="10"/>
        <v/>
      </c>
      <c r="BR28" s="303" t="str">
        <f t="shared" si="11"/>
        <v/>
      </c>
      <c r="BS28" s="303" t="str">
        <f t="shared" si="12"/>
        <v/>
      </c>
      <c r="BT28" s="303" t="str">
        <f t="shared" si="13"/>
        <v/>
      </c>
      <c r="BU28" s="303" t="str">
        <f t="shared" si="14"/>
        <v/>
      </c>
      <c r="BV28" s="303" t="str">
        <f t="shared" si="15"/>
        <v/>
      </c>
      <c r="BW28" s="316">
        <f>SUMIF('Result data'!$O$216:$O$390,'Individual Report'!$B14,'Result data'!BS$216:BS$390)</f>
        <v>0</v>
      </c>
      <c r="BX28" s="316">
        <f>SUMIF('Result data'!$O$216:$O$390,'Individual Report'!$B14,'Result data'!BT$216:BT$390)</f>
        <v>0</v>
      </c>
      <c r="BY28" s="316">
        <f>SUMIF('Result data'!$O$216:$O$390,'Individual Report'!$B14,'Result data'!BU$216:BU$390)</f>
        <v>0</v>
      </c>
      <c r="BZ28" s="316">
        <f>SUMIF('Result data'!$O$216:$O$390,'Individual Report'!$B14,'Result data'!BV$216:BV$390)</f>
        <v>0</v>
      </c>
      <c r="CA28" s="316">
        <f>SUMIF('Result data'!$O$216:$O$390,'Individual Report'!$B14,'Result data'!BW$216:BW$390)</f>
        <v>0</v>
      </c>
      <c r="CB28" s="316">
        <f>SUMIF('Result data'!$O$216:$O$390,'Individual Report'!$B14,'Result data'!BX$216:BX$390)</f>
        <v>0</v>
      </c>
      <c r="CC28" s="316">
        <f>SUMIF('Result data'!$O$216:$O$390,'Individual Report'!$B14,'Result data'!BY$216:BY$390)</f>
        <v>0</v>
      </c>
      <c r="CD28" s="316">
        <f>SUMIF('Result data'!$O$216:$O$390,'Individual Report'!$B14,'Result data'!BZ$216:BZ$390)</f>
        <v>0</v>
      </c>
      <c r="CE28" s="316">
        <f>SUMIF('Result data'!$O$216:$O$390,'Individual Report'!$B14,'Result data'!CA$216:CA$390)</f>
        <v>0</v>
      </c>
      <c r="CF28" s="316">
        <f>SUMIF('Result data'!$O$216:$O$390,'Individual Report'!$B14,'Result data'!CB$216:CB$390)</f>
        <v>0</v>
      </c>
      <c r="CG28" s="315" t="str" cm="1">
        <f t="array" ref="CG28">IFERROR(IF(INDEX('Result data'!$B513:$DQ513,1,('Individual Report'!AS$18-2010)+('Individual Report'!$W$2-1)*12)=0,"",INDEX('Result data'!$B513:$DQ513,1,('Individual Report'!AS$18-2010)+('Individual Report'!$W$2-1)*12)),"")</f>
        <v/>
      </c>
      <c r="CH28" s="315" t="str" cm="1">
        <f t="array" ref="CH28">IFERROR(IF(INDEX('Result data'!$B513:$DQ513,1,('Individual Report'!AT$18-2010)+('Individual Report'!$W$2-1)*12)=0,"",INDEX('Result data'!$B513:$DQ513,1,('Individual Report'!AT$18-2010)+('Individual Report'!$W$2-1)*12)),"")</f>
        <v/>
      </c>
      <c r="CI28" s="315" t="str" cm="1">
        <f t="array" ref="CI28">IFERROR(IF(INDEX('Result data'!$B513:$DQ513,1,('Individual Report'!AU$18-2010)+('Individual Report'!$W$2-1)*12)=0,"",INDEX('Result data'!$B513:$DQ513,1,('Individual Report'!AU$18-2010)+('Individual Report'!$W$2-1)*12)),"")</f>
        <v/>
      </c>
      <c r="CJ28" s="315" t="str" cm="1">
        <f t="array" ref="CJ28">IFERROR(IF(INDEX('Result data'!$B513:$DQ513,1,('Individual Report'!AV$18-2010)+('Individual Report'!$W$2-1)*12)=0,"",INDEX('Result data'!$B513:$DQ513,1,('Individual Report'!AV$18-2010)+('Individual Report'!$W$2-1)*12)),"")</f>
        <v/>
      </c>
      <c r="CK28" s="315" t="str" cm="1">
        <f t="array" ref="CK28">IFERROR(IF(INDEX('Result data'!$B513:$DQ513,1,('Individual Report'!AW$18-2010)+('Individual Report'!$W$2-1)*12)=0,"",INDEX('Result data'!$B513:$DQ513,1,('Individual Report'!AW$18-2010)+('Individual Report'!$W$2-1)*12)),"")</f>
        <v/>
      </c>
      <c r="CL28" s="315" t="str" cm="1">
        <f t="array" ref="CL28">IFERROR(IF(INDEX('Result data'!$B513:$DQ513,1,('Individual Report'!AX$18-2010)+('Individual Report'!$W$2-1)*12)=0,"",INDEX('Result data'!$B513:$DQ513,1,('Individual Report'!AX$18-2010)+('Individual Report'!$W$2-1)*12)),"")</f>
        <v/>
      </c>
      <c r="CM28" s="315" t="str" cm="1">
        <f t="array" ref="CM28">IFERROR(IF(INDEX('Result data'!$B513:$DQ513,1,('Individual Report'!AY$18-2010)+('Individual Report'!$W$2-1)*12)=0,"",INDEX('Result data'!$B513:$DQ513,1,('Individual Report'!AY$18-2010)+('Individual Report'!$W$2-1)*12)),"")</f>
        <v/>
      </c>
      <c r="CN28" s="315" t="str" cm="1">
        <f t="array" ref="CN28">IFERROR(IF(INDEX('Result data'!$B513:$DQ513,1,('Individual Report'!AZ$18-2010)+('Individual Report'!$W$2-1)*12)=0,"",INDEX('Result data'!$B513:$DQ513,1,('Individual Report'!AZ$18-2010)+('Individual Report'!$W$2-1)*12)),"")</f>
        <v/>
      </c>
      <c r="CO28" s="315" t="str" cm="1">
        <f t="array" ref="CO28">IFERROR(IF(INDEX('Result data'!$B513:$DQ513,1,('Individual Report'!BA$18-2010)+('Individual Report'!$W$2-1)*12)=0,"",INDEX('Result data'!$B513:$DQ513,1,('Individual Report'!BA$18-2010)+('Individual Report'!$W$2-1)*12)),"")</f>
        <v/>
      </c>
      <c r="CP28" s="315" t="str" cm="1">
        <f t="array" ref="CP28">IFERROR(IF(INDEX('Result data'!$B513:$DQ513,1,('Individual Report'!BB$18-2010)+('Individual Report'!$W$2-1)*12)=0,"",INDEX('Result data'!$B513:$DQ513,1,('Individual Report'!BB$18-2010)+('Individual Report'!$W$2-1)*12)),"")</f>
        <v/>
      </c>
      <c r="CQ28" s="303" t="str">
        <f t="shared" si="16"/>
        <v/>
      </c>
      <c r="CR28" s="303" t="str">
        <f t="shared" si="17"/>
        <v/>
      </c>
      <c r="CS28" s="303" t="str">
        <f t="shared" si="18"/>
        <v/>
      </c>
      <c r="CT28" s="303" t="str">
        <f t="shared" si="19"/>
        <v/>
      </c>
      <c r="CU28" s="303" t="str">
        <f t="shared" si="20"/>
        <v/>
      </c>
      <c r="CV28" s="303" t="str">
        <f t="shared" si="21"/>
        <v/>
      </c>
      <c r="CW28" s="303" t="str">
        <f t="shared" si="22"/>
        <v/>
      </c>
      <c r="CX28" s="303" t="str">
        <f t="shared" si="23"/>
        <v/>
      </c>
      <c r="CY28" s="303" t="str">
        <f t="shared" si="24"/>
        <v/>
      </c>
      <c r="CZ28" s="303" t="str">
        <f t="shared" si="25"/>
        <v/>
      </c>
    </row>
    <row r="29" spans="1:104" s="236" customFormat="1" ht="43.9" customHeight="1" x14ac:dyDescent="0.25">
      <c r="A29" s="895" t="str">
        <f>Language!C445</f>
        <v>Dados Financeiros (em milhares de U$)</v>
      </c>
      <c r="B29" s="895"/>
      <c r="C29" s="895"/>
      <c r="D29" s="895"/>
      <c r="E29" s="895"/>
      <c r="F29" s="895"/>
      <c r="G29" s="895"/>
      <c r="H29" s="895"/>
      <c r="I29" s="895"/>
      <c r="J29" s="895"/>
      <c r="K29" s="895"/>
      <c r="L29" s="895"/>
      <c r="M29" s="895"/>
      <c r="N29" s="895"/>
      <c r="O29" s="895"/>
      <c r="P29" s="895"/>
      <c r="Q29" s="704"/>
      <c r="S29" s="235"/>
      <c r="T29" s="235"/>
      <c r="U29" s="235"/>
      <c r="V29" s="235"/>
      <c r="W29" s="235"/>
      <c r="Y29" s="546">
        <f t="shared" ref="Y29:BL29" si="31">SUM(Y19:Y28)</f>
        <v>0</v>
      </c>
      <c r="Z29" s="546">
        <f t="shared" si="31"/>
        <v>0</v>
      </c>
      <c r="AA29" s="546">
        <f t="shared" si="31"/>
        <v>0</v>
      </c>
      <c r="AB29" s="546">
        <f t="shared" si="31"/>
        <v>0</v>
      </c>
      <c r="AC29" s="546">
        <f t="shared" si="31"/>
        <v>0</v>
      </c>
      <c r="AD29" s="546">
        <f t="shared" si="31"/>
        <v>0</v>
      </c>
      <c r="AE29" s="546">
        <f t="shared" si="31"/>
        <v>0</v>
      </c>
      <c r="AF29" s="546">
        <f t="shared" si="31"/>
        <v>0</v>
      </c>
      <c r="AG29" s="546">
        <f t="shared" si="31"/>
        <v>0</v>
      </c>
      <c r="AH29" s="546">
        <f t="shared" si="31"/>
        <v>0</v>
      </c>
      <c r="AI29" s="546">
        <f t="shared" si="31"/>
        <v>0</v>
      </c>
      <c r="AJ29" s="546">
        <f t="shared" si="31"/>
        <v>0</v>
      </c>
      <c r="AK29" s="546">
        <f t="shared" si="31"/>
        <v>0</v>
      </c>
      <c r="AL29" s="546">
        <f t="shared" si="31"/>
        <v>0</v>
      </c>
      <c r="AM29" s="546">
        <f t="shared" si="31"/>
        <v>0</v>
      </c>
      <c r="AN29" s="546">
        <f t="shared" si="31"/>
        <v>0</v>
      </c>
      <c r="AO29" s="546">
        <f t="shared" si="31"/>
        <v>0</v>
      </c>
      <c r="AP29" s="546">
        <f t="shared" si="31"/>
        <v>0</v>
      </c>
      <c r="AQ29" s="546">
        <f t="shared" si="31"/>
        <v>0</v>
      </c>
      <c r="AR29" s="546">
        <f t="shared" si="31"/>
        <v>0</v>
      </c>
      <c r="AS29" s="546">
        <f t="shared" si="31"/>
        <v>0</v>
      </c>
      <c r="AT29" s="546">
        <f t="shared" si="31"/>
        <v>0</v>
      </c>
      <c r="AU29" s="546">
        <f t="shared" si="31"/>
        <v>0</v>
      </c>
      <c r="AV29" s="546">
        <f t="shared" si="31"/>
        <v>0</v>
      </c>
      <c r="AW29" s="546">
        <f t="shared" si="31"/>
        <v>0</v>
      </c>
      <c r="AX29" s="546">
        <f t="shared" si="31"/>
        <v>0</v>
      </c>
      <c r="AY29" s="546">
        <f t="shared" si="31"/>
        <v>0</v>
      </c>
      <c r="AZ29" s="546">
        <f t="shared" si="31"/>
        <v>0</v>
      </c>
      <c r="BA29" s="546">
        <f t="shared" si="31"/>
        <v>0</v>
      </c>
      <c r="BB29" s="546">
        <f t="shared" si="31"/>
        <v>0</v>
      </c>
      <c r="BC29" s="546">
        <f t="shared" si="31"/>
        <v>0</v>
      </c>
      <c r="BD29" s="546">
        <f t="shared" si="31"/>
        <v>0</v>
      </c>
      <c r="BE29" s="546">
        <f t="shared" si="31"/>
        <v>0</v>
      </c>
      <c r="BF29" s="546">
        <f t="shared" si="31"/>
        <v>0</v>
      </c>
      <c r="BG29" s="546">
        <f t="shared" si="31"/>
        <v>0</v>
      </c>
      <c r="BH29" s="546">
        <f t="shared" si="31"/>
        <v>0</v>
      </c>
      <c r="BI29" s="546">
        <f t="shared" si="31"/>
        <v>0</v>
      </c>
      <c r="BJ29" s="546">
        <f t="shared" si="31"/>
        <v>0</v>
      </c>
      <c r="BK29" s="546">
        <f t="shared" si="31"/>
        <v>0</v>
      </c>
      <c r="BL29" s="546">
        <f t="shared" si="31"/>
        <v>0</v>
      </c>
      <c r="BM29" s="549">
        <f>AS29/SUM('Result data'!FC$216:FC$390)</f>
        <v>0</v>
      </c>
      <c r="BN29" s="549">
        <f>AT29/SUM('Result data'!FD$216:FD$390)</f>
        <v>0</v>
      </c>
      <c r="BO29" s="549" t="e">
        <f>AU29/SUM('Result data'!FE$216:FE$390)</f>
        <v>#DIV/0!</v>
      </c>
      <c r="BP29" s="549" t="e">
        <f>AV29/SUM('Result data'!FF$216:FF$390)</f>
        <v>#DIV/0!</v>
      </c>
      <c r="BQ29" s="549" t="e">
        <f>AW29/SUM('Result data'!FG$216:FG$390)</f>
        <v>#DIV/0!</v>
      </c>
      <c r="BR29" s="549" t="e">
        <f>AX29/SUM('Result data'!FH$216:FH$390)</f>
        <v>#DIV/0!</v>
      </c>
      <c r="BS29" s="549" t="e">
        <f>AY29/SUM('Result data'!FI$216:FI$390)</f>
        <v>#DIV/0!</v>
      </c>
      <c r="BT29" s="549" t="e">
        <f>AZ29/SUM('Result data'!FJ$216:FJ$390)</f>
        <v>#DIV/0!</v>
      </c>
      <c r="BU29" s="549" t="e">
        <f>BA29/SUM('Result data'!FK$216:FK$390)</f>
        <v>#DIV/0!</v>
      </c>
      <c r="BV29" s="549" t="e">
        <f>BB29/SUM('Result data'!FL$216:FL$390)</f>
        <v>#DIV/0!</v>
      </c>
      <c r="BW29" s="550">
        <f t="shared" ref="BW29:CP29" si="32">SUM(BW19:BW28)</f>
        <v>0</v>
      </c>
      <c r="BX29" s="550">
        <f t="shared" si="32"/>
        <v>0</v>
      </c>
      <c r="BY29" s="550">
        <f t="shared" si="32"/>
        <v>0</v>
      </c>
      <c r="BZ29" s="550">
        <f t="shared" si="32"/>
        <v>0</v>
      </c>
      <c r="CA29" s="550">
        <f t="shared" si="32"/>
        <v>0</v>
      </c>
      <c r="CB29" s="550">
        <f t="shared" si="32"/>
        <v>0</v>
      </c>
      <c r="CC29" s="550">
        <f t="shared" si="32"/>
        <v>0</v>
      </c>
      <c r="CD29" s="550">
        <f t="shared" si="32"/>
        <v>0</v>
      </c>
      <c r="CE29" s="550">
        <f t="shared" si="32"/>
        <v>0</v>
      </c>
      <c r="CF29" s="550">
        <f t="shared" si="32"/>
        <v>0</v>
      </c>
      <c r="CG29" s="550">
        <f t="shared" si="32"/>
        <v>0</v>
      </c>
      <c r="CH29" s="550">
        <f t="shared" si="32"/>
        <v>0</v>
      </c>
      <c r="CI29" s="550">
        <f t="shared" si="32"/>
        <v>0</v>
      </c>
      <c r="CJ29" s="550">
        <f t="shared" si="32"/>
        <v>0</v>
      </c>
      <c r="CK29" s="550">
        <f t="shared" si="32"/>
        <v>0</v>
      </c>
      <c r="CL29" s="550">
        <f t="shared" si="32"/>
        <v>0</v>
      </c>
      <c r="CM29" s="550">
        <f t="shared" si="32"/>
        <v>0</v>
      </c>
      <c r="CN29" s="550">
        <f t="shared" si="32"/>
        <v>0</v>
      </c>
      <c r="CO29" s="550">
        <f t="shared" si="32"/>
        <v>0</v>
      </c>
      <c r="CP29" s="550">
        <f t="shared" si="32"/>
        <v>0</v>
      </c>
      <c r="CQ29" s="303">
        <f>IFERROR(CG29/SUM('Result data'!BS216:BS390),"")</f>
        <v>0</v>
      </c>
      <c r="CR29" s="303">
        <f>IFERROR(CH29/SUM('Result data'!BT216:BT390),"")</f>
        <v>0</v>
      </c>
      <c r="CS29" s="303" t="str">
        <f>IFERROR(CI29/SUM('Result data'!BU216:BU390),"")</f>
        <v/>
      </c>
      <c r="CT29" s="303" t="str">
        <f>IFERROR(CJ29/SUM('Result data'!BV216:BV390),"")</f>
        <v/>
      </c>
      <c r="CU29" s="303" t="str">
        <f>IFERROR(CK29/SUM('Result data'!BW216:BW390),"")</f>
        <v/>
      </c>
      <c r="CV29" s="303" t="str">
        <f>IFERROR(CL29/SUM('Result data'!BX216:BX390),"")</f>
        <v/>
      </c>
      <c r="CW29" s="303" t="str">
        <f>IFERROR(CM29/SUM('Result data'!BY216:BY390),"")</f>
        <v/>
      </c>
      <c r="CX29" s="303" t="str">
        <f>IFERROR(CN29/SUM('Result data'!BZ216:BZ390),"")</f>
        <v/>
      </c>
      <c r="CY29" s="303" t="str">
        <f>IFERROR(CO29/SUM('Result data'!CA216:CA390),"")</f>
        <v/>
      </c>
      <c r="CZ29" s="303" t="str">
        <f>IFERROR(CP29/SUM('Result data'!CB216:CB390),"")</f>
        <v/>
      </c>
    </row>
    <row r="30" spans="1:104" s="236" customFormat="1" ht="61.5" customHeight="1" x14ac:dyDescent="0.25">
      <c r="A30" s="310" t="str">
        <f>A17</f>
        <v>Unidade</v>
      </c>
      <c r="B30" s="310" t="str">
        <f>B17</f>
        <v>País</v>
      </c>
      <c r="C30" s="927" t="str">
        <f>Language!C433</f>
        <v>Receitas de mercado: valor e tendência</v>
      </c>
      <c r="D30" s="927"/>
      <c r="E30" s="927" t="str" cm="1">
        <f t="array" ref="E30">TRANSPOSE(Language!C434)</f>
        <v>Margem Bruta</v>
      </c>
      <c r="F30" s="927"/>
      <c r="G30" s="312" t="str" cm="1">
        <f t="array" ref="G30:N30">TRANSPOSE(Language!C435:'Language'!C442)</f>
        <v>Despesas totais de marketing e vendas</v>
      </c>
      <c r="H30" s="716" t="str">
        <v>Custos fixos
 (ADM. &amp; OP.)</v>
      </c>
      <c r="I30" s="716" t="str">
        <v>Custos de abertura</v>
      </c>
      <c r="J30" s="716" t="str">
        <v>Custos regulatórios e políticos</v>
      </c>
      <c r="K30" s="716" t="str">
        <v>EBITDA.</v>
      </c>
      <c r="L30" s="716" t="str">
        <v>Impostos (D)</v>
      </c>
      <c r="M30" s="311" t="str">
        <v>Juros (despesas ou retornos) (c / d)</v>
      </c>
      <c r="N30" s="311" t="str">
        <v>Parcela dos parceiros (D)</v>
      </c>
      <c r="O30" s="928" t="str" cm="1">
        <f t="array" ref="O30">TRANSPOSE(Language!C443)</f>
        <v>Lucro Líquido (EBITDA após parceiros, impostos e juros)</v>
      </c>
      <c r="P30" s="928"/>
      <c r="Q30" s="311" t="str" cm="1">
        <f t="array" ref="Q30">TRANSPOSE(Language!C444)</f>
        <v>Contribuição líquida de marketing</v>
      </c>
      <c r="S30" s="235"/>
      <c r="T30" s="335" t="s">
        <v>1464</v>
      </c>
    </row>
    <row r="31" spans="1:104" s="236" customFormat="1" ht="31.9" customHeight="1" x14ac:dyDescent="0.25">
      <c r="A31" s="43" t="str">
        <f>A19</f>
        <v>Matriz</v>
      </c>
      <c r="B31" s="301" t="str">
        <f>IF($M$2&lt;&gt;"Ok","",B19)</f>
        <v/>
      </c>
      <c r="C31" s="714" t="str">
        <f>IF($M$2&lt;&gt;"Ok","",IFERROR(INDEX('Result data'!$C360:$L360,1,$W$2),""))</f>
        <v/>
      </c>
      <c r="D31" s="714"/>
      <c r="E31" s="925" t="str">
        <f>IF($M$2&lt;&gt;"Ok","",IFERROR((INDEX('Result data'!$C360:$L360,1,$W$2)-INDEX('Result data'!$C408:$L408,1,$W$2)-INDEX('Result data'!$P444:$Y444,1,$W$2)),""))</f>
        <v/>
      </c>
      <c r="F31" s="925"/>
      <c r="G31" s="449" t="str">
        <f>IF(B31="","",IF($M$2&lt;&gt;"Ok","",SUM(INDEX('Result data'!$C456:$L456,1,$W$2),INDEX('Result data'!$C468:$L468,1,$W$2))))</f>
        <v/>
      </c>
      <c r="H31" s="449" t="str">
        <f>IF($M$2&lt;&gt;"Ok","",IFERROR(INDEX('Result data'!$C372:$L372,1,$W$2)-INDEX('Result data'!$P444:$Y444,1,$W$2),""))</f>
        <v/>
      </c>
      <c r="I31" s="449" t="str">
        <f>IF($M$2&lt;&gt;"Ok","",IFERROR(INDEX('Result data'!$C384:$L384,1,$W$2),""))</f>
        <v/>
      </c>
      <c r="J31" s="450" t="str">
        <f>IF($M$2&lt;&gt;"Ok","",IFERROR(INDEX('Result data'!$C396:$L396,1,$W$2),""))</f>
        <v/>
      </c>
      <c r="K31" s="451" t="str">
        <f>IF($M$2&lt;&gt;"Ok","",IFERROR(INDEX('Result data'!$C432:$L432,1,$W$2),""))</f>
        <v/>
      </c>
      <c r="L31" s="450" t="str">
        <f>IF($M$2&lt;&gt;"Ok","",IFERROR(INDEX('Result data'!$C420:$L420,1,$W$2),""))</f>
        <v/>
      </c>
      <c r="M31" s="450" t="str">
        <f t="shared" ref="M31:M40" si="33">IF($M$2&lt;&gt;"Ok","",IF(T31=0,"",T31/$T$41*$M$41))</f>
        <v/>
      </c>
      <c r="N31" s="450" t="str">
        <f>IF($M$2&lt;&gt;"Ok","",IFERROR(INDEX('Result data'!$P432:$Y432,1,$W$2),""))</f>
        <v/>
      </c>
      <c r="O31" s="929" t="str">
        <f t="shared" ref="O31:O40" si="34">IF($M$2&lt;&gt;"Ok","",IFERROR(K31-N31-L31+M31,""))</f>
        <v/>
      </c>
      <c r="P31" s="929"/>
      <c r="Q31" s="450" t="str">
        <f t="shared" ref="Q31:Q41" si="35">IF($M$2&lt;&gt;"Ok","",IFERROR(E31-G31,""))</f>
        <v/>
      </c>
      <c r="S31" s="235"/>
      <c r="T31" s="336">
        <f t="shared" ref="T31:T40" si="36">SUM(E31:J31)</f>
        <v>0</v>
      </c>
    </row>
    <row r="32" spans="1:104" s="236" customFormat="1" ht="31.9" customHeight="1" x14ac:dyDescent="0.25">
      <c r="A32" s="194" t="str">
        <f t="shared" ref="A32:A40" si="37">A20</f>
        <v>Subsidiária 1</v>
      </c>
      <c r="B32" s="302" t="str">
        <f t="shared" ref="B32:B40" si="38">IF($M$2&lt;&gt;"Ok","",B20)</f>
        <v/>
      </c>
      <c r="C32" s="713" t="str">
        <f>IF($M$2&lt;&gt;"Ok","",IFERROR(INDEX('Result data'!$C361:$L361,1,$W$2),""))</f>
        <v/>
      </c>
      <c r="D32" s="713"/>
      <c r="E32" s="924" t="str">
        <f>IF($M$2&lt;&gt;"Ok","",IFERROR((INDEX('Result data'!$C361:$L361,1,$W$2)-INDEX('Result data'!$C409:$L409,1,$W$2)-INDEX('Result data'!$P445:$Y445,1,$W$2)),""))</f>
        <v/>
      </c>
      <c r="F32" s="924"/>
      <c r="G32" s="452" t="str">
        <f>IF(B32="","",IF($M$2&lt;&gt;"Ok","",SUM(INDEX('Result data'!$C457:$L457,1,$W$2),INDEX('Result data'!$C469:$L469,1,$W$2))))</f>
        <v/>
      </c>
      <c r="H32" s="452" t="str">
        <f>IF($M$2&lt;&gt;"Ok","",IFERROR(INDEX('Result data'!$C373:$L373,1,$W$2)-INDEX('Result data'!$P445:$Y445,1,$W$2),""))</f>
        <v/>
      </c>
      <c r="I32" s="452" t="str">
        <f>IF($M$2&lt;&gt;"Ok","",IFERROR(INDEX('Result data'!$C385:$L385,1,$W$2),""))</f>
        <v/>
      </c>
      <c r="J32" s="453" t="str">
        <f>IF($M$2&lt;&gt;"Ok","",IFERROR(INDEX('Result data'!$C397:$L397,1,$W$2),""))</f>
        <v/>
      </c>
      <c r="K32" s="454" t="str">
        <f>IF($M$2&lt;&gt;"Ok","",IFERROR(INDEX('Result data'!$C433:$L433,1,$W$2),""))</f>
        <v/>
      </c>
      <c r="L32" s="453" t="str">
        <f>IF($M$2&lt;&gt;"Ok","",IFERROR(INDEX('Result data'!$C421:$L421,1,$W$2),""))</f>
        <v/>
      </c>
      <c r="M32" s="453" t="str">
        <f t="shared" si="33"/>
        <v/>
      </c>
      <c r="N32" s="453" t="str">
        <f>IF($M$2&lt;&gt;"Ok","",IFERROR(INDEX('Result data'!$P433:$Y433,1,$W$2),""))</f>
        <v/>
      </c>
      <c r="O32" s="930" t="str">
        <f t="shared" si="34"/>
        <v/>
      </c>
      <c r="P32" s="930"/>
      <c r="Q32" s="453" t="str">
        <f t="shared" si="35"/>
        <v/>
      </c>
      <c r="S32" s="235"/>
      <c r="T32" s="336">
        <f t="shared" si="36"/>
        <v>0</v>
      </c>
    </row>
    <row r="33" spans="1:41" s="236" customFormat="1" ht="31.9" customHeight="1" x14ac:dyDescent="0.25">
      <c r="A33" s="43" t="str">
        <f t="shared" si="37"/>
        <v>Subsidiária 2</v>
      </c>
      <c r="B33" s="301" t="str">
        <f t="shared" si="38"/>
        <v/>
      </c>
      <c r="C33" s="714" t="str">
        <f>IF($M$2&lt;&gt;"Ok","",IFERROR(INDEX('Result data'!$C362:$L362,1,$W$2),""))</f>
        <v/>
      </c>
      <c r="D33" s="714"/>
      <c r="E33" s="925" t="str">
        <f>IF($M$2&lt;&gt;"Ok","",IFERROR((INDEX('Result data'!$C362:$L362,1,$W$2)-INDEX('Result data'!$C410:$L410,1,$W$2)-INDEX('Result data'!$P446:$Y446,1,$W$2)),""))</f>
        <v/>
      </c>
      <c r="F33" s="925"/>
      <c r="G33" s="449" t="str">
        <f>IF(B33="","",IF($M$2&lt;&gt;"Ok","",SUM(INDEX('Result data'!$C458:$L458,1,$W$2),INDEX('Result data'!$C470:$L470,1,$W$2))))</f>
        <v/>
      </c>
      <c r="H33" s="449" t="str">
        <f>IF($M$2&lt;&gt;"Ok","",IFERROR(INDEX('Result data'!$C374:$L374,1,$W$2)-INDEX('Result data'!$P446:$Y446,1,$W$2),""))</f>
        <v/>
      </c>
      <c r="I33" s="449" t="str">
        <f>IF($M$2&lt;&gt;"Ok","",IFERROR(INDEX('Result data'!$C386:$L386,1,$W$2),""))</f>
        <v/>
      </c>
      <c r="J33" s="450" t="str">
        <f>IF($M$2&lt;&gt;"Ok","",IFERROR(INDEX('Result data'!$C398:$L398,1,$W$2),""))</f>
        <v/>
      </c>
      <c r="K33" s="451" t="str">
        <f>IF($M$2&lt;&gt;"Ok","",IFERROR(INDEX('Result data'!$C434:$L434,1,$W$2),""))</f>
        <v/>
      </c>
      <c r="L33" s="450" t="str">
        <f>IF($M$2&lt;&gt;"Ok","",IFERROR(INDEX('Result data'!$C422:$L422,1,$W$2),""))</f>
        <v/>
      </c>
      <c r="M33" s="450" t="str">
        <f t="shared" si="33"/>
        <v/>
      </c>
      <c r="N33" s="450" t="str">
        <f>IF($M$2&lt;&gt;"Ok","",IFERROR(INDEX('Result data'!$P434:$Y434,1,$W$2),""))</f>
        <v/>
      </c>
      <c r="O33" s="929" t="str">
        <f t="shared" si="34"/>
        <v/>
      </c>
      <c r="P33" s="929"/>
      <c r="Q33" s="450" t="str">
        <f t="shared" si="35"/>
        <v/>
      </c>
      <c r="S33" s="235"/>
      <c r="T33" s="336">
        <f t="shared" si="36"/>
        <v>0</v>
      </c>
    </row>
    <row r="34" spans="1:41" s="236" customFormat="1" ht="31.9" customHeight="1" x14ac:dyDescent="0.25">
      <c r="A34" s="194" t="str">
        <f t="shared" si="37"/>
        <v>Subsidiária 3</v>
      </c>
      <c r="B34" s="302" t="str">
        <f t="shared" si="38"/>
        <v/>
      </c>
      <c r="C34" s="713" t="str">
        <f>IF($M$2&lt;&gt;"Ok","",IFERROR(INDEX('Result data'!$C363:$L363,1,$W$2),""))</f>
        <v/>
      </c>
      <c r="D34" s="713"/>
      <c r="E34" s="924" t="str">
        <f>IF($M$2&lt;&gt;"Ok","",IFERROR((INDEX('Result data'!$C363:$L363,1,$W$2)-INDEX('Result data'!$C411:$L411,1,$W$2)-INDEX('Result data'!$P447:$Y447,1,$W$2)),""))</f>
        <v/>
      </c>
      <c r="F34" s="924"/>
      <c r="G34" s="452" t="str">
        <f>IF(B34="","",IF($M$2&lt;&gt;"Ok","",SUM(INDEX('Result data'!$C459:$L459,1,$W$2),INDEX('Result data'!$C471:$L471,1,$W$2))))</f>
        <v/>
      </c>
      <c r="H34" s="452" t="str">
        <f>IF($M$2&lt;&gt;"Ok","",IFERROR(INDEX('Result data'!$C375:$L375,1,$W$2)-INDEX('Result data'!$P447:$Y447,1,$W$2),""))</f>
        <v/>
      </c>
      <c r="I34" s="452" t="str">
        <f>IF($M$2&lt;&gt;"Ok","",IFERROR(INDEX('Result data'!$C387:$L387,1,$W$2),""))</f>
        <v/>
      </c>
      <c r="J34" s="453" t="str">
        <f>IF($M$2&lt;&gt;"Ok","",IFERROR(INDEX('Result data'!$C399:$L399,1,$W$2),""))</f>
        <v/>
      </c>
      <c r="K34" s="454" t="str">
        <f>IF($M$2&lt;&gt;"Ok","",IFERROR(INDEX('Result data'!$C435:$L435,1,$W$2),""))</f>
        <v/>
      </c>
      <c r="L34" s="453" t="str">
        <f>IF($M$2&lt;&gt;"Ok","",IFERROR(INDEX('Result data'!$C423:$L423,1,$W$2),""))</f>
        <v/>
      </c>
      <c r="M34" s="453" t="str">
        <f t="shared" si="33"/>
        <v/>
      </c>
      <c r="N34" s="453" t="str">
        <f>IF($M$2&lt;&gt;"Ok","",IFERROR(INDEX('Result data'!$P435:$Y435,1,$W$2),""))</f>
        <v/>
      </c>
      <c r="O34" s="930" t="str">
        <f t="shared" si="34"/>
        <v/>
      </c>
      <c r="P34" s="930"/>
      <c r="Q34" s="453" t="str">
        <f t="shared" si="35"/>
        <v/>
      </c>
      <c r="S34" s="235"/>
      <c r="T34" s="336">
        <f t="shared" si="36"/>
        <v>0</v>
      </c>
    </row>
    <row r="35" spans="1:41" s="236" customFormat="1" ht="31.9" customHeight="1" x14ac:dyDescent="0.25">
      <c r="A35" s="43" t="str">
        <f t="shared" si="37"/>
        <v>Subsidiária 4</v>
      </c>
      <c r="B35" s="301" t="str">
        <f t="shared" si="38"/>
        <v/>
      </c>
      <c r="C35" s="714" t="str">
        <f>IF($M$2&lt;&gt;"Ok","",IFERROR(INDEX('Result data'!$C364:$L364,1,$W$2),""))</f>
        <v/>
      </c>
      <c r="D35" s="714"/>
      <c r="E35" s="925" t="str">
        <f>IF($M$2&lt;&gt;"Ok","",IFERROR((INDEX('Result data'!$C364:$L364,1,$W$2)-INDEX('Result data'!$C412:$L412,1,$W$2)-INDEX('Result data'!$P448:$Y448,1,$W$2)),""))</f>
        <v/>
      </c>
      <c r="F35" s="925"/>
      <c r="G35" s="449" t="str">
        <f>IF(B35="","",IF($M$2&lt;&gt;"Ok","",SUM(INDEX('Result data'!$C460:$L460,1,$W$2),INDEX('Result data'!$C472:$L472,1,$W$2))))</f>
        <v/>
      </c>
      <c r="H35" s="449" t="str">
        <f>IF($M$2&lt;&gt;"Ok","",IFERROR(INDEX('Result data'!$C376:$L376,1,$W$2)-INDEX('Result data'!$P448:$Y448,1,$W$2),""))</f>
        <v/>
      </c>
      <c r="I35" s="449" t="str">
        <f>IF($M$2&lt;&gt;"Ok","",IFERROR(INDEX('Result data'!$C388:$L388,1,$W$2),""))</f>
        <v/>
      </c>
      <c r="J35" s="450" t="str">
        <f>IF($M$2&lt;&gt;"Ok","",IFERROR(INDEX('Result data'!$C400:$L400,1,$W$2),""))</f>
        <v/>
      </c>
      <c r="K35" s="451" t="str">
        <f>IF($M$2&lt;&gt;"Ok","",IFERROR(INDEX('Result data'!$C436:$L436,1,$W$2),""))</f>
        <v/>
      </c>
      <c r="L35" s="450" t="str">
        <f>IF($M$2&lt;&gt;"Ok","",IFERROR(INDEX('Result data'!$C424:$L424,1,$W$2),""))</f>
        <v/>
      </c>
      <c r="M35" s="450" t="str">
        <f t="shared" si="33"/>
        <v/>
      </c>
      <c r="N35" s="450" t="str">
        <f>IF($M$2&lt;&gt;"Ok","",IFERROR(INDEX('Result data'!$P436:$Y436,1,$W$2),""))</f>
        <v/>
      </c>
      <c r="O35" s="929" t="str">
        <f t="shared" si="34"/>
        <v/>
      </c>
      <c r="P35" s="929"/>
      <c r="Q35" s="450" t="str">
        <f t="shared" si="35"/>
        <v/>
      </c>
      <c r="S35" s="235"/>
      <c r="T35" s="336">
        <f t="shared" si="36"/>
        <v>0</v>
      </c>
    </row>
    <row r="36" spans="1:41" s="236" customFormat="1" ht="31.9" customHeight="1" x14ac:dyDescent="0.25">
      <c r="A36" s="194" t="str">
        <f t="shared" si="37"/>
        <v>Subsidiária 5</v>
      </c>
      <c r="B36" s="302" t="str">
        <f t="shared" si="38"/>
        <v/>
      </c>
      <c r="C36" s="713" t="str">
        <f>IF($M$2&lt;&gt;"Ok","",IFERROR(INDEX('Result data'!$C365:$L365,1,$W$2),""))</f>
        <v/>
      </c>
      <c r="D36" s="713"/>
      <c r="E36" s="924" t="str">
        <f>IF($M$2&lt;&gt;"Ok","",IFERROR((INDEX('Result data'!$C365:$L365,1,$W$2)-INDEX('Result data'!$C413:$L413,1,$W$2)-INDEX('Result data'!$P449:$Y449,1,$W$2)),""))</f>
        <v/>
      </c>
      <c r="F36" s="924"/>
      <c r="G36" s="452" t="str">
        <f>IF(B36="","",IF($M$2&lt;&gt;"Ok","",SUM(INDEX('Result data'!$C461:$L461,1,$W$2),INDEX('Result data'!$C473:$L473,1,$W$2))))</f>
        <v/>
      </c>
      <c r="H36" s="452" t="str">
        <f>IF($M$2&lt;&gt;"Ok","",IFERROR(INDEX('Result data'!$C377:$L377,1,$W$2)-INDEX('Result data'!$P449:$Y449,1,$W$2),""))</f>
        <v/>
      </c>
      <c r="I36" s="452" t="str">
        <f>IF($M$2&lt;&gt;"Ok","",IFERROR(INDEX('Result data'!$C389:$L389,1,$W$2),""))</f>
        <v/>
      </c>
      <c r="J36" s="453" t="str">
        <f>IF($M$2&lt;&gt;"Ok","",IFERROR(INDEX('Result data'!$C401:$L401,1,$W$2),""))</f>
        <v/>
      </c>
      <c r="K36" s="454" t="str">
        <f>IF($M$2&lt;&gt;"Ok","",IFERROR(INDEX('Result data'!$C437:$L437,1,$W$2),""))</f>
        <v/>
      </c>
      <c r="L36" s="453" t="str">
        <f>IF($M$2&lt;&gt;"Ok","",IFERROR(INDEX('Result data'!$C425:$L425,1,$W$2),""))</f>
        <v/>
      </c>
      <c r="M36" s="453" t="str">
        <f t="shared" si="33"/>
        <v/>
      </c>
      <c r="N36" s="453" t="str">
        <f>IF($M$2&lt;&gt;"Ok","",IFERROR(INDEX('Result data'!$P437:$Y437,1,$W$2),""))</f>
        <v/>
      </c>
      <c r="O36" s="930" t="str">
        <f t="shared" si="34"/>
        <v/>
      </c>
      <c r="P36" s="930"/>
      <c r="Q36" s="453" t="str">
        <f t="shared" si="35"/>
        <v/>
      </c>
      <c r="S36" s="235"/>
      <c r="T36" s="336">
        <f t="shared" si="36"/>
        <v>0</v>
      </c>
    </row>
    <row r="37" spans="1:41" s="236" customFormat="1" ht="31.9" customHeight="1" x14ac:dyDescent="0.25">
      <c r="A37" s="43" t="str">
        <f t="shared" si="37"/>
        <v>Subsidiária 6</v>
      </c>
      <c r="B37" s="301" t="str">
        <f t="shared" si="38"/>
        <v/>
      </c>
      <c r="C37" s="714" t="str">
        <f>IF($M$2&lt;&gt;"Ok","",IFERROR(INDEX('Result data'!$C366:$L366,1,$W$2),""))</f>
        <v/>
      </c>
      <c r="D37" s="714"/>
      <c r="E37" s="925" t="str">
        <f>IF($M$2&lt;&gt;"Ok","",IFERROR((INDEX('Result data'!$C366:$L366,1,$W$2)-INDEX('Result data'!$C414:$L414,1,$W$2)-INDEX('Result data'!$P450:$Y450,1,$W$2)),""))</f>
        <v/>
      </c>
      <c r="F37" s="925"/>
      <c r="G37" s="449" t="str">
        <f>IF(B37="","",IF($M$2&lt;&gt;"Ok","",SUM(INDEX('Result data'!$C462:$L462,1,$W$2),INDEX('Result data'!$C474:$L474,1,$W$2))))</f>
        <v/>
      </c>
      <c r="H37" s="449" t="str">
        <f>IF($M$2&lt;&gt;"Ok","",IFERROR(INDEX('Result data'!$C378:$L378,1,$W$2)-INDEX('Result data'!$P450:$Y450,1,$W$2),""))</f>
        <v/>
      </c>
      <c r="I37" s="449" t="str">
        <f>IF($M$2&lt;&gt;"Ok","",IFERROR(INDEX('Result data'!$C390:$L390,1,$W$2),""))</f>
        <v/>
      </c>
      <c r="J37" s="450" t="str">
        <f>IF($M$2&lt;&gt;"Ok","",IFERROR(INDEX('Result data'!$C402:$L402,1,$W$2),""))</f>
        <v/>
      </c>
      <c r="K37" s="451" t="str">
        <f>IF($M$2&lt;&gt;"Ok","",IFERROR(INDEX('Result data'!$C438:$L438,1,$W$2),""))</f>
        <v/>
      </c>
      <c r="L37" s="450" t="str">
        <f>IF($M$2&lt;&gt;"Ok","",IFERROR(INDEX('Result data'!$C426:$L426,1,$W$2),""))</f>
        <v/>
      </c>
      <c r="M37" s="450" t="str">
        <f t="shared" si="33"/>
        <v/>
      </c>
      <c r="N37" s="450" t="str">
        <f>IF($M$2&lt;&gt;"Ok","",IFERROR(INDEX('Result data'!$P438:$Y438,1,$W$2),""))</f>
        <v/>
      </c>
      <c r="O37" s="929" t="str">
        <f t="shared" si="34"/>
        <v/>
      </c>
      <c r="P37" s="929"/>
      <c r="Q37" s="450" t="str">
        <f t="shared" si="35"/>
        <v/>
      </c>
      <c r="S37" s="235"/>
      <c r="T37" s="336">
        <f t="shared" si="36"/>
        <v>0</v>
      </c>
    </row>
    <row r="38" spans="1:41" s="236" customFormat="1" ht="31.9" customHeight="1" x14ac:dyDescent="0.25">
      <c r="A38" s="194" t="str">
        <f t="shared" si="37"/>
        <v>Subsidiária 7</v>
      </c>
      <c r="B38" s="302" t="str">
        <f t="shared" si="38"/>
        <v/>
      </c>
      <c r="C38" s="713" t="str">
        <f>IF($M$2&lt;&gt;"Ok","",IFERROR(INDEX('Result data'!$C367:$L367,1,$W$2),""))</f>
        <v/>
      </c>
      <c r="D38" s="713"/>
      <c r="E38" s="924" t="str">
        <f>IF($M$2&lt;&gt;"Ok","",IFERROR((INDEX('Result data'!$C367:$L367,1,$W$2)-INDEX('Result data'!$C415:$L415,1,$W$2)-INDEX('Result data'!$P451:$Y451,1,$W$2)),""))</f>
        <v/>
      </c>
      <c r="F38" s="924"/>
      <c r="G38" s="452" t="str">
        <f>IF(B38="","",IF($M$2&lt;&gt;"Ok","",SUM(INDEX('Result data'!$C463:$L463,1,$W$2),INDEX('Result data'!$C475:$L475,1,$W$2))))</f>
        <v/>
      </c>
      <c r="H38" s="452" t="str">
        <f>IF($M$2&lt;&gt;"Ok","",IFERROR(INDEX('Result data'!$C379:$L379,1,$W$2)-INDEX('Result data'!$P451:$Y451,1,$W$2),""))</f>
        <v/>
      </c>
      <c r="I38" s="452" t="str">
        <f>IF($M$2&lt;&gt;"Ok","",IFERROR(INDEX('Result data'!$C391:$L391,1,$W$2),""))</f>
        <v/>
      </c>
      <c r="J38" s="453" t="str">
        <f>IF($M$2&lt;&gt;"Ok","",IFERROR(INDEX('Result data'!$C403:$L403,1,$W$2),""))</f>
        <v/>
      </c>
      <c r="K38" s="454" t="str">
        <f>IF($M$2&lt;&gt;"Ok","",IFERROR(INDEX('Result data'!$C439:$L439,1,$W$2),""))</f>
        <v/>
      </c>
      <c r="L38" s="453" t="str">
        <f>IF($M$2&lt;&gt;"Ok","",IFERROR(INDEX('Result data'!$C427:$L427,1,$W$2),""))</f>
        <v/>
      </c>
      <c r="M38" s="453" t="str">
        <f t="shared" si="33"/>
        <v/>
      </c>
      <c r="N38" s="453" t="str">
        <f>IF($M$2&lt;&gt;"Ok","",IFERROR(INDEX('Result data'!$P439:$Y439,1,$W$2),""))</f>
        <v/>
      </c>
      <c r="O38" s="930" t="str">
        <f t="shared" si="34"/>
        <v/>
      </c>
      <c r="P38" s="930"/>
      <c r="Q38" s="453" t="str">
        <f t="shared" si="35"/>
        <v/>
      </c>
      <c r="S38" s="235"/>
      <c r="T38" s="336">
        <f t="shared" si="36"/>
        <v>0</v>
      </c>
    </row>
    <row r="39" spans="1:41" s="236" customFormat="1" ht="31.9" customHeight="1" x14ac:dyDescent="0.25">
      <c r="A39" s="43" t="str">
        <f t="shared" si="37"/>
        <v>Subsidiária 8</v>
      </c>
      <c r="B39" s="301" t="str">
        <f t="shared" si="38"/>
        <v/>
      </c>
      <c r="C39" s="714" t="str">
        <f>IF($M$2&lt;&gt;"Ok","",IFERROR(INDEX('Result data'!$C368:$L368,1,$W$2),""))</f>
        <v/>
      </c>
      <c r="D39" s="714"/>
      <c r="E39" s="925" t="str">
        <f>IF($M$2&lt;&gt;"Ok","",IFERROR((INDEX('Result data'!$C368:$L368,1,$W$2)-INDEX('Result data'!$C416:$L416,1,$W$2)-INDEX('Result data'!$P452:$Y452,1,$W$2)),""))</f>
        <v/>
      </c>
      <c r="F39" s="925"/>
      <c r="G39" s="449" t="str">
        <f>IF(B39="","",IF($M$2&lt;&gt;"Ok","",SUM(INDEX('Result data'!$C464:$L464,1,$W$2),INDEX('Result data'!$C476:$L476,1,$W$2))))</f>
        <v/>
      </c>
      <c r="H39" s="449" t="str">
        <f>IF($M$2&lt;&gt;"Ok","",IFERROR(INDEX('Result data'!$C380:$L380,1,$W$2)-INDEX('Result data'!$P452:$Y452,1,$W$2),""))</f>
        <v/>
      </c>
      <c r="I39" s="449" t="str">
        <f>IF($M$2&lt;&gt;"Ok","",IFERROR(INDEX('Result data'!$C392:$L392,1,$W$2),""))</f>
        <v/>
      </c>
      <c r="J39" s="450" t="str">
        <f>IF($M$2&lt;&gt;"Ok","",IFERROR(INDEX('Result data'!$C404:$L404,1,$W$2),""))</f>
        <v/>
      </c>
      <c r="K39" s="451" t="str">
        <f>IF($M$2&lt;&gt;"Ok","",IFERROR(INDEX('Result data'!$C440:$L440,1,$W$2),""))</f>
        <v/>
      </c>
      <c r="L39" s="450" t="str">
        <f>IF($M$2&lt;&gt;"Ok","",IFERROR(INDEX('Result data'!$C428:$L428,1,$W$2),""))</f>
        <v/>
      </c>
      <c r="M39" s="450" t="str">
        <f t="shared" si="33"/>
        <v/>
      </c>
      <c r="N39" s="450" t="str">
        <f>IF($M$2&lt;&gt;"Ok","",IFERROR(INDEX('Result data'!$P440:$Y440,1,$W$2),""))</f>
        <v/>
      </c>
      <c r="O39" s="929" t="str">
        <f t="shared" si="34"/>
        <v/>
      </c>
      <c r="P39" s="929"/>
      <c r="Q39" s="450" t="str">
        <f t="shared" si="35"/>
        <v/>
      </c>
      <c r="S39" s="235"/>
      <c r="T39" s="336">
        <f t="shared" si="36"/>
        <v>0</v>
      </c>
    </row>
    <row r="40" spans="1:41" s="236" customFormat="1" ht="31.9" customHeight="1" x14ac:dyDescent="0.25">
      <c r="A40" s="194" t="str">
        <f t="shared" si="37"/>
        <v>Subsidiária 9</v>
      </c>
      <c r="B40" s="302" t="str">
        <f t="shared" si="38"/>
        <v/>
      </c>
      <c r="C40" s="713" t="str">
        <f>IF($M$2&lt;&gt;"Ok","",IFERROR(INDEX('Result data'!$C369:$L369,1,$W$2),""))</f>
        <v/>
      </c>
      <c r="D40" s="713"/>
      <c r="E40" s="924" t="str">
        <f>IF($M$2&lt;&gt;"Ok","",IFERROR((INDEX('Result data'!$C369:$L369,1,$W$2)-INDEX('Result data'!$C417:$L417,1,$W$2)-INDEX('Result data'!$P453:$Y453,1,$W$2)),""))</f>
        <v/>
      </c>
      <c r="F40" s="924"/>
      <c r="G40" s="452" t="str">
        <f>IF(B40="","",IF($M$2&lt;&gt;"Ok","",SUM(INDEX('Result data'!$C465:$L465,1,$W$2),INDEX('Result data'!$C477:$L477,1,$W$2))))</f>
        <v/>
      </c>
      <c r="H40" s="452" t="str">
        <f>IF($M$2&lt;&gt;"Ok","",IFERROR(INDEX('Result data'!$C381:$L381,1,$W$2)-INDEX('Result data'!$P453:$Y453,1,$W$2),""))</f>
        <v/>
      </c>
      <c r="I40" s="452" t="str">
        <f>IF($M$2&lt;&gt;"Ok","",IFERROR(INDEX('Result data'!$C393:$L393,1,$W$2),""))</f>
        <v/>
      </c>
      <c r="J40" s="453" t="str">
        <f>IF($M$2&lt;&gt;"Ok","",IFERROR(INDEX('Result data'!$C405:$L405,1,$W$2),""))</f>
        <v/>
      </c>
      <c r="K40" s="454" t="str">
        <f>IF($M$2&lt;&gt;"Ok","",IFERROR(INDEX('Result data'!$C441:$L441,1,$W$2),""))</f>
        <v/>
      </c>
      <c r="L40" s="453" t="str">
        <f>IF($M$2&lt;&gt;"Ok","",IFERROR(INDEX('Result data'!$C429:$L429,1,$W$2),""))</f>
        <v/>
      </c>
      <c r="M40" s="453" t="str">
        <f t="shared" si="33"/>
        <v/>
      </c>
      <c r="N40" s="453" t="str">
        <f>IF($M$2&lt;&gt;"Ok","",IFERROR(INDEX('Result data'!$P441:$Y441,1,$W$2),""))</f>
        <v/>
      </c>
      <c r="O40" s="930" t="str">
        <f t="shared" si="34"/>
        <v/>
      </c>
      <c r="P40" s="930"/>
      <c r="Q40" s="453" t="str">
        <f t="shared" si="35"/>
        <v/>
      </c>
      <c r="S40" s="235"/>
      <c r="T40" s="336">
        <f t="shared" si="36"/>
        <v>0</v>
      </c>
    </row>
    <row r="41" spans="1:41" s="303" customFormat="1" ht="40.15" customHeight="1" x14ac:dyDescent="0.25">
      <c r="A41" s="318" t="str">
        <f>'General Report'!A66</f>
        <v>Total do mundo</v>
      </c>
      <c r="B41" s="318"/>
      <c r="C41" s="715">
        <f>SUM(C31:C40)</f>
        <v>0</v>
      </c>
      <c r="D41" s="715"/>
      <c r="E41" s="926" t="str">
        <f>IF($M$2&lt;&gt;"Ok","",SUM(E31:E40))</f>
        <v/>
      </c>
      <c r="F41" s="926"/>
      <c r="G41" s="715" t="str">
        <f t="shared" ref="G41:L41" si="39">IF($M$2&lt;&gt;"Ok","",SUM(G31:G40))</f>
        <v/>
      </c>
      <c r="H41" s="715" t="str">
        <f t="shared" si="39"/>
        <v/>
      </c>
      <c r="I41" s="715" t="str">
        <f t="shared" si="39"/>
        <v/>
      </c>
      <c r="J41" s="715" t="str">
        <f t="shared" si="39"/>
        <v/>
      </c>
      <c r="K41" s="715" t="str">
        <f t="shared" si="39"/>
        <v/>
      </c>
      <c r="L41" s="715" t="str">
        <f t="shared" si="39"/>
        <v/>
      </c>
      <c r="M41" s="715" t="str">
        <f>IF($M$2&lt;&gt;"Ok","",(INDEX('Result data'!$B$201:$DQ$201,1,'Config!'!BA17+('Individual Report'!$W$2-1)*12)+INDEX('Result data'!$B$202:$DQ$202,1,'Config!'!BA17+('Individual Report'!$W$2-1)*12)))</f>
        <v/>
      </c>
      <c r="N41" s="715" t="str">
        <f>IF($M$2&lt;&gt;"Ok","",SUM(N31:N40))</f>
        <v/>
      </c>
      <c r="O41" s="926" t="str">
        <f>IF($M$2&lt;&gt;"Ok","",SUM(O31:O40))</f>
        <v/>
      </c>
      <c r="P41" s="926"/>
      <c r="Q41" s="715" t="str">
        <f t="shared" si="35"/>
        <v/>
      </c>
      <c r="S41" s="317"/>
      <c r="T41" s="337">
        <f>SUM(T31:T40)</f>
        <v>0</v>
      </c>
    </row>
    <row r="42" spans="1:41" s="303" customFormat="1" ht="43.9" customHeight="1" x14ac:dyDescent="0.25">
      <c r="A42" s="892" t="str">
        <f>Language!C446</f>
        <v>Performance Financeira e de Marketing</v>
      </c>
      <c r="B42" s="892"/>
      <c r="C42" s="892"/>
      <c r="D42" s="892"/>
      <c r="E42" s="892"/>
      <c r="F42" s="892"/>
      <c r="G42" s="892"/>
      <c r="H42" s="892"/>
      <c r="I42" s="892"/>
      <c r="J42" s="892"/>
      <c r="K42" s="892"/>
      <c r="L42" s="892"/>
      <c r="M42" s="892"/>
      <c r="N42" s="892"/>
      <c r="O42" s="892"/>
      <c r="P42" s="892"/>
      <c r="Q42" s="702"/>
      <c r="S42" s="317"/>
      <c r="T42" s="337"/>
    </row>
    <row r="43" spans="1:41" s="236" customFormat="1" ht="40.15" customHeight="1" x14ac:dyDescent="0.35">
      <c r="A43" s="306" t="str">
        <f>A30</f>
        <v>Unidade</v>
      </c>
      <c r="B43" s="306" t="str">
        <f>B30</f>
        <v>País</v>
      </c>
      <c r="C43" s="711" t="s">
        <v>1465</v>
      </c>
      <c r="D43" s="711" t="s">
        <v>1466</v>
      </c>
      <c r="E43" s="920" t="str">
        <f>Language!C447</f>
        <v>Retorno sobre o investimento</v>
      </c>
      <c r="F43" s="920"/>
      <c r="G43" s="711" t="str">
        <f>Language!C448</f>
        <v>Retorno sobre as vendas</v>
      </c>
      <c r="H43" s="304"/>
      <c r="I43" s="304"/>
      <c r="J43" s="304"/>
      <c r="K43" s="182"/>
      <c r="L43" s="182"/>
      <c r="M43" s="182"/>
      <c r="N43" s="182"/>
      <c r="O43" s="182"/>
      <c r="P43" s="182"/>
      <c r="Q43" s="182"/>
      <c r="S43" s="235"/>
      <c r="T43" s="235"/>
      <c r="U43" s="235"/>
      <c r="V43" s="235"/>
      <c r="W43" s="235"/>
      <c r="AK43" s="235"/>
      <c r="AL43" s="235"/>
      <c r="AM43" s="235"/>
      <c r="AN43" s="235"/>
      <c r="AO43" s="235"/>
    </row>
    <row r="44" spans="1:41" s="236" customFormat="1" ht="31.9" customHeight="1" x14ac:dyDescent="0.35">
      <c r="A44" s="43" t="str">
        <f>A31</f>
        <v>Matriz</v>
      </c>
      <c r="B44" s="301" t="str">
        <f>IF($M$2&lt;&gt;"Ok","",B31)</f>
        <v/>
      </c>
      <c r="C44" s="710" t="str">
        <f t="shared" ref="C44:C54" si="40">IF($M$2&lt;&gt;"Ok","",IFERROR(Q31/C31,""))</f>
        <v/>
      </c>
      <c r="D44" s="710" t="str">
        <f t="shared" ref="D44:D54" si="41">IF($M$2&lt;&gt;"Ok","",IFERROR(Q31/G31,""))</f>
        <v/>
      </c>
      <c r="E44" s="919" t="str">
        <f t="shared" ref="E44:E54" si="42">IF($M$2&lt;&gt;"Ok","",IFERROR(O31/(J31+I31+H31+G31),""))</f>
        <v/>
      </c>
      <c r="F44" s="919"/>
      <c r="G44" s="710" t="str">
        <f t="shared" ref="G44:G54" si="43">IF($M$2&lt;&gt;"Ok","",IFERROR(O31/C31,""))</f>
        <v/>
      </c>
      <c r="H44" s="304"/>
      <c r="I44" s="304"/>
      <c r="J44" s="304"/>
      <c r="K44" s="182"/>
      <c r="L44" s="182"/>
      <c r="M44" s="182"/>
      <c r="N44" s="182"/>
      <c r="O44" s="182"/>
      <c r="P44" s="182"/>
      <c r="Q44" s="182"/>
      <c r="S44" s="235"/>
      <c r="T44" s="235"/>
      <c r="U44" s="235"/>
      <c r="V44" s="235"/>
      <c r="W44" s="235"/>
      <c r="AK44" s="235"/>
      <c r="AL44" s="235"/>
      <c r="AM44" s="235"/>
      <c r="AN44" s="235"/>
      <c r="AO44" s="235"/>
    </row>
    <row r="45" spans="1:41" s="236" customFormat="1" ht="31.9" customHeight="1" x14ac:dyDescent="0.35">
      <c r="A45" s="308" t="str">
        <f t="shared" ref="A45" si="44">A32</f>
        <v>Subsidiária 1</v>
      </c>
      <c r="B45" s="309" t="str">
        <f t="shared" ref="B45:B53" si="45">IF($M$2&lt;&gt;"Ok","",B32)</f>
        <v/>
      </c>
      <c r="C45" s="709" t="str">
        <f t="shared" si="40"/>
        <v/>
      </c>
      <c r="D45" s="709" t="str">
        <f t="shared" si="41"/>
        <v/>
      </c>
      <c r="E45" s="918" t="str">
        <f t="shared" si="42"/>
        <v/>
      </c>
      <c r="F45" s="918"/>
      <c r="G45" s="709" t="str">
        <f t="shared" si="43"/>
        <v/>
      </c>
      <c r="H45" s="304"/>
      <c r="I45" s="304"/>
      <c r="J45" s="304"/>
      <c r="K45" s="182"/>
      <c r="L45" s="182"/>
      <c r="M45" s="182"/>
      <c r="N45" s="182"/>
      <c r="O45" s="182"/>
      <c r="P45" s="182"/>
      <c r="Q45" s="182"/>
      <c r="S45" s="235"/>
      <c r="T45" s="235"/>
      <c r="U45" s="235"/>
      <c r="V45" s="235"/>
      <c r="W45" s="235"/>
      <c r="AK45" s="235"/>
      <c r="AL45" s="235"/>
      <c r="AM45" s="235"/>
      <c r="AN45" s="235"/>
      <c r="AO45" s="235"/>
    </row>
    <row r="46" spans="1:41" s="236" customFormat="1" ht="31.9" customHeight="1" x14ac:dyDescent="0.35">
      <c r="A46" s="43" t="str">
        <f t="shared" ref="A46" si="46">A33</f>
        <v>Subsidiária 2</v>
      </c>
      <c r="B46" s="301" t="str">
        <f t="shared" si="45"/>
        <v/>
      </c>
      <c r="C46" s="710" t="str">
        <f t="shared" si="40"/>
        <v/>
      </c>
      <c r="D46" s="710" t="str">
        <f t="shared" si="41"/>
        <v/>
      </c>
      <c r="E46" s="919" t="str">
        <f t="shared" si="42"/>
        <v/>
      </c>
      <c r="F46" s="919"/>
      <c r="G46" s="710" t="str">
        <f t="shared" si="43"/>
        <v/>
      </c>
      <c r="H46" s="304"/>
      <c r="I46" s="304"/>
      <c r="J46" s="304"/>
      <c r="K46" s="182"/>
      <c r="L46" s="182"/>
      <c r="M46" s="182"/>
      <c r="N46" s="182"/>
      <c r="O46" s="182"/>
      <c r="P46" s="182"/>
      <c r="Q46" s="182"/>
      <c r="S46" s="235"/>
      <c r="T46" s="235"/>
      <c r="U46" s="235"/>
      <c r="V46" s="235"/>
      <c r="W46" s="235"/>
      <c r="AK46" s="235"/>
      <c r="AL46" s="235"/>
      <c r="AM46" s="235"/>
      <c r="AN46" s="235"/>
      <c r="AO46" s="235"/>
    </row>
    <row r="47" spans="1:41" s="236" customFormat="1" ht="31.9" customHeight="1" x14ac:dyDescent="0.35">
      <c r="A47" s="308" t="str">
        <f t="shared" ref="A47" si="47">A34</f>
        <v>Subsidiária 3</v>
      </c>
      <c r="B47" s="309" t="str">
        <f t="shared" si="45"/>
        <v/>
      </c>
      <c r="C47" s="709" t="str">
        <f t="shared" si="40"/>
        <v/>
      </c>
      <c r="D47" s="709" t="str">
        <f t="shared" si="41"/>
        <v/>
      </c>
      <c r="E47" s="918" t="str">
        <f t="shared" si="42"/>
        <v/>
      </c>
      <c r="F47" s="918"/>
      <c r="G47" s="709" t="str">
        <f t="shared" si="43"/>
        <v/>
      </c>
      <c r="H47" s="304"/>
      <c r="I47" s="304"/>
      <c r="J47" s="304"/>
      <c r="K47" s="182"/>
      <c r="L47" s="182"/>
      <c r="M47" s="182"/>
      <c r="N47" s="182"/>
      <c r="O47" s="182"/>
      <c r="P47" s="182"/>
      <c r="Q47" s="182"/>
      <c r="S47" s="235"/>
      <c r="T47" s="235"/>
      <c r="U47" s="235"/>
      <c r="V47" s="235"/>
      <c r="W47" s="235"/>
      <c r="AK47" s="235"/>
      <c r="AL47" s="235"/>
      <c r="AM47" s="235"/>
      <c r="AN47" s="235"/>
      <c r="AO47" s="235"/>
    </row>
    <row r="48" spans="1:41" s="236" customFormat="1" ht="31.9" customHeight="1" x14ac:dyDescent="0.35">
      <c r="A48" s="43" t="str">
        <f t="shared" ref="A48" si="48">A35</f>
        <v>Subsidiária 4</v>
      </c>
      <c r="B48" s="301" t="str">
        <f t="shared" si="45"/>
        <v/>
      </c>
      <c r="C48" s="710" t="str">
        <f t="shared" si="40"/>
        <v/>
      </c>
      <c r="D48" s="710" t="str">
        <f t="shared" si="41"/>
        <v/>
      </c>
      <c r="E48" s="919" t="str">
        <f t="shared" si="42"/>
        <v/>
      </c>
      <c r="F48" s="919"/>
      <c r="G48" s="710" t="str">
        <f t="shared" si="43"/>
        <v/>
      </c>
      <c r="H48" s="304"/>
      <c r="I48" s="304"/>
      <c r="J48" s="304"/>
      <c r="K48" s="182"/>
      <c r="L48" s="182"/>
      <c r="M48" s="182"/>
      <c r="N48" s="182"/>
      <c r="O48" s="182"/>
      <c r="P48" s="182"/>
      <c r="Q48" s="182"/>
      <c r="S48" s="235"/>
      <c r="T48" s="235"/>
      <c r="U48" s="235"/>
      <c r="V48" s="235"/>
      <c r="W48" s="235"/>
      <c r="AK48" s="235"/>
      <c r="AL48" s="235"/>
      <c r="AM48" s="235"/>
      <c r="AN48" s="235"/>
      <c r="AO48" s="235"/>
    </row>
    <row r="49" spans="1:41" s="236" customFormat="1" ht="31.9" customHeight="1" x14ac:dyDescent="0.35">
      <c r="A49" s="308" t="str">
        <f t="shared" ref="A49" si="49">A36</f>
        <v>Subsidiária 5</v>
      </c>
      <c r="B49" s="309" t="str">
        <f t="shared" si="45"/>
        <v/>
      </c>
      <c r="C49" s="709" t="str">
        <f t="shared" si="40"/>
        <v/>
      </c>
      <c r="D49" s="709" t="str">
        <f t="shared" si="41"/>
        <v/>
      </c>
      <c r="E49" s="918" t="str">
        <f t="shared" si="42"/>
        <v/>
      </c>
      <c r="F49" s="918"/>
      <c r="G49" s="709" t="str">
        <f t="shared" si="43"/>
        <v/>
      </c>
      <c r="H49" s="304"/>
      <c r="I49" s="304"/>
      <c r="J49" s="304"/>
      <c r="K49" s="182"/>
      <c r="L49" s="182"/>
      <c r="M49" s="182"/>
      <c r="N49" s="182"/>
      <c r="O49" s="182"/>
      <c r="P49" s="182"/>
      <c r="Q49" s="182"/>
      <c r="S49" s="235"/>
      <c r="T49" s="235"/>
      <c r="U49" s="235"/>
      <c r="V49" s="235"/>
      <c r="W49" s="235"/>
      <c r="AK49" s="235"/>
      <c r="AL49" s="235"/>
      <c r="AM49" s="235"/>
      <c r="AN49" s="235"/>
      <c r="AO49" s="235"/>
    </row>
    <row r="50" spans="1:41" s="236" customFormat="1" ht="31.9" customHeight="1" x14ac:dyDescent="0.25">
      <c r="A50" s="43" t="str">
        <f t="shared" ref="A50" si="50">A37</f>
        <v>Subsidiária 6</v>
      </c>
      <c r="B50" s="301" t="str">
        <f t="shared" si="45"/>
        <v/>
      </c>
      <c r="C50" s="710" t="str">
        <f t="shared" si="40"/>
        <v/>
      </c>
      <c r="D50" s="710" t="str">
        <f t="shared" si="41"/>
        <v/>
      </c>
      <c r="E50" s="919" t="str">
        <f t="shared" si="42"/>
        <v/>
      </c>
      <c r="F50" s="919"/>
      <c r="G50" s="710" t="str">
        <f t="shared" si="43"/>
        <v/>
      </c>
      <c r="H50" s="235">
        <v>1</v>
      </c>
      <c r="I50" s="235">
        <v>2</v>
      </c>
      <c r="J50" s="235">
        <f>H50</f>
        <v>1</v>
      </c>
      <c r="K50" s="235">
        <f t="shared" ref="K50:AA50" si="51">I50</f>
        <v>2</v>
      </c>
      <c r="L50" s="235">
        <f t="shared" si="51"/>
        <v>1</v>
      </c>
      <c r="M50" s="235">
        <f t="shared" si="51"/>
        <v>2</v>
      </c>
      <c r="N50" s="235">
        <f t="shared" si="51"/>
        <v>1</v>
      </c>
      <c r="O50" s="235">
        <f t="shared" si="51"/>
        <v>2</v>
      </c>
      <c r="P50" s="235">
        <f t="shared" si="51"/>
        <v>1</v>
      </c>
      <c r="Q50" s="235">
        <f t="shared" si="51"/>
        <v>2</v>
      </c>
      <c r="R50" s="235">
        <f t="shared" si="51"/>
        <v>1</v>
      </c>
      <c r="S50" s="235">
        <f t="shared" si="51"/>
        <v>2</v>
      </c>
      <c r="T50" s="235">
        <f t="shared" si="51"/>
        <v>1</v>
      </c>
      <c r="U50" s="235">
        <f t="shared" si="51"/>
        <v>2</v>
      </c>
      <c r="V50" s="235">
        <f t="shared" si="51"/>
        <v>1</v>
      </c>
      <c r="W50" s="235">
        <f t="shared" si="51"/>
        <v>2</v>
      </c>
      <c r="X50" s="235">
        <f t="shared" si="51"/>
        <v>1</v>
      </c>
      <c r="Y50" s="235">
        <f t="shared" si="51"/>
        <v>2</v>
      </c>
      <c r="Z50" s="235">
        <f t="shared" si="51"/>
        <v>1</v>
      </c>
      <c r="AA50" s="235">
        <f t="shared" si="51"/>
        <v>2</v>
      </c>
      <c r="AL50" s="235"/>
      <c r="AM50" s="235"/>
      <c r="AN50" s="235"/>
      <c r="AO50" s="235"/>
    </row>
    <row r="51" spans="1:41" s="236" customFormat="1" ht="31.9" customHeight="1" x14ac:dyDescent="0.25">
      <c r="A51" s="308" t="str">
        <f t="shared" ref="A51" si="52">A38</f>
        <v>Subsidiária 7</v>
      </c>
      <c r="B51" s="309" t="str">
        <f t="shared" si="45"/>
        <v/>
      </c>
      <c r="C51" s="709" t="str">
        <f t="shared" si="40"/>
        <v/>
      </c>
      <c r="D51" s="709" t="str">
        <f t="shared" si="41"/>
        <v/>
      </c>
      <c r="E51" s="918" t="str">
        <f t="shared" si="42"/>
        <v/>
      </c>
      <c r="F51" s="918"/>
      <c r="G51" s="709" t="str">
        <f t="shared" si="43"/>
        <v/>
      </c>
      <c r="H51" s="235">
        <v>1</v>
      </c>
      <c r="I51" s="235">
        <v>1</v>
      </c>
      <c r="J51" s="235">
        <v>2</v>
      </c>
      <c r="K51" s="235">
        <v>2</v>
      </c>
      <c r="L51" s="235">
        <v>3</v>
      </c>
      <c r="M51" s="235">
        <v>3</v>
      </c>
      <c r="N51" s="235">
        <v>4</v>
      </c>
      <c r="O51" s="235">
        <v>4</v>
      </c>
      <c r="P51" s="235">
        <v>5</v>
      </c>
      <c r="Q51" s="235">
        <v>5</v>
      </c>
      <c r="R51" s="235">
        <v>6</v>
      </c>
      <c r="S51" s="235">
        <v>6</v>
      </c>
      <c r="T51" s="235">
        <v>7</v>
      </c>
      <c r="U51" s="235">
        <v>7</v>
      </c>
      <c r="V51" s="235">
        <v>8</v>
      </c>
      <c r="W51" s="235">
        <v>8</v>
      </c>
      <c r="X51" s="235">
        <v>9</v>
      </c>
      <c r="Y51" s="235">
        <v>9</v>
      </c>
      <c r="Z51" s="235">
        <v>10</v>
      </c>
      <c r="AA51" s="235">
        <v>10</v>
      </c>
      <c r="AL51" s="235"/>
      <c r="AM51" s="235"/>
      <c r="AN51" s="235"/>
      <c r="AO51" s="235"/>
    </row>
    <row r="52" spans="1:41" s="236" customFormat="1" ht="31.9" customHeight="1" x14ac:dyDescent="0.25">
      <c r="A52" s="43" t="str">
        <f t="shared" ref="A52" si="53">A39</f>
        <v>Subsidiária 8</v>
      </c>
      <c r="B52" s="301" t="str">
        <f t="shared" si="45"/>
        <v/>
      </c>
      <c r="C52" s="710" t="str">
        <f t="shared" si="40"/>
        <v/>
      </c>
      <c r="D52" s="710" t="str">
        <f t="shared" si="41"/>
        <v/>
      </c>
      <c r="E52" s="919" t="str">
        <f t="shared" si="42"/>
        <v/>
      </c>
      <c r="F52" s="919"/>
      <c r="G52" s="710" t="str">
        <f t="shared" si="43"/>
        <v/>
      </c>
      <c r="H52" s="328" t="s">
        <v>1467</v>
      </c>
      <c r="I52" s="328"/>
      <c r="J52" s="328" t="s">
        <v>1468</v>
      </c>
      <c r="K52" s="328"/>
      <c r="L52" s="328" t="s">
        <v>1469</v>
      </c>
      <c r="M52" s="328"/>
      <c r="N52" s="328" t="s">
        <v>1470</v>
      </c>
      <c r="O52" s="328"/>
      <c r="P52" s="328" t="s">
        <v>1471</v>
      </c>
      <c r="Q52" s="328"/>
      <c r="R52" s="328" t="s">
        <v>1472</v>
      </c>
      <c r="S52" s="328"/>
      <c r="T52" s="328" t="s">
        <v>1473</v>
      </c>
      <c r="U52" s="328"/>
      <c r="V52" s="328" t="s">
        <v>1474</v>
      </c>
      <c r="W52" s="328"/>
      <c r="X52" s="328" t="s">
        <v>1475</v>
      </c>
      <c r="Y52" s="328"/>
      <c r="Z52" s="328" t="s">
        <v>1476</v>
      </c>
      <c r="AA52" s="328"/>
      <c r="AL52" s="235"/>
      <c r="AM52" s="235"/>
      <c r="AN52" s="235"/>
      <c r="AO52" s="235"/>
    </row>
    <row r="53" spans="1:41" s="236" customFormat="1" ht="32.1" customHeight="1" x14ac:dyDescent="0.25">
      <c r="A53" s="308" t="str">
        <f t="shared" ref="A53" si="54">A40</f>
        <v>Subsidiária 9</v>
      </c>
      <c r="B53" s="309" t="str">
        <f t="shared" si="45"/>
        <v/>
      </c>
      <c r="C53" s="709" t="str">
        <f t="shared" si="40"/>
        <v/>
      </c>
      <c r="D53" s="709" t="str">
        <f t="shared" si="41"/>
        <v/>
      </c>
      <c r="E53" s="918" t="str">
        <f t="shared" si="42"/>
        <v/>
      </c>
      <c r="F53" s="918"/>
      <c r="G53" s="709" t="str">
        <f t="shared" si="43"/>
        <v/>
      </c>
      <c r="H53" s="235" t="str">
        <f>IF(H52="","",$C$18)</f>
        <v>Sua empresa</v>
      </c>
      <c r="I53" s="235" t="str">
        <f>IF(H52="","",$D$18)</f>
        <v>Concorrentes</v>
      </c>
      <c r="J53" s="235" t="str">
        <f>IF(J52="","",H53)</f>
        <v>Sua empresa</v>
      </c>
      <c r="K53" s="235" t="str">
        <f>IF(J52="","",I53)</f>
        <v>Concorrentes</v>
      </c>
      <c r="L53" s="235" t="str">
        <f>IF(L52="","",J53)</f>
        <v>Sua empresa</v>
      </c>
      <c r="M53" s="235" t="str">
        <f>IF(L52="","",K53)</f>
        <v>Concorrentes</v>
      </c>
      <c r="N53" s="235" t="str">
        <f t="shared" ref="N53" si="55">IF(N52="","",L53)</f>
        <v>Sua empresa</v>
      </c>
      <c r="O53" s="235" t="str">
        <f t="shared" ref="O53" si="56">IF(N52="","",M53)</f>
        <v>Concorrentes</v>
      </c>
      <c r="P53" s="235" t="str">
        <f t="shared" ref="P53" si="57">IF(P52="","",N53)</f>
        <v>Sua empresa</v>
      </c>
      <c r="Q53" s="235" t="str">
        <f t="shared" ref="Q53" si="58">IF(P52="","",O53)</f>
        <v>Concorrentes</v>
      </c>
      <c r="R53" s="235" t="str">
        <f t="shared" ref="R53" si="59">IF(R52="","",P53)</f>
        <v>Sua empresa</v>
      </c>
      <c r="S53" s="235" t="str">
        <f t="shared" ref="S53" si="60">IF(R52="","",Q53)</f>
        <v>Concorrentes</v>
      </c>
      <c r="T53" s="235" t="str">
        <f t="shared" ref="T53" si="61">IF(T52="","",R53)</f>
        <v>Sua empresa</v>
      </c>
      <c r="U53" s="235" t="str">
        <f t="shared" ref="U53" si="62">IF(T52="","",S53)</f>
        <v>Concorrentes</v>
      </c>
      <c r="V53" s="235" t="str">
        <f t="shared" ref="V53" si="63">IF(V52="","",T53)</f>
        <v>Sua empresa</v>
      </c>
      <c r="W53" s="235" t="str">
        <f t="shared" ref="W53" si="64">IF(V52="","",U53)</f>
        <v>Concorrentes</v>
      </c>
      <c r="X53" s="235" t="str">
        <f t="shared" ref="X53" si="65">IF(X52="","",V53)</f>
        <v>Sua empresa</v>
      </c>
      <c r="Y53" s="235" t="str">
        <f t="shared" ref="Y53" si="66">IF(X52="","",W53)</f>
        <v>Concorrentes</v>
      </c>
      <c r="Z53" s="235" t="str">
        <f t="shared" ref="Z53" si="67">IF(Z52="","",X53)</f>
        <v>Sua empresa</v>
      </c>
      <c r="AA53" s="235" t="str">
        <f t="shared" ref="AA53" si="68">IF(Z52="","",Y53)</f>
        <v>Concorrentes</v>
      </c>
      <c r="AL53" s="235"/>
      <c r="AM53" s="235"/>
      <c r="AN53" s="235"/>
      <c r="AO53" s="235"/>
    </row>
    <row r="54" spans="1:41" s="235" customFormat="1" ht="32.1" customHeight="1" x14ac:dyDescent="0.3">
      <c r="A54" s="307" t="s">
        <v>1290</v>
      </c>
      <c r="B54" s="307"/>
      <c r="C54" s="712" t="str">
        <f t="shared" si="40"/>
        <v/>
      </c>
      <c r="D54" s="712" t="str">
        <f t="shared" si="41"/>
        <v/>
      </c>
      <c r="E54" s="921" t="str">
        <f t="shared" si="42"/>
        <v/>
      </c>
      <c r="F54" s="921"/>
      <c r="G54" s="712" t="str">
        <f t="shared" si="43"/>
        <v/>
      </c>
      <c r="H54" s="314" t="str">
        <f t="shared" ref="H54:AA54" si="69">INDEX($G$19:$H$28,H$51,H$50)</f>
        <v/>
      </c>
      <c r="I54" s="314" t="str">
        <f t="shared" si="69"/>
        <v/>
      </c>
      <c r="J54" s="314" t="str">
        <f t="shared" si="69"/>
        <v/>
      </c>
      <c r="K54" s="314" t="str">
        <f t="shared" si="69"/>
        <v/>
      </c>
      <c r="L54" s="314" t="str">
        <f t="shared" si="69"/>
        <v/>
      </c>
      <c r="M54" s="314" t="str">
        <f t="shared" si="69"/>
        <v/>
      </c>
      <c r="N54" s="314" t="str">
        <f t="shared" si="69"/>
        <v/>
      </c>
      <c r="O54" s="314" t="str">
        <f t="shared" si="69"/>
        <v/>
      </c>
      <c r="P54" s="314" t="str">
        <f t="shared" si="69"/>
        <v/>
      </c>
      <c r="Q54" s="314" t="str">
        <f t="shared" si="69"/>
        <v/>
      </c>
      <c r="R54" s="314" t="str">
        <f t="shared" si="69"/>
        <v/>
      </c>
      <c r="S54" s="235" t="str">
        <f t="shared" si="69"/>
        <v/>
      </c>
      <c r="T54" s="235" t="str">
        <f t="shared" si="69"/>
        <v/>
      </c>
      <c r="U54" s="235" t="str">
        <f t="shared" si="69"/>
        <v/>
      </c>
      <c r="V54" s="314" t="str">
        <f t="shared" si="69"/>
        <v/>
      </c>
      <c r="W54" s="314" t="str">
        <f t="shared" si="69"/>
        <v/>
      </c>
      <c r="X54" s="314" t="str">
        <f t="shared" si="69"/>
        <v/>
      </c>
      <c r="Y54" s="314" t="str">
        <f t="shared" si="69"/>
        <v/>
      </c>
      <c r="Z54" s="314" t="str">
        <f t="shared" si="69"/>
        <v/>
      </c>
      <c r="AA54" s="314" t="str">
        <f t="shared" si="69"/>
        <v/>
      </c>
    </row>
    <row r="55" spans="1:41" s="235" customFormat="1" ht="0.95" customHeight="1" x14ac:dyDescent="0.35">
      <c r="A55" s="237"/>
      <c r="B55" s="485"/>
      <c r="C55" s="485"/>
      <c r="D55" s="237"/>
      <c r="E55" s="237"/>
      <c r="F55" s="237"/>
      <c r="G55" s="237"/>
      <c r="H55" s="314" t="str">
        <f t="shared" ref="H55:W55" si="70">IFERROR(B57-H54,"")</f>
        <v/>
      </c>
      <c r="I55" s="314" t="str">
        <f t="shared" si="70"/>
        <v/>
      </c>
      <c r="J55" s="314" t="str">
        <f t="shared" si="70"/>
        <v/>
      </c>
      <c r="K55" s="314" t="str">
        <f t="shared" si="70"/>
        <v/>
      </c>
      <c r="L55" s="314" t="str">
        <f t="shared" si="70"/>
        <v/>
      </c>
      <c r="M55" s="314" t="str">
        <f t="shared" si="70"/>
        <v/>
      </c>
      <c r="N55" s="314" t="str">
        <f t="shared" si="70"/>
        <v/>
      </c>
      <c r="O55" s="314" t="str">
        <f t="shared" si="70"/>
        <v/>
      </c>
      <c r="P55" s="314" t="str">
        <f t="shared" si="70"/>
        <v/>
      </c>
      <c r="Q55" s="314" t="str">
        <f t="shared" si="70"/>
        <v/>
      </c>
      <c r="R55" s="314" t="str">
        <f t="shared" si="70"/>
        <v/>
      </c>
      <c r="S55" s="235" t="str">
        <f t="shared" si="70"/>
        <v/>
      </c>
      <c r="T55" s="235" t="str">
        <f t="shared" si="70"/>
        <v/>
      </c>
      <c r="U55" s="235" t="str">
        <f t="shared" si="70"/>
        <v/>
      </c>
      <c r="V55" s="314" t="str">
        <f t="shared" si="70"/>
        <v/>
      </c>
      <c r="W55" s="314" t="str">
        <f t="shared" si="70"/>
        <v/>
      </c>
      <c r="X55" s="314" t="str">
        <f>IFERROR(AH56-X54,"")</f>
        <v/>
      </c>
      <c r="Y55" s="314" t="str">
        <f>IFERROR(AI56-Y54,"")</f>
        <v/>
      </c>
      <c r="Z55" s="314" t="str">
        <f>IFERROR(AJ56-Z54,"")</f>
        <v/>
      </c>
      <c r="AA55" s="314" t="str">
        <f>IFERROR(AK56-AA54,"")</f>
        <v/>
      </c>
    </row>
    <row r="56" spans="1:41" s="235" customFormat="1" ht="0.95" customHeight="1" x14ac:dyDescent="0.35">
      <c r="A56" s="237"/>
      <c r="B56" s="237"/>
      <c r="C56" s="237"/>
      <c r="D56" s="237"/>
      <c r="E56" s="237"/>
      <c r="F56" s="237"/>
      <c r="G56" s="237"/>
      <c r="H56" s="237"/>
      <c r="I56" s="237"/>
      <c r="J56" s="237"/>
      <c r="K56" s="237"/>
      <c r="L56" s="237"/>
      <c r="M56" s="237"/>
      <c r="N56" s="237"/>
      <c r="O56" s="237"/>
      <c r="P56" s="237"/>
      <c r="Q56" s="237"/>
      <c r="R56" s="236"/>
      <c r="AH56" s="314" t="str">
        <f>INDEX($C$19:$D$28,X$51,X$50)</f>
        <v/>
      </c>
      <c r="AI56" s="314" t="str">
        <f>INDEX($C$19:$D$28,Y$51,Y$50)</f>
        <v/>
      </c>
      <c r="AJ56" s="314" t="str">
        <f>INDEX($C$19:$D$28,Z$51,Z$50)</f>
        <v/>
      </c>
      <c r="AK56" s="314" t="str">
        <f>INDEX($C$19:$D$28,AA$51,AA$50)</f>
        <v/>
      </c>
    </row>
    <row r="57" spans="1:41" s="488" customFormat="1" ht="0.95" customHeight="1" x14ac:dyDescent="0.25">
      <c r="B57" s="490" t="str">
        <f t="shared" ref="B57:Q57" si="71">INDEX($C$19:$D$28,H$51,H$50)</f>
        <v/>
      </c>
      <c r="C57" s="490" t="str">
        <f t="shared" si="71"/>
        <v/>
      </c>
      <c r="D57" s="490" t="str">
        <f t="shared" si="71"/>
        <v/>
      </c>
      <c r="E57" s="490" t="str">
        <f t="shared" si="71"/>
        <v/>
      </c>
      <c r="F57" s="490" t="str">
        <f t="shared" si="71"/>
        <v/>
      </c>
      <c r="G57" s="490" t="str">
        <f t="shared" si="71"/>
        <v/>
      </c>
      <c r="H57" s="490" t="str">
        <f t="shared" si="71"/>
        <v/>
      </c>
      <c r="I57" s="490" t="str">
        <f t="shared" si="71"/>
        <v/>
      </c>
      <c r="J57" s="490" t="str">
        <f t="shared" si="71"/>
        <v/>
      </c>
      <c r="K57" s="490" t="str">
        <f t="shared" si="71"/>
        <v/>
      </c>
      <c r="L57" s="490" t="str">
        <f t="shared" si="71"/>
        <v/>
      </c>
      <c r="M57" s="490" t="str">
        <f t="shared" si="71"/>
        <v/>
      </c>
      <c r="N57" s="490" t="str">
        <f t="shared" si="71"/>
        <v/>
      </c>
      <c r="O57" s="490" t="str">
        <f t="shared" si="71"/>
        <v/>
      </c>
      <c r="P57" s="490" t="str">
        <f t="shared" si="71"/>
        <v/>
      </c>
      <c r="Q57" s="490" t="str">
        <f t="shared" si="71"/>
        <v/>
      </c>
      <c r="R57" s="645"/>
    </row>
    <row r="58" spans="1:41" s="235" customFormat="1" ht="0.95" customHeight="1" x14ac:dyDescent="0.25">
      <c r="R58" s="236"/>
    </row>
    <row r="59" spans="1:41" s="235" customFormat="1" ht="0.95" customHeight="1" x14ac:dyDescent="0.25">
      <c r="R59" s="236"/>
    </row>
    <row r="60" spans="1:41" s="235" customFormat="1" ht="0.95" customHeight="1" x14ac:dyDescent="0.25">
      <c r="B60" s="315" t="str">
        <f>"Empresa_"&amp;$W$2</f>
        <v>Empresa_0</v>
      </c>
      <c r="C60" s="315" t="str">
        <f t="shared" ref="C60:H60" si="72">B60</f>
        <v>Empresa_0</v>
      </c>
      <c r="D60" s="315" t="str">
        <f t="shared" si="72"/>
        <v>Empresa_0</v>
      </c>
      <c r="E60" s="315" t="str">
        <f t="shared" si="72"/>
        <v>Empresa_0</v>
      </c>
      <c r="F60" s="315" t="str">
        <f t="shared" si="72"/>
        <v>Empresa_0</v>
      </c>
      <c r="G60" s="315" t="str">
        <f t="shared" si="72"/>
        <v>Empresa_0</v>
      </c>
      <c r="H60" s="315" t="str">
        <f t="shared" si="72"/>
        <v>Empresa_0</v>
      </c>
      <c r="I60" s="315" t="str">
        <f t="shared" ref="I60:M60" si="73">H60</f>
        <v>Empresa_0</v>
      </c>
      <c r="J60" s="315" t="str">
        <f t="shared" si="73"/>
        <v>Empresa_0</v>
      </c>
      <c r="K60" s="315" t="str">
        <f t="shared" si="73"/>
        <v>Empresa_0</v>
      </c>
      <c r="L60" s="315" t="str">
        <f t="shared" si="73"/>
        <v>Empresa_0</v>
      </c>
      <c r="M60" s="315" t="str">
        <f t="shared" si="73"/>
        <v>Empresa_0</v>
      </c>
      <c r="R60" s="236"/>
    </row>
    <row r="61" spans="1:41" s="235" customFormat="1" ht="0.95" customHeight="1" x14ac:dyDescent="0.25">
      <c r="A61" s="235" t="str">
        <f>Language!C451</f>
        <v>Custo</v>
      </c>
      <c r="B61" s="315">
        <f>'Result data'!B185</f>
        <v>2011</v>
      </c>
      <c r="C61" s="315">
        <f>'Result data'!C185</f>
        <v>2012</v>
      </c>
      <c r="D61" s="315">
        <f>'Result data'!D185</f>
        <v>2013</v>
      </c>
      <c r="E61" s="315">
        <f>'Result data'!E185</f>
        <v>2014</v>
      </c>
      <c r="F61" s="315">
        <f>'Result data'!F185</f>
        <v>2015</v>
      </c>
      <c r="G61" s="315">
        <f>'Result data'!G185</f>
        <v>2016</v>
      </c>
      <c r="H61" s="315">
        <f>'Result data'!H185</f>
        <v>2017</v>
      </c>
      <c r="I61" s="314">
        <f>'Result data'!I185</f>
        <v>2018</v>
      </c>
      <c r="J61" s="314">
        <f>'Result data'!J185</f>
        <v>2019</v>
      </c>
      <c r="K61" s="314">
        <f>'Result data'!K185</f>
        <v>2020</v>
      </c>
      <c r="L61" s="314">
        <f>'Result data'!L185</f>
        <v>2021</v>
      </c>
      <c r="M61" s="314">
        <f>'Result data'!M185</f>
        <v>2022</v>
      </c>
      <c r="N61" s="314"/>
      <c r="O61" s="314"/>
      <c r="P61" s="314"/>
      <c r="Q61" s="314"/>
      <c r="R61" s="314"/>
    </row>
    <row r="62" spans="1:41" s="235" customFormat="1" ht="0.95" customHeight="1" x14ac:dyDescent="0.25">
      <c r="A62" s="235" t="str">
        <f>Language!C452</f>
        <v>Margem</v>
      </c>
      <c r="B62" s="316">
        <f>IF(B$61&gt;$L$1,"",SUMIF('Result data'!$186:$186,'Individual Report'!B60&amp;"_"&amp;'Individual Report'!B61,'Result data'!190:190))</f>
        <v>0</v>
      </c>
      <c r="C62" s="316">
        <f>IF(C$61&gt;$L$1,"",SUMIF('Result data'!$186:$186,'Individual Report'!C60&amp;"_"&amp;'Individual Report'!C61,'Result data'!190:190))</f>
        <v>0</v>
      </c>
      <c r="D62" s="316" t="str">
        <f>IF(D$61&gt;$L$1,"",SUMIF('Result data'!$186:$186,'Individual Report'!D60&amp;"_"&amp;'Individual Report'!D61,'Result data'!190:190))</f>
        <v/>
      </c>
      <c r="E62" s="316" t="str">
        <f>IF(E$61&gt;$L$1,"",SUMIF('Result data'!$186:$186,'Individual Report'!E60&amp;"_"&amp;'Individual Report'!E61,'Result data'!190:190))</f>
        <v/>
      </c>
      <c r="F62" s="316" t="str">
        <f>IF(F$61&gt;$L$1,"",SUMIF('Result data'!$186:$186,'Individual Report'!F60&amp;"_"&amp;'Individual Report'!F61,'Result data'!190:190))</f>
        <v/>
      </c>
      <c r="G62" s="316" t="str">
        <f>IF(G$61&gt;$L$1,"",SUMIF('Result data'!$186:$186,'Individual Report'!G60&amp;"_"&amp;'Individual Report'!G61,'Result data'!190:190))</f>
        <v/>
      </c>
      <c r="H62" s="316" t="str">
        <f>IF(H$61&gt;$L$1,"",SUMIF('Result data'!$186:$186,'Individual Report'!H60&amp;"_"&amp;'Individual Report'!H61,'Result data'!190:190))</f>
        <v/>
      </c>
      <c r="I62" s="314" t="str">
        <f>IF(I$61&gt;$L$1,"",SUMIF('Result data'!$186:$186,'Individual Report'!I60&amp;"_"&amp;'Individual Report'!I61,'Result data'!190:190))</f>
        <v/>
      </c>
      <c r="J62" s="314" t="str">
        <f>IF(J$61&gt;$L$1,"",SUMIF('Result data'!$186:$186,'Individual Report'!J60&amp;"_"&amp;'Individual Report'!J61,'Result data'!190:190))</f>
        <v/>
      </c>
      <c r="K62" s="314" t="str">
        <f>IF(K$61&gt;$L$1,"",SUMIF('Result data'!$186:$186,'Individual Report'!K60&amp;"_"&amp;'Individual Report'!K61,'Result data'!190:190))</f>
        <v/>
      </c>
      <c r="L62" s="314" t="str">
        <f>IF(L$61&gt;$L$1,"",SUMIF('Result data'!$186:$186,'Individual Report'!L60&amp;"_"&amp;'Individual Report'!L61,'Result data'!190:190))</f>
        <v/>
      </c>
      <c r="M62" s="314" t="str">
        <f>IF(M$61&gt;$L$1,"",SUMIF('Result data'!$186:$186,'Individual Report'!M60&amp;"_"&amp;'Individual Report'!M61,'Result data'!190:190))</f>
        <v/>
      </c>
      <c r="N62" s="314"/>
      <c r="O62" s="314"/>
      <c r="P62" s="314"/>
      <c r="Q62" s="314"/>
      <c r="R62" s="314"/>
    </row>
    <row r="63" spans="1:41" s="235" customFormat="1" ht="0.95" customHeight="1" x14ac:dyDescent="0.25">
      <c r="A63" s="235" t="str">
        <f>Language!C453</f>
        <v>Preço</v>
      </c>
      <c r="B63" s="316">
        <f t="shared" ref="B63:M63" si="74">IF(B$61&gt;$L$1,"",B62-B65)</f>
        <v>0</v>
      </c>
      <c r="C63" s="316">
        <f t="shared" si="74"/>
        <v>0</v>
      </c>
      <c r="D63" s="316" t="str">
        <f t="shared" si="74"/>
        <v/>
      </c>
      <c r="E63" s="316" t="str">
        <f t="shared" si="74"/>
        <v/>
      </c>
      <c r="F63" s="316" t="str">
        <f t="shared" si="74"/>
        <v/>
      </c>
      <c r="G63" s="316" t="str">
        <f t="shared" si="74"/>
        <v/>
      </c>
      <c r="H63" s="316" t="str">
        <f t="shared" si="74"/>
        <v/>
      </c>
      <c r="I63" s="314" t="str">
        <f t="shared" si="74"/>
        <v/>
      </c>
      <c r="J63" s="314" t="str">
        <f t="shared" si="74"/>
        <v/>
      </c>
      <c r="K63" s="314" t="str">
        <f t="shared" si="74"/>
        <v/>
      </c>
      <c r="L63" s="314" t="str">
        <f t="shared" si="74"/>
        <v/>
      </c>
      <c r="M63" s="314" t="str">
        <f t="shared" si="74"/>
        <v/>
      </c>
      <c r="N63" s="314"/>
      <c r="O63" s="314"/>
      <c r="P63" s="314"/>
      <c r="Q63" s="314"/>
      <c r="R63" s="314"/>
    </row>
    <row r="64" spans="1:41" s="235" customFormat="1" ht="0.95" customHeight="1" x14ac:dyDescent="0.25">
      <c r="B64" s="316">
        <f>IF(B$61&gt;$L$1,"",SUMIF('Result data'!$186:$186,'Individual Report'!B$60&amp;"_"&amp;'Individual Report'!B$61,'Result data'!204:204))</f>
        <v>0</v>
      </c>
      <c r="C64" s="316">
        <f>IF(C$61&gt;$L$1,"",SUMIF('Result data'!$186:$186,'Individual Report'!C$60&amp;"_"&amp;'Individual Report'!C$61,'Result data'!204:204))</f>
        <v>0</v>
      </c>
      <c r="D64" s="316" t="str">
        <f>IF(D$61&gt;$L$1,"",SUMIF('Result data'!$186:$186,'Individual Report'!D$60&amp;"_"&amp;'Individual Report'!D$61,'Result data'!204:204))</f>
        <v/>
      </c>
      <c r="E64" s="316" t="str">
        <f>IF(E$61&gt;$L$1,"",SUMIF('Result data'!$186:$186,'Individual Report'!E$60&amp;"_"&amp;'Individual Report'!E$61,'Result data'!204:204))</f>
        <v/>
      </c>
      <c r="F64" s="316" t="str">
        <f>IF(F$61&gt;$L$1,"",SUMIF('Result data'!$186:$186,'Individual Report'!F$60&amp;"_"&amp;'Individual Report'!F$61,'Result data'!204:204))</f>
        <v/>
      </c>
      <c r="G64" s="316" t="str">
        <f>IF(G$61&gt;$L$1,"",SUMIF('Result data'!$186:$186,'Individual Report'!G$60&amp;"_"&amp;'Individual Report'!G$61,'Result data'!204:204))</f>
        <v/>
      </c>
      <c r="H64" s="316" t="str">
        <f>IF(H$61&gt;$L$1,"",SUMIF('Result data'!$186:$186,'Individual Report'!H$60&amp;"_"&amp;'Individual Report'!H$61,'Result data'!204:204))</f>
        <v/>
      </c>
      <c r="I64" s="314" t="str">
        <f>IF(I$61&gt;$L$1,"",SUMIF('Result data'!$186:$186,'Individual Report'!I$60&amp;"_"&amp;'Individual Report'!I$61,'Result data'!204:204))</f>
        <v/>
      </c>
      <c r="J64" s="314" t="str">
        <f>IF(J$61&gt;$L$1,"",SUMIF('Result data'!$186:$186,'Individual Report'!J$60&amp;"_"&amp;'Individual Report'!J$61,'Result data'!204:204))</f>
        <v/>
      </c>
      <c r="K64" s="314" t="str">
        <f>IF(K$61&gt;$L$1,"",SUMIF('Result data'!$186:$186,'Individual Report'!K$60&amp;"_"&amp;'Individual Report'!K$61,'Result data'!204:204))</f>
        <v/>
      </c>
      <c r="L64" s="314" t="str">
        <f>IF(L$61&gt;$L$1,"",SUMIF('Result data'!$186:$186,'Individual Report'!L$60&amp;"_"&amp;'Individual Report'!L$61,'Result data'!204:204))</f>
        <v/>
      </c>
      <c r="M64" s="314" t="str">
        <f>IF(M$61&gt;$L$1,"",SUMIF('Result data'!$186:$186,'Individual Report'!M$60&amp;"_"&amp;'Individual Report'!M$61,'Result data'!204:204))</f>
        <v/>
      </c>
      <c r="N64" s="314"/>
      <c r="O64" s="314"/>
      <c r="P64" s="314"/>
      <c r="Q64" s="314"/>
      <c r="R64" s="314"/>
    </row>
    <row r="65" spans="1:24" s="235" customFormat="1" ht="0.95" customHeight="1" x14ac:dyDescent="0.25">
      <c r="B65" s="316">
        <f>IF(B$61&gt;$L$1,"",SUMIF('Result data'!$186:$186,'Individual Report'!B$60&amp;"_"&amp;'Individual Report'!B$61,'Result data'!203:203))</f>
        <v>0</v>
      </c>
      <c r="C65" s="316">
        <f>IF(C$61&gt;$L$1,"",SUMIF('Result data'!$186:$186,'Individual Report'!C$60&amp;"_"&amp;'Individual Report'!C$61,'Result data'!203:203))</f>
        <v>0</v>
      </c>
      <c r="D65" s="316" t="str">
        <f>IF(D$61&gt;$L$1,"",SUMIF('Result data'!$186:$186,'Individual Report'!D$60&amp;"_"&amp;'Individual Report'!D$61,'Result data'!203:203))</f>
        <v/>
      </c>
      <c r="E65" s="316" t="str">
        <f>IF(E$61&gt;$L$1,"",SUMIF('Result data'!$186:$186,'Individual Report'!E$60&amp;"_"&amp;'Individual Report'!E$61,'Result data'!203:203))</f>
        <v/>
      </c>
      <c r="F65" s="316" t="str">
        <f>IF(F$61&gt;$L$1,"",SUMIF('Result data'!$186:$186,'Individual Report'!F$60&amp;"_"&amp;'Individual Report'!F$61,'Result data'!203:203))</f>
        <v/>
      </c>
      <c r="G65" s="316" t="str">
        <f>IF(G$61&gt;$L$1,"",SUMIF('Result data'!$186:$186,'Individual Report'!G$60&amp;"_"&amp;'Individual Report'!G$61,'Result data'!203:203))</f>
        <v/>
      </c>
      <c r="H65" s="316" t="str">
        <f>IF(H$61&gt;$L$1,"",SUMIF('Result data'!$186:$186,'Individual Report'!H$60&amp;"_"&amp;'Individual Report'!H$61,'Result data'!203:203))</f>
        <v/>
      </c>
      <c r="I65" s="314" t="str">
        <f>IF(I$61&gt;$L$1,"",SUMIF('Result data'!$186:$186,'Individual Report'!I$60&amp;"_"&amp;'Individual Report'!I$61,'Result data'!203:203))</f>
        <v/>
      </c>
      <c r="J65" s="314" t="str">
        <f>IF(J$61&gt;$L$1,"",SUMIF('Result data'!$186:$186,'Individual Report'!J$60&amp;"_"&amp;'Individual Report'!J$61,'Result data'!203:203))</f>
        <v/>
      </c>
      <c r="K65" s="314" t="str">
        <f>IF(K$61&gt;$L$1,"",SUMIF('Result data'!$186:$186,'Individual Report'!K$60&amp;"_"&amp;'Individual Report'!K$61,'Result data'!203:203))</f>
        <v/>
      </c>
      <c r="L65" s="314" t="str">
        <f>IF(L$61&gt;$L$1,"",SUMIF('Result data'!$186:$186,'Individual Report'!L$60&amp;"_"&amp;'Individual Report'!L$61,'Result data'!203:203))</f>
        <v/>
      </c>
      <c r="M65" s="314" t="str">
        <f>IF(M$61&gt;$L$1,"",SUMIF('Result data'!$186:$186,'Individual Report'!M$60&amp;"_"&amp;'Individual Report'!M$61,'Result data'!203:203))</f>
        <v/>
      </c>
      <c r="N65" s="314"/>
      <c r="O65" s="314"/>
      <c r="P65" s="314"/>
      <c r="Q65" s="314"/>
      <c r="R65" s="314"/>
    </row>
    <row r="66" spans="1:24" s="235" customFormat="1" ht="0.95" customHeight="1" x14ac:dyDescent="0.25">
      <c r="A66" s="303"/>
      <c r="I66" s="314"/>
      <c r="J66" s="314"/>
      <c r="K66" s="314"/>
      <c r="L66" s="314"/>
      <c r="M66" s="314"/>
      <c r="N66" s="314"/>
      <c r="O66" s="314"/>
      <c r="P66" s="314"/>
      <c r="Q66" s="314"/>
      <c r="R66" s="314"/>
    </row>
    <row r="67" spans="1:24" s="235" customFormat="1" ht="0.95" customHeight="1" x14ac:dyDescent="0.25">
      <c r="A67" s="315" t="str">
        <f>IFERROR(X2,"")</f>
        <v/>
      </c>
      <c r="I67" s="314"/>
      <c r="J67" s="314"/>
      <c r="K67" s="314"/>
      <c r="L67" s="314"/>
      <c r="M67" s="314"/>
      <c r="N67" s="314"/>
      <c r="O67" s="314"/>
      <c r="P67" s="314"/>
      <c r="Q67" s="314"/>
      <c r="R67" s="314"/>
    </row>
    <row r="68" spans="1:24" s="235" customFormat="1" ht="0.95" customHeight="1" x14ac:dyDescent="0.25">
      <c r="A68" s="315" t="str">
        <f>Language!C454</f>
        <v>Margem Bruta [MB = RV-CMV]</v>
      </c>
      <c r="I68" s="314"/>
      <c r="J68" s="314"/>
      <c r="K68" s="314"/>
      <c r="L68" s="314"/>
      <c r="M68" s="314"/>
      <c r="N68" s="314"/>
      <c r="O68" s="314"/>
      <c r="P68" s="314"/>
      <c r="Q68" s="314"/>
      <c r="R68" s="314"/>
    </row>
    <row r="69" spans="1:24" s="235" customFormat="1" ht="0.95" customHeight="1" x14ac:dyDescent="0.25">
      <c r="A69" s="315" t="str">
        <f>Language!C455</f>
        <v>Todos os custos</v>
      </c>
      <c r="I69" s="314"/>
      <c r="J69" s="314"/>
      <c r="K69" s="314"/>
      <c r="L69" s="314"/>
      <c r="M69" s="314"/>
      <c r="N69" s="314"/>
      <c r="O69" s="314"/>
      <c r="P69" s="314"/>
      <c r="Q69" s="314"/>
      <c r="R69" s="314"/>
    </row>
    <row r="70" spans="1:24" s="235" customFormat="1" ht="0.95" customHeight="1" x14ac:dyDescent="0.25">
      <c r="A70" s="315" t="str">
        <f>Language!C456</f>
        <v>Fluxo de caixa</v>
      </c>
      <c r="I70" s="314"/>
      <c r="J70" s="314"/>
      <c r="K70" s="314"/>
      <c r="L70" s="314"/>
      <c r="M70" s="314"/>
      <c r="N70" s="314"/>
      <c r="O70" s="314"/>
      <c r="P70" s="314"/>
      <c r="Q70" s="314"/>
      <c r="R70" s="314"/>
    </row>
    <row r="71" spans="1:24" s="235" customFormat="1" ht="0.95" customHeight="1" x14ac:dyDescent="0.25">
      <c r="A71" s="315" t="str">
        <f>'Result data'!A203</f>
        <v>Net income (EBITDA After Taxes and interest)</v>
      </c>
      <c r="I71" s="314"/>
      <c r="J71" s="314"/>
      <c r="K71" s="314"/>
      <c r="L71" s="314"/>
      <c r="M71" s="314"/>
      <c r="N71" s="314"/>
      <c r="O71" s="314"/>
      <c r="P71" s="314"/>
      <c r="Q71" s="314"/>
      <c r="R71" s="314"/>
      <c r="S71" s="314"/>
      <c r="T71" s="314"/>
      <c r="U71" s="305"/>
      <c r="V71" s="305"/>
      <c r="W71" s="305"/>
      <c r="X71" s="305"/>
    </row>
    <row r="72" spans="1:24" s="235" customFormat="1" ht="0.95" customHeight="1" x14ac:dyDescent="0.25">
      <c r="A72" s="315" t="s">
        <v>1477</v>
      </c>
      <c r="B72" s="316">
        <f>IF(B$61&gt;$L$1,"",B62-SUMIF('Result data'!$186:$186,'Individual Report'!B60&amp;"_"&amp;'Individual Report'!B61,'Result data'!189:189)-SUMIF('Result data'!$186:$186,'Individual Report'!B60&amp;"_"&amp;'Individual Report'!B61,'Result data'!194:194))</f>
        <v>0</v>
      </c>
      <c r="C72" s="316">
        <f>IF(C$61&gt;$L$1,"",C62-SUMIF('Result data'!$186:$186,'Individual Report'!C60&amp;"_"&amp;'Individual Report'!C61,'Result data'!189:189)-SUMIF('Result data'!$186:$186,'Individual Report'!C60&amp;"_"&amp;'Individual Report'!C61,'Result data'!194:194))</f>
        <v>0</v>
      </c>
      <c r="D72" s="316" t="str">
        <f>IF(D$61&gt;$L$1,"",D62-SUMIF('Result data'!$186:$186,'Individual Report'!D60&amp;"_"&amp;'Individual Report'!D61,'Result data'!189:189)-SUMIF('Result data'!$186:$186,'Individual Report'!D60&amp;"_"&amp;'Individual Report'!D61,'Result data'!194:194))</f>
        <v/>
      </c>
      <c r="E72" s="316" t="str">
        <f>IF(E$61&gt;$L$1,"",E62-SUMIF('Result data'!$186:$186,'Individual Report'!E60&amp;"_"&amp;'Individual Report'!E61,'Result data'!189:189)-SUMIF('Result data'!$186:$186,'Individual Report'!E60&amp;"_"&amp;'Individual Report'!E61,'Result data'!194:194))</f>
        <v/>
      </c>
      <c r="F72" s="316"/>
      <c r="G72" s="316" t="str">
        <f>IF(F$61&gt;$L$1,"",F62-SUMIF('Result data'!$186:$186,'Individual Report'!F60&amp;"_"&amp;'Individual Report'!F61,'Result data'!189:189)-SUMIF('Result data'!$186:$186,'Individual Report'!F60&amp;"_"&amp;'Individual Report'!F61,'Result data'!194:194))</f>
        <v/>
      </c>
      <c r="H72" s="316" t="str">
        <f>IF(G$61&gt;$L$1,"",G62-SUMIF('Result data'!$186:$186,'Individual Report'!G60&amp;"_"&amp;'Individual Report'!G61,'Result data'!189:189)-SUMIF('Result data'!$186:$186,'Individual Report'!G60&amp;"_"&amp;'Individual Report'!G61,'Result data'!194:194))</f>
        <v/>
      </c>
      <c r="I72" s="314" t="str">
        <f>IF(H$61&gt;$L$1,"",H62-SUMIF('Result data'!$186:$186,'Individual Report'!H60&amp;"_"&amp;'Individual Report'!H61,'Result data'!189:189)-SUMIF('Result data'!$186:$186,'Individual Report'!H60&amp;"_"&amp;'Individual Report'!H61,'Result data'!194:194))</f>
        <v/>
      </c>
      <c r="J72" s="314" t="str">
        <f>IF(I$61&gt;$L$1,"",I62-SUMIF('Result data'!$186:$186,'Individual Report'!I60&amp;"_"&amp;'Individual Report'!I61,'Result data'!189:189)-SUMIF('Result data'!$186:$186,'Individual Report'!I60&amp;"_"&amp;'Individual Report'!I61,'Result data'!194:194))</f>
        <v/>
      </c>
      <c r="K72" s="314" t="str">
        <f>IF(J$61&gt;$L$1,"",J62-SUMIF('Result data'!$186:$186,'Individual Report'!J60&amp;"_"&amp;'Individual Report'!J61,'Result data'!189:189)-SUMIF('Result data'!$186:$186,'Individual Report'!J60&amp;"_"&amp;'Individual Report'!J61,'Result data'!194:194))</f>
        <v/>
      </c>
      <c r="L72" s="314" t="str">
        <f>IF(K$61&gt;$L$1,"",K62-SUMIF('Result data'!$186:$186,'Individual Report'!K60&amp;"_"&amp;'Individual Report'!K61,'Result data'!189:189)-SUMIF('Result data'!$186:$186,'Individual Report'!K60&amp;"_"&amp;'Individual Report'!K61,'Result data'!194:194))</f>
        <v/>
      </c>
      <c r="M72" s="314" t="str">
        <f>IF(L$61&gt;$L$1,"",L62-SUMIF('Result data'!$186:$186,'Individual Report'!L60&amp;"_"&amp;'Individual Report'!L61,'Result data'!189:189)-SUMIF('Result data'!$186:$186,'Individual Report'!L60&amp;"_"&amp;'Individual Report'!L61,'Result data'!194:194))</f>
        <v/>
      </c>
      <c r="N72" s="314" t="str">
        <f>IF(M$61&gt;$L$1,"",M62-SUMIF('Result data'!$186:$186,'Individual Report'!M60&amp;"_"&amp;'Individual Report'!M61,'Result data'!189:189)-SUMIF('Result data'!$186:$186,'Individual Report'!M60&amp;"_"&amp;'Individual Report'!M61,'Result data'!194:194))</f>
        <v/>
      </c>
      <c r="O72" s="314"/>
      <c r="P72" s="314"/>
      <c r="Q72" s="314"/>
      <c r="R72" s="314"/>
      <c r="S72" s="314"/>
      <c r="T72" s="314"/>
    </row>
    <row r="73" spans="1:24" s="235" customFormat="1" ht="0.95" customHeight="1" x14ac:dyDescent="0.25">
      <c r="A73" s="315" t="s">
        <v>1478</v>
      </c>
      <c r="B73" s="316">
        <f>IF(B72="","",SUMIF('Result data'!$186:$186,'Individual Report'!B60&amp;"_"&amp;'Individual Report'!B61,'Result data'!194:194))</f>
        <v>0</v>
      </c>
      <c r="C73" s="316">
        <f>IF(C72="","",SUMIF('Result data'!$186:$186,'Individual Report'!C60&amp;"_"&amp;'Individual Report'!C61,'Result data'!194:194))</f>
        <v>0</v>
      </c>
      <c r="D73" s="316" t="str">
        <f>IF(D72="","",SUMIF('Result data'!$186:$186,'Individual Report'!D60&amp;"_"&amp;'Individual Report'!D61,'Result data'!194:194))</f>
        <v/>
      </c>
      <c r="E73" s="316" t="str">
        <f>IF(E72="","",SUMIF('Result data'!$186:$186,'Individual Report'!E60&amp;"_"&amp;'Individual Report'!E61,'Result data'!194:194))</f>
        <v/>
      </c>
      <c r="F73" s="316"/>
      <c r="G73" s="316" t="str">
        <f>IF(G72="","",SUMIF('Result data'!$186:$186,'Individual Report'!F60&amp;"_"&amp;'Individual Report'!F61,'Result data'!194:194))</f>
        <v/>
      </c>
      <c r="H73" s="316" t="str">
        <f>IF(H72="","",SUMIF('Result data'!$186:$186,'Individual Report'!G60&amp;"_"&amp;'Individual Report'!G61,'Result data'!194:194))</f>
        <v/>
      </c>
      <c r="I73" s="314" t="str">
        <f>IF(I72="","",SUMIF('Result data'!$186:$186,'Individual Report'!H60&amp;"_"&amp;'Individual Report'!H61,'Result data'!194:194))</f>
        <v/>
      </c>
      <c r="J73" s="314" t="str">
        <f>IF(J72="","",SUMIF('Result data'!$186:$186,'Individual Report'!I60&amp;"_"&amp;'Individual Report'!I61,'Result data'!194:194))</f>
        <v/>
      </c>
      <c r="K73" s="314" t="str">
        <f>IF(K72="","",SUMIF('Result data'!$186:$186,'Individual Report'!J60&amp;"_"&amp;'Individual Report'!J61,'Result data'!194:194))</f>
        <v/>
      </c>
      <c r="L73" s="314" t="str">
        <f>IF(L72="","",SUMIF('Result data'!$186:$186,'Individual Report'!K60&amp;"_"&amp;'Individual Report'!K61,'Result data'!194:194))</f>
        <v/>
      </c>
      <c r="M73" s="314" t="str">
        <f>IF(M72="","",SUMIF('Result data'!$186:$186,'Individual Report'!L60&amp;"_"&amp;'Individual Report'!L61,'Result data'!194:194))</f>
        <v/>
      </c>
      <c r="N73" s="314" t="str">
        <f>IF(N72="","",SUMIF('Result data'!$186:$186,'Individual Report'!M60&amp;"_"&amp;'Individual Report'!M61,'Result data'!194:194))</f>
        <v/>
      </c>
      <c r="O73" s="314"/>
      <c r="P73" s="314"/>
      <c r="Q73" s="314"/>
      <c r="R73" s="314"/>
      <c r="S73" s="314"/>
      <c r="T73" s="314"/>
      <c r="U73" s="236"/>
      <c r="V73" s="236"/>
      <c r="W73" s="236"/>
      <c r="X73" s="236"/>
    </row>
    <row r="74" spans="1:24" s="488" customFormat="1" ht="0.95" customHeight="1" x14ac:dyDescent="0.25">
      <c r="A74" s="646"/>
      <c r="B74" s="647"/>
      <c r="C74" s="647"/>
      <c r="D74" s="647"/>
      <c r="E74" s="647"/>
      <c r="F74" s="647"/>
      <c r="G74" s="647"/>
      <c r="H74" s="646"/>
      <c r="I74" s="490"/>
      <c r="J74" s="490"/>
      <c r="K74" s="490"/>
      <c r="L74" s="490"/>
      <c r="M74" s="490"/>
      <c r="N74" s="490"/>
      <c r="O74" s="490"/>
      <c r="P74" s="490"/>
      <c r="Q74" s="490"/>
      <c r="R74" s="490"/>
      <c r="S74" s="490"/>
      <c r="T74" s="490"/>
      <c r="U74" s="645"/>
      <c r="V74" s="645"/>
      <c r="W74" s="645"/>
      <c r="X74" s="645"/>
    </row>
    <row r="75" spans="1:24" s="488" customFormat="1" ht="0.95" customHeight="1" x14ac:dyDescent="0.25">
      <c r="A75" s="646"/>
      <c r="B75" s="647"/>
      <c r="C75" s="647"/>
      <c r="D75" s="647"/>
      <c r="E75" s="647"/>
      <c r="F75" s="647"/>
      <c r="G75" s="647"/>
      <c r="H75" s="647"/>
      <c r="I75" s="490"/>
      <c r="J75" s="490"/>
      <c r="K75" s="490"/>
      <c r="L75" s="490"/>
      <c r="M75" s="490"/>
      <c r="N75" s="490"/>
      <c r="O75" s="490"/>
      <c r="P75" s="490"/>
      <c r="Q75" s="490"/>
      <c r="R75" s="490"/>
      <c r="S75" s="490"/>
      <c r="T75" s="490"/>
      <c r="U75" s="645"/>
      <c r="V75" s="645"/>
      <c r="W75" s="645"/>
      <c r="X75" s="645"/>
    </row>
    <row r="76" spans="1:24" s="488" customFormat="1" ht="0.95" customHeight="1" x14ac:dyDescent="0.25">
      <c r="A76" s="646"/>
      <c r="B76" s="647"/>
      <c r="C76" s="647"/>
      <c r="D76" s="647"/>
      <c r="E76" s="647"/>
      <c r="F76" s="647"/>
      <c r="G76" s="648"/>
      <c r="H76" s="647"/>
      <c r="I76" s="490"/>
      <c r="J76" s="490"/>
      <c r="K76" s="490"/>
      <c r="L76" s="490"/>
      <c r="M76" s="490"/>
      <c r="N76" s="490"/>
      <c r="O76" s="490"/>
      <c r="P76" s="490"/>
      <c r="Q76" s="490"/>
      <c r="R76" s="490"/>
      <c r="S76" s="490"/>
      <c r="T76" s="490"/>
      <c r="U76" s="645"/>
      <c r="V76" s="645"/>
      <c r="W76" s="645"/>
      <c r="X76" s="645"/>
    </row>
    <row r="77" spans="1:24" s="488" customFormat="1" ht="0.95" customHeight="1" x14ac:dyDescent="0.25">
      <c r="A77" s="646"/>
      <c r="B77" s="647"/>
      <c r="C77" s="647"/>
      <c r="D77" s="647"/>
      <c r="E77" s="647"/>
      <c r="F77" s="647"/>
      <c r="G77" s="649"/>
      <c r="H77" s="647"/>
      <c r="I77" s="490"/>
      <c r="J77" s="490"/>
      <c r="K77" s="490"/>
      <c r="L77" s="490"/>
      <c r="M77" s="490"/>
      <c r="N77" s="490"/>
      <c r="O77" s="490"/>
      <c r="P77" s="490"/>
      <c r="Q77" s="490"/>
      <c r="R77" s="490"/>
      <c r="S77" s="490"/>
      <c r="T77" s="490"/>
      <c r="U77" s="645"/>
      <c r="V77" s="645"/>
      <c r="W77" s="645"/>
      <c r="X77" s="645"/>
    </row>
    <row r="78" spans="1:24" s="488" customFormat="1" ht="0.95" customHeight="1" x14ac:dyDescent="0.25">
      <c r="A78" s="645"/>
      <c r="B78" s="645"/>
      <c r="C78" s="645"/>
      <c r="D78" s="645"/>
      <c r="E78" s="645"/>
      <c r="F78" s="645"/>
      <c r="G78" s="645"/>
      <c r="H78" s="645"/>
      <c r="I78" s="490"/>
      <c r="J78" s="490"/>
      <c r="K78" s="490"/>
      <c r="L78" s="490"/>
      <c r="M78" s="490"/>
      <c r="N78" s="490"/>
      <c r="O78" s="490"/>
      <c r="P78" s="490"/>
      <c r="Q78" s="490"/>
      <c r="R78" s="490"/>
      <c r="S78" s="490"/>
      <c r="T78" s="490"/>
      <c r="U78" s="645"/>
      <c r="V78" s="645"/>
      <c r="W78" s="645"/>
      <c r="X78" s="645"/>
    </row>
    <row r="79" spans="1:24" s="488" customFormat="1" ht="0.95" customHeight="1" x14ac:dyDescent="0.25">
      <c r="A79" s="645"/>
      <c r="B79" s="645"/>
      <c r="C79" s="645"/>
      <c r="D79" s="645"/>
      <c r="E79" s="645"/>
      <c r="F79" s="645"/>
      <c r="G79" s="645"/>
      <c r="H79" s="645"/>
      <c r="I79" s="490"/>
      <c r="J79" s="490"/>
      <c r="K79" s="490"/>
      <c r="L79" s="490"/>
      <c r="M79" s="490"/>
      <c r="N79" s="490"/>
      <c r="O79" s="490"/>
      <c r="P79" s="490"/>
      <c r="Q79" s="490"/>
      <c r="R79" s="490"/>
      <c r="S79" s="490"/>
      <c r="T79" s="490"/>
      <c r="U79" s="645"/>
      <c r="V79" s="645"/>
      <c r="W79" s="645"/>
      <c r="X79" s="645"/>
    </row>
    <row r="80" spans="1:24" s="488" customFormat="1" ht="0.95" customHeight="1" x14ac:dyDescent="0.25">
      <c r="A80" s="650"/>
      <c r="B80" s="650"/>
      <c r="C80" s="645"/>
      <c r="D80" s="645"/>
      <c r="E80" s="645"/>
      <c r="F80" s="645"/>
      <c r="G80" s="645"/>
      <c r="H80" s="645"/>
      <c r="I80" s="490"/>
      <c r="J80" s="490"/>
      <c r="K80" s="490"/>
      <c r="L80" s="490"/>
      <c r="M80" s="490"/>
      <c r="N80" s="490"/>
      <c r="O80" s="490"/>
      <c r="P80" s="490"/>
      <c r="Q80" s="490"/>
      <c r="R80" s="490"/>
      <c r="S80" s="490"/>
      <c r="T80" s="490"/>
      <c r="U80" s="645"/>
      <c r="V80" s="645"/>
      <c r="W80" s="645"/>
      <c r="X80" s="645"/>
    </row>
    <row r="81" spans="1:24" s="488" customFormat="1" ht="0.95" customHeight="1" x14ac:dyDescent="0.25">
      <c r="A81" s="645"/>
      <c r="B81" s="645"/>
      <c r="C81" s="645"/>
      <c r="D81" s="645"/>
      <c r="E81" s="645"/>
      <c r="F81" s="645"/>
      <c r="G81" s="645"/>
      <c r="H81" s="645"/>
      <c r="I81" s="490"/>
      <c r="J81" s="490"/>
      <c r="K81" s="490"/>
      <c r="L81" s="490"/>
      <c r="M81" s="490"/>
      <c r="N81" s="490"/>
      <c r="O81" s="490"/>
      <c r="P81" s="490"/>
      <c r="Q81" s="490"/>
      <c r="R81" s="490"/>
      <c r="S81" s="490"/>
      <c r="T81" s="490"/>
      <c r="U81" s="645"/>
      <c r="V81" s="645"/>
      <c r="W81" s="645"/>
      <c r="X81" s="645"/>
    </row>
    <row r="82" spans="1:24" s="488" customFormat="1" ht="0.95" customHeight="1" x14ac:dyDescent="0.25">
      <c r="A82" s="645"/>
      <c r="B82" s="645"/>
      <c r="C82" s="645"/>
      <c r="D82" s="645"/>
      <c r="E82" s="645"/>
      <c r="F82" s="645"/>
      <c r="G82" s="645"/>
      <c r="H82" s="645"/>
      <c r="I82" s="490"/>
      <c r="J82" s="490"/>
      <c r="K82" s="490"/>
      <c r="L82" s="490"/>
      <c r="M82" s="490"/>
      <c r="N82" s="490"/>
      <c r="O82" s="490"/>
      <c r="P82" s="490"/>
      <c r="Q82" s="490"/>
      <c r="R82" s="490"/>
      <c r="S82" s="490"/>
      <c r="T82" s="490"/>
      <c r="U82" s="645"/>
      <c r="V82" s="645"/>
      <c r="W82" s="645"/>
      <c r="X82" s="645"/>
    </row>
    <row r="83" spans="1:24" s="488" customFormat="1" ht="0.95" customHeight="1" x14ac:dyDescent="0.25">
      <c r="A83" s="645"/>
      <c r="B83" s="645"/>
      <c r="C83" s="645"/>
      <c r="D83" s="645"/>
      <c r="E83" s="645"/>
      <c r="F83" s="645"/>
      <c r="G83" s="645"/>
      <c r="H83" s="645"/>
      <c r="I83" s="490"/>
      <c r="J83" s="490"/>
      <c r="K83" s="490"/>
      <c r="L83" s="490"/>
      <c r="M83" s="490"/>
      <c r="N83" s="490"/>
      <c r="O83" s="490"/>
      <c r="P83" s="490"/>
      <c r="Q83" s="490"/>
      <c r="R83" s="490"/>
      <c r="S83" s="490"/>
      <c r="T83" s="490"/>
      <c r="U83" s="645"/>
      <c r="V83" s="645"/>
      <c r="W83" s="645"/>
      <c r="X83" s="645"/>
    </row>
    <row r="84" spans="1:24" s="488" customFormat="1" ht="0.95" customHeight="1" x14ac:dyDescent="0.25">
      <c r="A84" s="645"/>
      <c r="B84" s="645"/>
      <c r="C84" s="645"/>
      <c r="D84" s="645"/>
      <c r="E84" s="645"/>
      <c r="F84" s="645"/>
      <c r="G84" s="645"/>
      <c r="H84" s="645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645"/>
      <c r="V84" s="645"/>
      <c r="W84" s="645"/>
      <c r="X84" s="645"/>
    </row>
    <row r="85" spans="1:24" s="488" customFormat="1" ht="0.95" customHeight="1" x14ac:dyDescent="0.25">
      <c r="A85" s="645"/>
      <c r="B85" s="650"/>
      <c r="C85" s="650"/>
      <c r="D85" s="645"/>
      <c r="E85" s="645"/>
      <c r="F85" s="645"/>
      <c r="G85" s="645"/>
      <c r="H85" s="645"/>
      <c r="I85" s="490"/>
      <c r="J85" s="490"/>
      <c r="K85" s="490"/>
      <c r="L85" s="490"/>
      <c r="M85" s="490"/>
      <c r="N85" s="490"/>
      <c r="O85" s="490"/>
      <c r="P85" s="490"/>
      <c r="Q85" s="490"/>
      <c r="R85" s="490"/>
      <c r="S85" s="490"/>
      <c r="T85" s="490"/>
      <c r="U85" s="645"/>
      <c r="V85" s="645"/>
      <c r="W85" s="645"/>
      <c r="X85" s="645"/>
    </row>
    <row r="86" spans="1:24" s="488" customFormat="1" ht="0.95" customHeight="1" x14ac:dyDescent="0.25">
      <c r="A86" s="645"/>
      <c r="B86" s="645"/>
      <c r="C86" s="645"/>
      <c r="D86" s="645"/>
      <c r="E86" s="645"/>
      <c r="F86" s="645"/>
      <c r="G86" s="645"/>
      <c r="H86" s="645"/>
      <c r="I86" s="490"/>
      <c r="J86" s="490"/>
      <c r="K86" s="490"/>
      <c r="L86" s="490"/>
      <c r="M86" s="490"/>
      <c r="N86" s="490"/>
      <c r="O86" s="490"/>
      <c r="P86" s="490"/>
      <c r="Q86" s="490"/>
      <c r="R86" s="490"/>
      <c r="S86" s="490"/>
      <c r="T86" s="490"/>
      <c r="U86" s="645"/>
      <c r="V86" s="645"/>
      <c r="W86" s="645"/>
      <c r="X86" s="645"/>
    </row>
    <row r="87" spans="1:24" s="488" customFormat="1" ht="0.95" customHeight="1" x14ac:dyDescent="0.25">
      <c r="A87" s="645"/>
      <c r="B87" s="645"/>
      <c r="C87" s="645"/>
      <c r="D87" s="645"/>
      <c r="E87" s="645"/>
      <c r="F87" s="645"/>
      <c r="G87" s="645"/>
      <c r="H87" s="645"/>
      <c r="I87" s="490"/>
      <c r="J87" s="490"/>
      <c r="K87" s="490"/>
      <c r="L87" s="490"/>
      <c r="M87" s="490"/>
      <c r="N87" s="490"/>
      <c r="O87" s="490"/>
      <c r="P87" s="490"/>
      <c r="Q87" s="490"/>
      <c r="R87" s="490"/>
      <c r="S87" s="490"/>
      <c r="T87" s="490"/>
      <c r="U87" s="645"/>
      <c r="V87" s="645"/>
      <c r="W87" s="645"/>
      <c r="X87" s="645"/>
    </row>
    <row r="88" spans="1:24" s="488" customFormat="1" ht="0.95" customHeight="1" x14ac:dyDescent="0.25">
      <c r="A88" s="645"/>
      <c r="B88" s="645"/>
      <c r="C88" s="645"/>
      <c r="D88" s="645"/>
      <c r="E88" s="645"/>
      <c r="F88" s="645"/>
      <c r="G88" s="645"/>
      <c r="H88" s="645"/>
      <c r="I88" s="490"/>
      <c r="J88" s="490"/>
      <c r="K88" s="490"/>
      <c r="L88" s="490"/>
      <c r="M88" s="490"/>
      <c r="N88" s="490"/>
      <c r="O88" s="490"/>
      <c r="P88" s="490"/>
      <c r="Q88" s="490"/>
      <c r="R88" s="490"/>
      <c r="S88" s="490"/>
      <c r="T88" s="490"/>
      <c r="U88" s="645"/>
      <c r="V88" s="645"/>
      <c r="W88" s="645"/>
      <c r="X88" s="645"/>
    </row>
    <row r="89" spans="1:24" s="488" customFormat="1" ht="0.95" customHeight="1" x14ac:dyDescent="0.25">
      <c r="A89" s="645"/>
      <c r="B89" s="645"/>
      <c r="C89" s="645"/>
      <c r="D89" s="645"/>
      <c r="E89" s="645"/>
      <c r="F89" s="645"/>
      <c r="G89" s="645"/>
      <c r="H89" s="645"/>
      <c r="I89" s="490"/>
      <c r="J89" s="490"/>
      <c r="K89" s="490"/>
      <c r="L89" s="490"/>
      <c r="M89" s="490"/>
      <c r="N89" s="490"/>
      <c r="O89" s="490"/>
      <c r="P89" s="490"/>
      <c r="Q89" s="490"/>
      <c r="R89" s="490"/>
      <c r="S89" s="490"/>
      <c r="T89" s="490"/>
      <c r="U89" s="645"/>
      <c r="V89" s="645"/>
      <c r="W89" s="645"/>
      <c r="X89" s="645"/>
    </row>
    <row r="90" spans="1:24" s="488" customFormat="1" ht="0.95" customHeight="1" x14ac:dyDescent="0.25">
      <c r="A90" s="645"/>
      <c r="B90" s="645"/>
      <c r="C90" s="645"/>
      <c r="D90" s="645"/>
      <c r="E90" s="645"/>
      <c r="F90" s="645"/>
      <c r="G90" s="645"/>
      <c r="H90" s="645"/>
      <c r="I90" s="490"/>
      <c r="J90" s="490"/>
      <c r="K90" s="490"/>
      <c r="L90" s="490"/>
      <c r="M90" s="490"/>
      <c r="N90" s="490"/>
      <c r="O90" s="490"/>
      <c r="P90" s="490"/>
      <c r="Q90" s="490"/>
      <c r="R90" s="490"/>
      <c r="S90" s="490"/>
      <c r="T90" s="490"/>
      <c r="U90" s="645"/>
      <c r="V90" s="645"/>
      <c r="W90" s="645"/>
      <c r="X90" s="645"/>
    </row>
    <row r="91" spans="1:24" s="488" customFormat="1" ht="0.95" customHeight="1" x14ac:dyDescent="0.25">
      <c r="A91" s="645"/>
      <c r="B91" s="645"/>
      <c r="C91" s="645"/>
      <c r="D91" s="645"/>
      <c r="E91" s="645"/>
      <c r="F91" s="645"/>
      <c r="G91" s="645"/>
      <c r="H91" s="645"/>
      <c r="I91" s="490"/>
      <c r="J91" s="490"/>
      <c r="K91" s="490"/>
      <c r="L91" s="490"/>
      <c r="M91" s="490"/>
      <c r="N91" s="490"/>
      <c r="O91" s="490"/>
      <c r="P91" s="490"/>
      <c r="Q91" s="490"/>
      <c r="R91" s="490"/>
      <c r="S91" s="490"/>
      <c r="T91" s="490"/>
      <c r="U91" s="645"/>
      <c r="V91" s="645"/>
      <c r="W91" s="645"/>
      <c r="X91" s="645"/>
    </row>
    <row r="92" spans="1:24" s="488" customFormat="1" ht="0.95" customHeight="1" x14ac:dyDescent="0.25">
      <c r="A92" s="645"/>
      <c r="B92" s="645"/>
      <c r="C92" s="645"/>
      <c r="D92" s="645"/>
      <c r="E92" s="645"/>
      <c r="F92" s="645"/>
      <c r="G92" s="645"/>
      <c r="H92" s="645"/>
      <c r="I92" s="490"/>
      <c r="J92" s="490"/>
      <c r="K92" s="490"/>
      <c r="L92" s="490"/>
      <c r="M92" s="490"/>
      <c r="N92" s="490"/>
      <c r="O92" s="490"/>
      <c r="P92" s="490"/>
      <c r="Q92" s="490"/>
      <c r="R92" s="490"/>
      <c r="S92" s="490"/>
      <c r="T92" s="490"/>
      <c r="U92" s="645"/>
      <c r="V92" s="645"/>
      <c r="W92" s="645"/>
      <c r="X92" s="645"/>
    </row>
    <row r="93" spans="1:24" s="488" customFormat="1" ht="0.95" customHeight="1" x14ac:dyDescent="0.25">
      <c r="A93" s="645"/>
      <c r="B93" s="645"/>
      <c r="C93" s="645"/>
      <c r="D93" s="645"/>
      <c r="E93" s="645"/>
      <c r="F93" s="645"/>
      <c r="G93" s="645"/>
      <c r="H93" s="645"/>
      <c r="I93" s="490"/>
      <c r="J93" s="490"/>
      <c r="K93" s="490"/>
      <c r="L93" s="490"/>
      <c r="M93" s="490"/>
      <c r="N93" s="490"/>
      <c r="O93" s="490"/>
      <c r="P93" s="490"/>
      <c r="Q93" s="490"/>
      <c r="R93" s="490"/>
      <c r="S93" s="490"/>
      <c r="T93" s="490"/>
      <c r="U93" s="645"/>
      <c r="V93" s="645"/>
      <c r="W93" s="645"/>
      <c r="X93" s="645"/>
    </row>
    <row r="94" spans="1:24" s="488" customFormat="1" ht="0.95" customHeight="1" x14ac:dyDescent="0.25">
      <c r="A94" s="645"/>
      <c r="B94" s="645"/>
      <c r="C94" s="645"/>
      <c r="D94" s="645"/>
      <c r="E94" s="645"/>
      <c r="F94" s="645"/>
      <c r="G94" s="645"/>
      <c r="H94" s="645"/>
      <c r="I94" s="490"/>
      <c r="J94" s="490"/>
      <c r="K94" s="490"/>
      <c r="L94" s="490"/>
      <c r="M94" s="490"/>
      <c r="N94" s="490"/>
      <c r="O94" s="490"/>
      <c r="P94" s="490"/>
      <c r="Q94" s="490"/>
      <c r="R94" s="490"/>
      <c r="S94" s="490"/>
      <c r="T94" s="490"/>
      <c r="U94" s="645"/>
      <c r="V94" s="645"/>
      <c r="W94" s="645"/>
      <c r="X94" s="645"/>
    </row>
    <row r="95" spans="1:24" s="488" customFormat="1" ht="0.95" customHeight="1" x14ac:dyDescent="0.25">
      <c r="A95" s="647"/>
      <c r="B95" s="647"/>
      <c r="C95" s="647"/>
      <c r="D95" s="647"/>
      <c r="E95" s="647"/>
      <c r="F95" s="647"/>
      <c r="G95" s="647"/>
      <c r="H95" s="647"/>
      <c r="I95" s="490"/>
      <c r="J95" s="490"/>
      <c r="K95" s="490"/>
      <c r="L95" s="490"/>
      <c r="M95" s="490"/>
      <c r="N95" s="490"/>
      <c r="O95" s="490"/>
      <c r="P95" s="490"/>
      <c r="Q95" s="490"/>
      <c r="R95" s="490"/>
      <c r="S95" s="490"/>
      <c r="T95" s="490"/>
      <c r="U95" s="647"/>
      <c r="V95" s="647"/>
      <c r="W95" s="647"/>
      <c r="X95" s="647"/>
    </row>
    <row r="96" spans="1:24" s="488" customFormat="1" ht="0.95" customHeight="1" x14ac:dyDescent="0.25">
      <c r="A96" s="647"/>
      <c r="B96" s="647"/>
      <c r="C96" s="647"/>
      <c r="D96" s="647"/>
      <c r="E96" s="647"/>
      <c r="F96" s="647"/>
      <c r="G96" s="647"/>
      <c r="H96" s="647"/>
      <c r="I96" s="490"/>
      <c r="J96" s="490"/>
      <c r="K96" s="490"/>
      <c r="L96" s="490"/>
      <c r="M96" s="490"/>
      <c r="N96" s="490"/>
      <c r="O96" s="490"/>
      <c r="P96" s="490"/>
      <c r="Q96" s="490"/>
      <c r="R96" s="490"/>
      <c r="S96" s="490"/>
      <c r="T96" s="490"/>
      <c r="U96" s="647"/>
      <c r="V96" s="647"/>
      <c r="W96" s="647"/>
      <c r="X96" s="647"/>
    </row>
  </sheetData>
  <mergeCells count="74">
    <mergeCell ref="P4:Q4"/>
    <mergeCell ref="Y17:AH17"/>
    <mergeCell ref="AI17:AR17"/>
    <mergeCell ref="CQ17:CZ17"/>
    <mergeCell ref="BW17:CF17"/>
    <mergeCell ref="CG17:CP17"/>
    <mergeCell ref="AS17:BB17"/>
    <mergeCell ref="BC17:BL17"/>
    <mergeCell ref="BM17:BV17"/>
    <mergeCell ref="O37:P37"/>
    <mergeCell ref="O38:P38"/>
    <mergeCell ref="O39:P39"/>
    <mergeCell ref="O40:P40"/>
    <mergeCell ref="O41:P41"/>
    <mergeCell ref="O32:P32"/>
    <mergeCell ref="O33:P33"/>
    <mergeCell ref="O34:P34"/>
    <mergeCell ref="O35:P35"/>
    <mergeCell ref="O36:P36"/>
    <mergeCell ref="C30:D30"/>
    <mergeCell ref="E30:F30"/>
    <mergeCell ref="E31:F31"/>
    <mergeCell ref="O30:P30"/>
    <mergeCell ref="O31:P31"/>
    <mergeCell ref="E53:F53"/>
    <mergeCell ref="E54:F54"/>
    <mergeCell ref="N4:O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8:F48"/>
    <mergeCell ref="E49:F49"/>
    <mergeCell ref="E50:F50"/>
    <mergeCell ref="E51:F51"/>
    <mergeCell ref="E52:F52"/>
    <mergeCell ref="E43:F43"/>
    <mergeCell ref="E44:F44"/>
    <mergeCell ref="E45:F45"/>
    <mergeCell ref="E46:F46"/>
    <mergeCell ref="E47:F47"/>
    <mergeCell ref="E25:F25"/>
    <mergeCell ref="E26:F26"/>
    <mergeCell ref="E27:F27"/>
    <mergeCell ref="E28:F28"/>
    <mergeCell ref="E4:F4"/>
    <mergeCell ref="E20:F20"/>
    <mergeCell ref="E21:F21"/>
    <mergeCell ref="E22:F22"/>
    <mergeCell ref="E23:F23"/>
    <mergeCell ref="E24:F24"/>
    <mergeCell ref="E19:F19"/>
    <mergeCell ref="C2:F2"/>
    <mergeCell ref="C17:F17"/>
    <mergeCell ref="E18:F18"/>
    <mergeCell ref="A1:J1"/>
    <mergeCell ref="A42:P42"/>
    <mergeCell ref="A3:P3"/>
    <mergeCell ref="A29:P29"/>
    <mergeCell ref="G2:H2"/>
    <mergeCell ref="J2:K2"/>
    <mergeCell ref="M2:P2"/>
    <mergeCell ref="A2:B2"/>
    <mergeCell ref="G17:I17"/>
    <mergeCell ref="A17:A18"/>
    <mergeCell ref="B17:B18"/>
    <mergeCell ref="A16:L16"/>
    <mergeCell ref="J17:K17"/>
  </mergeCells>
  <conditionalFormatting sqref="B5:C14 B19:C28">
    <cfRule type="cellIs" dxfId="12" priority="100" operator="equal">
      <formula>0</formula>
    </cfRule>
  </conditionalFormatting>
  <conditionalFormatting sqref="B74:G77">
    <cfRule type="cellIs" dxfId="11" priority="48" operator="lessThan">
      <formula>0</formula>
    </cfRule>
  </conditionalFormatting>
  <conditionalFormatting sqref="C44:C54">
    <cfRule type="iconSet" priority="36">
      <iconSet>
        <cfvo type="percent" val="0"/>
        <cfvo type="num" val="0.05"/>
        <cfvo type="num" val="0.15"/>
      </iconSet>
    </cfRule>
  </conditionalFormatting>
  <conditionalFormatting sqref="C31:E40">
    <cfRule type="cellIs" dxfId="10" priority="1" operator="lessThan">
      <formula>0</formula>
    </cfRule>
  </conditionalFormatting>
  <conditionalFormatting sqref="C44:E54">
    <cfRule type="cellIs" dxfId="9" priority="21" operator="lessThan">
      <formula>0</formula>
    </cfRule>
  </conditionalFormatting>
  <conditionalFormatting sqref="D44:D54">
    <cfRule type="iconSet" priority="35">
      <iconSet>
        <cfvo type="percent" val="0"/>
        <cfvo type="num" val="1"/>
        <cfvo type="num" val="2"/>
      </iconSet>
    </cfRule>
  </conditionalFormatting>
  <conditionalFormatting sqref="E19:E28">
    <cfRule type="iconSet" priority="62">
      <iconSet reverse="1">
        <cfvo type="percent" val="0"/>
        <cfvo type="num" val="-0.3"/>
        <cfvo type="num" val="0.3"/>
      </iconSet>
    </cfRule>
    <cfRule type="cellIs" dxfId="8" priority="63" operator="lessThan">
      <formula>0</formula>
    </cfRule>
  </conditionalFormatting>
  <conditionalFormatting sqref="E46:E53">
    <cfRule type="iconSet" priority="20">
      <iconSet>
        <cfvo type="percent" val="0"/>
        <cfvo type="num" val="0"/>
        <cfvo type="num" val="0.2"/>
      </iconSet>
    </cfRule>
  </conditionalFormatting>
  <conditionalFormatting sqref="E54 E44:E45">
    <cfRule type="iconSet" priority="34">
      <iconSet>
        <cfvo type="percent" val="0"/>
        <cfvo type="num" val="0"/>
        <cfvo type="num" val="0.2"/>
      </iconSet>
    </cfRule>
  </conditionalFormatting>
  <conditionalFormatting sqref="E5:F14">
    <cfRule type="cellIs" dxfId="7" priority="9" operator="lessThan">
      <formula>0</formula>
    </cfRule>
  </conditionalFormatting>
  <conditionalFormatting sqref="G44:G54">
    <cfRule type="iconSet" priority="33">
      <iconSet>
        <cfvo type="percent" val="0"/>
        <cfvo type="num" val="0"/>
        <cfvo type="num" val="0.05"/>
      </iconSet>
    </cfRule>
  </conditionalFormatting>
  <conditionalFormatting sqref="G31:L40 Q31:Q41 T31:T42 K41 G44:G54">
    <cfRule type="cellIs" dxfId="6" priority="99" operator="lessThan">
      <formula>0</formula>
    </cfRule>
  </conditionalFormatting>
  <conditionalFormatting sqref="H5:H14">
    <cfRule type="iconSet" priority="2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I5:I14">
    <cfRule type="dataBar" priority="23">
      <dataBar>
        <cfvo type="num" val="0"/>
        <cfvo type="num" val="10"/>
        <color rgb="FF63C384"/>
      </dataBar>
    </cfRule>
  </conditionalFormatting>
  <conditionalFormatting sqref="I19:I28">
    <cfRule type="iconSet" priority="60">
      <iconSet>
        <cfvo type="percent" val="0"/>
        <cfvo type="num" val="-0.15"/>
        <cfvo type="num" val="0.15"/>
      </iconSet>
    </cfRule>
    <cfRule type="cellIs" dxfId="5" priority="61" operator="lessThan">
      <formula>0</formula>
    </cfRule>
  </conditionalFormatting>
  <conditionalFormatting sqref="J5:J14 N31:N40">
    <cfRule type="cellIs" dxfId="4" priority="55" operator="equal">
      <formula>0</formula>
    </cfRule>
  </conditionalFormatting>
  <conditionalFormatting sqref="J5:J14">
    <cfRule type="dataBar" priority="29">
      <dataBar>
        <cfvo type="num" val="0"/>
        <cfvo type="num" val="40"/>
        <color rgb="FF638EC6"/>
      </dataBar>
    </cfRule>
  </conditionalFormatting>
  <conditionalFormatting sqref="L5:L15">
    <cfRule type="iconSet" priority="103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L5:M15">
    <cfRule type="cellIs" dxfId="3" priority="88" operator="equal">
      <formula>"0,0%"</formula>
    </cfRule>
  </conditionalFormatting>
  <conditionalFormatting sqref="M5:M15">
    <cfRule type="iconSet" priority="87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M31:O41">
    <cfRule type="cellIs" dxfId="2" priority="14" operator="lessThan">
      <formula>0</formula>
    </cfRule>
  </conditionalFormatting>
  <conditionalFormatting sqref="M2:Q2">
    <cfRule type="cellIs" dxfId="1" priority="89" operator="equal">
      <formula>"Ok"</formula>
    </cfRule>
  </conditionalFormatting>
  <conditionalFormatting sqref="N5:N15">
    <cfRule type="iconSet" priority="101">
      <iconSet iconSet="5Rating">
        <cfvo type="percent" val="0"/>
        <cfvo type="num" val="0.2"/>
        <cfvo type="num" val="0.3"/>
        <cfvo type="num" val="0.4"/>
        <cfvo type="num" val="0.5"/>
      </iconSet>
    </cfRule>
  </conditionalFormatting>
  <conditionalFormatting sqref="N5:Q15">
    <cfRule type="cellIs" dxfId="0" priority="3" operator="equal">
      <formula>"0,00%"</formula>
    </cfRule>
  </conditionalFormatting>
  <conditionalFormatting sqref="O5:O15">
    <cfRule type="iconSet" priority="6">
      <iconSet iconSet="5Rating">
        <cfvo type="percent" val="0"/>
        <cfvo type="num" val="0.2"/>
        <cfvo type="num" val="0.3"/>
        <cfvo type="num" val="0.4"/>
        <cfvo type="num" val="0.5"/>
      </iconSet>
    </cfRule>
  </conditionalFormatting>
  <conditionalFormatting sqref="O31:O32">
    <cfRule type="iconSet" priority="745">
      <iconSet iconSet="3TrafficLights2">
        <cfvo type="percent" val="0"/>
        <cfvo type="num" val="0"/>
        <cfvo type="num" val="10000000"/>
      </iconSet>
    </cfRule>
  </conditionalFormatting>
  <conditionalFormatting sqref="O33:O40">
    <cfRule type="iconSet" priority="15">
      <iconSet iconSet="3TrafficLights2">
        <cfvo type="percent" val="0"/>
        <cfvo type="num" val="0"/>
        <cfvo type="num" val="10000000"/>
      </iconSet>
    </cfRule>
  </conditionalFormatting>
  <conditionalFormatting sqref="P5:P15">
    <cfRule type="iconSet" priority="129">
      <iconSet iconSet="5Rating">
        <cfvo type="percent" val="0"/>
        <cfvo type="percent" val="20"/>
        <cfvo type="percent" val="40"/>
        <cfvo type="percent" val="60"/>
        <cfvo type="percent" val="80"/>
      </iconSet>
    </cfRule>
    <cfRule type="iconSet" priority="131">
      <iconSet iconSet="5Rating">
        <cfvo type="percent" val="0"/>
        <cfvo type="num" val="0.2"/>
        <cfvo type="num" val="0.3"/>
        <cfvo type="num" val="0.4"/>
        <cfvo type="num" val="0.5"/>
      </iconSet>
    </cfRule>
  </conditionalFormatting>
  <conditionalFormatting sqref="Q5:Q15">
    <cfRule type="iconSet" priority="2">
      <iconSet iconSet="5Rating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5Rating">
        <cfvo type="percent" val="0"/>
        <cfvo type="num" val="0.2"/>
        <cfvo type="num" val="0.3"/>
        <cfvo type="num" val="0.4"/>
        <cfvo type="num" val="0.5"/>
      </iconSet>
    </cfRule>
  </conditionalFormatting>
  <dataValidations count="1">
    <dataValidation type="list" allowBlank="1" showInputMessage="1" showErrorMessage="1" sqref="L2" xr:uid="{6A3E1164-220E-4194-959D-6EF435BB6FD5}">
      <formula1>team</formula1>
    </dataValidation>
  </dataValidations>
  <pageMargins left="0.511811024" right="0.511811024" top="0.78740157499999996" bottom="0.78740157499999996" header="0.31496062000000002" footer="0.31496062000000002"/>
  <ignoredErrors>
    <ignoredError sqref="M41" formula="1"/>
  </ignoredErrors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6" id="{00000000-000E-0000-1100-00000200000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E5:E14</xm:sqref>
        </x14:conditionalFormatting>
        <x14:conditionalFormatting xmlns:xm="http://schemas.microsoft.com/office/excel/2006/main">
          <x14:cfRule type="iconSet" priority="8" id="{7290EA50-8418-4B0B-AEC2-4B602F1C2D16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F5:F14</xm:sqref>
        </x14:conditionalFormatting>
        <x14:conditionalFormatting xmlns:xm="http://schemas.microsoft.com/office/excel/2006/main">
          <x14:cfRule type="iconSet" priority="28" id="{00000000-000E-0000-1400-000006000000}">
            <x14:iconSet iconSet="5Arrows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Arrows" iconId="2"/>
              <x14:cfIcon iconSet="3TrafficLights1" iconId="2"/>
              <x14:cfIcon iconSet="3TrafficLights1" iconId="1"/>
              <x14:cfIcon iconSet="3TrafficLights1" iconId="0"/>
              <x14:cfIcon iconSet="3Arrows" iconId="0"/>
            </x14:iconSet>
          </x14:cfRule>
          <xm:sqref>K5:K14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9EDE78CA-3D2A-4E28-BE9D-167408D85D17}">
          <x14:colorSeries theme="9"/>
          <x14:colorNegative rgb="FFD00000"/>
          <x14:colorAxis rgb="FF000000"/>
          <x14:colorMarkers rgb="FFD00000"/>
          <x14:colorFirst rgb="FFD00000"/>
          <x14:colorLast rgb="FFD00000"/>
          <x14:colorHigh theme="6"/>
          <x14:colorLow rgb="FFFF0000"/>
          <x14:sparklines>
            <x14:sparkline>
              <xm:f>'Individual Report'!CG19:CP19</xm:f>
              <xm:sqref>D31</xm:sqref>
            </x14:sparkline>
            <x14:sparkline>
              <xm:f>'Individual Report'!CG20:CP20</xm:f>
              <xm:sqref>D32</xm:sqref>
            </x14:sparkline>
            <x14:sparkline>
              <xm:f>'Individual Report'!CG21:CP21</xm:f>
              <xm:sqref>D33</xm:sqref>
            </x14:sparkline>
            <x14:sparkline>
              <xm:f>'Individual Report'!CG22:CP22</xm:f>
              <xm:sqref>D34</xm:sqref>
            </x14:sparkline>
            <x14:sparkline>
              <xm:f>'Individual Report'!CG23:CP23</xm:f>
              <xm:sqref>D35</xm:sqref>
            </x14:sparkline>
            <x14:sparkline>
              <xm:f>'Individual Report'!CG24:CP24</xm:f>
              <xm:sqref>D36</xm:sqref>
            </x14:sparkline>
            <x14:sparkline>
              <xm:f>'Individual Report'!CG25:CP25</xm:f>
              <xm:sqref>D37</xm:sqref>
            </x14:sparkline>
            <x14:sparkline>
              <xm:f>'Individual Report'!CG26:CP26</xm:f>
              <xm:sqref>D38</xm:sqref>
            </x14:sparkline>
            <x14:sparkline>
              <xm:f>'Individual Report'!CG27:CP27</xm:f>
              <xm:sqref>D39</xm:sqref>
            </x14:sparkline>
            <x14:sparkline>
              <xm:f>'Individual Report'!CG28:CP28</xm:f>
              <xm:sqref>D40</xm:sqref>
            </x14:sparkline>
            <x14:sparkline>
              <xm:f>'Individual Report'!CG29:CP29</xm:f>
              <xm:sqref>D41</xm:sqref>
            </x14:sparkline>
          </x14:sparklines>
        </x14:sparklineGroup>
        <x14:sparklineGroup displayEmptyCellsAs="gap" low="1" xr2:uid="{6BC8F6F9-BE9F-4DC7-874C-A202C2AA49A2}">
          <x14:colorSeries theme="5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theme="0"/>
          <x14:sparklines>
            <x14:sparkline>
              <xm:f>'Individual Report'!CQ19:CZ19</xm:f>
              <xm:sqref>Q5</xm:sqref>
            </x14:sparkline>
            <x14:sparkline>
              <xm:f>'Individual Report'!CQ20:CZ20</xm:f>
              <xm:sqref>Q6</xm:sqref>
            </x14:sparkline>
            <x14:sparkline>
              <xm:f>'Individual Report'!CQ21:CZ21</xm:f>
              <xm:sqref>Q7</xm:sqref>
            </x14:sparkline>
            <x14:sparkline>
              <xm:f>'Individual Report'!CQ22:CZ22</xm:f>
              <xm:sqref>Q8</xm:sqref>
            </x14:sparkline>
            <x14:sparkline>
              <xm:f>'Individual Report'!CQ23:CZ23</xm:f>
              <xm:sqref>Q9</xm:sqref>
            </x14:sparkline>
            <x14:sparkline>
              <xm:f>'Individual Report'!CQ24:CZ24</xm:f>
              <xm:sqref>Q10</xm:sqref>
            </x14:sparkline>
            <x14:sparkline>
              <xm:f>'Individual Report'!CQ25:CZ25</xm:f>
              <xm:sqref>Q11</xm:sqref>
            </x14:sparkline>
            <x14:sparkline>
              <xm:f>'Individual Report'!CQ26:CZ26</xm:f>
              <xm:sqref>Q12</xm:sqref>
            </x14:sparkline>
            <x14:sparkline>
              <xm:f>'Individual Report'!CQ27:CZ27</xm:f>
              <xm:sqref>Q13</xm:sqref>
            </x14:sparkline>
            <x14:sparkline>
              <xm:f>'Individual Report'!CQ28:CZ28</xm:f>
              <xm:sqref>Q14</xm:sqref>
            </x14:sparkline>
            <x14:sparkline>
              <xm:f>'Individual Report'!CQ29:CZ29</xm:f>
              <xm:sqref>Q15</xm:sqref>
            </x14:sparkline>
          </x14:sparklines>
        </x14:sparklineGroup>
        <x14:sparklineGroup displayEmptyCellsAs="gap" xr2:uid="{547FE0CB-6F2E-45F6-869A-B3743502277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'Individual Report'!AI19:AR19</xm:f>
              <xm:sqref>F5</xm:sqref>
            </x14:sparkline>
            <x14:sparkline>
              <xm:f>'Individual Report'!AI20:AR20</xm:f>
              <xm:sqref>F6</xm:sqref>
            </x14:sparkline>
            <x14:sparkline>
              <xm:f>'Individual Report'!AI21:AR21</xm:f>
              <xm:sqref>F7</xm:sqref>
            </x14:sparkline>
            <x14:sparkline>
              <xm:f>'Individual Report'!AI22:AR22</xm:f>
              <xm:sqref>F8</xm:sqref>
            </x14:sparkline>
            <x14:sparkline>
              <xm:f>'Individual Report'!AI23:AR23</xm:f>
              <xm:sqref>F9</xm:sqref>
            </x14:sparkline>
            <x14:sparkline>
              <xm:f>'Individual Report'!AI24:AR24</xm:f>
              <xm:sqref>F10</xm:sqref>
            </x14:sparkline>
            <x14:sparkline>
              <xm:f>'Individual Report'!AI25:AR25</xm:f>
              <xm:sqref>F11</xm:sqref>
            </x14:sparkline>
            <x14:sparkline>
              <xm:f>'Individual Report'!AI26:AR26</xm:f>
              <xm:sqref>F12</xm:sqref>
            </x14:sparkline>
            <x14:sparkline>
              <xm:f>'Individual Report'!AI27:AR27</xm:f>
              <xm:sqref>F13</xm:sqref>
            </x14:sparkline>
            <x14:sparkline>
              <xm:f>'Individual Report'!AI28:AR28</xm:f>
              <xm:sqref>F14</xm:sqref>
            </x14:sparkline>
            <x14:sparkline>
              <xm:f>'Individual Report'!AI29:AR29</xm:f>
              <xm:sqref>F15</xm:sqref>
            </x14:sparkline>
          </x14:sparklines>
        </x14:sparklineGroup>
        <x14:sparklineGroup displayEmptyCellsAs="gap" low="1" xr2:uid="{303D70E7-A43D-4643-A879-9E71DCDAD45D}">
          <x14:colorSeries rgb="FF00B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theme="0"/>
          <x14:sparklines>
            <x14:sparkline>
              <xm:f>'Individual Report'!BM19:BV19</xm:f>
              <xm:sqref>O5</xm:sqref>
            </x14:sparkline>
            <x14:sparkline>
              <xm:f>'Individual Report'!BM20:BV20</xm:f>
              <xm:sqref>O6</xm:sqref>
            </x14:sparkline>
            <x14:sparkline>
              <xm:f>'Individual Report'!BM21:BV21</xm:f>
              <xm:sqref>O7</xm:sqref>
            </x14:sparkline>
            <x14:sparkline>
              <xm:f>'Individual Report'!BM22:BV22</xm:f>
              <xm:sqref>O8</xm:sqref>
            </x14:sparkline>
            <x14:sparkline>
              <xm:f>'Individual Report'!BM23:BV23</xm:f>
              <xm:sqref>O9</xm:sqref>
            </x14:sparkline>
            <x14:sparkline>
              <xm:f>'Individual Report'!BM24:BV24</xm:f>
              <xm:sqref>O10</xm:sqref>
            </x14:sparkline>
            <x14:sparkline>
              <xm:f>'Individual Report'!BM25:BV25</xm:f>
              <xm:sqref>O11</xm:sqref>
            </x14:sparkline>
            <x14:sparkline>
              <xm:f>'Individual Report'!BM26:BV26</xm:f>
              <xm:sqref>O12</xm:sqref>
            </x14:sparkline>
            <x14:sparkline>
              <xm:f>'Individual Report'!BM27:BV27</xm:f>
              <xm:sqref>O13</xm:sqref>
            </x14:sparkline>
            <x14:sparkline>
              <xm:f>'Individual Report'!BM28:BV28</xm:f>
              <xm:sqref>O14</xm:sqref>
            </x14:sparkline>
            <x14:sparkline>
              <xm:f>'Individual Report'!BM29:BV29</xm:f>
              <xm:sqref>O15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Planilhas</vt:lpstr>
      </vt:variant>
      <vt:variant>
        <vt:i4>22</vt:i4>
      </vt:variant>
      <vt:variant>
        <vt:lpstr>Gráficos</vt:lpstr>
      </vt:variant>
      <vt:variant>
        <vt:i4>1</vt:i4>
      </vt:variant>
      <vt:variant>
        <vt:lpstr>Intervalos Nomeados</vt:lpstr>
      </vt:variant>
      <vt:variant>
        <vt:i4>9</vt:i4>
      </vt:variant>
    </vt:vector>
  </HeadingPairs>
  <TitlesOfParts>
    <vt:vector size="32" baseType="lpstr">
      <vt:lpstr>Score-Starting a business</vt:lpstr>
      <vt:lpstr>Population</vt:lpstr>
      <vt:lpstr>GDP</vt:lpstr>
      <vt:lpstr>Country Competitivness</vt:lpstr>
      <vt:lpstr>Income Tax Rate (%)</vt:lpstr>
      <vt:lpstr>Tariff Rate (%)</vt:lpstr>
      <vt:lpstr>Corporate Tax Rate (%)</vt:lpstr>
      <vt:lpstr>Graph Data</vt:lpstr>
      <vt:lpstr>Config!</vt:lpstr>
      <vt:lpstr>map table</vt:lpstr>
      <vt:lpstr>Base data map</vt:lpstr>
      <vt:lpstr>Result data</vt:lpstr>
      <vt:lpstr>Language</vt:lpstr>
      <vt:lpstr>Market Analyzes</vt:lpstr>
      <vt:lpstr>GDP and Pop. Country Comparison</vt:lpstr>
      <vt:lpstr>WorldMap</vt:lpstr>
      <vt:lpstr>MSE per country</vt:lpstr>
      <vt:lpstr>IMS Seg. Table</vt:lpstr>
      <vt:lpstr>General Report</vt:lpstr>
      <vt:lpstr>Grades</vt:lpstr>
      <vt:lpstr>Country Presence</vt:lpstr>
      <vt:lpstr>Individual Report</vt:lpstr>
      <vt:lpstr>Market penetration</vt:lpstr>
      <vt:lpstr>Countries</vt:lpstr>
      <vt:lpstr>entry</vt:lpstr>
      <vt:lpstr>lang</vt:lpstr>
      <vt:lpstr>level</vt:lpstr>
      <vt:lpstr>mapv</vt:lpstr>
      <vt:lpstr>team</vt:lpstr>
      <vt:lpstr>vyear</vt:lpstr>
      <vt:lpstr>vyeare</vt:lpstr>
      <vt:lpstr>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plinio</dc:creator>
  <cp:keywords/>
  <dc:description/>
  <cp:lastModifiedBy>João Otávio de Souza</cp:lastModifiedBy>
  <cp:revision/>
  <dcterms:created xsi:type="dcterms:W3CDTF">2019-02-24T23:41:23Z</dcterms:created>
  <dcterms:modified xsi:type="dcterms:W3CDTF">2025-09-08T16:45:30Z</dcterms:modified>
  <cp:category/>
  <cp:contentStatus/>
</cp:coreProperties>
</file>